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defaultThemeVersion="124226"/>
  <mc:AlternateContent xmlns:mc="http://schemas.openxmlformats.org/markup-compatibility/2006">
    <mc:Choice Requires="x15">
      <x15ac:absPath xmlns:x15ac="http://schemas.microsoft.com/office/spreadsheetml/2010/11/ac" url="C:\Users\rp482\Dropbox\Job\hearing.imaging\manuscript\"/>
    </mc:Choice>
  </mc:AlternateContent>
  <xr:revisionPtr revIDLastSave="0" documentId="13_ncr:1_{DB7AE199-2EDB-4937-9116-DC7B99D53229}" xr6:coauthVersionLast="47" xr6:coauthVersionMax="47" xr10:uidLastSave="{00000000-0000-0000-0000-000000000000}"/>
  <bookViews>
    <workbookView xWindow="-120" yWindow="-120" windowWidth="29040" windowHeight="17640" tabRatio="714" xr2:uid="{00000000-000D-0000-FFFF-FFFF00000000}"/>
  </bookViews>
  <sheets>
    <sheet name="LEGEND" sheetId="20" r:id="rId1"/>
    <sheet name="Table S1" sheetId="19" r:id="rId2"/>
    <sheet name="Table S2" sheetId="1" r:id="rId3"/>
    <sheet name="Table S3" sheetId="2" r:id="rId4"/>
    <sheet name="Table S4" sheetId="3" r:id="rId5"/>
    <sheet name="Table S5" sheetId="4" r:id="rId6"/>
    <sheet name="Table S6" sheetId="5" r:id="rId7"/>
    <sheet name="Table S7" sheetId="6" r:id="rId8"/>
    <sheet name="Table S8" sheetId="7" r:id="rId9"/>
    <sheet name="Table S9" sheetId="8" r:id="rId10"/>
    <sheet name="Table S10" sheetId="9" r:id="rId11"/>
    <sheet name="Table S11" sheetId="10" r:id="rId12"/>
    <sheet name="Table S12" sheetId="11" r:id="rId13"/>
    <sheet name="Table S13" sheetId="12" r:id="rId14"/>
    <sheet name="Table S14" sheetId="13" r:id="rId15"/>
    <sheet name="Table S15" sheetId="16" r:id="rId16"/>
    <sheet name="Table S16" sheetId="17" r:id="rId17"/>
    <sheet name="Table S17" sheetId="18" r:id="rId18"/>
  </sheets>
  <definedNames>
    <definedName name="_xlnm._FilterDatabase" localSheetId="14" hidden="1">'Table S14'!$A$2:$K$9974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19" l="1"/>
  <c r="B4" i="19"/>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B522" i="19"/>
  <c r="B523" i="19"/>
  <c r="B524" i="19"/>
  <c r="B525" i="19"/>
  <c r="B526" i="19"/>
  <c r="B527" i="19"/>
  <c r="B528" i="19"/>
  <c r="B529" i="19"/>
  <c r="B530" i="19"/>
  <c r="B531" i="19"/>
  <c r="B532" i="19"/>
  <c r="B533" i="19"/>
  <c r="B534" i="19"/>
  <c r="B535" i="19"/>
  <c r="B536" i="19"/>
  <c r="B537" i="19"/>
  <c r="B538" i="19"/>
  <c r="B539" i="19"/>
  <c r="B540" i="19"/>
  <c r="B541" i="19"/>
  <c r="B542" i="19"/>
  <c r="B543" i="19"/>
  <c r="B544" i="19"/>
  <c r="B545" i="19"/>
  <c r="B546" i="19"/>
  <c r="B547" i="19"/>
  <c r="B548" i="19"/>
  <c r="B549" i="19"/>
  <c r="B550" i="19"/>
  <c r="B551" i="19"/>
  <c r="B552" i="19"/>
  <c r="B553" i="19"/>
  <c r="B554" i="19"/>
  <c r="B555" i="19"/>
  <c r="B556" i="19"/>
  <c r="B557" i="19"/>
  <c r="B558" i="19"/>
  <c r="B559" i="19"/>
  <c r="B560" i="19"/>
  <c r="B561" i="19"/>
  <c r="B562" i="19"/>
  <c r="B563" i="19"/>
  <c r="B564" i="19"/>
  <c r="B565" i="19"/>
  <c r="B566" i="19"/>
  <c r="B567" i="19"/>
  <c r="B568" i="19"/>
  <c r="B569" i="19"/>
  <c r="B570" i="19"/>
  <c r="B571" i="19"/>
  <c r="B572" i="19"/>
  <c r="B573" i="19"/>
  <c r="B574" i="19"/>
  <c r="B575" i="19"/>
  <c r="B576" i="19"/>
  <c r="B577" i="19"/>
  <c r="B578" i="19"/>
  <c r="B579" i="19"/>
  <c r="B580" i="19"/>
  <c r="B581" i="19"/>
  <c r="B582" i="19"/>
  <c r="B583" i="19"/>
  <c r="B584" i="19"/>
  <c r="B585" i="19"/>
  <c r="B586" i="19"/>
  <c r="B587" i="19"/>
  <c r="B588" i="19"/>
  <c r="B589" i="19"/>
  <c r="B590" i="19"/>
  <c r="B591" i="19"/>
  <c r="B592" i="19"/>
  <c r="B593" i="19"/>
  <c r="B594" i="19"/>
  <c r="B595" i="19"/>
  <c r="B596" i="19"/>
  <c r="B597" i="19"/>
  <c r="B598" i="19"/>
  <c r="B599" i="19"/>
  <c r="B600" i="19"/>
  <c r="B601" i="19"/>
  <c r="B602" i="19"/>
  <c r="B603" i="19"/>
  <c r="B604" i="19"/>
  <c r="B605" i="19"/>
  <c r="B606" i="19"/>
  <c r="B607" i="19"/>
  <c r="B608" i="19"/>
  <c r="B609" i="19"/>
  <c r="B610" i="19"/>
  <c r="B611" i="19"/>
  <c r="B612" i="19"/>
  <c r="B613" i="19"/>
  <c r="B614" i="19"/>
  <c r="B615" i="19"/>
  <c r="B616" i="19"/>
  <c r="B617" i="19"/>
  <c r="B618" i="19"/>
  <c r="B619" i="19"/>
  <c r="B620" i="19"/>
  <c r="B621" i="19"/>
  <c r="B622" i="19"/>
  <c r="B623" i="19"/>
  <c r="B624" i="19"/>
  <c r="B625" i="19"/>
  <c r="B626" i="19"/>
  <c r="B627" i="19"/>
  <c r="B628" i="19"/>
  <c r="B629" i="19"/>
  <c r="B630" i="19"/>
  <c r="B631" i="19"/>
  <c r="B632" i="19"/>
  <c r="B633" i="19"/>
  <c r="B634" i="19"/>
  <c r="B635" i="19"/>
  <c r="B636" i="19"/>
  <c r="B637" i="19"/>
  <c r="B638" i="19"/>
  <c r="B639" i="19"/>
  <c r="B640" i="19"/>
  <c r="B641" i="19"/>
  <c r="B642" i="19"/>
  <c r="B643" i="19"/>
  <c r="B644" i="19"/>
  <c r="B645" i="19"/>
  <c r="B646" i="19"/>
  <c r="B647" i="19"/>
  <c r="B648" i="19"/>
  <c r="B649" i="19"/>
  <c r="B650" i="19"/>
  <c r="B651" i="19"/>
  <c r="B652" i="19"/>
  <c r="B653" i="19"/>
  <c r="B654" i="19"/>
  <c r="B655" i="19"/>
  <c r="B656" i="19"/>
  <c r="B657" i="19"/>
  <c r="B658" i="19"/>
  <c r="B659" i="19"/>
  <c r="B660" i="19"/>
  <c r="B661" i="19"/>
  <c r="B662" i="19"/>
  <c r="B663" i="19"/>
  <c r="B664" i="19"/>
  <c r="B665" i="19"/>
  <c r="B666" i="19"/>
  <c r="B667" i="19"/>
  <c r="B668" i="19"/>
  <c r="B669" i="19"/>
  <c r="B670" i="19"/>
  <c r="B671" i="19"/>
  <c r="B672" i="19"/>
  <c r="B673" i="19"/>
  <c r="B674" i="19"/>
  <c r="B675" i="19"/>
  <c r="B676" i="19"/>
  <c r="B677" i="19"/>
  <c r="B678" i="19"/>
  <c r="B679" i="19"/>
  <c r="B680" i="19"/>
  <c r="B681" i="19"/>
  <c r="B682" i="19"/>
  <c r="B683" i="19"/>
  <c r="B684" i="19"/>
  <c r="B685" i="19"/>
  <c r="B686" i="19"/>
  <c r="B687" i="19"/>
  <c r="B688" i="19"/>
  <c r="B689" i="19"/>
  <c r="B690" i="19"/>
  <c r="B691" i="19"/>
  <c r="B692" i="19"/>
  <c r="B693" i="19"/>
  <c r="B694" i="19"/>
  <c r="B695" i="19"/>
  <c r="B696" i="19"/>
  <c r="B697" i="19"/>
  <c r="B698" i="19"/>
  <c r="B699" i="19"/>
  <c r="B700" i="19"/>
  <c r="B701" i="19"/>
  <c r="B702" i="19"/>
  <c r="B703" i="19"/>
  <c r="B704" i="19"/>
  <c r="B705" i="19"/>
  <c r="B706" i="19"/>
  <c r="B707" i="19"/>
  <c r="B708" i="19"/>
  <c r="B709" i="19"/>
  <c r="B710" i="19"/>
  <c r="B711" i="19"/>
  <c r="B712" i="19"/>
  <c r="B713" i="19"/>
  <c r="B714" i="19"/>
  <c r="B715" i="19"/>
  <c r="B716" i="19"/>
  <c r="B717" i="19"/>
  <c r="B718" i="19"/>
  <c r="B719" i="19"/>
  <c r="B720" i="19"/>
  <c r="B721" i="19"/>
  <c r="B722" i="19"/>
  <c r="B723" i="19"/>
  <c r="B724" i="19"/>
  <c r="B725" i="19"/>
  <c r="B726" i="19"/>
  <c r="B727" i="19"/>
  <c r="B728" i="19"/>
  <c r="B729" i="19"/>
  <c r="B730" i="19"/>
  <c r="B731" i="19"/>
  <c r="B732" i="19"/>
  <c r="B733" i="19"/>
  <c r="B734" i="19"/>
  <c r="B735" i="19"/>
  <c r="B736" i="19"/>
  <c r="B737" i="19"/>
  <c r="B738" i="19"/>
  <c r="B739" i="19"/>
  <c r="B740" i="19"/>
  <c r="B741" i="19"/>
  <c r="B742" i="19"/>
  <c r="B743" i="19"/>
  <c r="B744" i="19"/>
  <c r="B745" i="19"/>
  <c r="B746" i="19"/>
  <c r="B747" i="19"/>
  <c r="B748" i="19"/>
  <c r="B749" i="19"/>
  <c r="B750" i="19"/>
  <c r="B751" i="19"/>
  <c r="B752" i="19"/>
  <c r="B753" i="19"/>
  <c r="B754" i="19"/>
  <c r="B755" i="19"/>
  <c r="B756" i="19"/>
  <c r="B757" i="19"/>
  <c r="B758" i="19"/>
  <c r="B759" i="19"/>
  <c r="B760" i="19"/>
  <c r="B761" i="19"/>
  <c r="B762" i="19"/>
  <c r="B763" i="19"/>
  <c r="B764" i="19"/>
  <c r="B765" i="19"/>
  <c r="B766" i="19"/>
  <c r="B767" i="19"/>
  <c r="B768" i="19"/>
  <c r="B769" i="19"/>
  <c r="B770" i="19"/>
  <c r="B771" i="19"/>
  <c r="B772" i="19"/>
  <c r="B773" i="19"/>
  <c r="B774" i="19"/>
  <c r="B775" i="19"/>
  <c r="B776" i="19"/>
  <c r="B777" i="19"/>
  <c r="B778" i="19"/>
  <c r="B779" i="19"/>
  <c r="B780" i="19"/>
  <c r="B781" i="19"/>
  <c r="B782" i="19"/>
  <c r="B783" i="19"/>
  <c r="B784" i="19"/>
  <c r="B785" i="19"/>
  <c r="B786" i="19"/>
  <c r="B787" i="19"/>
  <c r="B788" i="19"/>
  <c r="B789" i="19"/>
  <c r="B790" i="19"/>
  <c r="B791" i="19"/>
  <c r="B792" i="19"/>
  <c r="B793" i="19"/>
  <c r="B794" i="19"/>
  <c r="B795" i="19"/>
  <c r="B796" i="19"/>
  <c r="B797" i="19"/>
  <c r="B798" i="19"/>
  <c r="B799" i="19"/>
  <c r="B800" i="19"/>
  <c r="B801" i="19"/>
  <c r="B802" i="19"/>
  <c r="B803" i="19"/>
  <c r="B804" i="19"/>
  <c r="B805" i="19"/>
  <c r="B806" i="19"/>
  <c r="B807" i="19"/>
  <c r="B808" i="19"/>
  <c r="B809" i="19"/>
  <c r="B810" i="19"/>
  <c r="B811" i="19"/>
  <c r="B812" i="19"/>
  <c r="B813" i="19"/>
  <c r="B814" i="19"/>
  <c r="B815" i="19"/>
  <c r="B816" i="19"/>
  <c r="B817" i="19"/>
  <c r="B818" i="19"/>
  <c r="B819" i="19"/>
  <c r="B820" i="19"/>
  <c r="B821" i="19"/>
  <c r="B822" i="19"/>
  <c r="B823" i="19"/>
  <c r="B824" i="19"/>
  <c r="B825" i="19"/>
  <c r="B826" i="19"/>
  <c r="B827" i="19"/>
  <c r="B828" i="19"/>
  <c r="B829" i="19"/>
  <c r="B830" i="19"/>
  <c r="B831" i="19"/>
  <c r="B832" i="19"/>
  <c r="B833" i="19"/>
  <c r="B834" i="19"/>
  <c r="B835" i="19"/>
  <c r="B836" i="19"/>
  <c r="B837" i="19"/>
  <c r="B838" i="19"/>
  <c r="B839" i="19"/>
  <c r="B840" i="19"/>
  <c r="B841" i="19"/>
  <c r="B842" i="19"/>
  <c r="B843" i="19"/>
  <c r="B844" i="19"/>
  <c r="B845" i="19"/>
  <c r="B846" i="19"/>
  <c r="B847" i="19"/>
  <c r="B848" i="19"/>
  <c r="B849" i="19"/>
  <c r="B850" i="19"/>
  <c r="B851" i="19"/>
  <c r="B852" i="19"/>
  <c r="B853" i="19"/>
  <c r="B854" i="19"/>
  <c r="B855" i="19"/>
  <c r="B856" i="19"/>
  <c r="B857" i="19"/>
  <c r="B858" i="19"/>
  <c r="B859" i="19"/>
  <c r="B860" i="19"/>
  <c r="B861" i="19"/>
  <c r="B862" i="19"/>
  <c r="B863" i="19"/>
  <c r="B864" i="19"/>
  <c r="B865" i="19"/>
  <c r="B866" i="19"/>
  <c r="B867" i="19"/>
  <c r="B868" i="19"/>
  <c r="B869" i="19"/>
  <c r="B870" i="19"/>
  <c r="B871" i="19"/>
  <c r="B872" i="19"/>
  <c r="B873" i="19"/>
  <c r="B874" i="19"/>
  <c r="B875" i="19"/>
  <c r="B876" i="19"/>
  <c r="B877" i="19"/>
  <c r="B878" i="19"/>
  <c r="B879" i="19"/>
  <c r="B880" i="19"/>
  <c r="B881" i="19"/>
  <c r="B882" i="19"/>
  <c r="B883" i="19"/>
  <c r="B884" i="19"/>
  <c r="B885" i="19"/>
  <c r="B886" i="19"/>
  <c r="B887" i="19"/>
  <c r="B888" i="19"/>
  <c r="B889" i="19"/>
  <c r="B890" i="19"/>
  <c r="B891" i="19"/>
  <c r="B892" i="19"/>
  <c r="B893" i="19"/>
  <c r="B894" i="19"/>
  <c r="B895" i="19"/>
  <c r="B896" i="19"/>
  <c r="B897" i="19"/>
  <c r="B898" i="19"/>
  <c r="B899" i="19"/>
  <c r="B900" i="19"/>
  <c r="B901" i="19"/>
  <c r="B902" i="19"/>
  <c r="B903" i="19"/>
  <c r="B904" i="19"/>
  <c r="B905" i="19"/>
  <c r="B906" i="19"/>
  <c r="B907" i="19"/>
  <c r="B908" i="19"/>
  <c r="B909" i="19"/>
  <c r="B910" i="19"/>
  <c r="B911" i="19"/>
  <c r="B912" i="19"/>
  <c r="B913" i="19"/>
  <c r="B914" i="19"/>
  <c r="B915" i="19"/>
  <c r="B916" i="19"/>
  <c r="B917" i="19"/>
  <c r="B918" i="19"/>
  <c r="B919" i="19"/>
  <c r="B920" i="19"/>
  <c r="B921" i="19"/>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1114" i="19"/>
  <c r="B1115" i="19"/>
  <c r="B1116" i="19"/>
  <c r="B1117" i="19"/>
  <c r="B1118" i="19"/>
  <c r="B1119" i="19"/>
  <c r="B1120" i="19"/>
  <c r="B1121" i="19"/>
  <c r="B1122" i="19"/>
  <c r="B1123" i="19"/>
  <c r="B1124" i="19"/>
  <c r="B1125" i="19"/>
  <c r="B1126" i="19"/>
  <c r="B1127" i="19"/>
  <c r="B1128" i="19"/>
  <c r="B1129" i="19"/>
  <c r="B1130" i="19"/>
  <c r="B1131" i="19"/>
  <c r="B1132" i="19"/>
  <c r="B1133" i="19"/>
  <c r="B1134" i="19"/>
  <c r="B1135" i="19"/>
  <c r="B1136" i="19"/>
  <c r="B1137" i="19"/>
  <c r="B1138" i="19"/>
  <c r="B1139" i="19"/>
  <c r="B1140" i="19"/>
  <c r="B1141" i="19"/>
  <c r="B1142" i="19"/>
  <c r="B1143" i="19"/>
  <c r="B1144" i="19"/>
  <c r="B1145" i="19"/>
  <c r="B1146" i="19"/>
  <c r="B1147" i="19"/>
  <c r="B1148" i="19"/>
  <c r="B1149" i="19"/>
  <c r="B1150" i="19"/>
  <c r="B1151" i="19"/>
  <c r="B1152" i="19"/>
  <c r="B1153" i="19"/>
  <c r="B1154" i="19"/>
  <c r="B1155" i="19"/>
  <c r="B1156" i="19"/>
  <c r="B1157" i="19"/>
  <c r="B1158" i="19"/>
  <c r="B1159" i="19"/>
  <c r="B1160" i="19"/>
  <c r="B1161" i="19"/>
  <c r="B1162" i="19"/>
  <c r="B1163" i="19"/>
  <c r="B1164" i="19"/>
  <c r="B1165" i="19"/>
  <c r="B1166" i="19"/>
  <c r="B1167" i="19"/>
  <c r="B1168" i="19"/>
  <c r="B1169" i="19"/>
  <c r="B1170" i="19"/>
  <c r="B1171" i="19"/>
  <c r="B1172" i="19"/>
  <c r="B1173" i="19"/>
  <c r="B1174" i="19"/>
  <c r="B1175" i="19"/>
  <c r="B1176" i="19"/>
  <c r="B1177" i="19"/>
  <c r="B1178" i="19"/>
  <c r="B1179" i="19"/>
  <c r="B1180" i="19"/>
  <c r="B1181" i="19"/>
  <c r="B1182" i="19"/>
  <c r="B1183" i="19"/>
  <c r="B1184" i="19"/>
  <c r="B1185" i="19"/>
  <c r="B1186" i="19"/>
  <c r="B1187" i="19"/>
  <c r="B1188" i="19"/>
  <c r="B1189" i="19"/>
  <c r="B1190" i="19"/>
  <c r="B1191" i="19"/>
  <c r="B1192" i="19"/>
  <c r="B1193" i="19"/>
  <c r="B1194" i="19"/>
  <c r="B1195" i="19"/>
  <c r="B1196" i="19"/>
  <c r="B1197" i="19"/>
  <c r="B1198" i="19"/>
  <c r="B1199" i="19"/>
  <c r="B1200" i="19"/>
  <c r="B1201" i="19"/>
  <c r="B1202" i="19"/>
  <c r="B1203" i="19"/>
  <c r="B1204" i="19"/>
  <c r="B1205" i="19"/>
  <c r="B1206" i="19"/>
  <c r="B1207" i="19"/>
  <c r="B1208" i="19"/>
  <c r="B1209" i="19"/>
  <c r="B1210" i="19"/>
  <c r="B1211" i="19"/>
  <c r="B1212" i="19"/>
  <c r="B1213" i="19"/>
  <c r="B1214" i="19"/>
  <c r="B1215" i="19"/>
  <c r="B1216" i="19"/>
  <c r="B1217" i="19"/>
  <c r="B1218" i="19"/>
  <c r="B1219" i="19"/>
  <c r="B1220" i="19"/>
  <c r="B1221" i="19"/>
  <c r="B1222" i="19"/>
  <c r="B1223" i="19"/>
  <c r="B1224" i="19"/>
  <c r="B1225" i="19"/>
  <c r="B1226" i="19"/>
  <c r="B1227" i="19"/>
  <c r="B1228" i="19"/>
  <c r="B1229" i="19"/>
  <c r="B1230" i="19"/>
  <c r="B1231" i="19"/>
  <c r="B1232" i="19"/>
  <c r="B1233" i="19"/>
  <c r="B1234" i="19"/>
  <c r="B1235" i="19"/>
  <c r="B1236" i="19"/>
  <c r="B1237" i="19"/>
  <c r="B1238" i="19"/>
  <c r="B1239" i="19"/>
  <c r="B1240" i="19"/>
  <c r="B1241" i="19"/>
  <c r="B1242" i="19"/>
  <c r="B1243" i="19"/>
  <c r="B1244" i="19"/>
  <c r="B1245" i="19"/>
  <c r="B1246" i="19"/>
  <c r="B1247" i="19"/>
  <c r="B1248" i="19"/>
  <c r="B1249" i="19"/>
  <c r="B1250" i="19"/>
  <c r="B1251" i="19"/>
  <c r="B1252" i="19"/>
  <c r="B1253" i="19"/>
  <c r="B1254" i="19"/>
  <c r="B1255" i="19"/>
  <c r="B1256" i="19"/>
  <c r="B1257" i="19"/>
  <c r="B1258" i="19"/>
  <c r="B1259" i="19"/>
  <c r="B1260" i="19"/>
  <c r="B1261" i="19"/>
  <c r="B1262" i="19"/>
  <c r="B1263" i="19"/>
  <c r="B1264" i="19"/>
  <c r="B1265" i="19"/>
  <c r="B1266" i="19"/>
  <c r="B1267" i="19"/>
  <c r="B1268" i="19"/>
  <c r="B1269" i="19"/>
  <c r="B1270" i="19"/>
  <c r="B1271" i="19"/>
  <c r="B1272" i="19"/>
  <c r="B1273" i="19"/>
  <c r="B1274" i="19"/>
  <c r="B1275" i="19"/>
  <c r="B1276" i="19"/>
  <c r="B1277" i="19"/>
  <c r="B1278" i="19"/>
  <c r="B1279" i="19"/>
  <c r="B1280" i="19"/>
  <c r="B1281" i="19"/>
  <c r="B1282" i="19"/>
  <c r="B1283" i="19"/>
  <c r="B1284" i="19"/>
  <c r="B1285" i="19"/>
  <c r="B1286" i="19"/>
  <c r="B1287" i="19"/>
  <c r="B1288" i="19"/>
  <c r="B1289" i="19"/>
  <c r="B1290" i="19"/>
  <c r="B1291" i="19"/>
  <c r="B1292" i="19"/>
  <c r="B1293" i="19"/>
  <c r="B1294" i="19"/>
  <c r="B1295" i="19"/>
  <c r="B1296" i="19"/>
  <c r="B1297" i="19"/>
  <c r="B1298" i="19"/>
  <c r="B1299" i="19"/>
  <c r="B1300" i="19"/>
  <c r="B1301" i="19"/>
  <c r="B1302" i="19"/>
  <c r="B1303" i="19"/>
  <c r="B1304" i="19"/>
  <c r="B1305" i="19"/>
  <c r="B1306" i="19"/>
  <c r="B1307" i="19"/>
  <c r="B1308" i="19"/>
  <c r="B1309" i="19"/>
  <c r="B1310" i="19"/>
  <c r="B1311" i="19"/>
  <c r="B1312" i="19"/>
  <c r="B1313" i="19"/>
  <c r="B1314" i="19"/>
  <c r="B1315" i="19"/>
  <c r="B1316" i="19"/>
  <c r="B1317" i="19"/>
  <c r="B1318" i="19"/>
  <c r="B1319" i="19"/>
  <c r="B1320" i="19"/>
  <c r="B1321" i="19"/>
  <c r="B1322" i="19"/>
  <c r="B1323" i="19"/>
  <c r="B1324" i="19"/>
  <c r="B1325" i="19"/>
  <c r="B1326" i="19"/>
  <c r="B1327" i="19"/>
  <c r="B1328" i="19"/>
  <c r="B1329" i="19"/>
  <c r="B1330" i="19"/>
  <c r="B1331" i="19"/>
  <c r="B1332" i="19"/>
  <c r="B1333" i="19"/>
  <c r="B1334" i="19"/>
  <c r="B1335" i="19"/>
  <c r="B1336" i="19"/>
  <c r="B1337" i="19"/>
  <c r="B1338" i="19"/>
  <c r="B1339" i="19"/>
  <c r="B1340" i="19"/>
  <c r="B1341" i="19"/>
  <c r="B1342" i="19"/>
  <c r="B1343" i="19"/>
  <c r="B1344" i="19"/>
  <c r="B1345" i="19"/>
  <c r="B1346" i="19"/>
  <c r="B1347" i="19"/>
  <c r="B1348" i="19"/>
  <c r="B1349" i="19"/>
  <c r="B1350" i="19"/>
  <c r="B1351" i="19"/>
  <c r="B1352" i="19"/>
  <c r="B1353" i="19"/>
  <c r="B1354" i="19"/>
  <c r="B1355" i="19"/>
  <c r="B1356" i="19"/>
  <c r="B1357" i="19"/>
  <c r="B1358" i="19"/>
  <c r="B1359" i="19"/>
  <c r="B1360" i="19"/>
  <c r="B1361" i="19"/>
  <c r="B1362" i="19"/>
  <c r="B1363" i="19"/>
  <c r="B1364" i="19"/>
  <c r="B1365" i="19"/>
  <c r="B1366" i="19"/>
  <c r="B1367" i="19"/>
  <c r="B1368" i="19"/>
  <c r="B1369" i="19"/>
  <c r="B1370" i="19"/>
  <c r="B1371" i="19"/>
  <c r="B1372" i="19"/>
  <c r="B1373" i="19"/>
  <c r="B1374" i="19"/>
  <c r="B1375" i="19"/>
  <c r="B1376" i="19"/>
  <c r="B1377" i="19"/>
  <c r="B1378" i="19"/>
  <c r="B1379" i="19"/>
  <c r="B1380" i="19"/>
  <c r="B1381" i="19"/>
  <c r="B1382" i="19"/>
  <c r="B1383" i="19"/>
  <c r="B1384" i="19"/>
  <c r="B1385" i="19"/>
  <c r="B1386" i="19"/>
  <c r="B1387" i="19"/>
  <c r="B1388" i="19"/>
  <c r="B1389" i="19"/>
  <c r="B1390" i="19"/>
  <c r="B1391" i="19"/>
  <c r="B1392" i="19"/>
  <c r="B1393" i="19"/>
  <c r="B1394" i="19"/>
  <c r="B1395" i="19"/>
  <c r="B1396" i="19"/>
  <c r="B1397" i="19"/>
  <c r="B1398" i="19"/>
  <c r="B1399" i="19"/>
  <c r="B1400" i="19"/>
  <c r="B1401" i="19"/>
  <c r="B1402" i="19"/>
  <c r="B1403" i="19"/>
  <c r="B1404" i="19"/>
  <c r="B1405" i="19"/>
  <c r="B1406" i="19"/>
  <c r="B1407" i="19"/>
  <c r="B1408" i="19"/>
  <c r="B1409" i="19"/>
  <c r="B1410" i="19"/>
  <c r="B1411" i="19"/>
  <c r="B1412" i="19"/>
  <c r="B1413" i="19"/>
  <c r="B1414" i="19"/>
  <c r="B1415" i="19"/>
  <c r="B1416" i="19"/>
  <c r="B1417" i="19"/>
  <c r="B1418" i="19"/>
  <c r="B1419" i="19"/>
  <c r="B1420" i="19"/>
  <c r="B1421" i="19"/>
  <c r="B1422" i="19"/>
  <c r="B1423" i="19"/>
  <c r="B1424" i="19"/>
  <c r="B1425" i="19"/>
  <c r="B1426" i="19"/>
  <c r="B1427" i="19"/>
  <c r="B1428" i="19"/>
  <c r="B1429" i="19"/>
  <c r="B1430" i="19"/>
  <c r="B1431" i="19"/>
  <c r="B1432" i="19"/>
  <c r="B1433" i="19"/>
  <c r="B1434" i="19"/>
  <c r="B1435" i="19"/>
  <c r="B1436" i="19"/>
  <c r="B1437" i="19"/>
  <c r="B1438" i="19"/>
  <c r="B1439" i="19"/>
  <c r="B1440" i="19"/>
  <c r="B1441" i="19"/>
  <c r="B1442" i="19"/>
  <c r="B1443" i="19"/>
  <c r="B1444" i="19"/>
  <c r="B1445" i="19"/>
  <c r="B1446" i="19"/>
  <c r="B1447" i="19"/>
  <c r="B1448" i="19"/>
  <c r="B1449" i="19"/>
  <c r="B1450" i="19"/>
  <c r="B1451" i="19"/>
  <c r="B1452" i="19"/>
  <c r="B1453" i="19"/>
  <c r="B1454" i="19"/>
  <c r="B1455" i="19"/>
  <c r="B1456" i="19"/>
  <c r="B1457" i="19"/>
  <c r="B1458" i="19"/>
  <c r="B1459" i="19"/>
  <c r="B1460" i="19"/>
  <c r="B1461" i="19"/>
  <c r="B1462" i="19"/>
  <c r="B1463" i="19"/>
  <c r="B1464" i="19"/>
  <c r="B1465" i="19"/>
  <c r="B1466" i="19"/>
  <c r="B1467" i="19"/>
  <c r="B1468" i="19"/>
  <c r="B1469" i="19"/>
  <c r="B1470" i="19"/>
  <c r="B1471" i="19"/>
  <c r="B1472" i="19"/>
  <c r="B1473" i="19"/>
  <c r="B1474" i="19"/>
  <c r="B1475" i="19"/>
  <c r="B1476" i="19"/>
  <c r="B1477" i="19"/>
  <c r="B1478" i="19"/>
  <c r="B1479" i="19"/>
  <c r="B1480" i="19"/>
  <c r="B1481" i="19"/>
  <c r="B1482" i="19"/>
  <c r="B1483" i="19"/>
  <c r="B1484" i="19"/>
  <c r="B1485" i="19"/>
  <c r="B1486" i="19"/>
  <c r="B1487" i="19"/>
  <c r="B1488" i="19"/>
  <c r="B1489" i="19"/>
  <c r="B1490" i="19"/>
  <c r="B1491" i="19"/>
  <c r="B1492" i="19"/>
  <c r="B1493" i="19"/>
  <c r="B1494" i="19"/>
  <c r="B1495" i="19"/>
  <c r="B1496" i="19"/>
  <c r="B1497" i="19"/>
  <c r="B1498" i="19"/>
  <c r="B1499" i="19"/>
  <c r="B1500" i="19"/>
  <c r="B1501" i="19"/>
  <c r="B1502" i="19"/>
  <c r="B1503" i="19"/>
  <c r="B1504" i="19"/>
  <c r="B1505" i="19"/>
  <c r="B1506" i="19"/>
  <c r="B1507" i="19"/>
  <c r="B1508" i="19"/>
  <c r="B1509" i="19"/>
  <c r="B1510" i="19"/>
  <c r="B1511" i="19"/>
  <c r="B1512" i="19"/>
  <c r="B1513" i="19"/>
  <c r="B1514" i="19"/>
  <c r="B1515" i="19"/>
  <c r="B1516" i="19"/>
  <c r="B1517" i="19"/>
  <c r="B1518" i="19"/>
  <c r="B1519" i="19"/>
  <c r="B1520" i="19"/>
  <c r="B1521" i="19"/>
  <c r="B1522" i="19"/>
  <c r="B1523" i="19"/>
  <c r="B1524" i="19"/>
  <c r="B1525" i="19"/>
  <c r="B1526" i="19"/>
  <c r="B1527" i="19"/>
  <c r="B1528" i="19"/>
  <c r="B1529" i="19"/>
  <c r="B1530" i="19"/>
  <c r="B1531" i="19"/>
  <c r="B1532" i="19"/>
  <c r="B1533" i="19"/>
  <c r="B1534" i="19"/>
  <c r="B1535" i="19"/>
  <c r="B1536" i="19"/>
  <c r="B1537" i="19"/>
  <c r="B1538" i="19"/>
  <c r="B1539" i="19"/>
  <c r="B1540" i="19"/>
  <c r="B1541" i="19"/>
  <c r="B1542" i="19"/>
  <c r="B1543" i="19"/>
  <c r="B1544" i="19"/>
  <c r="B1545" i="19"/>
  <c r="B1546" i="19"/>
  <c r="B1547" i="19"/>
  <c r="B1548" i="19"/>
  <c r="B1549" i="19"/>
  <c r="B1550" i="19"/>
  <c r="B1551" i="19"/>
  <c r="B1552" i="19"/>
  <c r="B1553" i="19"/>
  <c r="B1554" i="19"/>
  <c r="B1555" i="19"/>
  <c r="B1556" i="19"/>
  <c r="B1557" i="19"/>
  <c r="B1558" i="19"/>
  <c r="B1559" i="19"/>
  <c r="B1560" i="19"/>
  <c r="B1561" i="19"/>
  <c r="B1562" i="19"/>
  <c r="B1563" i="19"/>
  <c r="B1564" i="19"/>
  <c r="B1565" i="19"/>
  <c r="B1566" i="19"/>
  <c r="B1567" i="19"/>
  <c r="B1568" i="19"/>
  <c r="B1569" i="19"/>
  <c r="B1570" i="19"/>
  <c r="B1571" i="19"/>
  <c r="B1572" i="19"/>
  <c r="B1573" i="19"/>
  <c r="B1574" i="19"/>
  <c r="B1575" i="19"/>
  <c r="B1576" i="19"/>
  <c r="B1577" i="19"/>
  <c r="B1578" i="19"/>
  <c r="B1579" i="19"/>
  <c r="B1580" i="19"/>
  <c r="B1581" i="19"/>
  <c r="B1582" i="19"/>
  <c r="B1583" i="19"/>
  <c r="B1584" i="19"/>
  <c r="B1585" i="19"/>
  <c r="B1586" i="19"/>
  <c r="B1587" i="19"/>
  <c r="B1588" i="19"/>
  <c r="B1589" i="19"/>
  <c r="B1590" i="19"/>
  <c r="B1591" i="19"/>
  <c r="B1592" i="19"/>
  <c r="B1593" i="19"/>
  <c r="B1594" i="19"/>
  <c r="B1595" i="19"/>
  <c r="B1596" i="19"/>
  <c r="B1597" i="19"/>
  <c r="B1598" i="19"/>
  <c r="B1599" i="19"/>
  <c r="B1600" i="19"/>
  <c r="B1601" i="19"/>
  <c r="B1602" i="19"/>
  <c r="B1603" i="19"/>
  <c r="B1604" i="19"/>
  <c r="B1605" i="19"/>
  <c r="B1606" i="19"/>
  <c r="B1607" i="19"/>
  <c r="B1608" i="19"/>
  <c r="B1609" i="19"/>
  <c r="B1610" i="19"/>
  <c r="B1611" i="19"/>
  <c r="B1612" i="19"/>
  <c r="B1613" i="19"/>
  <c r="B1614" i="19"/>
  <c r="B1615" i="19"/>
  <c r="B1616" i="19"/>
  <c r="B1617" i="19"/>
  <c r="B1618" i="19"/>
  <c r="B1619" i="19"/>
  <c r="B1620" i="19"/>
  <c r="B1621" i="19"/>
  <c r="B1622" i="19"/>
  <c r="B1623" i="19"/>
  <c r="B1624" i="19"/>
  <c r="B1625" i="19"/>
  <c r="B1626" i="19"/>
  <c r="B1627" i="19"/>
  <c r="B1628" i="19"/>
  <c r="B1629" i="19"/>
  <c r="B1630" i="19"/>
  <c r="B1631" i="19"/>
  <c r="B1632" i="19"/>
  <c r="B1633" i="19"/>
  <c r="B1634" i="19"/>
  <c r="B1635" i="19"/>
  <c r="B1636" i="19"/>
  <c r="B1637" i="19"/>
  <c r="B1638" i="19"/>
  <c r="B1639" i="19"/>
  <c r="B1640" i="19"/>
  <c r="B1641" i="19"/>
  <c r="B1642" i="19"/>
  <c r="B1643" i="19"/>
  <c r="B1644" i="19"/>
  <c r="B1645" i="19"/>
  <c r="B1646" i="19"/>
  <c r="B1647" i="19"/>
  <c r="B1648" i="19"/>
  <c r="B1649" i="19"/>
  <c r="B1650" i="19"/>
  <c r="B1651" i="19"/>
  <c r="B1652" i="19"/>
  <c r="B1653" i="19"/>
  <c r="B1654" i="19"/>
  <c r="B1655" i="19"/>
  <c r="B1656" i="19"/>
  <c r="B1657" i="19"/>
  <c r="B1658" i="19"/>
  <c r="B1659" i="19"/>
  <c r="B1660" i="19"/>
  <c r="B1661" i="19"/>
  <c r="B1662" i="19"/>
  <c r="B1663" i="19"/>
  <c r="B1664" i="19"/>
  <c r="B1665" i="19"/>
  <c r="B1666" i="19"/>
  <c r="B1667" i="19"/>
  <c r="B1668" i="19"/>
  <c r="B1669" i="19"/>
  <c r="B1670" i="19"/>
  <c r="B1671" i="19"/>
  <c r="B1672" i="19"/>
  <c r="B1673" i="19"/>
  <c r="B1674" i="19"/>
  <c r="B1675" i="19"/>
  <c r="B1676" i="19"/>
  <c r="B1677" i="19"/>
  <c r="B1678" i="19"/>
  <c r="B1679" i="19"/>
  <c r="B1680" i="19"/>
  <c r="B1681" i="19"/>
  <c r="B1682" i="19"/>
  <c r="B1683" i="19"/>
  <c r="B1684" i="19"/>
  <c r="B1685" i="19"/>
  <c r="B1686" i="19"/>
  <c r="B1687" i="19"/>
  <c r="B1688" i="19"/>
  <c r="B1689" i="19"/>
  <c r="B1690" i="19"/>
  <c r="B1691" i="19"/>
  <c r="B1692" i="19"/>
  <c r="B1693" i="19"/>
  <c r="B1694" i="19"/>
  <c r="B1695" i="19"/>
  <c r="B1696" i="19"/>
  <c r="B1697" i="19"/>
  <c r="B1698" i="19"/>
  <c r="B1699" i="19"/>
  <c r="B1700" i="19"/>
  <c r="B1701" i="19"/>
  <c r="B1702" i="19"/>
  <c r="B1703" i="19"/>
  <c r="B1704" i="19"/>
  <c r="B1705" i="19"/>
  <c r="B1706" i="19"/>
  <c r="B1707" i="19"/>
  <c r="B1708" i="19"/>
  <c r="B1709" i="19"/>
  <c r="B1710" i="19"/>
  <c r="B1711" i="19"/>
  <c r="B1712" i="19"/>
  <c r="B1713" i="19"/>
  <c r="B1714" i="19"/>
  <c r="B1715" i="19"/>
  <c r="B1716" i="19"/>
  <c r="B1717" i="19"/>
  <c r="B1718" i="19"/>
  <c r="B1719" i="19"/>
  <c r="B1720" i="19"/>
  <c r="B1721" i="19"/>
  <c r="B1722" i="19"/>
  <c r="B1723" i="19"/>
  <c r="B1724" i="19"/>
  <c r="B1725" i="19"/>
  <c r="B1726" i="19"/>
  <c r="B1727" i="19"/>
  <c r="B1728" i="19"/>
  <c r="B1729" i="19"/>
  <c r="B1730" i="19"/>
  <c r="B1731" i="19"/>
  <c r="B1732" i="19"/>
  <c r="B1733" i="19"/>
  <c r="B1734" i="19"/>
  <c r="B1735" i="19"/>
  <c r="B1736" i="19"/>
  <c r="B1737" i="19"/>
  <c r="B1738" i="19"/>
  <c r="B1739" i="19"/>
  <c r="B1740" i="19"/>
  <c r="B1741" i="19"/>
  <c r="B1742" i="19"/>
  <c r="B1743" i="19"/>
  <c r="B1744" i="19"/>
  <c r="B1745" i="19"/>
  <c r="B1746" i="19"/>
  <c r="B1747" i="19"/>
  <c r="B1748" i="19"/>
  <c r="B1749" i="19"/>
  <c r="B1750" i="19"/>
  <c r="B1751" i="19"/>
  <c r="B1752" i="19"/>
  <c r="B1753" i="19"/>
  <c r="B1754" i="19"/>
  <c r="B1755" i="19"/>
  <c r="B1756" i="19"/>
  <c r="B1757" i="19"/>
  <c r="B1758" i="19"/>
  <c r="B1759" i="19"/>
  <c r="B1760" i="19"/>
  <c r="B1761" i="19"/>
  <c r="B1762" i="19"/>
  <c r="B1763" i="19"/>
  <c r="B1764" i="19"/>
  <c r="B1765" i="19"/>
  <c r="B1766" i="19"/>
  <c r="B1767" i="19"/>
  <c r="B1768" i="19"/>
  <c r="B1769" i="19"/>
  <c r="B1770" i="19"/>
  <c r="B1771" i="19"/>
  <c r="B1772" i="19"/>
  <c r="B1773" i="19"/>
  <c r="B1774" i="19"/>
  <c r="B1775" i="19"/>
  <c r="B1776" i="19"/>
  <c r="B1777" i="19"/>
  <c r="B1778" i="19"/>
  <c r="B1779" i="19"/>
  <c r="B1780" i="19"/>
  <c r="B1781" i="19"/>
  <c r="B1782" i="19"/>
  <c r="B1783" i="19"/>
  <c r="B1784" i="19"/>
  <c r="B1785" i="19"/>
  <c r="B1786" i="19"/>
  <c r="B1787" i="19"/>
  <c r="B1788" i="19"/>
  <c r="B1789" i="19"/>
  <c r="B1790" i="19"/>
  <c r="B1791" i="19"/>
  <c r="B1792" i="19"/>
  <c r="B1793" i="19"/>
  <c r="B1794" i="19"/>
  <c r="B1795" i="19"/>
  <c r="B1796" i="19"/>
  <c r="B1797" i="19"/>
  <c r="B1798" i="19"/>
  <c r="B1799" i="19"/>
  <c r="B1800" i="19"/>
  <c r="B1801" i="19"/>
  <c r="B1802" i="19"/>
  <c r="B1803" i="19"/>
  <c r="B1804" i="19"/>
  <c r="B1805" i="19"/>
  <c r="B1806" i="19"/>
  <c r="B1807" i="19"/>
  <c r="B1808" i="19"/>
  <c r="B1809" i="19"/>
  <c r="B1810" i="19"/>
  <c r="B1811" i="19"/>
  <c r="B1812" i="19"/>
  <c r="B1813" i="19"/>
  <c r="B1814" i="19"/>
  <c r="B1815" i="19"/>
  <c r="B1816" i="19"/>
  <c r="B1817" i="19"/>
  <c r="B1818" i="19"/>
  <c r="B1819" i="19"/>
  <c r="B1820" i="19"/>
  <c r="B1821" i="19"/>
  <c r="B1822" i="19"/>
  <c r="B1823" i="19"/>
  <c r="B1824" i="19"/>
  <c r="B1825" i="19"/>
  <c r="B1826" i="19"/>
  <c r="B1827" i="19"/>
  <c r="B1828" i="19"/>
  <c r="B1829" i="19"/>
  <c r="B1830" i="19"/>
  <c r="B1831" i="19"/>
  <c r="B1832" i="19"/>
  <c r="B1833" i="19"/>
  <c r="B1834" i="19"/>
  <c r="B1835" i="19"/>
  <c r="B1836" i="19"/>
  <c r="B1837" i="19"/>
  <c r="B1838" i="19"/>
  <c r="B1839" i="19"/>
  <c r="B1840" i="19"/>
  <c r="B1841" i="19"/>
  <c r="B1842" i="19"/>
  <c r="B1843" i="19"/>
  <c r="B1844" i="19"/>
  <c r="B1845" i="19"/>
  <c r="B1846" i="19"/>
  <c r="B1847" i="19"/>
  <c r="B1848" i="19"/>
  <c r="B1849" i="19"/>
  <c r="B1850" i="19"/>
  <c r="B1851" i="19"/>
  <c r="B1852" i="19"/>
  <c r="B1853" i="19"/>
  <c r="B1854" i="19"/>
  <c r="B1855" i="19"/>
  <c r="B1856" i="19"/>
  <c r="B1857" i="19"/>
  <c r="B1858" i="19"/>
  <c r="B1859" i="19"/>
  <c r="B1860" i="19"/>
  <c r="B1861" i="19"/>
  <c r="B1862" i="19"/>
  <c r="B1863" i="19"/>
  <c r="B1864" i="19"/>
  <c r="B1865" i="19"/>
  <c r="B1866" i="19"/>
  <c r="B1867" i="19"/>
  <c r="B1868" i="19"/>
  <c r="B1869" i="19"/>
  <c r="B1870" i="19"/>
  <c r="B1871" i="19"/>
  <c r="B1872" i="19"/>
  <c r="B1873" i="19"/>
  <c r="B1874" i="19"/>
  <c r="B1875" i="19"/>
  <c r="B1876" i="19"/>
  <c r="B1877" i="19"/>
  <c r="B1878" i="19"/>
  <c r="B1879" i="19"/>
  <c r="B1880" i="19"/>
  <c r="B1881" i="19"/>
  <c r="B1882" i="19"/>
  <c r="B1883" i="19"/>
  <c r="B1884" i="19"/>
  <c r="B1885" i="19"/>
  <c r="B1886" i="19"/>
  <c r="B1887" i="19"/>
  <c r="B1888" i="19"/>
  <c r="B1889" i="19"/>
  <c r="B1890" i="19"/>
  <c r="B1891" i="19"/>
  <c r="B1892" i="19"/>
  <c r="B1893" i="19"/>
  <c r="B1894" i="19"/>
  <c r="B1895" i="19"/>
  <c r="B1896" i="19"/>
  <c r="B1897" i="19"/>
  <c r="B1898" i="19"/>
  <c r="B1899" i="19"/>
  <c r="B1900" i="19"/>
  <c r="B1901" i="19"/>
  <c r="B1902" i="19"/>
  <c r="B1903" i="19"/>
  <c r="B1904" i="19"/>
  <c r="B1905" i="19"/>
  <c r="B1906" i="19"/>
  <c r="B1907" i="19"/>
  <c r="B1908" i="19"/>
  <c r="B1909" i="19"/>
  <c r="B1910" i="19"/>
  <c r="B1911" i="19"/>
  <c r="B1912" i="19"/>
  <c r="B1913" i="19"/>
  <c r="B1914" i="19"/>
  <c r="B1915" i="19"/>
  <c r="B1916" i="19"/>
  <c r="B1917" i="19"/>
  <c r="B1918" i="19"/>
  <c r="B1919" i="19"/>
  <c r="B1920" i="19"/>
  <c r="B1921" i="19"/>
  <c r="B1922" i="19"/>
  <c r="B1923" i="19"/>
  <c r="B1924" i="19"/>
  <c r="B1925" i="19"/>
  <c r="B1926" i="19"/>
  <c r="B1927" i="19"/>
  <c r="B1928" i="19"/>
  <c r="B1929" i="19"/>
  <c r="B1930" i="19"/>
  <c r="B1931" i="19"/>
  <c r="B1932" i="19"/>
  <c r="B1933" i="19"/>
  <c r="B1934" i="19"/>
  <c r="B1935" i="19"/>
  <c r="B1936" i="19"/>
  <c r="B1937" i="19"/>
  <c r="B1938" i="19"/>
  <c r="B1939" i="19"/>
  <c r="B1940" i="19"/>
  <c r="B1941" i="19"/>
  <c r="B1942" i="19"/>
  <c r="B1943" i="19"/>
  <c r="B1944" i="19"/>
  <c r="B1945" i="19"/>
  <c r="B1946" i="19"/>
  <c r="B1947" i="19"/>
  <c r="B1948" i="19"/>
  <c r="B1949" i="19"/>
  <c r="B1950" i="19"/>
  <c r="B1951" i="19"/>
  <c r="B1952" i="19"/>
  <c r="B1953" i="19"/>
  <c r="B1954" i="19"/>
  <c r="B1955" i="19"/>
  <c r="B1956" i="19"/>
  <c r="B1957" i="19"/>
  <c r="B1958" i="19"/>
  <c r="B1959" i="19"/>
  <c r="B1960" i="19"/>
  <c r="B1961" i="19"/>
  <c r="B1962" i="19"/>
  <c r="B1963" i="19"/>
  <c r="B1964" i="19"/>
  <c r="B1965" i="19"/>
  <c r="B1966" i="19"/>
  <c r="B1967" i="19"/>
  <c r="B1968" i="19"/>
  <c r="B1969" i="19"/>
  <c r="B1970" i="19"/>
  <c r="B1971" i="19"/>
  <c r="B1972" i="19"/>
  <c r="B1973" i="19"/>
  <c r="B1974" i="19"/>
  <c r="B1975" i="19"/>
  <c r="B1976" i="19"/>
  <c r="B1977" i="19"/>
  <c r="B1978" i="19"/>
  <c r="B1979" i="19"/>
  <c r="B1980" i="19"/>
  <c r="B1981" i="19"/>
  <c r="B1982" i="19"/>
  <c r="B1983" i="19"/>
  <c r="B1984" i="19"/>
  <c r="B1985" i="19"/>
  <c r="B1986" i="19"/>
  <c r="B1987" i="19"/>
  <c r="B1988" i="19"/>
  <c r="B1989" i="19"/>
  <c r="B1990" i="19"/>
  <c r="B1991" i="19"/>
  <c r="B1992" i="19"/>
  <c r="B1993" i="19"/>
  <c r="B1994" i="19"/>
  <c r="B1995" i="19"/>
  <c r="B1996" i="19"/>
  <c r="B1997" i="19"/>
  <c r="B1998" i="19"/>
  <c r="B1999" i="19"/>
  <c r="B2000" i="19"/>
  <c r="B2001" i="19"/>
  <c r="B2002" i="19"/>
  <c r="B2003" i="19"/>
  <c r="B2004" i="19"/>
  <c r="B2005" i="19"/>
  <c r="B2006" i="19"/>
  <c r="B2007" i="19"/>
  <c r="B2008" i="19"/>
  <c r="B2009" i="19"/>
  <c r="B2010" i="19"/>
  <c r="B2011" i="19"/>
  <c r="B2012" i="19"/>
  <c r="B2013" i="19"/>
  <c r="B2014" i="19"/>
  <c r="B2015" i="19"/>
  <c r="B2016" i="19"/>
  <c r="B2017" i="19"/>
  <c r="B2018" i="19"/>
  <c r="B2019" i="19"/>
  <c r="B2020" i="19"/>
  <c r="B2021" i="19"/>
  <c r="B2022" i="19"/>
  <c r="B2023" i="19"/>
  <c r="B2024" i="19"/>
  <c r="B2025" i="19"/>
  <c r="B2026" i="19"/>
  <c r="B2027" i="19"/>
  <c r="B2028" i="19"/>
  <c r="B2029" i="19"/>
  <c r="B2030" i="19"/>
  <c r="B2031" i="19"/>
  <c r="B2032" i="19"/>
  <c r="B2033" i="19"/>
  <c r="B2034" i="19"/>
  <c r="B2035" i="19"/>
  <c r="B2036" i="19"/>
  <c r="B2037" i="19"/>
  <c r="B2038" i="19"/>
  <c r="B2039" i="19"/>
  <c r="B2040" i="19"/>
  <c r="B2041" i="19"/>
  <c r="B2042" i="19"/>
  <c r="B2043" i="19"/>
  <c r="B2044" i="19"/>
  <c r="B2045" i="19"/>
  <c r="B2046" i="19"/>
  <c r="B2047" i="19"/>
  <c r="B2048" i="19"/>
  <c r="B2049" i="19"/>
  <c r="B2050" i="19"/>
  <c r="B2051" i="19"/>
  <c r="B2052" i="19"/>
  <c r="B2053" i="19"/>
  <c r="B2054" i="19"/>
  <c r="B2055" i="19"/>
  <c r="B2056" i="19"/>
  <c r="B2057" i="19"/>
  <c r="B2058" i="19"/>
  <c r="B2059" i="19"/>
  <c r="B2060" i="19"/>
  <c r="B2061" i="19"/>
  <c r="B2062" i="19"/>
  <c r="B2063" i="19"/>
  <c r="B2064" i="19"/>
  <c r="B2065" i="19"/>
  <c r="B2066" i="19"/>
  <c r="B2067" i="19"/>
  <c r="B2068" i="19"/>
  <c r="B2069" i="19"/>
  <c r="B2070" i="19"/>
  <c r="B2071" i="19"/>
  <c r="B2072" i="19"/>
  <c r="B2073" i="19"/>
  <c r="B2074" i="19"/>
  <c r="B2075" i="19"/>
  <c r="B2076" i="19"/>
  <c r="B2077" i="19"/>
  <c r="B2078" i="19"/>
  <c r="B2079" i="19"/>
  <c r="B2080" i="19"/>
  <c r="B2081" i="19"/>
  <c r="B2082" i="19"/>
  <c r="B2083" i="19"/>
  <c r="B2084" i="19"/>
  <c r="B2085" i="19"/>
  <c r="B2086" i="19"/>
  <c r="B2087" i="19"/>
  <c r="B2088" i="19"/>
  <c r="B2089" i="19"/>
  <c r="B2090" i="19"/>
  <c r="B2091" i="19"/>
  <c r="B2092" i="19"/>
  <c r="B2093" i="19"/>
  <c r="B2094" i="19"/>
  <c r="B2095" i="19"/>
  <c r="B2096" i="19"/>
  <c r="B2097" i="19"/>
  <c r="B2098" i="19"/>
  <c r="B2099" i="19"/>
  <c r="B2100" i="19"/>
  <c r="B2101" i="19"/>
  <c r="B2102" i="19"/>
  <c r="B2103" i="19"/>
  <c r="B2104" i="19"/>
  <c r="B2105" i="19"/>
  <c r="B2106" i="19"/>
  <c r="B2107" i="19"/>
  <c r="B2108" i="19"/>
  <c r="B2109" i="19"/>
  <c r="B2110" i="19"/>
  <c r="B2111" i="19"/>
  <c r="B2112" i="19"/>
  <c r="B2113" i="19"/>
  <c r="B2114" i="19"/>
  <c r="B2115" i="19"/>
  <c r="B2116" i="19"/>
  <c r="B2117" i="19"/>
  <c r="B2118" i="19"/>
  <c r="B2119" i="19"/>
  <c r="B2120" i="19"/>
  <c r="B2121" i="19"/>
  <c r="B2122" i="19"/>
  <c r="B2123" i="19"/>
  <c r="B2124" i="19"/>
  <c r="B2125" i="19"/>
  <c r="B2126" i="19"/>
  <c r="B2127" i="19"/>
  <c r="B2128" i="19"/>
  <c r="B2129" i="19"/>
  <c r="B2130" i="19"/>
  <c r="B2131" i="19"/>
  <c r="B2132" i="19"/>
  <c r="B2133" i="19"/>
  <c r="B2134" i="19"/>
  <c r="B2135" i="19"/>
  <c r="B2136" i="19"/>
  <c r="B2137" i="19"/>
  <c r="B2138" i="19"/>
  <c r="B2139" i="19"/>
  <c r="B2140" i="19"/>
  <c r="B2141" i="19"/>
  <c r="B2142" i="19"/>
  <c r="B2143" i="19"/>
  <c r="B2144" i="19"/>
  <c r="B2145" i="19"/>
  <c r="B2146" i="19"/>
  <c r="B2147" i="19"/>
  <c r="B2148" i="19"/>
  <c r="B2149" i="19"/>
  <c r="B2150" i="19"/>
  <c r="B2151" i="19"/>
  <c r="B2152" i="19"/>
  <c r="B2153" i="19"/>
  <c r="B2154" i="19"/>
  <c r="B2155" i="19"/>
  <c r="B2156" i="19"/>
  <c r="B2157" i="19"/>
  <c r="B2158" i="19"/>
  <c r="B2159" i="19"/>
  <c r="B2160" i="19"/>
  <c r="B2161" i="19"/>
  <c r="B2162" i="19"/>
  <c r="B2163" i="19"/>
  <c r="B2164" i="19"/>
  <c r="B2165" i="19"/>
  <c r="B2166" i="19"/>
  <c r="B2167" i="19"/>
  <c r="B2168" i="19"/>
  <c r="B2169" i="19"/>
  <c r="B2170" i="19"/>
  <c r="B2171" i="19"/>
  <c r="B2172" i="19"/>
  <c r="B2173" i="19"/>
  <c r="B2174" i="19"/>
  <c r="B2175" i="19"/>
  <c r="B2176" i="19"/>
  <c r="B2177" i="19"/>
  <c r="B2178" i="19"/>
  <c r="B2179" i="19"/>
  <c r="B2180" i="19"/>
  <c r="B2181" i="19"/>
  <c r="B2182" i="19"/>
  <c r="B2183" i="19"/>
  <c r="B2184" i="19"/>
  <c r="B2185" i="19"/>
  <c r="B2186" i="19"/>
  <c r="B2187" i="19"/>
  <c r="B2188" i="19"/>
  <c r="B2189" i="19"/>
  <c r="B2190" i="19"/>
  <c r="B2191" i="19"/>
  <c r="B2192" i="19"/>
  <c r="B2193" i="19"/>
  <c r="B2194" i="19"/>
  <c r="B2195" i="19"/>
  <c r="B2196" i="19"/>
  <c r="B2197" i="19"/>
  <c r="B2198" i="19"/>
  <c r="B2199" i="19"/>
  <c r="B2200" i="19"/>
  <c r="B2201" i="19"/>
  <c r="B2202" i="19"/>
  <c r="B2203" i="19"/>
  <c r="B2204" i="19"/>
  <c r="B2205" i="19"/>
  <c r="B2206" i="19"/>
  <c r="B2207" i="19"/>
  <c r="B2208" i="19"/>
  <c r="B2209" i="19"/>
  <c r="B2210" i="19"/>
  <c r="B2211" i="19"/>
  <c r="B2212" i="19"/>
  <c r="B2213" i="19"/>
  <c r="B2214" i="19"/>
  <c r="B2215" i="19"/>
  <c r="B2216" i="19"/>
  <c r="B2217" i="19"/>
  <c r="B2218" i="19"/>
  <c r="B2219" i="19"/>
  <c r="B2220" i="19"/>
  <c r="B2221" i="19"/>
  <c r="B2222" i="19"/>
  <c r="B2223" i="19"/>
  <c r="B2224" i="19"/>
  <c r="B2225" i="19"/>
  <c r="B2226" i="19"/>
  <c r="B2227" i="19"/>
  <c r="B2228" i="19"/>
  <c r="B2229" i="19"/>
  <c r="B2230" i="19"/>
  <c r="B2231" i="19"/>
  <c r="B2232" i="19"/>
  <c r="B2233" i="19"/>
  <c r="B2234" i="19"/>
  <c r="B2235" i="19"/>
  <c r="B2236" i="19"/>
  <c r="B2237" i="19"/>
  <c r="B2238" i="19"/>
  <c r="B2239" i="19"/>
  <c r="B2240" i="19"/>
  <c r="B2241" i="19"/>
  <c r="B2242" i="19"/>
  <c r="B2243" i="19"/>
  <c r="B2244" i="19"/>
  <c r="B2245" i="19"/>
  <c r="B2246" i="19"/>
  <c r="B2247" i="19"/>
  <c r="B2248" i="19"/>
  <c r="B2249" i="19"/>
  <c r="B2250" i="19"/>
  <c r="B2251" i="19"/>
  <c r="B2252" i="19"/>
  <c r="B2253" i="19"/>
  <c r="B2254" i="19"/>
  <c r="B2255" i="19"/>
  <c r="B2256" i="19"/>
  <c r="B2257" i="19"/>
  <c r="B2258" i="19"/>
  <c r="B2259" i="19"/>
  <c r="B2260" i="19"/>
  <c r="B2261" i="19"/>
  <c r="B2262" i="19"/>
  <c r="B2263" i="19"/>
  <c r="B2264" i="19"/>
  <c r="B2265" i="19"/>
  <c r="B2266" i="19"/>
  <c r="B2267" i="19"/>
  <c r="B2268" i="19"/>
  <c r="B2269" i="19"/>
  <c r="B2270" i="19"/>
  <c r="B2271" i="19"/>
  <c r="B2272" i="19"/>
  <c r="B2273" i="19"/>
  <c r="B2274" i="19"/>
  <c r="B2275" i="19"/>
  <c r="B2276" i="19"/>
  <c r="B2277" i="19"/>
  <c r="B2278" i="19"/>
  <c r="B2279" i="19"/>
  <c r="B2280" i="19"/>
  <c r="B2281" i="19"/>
  <c r="B2282" i="19"/>
  <c r="B2283" i="19"/>
  <c r="B2284" i="19"/>
  <c r="B2285" i="19"/>
  <c r="B2286" i="19"/>
  <c r="B2287" i="19"/>
  <c r="B2288" i="19"/>
  <c r="B2289" i="19"/>
  <c r="B2290" i="19"/>
  <c r="B2291" i="19"/>
  <c r="B2292" i="19"/>
  <c r="B2293" i="19"/>
  <c r="B2294" i="19"/>
  <c r="B2295" i="19"/>
  <c r="B2296" i="19"/>
  <c r="B2297" i="19"/>
  <c r="B2298" i="19"/>
  <c r="B2299" i="19"/>
  <c r="B2300" i="19"/>
  <c r="B2301" i="19"/>
  <c r="B2302" i="19"/>
  <c r="B2303" i="19"/>
  <c r="B2304" i="19"/>
  <c r="B2305" i="19"/>
  <c r="B2306" i="19"/>
  <c r="B2307" i="19"/>
  <c r="B2308" i="19"/>
  <c r="B2309" i="19"/>
  <c r="B2310" i="19"/>
  <c r="B2311" i="19"/>
  <c r="B2312" i="19"/>
  <c r="B2313" i="19"/>
  <c r="B2314" i="19"/>
  <c r="B2315" i="19"/>
  <c r="B2316" i="19"/>
  <c r="B2317" i="19"/>
  <c r="B2318" i="19"/>
  <c r="B2319" i="19"/>
  <c r="B2320" i="19"/>
  <c r="B2321" i="19"/>
  <c r="B2322" i="19"/>
  <c r="B2323" i="19"/>
  <c r="B2324" i="19"/>
  <c r="B2325" i="19"/>
  <c r="B2326" i="19"/>
  <c r="B2327" i="19"/>
  <c r="B2328" i="19"/>
  <c r="B2329" i="19"/>
  <c r="B2330" i="19"/>
  <c r="B2331" i="19"/>
  <c r="B2332" i="19"/>
  <c r="B2333" i="19"/>
  <c r="B2334" i="19"/>
  <c r="B2335" i="19"/>
  <c r="B2336" i="19"/>
  <c r="B2337" i="19"/>
  <c r="B2338" i="19"/>
  <c r="B2339" i="19"/>
  <c r="B2340" i="19"/>
  <c r="B2341" i="19"/>
  <c r="B2342" i="19"/>
  <c r="B2343" i="19"/>
  <c r="B2344" i="19"/>
  <c r="B2345" i="19"/>
  <c r="B2346" i="19"/>
  <c r="B2347" i="19"/>
  <c r="B2348" i="19"/>
  <c r="B2349" i="19"/>
  <c r="B2350" i="19"/>
  <c r="B2351" i="19"/>
  <c r="B2352" i="19"/>
  <c r="B2353" i="19"/>
  <c r="B2354" i="19"/>
  <c r="B2355" i="19"/>
  <c r="B2356" i="19"/>
  <c r="B2357" i="19"/>
  <c r="B2358" i="19"/>
  <c r="B2359" i="19"/>
  <c r="B2360" i="19"/>
  <c r="B2361" i="19"/>
  <c r="B2362" i="19"/>
  <c r="B2363" i="19"/>
  <c r="B2364" i="19"/>
  <c r="B2365" i="19"/>
  <c r="B2366" i="19"/>
  <c r="B2367" i="19"/>
  <c r="B2368" i="19"/>
  <c r="B2369" i="19"/>
  <c r="B2370" i="19"/>
  <c r="B2371" i="19"/>
  <c r="B2372" i="19"/>
  <c r="B2373" i="19"/>
  <c r="B2374" i="19"/>
  <c r="B2375" i="19"/>
  <c r="B2376" i="19"/>
  <c r="B2377" i="19"/>
  <c r="B2378" i="19"/>
  <c r="B2379" i="19"/>
  <c r="B2380" i="19"/>
  <c r="B2381" i="19"/>
  <c r="B2382" i="19"/>
  <c r="B2383" i="19"/>
  <c r="B2384" i="19"/>
  <c r="B2385" i="19"/>
  <c r="B2386" i="19"/>
  <c r="B2387" i="19"/>
  <c r="B2388" i="19"/>
  <c r="B2389" i="19"/>
  <c r="B2390" i="19"/>
  <c r="B2391" i="19"/>
  <c r="B2392" i="19"/>
  <c r="B2393" i="19"/>
  <c r="B2394" i="19"/>
  <c r="B2395" i="19"/>
  <c r="B2396" i="19"/>
  <c r="B2397" i="19"/>
  <c r="B2398" i="19"/>
  <c r="B2399" i="19"/>
  <c r="B2400" i="19"/>
  <c r="B2401" i="19"/>
  <c r="B2402" i="19"/>
  <c r="B2403" i="19"/>
  <c r="B2404" i="19"/>
  <c r="B2405" i="19"/>
  <c r="B2406" i="19"/>
  <c r="B2407" i="19"/>
  <c r="B2408" i="19"/>
  <c r="B2409" i="19"/>
  <c r="B2410" i="19"/>
  <c r="B2411" i="19"/>
  <c r="B2412" i="19"/>
  <c r="B2413" i="19"/>
  <c r="B2414" i="19"/>
  <c r="B2415" i="19"/>
  <c r="B2416" i="19"/>
  <c r="B2417" i="19"/>
  <c r="B2418" i="19"/>
  <c r="B2419" i="19"/>
  <c r="B2420" i="19"/>
  <c r="B2421" i="19"/>
  <c r="B2422" i="19"/>
  <c r="B2423" i="19"/>
  <c r="B2424" i="19"/>
  <c r="B2425" i="19"/>
  <c r="B2426" i="19"/>
  <c r="B2427" i="19"/>
  <c r="B2428" i="19"/>
  <c r="B2429" i="19"/>
  <c r="B2430" i="19"/>
  <c r="B2431" i="19"/>
  <c r="B2432" i="19"/>
  <c r="B2433" i="19"/>
  <c r="B2434" i="19"/>
  <c r="B2435" i="19"/>
  <c r="B2436" i="19"/>
  <c r="B2437" i="19"/>
  <c r="B2438" i="19"/>
  <c r="B2439" i="19"/>
  <c r="B2440" i="19"/>
  <c r="B2441" i="19"/>
  <c r="B2442" i="19"/>
  <c r="B2443" i="19"/>
  <c r="B2444" i="19"/>
  <c r="B2445" i="19"/>
  <c r="B2446" i="19"/>
  <c r="B2447" i="19"/>
  <c r="B2448" i="19"/>
  <c r="B2449" i="19"/>
  <c r="B2450" i="19"/>
  <c r="B2451" i="19"/>
  <c r="B2452" i="19"/>
  <c r="B2453" i="19"/>
  <c r="B2454" i="19"/>
  <c r="B2455" i="19"/>
  <c r="B2456" i="19"/>
  <c r="B2457" i="19"/>
  <c r="B2458" i="19"/>
  <c r="B2459" i="19"/>
  <c r="B2460" i="19"/>
  <c r="B2461" i="19"/>
  <c r="B2462" i="19"/>
  <c r="B2463" i="19"/>
  <c r="B2464" i="19"/>
  <c r="B2465" i="19"/>
  <c r="B2466" i="19"/>
  <c r="B2467" i="19"/>
  <c r="B2468" i="19"/>
  <c r="B2469" i="19"/>
  <c r="B2470" i="19"/>
  <c r="B2471" i="19"/>
  <c r="B2472" i="19"/>
  <c r="B2473" i="19"/>
  <c r="B2474" i="19"/>
  <c r="B2475" i="19"/>
  <c r="B2476" i="19"/>
  <c r="B2477" i="19"/>
  <c r="B2478" i="19"/>
  <c r="B2479" i="19"/>
  <c r="B2480" i="19"/>
  <c r="B2481" i="19"/>
  <c r="B2482" i="19"/>
  <c r="B2483" i="19"/>
  <c r="B2484" i="19"/>
  <c r="B2485" i="19"/>
  <c r="B2486" i="19"/>
  <c r="B2487" i="19"/>
  <c r="B2488" i="19"/>
  <c r="B2489" i="19"/>
  <c r="B2490" i="19"/>
  <c r="B2491" i="19"/>
  <c r="B2492" i="19"/>
  <c r="B2493" i="19"/>
  <c r="B2494" i="19"/>
  <c r="B2495" i="19"/>
  <c r="B2496" i="19"/>
  <c r="B2497" i="19"/>
  <c r="B2498" i="19"/>
  <c r="B2499" i="19"/>
  <c r="B2500" i="19"/>
  <c r="B2501" i="19"/>
  <c r="B2502" i="19"/>
  <c r="B2503" i="19"/>
  <c r="B2504" i="19"/>
  <c r="B2505" i="19"/>
  <c r="B2506" i="19"/>
  <c r="B2507" i="19"/>
  <c r="B2508" i="19"/>
  <c r="B2509" i="19"/>
  <c r="B2510" i="19"/>
  <c r="B2511" i="19"/>
  <c r="B2512" i="19"/>
  <c r="B2513" i="19"/>
  <c r="B2514" i="19"/>
  <c r="B2515" i="19"/>
  <c r="B2516" i="19"/>
  <c r="B2517" i="19"/>
  <c r="B2518" i="19"/>
  <c r="B2519" i="19"/>
  <c r="B2520" i="19"/>
  <c r="B2521" i="19"/>
  <c r="B2522" i="19"/>
  <c r="B2523" i="19"/>
  <c r="B2524" i="19"/>
  <c r="B2525" i="19"/>
  <c r="B2526" i="19"/>
  <c r="B2527" i="19"/>
  <c r="B2528" i="19"/>
  <c r="B2529" i="19"/>
  <c r="B2530" i="19"/>
  <c r="B2531" i="19"/>
  <c r="B2532" i="19"/>
  <c r="B2533" i="19"/>
  <c r="B2534" i="19"/>
  <c r="B2535" i="19"/>
  <c r="B2536" i="19"/>
  <c r="B2537" i="19"/>
  <c r="B2538" i="19"/>
  <c r="B2539" i="19"/>
  <c r="B2540" i="19"/>
  <c r="B2541" i="19"/>
  <c r="B2542" i="19"/>
  <c r="B2543" i="19"/>
  <c r="B2544" i="19"/>
  <c r="B2545" i="19"/>
  <c r="B2546" i="19"/>
  <c r="B2547" i="19"/>
  <c r="B2548" i="19"/>
  <c r="B2549" i="19"/>
  <c r="B2550" i="19"/>
  <c r="B2551" i="19"/>
  <c r="B2552" i="19"/>
  <c r="B2553" i="19"/>
  <c r="B2554" i="19"/>
  <c r="B2555" i="19"/>
  <c r="B2556" i="19"/>
  <c r="B2557" i="19"/>
  <c r="B2558" i="19"/>
  <c r="B2559" i="19"/>
  <c r="B2560" i="19"/>
  <c r="B2561" i="19"/>
  <c r="B2562" i="19"/>
  <c r="B2563" i="19"/>
  <c r="B2564" i="19"/>
  <c r="B2565" i="19"/>
  <c r="B2566" i="19"/>
  <c r="B2567" i="19"/>
  <c r="B2568" i="19"/>
  <c r="B2569" i="19"/>
  <c r="B2570" i="19"/>
  <c r="B2571" i="19"/>
  <c r="B2572" i="19"/>
  <c r="B2573" i="19"/>
  <c r="B2574" i="19"/>
  <c r="B2575" i="19"/>
  <c r="B2576" i="19"/>
  <c r="B2577" i="19"/>
  <c r="B2578" i="19"/>
  <c r="B2579" i="19"/>
  <c r="B2580" i="19"/>
  <c r="B2581" i="19"/>
  <c r="B2582" i="19"/>
  <c r="B2583" i="19"/>
  <c r="B2584" i="19"/>
  <c r="B2585" i="19"/>
  <c r="B2586" i="19"/>
  <c r="B2587" i="19"/>
  <c r="B2588" i="19"/>
  <c r="B2589" i="19"/>
  <c r="B2590" i="19"/>
  <c r="B2591" i="19"/>
  <c r="B2592" i="19"/>
  <c r="B2593" i="19"/>
  <c r="B2594" i="19"/>
  <c r="B2595" i="19"/>
  <c r="B2596" i="19"/>
  <c r="B2597" i="19"/>
  <c r="B2598" i="19"/>
  <c r="B2599" i="19"/>
  <c r="B2600" i="19"/>
  <c r="B2601" i="19"/>
  <c r="B2602" i="19"/>
  <c r="B2603" i="19"/>
  <c r="B2604" i="19"/>
  <c r="B2605" i="19"/>
  <c r="B2606" i="19"/>
  <c r="B2607" i="19"/>
  <c r="B2608" i="19"/>
  <c r="B2609" i="19"/>
  <c r="B2610" i="19"/>
  <c r="B2611" i="19"/>
  <c r="B2612" i="19"/>
  <c r="B2613" i="19"/>
  <c r="B2614" i="19"/>
  <c r="B2615" i="19"/>
  <c r="B2616" i="19"/>
  <c r="B2617" i="19"/>
  <c r="B2618" i="19"/>
  <c r="B2619" i="19"/>
  <c r="B2620" i="19"/>
  <c r="B2621" i="19"/>
  <c r="B2622" i="19"/>
  <c r="B2623" i="19"/>
  <c r="B2624" i="19"/>
  <c r="B2625" i="19"/>
  <c r="B2626" i="19"/>
  <c r="B2627" i="19"/>
  <c r="B2628" i="19"/>
  <c r="B2629" i="19"/>
  <c r="B2630" i="19"/>
  <c r="B2631" i="19"/>
  <c r="B2632" i="19"/>
  <c r="B2633" i="19"/>
  <c r="B2634" i="19"/>
  <c r="B2635" i="19"/>
  <c r="B2636" i="19"/>
  <c r="B2637" i="19"/>
  <c r="B2638" i="19"/>
  <c r="B2639" i="19"/>
  <c r="B2640" i="19"/>
  <c r="B2641" i="19"/>
  <c r="B2642" i="19"/>
  <c r="B2643" i="19"/>
  <c r="B2644" i="19"/>
  <c r="B2645" i="19"/>
  <c r="B2646" i="19"/>
  <c r="B2647" i="19"/>
  <c r="B2648" i="19"/>
  <c r="B2649" i="19"/>
  <c r="B2650" i="19"/>
  <c r="B2651" i="19"/>
  <c r="B2652" i="19"/>
  <c r="B2653" i="19"/>
  <c r="B2654" i="19"/>
  <c r="B2655" i="19"/>
  <c r="B2656" i="19"/>
  <c r="B2657" i="19"/>
  <c r="B2658" i="19"/>
  <c r="B2659" i="19"/>
  <c r="B2660" i="19"/>
  <c r="B2661" i="19"/>
  <c r="B2662" i="19"/>
  <c r="B2663" i="19"/>
  <c r="B2664" i="19"/>
  <c r="B2665" i="19"/>
  <c r="B2666" i="19"/>
  <c r="B2667" i="19"/>
  <c r="B2668" i="19"/>
  <c r="B2669" i="19"/>
  <c r="B2670" i="19"/>
  <c r="B2671" i="19"/>
  <c r="B2672" i="19"/>
  <c r="B2673" i="19"/>
  <c r="B2674" i="19"/>
  <c r="B2675" i="19"/>
  <c r="B2676" i="19"/>
  <c r="B2677" i="19"/>
  <c r="B2678" i="19"/>
  <c r="B2679" i="19"/>
  <c r="B2680" i="19"/>
  <c r="B2681" i="19"/>
  <c r="B2682" i="19"/>
  <c r="B2683" i="19"/>
  <c r="B2684" i="19"/>
  <c r="B2685" i="19"/>
  <c r="B2686" i="19"/>
  <c r="B2687" i="19"/>
  <c r="B2688" i="19"/>
  <c r="B2689" i="19"/>
  <c r="B2690" i="19"/>
  <c r="B2691" i="19"/>
  <c r="B2692" i="19"/>
  <c r="B2693" i="19"/>
  <c r="B2694" i="19"/>
  <c r="B2695" i="19"/>
  <c r="B2696" i="19"/>
  <c r="B2697" i="19"/>
  <c r="B2698" i="19"/>
  <c r="B2699" i="19"/>
  <c r="B2700" i="19"/>
  <c r="B2701" i="19"/>
  <c r="B2702" i="19"/>
  <c r="B2703" i="19"/>
  <c r="B2704" i="19"/>
  <c r="B2705" i="19"/>
  <c r="B2706" i="19"/>
  <c r="B2707" i="19"/>
  <c r="B2708" i="19"/>
  <c r="B2709" i="19"/>
  <c r="B2710" i="19"/>
  <c r="B2711" i="19"/>
  <c r="B2712" i="19"/>
  <c r="B2713" i="19"/>
  <c r="B2714" i="19"/>
  <c r="B2715" i="19"/>
  <c r="B2716" i="19"/>
  <c r="B2717" i="19"/>
  <c r="B2718" i="19"/>
  <c r="B2719" i="19"/>
  <c r="B2720" i="19"/>
  <c r="B2721" i="19"/>
  <c r="B2722" i="19"/>
  <c r="B2723" i="19"/>
  <c r="B2724" i="19"/>
  <c r="B2725" i="19"/>
  <c r="B2726" i="19"/>
  <c r="B2727" i="19"/>
  <c r="B2728" i="19"/>
  <c r="B2729" i="19"/>
  <c r="B2730" i="19"/>
  <c r="B2731" i="19"/>
  <c r="B2732" i="19"/>
  <c r="B2733" i="19"/>
  <c r="B2734" i="19"/>
  <c r="B2735" i="19"/>
  <c r="B2736" i="19"/>
  <c r="B2737" i="19"/>
  <c r="B2738" i="19"/>
  <c r="B2739" i="19"/>
  <c r="B2740" i="19"/>
  <c r="B2741" i="19"/>
  <c r="B2742" i="19"/>
  <c r="B2743" i="19"/>
  <c r="B2744" i="19"/>
  <c r="B2745" i="19"/>
  <c r="B2746" i="19"/>
  <c r="B2747" i="19"/>
  <c r="B2748" i="19"/>
  <c r="B2749" i="19"/>
  <c r="B2750" i="19"/>
  <c r="B2751" i="19"/>
  <c r="B2752" i="19"/>
  <c r="B2753" i="19"/>
  <c r="B2754" i="19"/>
  <c r="B2755" i="19"/>
  <c r="B2756" i="19"/>
  <c r="B2757" i="19"/>
  <c r="B2758" i="19"/>
  <c r="B2759" i="19"/>
  <c r="B2760" i="19"/>
  <c r="B2761" i="19"/>
  <c r="B2762" i="19"/>
  <c r="B2763" i="19"/>
  <c r="B2764" i="19"/>
  <c r="B2765" i="19"/>
  <c r="B2766" i="19"/>
  <c r="B2767" i="19"/>
  <c r="B2768" i="19"/>
  <c r="B2769" i="19"/>
  <c r="B2770" i="19"/>
  <c r="B2771" i="19"/>
  <c r="B2772" i="19"/>
  <c r="B2773" i="19"/>
  <c r="B2774" i="19"/>
  <c r="B2775" i="19"/>
  <c r="B2776" i="19"/>
  <c r="B2777" i="19"/>
  <c r="B2778" i="19"/>
  <c r="B2779" i="19"/>
  <c r="B2780" i="19"/>
  <c r="B2781" i="19"/>
  <c r="B2782" i="19"/>
  <c r="B2783" i="19"/>
  <c r="B2784" i="19"/>
  <c r="B2785" i="19"/>
  <c r="B2786" i="19"/>
  <c r="B2787" i="19"/>
  <c r="B2788" i="19"/>
  <c r="B2789" i="19"/>
  <c r="B2790" i="19"/>
  <c r="B2791" i="19"/>
  <c r="B2792" i="19"/>
  <c r="B2793" i="19"/>
  <c r="B2794" i="19"/>
  <c r="B2795" i="19"/>
  <c r="B2796" i="19"/>
  <c r="B2797" i="19"/>
  <c r="B2798" i="19"/>
  <c r="B2799" i="19"/>
  <c r="B2800" i="19"/>
  <c r="B2801" i="19"/>
  <c r="B2802" i="19"/>
  <c r="B2803" i="19"/>
  <c r="B2804" i="19"/>
  <c r="B2805" i="19"/>
  <c r="B2806" i="19"/>
  <c r="B2807" i="19"/>
  <c r="B2808" i="19"/>
  <c r="B2809" i="19"/>
  <c r="B2810" i="19"/>
  <c r="B2811" i="19"/>
  <c r="B2812" i="19"/>
  <c r="B2813" i="19"/>
  <c r="B2814" i="19"/>
  <c r="B2815" i="19"/>
  <c r="B2816" i="19"/>
  <c r="B2817" i="19"/>
  <c r="B2818" i="19"/>
  <c r="B2819" i="19"/>
  <c r="B2820" i="19"/>
  <c r="B2821" i="19"/>
  <c r="B2822" i="19"/>
  <c r="B2823" i="19"/>
  <c r="B2824" i="19"/>
  <c r="B2825" i="19"/>
  <c r="B2826" i="19"/>
  <c r="B2827" i="19"/>
  <c r="B2828" i="19"/>
  <c r="B2829" i="19"/>
  <c r="B2830" i="19"/>
  <c r="B2831" i="19"/>
  <c r="B2832" i="19"/>
  <c r="B2833" i="19"/>
  <c r="B2834" i="19"/>
  <c r="B2835" i="19"/>
  <c r="B2836" i="19"/>
  <c r="B2837" i="19"/>
  <c r="B2838" i="19"/>
  <c r="B2839" i="19"/>
  <c r="B2840" i="19"/>
  <c r="B2841" i="19"/>
  <c r="B2842" i="19"/>
  <c r="B2843" i="19"/>
  <c r="B2844" i="19"/>
  <c r="B2845" i="19"/>
  <c r="B2846" i="19"/>
  <c r="B2847" i="19"/>
  <c r="B2848" i="19"/>
  <c r="B2849" i="19"/>
  <c r="B2850" i="19"/>
  <c r="B2851" i="19"/>
  <c r="B2852" i="19"/>
  <c r="B2853" i="19"/>
  <c r="B2854" i="19"/>
  <c r="B2855" i="19"/>
  <c r="B2856" i="19"/>
  <c r="B2857" i="19"/>
  <c r="B2858" i="19"/>
  <c r="B2859" i="19"/>
  <c r="B2860" i="19"/>
  <c r="B2861" i="19"/>
  <c r="B2862" i="19"/>
  <c r="B2863" i="19"/>
  <c r="B2864" i="19"/>
  <c r="B2865" i="19"/>
  <c r="B2866" i="19"/>
  <c r="B2867" i="19"/>
  <c r="B2868" i="19"/>
  <c r="B2869" i="19"/>
  <c r="B2870" i="19"/>
  <c r="B2871" i="19"/>
  <c r="B2872" i="19"/>
  <c r="B2873" i="19"/>
  <c r="B2874" i="19"/>
  <c r="B2875" i="19"/>
  <c r="B2876" i="19"/>
  <c r="B2877" i="19"/>
  <c r="B2878" i="19"/>
  <c r="B2879" i="19"/>
  <c r="B2880" i="19"/>
  <c r="B2881" i="19"/>
  <c r="B2882" i="19"/>
  <c r="B2883" i="19"/>
  <c r="B2884" i="19"/>
  <c r="B2885" i="19"/>
  <c r="B2886" i="19"/>
  <c r="B2887" i="19"/>
  <c r="B2888" i="19"/>
  <c r="B2889" i="19"/>
  <c r="B2890" i="19"/>
  <c r="B2891" i="19"/>
  <c r="B2892" i="19"/>
  <c r="B2893" i="19"/>
  <c r="B2894" i="19"/>
  <c r="B2895" i="19"/>
  <c r="B2896" i="19"/>
  <c r="B2897" i="19"/>
  <c r="B2898" i="19"/>
  <c r="B2899" i="19"/>
  <c r="B2900" i="19"/>
  <c r="B2901" i="19"/>
  <c r="B2902" i="19"/>
  <c r="B2903" i="19"/>
  <c r="B2904" i="19"/>
  <c r="B2905" i="19"/>
  <c r="B2906" i="19"/>
  <c r="B2907" i="19"/>
  <c r="B2908" i="19"/>
  <c r="B2909" i="19"/>
  <c r="B2910" i="19"/>
  <c r="B2911" i="19"/>
  <c r="B2912" i="19"/>
  <c r="B2913" i="19"/>
  <c r="B2914" i="19"/>
  <c r="B2915" i="19"/>
  <c r="B2916" i="19"/>
  <c r="B2917" i="19"/>
  <c r="B2918" i="19"/>
  <c r="B2919" i="19"/>
  <c r="B2920" i="19"/>
  <c r="B2921" i="19"/>
  <c r="B2922" i="19"/>
  <c r="B2923" i="19"/>
  <c r="B2924" i="19"/>
  <c r="B2925" i="19"/>
  <c r="B2926" i="19"/>
  <c r="B2927" i="19"/>
  <c r="B2928" i="19"/>
  <c r="B2929" i="19"/>
  <c r="B2930" i="19"/>
  <c r="B2931" i="19"/>
  <c r="B2932" i="19"/>
  <c r="B2933" i="19"/>
  <c r="B2934" i="19"/>
  <c r="B2935" i="19"/>
  <c r="B2936" i="19"/>
  <c r="B2937" i="19"/>
  <c r="B2938" i="19"/>
  <c r="B2939" i="19"/>
  <c r="B2940" i="19"/>
  <c r="B2941" i="19"/>
  <c r="B2942" i="19"/>
  <c r="B2943" i="19"/>
  <c r="B2944" i="19"/>
  <c r="B2945" i="19"/>
  <c r="B2946" i="19"/>
  <c r="B2947" i="19"/>
  <c r="B2948" i="19"/>
  <c r="B2949" i="19"/>
  <c r="B2950" i="19"/>
  <c r="B2951" i="19"/>
  <c r="B2952" i="19"/>
  <c r="B2953" i="19"/>
  <c r="B2954" i="19"/>
  <c r="B2955" i="19"/>
  <c r="B2956" i="19"/>
  <c r="B2957" i="19"/>
  <c r="B2958" i="19"/>
  <c r="B2959" i="19"/>
  <c r="B2960" i="19"/>
  <c r="B2961" i="19"/>
  <c r="B2962" i="19"/>
  <c r="B2963" i="19"/>
  <c r="B2964" i="19"/>
  <c r="B2965" i="19"/>
  <c r="B2966" i="19"/>
  <c r="B2967" i="19"/>
  <c r="B2968" i="19"/>
  <c r="B2969" i="19"/>
  <c r="B2970" i="19"/>
  <c r="B2971" i="19"/>
  <c r="B2972" i="19"/>
  <c r="B2973" i="19"/>
  <c r="B2974" i="19"/>
  <c r="B2975" i="19"/>
  <c r="B2976" i="19"/>
  <c r="B2977" i="19"/>
  <c r="B2978" i="19"/>
  <c r="B2979" i="19"/>
  <c r="B2980" i="19"/>
  <c r="B2981" i="19"/>
  <c r="B2982" i="19"/>
  <c r="B2983" i="19"/>
  <c r="B2984" i="19"/>
  <c r="B2985" i="19"/>
  <c r="B2986" i="19"/>
  <c r="B2987" i="19"/>
  <c r="B2988" i="19"/>
  <c r="B2989" i="19"/>
  <c r="B2990" i="19"/>
  <c r="B2991" i="19"/>
  <c r="B2992" i="19"/>
  <c r="B2993" i="19"/>
  <c r="B2994" i="19"/>
  <c r="B2995" i="19"/>
  <c r="B2996" i="19"/>
  <c r="B2997" i="19"/>
  <c r="B2998" i="19"/>
  <c r="B2999" i="19"/>
  <c r="B3000" i="19"/>
  <c r="B3001" i="19"/>
  <c r="B3002" i="19"/>
  <c r="B3003" i="19"/>
  <c r="B3004" i="19"/>
  <c r="B3005" i="19"/>
  <c r="B3006" i="19"/>
  <c r="B3007" i="19"/>
  <c r="B3008" i="19"/>
  <c r="B3009" i="19"/>
  <c r="B3010" i="19"/>
  <c r="B3011" i="19"/>
  <c r="B3012" i="19"/>
  <c r="B3013" i="19"/>
  <c r="B3014" i="19"/>
  <c r="B3015" i="19"/>
  <c r="B3016" i="19"/>
  <c r="B3017" i="19"/>
  <c r="B3018" i="19"/>
  <c r="B3019" i="19"/>
  <c r="B3020" i="19"/>
  <c r="B3021" i="19"/>
  <c r="B3022" i="19"/>
  <c r="B3023" i="19"/>
  <c r="B3024" i="19"/>
  <c r="B3025" i="19"/>
  <c r="B3026" i="19"/>
  <c r="B3027" i="19"/>
  <c r="B3028" i="19"/>
  <c r="B3029" i="19"/>
  <c r="B3030" i="19"/>
  <c r="B3031" i="19"/>
  <c r="B3032" i="19"/>
  <c r="B3033" i="19"/>
  <c r="B3034" i="19"/>
  <c r="B3035" i="19"/>
  <c r="B3036" i="19"/>
  <c r="B3037" i="19"/>
  <c r="B3038" i="19"/>
  <c r="B3039" i="19"/>
  <c r="B3040" i="19"/>
  <c r="B3041" i="19"/>
  <c r="B3042" i="19"/>
  <c r="B3043" i="19"/>
  <c r="B3044" i="19"/>
  <c r="B3045" i="19"/>
  <c r="B3046" i="19"/>
  <c r="B3047" i="19"/>
  <c r="B3048" i="19"/>
  <c r="B3049" i="19"/>
  <c r="B3050" i="19"/>
  <c r="B3051" i="19"/>
  <c r="B3052" i="19"/>
  <c r="B3053" i="19"/>
  <c r="B3054" i="19"/>
  <c r="B3055" i="19"/>
  <c r="B3056" i="19"/>
  <c r="B3057" i="19"/>
  <c r="B3058" i="19"/>
  <c r="B3059" i="19"/>
  <c r="B3060" i="19"/>
  <c r="B3061" i="19"/>
  <c r="B3062" i="19"/>
  <c r="B3063" i="19"/>
  <c r="B3064" i="19"/>
  <c r="B3065" i="19"/>
  <c r="B3066" i="19"/>
  <c r="B3067" i="19"/>
  <c r="B3068" i="19"/>
  <c r="B3069" i="19"/>
  <c r="B3070" i="19"/>
  <c r="B3071" i="19"/>
  <c r="B3072" i="19"/>
  <c r="B3073" i="19"/>
  <c r="B3074" i="19"/>
  <c r="B3075" i="19"/>
  <c r="B3076" i="19"/>
  <c r="B3077" i="19"/>
  <c r="B3078" i="19"/>
  <c r="B3079" i="19"/>
  <c r="B3080" i="19"/>
  <c r="B3081" i="19"/>
  <c r="B3082" i="19"/>
  <c r="B3083" i="19"/>
  <c r="B3084" i="19"/>
  <c r="B3085" i="19"/>
  <c r="B3086" i="19"/>
  <c r="B3087" i="19"/>
  <c r="B3088" i="19"/>
  <c r="B3089" i="19"/>
  <c r="B3090" i="19"/>
  <c r="B3091" i="19"/>
  <c r="B3092" i="19"/>
  <c r="B3093" i="19"/>
  <c r="B3094" i="19"/>
  <c r="B3095" i="19"/>
  <c r="B3096" i="19"/>
  <c r="B3097" i="19"/>
  <c r="B3098" i="19"/>
  <c r="B3099" i="19"/>
  <c r="B3100" i="19"/>
  <c r="B3101" i="19"/>
  <c r="B3102" i="19"/>
  <c r="B3103" i="19"/>
  <c r="B3104" i="19"/>
  <c r="B3105" i="19"/>
  <c r="B3106" i="19"/>
  <c r="B3107" i="19"/>
  <c r="B3108" i="19"/>
  <c r="B3109" i="19"/>
  <c r="B3110" i="19"/>
  <c r="B3111" i="19"/>
  <c r="B3112" i="19"/>
  <c r="B3113" i="19"/>
  <c r="B3114" i="19"/>
  <c r="B3115" i="19"/>
  <c r="B3116" i="19"/>
  <c r="B3117" i="19"/>
  <c r="B3118" i="19"/>
  <c r="B3119" i="19"/>
  <c r="B3120" i="19"/>
  <c r="B3121" i="19"/>
  <c r="B3122" i="19"/>
  <c r="B3123" i="19"/>
  <c r="B3124" i="19"/>
  <c r="B3125" i="19"/>
  <c r="B3126" i="19"/>
  <c r="B3127" i="19"/>
  <c r="B3128" i="19"/>
  <c r="B3129" i="19"/>
  <c r="B3130" i="19"/>
  <c r="B3131" i="19"/>
  <c r="B3132" i="19"/>
  <c r="B3133" i="19"/>
  <c r="B3134" i="19"/>
  <c r="B3135" i="19"/>
  <c r="B3136" i="19"/>
  <c r="B3137" i="19"/>
  <c r="B3138" i="19"/>
  <c r="B3139" i="19"/>
  <c r="B3140" i="19"/>
  <c r="B3141" i="19"/>
  <c r="B3142" i="19"/>
  <c r="B3143" i="19"/>
  <c r="B3144" i="19"/>
  <c r="B3145" i="19"/>
  <c r="B3146" i="19"/>
  <c r="B3147" i="19"/>
  <c r="B3148" i="19"/>
  <c r="B3149" i="19"/>
  <c r="B3150" i="19"/>
  <c r="B3151" i="19"/>
  <c r="B3152" i="19"/>
  <c r="B3153" i="19"/>
  <c r="B3154" i="19"/>
  <c r="B3155" i="19"/>
  <c r="B3156" i="19"/>
  <c r="B3157" i="19"/>
  <c r="B3158" i="19"/>
  <c r="B3159" i="19"/>
  <c r="B3160" i="19"/>
  <c r="B3161" i="19"/>
  <c r="B3162" i="19"/>
  <c r="B3163" i="19"/>
  <c r="B3164" i="19"/>
  <c r="B3165" i="19"/>
  <c r="B3166" i="19"/>
  <c r="B3167" i="19"/>
  <c r="B3168" i="19"/>
  <c r="B3169" i="19"/>
  <c r="B3170" i="19"/>
  <c r="B3171" i="19"/>
  <c r="B3172" i="19"/>
  <c r="B3173" i="19"/>
  <c r="B3174" i="19"/>
  <c r="B3175" i="19"/>
  <c r="B3176" i="19"/>
  <c r="B3177" i="19"/>
  <c r="B3178" i="19"/>
  <c r="B3179" i="19"/>
  <c r="B3180" i="19"/>
  <c r="B3181" i="19"/>
  <c r="B3182" i="19"/>
  <c r="B3183" i="19"/>
  <c r="B3184" i="19"/>
  <c r="B3185" i="19"/>
  <c r="B3186" i="19"/>
  <c r="B3187" i="19"/>
  <c r="B3188" i="19"/>
  <c r="B3189" i="19"/>
  <c r="B3190" i="19"/>
  <c r="B3191" i="19"/>
  <c r="B3192" i="19"/>
  <c r="B3193" i="19"/>
  <c r="B3194" i="19"/>
  <c r="B3195" i="19"/>
  <c r="B3196" i="19"/>
  <c r="B3197" i="19"/>
  <c r="B3198" i="19"/>
  <c r="B3199" i="19"/>
  <c r="B3200" i="19"/>
  <c r="B3201" i="19"/>
  <c r="B3202" i="19"/>
  <c r="B3203" i="19"/>
  <c r="B3204" i="19"/>
  <c r="B3205" i="19"/>
  <c r="B3206" i="19"/>
  <c r="B3207" i="19"/>
  <c r="B3208" i="19"/>
  <c r="B3209" i="19"/>
  <c r="B3210" i="19"/>
  <c r="B3211" i="19"/>
  <c r="B3212" i="19"/>
  <c r="B3213" i="19"/>
  <c r="B3214" i="19"/>
  <c r="B3215" i="19"/>
  <c r="B3216" i="19"/>
  <c r="B3217" i="19"/>
  <c r="B3218" i="19"/>
  <c r="B3219" i="19"/>
  <c r="B3220" i="19"/>
  <c r="B3221" i="19"/>
  <c r="B3222" i="19"/>
  <c r="B3223" i="19"/>
  <c r="B3224" i="19"/>
  <c r="B3225" i="19"/>
  <c r="B3226" i="19"/>
  <c r="B3227" i="19"/>
  <c r="B3228" i="19"/>
  <c r="B3229" i="19"/>
  <c r="B3230" i="19"/>
  <c r="B3231" i="19"/>
  <c r="B3232" i="19"/>
  <c r="B3233" i="19"/>
  <c r="B3234" i="19"/>
  <c r="B3235" i="19"/>
  <c r="B3236" i="19"/>
  <c r="B3237" i="19"/>
  <c r="B3238" i="19"/>
  <c r="B3239" i="19"/>
  <c r="B3240" i="19"/>
  <c r="B3241" i="19"/>
  <c r="B3242" i="19"/>
  <c r="B3243" i="19"/>
  <c r="B3244" i="19"/>
  <c r="B3245" i="19"/>
  <c r="B3246" i="19"/>
  <c r="B3247" i="19"/>
  <c r="B3248" i="19"/>
  <c r="B3249" i="19"/>
  <c r="B3250" i="19"/>
  <c r="B3251" i="19"/>
  <c r="B3252" i="19"/>
  <c r="B3253" i="19"/>
  <c r="B3254" i="19"/>
  <c r="B3255" i="19"/>
  <c r="B3256" i="19"/>
  <c r="B3257" i="19"/>
  <c r="B3258" i="19"/>
  <c r="B3259" i="19"/>
  <c r="B3260" i="19"/>
  <c r="B3261" i="19"/>
  <c r="B3262" i="19"/>
  <c r="B3263" i="19"/>
  <c r="B3264" i="19"/>
  <c r="B3265" i="19"/>
  <c r="B3266" i="19"/>
  <c r="B3267" i="19"/>
  <c r="B3268" i="19"/>
  <c r="B3269" i="19"/>
  <c r="B3270" i="19"/>
  <c r="B3271" i="19"/>
  <c r="B3272" i="19"/>
  <c r="B3273" i="19"/>
  <c r="B3274" i="19"/>
  <c r="B3275" i="19"/>
  <c r="B3276" i="19"/>
  <c r="B3277" i="19"/>
  <c r="B3278" i="19"/>
  <c r="B3279" i="19"/>
  <c r="B3280" i="19"/>
  <c r="B3281" i="19"/>
  <c r="B3282" i="19"/>
  <c r="B3283" i="19"/>
  <c r="B3284" i="19"/>
  <c r="B3285" i="19"/>
  <c r="B3286" i="19"/>
  <c r="B3287" i="19"/>
  <c r="B3288" i="19"/>
  <c r="B3289" i="19"/>
  <c r="B3290" i="19"/>
  <c r="B3291" i="19"/>
  <c r="B3292" i="19"/>
  <c r="B3293" i="19"/>
  <c r="B3294" i="19"/>
  <c r="B3295" i="19"/>
  <c r="B3296" i="19"/>
  <c r="B3297" i="19"/>
  <c r="B3298" i="19"/>
  <c r="B3299" i="19"/>
  <c r="B3300" i="19"/>
  <c r="B3301" i="19"/>
  <c r="B3302" i="19"/>
  <c r="B3303" i="19"/>
  <c r="B3304" i="19"/>
  <c r="B3305" i="19"/>
  <c r="B3306" i="19"/>
  <c r="B3307" i="19"/>
  <c r="B3308" i="19"/>
  <c r="B3309" i="19"/>
  <c r="B3310" i="19"/>
  <c r="B3311" i="19"/>
  <c r="B3312" i="19"/>
  <c r="B3313" i="19"/>
  <c r="B3314" i="19"/>
  <c r="B3315" i="19"/>
  <c r="B3316" i="19"/>
  <c r="B3317" i="19"/>
  <c r="B3318" i="19"/>
  <c r="B3319" i="19"/>
  <c r="B3320" i="19"/>
  <c r="B3321" i="19"/>
  <c r="B3322" i="19"/>
  <c r="B3323" i="19"/>
  <c r="B3324" i="19"/>
  <c r="B3325" i="19"/>
  <c r="B3326" i="19"/>
  <c r="B3327" i="19"/>
  <c r="B3328" i="19"/>
  <c r="B3329" i="19"/>
  <c r="B3330" i="19"/>
  <c r="B3331" i="19"/>
  <c r="B3332" i="19"/>
  <c r="B3333" i="19"/>
  <c r="B3334" i="19"/>
  <c r="B3335" i="19"/>
  <c r="B3336" i="19"/>
  <c r="B3337" i="19"/>
  <c r="B3338" i="19"/>
  <c r="B3339" i="19"/>
  <c r="B3340" i="19"/>
  <c r="B3341" i="19"/>
  <c r="B3342" i="19"/>
  <c r="B3343" i="19"/>
  <c r="B3344" i="19"/>
  <c r="B3345" i="19"/>
  <c r="B3346" i="19"/>
  <c r="B3347" i="19"/>
  <c r="B3348" i="19"/>
  <c r="B3349" i="19"/>
  <c r="B3350" i="19"/>
  <c r="B3351" i="19"/>
  <c r="B3352" i="19"/>
  <c r="B3353" i="19"/>
  <c r="B3354" i="19"/>
  <c r="B3355" i="19"/>
  <c r="B3356" i="19"/>
  <c r="B3357" i="19"/>
  <c r="B3358" i="19"/>
  <c r="B3359" i="19"/>
  <c r="B3360" i="19"/>
  <c r="B3361" i="19"/>
  <c r="B3362" i="19"/>
  <c r="B3363" i="19"/>
  <c r="B3364" i="19"/>
  <c r="B3365" i="19"/>
  <c r="B3366" i="19"/>
  <c r="B3367" i="19"/>
  <c r="B3368" i="19"/>
  <c r="B3369" i="19"/>
  <c r="B3370" i="19"/>
  <c r="B3371" i="19"/>
  <c r="B3372" i="19"/>
  <c r="B3373" i="19"/>
  <c r="B3374" i="19"/>
  <c r="B3375" i="19"/>
  <c r="B3376" i="19"/>
  <c r="B3377" i="19"/>
  <c r="B3378" i="19"/>
  <c r="B3379" i="19"/>
  <c r="B3380" i="19"/>
  <c r="B3381" i="19"/>
  <c r="B3382" i="19"/>
  <c r="B3383" i="19"/>
  <c r="B3384" i="19"/>
  <c r="B3385" i="19"/>
  <c r="B3386" i="19"/>
  <c r="B3387" i="19"/>
  <c r="B3388" i="19"/>
  <c r="B3389" i="19"/>
  <c r="B3390" i="19"/>
  <c r="B3391" i="19"/>
  <c r="B3392" i="19"/>
  <c r="B3393" i="19"/>
  <c r="B3394" i="19"/>
  <c r="B3395" i="19"/>
  <c r="B3396" i="19"/>
  <c r="B3397" i="19"/>
  <c r="B3398" i="19"/>
  <c r="B3399" i="19"/>
  <c r="B3400" i="19"/>
  <c r="B3401" i="19"/>
  <c r="B3402" i="19"/>
  <c r="B3403" i="19"/>
  <c r="B3404" i="19"/>
  <c r="B3405" i="19"/>
  <c r="B3406" i="19"/>
  <c r="B3407" i="19"/>
  <c r="B3408" i="19"/>
  <c r="B3409" i="19"/>
  <c r="B3410" i="19"/>
  <c r="B3411" i="19"/>
  <c r="B3412" i="19"/>
  <c r="B3413" i="19"/>
  <c r="B3414" i="19"/>
  <c r="B3415" i="19"/>
  <c r="B3416" i="19"/>
  <c r="B3417" i="19"/>
  <c r="B3418" i="19"/>
  <c r="B3419" i="19"/>
  <c r="B3420" i="19"/>
  <c r="B3421" i="19"/>
  <c r="B3422" i="19"/>
  <c r="B3423" i="19"/>
  <c r="B3424" i="19"/>
  <c r="B3425" i="19"/>
  <c r="B3426" i="19"/>
  <c r="B3427" i="19"/>
  <c r="B3428" i="19"/>
  <c r="B3429" i="19"/>
  <c r="B3430" i="19"/>
  <c r="B3431" i="19"/>
  <c r="B3432" i="19"/>
  <c r="B3433" i="19"/>
  <c r="B3434" i="19"/>
  <c r="B3435" i="19"/>
  <c r="B3436" i="19"/>
  <c r="B3437" i="19"/>
  <c r="B3438" i="19"/>
  <c r="B3439" i="19"/>
  <c r="B3440" i="19"/>
  <c r="B3441" i="19"/>
  <c r="B3442" i="19"/>
  <c r="B3443" i="19"/>
  <c r="B3444" i="19"/>
  <c r="B3445" i="19"/>
  <c r="B3446" i="19"/>
  <c r="B3447" i="19"/>
  <c r="B3448" i="19"/>
  <c r="B3449" i="19"/>
  <c r="B3450" i="19"/>
  <c r="B3451" i="19"/>
  <c r="B3452" i="19"/>
  <c r="B3453" i="19"/>
  <c r="B3454" i="19"/>
  <c r="B3455" i="19"/>
  <c r="B3456" i="19"/>
  <c r="B3457" i="19"/>
  <c r="B3458" i="19"/>
  <c r="B3459" i="19"/>
  <c r="B3460" i="19"/>
  <c r="B3461" i="19"/>
  <c r="B3462" i="19"/>
  <c r="B3463" i="19"/>
  <c r="B3464" i="19"/>
  <c r="B3465" i="19"/>
  <c r="B3466" i="19"/>
  <c r="B3467" i="19"/>
  <c r="B3468" i="19"/>
  <c r="B3469" i="19"/>
  <c r="B3470" i="19"/>
  <c r="B3471" i="19"/>
  <c r="B3472" i="19"/>
  <c r="B3473" i="19"/>
  <c r="B3474" i="19"/>
  <c r="B3475" i="19"/>
  <c r="B3476" i="19"/>
  <c r="B3477" i="19"/>
  <c r="B3478" i="19"/>
  <c r="B3479" i="19"/>
  <c r="B3480" i="19"/>
  <c r="B3481" i="19"/>
  <c r="B3482" i="19"/>
  <c r="B3483" i="19"/>
  <c r="B3484" i="19"/>
  <c r="B3485" i="19"/>
  <c r="B3486" i="19"/>
  <c r="B3487" i="19"/>
  <c r="B3488" i="19"/>
  <c r="B3489" i="19"/>
  <c r="B3490" i="19"/>
  <c r="B3491" i="19"/>
  <c r="B3492" i="19"/>
  <c r="B3493" i="19"/>
  <c r="B3494" i="19"/>
  <c r="B3495" i="19"/>
  <c r="B3496" i="19"/>
  <c r="B3497" i="19"/>
  <c r="B3498" i="19"/>
  <c r="B3499" i="19"/>
  <c r="B3500" i="19"/>
  <c r="B3501" i="19"/>
  <c r="B3502" i="19"/>
  <c r="B3503" i="19"/>
  <c r="B3504" i="19"/>
  <c r="B3505" i="19"/>
  <c r="B3506" i="19"/>
  <c r="B3507" i="19"/>
  <c r="B3508" i="19"/>
  <c r="B3509" i="19"/>
  <c r="B3510" i="19"/>
  <c r="B3511" i="19"/>
  <c r="B3512" i="19"/>
  <c r="B3513" i="19"/>
  <c r="B3514" i="19"/>
  <c r="B3515" i="19"/>
  <c r="B3516" i="19"/>
  <c r="B3517" i="19"/>
  <c r="B3518" i="19"/>
  <c r="B3519" i="19"/>
  <c r="B3520" i="19"/>
  <c r="B3521" i="19"/>
  <c r="B3522" i="19"/>
  <c r="B3523" i="19"/>
  <c r="B3524" i="19"/>
  <c r="B3525" i="19"/>
  <c r="B3526" i="19"/>
  <c r="B3527" i="19"/>
  <c r="B3528" i="19"/>
  <c r="B3529" i="19"/>
  <c r="B3530" i="19"/>
  <c r="B3531" i="19"/>
  <c r="B3532" i="19"/>
  <c r="B3533" i="19"/>
  <c r="B3534" i="19"/>
  <c r="B3535" i="19"/>
  <c r="B3536" i="19"/>
  <c r="B3537" i="19"/>
  <c r="B3538" i="19"/>
  <c r="B3539" i="19"/>
  <c r="B3540" i="19"/>
  <c r="B3541" i="19"/>
  <c r="B3542" i="19"/>
  <c r="B3543" i="19"/>
  <c r="B3544" i="19"/>
  <c r="B3545" i="19"/>
  <c r="B3546" i="19"/>
  <c r="B3547" i="19"/>
  <c r="B3548" i="19"/>
  <c r="B3549" i="19"/>
  <c r="B3550" i="19"/>
  <c r="B3551" i="19"/>
  <c r="B3552" i="19"/>
  <c r="B3553" i="19"/>
  <c r="B3554" i="19"/>
  <c r="B3555" i="19"/>
  <c r="B3556" i="19"/>
  <c r="B3557" i="19"/>
  <c r="B3558" i="19"/>
  <c r="B3559" i="19"/>
  <c r="B3560" i="19"/>
  <c r="B3561" i="19"/>
  <c r="B3562" i="19"/>
  <c r="B3563" i="19"/>
  <c r="B3564" i="19"/>
  <c r="B3565" i="19"/>
  <c r="B3566" i="19"/>
  <c r="B3567" i="19"/>
  <c r="B3568" i="19"/>
  <c r="B3569" i="19"/>
  <c r="B3570" i="19"/>
  <c r="B3571" i="19"/>
  <c r="B3572" i="19"/>
  <c r="B3573" i="19"/>
  <c r="B3574" i="19"/>
  <c r="B3575" i="19"/>
  <c r="B3576" i="19"/>
  <c r="B3577" i="19"/>
  <c r="B3578" i="19"/>
  <c r="B3579" i="19"/>
  <c r="B3580" i="19"/>
  <c r="B3581" i="19"/>
  <c r="B3582" i="19"/>
  <c r="B3583" i="19"/>
  <c r="B3584" i="19"/>
  <c r="B3585" i="19"/>
  <c r="B3586" i="19"/>
  <c r="B3587" i="19"/>
  <c r="B3588" i="19"/>
  <c r="B3589" i="19"/>
  <c r="B3590" i="19"/>
  <c r="B3591" i="19"/>
  <c r="B3592" i="19"/>
  <c r="B3593" i="19"/>
  <c r="B3594" i="19"/>
  <c r="B3595" i="19"/>
  <c r="B3596" i="19"/>
  <c r="B3597" i="19"/>
  <c r="B3598" i="19"/>
  <c r="B3599" i="19"/>
  <c r="B3600" i="19"/>
  <c r="B3601" i="19"/>
  <c r="B3602" i="19"/>
  <c r="B3603" i="19"/>
  <c r="B3604" i="19"/>
  <c r="B3605" i="19"/>
  <c r="B3606" i="19"/>
  <c r="B3607" i="19"/>
  <c r="B3608" i="19"/>
  <c r="B3609" i="19"/>
  <c r="B3610" i="19"/>
  <c r="B3611" i="19"/>
  <c r="B3612" i="19"/>
  <c r="B3613" i="19"/>
  <c r="B3614" i="19"/>
  <c r="B3615" i="19"/>
  <c r="B3616" i="19"/>
  <c r="B3617" i="19"/>
  <c r="B3618" i="19"/>
  <c r="B3619" i="19"/>
  <c r="B3620" i="19"/>
  <c r="B3621" i="19"/>
  <c r="B3622" i="19"/>
  <c r="B3623" i="19"/>
  <c r="B3624" i="19"/>
  <c r="B3625" i="19"/>
  <c r="B3626" i="19"/>
  <c r="B3627" i="19"/>
  <c r="B3628" i="19"/>
  <c r="B3629" i="19"/>
  <c r="B3630" i="19"/>
  <c r="B3631" i="19"/>
  <c r="B3632" i="19"/>
  <c r="B3633" i="19"/>
  <c r="B3634" i="19"/>
  <c r="B3635" i="19"/>
  <c r="B3636" i="19"/>
  <c r="B3637" i="19"/>
  <c r="B3638" i="19"/>
  <c r="B3639" i="19"/>
  <c r="B3640" i="19"/>
  <c r="B3641" i="19"/>
  <c r="B3642" i="19"/>
  <c r="B3643" i="19"/>
  <c r="B3644" i="19"/>
  <c r="B3645" i="19"/>
  <c r="B3646" i="19"/>
  <c r="B3647" i="19"/>
  <c r="B3648" i="19"/>
  <c r="B3649" i="19"/>
  <c r="B3650" i="19"/>
  <c r="B3651" i="19"/>
  <c r="B3652" i="19"/>
  <c r="B3653" i="19"/>
  <c r="B3654" i="19"/>
  <c r="B3655" i="19"/>
  <c r="B3656" i="19"/>
  <c r="B3657" i="19"/>
  <c r="B3658" i="19"/>
  <c r="B3659" i="19"/>
  <c r="B3660" i="19"/>
  <c r="B3661" i="19"/>
  <c r="B3662" i="19"/>
  <c r="B3663" i="19"/>
  <c r="B3664" i="19"/>
  <c r="B3665" i="19"/>
  <c r="B3666" i="19"/>
  <c r="B3667" i="19"/>
  <c r="B3668" i="19"/>
  <c r="B3669" i="19"/>
  <c r="B3670" i="19"/>
  <c r="B3671" i="19"/>
  <c r="B3672" i="19"/>
  <c r="B3673" i="19"/>
  <c r="B3674" i="19"/>
  <c r="B3675" i="19"/>
  <c r="B3676" i="19"/>
  <c r="B3677" i="19"/>
  <c r="B3678" i="19"/>
  <c r="B3679" i="19"/>
  <c r="B3680" i="19"/>
  <c r="B3681" i="19"/>
  <c r="B3682" i="19"/>
  <c r="B3683" i="19"/>
  <c r="B3684" i="19"/>
  <c r="B3685" i="19"/>
  <c r="B3686" i="19"/>
  <c r="B3687" i="19"/>
  <c r="B3688" i="19"/>
  <c r="B3689" i="19"/>
  <c r="B3690" i="19"/>
  <c r="B3691" i="19"/>
  <c r="B3692" i="19"/>
  <c r="B3693" i="19"/>
  <c r="B3694" i="19"/>
  <c r="B3695" i="19"/>
  <c r="B3696" i="19"/>
  <c r="B3697" i="19"/>
  <c r="B3698" i="19"/>
  <c r="B3699" i="19"/>
  <c r="B3700" i="19"/>
  <c r="B3701" i="19"/>
  <c r="B3702" i="19"/>
  <c r="B3703" i="19"/>
  <c r="B3704" i="19"/>
  <c r="B3705" i="19"/>
  <c r="B3706" i="19"/>
  <c r="B3707" i="19"/>
  <c r="B3708" i="19"/>
  <c r="B3709" i="19"/>
  <c r="B3710" i="19"/>
  <c r="B3711" i="19"/>
  <c r="B3712" i="19"/>
  <c r="B3713" i="19"/>
  <c r="B3714" i="19"/>
  <c r="B3715" i="19"/>
  <c r="B3716" i="19"/>
  <c r="B3717" i="19"/>
  <c r="B3718" i="19"/>
  <c r="B3719" i="19"/>
  <c r="B3720" i="19"/>
  <c r="B3721" i="19"/>
  <c r="B3722" i="19"/>
  <c r="B3723" i="19"/>
  <c r="B3724" i="19"/>
  <c r="B3725" i="19"/>
  <c r="B3726" i="19"/>
  <c r="B3727" i="19"/>
  <c r="B3728" i="19"/>
  <c r="B3729" i="19"/>
  <c r="B3730" i="19"/>
  <c r="B3731" i="19"/>
  <c r="B3732" i="19"/>
  <c r="B3733" i="19"/>
  <c r="B3734" i="19"/>
  <c r="B3735" i="19"/>
  <c r="B3736" i="19"/>
  <c r="B3737" i="19"/>
  <c r="B3738" i="19"/>
  <c r="B3739" i="19"/>
  <c r="B3740" i="19"/>
  <c r="B3741" i="19"/>
  <c r="B3742" i="19"/>
  <c r="B3743" i="19"/>
  <c r="B3744" i="19"/>
  <c r="B3745" i="19"/>
  <c r="B3746" i="19"/>
  <c r="B3747" i="19"/>
  <c r="B3748" i="19"/>
  <c r="B3749" i="19"/>
  <c r="B3750" i="19"/>
  <c r="B3751" i="19"/>
  <c r="B3752" i="19"/>
  <c r="B3753" i="19"/>
  <c r="B3754" i="19"/>
  <c r="B3755" i="19"/>
  <c r="B3756" i="19"/>
  <c r="B3757" i="19"/>
  <c r="B3758" i="19"/>
  <c r="B3759" i="19"/>
  <c r="B3760" i="19"/>
  <c r="B3761" i="19"/>
  <c r="B3762" i="19"/>
  <c r="B3763" i="19"/>
  <c r="B3764" i="19"/>
  <c r="B3765" i="19"/>
  <c r="B3766" i="19"/>
  <c r="B3767" i="19"/>
  <c r="B3768" i="19"/>
  <c r="B3769" i="19"/>
  <c r="B3770" i="19"/>
  <c r="B3771" i="19"/>
  <c r="B3772" i="19"/>
  <c r="B3773" i="19"/>
  <c r="B3774" i="19"/>
  <c r="B3775" i="19"/>
  <c r="B3776" i="19"/>
  <c r="B3777" i="19"/>
  <c r="B3778" i="19"/>
  <c r="B3779" i="19"/>
  <c r="B3780" i="19"/>
  <c r="B3781" i="19"/>
  <c r="B3782" i="19"/>
  <c r="B3783" i="19"/>
  <c r="B3784" i="19"/>
  <c r="B3785" i="19"/>
  <c r="B3786" i="19"/>
  <c r="B3787" i="19"/>
  <c r="B3788" i="19"/>
  <c r="B3789" i="19"/>
  <c r="B3790" i="19"/>
  <c r="B3791" i="19"/>
  <c r="B3792" i="19"/>
  <c r="B3793" i="19"/>
  <c r="B3794" i="19"/>
  <c r="B3795" i="19"/>
  <c r="B3796" i="19"/>
  <c r="B3797" i="19"/>
  <c r="B3798" i="19"/>
  <c r="B3799" i="19"/>
  <c r="B3800" i="19"/>
  <c r="B3801" i="19"/>
  <c r="B3802" i="19"/>
  <c r="B3803" i="19"/>
  <c r="B3804" i="19"/>
  <c r="B3805" i="19"/>
  <c r="B3806" i="19"/>
  <c r="B3807" i="19"/>
  <c r="B3808" i="19"/>
  <c r="B3809" i="19"/>
  <c r="B3810" i="19"/>
  <c r="B3811" i="19"/>
  <c r="B3812" i="19"/>
  <c r="B3813" i="19"/>
  <c r="B3814" i="19"/>
  <c r="B3815" i="19"/>
  <c r="B3816" i="19"/>
  <c r="B3817" i="19"/>
  <c r="B3818" i="19"/>
  <c r="B3819" i="19"/>
  <c r="B3820" i="19"/>
  <c r="B3821" i="19"/>
  <c r="B3822" i="19"/>
  <c r="B3823" i="19"/>
  <c r="B3824" i="19"/>
  <c r="B3825" i="19"/>
  <c r="B3826" i="19"/>
  <c r="B3827" i="19"/>
  <c r="B3828" i="19"/>
  <c r="B3829" i="19"/>
  <c r="B3830" i="19"/>
  <c r="B3831" i="19"/>
  <c r="B3832" i="19"/>
  <c r="B3833" i="19"/>
  <c r="B3834" i="19"/>
  <c r="B3835" i="19"/>
  <c r="B3836" i="19"/>
  <c r="B3837" i="19"/>
  <c r="B3838" i="19"/>
  <c r="B3839" i="19"/>
  <c r="B3840" i="19"/>
  <c r="B3841" i="19"/>
  <c r="B3842" i="19"/>
  <c r="B3843" i="19"/>
  <c r="B3844" i="19"/>
  <c r="B3845" i="19"/>
  <c r="B3846" i="19"/>
  <c r="B3847" i="19"/>
  <c r="B3848" i="19"/>
  <c r="B3849" i="19"/>
  <c r="B3850" i="19"/>
  <c r="B3851" i="19"/>
  <c r="B3852" i="19"/>
  <c r="B3853" i="19"/>
  <c r="B3854" i="19"/>
  <c r="B3855" i="19"/>
  <c r="B3856" i="19"/>
  <c r="B3857" i="19"/>
  <c r="B3858" i="19"/>
  <c r="B3859" i="19"/>
  <c r="B3860" i="19"/>
  <c r="B3861" i="19"/>
  <c r="B3862" i="19"/>
  <c r="B3863" i="19"/>
  <c r="B3864" i="19"/>
  <c r="B3865" i="19"/>
  <c r="B3866" i="19"/>
  <c r="B3867" i="19"/>
  <c r="B3868" i="19"/>
  <c r="B3869" i="19"/>
  <c r="B3870" i="19"/>
  <c r="B3871" i="19"/>
  <c r="B3872" i="19"/>
  <c r="B3873" i="19"/>
  <c r="B3874" i="19"/>
  <c r="B3875" i="19"/>
  <c r="B3876" i="19"/>
  <c r="B3877" i="19"/>
  <c r="B3878" i="19"/>
  <c r="B3879" i="19"/>
  <c r="B3880" i="19"/>
  <c r="B3881" i="19"/>
  <c r="B3882" i="19"/>
  <c r="B3883" i="19"/>
  <c r="B3884" i="19"/>
  <c r="B3885" i="19"/>
  <c r="B3886" i="19"/>
  <c r="B3887" i="19"/>
  <c r="B3888" i="19"/>
  <c r="B3889" i="19"/>
  <c r="B3890" i="19"/>
  <c r="B3891" i="19"/>
  <c r="B3892" i="19"/>
  <c r="B3893" i="19"/>
  <c r="B3894" i="19"/>
  <c r="B3895" i="19"/>
  <c r="B3896" i="19"/>
  <c r="B3897" i="19"/>
  <c r="B3898" i="19"/>
  <c r="B3899" i="19"/>
  <c r="B3900" i="19"/>
  <c r="B3901" i="19"/>
  <c r="B3902" i="19"/>
  <c r="B3903" i="19"/>
  <c r="B3904" i="19"/>
  <c r="B3905" i="19"/>
  <c r="B3906" i="19"/>
  <c r="B3907" i="19"/>
  <c r="B3908" i="19"/>
  <c r="B3909" i="19"/>
  <c r="B3910" i="19"/>
  <c r="B3911" i="19"/>
  <c r="B3912" i="19"/>
  <c r="B3913" i="19"/>
  <c r="B3914" i="19"/>
  <c r="B3915" i="19"/>
  <c r="B3922" i="19"/>
  <c r="B3923" i="19"/>
  <c r="B3924" i="19"/>
  <c r="B3925" i="19"/>
  <c r="B3926" i="19"/>
  <c r="B3927" i="19"/>
  <c r="B3928" i="19"/>
  <c r="B3929" i="19"/>
  <c r="B3930" i="19"/>
  <c r="B3931" i="19"/>
  <c r="B3932" i="19"/>
  <c r="B3933" i="19"/>
  <c r="B3934" i="19"/>
  <c r="B3935" i="19"/>
  <c r="B3936" i="19"/>
  <c r="B3937" i="19"/>
</calcChain>
</file>

<file path=xl/sharedStrings.xml><?xml version="1.0" encoding="utf-8"?>
<sst xmlns="http://schemas.openxmlformats.org/spreadsheetml/2006/main" count="124085" uniqueCount="12343">
  <si>
    <t>UKB ID</t>
  </si>
  <si>
    <t>IDP short name</t>
  </si>
  <si>
    <t>rg</t>
  </si>
  <si>
    <t>se</t>
  </si>
  <si>
    <t>p</t>
  </si>
  <si>
    <t>0001</t>
  </si>
  <si>
    <t>25001</t>
  </si>
  <si>
    <t>IDP T1 SIENAX peripheral grey normalised volume</t>
  </si>
  <si>
    <t>0002</t>
  </si>
  <si>
    <t>25002</t>
  </si>
  <si>
    <t>IDP T1 SIENAX peripheral grey unnormalised volume</t>
  </si>
  <si>
    <t>0003</t>
  </si>
  <si>
    <t>25003</t>
  </si>
  <si>
    <t>IDP T1 SIENAX CSF normalised volume</t>
  </si>
  <si>
    <t>0004</t>
  </si>
  <si>
    <t>25004</t>
  </si>
  <si>
    <t>IDP T1 SIENAX CSF unnormalised volume</t>
  </si>
  <si>
    <t>0005</t>
  </si>
  <si>
    <t>25005</t>
  </si>
  <si>
    <t>IDP T1 SIENAX grey normalised volume</t>
  </si>
  <si>
    <t>0006</t>
  </si>
  <si>
    <t>25006</t>
  </si>
  <si>
    <t>IDP T1 SIENAX grey unnormalised volume</t>
  </si>
  <si>
    <t>0007</t>
  </si>
  <si>
    <t>25007</t>
  </si>
  <si>
    <t>IDP T1 SIENAX white normalised volume</t>
  </si>
  <si>
    <t>0008</t>
  </si>
  <si>
    <t>25008</t>
  </si>
  <si>
    <t>IDP T1 SIENAX white unnormalised volume</t>
  </si>
  <si>
    <t>0009</t>
  </si>
  <si>
    <t>25009</t>
  </si>
  <si>
    <t>IDP T1 SIENAX brain-normalised volume</t>
  </si>
  <si>
    <t>0010</t>
  </si>
  <si>
    <t>25010</t>
  </si>
  <si>
    <t>IDP T1 SIENAX brain-unnormalised volume</t>
  </si>
  <si>
    <t>0011</t>
  </si>
  <si>
    <t>25011</t>
  </si>
  <si>
    <t>IDP T1 FIRST left thalamus volume</t>
  </si>
  <si>
    <t>0012</t>
  </si>
  <si>
    <t>25012</t>
  </si>
  <si>
    <t>IDP T1 FIRST right thalamus volume</t>
  </si>
  <si>
    <t>0013</t>
  </si>
  <si>
    <t>25013</t>
  </si>
  <si>
    <t>IDP T1 FIRST left caudate volume</t>
  </si>
  <si>
    <t>0014</t>
  </si>
  <si>
    <t>25014</t>
  </si>
  <si>
    <t>IDP T1 FIRST right caudate volume</t>
  </si>
  <si>
    <t>0015</t>
  </si>
  <si>
    <t>25015</t>
  </si>
  <si>
    <t>IDP T1 FIRST left putamen volume</t>
  </si>
  <si>
    <t>0016</t>
  </si>
  <si>
    <t>25016</t>
  </si>
  <si>
    <t>IDP T1 FIRST right putamen volume</t>
  </si>
  <si>
    <t>0017</t>
  </si>
  <si>
    <t>25017</t>
  </si>
  <si>
    <t>IDP T1 FIRST left pallidum volume</t>
  </si>
  <si>
    <t>0018</t>
  </si>
  <si>
    <t>25018</t>
  </si>
  <si>
    <t>IDP T1 FIRST right pallidum volume</t>
  </si>
  <si>
    <t>0019</t>
  </si>
  <si>
    <t>25019</t>
  </si>
  <si>
    <t>IDP T1 FIRST left hippocampus volume</t>
  </si>
  <si>
    <t>0020</t>
  </si>
  <si>
    <t>25020</t>
  </si>
  <si>
    <t>IDP T1 FIRST right hippocampus volume</t>
  </si>
  <si>
    <t>0021</t>
  </si>
  <si>
    <t>25021</t>
  </si>
  <si>
    <t>IDP T1 FIRST left amygdala volume</t>
  </si>
  <si>
    <t>0022</t>
  </si>
  <si>
    <t>25022</t>
  </si>
  <si>
    <t>IDP T1 FIRST right amygdala volume</t>
  </si>
  <si>
    <t>0023</t>
  </si>
  <si>
    <t>25023</t>
  </si>
  <si>
    <t>IDP T1 FIRST left accumbens volume</t>
  </si>
  <si>
    <t>0024</t>
  </si>
  <si>
    <t>25024</t>
  </si>
  <si>
    <t>IDP T1 FIRST right accumbens volume</t>
  </si>
  <si>
    <t>0025</t>
  </si>
  <si>
    <t>25025</t>
  </si>
  <si>
    <t>IDP T1 FIRST brain stem+4th ventricle volume</t>
  </si>
  <si>
    <t>0026</t>
  </si>
  <si>
    <t>25782</t>
  </si>
  <si>
    <t>IDP T1 FAST ROIs L frontal pole</t>
  </si>
  <si>
    <t>0027</t>
  </si>
  <si>
    <t>25783</t>
  </si>
  <si>
    <t>IDP T1 FAST ROIs R frontal pole</t>
  </si>
  <si>
    <t>0028</t>
  </si>
  <si>
    <t>25784</t>
  </si>
  <si>
    <t>IDP T1 FAST ROIs L insular cortex</t>
  </si>
  <si>
    <t>0029</t>
  </si>
  <si>
    <t>25785</t>
  </si>
  <si>
    <t>IDP T1 FAST ROIs R insular cortex</t>
  </si>
  <si>
    <t>0030</t>
  </si>
  <si>
    <t>25786</t>
  </si>
  <si>
    <t>IDP T1 FAST ROIs L sup front gyrus</t>
  </si>
  <si>
    <t>0031</t>
  </si>
  <si>
    <t>25787</t>
  </si>
  <si>
    <t>IDP T1 FAST ROIs R sup front gyrus</t>
  </si>
  <si>
    <t>0032</t>
  </si>
  <si>
    <t>25788</t>
  </si>
  <si>
    <t>IDP T1 FAST ROIs L mid front gyrus</t>
  </si>
  <si>
    <t>0033</t>
  </si>
  <si>
    <t>25789</t>
  </si>
  <si>
    <t>IDP T1 FAST ROIs R mid front gyrus</t>
  </si>
  <si>
    <t>0034</t>
  </si>
  <si>
    <t>25790</t>
  </si>
  <si>
    <t>IDP T1 FAST ROIs L inf front gyrus parstri</t>
  </si>
  <si>
    <t>0035</t>
  </si>
  <si>
    <t>25791</t>
  </si>
  <si>
    <t>IDP T1 FAST ROIs R inf front gyrus parstri</t>
  </si>
  <si>
    <t>0036</t>
  </si>
  <si>
    <t>25792</t>
  </si>
  <si>
    <t>IDP T1 FAST ROIs L inf front gyrus parsop</t>
  </si>
  <si>
    <t>0037</t>
  </si>
  <si>
    <t>25793</t>
  </si>
  <si>
    <t>IDP T1 FAST ROIs R inf front gyrus parsop</t>
  </si>
  <si>
    <t>0038</t>
  </si>
  <si>
    <t>25794</t>
  </si>
  <si>
    <t>IDP T1 FAST ROIs L precentral gyrus</t>
  </si>
  <si>
    <t>0039</t>
  </si>
  <si>
    <t>25795</t>
  </si>
  <si>
    <t>IDP T1 FAST ROIs R precentral gyrus</t>
  </si>
  <si>
    <t>0040</t>
  </si>
  <si>
    <t>25796</t>
  </si>
  <si>
    <t>IDP T1 FAST ROIs L temporal pole</t>
  </si>
  <si>
    <t>0041</t>
  </si>
  <si>
    <t>25797</t>
  </si>
  <si>
    <t>IDP T1 FAST ROIs R temporal pole</t>
  </si>
  <si>
    <t>0042</t>
  </si>
  <si>
    <t>25798</t>
  </si>
  <si>
    <t>IDP T1 FAST ROIs L sup temp gyrus ant</t>
  </si>
  <si>
    <t>0043</t>
  </si>
  <si>
    <t>25799</t>
  </si>
  <si>
    <t>IDP T1 FAST ROIs R sup temp gyrus ant</t>
  </si>
  <si>
    <t>0044</t>
  </si>
  <si>
    <t>25800</t>
  </si>
  <si>
    <t>IDP T1 FAST ROIs L sup temp gyrus post</t>
  </si>
  <si>
    <t>0045</t>
  </si>
  <si>
    <t>25801</t>
  </si>
  <si>
    <t>IDP T1 FAST ROIs R sup temp gyrus post</t>
  </si>
  <si>
    <t>0046</t>
  </si>
  <si>
    <t>25802</t>
  </si>
  <si>
    <t>IDP T1 FAST ROIs L mid temp gyrus ant</t>
  </si>
  <si>
    <t>0047</t>
  </si>
  <si>
    <t>25803</t>
  </si>
  <si>
    <t>IDP T1 FAST ROIs R mid temp gyrus ant</t>
  </si>
  <si>
    <t>0048</t>
  </si>
  <si>
    <t>25804</t>
  </si>
  <si>
    <t>IDP T1 FAST ROIs L mid temp gyrus post</t>
  </si>
  <si>
    <t>0049</t>
  </si>
  <si>
    <t>25805</t>
  </si>
  <si>
    <t>IDP T1 FAST ROIs R mid temp gyrus post</t>
  </si>
  <si>
    <t>0050</t>
  </si>
  <si>
    <t>25806</t>
  </si>
  <si>
    <t>IDP T1 FAST ROIs L mid temp gyrus tempocc</t>
  </si>
  <si>
    <t>0051</t>
  </si>
  <si>
    <t>25807</t>
  </si>
  <si>
    <t>IDP T1 FAST ROIs R mid temp gyrus tempocc</t>
  </si>
  <si>
    <t>0052</t>
  </si>
  <si>
    <t>25808</t>
  </si>
  <si>
    <t>IDP T1 FAST ROIs L inf temp gyrus ant</t>
  </si>
  <si>
    <t>0053</t>
  </si>
  <si>
    <t>25809</t>
  </si>
  <si>
    <t>IDP T1 FAST ROIs R inf temp gyrus ant</t>
  </si>
  <si>
    <t>0054</t>
  </si>
  <si>
    <t>25810</t>
  </si>
  <si>
    <t>IDP T1 FAST ROIs L inf temp gyrus post</t>
  </si>
  <si>
    <t>0055</t>
  </si>
  <si>
    <t>25811</t>
  </si>
  <si>
    <t>IDP T1 FAST ROIs R inf temp gyrus post</t>
  </si>
  <si>
    <t>0056</t>
  </si>
  <si>
    <t>25812</t>
  </si>
  <si>
    <t>IDP T1 FAST ROIs L inf temp gyrus tempocc</t>
  </si>
  <si>
    <t>0057</t>
  </si>
  <si>
    <t>25813</t>
  </si>
  <si>
    <t>IDP T1 FAST ROIs R inf temp gyrus tempocc</t>
  </si>
  <si>
    <t>0058</t>
  </si>
  <si>
    <t>25814</t>
  </si>
  <si>
    <t>IDP T1 FAST ROIs L postcent gyrus</t>
  </si>
  <si>
    <t>0059</t>
  </si>
  <si>
    <t>25815</t>
  </si>
  <si>
    <t>IDP T1 FAST ROIs R postcent gyrus</t>
  </si>
  <si>
    <t>0060</t>
  </si>
  <si>
    <t>25816</t>
  </si>
  <si>
    <t>IDP T1 FAST ROIs L sup parietal lobule</t>
  </si>
  <si>
    <t>0061</t>
  </si>
  <si>
    <t>25817</t>
  </si>
  <si>
    <t>IDP T1 FAST ROIs R sup parietal lobule</t>
  </si>
  <si>
    <t>0062</t>
  </si>
  <si>
    <t>25818</t>
  </si>
  <si>
    <t>IDP T1 FAST ROIs L supramarg gyrus ant</t>
  </si>
  <si>
    <t>0063</t>
  </si>
  <si>
    <t>25819</t>
  </si>
  <si>
    <t>IDP T1 FAST ROIs R supramarg gyrus ant</t>
  </si>
  <si>
    <t>0064</t>
  </si>
  <si>
    <t>25820</t>
  </si>
  <si>
    <t>IDP T1 FAST ROIs L supramarg gyrus post</t>
  </si>
  <si>
    <t>0065</t>
  </si>
  <si>
    <t>25821</t>
  </si>
  <si>
    <t>IDP T1 FAST ROIs R supramarg gyrus post</t>
  </si>
  <si>
    <t>0066</t>
  </si>
  <si>
    <t>25822</t>
  </si>
  <si>
    <t>IDP T1 FAST ROIs L angular gyrus</t>
  </si>
  <si>
    <t>0067</t>
  </si>
  <si>
    <t>25823</t>
  </si>
  <si>
    <t>IDP T1 FAST ROIs R angular gyrus</t>
  </si>
  <si>
    <t>0068</t>
  </si>
  <si>
    <t>25824</t>
  </si>
  <si>
    <t>IDP T1 FAST ROIs L latocc cortex sup</t>
  </si>
  <si>
    <t>0069</t>
  </si>
  <si>
    <t>25825</t>
  </si>
  <si>
    <t>IDP T1 FAST ROIs R latocc cortex sup</t>
  </si>
  <si>
    <t>0070</t>
  </si>
  <si>
    <t>25826</t>
  </si>
  <si>
    <t>IDP T1 FAST ROIs L latocc cortex inf</t>
  </si>
  <si>
    <t>0071</t>
  </si>
  <si>
    <t>25827</t>
  </si>
  <si>
    <t>IDP T1 FAST ROIs R latocc cortex inf</t>
  </si>
  <si>
    <t>0072</t>
  </si>
  <si>
    <t>25828</t>
  </si>
  <si>
    <t>IDP T1 FAST ROIs L intracalc cortex</t>
  </si>
  <si>
    <t>0073</t>
  </si>
  <si>
    <t>25829</t>
  </si>
  <si>
    <t>IDP T1 FAST ROIs R intracalc cortex</t>
  </si>
  <si>
    <t>0074</t>
  </si>
  <si>
    <t>25830</t>
  </si>
  <si>
    <t>IDP T1 FAST ROIs L front med cortex</t>
  </si>
  <si>
    <t>0075</t>
  </si>
  <si>
    <t>25831</t>
  </si>
  <si>
    <t>IDP T1 FAST ROIs R front med cortex</t>
  </si>
  <si>
    <t>0076</t>
  </si>
  <si>
    <t>25832</t>
  </si>
  <si>
    <t>IDP T1 FAST ROIs L juxtapos lobule cortex</t>
  </si>
  <si>
    <t>0077</t>
  </si>
  <si>
    <t>25833</t>
  </si>
  <si>
    <t>IDP T1 FAST ROIs R juxtapos lobule cortex</t>
  </si>
  <si>
    <t>0078</t>
  </si>
  <si>
    <t>25834</t>
  </si>
  <si>
    <t>IDP T1 FAST ROIs L subcallosal cortex</t>
  </si>
  <si>
    <t>0079</t>
  </si>
  <si>
    <t>25835</t>
  </si>
  <si>
    <t>IDP T1 FAST ROIs R subcallosal cortex</t>
  </si>
  <si>
    <t>0080</t>
  </si>
  <si>
    <t>25836</t>
  </si>
  <si>
    <t>IDP T1 FAST ROIs L paracing gyrus</t>
  </si>
  <si>
    <t>0081</t>
  </si>
  <si>
    <t>25837</t>
  </si>
  <si>
    <t>IDP T1 FAST ROIs R paracing gyrus</t>
  </si>
  <si>
    <t>0082</t>
  </si>
  <si>
    <t>25838</t>
  </si>
  <si>
    <t>IDP T1 FAST ROIs L cing gyrus ant</t>
  </si>
  <si>
    <t>0083</t>
  </si>
  <si>
    <t>25839</t>
  </si>
  <si>
    <t>IDP T1 FAST ROIs R cing gyrus ant</t>
  </si>
  <si>
    <t>0084</t>
  </si>
  <si>
    <t>25840</t>
  </si>
  <si>
    <t>IDP T1 FAST ROIs L cing gyrus post</t>
  </si>
  <si>
    <t>0085</t>
  </si>
  <si>
    <t>25841</t>
  </si>
  <si>
    <t>IDP T1 FAST ROIs R cing gyrus post</t>
  </si>
  <si>
    <t>0086</t>
  </si>
  <si>
    <t>25842</t>
  </si>
  <si>
    <t>IDP T1 FAST ROIs L precun cortex</t>
  </si>
  <si>
    <t>0087</t>
  </si>
  <si>
    <t>25843</t>
  </si>
  <si>
    <t>IDP T1 FAST ROIs R precun cortex</t>
  </si>
  <si>
    <t>0088</t>
  </si>
  <si>
    <t>25844</t>
  </si>
  <si>
    <t>IDP T1 FAST ROIs L cuneal cortex</t>
  </si>
  <si>
    <t>0089</t>
  </si>
  <si>
    <t>25845</t>
  </si>
  <si>
    <t>IDP T1 FAST ROIs R cuneal cortex</t>
  </si>
  <si>
    <t>0090</t>
  </si>
  <si>
    <t>25846</t>
  </si>
  <si>
    <t>IDP T1 FAST ROIs L front orb cortex</t>
  </si>
  <si>
    <t>0091</t>
  </si>
  <si>
    <t>25847</t>
  </si>
  <si>
    <t>IDP T1 FAST ROIs R front orb cortex</t>
  </si>
  <si>
    <t>0092</t>
  </si>
  <si>
    <t>25848</t>
  </si>
  <si>
    <t>IDP T1 FAST ROIs L parahipp gyrus ant</t>
  </si>
  <si>
    <t>0093</t>
  </si>
  <si>
    <t>25849</t>
  </si>
  <si>
    <t>IDP T1 FAST ROIs R parahipp gyrus ant</t>
  </si>
  <si>
    <t>0094</t>
  </si>
  <si>
    <t>25850</t>
  </si>
  <si>
    <t>IDP T1 FAST ROIs L parahipp gyrus post</t>
  </si>
  <si>
    <t>0095</t>
  </si>
  <si>
    <t>25851</t>
  </si>
  <si>
    <t>IDP T1 FAST ROIs R parahipp gyrus post</t>
  </si>
  <si>
    <t>0096</t>
  </si>
  <si>
    <t>25852</t>
  </si>
  <si>
    <t>IDP T1 FAST ROIs L lingual gyrus</t>
  </si>
  <si>
    <t>0097</t>
  </si>
  <si>
    <t>25853</t>
  </si>
  <si>
    <t>IDP T1 FAST ROIs R lingual gyrus</t>
  </si>
  <si>
    <t>0098</t>
  </si>
  <si>
    <t>25854</t>
  </si>
  <si>
    <t>IDP T1 FAST ROIs L temp fusif cortex ant</t>
  </si>
  <si>
    <t>0099</t>
  </si>
  <si>
    <t>25855</t>
  </si>
  <si>
    <t>IDP T1 FAST ROIs R temp fusif cortex ant</t>
  </si>
  <si>
    <t>0100</t>
  </si>
  <si>
    <t>25856</t>
  </si>
  <si>
    <t>IDP T1 FAST ROIs L temp fusif cortex post</t>
  </si>
  <si>
    <t>0101</t>
  </si>
  <si>
    <t>25857</t>
  </si>
  <si>
    <t>IDP T1 FAST ROIs R temp fusif cortex post</t>
  </si>
  <si>
    <t>0102</t>
  </si>
  <si>
    <t>25858</t>
  </si>
  <si>
    <t>IDP T1 FAST ROIs L temp occ fusif cortex</t>
  </si>
  <si>
    <t>0103</t>
  </si>
  <si>
    <t>25859</t>
  </si>
  <si>
    <t>IDP T1 FAST ROIs R temp occ fusif cortex</t>
  </si>
  <si>
    <t>0104</t>
  </si>
  <si>
    <t>25860</t>
  </si>
  <si>
    <t>IDP T1 FAST ROIs L occ fusif gyrus</t>
  </si>
  <si>
    <t>0105</t>
  </si>
  <si>
    <t>25861</t>
  </si>
  <si>
    <t>IDP T1 FAST ROIs R occ fusif gyrus</t>
  </si>
  <si>
    <t>0106</t>
  </si>
  <si>
    <t>25862</t>
  </si>
  <si>
    <t>IDP T1 FAST ROIs L front operc cortex</t>
  </si>
  <si>
    <t>0107</t>
  </si>
  <si>
    <t>25863</t>
  </si>
  <si>
    <t>IDP T1 FAST ROIs R front operc cortex</t>
  </si>
  <si>
    <t>0108</t>
  </si>
  <si>
    <t>25864</t>
  </si>
  <si>
    <t>IDP T1 FAST ROIs L cent operc cortex</t>
  </si>
  <si>
    <t>0109</t>
  </si>
  <si>
    <t>25865</t>
  </si>
  <si>
    <t>IDP T1 FAST ROIs R cent operc cortex</t>
  </si>
  <si>
    <t>0110</t>
  </si>
  <si>
    <t>25866</t>
  </si>
  <si>
    <t>IDP T1 FAST ROIs L parietal operc cortex</t>
  </si>
  <si>
    <t>0111</t>
  </si>
  <si>
    <t>25867</t>
  </si>
  <si>
    <t>IDP T1 FAST ROIs R parietal operc cortex</t>
  </si>
  <si>
    <t>0112</t>
  </si>
  <si>
    <t>25868</t>
  </si>
  <si>
    <t>IDP T1 FAST ROIs L planum polare</t>
  </si>
  <si>
    <t>0113</t>
  </si>
  <si>
    <t>25869</t>
  </si>
  <si>
    <t>IDP T1 FAST ROIs R planum polare</t>
  </si>
  <si>
    <t>0114</t>
  </si>
  <si>
    <t>25870</t>
  </si>
  <si>
    <t>IDP T1 FAST ROIs L heschl gyrus</t>
  </si>
  <si>
    <t>0115</t>
  </si>
  <si>
    <t>25871</t>
  </si>
  <si>
    <t>IDP T1 FAST ROIs R heschl gyrus</t>
  </si>
  <si>
    <t>0116</t>
  </si>
  <si>
    <t>25872</t>
  </si>
  <si>
    <t>IDP T1 FAST ROIs L planum temporale</t>
  </si>
  <si>
    <t>0117</t>
  </si>
  <si>
    <t>25873</t>
  </si>
  <si>
    <t>IDP T1 FAST ROIs R planum temporale</t>
  </si>
  <si>
    <t>0118</t>
  </si>
  <si>
    <t>25874</t>
  </si>
  <si>
    <t>IDP T1 FAST ROIs L supracalc cortex</t>
  </si>
  <si>
    <t>0119</t>
  </si>
  <si>
    <t>25875</t>
  </si>
  <si>
    <t>IDP T1 FAST ROIs R supracalc cortex</t>
  </si>
  <si>
    <t>0120</t>
  </si>
  <si>
    <t>25876</t>
  </si>
  <si>
    <t>IDP T1 FAST ROIs L occ pole</t>
  </si>
  <si>
    <t>0121</t>
  </si>
  <si>
    <t>25877</t>
  </si>
  <si>
    <t>IDP T1 FAST ROIs R occ pole</t>
  </si>
  <si>
    <t>0122</t>
  </si>
  <si>
    <t>25878</t>
  </si>
  <si>
    <t>IDP T1 FAST ROIs L thalamus</t>
  </si>
  <si>
    <t>0123</t>
  </si>
  <si>
    <t>25879</t>
  </si>
  <si>
    <t>IDP T1 FAST ROIs R thalamus</t>
  </si>
  <si>
    <t>0124</t>
  </si>
  <si>
    <t>25880</t>
  </si>
  <si>
    <t>IDP T1 FAST ROIs L caudate</t>
  </si>
  <si>
    <t>0125</t>
  </si>
  <si>
    <t>25881</t>
  </si>
  <si>
    <t>IDP T1 FAST ROIs R caudate</t>
  </si>
  <si>
    <t>0126</t>
  </si>
  <si>
    <t>25882</t>
  </si>
  <si>
    <t>IDP T1 FAST ROIs L putamen</t>
  </si>
  <si>
    <t>0127</t>
  </si>
  <si>
    <t>25883</t>
  </si>
  <si>
    <t>IDP T1 FAST ROIs R putamen</t>
  </si>
  <si>
    <t>0128</t>
  </si>
  <si>
    <t>25884</t>
  </si>
  <si>
    <t>IDP T1 FAST ROIs L pallidum</t>
  </si>
  <si>
    <t>0129</t>
  </si>
  <si>
    <t>25885</t>
  </si>
  <si>
    <t>IDP T1 FAST ROIs R pallidum</t>
  </si>
  <si>
    <t>0130</t>
  </si>
  <si>
    <t>25886</t>
  </si>
  <si>
    <t>IDP T1 FAST ROIs L hippocampus</t>
  </si>
  <si>
    <t>0131</t>
  </si>
  <si>
    <t>25887</t>
  </si>
  <si>
    <t>IDP T1 FAST ROIs R hippocampus</t>
  </si>
  <si>
    <t>0132</t>
  </si>
  <si>
    <t>25888</t>
  </si>
  <si>
    <t>IDP T1 FAST ROIs L amygdala</t>
  </si>
  <si>
    <t>0133</t>
  </si>
  <si>
    <t>25889</t>
  </si>
  <si>
    <t>IDP T1 FAST ROIs R amygdala</t>
  </si>
  <si>
    <t>0134</t>
  </si>
  <si>
    <t>25890</t>
  </si>
  <si>
    <t>IDP T1 FAST ROIs L ventral striatum</t>
  </si>
  <si>
    <t>0135</t>
  </si>
  <si>
    <t>25891</t>
  </si>
  <si>
    <t>IDP T1 FAST ROIs R ventral striatum</t>
  </si>
  <si>
    <t>0136</t>
  </si>
  <si>
    <t>25892</t>
  </si>
  <si>
    <t>IDP T1 FAST ROIs brain stem</t>
  </si>
  <si>
    <t>0137</t>
  </si>
  <si>
    <t>25893</t>
  </si>
  <si>
    <t>IDP T1 FAST ROIs L cerebellum I-IV</t>
  </si>
  <si>
    <t>0138</t>
  </si>
  <si>
    <t>25894</t>
  </si>
  <si>
    <t>IDP T1 FAST ROIs R cerebellum I-IV</t>
  </si>
  <si>
    <t>0139</t>
  </si>
  <si>
    <t>25895</t>
  </si>
  <si>
    <t>IDP T1 FAST ROIs L cerebellum V</t>
  </si>
  <si>
    <t>0140</t>
  </si>
  <si>
    <t>25896</t>
  </si>
  <si>
    <t>IDP T1 FAST ROIs R cerebellum V</t>
  </si>
  <si>
    <t>0141</t>
  </si>
  <si>
    <t>25897</t>
  </si>
  <si>
    <t>IDP T1 FAST ROIs L cerebellum VI</t>
  </si>
  <si>
    <t>0142</t>
  </si>
  <si>
    <t>25898</t>
  </si>
  <si>
    <t>IDP T1 FAST ROIs V cerebellum VI</t>
  </si>
  <si>
    <t>0143</t>
  </si>
  <si>
    <t>25899</t>
  </si>
  <si>
    <t>IDP T1 FAST ROIs R cerebellum VI</t>
  </si>
  <si>
    <t>0144</t>
  </si>
  <si>
    <t>25900</t>
  </si>
  <si>
    <t>IDP T1 FAST ROIs L cerebellum crus I</t>
  </si>
  <si>
    <t>0145</t>
  </si>
  <si>
    <t>25901</t>
  </si>
  <si>
    <t>IDP T1 FAST ROIs V cerebellum crus I</t>
  </si>
  <si>
    <t>0146</t>
  </si>
  <si>
    <t>25902</t>
  </si>
  <si>
    <t>IDP T1 FAST ROIs R cerebellum crus I</t>
  </si>
  <si>
    <t>0147</t>
  </si>
  <si>
    <t>25903</t>
  </si>
  <si>
    <t>IDP T1 FAST ROIs L cerebellum crus II</t>
  </si>
  <si>
    <t>0148</t>
  </si>
  <si>
    <t>25904</t>
  </si>
  <si>
    <t>IDP T1 FAST ROIs V cerebellum crus II</t>
  </si>
  <si>
    <t>0149</t>
  </si>
  <si>
    <t>25905</t>
  </si>
  <si>
    <t>IDP T1 FAST ROIs R cerebellum crus II</t>
  </si>
  <si>
    <t>0150</t>
  </si>
  <si>
    <t>25906</t>
  </si>
  <si>
    <t>IDP T1 FAST ROIs L cerebellum VIIb</t>
  </si>
  <si>
    <t>0151</t>
  </si>
  <si>
    <t>25907</t>
  </si>
  <si>
    <t>IDP T1 FAST ROIs V cerebellum VIIb</t>
  </si>
  <si>
    <t>0152</t>
  </si>
  <si>
    <t>25908</t>
  </si>
  <si>
    <t>IDP T1 FAST ROIs R cerebellum VIIb</t>
  </si>
  <si>
    <t>0153</t>
  </si>
  <si>
    <t>25909</t>
  </si>
  <si>
    <t>IDP T1 FAST ROIs L cerebellum VIIIa</t>
  </si>
  <si>
    <t>0154</t>
  </si>
  <si>
    <t>25910</t>
  </si>
  <si>
    <t>IDP T1 FAST ROIs V cerebellum VIIIa</t>
  </si>
  <si>
    <t>0155</t>
  </si>
  <si>
    <t>25911</t>
  </si>
  <si>
    <t>IDP T1 FAST ROIs R cerebellum VIIIa</t>
  </si>
  <si>
    <t>0156</t>
  </si>
  <si>
    <t>25912</t>
  </si>
  <si>
    <t>IDP T1 FAST ROIs L cerebellum VIIIb</t>
  </si>
  <si>
    <t>0157</t>
  </si>
  <si>
    <t>25913</t>
  </si>
  <si>
    <t>IDP T1 FAST ROIs V cerebellum VIIIb</t>
  </si>
  <si>
    <t>0158</t>
  </si>
  <si>
    <t>25914</t>
  </si>
  <si>
    <t>IDP T1 FAST ROIs R cerebellum VIIIb</t>
  </si>
  <si>
    <t>0159</t>
  </si>
  <si>
    <t>25915</t>
  </si>
  <si>
    <t>IDP T1 FAST ROIs L cerebellum IX</t>
  </si>
  <si>
    <t>0160</t>
  </si>
  <si>
    <t>25916</t>
  </si>
  <si>
    <t>IDP T1 FAST ROIs V cerebellum IX</t>
  </si>
  <si>
    <t>0161</t>
  </si>
  <si>
    <t>25917</t>
  </si>
  <si>
    <t>IDP T1 FAST ROIs R cerebellum IX</t>
  </si>
  <si>
    <t>0162</t>
  </si>
  <si>
    <t>25918</t>
  </si>
  <si>
    <t>IDP T1 FAST ROIs L cerebellum X</t>
  </si>
  <si>
    <t>0163</t>
  </si>
  <si>
    <t>25919</t>
  </si>
  <si>
    <t>IDP T1 FAST ROIs V cerebellum X</t>
  </si>
  <si>
    <t>0164</t>
  </si>
  <si>
    <t>25920</t>
  </si>
  <si>
    <t>IDP T1 FAST ROIs R cerebellum X</t>
  </si>
  <si>
    <t>0165</t>
  </si>
  <si>
    <t>26514</t>
  </si>
  <si>
    <t>aseg global volume BrainSeg</t>
  </si>
  <si>
    <t>0166</t>
  </si>
  <si>
    <t>26515</t>
  </si>
  <si>
    <t>aseg global volume BrainSegNotVent</t>
  </si>
  <si>
    <t>0167</t>
  </si>
  <si>
    <t>26516</t>
  </si>
  <si>
    <t>aseg global volume BrainSegNotVentSurf</t>
  </si>
  <si>
    <t>0168</t>
  </si>
  <si>
    <t>26517</t>
  </si>
  <si>
    <t>aseg global volume SubCortGray</t>
  </si>
  <si>
    <t>0169</t>
  </si>
  <si>
    <t>26518</t>
  </si>
  <si>
    <t>aseg global volume TotalGray</t>
  </si>
  <si>
    <t>0170</t>
  </si>
  <si>
    <t>26519</t>
  </si>
  <si>
    <t>aseg global volume SupraTentorial</t>
  </si>
  <si>
    <t>0171</t>
  </si>
  <si>
    <t>26520</t>
  </si>
  <si>
    <t>aseg global volume SupraTentorialNotVent</t>
  </si>
  <si>
    <t>0172</t>
  </si>
  <si>
    <t>26521</t>
  </si>
  <si>
    <t>aseg global volume EstimatedTotalIntraCranial</t>
  </si>
  <si>
    <t>0173</t>
  </si>
  <si>
    <t>26522</t>
  </si>
  <si>
    <t>aseg global volume VentricleChoroid</t>
  </si>
  <si>
    <t>0174</t>
  </si>
  <si>
    <t>26523</t>
  </si>
  <si>
    <t>aseg global volume 3rd-Ventricle</t>
  </si>
  <si>
    <t>0175</t>
  </si>
  <si>
    <t>26524</t>
  </si>
  <si>
    <t>aseg global volume 4th-Ventricle</t>
  </si>
  <si>
    <t>0176</t>
  </si>
  <si>
    <t>26525</t>
  </si>
  <si>
    <t>aseg global volume 5th-Ventricle</t>
  </si>
  <si>
    <t>0177</t>
  </si>
  <si>
    <t>26526</t>
  </si>
  <si>
    <t>aseg global volume Brain-Stem</t>
  </si>
  <si>
    <t>0178</t>
  </si>
  <si>
    <t>26527</t>
  </si>
  <si>
    <t>aseg global volume CSF</t>
  </si>
  <si>
    <t>0179</t>
  </si>
  <si>
    <t>26528</t>
  </si>
  <si>
    <t>aseg global volume WM-hypointensities</t>
  </si>
  <si>
    <t>0180</t>
  </si>
  <si>
    <t>26529</t>
  </si>
  <si>
    <t>aseg global volume non-WM-hypointensities</t>
  </si>
  <si>
    <t>0181</t>
  </si>
  <si>
    <t>26530</t>
  </si>
  <si>
    <t>aseg global volume Optic-Chiasm</t>
  </si>
  <si>
    <t>0182</t>
  </si>
  <si>
    <t>26531</t>
  </si>
  <si>
    <t>aseg global volume CC-Posterior</t>
  </si>
  <si>
    <t>0183</t>
  </si>
  <si>
    <t>26532</t>
  </si>
  <si>
    <t>aseg global volume CC-Mid-Posterior</t>
  </si>
  <si>
    <t>0184</t>
  </si>
  <si>
    <t>26533</t>
  </si>
  <si>
    <t>aseg global volume CC-Central</t>
  </si>
  <si>
    <t>0185</t>
  </si>
  <si>
    <t>26534</t>
  </si>
  <si>
    <t>aseg global volume CC-Mid-Anterior</t>
  </si>
  <si>
    <t>0186</t>
  </si>
  <si>
    <t>26535</t>
  </si>
  <si>
    <t>aseg global volume CC-Anterior</t>
  </si>
  <si>
    <t>0187</t>
  </si>
  <si>
    <t>26536</t>
  </si>
  <si>
    <t>aseg global volume-ratio BrainSegVol-to-eTIV</t>
  </si>
  <si>
    <t>0188</t>
  </si>
  <si>
    <t>26537</t>
  </si>
  <si>
    <t>aseg global volume-ratio MaskVol-to-eTIV</t>
  </si>
  <si>
    <t>0189</t>
  </si>
  <si>
    <t>26552</t>
  </si>
  <si>
    <t>aseg lh volume Cortex</t>
  </si>
  <si>
    <t>0190</t>
  </si>
  <si>
    <t>26553</t>
  </si>
  <si>
    <t>aseg lh volume CerebralWhiteMatter</t>
  </si>
  <si>
    <t>0191</t>
  </si>
  <si>
    <t>26554</t>
  </si>
  <si>
    <t>aseg lh volume Lateral-Ventricle</t>
  </si>
  <si>
    <t>0192</t>
  </si>
  <si>
    <t>26555</t>
  </si>
  <si>
    <t>aseg lh volume Inf-Lat-Vent</t>
  </si>
  <si>
    <t>0193</t>
  </si>
  <si>
    <t>26556</t>
  </si>
  <si>
    <t>aseg lh volume Cerebellum-White-Matter</t>
  </si>
  <si>
    <t>0194</t>
  </si>
  <si>
    <t>26557</t>
  </si>
  <si>
    <t>aseg lh volume Cerebellum-Cortex</t>
  </si>
  <si>
    <t>0195</t>
  </si>
  <si>
    <t>26558</t>
  </si>
  <si>
    <t>aseg lh volume Thalamus-Proper</t>
  </si>
  <si>
    <t>0196</t>
  </si>
  <si>
    <t>26559</t>
  </si>
  <si>
    <t>aseg lh volume Caudate</t>
  </si>
  <si>
    <t>0197</t>
  </si>
  <si>
    <t>26560</t>
  </si>
  <si>
    <t>aseg lh volume Putamen</t>
  </si>
  <si>
    <t>0198</t>
  </si>
  <si>
    <t>26561</t>
  </si>
  <si>
    <t>aseg lh volume Pallidum</t>
  </si>
  <si>
    <t>0199</t>
  </si>
  <si>
    <t>26562</t>
  </si>
  <si>
    <t>aseg lh volume Hippocampus</t>
  </si>
  <si>
    <t>0200</t>
  </si>
  <si>
    <t>26563</t>
  </si>
  <si>
    <t>aseg lh volume Amygdala</t>
  </si>
  <si>
    <t>0201</t>
  </si>
  <si>
    <t>26564</t>
  </si>
  <si>
    <t>aseg lh volume Accumbens-area</t>
  </si>
  <si>
    <t>0202</t>
  </si>
  <si>
    <t>26565</t>
  </si>
  <si>
    <t>aseg lh volume VentralDC</t>
  </si>
  <si>
    <t>0203</t>
  </si>
  <si>
    <t>26566</t>
  </si>
  <si>
    <t>aseg lh volume vessel</t>
  </si>
  <si>
    <t>0204</t>
  </si>
  <si>
    <t>26567</t>
  </si>
  <si>
    <t>aseg lh volume choroid-plexus</t>
  </si>
  <si>
    <t>0205</t>
  </si>
  <si>
    <t>26568</t>
  </si>
  <si>
    <t>aseg lh number HolesBeforeFixing</t>
  </si>
  <si>
    <t>0206</t>
  </si>
  <si>
    <t>26583</t>
  </si>
  <si>
    <t>aseg rh volume Cortex</t>
  </si>
  <si>
    <t>0207</t>
  </si>
  <si>
    <t>26584</t>
  </si>
  <si>
    <t>aseg rh volume CerebralWhiteMatter</t>
  </si>
  <si>
    <t>0208</t>
  </si>
  <si>
    <t>26585</t>
  </si>
  <si>
    <t>aseg rh volume Lateral-Ventricle</t>
  </si>
  <si>
    <t>0209</t>
  </si>
  <si>
    <t>26586</t>
  </si>
  <si>
    <t>aseg rh volume Inf-Lat-Vent</t>
  </si>
  <si>
    <t>0210</t>
  </si>
  <si>
    <t>26587</t>
  </si>
  <si>
    <t>aseg rh volume Cerebellum-White-Matter</t>
  </si>
  <si>
    <t>0211</t>
  </si>
  <si>
    <t>26588</t>
  </si>
  <si>
    <t>aseg rh volume Cerebellum-Cortex</t>
  </si>
  <si>
    <t>0212</t>
  </si>
  <si>
    <t>26589</t>
  </si>
  <si>
    <t>aseg rh volume Thalamus-Proper</t>
  </si>
  <si>
    <t>0213</t>
  </si>
  <si>
    <t>26590</t>
  </si>
  <si>
    <t>aseg rh volume Caudate</t>
  </si>
  <si>
    <t>0214</t>
  </si>
  <si>
    <t>26591</t>
  </si>
  <si>
    <t>aseg rh volume Putamen</t>
  </si>
  <si>
    <t>0215</t>
  </si>
  <si>
    <t>26592</t>
  </si>
  <si>
    <t>aseg rh volume Pallidum</t>
  </si>
  <si>
    <t>0216</t>
  </si>
  <si>
    <t>26593</t>
  </si>
  <si>
    <t>aseg rh volume Hippocampus</t>
  </si>
  <si>
    <t>0217</t>
  </si>
  <si>
    <t>26594</t>
  </si>
  <si>
    <t>aseg rh volume Amygdala</t>
  </si>
  <si>
    <t>0218</t>
  </si>
  <si>
    <t>26595</t>
  </si>
  <si>
    <t>aseg rh volume Accumbens-area</t>
  </si>
  <si>
    <t>0219</t>
  </si>
  <si>
    <t>26596</t>
  </si>
  <si>
    <t>aseg rh volume VentralDC</t>
  </si>
  <si>
    <t>0220</t>
  </si>
  <si>
    <t>26597</t>
  </si>
  <si>
    <t>aseg rh volume vessel</t>
  </si>
  <si>
    <t>0221</t>
  </si>
  <si>
    <t>26598</t>
  </si>
  <si>
    <t>aseg rh volume choroid-plexus</t>
  </si>
  <si>
    <t>0222</t>
  </si>
  <si>
    <t>26599</t>
  </si>
  <si>
    <t>aseg rh number HolesBeforeFixing</t>
  </si>
  <si>
    <t>0223</t>
  </si>
  <si>
    <t>26600</t>
  </si>
  <si>
    <t>AmygNuclei lh volume Lateral-nucleus</t>
  </si>
  <si>
    <t>0224</t>
  </si>
  <si>
    <t>26601</t>
  </si>
  <si>
    <t>AmygNuclei lh volume Basal-nucleus</t>
  </si>
  <si>
    <t>0225</t>
  </si>
  <si>
    <t>26602</t>
  </si>
  <si>
    <t>AmygNuclei lh volume Accessory-Basal-nucleus</t>
  </si>
  <si>
    <t>0226</t>
  </si>
  <si>
    <t>26603</t>
  </si>
  <si>
    <t>AmygNuclei lh volume Anterior-amygdaloid-area-AAA</t>
  </si>
  <si>
    <t>0227</t>
  </si>
  <si>
    <t>26604</t>
  </si>
  <si>
    <t>AmygNuclei lh volume Central-nucleus</t>
  </si>
  <si>
    <t>0228</t>
  </si>
  <si>
    <t>26605</t>
  </si>
  <si>
    <t>AmygNuclei lh volume Medial-nucleus</t>
  </si>
  <si>
    <t>0229</t>
  </si>
  <si>
    <t>26606</t>
  </si>
  <si>
    <t>AmygNuclei lh volume Cortical-nucleus</t>
  </si>
  <si>
    <t>0230</t>
  </si>
  <si>
    <t>26607</t>
  </si>
  <si>
    <t>AmygNuclei lh volume Corticoamygdaloid-transitio</t>
  </si>
  <si>
    <t>0231</t>
  </si>
  <si>
    <t>26608</t>
  </si>
  <si>
    <t>AmygNuclei lh volume Paralaminar-nucleus</t>
  </si>
  <si>
    <t>0232</t>
  </si>
  <si>
    <t>26609</t>
  </si>
  <si>
    <t>AmygNuclei lh volume Whole-amygdala</t>
  </si>
  <si>
    <t>0233</t>
  </si>
  <si>
    <t>26610</t>
  </si>
  <si>
    <t>AmygNuclei rh volume Lateral-nucleus</t>
  </si>
  <si>
    <t>0234</t>
  </si>
  <si>
    <t>26611</t>
  </si>
  <si>
    <t>AmygNuclei rh volume Basal-nucleus</t>
  </si>
  <si>
    <t>0235</t>
  </si>
  <si>
    <t>26612</t>
  </si>
  <si>
    <t>AmygNuclei rh volume Accessory-Basal-nucleus</t>
  </si>
  <si>
    <t>0236</t>
  </si>
  <si>
    <t>26613</t>
  </si>
  <si>
    <t>AmygNuclei rh volume Anterior-amygdaloid-area-AAA</t>
  </si>
  <si>
    <t>0237</t>
  </si>
  <si>
    <t>26614</t>
  </si>
  <si>
    <t>AmygNuclei rh volume Central-nucleus</t>
  </si>
  <si>
    <t>0238</t>
  </si>
  <si>
    <t>26615</t>
  </si>
  <si>
    <t>AmygNuclei rh volume Medial-nucleus</t>
  </si>
  <si>
    <t>0239</t>
  </si>
  <si>
    <t>26616</t>
  </si>
  <si>
    <t>AmygNuclei rh volume Cortical-nucleus</t>
  </si>
  <si>
    <t>0240</t>
  </si>
  <si>
    <t>26617</t>
  </si>
  <si>
    <t>AmygNuclei rh volume Corticoamygdaloid-transitio</t>
  </si>
  <si>
    <t>0241</t>
  </si>
  <si>
    <t>26618</t>
  </si>
  <si>
    <t>AmygNuclei rh volume Paralaminar-nucleus</t>
  </si>
  <si>
    <t>0242</t>
  </si>
  <si>
    <t>26619</t>
  </si>
  <si>
    <t>AmygNuclei rh volume Whole-amygdala</t>
  </si>
  <si>
    <t>0243</t>
  </si>
  <si>
    <t>26620</t>
  </si>
  <si>
    <t>HippSubfield lh volume Hippocampal-tail</t>
  </si>
  <si>
    <t>0244</t>
  </si>
  <si>
    <t>26621</t>
  </si>
  <si>
    <t>HippSubfield lh volume subiculum-body</t>
  </si>
  <si>
    <t>0245</t>
  </si>
  <si>
    <t>26622</t>
  </si>
  <si>
    <t>HippSubfield lh volume CA1-body</t>
  </si>
  <si>
    <t>0246</t>
  </si>
  <si>
    <t>26623</t>
  </si>
  <si>
    <t>HippSubfield lh volume subiculum-head</t>
  </si>
  <si>
    <t>0247</t>
  </si>
  <si>
    <t>26624</t>
  </si>
  <si>
    <t>HippSubfield lh volume hippocampal-fissure</t>
  </si>
  <si>
    <t>0248</t>
  </si>
  <si>
    <t>26625</t>
  </si>
  <si>
    <t>HippSubfield lh volume presubiculum-head</t>
  </si>
  <si>
    <t>0249</t>
  </si>
  <si>
    <t>26626</t>
  </si>
  <si>
    <t>HippSubfield lh volume CA1-head</t>
  </si>
  <si>
    <t>0250</t>
  </si>
  <si>
    <t>26627</t>
  </si>
  <si>
    <t>HippSubfield lh volume presubiculum-body</t>
  </si>
  <si>
    <t>0251</t>
  </si>
  <si>
    <t>26628</t>
  </si>
  <si>
    <t>HippSubfield lh volume parasubiculum</t>
  </si>
  <si>
    <t>0252</t>
  </si>
  <si>
    <t>26629</t>
  </si>
  <si>
    <t>HippSubfield lh volume molecular-layer-HP-head</t>
  </si>
  <si>
    <t>0253</t>
  </si>
  <si>
    <t>26630</t>
  </si>
  <si>
    <t>HippSubfield lh volume molecular-layer-HP-body</t>
  </si>
  <si>
    <t>0254</t>
  </si>
  <si>
    <t>26631</t>
  </si>
  <si>
    <t>HippSubfield lh volume GC-ML-DG-head</t>
  </si>
  <si>
    <t>0255</t>
  </si>
  <si>
    <t>26632</t>
  </si>
  <si>
    <t>HippSubfield lh volume CA3-body</t>
  </si>
  <si>
    <t>0256</t>
  </si>
  <si>
    <t>26633</t>
  </si>
  <si>
    <t>HippSubfield lh volume GC-ML-DG-body</t>
  </si>
  <si>
    <t>0257</t>
  </si>
  <si>
    <t>26634</t>
  </si>
  <si>
    <t>HippSubfield lh volume CA4-head</t>
  </si>
  <si>
    <t>0258</t>
  </si>
  <si>
    <t>26635</t>
  </si>
  <si>
    <t>HippSubfield lh volume CA4-body</t>
  </si>
  <si>
    <t>0259</t>
  </si>
  <si>
    <t>26636</t>
  </si>
  <si>
    <t>HippSubfield lh volume fimbria</t>
  </si>
  <si>
    <t>0260</t>
  </si>
  <si>
    <t>26637</t>
  </si>
  <si>
    <t>HippSubfield lh volume CA3-head</t>
  </si>
  <si>
    <t>0261</t>
  </si>
  <si>
    <t>26638</t>
  </si>
  <si>
    <t>HippSubfield lh volume HATA</t>
  </si>
  <si>
    <t>0262</t>
  </si>
  <si>
    <t>26639</t>
  </si>
  <si>
    <t>HippSubfield lh volume Whole-hippocampal-body</t>
  </si>
  <si>
    <t>0263</t>
  </si>
  <si>
    <t>26640</t>
  </si>
  <si>
    <t>HippSubfield lh volume Whole-hippocampal-head</t>
  </si>
  <si>
    <t>0264</t>
  </si>
  <si>
    <t>26641</t>
  </si>
  <si>
    <t>HippSubfield lh volume Whole-hippocampus</t>
  </si>
  <si>
    <t>0265</t>
  </si>
  <si>
    <t>26642</t>
  </si>
  <si>
    <t>HippSubfield rh volume Hippocampal-tail</t>
  </si>
  <si>
    <t>0266</t>
  </si>
  <si>
    <t>26643</t>
  </si>
  <si>
    <t>HippSubfield rh volume subiculum-body</t>
  </si>
  <si>
    <t>0267</t>
  </si>
  <si>
    <t>26644</t>
  </si>
  <si>
    <t>HippSubfield rh volume CA1-body</t>
  </si>
  <si>
    <t>0268</t>
  </si>
  <si>
    <t>26645</t>
  </si>
  <si>
    <t>HippSubfield rh volume subiculum-head</t>
  </si>
  <si>
    <t>0269</t>
  </si>
  <si>
    <t>26646</t>
  </si>
  <si>
    <t>HippSubfield rh volume hippocampal-fissure</t>
  </si>
  <si>
    <t>0270</t>
  </si>
  <si>
    <t>26647</t>
  </si>
  <si>
    <t>HippSubfield rh volume presubiculum-head</t>
  </si>
  <si>
    <t>0271</t>
  </si>
  <si>
    <t>26648</t>
  </si>
  <si>
    <t>HippSubfield rh volume CA1-head</t>
  </si>
  <si>
    <t>0272</t>
  </si>
  <si>
    <t>26649</t>
  </si>
  <si>
    <t>HippSubfield rh volume presubiculum-body</t>
  </si>
  <si>
    <t>0273</t>
  </si>
  <si>
    <t>26650</t>
  </si>
  <si>
    <t>HippSubfield rh volume parasubiculum</t>
  </si>
  <si>
    <t>0274</t>
  </si>
  <si>
    <t>26651</t>
  </si>
  <si>
    <t>HippSubfield rh volume molecular-layer-HP-head</t>
  </si>
  <si>
    <t>0275</t>
  </si>
  <si>
    <t>26652</t>
  </si>
  <si>
    <t>HippSubfield rh volume molecular-layer-HP-body</t>
  </si>
  <si>
    <t>0276</t>
  </si>
  <si>
    <t>26653</t>
  </si>
  <si>
    <t>HippSubfield rh volume GC-ML-DG-head</t>
  </si>
  <si>
    <t>0277</t>
  </si>
  <si>
    <t>26654</t>
  </si>
  <si>
    <t>HippSubfield rh volume CA3-body</t>
  </si>
  <si>
    <t>0278</t>
  </si>
  <si>
    <t>26655</t>
  </si>
  <si>
    <t>HippSubfield rh volume GC-ML-DG-body</t>
  </si>
  <si>
    <t>0279</t>
  </si>
  <si>
    <t>26656</t>
  </si>
  <si>
    <t>HippSubfield rh volume CA4-head</t>
  </si>
  <si>
    <t>0280</t>
  </si>
  <si>
    <t>26657</t>
  </si>
  <si>
    <t>HippSubfield rh volume CA4-body</t>
  </si>
  <si>
    <t>0281</t>
  </si>
  <si>
    <t>26658</t>
  </si>
  <si>
    <t>HippSubfield rh volume fimbria</t>
  </si>
  <si>
    <t>0282</t>
  </si>
  <si>
    <t>26659</t>
  </si>
  <si>
    <t>HippSubfield rh volume CA3-head</t>
  </si>
  <si>
    <t>0283</t>
  </si>
  <si>
    <t>26660</t>
  </si>
  <si>
    <t>HippSubfield rh volume HATA</t>
  </si>
  <si>
    <t>0284</t>
  </si>
  <si>
    <t>26661</t>
  </si>
  <si>
    <t>HippSubfield rh volume Whole-hippocampal-body</t>
  </si>
  <si>
    <t>0285</t>
  </si>
  <si>
    <t>26662</t>
  </si>
  <si>
    <t>HippSubfield rh volume Whole-hippocampal-head</t>
  </si>
  <si>
    <t>0286</t>
  </si>
  <si>
    <t>26663</t>
  </si>
  <si>
    <t>HippSubfield rh volume Whole-hippocampus</t>
  </si>
  <si>
    <t>0287</t>
  </si>
  <si>
    <t>26664</t>
  </si>
  <si>
    <t>ThalamNuclei lh volume MGN</t>
  </si>
  <si>
    <t>0288</t>
  </si>
  <si>
    <t>26665</t>
  </si>
  <si>
    <t>ThalamNuclei lh volume LGN</t>
  </si>
  <si>
    <t>0289</t>
  </si>
  <si>
    <t>26666</t>
  </si>
  <si>
    <t>ThalamNuclei lh volume PuI</t>
  </si>
  <si>
    <t>0290</t>
  </si>
  <si>
    <t>26667</t>
  </si>
  <si>
    <t>ThalamNuclei lh volume PuM</t>
  </si>
  <si>
    <t>0291</t>
  </si>
  <si>
    <t>26668</t>
  </si>
  <si>
    <t>ThalamNuclei lh volume L-Sg</t>
  </si>
  <si>
    <t>0292</t>
  </si>
  <si>
    <t>26669</t>
  </si>
  <si>
    <t>ThalamNuclei lh volume VPL</t>
  </si>
  <si>
    <t>0293</t>
  </si>
  <si>
    <t>26670</t>
  </si>
  <si>
    <t>ThalamNuclei lh volume CM</t>
  </si>
  <si>
    <t>0294</t>
  </si>
  <si>
    <t>26671</t>
  </si>
  <si>
    <t>ThalamNuclei lh volume VLa</t>
  </si>
  <si>
    <t>0295</t>
  </si>
  <si>
    <t>26672</t>
  </si>
  <si>
    <t>ThalamNuclei lh volume PuA</t>
  </si>
  <si>
    <t>0296</t>
  </si>
  <si>
    <t>26673</t>
  </si>
  <si>
    <t>ThalamNuclei lh volume MDm</t>
  </si>
  <si>
    <t>0297</t>
  </si>
  <si>
    <t>26674</t>
  </si>
  <si>
    <t>ThalamNuclei lh volume Pf</t>
  </si>
  <si>
    <t>0298</t>
  </si>
  <si>
    <t>26675</t>
  </si>
  <si>
    <t>ThalamNuclei lh volume VAmc</t>
  </si>
  <si>
    <t>0299</t>
  </si>
  <si>
    <t>26676</t>
  </si>
  <si>
    <t>ThalamNuclei lh volume MDl</t>
  </si>
  <si>
    <t>0300</t>
  </si>
  <si>
    <t>26677</t>
  </si>
  <si>
    <t>ThalamNuclei lh volume CeM</t>
  </si>
  <si>
    <t>0301</t>
  </si>
  <si>
    <t>26678</t>
  </si>
  <si>
    <t>ThalamNuclei lh volume VA</t>
  </si>
  <si>
    <t>0302</t>
  </si>
  <si>
    <t>26679</t>
  </si>
  <si>
    <t>ThalamNuclei lh volume MV(Re)</t>
  </si>
  <si>
    <t>0303</t>
  </si>
  <si>
    <t>26680</t>
  </si>
  <si>
    <t>ThalamNuclei lh volume VM</t>
  </si>
  <si>
    <t>0304</t>
  </si>
  <si>
    <t>26681</t>
  </si>
  <si>
    <t>ThalamNuclei lh volume CL</t>
  </si>
  <si>
    <t>0305</t>
  </si>
  <si>
    <t>26682</t>
  </si>
  <si>
    <t>ThalamNuclei lh volume PuL</t>
  </si>
  <si>
    <t>0306</t>
  </si>
  <si>
    <t>26683</t>
  </si>
  <si>
    <t>ThalamNuclei lh volume Pt</t>
  </si>
  <si>
    <t>0307</t>
  </si>
  <si>
    <t>26684</t>
  </si>
  <si>
    <t>ThalamNuclei lh volume AV</t>
  </si>
  <si>
    <t>0308</t>
  </si>
  <si>
    <t>26685</t>
  </si>
  <si>
    <t>ThalamNuclei lh volume Pc</t>
  </si>
  <si>
    <t>0309</t>
  </si>
  <si>
    <t>26686</t>
  </si>
  <si>
    <t>ThalamNuclei lh volume VLp</t>
  </si>
  <si>
    <t>0310</t>
  </si>
  <si>
    <t>26687</t>
  </si>
  <si>
    <t>ThalamNuclei lh volume LP</t>
  </si>
  <si>
    <t>0311</t>
  </si>
  <si>
    <t>26688</t>
  </si>
  <si>
    <t>ThalamNuclei rh volume LGN</t>
  </si>
  <si>
    <t>0312</t>
  </si>
  <si>
    <t>26689</t>
  </si>
  <si>
    <t>ThalamNuclei rh volume MGN</t>
  </si>
  <si>
    <t>0313</t>
  </si>
  <si>
    <t>26690</t>
  </si>
  <si>
    <t>ThalamNuclei rh volume PuI</t>
  </si>
  <si>
    <t>0314</t>
  </si>
  <si>
    <t>26691</t>
  </si>
  <si>
    <t>ThalamNuclei rh volume PuM</t>
  </si>
  <si>
    <t>0315</t>
  </si>
  <si>
    <t>26692</t>
  </si>
  <si>
    <t>ThalamNuclei rh volume L-Sg</t>
  </si>
  <si>
    <t>0316</t>
  </si>
  <si>
    <t>26693</t>
  </si>
  <si>
    <t>ThalamNuclei rh volume VPL</t>
  </si>
  <si>
    <t>0317</t>
  </si>
  <si>
    <t>26694</t>
  </si>
  <si>
    <t>ThalamNuclei rh volume CM</t>
  </si>
  <si>
    <t>0318</t>
  </si>
  <si>
    <t>26695</t>
  </si>
  <si>
    <t>ThalamNuclei rh volume VLa</t>
  </si>
  <si>
    <t>0319</t>
  </si>
  <si>
    <t>26696</t>
  </si>
  <si>
    <t>ThalamNuclei rh volume PuA</t>
  </si>
  <si>
    <t>0320</t>
  </si>
  <si>
    <t>26697</t>
  </si>
  <si>
    <t>ThalamNuclei rh volume MDm</t>
  </si>
  <si>
    <t>0321</t>
  </si>
  <si>
    <t>26698</t>
  </si>
  <si>
    <t>ThalamNuclei rh volume Pf</t>
  </si>
  <si>
    <t>0322</t>
  </si>
  <si>
    <t>26699</t>
  </si>
  <si>
    <t>ThalamNuclei rh volume VAmc</t>
  </si>
  <si>
    <t>0323</t>
  </si>
  <si>
    <t>26700</t>
  </si>
  <si>
    <t>ThalamNuclei rh volume MDl</t>
  </si>
  <si>
    <t>0324</t>
  </si>
  <si>
    <t>26701</t>
  </si>
  <si>
    <t>ThalamNuclei rh volume VA</t>
  </si>
  <si>
    <t>0325</t>
  </si>
  <si>
    <t>26702</t>
  </si>
  <si>
    <t>ThalamNuclei rh volume MV(Re)</t>
  </si>
  <si>
    <t>0326</t>
  </si>
  <si>
    <t>26703</t>
  </si>
  <si>
    <t>ThalamNuclei rh volume CeM</t>
  </si>
  <si>
    <t>0327</t>
  </si>
  <si>
    <t>26704</t>
  </si>
  <si>
    <t>ThalamNuclei rh volume VM</t>
  </si>
  <si>
    <t>0328</t>
  </si>
  <si>
    <t>26705</t>
  </si>
  <si>
    <t>ThalamNuclei rh volume PuL</t>
  </si>
  <si>
    <t>0329</t>
  </si>
  <si>
    <t>26706</t>
  </si>
  <si>
    <t>ThalamNuclei rh volume CL</t>
  </si>
  <si>
    <t>0330</t>
  </si>
  <si>
    <t>26707</t>
  </si>
  <si>
    <t>ThalamNuclei rh volume VLp</t>
  </si>
  <si>
    <t>0331</t>
  </si>
  <si>
    <t>26708</t>
  </si>
  <si>
    <t>ThalamNuclei rh volume Pc</t>
  </si>
  <si>
    <t>0332</t>
  </si>
  <si>
    <t>26709</t>
  </si>
  <si>
    <t>ThalamNuclei rh volume Pt</t>
  </si>
  <si>
    <t>0333</t>
  </si>
  <si>
    <t>26710</t>
  </si>
  <si>
    <t>ThalamNuclei rh volume AV</t>
  </si>
  <si>
    <t>0334</t>
  </si>
  <si>
    <t>26711</t>
  </si>
  <si>
    <t>ThalamNuclei rh volume LP</t>
  </si>
  <si>
    <t>0335</t>
  </si>
  <si>
    <t>26712</t>
  </si>
  <si>
    <t>ThalamNuclei lh volume LD</t>
  </si>
  <si>
    <t>0336</t>
  </si>
  <si>
    <t>26713</t>
  </si>
  <si>
    <t>ThalamNuclei rh volume LD</t>
  </si>
  <si>
    <t>0337</t>
  </si>
  <si>
    <t>26714</t>
  </si>
  <si>
    <t>ThalamNuclei lh volume Whole-thalamus</t>
  </si>
  <si>
    <t>0338</t>
  </si>
  <si>
    <t>26715</t>
  </si>
  <si>
    <t>ThalamNuclei rh volume Whole-thalamus</t>
  </si>
  <si>
    <t>0339</t>
  </si>
  <si>
    <t>26716</t>
  </si>
  <si>
    <t>Brainstem global volume Medulla</t>
  </si>
  <si>
    <t>0340</t>
  </si>
  <si>
    <t>26717</t>
  </si>
  <si>
    <t>Brainstem global volume Pons</t>
  </si>
  <si>
    <t>0341</t>
  </si>
  <si>
    <t>26718</t>
  </si>
  <si>
    <t>Brainstem global volume SCP</t>
  </si>
  <si>
    <t>0342</t>
  </si>
  <si>
    <t>26719</t>
  </si>
  <si>
    <t>Brainstem global volume Midbrain</t>
  </si>
  <si>
    <t>0343</t>
  </si>
  <si>
    <t>26720</t>
  </si>
  <si>
    <t>Brainstem global volume Whole-brainstem</t>
  </si>
  <si>
    <t>0344</t>
  </si>
  <si>
    <t>26789</t>
  </si>
  <si>
    <t>aparc-Desikan lh volume bankssts</t>
  </si>
  <si>
    <t>0345</t>
  </si>
  <si>
    <t>26790</t>
  </si>
  <si>
    <t>aparc-Desikan lh volume caudalanteriorcingulate</t>
  </si>
  <si>
    <t>0346</t>
  </si>
  <si>
    <t>26791</t>
  </si>
  <si>
    <t>aparc-Desikan lh volume caudalmiddlefrontal</t>
  </si>
  <si>
    <t>0347</t>
  </si>
  <si>
    <t>26792</t>
  </si>
  <si>
    <t>aparc-Desikan lh volume cuneus</t>
  </si>
  <si>
    <t>0348</t>
  </si>
  <si>
    <t>26793</t>
  </si>
  <si>
    <t>aparc-Desikan lh volume entorhinal</t>
  </si>
  <si>
    <t>0349</t>
  </si>
  <si>
    <t>26794</t>
  </si>
  <si>
    <t>aparc-Desikan lh volume fusiform</t>
  </si>
  <si>
    <t>0350</t>
  </si>
  <si>
    <t>26795</t>
  </si>
  <si>
    <t>aparc-Desikan lh volume inferiorparietal</t>
  </si>
  <si>
    <t>0351</t>
  </si>
  <si>
    <t>26796</t>
  </si>
  <si>
    <t>aparc-Desikan lh volume inferiortemporal</t>
  </si>
  <si>
    <t>0352</t>
  </si>
  <si>
    <t>26797</t>
  </si>
  <si>
    <t>aparc-Desikan lh volume isthmuscingulate</t>
  </si>
  <si>
    <t>0353</t>
  </si>
  <si>
    <t>26798</t>
  </si>
  <si>
    <t>aparc-Desikan lh volume lateraloccipital</t>
  </si>
  <si>
    <t>0354</t>
  </si>
  <si>
    <t>26799</t>
  </si>
  <si>
    <t>aparc-Desikan lh volume lateralorbitofrontal</t>
  </si>
  <si>
    <t>0355</t>
  </si>
  <si>
    <t>26800</t>
  </si>
  <si>
    <t>aparc-Desikan lh volume lingual</t>
  </si>
  <si>
    <t>0356</t>
  </si>
  <si>
    <t>26801</t>
  </si>
  <si>
    <t>aparc-Desikan lh volume medialorbitofrontal</t>
  </si>
  <si>
    <t>0357</t>
  </si>
  <si>
    <t>26802</t>
  </si>
  <si>
    <t>aparc-Desikan lh volume middletemporal</t>
  </si>
  <si>
    <t>0358</t>
  </si>
  <si>
    <t>26803</t>
  </si>
  <si>
    <t>aparc-Desikan lh volume parahippocampal</t>
  </si>
  <si>
    <t>0359</t>
  </si>
  <si>
    <t>26804</t>
  </si>
  <si>
    <t>aparc-Desikan lh volume paracentral</t>
  </si>
  <si>
    <t>0360</t>
  </si>
  <si>
    <t>26805</t>
  </si>
  <si>
    <t>aparc-Desikan lh volume parsopercularis</t>
  </si>
  <si>
    <t>0361</t>
  </si>
  <si>
    <t>26806</t>
  </si>
  <si>
    <t>aparc-Desikan lh volume parsorbitalis</t>
  </si>
  <si>
    <t>0362</t>
  </si>
  <si>
    <t>26807</t>
  </si>
  <si>
    <t>aparc-Desikan lh volume parstriangularis</t>
  </si>
  <si>
    <t>0363</t>
  </si>
  <si>
    <t>26808</t>
  </si>
  <si>
    <t>aparc-Desikan lh volume pericalcarine</t>
  </si>
  <si>
    <t>0364</t>
  </si>
  <si>
    <t>26809</t>
  </si>
  <si>
    <t>aparc-Desikan lh volume postcentral</t>
  </si>
  <si>
    <t>0365</t>
  </si>
  <si>
    <t>26810</t>
  </si>
  <si>
    <t>aparc-Desikan lh volume posteriorcingulate</t>
  </si>
  <si>
    <t>0366</t>
  </si>
  <si>
    <t>26811</t>
  </si>
  <si>
    <t>aparc-Desikan lh volume precentral</t>
  </si>
  <si>
    <t>0367</t>
  </si>
  <si>
    <t>26812</t>
  </si>
  <si>
    <t>aparc-Desikan lh volume precuneus</t>
  </si>
  <si>
    <t>0368</t>
  </si>
  <si>
    <t>26813</t>
  </si>
  <si>
    <t>aparc-Desikan lh volume rostralanteriorcingulate</t>
  </si>
  <si>
    <t>0369</t>
  </si>
  <si>
    <t>26814</t>
  </si>
  <si>
    <t>aparc-Desikan lh volume rostralmiddlefrontal</t>
  </si>
  <si>
    <t>0370</t>
  </si>
  <si>
    <t>26815</t>
  </si>
  <si>
    <t>aparc-Desikan lh volume superiorfrontal</t>
  </si>
  <si>
    <t>0371</t>
  </si>
  <si>
    <t>26816</t>
  </si>
  <si>
    <t>aparc-Desikan lh volume superiorparietal</t>
  </si>
  <si>
    <t>0372</t>
  </si>
  <si>
    <t>26817</t>
  </si>
  <si>
    <t>aparc-Desikan lh volume superiortemporal</t>
  </si>
  <si>
    <t>0373</t>
  </si>
  <si>
    <t>26818</t>
  </si>
  <si>
    <t>aparc-Desikan lh volume supramarginal</t>
  </si>
  <si>
    <t>0374</t>
  </si>
  <si>
    <t>26819</t>
  </si>
  <si>
    <t>aparc-Desikan lh volume frontalpole</t>
  </si>
  <si>
    <t>0375</t>
  </si>
  <si>
    <t>26820</t>
  </si>
  <si>
    <t>aparc-Desikan lh volume transversetemporal</t>
  </si>
  <si>
    <t>0376</t>
  </si>
  <si>
    <t>26821</t>
  </si>
  <si>
    <t>aparc-Desikan lh volume insula</t>
  </si>
  <si>
    <t>0377</t>
  </si>
  <si>
    <t>26890</t>
  </si>
  <si>
    <t>aparc-Desikan rh volume bankssts</t>
  </si>
  <si>
    <t>0378</t>
  </si>
  <si>
    <t>26891</t>
  </si>
  <si>
    <t>aparc-Desikan rh volume caudalanteriorcingulate</t>
  </si>
  <si>
    <t>0379</t>
  </si>
  <si>
    <t>26892</t>
  </si>
  <si>
    <t>aparc-Desikan rh volume caudalmiddlefrontal</t>
  </si>
  <si>
    <t>0380</t>
  </si>
  <si>
    <t>26893</t>
  </si>
  <si>
    <t>aparc-Desikan rh volume cuneus</t>
  </si>
  <si>
    <t>0381</t>
  </si>
  <si>
    <t>26894</t>
  </si>
  <si>
    <t>aparc-Desikan rh volume entorhinal</t>
  </si>
  <si>
    <t>0382</t>
  </si>
  <si>
    <t>26895</t>
  </si>
  <si>
    <t>aparc-Desikan rh volume fusiform</t>
  </si>
  <si>
    <t>0383</t>
  </si>
  <si>
    <t>26896</t>
  </si>
  <si>
    <t>aparc-Desikan rh volume inferiorparietal</t>
  </si>
  <si>
    <t>0384</t>
  </si>
  <si>
    <t>26897</t>
  </si>
  <si>
    <t>aparc-Desikan rh volume inferiortemporal</t>
  </si>
  <si>
    <t>0385</t>
  </si>
  <si>
    <t>26898</t>
  </si>
  <si>
    <t>aparc-Desikan rh volume isthmuscingulate</t>
  </si>
  <si>
    <t>0386</t>
  </si>
  <si>
    <t>26899</t>
  </si>
  <si>
    <t>aparc-Desikan rh volume lateraloccipital</t>
  </si>
  <si>
    <t>0387</t>
  </si>
  <si>
    <t>26900</t>
  </si>
  <si>
    <t>aparc-Desikan rh volume lateralorbitofrontal</t>
  </si>
  <si>
    <t>0388</t>
  </si>
  <si>
    <t>26901</t>
  </si>
  <si>
    <t>aparc-Desikan rh volume lingual</t>
  </si>
  <si>
    <t>0389</t>
  </si>
  <si>
    <t>26902</t>
  </si>
  <si>
    <t>aparc-Desikan rh volume medialorbitofrontal</t>
  </si>
  <si>
    <t>0390</t>
  </si>
  <si>
    <t>26903</t>
  </si>
  <si>
    <t>aparc-Desikan rh volume middletemporal</t>
  </si>
  <si>
    <t>0391</t>
  </si>
  <si>
    <t>26904</t>
  </si>
  <si>
    <t>aparc-Desikan rh volume parahippocampal</t>
  </si>
  <si>
    <t>0392</t>
  </si>
  <si>
    <t>26905</t>
  </si>
  <si>
    <t>aparc-Desikan rh volume paracentral</t>
  </si>
  <si>
    <t>0393</t>
  </si>
  <si>
    <t>26906</t>
  </si>
  <si>
    <t>aparc-Desikan rh volume parsopercularis</t>
  </si>
  <si>
    <t>0394</t>
  </si>
  <si>
    <t>26907</t>
  </si>
  <si>
    <t>aparc-Desikan rh volume parsorbitalis</t>
  </si>
  <si>
    <t>0395</t>
  </si>
  <si>
    <t>26908</t>
  </si>
  <si>
    <t>aparc-Desikan rh volume parstriangularis</t>
  </si>
  <si>
    <t>0396</t>
  </si>
  <si>
    <t>26909</t>
  </si>
  <si>
    <t>aparc-Desikan rh volume pericalcarine</t>
  </si>
  <si>
    <t>0397</t>
  </si>
  <si>
    <t>26910</t>
  </si>
  <si>
    <t>aparc-Desikan rh volume postcentral</t>
  </si>
  <si>
    <t>0398</t>
  </si>
  <si>
    <t>26911</t>
  </si>
  <si>
    <t>aparc-Desikan rh volume posteriorcingulate</t>
  </si>
  <si>
    <t>0399</t>
  </si>
  <si>
    <t>26912</t>
  </si>
  <si>
    <t>aparc-Desikan rh volume precentral</t>
  </si>
  <si>
    <t>0400</t>
  </si>
  <si>
    <t>26913</t>
  </si>
  <si>
    <t>aparc-Desikan rh volume precuneus</t>
  </si>
  <si>
    <t>0401</t>
  </si>
  <si>
    <t>26914</t>
  </si>
  <si>
    <t>aparc-Desikan rh volume rostralanteriorcingulate</t>
  </si>
  <si>
    <t>0402</t>
  </si>
  <si>
    <t>26915</t>
  </si>
  <si>
    <t>aparc-Desikan rh volume rostralmiddlefrontal</t>
  </si>
  <si>
    <t>0403</t>
  </si>
  <si>
    <t>26916</t>
  </si>
  <si>
    <t>aparc-Desikan rh volume superiorfrontal</t>
  </si>
  <si>
    <t>0404</t>
  </si>
  <si>
    <t>26917</t>
  </si>
  <si>
    <t>aparc-Desikan rh volume superiorparietal</t>
  </si>
  <si>
    <t>0405</t>
  </si>
  <si>
    <t>26918</t>
  </si>
  <si>
    <t>aparc-Desikan rh volume superiortemporal</t>
  </si>
  <si>
    <t>0406</t>
  </si>
  <si>
    <t>26919</t>
  </si>
  <si>
    <t>aparc-Desikan rh volume supramarginal</t>
  </si>
  <si>
    <t>0407</t>
  </si>
  <si>
    <t>26920</t>
  </si>
  <si>
    <t>aparc-Desikan rh volume frontalpole</t>
  </si>
  <si>
    <t>0408</t>
  </si>
  <si>
    <t>26921</t>
  </si>
  <si>
    <t>aparc-Desikan rh volume transversetemporal</t>
  </si>
  <si>
    <t>0409</t>
  </si>
  <si>
    <t>26922</t>
  </si>
  <si>
    <t>aparc-Desikan rh volume insula</t>
  </si>
  <si>
    <t>0410</t>
  </si>
  <si>
    <t>27087</t>
  </si>
  <si>
    <t>BA-exvivo lh volume BA1</t>
  </si>
  <si>
    <t>0411</t>
  </si>
  <si>
    <t>27088</t>
  </si>
  <si>
    <t>BA-exvivo lh volume BA2</t>
  </si>
  <si>
    <t>0412</t>
  </si>
  <si>
    <t>27089</t>
  </si>
  <si>
    <t>BA-exvivo lh volume BA3a</t>
  </si>
  <si>
    <t>0413</t>
  </si>
  <si>
    <t>27090</t>
  </si>
  <si>
    <t>BA-exvivo lh volume BA3b</t>
  </si>
  <si>
    <t>0414</t>
  </si>
  <si>
    <t>27091</t>
  </si>
  <si>
    <t>BA-exvivo lh volume BA4a</t>
  </si>
  <si>
    <t>0415</t>
  </si>
  <si>
    <t>27092</t>
  </si>
  <si>
    <t>BA-exvivo lh volume BA4p</t>
  </si>
  <si>
    <t>0416</t>
  </si>
  <si>
    <t>27093</t>
  </si>
  <si>
    <t>BA-exvivo lh volume BA6</t>
  </si>
  <si>
    <t>0417</t>
  </si>
  <si>
    <t>27094</t>
  </si>
  <si>
    <t>BA-exvivo lh volume BA44</t>
  </si>
  <si>
    <t>0418</t>
  </si>
  <si>
    <t>27095</t>
  </si>
  <si>
    <t>BA-exvivo lh volume BA45</t>
  </si>
  <si>
    <t>0419</t>
  </si>
  <si>
    <t>27096</t>
  </si>
  <si>
    <t>BA-exvivo lh volume V1</t>
  </si>
  <si>
    <t>0420</t>
  </si>
  <si>
    <t>27097</t>
  </si>
  <si>
    <t>BA-exvivo lh volume V2</t>
  </si>
  <si>
    <t>0421</t>
  </si>
  <si>
    <t>27098</t>
  </si>
  <si>
    <t>BA-exvivo lh volume MT</t>
  </si>
  <si>
    <t>0422</t>
  </si>
  <si>
    <t>27099</t>
  </si>
  <si>
    <t>BA-exvivo lh volume perirhinal</t>
  </si>
  <si>
    <t>0423</t>
  </si>
  <si>
    <t>27100</t>
  </si>
  <si>
    <t>BA-exvivo lh volume entorhinal</t>
  </si>
  <si>
    <t>0424</t>
  </si>
  <si>
    <t>27129</t>
  </si>
  <si>
    <t>BA-exvivo rh volume BA1</t>
  </si>
  <si>
    <t>0425</t>
  </si>
  <si>
    <t>27130</t>
  </si>
  <si>
    <t>BA-exvivo rh volume BA2</t>
  </si>
  <si>
    <t>0426</t>
  </si>
  <si>
    <t>27131</t>
  </si>
  <si>
    <t>BA-exvivo rh volume BA3a</t>
  </si>
  <si>
    <t>0427</t>
  </si>
  <si>
    <t>27132</t>
  </si>
  <si>
    <t>BA-exvivo rh volume BA3b</t>
  </si>
  <si>
    <t>0428</t>
  </si>
  <si>
    <t>27133</t>
  </si>
  <si>
    <t>BA-exvivo rh volume BA4a</t>
  </si>
  <si>
    <t>0429</t>
  </si>
  <si>
    <t>27134</t>
  </si>
  <si>
    <t>BA-exvivo rh volume BA4p</t>
  </si>
  <si>
    <t>0430</t>
  </si>
  <si>
    <t>27135</t>
  </si>
  <si>
    <t>BA-exvivo rh volume BA6</t>
  </si>
  <si>
    <t>0431</t>
  </si>
  <si>
    <t>27136</t>
  </si>
  <si>
    <t>BA-exvivo rh volume BA44</t>
  </si>
  <si>
    <t>0432</t>
  </si>
  <si>
    <t>27137</t>
  </si>
  <si>
    <t>BA-exvivo rh volume BA45</t>
  </si>
  <si>
    <t>0433</t>
  </si>
  <si>
    <t>27138</t>
  </si>
  <si>
    <t>BA-exvivo rh volume V1</t>
  </si>
  <si>
    <t>0434</t>
  </si>
  <si>
    <t>27139</t>
  </si>
  <si>
    <t>BA-exvivo rh volume V2</t>
  </si>
  <si>
    <t>0435</t>
  </si>
  <si>
    <t>27140</t>
  </si>
  <si>
    <t>BA-exvivo rh volume MT</t>
  </si>
  <si>
    <t>0436</t>
  </si>
  <si>
    <t>27141</t>
  </si>
  <si>
    <t>BA-exvivo rh volume perirhinal</t>
  </si>
  <si>
    <t>0437</t>
  </si>
  <si>
    <t>27142</t>
  </si>
  <si>
    <t>BA-exvivo rh volume entorhinal</t>
  </si>
  <si>
    <t>0438</t>
  </si>
  <si>
    <t>27205</t>
  </si>
  <si>
    <t>aparc-DKTatlas lh volume caudalanteriorcingulate</t>
  </si>
  <si>
    <t>0439</t>
  </si>
  <si>
    <t>27206</t>
  </si>
  <si>
    <t>aparc-DKTatlas lh volume caudalmiddlefrontal</t>
  </si>
  <si>
    <t>0440</t>
  </si>
  <si>
    <t>27207</t>
  </si>
  <si>
    <t>aparc-DKTatlas lh volume cuneus</t>
  </si>
  <si>
    <t>0441</t>
  </si>
  <si>
    <t>27208</t>
  </si>
  <si>
    <t>aparc-DKTatlas lh volume entorhinal</t>
  </si>
  <si>
    <t>0442</t>
  </si>
  <si>
    <t>27209</t>
  </si>
  <si>
    <t>aparc-DKTatlas lh volume fusiform</t>
  </si>
  <si>
    <t>0443</t>
  </si>
  <si>
    <t>27210</t>
  </si>
  <si>
    <t>aparc-DKTatlas lh volume inferiorparietal</t>
  </si>
  <si>
    <t>0444</t>
  </si>
  <si>
    <t>27211</t>
  </si>
  <si>
    <t>aparc-DKTatlas lh volume inferiortemporal</t>
  </si>
  <si>
    <t>0445</t>
  </si>
  <si>
    <t>27212</t>
  </si>
  <si>
    <t>aparc-DKTatlas lh volume isthmuscingulate</t>
  </si>
  <si>
    <t>0446</t>
  </si>
  <si>
    <t>27213</t>
  </si>
  <si>
    <t>aparc-DKTatlas lh volume lateraloccipital</t>
  </si>
  <si>
    <t>0447</t>
  </si>
  <si>
    <t>27214</t>
  </si>
  <si>
    <t>aparc-DKTatlas lh volume lateralorbitofrontal</t>
  </si>
  <si>
    <t>0448</t>
  </si>
  <si>
    <t>27215</t>
  </si>
  <si>
    <t>aparc-DKTatlas lh volume lingual</t>
  </si>
  <si>
    <t>0449</t>
  </si>
  <si>
    <t>27216</t>
  </si>
  <si>
    <t>aparc-DKTatlas lh volume medialorbitofrontal</t>
  </si>
  <si>
    <t>0450</t>
  </si>
  <si>
    <t>27217</t>
  </si>
  <si>
    <t>aparc-DKTatlas lh volume middletemporal</t>
  </si>
  <si>
    <t>0451</t>
  </si>
  <si>
    <t>27218</t>
  </si>
  <si>
    <t>aparc-DKTatlas lh volume parahippocampal</t>
  </si>
  <si>
    <t>0452</t>
  </si>
  <si>
    <t>27219</t>
  </si>
  <si>
    <t>aparc-DKTatlas lh volume paracentral</t>
  </si>
  <si>
    <t>0453</t>
  </si>
  <si>
    <t>27220</t>
  </si>
  <si>
    <t>aparc-DKTatlas lh volume parsopercularis</t>
  </si>
  <si>
    <t>0454</t>
  </si>
  <si>
    <t>27221</t>
  </si>
  <si>
    <t>aparc-DKTatlas lh volume parsorbitalis</t>
  </si>
  <si>
    <t>0455</t>
  </si>
  <si>
    <t>27222</t>
  </si>
  <si>
    <t>aparc-DKTatlas lh volume parstriangularis</t>
  </si>
  <si>
    <t>0456</t>
  </si>
  <si>
    <t>27223</t>
  </si>
  <si>
    <t>aparc-DKTatlas lh volume pericalcarine</t>
  </si>
  <si>
    <t>0457</t>
  </si>
  <si>
    <t>27224</t>
  </si>
  <si>
    <t>aparc-DKTatlas lh volume postcentral</t>
  </si>
  <si>
    <t>0458</t>
  </si>
  <si>
    <t>27225</t>
  </si>
  <si>
    <t>aparc-DKTatlas lh volume posteriorcingulate</t>
  </si>
  <si>
    <t>0459</t>
  </si>
  <si>
    <t>27226</t>
  </si>
  <si>
    <t>aparc-DKTatlas lh volume precentral</t>
  </si>
  <si>
    <t>0460</t>
  </si>
  <si>
    <t>27227</t>
  </si>
  <si>
    <t>aparc-DKTatlas lh volume precuneus</t>
  </si>
  <si>
    <t>0461</t>
  </si>
  <si>
    <t>27228</t>
  </si>
  <si>
    <t>aparc-DKTatlas lh volume rostralanteriorcingulate</t>
  </si>
  <si>
    <t>0462</t>
  </si>
  <si>
    <t>27229</t>
  </si>
  <si>
    <t>aparc-DKTatlas lh volume rostralmiddlefrontal</t>
  </si>
  <si>
    <t>0463</t>
  </si>
  <si>
    <t>27230</t>
  </si>
  <si>
    <t>aparc-DKTatlas lh volume superiorfrontal</t>
  </si>
  <si>
    <t>0464</t>
  </si>
  <si>
    <t>27231</t>
  </si>
  <si>
    <t>aparc-DKTatlas lh volume superiorparietal</t>
  </si>
  <si>
    <t>0465</t>
  </si>
  <si>
    <t>27232</t>
  </si>
  <si>
    <t>aparc-DKTatlas lh volume superiortemporal</t>
  </si>
  <si>
    <t>0466</t>
  </si>
  <si>
    <t>27233</t>
  </si>
  <si>
    <t>aparc-DKTatlas lh volume supramarginal</t>
  </si>
  <si>
    <t>0467</t>
  </si>
  <si>
    <t>27234</t>
  </si>
  <si>
    <t>aparc-DKTatlas lh volume transversetemporal</t>
  </si>
  <si>
    <t>0468</t>
  </si>
  <si>
    <t>27235</t>
  </si>
  <si>
    <t>aparc-DKTatlas lh volume insula</t>
  </si>
  <si>
    <t>0469</t>
  </si>
  <si>
    <t>27298</t>
  </si>
  <si>
    <t>aparc-DKTatlas rh volume caudalanteriorcingulate</t>
  </si>
  <si>
    <t>0470</t>
  </si>
  <si>
    <t>27299</t>
  </si>
  <si>
    <t>aparc-DKTatlas rh volume caudalmiddlefrontal</t>
  </si>
  <si>
    <t>0471</t>
  </si>
  <si>
    <t>27300</t>
  </si>
  <si>
    <t>aparc-DKTatlas rh volume cuneus</t>
  </si>
  <si>
    <t>0472</t>
  </si>
  <si>
    <t>27301</t>
  </si>
  <si>
    <t>aparc-DKTatlas rh volume entorhinal</t>
  </si>
  <si>
    <t>0473</t>
  </si>
  <si>
    <t>27302</t>
  </si>
  <si>
    <t>aparc-DKTatlas rh volume fusiform</t>
  </si>
  <si>
    <t>0474</t>
  </si>
  <si>
    <t>27303</t>
  </si>
  <si>
    <t>aparc-DKTatlas rh volume inferiorparietal</t>
  </si>
  <si>
    <t>0475</t>
  </si>
  <si>
    <t>27304</t>
  </si>
  <si>
    <t>aparc-DKTatlas rh volume inferiortemporal</t>
  </si>
  <si>
    <t>0476</t>
  </si>
  <si>
    <t>27305</t>
  </si>
  <si>
    <t>aparc-DKTatlas rh volume isthmuscingulate</t>
  </si>
  <si>
    <t>0477</t>
  </si>
  <si>
    <t>27306</t>
  </si>
  <si>
    <t>aparc-DKTatlas rh volume lateraloccipital</t>
  </si>
  <si>
    <t>0478</t>
  </si>
  <si>
    <t>27307</t>
  </si>
  <si>
    <t>aparc-DKTatlas rh volume lateralorbitofrontal</t>
  </si>
  <si>
    <t>0479</t>
  </si>
  <si>
    <t>27308</t>
  </si>
  <si>
    <t>aparc-DKTatlas rh volume lingual</t>
  </si>
  <si>
    <t>0480</t>
  </si>
  <si>
    <t>27309</t>
  </si>
  <si>
    <t>aparc-DKTatlas rh volume medialorbitofrontal</t>
  </si>
  <si>
    <t>0481</t>
  </si>
  <si>
    <t>27310</t>
  </si>
  <si>
    <t>aparc-DKTatlas rh volume middletemporal</t>
  </si>
  <si>
    <t>0482</t>
  </si>
  <si>
    <t>27311</t>
  </si>
  <si>
    <t>aparc-DKTatlas rh volume parahippocampal</t>
  </si>
  <si>
    <t>0483</t>
  </si>
  <si>
    <t>27312</t>
  </si>
  <si>
    <t>aparc-DKTatlas rh volume paracentral</t>
  </si>
  <si>
    <t>0484</t>
  </si>
  <si>
    <t>27313</t>
  </si>
  <si>
    <t>aparc-DKTatlas rh volume parsopercularis</t>
  </si>
  <si>
    <t>0485</t>
  </si>
  <si>
    <t>27314</t>
  </si>
  <si>
    <t>aparc-DKTatlas rh volume parsorbitalis</t>
  </si>
  <si>
    <t>0486</t>
  </si>
  <si>
    <t>27315</t>
  </si>
  <si>
    <t>aparc-DKTatlas rh volume parstriangularis</t>
  </si>
  <si>
    <t>0487</t>
  </si>
  <si>
    <t>27316</t>
  </si>
  <si>
    <t>aparc-DKTatlas rh volume pericalcarine</t>
  </si>
  <si>
    <t>0488</t>
  </si>
  <si>
    <t>27317</t>
  </si>
  <si>
    <t>aparc-DKTatlas rh volume postcentral</t>
  </si>
  <si>
    <t>0489</t>
  </si>
  <si>
    <t>27318</t>
  </si>
  <si>
    <t>aparc-DKTatlas rh volume posteriorcingulate</t>
  </si>
  <si>
    <t>0490</t>
  </si>
  <si>
    <t>27319</t>
  </si>
  <si>
    <t>aparc-DKTatlas rh volume precentral</t>
  </si>
  <si>
    <t>0491</t>
  </si>
  <si>
    <t>27320</t>
  </si>
  <si>
    <t>aparc-DKTatlas rh volume precuneus</t>
  </si>
  <si>
    <t>0492</t>
  </si>
  <si>
    <t>27321</t>
  </si>
  <si>
    <t>aparc-DKTatlas rh volume rostralanteriorcingulate</t>
  </si>
  <si>
    <t>0493</t>
  </si>
  <si>
    <t>27322</t>
  </si>
  <si>
    <t>aparc-DKTatlas rh volume rostralmiddlefrontal</t>
  </si>
  <si>
    <t>0494</t>
  </si>
  <si>
    <t>27323</t>
  </si>
  <si>
    <t>aparc-DKTatlas rh volume superiorfrontal</t>
  </si>
  <si>
    <t>0495</t>
  </si>
  <si>
    <t>27324</t>
  </si>
  <si>
    <t>aparc-DKTatlas rh volume superiorparietal</t>
  </si>
  <si>
    <t>0496</t>
  </si>
  <si>
    <t>27325</t>
  </si>
  <si>
    <t>aparc-DKTatlas rh volume superiortemporal</t>
  </si>
  <si>
    <t>0497</t>
  </si>
  <si>
    <t>27326</t>
  </si>
  <si>
    <t>aparc-DKTatlas rh volume supramarginal</t>
  </si>
  <si>
    <t>0498</t>
  </si>
  <si>
    <t>27327</t>
  </si>
  <si>
    <t>aparc-DKTatlas rh volume transversetemporal</t>
  </si>
  <si>
    <t>0499</t>
  </si>
  <si>
    <t>27328</t>
  </si>
  <si>
    <t>aparc-DKTatlas rh volume insula</t>
  </si>
  <si>
    <t>0500</t>
  </si>
  <si>
    <t>27477</t>
  </si>
  <si>
    <t>aparc-a2009s lh volume G+S-frontomargin</t>
  </si>
  <si>
    <t>0501</t>
  </si>
  <si>
    <t>27478</t>
  </si>
  <si>
    <t>aparc-a2009s lh volume G+S-occipital-inf</t>
  </si>
  <si>
    <t>0502</t>
  </si>
  <si>
    <t>27479</t>
  </si>
  <si>
    <t>aparc-a2009s lh volume G+S-paracentral</t>
  </si>
  <si>
    <t>0503</t>
  </si>
  <si>
    <t>27480</t>
  </si>
  <si>
    <t>aparc-a2009s lh volume G+S-subcentral</t>
  </si>
  <si>
    <t>0504</t>
  </si>
  <si>
    <t>27481</t>
  </si>
  <si>
    <t>aparc-a2009s lh volume G+S-transv-frontopol</t>
  </si>
  <si>
    <t>0505</t>
  </si>
  <si>
    <t>27482</t>
  </si>
  <si>
    <t>aparc-a2009s lh volume G+S-cingul-Ant</t>
  </si>
  <si>
    <t>0506</t>
  </si>
  <si>
    <t>27483</t>
  </si>
  <si>
    <t>aparc-a2009s lh volume G+S-cingul-Mid-Ant</t>
  </si>
  <si>
    <t>0507</t>
  </si>
  <si>
    <t>27484</t>
  </si>
  <si>
    <t>aparc-a2009s lh volume G+S-cingul-Mid-Post</t>
  </si>
  <si>
    <t>0508</t>
  </si>
  <si>
    <t>27485</t>
  </si>
  <si>
    <t>aparc-a2009s lh volume G-cingul-Post-dorsal</t>
  </si>
  <si>
    <t>0509</t>
  </si>
  <si>
    <t>27486</t>
  </si>
  <si>
    <t>aparc-a2009s lh volume G-cingul-Post-ventral</t>
  </si>
  <si>
    <t>0510</t>
  </si>
  <si>
    <t>27487</t>
  </si>
  <si>
    <t>aparc-a2009s lh volume G-cuneus</t>
  </si>
  <si>
    <t>0511</t>
  </si>
  <si>
    <t>27488</t>
  </si>
  <si>
    <t>aparc-a2009s lh volume G-front-inf-Opercular</t>
  </si>
  <si>
    <t>0512</t>
  </si>
  <si>
    <t>27489</t>
  </si>
  <si>
    <t>aparc-a2009s lh volume G-front-inf-Orbital</t>
  </si>
  <si>
    <t>0513</t>
  </si>
  <si>
    <t>27490</t>
  </si>
  <si>
    <t>aparc-a2009s lh volume G-front-inf-Triangul</t>
  </si>
  <si>
    <t>0514</t>
  </si>
  <si>
    <t>27491</t>
  </si>
  <si>
    <t>aparc-a2009s lh volume G-front-middle</t>
  </si>
  <si>
    <t>0515</t>
  </si>
  <si>
    <t>27492</t>
  </si>
  <si>
    <t>aparc-a2009s lh volume G-front-sup</t>
  </si>
  <si>
    <t>0516</t>
  </si>
  <si>
    <t>27493</t>
  </si>
  <si>
    <t>aparc-a2009s lh volume G-Ins-lg+S-cent-ins</t>
  </si>
  <si>
    <t>0517</t>
  </si>
  <si>
    <t>27494</t>
  </si>
  <si>
    <t>aparc-a2009s lh volume G-insular-short</t>
  </si>
  <si>
    <t>0518</t>
  </si>
  <si>
    <t>27495</t>
  </si>
  <si>
    <t>aparc-a2009s lh volume G-occipital-middle</t>
  </si>
  <si>
    <t>0519</t>
  </si>
  <si>
    <t>27496</t>
  </si>
  <si>
    <t>aparc-a2009s lh volume G-occipital-sup</t>
  </si>
  <si>
    <t>0520</t>
  </si>
  <si>
    <t>27497</t>
  </si>
  <si>
    <t>aparc-a2009s lh volume G-oc-temp-lat-fusifor</t>
  </si>
  <si>
    <t>0521</t>
  </si>
  <si>
    <t>27498</t>
  </si>
  <si>
    <t>aparc-a2009s lh volume G-oc-temp-med-Lingual</t>
  </si>
  <si>
    <t>0522</t>
  </si>
  <si>
    <t>27499</t>
  </si>
  <si>
    <t>aparc-a2009s lh volume G-oc-temp-med-Parahip</t>
  </si>
  <si>
    <t>0523</t>
  </si>
  <si>
    <t>27500</t>
  </si>
  <si>
    <t>aparc-a2009s lh volume G-orbital</t>
  </si>
  <si>
    <t>0524</t>
  </si>
  <si>
    <t>27501</t>
  </si>
  <si>
    <t>aparc-a2009s lh volume G-pariet-inf-Angular</t>
  </si>
  <si>
    <t>0525</t>
  </si>
  <si>
    <t>27502</t>
  </si>
  <si>
    <t>aparc-a2009s lh volume G-pariet-inf-Supramar</t>
  </si>
  <si>
    <t>0526</t>
  </si>
  <si>
    <t>27503</t>
  </si>
  <si>
    <t>aparc-a2009s lh volume G-parietal-sup</t>
  </si>
  <si>
    <t>0527</t>
  </si>
  <si>
    <t>27504</t>
  </si>
  <si>
    <t>aparc-a2009s lh volume G-postcentral</t>
  </si>
  <si>
    <t>0528</t>
  </si>
  <si>
    <t>27505</t>
  </si>
  <si>
    <t>aparc-a2009s lh volume G-precentral</t>
  </si>
  <si>
    <t>0529</t>
  </si>
  <si>
    <t>27506</t>
  </si>
  <si>
    <t>aparc-a2009s lh volume G-precuneus</t>
  </si>
  <si>
    <t>0530</t>
  </si>
  <si>
    <t>27507</t>
  </si>
  <si>
    <t>aparc-a2009s lh volume G-rectus</t>
  </si>
  <si>
    <t>0531</t>
  </si>
  <si>
    <t>27508</t>
  </si>
  <si>
    <t>aparc-a2009s lh volume G-subcallosal</t>
  </si>
  <si>
    <t>0532</t>
  </si>
  <si>
    <t>27509</t>
  </si>
  <si>
    <t>aparc-a2009s lh volume G-temp-sup-G-T-transv</t>
  </si>
  <si>
    <t>0533</t>
  </si>
  <si>
    <t>27510</t>
  </si>
  <si>
    <t>aparc-a2009s lh volume G-temp-sup-Lateral</t>
  </si>
  <si>
    <t>0534</t>
  </si>
  <si>
    <t>27511</t>
  </si>
  <si>
    <t>aparc-a2009s lh volume G-temp-sup-Plan-polar</t>
  </si>
  <si>
    <t>0535</t>
  </si>
  <si>
    <t>27512</t>
  </si>
  <si>
    <t>aparc-a2009s lh volume G-temp-sup-Plan-tempo</t>
  </si>
  <si>
    <t>0536</t>
  </si>
  <si>
    <t>27513</t>
  </si>
  <si>
    <t>aparc-a2009s lh volume G-temporal-inf</t>
  </si>
  <si>
    <t>0537</t>
  </si>
  <si>
    <t>27514</t>
  </si>
  <si>
    <t>aparc-a2009s lh volume G-temporal-middle</t>
  </si>
  <si>
    <t>0538</t>
  </si>
  <si>
    <t>27515</t>
  </si>
  <si>
    <t>aparc-a2009s lh volume Lat-Fis-ant-Horizont</t>
  </si>
  <si>
    <t>0539</t>
  </si>
  <si>
    <t>27516</t>
  </si>
  <si>
    <t>aparc-a2009s lh volume Lat-Fis-ant-Vertical</t>
  </si>
  <si>
    <t>0540</t>
  </si>
  <si>
    <t>27517</t>
  </si>
  <si>
    <t>aparc-a2009s lh volume Lat-Fis-post</t>
  </si>
  <si>
    <t>0541</t>
  </si>
  <si>
    <t>27518</t>
  </si>
  <si>
    <t>aparc-a2009s lh volume Pole-occipital</t>
  </si>
  <si>
    <t>0542</t>
  </si>
  <si>
    <t>27519</t>
  </si>
  <si>
    <t>aparc-a2009s lh volume Pole-temporal</t>
  </si>
  <si>
    <t>0543</t>
  </si>
  <si>
    <t>27520</t>
  </si>
  <si>
    <t>aparc-a2009s lh volume S-calcarine</t>
  </si>
  <si>
    <t>0544</t>
  </si>
  <si>
    <t>27521</t>
  </si>
  <si>
    <t>aparc-a2009s lh volume S-central</t>
  </si>
  <si>
    <t>0545</t>
  </si>
  <si>
    <t>27522</t>
  </si>
  <si>
    <t>aparc-a2009s lh volume S-cingul-Marginalis</t>
  </si>
  <si>
    <t>0546</t>
  </si>
  <si>
    <t>27523</t>
  </si>
  <si>
    <t>aparc-a2009s lh volume S-circular-insula-ant</t>
  </si>
  <si>
    <t>0547</t>
  </si>
  <si>
    <t>27524</t>
  </si>
  <si>
    <t>aparc-a2009s lh volume S-circular-insula-inf</t>
  </si>
  <si>
    <t>0548</t>
  </si>
  <si>
    <t>27525</t>
  </si>
  <si>
    <t>aparc-a2009s lh volume S-circular-insula-sup</t>
  </si>
  <si>
    <t>0549</t>
  </si>
  <si>
    <t>27526</t>
  </si>
  <si>
    <t>aparc-a2009s lh volume S-collat-transv-ant</t>
  </si>
  <si>
    <t>0550</t>
  </si>
  <si>
    <t>27527</t>
  </si>
  <si>
    <t>aparc-a2009s lh volume S-collat-transv-post</t>
  </si>
  <si>
    <t>0551</t>
  </si>
  <si>
    <t>27528</t>
  </si>
  <si>
    <t>aparc-a2009s lh volume S-front-inf</t>
  </si>
  <si>
    <t>0552</t>
  </si>
  <si>
    <t>27529</t>
  </si>
  <si>
    <t>aparc-a2009s lh volume S-front-middle</t>
  </si>
  <si>
    <t>0553</t>
  </si>
  <si>
    <t>27530</t>
  </si>
  <si>
    <t>aparc-a2009s lh volume S-front-sup</t>
  </si>
  <si>
    <t>0554</t>
  </si>
  <si>
    <t>27531</t>
  </si>
  <si>
    <t>aparc-a2009s lh volume S-interm-prim-Jensen</t>
  </si>
  <si>
    <t>0555</t>
  </si>
  <si>
    <t>27532</t>
  </si>
  <si>
    <t>aparc-a2009s lh volume S-intrapariet+P-trans</t>
  </si>
  <si>
    <t>0556</t>
  </si>
  <si>
    <t>27533</t>
  </si>
  <si>
    <t>aparc-a2009s lh volume S-oc-middle+Lunatus</t>
  </si>
  <si>
    <t>0557</t>
  </si>
  <si>
    <t>27534</t>
  </si>
  <si>
    <t>aparc-a2009s lh volume S-oc-sup+transversal</t>
  </si>
  <si>
    <t>0558</t>
  </si>
  <si>
    <t>27535</t>
  </si>
  <si>
    <t>aparc-a2009s lh volume S-occipital-ant</t>
  </si>
  <si>
    <t>0559</t>
  </si>
  <si>
    <t>27536</t>
  </si>
  <si>
    <t>aparc-a2009s lh volume S-oc-temp-lat</t>
  </si>
  <si>
    <t>0560</t>
  </si>
  <si>
    <t>27537</t>
  </si>
  <si>
    <t>aparc-a2009s lh volume S-oc-temp-med+Lingual</t>
  </si>
  <si>
    <t>0561</t>
  </si>
  <si>
    <t>27538</t>
  </si>
  <si>
    <t>aparc-a2009s lh volume S-orbital-lateral</t>
  </si>
  <si>
    <t>0562</t>
  </si>
  <si>
    <t>27539</t>
  </si>
  <si>
    <t>aparc-a2009s lh volume S-orbital-med-olfact</t>
  </si>
  <si>
    <t>0563</t>
  </si>
  <si>
    <t>27540</t>
  </si>
  <si>
    <t>aparc-a2009s lh volume S-orbital-H-Shaped</t>
  </si>
  <si>
    <t>0564</t>
  </si>
  <si>
    <t>27541</t>
  </si>
  <si>
    <t>aparc-a2009s lh volume S-parieto-occipital</t>
  </si>
  <si>
    <t>0565</t>
  </si>
  <si>
    <t>27542</t>
  </si>
  <si>
    <t>aparc-a2009s lh volume S-pericallosal</t>
  </si>
  <si>
    <t>0566</t>
  </si>
  <si>
    <t>27543</t>
  </si>
  <si>
    <t>aparc-a2009s lh volume S-postcentral</t>
  </si>
  <si>
    <t>0567</t>
  </si>
  <si>
    <t>27544</t>
  </si>
  <si>
    <t>aparc-a2009s lh volume S-precentral-inf-part</t>
  </si>
  <si>
    <t>0568</t>
  </si>
  <si>
    <t>27545</t>
  </si>
  <si>
    <t>aparc-a2009s lh volume S-precentral-sup-part</t>
  </si>
  <si>
    <t>0569</t>
  </si>
  <si>
    <t>27546</t>
  </si>
  <si>
    <t>aparc-a2009s lh volume S-suborbital</t>
  </si>
  <si>
    <t>0570</t>
  </si>
  <si>
    <t>27547</t>
  </si>
  <si>
    <t>aparc-a2009s lh volume S-subparietal</t>
  </si>
  <si>
    <t>0571</t>
  </si>
  <si>
    <t>27548</t>
  </si>
  <si>
    <t>aparc-a2009s lh volume S-temporal-inf</t>
  </si>
  <si>
    <t>0572</t>
  </si>
  <si>
    <t>27549</t>
  </si>
  <si>
    <t>aparc-a2009s lh volume S-temporal-sup</t>
  </si>
  <si>
    <t>0573</t>
  </si>
  <si>
    <t>27550</t>
  </si>
  <si>
    <t>aparc-a2009s lh volume S-temporal-transverse</t>
  </si>
  <si>
    <t>0574</t>
  </si>
  <si>
    <t>27699</t>
  </si>
  <si>
    <t>aparc-a2009s rh volume G+S-frontomargin</t>
  </si>
  <si>
    <t>0575</t>
  </si>
  <si>
    <t>27700</t>
  </si>
  <si>
    <t>aparc-a2009s rh volume G+S-occipital-inf</t>
  </si>
  <si>
    <t>0576</t>
  </si>
  <si>
    <t>27701</t>
  </si>
  <si>
    <t>aparc-a2009s rh volume G+S-paracentral</t>
  </si>
  <si>
    <t>0577</t>
  </si>
  <si>
    <t>27702</t>
  </si>
  <si>
    <t>aparc-a2009s rh volume G+S-subcentral</t>
  </si>
  <si>
    <t>0578</t>
  </si>
  <si>
    <t>27703</t>
  </si>
  <si>
    <t>aparc-a2009s rh volume G+S-transv-frontopol</t>
  </si>
  <si>
    <t>0579</t>
  </si>
  <si>
    <t>27704</t>
  </si>
  <si>
    <t>aparc-a2009s rh volume G+S-cingul-Ant</t>
  </si>
  <si>
    <t>0580</t>
  </si>
  <si>
    <t>27705</t>
  </si>
  <si>
    <t>aparc-a2009s rh volume G+S-cingul-Mid-Ant</t>
  </si>
  <si>
    <t>0581</t>
  </si>
  <si>
    <t>27706</t>
  </si>
  <si>
    <t>aparc-a2009s rh volume G+S-cingul-Mid-Post</t>
  </si>
  <si>
    <t>0582</t>
  </si>
  <si>
    <t>27707</t>
  </si>
  <si>
    <t>aparc-a2009s rh volume G-cingul-Post-dorsal</t>
  </si>
  <si>
    <t>0583</t>
  </si>
  <si>
    <t>27708</t>
  </si>
  <si>
    <t>aparc-a2009s rh volume G-cingul-Post-ventral</t>
  </si>
  <si>
    <t>0584</t>
  </si>
  <si>
    <t>27709</t>
  </si>
  <si>
    <t>aparc-a2009s rh volume G-cuneus</t>
  </si>
  <si>
    <t>0585</t>
  </si>
  <si>
    <t>27710</t>
  </si>
  <si>
    <t>aparc-a2009s rh volume G-front-inf-Opercular</t>
  </si>
  <si>
    <t>0586</t>
  </si>
  <si>
    <t>27711</t>
  </si>
  <si>
    <t>aparc-a2009s rh volume G-front-inf-Orbital</t>
  </si>
  <si>
    <t>0587</t>
  </si>
  <si>
    <t>27712</t>
  </si>
  <si>
    <t>aparc-a2009s rh volume G-front-inf-Triangul</t>
  </si>
  <si>
    <t>0588</t>
  </si>
  <si>
    <t>27713</t>
  </si>
  <si>
    <t>aparc-a2009s rh volume G-front-middle</t>
  </si>
  <si>
    <t>0589</t>
  </si>
  <si>
    <t>27714</t>
  </si>
  <si>
    <t>aparc-a2009s rh volume G-front-sup</t>
  </si>
  <si>
    <t>0590</t>
  </si>
  <si>
    <t>27715</t>
  </si>
  <si>
    <t>aparc-a2009s rh volume G-Ins-lg+S-cent-ins</t>
  </si>
  <si>
    <t>0591</t>
  </si>
  <si>
    <t>27716</t>
  </si>
  <si>
    <t>aparc-a2009s rh volume G-insular-short</t>
  </si>
  <si>
    <t>0592</t>
  </si>
  <si>
    <t>27717</t>
  </si>
  <si>
    <t>aparc-a2009s rh volume G-occipital-middle</t>
  </si>
  <si>
    <t>0593</t>
  </si>
  <si>
    <t>27718</t>
  </si>
  <si>
    <t>aparc-a2009s rh volume G-occipital-sup</t>
  </si>
  <si>
    <t>0594</t>
  </si>
  <si>
    <t>27719</t>
  </si>
  <si>
    <t>aparc-a2009s rh volume G-oc-temp-lat-fusifor</t>
  </si>
  <si>
    <t>0595</t>
  </si>
  <si>
    <t>27720</t>
  </si>
  <si>
    <t>aparc-a2009s rh volume G-oc-temp-med-Lingual</t>
  </si>
  <si>
    <t>0596</t>
  </si>
  <si>
    <t>27721</t>
  </si>
  <si>
    <t>aparc-a2009s rh volume G-oc-temp-med-Parahip</t>
  </si>
  <si>
    <t>0597</t>
  </si>
  <si>
    <t>27722</t>
  </si>
  <si>
    <t>aparc-a2009s rh volume G-orbital</t>
  </si>
  <si>
    <t>0598</t>
  </si>
  <si>
    <t>27723</t>
  </si>
  <si>
    <t>aparc-a2009s rh volume G-pariet-inf-Angular</t>
  </si>
  <si>
    <t>0599</t>
  </si>
  <si>
    <t>27724</t>
  </si>
  <si>
    <t>aparc-a2009s rh volume G-pariet-inf-Supramar</t>
  </si>
  <si>
    <t>0600</t>
  </si>
  <si>
    <t>27725</t>
  </si>
  <si>
    <t>aparc-a2009s rh volume G-parietal-sup</t>
  </si>
  <si>
    <t>0601</t>
  </si>
  <si>
    <t>27726</t>
  </si>
  <si>
    <t>aparc-a2009s rh volume G-postcentral</t>
  </si>
  <si>
    <t>0602</t>
  </si>
  <si>
    <t>27727</t>
  </si>
  <si>
    <t>aparc-a2009s rh volume G-precentral</t>
  </si>
  <si>
    <t>0603</t>
  </si>
  <si>
    <t>27728</t>
  </si>
  <si>
    <t>aparc-a2009s rh volume G-precuneus</t>
  </si>
  <si>
    <t>0604</t>
  </si>
  <si>
    <t>27729</t>
  </si>
  <si>
    <t>aparc-a2009s rh volume G-rectus</t>
  </si>
  <si>
    <t>0605</t>
  </si>
  <si>
    <t>27730</t>
  </si>
  <si>
    <t>aparc-a2009s rh volume G-subcallosal</t>
  </si>
  <si>
    <t>0606</t>
  </si>
  <si>
    <t>27731</t>
  </si>
  <si>
    <t>aparc-a2009s rh volume G-temp-sup-G-T-transv</t>
  </si>
  <si>
    <t>0607</t>
  </si>
  <si>
    <t>27732</t>
  </si>
  <si>
    <t>aparc-a2009s rh volume G-temp-sup-Lateral</t>
  </si>
  <si>
    <t>0608</t>
  </si>
  <si>
    <t>27733</t>
  </si>
  <si>
    <t>aparc-a2009s rh volume G-temp-sup-Plan-polar</t>
  </si>
  <si>
    <t>0609</t>
  </si>
  <si>
    <t>27734</t>
  </si>
  <si>
    <t>aparc-a2009s rh volume G-temp-sup-Plan-tempo</t>
  </si>
  <si>
    <t>0610</t>
  </si>
  <si>
    <t>27735</t>
  </si>
  <si>
    <t>aparc-a2009s rh volume G-temporal-inf</t>
  </si>
  <si>
    <t>0611</t>
  </si>
  <si>
    <t>27736</t>
  </si>
  <si>
    <t>aparc-a2009s rh volume G-temporal-middle</t>
  </si>
  <si>
    <t>0612</t>
  </si>
  <si>
    <t>27737</t>
  </si>
  <si>
    <t>aparc-a2009s rh volume Lat-Fis-ant-Horizont</t>
  </si>
  <si>
    <t>0613</t>
  </si>
  <si>
    <t>27738</t>
  </si>
  <si>
    <t>aparc-a2009s rh volume Lat-Fis-ant-Vertical</t>
  </si>
  <si>
    <t>0614</t>
  </si>
  <si>
    <t>27739</t>
  </si>
  <si>
    <t>aparc-a2009s rh volume Lat-Fis-post</t>
  </si>
  <si>
    <t>0615</t>
  </si>
  <si>
    <t>27740</t>
  </si>
  <si>
    <t>aparc-a2009s rh volume Pole-occipital</t>
  </si>
  <si>
    <t>0616</t>
  </si>
  <si>
    <t>27741</t>
  </si>
  <si>
    <t>aparc-a2009s rh volume Pole-temporal</t>
  </si>
  <si>
    <t>0617</t>
  </si>
  <si>
    <t>27742</t>
  </si>
  <si>
    <t>aparc-a2009s rh volume S-calcarine</t>
  </si>
  <si>
    <t>0618</t>
  </si>
  <si>
    <t>27743</t>
  </si>
  <si>
    <t>aparc-a2009s rh volume S-central</t>
  </si>
  <si>
    <t>0619</t>
  </si>
  <si>
    <t>27744</t>
  </si>
  <si>
    <t>aparc-a2009s rh volume S-cingul-Marginalis</t>
  </si>
  <si>
    <t>0620</t>
  </si>
  <si>
    <t>27745</t>
  </si>
  <si>
    <t>aparc-a2009s rh volume S-circular-insula-ant</t>
  </si>
  <si>
    <t>0621</t>
  </si>
  <si>
    <t>27746</t>
  </si>
  <si>
    <t>aparc-a2009s rh volume S-circular-insula-inf</t>
  </si>
  <si>
    <t>0622</t>
  </si>
  <si>
    <t>27747</t>
  </si>
  <si>
    <t>aparc-a2009s rh volume S-circular-insula-sup</t>
  </si>
  <si>
    <t>0623</t>
  </si>
  <si>
    <t>27748</t>
  </si>
  <si>
    <t>aparc-a2009s rh volume S-collat-transv-ant</t>
  </si>
  <si>
    <t>0624</t>
  </si>
  <si>
    <t>27749</t>
  </si>
  <si>
    <t>aparc-a2009s rh volume S-collat-transv-post</t>
  </si>
  <si>
    <t>0625</t>
  </si>
  <si>
    <t>27750</t>
  </si>
  <si>
    <t>aparc-a2009s rh volume S-front-inf</t>
  </si>
  <si>
    <t>0626</t>
  </si>
  <si>
    <t>27751</t>
  </si>
  <si>
    <t>aparc-a2009s rh volume S-front-middle</t>
  </si>
  <si>
    <t>0627</t>
  </si>
  <si>
    <t>27752</t>
  </si>
  <si>
    <t>aparc-a2009s rh volume S-front-sup</t>
  </si>
  <si>
    <t>0628</t>
  </si>
  <si>
    <t>27753</t>
  </si>
  <si>
    <t>aparc-a2009s rh volume S-interm-prim-Jensen</t>
  </si>
  <si>
    <t>0629</t>
  </si>
  <si>
    <t>27754</t>
  </si>
  <si>
    <t>aparc-a2009s rh volume S-intrapariet+P-trans</t>
  </si>
  <si>
    <t>0630</t>
  </si>
  <si>
    <t>27755</t>
  </si>
  <si>
    <t>aparc-a2009s rh volume S-oc-middle+Lunatus</t>
  </si>
  <si>
    <t>0631</t>
  </si>
  <si>
    <t>27756</t>
  </si>
  <si>
    <t>aparc-a2009s rh volume S-oc-sup+transversal</t>
  </si>
  <si>
    <t>0632</t>
  </si>
  <si>
    <t>27757</t>
  </si>
  <si>
    <t>aparc-a2009s rh volume S-occipital-ant</t>
  </si>
  <si>
    <t>0633</t>
  </si>
  <si>
    <t>27758</t>
  </si>
  <si>
    <t>aparc-a2009s rh volume S-oc-temp-lat</t>
  </si>
  <si>
    <t>0634</t>
  </si>
  <si>
    <t>27759</t>
  </si>
  <si>
    <t>aparc-a2009s rh volume S-oc-temp-med+Lingual</t>
  </si>
  <si>
    <t>0635</t>
  </si>
  <si>
    <t>27760</t>
  </si>
  <si>
    <t>aparc-a2009s rh volume S-orbital-lateral</t>
  </si>
  <si>
    <t>0636</t>
  </si>
  <si>
    <t>27761</t>
  </si>
  <si>
    <t>aparc-a2009s rh volume S-orbital-med-olfact</t>
  </si>
  <si>
    <t>0637</t>
  </si>
  <si>
    <t>27762</t>
  </si>
  <si>
    <t>aparc-a2009s rh volume S-orbital-H-Shaped</t>
  </si>
  <si>
    <t>0638</t>
  </si>
  <si>
    <t>27763</t>
  </si>
  <si>
    <t>aparc-a2009s rh volume S-parieto-occipital</t>
  </si>
  <si>
    <t>0639</t>
  </si>
  <si>
    <t>27764</t>
  </si>
  <si>
    <t>aparc-a2009s rh volume S-pericallosal</t>
  </si>
  <si>
    <t>0640</t>
  </si>
  <si>
    <t>27765</t>
  </si>
  <si>
    <t>aparc-a2009s rh volume S-postcentral</t>
  </si>
  <si>
    <t>0641</t>
  </si>
  <si>
    <t>27766</t>
  </si>
  <si>
    <t>aparc-a2009s rh volume S-precentral-inf-part</t>
  </si>
  <si>
    <t>0642</t>
  </si>
  <si>
    <t>27767</t>
  </si>
  <si>
    <t>aparc-a2009s rh volume S-precentral-sup-part</t>
  </si>
  <si>
    <t>0643</t>
  </si>
  <si>
    <t>27768</t>
  </si>
  <si>
    <t>aparc-a2009s rh volume S-suborbital</t>
  </si>
  <si>
    <t>0644</t>
  </si>
  <si>
    <t>27769</t>
  </si>
  <si>
    <t>aparc-a2009s rh volume S-subparietal</t>
  </si>
  <si>
    <t>0645</t>
  </si>
  <si>
    <t>27770</t>
  </si>
  <si>
    <t>aparc-a2009s rh volume S-temporal-inf</t>
  </si>
  <si>
    <t>0646</t>
  </si>
  <si>
    <t>27771</t>
  </si>
  <si>
    <t>aparc-a2009s rh volume S-temporal-sup</t>
  </si>
  <si>
    <t>0647</t>
  </si>
  <si>
    <t>27772</t>
  </si>
  <si>
    <t>aparc-a2009s rh volume S-temporal-transverse</t>
  </si>
  <si>
    <t>0648</t>
  </si>
  <si>
    <t>26721</t>
  </si>
  <si>
    <t>aparc-Desikan lh area TotalSurface</t>
  </si>
  <si>
    <t>0649</t>
  </si>
  <si>
    <t>26722</t>
  </si>
  <si>
    <t>aparc-Desikan lh area bankssts</t>
  </si>
  <si>
    <t>0650</t>
  </si>
  <si>
    <t>26723</t>
  </si>
  <si>
    <t>aparc-Desikan lh area caudalanteriorcingulate</t>
  </si>
  <si>
    <t>0651</t>
  </si>
  <si>
    <t>26724</t>
  </si>
  <si>
    <t>aparc-Desikan lh area caudalmiddlefrontal</t>
  </si>
  <si>
    <t>0652</t>
  </si>
  <si>
    <t>26725</t>
  </si>
  <si>
    <t>aparc-Desikan lh area cuneus</t>
  </si>
  <si>
    <t>0653</t>
  </si>
  <si>
    <t>26726</t>
  </si>
  <si>
    <t>aparc-Desikan lh area entorhinal</t>
  </si>
  <si>
    <t>0654</t>
  </si>
  <si>
    <t>26727</t>
  </si>
  <si>
    <t>aparc-Desikan lh area fusiform</t>
  </si>
  <si>
    <t>0655</t>
  </si>
  <si>
    <t>26728</t>
  </si>
  <si>
    <t>aparc-Desikan lh area inferiorparietal</t>
  </si>
  <si>
    <t>0656</t>
  </si>
  <si>
    <t>26729</t>
  </si>
  <si>
    <t>aparc-Desikan lh area inferiortemporal</t>
  </si>
  <si>
    <t>0657</t>
  </si>
  <si>
    <t>26730</t>
  </si>
  <si>
    <t>aparc-Desikan lh area isthmuscingulate</t>
  </si>
  <si>
    <t>0658</t>
  </si>
  <si>
    <t>26731</t>
  </si>
  <si>
    <t>aparc-Desikan lh area lateraloccipital</t>
  </si>
  <si>
    <t>0659</t>
  </si>
  <si>
    <t>26732</t>
  </si>
  <si>
    <t>aparc-Desikan lh area lateralorbitofrontal</t>
  </si>
  <si>
    <t>0660</t>
  </si>
  <si>
    <t>26733</t>
  </si>
  <si>
    <t>aparc-Desikan lh area lingual</t>
  </si>
  <si>
    <t>0661</t>
  </si>
  <si>
    <t>26734</t>
  </si>
  <si>
    <t>aparc-Desikan lh area medialorbitofrontal</t>
  </si>
  <si>
    <t>0662</t>
  </si>
  <si>
    <t>26735</t>
  </si>
  <si>
    <t>aparc-Desikan lh area middletemporal</t>
  </si>
  <si>
    <t>0663</t>
  </si>
  <si>
    <t>26736</t>
  </si>
  <si>
    <t>aparc-Desikan lh area parahippocampal</t>
  </si>
  <si>
    <t>0664</t>
  </si>
  <si>
    <t>26737</t>
  </si>
  <si>
    <t>aparc-Desikan lh area paracentral</t>
  </si>
  <si>
    <t>0665</t>
  </si>
  <si>
    <t>26738</t>
  </si>
  <si>
    <t>aparc-Desikan lh area parsopercularis</t>
  </si>
  <si>
    <t>0666</t>
  </si>
  <si>
    <t>26739</t>
  </si>
  <si>
    <t>aparc-Desikan lh area parsorbitalis</t>
  </si>
  <si>
    <t>0667</t>
  </si>
  <si>
    <t>26740</t>
  </si>
  <si>
    <t>aparc-Desikan lh area parstriangularis</t>
  </si>
  <si>
    <t>0668</t>
  </si>
  <si>
    <t>26741</t>
  </si>
  <si>
    <t>aparc-Desikan lh area pericalcarine</t>
  </si>
  <si>
    <t>0669</t>
  </si>
  <si>
    <t>26742</t>
  </si>
  <si>
    <t>aparc-Desikan lh area postcentral</t>
  </si>
  <si>
    <t>0670</t>
  </si>
  <si>
    <t>26743</t>
  </si>
  <si>
    <t>aparc-Desikan lh area posteriorcingulate</t>
  </si>
  <si>
    <t>0671</t>
  </si>
  <si>
    <t>26744</t>
  </si>
  <si>
    <t>aparc-Desikan lh area precentral</t>
  </si>
  <si>
    <t>0672</t>
  </si>
  <si>
    <t>26745</t>
  </si>
  <si>
    <t>aparc-Desikan lh area precuneus</t>
  </si>
  <si>
    <t>0673</t>
  </si>
  <si>
    <t>26746</t>
  </si>
  <si>
    <t>aparc-Desikan lh area rostralanteriorcingulate</t>
  </si>
  <si>
    <t>0674</t>
  </si>
  <si>
    <t>26747</t>
  </si>
  <si>
    <t>aparc-Desikan lh area rostralmiddlefrontal</t>
  </si>
  <si>
    <t>0675</t>
  </si>
  <si>
    <t>26748</t>
  </si>
  <si>
    <t>aparc-Desikan lh area superiorfrontal</t>
  </si>
  <si>
    <t>0676</t>
  </si>
  <si>
    <t>26749</t>
  </si>
  <si>
    <t>aparc-Desikan lh area superiorparietal</t>
  </si>
  <si>
    <t>0677</t>
  </si>
  <si>
    <t>26750</t>
  </si>
  <si>
    <t>aparc-Desikan lh area superiortemporal</t>
  </si>
  <si>
    <t>0678</t>
  </si>
  <si>
    <t>26751</t>
  </si>
  <si>
    <t>aparc-Desikan lh area supramarginal</t>
  </si>
  <si>
    <t>0679</t>
  </si>
  <si>
    <t>26752</t>
  </si>
  <si>
    <t>aparc-Desikan lh area frontalpole</t>
  </si>
  <si>
    <t>0680</t>
  </si>
  <si>
    <t>26753</t>
  </si>
  <si>
    <t>aparc-Desikan lh area transversetemporal</t>
  </si>
  <si>
    <t>0681</t>
  </si>
  <si>
    <t>26754</t>
  </si>
  <si>
    <t>aparc-Desikan lh area insula</t>
  </si>
  <si>
    <t>0682</t>
  </si>
  <si>
    <t>26822</t>
  </si>
  <si>
    <t>aparc-Desikan rh area TotalSurface</t>
  </si>
  <si>
    <t>0683</t>
  </si>
  <si>
    <t>26823</t>
  </si>
  <si>
    <t>aparc-Desikan rh area bankssts</t>
  </si>
  <si>
    <t>0684</t>
  </si>
  <si>
    <t>26824</t>
  </si>
  <si>
    <t>aparc-Desikan rh area caudalanteriorcingulate</t>
  </si>
  <si>
    <t>0685</t>
  </si>
  <si>
    <t>26825</t>
  </si>
  <si>
    <t>aparc-Desikan rh area caudalmiddlefrontal</t>
  </si>
  <si>
    <t>0686</t>
  </si>
  <si>
    <t>26826</t>
  </si>
  <si>
    <t>aparc-Desikan rh area cuneus</t>
  </si>
  <si>
    <t>0687</t>
  </si>
  <si>
    <t>26827</t>
  </si>
  <si>
    <t>aparc-Desikan rh area entorhinal</t>
  </si>
  <si>
    <t>0688</t>
  </si>
  <si>
    <t>26828</t>
  </si>
  <si>
    <t>aparc-Desikan rh area fusiform</t>
  </si>
  <si>
    <t>0689</t>
  </si>
  <si>
    <t>26829</t>
  </si>
  <si>
    <t>aparc-Desikan rh area inferiorparietal</t>
  </si>
  <si>
    <t>0690</t>
  </si>
  <si>
    <t>26830</t>
  </si>
  <si>
    <t>aparc-Desikan rh area inferiortemporal</t>
  </si>
  <si>
    <t>0691</t>
  </si>
  <si>
    <t>26831</t>
  </si>
  <si>
    <t>aparc-Desikan rh area isthmuscingulate</t>
  </si>
  <si>
    <t>0692</t>
  </si>
  <si>
    <t>26832</t>
  </si>
  <si>
    <t>aparc-Desikan rh area lateraloccipital</t>
  </si>
  <si>
    <t>0693</t>
  </si>
  <si>
    <t>26833</t>
  </si>
  <si>
    <t>aparc-Desikan rh area lateralorbitofrontal</t>
  </si>
  <si>
    <t>0694</t>
  </si>
  <si>
    <t>26834</t>
  </si>
  <si>
    <t>aparc-Desikan rh area lingual</t>
  </si>
  <si>
    <t>0695</t>
  </si>
  <si>
    <t>26835</t>
  </si>
  <si>
    <t>aparc-Desikan rh area medialorbitofrontal</t>
  </si>
  <si>
    <t>0696</t>
  </si>
  <si>
    <t>26836</t>
  </si>
  <si>
    <t>aparc-Desikan rh area middletemporal</t>
  </si>
  <si>
    <t>0697</t>
  </si>
  <si>
    <t>26837</t>
  </si>
  <si>
    <t>aparc-Desikan rh area parahippocampal</t>
  </si>
  <si>
    <t>0698</t>
  </si>
  <si>
    <t>26838</t>
  </si>
  <si>
    <t>aparc-Desikan rh area paracentral</t>
  </si>
  <si>
    <t>0699</t>
  </si>
  <si>
    <t>26839</t>
  </si>
  <si>
    <t>aparc-Desikan rh area parsopercularis</t>
  </si>
  <si>
    <t>0700</t>
  </si>
  <si>
    <t>26840</t>
  </si>
  <si>
    <t>aparc-Desikan rh area parsorbitalis</t>
  </si>
  <si>
    <t>0701</t>
  </si>
  <si>
    <t>26841</t>
  </si>
  <si>
    <t>aparc-Desikan rh area parstriangularis</t>
  </si>
  <si>
    <t>0702</t>
  </si>
  <si>
    <t>26842</t>
  </si>
  <si>
    <t>aparc-Desikan rh area pericalcarine</t>
  </si>
  <si>
    <t>0703</t>
  </si>
  <si>
    <t>26843</t>
  </si>
  <si>
    <t>aparc-Desikan rh area postcentral</t>
  </si>
  <si>
    <t>0704</t>
  </si>
  <si>
    <t>26844</t>
  </si>
  <si>
    <t>aparc-Desikan rh area posteriorcingulate</t>
  </si>
  <si>
    <t>0705</t>
  </si>
  <si>
    <t>26845</t>
  </si>
  <si>
    <t>aparc-Desikan rh area precentral</t>
  </si>
  <si>
    <t>0706</t>
  </si>
  <si>
    <t>26846</t>
  </si>
  <si>
    <t>aparc-Desikan rh area precuneus</t>
  </si>
  <si>
    <t>0707</t>
  </si>
  <si>
    <t>26847</t>
  </si>
  <si>
    <t>aparc-Desikan rh area rostralanteriorcingulate</t>
  </si>
  <si>
    <t>0708</t>
  </si>
  <si>
    <t>26848</t>
  </si>
  <si>
    <t>aparc-Desikan rh area rostralmiddlefrontal</t>
  </si>
  <si>
    <t>0709</t>
  </si>
  <si>
    <t>26849</t>
  </si>
  <si>
    <t>aparc-Desikan rh area superiorfrontal</t>
  </si>
  <si>
    <t>0710</t>
  </si>
  <si>
    <t>26850</t>
  </si>
  <si>
    <t>aparc-Desikan rh area superiorparietal</t>
  </si>
  <si>
    <t>0711</t>
  </si>
  <si>
    <t>26851</t>
  </si>
  <si>
    <t>aparc-Desikan rh area superiortemporal</t>
  </si>
  <si>
    <t>0712</t>
  </si>
  <si>
    <t>26852</t>
  </si>
  <si>
    <t>aparc-Desikan rh area supramarginal</t>
  </si>
  <si>
    <t>0713</t>
  </si>
  <si>
    <t>26853</t>
  </si>
  <si>
    <t>aparc-Desikan rh area frontalpole</t>
  </si>
  <si>
    <t>0714</t>
  </si>
  <si>
    <t>26854</t>
  </si>
  <si>
    <t>aparc-Desikan rh area transversetemporal</t>
  </si>
  <si>
    <t>0715</t>
  </si>
  <si>
    <t>26855</t>
  </si>
  <si>
    <t>aparc-Desikan rh area insula</t>
  </si>
  <si>
    <t>0716</t>
  </si>
  <si>
    <t>26923</t>
  </si>
  <si>
    <t>aparc-pial lh area TotalSurface</t>
  </si>
  <si>
    <t>0717</t>
  </si>
  <si>
    <t>26924</t>
  </si>
  <si>
    <t>aparc-pial lh area bankssts</t>
  </si>
  <si>
    <t>0718</t>
  </si>
  <si>
    <t>26925</t>
  </si>
  <si>
    <t>aparc-pial lh area caudalanteriorcingulate</t>
  </si>
  <si>
    <t>0719</t>
  </si>
  <si>
    <t>26926</t>
  </si>
  <si>
    <t>aparc-pial lh area caudalmiddlefrontal</t>
  </si>
  <si>
    <t>0720</t>
  </si>
  <si>
    <t>26927</t>
  </si>
  <si>
    <t>aparc-pial lh area cuneus</t>
  </si>
  <si>
    <t>0721</t>
  </si>
  <si>
    <t>26928</t>
  </si>
  <si>
    <t>aparc-pial lh area entorhinal</t>
  </si>
  <si>
    <t>0722</t>
  </si>
  <si>
    <t>26929</t>
  </si>
  <si>
    <t>aparc-pial lh area fusiform</t>
  </si>
  <si>
    <t>0723</t>
  </si>
  <si>
    <t>26930</t>
  </si>
  <si>
    <t>aparc-pial lh area inferiorparietal</t>
  </si>
  <si>
    <t>0724</t>
  </si>
  <si>
    <t>26931</t>
  </si>
  <si>
    <t>aparc-pial lh area inferiortemporal</t>
  </si>
  <si>
    <t>0725</t>
  </si>
  <si>
    <t>26932</t>
  </si>
  <si>
    <t>aparc-pial lh area isthmuscingulate</t>
  </si>
  <si>
    <t>0726</t>
  </si>
  <si>
    <t>26933</t>
  </si>
  <si>
    <t>aparc-pial lh area lateraloccipital</t>
  </si>
  <si>
    <t>0727</t>
  </si>
  <si>
    <t>26934</t>
  </si>
  <si>
    <t>aparc-pial lh area lateralorbitofrontal</t>
  </si>
  <si>
    <t>0728</t>
  </si>
  <si>
    <t>26935</t>
  </si>
  <si>
    <t>aparc-pial lh area lingual</t>
  </si>
  <si>
    <t>0729</t>
  </si>
  <si>
    <t>26936</t>
  </si>
  <si>
    <t>aparc-pial lh area medialorbitofrontal</t>
  </si>
  <si>
    <t>0730</t>
  </si>
  <si>
    <t>26937</t>
  </si>
  <si>
    <t>aparc-pial lh area middletemporal</t>
  </si>
  <si>
    <t>0731</t>
  </si>
  <si>
    <t>26938</t>
  </si>
  <si>
    <t>aparc-pial lh area parahippocampal</t>
  </si>
  <si>
    <t>0732</t>
  </si>
  <si>
    <t>26939</t>
  </si>
  <si>
    <t>aparc-pial lh area paracentral</t>
  </si>
  <si>
    <t>0733</t>
  </si>
  <si>
    <t>26940</t>
  </si>
  <si>
    <t>aparc-pial lh area parsopercularis</t>
  </si>
  <si>
    <t>0734</t>
  </si>
  <si>
    <t>26941</t>
  </si>
  <si>
    <t>aparc-pial lh area parsorbitalis</t>
  </si>
  <si>
    <t>0735</t>
  </si>
  <si>
    <t>26942</t>
  </si>
  <si>
    <t>aparc-pial lh area parstriangularis</t>
  </si>
  <si>
    <t>0736</t>
  </si>
  <si>
    <t>26943</t>
  </si>
  <si>
    <t>aparc-pial lh area pericalcarine</t>
  </si>
  <si>
    <t>0737</t>
  </si>
  <si>
    <t>26944</t>
  </si>
  <si>
    <t>aparc-pial lh area postcentral</t>
  </si>
  <si>
    <t>0738</t>
  </si>
  <si>
    <t>26945</t>
  </si>
  <si>
    <t>aparc-pial lh area posteriorcingulate</t>
  </si>
  <si>
    <t>0739</t>
  </si>
  <si>
    <t>26946</t>
  </si>
  <si>
    <t>aparc-pial lh area precentral</t>
  </si>
  <si>
    <t>0740</t>
  </si>
  <si>
    <t>26947</t>
  </si>
  <si>
    <t>aparc-pial lh area precuneus</t>
  </si>
  <si>
    <t>0741</t>
  </si>
  <si>
    <t>26948</t>
  </si>
  <si>
    <t>aparc-pial lh area rostralanteriorcingulate</t>
  </si>
  <si>
    <t>0742</t>
  </si>
  <si>
    <t>26949</t>
  </si>
  <si>
    <t>aparc-pial lh area rostralmiddlefrontal</t>
  </si>
  <si>
    <t>0743</t>
  </si>
  <si>
    <t>26950</t>
  </si>
  <si>
    <t>aparc-pial lh area superiorfrontal</t>
  </si>
  <si>
    <t>0744</t>
  </si>
  <si>
    <t>26951</t>
  </si>
  <si>
    <t>aparc-pial lh area superiorparietal</t>
  </si>
  <si>
    <t>0745</t>
  </si>
  <si>
    <t>26952</t>
  </si>
  <si>
    <t>aparc-pial lh area superiortemporal</t>
  </si>
  <si>
    <t>0746</t>
  </si>
  <si>
    <t>26953</t>
  </si>
  <si>
    <t>aparc-pial lh area supramarginal</t>
  </si>
  <si>
    <t>0747</t>
  </si>
  <si>
    <t>26954</t>
  </si>
  <si>
    <t>aparc-pial lh area frontalpole</t>
  </si>
  <si>
    <t>0748</t>
  </si>
  <si>
    <t>26955</t>
  </si>
  <si>
    <t>aparc-pial lh area transversetemporal</t>
  </si>
  <si>
    <t>0749</t>
  </si>
  <si>
    <t>26956</t>
  </si>
  <si>
    <t>aparc-pial rh area TotalSurface</t>
  </si>
  <si>
    <t>0750</t>
  </si>
  <si>
    <t>26957</t>
  </si>
  <si>
    <t>aparc-pial rh area bankssts</t>
  </si>
  <si>
    <t>0751</t>
  </si>
  <si>
    <t>26958</t>
  </si>
  <si>
    <t>aparc-pial rh area caudalanteriorcingulate</t>
  </si>
  <si>
    <t>0752</t>
  </si>
  <si>
    <t>26959</t>
  </si>
  <si>
    <t>aparc-pial rh area caudalmiddlefrontal</t>
  </si>
  <si>
    <t>0753</t>
  </si>
  <si>
    <t>26960</t>
  </si>
  <si>
    <t>aparc-pial rh area cuneus</t>
  </si>
  <si>
    <t>0754</t>
  </si>
  <si>
    <t>26961</t>
  </si>
  <si>
    <t>aparc-pial rh area entorhinal</t>
  </si>
  <si>
    <t>0755</t>
  </si>
  <si>
    <t>26962</t>
  </si>
  <si>
    <t>aparc-pial rh area fusiform</t>
  </si>
  <si>
    <t>0756</t>
  </si>
  <si>
    <t>26963</t>
  </si>
  <si>
    <t>aparc-pial rh area inferiorparietal</t>
  </si>
  <si>
    <t>0757</t>
  </si>
  <si>
    <t>26964</t>
  </si>
  <si>
    <t>aparc-pial rh area inferiortemporal</t>
  </si>
  <si>
    <t>0758</t>
  </si>
  <si>
    <t>26965</t>
  </si>
  <si>
    <t>aparc-pial rh area isthmuscingulate</t>
  </si>
  <si>
    <t>0759</t>
  </si>
  <si>
    <t>26966</t>
  </si>
  <si>
    <t>aparc-pial rh area lateraloccipital</t>
  </si>
  <si>
    <t>0760</t>
  </si>
  <si>
    <t>26967</t>
  </si>
  <si>
    <t>aparc-pial rh area lateralorbitofrontal</t>
  </si>
  <si>
    <t>0761</t>
  </si>
  <si>
    <t>26968</t>
  </si>
  <si>
    <t>aparc-pial rh area lingual</t>
  </si>
  <si>
    <t>0762</t>
  </si>
  <si>
    <t>26969</t>
  </si>
  <si>
    <t>aparc-pial rh area medialorbitofrontal</t>
  </si>
  <si>
    <t>0763</t>
  </si>
  <si>
    <t>26970</t>
  </si>
  <si>
    <t>aparc-pial rh area middletemporal</t>
  </si>
  <si>
    <t>0764</t>
  </si>
  <si>
    <t>26971</t>
  </si>
  <si>
    <t>aparc-pial rh area parahippocampal</t>
  </si>
  <si>
    <t>0765</t>
  </si>
  <si>
    <t>26972</t>
  </si>
  <si>
    <t>aparc-pial rh area paracentral</t>
  </si>
  <si>
    <t>0766</t>
  </si>
  <si>
    <t>26973</t>
  </si>
  <si>
    <t>aparc-pial rh area parsopercularis</t>
  </si>
  <si>
    <t>0767</t>
  </si>
  <si>
    <t>26974</t>
  </si>
  <si>
    <t>aparc-pial rh area parsorbitalis</t>
  </si>
  <si>
    <t>0768</t>
  </si>
  <si>
    <t>26975</t>
  </si>
  <si>
    <t>aparc-pial rh area parstriangularis</t>
  </si>
  <si>
    <t>0769</t>
  </si>
  <si>
    <t>26976</t>
  </si>
  <si>
    <t>aparc-pial rh area pericalcarine</t>
  </si>
  <si>
    <t>0770</t>
  </si>
  <si>
    <t>26977</t>
  </si>
  <si>
    <t>aparc-pial rh area postcentral</t>
  </si>
  <si>
    <t>0771</t>
  </si>
  <si>
    <t>26978</t>
  </si>
  <si>
    <t>aparc-pial rh area posteriorcingulate</t>
  </si>
  <si>
    <t>0772</t>
  </si>
  <si>
    <t>26979</t>
  </si>
  <si>
    <t>aparc-pial rh area precentral</t>
  </si>
  <si>
    <t>0773</t>
  </si>
  <si>
    <t>26980</t>
  </si>
  <si>
    <t>aparc-pial rh area precuneus</t>
  </si>
  <si>
    <t>0774</t>
  </si>
  <si>
    <t>26981</t>
  </si>
  <si>
    <t>aparc-pial rh area rostralanteriorcingulate</t>
  </si>
  <si>
    <t>0775</t>
  </si>
  <si>
    <t>26982</t>
  </si>
  <si>
    <t>aparc-pial rh area rostralmiddlefrontal</t>
  </si>
  <si>
    <t>0776</t>
  </si>
  <si>
    <t>26983</t>
  </si>
  <si>
    <t>aparc-pial rh area superiorfrontal</t>
  </si>
  <si>
    <t>0777</t>
  </si>
  <si>
    <t>26984</t>
  </si>
  <si>
    <t>aparc-pial rh area superiorparietal</t>
  </si>
  <si>
    <t>0778</t>
  </si>
  <si>
    <t>26985</t>
  </si>
  <si>
    <t>aparc-pial rh area superiortemporal</t>
  </si>
  <si>
    <t>0779</t>
  </si>
  <si>
    <t>26986</t>
  </si>
  <si>
    <t>aparc-pial rh area supramarginal</t>
  </si>
  <si>
    <t>0780</t>
  </si>
  <si>
    <t>26987</t>
  </si>
  <si>
    <t>aparc-pial rh area frontalpole</t>
  </si>
  <si>
    <t>0781</t>
  </si>
  <si>
    <t>26988</t>
  </si>
  <si>
    <t>aparc-pial rh area transversetemporal</t>
  </si>
  <si>
    <t>0782</t>
  </si>
  <si>
    <t>27059</t>
  </si>
  <si>
    <t>BA-exvivo lh area BA1</t>
  </si>
  <si>
    <t>0783</t>
  </si>
  <si>
    <t>27060</t>
  </si>
  <si>
    <t>BA-exvivo lh area BA2</t>
  </si>
  <si>
    <t>0784</t>
  </si>
  <si>
    <t>27061</t>
  </si>
  <si>
    <t>BA-exvivo lh area BA3a</t>
  </si>
  <si>
    <t>0785</t>
  </si>
  <si>
    <t>27062</t>
  </si>
  <si>
    <t>BA-exvivo lh area BA3b</t>
  </si>
  <si>
    <t>0786</t>
  </si>
  <si>
    <t>27063</t>
  </si>
  <si>
    <t>BA-exvivo lh area BA4a</t>
  </si>
  <si>
    <t>0787</t>
  </si>
  <si>
    <t>27064</t>
  </si>
  <si>
    <t>BA-exvivo lh area BA4p</t>
  </si>
  <si>
    <t>0788</t>
  </si>
  <si>
    <t>27065</t>
  </si>
  <si>
    <t>BA-exvivo lh area BA6</t>
  </si>
  <si>
    <t>0789</t>
  </si>
  <si>
    <t>27066</t>
  </si>
  <si>
    <t>BA-exvivo lh area BA44</t>
  </si>
  <si>
    <t>0790</t>
  </si>
  <si>
    <t>27067</t>
  </si>
  <si>
    <t>BA-exvivo lh area BA45</t>
  </si>
  <si>
    <t>0791</t>
  </si>
  <si>
    <t>27068</t>
  </si>
  <si>
    <t>BA-exvivo lh area V1</t>
  </si>
  <si>
    <t>0792</t>
  </si>
  <si>
    <t>27069</t>
  </si>
  <si>
    <t>BA-exvivo lh area V2</t>
  </si>
  <si>
    <t>0793</t>
  </si>
  <si>
    <t>27070</t>
  </si>
  <si>
    <t>BA-exvivo lh area MT</t>
  </si>
  <si>
    <t>0794</t>
  </si>
  <si>
    <t>27071</t>
  </si>
  <si>
    <t>BA-exvivo lh area perirhinal</t>
  </si>
  <si>
    <t>0795</t>
  </si>
  <si>
    <t>27072</t>
  </si>
  <si>
    <t>BA-exvivo lh area entorhinal</t>
  </si>
  <si>
    <t>0796</t>
  </si>
  <si>
    <t>27101</t>
  </si>
  <si>
    <t>BA-exvivo rh area BA1</t>
  </si>
  <si>
    <t>0797</t>
  </si>
  <si>
    <t>27102</t>
  </si>
  <si>
    <t>BA-exvivo rh area BA2</t>
  </si>
  <si>
    <t>0798</t>
  </si>
  <si>
    <t>27103</t>
  </si>
  <si>
    <t>BA-exvivo rh area BA3a</t>
  </si>
  <si>
    <t>0799</t>
  </si>
  <si>
    <t>27104</t>
  </si>
  <si>
    <t>BA-exvivo rh area BA3b</t>
  </si>
  <si>
    <t>0800</t>
  </si>
  <si>
    <t>27105</t>
  </si>
  <si>
    <t>BA-exvivo rh area BA4a</t>
  </si>
  <si>
    <t>0801</t>
  </si>
  <si>
    <t>27106</t>
  </si>
  <si>
    <t>BA-exvivo rh area BA4p</t>
  </si>
  <si>
    <t>0802</t>
  </si>
  <si>
    <t>27107</t>
  </si>
  <si>
    <t>BA-exvivo rh area BA6</t>
  </si>
  <si>
    <t>0803</t>
  </si>
  <si>
    <t>27108</t>
  </si>
  <si>
    <t>BA-exvivo rh area BA44</t>
  </si>
  <si>
    <t>0804</t>
  </si>
  <si>
    <t>27109</t>
  </si>
  <si>
    <t>BA-exvivo rh area BA45</t>
  </si>
  <si>
    <t>0805</t>
  </si>
  <si>
    <t>27110</t>
  </si>
  <si>
    <t>BA-exvivo rh area V1</t>
  </si>
  <si>
    <t>0806</t>
  </si>
  <si>
    <t>27111</t>
  </si>
  <si>
    <t>BA-exvivo rh area V2</t>
  </si>
  <si>
    <t>0807</t>
  </si>
  <si>
    <t>27112</t>
  </si>
  <si>
    <t>BA-exvivo rh area MT</t>
  </si>
  <si>
    <t>0808</t>
  </si>
  <si>
    <t>27113</t>
  </si>
  <si>
    <t>BA-exvivo rh area perirhinal</t>
  </si>
  <si>
    <t>0809</t>
  </si>
  <si>
    <t>27114</t>
  </si>
  <si>
    <t>BA-exvivo rh area entorhinal</t>
  </si>
  <si>
    <t>0810</t>
  </si>
  <si>
    <t>27143</t>
  </si>
  <si>
    <t>aparc-DKTatlas lh area caudalanteriorcingulate</t>
  </si>
  <si>
    <t>0811</t>
  </si>
  <si>
    <t>27144</t>
  </si>
  <si>
    <t>aparc-DKTatlas lh area caudalmiddlefrontal</t>
  </si>
  <si>
    <t>0812</t>
  </si>
  <si>
    <t>27145</t>
  </si>
  <si>
    <t>aparc-DKTatlas lh area cuneus</t>
  </si>
  <si>
    <t>0813</t>
  </si>
  <si>
    <t>27146</t>
  </si>
  <si>
    <t>aparc-DKTatlas lh area entorhinal</t>
  </si>
  <si>
    <t>0814</t>
  </si>
  <si>
    <t>27147</t>
  </si>
  <si>
    <t>aparc-DKTatlas lh area fusiform</t>
  </si>
  <si>
    <t>0815</t>
  </si>
  <si>
    <t>27148</t>
  </si>
  <si>
    <t>aparc-DKTatlas lh area inferiorparietal</t>
  </si>
  <si>
    <t>0816</t>
  </si>
  <si>
    <t>27149</t>
  </si>
  <si>
    <t>aparc-DKTatlas lh area inferiortemporal</t>
  </si>
  <si>
    <t>0817</t>
  </si>
  <si>
    <t>27150</t>
  </si>
  <si>
    <t>aparc-DKTatlas lh area isthmuscingulate</t>
  </si>
  <si>
    <t>0818</t>
  </si>
  <si>
    <t>27151</t>
  </si>
  <si>
    <t>aparc-DKTatlas lh area lateraloccipital</t>
  </si>
  <si>
    <t>0819</t>
  </si>
  <si>
    <t>27152</t>
  </si>
  <si>
    <t>aparc-DKTatlas lh area lateralorbitofrontal</t>
  </si>
  <si>
    <t>0820</t>
  </si>
  <si>
    <t>27153</t>
  </si>
  <si>
    <t>aparc-DKTatlas lh area lingual</t>
  </si>
  <si>
    <t>0821</t>
  </si>
  <si>
    <t>27154</t>
  </si>
  <si>
    <t>aparc-DKTatlas lh area medialorbitofrontal</t>
  </si>
  <si>
    <t>0822</t>
  </si>
  <si>
    <t>27155</t>
  </si>
  <si>
    <t>aparc-DKTatlas lh area middletemporal</t>
  </si>
  <si>
    <t>0823</t>
  </si>
  <si>
    <t>27156</t>
  </si>
  <si>
    <t>aparc-DKTatlas lh area parahippocampal</t>
  </si>
  <si>
    <t>0824</t>
  </si>
  <si>
    <t>27157</t>
  </si>
  <si>
    <t>aparc-DKTatlas lh area paracentral</t>
  </si>
  <si>
    <t>0825</t>
  </si>
  <si>
    <t>27158</t>
  </si>
  <si>
    <t>aparc-DKTatlas lh area parsopercularis</t>
  </si>
  <si>
    <t>0826</t>
  </si>
  <si>
    <t>27159</t>
  </si>
  <si>
    <t>aparc-DKTatlas lh area parsorbitalis</t>
  </si>
  <si>
    <t>0827</t>
  </si>
  <si>
    <t>27160</t>
  </si>
  <si>
    <t>aparc-DKTatlas lh area parstriangularis</t>
  </si>
  <si>
    <t>0828</t>
  </si>
  <si>
    <t>27161</t>
  </si>
  <si>
    <t>aparc-DKTatlas lh area pericalcarine</t>
  </si>
  <si>
    <t>0829</t>
  </si>
  <si>
    <t>27162</t>
  </si>
  <si>
    <t>aparc-DKTatlas lh area postcentral</t>
  </si>
  <si>
    <t>0830</t>
  </si>
  <si>
    <t>27163</t>
  </si>
  <si>
    <t>aparc-DKTatlas lh area posteriorcingulate</t>
  </si>
  <si>
    <t>0831</t>
  </si>
  <si>
    <t>27164</t>
  </si>
  <si>
    <t>aparc-DKTatlas lh area precentral</t>
  </si>
  <si>
    <t>0832</t>
  </si>
  <si>
    <t>27165</t>
  </si>
  <si>
    <t>aparc-DKTatlas lh area precuneus</t>
  </si>
  <si>
    <t>0833</t>
  </si>
  <si>
    <t>27166</t>
  </si>
  <si>
    <t>aparc-DKTatlas lh area rostralanteriorcingulate</t>
  </si>
  <si>
    <t>0834</t>
  </si>
  <si>
    <t>27167</t>
  </si>
  <si>
    <t>aparc-DKTatlas lh area rostralmiddlefrontal</t>
  </si>
  <si>
    <t>0835</t>
  </si>
  <si>
    <t>27168</t>
  </si>
  <si>
    <t>aparc-DKTatlas lh area superiorfrontal</t>
  </si>
  <si>
    <t>0836</t>
  </si>
  <si>
    <t>27169</t>
  </si>
  <si>
    <t>aparc-DKTatlas lh area superiorparietal</t>
  </si>
  <si>
    <t>0837</t>
  </si>
  <si>
    <t>27170</t>
  </si>
  <si>
    <t>aparc-DKTatlas lh area superiortemporal</t>
  </si>
  <si>
    <t>0838</t>
  </si>
  <si>
    <t>27171</t>
  </si>
  <si>
    <t>aparc-DKTatlas lh area supramarginal</t>
  </si>
  <si>
    <t>0839</t>
  </si>
  <si>
    <t>27172</t>
  </si>
  <si>
    <t>aparc-DKTatlas lh area transversetemporal</t>
  </si>
  <si>
    <t>0840</t>
  </si>
  <si>
    <t>27173</t>
  </si>
  <si>
    <t>aparc-DKTatlas lh area insula</t>
  </si>
  <si>
    <t>0841</t>
  </si>
  <si>
    <t>27236</t>
  </si>
  <si>
    <t>aparc-DKTatlas rh area caudalanteriorcingulate</t>
  </si>
  <si>
    <t>0842</t>
  </si>
  <si>
    <t>27237</t>
  </si>
  <si>
    <t>aparc-DKTatlas rh area caudalmiddlefrontal</t>
  </si>
  <si>
    <t>0843</t>
  </si>
  <si>
    <t>27238</t>
  </si>
  <si>
    <t>aparc-DKTatlas rh area cuneus</t>
  </si>
  <si>
    <t>0844</t>
  </si>
  <si>
    <t>27239</t>
  </si>
  <si>
    <t>aparc-DKTatlas rh area entorhinal</t>
  </si>
  <si>
    <t>0845</t>
  </si>
  <si>
    <t>27240</t>
  </si>
  <si>
    <t>aparc-DKTatlas rh area fusiform</t>
  </si>
  <si>
    <t>0846</t>
  </si>
  <si>
    <t>27241</t>
  </si>
  <si>
    <t>aparc-DKTatlas rh area inferiorparietal</t>
  </si>
  <si>
    <t>0847</t>
  </si>
  <si>
    <t>27242</t>
  </si>
  <si>
    <t>aparc-DKTatlas rh area inferiortemporal</t>
  </si>
  <si>
    <t>0848</t>
  </si>
  <si>
    <t>27243</t>
  </si>
  <si>
    <t>aparc-DKTatlas rh area isthmuscingulate</t>
  </si>
  <si>
    <t>0849</t>
  </si>
  <si>
    <t>27244</t>
  </si>
  <si>
    <t>aparc-DKTatlas rh area lateraloccipital</t>
  </si>
  <si>
    <t>0850</t>
  </si>
  <si>
    <t>27245</t>
  </si>
  <si>
    <t>aparc-DKTatlas rh area lateralorbitofrontal</t>
  </si>
  <si>
    <t>0851</t>
  </si>
  <si>
    <t>27246</t>
  </si>
  <si>
    <t>aparc-DKTatlas rh area lingual</t>
  </si>
  <si>
    <t>0852</t>
  </si>
  <si>
    <t>27247</t>
  </si>
  <si>
    <t>aparc-DKTatlas rh area medialorbitofrontal</t>
  </si>
  <si>
    <t>0853</t>
  </si>
  <si>
    <t>27248</t>
  </si>
  <si>
    <t>aparc-DKTatlas rh area middletemporal</t>
  </si>
  <si>
    <t>0854</t>
  </si>
  <si>
    <t>27249</t>
  </si>
  <si>
    <t>aparc-DKTatlas rh area parahippocampal</t>
  </si>
  <si>
    <t>0855</t>
  </si>
  <si>
    <t>27250</t>
  </si>
  <si>
    <t>aparc-DKTatlas rh area paracentral</t>
  </si>
  <si>
    <t>0856</t>
  </si>
  <si>
    <t>27251</t>
  </si>
  <si>
    <t>aparc-DKTatlas rh area parsopercularis</t>
  </si>
  <si>
    <t>0857</t>
  </si>
  <si>
    <t>27252</t>
  </si>
  <si>
    <t>aparc-DKTatlas rh area parsorbitalis</t>
  </si>
  <si>
    <t>0858</t>
  </si>
  <si>
    <t>27253</t>
  </si>
  <si>
    <t>aparc-DKTatlas rh area parstriangularis</t>
  </si>
  <si>
    <t>0859</t>
  </si>
  <si>
    <t>27254</t>
  </si>
  <si>
    <t>aparc-DKTatlas rh area pericalcarine</t>
  </si>
  <si>
    <t>0860</t>
  </si>
  <si>
    <t>27255</t>
  </si>
  <si>
    <t>aparc-DKTatlas rh area postcentral</t>
  </si>
  <si>
    <t>0861</t>
  </si>
  <si>
    <t>27256</t>
  </si>
  <si>
    <t>aparc-DKTatlas rh area posteriorcingulate</t>
  </si>
  <si>
    <t>0862</t>
  </si>
  <si>
    <t>27257</t>
  </si>
  <si>
    <t>aparc-DKTatlas rh area precentral</t>
  </si>
  <si>
    <t>0863</t>
  </si>
  <si>
    <t>27258</t>
  </si>
  <si>
    <t>aparc-DKTatlas rh area precuneus</t>
  </si>
  <si>
    <t>0864</t>
  </si>
  <si>
    <t>27259</t>
  </si>
  <si>
    <t>aparc-DKTatlas rh area rostralanteriorcingulate</t>
  </si>
  <si>
    <t>0865</t>
  </si>
  <si>
    <t>27260</t>
  </si>
  <si>
    <t>aparc-DKTatlas rh area rostralmiddlefrontal</t>
  </si>
  <si>
    <t>0866</t>
  </si>
  <si>
    <t>27261</t>
  </si>
  <si>
    <t>aparc-DKTatlas rh area superiorfrontal</t>
  </si>
  <si>
    <t>0867</t>
  </si>
  <si>
    <t>27262</t>
  </si>
  <si>
    <t>aparc-DKTatlas rh area superiorparietal</t>
  </si>
  <si>
    <t>0868</t>
  </si>
  <si>
    <t>27263</t>
  </si>
  <si>
    <t>aparc-DKTatlas rh area superiortemporal</t>
  </si>
  <si>
    <t>0869</t>
  </si>
  <si>
    <t>27264</t>
  </si>
  <si>
    <t>aparc-DKTatlas rh area supramarginal</t>
  </si>
  <si>
    <t>0870</t>
  </si>
  <si>
    <t>27265</t>
  </si>
  <si>
    <t>aparc-DKTatlas rh area transversetemporal</t>
  </si>
  <si>
    <t>0871</t>
  </si>
  <si>
    <t>27266</t>
  </si>
  <si>
    <t>aparc-DKTatlas rh area insula</t>
  </si>
  <si>
    <t>0872</t>
  </si>
  <si>
    <t>27329</t>
  </si>
  <si>
    <t>aparc-a2009s lh area G+S-frontomargin</t>
  </si>
  <si>
    <t>0873</t>
  </si>
  <si>
    <t>27330</t>
  </si>
  <si>
    <t>aparc-a2009s lh area G+S-occipital-inf</t>
  </si>
  <si>
    <t>0874</t>
  </si>
  <si>
    <t>27331</t>
  </si>
  <si>
    <t>aparc-a2009s lh area G+S-paracentral</t>
  </si>
  <si>
    <t>0875</t>
  </si>
  <si>
    <t>27332</t>
  </si>
  <si>
    <t>aparc-a2009s lh area G+S-subcentral</t>
  </si>
  <si>
    <t>0876</t>
  </si>
  <si>
    <t>27333</t>
  </si>
  <si>
    <t>aparc-a2009s lh area G+S-transv-frontopol</t>
  </si>
  <si>
    <t>0877</t>
  </si>
  <si>
    <t>27334</t>
  </si>
  <si>
    <t>aparc-a2009s lh area G+S-cingul-Ant</t>
  </si>
  <si>
    <t>0878</t>
  </si>
  <si>
    <t>27335</t>
  </si>
  <si>
    <t>aparc-a2009s lh area G+S-cingul-Mid-Ant</t>
  </si>
  <si>
    <t>0879</t>
  </si>
  <si>
    <t>27336</t>
  </si>
  <si>
    <t>aparc-a2009s lh area G+S-cingul-Mid-Post</t>
  </si>
  <si>
    <t>0880</t>
  </si>
  <si>
    <t>27337</t>
  </si>
  <si>
    <t>aparc-a2009s lh area G-cingul-Post-dorsal</t>
  </si>
  <si>
    <t>0881</t>
  </si>
  <si>
    <t>27338</t>
  </si>
  <si>
    <t>aparc-a2009s lh area G-cingul-Post-ventral</t>
  </si>
  <si>
    <t>0882</t>
  </si>
  <si>
    <t>27339</t>
  </si>
  <si>
    <t>aparc-a2009s lh area G-cuneus</t>
  </si>
  <si>
    <t>0883</t>
  </si>
  <si>
    <t>27340</t>
  </si>
  <si>
    <t>aparc-a2009s lh area G-front-inf-Opercular</t>
  </si>
  <si>
    <t>0884</t>
  </si>
  <si>
    <t>27341</t>
  </si>
  <si>
    <t>aparc-a2009s lh area G-front-inf-Orbital</t>
  </si>
  <si>
    <t>0885</t>
  </si>
  <si>
    <t>27342</t>
  </si>
  <si>
    <t>aparc-a2009s lh area G-front-inf-Triangul</t>
  </si>
  <si>
    <t>0886</t>
  </si>
  <si>
    <t>27343</t>
  </si>
  <si>
    <t>aparc-a2009s lh area G-front-middle</t>
  </si>
  <si>
    <t>0887</t>
  </si>
  <si>
    <t>27344</t>
  </si>
  <si>
    <t>aparc-a2009s lh area G-front-sup</t>
  </si>
  <si>
    <t>0888</t>
  </si>
  <si>
    <t>27345</t>
  </si>
  <si>
    <t>aparc-a2009s lh area G-Ins-lg+S-cent-ins</t>
  </si>
  <si>
    <t>0889</t>
  </si>
  <si>
    <t>27346</t>
  </si>
  <si>
    <t>aparc-a2009s lh area G-insular-short</t>
  </si>
  <si>
    <t>0890</t>
  </si>
  <si>
    <t>27347</t>
  </si>
  <si>
    <t>aparc-a2009s lh area G-occipital-middle</t>
  </si>
  <si>
    <t>0891</t>
  </si>
  <si>
    <t>27348</t>
  </si>
  <si>
    <t>aparc-a2009s lh area G-occipital-sup</t>
  </si>
  <si>
    <t>0892</t>
  </si>
  <si>
    <t>27349</t>
  </si>
  <si>
    <t>aparc-a2009s lh area G-oc-temp-lat-fusifor</t>
  </si>
  <si>
    <t>0893</t>
  </si>
  <si>
    <t>27350</t>
  </si>
  <si>
    <t>aparc-a2009s lh area G-oc-temp-med-Lingual</t>
  </si>
  <si>
    <t>0894</t>
  </si>
  <si>
    <t>27351</t>
  </si>
  <si>
    <t>aparc-a2009s lh area G-oc-temp-med-Parahip</t>
  </si>
  <si>
    <t>0895</t>
  </si>
  <si>
    <t>27352</t>
  </si>
  <si>
    <t>aparc-a2009s lh area G-orbital</t>
  </si>
  <si>
    <t>0896</t>
  </si>
  <si>
    <t>27353</t>
  </si>
  <si>
    <t>aparc-a2009s lh area G-pariet-inf-Angular</t>
  </si>
  <si>
    <t>0897</t>
  </si>
  <si>
    <t>27354</t>
  </si>
  <si>
    <t>aparc-a2009s lh area G-pariet-inf-Supramar</t>
  </si>
  <si>
    <t>0898</t>
  </si>
  <si>
    <t>27355</t>
  </si>
  <si>
    <t>aparc-a2009s lh area G-parietal-sup</t>
  </si>
  <si>
    <t>0899</t>
  </si>
  <si>
    <t>27356</t>
  </si>
  <si>
    <t>aparc-a2009s lh area G-postcentral</t>
  </si>
  <si>
    <t>0900</t>
  </si>
  <si>
    <t>27357</t>
  </si>
  <si>
    <t>aparc-a2009s lh area G-precentral</t>
  </si>
  <si>
    <t>0901</t>
  </si>
  <si>
    <t>27358</t>
  </si>
  <si>
    <t>aparc-a2009s lh area G-precuneus</t>
  </si>
  <si>
    <t>0902</t>
  </si>
  <si>
    <t>27359</t>
  </si>
  <si>
    <t>aparc-a2009s lh area G-rectus</t>
  </si>
  <si>
    <t>0903</t>
  </si>
  <si>
    <t>27360</t>
  </si>
  <si>
    <t>aparc-a2009s lh area G-subcallosal</t>
  </si>
  <si>
    <t>0904</t>
  </si>
  <si>
    <t>27361</t>
  </si>
  <si>
    <t>aparc-a2009s lh area G-temp-sup-G-T-transv</t>
  </si>
  <si>
    <t>0905</t>
  </si>
  <si>
    <t>27362</t>
  </si>
  <si>
    <t>aparc-a2009s lh area G-temp-sup-Lateral</t>
  </si>
  <si>
    <t>0906</t>
  </si>
  <si>
    <t>27363</t>
  </si>
  <si>
    <t>aparc-a2009s lh area G-temp-sup-Plan-polar</t>
  </si>
  <si>
    <t>0907</t>
  </si>
  <si>
    <t>27364</t>
  </si>
  <si>
    <t>aparc-a2009s lh area G-temp-sup-Plan-tempo</t>
  </si>
  <si>
    <t>0908</t>
  </si>
  <si>
    <t>27365</t>
  </si>
  <si>
    <t>aparc-a2009s lh area G-temporal-inf</t>
  </si>
  <si>
    <t>0909</t>
  </si>
  <si>
    <t>27366</t>
  </si>
  <si>
    <t>aparc-a2009s lh area G-temporal-middle</t>
  </si>
  <si>
    <t>0910</t>
  </si>
  <si>
    <t>27367</t>
  </si>
  <si>
    <t>aparc-a2009s lh area Lat-Fis-ant-Horizont</t>
  </si>
  <si>
    <t>0911</t>
  </si>
  <si>
    <t>27368</t>
  </si>
  <si>
    <t>aparc-a2009s lh area Lat-Fis-ant-Vertical</t>
  </si>
  <si>
    <t>0912</t>
  </si>
  <si>
    <t>27369</t>
  </si>
  <si>
    <t>aparc-a2009s lh area Lat-Fis-post</t>
  </si>
  <si>
    <t>0913</t>
  </si>
  <si>
    <t>27370</t>
  </si>
  <si>
    <t>aparc-a2009s lh area Pole-occipital</t>
  </si>
  <si>
    <t>0914</t>
  </si>
  <si>
    <t>27371</t>
  </si>
  <si>
    <t>aparc-a2009s lh area Pole-temporal</t>
  </si>
  <si>
    <t>0915</t>
  </si>
  <si>
    <t>27372</t>
  </si>
  <si>
    <t>aparc-a2009s lh area S-calcarine</t>
  </si>
  <si>
    <t>0916</t>
  </si>
  <si>
    <t>27373</t>
  </si>
  <si>
    <t>aparc-a2009s lh area S-central</t>
  </si>
  <si>
    <t>0917</t>
  </si>
  <si>
    <t>27374</t>
  </si>
  <si>
    <t>aparc-a2009s lh area S-cingul-Marginalis</t>
  </si>
  <si>
    <t>0918</t>
  </si>
  <si>
    <t>27375</t>
  </si>
  <si>
    <t>aparc-a2009s lh area S-circular-insula-ant</t>
  </si>
  <si>
    <t>0919</t>
  </si>
  <si>
    <t>27376</t>
  </si>
  <si>
    <t>aparc-a2009s lh area S-circular-insula-inf</t>
  </si>
  <si>
    <t>0920</t>
  </si>
  <si>
    <t>27377</t>
  </si>
  <si>
    <t>aparc-a2009s lh area S-circular-insula-sup</t>
  </si>
  <si>
    <t>0921</t>
  </si>
  <si>
    <t>27378</t>
  </si>
  <si>
    <t>aparc-a2009s lh area S-collat-transv-ant</t>
  </si>
  <si>
    <t>0922</t>
  </si>
  <si>
    <t>27379</t>
  </si>
  <si>
    <t>aparc-a2009s lh area S-collat-transv-post</t>
  </si>
  <si>
    <t>0923</t>
  </si>
  <si>
    <t>27380</t>
  </si>
  <si>
    <t>aparc-a2009s lh area S-front-inf</t>
  </si>
  <si>
    <t>0924</t>
  </si>
  <si>
    <t>27381</t>
  </si>
  <si>
    <t>aparc-a2009s lh area S-front-middle</t>
  </si>
  <si>
    <t>0925</t>
  </si>
  <si>
    <t>27382</t>
  </si>
  <si>
    <t>aparc-a2009s lh area S-front-sup</t>
  </si>
  <si>
    <t>0926</t>
  </si>
  <si>
    <t>27383</t>
  </si>
  <si>
    <t>aparc-a2009s lh area S-interm-prim-Jensen</t>
  </si>
  <si>
    <t>0927</t>
  </si>
  <si>
    <t>27384</t>
  </si>
  <si>
    <t>aparc-a2009s lh area S-intrapariet+P-trans</t>
  </si>
  <si>
    <t>0928</t>
  </si>
  <si>
    <t>27385</t>
  </si>
  <si>
    <t>aparc-a2009s lh area S-oc-middle+Lunatus</t>
  </si>
  <si>
    <t>0929</t>
  </si>
  <si>
    <t>27386</t>
  </si>
  <si>
    <t>aparc-a2009s lh area S-oc-sup+transversal</t>
  </si>
  <si>
    <t>0930</t>
  </si>
  <si>
    <t>27387</t>
  </si>
  <si>
    <t>aparc-a2009s lh area S-occipital-ant</t>
  </si>
  <si>
    <t>0931</t>
  </si>
  <si>
    <t>27388</t>
  </si>
  <si>
    <t>aparc-a2009s lh area S-oc-temp-lat</t>
  </si>
  <si>
    <t>0932</t>
  </si>
  <si>
    <t>27389</t>
  </si>
  <si>
    <t>aparc-a2009s lh area S-oc-temp-med+Lingual</t>
  </si>
  <si>
    <t>0933</t>
  </si>
  <si>
    <t>27390</t>
  </si>
  <si>
    <t>aparc-a2009s lh area S-orbital-lateral</t>
  </si>
  <si>
    <t>0934</t>
  </si>
  <si>
    <t>27391</t>
  </si>
  <si>
    <t>aparc-a2009s lh area S-orbital-med-olfact</t>
  </si>
  <si>
    <t>0935</t>
  </si>
  <si>
    <t>27392</t>
  </si>
  <si>
    <t>aparc-a2009s lh area S-orbital-H-Shaped</t>
  </si>
  <si>
    <t>0936</t>
  </si>
  <si>
    <t>27393</t>
  </si>
  <si>
    <t>aparc-a2009s lh area S-parieto-occipital</t>
  </si>
  <si>
    <t>0937</t>
  </si>
  <si>
    <t>27394</t>
  </si>
  <si>
    <t>aparc-a2009s lh area S-pericallosal</t>
  </si>
  <si>
    <t>0938</t>
  </si>
  <si>
    <t>27395</t>
  </si>
  <si>
    <t>aparc-a2009s lh area S-postcentral</t>
  </si>
  <si>
    <t>0939</t>
  </si>
  <si>
    <t>27396</t>
  </si>
  <si>
    <t>aparc-a2009s lh area S-precentral-inf-part</t>
  </si>
  <si>
    <t>0940</t>
  </si>
  <si>
    <t>27397</t>
  </si>
  <si>
    <t>aparc-a2009s lh area S-precentral-sup-part</t>
  </si>
  <si>
    <t>0941</t>
  </si>
  <si>
    <t>27398</t>
  </si>
  <si>
    <t>aparc-a2009s lh area S-suborbital</t>
  </si>
  <si>
    <t>0942</t>
  </si>
  <si>
    <t>27399</t>
  </si>
  <si>
    <t>aparc-a2009s lh area S-subparietal</t>
  </si>
  <si>
    <t>0943</t>
  </si>
  <si>
    <t>27400</t>
  </si>
  <si>
    <t>aparc-a2009s lh area S-temporal-inf</t>
  </si>
  <si>
    <t>0944</t>
  </si>
  <si>
    <t>27401</t>
  </si>
  <si>
    <t>aparc-a2009s lh area S-temporal-sup</t>
  </si>
  <si>
    <t>0945</t>
  </si>
  <si>
    <t>27402</t>
  </si>
  <si>
    <t>aparc-a2009s lh area S-temporal-transverse</t>
  </si>
  <si>
    <t>0946</t>
  </si>
  <si>
    <t>27551</t>
  </si>
  <si>
    <t>aparc-a2009s rh area G+S-frontomargin</t>
  </si>
  <si>
    <t>0947</t>
  </si>
  <si>
    <t>27552</t>
  </si>
  <si>
    <t>aparc-a2009s rh area G+S-occipital-inf</t>
  </si>
  <si>
    <t>0948</t>
  </si>
  <si>
    <t>27553</t>
  </si>
  <si>
    <t>aparc-a2009s rh area G+S-paracentral</t>
  </si>
  <si>
    <t>0949</t>
  </si>
  <si>
    <t>27554</t>
  </si>
  <si>
    <t>aparc-a2009s rh area G+S-subcentral</t>
  </si>
  <si>
    <t>0950</t>
  </si>
  <si>
    <t>27555</t>
  </si>
  <si>
    <t>aparc-a2009s rh area G+S-transv-frontopol</t>
  </si>
  <si>
    <t>0951</t>
  </si>
  <si>
    <t>27556</t>
  </si>
  <si>
    <t>aparc-a2009s rh area G+S-cingul-Ant</t>
  </si>
  <si>
    <t>0952</t>
  </si>
  <si>
    <t>27557</t>
  </si>
  <si>
    <t>aparc-a2009s rh area G+S-cingul-Mid-Ant</t>
  </si>
  <si>
    <t>0953</t>
  </si>
  <si>
    <t>27558</t>
  </si>
  <si>
    <t>aparc-a2009s rh area G+S-cingul-Mid-Post</t>
  </si>
  <si>
    <t>0954</t>
  </si>
  <si>
    <t>27559</t>
  </si>
  <si>
    <t>aparc-a2009s rh area G-cingul-Post-dorsal</t>
  </si>
  <si>
    <t>0955</t>
  </si>
  <si>
    <t>27560</t>
  </si>
  <si>
    <t>aparc-a2009s rh area G-cingul-Post-ventral</t>
  </si>
  <si>
    <t>0956</t>
  </si>
  <si>
    <t>27561</t>
  </si>
  <si>
    <t>aparc-a2009s rh area G-cuneus</t>
  </si>
  <si>
    <t>0957</t>
  </si>
  <si>
    <t>27562</t>
  </si>
  <si>
    <t>aparc-a2009s rh area G-front-inf-Opercular</t>
  </si>
  <si>
    <t>0958</t>
  </si>
  <si>
    <t>27563</t>
  </si>
  <si>
    <t>aparc-a2009s rh area G-front-inf-Orbital</t>
  </si>
  <si>
    <t>0959</t>
  </si>
  <si>
    <t>27564</t>
  </si>
  <si>
    <t>aparc-a2009s rh area G-front-inf-Triangul</t>
  </si>
  <si>
    <t>0960</t>
  </si>
  <si>
    <t>27565</t>
  </si>
  <si>
    <t>aparc-a2009s rh area G-front-middle</t>
  </si>
  <si>
    <t>0961</t>
  </si>
  <si>
    <t>27566</t>
  </si>
  <si>
    <t>aparc-a2009s rh area G-front-sup</t>
  </si>
  <si>
    <t>0962</t>
  </si>
  <si>
    <t>27567</t>
  </si>
  <si>
    <t>aparc-a2009s rh area G-Ins-lg+S-cent-ins</t>
  </si>
  <si>
    <t>0963</t>
  </si>
  <si>
    <t>27568</t>
  </si>
  <si>
    <t>aparc-a2009s rh area G-insular-short</t>
  </si>
  <si>
    <t>0964</t>
  </si>
  <si>
    <t>27569</t>
  </si>
  <si>
    <t>aparc-a2009s rh area G-occipital-middle</t>
  </si>
  <si>
    <t>0965</t>
  </si>
  <si>
    <t>27570</t>
  </si>
  <si>
    <t>aparc-a2009s rh area G-occipital-sup</t>
  </si>
  <si>
    <t>0966</t>
  </si>
  <si>
    <t>27571</t>
  </si>
  <si>
    <t>aparc-a2009s rh area G-oc-temp-lat-fusifor</t>
  </si>
  <si>
    <t>0967</t>
  </si>
  <si>
    <t>27572</t>
  </si>
  <si>
    <t>aparc-a2009s rh area G-oc-temp-med-Lingual</t>
  </si>
  <si>
    <t>0968</t>
  </si>
  <si>
    <t>27573</t>
  </si>
  <si>
    <t>aparc-a2009s rh area G-oc-temp-med-Parahip</t>
  </si>
  <si>
    <t>0969</t>
  </si>
  <si>
    <t>27574</t>
  </si>
  <si>
    <t>aparc-a2009s rh area G-orbital</t>
  </si>
  <si>
    <t>0970</t>
  </si>
  <si>
    <t>27575</t>
  </si>
  <si>
    <t>aparc-a2009s rh area G-pariet-inf-Angular</t>
  </si>
  <si>
    <t>0971</t>
  </si>
  <si>
    <t>27576</t>
  </si>
  <si>
    <t>aparc-a2009s rh area G-pariet-inf-Supramar</t>
  </si>
  <si>
    <t>0972</t>
  </si>
  <si>
    <t>27577</t>
  </si>
  <si>
    <t>aparc-a2009s rh area G-parietal-sup</t>
  </si>
  <si>
    <t>0973</t>
  </si>
  <si>
    <t>27578</t>
  </si>
  <si>
    <t>aparc-a2009s rh area G-postcentral</t>
  </si>
  <si>
    <t>0974</t>
  </si>
  <si>
    <t>27579</t>
  </si>
  <si>
    <t>aparc-a2009s rh area G-precentral</t>
  </si>
  <si>
    <t>0975</t>
  </si>
  <si>
    <t>27580</t>
  </si>
  <si>
    <t>aparc-a2009s rh area G-precuneus</t>
  </si>
  <si>
    <t>0976</t>
  </si>
  <si>
    <t>27581</t>
  </si>
  <si>
    <t>aparc-a2009s rh area G-rectus</t>
  </si>
  <si>
    <t>0977</t>
  </si>
  <si>
    <t>27582</t>
  </si>
  <si>
    <t>aparc-a2009s rh area G-subcallosal</t>
  </si>
  <si>
    <t>0978</t>
  </si>
  <si>
    <t>27583</t>
  </si>
  <si>
    <t>aparc-a2009s rh area G-temp-sup-G-T-transv</t>
  </si>
  <si>
    <t>0979</t>
  </si>
  <si>
    <t>27584</t>
  </si>
  <si>
    <t>aparc-a2009s rh area G-temp-sup-Lateral</t>
  </si>
  <si>
    <t>0980</t>
  </si>
  <si>
    <t>27585</t>
  </si>
  <si>
    <t>aparc-a2009s rh area G-temp-sup-Plan-polar</t>
  </si>
  <si>
    <t>0981</t>
  </si>
  <si>
    <t>27586</t>
  </si>
  <si>
    <t>aparc-a2009s rh area G-temp-sup-Plan-tempo</t>
  </si>
  <si>
    <t>0982</t>
  </si>
  <si>
    <t>27587</t>
  </si>
  <si>
    <t>aparc-a2009s rh area G-temporal-inf</t>
  </si>
  <si>
    <t>0983</t>
  </si>
  <si>
    <t>27588</t>
  </si>
  <si>
    <t>aparc-a2009s rh area G-temporal-middle</t>
  </si>
  <si>
    <t>0984</t>
  </si>
  <si>
    <t>27589</t>
  </si>
  <si>
    <t>aparc-a2009s rh area Lat-Fis-ant-Horizont</t>
  </si>
  <si>
    <t>0985</t>
  </si>
  <si>
    <t>27590</t>
  </si>
  <si>
    <t>aparc-a2009s rh area Lat-Fis-ant-Vertical</t>
  </si>
  <si>
    <t>0986</t>
  </si>
  <si>
    <t>27591</t>
  </si>
  <si>
    <t>aparc-a2009s rh area Lat-Fis-post</t>
  </si>
  <si>
    <t>0987</t>
  </si>
  <si>
    <t>27592</t>
  </si>
  <si>
    <t>aparc-a2009s rh area Pole-occipital</t>
  </si>
  <si>
    <t>0988</t>
  </si>
  <si>
    <t>27593</t>
  </si>
  <si>
    <t>aparc-a2009s rh area Pole-temporal</t>
  </si>
  <si>
    <t>0989</t>
  </si>
  <si>
    <t>27594</t>
  </si>
  <si>
    <t>aparc-a2009s rh area S-calcarine</t>
  </si>
  <si>
    <t>0990</t>
  </si>
  <si>
    <t>27595</t>
  </si>
  <si>
    <t>aparc-a2009s rh area S-central</t>
  </si>
  <si>
    <t>0991</t>
  </si>
  <si>
    <t>27596</t>
  </si>
  <si>
    <t>aparc-a2009s rh area S-cingul-Marginalis</t>
  </si>
  <si>
    <t>0992</t>
  </si>
  <si>
    <t>27597</t>
  </si>
  <si>
    <t>aparc-a2009s rh area S-circular-insula-ant</t>
  </si>
  <si>
    <t>0993</t>
  </si>
  <si>
    <t>27598</t>
  </si>
  <si>
    <t>aparc-a2009s rh area S-circular-insula-inf</t>
  </si>
  <si>
    <t>0994</t>
  </si>
  <si>
    <t>27599</t>
  </si>
  <si>
    <t>aparc-a2009s rh area S-circular-insula-sup</t>
  </si>
  <si>
    <t>0995</t>
  </si>
  <si>
    <t>27600</t>
  </si>
  <si>
    <t>aparc-a2009s rh area S-collat-transv-ant</t>
  </si>
  <si>
    <t>0996</t>
  </si>
  <si>
    <t>27601</t>
  </si>
  <si>
    <t>aparc-a2009s rh area S-collat-transv-post</t>
  </si>
  <si>
    <t>0997</t>
  </si>
  <si>
    <t>27602</t>
  </si>
  <si>
    <t>aparc-a2009s rh area S-front-inf</t>
  </si>
  <si>
    <t>0998</t>
  </si>
  <si>
    <t>27603</t>
  </si>
  <si>
    <t>aparc-a2009s rh area S-front-middle</t>
  </si>
  <si>
    <t>0999</t>
  </si>
  <si>
    <t>27604</t>
  </si>
  <si>
    <t>aparc-a2009s rh area S-front-sup</t>
  </si>
  <si>
    <t>1000</t>
  </si>
  <si>
    <t>27605</t>
  </si>
  <si>
    <t>aparc-a2009s rh area S-interm-prim-Jensen</t>
  </si>
  <si>
    <t>1001</t>
  </si>
  <si>
    <t>27606</t>
  </si>
  <si>
    <t>aparc-a2009s rh area S-intrapariet+P-trans</t>
  </si>
  <si>
    <t>1002</t>
  </si>
  <si>
    <t>27607</t>
  </si>
  <si>
    <t>aparc-a2009s rh area S-oc-middle+Lunatus</t>
  </si>
  <si>
    <t>1003</t>
  </si>
  <si>
    <t>27608</t>
  </si>
  <si>
    <t>aparc-a2009s rh area S-oc-sup+transversal</t>
  </si>
  <si>
    <t>1004</t>
  </si>
  <si>
    <t>27609</t>
  </si>
  <si>
    <t>aparc-a2009s rh area S-occipital-ant</t>
  </si>
  <si>
    <t>1005</t>
  </si>
  <si>
    <t>27610</t>
  </si>
  <si>
    <t>aparc-a2009s rh area S-oc-temp-lat</t>
  </si>
  <si>
    <t>1006</t>
  </si>
  <si>
    <t>27611</t>
  </si>
  <si>
    <t>aparc-a2009s rh area S-oc-temp-med+Lingual</t>
  </si>
  <si>
    <t>1007</t>
  </si>
  <si>
    <t>27612</t>
  </si>
  <si>
    <t>aparc-a2009s rh area S-orbital-lateral</t>
  </si>
  <si>
    <t>1008</t>
  </si>
  <si>
    <t>27613</t>
  </si>
  <si>
    <t>aparc-a2009s rh area S-orbital-med-olfact</t>
  </si>
  <si>
    <t>1009</t>
  </si>
  <si>
    <t>27614</t>
  </si>
  <si>
    <t>aparc-a2009s rh area S-orbital-H-Shaped</t>
  </si>
  <si>
    <t>1010</t>
  </si>
  <si>
    <t>27615</t>
  </si>
  <si>
    <t>aparc-a2009s rh area S-parieto-occipital</t>
  </si>
  <si>
    <t>1011</t>
  </si>
  <si>
    <t>27616</t>
  </si>
  <si>
    <t>aparc-a2009s rh area S-pericallosal</t>
  </si>
  <si>
    <t>1012</t>
  </si>
  <si>
    <t>27617</t>
  </si>
  <si>
    <t>aparc-a2009s rh area S-postcentral</t>
  </si>
  <si>
    <t>1013</t>
  </si>
  <si>
    <t>27618</t>
  </si>
  <si>
    <t>aparc-a2009s rh area S-precentral-inf-part</t>
  </si>
  <si>
    <t>1014</t>
  </si>
  <si>
    <t>27619</t>
  </si>
  <si>
    <t>aparc-a2009s rh area S-precentral-sup-part</t>
  </si>
  <si>
    <t>1015</t>
  </si>
  <si>
    <t>27620</t>
  </si>
  <si>
    <t>aparc-a2009s rh area S-suborbital</t>
  </si>
  <si>
    <t>1016</t>
  </si>
  <si>
    <t>27621</t>
  </si>
  <si>
    <t>aparc-a2009s rh area S-subparietal</t>
  </si>
  <si>
    <t>1017</t>
  </si>
  <si>
    <t>27622</t>
  </si>
  <si>
    <t>aparc-a2009s rh area S-temporal-inf</t>
  </si>
  <si>
    <t>1018</t>
  </si>
  <si>
    <t>27623</t>
  </si>
  <si>
    <t>aparc-a2009s rh area S-temporal-sup</t>
  </si>
  <si>
    <t>1019</t>
  </si>
  <si>
    <t>27624</t>
  </si>
  <si>
    <t>aparc-a2009s rh area S-temporal-transverse</t>
  </si>
  <si>
    <t>1020</t>
  </si>
  <si>
    <t>26755</t>
  </si>
  <si>
    <t>aparc-Desikan lh thickness GlobalMeanThickness</t>
  </si>
  <si>
    <t>1021</t>
  </si>
  <si>
    <t>26756</t>
  </si>
  <si>
    <t>aparc-Desikan lh thickness bankssts</t>
  </si>
  <si>
    <t>1022</t>
  </si>
  <si>
    <t>26757</t>
  </si>
  <si>
    <t>aparc-Desikan lh thickness caudalanteriorcingulate</t>
  </si>
  <si>
    <t>1023</t>
  </si>
  <si>
    <t>26758</t>
  </si>
  <si>
    <t>aparc-Desikan lh thickness caudalmiddlefrontal</t>
  </si>
  <si>
    <t>1024</t>
  </si>
  <si>
    <t>26759</t>
  </si>
  <si>
    <t>aparc-Desikan lh thickness cuneus</t>
  </si>
  <si>
    <t>1025</t>
  </si>
  <si>
    <t>26760</t>
  </si>
  <si>
    <t>aparc-Desikan lh thickness entorhinal</t>
  </si>
  <si>
    <t>1026</t>
  </si>
  <si>
    <t>26761</t>
  </si>
  <si>
    <t>aparc-Desikan lh thickness fusiform</t>
  </si>
  <si>
    <t>1027</t>
  </si>
  <si>
    <t>26762</t>
  </si>
  <si>
    <t>aparc-Desikan lh thickness inferiorparietal</t>
  </si>
  <si>
    <t>1028</t>
  </si>
  <si>
    <t>26763</t>
  </si>
  <si>
    <t>aparc-Desikan lh thickness inferiortemporal</t>
  </si>
  <si>
    <t>1029</t>
  </si>
  <si>
    <t>26764</t>
  </si>
  <si>
    <t>aparc-Desikan lh thickness isthmuscingulate</t>
  </si>
  <si>
    <t>1030</t>
  </si>
  <si>
    <t>26765</t>
  </si>
  <si>
    <t>aparc-Desikan lh thickness lateraloccipital</t>
  </si>
  <si>
    <t>1031</t>
  </si>
  <si>
    <t>26766</t>
  </si>
  <si>
    <t>aparc-Desikan lh thickness lateralorbitofrontal</t>
  </si>
  <si>
    <t>1032</t>
  </si>
  <si>
    <t>26767</t>
  </si>
  <si>
    <t>aparc-Desikan lh thickness lingual</t>
  </si>
  <si>
    <t>1033</t>
  </si>
  <si>
    <t>26768</t>
  </si>
  <si>
    <t>aparc-Desikan lh thickness medialorbitofrontal</t>
  </si>
  <si>
    <t>1034</t>
  </si>
  <si>
    <t>26769</t>
  </si>
  <si>
    <t>aparc-Desikan lh thickness middletemporal</t>
  </si>
  <si>
    <t>1035</t>
  </si>
  <si>
    <t>26770</t>
  </si>
  <si>
    <t>aparc-Desikan lh thickness parahippocampal</t>
  </si>
  <si>
    <t>1036</t>
  </si>
  <si>
    <t>26771</t>
  </si>
  <si>
    <t>aparc-Desikan lh thickness paracentral</t>
  </si>
  <si>
    <t>1037</t>
  </si>
  <si>
    <t>26772</t>
  </si>
  <si>
    <t>aparc-Desikan lh thickness parsopercularis</t>
  </si>
  <si>
    <t>1038</t>
  </si>
  <si>
    <t>26773</t>
  </si>
  <si>
    <t>aparc-Desikan lh thickness parsorbitalis</t>
  </si>
  <si>
    <t>1039</t>
  </si>
  <si>
    <t>26774</t>
  </si>
  <si>
    <t>aparc-Desikan lh thickness parstriangularis</t>
  </si>
  <si>
    <t>1040</t>
  </si>
  <si>
    <t>26775</t>
  </si>
  <si>
    <t>aparc-Desikan lh thickness pericalcarine</t>
  </si>
  <si>
    <t>1041</t>
  </si>
  <si>
    <t>26776</t>
  </si>
  <si>
    <t>aparc-Desikan lh thickness postcentral</t>
  </si>
  <si>
    <t>1042</t>
  </si>
  <si>
    <t>26777</t>
  </si>
  <si>
    <t>aparc-Desikan lh thickness posteriorcingulate</t>
  </si>
  <si>
    <t>1043</t>
  </si>
  <si>
    <t>26778</t>
  </si>
  <si>
    <t>aparc-Desikan lh thickness precentral</t>
  </si>
  <si>
    <t>1044</t>
  </si>
  <si>
    <t>26779</t>
  </si>
  <si>
    <t>aparc-Desikan lh thickness precuneus</t>
  </si>
  <si>
    <t>1045</t>
  </si>
  <si>
    <t>26780</t>
  </si>
  <si>
    <t>aparc-Desikan lh thickness rostralanteriorcingulate</t>
  </si>
  <si>
    <t>1046</t>
  </si>
  <si>
    <t>26781</t>
  </si>
  <si>
    <t>aparc-Desikan lh thickness rostralmiddlefrontal</t>
  </si>
  <si>
    <t>1047</t>
  </si>
  <si>
    <t>26782</t>
  </si>
  <si>
    <t>aparc-Desikan lh thickness superiorfrontal</t>
  </si>
  <si>
    <t>1048</t>
  </si>
  <si>
    <t>26783</t>
  </si>
  <si>
    <t>aparc-Desikan lh thickness superiorparietal</t>
  </si>
  <si>
    <t>1049</t>
  </si>
  <si>
    <t>26784</t>
  </si>
  <si>
    <t>aparc-Desikan lh thickness superiortemporal</t>
  </si>
  <si>
    <t>1050</t>
  </si>
  <si>
    <t>26785</t>
  </si>
  <si>
    <t>aparc-Desikan lh thickness supramarginal</t>
  </si>
  <si>
    <t>1051</t>
  </si>
  <si>
    <t>26786</t>
  </si>
  <si>
    <t>aparc-Desikan lh thickness frontalpole</t>
  </si>
  <si>
    <t>1052</t>
  </si>
  <si>
    <t>26787</t>
  </si>
  <si>
    <t>aparc-Desikan lh thickness transversetemporal</t>
  </si>
  <si>
    <t>1053</t>
  </si>
  <si>
    <t>26788</t>
  </si>
  <si>
    <t>aparc-Desikan lh thickness insula</t>
  </si>
  <si>
    <t>1054</t>
  </si>
  <si>
    <t>26856</t>
  </si>
  <si>
    <t>aparc-Desikan rh thickness GlobalMeanThickness</t>
  </si>
  <si>
    <t>1055</t>
  </si>
  <si>
    <t>26857</t>
  </si>
  <si>
    <t>aparc-Desikan rh thickness bankssts</t>
  </si>
  <si>
    <t>1056</t>
  </si>
  <si>
    <t>26858</t>
  </si>
  <si>
    <t>aparc-Desikan rh thickness caudalanteriorcingulate</t>
  </si>
  <si>
    <t>1057</t>
  </si>
  <si>
    <t>26859</t>
  </si>
  <si>
    <t>aparc-Desikan rh thickness caudalmiddlefrontal</t>
  </si>
  <si>
    <t>1058</t>
  </si>
  <si>
    <t>26860</t>
  </si>
  <si>
    <t>aparc-Desikan rh thickness cuneus</t>
  </si>
  <si>
    <t>1059</t>
  </si>
  <si>
    <t>26861</t>
  </si>
  <si>
    <t>aparc-Desikan rh thickness entorhinal</t>
  </si>
  <si>
    <t>1060</t>
  </si>
  <si>
    <t>26862</t>
  </si>
  <si>
    <t>aparc-Desikan rh thickness fusiform</t>
  </si>
  <si>
    <t>1061</t>
  </si>
  <si>
    <t>26863</t>
  </si>
  <si>
    <t>aparc-Desikan rh thickness inferiorparietal</t>
  </si>
  <si>
    <t>1062</t>
  </si>
  <si>
    <t>26864</t>
  </si>
  <si>
    <t>aparc-Desikan rh thickness inferiortemporal</t>
  </si>
  <si>
    <t>1063</t>
  </si>
  <si>
    <t>26865</t>
  </si>
  <si>
    <t>aparc-Desikan rh thickness isthmuscingulate</t>
  </si>
  <si>
    <t>1064</t>
  </si>
  <si>
    <t>26866</t>
  </si>
  <si>
    <t>aparc-Desikan rh thickness lateraloccipital</t>
  </si>
  <si>
    <t>1065</t>
  </si>
  <si>
    <t>26867</t>
  </si>
  <si>
    <t>aparc-Desikan rh thickness lateralorbitofrontal</t>
  </si>
  <si>
    <t>1066</t>
  </si>
  <si>
    <t>26868</t>
  </si>
  <si>
    <t>aparc-Desikan rh thickness lingual</t>
  </si>
  <si>
    <t>1067</t>
  </si>
  <si>
    <t>26869</t>
  </si>
  <si>
    <t>aparc-Desikan rh thickness medialorbitofrontal</t>
  </si>
  <si>
    <t>1068</t>
  </si>
  <si>
    <t>26870</t>
  </si>
  <si>
    <t>aparc-Desikan rh thickness middletemporal</t>
  </si>
  <si>
    <t>1069</t>
  </si>
  <si>
    <t>26871</t>
  </si>
  <si>
    <t>aparc-Desikan rh thickness parahippocampal</t>
  </si>
  <si>
    <t>1070</t>
  </si>
  <si>
    <t>26872</t>
  </si>
  <si>
    <t>aparc-Desikan rh thickness paracentral</t>
  </si>
  <si>
    <t>1071</t>
  </si>
  <si>
    <t>26873</t>
  </si>
  <si>
    <t>aparc-Desikan rh thickness parsopercularis</t>
  </si>
  <si>
    <t>1072</t>
  </si>
  <si>
    <t>26874</t>
  </si>
  <si>
    <t>aparc-Desikan rh thickness parsorbitalis</t>
  </si>
  <si>
    <t>1073</t>
  </si>
  <si>
    <t>26875</t>
  </si>
  <si>
    <t>aparc-Desikan rh thickness parstriangularis</t>
  </si>
  <si>
    <t>1074</t>
  </si>
  <si>
    <t>26876</t>
  </si>
  <si>
    <t>aparc-Desikan rh thickness pericalcarine</t>
  </si>
  <si>
    <t>1075</t>
  </si>
  <si>
    <t>26877</t>
  </si>
  <si>
    <t>aparc-Desikan rh thickness postcentral</t>
  </si>
  <si>
    <t>1076</t>
  </si>
  <si>
    <t>26878</t>
  </si>
  <si>
    <t>aparc-Desikan rh thickness posteriorcingulate</t>
  </si>
  <si>
    <t>1077</t>
  </si>
  <si>
    <t>26879</t>
  </si>
  <si>
    <t>aparc-Desikan rh thickness precentral</t>
  </si>
  <si>
    <t>1078</t>
  </si>
  <si>
    <t>26880</t>
  </si>
  <si>
    <t>aparc-Desikan rh thickness precuneus</t>
  </si>
  <si>
    <t>1079</t>
  </si>
  <si>
    <t>26881</t>
  </si>
  <si>
    <t>aparc-Desikan rh thickness rostralanteriorcingulate</t>
  </si>
  <si>
    <t>1080</t>
  </si>
  <si>
    <t>26882</t>
  </si>
  <si>
    <t>aparc-Desikan rh thickness rostralmiddlefrontal</t>
  </si>
  <si>
    <t>1081</t>
  </si>
  <si>
    <t>26883</t>
  </si>
  <si>
    <t>aparc-Desikan rh thickness superiorfrontal</t>
  </si>
  <si>
    <t>1082</t>
  </si>
  <si>
    <t>26884</t>
  </si>
  <si>
    <t>aparc-Desikan rh thickness superiorparietal</t>
  </si>
  <si>
    <t>1083</t>
  </si>
  <si>
    <t>26885</t>
  </si>
  <si>
    <t>aparc-Desikan rh thickness superiortemporal</t>
  </si>
  <si>
    <t>1084</t>
  </si>
  <si>
    <t>26886</t>
  </si>
  <si>
    <t>aparc-Desikan rh thickness supramarginal</t>
  </si>
  <si>
    <t>1085</t>
  </si>
  <si>
    <t>26887</t>
  </si>
  <si>
    <t>aparc-Desikan rh thickness frontalpole</t>
  </si>
  <si>
    <t>1086</t>
  </si>
  <si>
    <t>26888</t>
  </si>
  <si>
    <t>aparc-Desikan rh thickness transversetemporal</t>
  </si>
  <si>
    <t>1087</t>
  </si>
  <si>
    <t>26889</t>
  </si>
  <si>
    <t>aparc-Desikan rh thickness insula</t>
  </si>
  <si>
    <t>1088</t>
  </si>
  <si>
    <t>27073</t>
  </si>
  <si>
    <t>BA-exvivo lh thickness BA1</t>
  </si>
  <si>
    <t>1089</t>
  </si>
  <si>
    <t>27074</t>
  </si>
  <si>
    <t>BA-exvivo lh thickness BA2</t>
  </si>
  <si>
    <t>1090</t>
  </si>
  <si>
    <t>27075</t>
  </si>
  <si>
    <t>BA-exvivo lh thickness BA3a</t>
  </si>
  <si>
    <t>1091</t>
  </si>
  <si>
    <t>27076</t>
  </si>
  <si>
    <t>BA-exvivo lh thickness BA3b</t>
  </si>
  <si>
    <t>1092</t>
  </si>
  <si>
    <t>27077</t>
  </si>
  <si>
    <t>BA-exvivo lh thickness BA4a</t>
  </si>
  <si>
    <t>1093</t>
  </si>
  <si>
    <t>27078</t>
  </si>
  <si>
    <t>BA-exvivo lh thickness BA4p</t>
  </si>
  <si>
    <t>1094</t>
  </si>
  <si>
    <t>27079</t>
  </si>
  <si>
    <t>BA-exvivo lh thickness BA6</t>
  </si>
  <si>
    <t>1095</t>
  </si>
  <si>
    <t>27080</t>
  </si>
  <si>
    <t>BA-exvivo lh thickness BA44</t>
  </si>
  <si>
    <t>1096</t>
  </si>
  <si>
    <t>27081</t>
  </si>
  <si>
    <t>BA-exvivo lh thickness BA45</t>
  </si>
  <si>
    <t>1097</t>
  </si>
  <si>
    <t>27082</t>
  </si>
  <si>
    <t>BA-exvivo lh thickness V1</t>
  </si>
  <si>
    <t>1098</t>
  </si>
  <si>
    <t>27083</t>
  </si>
  <si>
    <t>BA-exvivo lh thickness V2</t>
  </si>
  <si>
    <t>1099</t>
  </si>
  <si>
    <t>27084</t>
  </si>
  <si>
    <t>BA-exvivo lh thickness MT</t>
  </si>
  <si>
    <t>1100</t>
  </si>
  <si>
    <t>27085</t>
  </si>
  <si>
    <t>BA-exvivo lh thickness perirhinal</t>
  </si>
  <si>
    <t>1101</t>
  </si>
  <si>
    <t>27086</t>
  </si>
  <si>
    <t>BA-exvivo lh thickness entorhinal</t>
  </si>
  <si>
    <t>1102</t>
  </si>
  <si>
    <t>27115</t>
  </si>
  <si>
    <t>BA-exvivo rh thickness BA1</t>
  </si>
  <si>
    <t>1103</t>
  </si>
  <si>
    <t>27116</t>
  </si>
  <si>
    <t>BA-exvivo rh thickness BA2</t>
  </si>
  <si>
    <t>1104</t>
  </si>
  <si>
    <t>27117</t>
  </si>
  <si>
    <t>BA-exvivo rh thickness BA3a</t>
  </si>
  <si>
    <t>1105</t>
  </si>
  <si>
    <t>27118</t>
  </si>
  <si>
    <t>BA-exvivo rh thickness BA3b</t>
  </si>
  <si>
    <t>1106</t>
  </si>
  <si>
    <t>27119</t>
  </si>
  <si>
    <t>BA-exvivo rh thickness BA4a</t>
  </si>
  <si>
    <t>1107</t>
  </si>
  <si>
    <t>27120</t>
  </si>
  <si>
    <t>BA-exvivo rh thickness BA4p</t>
  </si>
  <si>
    <t>1108</t>
  </si>
  <si>
    <t>27121</t>
  </si>
  <si>
    <t>BA-exvivo rh thickness BA6</t>
  </si>
  <si>
    <t>1109</t>
  </si>
  <si>
    <t>27122</t>
  </si>
  <si>
    <t>BA-exvivo rh thickness BA44</t>
  </si>
  <si>
    <t>1110</t>
  </si>
  <si>
    <t>27123</t>
  </si>
  <si>
    <t>BA-exvivo rh thickness BA45</t>
  </si>
  <si>
    <t>1111</t>
  </si>
  <si>
    <t>27124</t>
  </si>
  <si>
    <t>BA-exvivo rh thickness V1</t>
  </si>
  <si>
    <t>1112</t>
  </si>
  <si>
    <t>27125</t>
  </si>
  <si>
    <t>BA-exvivo rh thickness V2</t>
  </si>
  <si>
    <t>1113</t>
  </si>
  <si>
    <t>27126</t>
  </si>
  <si>
    <t>BA-exvivo rh thickness MT</t>
  </si>
  <si>
    <t>1114</t>
  </si>
  <si>
    <t>27127</t>
  </si>
  <si>
    <t>BA-exvivo rh thickness perirhinal</t>
  </si>
  <si>
    <t>1115</t>
  </si>
  <si>
    <t>27128</t>
  </si>
  <si>
    <t>BA-exvivo rh thickness entorhinal</t>
  </si>
  <si>
    <t>1116</t>
  </si>
  <si>
    <t>27174</t>
  </si>
  <si>
    <t>aparc-DKTatlas lh thickness caudalanteriorcingulate</t>
  </si>
  <si>
    <t>1117</t>
  </si>
  <si>
    <t>27175</t>
  </si>
  <si>
    <t>aparc-DKTatlas lh thickness caudalmiddlefrontal</t>
  </si>
  <si>
    <t>1118</t>
  </si>
  <si>
    <t>27176</t>
  </si>
  <si>
    <t>aparc-DKTatlas lh thickness cuneus</t>
  </si>
  <si>
    <t>1119</t>
  </si>
  <si>
    <t>27177</t>
  </si>
  <si>
    <t>aparc-DKTatlas lh thickness entorhinal</t>
  </si>
  <si>
    <t>1120</t>
  </si>
  <si>
    <t>27178</t>
  </si>
  <si>
    <t>aparc-DKTatlas lh thickness fusiform</t>
  </si>
  <si>
    <t>1121</t>
  </si>
  <si>
    <t>27179</t>
  </si>
  <si>
    <t>aparc-DKTatlas lh thickness inferiorparietal</t>
  </si>
  <si>
    <t>1122</t>
  </si>
  <si>
    <t>27180</t>
  </si>
  <si>
    <t>aparc-DKTatlas lh thickness inferiortemporal</t>
  </si>
  <si>
    <t>1123</t>
  </si>
  <si>
    <t>27181</t>
  </si>
  <si>
    <t>aparc-DKTatlas lh thickness isthmuscingulate</t>
  </si>
  <si>
    <t>1124</t>
  </si>
  <si>
    <t>27182</t>
  </si>
  <si>
    <t>aparc-DKTatlas lh thickness lateraloccipital</t>
  </si>
  <si>
    <t>1125</t>
  </si>
  <si>
    <t>27183</t>
  </si>
  <si>
    <t>aparc-DKTatlas lh thickness lateralorbitofrontal</t>
  </si>
  <si>
    <t>1126</t>
  </si>
  <si>
    <t>27184</t>
  </si>
  <si>
    <t>aparc-DKTatlas lh thickness lingual</t>
  </si>
  <si>
    <t>1127</t>
  </si>
  <si>
    <t>27185</t>
  </si>
  <si>
    <t>aparc-DKTatlas lh thickness medialorbitofrontal</t>
  </si>
  <si>
    <t>1128</t>
  </si>
  <si>
    <t>27186</t>
  </si>
  <si>
    <t>aparc-DKTatlas lh thickness middletemporal</t>
  </si>
  <si>
    <t>1129</t>
  </si>
  <si>
    <t>27187</t>
  </si>
  <si>
    <t>aparc-DKTatlas lh thickness parahippocampal</t>
  </si>
  <si>
    <t>1130</t>
  </si>
  <si>
    <t>27188</t>
  </si>
  <si>
    <t>aparc-DKTatlas lh thickness paracentral</t>
  </si>
  <si>
    <t>1131</t>
  </si>
  <si>
    <t>27189</t>
  </si>
  <si>
    <t>aparc-DKTatlas lh thickness parsopercularis</t>
  </si>
  <si>
    <t>1132</t>
  </si>
  <si>
    <t>27190</t>
  </si>
  <si>
    <t>aparc-DKTatlas lh thickness parsorbitalis</t>
  </si>
  <si>
    <t>1133</t>
  </si>
  <si>
    <t>27191</t>
  </si>
  <si>
    <t>aparc-DKTatlas lh thickness parstriangularis</t>
  </si>
  <si>
    <t>1134</t>
  </si>
  <si>
    <t>27192</t>
  </si>
  <si>
    <t>aparc-DKTatlas lh thickness pericalcarine</t>
  </si>
  <si>
    <t>1135</t>
  </si>
  <si>
    <t>27193</t>
  </si>
  <si>
    <t>aparc-DKTatlas lh thickness postcentral</t>
  </si>
  <si>
    <t>1136</t>
  </si>
  <si>
    <t>27194</t>
  </si>
  <si>
    <t>aparc-DKTatlas lh thickness posteriorcingulate</t>
  </si>
  <si>
    <t>1137</t>
  </si>
  <si>
    <t>27195</t>
  </si>
  <si>
    <t>aparc-DKTatlas lh thickness precentral</t>
  </si>
  <si>
    <t>1138</t>
  </si>
  <si>
    <t>27196</t>
  </si>
  <si>
    <t>aparc-DKTatlas lh thickness precuneus</t>
  </si>
  <si>
    <t>1139</t>
  </si>
  <si>
    <t>27197</t>
  </si>
  <si>
    <t>aparc-DKTatlas lh thickness rostralanteriorcingulate</t>
  </si>
  <si>
    <t>1140</t>
  </si>
  <si>
    <t>27198</t>
  </si>
  <si>
    <t>aparc-DKTatlas lh thickness rostralmiddlefrontal</t>
  </si>
  <si>
    <t>1141</t>
  </si>
  <si>
    <t>27199</t>
  </si>
  <si>
    <t>aparc-DKTatlas lh thickness superiorfrontal</t>
  </si>
  <si>
    <t>1142</t>
  </si>
  <si>
    <t>27200</t>
  </si>
  <si>
    <t>aparc-DKTatlas lh thickness superiorparietal</t>
  </si>
  <si>
    <t>1143</t>
  </si>
  <si>
    <t>27201</t>
  </si>
  <si>
    <t>aparc-DKTatlas lh thickness superiortemporal</t>
  </si>
  <si>
    <t>1144</t>
  </si>
  <si>
    <t>27202</t>
  </si>
  <si>
    <t>aparc-DKTatlas lh thickness supramarginal</t>
  </si>
  <si>
    <t>1145</t>
  </si>
  <si>
    <t>27203</t>
  </si>
  <si>
    <t>aparc-DKTatlas lh thickness transversetemporal</t>
  </si>
  <si>
    <t>1146</t>
  </si>
  <si>
    <t>27204</t>
  </si>
  <si>
    <t>aparc-DKTatlas lh thickness insula</t>
  </si>
  <si>
    <t>1147</t>
  </si>
  <si>
    <t>27267</t>
  </si>
  <si>
    <t>aparc-DKTatlas rh thickness caudalanteriorcingulate</t>
  </si>
  <si>
    <t>1148</t>
  </si>
  <si>
    <t>27268</t>
  </si>
  <si>
    <t>aparc-DKTatlas rh thickness caudalmiddlefrontal</t>
  </si>
  <si>
    <t>1149</t>
  </si>
  <si>
    <t>27269</t>
  </si>
  <si>
    <t>aparc-DKTatlas rh thickness cuneus</t>
  </si>
  <si>
    <t>1150</t>
  </si>
  <si>
    <t>27270</t>
  </si>
  <si>
    <t>aparc-DKTatlas rh thickness entorhinal</t>
  </si>
  <si>
    <t>1151</t>
  </si>
  <si>
    <t>27271</t>
  </si>
  <si>
    <t>aparc-DKTatlas rh thickness fusiform</t>
  </si>
  <si>
    <t>1152</t>
  </si>
  <si>
    <t>27272</t>
  </si>
  <si>
    <t>aparc-DKTatlas rh thickness inferiorparietal</t>
  </si>
  <si>
    <t>1153</t>
  </si>
  <si>
    <t>27273</t>
  </si>
  <si>
    <t>aparc-DKTatlas rh thickness inferiortemporal</t>
  </si>
  <si>
    <t>1154</t>
  </si>
  <si>
    <t>27274</t>
  </si>
  <si>
    <t>aparc-DKTatlas rh thickness isthmuscingulate</t>
  </si>
  <si>
    <t>1155</t>
  </si>
  <si>
    <t>27275</t>
  </si>
  <si>
    <t>aparc-DKTatlas rh thickness lateraloccipital</t>
  </si>
  <si>
    <t>1156</t>
  </si>
  <si>
    <t>27276</t>
  </si>
  <si>
    <t>aparc-DKTatlas rh thickness lateralorbitofrontal</t>
  </si>
  <si>
    <t>1157</t>
  </si>
  <si>
    <t>27277</t>
  </si>
  <si>
    <t>aparc-DKTatlas rh thickness lingual</t>
  </si>
  <si>
    <t>1158</t>
  </si>
  <si>
    <t>27278</t>
  </si>
  <si>
    <t>aparc-DKTatlas rh thickness medialorbitofrontal</t>
  </si>
  <si>
    <t>1159</t>
  </si>
  <si>
    <t>27279</t>
  </si>
  <si>
    <t>aparc-DKTatlas rh thickness middletemporal</t>
  </si>
  <si>
    <t>1160</t>
  </si>
  <si>
    <t>27280</t>
  </si>
  <si>
    <t>aparc-DKTatlas rh thickness parahippocampal</t>
  </si>
  <si>
    <t>1161</t>
  </si>
  <si>
    <t>27281</t>
  </si>
  <si>
    <t>aparc-DKTatlas rh thickness paracentral</t>
  </si>
  <si>
    <t>1162</t>
  </si>
  <si>
    <t>27282</t>
  </si>
  <si>
    <t>aparc-DKTatlas rh thickness parsopercularis</t>
  </si>
  <si>
    <t>1163</t>
  </si>
  <si>
    <t>27283</t>
  </si>
  <si>
    <t>aparc-DKTatlas rh thickness parsorbitalis</t>
  </si>
  <si>
    <t>1164</t>
  </si>
  <si>
    <t>27284</t>
  </si>
  <si>
    <t>aparc-DKTatlas rh thickness parstriangularis</t>
  </si>
  <si>
    <t>1165</t>
  </si>
  <si>
    <t>27285</t>
  </si>
  <si>
    <t>aparc-DKTatlas rh thickness pericalcarine</t>
  </si>
  <si>
    <t>1166</t>
  </si>
  <si>
    <t>27286</t>
  </si>
  <si>
    <t>aparc-DKTatlas rh thickness postcentral</t>
  </si>
  <si>
    <t>1167</t>
  </si>
  <si>
    <t>27287</t>
  </si>
  <si>
    <t>aparc-DKTatlas rh thickness posteriorcingulate</t>
  </si>
  <si>
    <t>1168</t>
  </si>
  <si>
    <t>27288</t>
  </si>
  <si>
    <t>aparc-DKTatlas rh thickness precentral</t>
  </si>
  <si>
    <t>1169</t>
  </si>
  <si>
    <t>27289</t>
  </si>
  <si>
    <t>aparc-DKTatlas rh thickness precuneus</t>
  </si>
  <si>
    <t>1170</t>
  </si>
  <si>
    <t>27290</t>
  </si>
  <si>
    <t>aparc-DKTatlas rh thickness rostralanteriorcingulate</t>
  </si>
  <si>
    <t>1171</t>
  </si>
  <si>
    <t>27291</t>
  </si>
  <si>
    <t>aparc-DKTatlas rh thickness rostralmiddlefrontal</t>
  </si>
  <si>
    <t>1172</t>
  </si>
  <si>
    <t>27292</t>
  </si>
  <si>
    <t>aparc-DKTatlas rh thickness superiorfrontal</t>
  </si>
  <si>
    <t>1173</t>
  </si>
  <si>
    <t>27293</t>
  </si>
  <si>
    <t>aparc-DKTatlas rh thickness superiorparietal</t>
  </si>
  <si>
    <t>1174</t>
  </si>
  <si>
    <t>27294</t>
  </si>
  <si>
    <t>aparc-DKTatlas rh thickness superiortemporal</t>
  </si>
  <si>
    <t>1175</t>
  </si>
  <si>
    <t>27295</t>
  </si>
  <si>
    <t>aparc-DKTatlas rh thickness supramarginal</t>
  </si>
  <si>
    <t>1176</t>
  </si>
  <si>
    <t>27296</t>
  </si>
  <si>
    <t>aparc-DKTatlas rh thickness transversetemporal</t>
  </si>
  <si>
    <t>1177</t>
  </si>
  <si>
    <t>27297</t>
  </si>
  <si>
    <t>aparc-DKTatlas rh thickness insula</t>
  </si>
  <si>
    <t>1178</t>
  </si>
  <si>
    <t>27403</t>
  </si>
  <si>
    <t>aparc-a2009s lh thickness G+S-frontomargin</t>
  </si>
  <si>
    <t>1179</t>
  </si>
  <si>
    <t>27404</t>
  </si>
  <si>
    <t>aparc-a2009s lh thickness G+S-occipital-inf</t>
  </si>
  <si>
    <t>1180</t>
  </si>
  <si>
    <t>27405</t>
  </si>
  <si>
    <t>aparc-a2009s lh thickness G+S-paracentral</t>
  </si>
  <si>
    <t>1181</t>
  </si>
  <si>
    <t>27406</t>
  </si>
  <si>
    <t>aparc-a2009s lh thickness G+S-subcentral</t>
  </si>
  <si>
    <t>1182</t>
  </si>
  <si>
    <t>27407</t>
  </si>
  <si>
    <t>aparc-a2009s lh thickness G+S-transv-frontopol</t>
  </si>
  <si>
    <t>1183</t>
  </si>
  <si>
    <t>27408</t>
  </si>
  <si>
    <t>aparc-a2009s lh thickness G+S-cingul-Ant</t>
  </si>
  <si>
    <t>1184</t>
  </si>
  <si>
    <t>27409</t>
  </si>
  <si>
    <t>aparc-a2009s lh thickness G+S-cingul-Mid-Ant</t>
  </si>
  <si>
    <t>1185</t>
  </si>
  <si>
    <t>27410</t>
  </si>
  <si>
    <t>aparc-a2009s lh thickness G+S-cingul-Mid-Post</t>
  </si>
  <si>
    <t>1186</t>
  </si>
  <si>
    <t>27411</t>
  </si>
  <si>
    <t>aparc-a2009s lh thickness G-cingul-Post-dorsal</t>
  </si>
  <si>
    <t>1187</t>
  </si>
  <si>
    <t>27412</t>
  </si>
  <si>
    <t>aparc-a2009s lh thickness G-cingul-Post-ventral</t>
  </si>
  <si>
    <t>1188</t>
  </si>
  <si>
    <t>27413</t>
  </si>
  <si>
    <t>aparc-a2009s lh thickness G-cuneus</t>
  </si>
  <si>
    <t>1189</t>
  </si>
  <si>
    <t>27414</t>
  </si>
  <si>
    <t>aparc-a2009s lh thickness G-front-inf-Opercular</t>
  </si>
  <si>
    <t>1190</t>
  </si>
  <si>
    <t>27415</t>
  </si>
  <si>
    <t>aparc-a2009s lh thickness G-front-inf-Orbital</t>
  </si>
  <si>
    <t>1191</t>
  </si>
  <si>
    <t>27416</t>
  </si>
  <si>
    <t>aparc-a2009s lh thickness G-front-inf-Triangul</t>
  </si>
  <si>
    <t>1192</t>
  </si>
  <si>
    <t>27417</t>
  </si>
  <si>
    <t>aparc-a2009s lh thickness G-front-middle</t>
  </si>
  <si>
    <t>1193</t>
  </si>
  <si>
    <t>27418</t>
  </si>
  <si>
    <t>aparc-a2009s lh thickness G-front-sup</t>
  </si>
  <si>
    <t>1194</t>
  </si>
  <si>
    <t>27419</t>
  </si>
  <si>
    <t>aparc-a2009s lh thickness G-Ins-lg+S-cent-ins</t>
  </si>
  <si>
    <t>1195</t>
  </si>
  <si>
    <t>27420</t>
  </si>
  <si>
    <t>aparc-a2009s lh thickness G-insular-short</t>
  </si>
  <si>
    <t>1196</t>
  </si>
  <si>
    <t>27421</t>
  </si>
  <si>
    <t>aparc-a2009s lh thickness G-occipital-middle</t>
  </si>
  <si>
    <t>1197</t>
  </si>
  <si>
    <t>27422</t>
  </si>
  <si>
    <t>aparc-a2009s lh thickness G-occipital-sup</t>
  </si>
  <si>
    <t>1198</t>
  </si>
  <si>
    <t>27423</t>
  </si>
  <si>
    <t>aparc-a2009s lh thickness G-oc-temp-lat-fusifor</t>
  </si>
  <si>
    <t>1199</t>
  </si>
  <si>
    <t>27424</t>
  </si>
  <si>
    <t>aparc-a2009s lh thickness G-oc-temp-med-Lingual</t>
  </si>
  <si>
    <t>1200</t>
  </si>
  <si>
    <t>27425</t>
  </si>
  <si>
    <t>aparc-a2009s lh thickness G-oc-temp-med-Parahip</t>
  </si>
  <si>
    <t>1201</t>
  </si>
  <si>
    <t>27426</t>
  </si>
  <si>
    <t>aparc-a2009s lh thickness G-orbital</t>
  </si>
  <si>
    <t>1202</t>
  </si>
  <si>
    <t>27427</t>
  </si>
  <si>
    <t>aparc-a2009s lh thickness G-pariet-inf-Angular</t>
  </si>
  <si>
    <t>1203</t>
  </si>
  <si>
    <t>27428</t>
  </si>
  <si>
    <t>aparc-a2009s lh thickness G-pariet-inf-Supramar</t>
  </si>
  <si>
    <t>1204</t>
  </si>
  <si>
    <t>27429</t>
  </si>
  <si>
    <t>aparc-a2009s lh thickness G-parietal-sup</t>
  </si>
  <si>
    <t>1205</t>
  </si>
  <si>
    <t>27430</t>
  </si>
  <si>
    <t>aparc-a2009s lh thickness G-postcentral</t>
  </si>
  <si>
    <t>1206</t>
  </si>
  <si>
    <t>27431</t>
  </si>
  <si>
    <t>aparc-a2009s lh thickness G-precentral</t>
  </si>
  <si>
    <t>1207</t>
  </si>
  <si>
    <t>27432</t>
  </si>
  <si>
    <t>aparc-a2009s lh thickness G-precuneus</t>
  </si>
  <si>
    <t>1208</t>
  </si>
  <si>
    <t>27433</t>
  </si>
  <si>
    <t>aparc-a2009s lh thickness G-rectus</t>
  </si>
  <si>
    <t>1209</t>
  </si>
  <si>
    <t>27434</t>
  </si>
  <si>
    <t>aparc-a2009s lh thickness G-subcallosal</t>
  </si>
  <si>
    <t>1210</t>
  </si>
  <si>
    <t>27435</t>
  </si>
  <si>
    <t>aparc-a2009s lh thickness G-temp-sup-G-T-transv</t>
  </si>
  <si>
    <t>1211</t>
  </si>
  <si>
    <t>27436</t>
  </si>
  <si>
    <t>aparc-a2009s lh thickness G-temp-sup-Lateral</t>
  </si>
  <si>
    <t>1212</t>
  </si>
  <si>
    <t>27437</t>
  </si>
  <si>
    <t>aparc-a2009s lh thickness G-temp-sup-Plan-polar</t>
  </si>
  <si>
    <t>1213</t>
  </si>
  <si>
    <t>27438</t>
  </si>
  <si>
    <t>aparc-a2009s lh thickness G-temp-sup-Plan-tempo</t>
  </si>
  <si>
    <t>1214</t>
  </si>
  <si>
    <t>27439</t>
  </si>
  <si>
    <t>aparc-a2009s lh thickness G-temporal-inf</t>
  </si>
  <si>
    <t>1215</t>
  </si>
  <si>
    <t>27440</t>
  </si>
  <si>
    <t>aparc-a2009s lh thickness G-temporal-middle</t>
  </si>
  <si>
    <t>1216</t>
  </si>
  <si>
    <t>27441</t>
  </si>
  <si>
    <t>aparc-a2009s lh thickness Lat-Fis-ant-Horizont</t>
  </si>
  <si>
    <t>1217</t>
  </si>
  <si>
    <t>27442</t>
  </si>
  <si>
    <t>aparc-a2009s lh thickness Lat-Fis-ant-Vertical</t>
  </si>
  <si>
    <t>1218</t>
  </si>
  <si>
    <t>27443</t>
  </si>
  <si>
    <t>aparc-a2009s lh thickness Lat-Fis-post</t>
  </si>
  <si>
    <t>1219</t>
  </si>
  <si>
    <t>27444</t>
  </si>
  <si>
    <t>aparc-a2009s lh thickness Pole-occipital</t>
  </si>
  <si>
    <t>1220</t>
  </si>
  <si>
    <t>27445</t>
  </si>
  <si>
    <t>aparc-a2009s lh thickness Pole-temporal</t>
  </si>
  <si>
    <t>1221</t>
  </si>
  <si>
    <t>27446</t>
  </si>
  <si>
    <t>aparc-a2009s lh thickness S-calcarine</t>
  </si>
  <si>
    <t>1222</t>
  </si>
  <si>
    <t>27447</t>
  </si>
  <si>
    <t>aparc-a2009s lh thickness S-central</t>
  </si>
  <si>
    <t>1223</t>
  </si>
  <si>
    <t>27448</t>
  </si>
  <si>
    <t>aparc-a2009s lh thickness S-cingul-Marginalis</t>
  </si>
  <si>
    <t>1224</t>
  </si>
  <si>
    <t>27449</t>
  </si>
  <si>
    <t>aparc-a2009s lh thickness S-circular-insula-ant</t>
  </si>
  <si>
    <t>1225</t>
  </si>
  <si>
    <t>27450</t>
  </si>
  <si>
    <t>aparc-a2009s lh thickness S-circular-insula-inf</t>
  </si>
  <si>
    <t>1226</t>
  </si>
  <si>
    <t>27451</t>
  </si>
  <si>
    <t>aparc-a2009s lh thickness S-circular-insula-sup</t>
  </si>
  <si>
    <t>1227</t>
  </si>
  <si>
    <t>27452</t>
  </si>
  <si>
    <t>aparc-a2009s lh thickness S-collat-transv-ant</t>
  </si>
  <si>
    <t>1228</t>
  </si>
  <si>
    <t>27453</t>
  </si>
  <si>
    <t>aparc-a2009s lh thickness S-collat-transv-post</t>
  </si>
  <si>
    <t>1229</t>
  </si>
  <si>
    <t>27454</t>
  </si>
  <si>
    <t>aparc-a2009s lh thickness S-front-inf</t>
  </si>
  <si>
    <t>1230</t>
  </si>
  <si>
    <t>27455</t>
  </si>
  <si>
    <t>aparc-a2009s lh thickness S-front-middle</t>
  </si>
  <si>
    <t>1231</t>
  </si>
  <si>
    <t>27456</t>
  </si>
  <si>
    <t>aparc-a2009s lh thickness S-front-sup</t>
  </si>
  <si>
    <t>1232</t>
  </si>
  <si>
    <t>27457</t>
  </si>
  <si>
    <t>aparc-a2009s lh thickness S-interm-prim-Jensen</t>
  </si>
  <si>
    <t>1233</t>
  </si>
  <si>
    <t>27458</t>
  </si>
  <si>
    <t>aparc-a2009s lh thickness S-intrapariet+P-trans</t>
  </si>
  <si>
    <t>1234</t>
  </si>
  <si>
    <t>27459</t>
  </si>
  <si>
    <t>aparc-a2009s lh thickness S-oc-middle+Lunatus</t>
  </si>
  <si>
    <t>1235</t>
  </si>
  <si>
    <t>27460</t>
  </si>
  <si>
    <t>aparc-a2009s lh thickness S-oc-sup+transversal</t>
  </si>
  <si>
    <t>1236</t>
  </si>
  <si>
    <t>27461</t>
  </si>
  <si>
    <t>aparc-a2009s lh thickness S-occipital-ant</t>
  </si>
  <si>
    <t>1237</t>
  </si>
  <si>
    <t>27462</t>
  </si>
  <si>
    <t>aparc-a2009s lh thickness S-oc-temp-lat</t>
  </si>
  <si>
    <t>1238</t>
  </si>
  <si>
    <t>27463</t>
  </si>
  <si>
    <t>aparc-a2009s lh thickness S-oc-temp-med+Lingual</t>
  </si>
  <si>
    <t>1239</t>
  </si>
  <si>
    <t>27464</t>
  </si>
  <si>
    <t>aparc-a2009s lh thickness S-orbital-lateral</t>
  </si>
  <si>
    <t>1240</t>
  </si>
  <si>
    <t>27465</t>
  </si>
  <si>
    <t>aparc-a2009s lh thickness S-orbital-med-olfact</t>
  </si>
  <si>
    <t>1241</t>
  </si>
  <si>
    <t>27466</t>
  </si>
  <si>
    <t>aparc-a2009s lh thickness S-orbital-H-Shaped</t>
  </si>
  <si>
    <t>1242</t>
  </si>
  <si>
    <t>27467</t>
  </si>
  <si>
    <t>aparc-a2009s lh thickness S-parieto-occipital</t>
  </si>
  <si>
    <t>1243</t>
  </si>
  <si>
    <t>27468</t>
  </si>
  <si>
    <t>aparc-a2009s lh thickness S-pericallosal</t>
  </si>
  <si>
    <t>1244</t>
  </si>
  <si>
    <t>27469</t>
  </si>
  <si>
    <t>aparc-a2009s lh thickness S-postcentral</t>
  </si>
  <si>
    <t>1245</t>
  </si>
  <si>
    <t>27470</t>
  </si>
  <si>
    <t>aparc-a2009s lh thickness S-precentral-inf-part</t>
  </si>
  <si>
    <t>1246</t>
  </si>
  <si>
    <t>27471</t>
  </si>
  <si>
    <t>aparc-a2009s lh thickness S-precentral-sup-part</t>
  </si>
  <si>
    <t>1247</t>
  </si>
  <si>
    <t>27472</t>
  </si>
  <si>
    <t>aparc-a2009s lh thickness S-suborbital</t>
  </si>
  <si>
    <t>1248</t>
  </si>
  <si>
    <t>27473</t>
  </si>
  <si>
    <t>aparc-a2009s lh thickness S-subparietal</t>
  </si>
  <si>
    <t>1249</t>
  </si>
  <si>
    <t>27474</t>
  </si>
  <si>
    <t>aparc-a2009s lh thickness S-temporal-inf</t>
  </si>
  <si>
    <t>1250</t>
  </si>
  <si>
    <t>27475</t>
  </si>
  <si>
    <t>aparc-a2009s lh thickness S-temporal-sup</t>
  </si>
  <si>
    <t>1251</t>
  </si>
  <si>
    <t>27476</t>
  </si>
  <si>
    <t>aparc-a2009s lh thickness S-temporal-transverse</t>
  </si>
  <si>
    <t>1252</t>
  </si>
  <si>
    <t>27625</t>
  </si>
  <si>
    <t>aparc-a2009s rh thickness G+S-frontomargin</t>
  </si>
  <si>
    <t>1253</t>
  </si>
  <si>
    <t>27626</t>
  </si>
  <si>
    <t>aparc-a2009s rh thickness G+S-occipital-inf</t>
  </si>
  <si>
    <t>1254</t>
  </si>
  <si>
    <t>27627</t>
  </si>
  <si>
    <t>aparc-a2009s rh thickness G+S-paracentral</t>
  </si>
  <si>
    <t>1255</t>
  </si>
  <si>
    <t>27628</t>
  </si>
  <si>
    <t>aparc-a2009s rh thickness G+S-subcentral</t>
  </si>
  <si>
    <t>1256</t>
  </si>
  <si>
    <t>27629</t>
  </si>
  <si>
    <t>aparc-a2009s rh thickness G+S-transv-frontopol</t>
  </si>
  <si>
    <t>1257</t>
  </si>
  <si>
    <t>27630</t>
  </si>
  <si>
    <t>aparc-a2009s rh thickness G+S-cingul-Ant</t>
  </si>
  <si>
    <t>1258</t>
  </si>
  <si>
    <t>27631</t>
  </si>
  <si>
    <t>aparc-a2009s rh thickness G+S-cingul-Mid-Ant</t>
  </si>
  <si>
    <t>1259</t>
  </si>
  <si>
    <t>27632</t>
  </si>
  <si>
    <t>aparc-a2009s rh thickness G+S-cingul-Mid-Post</t>
  </si>
  <si>
    <t>1260</t>
  </si>
  <si>
    <t>27633</t>
  </si>
  <si>
    <t>aparc-a2009s rh thickness G-cingul-Post-dorsal</t>
  </si>
  <si>
    <t>1261</t>
  </si>
  <si>
    <t>27634</t>
  </si>
  <si>
    <t>aparc-a2009s rh thickness G-cingul-Post-ventral</t>
  </si>
  <si>
    <t>1262</t>
  </si>
  <si>
    <t>27635</t>
  </si>
  <si>
    <t>aparc-a2009s rh thickness G-cuneus</t>
  </si>
  <si>
    <t>1263</t>
  </si>
  <si>
    <t>27636</t>
  </si>
  <si>
    <t>aparc-a2009s rh thickness G-front-inf-Opercular</t>
  </si>
  <si>
    <t>1264</t>
  </si>
  <si>
    <t>27637</t>
  </si>
  <si>
    <t>aparc-a2009s rh thickness G-front-inf-Orbital</t>
  </si>
  <si>
    <t>1265</t>
  </si>
  <si>
    <t>27638</t>
  </si>
  <si>
    <t>aparc-a2009s rh thickness G-front-inf-Triangul</t>
  </si>
  <si>
    <t>1266</t>
  </si>
  <si>
    <t>27639</t>
  </si>
  <si>
    <t>aparc-a2009s rh thickness G-front-middle</t>
  </si>
  <si>
    <t>1267</t>
  </si>
  <si>
    <t>27640</t>
  </si>
  <si>
    <t>aparc-a2009s rh thickness G-front-sup</t>
  </si>
  <si>
    <t>1268</t>
  </si>
  <si>
    <t>27641</t>
  </si>
  <si>
    <t>aparc-a2009s rh thickness G-Ins-lg+S-cent-ins</t>
  </si>
  <si>
    <t>1269</t>
  </si>
  <si>
    <t>27642</t>
  </si>
  <si>
    <t>aparc-a2009s rh thickness G-insular-short</t>
  </si>
  <si>
    <t>1270</t>
  </si>
  <si>
    <t>27643</t>
  </si>
  <si>
    <t>aparc-a2009s rh thickness G-occipital-middle</t>
  </si>
  <si>
    <t>1271</t>
  </si>
  <si>
    <t>27644</t>
  </si>
  <si>
    <t>aparc-a2009s rh thickness G-occipital-sup</t>
  </si>
  <si>
    <t>1272</t>
  </si>
  <si>
    <t>27645</t>
  </si>
  <si>
    <t>aparc-a2009s rh thickness G-oc-temp-lat-fusifor</t>
  </si>
  <si>
    <t>1273</t>
  </si>
  <si>
    <t>27646</t>
  </si>
  <si>
    <t>aparc-a2009s rh thickness G-oc-temp-med-Lingual</t>
  </si>
  <si>
    <t>1274</t>
  </si>
  <si>
    <t>27647</t>
  </si>
  <si>
    <t>aparc-a2009s rh thickness G-oc-temp-med-Parahip</t>
  </si>
  <si>
    <t>1275</t>
  </si>
  <si>
    <t>27648</t>
  </si>
  <si>
    <t>aparc-a2009s rh thickness G-orbital</t>
  </si>
  <si>
    <t>1276</t>
  </si>
  <si>
    <t>27649</t>
  </si>
  <si>
    <t>aparc-a2009s rh thickness G-pariet-inf-Angular</t>
  </si>
  <si>
    <t>1277</t>
  </si>
  <si>
    <t>27650</t>
  </si>
  <si>
    <t>aparc-a2009s rh thickness G-pariet-inf-Supramar</t>
  </si>
  <si>
    <t>1278</t>
  </si>
  <si>
    <t>27651</t>
  </si>
  <si>
    <t>aparc-a2009s rh thickness G-parietal-sup</t>
  </si>
  <si>
    <t>1279</t>
  </si>
  <si>
    <t>27652</t>
  </si>
  <si>
    <t>aparc-a2009s rh thickness G-postcentral</t>
  </si>
  <si>
    <t>1280</t>
  </si>
  <si>
    <t>27653</t>
  </si>
  <si>
    <t>aparc-a2009s rh thickness G-precentral</t>
  </si>
  <si>
    <t>1281</t>
  </si>
  <si>
    <t>27654</t>
  </si>
  <si>
    <t>aparc-a2009s rh thickness G-precuneus</t>
  </si>
  <si>
    <t>1282</t>
  </si>
  <si>
    <t>27655</t>
  </si>
  <si>
    <t>aparc-a2009s rh thickness G-rectus</t>
  </si>
  <si>
    <t>1283</t>
  </si>
  <si>
    <t>27656</t>
  </si>
  <si>
    <t>aparc-a2009s rh thickness G-subcallosal</t>
  </si>
  <si>
    <t>1284</t>
  </si>
  <si>
    <t>27657</t>
  </si>
  <si>
    <t>aparc-a2009s rh thickness G-temp-sup-G-T-transv</t>
  </si>
  <si>
    <t>1285</t>
  </si>
  <si>
    <t>27658</t>
  </si>
  <si>
    <t>aparc-a2009s rh thickness G-temp-sup-Lateral</t>
  </si>
  <si>
    <t>1286</t>
  </si>
  <si>
    <t>27659</t>
  </si>
  <si>
    <t>aparc-a2009s rh thickness G-temp-sup-Plan-polar</t>
  </si>
  <si>
    <t>1287</t>
  </si>
  <si>
    <t>27660</t>
  </si>
  <si>
    <t>aparc-a2009s rh thickness G-temp-sup-Plan-tempo</t>
  </si>
  <si>
    <t>1288</t>
  </si>
  <si>
    <t>27661</t>
  </si>
  <si>
    <t>aparc-a2009s rh thickness G-temporal-inf</t>
  </si>
  <si>
    <t>1289</t>
  </si>
  <si>
    <t>27662</t>
  </si>
  <si>
    <t>aparc-a2009s rh thickness G-temporal-middle</t>
  </si>
  <si>
    <t>1290</t>
  </si>
  <si>
    <t>27663</t>
  </si>
  <si>
    <t>aparc-a2009s rh thickness Lat-Fis-ant-Horizont</t>
  </si>
  <si>
    <t>1291</t>
  </si>
  <si>
    <t>27664</t>
  </si>
  <si>
    <t>aparc-a2009s rh thickness Lat-Fis-ant-Vertical</t>
  </si>
  <si>
    <t>1292</t>
  </si>
  <si>
    <t>27665</t>
  </si>
  <si>
    <t>aparc-a2009s rh thickness Lat-Fis-post</t>
  </si>
  <si>
    <t>1293</t>
  </si>
  <si>
    <t>27666</t>
  </si>
  <si>
    <t>aparc-a2009s rh thickness Pole-occipital</t>
  </si>
  <si>
    <t>1294</t>
  </si>
  <si>
    <t>27667</t>
  </si>
  <si>
    <t>aparc-a2009s rh thickness Pole-temporal</t>
  </si>
  <si>
    <t>1295</t>
  </si>
  <si>
    <t>27668</t>
  </si>
  <si>
    <t>aparc-a2009s rh thickness S-calcarine</t>
  </si>
  <si>
    <t>1296</t>
  </si>
  <si>
    <t>27669</t>
  </si>
  <si>
    <t>aparc-a2009s rh thickness S-central</t>
  </si>
  <si>
    <t>1297</t>
  </si>
  <si>
    <t>27670</t>
  </si>
  <si>
    <t>aparc-a2009s rh thickness S-cingul-Marginalis</t>
  </si>
  <si>
    <t>1298</t>
  </si>
  <si>
    <t>27671</t>
  </si>
  <si>
    <t>aparc-a2009s rh thickness S-circular-insula-ant</t>
  </si>
  <si>
    <t>1299</t>
  </si>
  <si>
    <t>27672</t>
  </si>
  <si>
    <t>aparc-a2009s rh thickness S-circular-insula-inf</t>
  </si>
  <si>
    <t>1300</t>
  </si>
  <si>
    <t>27673</t>
  </si>
  <si>
    <t>aparc-a2009s rh thickness S-circular-insula-sup</t>
  </si>
  <si>
    <t>1301</t>
  </si>
  <si>
    <t>27674</t>
  </si>
  <si>
    <t>aparc-a2009s rh thickness S-collat-transv-ant</t>
  </si>
  <si>
    <t>1302</t>
  </si>
  <si>
    <t>27675</t>
  </si>
  <si>
    <t>aparc-a2009s rh thickness S-collat-transv-post</t>
  </si>
  <si>
    <t>1303</t>
  </si>
  <si>
    <t>27676</t>
  </si>
  <si>
    <t>aparc-a2009s rh thickness S-front-inf</t>
  </si>
  <si>
    <t>1304</t>
  </si>
  <si>
    <t>27677</t>
  </si>
  <si>
    <t>aparc-a2009s rh thickness S-front-middle</t>
  </si>
  <si>
    <t>1305</t>
  </si>
  <si>
    <t>27678</t>
  </si>
  <si>
    <t>aparc-a2009s rh thickness S-front-sup</t>
  </si>
  <si>
    <t>1306</t>
  </si>
  <si>
    <t>27679</t>
  </si>
  <si>
    <t>aparc-a2009s rh thickness S-interm-prim-Jensen</t>
  </si>
  <si>
    <t>1307</t>
  </si>
  <si>
    <t>27680</t>
  </si>
  <si>
    <t>aparc-a2009s rh thickness S-intrapariet+P-trans</t>
  </si>
  <si>
    <t>1308</t>
  </si>
  <si>
    <t>27681</t>
  </si>
  <si>
    <t>aparc-a2009s rh thickness S-oc-middle+Lunatus</t>
  </si>
  <si>
    <t>1309</t>
  </si>
  <si>
    <t>27682</t>
  </si>
  <si>
    <t>aparc-a2009s rh thickness S-oc-sup+transversal</t>
  </si>
  <si>
    <t>1310</t>
  </si>
  <si>
    <t>27683</t>
  </si>
  <si>
    <t>aparc-a2009s rh thickness S-occipital-ant</t>
  </si>
  <si>
    <t>1311</t>
  </si>
  <si>
    <t>27684</t>
  </si>
  <si>
    <t>aparc-a2009s rh thickness S-oc-temp-lat</t>
  </si>
  <si>
    <t>1312</t>
  </si>
  <si>
    <t>27685</t>
  </si>
  <si>
    <t>aparc-a2009s rh thickness S-oc-temp-med+Lingual</t>
  </si>
  <si>
    <t>1313</t>
  </si>
  <si>
    <t>27686</t>
  </si>
  <si>
    <t>aparc-a2009s rh thickness S-orbital-lateral</t>
  </si>
  <si>
    <t>1314</t>
  </si>
  <si>
    <t>27687</t>
  </si>
  <si>
    <t>aparc-a2009s rh thickness S-orbital-med-olfact</t>
  </si>
  <si>
    <t>1315</t>
  </si>
  <si>
    <t>27688</t>
  </si>
  <si>
    <t>aparc-a2009s rh thickness S-orbital-H-Shaped</t>
  </si>
  <si>
    <t>1316</t>
  </si>
  <si>
    <t>27689</t>
  </si>
  <si>
    <t>aparc-a2009s rh thickness S-parieto-occipital</t>
  </si>
  <si>
    <t>1317</t>
  </si>
  <si>
    <t>27690</t>
  </si>
  <si>
    <t>aparc-a2009s rh thickness S-pericallosal</t>
  </si>
  <si>
    <t>1318</t>
  </si>
  <si>
    <t>27691</t>
  </si>
  <si>
    <t>aparc-a2009s rh thickness S-postcentral</t>
  </si>
  <si>
    <t>1319</t>
  </si>
  <si>
    <t>27692</t>
  </si>
  <si>
    <t>aparc-a2009s rh thickness S-precentral-inf-part</t>
  </si>
  <si>
    <t>1320</t>
  </si>
  <si>
    <t>27693</t>
  </si>
  <si>
    <t>aparc-a2009s rh thickness S-precentral-sup-part</t>
  </si>
  <si>
    <t>1321</t>
  </si>
  <si>
    <t>27694</t>
  </si>
  <si>
    <t>aparc-a2009s rh thickness S-suborbital</t>
  </si>
  <si>
    <t>1322</t>
  </si>
  <si>
    <t>27695</t>
  </si>
  <si>
    <t>aparc-a2009s rh thickness S-subparietal</t>
  </si>
  <si>
    <t>1323</t>
  </si>
  <si>
    <t>27696</t>
  </si>
  <si>
    <t>aparc-a2009s rh thickness S-temporal-inf</t>
  </si>
  <si>
    <t>1324</t>
  </si>
  <si>
    <t>27697</t>
  </si>
  <si>
    <t>aparc-a2009s rh thickness S-temporal-sup</t>
  </si>
  <si>
    <t>1325</t>
  </si>
  <si>
    <t>27698</t>
  </si>
  <si>
    <t>aparc-a2009s rh thickness S-temporal-transverse</t>
  </si>
  <si>
    <t>1326</t>
  </si>
  <si>
    <t>26501</t>
  </si>
  <si>
    <t>aseg global intensity 3rd-Ventricle</t>
  </si>
  <si>
    <t>1327</t>
  </si>
  <si>
    <t>26502</t>
  </si>
  <si>
    <t>aseg global intensity 4th-Ventricle</t>
  </si>
  <si>
    <t>1328</t>
  </si>
  <si>
    <t>26503</t>
  </si>
  <si>
    <t>aseg global intensity 5th-Ventricle</t>
  </si>
  <si>
    <t>1329</t>
  </si>
  <si>
    <t>26504</t>
  </si>
  <si>
    <t>aseg global intensity Brain-Stem</t>
  </si>
  <si>
    <t>1330</t>
  </si>
  <si>
    <t>26505</t>
  </si>
  <si>
    <t>aseg global intensity CSF</t>
  </si>
  <si>
    <t>1331</t>
  </si>
  <si>
    <t>26506</t>
  </si>
  <si>
    <t>aseg global intensity WM-hypointensities</t>
  </si>
  <si>
    <t>1332</t>
  </si>
  <si>
    <t>26507</t>
  </si>
  <si>
    <t>aseg global intensity non-WM-hypointensities</t>
  </si>
  <si>
    <t>1333</t>
  </si>
  <si>
    <t>26508</t>
  </si>
  <si>
    <t>aseg global intensity Optic-Chiasm</t>
  </si>
  <si>
    <t>1334</t>
  </si>
  <si>
    <t>26509</t>
  </si>
  <si>
    <t>aseg global intensity CC-Posterior</t>
  </si>
  <si>
    <t>1335</t>
  </si>
  <si>
    <t>26510</t>
  </si>
  <si>
    <t>aseg global intensity CC-Mid-Posterior</t>
  </si>
  <si>
    <t>1336</t>
  </si>
  <si>
    <t>26511</t>
  </si>
  <si>
    <t>aseg global intensity CC-Central</t>
  </si>
  <si>
    <t>1337</t>
  </si>
  <si>
    <t>26512</t>
  </si>
  <si>
    <t>aseg global intensity CC-Mid-Anterior</t>
  </si>
  <si>
    <t>1338</t>
  </si>
  <si>
    <t>26513</t>
  </si>
  <si>
    <t>aseg global intensity CC-Anterior</t>
  </si>
  <si>
    <t>1339</t>
  </si>
  <si>
    <t>26538</t>
  </si>
  <si>
    <t>aseg lh intensity Lateral-Ventricle</t>
  </si>
  <si>
    <t>1340</t>
  </si>
  <si>
    <t>26539</t>
  </si>
  <si>
    <t>aseg lh intensity Inf-Lat-Vent</t>
  </si>
  <si>
    <t>1341</t>
  </si>
  <si>
    <t>26540</t>
  </si>
  <si>
    <t>aseg lh intensity Cerebellum-White-Matter</t>
  </si>
  <si>
    <t>1342</t>
  </si>
  <si>
    <t>26541</t>
  </si>
  <si>
    <t>aseg lh intensity Cerebellum-Cortex</t>
  </si>
  <si>
    <t>1343</t>
  </si>
  <si>
    <t>26542</t>
  </si>
  <si>
    <t>aseg lh intensity Thalamus-Proper</t>
  </si>
  <si>
    <t>1344</t>
  </si>
  <si>
    <t>26543</t>
  </si>
  <si>
    <t>aseg lh intensity Caudate</t>
  </si>
  <si>
    <t>1345</t>
  </si>
  <si>
    <t>26544</t>
  </si>
  <si>
    <t>aseg lh intensity Putamen</t>
  </si>
  <si>
    <t>1346</t>
  </si>
  <si>
    <t>26545</t>
  </si>
  <si>
    <t>aseg lh intensity Pallidum</t>
  </si>
  <si>
    <t>1347</t>
  </si>
  <si>
    <t>26546</t>
  </si>
  <si>
    <t>aseg lh intensity Hippocampus</t>
  </si>
  <si>
    <t>1348</t>
  </si>
  <si>
    <t>26547</t>
  </si>
  <si>
    <t>aseg lh intensity Amygdala</t>
  </si>
  <si>
    <t>1349</t>
  </si>
  <si>
    <t>26548</t>
  </si>
  <si>
    <t>aseg lh intensity Accumbens-area</t>
  </si>
  <si>
    <t>1350</t>
  </si>
  <si>
    <t>26549</t>
  </si>
  <si>
    <t>aseg lh intensity VentralDC</t>
  </si>
  <si>
    <t>1351</t>
  </si>
  <si>
    <t>26550</t>
  </si>
  <si>
    <t>aseg lh intensity vessel</t>
  </si>
  <si>
    <t>1352</t>
  </si>
  <si>
    <t>26551</t>
  </si>
  <si>
    <t>aseg lh intensity choroid-plexus</t>
  </si>
  <si>
    <t>1353</t>
  </si>
  <si>
    <t>26569</t>
  </si>
  <si>
    <t>aseg rh intensity Lateral-Ventricle</t>
  </si>
  <si>
    <t>1354</t>
  </si>
  <si>
    <t>26570</t>
  </si>
  <si>
    <t>aseg rh intensity Inf-Lat-Vent</t>
  </si>
  <si>
    <t>1355</t>
  </si>
  <si>
    <t>26571</t>
  </si>
  <si>
    <t>aseg rh intensity Cerebellum-White-Matter</t>
  </si>
  <si>
    <t>1356</t>
  </si>
  <si>
    <t>26572</t>
  </si>
  <si>
    <t>aseg rh intensity Cerebellum-Cortex</t>
  </si>
  <si>
    <t>1357</t>
  </si>
  <si>
    <t>26573</t>
  </si>
  <si>
    <t>aseg rh intensity Thalamus-Proper</t>
  </si>
  <si>
    <t>1358</t>
  </si>
  <si>
    <t>26574</t>
  </si>
  <si>
    <t>aseg rh intensity Caudate</t>
  </si>
  <si>
    <t>1359</t>
  </si>
  <si>
    <t>26575</t>
  </si>
  <si>
    <t>aseg rh intensity Putamen</t>
  </si>
  <si>
    <t>1360</t>
  </si>
  <si>
    <t>26576</t>
  </si>
  <si>
    <t>aseg rh intensity Pallidum</t>
  </si>
  <si>
    <t>1361</t>
  </si>
  <si>
    <t>26577</t>
  </si>
  <si>
    <t>aseg rh intensity Hippocampus</t>
  </si>
  <si>
    <t>1362</t>
  </si>
  <si>
    <t>26578</t>
  </si>
  <si>
    <t>aseg rh intensity Amygdala</t>
  </si>
  <si>
    <t>1363</t>
  </si>
  <si>
    <t>26579</t>
  </si>
  <si>
    <t>aseg rh intensity Accumbens-area</t>
  </si>
  <si>
    <t>1364</t>
  </si>
  <si>
    <t>26580</t>
  </si>
  <si>
    <t>aseg rh intensity VentralDC</t>
  </si>
  <si>
    <t>1365</t>
  </si>
  <si>
    <t>26581</t>
  </si>
  <si>
    <t>aseg rh intensity vessel</t>
  </si>
  <si>
    <t>1366</t>
  </si>
  <si>
    <t>26582</t>
  </si>
  <si>
    <t>aseg rh intensity choroid-plexus</t>
  </si>
  <si>
    <t>1367</t>
  </si>
  <si>
    <t>26989</t>
  </si>
  <si>
    <t>wg lh intensity-contrast unknown</t>
  </si>
  <si>
    <t>1368</t>
  </si>
  <si>
    <t>26990</t>
  </si>
  <si>
    <t>wg lh intensity-contrast bankssts</t>
  </si>
  <si>
    <t>1369</t>
  </si>
  <si>
    <t>26991</t>
  </si>
  <si>
    <t>wg lh intensity-contrast caudalanteriorcingulate</t>
  </si>
  <si>
    <t>1370</t>
  </si>
  <si>
    <t>26992</t>
  </si>
  <si>
    <t>wg lh intensity-contrast caudalmiddlefrontal</t>
  </si>
  <si>
    <t>1371</t>
  </si>
  <si>
    <t>26993</t>
  </si>
  <si>
    <t>wg lh intensity-contrast cuneus</t>
  </si>
  <si>
    <t>1372</t>
  </si>
  <si>
    <t>26994</t>
  </si>
  <si>
    <t>wg lh intensity-contrast entorhinal</t>
  </si>
  <si>
    <t>1373</t>
  </si>
  <si>
    <t>26995</t>
  </si>
  <si>
    <t>wg lh intensity-contrast fusiform</t>
  </si>
  <si>
    <t>1374</t>
  </si>
  <si>
    <t>26996</t>
  </si>
  <si>
    <t>wg lh intensity-contrast inferiorparietal</t>
  </si>
  <si>
    <t>1375</t>
  </si>
  <si>
    <t>26997</t>
  </si>
  <si>
    <t>wg lh intensity-contrast inferiortemporal</t>
  </si>
  <si>
    <t>1376</t>
  </si>
  <si>
    <t>26998</t>
  </si>
  <si>
    <t>wg lh intensity-contrast isthmuscingulate</t>
  </si>
  <si>
    <t>1377</t>
  </si>
  <si>
    <t>26999</t>
  </si>
  <si>
    <t>wg lh intensity-contrast lateraloccipital</t>
  </si>
  <si>
    <t>1378</t>
  </si>
  <si>
    <t>27000</t>
  </si>
  <si>
    <t>wg lh intensity-contrast lateralorbitofrontal</t>
  </si>
  <si>
    <t>1379</t>
  </si>
  <si>
    <t>27001</t>
  </si>
  <si>
    <t>wg lh intensity-contrast lingual</t>
  </si>
  <si>
    <t>1380</t>
  </si>
  <si>
    <t>27002</t>
  </si>
  <si>
    <t>wg lh intensity-contrast medialorbitofrontal</t>
  </si>
  <si>
    <t>1381</t>
  </si>
  <si>
    <t>27003</t>
  </si>
  <si>
    <t>wg lh intensity-contrast middletemporal</t>
  </si>
  <si>
    <t>1382</t>
  </si>
  <si>
    <t>27004</t>
  </si>
  <si>
    <t>wg lh intensity-contrast parahippocampal</t>
  </si>
  <si>
    <t>1383</t>
  </si>
  <si>
    <t>27005</t>
  </si>
  <si>
    <t>wg lh intensity-contrast paracentral</t>
  </si>
  <si>
    <t>1384</t>
  </si>
  <si>
    <t>27006</t>
  </si>
  <si>
    <t>wg lh intensity-contrast parsopercularis</t>
  </si>
  <si>
    <t>1385</t>
  </si>
  <si>
    <t>27007</t>
  </si>
  <si>
    <t>wg lh intensity-contrast parsorbitalis</t>
  </si>
  <si>
    <t>1386</t>
  </si>
  <si>
    <t>27008</t>
  </si>
  <si>
    <t>wg lh intensity-contrast parstriangularis</t>
  </si>
  <si>
    <t>1387</t>
  </si>
  <si>
    <t>27009</t>
  </si>
  <si>
    <t>wg lh intensity-contrast pericalcarine</t>
  </si>
  <si>
    <t>1388</t>
  </si>
  <si>
    <t>27010</t>
  </si>
  <si>
    <t>wg lh intensity-contrast postcentral</t>
  </si>
  <si>
    <t>1389</t>
  </si>
  <si>
    <t>27011</t>
  </si>
  <si>
    <t>wg lh intensity-contrast posteriorcingulate</t>
  </si>
  <si>
    <t>1390</t>
  </si>
  <si>
    <t>27012</t>
  </si>
  <si>
    <t>wg lh intensity-contrast precentral</t>
  </si>
  <si>
    <t>1391</t>
  </si>
  <si>
    <t>27013</t>
  </si>
  <si>
    <t>wg lh intensity-contrast precuneus</t>
  </si>
  <si>
    <t>1392</t>
  </si>
  <si>
    <t>27014</t>
  </si>
  <si>
    <t>wg lh intensity-contrast rostralanteriorcingulate</t>
  </si>
  <si>
    <t>1393</t>
  </si>
  <si>
    <t>27015</t>
  </si>
  <si>
    <t>wg lh intensity-contrast rostralmiddlefrontal</t>
  </si>
  <si>
    <t>1394</t>
  </si>
  <si>
    <t>27016</t>
  </si>
  <si>
    <t>wg lh intensity-contrast superiorfrontal</t>
  </si>
  <si>
    <t>1395</t>
  </si>
  <si>
    <t>27017</t>
  </si>
  <si>
    <t>wg lh intensity-contrast superiorparietal</t>
  </si>
  <si>
    <t>1396</t>
  </si>
  <si>
    <t>27018</t>
  </si>
  <si>
    <t>wg lh intensity-contrast superiortemporal</t>
  </si>
  <si>
    <t>1397</t>
  </si>
  <si>
    <t>27019</t>
  </si>
  <si>
    <t>wg lh intensity-contrast supramarginal</t>
  </si>
  <si>
    <t>1398</t>
  </si>
  <si>
    <t>27020</t>
  </si>
  <si>
    <t>wg lh intensity-contrast frontalpole</t>
  </si>
  <si>
    <t>1399</t>
  </si>
  <si>
    <t>27021</t>
  </si>
  <si>
    <t>wg lh intensity-contrast temporalpole</t>
  </si>
  <si>
    <t>1400</t>
  </si>
  <si>
    <t>27022</t>
  </si>
  <si>
    <t>wg lh intensity-contrast transversetemporal</t>
  </si>
  <si>
    <t>1401</t>
  </si>
  <si>
    <t>27023</t>
  </si>
  <si>
    <t>wg lh intensity-contrast insula</t>
  </si>
  <si>
    <t>1402</t>
  </si>
  <si>
    <t>27024</t>
  </si>
  <si>
    <t>wg rh intensity-contrast unknown</t>
  </si>
  <si>
    <t>1403</t>
  </si>
  <si>
    <t>27025</t>
  </si>
  <si>
    <t>wg rh intensity-contrast bankssts</t>
  </si>
  <si>
    <t>1404</t>
  </si>
  <si>
    <t>27026</t>
  </si>
  <si>
    <t>wg rh intensity-contrast caudalanteriorcingulate</t>
  </si>
  <si>
    <t>1405</t>
  </si>
  <si>
    <t>27027</t>
  </si>
  <si>
    <t>wg rh intensity-contrast caudalmiddlefrontal</t>
  </si>
  <si>
    <t>1406</t>
  </si>
  <si>
    <t>27028</t>
  </si>
  <si>
    <t>wg rh intensity-contrast cuneus</t>
  </si>
  <si>
    <t>1407</t>
  </si>
  <si>
    <t>27029</t>
  </si>
  <si>
    <t>wg rh intensity-contrast entorhinal</t>
  </si>
  <si>
    <t>1408</t>
  </si>
  <si>
    <t>27030</t>
  </si>
  <si>
    <t>wg rh intensity-contrast fusiform</t>
  </si>
  <si>
    <t>1409</t>
  </si>
  <si>
    <t>27031</t>
  </si>
  <si>
    <t>wg rh intensity-contrast inferiorparietal</t>
  </si>
  <si>
    <t>1410</t>
  </si>
  <si>
    <t>27032</t>
  </si>
  <si>
    <t>wg rh intensity-contrast inferiortemporal</t>
  </si>
  <si>
    <t>1411</t>
  </si>
  <si>
    <t>27033</t>
  </si>
  <si>
    <t>wg rh intensity-contrast isthmuscingulate</t>
  </si>
  <si>
    <t>1412</t>
  </si>
  <si>
    <t>27034</t>
  </si>
  <si>
    <t>wg rh intensity-contrast lateraloccipital</t>
  </si>
  <si>
    <t>1413</t>
  </si>
  <si>
    <t>27035</t>
  </si>
  <si>
    <t>wg rh intensity-contrast lateralorbitofrontal</t>
  </si>
  <si>
    <t>1414</t>
  </si>
  <si>
    <t>27036</t>
  </si>
  <si>
    <t>wg rh intensity-contrast lingual</t>
  </si>
  <si>
    <t>1415</t>
  </si>
  <si>
    <t>27037</t>
  </si>
  <si>
    <t>wg rh intensity-contrast medialorbitofrontal</t>
  </si>
  <si>
    <t>1416</t>
  </si>
  <si>
    <t>27038</t>
  </si>
  <si>
    <t>wg rh intensity-contrast middletemporal</t>
  </si>
  <si>
    <t>1417</t>
  </si>
  <si>
    <t>27039</t>
  </si>
  <si>
    <t>wg rh intensity-contrast parahippocampal</t>
  </si>
  <si>
    <t>1418</t>
  </si>
  <si>
    <t>27040</t>
  </si>
  <si>
    <t>wg rh intensity-contrast paracentral</t>
  </si>
  <si>
    <t>1419</t>
  </si>
  <si>
    <t>27041</t>
  </si>
  <si>
    <t>wg rh intensity-contrast parsopercularis</t>
  </si>
  <si>
    <t>1420</t>
  </si>
  <si>
    <t>27042</t>
  </si>
  <si>
    <t>wg rh intensity-contrast parsorbitalis</t>
  </si>
  <si>
    <t>1421</t>
  </si>
  <si>
    <t>27043</t>
  </si>
  <si>
    <t>wg rh intensity-contrast parstriangularis</t>
  </si>
  <si>
    <t>1422</t>
  </si>
  <si>
    <t>27044</t>
  </si>
  <si>
    <t>wg rh intensity-contrast pericalcarine</t>
  </si>
  <si>
    <t>1423</t>
  </si>
  <si>
    <t>27045</t>
  </si>
  <si>
    <t>wg rh intensity-contrast postcentral</t>
  </si>
  <si>
    <t>1424</t>
  </si>
  <si>
    <t>27046</t>
  </si>
  <si>
    <t>wg rh intensity-contrast posteriorcingulate</t>
  </si>
  <si>
    <t>1425</t>
  </si>
  <si>
    <t>27047</t>
  </si>
  <si>
    <t>wg rh intensity-contrast precentral</t>
  </si>
  <si>
    <t>1426</t>
  </si>
  <si>
    <t>27048</t>
  </si>
  <si>
    <t>wg rh intensity-contrast precuneus</t>
  </si>
  <si>
    <t>1427</t>
  </si>
  <si>
    <t>27049</t>
  </si>
  <si>
    <t>wg rh intensity-contrast rostralanteriorcingulate</t>
  </si>
  <si>
    <t>1428</t>
  </si>
  <si>
    <t>27050</t>
  </si>
  <si>
    <t>wg rh intensity-contrast rostralmiddlefrontal</t>
  </si>
  <si>
    <t>1429</t>
  </si>
  <si>
    <t>27051</t>
  </si>
  <si>
    <t>wg rh intensity-contrast superiorfrontal</t>
  </si>
  <si>
    <t>1430</t>
  </si>
  <si>
    <t>27052</t>
  </si>
  <si>
    <t>wg rh intensity-contrast superiorparietal</t>
  </si>
  <si>
    <t>1431</t>
  </si>
  <si>
    <t>27053</t>
  </si>
  <si>
    <t>wg rh intensity-contrast superiortemporal</t>
  </si>
  <si>
    <t>1432</t>
  </si>
  <si>
    <t>27054</t>
  </si>
  <si>
    <t>wg rh intensity-contrast supramarginal</t>
  </si>
  <si>
    <t>1433</t>
  </si>
  <si>
    <t>27055</t>
  </si>
  <si>
    <t>wg rh intensity-contrast frontalpole</t>
  </si>
  <si>
    <t>1434</t>
  </si>
  <si>
    <t>27056</t>
  </si>
  <si>
    <t>wg rh intensity-contrast temporalpole</t>
  </si>
  <si>
    <t>1435</t>
  </si>
  <si>
    <t>27057</t>
  </si>
  <si>
    <t>wg rh intensity-contrast transversetemporal</t>
  </si>
  <si>
    <t>1436</t>
  </si>
  <si>
    <t>27058</t>
  </si>
  <si>
    <t>wg rh intensity-contrast insula</t>
  </si>
  <si>
    <t>1437</t>
  </si>
  <si>
    <t>25781</t>
  </si>
  <si>
    <t>IDP T2 FLAIR BIANCA WMH volume</t>
  </si>
  <si>
    <t>1438</t>
  </si>
  <si>
    <t>25026</t>
  </si>
  <si>
    <t>IDP SWI T2star left thalamus</t>
  </si>
  <si>
    <t>1439</t>
  </si>
  <si>
    <t>25027</t>
  </si>
  <si>
    <t>IDP SWI T2star right thalamus</t>
  </si>
  <si>
    <t>1440</t>
  </si>
  <si>
    <t>25028</t>
  </si>
  <si>
    <t>IDP SWI T2star left caudate</t>
  </si>
  <si>
    <t>1441</t>
  </si>
  <si>
    <t>25029</t>
  </si>
  <si>
    <t>IDP SWI T2star right caudate</t>
  </si>
  <si>
    <t>1442</t>
  </si>
  <si>
    <t>25030</t>
  </si>
  <si>
    <t>IDP SWI T2star left putamen</t>
  </si>
  <si>
    <t>1443</t>
  </si>
  <si>
    <t>25031</t>
  </si>
  <si>
    <t>IDP SWI T2star right putamen</t>
  </si>
  <si>
    <t>1444</t>
  </si>
  <si>
    <t>25032</t>
  </si>
  <si>
    <t>IDP SWI T2star left pallidum</t>
  </si>
  <si>
    <t>1445</t>
  </si>
  <si>
    <t>25033</t>
  </si>
  <si>
    <t>IDP SWI T2star right pallidum</t>
  </si>
  <si>
    <t>1446</t>
  </si>
  <si>
    <t>25034</t>
  </si>
  <si>
    <t>IDP SWI T2star left hippocampus</t>
  </si>
  <si>
    <t>1447</t>
  </si>
  <si>
    <t>25035</t>
  </si>
  <si>
    <t>IDP SWI T2star right hippocampus</t>
  </si>
  <si>
    <t>1448</t>
  </si>
  <si>
    <t>25036</t>
  </si>
  <si>
    <t>IDP SWI T2star left amygdala</t>
  </si>
  <si>
    <t>1449</t>
  </si>
  <si>
    <t>25037</t>
  </si>
  <si>
    <t>IDP SWI T2star right amygdala</t>
  </si>
  <si>
    <t>1450</t>
  </si>
  <si>
    <t>25038</t>
  </si>
  <si>
    <t>IDP SWI T2star left accumbens</t>
  </si>
  <si>
    <t>1451</t>
  </si>
  <si>
    <t>25039</t>
  </si>
  <si>
    <t>IDP SWI T2star right accumbens</t>
  </si>
  <si>
    <t>1452</t>
  </si>
  <si>
    <t>25056</t>
  </si>
  <si>
    <t>IDP dMRI TBSS FA Middle cerebellar peduncle</t>
  </si>
  <si>
    <t>1453</t>
  </si>
  <si>
    <t>25057</t>
  </si>
  <si>
    <t>IDP dMRI TBSS FA Pontine crossing tract</t>
  </si>
  <si>
    <t>1454</t>
  </si>
  <si>
    <t>25058</t>
  </si>
  <si>
    <t>IDP dMRI TBSS FA Genu of corpus callosum</t>
  </si>
  <si>
    <t>1455</t>
  </si>
  <si>
    <t>25059</t>
  </si>
  <si>
    <t>IDP dMRI TBSS FA Body of corpus callosum</t>
  </si>
  <si>
    <t>1456</t>
  </si>
  <si>
    <t>25060</t>
  </si>
  <si>
    <t>IDP dMRI TBSS FA Splenium of corpus callosum</t>
  </si>
  <si>
    <t>1457</t>
  </si>
  <si>
    <t>25061</t>
  </si>
  <si>
    <t>IDP dMRI TBSS FA Fornix</t>
  </si>
  <si>
    <t>1458</t>
  </si>
  <si>
    <t>25062</t>
  </si>
  <si>
    <t>IDP dMRI TBSS FA Corticospinal tract R</t>
  </si>
  <si>
    <t>1459</t>
  </si>
  <si>
    <t>25063</t>
  </si>
  <si>
    <t>IDP dMRI TBSS FA Corticospinal tract L</t>
  </si>
  <si>
    <t>1460</t>
  </si>
  <si>
    <t>25064</t>
  </si>
  <si>
    <t>IDP dMRI TBSS FA Medial lemniscus R</t>
  </si>
  <si>
    <t>1461</t>
  </si>
  <si>
    <t>25065</t>
  </si>
  <si>
    <t>IDP dMRI TBSS FA Medial lemniscus L</t>
  </si>
  <si>
    <t>1462</t>
  </si>
  <si>
    <t>25066</t>
  </si>
  <si>
    <t>IDP dMRI TBSS FA Inferior cerebellar peduncle R</t>
  </si>
  <si>
    <t>1463</t>
  </si>
  <si>
    <t>25067</t>
  </si>
  <si>
    <t>IDP dMRI TBSS FA Inferior cerebellar peduncle L</t>
  </si>
  <si>
    <t>1464</t>
  </si>
  <si>
    <t>25068</t>
  </si>
  <si>
    <t>IDP dMRI TBSS FA Superior cerebellar peduncle R</t>
  </si>
  <si>
    <t>1465</t>
  </si>
  <si>
    <t>25069</t>
  </si>
  <si>
    <t>IDP dMRI TBSS FA Superior cerebellar peduncle L</t>
  </si>
  <si>
    <t>1466</t>
  </si>
  <si>
    <t>25070</t>
  </si>
  <si>
    <t>IDP dMRI TBSS FA Cerebral peduncle R</t>
  </si>
  <si>
    <t>1467</t>
  </si>
  <si>
    <t>25071</t>
  </si>
  <si>
    <t>IDP dMRI TBSS FA Cerebral peduncle L</t>
  </si>
  <si>
    <t>1468</t>
  </si>
  <si>
    <t>25072</t>
  </si>
  <si>
    <t>IDP dMRI TBSS FA Anterior limb of internal capsule R</t>
  </si>
  <si>
    <t>1469</t>
  </si>
  <si>
    <t>25073</t>
  </si>
  <si>
    <t>IDP dMRI TBSS FA Anterior limb of internal capsule L</t>
  </si>
  <si>
    <t>1470</t>
  </si>
  <si>
    <t>25074</t>
  </si>
  <si>
    <t>IDP dMRI TBSS FA Posterior limb of internal capsule R</t>
  </si>
  <si>
    <t>1471</t>
  </si>
  <si>
    <t>25075</t>
  </si>
  <si>
    <t>IDP dMRI TBSS FA Posterior limb of internal capsule L</t>
  </si>
  <si>
    <t>1472</t>
  </si>
  <si>
    <t>25076</t>
  </si>
  <si>
    <t>IDP dMRI TBSS FA Retrolenticular part of internal capsule R</t>
  </si>
  <si>
    <t>1473</t>
  </si>
  <si>
    <t>25077</t>
  </si>
  <si>
    <t>IDP dMRI TBSS FA Retrolenticular part of internal capsule L</t>
  </si>
  <si>
    <t>1474</t>
  </si>
  <si>
    <t>25078</t>
  </si>
  <si>
    <t>IDP dMRI TBSS FA Anterior corona radiata R</t>
  </si>
  <si>
    <t>1475</t>
  </si>
  <si>
    <t>25079</t>
  </si>
  <si>
    <t>IDP dMRI TBSS FA Anterior corona radiata L</t>
  </si>
  <si>
    <t>1476</t>
  </si>
  <si>
    <t>25080</t>
  </si>
  <si>
    <t>IDP dMRI TBSS FA Superior corona radiata R</t>
  </si>
  <si>
    <t>1477</t>
  </si>
  <si>
    <t>25081</t>
  </si>
  <si>
    <t>IDP dMRI TBSS FA Superior corona radiata L</t>
  </si>
  <si>
    <t>1478</t>
  </si>
  <si>
    <t>25082</t>
  </si>
  <si>
    <t>IDP dMRI TBSS FA Posterior corona radiata R</t>
  </si>
  <si>
    <t>1479</t>
  </si>
  <si>
    <t>25083</t>
  </si>
  <si>
    <t>IDP dMRI TBSS FA Posterior corona radiata L</t>
  </si>
  <si>
    <t>1480</t>
  </si>
  <si>
    <t>25084</t>
  </si>
  <si>
    <t>IDP dMRI TBSS FA Posterior thalamic radiation R</t>
  </si>
  <si>
    <t>1481</t>
  </si>
  <si>
    <t>25085</t>
  </si>
  <si>
    <t>IDP dMRI TBSS FA Posterior thalamic radiation L</t>
  </si>
  <si>
    <t>1482</t>
  </si>
  <si>
    <t>25086</t>
  </si>
  <si>
    <t>IDP dMRI TBSS FA Sagittal stratum R</t>
  </si>
  <si>
    <t>1483</t>
  </si>
  <si>
    <t>25087</t>
  </si>
  <si>
    <t>IDP dMRI TBSS FA Sagittal stratum L</t>
  </si>
  <si>
    <t>1484</t>
  </si>
  <si>
    <t>25088</t>
  </si>
  <si>
    <t>IDP dMRI TBSS FA External capsule R</t>
  </si>
  <si>
    <t>1485</t>
  </si>
  <si>
    <t>25089</t>
  </si>
  <si>
    <t>IDP dMRI TBSS FA External capsule L</t>
  </si>
  <si>
    <t>1486</t>
  </si>
  <si>
    <t>25090</t>
  </si>
  <si>
    <t>IDP dMRI TBSS FA Cingulum cingulate gyrus R</t>
  </si>
  <si>
    <t>1487</t>
  </si>
  <si>
    <t>25091</t>
  </si>
  <si>
    <t>IDP dMRI TBSS FA Cingulum cingulate gyrus L</t>
  </si>
  <si>
    <t>1488</t>
  </si>
  <si>
    <t>25092</t>
  </si>
  <si>
    <t>IDP dMRI TBSS FA Cingulum hippocampus R</t>
  </si>
  <si>
    <t>1489</t>
  </si>
  <si>
    <t>25093</t>
  </si>
  <si>
    <t>IDP dMRI TBSS FA Cingulum hippocampus L</t>
  </si>
  <si>
    <t>1490</t>
  </si>
  <si>
    <t>25094</t>
  </si>
  <si>
    <t>IDP dMRI TBSS FA Fornix cres+Stria terminalis R</t>
  </si>
  <si>
    <t>1491</t>
  </si>
  <si>
    <t>25095</t>
  </si>
  <si>
    <t>IDP dMRI TBSS FA Fornix cres+Stria terminalis L</t>
  </si>
  <si>
    <t>1492</t>
  </si>
  <si>
    <t>25096</t>
  </si>
  <si>
    <t>IDP dMRI TBSS FA Superior longitudinal fasciculus R</t>
  </si>
  <si>
    <t>1493</t>
  </si>
  <si>
    <t>25097</t>
  </si>
  <si>
    <t>IDP dMRI TBSS FA Superior longitudinal fasciculus L</t>
  </si>
  <si>
    <t>1494</t>
  </si>
  <si>
    <t>25098</t>
  </si>
  <si>
    <t>IDP dMRI TBSS FA Superior fronto-occipital fasciculus R</t>
  </si>
  <si>
    <t>1495</t>
  </si>
  <si>
    <t>25099</t>
  </si>
  <si>
    <t>IDP dMRI TBSS FA Superior fronto-occipital fasciculus L</t>
  </si>
  <si>
    <t>1496</t>
  </si>
  <si>
    <t>25100</t>
  </si>
  <si>
    <t>IDP dMRI TBSS FA Uncinate fasciculus R</t>
  </si>
  <si>
    <t>1497</t>
  </si>
  <si>
    <t>25101</t>
  </si>
  <si>
    <t>IDP dMRI TBSS FA Uncinate fasciculus L</t>
  </si>
  <si>
    <t>1498</t>
  </si>
  <si>
    <t>25102</t>
  </si>
  <si>
    <t>IDP dMRI TBSS FA Tapetum R</t>
  </si>
  <si>
    <t>1499</t>
  </si>
  <si>
    <t>25103</t>
  </si>
  <si>
    <t>IDP dMRI TBSS FA Tapetum L</t>
  </si>
  <si>
    <t>1500</t>
  </si>
  <si>
    <t>25488</t>
  </si>
  <si>
    <t>IDP dMRI ProbtrackX FA ar l</t>
  </si>
  <si>
    <t>1501</t>
  </si>
  <si>
    <t>25489</t>
  </si>
  <si>
    <t>IDP dMRI ProbtrackX FA ar r</t>
  </si>
  <si>
    <t>1502</t>
  </si>
  <si>
    <t>25490</t>
  </si>
  <si>
    <t>IDP dMRI ProbtrackX FA atr l</t>
  </si>
  <si>
    <t>1503</t>
  </si>
  <si>
    <t>25491</t>
  </si>
  <si>
    <t>IDP dMRI ProbtrackX FA atr r</t>
  </si>
  <si>
    <t>1504</t>
  </si>
  <si>
    <t>25492</t>
  </si>
  <si>
    <t>IDP dMRI ProbtrackX FA cgc l</t>
  </si>
  <si>
    <t>1505</t>
  </si>
  <si>
    <t>25493</t>
  </si>
  <si>
    <t>IDP dMRI ProbtrackX FA cgc r</t>
  </si>
  <si>
    <t>1506</t>
  </si>
  <si>
    <t>25494</t>
  </si>
  <si>
    <t>IDP dMRI ProbtrackX FA cgh l</t>
  </si>
  <si>
    <t>1507</t>
  </si>
  <si>
    <t>25495</t>
  </si>
  <si>
    <t>IDP dMRI ProbtrackX FA cgh r</t>
  </si>
  <si>
    <t>1508</t>
  </si>
  <si>
    <t>25496</t>
  </si>
  <si>
    <t>IDP dMRI ProbtrackX FA cst l</t>
  </si>
  <si>
    <t>1509</t>
  </si>
  <si>
    <t>25497</t>
  </si>
  <si>
    <t>IDP dMRI ProbtrackX FA cst r</t>
  </si>
  <si>
    <t>1510</t>
  </si>
  <si>
    <t>25498</t>
  </si>
  <si>
    <t>IDP dMRI ProbtrackX FA fma</t>
  </si>
  <si>
    <t>1511</t>
  </si>
  <si>
    <t>25499</t>
  </si>
  <si>
    <t>IDP dMRI ProbtrackX FA fmi</t>
  </si>
  <si>
    <t>1512</t>
  </si>
  <si>
    <t>25500</t>
  </si>
  <si>
    <t>IDP dMRI ProbtrackX FA ifo l</t>
  </si>
  <si>
    <t>1513</t>
  </si>
  <si>
    <t>25501</t>
  </si>
  <si>
    <t>IDP dMRI ProbtrackX FA ifo r</t>
  </si>
  <si>
    <t>1514</t>
  </si>
  <si>
    <t>25502</t>
  </si>
  <si>
    <t>IDP dMRI ProbtrackX FA ilf l</t>
  </si>
  <si>
    <t>1515</t>
  </si>
  <si>
    <t>25503</t>
  </si>
  <si>
    <t>IDP dMRI ProbtrackX FA ilf r</t>
  </si>
  <si>
    <t>1516</t>
  </si>
  <si>
    <t>25504</t>
  </si>
  <si>
    <t>IDP dMRI ProbtrackX FA mcp</t>
  </si>
  <si>
    <t>1517</t>
  </si>
  <si>
    <t>25505</t>
  </si>
  <si>
    <t>IDP dMRI ProbtrackX FA ml l</t>
  </si>
  <si>
    <t>1518</t>
  </si>
  <si>
    <t>25506</t>
  </si>
  <si>
    <t>IDP dMRI ProbtrackX FA ml r</t>
  </si>
  <si>
    <t>1519</t>
  </si>
  <si>
    <t>25507</t>
  </si>
  <si>
    <t>IDP dMRI ProbtrackX FA ptr l</t>
  </si>
  <si>
    <t>1520</t>
  </si>
  <si>
    <t>25508</t>
  </si>
  <si>
    <t>IDP dMRI ProbtrackX FA ptr r</t>
  </si>
  <si>
    <t>1521</t>
  </si>
  <si>
    <t>25509</t>
  </si>
  <si>
    <t>IDP dMRI ProbtrackX FA slf l</t>
  </si>
  <si>
    <t>1522</t>
  </si>
  <si>
    <t>25510</t>
  </si>
  <si>
    <t>IDP dMRI ProbtrackX FA slf r</t>
  </si>
  <si>
    <t>1523</t>
  </si>
  <si>
    <t>25511</t>
  </si>
  <si>
    <t>IDP dMRI ProbtrackX FA str l</t>
  </si>
  <si>
    <t>1524</t>
  </si>
  <si>
    <t>25512</t>
  </si>
  <si>
    <t>IDP dMRI ProbtrackX FA str r</t>
  </si>
  <si>
    <t>1525</t>
  </si>
  <si>
    <t>25513</t>
  </si>
  <si>
    <t>IDP dMRI ProbtrackX FA unc l</t>
  </si>
  <si>
    <t>1526</t>
  </si>
  <si>
    <t>25514</t>
  </si>
  <si>
    <t>IDP dMRI ProbtrackX FA unc r</t>
  </si>
  <si>
    <t>1527</t>
  </si>
  <si>
    <t>25152</t>
  </si>
  <si>
    <t>IDP dMRI TBSS MO Middle cerebellar peduncle</t>
  </si>
  <si>
    <t>1528</t>
  </si>
  <si>
    <t>25153</t>
  </si>
  <si>
    <t>IDP dMRI TBSS MO Pontine crossing tract</t>
  </si>
  <si>
    <t>1529</t>
  </si>
  <si>
    <t>25154</t>
  </si>
  <si>
    <t>IDP dMRI TBSS MO Genu of corpus callosum</t>
  </si>
  <si>
    <t>1530</t>
  </si>
  <si>
    <t>25155</t>
  </si>
  <si>
    <t>IDP dMRI TBSS MO Body of corpus callosum</t>
  </si>
  <si>
    <t>1531</t>
  </si>
  <si>
    <t>25156</t>
  </si>
  <si>
    <t>IDP dMRI TBSS MO Splenium of corpus callosum</t>
  </si>
  <si>
    <t>1532</t>
  </si>
  <si>
    <t>25157</t>
  </si>
  <si>
    <t>IDP dMRI TBSS MO Fornix</t>
  </si>
  <si>
    <t>1533</t>
  </si>
  <si>
    <t>25158</t>
  </si>
  <si>
    <t>IDP dMRI TBSS MO Corticospinal tract R</t>
  </si>
  <si>
    <t>1534</t>
  </si>
  <si>
    <t>25159</t>
  </si>
  <si>
    <t>IDP dMRI TBSS MO Corticospinal tract L</t>
  </si>
  <si>
    <t>1535</t>
  </si>
  <si>
    <t>25160</t>
  </si>
  <si>
    <t>IDP dMRI TBSS MO Medial lemniscus R</t>
  </si>
  <si>
    <t>1536</t>
  </si>
  <si>
    <t>25161</t>
  </si>
  <si>
    <t>IDP dMRI TBSS MO Medial lemniscus L</t>
  </si>
  <si>
    <t>1537</t>
  </si>
  <si>
    <t>25162</t>
  </si>
  <si>
    <t>IDP dMRI TBSS MO Inferior cerebellar peduncle R</t>
  </si>
  <si>
    <t>1538</t>
  </si>
  <si>
    <t>25163</t>
  </si>
  <si>
    <t>IDP dMRI TBSS MO Inferior cerebellar peduncle L</t>
  </si>
  <si>
    <t>1539</t>
  </si>
  <si>
    <t>25164</t>
  </si>
  <si>
    <t>IDP dMRI TBSS MO Superior cerebellar peduncle R</t>
  </si>
  <si>
    <t>1540</t>
  </si>
  <si>
    <t>25165</t>
  </si>
  <si>
    <t>IDP dMRI TBSS MO Superior cerebellar peduncle L</t>
  </si>
  <si>
    <t>1541</t>
  </si>
  <si>
    <t>25166</t>
  </si>
  <si>
    <t>IDP dMRI TBSS MO Cerebral peduncle R</t>
  </si>
  <si>
    <t>1542</t>
  </si>
  <si>
    <t>25167</t>
  </si>
  <si>
    <t>IDP dMRI TBSS MO Cerebral peduncle L</t>
  </si>
  <si>
    <t>1543</t>
  </si>
  <si>
    <t>25168</t>
  </si>
  <si>
    <t>IDP dMRI TBSS MO Anterior limb of internal capsule R</t>
  </si>
  <si>
    <t>1544</t>
  </si>
  <si>
    <t>25169</t>
  </si>
  <si>
    <t>IDP dMRI TBSS MO Anterior limb of internal capsule L</t>
  </si>
  <si>
    <t>1545</t>
  </si>
  <si>
    <t>25170</t>
  </si>
  <si>
    <t>IDP dMRI TBSS MO Posterior limb of internal capsule R</t>
  </si>
  <si>
    <t>1546</t>
  </si>
  <si>
    <t>25171</t>
  </si>
  <si>
    <t>IDP dMRI TBSS MO Posterior limb of internal capsule L</t>
  </si>
  <si>
    <t>1547</t>
  </si>
  <si>
    <t>25172</t>
  </si>
  <si>
    <t>IDP dMRI TBSS MO Retrolenticular part of internal capsule R</t>
  </si>
  <si>
    <t>1548</t>
  </si>
  <si>
    <t>25173</t>
  </si>
  <si>
    <t>IDP dMRI TBSS MO Retrolenticular part of internal capsule L</t>
  </si>
  <si>
    <t>1549</t>
  </si>
  <si>
    <t>25174</t>
  </si>
  <si>
    <t>IDP dMRI TBSS MO Anterior corona radiata R</t>
  </si>
  <si>
    <t>1550</t>
  </si>
  <si>
    <t>25175</t>
  </si>
  <si>
    <t>IDP dMRI TBSS MO Anterior corona radiata L</t>
  </si>
  <si>
    <t>1551</t>
  </si>
  <si>
    <t>25176</t>
  </si>
  <si>
    <t>IDP dMRI TBSS MO Superior corona radiata R</t>
  </si>
  <si>
    <t>1552</t>
  </si>
  <si>
    <t>25177</t>
  </si>
  <si>
    <t>IDP dMRI TBSS MO Superior corona radiata L</t>
  </si>
  <si>
    <t>1553</t>
  </si>
  <si>
    <t>25178</t>
  </si>
  <si>
    <t>IDP dMRI TBSS MO Posterior corona radiata R</t>
  </si>
  <si>
    <t>1554</t>
  </si>
  <si>
    <t>25179</t>
  </si>
  <si>
    <t>IDP dMRI TBSS MO Posterior corona radiata L</t>
  </si>
  <si>
    <t>1555</t>
  </si>
  <si>
    <t>25180</t>
  </si>
  <si>
    <t>IDP dMRI TBSS MO Posterior thalamic radiation R</t>
  </si>
  <si>
    <t>1556</t>
  </si>
  <si>
    <t>25181</t>
  </si>
  <si>
    <t>IDP dMRI TBSS MO Posterior thalamic radiation L</t>
  </si>
  <si>
    <t>1557</t>
  </si>
  <si>
    <t>25182</t>
  </si>
  <si>
    <t>IDP dMRI TBSS MO Sagittal stratum R</t>
  </si>
  <si>
    <t>1558</t>
  </si>
  <si>
    <t>25183</t>
  </si>
  <si>
    <t>IDP dMRI TBSS MO Sagittal stratum L</t>
  </si>
  <si>
    <t>1559</t>
  </si>
  <si>
    <t>25184</t>
  </si>
  <si>
    <t>IDP dMRI TBSS MO External capsule R</t>
  </si>
  <si>
    <t>1560</t>
  </si>
  <si>
    <t>25185</t>
  </si>
  <si>
    <t>IDP dMRI TBSS MO External capsule L</t>
  </si>
  <si>
    <t>1561</t>
  </si>
  <si>
    <t>25186</t>
  </si>
  <si>
    <t>IDP dMRI TBSS MO Cingulum cingulate gyrus R</t>
  </si>
  <si>
    <t>1562</t>
  </si>
  <si>
    <t>25187</t>
  </si>
  <si>
    <t>IDP dMRI TBSS MO Cingulum cingulate gyrus L</t>
  </si>
  <si>
    <t>1563</t>
  </si>
  <si>
    <t>25188</t>
  </si>
  <si>
    <t>IDP dMRI TBSS MO Cingulum hippocampus R</t>
  </si>
  <si>
    <t>1564</t>
  </si>
  <si>
    <t>25189</t>
  </si>
  <si>
    <t>IDP dMRI TBSS MO Cingulum hippocampus L</t>
  </si>
  <si>
    <t>1565</t>
  </si>
  <si>
    <t>25190</t>
  </si>
  <si>
    <t>IDP dMRI TBSS MO Fornix cres+Stria terminalis R</t>
  </si>
  <si>
    <t>1566</t>
  </si>
  <si>
    <t>25191</t>
  </si>
  <si>
    <t>IDP dMRI TBSS MO Fornix cres+Stria terminalis L</t>
  </si>
  <si>
    <t>1567</t>
  </si>
  <si>
    <t>25192</t>
  </si>
  <si>
    <t>IDP dMRI TBSS MO Superior longitudinal fasciculus R</t>
  </si>
  <si>
    <t>1568</t>
  </si>
  <si>
    <t>25193</t>
  </si>
  <si>
    <t>IDP dMRI TBSS MO Superior longitudinal fasciculus L</t>
  </si>
  <si>
    <t>1569</t>
  </si>
  <si>
    <t>25194</t>
  </si>
  <si>
    <t>IDP dMRI TBSS MO Superior fronto-occipital fasciculus R</t>
  </si>
  <si>
    <t>1570</t>
  </si>
  <si>
    <t>25195</t>
  </si>
  <si>
    <t>IDP dMRI TBSS MO Superior fronto-occipital fasciculus L</t>
  </si>
  <si>
    <t>1571</t>
  </si>
  <si>
    <t>25196</t>
  </si>
  <si>
    <t>IDP dMRI TBSS MO Uncinate fasciculus R</t>
  </si>
  <si>
    <t>1572</t>
  </si>
  <si>
    <t>25197</t>
  </si>
  <si>
    <t>IDP dMRI TBSS MO Uncinate fasciculus L</t>
  </si>
  <si>
    <t>1573</t>
  </si>
  <si>
    <t>25198</t>
  </si>
  <si>
    <t>IDP dMRI TBSS MO Tapetum R</t>
  </si>
  <si>
    <t>1574</t>
  </si>
  <si>
    <t>25199</t>
  </si>
  <si>
    <t>IDP dMRI TBSS MO Tapetum L</t>
  </si>
  <si>
    <t>1575</t>
  </si>
  <si>
    <t>25542</t>
  </si>
  <si>
    <t>IDP dMRI ProbtrackX MO ar l</t>
  </si>
  <si>
    <t>1576</t>
  </si>
  <si>
    <t>25543</t>
  </si>
  <si>
    <t>IDP dMRI ProbtrackX MO ar r</t>
  </si>
  <si>
    <t>1577</t>
  </si>
  <si>
    <t>25544</t>
  </si>
  <si>
    <t>IDP dMRI ProbtrackX MO atr l</t>
  </si>
  <si>
    <t>1578</t>
  </si>
  <si>
    <t>25545</t>
  </si>
  <si>
    <t>IDP dMRI ProbtrackX MO atr r</t>
  </si>
  <si>
    <t>1579</t>
  </si>
  <si>
    <t>25546</t>
  </si>
  <si>
    <t>IDP dMRI ProbtrackX MO cgc l</t>
  </si>
  <si>
    <t>1580</t>
  </si>
  <si>
    <t>25547</t>
  </si>
  <si>
    <t>IDP dMRI ProbtrackX MO cgc r</t>
  </si>
  <si>
    <t>1581</t>
  </si>
  <si>
    <t>25548</t>
  </si>
  <si>
    <t>IDP dMRI ProbtrackX MO cgh l</t>
  </si>
  <si>
    <t>1582</t>
  </si>
  <si>
    <t>25549</t>
  </si>
  <si>
    <t>IDP dMRI ProbtrackX MO cgh r</t>
  </si>
  <si>
    <t>1583</t>
  </si>
  <si>
    <t>25550</t>
  </si>
  <si>
    <t>IDP dMRI ProbtrackX MO cst l</t>
  </si>
  <si>
    <t>1584</t>
  </si>
  <si>
    <t>25551</t>
  </si>
  <si>
    <t>IDP dMRI ProbtrackX MO cst r</t>
  </si>
  <si>
    <t>1585</t>
  </si>
  <si>
    <t>25552</t>
  </si>
  <si>
    <t>IDP dMRI ProbtrackX MO fma</t>
  </si>
  <si>
    <t>1586</t>
  </si>
  <si>
    <t>25553</t>
  </si>
  <si>
    <t>IDP dMRI ProbtrackX MO fmi</t>
  </si>
  <si>
    <t>1587</t>
  </si>
  <si>
    <t>25554</t>
  </si>
  <si>
    <t>IDP dMRI ProbtrackX MO ifo l</t>
  </si>
  <si>
    <t>1588</t>
  </si>
  <si>
    <t>25555</t>
  </si>
  <si>
    <t>IDP dMRI ProbtrackX MO ifo r</t>
  </si>
  <si>
    <t>1589</t>
  </si>
  <si>
    <t>25556</t>
  </si>
  <si>
    <t>IDP dMRI ProbtrackX MO ilf l</t>
  </si>
  <si>
    <t>1590</t>
  </si>
  <si>
    <t>25557</t>
  </si>
  <si>
    <t>IDP dMRI ProbtrackX MO ilf r</t>
  </si>
  <si>
    <t>1591</t>
  </si>
  <si>
    <t>25558</t>
  </si>
  <si>
    <t>IDP dMRI ProbtrackX MO mcp</t>
  </si>
  <si>
    <t>1592</t>
  </si>
  <si>
    <t>25559</t>
  </si>
  <si>
    <t>IDP dMRI ProbtrackX MO ml l</t>
  </si>
  <si>
    <t>1593</t>
  </si>
  <si>
    <t>25560</t>
  </si>
  <si>
    <t>IDP dMRI ProbtrackX MO ml r</t>
  </si>
  <si>
    <t>1594</t>
  </si>
  <si>
    <t>25561</t>
  </si>
  <si>
    <t>IDP dMRI ProbtrackX MO ptr l</t>
  </si>
  <si>
    <t>1595</t>
  </si>
  <si>
    <t>25562</t>
  </si>
  <si>
    <t>IDP dMRI ProbtrackX MO ptr r</t>
  </si>
  <si>
    <t>1596</t>
  </si>
  <si>
    <t>25563</t>
  </si>
  <si>
    <t>IDP dMRI ProbtrackX MO slf l</t>
  </si>
  <si>
    <t>1597</t>
  </si>
  <si>
    <t>25564</t>
  </si>
  <si>
    <t>IDP dMRI ProbtrackX MO slf r</t>
  </si>
  <si>
    <t>1598</t>
  </si>
  <si>
    <t>25565</t>
  </si>
  <si>
    <t>IDP dMRI ProbtrackX MO str l</t>
  </si>
  <si>
    <t>1599</t>
  </si>
  <si>
    <t>25566</t>
  </si>
  <si>
    <t>IDP dMRI ProbtrackX MO str r</t>
  </si>
  <si>
    <t>1600</t>
  </si>
  <si>
    <t>25567</t>
  </si>
  <si>
    <t>IDP dMRI ProbtrackX MO unc l</t>
  </si>
  <si>
    <t>1601</t>
  </si>
  <si>
    <t>25568</t>
  </si>
  <si>
    <t>IDP dMRI ProbtrackX MO unc r</t>
  </si>
  <si>
    <t>1602</t>
  </si>
  <si>
    <t>25104</t>
  </si>
  <si>
    <t>IDP dMRI TBSS MD Middle cerebellar peduncle</t>
  </si>
  <si>
    <t>1603</t>
  </si>
  <si>
    <t>25105</t>
  </si>
  <si>
    <t>IDP dMRI TBSS MD Pontine crossing tract</t>
  </si>
  <si>
    <t>1604</t>
  </si>
  <si>
    <t>25106</t>
  </si>
  <si>
    <t>IDP dMRI TBSS MD Genu of corpus callosum</t>
  </si>
  <si>
    <t>1605</t>
  </si>
  <si>
    <t>25107</t>
  </si>
  <si>
    <t>IDP dMRI TBSS MD Body of corpus callosum</t>
  </si>
  <si>
    <t>1606</t>
  </si>
  <si>
    <t>25108</t>
  </si>
  <si>
    <t>IDP dMRI TBSS MD Splenium of corpus callosum</t>
  </si>
  <si>
    <t>1607</t>
  </si>
  <si>
    <t>25109</t>
  </si>
  <si>
    <t>IDP dMRI TBSS MD Fornix</t>
  </si>
  <si>
    <t>1608</t>
  </si>
  <si>
    <t>25110</t>
  </si>
  <si>
    <t>IDP dMRI TBSS MD Corticospinal tract R</t>
  </si>
  <si>
    <t>1609</t>
  </si>
  <si>
    <t>25111</t>
  </si>
  <si>
    <t>IDP dMRI TBSS MD Corticospinal tract L</t>
  </si>
  <si>
    <t>1610</t>
  </si>
  <si>
    <t>25112</t>
  </si>
  <si>
    <t>IDP dMRI TBSS MD Medial lemniscus R</t>
  </si>
  <si>
    <t>1611</t>
  </si>
  <si>
    <t>25113</t>
  </si>
  <si>
    <t>IDP dMRI TBSS MD Medial lemniscus L</t>
  </si>
  <si>
    <t>1612</t>
  </si>
  <si>
    <t>25114</t>
  </si>
  <si>
    <t>IDP dMRI TBSS MD Inferior cerebellar peduncle R</t>
  </si>
  <si>
    <t>1613</t>
  </si>
  <si>
    <t>25115</t>
  </si>
  <si>
    <t>IDP dMRI TBSS MD Inferior cerebellar peduncle L</t>
  </si>
  <si>
    <t>1614</t>
  </si>
  <si>
    <t>25116</t>
  </si>
  <si>
    <t>IDP dMRI TBSS MD Superior cerebellar peduncle R</t>
  </si>
  <si>
    <t>1615</t>
  </si>
  <si>
    <t>25117</t>
  </si>
  <si>
    <t>IDP dMRI TBSS MD Superior cerebellar peduncle L</t>
  </si>
  <si>
    <t>1616</t>
  </si>
  <si>
    <t>25118</t>
  </si>
  <si>
    <t>IDP dMRI TBSS MD Cerebral peduncle R</t>
  </si>
  <si>
    <t>1617</t>
  </si>
  <si>
    <t>25119</t>
  </si>
  <si>
    <t>IDP dMRI TBSS MD Cerebral peduncle L</t>
  </si>
  <si>
    <t>1618</t>
  </si>
  <si>
    <t>25120</t>
  </si>
  <si>
    <t>IDP dMRI TBSS MD Anterior limb of internal capsule R</t>
  </si>
  <si>
    <t>1619</t>
  </si>
  <si>
    <t>25121</t>
  </si>
  <si>
    <t>IDP dMRI TBSS MD Anterior limb of internal capsule L</t>
  </si>
  <si>
    <t>1620</t>
  </si>
  <si>
    <t>25122</t>
  </si>
  <si>
    <t>IDP dMRI TBSS MD Posterior limb of internal capsule R</t>
  </si>
  <si>
    <t>1621</t>
  </si>
  <si>
    <t>25123</t>
  </si>
  <si>
    <t>IDP dMRI TBSS MD Posterior limb of internal capsule L</t>
  </si>
  <si>
    <t>1622</t>
  </si>
  <si>
    <t>25124</t>
  </si>
  <si>
    <t>IDP dMRI TBSS MD Retrolenticular part of internal capsule R</t>
  </si>
  <si>
    <t>1623</t>
  </si>
  <si>
    <t>25125</t>
  </si>
  <si>
    <t>IDP dMRI TBSS MD Retrolenticular part of internal capsule L</t>
  </si>
  <si>
    <t>1624</t>
  </si>
  <si>
    <t>25126</t>
  </si>
  <si>
    <t>IDP dMRI TBSS MD Anterior corona radiata R</t>
  </si>
  <si>
    <t>1625</t>
  </si>
  <si>
    <t>25127</t>
  </si>
  <si>
    <t>IDP dMRI TBSS MD Anterior corona radiata L</t>
  </si>
  <si>
    <t>1626</t>
  </si>
  <si>
    <t>25128</t>
  </si>
  <si>
    <t>IDP dMRI TBSS MD Superior corona radiata R</t>
  </si>
  <si>
    <t>1627</t>
  </si>
  <si>
    <t>25129</t>
  </si>
  <si>
    <t>IDP dMRI TBSS MD Superior corona radiata L</t>
  </si>
  <si>
    <t>1628</t>
  </si>
  <si>
    <t>25130</t>
  </si>
  <si>
    <t>IDP dMRI TBSS MD Posterior corona radiata R</t>
  </si>
  <si>
    <t>1629</t>
  </si>
  <si>
    <t>25131</t>
  </si>
  <si>
    <t>IDP dMRI TBSS MD Posterior corona radiata L</t>
  </si>
  <si>
    <t>1630</t>
  </si>
  <si>
    <t>25132</t>
  </si>
  <si>
    <t>IDP dMRI TBSS MD Posterior thalamic radiation R</t>
  </si>
  <si>
    <t>1631</t>
  </si>
  <si>
    <t>25133</t>
  </si>
  <si>
    <t>IDP dMRI TBSS MD Posterior thalamic radiation L</t>
  </si>
  <si>
    <t>1632</t>
  </si>
  <si>
    <t>25134</t>
  </si>
  <si>
    <t>IDP dMRI TBSS MD Sagittal stratum R</t>
  </si>
  <si>
    <t>1633</t>
  </si>
  <si>
    <t>25135</t>
  </si>
  <si>
    <t>IDP dMRI TBSS MD Sagittal stratum L</t>
  </si>
  <si>
    <t>1634</t>
  </si>
  <si>
    <t>25136</t>
  </si>
  <si>
    <t>IDP dMRI TBSS MD External capsule R</t>
  </si>
  <si>
    <t>1635</t>
  </si>
  <si>
    <t>25137</t>
  </si>
  <si>
    <t>IDP dMRI TBSS MD External capsule L</t>
  </si>
  <si>
    <t>1636</t>
  </si>
  <si>
    <t>25138</t>
  </si>
  <si>
    <t>IDP dMRI TBSS MD Cingulum cingulate gyrus R</t>
  </si>
  <si>
    <t>1637</t>
  </si>
  <si>
    <t>25139</t>
  </si>
  <si>
    <t>IDP dMRI TBSS MD Cingulum cingulate gyrus L</t>
  </si>
  <si>
    <t>1638</t>
  </si>
  <si>
    <t>25140</t>
  </si>
  <si>
    <t>IDP dMRI TBSS MD Cingulum hippocampus R</t>
  </si>
  <si>
    <t>1639</t>
  </si>
  <si>
    <t>25141</t>
  </si>
  <si>
    <t>IDP dMRI TBSS MD Cingulum hippocampus L</t>
  </si>
  <si>
    <t>1640</t>
  </si>
  <si>
    <t>25142</t>
  </si>
  <si>
    <t>IDP dMRI TBSS MD Fornix cres+Stria terminalis R</t>
  </si>
  <si>
    <t>1641</t>
  </si>
  <si>
    <t>25143</t>
  </si>
  <si>
    <t>IDP dMRI TBSS MD Fornix cres+Stria terminalis L</t>
  </si>
  <si>
    <t>1642</t>
  </si>
  <si>
    <t>25144</t>
  </si>
  <si>
    <t>IDP dMRI TBSS MD Superior longitudinal fasciculus R</t>
  </si>
  <si>
    <t>1643</t>
  </si>
  <si>
    <t>25145</t>
  </si>
  <si>
    <t>IDP dMRI TBSS MD Superior longitudinal fasciculus L</t>
  </si>
  <si>
    <t>1644</t>
  </si>
  <si>
    <t>25146</t>
  </si>
  <si>
    <t>IDP dMRI TBSS MD Superior fronto-occipital fasciculus R</t>
  </si>
  <si>
    <t>1645</t>
  </si>
  <si>
    <t>25147</t>
  </si>
  <si>
    <t>IDP dMRI TBSS MD Superior fronto-occipital fasciculus L</t>
  </si>
  <si>
    <t>1646</t>
  </si>
  <si>
    <t>25148</t>
  </si>
  <si>
    <t>IDP dMRI TBSS MD Uncinate fasciculus R</t>
  </si>
  <si>
    <t>1647</t>
  </si>
  <si>
    <t>25149</t>
  </si>
  <si>
    <t>IDP dMRI TBSS MD Uncinate fasciculus L</t>
  </si>
  <si>
    <t>1648</t>
  </si>
  <si>
    <t>25150</t>
  </si>
  <si>
    <t>IDP dMRI TBSS MD Tapetum R</t>
  </si>
  <si>
    <t>1649</t>
  </si>
  <si>
    <t>25151</t>
  </si>
  <si>
    <t>IDP dMRI TBSS MD Tapetum L</t>
  </si>
  <si>
    <t>1650</t>
  </si>
  <si>
    <t>25200</t>
  </si>
  <si>
    <t>IDP dMRI TBSS L1 Middle cerebellar peduncle</t>
  </si>
  <si>
    <t>1651</t>
  </si>
  <si>
    <t>25201</t>
  </si>
  <si>
    <t>IDP dMRI TBSS L1 Pontine crossing tract</t>
  </si>
  <si>
    <t>1652</t>
  </si>
  <si>
    <t>25202</t>
  </si>
  <si>
    <t>IDP dMRI TBSS L1 Genu of corpus callosum</t>
  </si>
  <si>
    <t>1653</t>
  </si>
  <si>
    <t>25203</t>
  </si>
  <si>
    <t>IDP dMRI TBSS L1 Body of corpus callosum</t>
  </si>
  <si>
    <t>1654</t>
  </si>
  <si>
    <t>25204</t>
  </si>
  <si>
    <t>IDP dMRI TBSS L1 Splenium of corpus callosum</t>
  </si>
  <si>
    <t>1655</t>
  </si>
  <si>
    <t>25205</t>
  </si>
  <si>
    <t>IDP dMRI TBSS L1 Fornix</t>
  </si>
  <si>
    <t>1656</t>
  </si>
  <si>
    <t>25206</t>
  </si>
  <si>
    <t>IDP dMRI TBSS L1 Corticospinal tract R</t>
  </si>
  <si>
    <t>1657</t>
  </si>
  <si>
    <t>25207</t>
  </si>
  <si>
    <t>IDP dMRI TBSS L1 Corticospinal tract L</t>
  </si>
  <si>
    <t>1658</t>
  </si>
  <si>
    <t>25208</t>
  </si>
  <si>
    <t>IDP dMRI TBSS L1 Medial lemniscus R</t>
  </si>
  <si>
    <t>1659</t>
  </si>
  <si>
    <t>25209</t>
  </si>
  <si>
    <t>IDP dMRI TBSS L1 Medial lemniscus L</t>
  </si>
  <si>
    <t>1660</t>
  </si>
  <si>
    <t>25210</t>
  </si>
  <si>
    <t>IDP dMRI TBSS L1 Inferior cerebellar peduncle R</t>
  </si>
  <si>
    <t>1661</t>
  </si>
  <si>
    <t>25211</t>
  </si>
  <si>
    <t>IDP dMRI TBSS L1 Inferior cerebellar peduncle L</t>
  </si>
  <si>
    <t>1662</t>
  </si>
  <si>
    <t>25212</t>
  </si>
  <si>
    <t>IDP dMRI TBSS L1 Superior cerebellar peduncle R</t>
  </si>
  <si>
    <t>1663</t>
  </si>
  <si>
    <t>25213</t>
  </si>
  <si>
    <t>IDP dMRI TBSS L1 Superior cerebellar peduncle L</t>
  </si>
  <si>
    <t>1664</t>
  </si>
  <si>
    <t>25214</t>
  </si>
  <si>
    <t>IDP dMRI TBSS L1 Cerebral peduncle R</t>
  </si>
  <si>
    <t>1665</t>
  </si>
  <si>
    <t>25215</t>
  </si>
  <si>
    <t>IDP dMRI TBSS L1 Cerebral peduncle L</t>
  </si>
  <si>
    <t>1666</t>
  </si>
  <si>
    <t>25216</t>
  </si>
  <si>
    <t>IDP dMRI TBSS L1 Anterior limb of internal capsule R</t>
  </si>
  <si>
    <t>1667</t>
  </si>
  <si>
    <t>25217</t>
  </si>
  <si>
    <t>IDP dMRI TBSS L1 Anterior limb of internal capsule L</t>
  </si>
  <si>
    <t>1668</t>
  </si>
  <si>
    <t>25218</t>
  </si>
  <si>
    <t>IDP dMRI TBSS L1 Posterior limb of internal capsule R</t>
  </si>
  <si>
    <t>1669</t>
  </si>
  <si>
    <t>25219</t>
  </si>
  <si>
    <t>IDP dMRI TBSS L1 Posterior limb of internal capsule L</t>
  </si>
  <si>
    <t>1670</t>
  </si>
  <si>
    <t>25220</t>
  </si>
  <si>
    <t>IDP dMRI TBSS L1 Retrolenticular part of internal capsule R</t>
  </si>
  <si>
    <t>1671</t>
  </si>
  <si>
    <t>25221</t>
  </si>
  <si>
    <t>IDP dMRI TBSS L1 Retrolenticular part of internal capsule L</t>
  </si>
  <si>
    <t>1672</t>
  </si>
  <si>
    <t>25222</t>
  </si>
  <si>
    <t>IDP dMRI TBSS L1 Anterior corona radiata R</t>
  </si>
  <si>
    <t>1673</t>
  </si>
  <si>
    <t>25223</t>
  </si>
  <si>
    <t>IDP dMRI TBSS L1 Anterior corona radiata L</t>
  </si>
  <si>
    <t>1674</t>
  </si>
  <si>
    <t>25224</t>
  </si>
  <si>
    <t>IDP dMRI TBSS L1 Superior corona radiata R</t>
  </si>
  <si>
    <t>1675</t>
  </si>
  <si>
    <t>25225</t>
  </si>
  <si>
    <t>IDP dMRI TBSS L1 Superior corona radiata L</t>
  </si>
  <si>
    <t>1676</t>
  </si>
  <si>
    <t>25226</t>
  </si>
  <si>
    <t>IDP dMRI TBSS L1 Posterior corona radiata R</t>
  </si>
  <si>
    <t>1677</t>
  </si>
  <si>
    <t>25227</t>
  </si>
  <si>
    <t>IDP dMRI TBSS L1 Posterior corona radiata L</t>
  </si>
  <si>
    <t>1678</t>
  </si>
  <si>
    <t>25228</t>
  </si>
  <si>
    <t>IDP dMRI TBSS L1 Posterior thalamic radiation R</t>
  </si>
  <si>
    <t>1679</t>
  </si>
  <si>
    <t>25229</t>
  </si>
  <si>
    <t>IDP dMRI TBSS L1 Posterior thalamic radiation L</t>
  </si>
  <si>
    <t>1680</t>
  </si>
  <si>
    <t>25230</t>
  </si>
  <si>
    <t>IDP dMRI TBSS L1 Sagittal stratum R</t>
  </si>
  <si>
    <t>1681</t>
  </si>
  <si>
    <t>25231</t>
  </si>
  <si>
    <t>IDP dMRI TBSS L1 Sagittal stratum L</t>
  </si>
  <si>
    <t>1682</t>
  </si>
  <si>
    <t>25232</t>
  </si>
  <si>
    <t>IDP dMRI TBSS L1 External capsule R</t>
  </si>
  <si>
    <t>1683</t>
  </si>
  <si>
    <t>25233</t>
  </si>
  <si>
    <t>IDP dMRI TBSS L1 External capsule L</t>
  </si>
  <si>
    <t>1684</t>
  </si>
  <si>
    <t>25234</t>
  </si>
  <si>
    <t>IDP dMRI TBSS L1 Cingulum cingulate gyrus R</t>
  </si>
  <si>
    <t>1685</t>
  </si>
  <si>
    <t>25235</t>
  </si>
  <si>
    <t>IDP dMRI TBSS L1 Cingulum cingulate gyrus L</t>
  </si>
  <si>
    <t>1686</t>
  </si>
  <si>
    <t>25236</t>
  </si>
  <si>
    <t>IDP dMRI TBSS L1 Cingulum hippocampus R</t>
  </si>
  <si>
    <t>1687</t>
  </si>
  <si>
    <t>25237</t>
  </si>
  <si>
    <t>IDP dMRI TBSS L1 Cingulum hippocampus L</t>
  </si>
  <si>
    <t>1688</t>
  </si>
  <si>
    <t>25238</t>
  </si>
  <si>
    <t>IDP dMRI TBSS L1 Fornix cres+Stria terminalis R</t>
  </si>
  <si>
    <t>1689</t>
  </si>
  <si>
    <t>25239</t>
  </si>
  <si>
    <t>IDP dMRI TBSS L1 Fornix cres+Stria terminalis L</t>
  </si>
  <si>
    <t>1690</t>
  </si>
  <si>
    <t>25240</t>
  </si>
  <si>
    <t>IDP dMRI TBSS L1 Superior longitudinal fasciculus R</t>
  </si>
  <si>
    <t>1691</t>
  </si>
  <si>
    <t>25241</t>
  </si>
  <si>
    <t>IDP dMRI TBSS L1 Superior longitudinal fasciculus L</t>
  </si>
  <si>
    <t>1692</t>
  </si>
  <si>
    <t>25242</t>
  </si>
  <si>
    <t>IDP dMRI TBSS L1 Superior fronto-occipital fasciculus R</t>
  </si>
  <si>
    <t>1693</t>
  </si>
  <si>
    <t>25243</t>
  </si>
  <si>
    <t>IDP dMRI TBSS L1 Superior fronto-occipital fasciculus L</t>
  </si>
  <si>
    <t>1694</t>
  </si>
  <si>
    <t>25244</t>
  </si>
  <si>
    <t>IDP dMRI TBSS L1 Uncinate fasciculus R</t>
  </si>
  <si>
    <t>1695</t>
  </si>
  <si>
    <t>25245</t>
  </si>
  <si>
    <t>IDP dMRI TBSS L1 Uncinate fasciculus L</t>
  </si>
  <si>
    <t>1696</t>
  </si>
  <si>
    <t>25246</t>
  </si>
  <si>
    <t>IDP dMRI TBSS L1 Tapetum R</t>
  </si>
  <si>
    <t>1697</t>
  </si>
  <si>
    <t>25247</t>
  </si>
  <si>
    <t>IDP dMRI TBSS L1 Tapetum L</t>
  </si>
  <si>
    <t>1698</t>
  </si>
  <si>
    <t>25248</t>
  </si>
  <si>
    <t>IDP dMRI TBSS L2 Middle cerebellar peduncle</t>
  </si>
  <si>
    <t>1699</t>
  </si>
  <si>
    <t>25249</t>
  </si>
  <si>
    <t>IDP dMRI TBSS L2 Pontine crossing tract</t>
  </si>
  <si>
    <t>1700</t>
  </si>
  <si>
    <t>25250</t>
  </si>
  <si>
    <t>IDP dMRI TBSS L2 Genu of corpus callosum</t>
  </si>
  <si>
    <t>1701</t>
  </si>
  <si>
    <t>25251</t>
  </si>
  <si>
    <t>IDP dMRI TBSS L2 Body of corpus callosum</t>
  </si>
  <si>
    <t>1702</t>
  </si>
  <si>
    <t>25252</t>
  </si>
  <si>
    <t>IDP dMRI TBSS L2 Splenium of corpus callosum</t>
  </si>
  <si>
    <t>1703</t>
  </si>
  <si>
    <t>25253</t>
  </si>
  <si>
    <t>IDP dMRI TBSS L2 Fornix</t>
  </si>
  <si>
    <t>1704</t>
  </si>
  <si>
    <t>25254</t>
  </si>
  <si>
    <t>IDP dMRI TBSS L2 Corticospinal tract R</t>
  </si>
  <si>
    <t>1705</t>
  </si>
  <si>
    <t>25255</t>
  </si>
  <si>
    <t>IDP dMRI TBSS L2 Corticospinal tract L</t>
  </si>
  <si>
    <t>1706</t>
  </si>
  <si>
    <t>25256</t>
  </si>
  <si>
    <t>IDP dMRI TBSS L2 Medial lemniscus R</t>
  </si>
  <si>
    <t>1707</t>
  </si>
  <si>
    <t>25257</t>
  </si>
  <si>
    <t>IDP dMRI TBSS L2 Medial lemniscus L</t>
  </si>
  <si>
    <t>1708</t>
  </si>
  <si>
    <t>25258</t>
  </si>
  <si>
    <t>IDP dMRI TBSS L2 Inferior cerebellar peduncle R</t>
  </si>
  <si>
    <t>1709</t>
  </si>
  <si>
    <t>25259</t>
  </si>
  <si>
    <t>IDP dMRI TBSS L2 Inferior cerebellar peduncle L</t>
  </si>
  <si>
    <t>1710</t>
  </si>
  <si>
    <t>25260</t>
  </si>
  <si>
    <t>IDP dMRI TBSS L2 Superior cerebellar peduncle R</t>
  </si>
  <si>
    <t>1711</t>
  </si>
  <si>
    <t>25261</t>
  </si>
  <si>
    <t>IDP dMRI TBSS L2 Superior cerebellar peduncle L</t>
  </si>
  <si>
    <t>1712</t>
  </si>
  <si>
    <t>25262</t>
  </si>
  <si>
    <t>IDP dMRI TBSS L2 Cerebral peduncle R</t>
  </si>
  <si>
    <t>1713</t>
  </si>
  <si>
    <t>25263</t>
  </si>
  <si>
    <t>IDP dMRI TBSS L2 Cerebral peduncle L</t>
  </si>
  <si>
    <t>1714</t>
  </si>
  <si>
    <t>25264</t>
  </si>
  <si>
    <t>IDP dMRI TBSS L2 Anterior limb of internal capsule R</t>
  </si>
  <si>
    <t>1715</t>
  </si>
  <si>
    <t>25265</t>
  </si>
  <si>
    <t>IDP dMRI TBSS L2 Anterior limb of internal capsule L</t>
  </si>
  <si>
    <t>1716</t>
  </si>
  <si>
    <t>25266</t>
  </si>
  <si>
    <t>IDP dMRI TBSS L2 Posterior limb of internal capsule R</t>
  </si>
  <si>
    <t>1717</t>
  </si>
  <si>
    <t>25267</t>
  </si>
  <si>
    <t>IDP dMRI TBSS L2 Posterior limb of internal capsule L</t>
  </si>
  <si>
    <t>1718</t>
  </si>
  <si>
    <t>25268</t>
  </si>
  <si>
    <t>IDP dMRI TBSS L2 Retrolenticular part of internal capsule R</t>
  </si>
  <si>
    <t>1719</t>
  </si>
  <si>
    <t>25269</t>
  </si>
  <si>
    <t>IDP dMRI TBSS L2 Retrolenticular part of internal capsule L</t>
  </si>
  <si>
    <t>1720</t>
  </si>
  <si>
    <t>25270</t>
  </si>
  <si>
    <t>IDP dMRI TBSS L2 Anterior corona radiata R</t>
  </si>
  <si>
    <t>1721</t>
  </si>
  <si>
    <t>25271</t>
  </si>
  <si>
    <t>IDP dMRI TBSS L2 Anterior corona radiata L</t>
  </si>
  <si>
    <t>1722</t>
  </si>
  <si>
    <t>25272</t>
  </si>
  <si>
    <t>IDP dMRI TBSS L2 Superior corona radiata R</t>
  </si>
  <si>
    <t>1723</t>
  </si>
  <si>
    <t>25273</t>
  </si>
  <si>
    <t>IDP dMRI TBSS L2 Superior corona radiata L</t>
  </si>
  <si>
    <t>1724</t>
  </si>
  <si>
    <t>25274</t>
  </si>
  <si>
    <t>IDP dMRI TBSS L2 Posterior corona radiata R</t>
  </si>
  <si>
    <t>1725</t>
  </si>
  <si>
    <t>25275</t>
  </si>
  <si>
    <t>IDP dMRI TBSS L2 Posterior corona radiata L</t>
  </si>
  <si>
    <t>1726</t>
  </si>
  <si>
    <t>25276</t>
  </si>
  <si>
    <t>IDP dMRI TBSS L2 Posterior thalamic radiation R</t>
  </si>
  <si>
    <t>1727</t>
  </si>
  <si>
    <t>25277</t>
  </si>
  <si>
    <t>IDP dMRI TBSS L2 Posterior thalamic radiation L</t>
  </si>
  <si>
    <t>1728</t>
  </si>
  <si>
    <t>25278</t>
  </si>
  <si>
    <t>IDP dMRI TBSS L2 Sagittal stratum R</t>
  </si>
  <si>
    <t>1729</t>
  </si>
  <si>
    <t>25279</t>
  </si>
  <si>
    <t>IDP dMRI TBSS L2 Sagittal stratum L</t>
  </si>
  <si>
    <t>1730</t>
  </si>
  <si>
    <t>25280</t>
  </si>
  <si>
    <t>IDP dMRI TBSS L2 External capsule R</t>
  </si>
  <si>
    <t>1731</t>
  </si>
  <si>
    <t>25281</t>
  </si>
  <si>
    <t>IDP dMRI TBSS L2 External capsule L</t>
  </si>
  <si>
    <t>1732</t>
  </si>
  <si>
    <t>25282</t>
  </si>
  <si>
    <t>IDP dMRI TBSS L2 Cingulum cingulate gyrus R</t>
  </si>
  <si>
    <t>1733</t>
  </si>
  <si>
    <t>25283</t>
  </si>
  <si>
    <t>IDP dMRI TBSS L2 Cingulum cingulate gyrus L</t>
  </si>
  <si>
    <t>1734</t>
  </si>
  <si>
    <t>25284</t>
  </si>
  <si>
    <t>IDP dMRI TBSS L2 Cingulum hippocampus R</t>
  </si>
  <si>
    <t>1735</t>
  </si>
  <si>
    <t>25285</t>
  </si>
  <si>
    <t>IDP dMRI TBSS L2 Cingulum hippocampus L</t>
  </si>
  <si>
    <t>1736</t>
  </si>
  <si>
    <t>25286</t>
  </si>
  <si>
    <t>IDP dMRI TBSS L2 Fornix cres+Stria terminalis R</t>
  </si>
  <si>
    <t>1737</t>
  </si>
  <si>
    <t>25287</t>
  </si>
  <si>
    <t>IDP dMRI TBSS L2 Fornix cres+Stria terminalis L</t>
  </si>
  <si>
    <t>1738</t>
  </si>
  <si>
    <t>25288</t>
  </si>
  <si>
    <t>IDP dMRI TBSS L2 Superior longitudinal fasciculus R</t>
  </si>
  <si>
    <t>1739</t>
  </si>
  <si>
    <t>25289</t>
  </si>
  <si>
    <t>IDP dMRI TBSS L2 Superior longitudinal fasciculus L</t>
  </si>
  <si>
    <t>1740</t>
  </si>
  <si>
    <t>25290</t>
  </si>
  <si>
    <t>IDP dMRI TBSS L2 Superior fronto-occipital fasciculus R</t>
  </si>
  <si>
    <t>1741</t>
  </si>
  <si>
    <t>25291</t>
  </si>
  <si>
    <t>IDP dMRI TBSS L2 Superior fronto-occipital fasciculus L</t>
  </si>
  <si>
    <t>1742</t>
  </si>
  <si>
    <t>25292</t>
  </si>
  <si>
    <t>IDP dMRI TBSS L2 Uncinate fasciculus R</t>
  </si>
  <si>
    <t>1743</t>
  </si>
  <si>
    <t>25293</t>
  </si>
  <si>
    <t>IDP dMRI TBSS L2 Uncinate fasciculus L</t>
  </si>
  <si>
    <t>1744</t>
  </si>
  <si>
    <t>25294</t>
  </si>
  <si>
    <t>IDP dMRI TBSS L2 Tapetum R</t>
  </si>
  <si>
    <t>1745</t>
  </si>
  <si>
    <t>25295</t>
  </si>
  <si>
    <t>IDP dMRI TBSS L2 Tapetum L</t>
  </si>
  <si>
    <t>1746</t>
  </si>
  <si>
    <t>25296</t>
  </si>
  <si>
    <t>IDP dMRI TBSS L3 Middle cerebellar peduncle</t>
  </si>
  <si>
    <t>1747</t>
  </si>
  <si>
    <t>25297</t>
  </si>
  <si>
    <t>IDP dMRI TBSS L3 Pontine crossing tract</t>
  </si>
  <si>
    <t>1748</t>
  </si>
  <si>
    <t>25298</t>
  </si>
  <si>
    <t>IDP dMRI TBSS L3 Genu of corpus callosum</t>
  </si>
  <si>
    <t>1749</t>
  </si>
  <si>
    <t>25299</t>
  </si>
  <si>
    <t>IDP dMRI TBSS L3 Body of corpus callosum</t>
  </si>
  <si>
    <t>1750</t>
  </si>
  <si>
    <t>25300</t>
  </si>
  <si>
    <t>IDP dMRI TBSS L3 Splenium of corpus callosum</t>
  </si>
  <si>
    <t>1751</t>
  </si>
  <si>
    <t>25301</t>
  </si>
  <si>
    <t>IDP dMRI TBSS L3 Fornix</t>
  </si>
  <si>
    <t>1752</t>
  </si>
  <si>
    <t>25302</t>
  </si>
  <si>
    <t>IDP dMRI TBSS L3 Corticospinal tract R</t>
  </si>
  <si>
    <t>1753</t>
  </si>
  <si>
    <t>25303</t>
  </si>
  <si>
    <t>IDP dMRI TBSS L3 Corticospinal tract L</t>
  </si>
  <si>
    <t>1754</t>
  </si>
  <si>
    <t>25304</t>
  </si>
  <si>
    <t>IDP dMRI TBSS L3 Medial lemniscus R</t>
  </si>
  <si>
    <t>1755</t>
  </si>
  <si>
    <t>25305</t>
  </si>
  <si>
    <t>IDP dMRI TBSS L3 Medial lemniscus L</t>
  </si>
  <si>
    <t>1756</t>
  </si>
  <si>
    <t>25306</t>
  </si>
  <si>
    <t>IDP dMRI TBSS L3 Inferior cerebellar peduncle R</t>
  </si>
  <si>
    <t>1757</t>
  </si>
  <si>
    <t>25307</t>
  </si>
  <si>
    <t>IDP dMRI TBSS L3 Inferior cerebellar peduncle L</t>
  </si>
  <si>
    <t>1758</t>
  </si>
  <si>
    <t>25308</t>
  </si>
  <si>
    <t>IDP dMRI TBSS L3 Superior cerebellar peduncle R</t>
  </si>
  <si>
    <t>1759</t>
  </si>
  <si>
    <t>25309</t>
  </si>
  <si>
    <t>IDP dMRI TBSS L3 Superior cerebellar peduncle L</t>
  </si>
  <si>
    <t>1760</t>
  </si>
  <si>
    <t>25310</t>
  </si>
  <si>
    <t>IDP dMRI TBSS L3 Cerebral peduncle R</t>
  </si>
  <si>
    <t>1761</t>
  </si>
  <si>
    <t>25311</t>
  </si>
  <si>
    <t>IDP dMRI TBSS L3 Cerebral peduncle L</t>
  </si>
  <si>
    <t>1762</t>
  </si>
  <si>
    <t>25312</t>
  </si>
  <si>
    <t>IDP dMRI TBSS L3 Anterior limb of internal capsule R</t>
  </si>
  <si>
    <t>1763</t>
  </si>
  <si>
    <t>25313</t>
  </si>
  <si>
    <t>IDP dMRI TBSS L3 Anterior limb of internal capsule L</t>
  </si>
  <si>
    <t>1764</t>
  </si>
  <si>
    <t>25314</t>
  </si>
  <si>
    <t>IDP dMRI TBSS L3 Posterior limb of internal capsule R</t>
  </si>
  <si>
    <t>1765</t>
  </si>
  <si>
    <t>25315</t>
  </si>
  <si>
    <t>IDP dMRI TBSS L3 Posterior limb of internal capsule L</t>
  </si>
  <si>
    <t>1766</t>
  </si>
  <si>
    <t>25316</t>
  </si>
  <si>
    <t>IDP dMRI TBSS L3 Retrolenticular part of internal capsule R</t>
  </si>
  <si>
    <t>1767</t>
  </si>
  <si>
    <t>25317</t>
  </si>
  <si>
    <t>IDP dMRI TBSS L3 Retrolenticular part of internal capsule L</t>
  </si>
  <si>
    <t>1768</t>
  </si>
  <si>
    <t>25318</t>
  </si>
  <si>
    <t>IDP dMRI TBSS L3 Anterior corona radiata R</t>
  </si>
  <si>
    <t>1769</t>
  </si>
  <si>
    <t>25319</t>
  </si>
  <si>
    <t>IDP dMRI TBSS L3 Anterior corona radiata L</t>
  </si>
  <si>
    <t>1770</t>
  </si>
  <si>
    <t>25320</t>
  </si>
  <si>
    <t>IDP dMRI TBSS L3 Superior corona radiata R</t>
  </si>
  <si>
    <t>1771</t>
  </si>
  <si>
    <t>25321</t>
  </si>
  <si>
    <t>IDP dMRI TBSS L3 Superior corona radiata L</t>
  </si>
  <si>
    <t>1772</t>
  </si>
  <si>
    <t>25322</t>
  </si>
  <si>
    <t>IDP dMRI TBSS L3 Posterior corona radiata R</t>
  </si>
  <si>
    <t>1773</t>
  </si>
  <si>
    <t>25323</t>
  </si>
  <si>
    <t>IDP dMRI TBSS L3 Posterior corona radiata L</t>
  </si>
  <si>
    <t>1774</t>
  </si>
  <si>
    <t>25324</t>
  </si>
  <si>
    <t>IDP dMRI TBSS L3 Posterior thalamic radiation R</t>
  </si>
  <si>
    <t>1775</t>
  </si>
  <si>
    <t>25325</t>
  </si>
  <si>
    <t>IDP dMRI TBSS L3 Posterior thalamic radiation L</t>
  </si>
  <si>
    <t>1776</t>
  </si>
  <si>
    <t>25326</t>
  </si>
  <si>
    <t>IDP dMRI TBSS L3 Sagittal stratum R</t>
  </si>
  <si>
    <t>1777</t>
  </si>
  <si>
    <t>25327</t>
  </si>
  <si>
    <t>IDP dMRI TBSS L3 Sagittal stratum L</t>
  </si>
  <si>
    <t>1778</t>
  </si>
  <si>
    <t>25328</t>
  </si>
  <si>
    <t>IDP dMRI TBSS L3 External capsule R</t>
  </si>
  <si>
    <t>1779</t>
  </si>
  <si>
    <t>25329</t>
  </si>
  <si>
    <t>IDP dMRI TBSS L3 External capsule L</t>
  </si>
  <si>
    <t>1780</t>
  </si>
  <si>
    <t>25330</t>
  </si>
  <si>
    <t>IDP dMRI TBSS L3 Cingulum cingulate gyrus R</t>
  </si>
  <si>
    <t>1781</t>
  </si>
  <si>
    <t>25331</t>
  </si>
  <si>
    <t>IDP dMRI TBSS L3 Cingulum cingulate gyrus L</t>
  </si>
  <si>
    <t>1782</t>
  </si>
  <si>
    <t>25332</t>
  </si>
  <si>
    <t>IDP dMRI TBSS L3 Cingulum hippocampus R</t>
  </si>
  <si>
    <t>1783</t>
  </si>
  <si>
    <t>25333</t>
  </si>
  <si>
    <t>IDP dMRI TBSS L3 Cingulum hippocampus L</t>
  </si>
  <si>
    <t>1784</t>
  </si>
  <si>
    <t>25334</t>
  </si>
  <si>
    <t>IDP dMRI TBSS L3 Fornix cres+Stria terminalis R</t>
  </si>
  <si>
    <t>1785</t>
  </si>
  <si>
    <t>25335</t>
  </si>
  <si>
    <t>IDP dMRI TBSS L3 Fornix cres+Stria terminalis L</t>
  </si>
  <si>
    <t>1786</t>
  </si>
  <si>
    <t>25336</t>
  </si>
  <si>
    <t>IDP dMRI TBSS L3 Superior longitudinal fasciculus R</t>
  </si>
  <si>
    <t>1787</t>
  </si>
  <si>
    <t>25337</t>
  </si>
  <si>
    <t>IDP dMRI TBSS L3 Superior longitudinal fasciculus L</t>
  </si>
  <si>
    <t>1788</t>
  </si>
  <si>
    <t>25338</t>
  </si>
  <si>
    <t>IDP dMRI TBSS L3 Superior fronto-occipital fasciculus R</t>
  </si>
  <si>
    <t>1789</t>
  </si>
  <si>
    <t>25339</t>
  </si>
  <si>
    <t>IDP dMRI TBSS L3 Superior fronto-occipital fasciculus L</t>
  </si>
  <si>
    <t>1790</t>
  </si>
  <si>
    <t>25340</t>
  </si>
  <si>
    <t>IDP dMRI TBSS L3 Uncinate fasciculus R</t>
  </si>
  <si>
    <t>1791</t>
  </si>
  <si>
    <t>25341</t>
  </si>
  <si>
    <t>IDP dMRI TBSS L3 Uncinate fasciculus L</t>
  </si>
  <si>
    <t>1792</t>
  </si>
  <si>
    <t>25342</t>
  </si>
  <si>
    <t>IDP dMRI TBSS L3 Tapetum R</t>
  </si>
  <si>
    <t>1793</t>
  </si>
  <si>
    <t>25343</t>
  </si>
  <si>
    <t>IDP dMRI TBSS L3 Tapetum L</t>
  </si>
  <si>
    <t>1794</t>
  </si>
  <si>
    <t>25515</t>
  </si>
  <si>
    <t>IDP dMRI ProbtrackX MD ar l</t>
  </si>
  <si>
    <t>1795</t>
  </si>
  <si>
    <t>25516</t>
  </si>
  <si>
    <t>IDP dMRI ProbtrackX MD ar r</t>
  </si>
  <si>
    <t>1796</t>
  </si>
  <si>
    <t>25517</t>
  </si>
  <si>
    <t>IDP dMRI ProbtrackX MD atr l</t>
  </si>
  <si>
    <t>1797</t>
  </si>
  <si>
    <t>25518</t>
  </si>
  <si>
    <t>IDP dMRI ProbtrackX MD atr r</t>
  </si>
  <si>
    <t>1798</t>
  </si>
  <si>
    <t>25519</t>
  </si>
  <si>
    <t>IDP dMRI ProbtrackX MD cgc l</t>
  </si>
  <si>
    <t>1799</t>
  </si>
  <si>
    <t>25520</t>
  </si>
  <si>
    <t>IDP dMRI ProbtrackX MD cgc r</t>
  </si>
  <si>
    <t>1800</t>
  </si>
  <si>
    <t>25521</t>
  </si>
  <si>
    <t>IDP dMRI ProbtrackX MD cgh l</t>
  </si>
  <si>
    <t>1801</t>
  </si>
  <si>
    <t>25522</t>
  </si>
  <si>
    <t>IDP dMRI ProbtrackX MD cgh r</t>
  </si>
  <si>
    <t>1802</t>
  </si>
  <si>
    <t>25523</t>
  </si>
  <si>
    <t>IDP dMRI ProbtrackX MD cst l</t>
  </si>
  <si>
    <t>1803</t>
  </si>
  <si>
    <t>25524</t>
  </si>
  <si>
    <t>IDP dMRI ProbtrackX MD cst r</t>
  </si>
  <si>
    <t>1804</t>
  </si>
  <si>
    <t>25525</t>
  </si>
  <si>
    <t>IDP dMRI ProbtrackX MD fma</t>
  </si>
  <si>
    <t>1805</t>
  </si>
  <si>
    <t>25526</t>
  </si>
  <si>
    <t>IDP dMRI ProbtrackX MD fmi</t>
  </si>
  <si>
    <t>1806</t>
  </si>
  <si>
    <t>25527</t>
  </si>
  <si>
    <t>IDP dMRI ProbtrackX MD ifo l</t>
  </si>
  <si>
    <t>1807</t>
  </si>
  <si>
    <t>25528</t>
  </si>
  <si>
    <t>IDP dMRI ProbtrackX MD ifo r</t>
  </si>
  <si>
    <t>1808</t>
  </si>
  <si>
    <t>25529</t>
  </si>
  <si>
    <t>IDP dMRI ProbtrackX MD ilf l</t>
  </si>
  <si>
    <t>1809</t>
  </si>
  <si>
    <t>25530</t>
  </si>
  <si>
    <t>IDP dMRI ProbtrackX MD ilf r</t>
  </si>
  <si>
    <t>1810</t>
  </si>
  <si>
    <t>25531</t>
  </si>
  <si>
    <t>IDP dMRI ProbtrackX MD mcp</t>
  </si>
  <si>
    <t>1811</t>
  </si>
  <si>
    <t>25532</t>
  </si>
  <si>
    <t>IDP dMRI ProbtrackX MD ml l</t>
  </si>
  <si>
    <t>1812</t>
  </si>
  <si>
    <t>25533</t>
  </si>
  <si>
    <t>IDP dMRI ProbtrackX MD ml r</t>
  </si>
  <si>
    <t>1813</t>
  </si>
  <si>
    <t>25534</t>
  </si>
  <si>
    <t>IDP dMRI ProbtrackX MD ptr l</t>
  </si>
  <si>
    <t>1814</t>
  </si>
  <si>
    <t>25535</t>
  </si>
  <si>
    <t>IDP dMRI ProbtrackX MD ptr r</t>
  </si>
  <si>
    <t>1815</t>
  </si>
  <si>
    <t>25536</t>
  </si>
  <si>
    <t>IDP dMRI ProbtrackX MD slf l</t>
  </si>
  <si>
    <t>1816</t>
  </si>
  <si>
    <t>25537</t>
  </si>
  <si>
    <t>IDP dMRI ProbtrackX MD slf r</t>
  </si>
  <si>
    <t>1817</t>
  </si>
  <si>
    <t>25538</t>
  </si>
  <si>
    <t>IDP dMRI ProbtrackX MD str l</t>
  </si>
  <si>
    <t>1818</t>
  </si>
  <si>
    <t>25539</t>
  </si>
  <si>
    <t>IDP dMRI ProbtrackX MD str r</t>
  </si>
  <si>
    <t>1819</t>
  </si>
  <si>
    <t>25540</t>
  </si>
  <si>
    <t>IDP dMRI ProbtrackX MD unc l</t>
  </si>
  <si>
    <t>1820</t>
  </si>
  <si>
    <t>25541</t>
  </si>
  <si>
    <t>IDP dMRI ProbtrackX MD unc r</t>
  </si>
  <si>
    <t>1821</t>
  </si>
  <si>
    <t>25569</t>
  </si>
  <si>
    <t>IDP dMRI ProbtrackX L1 ar l</t>
  </si>
  <si>
    <t>1822</t>
  </si>
  <si>
    <t>25570</t>
  </si>
  <si>
    <t>IDP dMRI ProbtrackX L1 ar r</t>
  </si>
  <si>
    <t>1823</t>
  </si>
  <si>
    <t>25571</t>
  </si>
  <si>
    <t>IDP dMRI ProbtrackX L1 atr l</t>
  </si>
  <si>
    <t>1824</t>
  </si>
  <si>
    <t>25572</t>
  </si>
  <si>
    <t>IDP dMRI ProbtrackX L1 atr r</t>
  </si>
  <si>
    <t>1825</t>
  </si>
  <si>
    <t>25573</t>
  </si>
  <si>
    <t>IDP dMRI ProbtrackX L1 cgc l</t>
  </si>
  <si>
    <t>1826</t>
  </si>
  <si>
    <t>25574</t>
  </si>
  <si>
    <t>IDP dMRI ProbtrackX L1 cgc r</t>
  </si>
  <si>
    <t>1827</t>
  </si>
  <si>
    <t>25575</t>
  </si>
  <si>
    <t>IDP dMRI ProbtrackX L1 cgh l</t>
  </si>
  <si>
    <t>1828</t>
  </si>
  <si>
    <t>25576</t>
  </si>
  <si>
    <t>IDP dMRI ProbtrackX L1 cgh r</t>
  </si>
  <si>
    <t>1829</t>
  </si>
  <si>
    <t>25577</t>
  </si>
  <si>
    <t>IDP dMRI ProbtrackX L1 cst l</t>
  </si>
  <si>
    <t>1830</t>
  </si>
  <si>
    <t>25578</t>
  </si>
  <si>
    <t>IDP dMRI ProbtrackX L1 cst r</t>
  </si>
  <si>
    <t>1831</t>
  </si>
  <si>
    <t>25579</t>
  </si>
  <si>
    <t>IDP dMRI ProbtrackX L1 fma</t>
  </si>
  <si>
    <t>1832</t>
  </si>
  <si>
    <t>25580</t>
  </si>
  <si>
    <t>IDP dMRI ProbtrackX L1 fmi</t>
  </si>
  <si>
    <t>1833</t>
  </si>
  <si>
    <t>25581</t>
  </si>
  <si>
    <t>IDP dMRI ProbtrackX L1 ifo l</t>
  </si>
  <si>
    <t>1834</t>
  </si>
  <si>
    <t>25582</t>
  </si>
  <si>
    <t>IDP dMRI ProbtrackX L1 ifo r</t>
  </si>
  <si>
    <t>1835</t>
  </si>
  <si>
    <t>25583</t>
  </si>
  <si>
    <t>IDP dMRI ProbtrackX L1 ilf l</t>
  </si>
  <si>
    <t>1836</t>
  </si>
  <si>
    <t>25584</t>
  </si>
  <si>
    <t>IDP dMRI ProbtrackX L1 ilf r</t>
  </si>
  <si>
    <t>1837</t>
  </si>
  <si>
    <t>25585</t>
  </si>
  <si>
    <t>IDP dMRI ProbtrackX L1 mcp</t>
  </si>
  <si>
    <t>1838</t>
  </si>
  <si>
    <t>25586</t>
  </si>
  <si>
    <t>IDP dMRI ProbtrackX L1 ml l</t>
  </si>
  <si>
    <t>1839</t>
  </si>
  <si>
    <t>25587</t>
  </si>
  <si>
    <t>IDP dMRI ProbtrackX L1 ml r</t>
  </si>
  <si>
    <t>1840</t>
  </si>
  <si>
    <t>25588</t>
  </si>
  <si>
    <t>IDP dMRI ProbtrackX L1 ptr l</t>
  </si>
  <si>
    <t>1841</t>
  </si>
  <si>
    <t>25589</t>
  </si>
  <si>
    <t>IDP dMRI ProbtrackX L1 ptr r</t>
  </si>
  <si>
    <t>1842</t>
  </si>
  <si>
    <t>25590</t>
  </si>
  <si>
    <t>IDP dMRI ProbtrackX L1 slf l</t>
  </si>
  <si>
    <t>1843</t>
  </si>
  <si>
    <t>25591</t>
  </si>
  <si>
    <t>IDP dMRI ProbtrackX L1 slf r</t>
  </si>
  <si>
    <t>1844</t>
  </si>
  <si>
    <t>25592</t>
  </si>
  <si>
    <t>IDP dMRI ProbtrackX L1 str l</t>
  </si>
  <si>
    <t>1845</t>
  </si>
  <si>
    <t>25593</t>
  </si>
  <si>
    <t>IDP dMRI ProbtrackX L1 str r</t>
  </si>
  <si>
    <t>1846</t>
  </si>
  <si>
    <t>25594</t>
  </si>
  <si>
    <t>IDP dMRI ProbtrackX L1 unc l</t>
  </si>
  <si>
    <t>1847</t>
  </si>
  <si>
    <t>25595</t>
  </si>
  <si>
    <t>IDP dMRI ProbtrackX L1 unc r</t>
  </si>
  <si>
    <t>1848</t>
  </si>
  <si>
    <t>25596</t>
  </si>
  <si>
    <t>IDP dMRI ProbtrackX L2 ar l</t>
  </si>
  <si>
    <t>1849</t>
  </si>
  <si>
    <t>25597</t>
  </si>
  <si>
    <t>IDP dMRI ProbtrackX L2 ar r</t>
  </si>
  <si>
    <t>1850</t>
  </si>
  <si>
    <t>25598</t>
  </si>
  <si>
    <t>IDP dMRI ProbtrackX L2 atr l</t>
  </si>
  <si>
    <t>1851</t>
  </si>
  <si>
    <t>25599</t>
  </si>
  <si>
    <t>IDP dMRI ProbtrackX L2 atr r</t>
  </si>
  <si>
    <t>1852</t>
  </si>
  <si>
    <t>25600</t>
  </si>
  <si>
    <t>IDP dMRI ProbtrackX L2 cgc l</t>
  </si>
  <si>
    <t>1853</t>
  </si>
  <si>
    <t>25601</t>
  </si>
  <si>
    <t>IDP dMRI ProbtrackX L2 cgc r</t>
  </si>
  <si>
    <t>1854</t>
  </si>
  <si>
    <t>25602</t>
  </si>
  <si>
    <t>IDP dMRI ProbtrackX L2 cgh l</t>
  </si>
  <si>
    <t>1855</t>
  </si>
  <si>
    <t>25603</t>
  </si>
  <si>
    <t>IDP dMRI ProbtrackX L2 cgh r</t>
  </si>
  <si>
    <t>1856</t>
  </si>
  <si>
    <t>25604</t>
  </si>
  <si>
    <t>IDP dMRI ProbtrackX L2 cst l</t>
  </si>
  <si>
    <t>1857</t>
  </si>
  <si>
    <t>25605</t>
  </si>
  <si>
    <t>IDP dMRI ProbtrackX L2 cst r</t>
  </si>
  <si>
    <t>1858</t>
  </si>
  <si>
    <t>25606</t>
  </si>
  <si>
    <t>IDP dMRI ProbtrackX L2 fma</t>
  </si>
  <si>
    <t>1859</t>
  </si>
  <si>
    <t>25607</t>
  </si>
  <si>
    <t>IDP dMRI ProbtrackX L2 fmi</t>
  </si>
  <si>
    <t>1860</t>
  </si>
  <si>
    <t>25608</t>
  </si>
  <si>
    <t>IDP dMRI ProbtrackX L2 ifo l</t>
  </si>
  <si>
    <t>1861</t>
  </si>
  <si>
    <t>25609</t>
  </si>
  <si>
    <t>IDP dMRI ProbtrackX L2 ifo r</t>
  </si>
  <si>
    <t>1862</t>
  </si>
  <si>
    <t>25610</t>
  </si>
  <si>
    <t>IDP dMRI ProbtrackX L2 ilf l</t>
  </si>
  <si>
    <t>1863</t>
  </si>
  <si>
    <t>25611</t>
  </si>
  <si>
    <t>IDP dMRI ProbtrackX L2 ilf r</t>
  </si>
  <si>
    <t>1864</t>
  </si>
  <si>
    <t>25612</t>
  </si>
  <si>
    <t>IDP dMRI ProbtrackX L2 mcp</t>
  </si>
  <si>
    <t>1865</t>
  </si>
  <si>
    <t>25613</t>
  </si>
  <si>
    <t>IDP dMRI ProbtrackX L2 ml l</t>
  </si>
  <si>
    <t>1866</t>
  </si>
  <si>
    <t>25614</t>
  </si>
  <si>
    <t>IDP dMRI ProbtrackX L2 ml r</t>
  </si>
  <si>
    <t>1867</t>
  </si>
  <si>
    <t>25615</t>
  </si>
  <si>
    <t>IDP dMRI ProbtrackX L2 ptr l</t>
  </si>
  <si>
    <t>1868</t>
  </si>
  <si>
    <t>25616</t>
  </si>
  <si>
    <t>IDP dMRI ProbtrackX L2 ptr r</t>
  </si>
  <si>
    <t>1869</t>
  </si>
  <si>
    <t>25617</t>
  </si>
  <si>
    <t>IDP dMRI ProbtrackX L2 slf l</t>
  </si>
  <si>
    <t>1870</t>
  </si>
  <si>
    <t>25618</t>
  </si>
  <si>
    <t>IDP dMRI ProbtrackX L2 slf r</t>
  </si>
  <si>
    <t>1871</t>
  </si>
  <si>
    <t>25619</t>
  </si>
  <si>
    <t>IDP dMRI ProbtrackX L2 str l</t>
  </si>
  <si>
    <t>1872</t>
  </si>
  <si>
    <t>25620</t>
  </si>
  <si>
    <t>IDP dMRI ProbtrackX L2 str r</t>
  </si>
  <si>
    <t>1873</t>
  </si>
  <si>
    <t>25621</t>
  </si>
  <si>
    <t>IDP dMRI ProbtrackX L2 unc l</t>
  </si>
  <si>
    <t>1874</t>
  </si>
  <si>
    <t>25622</t>
  </si>
  <si>
    <t>IDP dMRI ProbtrackX L2 unc r</t>
  </si>
  <si>
    <t>1875</t>
  </si>
  <si>
    <t>25623</t>
  </si>
  <si>
    <t>IDP dMRI ProbtrackX L3 ar l</t>
  </si>
  <si>
    <t>1876</t>
  </si>
  <si>
    <t>25624</t>
  </si>
  <si>
    <t>IDP dMRI ProbtrackX L3 ar r</t>
  </si>
  <si>
    <t>1877</t>
  </si>
  <si>
    <t>25625</t>
  </si>
  <si>
    <t>IDP dMRI ProbtrackX L3 atr l</t>
  </si>
  <si>
    <t>1878</t>
  </si>
  <si>
    <t>25626</t>
  </si>
  <si>
    <t>IDP dMRI ProbtrackX L3 atr r</t>
  </si>
  <si>
    <t>1879</t>
  </si>
  <si>
    <t>25627</t>
  </si>
  <si>
    <t>IDP dMRI ProbtrackX L3 cgc l</t>
  </si>
  <si>
    <t>1880</t>
  </si>
  <si>
    <t>25628</t>
  </si>
  <si>
    <t>IDP dMRI ProbtrackX L3 cgc r</t>
  </si>
  <si>
    <t>1881</t>
  </si>
  <si>
    <t>25629</t>
  </si>
  <si>
    <t>IDP dMRI ProbtrackX L3 cgh l</t>
  </si>
  <si>
    <t>1882</t>
  </si>
  <si>
    <t>25630</t>
  </si>
  <si>
    <t>IDP dMRI ProbtrackX L3 cgh r</t>
  </si>
  <si>
    <t>1883</t>
  </si>
  <si>
    <t>25631</t>
  </si>
  <si>
    <t>IDP dMRI ProbtrackX L3 cst l</t>
  </si>
  <si>
    <t>1884</t>
  </si>
  <si>
    <t>25632</t>
  </si>
  <si>
    <t>IDP dMRI ProbtrackX L3 cst r</t>
  </si>
  <si>
    <t>1885</t>
  </si>
  <si>
    <t>25633</t>
  </si>
  <si>
    <t>IDP dMRI ProbtrackX L3 fma</t>
  </si>
  <si>
    <t>1886</t>
  </si>
  <si>
    <t>25634</t>
  </si>
  <si>
    <t>IDP dMRI ProbtrackX L3 fmi</t>
  </si>
  <si>
    <t>1887</t>
  </si>
  <si>
    <t>25635</t>
  </si>
  <si>
    <t>IDP dMRI ProbtrackX L3 ifo l</t>
  </si>
  <si>
    <t>1888</t>
  </si>
  <si>
    <t>25636</t>
  </si>
  <si>
    <t>IDP dMRI ProbtrackX L3 ifo r</t>
  </si>
  <si>
    <t>1889</t>
  </si>
  <si>
    <t>25637</t>
  </si>
  <si>
    <t>IDP dMRI ProbtrackX L3 ilf l</t>
  </si>
  <si>
    <t>1890</t>
  </si>
  <si>
    <t>25638</t>
  </si>
  <si>
    <t>IDP dMRI ProbtrackX L3 ilf r</t>
  </si>
  <si>
    <t>1891</t>
  </si>
  <si>
    <t>25639</t>
  </si>
  <si>
    <t>IDP dMRI ProbtrackX L3 mcp</t>
  </si>
  <si>
    <t>1892</t>
  </si>
  <si>
    <t>25640</t>
  </si>
  <si>
    <t>IDP dMRI ProbtrackX L3 ml l</t>
  </si>
  <si>
    <t>1893</t>
  </si>
  <si>
    <t>25641</t>
  </si>
  <si>
    <t>IDP dMRI ProbtrackX L3 ml r</t>
  </si>
  <si>
    <t>1894</t>
  </si>
  <si>
    <t>25642</t>
  </si>
  <si>
    <t>IDP dMRI ProbtrackX L3 ptr l</t>
  </si>
  <si>
    <t>1895</t>
  </si>
  <si>
    <t>25643</t>
  </si>
  <si>
    <t>IDP dMRI ProbtrackX L3 ptr r</t>
  </si>
  <si>
    <t>1896</t>
  </si>
  <si>
    <t>25644</t>
  </si>
  <si>
    <t>IDP dMRI ProbtrackX L3 slf l</t>
  </si>
  <si>
    <t>1897</t>
  </si>
  <si>
    <t>25645</t>
  </si>
  <si>
    <t>IDP dMRI ProbtrackX L3 slf r</t>
  </si>
  <si>
    <t>1898</t>
  </si>
  <si>
    <t>25646</t>
  </si>
  <si>
    <t>IDP dMRI ProbtrackX L3 str l</t>
  </si>
  <si>
    <t>1899</t>
  </si>
  <si>
    <t>25647</t>
  </si>
  <si>
    <t>IDP dMRI ProbtrackX L3 str r</t>
  </si>
  <si>
    <t>1900</t>
  </si>
  <si>
    <t>25648</t>
  </si>
  <si>
    <t>IDP dMRI ProbtrackX L3 unc l</t>
  </si>
  <si>
    <t>1901</t>
  </si>
  <si>
    <t>25649</t>
  </si>
  <si>
    <t>IDP dMRI ProbtrackX L3 unc r</t>
  </si>
  <si>
    <t>1902</t>
  </si>
  <si>
    <t>25344</t>
  </si>
  <si>
    <t>IDP dMRI TBSS ICVF Middle cerebellar peduncle</t>
  </si>
  <si>
    <t>1903</t>
  </si>
  <si>
    <t>25345</t>
  </si>
  <si>
    <t>IDP dMRI TBSS ICVF Pontine crossing tract</t>
  </si>
  <si>
    <t>1904</t>
  </si>
  <si>
    <t>25346</t>
  </si>
  <si>
    <t>IDP dMRI TBSS ICVF Genu of corpus callosum</t>
  </si>
  <si>
    <t>1905</t>
  </si>
  <si>
    <t>25347</t>
  </si>
  <si>
    <t>IDP dMRI TBSS ICVF Body of corpus callosum</t>
  </si>
  <si>
    <t>1906</t>
  </si>
  <si>
    <t>25348</t>
  </si>
  <si>
    <t>IDP dMRI TBSS ICVF Splenium of corpus callosum</t>
  </si>
  <si>
    <t>1907</t>
  </si>
  <si>
    <t>25349</t>
  </si>
  <si>
    <t>IDP dMRI TBSS ICVF Fornix</t>
  </si>
  <si>
    <t>1908</t>
  </si>
  <si>
    <t>25350</t>
  </si>
  <si>
    <t>IDP dMRI TBSS ICVF Corticospinal tract R</t>
  </si>
  <si>
    <t>1909</t>
  </si>
  <si>
    <t>25351</t>
  </si>
  <si>
    <t>IDP dMRI TBSS ICVF Corticospinal tract L</t>
  </si>
  <si>
    <t>1910</t>
  </si>
  <si>
    <t>25352</t>
  </si>
  <si>
    <t>IDP dMRI TBSS ICVF Medial lemniscus R</t>
  </si>
  <si>
    <t>1911</t>
  </si>
  <si>
    <t>25353</t>
  </si>
  <si>
    <t>IDP dMRI TBSS ICVF Medial lemniscus L</t>
  </si>
  <si>
    <t>1912</t>
  </si>
  <si>
    <t>25354</t>
  </si>
  <si>
    <t>IDP dMRI TBSS ICVF Inferior cerebellar peduncle R</t>
  </si>
  <si>
    <t>1913</t>
  </si>
  <si>
    <t>25355</t>
  </si>
  <si>
    <t>IDP dMRI TBSS ICVF Inferior cerebellar peduncle L</t>
  </si>
  <si>
    <t>1914</t>
  </si>
  <si>
    <t>25356</t>
  </si>
  <si>
    <t>IDP dMRI TBSS ICVF Superior cerebellar peduncle R</t>
  </si>
  <si>
    <t>1915</t>
  </si>
  <si>
    <t>25357</t>
  </si>
  <si>
    <t>IDP dMRI TBSS ICVF Superior cerebellar peduncle L</t>
  </si>
  <si>
    <t>1916</t>
  </si>
  <si>
    <t>25358</t>
  </si>
  <si>
    <t>IDP dMRI TBSS ICVF Cerebral peduncle R</t>
  </si>
  <si>
    <t>1917</t>
  </si>
  <si>
    <t>25359</t>
  </si>
  <si>
    <t>IDP dMRI TBSS ICVF Cerebral peduncle L</t>
  </si>
  <si>
    <t>1918</t>
  </si>
  <si>
    <t>25360</t>
  </si>
  <si>
    <t>IDP dMRI TBSS ICVF Anterior limb of internal capsule R</t>
  </si>
  <si>
    <t>1919</t>
  </si>
  <si>
    <t>25361</t>
  </si>
  <si>
    <t>IDP dMRI TBSS ICVF Anterior limb of internal capsule L</t>
  </si>
  <si>
    <t>1920</t>
  </si>
  <si>
    <t>25362</t>
  </si>
  <si>
    <t>IDP dMRI TBSS ICVF Posterior limb of internal capsule R</t>
  </si>
  <si>
    <t>1921</t>
  </si>
  <si>
    <t>25363</t>
  </si>
  <si>
    <t>IDP dMRI TBSS ICVF Posterior limb of internal capsule L</t>
  </si>
  <si>
    <t>1922</t>
  </si>
  <si>
    <t>25364</t>
  </si>
  <si>
    <t>IDP dMRI TBSS ICVF Retrolenticular part of internal capsule R</t>
  </si>
  <si>
    <t>1923</t>
  </si>
  <si>
    <t>25365</t>
  </si>
  <si>
    <t>IDP dMRI TBSS ICVF Retrolenticular part of internal capsule L</t>
  </si>
  <si>
    <t>1924</t>
  </si>
  <si>
    <t>25366</t>
  </si>
  <si>
    <t>IDP dMRI TBSS ICVF Anterior corona radiata R</t>
  </si>
  <si>
    <t>1925</t>
  </si>
  <si>
    <t>25367</t>
  </si>
  <si>
    <t>IDP dMRI TBSS ICVF Anterior corona radiata L</t>
  </si>
  <si>
    <t>1926</t>
  </si>
  <si>
    <t>25368</t>
  </si>
  <si>
    <t>IDP dMRI TBSS ICVF Superior corona radiata R</t>
  </si>
  <si>
    <t>1927</t>
  </si>
  <si>
    <t>25369</t>
  </si>
  <si>
    <t>IDP dMRI TBSS ICVF Superior corona radiata L</t>
  </si>
  <si>
    <t>1928</t>
  </si>
  <si>
    <t>25370</t>
  </si>
  <si>
    <t>IDP dMRI TBSS ICVF Posterior corona radiata R</t>
  </si>
  <si>
    <t>1929</t>
  </si>
  <si>
    <t>25371</t>
  </si>
  <si>
    <t>IDP dMRI TBSS ICVF Posterior corona radiata L</t>
  </si>
  <si>
    <t>1930</t>
  </si>
  <si>
    <t>25372</t>
  </si>
  <si>
    <t>IDP dMRI TBSS ICVF Posterior thalamic radiation R</t>
  </si>
  <si>
    <t>1931</t>
  </si>
  <si>
    <t>25373</t>
  </si>
  <si>
    <t>IDP dMRI TBSS ICVF Posterior thalamic radiation L</t>
  </si>
  <si>
    <t>1932</t>
  </si>
  <si>
    <t>25374</t>
  </si>
  <si>
    <t>IDP dMRI TBSS ICVF Sagittal stratum R</t>
  </si>
  <si>
    <t>1933</t>
  </si>
  <si>
    <t>25375</t>
  </si>
  <si>
    <t>IDP dMRI TBSS ICVF Sagittal stratum L</t>
  </si>
  <si>
    <t>1934</t>
  </si>
  <si>
    <t>25376</t>
  </si>
  <si>
    <t>IDP dMRI TBSS ICVF External capsule R</t>
  </si>
  <si>
    <t>1935</t>
  </si>
  <si>
    <t>25377</t>
  </si>
  <si>
    <t>IDP dMRI TBSS ICVF External capsule L</t>
  </si>
  <si>
    <t>1936</t>
  </si>
  <si>
    <t>25378</t>
  </si>
  <si>
    <t>IDP dMRI TBSS ICVF Cingulum cingulate gyrus R</t>
  </si>
  <si>
    <t>1937</t>
  </si>
  <si>
    <t>25379</t>
  </si>
  <si>
    <t>IDP dMRI TBSS ICVF Cingulum cingulate gyrus L</t>
  </si>
  <si>
    <t>1938</t>
  </si>
  <si>
    <t>25380</t>
  </si>
  <si>
    <t>IDP dMRI TBSS ICVF Cingulum hippocampus R</t>
  </si>
  <si>
    <t>1939</t>
  </si>
  <si>
    <t>25381</t>
  </si>
  <si>
    <t>IDP dMRI TBSS ICVF Cingulum hippocampus L</t>
  </si>
  <si>
    <t>1940</t>
  </si>
  <si>
    <t>25382</t>
  </si>
  <si>
    <t>IDP dMRI TBSS ICVF Fornix cres+Stria terminalis R</t>
  </si>
  <si>
    <t>1941</t>
  </si>
  <si>
    <t>25383</t>
  </si>
  <si>
    <t>IDP dMRI TBSS ICVF Fornix cres+Stria terminalis L</t>
  </si>
  <si>
    <t>1942</t>
  </si>
  <si>
    <t>25384</t>
  </si>
  <si>
    <t>IDP dMRI TBSS ICVF Superior longitudinal fasciculus R</t>
  </si>
  <si>
    <t>1943</t>
  </si>
  <si>
    <t>25385</t>
  </si>
  <si>
    <t>IDP dMRI TBSS ICVF Superior longitudinal fasciculus L</t>
  </si>
  <si>
    <t>1944</t>
  </si>
  <si>
    <t>25386</t>
  </si>
  <si>
    <t>IDP dMRI TBSS ICVF Superior fronto-occipital fasciculus R</t>
  </si>
  <si>
    <t>1945</t>
  </si>
  <si>
    <t>25387</t>
  </si>
  <si>
    <t>IDP dMRI TBSS ICVF Superior fronto-occipital fasciculus L</t>
  </si>
  <si>
    <t>1946</t>
  </si>
  <si>
    <t>25388</t>
  </si>
  <si>
    <t>IDP dMRI TBSS ICVF Uncinate fasciculus R</t>
  </si>
  <si>
    <t>1947</t>
  </si>
  <si>
    <t>25389</t>
  </si>
  <si>
    <t>IDP dMRI TBSS ICVF Uncinate fasciculus L</t>
  </si>
  <si>
    <t>1948</t>
  </si>
  <si>
    <t>25390</t>
  </si>
  <si>
    <t>IDP dMRI TBSS ICVF Tapetum R</t>
  </si>
  <si>
    <t>1949</t>
  </si>
  <si>
    <t>25391</t>
  </si>
  <si>
    <t>IDP dMRI TBSS ICVF Tapetum L</t>
  </si>
  <si>
    <t>1950</t>
  </si>
  <si>
    <t>25650</t>
  </si>
  <si>
    <t>IDP dMRI ProbtrackX ICVF ar l</t>
  </si>
  <si>
    <t>1951</t>
  </si>
  <si>
    <t>25651</t>
  </si>
  <si>
    <t>IDP dMRI ProbtrackX ICVF ar r</t>
  </si>
  <si>
    <t>1952</t>
  </si>
  <si>
    <t>25652</t>
  </si>
  <si>
    <t>IDP dMRI ProbtrackX ICVF atr l</t>
  </si>
  <si>
    <t>1953</t>
  </si>
  <si>
    <t>25653</t>
  </si>
  <si>
    <t>IDP dMRI ProbtrackX ICVF atr r</t>
  </si>
  <si>
    <t>1954</t>
  </si>
  <si>
    <t>25654</t>
  </si>
  <si>
    <t>IDP dMRI ProbtrackX ICVF cgc l</t>
  </si>
  <si>
    <t>1955</t>
  </si>
  <si>
    <t>25655</t>
  </si>
  <si>
    <t>IDP dMRI ProbtrackX ICVF cgc r</t>
  </si>
  <si>
    <t>1956</t>
  </si>
  <si>
    <t>25656</t>
  </si>
  <si>
    <t>IDP dMRI ProbtrackX ICVF cgh l</t>
  </si>
  <si>
    <t>1957</t>
  </si>
  <si>
    <t>25657</t>
  </si>
  <si>
    <t>IDP dMRI ProbtrackX ICVF cgh r</t>
  </si>
  <si>
    <t>1958</t>
  </si>
  <si>
    <t>25658</t>
  </si>
  <si>
    <t>IDP dMRI ProbtrackX ICVF cst l</t>
  </si>
  <si>
    <t>1959</t>
  </si>
  <si>
    <t>25659</t>
  </si>
  <si>
    <t>IDP dMRI ProbtrackX ICVF cst r</t>
  </si>
  <si>
    <t>1960</t>
  </si>
  <si>
    <t>25660</t>
  </si>
  <si>
    <t>IDP dMRI ProbtrackX ICVF fma</t>
  </si>
  <si>
    <t>1961</t>
  </si>
  <si>
    <t>25661</t>
  </si>
  <si>
    <t>IDP dMRI ProbtrackX ICVF fmi</t>
  </si>
  <si>
    <t>1962</t>
  </si>
  <si>
    <t>25662</t>
  </si>
  <si>
    <t>IDP dMRI ProbtrackX ICVF ifo l</t>
  </si>
  <si>
    <t>1963</t>
  </si>
  <si>
    <t>25663</t>
  </si>
  <si>
    <t>IDP dMRI ProbtrackX ICVF ifo r</t>
  </si>
  <si>
    <t>1964</t>
  </si>
  <si>
    <t>25664</t>
  </si>
  <si>
    <t>IDP dMRI ProbtrackX ICVF ilf l</t>
  </si>
  <si>
    <t>1965</t>
  </si>
  <si>
    <t>25665</t>
  </si>
  <si>
    <t>IDP dMRI ProbtrackX ICVF ilf r</t>
  </si>
  <si>
    <t>1966</t>
  </si>
  <si>
    <t>25666</t>
  </si>
  <si>
    <t>IDP dMRI ProbtrackX ICVF mcp</t>
  </si>
  <si>
    <t>1967</t>
  </si>
  <si>
    <t>25667</t>
  </si>
  <si>
    <t>IDP dMRI ProbtrackX ICVF ml l</t>
  </si>
  <si>
    <t>1968</t>
  </si>
  <si>
    <t>25668</t>
  </si>
  <si>
    <t>IDP dMRI ProbtrackX ICVF ml r</t>
  </si>
  <si>
    <t>1969</t>
  </si>
  <si>
    <t>25669</t>
  </si>
  <si>
    <t>IDP dMRI ProbtrackX ICVF ptr l</t>
  </si>
  <si>
    <t>1970</t>
  </si>
  <si>
    <t>25670</t>
  </si>
  <si>
    <t>IDP dMRI ProbtrackX ICVF ptr r</t>
  </si>
  <si>
    <t>1971</t>
  </si>
  <si>
    <t>25671</t>
  </si>
  <si>
    <t>IDP dMRI ProbtrackX ICVF slf l</t>
  </si>
  <si>
    <t>1972</t>
  </si>
  <si>
    <t>25672</t>
  </si>
  <si>
    <t>IDP dMRI ProbtrackX ICVF slf r</t>
  </si>
  <si>
    <t>1973</t>
  </si>
  <si>
    <t>25673</t>
  </si>
  <si>
    <t>IDP dMRI ProbtrackX ICVF str l</t>
  </si>
  <si>
    <t>1974</t>
  </si>
  <si>
    <t>25674</t>
  </si>
  <si>
    <t>IDP dMRI ProbtrackX ICVF str r</t>
  </si>
  <si>
    <t>1975</t>
  </si>
  <si>
    <t>25675</t>
  </si>
  <si>
    <t>IDP dMRI ProbtrackX ICVF unc l</t>
  </si>
  <si>
    <t>1976</t>
  </si>
  <si>
    <t>25676</t>
  </si>
  <si>
    <t>IDP dMRI ProbtrackX ICVF unc r</t>
  </si>
  <si>
    <t>1977</t>
  </si>
  <si>
    <t>25392</t>
  </si>
  <si>
    <t>IDP dMRI TBSS OD Middle cerebellar peduncle</t>
  </si>
  <si>
    <t>1978</t>
  </si>
  <si>
    <t>25393</t>
  </si>
  <si>
    <t>IDP dMRI TBSS OD Pontine crossing tract</t>
  </si>
  <si>
    <t>1979</t>
  </si>
  <si>
    <t>25394</t>
  </si>
  <si>
    <t>IDP dMRI TBSS OD Genu of corpus callosum</t>
  </si>
  <si>
    <t>1980</t>
  </si>
  <si>
    <t>25395</t>
  </si>
  <si>
    <t>IDP dMRI TBSS OD Body of corpus callosum</t>
  </si>
  <si>
    <t>1981</t>
  </si>
  <si>
    <t>25396</t>
  </si>
  <si>
    <t>IDP dMRI TBSS OD Splenium of corpus callosum</t>
  </si>
  <si>
    <t>1982</t>
  </si>
  <si>
    <t>25397</t>
  </si>
  <si>
    <t>IDP dMRI TBSS OD Fornix</t>
  </si>
  <si>
    <t>1983</t>
  </si>
  <si>
    <t>25398</t>
  </si>
  <si>
    <t>IDP dMRI TBSS OD Corticospinal tract R</t>
  </si>
  <si>
    <t>1984</t>
  </si>
  <si>
    <t>25399</t>
  </si>
  <si>
    <t>IDP dMRI TBSS OD Corticospinal tract L</t>
  </si>
  <si>
    <t>1985</t>
  </si>
  <si>
    <t>25400</t>
  </si>
  <si>
    <t>IDP dMRI TBSS OD Medial lemniscus R</t>
  </si>
  <si>
    <t>1986</t>
  </si>
  <si>
    <t>25401</t>
  </si>
  <si>
    <t>IDP dMRI TBSS OD Medial lemniscus L</t>
  </si>
  <si>
    <t>1987</t>
  </si>
  <si>
    <t>25402</t>
  </si>
  <si>
    <t>IDP dMRI TBSS OD Inferior cerebellar peduncle R</t>
  </si>
  <si>
    <t>1988</t>
  </si>
  <si>
    <t>25403</t>
  </si>
  <si>
    <t>IDP dMRI TBSS OD Inferior cerebellar peduncle L</t>
  </si>
  <si>
    <t>1989</t>
  </si>
  <si>
    <t>25404</t>
  </si>
  <si>
    <t>IDP dMRI TBSS OD Superior cerebellar peduncle R</t>
  </si>
  <si>
    <t>1990</t>
  </si>
  <si>
    <t>25405</t>
  </si>
  <si>
    <t>IDP dMRI TBSS OD Superior cerebellar peduncle L</t>
  </si>
  <si>
    <t>1991</t>
  </si>
  <si>
    <t>25406</t>
  </si>
  <si>
    <t>IDP dMRI TBSS OD Cerebral peduncle R</t>
  </si>
  <si>
    <t>1992</t>
  </si>
  <si>
    <t>25407</t>
  </si>
  <si>
    <t>IDP dMRI TBSS OD Cerebral peduncle L</t>
  </si>
  <si>
    <t>1993</t>
  </si>
  <si>
    <t>25408</t>
  </si>
  <si>
    <t>IDP dMRI TBSS OD Anterior limb of internal capsule R</t>
  </si>
  <si>
    <t>1994</t>
  </si>
  <si>
    <t>25409</t>
  </si>
  <si>
    <t>IDP dMRI TBSS OD Anterior limb of internal capsule L</t>
  </si>
  <si>
    <t>1995</t>
  </si>
  <si>
    <t>25410</t>
  </si>
  <si>
    <t>IDP dMRI TBSS OD Posterior limb of internal capsule R</t>
  </si>
  <si>
    <t>1996</t>
  </si>
  <si>
    <t>25411</t>
  </si>
  <si>
    <t>IDP dMRI TBSS OD Posterior limb of internal capsule L</t>
  </si>
  <si>
    <t>1997</t>
  </si>
  <si>
    <t>25412</t>
  </si>
  <si>
    <t>IDP dMRI TBSS OD Retrolenticular part of internal capsule R</t>
  </si>
  <si>
    <t>1998</t>
  </si>
  <si>
    <t>25413</t>
  </si>
  <si>
    <t>IDP dMRI TBSS OD Retrolenticular part of internal capsule L</t>
  </si>
  <si>
    <t>1999</t>
  </si>
  <si>
    <t>25414</t>
  </si>
  <si>
    <t>IDP dMRI TBSS OD Anterior corona radiata R</t>
  </si>
  <si>
    <t>2000</t>
  </si>
  <si>
    <t>25415</t>
  </si>
  <si>
    <t>IDP dMRI TBSS OD Anterior corona radiata L</t>
  </si>
  <si>
    <t>2001</t>
  </si>
  <si>
    <t>25416</t>
  </si>
  <si>
    <t>IDP dMRI TBSS OD Superior corona radiata R</t>
  </si>
  <si>
    <t>2002</t>
  </si>
  <si>
    <t>25417</t>
  </si>
  <si>
    <t>IDP dMRI TBSS OD Superior corona radiata L</t>
  </si>
  <si>
    <t>2003</t>
  </si>
  <si>
    <t>25418</t>
  </si>
  <si>
    <t>IDP dMRI TBSS OD Posterior corona radiata R</t>
  </si>
  <si>
    <t>2004</t>
  </si>
  <si>
    <t>25419</t>
  </si>
  <si>
    <t>IDP dMRI TBSS OD Posterior corona radiata L</t>
  </si>
  <si>
    <t>2005</t>
  </si>
  <si>
    <t>25420</t>
  </si>
  <si>
    <t>IDP dMRI TBSS OD Posterior thalamic radiation R</t>
  </si>
  <si>
    <t>2006</t>
  </si>
  <si>
    <t>25421</t>
  </si>
  <si>
    <t>IDP dMRI TBSS OD Posterior thalamic radiation L</t>
  </si>
  <si>
    <t>2007</t>
  </si>
  <si>
    <t>25422</t>
  </si>
  <si>
    <t>IDP dMRI TBSS OD Sagittal stratum R</t>
  </si>
  <si>
    <t>2008</t>
  </si>
  <si>
    <t>25423</t>
  </si>
  <si>
    <t>IDP dMRI TBSS OD Sagittal stratum L</t>
  </si>
  <si>
    <t>2009</t>
  </si>
  <si>
    <t>25424</t>
  </si>
  <si>
    <t>IDP dMRI TBSS OD External capsule R</t>
  </si>
  <si>
    <t>2010</t>
  </si>
  <si>
    <t>25425</t>
  </si>
  <si>
    <t>IDP dMRI TBSS OD External capsule L</t>
  </si>
  <si>
    <t>2011</t>
  </si>
  <si>
    <t>25426</t>
  </si>
  <si>
    <t>IDP dMRI TBSS OD Cingulum cingulate gyrus R</t>
  </si>
  <si>
    <t>2012</t>
  </si>
  <si>
    <t>25427</t>
  </si>
  <si>
    <t>IDP dMRI TBSS OD Cingulum cingulate gyrus L</t>
  </si>
  <si>
    <t>2013</t>
  </si>
  <si>
    <t>25428</t>
  </si>
  <si>
    <t>IDP dMRI TBSS OD Cingulum hippocampus R</t>
  </si>
  <si>
    <t>2014</t>
  </si>
  <si>
    <t>25429</t>
  </si>
  <si>
    <t>IDP dMRI TBSS OD Cingulum hippocampus L</t>
  </si>
  <si>
    <t>2015</t>
  </si>
  <si>
    <t>25430</t>
  </si>
  <si>
    <t>IDP dMRI TBSS OD Fornix cres+Stria terminalis R</t>
  </si>
  <si>
    <t>2016</t>
  </si>
  <si>
    <t>25431</t>
  </si>
  <si>
    <t>IDP dMRI TBSS OD Fornix cres+Stria terminalis L</t>
  </si>
  <si>
    <t>2017</t>
  </si>
  <si>
    <t>25432</t>
  </si>
  <si>
    <t>IDP dMRI TBSS OD Superior longitudinal fasciculus R</t>
  </si>
  <si>
    <t>2018</t>
  </si>
  <si>
    <t>25433</t>
  </si>
  <si>
    <t>IDP dMRI TBSS OD Superior longitudinal fasciculus L</t>
  </si>
  <si>
    <t>2019</t>
  </si>
  <si>
    <t>25434</t>
  </si>
  <si>
    <t>IDP dMRI TBSS OD Superior fronto-occipital fasciculus R</t>
  </si>
  <si>
    <t>2020</t>
  </si>
  <si>
    <t>25435</t>
  </si>
  <si>
    <t>IDP dMRI TBSS OD Superior fronto-occipital fasciculus L</t>
  </si>
  <si>
    <t>2021</t>
  </si>
  <si>
    <t>25436</t>
  </si>
  <si>
    <t>IDP dMRI TBSS OD Uncinate fasciculus R</t>
  </si>
  <si>
    <t>2022</t>
  </si>
  <si>
    <t>25437</t>
  </si>
  <si>
    <t>IDP dMRI TBSS OD Uncinate fasciculus L</t>
  </si>
  <si>
    <t>2023</t>
  </si>
  <si>
    <t>25438</t>
  </si>
  <si>
    <t>IDP dMRI TBSS OD Tapetum R</t>
  </si>
  <si>
    <t>2024</t>
  </si>
  <si>
    <t>25439</t>
  </si>
  <si>
    <t>IDP dMRI TBSS OD Tapetum L</t>
  </si>
  <si>
    <t>2025</t>
  </si>
  <si>
    <t>25677</t>
  </si>
  <si>
    <t>IDP dMRI ProbtrackX OD ar l</t>
  </si>
  <si>
    <t>2026</t>
  </si>
  <si>
    <t>25678</t>
  </si>
  <si>
    <t>IDP dMRI ProbtrackX OD ar r</t>
  </si>
  <si>
    <t>2027</t>
  </si>
  <si>
    <t>25679</t>
  </si>
  <si>
    <t>IDP dMRI ProbtrackX OD atr l</t>
  </si>
  <si>
    <t>2028</t>
  </si>
  <si>
    <t>25680</t>
  </si>
  <si>
    <t>IDP dMRI ProbtrackX OD atr r</t>
  </si>
  <si>
    <t>2029</t>
  </si>
  <si>
    <t>25681</t>
  </si>
  <si>
    <t>IDP dMRI ProbtrackX OD cgc l</t>
  </si>
  <si>
    <t>2030</t>
  </si>
  <si>
    <t>25682</t>
  </si>
  <si>
    <t>IDP dMRI ProbtrackX OD cgc r</t>
  </si>
  <si>
    <t>2031</t>
  </si>
  <si>
    <t>25683</t>
  </si>
  <si>
    <t>IDP dMRI ProbtrackX OD cgh l</t>
  </si>
  <si>
    <t>2032</t>
  </si>
  <si>
    <t>25684</t>
  </si>
  <si>
    <t>IDP dMRI ProbtrackX OD cgh r</t>
  </si>
  <si>
    <t>2033</t>
  </si>
  <si>
    <t>25685</t>
  </si>
  <si>
    <t>IDP dMRI ProbtrackX OD cst l</t>
  </si>
  <si>
    <t>2034</t>
  </si>
  <si>
    <t>25686</t>
  </si>
  <si>
    <t>IDP dMRI ProbtrackX OD cst r</t>
  </si>
  <si>
    <t>2035</t>
  </si>
  <si>
    <t>25687</t>
  </si>
  <si>
    <t>IDP dMRI ProbtrackX OD fma</t>
  </si>
  <si>
    <t>2036</t>
  </si>
  <si>
    <t>25688</t>
  </si>
  <si>
    <t>IDP dMRI ProbtrackX OD fmi</t>
  </si>
  <si>
    <t>2037</t>
  </si>
  <si>
    <t>25689</t>
  </si>
  <si>
    <t>IDP dMRI ProbtrackX OD ifo l</t>
  </si>
  <si>
    <t>2038</t>
  </si>
  <si>
    <t>25690</t>
  </si>
  <si>
    <t>IDP dMRI ProbtrackX OD ifo r</t>
  </si>
  <si>
    <t>2039</t>
  </si>
  <si>
    <t>25691</t>
  </si>
  <si>
    <t>IDP dMRI ProbtrackX OD ilf l</t>
  </si>
  <si>
    <t>2040</t>
  </si>
  <si>
    <t>25692</t>
  </si>
  <si>
    <t>IDP dMRI ProbtrackX OD ilf r</t>
  </si>
  <si>
    <t>2041</t>
  </si>
  <si>
    <t>25693</t>
  </si>
  <si>
    <t>IDP dMRI ProbtrackX OD mcp</t>
  </si>
  <si>
    <t>2042</t>
  </si>
  <si>
    <t>25694</t>
  </si>
  <si>
    <t>IDP dMRI ProbtrackX OD ml l</t>
  </si>
  <si>
    <t>2043</t>
  </si>
  <si>
    <t>25695</t>
  </si>
  <si>
    <t>IDP dMRI ProbtrackX OD ml r</t>
  </si>
  <si>
    <t>2044</t>
  </si>
  <si>
    <t>25696</t>
  </si>
  <si>
    <t>IDP dMRI ProbtrackX OD ptr l</t>
  </si>
  <si>
    <t>2045</t>
  </si>
  <si>
    <t>25697</t>
  </si>
  <si>
    <t>IDP dMRI ProbtrackX OD ptr r</t>
  </si>
  <si>
    <t>2046</t>
  </si>
  <si>
    <t>25698</t>
  </si>
  <si>
    <t>IDP dMRI ProbtrackX OD slf l</t>
  </si>
  <si>
    <t>2047</t>
  </si>
  <si>
    <t>25699</t>
  </si>
  <si>
    <t>IDP dMRI ProbtrackX OD slf r</t>
  </si>
  <si>
    <t>2048</t>
  </si>
  <si>
    <t>25700</t>
  </si>
  <si>
    <t>IDP dMRI ProbtrackX OD str l</t>
  </si>
  <si>
    <t>2049</t>
  </si>
  <si>
    <t>25701</t>
  </si>
  <si>
    <t>IDP dMRI ProbtrackX OD str r</t>
  </si>
  <si>
    <t>2050</t>
  </si>
  <si>
    <t>25702</t>
  </si>
  <si>
    <t>IDP dMRI ProbtrackX OD unc l</t>
  </si>
  <si>
    <t>2051</t>
  </si>
  <si>
    <t>25703</t>
  </si>
  <si>
    <t>IDP dMRI ProbtrackX OD unc r</t>
  </si>
  <si>
    <t>2052</t>
  </si>
  <si>
    <t>25440</t>
  </si>
  <si>
    <t>IDP dMRI TBSS ISOVF Middle cerebellar peduncle</t>
  </si>
  <si>
    <t>2053</t>
  </si>
  <si>
    <t>25441</t>
  </si>
  <si>
    <t>IDP dMRI TBSS ISOVF Pontine crossing tract</t>
  </si>
  <si>
    <t>2054</t>
  </si>
  <si>
    <t>25442</t>
  </si>
  <si>
    <t>IDP dMRI TBSS ISOVF Genu of corpus callosum</t>
  </si>
  <si>
    <t>2055</t>
  </si>
  <si>
    <t>25443</t>
  </si>
  <si>
    <t>IDP dMRI TBSS ISOVF Body of corpus callosum</t>
  </si>
  <si>
    <t>2056</t>
  </si>
  <si>
    <t>25444</t>
  </si>
  <si>
    <t>IDP dMRI TBSS ISOVF Splenium of corpus callosum</t>
  </si>
  <si>
    <t>2057</t>
  </si>
  <si>
    <t>25445</t>
  </si>
  <si>
    <t>IDP dMRI TBSS ISOVF Fornix</t>
  </si>
  <si>
    <t>2058</t>
  </si>
  <si>
    <t>25446</t>
  </si>
  <si>
    <t>IDP dMRI TBSS ISOVF Corticospinal tract R</t>
  </si>
  <si>
    <t>2059</t>
  </si>
  <si>
    <t>25447</t>
  </si>
  <si>
    <t>IDP dMRI TBSS ISOVF Corticospinal tract L</t>
  </si>
  <si>
    <t>2060</t>
  </si>
  <si>
    <t>25448</t>
  </si>
  <si>
    <t>IDP dMRI TBSS ISOVF Medial lemniscus R</t>
  </si>
  <si>
    <t>2061</t>
  </si>
  <si>
    <t>25449</t>
  </si>
  <si>
    <t>IDP dMRI TBSS ISOVF Medial lemniscus L</t>
  </si>
  <si>
    <t>2062</t>
  </si>
  <si>
    <t>25450</t>
  </si>
  <si>
    <t>IDP dMRI TBSS ISOVF Inferior cerebellar peduncle R</t>
  </si>
  <si>
    <t>2063</t>
  </si>
  <si>
    <t>25451</t>
  </si>
  <si>
    <t>IDP dMRI TBSS ISOVF Inferior cerebellar peduncle L</t>
  </si>
  <si>
    <t>2064</t>
  </si>
  <si>
    <t>25452</t>
  </si>
  <si>
    <t>IDP dMRI TBSS ISOVF Superior cerebellar peduncle R</t>
  </si>
  <si>
    <t>2065</t>
  </si>
  <si>
    <t>25453</t>
  </si>
  <si>
    <t>IDP dMRI TBSS ISOVF Superior cerebellar peduncle L</t>
  </si>
  <si>
    <t>2066</t>
  </si>
  <si>
    <t>25454</t>
  </si>
  <si>
    <t>IDP dMRI TBSS ISOVF Cerebral peduncle R</t>
  </si>
  <si>
    <t>2067</t>
  </si>
  <si>
    <t>25455</t>
  </si>
  <si>
    <t>IDP dMRI TBSS ISOVF Cerebral peduncle L</t>
  </si>
  <si>
    <t>2068</t>
  </si>
  <si>
    <t>25456</t>
  </si>
  <si>
    <t>IDP dMRI TBSS ISOVF Anterior limb of internal capsule R</t>
  </si>
  <si>
    <t>2069</t>
  </si>
  <si>
    <t>25457</t>
  </si>
  <si>
    <t>IDP dMRI TBSS ISOVF Anterior limb of internal capsule L</t>
  </si>
  <si>
    <t>2070</t>
  </si>
  <si>
    <t>25458</t>
  </si>
  <si>
    <t>IDP dMRI TBSS ISOVF Posterior limb of internal capsule R</t>
  </si>
  <si>
    <t>2071</t>
  </si>
  <si>
    <t>25459</t>
  </si>
  <si>
    <t>IDP dMRI TBSS ISOVF Posterior limb of internal capsule L</t>
  </si>
  <si>
    <t>2072</t>
  </si>
  <si>
    <t>25460</t>
  </si>
  <si>
    <t>IDP dMRI TBSS ISOVF Retrolenticular part of internal capsule R</t>
  </si>
  <si>
    <t>2073</t>
  </si>
  <si>
    <t>25461</t>
  </si>
  <si>
    <t>IDP dMRI TBSS ISOVF Retrolenticular part of internal capsule L</t>
  </si>
  <si>
    <t>2074</t>
  </si>
  <si>
    <t>25462</t>
  </si>
  <si>
    <t>IDP dMRI TBSS ISOVF Anterior corona radiata R</t>
  </si>
  <si>
    <t>2075</t>
  </si>
  <si>
    <t>25463</t>
  </si>
  <si>
    <t>IDP dMRI TBSS ISOVF Anterior corona radiata L</t>
  </si>
  <si>
    <t>2076</t>
  </si>
  <si>
    <t>25464</t>
  </si>
  <si>
    <t>IDP dMRI TBSS ISOVF Superior corona radiata R</t>
  </si>
  <si>
    <t>2077</t>
  </si>
  <si>
    <t>25465</t>
  </si>
  <si>
    <t>IDP dMRI TBSS ISOVF Superior corona radiata L</t>
  </si>
  <si>
    <t>2078</t>
  </si>
  <si>
    <t>25466</t>
  </si>
  <si>
    <t>IDP dMRI TBSS ISOVF Posterior corona radiata R</t>
  </si>
  <si>
    <t>2079</t>
  </si>
  <si>
    <t>25467</t>
  </si>
  <si>
    <t>IDP dMRI TBSS ISOVF Posterior corona radiata L</t>
  </si>
  <si>
    <t>2080</t>
  </si>
  <si>
    <t>25468</t>
  </si>
  <si>
    <t>IDP dMRI TBSS ISOVF Posterior thalamic radiation R</t>
  </si>
  <si>
    <t>2081</t>
  </si>
  <si>
    <t>25469</t>
  </si>
  <si>
    <t>IDP dMRI TBSS ISOVF Posterior thalamic radiation L</t>
  </si>
  <si>
    <t>2082</t>
  </si>
  <si>
    <t>25470</t>
  </si>
  <si>
    <t>IDP dMRI TBSS ISOVF Sagittal stratum R</t>
  </si>
  <si>
    <t>2083</t>
  </si>
  <si>
    <t>25471</t>
  </si>
  <si>
    <t>IDP dMRI TBSS ISOVF Sagittal stratum L</t>
  </si>
  <si>
    <t>2084</t>
  </si>
  <si>
    <t>25472</t>
  </si>
  <si>
    <t>IDP dMRI TBSS ISOVF External capsule R</t>
  </si>
  <si>
    <t>2085</t>
  </si>
  <si>
    <t>25473</t>
  </si>
  <si>
    <t>IDP dMRI TBSS ISOVF External capsule L</t>
  </si>
  <si>
    <t>2086</t>
  </si>
  <si>
    <t>25474</t>
  </si>
  <si>
    <t>IDP dMRI TBSS ISOVF Cingulum cingulate gyrus R</t>
  </si>
  <si>
    <t>2087</t>
  </si>
  <si>
    <t>25475</t>
  </si>
  <si>
    <t>IDP dMRI TBSS ISOVF Cingulum cingulate gyrus L</t>
  </si>
  <si>
    <t>2088</t>
  </si>
  <si>
    <t>25476</t>
  </si>
  <si>
    <t>IDP dMRI TBSS ISOVF Cingulum hippocampus R</t>
  </si>
  <si>
    <t>2089</t>
  </si>
  <si>
    <t>25477</t>
  </si>
  <si>
    <t>IDP dMRI TBSS ISOVF Cingulum hippocampus L</t>
  </si>
  <si>
    <t>2090</t>
  </si>
  <si>
    <t>25478</t>
  </si>
  <si>
    <t>IDP dMRI TBSS ISOVF Fornix cres+Stria terminalis R</t>
  </si>
  <si>
    <t>2091</t>
  </si>
  <si>
    <t>25479</t>
  </si>
  <si>
    <t>IDP dMRI TBSS ISOVF Fornix cres+Stria terminalis L</t>
  </si>
  <si>
    <t>2092</t>
  </si>
  <si>
    <t>25480</t>
  </si>
  <si>
    <t>IDP dMRI TBSS ISOVF Superior longitudinal fasciculus R</t>
  </si>
  <si>
    <t>2093</t>
  </si>
  <si>
    <t>25481</t>
  </si>
  <si>
    <t>IDP dMRI TBSS ISOVF Superior longitudinal fasciculus L</t>
  </si>
  <si>
    <t>2094</t>
  </si>
  <si>
    <t>25482</t>
  </si>
  <si>
    <t>IDP dMRI TBSS ISOVF Superior fronto-occipital fasciculus R</t>
  </si>
  <si>
    <t>2095</t>
  </si>
  <si>
    <t>25483</t>
  </si>
  <si>
    <t>IDP dMRI TBSS ISOVF Superior fronto-occipital fasciculus L</t>
  </si>
  <si>
    <t>2096</t>
  </si>
  <si>
    <t>25484</t>
  </si>
  <si>
    <t>IDP dMRI TBSS ISOVF Uncinate fasciculus R</t>
  </si>
  <si>
    <t>2097</t>
  </si>
  <si>
    <t>25485</t>
  </si>
  <si>
    <t>IDP dMRI TBSS ISOVF Uncinate fasciculus L</t>
  </si>
  <si>
    <t>2098</t>
  </si>
  <si>
    <t>25486</t>
  </si>
  <si>
    <t>IDP dMRI TBSS ISOVF Tapetum R</t>
  </si>
  <si>
    <t>2099</t>
  </si>
  <si>
    <t>25487</t>
  </si>
  <si>
    <t>IDP dMRI TBSS ISOVF Tapetum L</t>
  </si>
  <si>
    <t>2100</t>
  </si>
  <si>
    <t>25704</t>
  </si>
  <si>
    <t>IDP dMRI ProbtrackX ISOVF ar l</t>
  </si>
  <si>
    <t>2101</t>
  </si>
  <si>
    <t>25705</t>
  </si>
  <si>
    <t>IDP dMRI ProbtrackX ISOVF ar r</t>
  </si>
  <si>
    <t>2102</t>
  </si>
  <si>
    <t>25706</t>
  </si>
  <si>
    <t>IDP dMRI ProbtrackX ISOVF atr l</t>
  </si>
  <si>
    <t>2103</t>
  </si>
  <si>
    <t>25707</t>
  </si>
  <si>
    <t>IDP dMRI ProbtrackX ISOVF atr r</t>
  </si>
  <si>
    <t>2104</t>
  </si>
  <si>
    <t>25708</t>
  </si>
  <si>
    <t>IDP dMRI ProbtrackX ISOVF cgc l</t>
  </si>
  <si>
    <t>2105</t>
  </si>
  <si>
    <t>25709</t>
  </si>
  <si>
    <t>IDP dMRI ProbtrackX ISOVF cgc r</t>
  </si>
  <si>
    <t>2106</t>
  </si>
  <si>
    <t>25710</t>
  </si>
  <si>
    <t>IDP dMRI ProbtrackX ISOVF cgh l</t>
  </si>
  <si>
    <t>2107</t>
  </si>
  <si>
    <t>25711</t>
  </si>
  <si>
    <t>IDP dMRI ProbtrackX ISOVF cgh r</t>
  </si>
  <si>
    <t>2108</t>
  </si>
  <si>
    <t>25712</t>
  </si>
  <si>
    <t>IDP dMRI ProbtrackX ISOVF cst l</t>
  </si>
  <si>
    <t>2109</t>
  </si>
  <si>
    <t>25713</t>
  </si>
  <si>
    <t>IDP dMRI ProbtrackX ISOVF cst r</t>
  </si>
  <si>
    <t>2110</t>
  </si>
  <si>
    <t>25714</t>
  </si>
  <si>
    <t>IDP dMRI ProbtrackX ISOVF fma</t>
  </si>
  <si>
    <t>2111</t>
  </si>
  <si>
    <t>25715</t>
  </si>
  <si>
    <t>IDP dMRI ProbtrackX ISOVF fmi</t>
  </si>
  <si>
    <t>2112</t>
  </si>
  <si>
    <t>25716</t>
  </si>
  <si>
    <t>IDP dMRI ProbtrackX ISOVF ifo l</t>
  </si>
  <si>
    <t>2113</t>
  </si>
  <si>
    <t>25717</t>
  </si>
  <si>
    <t>IDP dMRI ProbtrackX ISOVF ifo r</t>
  </si>
  <si>
    <t>2114</t>
  </si>
  <si>
    <t>25718</t>
  </si>
  <si>
    <t>IDP dMRI ProbtrackX ISOVF ilf l</t>
  </si>
  <si>
    <t>2115</t>
  </si>
  <si>
    <t>25719</t>
  </si>
  <si>
    <t>IDP dMRI ProbtrackX ISOVF ilf r</t>
  </si>
  <si>
    <t>2116</t>
  </si>
  <si>
    <t>25720</t>
  </si>
  <si>
    <t>IDP dMRI ProbtrackX ISOVF mcp</t>
  </si>
  <si>
    <t>2117</t>
  </si>
  <si>
    <t>25721</t>
  </si>
  <si>
    <t>IDP dMRI ProbtrackX ISOVF ml l</t>
  </si>
  <si>
    <t>2118</t>
  </si>
  <si>
    <t>25722</t>
  </si>
  <si>
    <t>IDP dMRI ProbtrackX ISOVF ml r</t>
  </si>
  <si>
    <t>2119</t>
  </si>
  <si>
    <t>25723</t>
  </si>
  <si>
    <t>IDP dMRI ProbtrackX ISOVF ptr l</t>
  </si>
  <si>
    <t>2120</t>
  </si>
  <si>
    <t>25724</t>
  </si>
  <si>
    <t>IDP dMRI ProbtrackX ISOVF ptr r</t>
  </si>
  <si>
    <t>2121</t>
  </si>
  <si>
    <t>25725</t>
  </si>
  <si>
    <t>IDP dMRI ProbtrackX ISOVF slf l</t>
  </si>
  <si>
    <t>2122</t>
  </si>
  <si>
    <t>25726</t>
  </si>
  <si>
    <t>IDP dMRI ProbtrackX ISOVF slf r</t>
  </si>
  <si>
    <t>2123</t>
  </si>
  <si>
    <t>25727</t>
  </si>
  <si>
    <t>IDP dMRI ProbtrackX ISOVF str l</t>
  </si>
  <si>
    <t>2124</t>
  </si>
  <si>
    <t>25728</t>
  </si>
  <si>
    <t>IDP dMRI ProbtrackX ISOVF str r</t>
  </si>
  <si>
    <t>2125</t>
  </si>
  <si>
    <t>25729</t>
  </si>
  <si>
    <t>IDP dMRI ProbtrackX ISOVF unc l</t>
  </si>
  <si>
    <t>2126</t>
  </si>
  <si>
    <t>25730</t>
  </si>
  <si>
    <t>IDP dMRI ProbtrackX ISOVF unc r</t>
  </si>
  <si>
    <t>2127</t>
  </si>
  <si>
    <t>25040</t>
  </si>
  <si>
    <t>IDP tfMRI median BOLD shapes</t>
  </si>
  <si>
    <t>2128</t>
  </si>
  <si>
    <t>25761</t>
  </si>
  <si>
    <t>IDP tfMRI 90th-percentile BOLD shapes</t>
  </si>
  <si>
    <t>2129</t>
  </si>
  <si>
    <t>25042</t>
  </si>
  <si>
    <t>IDP tfMRI median zstat shapes</t>
  </si>
  <si>
    <t>2130</t>
  </si>
  <si>
    <t>25762</t>
  </si>
  <si>
    <t>IDP tfMRI 90th-percentile zstat shapes</t>
  </si>
  <si>
    <t>2131</t>
  </si>
  <si>
    <t>25044</t>
  </si>
  <si>
    <t>IDP tfMRI median BOLD faces</t>
  </si>
  <si>
    <t>2132</t>
  </si>
  <si>
    <t>25763</t>
  </si>
  <si>
    <t>IDP tfMRI 90th-percentile BOLD faces</t>
  </si>
  <si>
    <t>2133</t>
  </si>
  <si>
    <t>25046</t>
  </si>
  <si>
    <t>IDP tfMRI median zstat faces</t>
  </si>
  <si>
    <t>2134</t>
  </si>
  <si>
    <t>25764</t>
  </si>
  <si>
    <t>IDP tfMRI 90th-percentile zstat faces</t>
  </si>
  <si>
    <t>2135</t>
  </si>
  <si>
    <t>25048</t>
  </si>
  <si>
    <t>IDP tfMRI median BOLD faces-shapes</t>
  </si>
  <si>
    <t>2136</t>
  </si>
  <si>
    <t>25765</t>
  </si>
  <si>
    <t>IDP tfMRI 90th-percentile BOLD faces-shapes</t>
  </si>
  <si>
    <t>2137</t>
  </si>
  <si>
    <t>25050</t>
  </si>
  <si>
    <t>IDP tfMRI median zstat faces-shapes</t>
  </si>
  <si>
    <t>2138</t>
  </si>
  <si>
    <t>25766</t>
  </si>
  <si>
    <t>IDP tfMRI 90th-percentile zstat faces-shapes</t>
  </si>
  <si>
    <t>2139</t>
  </si>
  <si>
    <t>25052</t>
  </si>
  <si>
    <t>IDP tfMRI median BOLD faces-shapes amygdala</t>
  </si>
  <si>
    <t>2140</t>
  </si>
  <si>
    <t>25767</t>
  </si>
  <si>
    <t>IDP tfMRI 90th-percentile BOLD faces-shapes amygdala</t>
  </si>
  <si>
    <t>2141</t>
  </si>
  <si>
    <t>25054</t>
  </si>
  <si>
    <t>IDP tfMRI median zstat faces-shapes amygdala</t>
  </si>
  <si>
    <t>2142</t>
  </si>
  <si>
    <t>25768</t>
  </si>
  <si>
    <t>IDP tfMRI 90th-percentile zstat faces-shapes amygdala</t>
  </si>
  <si>
    <t>2143</t>
  </si>
  <si>
    <t>25754</t>
  </si>
  <si>
    <t>rfMRI amplitudes (ICA25 node 1)</t>
  </si>
  <si>
    <t>2144</t>
  </si>
  <si>
    <t>rfMRI amplitudes (ICA25 node 2)</t>
  </si>
  <si>
    <t>2145</t>
  </si>
  <si>
    <t>rfMRI amplitudes (ICA25 node 3)</t>
  </si>
  <si>
    <t>2146</t>
  </si>
  <si>
    <t>rfMRI amplitudes (ICA25 node 4)</t>
  </si>
  <si>
    <t>2147</t>
  </si>
  <si>
    <t>rfMRI amplitudes (ICA25 node 5)</t>
  </si>
  <si>
    <t>2148</t>
  </si>
  <si>
    <t>rfMRI amplitudes (ICA25 node 6)</t>
  </si>
  <si>
    <t>2149</t>
  </si>
  <si>
    <t>rfMRI amplitudes (ICA25 node 7)</t>
  </si>
  <si>
    <t>2150</t>
  </si>
  <si>
    <t>rfMRI amplitudes (ICA25 node 8)</t>
  </si>
  <si>
    <t>2151</t>
  </si>
  <si>
    <t>rfMRI amplitudes (ICA25 node 9)</t>
  </si>
  <si>
    <t>2152</t>
  </si>
  <si>
    <t>rfMRI amplitudes (ICA25 node 10)</t>
  </si>
  <si>
    <t>2153</t>
  </si>
  <si>
    <t>rfMRI amplitudes (ICA25 node 11)</t>
  </si>
  <si>
    <t>2154</t>
  </si>
  <si>
    <t>rfMRI amplitudes (ICA25 node 12)</t>
  </si>
  <si>
    <t>2155</t>
  </si>
  <si>
    <t>rfMRI amplitudes (ICA25 node 13)</t>
  </si>
  <si>
    <t>2156</t>
  </si>
  <si>
    <t>rfMRI amplitudes (ICA25 node 14)</t>
  </si>
  <si>
    <t>2157</t>
  </si>
  <si>
    <t>rfMRI amplitudes (ICA25 node 15)</t>
  </si>
  <si>
    <t>2158</t>
  </si>
  <si>
    <t>rfMRI amplitudes (ICA25 node 16)</t>
  </si>
  <si>
    <t>2159</t>
  </si>
  <si>
    <t>rfMRI amplitudes (ICA25 node 17)</t>
  </si>
  <si>
    <t>2160</t>
  </si>
  <si>
    <t>rfMRI amplitudes (ICA25 node 18)</t>
  </si>
  <si>
    <t>2161</t>
  </si>
  <si>
    <t>rfMRI amplitudes (ICA25 node 19)</t>
  </si>
  <si>
    <t>2162</t>
  </si>
  <si>
    <t>rfMRI amplitudes (ICA25 node 20)</t>
  </si>
  <si>
    <t>2163</t>
  </si>
  <si>
    <t>rfMRI amplitudes (ICA25 node 21)</t>
  </si>
  <si>
    <t>2164</t>
  </si>
  <si>
    <t>25755</t>
  </si>
  <si>
    <t>rfMRI amplitudes (ICA100 node 1)</t>
  </si>
  <si>
    <t>2165</t>
  </si>
  <si>
    <t>rfMRI amplitudes (ICA100 node 2)</t>
  </si>
  <si>
    <t>2166</t>
  </si>
  <si>
    <t>rfMRI amplitudes (ICA100 node 3)</t>
  </si>
  <si>
    <t>2167</t>
  </si>
  <si>
    <t>rfMRI amplitudes (ICA100 node 4)</t>
  </si>
  <si>
    <t>2168</t>
  </si>
  <si>
    <t>rfMRI amplitudes (ICA100 node 5)</t>
  </si>
  <si>
    <t>2169</t>
  </si>
  <si>
    <t>rfMRI amplitudes (ICA100 node 6)</t>
  </si>
  <si>
    <t>2170</t>
  </si>
  <si>
    <t>rfMRI amplitudes (ICA100 node 7)</t>
  </si>
  <si>
    <t>2171</t>
  </si>
  <si>
    <t>rfMRI amplitudes (ICA100 node 8)</t>
  </si>
  <si>
    <t>2172</t>
  </si>
  <si>
    <t>rfMRI amplitudes (ICA100 node 9)</t>
  </si>
  <si>
    <t>2173</t>
  </si>
  <si>
    <t>rfMRI amplitudes (ICA100 node 10)</t>
  </si>
  <si>
    <t>2174</t>
  </si>
  <si>
    <t>rfMRI amplitudes (ICA100 node 11)</t>
  </si>
  <si>
    <t>2175</t>
  </si>
  <si>
    <t>rfMRI amplitudes (ICA100 node 12)</t>
  </si>
  <si>
    <t>2176</t>
  </si>
  <si>
    <t>rfMRI amplitudes (ICA100 node 13)</t>
  </si>
  <si>
    <t>2177</t>
  </si>
  <si>
    <t>rfMRI amplitudes (ICA100 node 14)</t>
  </si>
  <si>
    <t>2178</t>
  </si>
  <si>
    <t>rfMRI amplitudes (ICA100 node 15)</t>
  </si>
  <si>
    <t>2179</t>
  </si>
  <si>
    <t>rfMRI amplitudes (ICA100 node 16)</t>
  </si>
  <si>
    <t>2180</t>
  </si>
  <si>
    <t>rfMRI amplitudes (ICA100 node 17)</t>
  </si>
  <si>
    <t>2181</t>
  </si>
  <si>
    <t>rfMRI amplitudes (ICA100 node 18)</t>
  </si>
  <si>
    <t>2182</t>
  </si>
  <si>
    <t>rfMRI amplitudes (ICA100 node 19)</t>
  </si>
  <si>
    <t>2183</t>
  </si>
  <si>
    <t>rfMRI amplitudes (ICA100 node 20)</t>
  </si>
  <si>
    <t>2184</t>
  </si>
  <si>
    <t>rfMRI amplitudes (ICA100 node 21)</t>
  </si>
  <si>
    <t>2185</t>
  </si>
  <si>
    <t>rfMRI amplitudes (ICA100 node 22)</t>
  </si>
  <si>
    <t>2186</t>
  </si>
  <si>
    <t>rfMRI amplitudes (ICA100 node 23)</t>
  </si>
  <si>
    <t>2187</t>
  </si>
  <si>
    <t>rfMRI amplitudes (ICA100 node 24)</t>
  </si>
  <si>
    <t>2188</t>
  </si>
  <si>
    <t>rfMRI amplitudes (ICA100 node 25)</t>
  </si>
  <si>
    <t>2189</t>
  </si>
  <si>
    <t>rfMRI amplitudes (ICA100 node 26)</t>
  </si>
  <si>
    <t>2190</t>
  </si>
  <si>
    <t>rfMRI amplitudes (ICA100 node 27)</t>
  </si>
  <si>
    <t>2191</t>
  </si>
  <si>
    <t>rfMRI amplitudes (ICA100 node 28)</t>
  </si>
  <si>
    <t>2192</t>
  </si>
  <si>
    <t>rfMRI amplitudes (ICA100 node 29)</t>
  </si>
  <si>
    <t>2193</t>
  </si>
  <si>
    <t>rfMRI amplitudes (ICA100 node 30)</t>
  </si>
  <si>
    <t>2194</t>
  </si>
  <si>
    <t>rfMRI amplitudes (ICA100 node 31)</t>
  </si>
  <si>
    <t>2195</t>
  </si>
  <si>
    <t>rfMRI amplitudes (ICA100 node 32)</t>
  </si>
  <si>
    <t>2196</t>
  </si>
  <si>
    <t>rfMRI amplitudes (ICA100 node 33)</t>
  </si>
  <si>
    <t>2197</t>
  </si>
  <si>
    <t>rfMRI amplitudes (ICA100 node 34)</t>
  </si>
  <si>
    <t>2198</t>
  </si>
  <si>
    <t>rfMRI amplitudes (ICA100 node 35)</t>
  </si>
  <si>
    <t>2199</t>
  </si>
  <si>
    <t>rfMRI amplitudes (ICA100 node 36)</t>
  </si>
  <si>
    <t>2200</t>
  </si>
  <si>
    <t>rfMRI amplitudes (ICA100 node 37)</t>
  </si>
  <si>
    <t>2201</t>
  </si>
  <si>
    <t>rfMRI amplitudes (ICA100 node 38)</t>
  </si>
  <si>
    <t>2202</t>
  </si>
  <si>
    <t>rfMRI amplitudes (ICA100 node 39)</t>
  </si>
  <si>
    <t>2203</t>
  </si>
  <si>
    <t>rfMRI amplitudes (ICA100 node 40)</t>
  </si>
  <si>
    <t>2204</t>
  </si>
  <si>
    <t>rfMRI amplitudes (ICA100 node 41)</t>
  </si>
  <si>
    <t>2205</t>
  </si>
  <si>
    <t>rfMRI amplitudes (ICA100 node 42)</t>
  </si>
  <si>
    <t>2206</t>
  </si>
  <si>
    <t>rfMRI amplitudes (ICA100 node 43)</t>
  </si>
  <si>
    <t>2207</t>
  </si>
  <si>
    <t>rfMRI amplitudes (ICA100 node 44)</t>
  </si>
  <si>
    <t>2208</t>
  </si>
  <si>
    <t>rfMRI amplitudes (ICA100 node 45)</t>
  </si>
  <si>
    <t>2209</t>
  </si>
  <si>
    <t>rfMRI amplitudes (ICA100 node 46)</t>
  </si>
  <si>
    <t>2210</t>
  </si>
  <si>
    <t>rfMRI amplitudes (ICA100 node 47)</t>
  </si>
  <si>
    <t>2211</t>
  </si>
  <si>
    <t>rfMRI amplitudes (ICA100 node 48)</t>
  </si>
  <si>
    <t>2212</t>
  </si>
  <si>
    <t>rfMRI amplitudes (ICA100 node 49)</t>
  </si>
  <si>
    <t>2213</t>
  </si>
  <si>
    <t>rfMRI amplitudes (ICA100 node 50)</t>
  </si>
  <si>
    <t>2214</t>
  </si>
  <si>
    <t>rfMRI amplitudes (ICA100 node 51)</t>
  </si>
  <si>
    <t>2215</t>
  </si>
  <si>
    <t>rfMRI amplitudes (ICA100 node 52)</t>
  </si>
  <si>
    <t>2216</t>
  </si>
  <si>
    <t>rfMRI amplitudes (ICA100 node 53)</t>
  </si>
  <si>
    <t>2217</t>
  </si>
  <si>
    <t>rfMRI amplitudes (ICA100 node 54)</t>
  </si>
  <si>
    <t>2218</t>
  </si>
  <si>
    <t>rfMRI amplitudes (ICA100 node 55)</t>
  </si>
  <si>
    <t>2219</t>
  </si>
  <si>
    <t>25752</t>
  </si>
  <si>
    <t>rfMRI connectivity (ICA25 edge 1)</t>
  </si>
  <si>
    <t>2220</t>
  </si>
  <si>
    <t>rfMRI connectivity (ICA25 edge 2)</t>
  </si>
  <si>
    <t>2221</t>
  </si>
  <si>
    <t>rfMRI connectivity (ICA25 edge 3)</t>
  </si>
  <si>
    <t>2222</t>
  </si>
  <si>
    <t>rfMRI connectivity (ICA25 edge 4)</t>
  </si>
  <si>
    <t>2223</t>
  </si>
  <si>
    <t>rfMRI connectivity (ICA25 edge 5)</t>
  </si>
  <si>
    <t>2224</t>
  </si>
  <si>
    <t>rfMRI connectivity (ICA25 edge 6)</t>
  </si>
  <si>
    <t>2225</t>
  </si>
  <si>
    <t>rfMRI connectivity (ICA25 edge 7)</t>
  </si>
  <si>
    <t>2226</t>
  </si>
  <si>
    <t>rfMRI connectivity (ICA25 edge 8)</t>
  </si>
  <si>
    <t>2227</t>
  </si>
  <si>
    <t>rfMRI connectivity (ICA25 edge 9)</t>
  </si>
  <si>
    <t>2228</t>
  </si>
  <si>
    <t>rfMRI connectivity (ICA25 edge 10)</t>
  </si>
  <si>
    <t>2229</t>
  </si>
  <si>
    <t>rfMRI connectivity (ICA25 edge 11)</t>
  </si>
  <si>
    <t>2230</t>
  </si>
  <si>
    <t>rfMRI connectivity (ICA25 edge 12)</t>
  </si>
  <si>
    <t>2231</t>
  </si>
  <si>
    <t>rfMRI connectivity (ICA25 edge 13)</t>
  </si>
  <si>
    <t>2232</t>
  </si>
  <si>
    <t>rfMRI connectivity (ICA25 edge 14)</t>
  </si>
  <si>
    <t>2233</t>
  </si>
  <si>
    <t>rfMRI connectivity (ICA25 edge 15)</t>
  </si>
  <si>
    <t>2234</t>
  </si>
  <si>
    <t>rfMRI connectivity (ICA25 edge 16)</t>
  </si>
  <si>
    <t>2235</t>
  </si>
  <si>
    <t>rfMRI connectivity (ICA25 edge 17)</t>
  </si>
  <si>
    <t>2236</t>
  </si>
  <si>
    <t>rfMRI connectivity (ICA25 edge 18)</t>
  </si>
  <si>
    <t>2237</t>
  </si>
  <si>
    <t>rfMRI connectivity (ICA25 edge 19)</t>
  </si>
  <si>
    <t>2238</t>
  </si>
  <si>
    <t>rfMRI connectivity (ICA25 edge 20)</t>
  </si>
  <si>
    <t>2239</t>
  </si>
  <si>
    <t>rfMRI connectivity (ICA25 edge 21)</t>
  </si>
  <si>
    <t>2240</t>
  </si>
  <si>
    <t>rfMRI connectivity (ICA25 edge 22)</t>
  </si>
  <si>
    <t>2241</t>
  </si>
  <si>
    <t>rfMRI connectivity (ICA25 edge 23)</t>
  </si>
  <si>
    <t>2242</t>
  </si>
  <si>
    <t>rfMRI connectivity (ICA25 edge 24)</t>
  </si>
  <si>
    <t>2243</t>
  </si>
  <si>
    <t>rfMRI connectivity (ICA25 edge 25)</t>
  </si>
  <si>
    <t>2244</t>
  </si>
  <si>
    <t>rfMRI connectivity (ICA25 edge 26)</t>
  </si>
  <si>
    <t>2245</t>
  </si>
  <si>
    <t>rfMRI connectivity (ICA25 edge 27)</t>
  </si>
  <si>
    <t>2246</t>
  </si>
  <si>
    <t>rfMRI connectivity (ICA25 edge 28)</t>
  </si>
  <si>
    <t>2247</t>
  </si>
  <si>
    <t>rfMRI connectivity (ICA25 edge 29)</t>
  </si>
  <si>
    <t>2248</t>
  </si>
  <si>
    <t>rfMRI connectivity (ICA25 edge 30)</t>
  </si>
  <si>
    <t>2249</t>
  </si>
  <si>
    <t>rfMRI connectivity (ICA25 edge 31)</t>
  </si>
  <si>
    <t>2250</t>
  </si>
  <si>
    <t>rfMRI connectivity (ICA25 edge 32)</t>
  </si>
  <si>
    <t>2251</t>
  </si>
  <si>
    <t>rfMRI connectivity (ICA25 edge 33)</t>
  </si>
  <si>
    <t>2252</t>
  </si>
  <si>
    <t>rfMRI connectivity (ICA25 edge 34)</t>
  </si>
  <si>
    <t>2253</t>
  </si>
  <si>
    <t>rfMRI connectivity (ICA25 edge 35)</t>
  </si>
  <si>
    <t>2254</t>
  </si>
  <si>
    <t>rfMRI connectivity (ICA25 edge 36)</t>
  </si>
  <si>
    <t>2255</t>
  </si>
  <si>
    <t>rfMRI connectivity (ICA25 edge 37)</t>
  </si>
  <si>
    <t>2256</t>
  </si>
  <si>
    <t>rfMRI connectivity (ICA25 edge 38)</t>
  </si>
  <si>
    <t>2257</t>
  </si>
  <si>
    <t>rfMRI connectivity (ICA25 edge 39)</t>
  </si>
  <si>
    <t>2258</t>
  </si>
  <si>
    <t>rfMRI connectivity (ICA25 edge 40)</t>
  </si>
  <si>
    <t>2259</t>
  </si>
  <si>
    <t>rfMRI connectivity (ICA25 edge 41)</t>
  </si>
  <si>
    <t>2260</t>
  </si>
  <si>
    <t>rfMRI connectivity (ICA25 edge 42)</t>
  </si>
  <si>
    <t>2261</t>
  </si>
  <si>
    <t>rfMRI connectivity (ICA25 edge 43)</t>
  </si>
  <si>
    <t>2262</t>
  </si>
  <si>
    <t>rfMRI connectivity (ICA25 edge 44)</t>
  </si>
  <si>
    <t>2263</t>
  </si>
  <si>
    <t>rfMRI connectivity (ICA25 edge 45)</t>
  </si>
  <si>
    <t>2264</t>
  </si>
  <si>
    <t>rfMRI connectivity (ICA25 edge 46)</t>
  </si>
  <si>
    <t>2265</t>
  </si>
  <si>
    <t>rfMRI connectivity (ICA25 edge 47)</t>
  </si>
  <si>
    <t>2266</t>
  </si>
  <si>
    <t>rfMRI connectivity (ICA25 edge 48)</t>
  </si>
  <si>
    <t>2267</t>
  </si>
  <si>
    <t>rfMRI connectivity (ICA25 edge 49)</t>
  </si>
  <si>
    <t>2268</t>
  </si>
  <si>
    <t>rfMRI connectivity (ICA25 edge 50)</t>
  </si>
  <si>
    <t>2269</t>
  </si>
  <si>
    <t>rfMRI connectivity (ICA25 edge 51)</t>
  </si>
  <si>
    <t>2270</t>
  </si>
  <si>
    <t>rfMRI connectivity (ICA25 edge 52)</t>
  </si>
  <si>
    <t>2271</t>
  </si>
  <si>
    <t>rfMRI connectivity (ICA25 edge 53)</t>
  </si>
  <si>
    <t>2272</t>
  </si>
  <si>
    <t>rfMRI connectivity (ICA25 edge 54)</t>
  </si>
  <si>
    <t>2273</t>
  </si>
  <si>
    <t>rfMRI connectivity (ICA25 edge 55)</t>
  </si>
  <si>
    <t>2274</t>
  </si>
  <si>
    <t>rfMRI connectivity (ICA25 edge 56)</t>
  </si>
  <si>
    <t>2275</t>
  </si>
  <si>
    <t>rfMRI connectivity (ICA25 edge 57)</t>
  </si>
  <si>
    <t>2276</t>
  </si>
  <si>
    <t>rfMRI connectivity (ICA25 edge 58)</t>
  </si>
  <si>
    <t>2277</t>
  </si>
  <si>
    <t>rfMRI connectivity (ICA25 edge 59)</t>
  </si>
  <si>
    <t>2278</t>
  </si>
  <si>
    <t>rfMRI connectivity (ICA25 edge 60)</t>
  </si>
  <si>
    <t>2279</t>
  </si>
  <si>
    <t>rfMRI connectivity (ICA25 edge 61)</t>
  </si>
  <si>
    <t>2280</t>
  </si>
  <si>
    <t>rfMRI connectivity (ICA25 edge 62)</t>
  </si>
  <si>
    <t>2281</t>
  </si>
  <si>
    <t>rfMRI connectivity (ICA25 edge 63)</t>
  </si>
  <si>
    <t>2282</t>
  </si>
  <si>
    <t>rfMRI connectivity (ICA25 edge 64)</t>
  </si>
  <si>
    <t>2283</t>
  </si>
  <si>
    <t>rfMRI connectivity (ICA25 edge 65)</t>
  </si>
  <si>
    <t>2284</t>
  </si>
  <si>
    <t>rfMRI connectivity (ICA25 edge 66)</t>
  </si>
  <si>
    <t>2285</t>
  </si>
  <si>
    <t>rfMRI connectivity (ICA25 edge 67)</t>
  </si>
  <si>
    <t>2286</t>
  </si>
  <si>
    <t>rfMRI connectivity (ICA25 edge 68)</t>
  </si>
  <si>
    <t>2287</t>
  </si>
  <si>
    <t>rfMRI connectivity (ICA25 edge 69)</t>
  </si>
  <si>
    <t>2288</t>
  </si>
  <si>
    <t>rfMRI connectivity (ICA25 edge 70)</t>
  </si>
  <si>
    <t>2289</t>
  </si>
  <si>
    <t>rfMRI connectivity (ICA25 edge 71)</t>
  </si>
  <si>
    <t>2290</t>
  </si>
  <si>
    <t>rfMRI connectivity (ICA25 edge 72)</t>
  </si>
  <si>
    <t>2291</t>
  </si>
  <si>
    <t>rfMRI connectivity (ICA25 edge 73)</t>
  </si>
  <si>
    <t>2292</t>
  </si>
  <si>
    <t>rfMRI connectivity (ICA25 edge 74)</t>
  </si>
  <si>
    <t>2293</t>
  </si>
  <si>
    <t>rfMRI connectivity (ICA25 edge 75)</t>
  </si>
  <si>
    <t>2294</t>
  </si>
  <si>
    <t>rfMRI connectivity (ICA25 edge 76)</t>
  </si>
  <si>
    <t>2295</t>
  </si>
  <si>
    <t>rfMRI connectivity (ICA25 edge 77)</t>
  </si>
  <si>
    <t>2296</t>
  </si>
  <si>
    <t>rfMRI connectivity (ICA25 edge 78)</t>
  </si>
  <si>
    <t>2297</t>
  </si>
  <si>
    <t>rfMRI connectivity (ICA25 edge 79)</t>
  </si>
  <si>
    <t>2298</t>
  </si>
  <si>
    <t>rfMRI connectivity (ICA25 edge 80)</t>
  </si>
  <si>
    <t>2299</t>
  </si>
  <si>
    <t>rfMRI connectivity (ICA25 edge 81)</t>
  </si>
  <si>
    <t>2300</t>
  </si>
  <si>
    <t>rfMRI connectivity (ICA25 edge 82)</t>
  </si>
  <si>
    <t>2301</t>
  </si>
  <si>
    <t>rfMRI connectivity (ICA25 edge 83)</t>
  </si>
  <si>
    <t>2302</t>
  </si>
  <si>
    <t>rfMRI connectivity (ICA25 edge 84)</t>
  </si>
  <si>
    <t>2303</t>
  </si>
  <si>
    <t>rfMRI connectivity (ICA25 edge 85)</t>
  </si>
  <si>
    <t>2304</t>
  </si>
  <si>
    <t>rfMRI connectivity (ICA25 edge 86)</t>
  </si>
  <si>
    <t>2305</t>
  </si>
  <si>
    <t>rfMRI connectivity (ICA25 edge 87)</t>
  </si>
  <si>
    <t>2306</t>
  </si>
  <si>
    <t>rfMRI connectivity (ICA25 edge 88)</t>
  </si>
  <si>
    <t>2307</t>
  </si>
  <si>
    <t>rfMRI connectivity (ICA25 edge 89)</t>
  </si>
  <si>
    <t>2308</t>
  </si>
  <si>
    <t>rfMRI connectivity (ICA25 edge 90)</t>
  </si>
  <si>
    <t>2309</t>
  </si>
  <si>
    <t>rfMRI connectivity (ICA25 edge 91)</t>
  </si>
  <si>
    <t>2310</t>
  </si>
  <si>
    <t>rfMRI connectivity (ICA25 edge 92)</t>
  </si>
  <si>
    <t>2311</t>
  </si>
  <si>
    <t>rfMRI connectivity (ICA25 edge 93)</t>
  </si>
  <si>
    <t>2312</t>
  </si>
  <si>
    <t>rfMRI connectivity (ICA25 edge 94)</t>
  </si>
  <si>
    <t>2313</t>
  </si>
  <si>
    <t>rfMRI connectivity (ICA25 edge 95)</t>
  </si>
  <si>
    <t>2314</t>
  </si>
  <si>
    <t>rfMRI connectivity (ICA25 edge 96)</t>
  </si>
  <si>
    <t>2315</t>
  </si>
  <si>
    <t>rfMRI connectivity (ICA25 edge 97)</t>
  </si>
  <si>
    <t>2316</t>
  </si>
  <si>
    <t>rfMRI connectivity (ICA25 edge 98)</t>
  </si>
  <si>
    <t>2317</t>
  </si>
  <si>
    <t>rfMRI connectivity (ICA25 edge 99)</t>
  </si>
  <si>
    <t>2318</t>
  </si>
  <si>
    <t>rfMRI connectivity (ICA25 edge 100)</t>
  </si>
  <si>
    <t>2319</t>
  </si>
  <si>
    <t>rfMRI connectivity (ICA25 edge 101)</t>
  </si>
  <si>
    <t>2320</t>
  </si>
  <si>
    <t>rfMRI connectivity (ICA25 edge 102)</t>
  </si>
  <si>
    <t>2321</t>
  </si>
  <si>
    <t>rfMRI connectivity (ICA25 edge 103)</t>
  </si>
  <si>
    <t>2322</t>
  </si>
  <si>
    <t>rfMRI connectivity (ICA25 edge 104)</t>
  </si>
  <si>
    <t>2323</t>
  </si>
  <si>
    <t>rfMRI connectivity (ICA25 edge 105)</t>
  </si>
  <si>
    <t>2324</t>
  </si>
  <si>
    <t>rfMRI connectivity (ICA25 edge 106)</t>
  </si>
  <si>
    <t>2325</t>
  </si>
  <si>
    <t>rfMRI connectivity (ICA25 edge 107)</t>
  </si>
  <si>
    <t>2326</t>
  </si>
  <si>
    <t>rfMRI connectivity (ICA25 edge 108)</t>
  </si>
  <si>
    <t>2327</t>
  </si>
  <si>
    <t>rfMRI connectivity (ICA25 edge 109)</t>
  </si>
  <si>
    <t>2328</t>
  </si>
  <si>
    <t>rfMRI connectivity (ICA25 edge 110)</t>
  </si>
  <si>
    <t>2329</t>
  </si>
  <si>
    <t>rfMRI connectivity (ICA25 edge 111)</t>
  </si>
  <si>
    <t>2330</t>
  </si>
  <si>
    <t>rfMRI connectivity (ICA25 edge 112)</t>
  </si>
  <si>
    <t>2331</t>
  </si>
  <si>
    <t>rfMRI connectivity (ICA25 edge 113)</t>
  </si>
  <si>
    <t>2332</t>
  </si>
  <si>
    <t>rfMRI connectivity (ICA25 edge 114)</t>
  </si>
  <si>
    <t>2333</t>
  </si>
  <si>
    <t>rfMRI connectivity (ICA25 edge 115)</t>
  </si>
  <si>
    <t>2334</t>
  </si>
  <si>
    <t>rfMRI connectivity (ICA25 edge 116)</t>
  </si>
  <si>
    <t>2335</t>
  </si>
  <si>
    <t>rfMRI connectivity (ICA25 edge 117)</t>
  </si>
  <si>
    <t>2336</t>
  </si>
  <si>
    <t>rfMRI connectivity (ICA25 edge 118)</t>
  </si>
  <si>
    <t>2337</t>
  </si>
  <si>
    <t>rfMRI connectivity (ICA25 edge 119)</t>
  </si>
  <si>
    <t>2338</t>
  </si>
  <si>
    <t>rfMRI connectivity (ICA25 edge 120)</t>
  </si>
  <si>
    <t>2339</t>
  </si>
  <si>
    <t>rfMRI connectivity (ICA25 edge 121)</t>
  </si>
  <si>
    <t>2340</t>
  </si>
  <si>
    <t>rfMRI connectivity (ICA25 edge 122)</t>
  </si>
  <si>
    <t>2341</t>
  </si>
  <si>
    <t>rfMRI connectivity (ICA25 edge 123)</t>
  </si>
  <si>
    <t>2342</t>
  </si>
  <si>
    <t>rfMRI connectivity (ICA25 edge 124)</t>
  </si>
  <si>
    <t>2343</t>
  </si>
  <si>
    <t>rfMRI connectivity (ICA25 edge 125)</t>
  </si>
  <si>
    <t>2344</t>
  </si>
  <si>
    <t>rfMRI connectivity (ICA25 edge 126)</t>
  </si>
  <si>
    <t>2345</t>
  </si>
  <si>
    <t>rfMRI connectivity (ICA25 edge 127)</t>
  </si>
  <si>
    <t>2346</t>
  </si>
  <si>
    <t>rfMRI connectivity (ICA25 edge 128)</t>
  </si>
  <si>
    <t>2347</t>
  </si>
  <si>
    <t>rfMRI connectivity (ICA25 edge 129)</t>
  </si>
  <si>
    <t>2348</t>
  </si>
  <si>
    <t>rfMRI connectivity (ICA25 edge 130)</t>
  </si>
  <si>
    <t>2349</t>
  </si>
  <si>
    <t>rfMRI connectivity (ICA25 edge 131)</t>
  </si>
  <si>
    <t>2350</t>
  </si>
  <si>
    <t>rfMRI connectivity (ICA25 edge 132)</t>
  </si>
  <si>
    <t>2351</t>
  </si>
  <si>
    <t>rfMRI connectivity (ICA25 edge 133)</t>
  </si>
  <si>
    <t>2352</t>
  </si>
  <si>
    <t>rfMRI connectivity (ICA25 edge 134)</t>
  </si>
  <si>
    <t>2353</t>
  </si>
  <si>
    <t>rfMRI connectivity (ICA25 edge 135)</t>
  </si>
  <si>
    <t>2354</t>
  </si>
  <si>
    <t>rfMRI connectivity (ICA25 edge 136)</t>
  </si>
  <si>
    <t>2355</t>
  </si>
  <si>
    <t>rfMRI connectivity (ICA25 edge 137)</t>
  </si>
  <si>
    <t>2356</t>
  </si>
  <si>
    <t>rfMRI connectivity (ICA25 edge 138)</t>
  </si>
  <si>
    <t>2357</t>
  </si>
  <si>
    <t>rfMRI connectivity (ICA25 edge 139)</t>
  </si>
  <si>
    <t>2358</t>
  </si>
  <si>
    <t>rfMRI connectivity (ICA25 edge 140)</t>
  </si>
  <si>
    <t>2359</t>
  </si>
  <si>
    <t>rfMRI connectivity (ICA25 edge 141)</t>
  </si>
  <si>
    <t>2360</t>
  </si>
  <si>
    <t>rfMRI connectivity (ICA25 edge 142)</t>
  </si>
  <si>
    <t>2361</t>
  </si>
  <si>
    <t>rfMRI connectivity (ICA25 edge 143)</t>
  </si>
  <si>
    <t>2362</t>
  </si>
  <si>
    <t>rfMRI connectivity (ICA25 edge 144)</t>
  </si>
  <si>
    <t>2363</t>
  </si>
  <si>
    <t>rfMRI connectivity (ICA25 edge 145)</t>
  </si>
  <si>
    <t>2364</t>
  </si>
  <si>
    <t>rfMRI connectivity (ICA25 edge 146)</t>
  </si>
  <si>
    <t>2365</t>
  </si>
  <si>
    <t>rfMRI connectivity (ICA25 edge 147)</t>
  </si>
  <si>
    <t>2366</t>
  </si>
  <si>
    <t>rfMRI connectivity (ICA25 edge 148)</t>
  </si>
  <si>
    <t>2367</t>
  </si>
  <si>
    <t>rfMRI connectivity (ICA25 edge 149)</t>
  </si>
  <si>
    <t>2368</t>
  </si>
  <si>
    <t>rfMRI connectivity (ICA25 edge 150)</t>
  </si>
  <si>
    <t>2369</t>
  </si>
  <si>
    <t>rfMRI connectivity (ICA25 edge 151)</t>
  </si>
  <si>
    <t>2370</t>
  </si>
  <si>
    <t>rfMRI connectivity (ICA25 edge 152)</t>
  </si>
  <si>
    <t>2371</t>
  </si>
  <si>
    <t>rfMRI connectivity (ICA25 edge 153)</t>
  </si>
  <si>
    <t>2372</t>
  </si>
  <si>
    <t>rfMRI connectivity (ICA25 edge 154)</t>
  </si>
  <si>
    <t>2373</t>
  </si>
  <si>
    <t>rfMRI connectivity (ICA25 edge 155)</t>
  </si>
  <si>
    <t>2374</t>
  </si>
  <si>
    <t>rfMRI connectivity (ICA25 edge 156)</t>
  </si>
  <si>
    <t>2375</t>
  </si>
  <si>
    <t>rfMRI connectivity (ICA25 edge 157)</t>
  </si>
  <si>
    <t>2376</t>
  </si>
  <si>
    <t>rfMRI connectivity (ICA25 edge 158)</t>
  </si>
  <si>
    <t>2377</t>
  </si>
  <si>
    <t>rfMRI connectivity (ICA25 edge 159)</t>
  </si>
  <si>
    <t>2378</t>
  </si>
  <si>
    <t>rfMRI connectivity (ICA25 edge 160)</t>
  </si>
  <si>
    <t>2379</t>
  </si>
  <si>
    <t>rfMRI connectivity (ICA25 edge 161)</t>
  </si>
  <si>
    <t>2380</t>
  </si>
  <si>
    <t>rfMRI connectivity (ICA25 edge 162)</t>
  </si>
  <si>
    <t>2381</t>
  </si>
  <si>
    <t>rfMRI connectivity (ICA25 edge 163)</t>
  </si>
  <si>
    <t>2382</t>
  </si>
  <si>
    <t>rfMRI connectivity (ICA25 edge 164)</t>
  </si>
  <si>
    <t>2383</t>
  </si>
  <si>
    <t>rfMRI connectivity (ICA25 edge 165)</t>
  </si>
  <si>
    <t>2384</t>
  </si>
  <si>
    <t>rfMRI connectivity (ICA25 edge 166)</t>
  </si>
  <si>
    <t>2385</t>
  </si>
  <si>
    <t>rfMRI connectivity (ICA25 edge 167)</t>
  </si>
  <si>
    <t>2386</t>
  </si>
  <si>
    <t>rfMRI connectivity (ICA25 edge 168)</t>
  </si>
  <si>
    <t>2387</t>
  </si>
  <si>
    <t>rfMRI connectivity (ICA25 edge 169)</t>
  </si>
  <si>
    <t>2388</t>
  </si>
  <si>
    <t>rfMRI connectivity (ICA25 edge 170)</t>
  </si>
  <si>
    <t>2389</t>
  </si>
  <si>
    <t>rfMRI connectivity (ICA25 edge 171)</t>
  </si>
  <si>
    <t>2390</t>
  </si>
  <si>
    <t>rfMRI connectivity (ICA25 edge 172)</t>
  </si>
  <si>
    <t>2391</t>
  </si>
  <si>
    <t>rfMRI connectivity (ICA25 edge 173)</t>
  </si>
  <si>
    <t>2392</t>
  </si>
  <si>
    <t>rfMRI connectivity (ICA25 edge 174)</t>
  </si>
  <si>
    <t>2393</t>
  </si>
  <si>
    <t>rfMRI connectivity (ICA25 edge 175)</t>
  </si>
  <si>
    <t>2394</t>
  </si>
  <si>
    <t>rfMRI connectivity (ICA25 edge 176)</t>
  </si>
  <si>
    <t>2395</t>
  </si>
  <si>
    <t>rfMRI connectivity (ICA25 edge 177)</t>
  </si>
  <si>
    <t>2396</t>
  </si>
  <si>
    <t>rfMRI connectivity (ICA25 edge 178)</t>
  </si>
  <si>
    <t>2397</t>
  </si>
  <si>
    <t>rfMRI connectivity (ICA25 edge 179)</t>
  </si>
  <si>
    <t>2398</t>
  </si>
  <si>
    <t>rfMRI connectivity (ICA25 edge 180)</t>
  </si>
  <si>
    <t>2399</t>
  </si>
  <si>
    <t>rfMRI connectivity (ICA25 edge 181)</t>
  </si>
  <si>
    <t>2400</t>
  </si>
  <si>
    <t>rfMRI connectivity (ICA25 edge 182)</t>
  </si>
  <si>
    <t>2401</t>
  </si>
  <si>
    <t>rfMRI connectivity (ICA25 edge 183)</t>
  </si>
  <si>
    <t>2402</t>
  </si>
  <si>
    <t>rfMRI connectivity (ICA25 edge 184)</t>
  </si>
  <si>
    <t>2403</t>
  </si>
  <si>
    <t>rfMRI connectivity (ICA25 edge 185)</t>
  </si>
  <si>
    <t>2404</t>
  </si>
  <si>
    <t>rfMRI connectivity (ICA25 edge 186)</t>
  </si>
  <si>
    <t>2405</t>
  </si>
  <si>
    <t>rfMRI connectivity (ICA25 edge 187)</t>
  </si>
  <si>
    <t>2406</t>
  </si>
  <si>
    <t>rfMRI connectivity (ICA25 edge 188)</t>
  </si>
  <si>
    <t>2407</t>
  </si>
  <si>
    <t>rfMRI connectivity (ICA25 edge 189)</t>
  </si>
  <si>
    <t>2408</t>
  </si>
  <si>
    <t>rfMRI connectivity (ICA25 edge 190)</t>
  </si>
  <si>
    <t>2409</t>
  </si>
  <si>
    <t>rfMRI connectivity (ICA25 edge 191)</t>
  </si>
  <si>
    <t>2410</t>
  </si>
  <si>
    <t>rfMRI connectivity (ICA25 edge 192)</t>
  </si>
  <si>
    <t>2411</t>
  </si>
  <si>
    <t>rfMRI connectivity (ICA25 edge 193)</t>
  </si>
  <si>
    <t>2412</t>
  </si>
  <si>
    <t>rfMRI connectivity (ICA25 edge 194)</t>
  </si>
  <si>
    <t>2413</t>
  </si>
  <si>
    <t>rfMRI connectivity (ICA25 edge 195)</t>
  </si>
  <si>
    <t>2414</t>
  </si>
  <si>
    <t>rfMRI connectivity (ICA25 edge 196)</t>
  </si>
  <si>
    <t>2415</t>
  </si>
  <si>
    <t>rfMRI connectivity (ICA25 edge 197)</t>
  </si>
  <si>
    <t>2416</t>
  </si>
  <si>
    <t>rfMRI connectivity (ICA25 edge 198)</t>
  </si>
  <si>
    <t>2417</t>
  </si>
  <si>
    <t>rfMRI connectivity (ICA25 edge 199)</t>
  </si>
  <si>
    <t>2418</t>
  </si>
  <si>
    <t>rfMRI connectivity (ICA25 edge 200)</t>
  </si>
  <si>
    <t>2419</t>
  </si>
  <si>
    <t>rfMRI connectivity (ICA25 edge 201)</t>
  </si>
  <si>
    <t>2420</t>
  </si>
  <si>
    <t>rfMRI connectivity (ICA25 edge 202)</t>
  </si>
  <si>
    <t>2421</t>
  </si>
  <si>
    <t>rfMRI connectivity (ICA25 edge 203)</t>
  </si>
  <si>
    <t>2422</t>
  </si>
  <si>
    <t>rfMRI connectivity (ICA25 edge 204)</t>
  </si>
  <si>
    <t>2423</t>
  </si>
  <si>
    <t>rfMRI connectivity (ICA25 edge 205)</t>
  </si>
  <si>
    <t>2424</t>
  </si>
  <si>
    <t>rfMRI connectivity (ICA25 edge 206)</t>
  </si>
  <si>
    <t>2425</t>
  </si>
  <si>
    <t>rfMRI connectivity (ICA25 edge 207)</t>
  </si>
  <si>
    <t>2426</t>
  </si>
  <si>
    <t>rfMRI connectivity (ICA25 edge 208)</t>
  </si>
  <si>
    <t>2427</t>
  </si>
  <si>
    <t>rfMRI connectivity (ICA25 edge 209)</t>
  </si>
  <si>
    <t>2428</t>
  </si>
  <si>
    <t>rfMRI connectivity (ICA25 edge 210)</t>
  </si>
  <si>
    <t>2429</t>
  </si>
  <si>
    <t>25753</t>
  </si>
  <si>
    <t>rfMRI connectivity (ICA100 edge 1)</t>
  </si>
  <si>
    <t>2430</t>
  </si>
  <si>
    <t>rfMRI connectivity (ICA100 edge 2)</t>
  </si>
  <si>
    <t>2431</t>
  </si>
  <si>
    <t>rfMRI connectivity (ICA100 edge 3)</t>
  </si>
  <si>
    <t>2432</t>
  </si>
  <si>
    <t>rfMRI connectivity (ICA100 edge 4)</t>
  </si>
  <si>
    <t>2433</t>
  </si>
  <si>
    <t>rfMRI connectivity (ICA100 edge 5)</t>
  </si>
  <si>
    <t>2434</t>
  </si>
  <si>
    <t>rfMRI connectivity (ICA100 edge 6)</t>
  </si>
  <si>
    <t>2435</t>
  </si>
  <si>
    <t>rfMRI connectivity (ICA100 edge 7)</t>
  </si>
  <si>
    <t>2436</t>
  </si>
  <si>
    <t>rfMRI connectivity (ICA100 edge 8)</t>
  </si>
  <si>
    <t>2437</t>
  </si>
  <si>
    <t>rfMRI connectivity (ICA100 edge 9)</t>
  </si>
  <si>
    <t>2438</t>
  </si>
  <si>
    <t>rfMRI connectivity (ICA100 edge 10)</t>
  </si>
  <si>
    <t>2439</t>
  </si>
  <si>
    <t>rfMRI connectivity (ICA100 edge 11)</t>
  </si>
  <si>
    <t>2440</t>
  </si>
  <si>
    <t>rfMRI connectivity (ICA100 edge 12)</t>
  </si>
  <si>
    <t>2441</t>
  </si>
  <si>
    <t>rfMRI connectivity (ICA100 edge 13)</t>
  </si>
  <si>
    <t>2442</t>
  </si>
  <si>
    <t>rfMRI connectivity (ICA100 edge 14)</t>
  </si>
  <si>
    <t>2443</t>
  </si>
  <si>
    <t>rfMRI connectivity (ICA100 edge 15)</t>
  </si>
  <si>
    <t>2444</t>
  </si>
  <si>
    <t>rfMRI connectivity (ICA100 edge 16)</t>
  </si>
  <si>
    <t>2445</t>
  </si>
  <si>
    <t>rfMRI connectivity (ICA100 edge 17)</t>
  </si>
  <si>
    <t>2446</t>
  </si>
  <si>
    <t>rfMRI connectivity (ICA100 edge 18)</t>
  </si>
  <si>
    <t>2447</t>
  </si>
  <si>
    <t>rfMRI connectivity (ICA100 edge 19)</t>
  </si>
  <si>
    <t>2448</t>
  </si>
  <si>
    <t>rfMRI connectivity (ICA100 edge 20)</t>
  </si>
  <si>
    <t>2449</t>
  </si>
  <si>
    <t>rfMRI connectivity (ICA100 edge 21)</t>
  </si>
  <si>
    <t>2450</t>
  </si>
  <si>
    <t>rfMRI connectivity (ICA100 edge 22)</t>
  </si>
  <si>
    <t>2451</t>
  </si>
  <si>
    <t>rfMRI connectivity (ICA100 edge 23)</t>
  </si>
  <si>
    <t>2452</t>
  </si>
  <si>
    <t>rfMRI connectivity (ICA100 edge 24)</t>
  </si>
  <si>
    <t>2453</t>
  </si>
  <si>
    <t>rfMRI connectivity (ICA100 edge 25)</t>
  </si>
  <si>
    <t>2454</t>
  </si>
  <si>
    <t>rfMRI connectivity (ICA100 edge 26)</t>
  </si>
  <si>
    <t>2455</t>
  </si>
  <si>
    <t>rfMRI connectivity (ICA100 edge 27)</t>
  </si>
  <si>
    <t>2456</t>
  </si>
  <si>
    <t>rfMRI connectivity (ICA100 edge 28)</t>
  </si>
  <si>
    <t>2457</t>
  </si>
  <si>
    <t>rfMRI connectivity (ICA100 edge 29)</t>
  </si>
  <si>
    <t>2458</t>
  </si>
  <si>
    <t>rfMRI connectivity (ICA100 edge 30)</t>
  </si>
  <si>
    <t>2459</t>
  </si>
  <si>
    <t>rfMRI connectivity (ICA100 edge 31)</t>
  </si>
  <si>
    <t>2460</t>
  </si>
  <si>
    <t>rfMRI connectivity (ICA100 edge 32)</t>
  </si>
  <si>
    <t>2461</t>
  </si>
  <si>
    <t>rfMRI connectivity (ICA100 edge 33)</t>
  </si>
  <si>
    <t>2462</t>
  </si>
  <si>
    <t>rfMRI connectivity (ICA100 edge 34)</t>
  </si>
  <si>
    <t>2463</t>
  </si>
  <si>
    <t>rfMRI connectivity (ICA100 edge 35)</t>
  </si>
  <si>
    <t>2464</t>
  </si>
  <si>
    <t>rfMRI connectivity (ICA100 edge 36)</t>
  </si>
  <si>
    <t>2465</t>
  </si>
  <si>
    <t>rfMRI connectivity (ICA100 edge 37)</t>
  </si>
  <si>
    <t>2466</t>
  </si>
  <si>
    <t>rfMRI connectivity (ICA100 edge 38)</t>
  </si>
  <si>
    <t>2467</t>
  </si>
  <si>
    <t>rfMRI connectivity (ICA100 edge 39)</t>
  </si>
  <si>
    <t>2468</t>
  </si>
  <si>
    <t>rfMRI connectivity (ICA100 edge 40)</t>
  </si>
  <si>
    <t>2469</t>
  </si>
  <si>
    <t>rfMRI connectivity (ICA100 edge 41)</t>
  </si>
  <si>
    <t>2470</t>
  </si>
  <si>
    <t>rfMRI connectivity (ICA100 edge 42)</t>
  </si>
  <si>
    <t>2471</t>
  </si>
  <si>
    <t>rfMRI connectivity (ICA100 edge 43)</t>
  </si>
  <si>
    <t>2472</t>
  </si>
  <si>
    <t>rfMRI connectivity (ICA100 edge 44)</t>
  </si>
  <si>
    <t>2473</t>
  </si>
  <si>
    <t>rfMRI connectivity (ICA100 edge 45)</t>
  </si>
  <si>
    <t>2474</t>
  </si>
  <si>
    <t>rfMRI connectivity (ICA100 edge 46)</t>
  </si>
  <si>
    <t>2475</t>
  </si>
  <si>
    <t>rfMRI connectivity (ICA100 edge 47)</t>
  </si>
  <si>
    <t>2476</t>
  </si>
  <si>
    <t>rfMRI connectivity (ICA100 edge 48)</t>
  </si>
  <si>
    <t>2477</t>
  </si>
  <si>
    <t>rfMRI connectivity (ICA100 edge 49)</t>
  </si>
  <si>
    <t>2478</t>
  </si>
  <si>
    <t>rfMRI connectivity (ICA100 edge 50)</t>
  </si>
  <si>
    <t>2479</t>
  </si>
  <si>
    <t>rfMRI connectivity (ICA100 edge 51)</t>
  </si>
  <si>
    <t>2480</t>
  </si>
  <si>
    <t>rfMRI connectivity (ICA100 edge 52)</t>
  </si>
  <si>
    <t>2481</t>
  </si>
  <si>
    <t>rfMRI connectivity (ICA100 edge 53)</t>
  </si>
  <si>
    <t>2482</t>
  </si>
  <si>
    <t>rfMRI connectivity (ICA100 edge 54)</t>
  </si>
  <si>
    <t>2483</t>
  </si>
  <si>
    <t>rfMRI connectivity (ICA100 edge 55)</t>
  </si>
  <si>
    <t>2484</t>
  </si>
  <si>
    <t>rfMRI connectivity (ICA100 edge 56)</t>
  </si>
  <si>
    <t>2485</t>
  </si>
  <si>
    <t>rfMRI connectivity (ICA100 edge 57)</t>
  </si>
  <si>
    <t>2486</t>
  </si>
  <si>
    <t>rfMRI connectivity (ICA100 edge 58)</t>
  </si>
  <si>
    <t>2487</t>
  </si>
  <si>
    <t>rfMRI connectivity (ICA100 edge 59)</t>
  </si>
  <si>
    <t>2488</t>
  </si>
  <si>
    <t>rfMRI connectivity (ICA100 edge 60)</t>
  </si>
  <si>
    <t>2489</t>
  </si>
  <si>
    <t>rfMRI connectivity (ICA100 edge 61)</t>
  </si>
  <si>
    <t>2490</t>
  </si>
  <si>
    <t>rfMRI connectivity (ICA100 edge 62)</t>
  </si>
  <si>
    <t>2491</t>
  </si>
  <si>
    <t>rfMRI connectivity (ICA100 edge 63)</t>
  </si>
  <si>
    <t>2492</t>
  </si>
  <si>
    <t>rfMRI connectivity (ICA100 edge 64)</t>
  </si>
  <si>
    <t>2493</t>
  </si>
  <si>
    <t>rfMRI connectivity (ICA100 edge 65)</t>
  </si>
  <si>
    <t>2494</t>
  </si>
  <si>
    <t>rfMRI connectivity (ICA100 edge 66)</t>
  </si>
  <si>
    <t>2495</t>
  </si>
  <si>
    <t>rfMRI connectivity (ICA100 edge 67)</t>
  </si>
  <si>
    <t>2496</t>
  </si>
  <si>
    <t>rfMRI connectivity (ICA100 edge 68)</t>
  </si>
  <si>
    <t>2497</t>
  </si>
  <si>
    <t>rfMRI connectivity (ICA100 edge 69)</t>
  </si>
  <si>
    <t>2498</t>
  </si>
  <si>
    <t>rfMRI connectivity (ICA100 edge 70)</t>
  </si>
  <si>
    <t>2499</t>
  </si>
  <si>
    <t>rfMRI connectivity (ICA100 edge 71)</t>
  </si>
  <si>
    <t>2500</t>
  </si>
  <si>
    <t>rfMRI connectivity (ICA100 edge 72)</t>
  </si>
  <si>
    <t>2501</t>
  </si>
  <si>
    <t>rfMRI connectivity (ICA100 edge 73)</t>
  </si>
  <si>
    <t>2502</t>
  </si>
  <si>
    <t>rfMRI connectivity (ICA100 edge 74)</t>
  </si>
  <si>
    <t>2503</t>
  </si>
  <si>
    <t>rfMRI connectivity (ICA100 edge 75)</t>
  </si>
  <si>
    <t>2504</t>
  </si>
  <si>
    <t>rfMRI connectivity (ICA100 edge 76)</t>
  </si>
  <si>
    <t>2505</t>
  </si>
  <si>
    <t>rfMRI connectivity (ICA100 edge 77)</t>
  </si>
  <si>
    <t>2506</t>
  </si>
  <si>
    <t>rfMRI connectivity (ICA100 edge 78)</t>
  </si>
  <si>
    <t>2507</t>
  </si>
  <si>
    <t>rfMRI connectivity (ICA100 edge 79)</t>
  </si>
  <si>
    <t>2508</t>
  </si>
  <si>
    <t>rfMRI connectivity (ICA100 edge 80)</t>
  </si>
  <si>
    <t>2509</t>
  </si>
  <si>
    <t>rfMRI connectivity (ICA100 edge 81)</t>
  </si>
  <si>
    <t>2510</t>
  </si>
  <si>
    <t>rfMRI connectivity (ICA100 edge 82)</t>
  </si>
  <si>
    <t>2511</t>
  </si>
  <si>
    <t>rfMRI connectivity (ICA100 edge 83)</t>
  </si>
  <si>
    <t>2512</t>
  </si>
  <si>
    <t>rfMRI connectivity (ICA100 edge 84)</t>
  </si>
  <si>
    <t>2513</t>
  </si>
  <si>
    <t>rfMRI connectivity (ICA100 edge 85)</t>
  </si>
  <si>
    <t>2514</t>
  </si>
  <si>
    <t>rfMRI connectivity (ICA100 edge 86)</t>
  </si>
  <si>
    <t>2515</t>
  </si>
  <si>
    <t>rfMRI connectivity (ICA100 edge 87)</t>
  </si>
  <si>
    <t>2516</t>
  </si>
  <si>
    <t>rfMRI connectivity (ICA100 edge 88)</t>
  </si>
  <si>
    <t>2517</t>
  </si>
  <si>
    <t>rfMRI connectivity (ICA100 edge 89)</t>
  </si>
  <si>
    <t>2518</t>
  </si>
  <si>
    <t>rfMRI connectivity (ICA100 edge 90)</t>
  </si>
  <si>
    <t>2519</t>
  </si>
  <si>
    <t>rfMRI connectivity (ICA100 edge 91)</t>
  </si>
  <si>
    <t>2520</t>
  </si>
  <si>
    <t>rfMRI connectivity (ICA100 edge 92)</t>
  </si>
  <si>
    <t>2521</t>
  </si>
  <si>
    <t>rfMRI connectivity (ICA100 edge 93)</t>
  </si>
  <si>
    <t>2522</t>
  </si>
  <si>
    <t>rfMRI connectivity (ICA100 edge 94)</t>
  </si>
  <si>
    <t>2523</t>
  </si>
  <si>
    <t>rfMRI connectivity (ICA100 edge 95)</t>
  </si>
  <si>
    <t>2524</t>
  </si>
  <si>
    <t>rfMRI connectivity (ICA100 edge 96)</t>
  </si>
  <si>
    <t>2525</t>
  </si>
  <si>
    <t>rfMRI connectivity (ICA100 edge 97)</t>
  </si>
  <si>
    <t>2526</t>
  </si>
  <si>
    <t>rfMRI connectivity (ICA100 edge 98)</t>
  </si>
  <si>
    <t>2527</t>
  </si>
  <si>
    <t>rfMRI connectivity (ICA100 edge 99)</t>
  </si>
  <si>
    <t>2528</t>
  </si>
  <si>
    <t>rfMRI connectivity (ICA100 edge 100)</t>
  </si>
  <si>
    <t>2529</t>
  </si>
  <si>
    <t>rfMRI connectivity (ICA100 edge 101)</t>
  </si>
  <si>
    <t>2530</t>
  </si>
  <si>
    <t>rfMRI connectivity (ICA100 edge 102)</t>
  </si>
  <si>
    <t>2531</t>
  </si>
  <si>
    <t>rfMRI connectivity (ICA100 edge 103)</t>
  </si>
  <si>
    <t>2532</t>
  </si>
  <si>
    <t>rfMRI connectivity (ICA100 edge 104)</t>
  </si>
  <si>
    <t>2533</t>
  </si>
  <si>
    <t>rfMRI connectivity (ICA100 edge 105)</t>
  </si>
  <si>
    <t>2534</t>
  </si>
  <si>
    <t>rfMRI connectivity (ICA100 edge 106)</t>
  </si>
  <si>
    <t>2535</t>
  </si>
  <si>
    <t>rfMRI connectivity (ICA100 edge 107)</t>
  </si>
  <si>
    <t>2536</t>
  </si>
  <si>
    <t>rfMRI connectivity (ICA100 edge 108)</t>
  </si>
  <si>
    <t>2537</t>
  </si>
  <si>
    <t>rfMRI connectivity (ICA100 edge 109)</t>
  </si>
  <si>
    <t>2538</t>
  </si>
  <si>
    <t>rfMRI connectivity (ICA100 edge 110)</t>
  </si>
  <si>
    <t>2539</t>
  </si>
  <si>
    <t>rfMRI connectivity (ICA100 edge 111)</t>
  </si>
  <si>
    <t>2540</t>
  </si>
  <si>
    <t>rfMRI connectivity (ICA100 edge 112)</t>
  </si>
  <si>
    <t>2541</t>
  </si>
  <si>
    <t>rfMRI connectivity (ICA100 edge 113)</t>
  </si>
  <si>
    <t>2542</t>
  </si>
  <si>
    <t>rfMRI connectivity (ICA100 edge 114)</t>
  </si>
  <si>
    <t>2543</t>
  </si>
  <si>
    <t>rfMRI connectivity (ICA100 edge 115)</t>
  </si>
  <si>
    <t>2544</t>
  </si>
  <si>
    <t>rfMRI connectivity (ICA100 edge 116)</t>
  </si>
  <si>
    <t>2545</t>
  </si>
  <si>
    <t>rfMRI connectivity (ICA100 edge 117)</t>
  </si>
  <si>
    <t>2546</t>
  </si>
  <si>
    <t>rfMRI connectivity (ICA100 edge 118)</t>
  </si>
  <si>
    <t>2547</t>
  </si>
  <si>
    <t>rfMRI connectivity (ICA100 edge 119)</t>
  </si>
  <si>
    <t>2548</t>
  </si>
  <si>
    <t>rfMRI connectivity (ICA100 edge 120)</t>
  </si>
  <si>
    <t>2549</t>
  </si>
  <si>
    <t>rfMRI connectivity (ICA100 edge 121)</t>
  </si>
  <si>
    <t>2550</t>
  </si>
  <si>
    <t>rfMRI connectivity (ICA100 edge 122)</t>
  </si>
  <si>
    <t>2551</t>
  </si>
  <si>
    <t>rfMRI connectivity (ICA100 edge 123)</t>
  </si>
  <si>
    <t>2552</t>
  </si>
  <si>
    <t>rfMRI connectivity (ICA100 edge 124)</t>
  </si>
  <si>
    <t>2553</t>
  </si>
  <si>
    <t>rfMRI connectivity (ICA100 edge 125)</t>
  </si>
  <si>
    <t>2554</t>
  </si>
  <si>
    <t>rfMRI connectivity (ICA100 edge 126)</t>
  </si>
  <si>
    <t>2555</t>
  </si>
  <si>
    <t>rfMRI connectivity (ICA100 edge 127)</t>
  </si>
  <si>
    <t>2556</t>
  </si>
  <si>
    <t>rfMRI connectivity (ICA100 edge 128)</t>
  </si>
  <si>
    <t>2557</t>
  </si>
  <si>
    <t>rfMRI connectivity (ICA100 edge 129)</t>
  </si>
  <si>
    <t>2558</t>
  </si>
  <si>
    <t>rfMRI connectivity (ICA100 edge 130)</t>
  </si>
  <si>
    <t>2559</t>
  </si>
  <si>
    <t>rfMRI connectivity (ICA100 edge 131)</t>
  </si>
  <si>
    <t>2560</t>
  </si>
  <si>
    <t>rfMRI connectivity (ICA100 edge 132)</t>
  </si>
  <si>
    <t>2561</t>
  </si>
  <si>
    <t>rfMRI connectivity (ICA100 edge 133)</t>
  </si>
  <si>
    <t>2562</t>
  </si>
  <si>
    <t>rfMRI connectivity (ICA100 edge 134)</t>
  </si>
  <si>
    <t>2563</t>
  </si>
  <si>
    <t>rfMRI connectivity (ICA100 edge 135)</t>
  </si>
  <si>
    <t>2564</t>
  </si>
  <si>
    <t>rfMRI connectivity (ICA100 edge 136)</t>
  </si>
  <si>
    <t>2565</t>
  </si>
  <si>
    <t>rfMRI connectivity (ICA100 edge 137)</t>
  </si>
  <si>
    <t>2566</t>
  </si>
  <si>
    <t>rfMRI connectivity (ICA100 edge 138)</t>
  </si>
  <si>
    <t>2567</t>
  </si>
  <si>
    <t>rfMRI connectivity (ICA100 edge 139)</t>
  </si>
  <si>
    <t>2568</t>
  </si>
  <si>
    <t>rfMRI connectivity (ICA100 edge 140)</t>
  </si>
  <si>
    <t>2569</t>
  </si>
  <si>
    <t>rfMRI connectivity (ICA100 edge 141)</t>
  </si>
  <si>
    <t>2570</t>
  </si>
  <si>
    <t>rfMRI connectivity (ICA100 edge 142)</t>
  </si>
  <si>
    <t>2571</t>
  </si>
  <si>
    <t>rfMRI connectivity (ICA100 edge 143)</t>
  </si>
  <si>
    <t>2572</t>
  </si>
  <si>
    <t>rfMRI connectivity (ICA100 edge 144)</t>
  </si>
  <si>
    <t>2573</t>
  </si>
  <si>
    <t>rfMRI connectivity (ICA100 edge 145)</t>
  </si>
  <si>
    <t>2574</t>
  </si>
  <si>
    <t>rfMRI connectivity (ICA100 edge 146)</t>
  </si>
  <si>
    <t>2575</t>
  </si>
  <si>
    <t>rfMRI connectivity (ICA100 edge 147)</t>
  </si>
  <si>
    <t>2576</t>
  </si>
  <si>
    <t>rfMRI connectivity (ICA100 edge 148)</t>
  </si>
  <si>
    <t>2577</t>
  </si>
  <si>
    <t>rfMRI connectivity (ICA100 edge 149)</t>
  </si>
  <si>
    <t>2578</t>
  </si>
  <si>
    <t>rfMRI connectivity (ICA100 edge 150)</t>
  </si>
  <si>
    <t>2579</t>
  </si>
  <si>
    <t>rfMRI connectivity (ICA100 edge 151)</t>
  </si>
  <si>
    <t>2580</t>
  </si>
  <si>
    <t>rfMRI connectivity (ICA100 edge 152)</t>
  </si>
  <si>
    <t>2581</t>
  </si>
  <si>
    <t>rfMRI connectivity (ICA100 edge 153)</t>
  </si>
  <si>
    <t>2582</t>
  </si>
  <si>
    <t>rfMRI connectivity (ICA100 edge 154)</t>
  </si>
  <si>
    <t>2583</t>
  </si>
  <si>
    <t>rfMRI connectivity (ICA100 edge 155)</t>
  </si>
  <si>
    <t>2584</t>
  </si>
  <si>
    <t>rfMRI connectivity (ICA100 edge 156)</t>
  </si>
  <si>
    <t>2585</t>
  </si>
  <si>
    <t>rfMRI connectivity (ICA100 edge 157)</t>
  </si>
  <si>
    <t>2586</t>
  </si>
  <si>
    <t>rfMRI connectivity (ICA100 edge 158)</t>
  </si>
  <si>
    <t>2587</t>
  </si>
  <si>
    <t>rfMRI connectivity (ICA100 edge 159)</t>
  </si>
  <si>
    <t>2588</t>
  </si>
  <si>
    <t>rfMRI connectivity (ICA100 edge 160)</t>
  </si>
  <si>
    <t>2589</t>
  </si>
  <si>
    <t>rfMRI connectivity (ICA100 edge 161)</t>
  </si>
  <si>
    <t>2590</t>
  </si>
  <si>
    <t>rfMRI connectivity (ICA100 edge 162)</t>
  </si>
  <si>
    <t>2591</t>
  </si>
  <si>
    <t>rfMRI connectivity (ICA100 edge 163)</t>
  </si>
  <si>
    <t>2592</t>
  </si>
  <si>
    <t>rfMRI connectivity (ICA100 edge 164)</t>
  </si>
  <si>
    <t>2593</t>
  </si>
  <si>
    <t>rfMRI connectivity (ICA100 edge 165)</t>
  </si>
  <si>
    <t>2594</t>
  </si>
  <si>
    <t>rfMRI connectivity (ICA100 edge 166)</t>
  </si>
  <si>
    <t>2595</t>
  </si>
  <si>
    <t>rfMRI connectivity (ICA100 edge 167)</t>
  </si>
  <si>
    <t>2596</t>
  </si>
  <si>
    <t>rfMRI connectivity (ICA100 edge 168)</t>
  </si>
  <si>
    <t>2597</t>
  </si>
  <si>
    <t>rfMRI connectivity (ICA100 edge 169)</t>
  </si>
  <si>
    <t>2598</t>
  </si>
  <si>
    <t>rfMRI connectivity (ICA100 edge 170)</t>
  </si>
  <si>
    <t>2599</t>
  </si>
  <si>
    <t>rfMRI connectivity (ICA100 edge 171)</t>
  </si>
  <si>
    <t>2600</t>
  </si>
  <si>
    <t>rfMRI connectivity (ICA100 edge 172)</t>
  </si>
  <si>
    <t>2601</t>
  </si>
  <si>
    <t>rfMRI connectivity (ICA100 edge 173)</t>
  </si>
  <si>
    <t>2602</t>
  </si>
  <si>
    <t>rfMRI connectivity (ICA100 edge 174)</t>
  </si>
  <si>
    <t>2603</t>
  </si>
  <si>
    <t>rfMRI connectivity (ICA100 edge 175)</t>
  </si>
  <si>
    <t>2604</t>
  </si>
  <si>
    <t>rfMRI connectivity (ICA100 edge 176)</t>
  </si>
  <si>
    <t>2605</t>
  </si>
  <si>
    <t>rfMRI connectivity (ICA100 edge 177)</t>
  </si>
  <si>
    <t>2606</t>
  </si>
  <si>
    <t>rfMRI connectivity (ICA100 edge 178)</t>
  </si>
  <si>
    <t>2607</t>
  </si>
  <si>
    <t>rfMRI connectivity (ICA100 edge 179)</t>
  </si>
  <si>
    <t>2608</t>
  </si>
  <si>
    <t>rfMRI connectivity (ICA100 edge 180)</t>
  </si>
  <si>
    <t>2609</t>
  </si>
  <si>
    <t>rfMRI connectivity (ICA100 edge 181)</t>
  </si>
  <si>
    <t>2610</t>
  </si>
  <si>
    <t>rfMRI connectivity (ICA100 edge 182)</t>
  </si>
  <si>
    <t>2611</t>
  </si>
  <si>
    <t>rfMRI connectivity (ICA100 edge 183)</t>
  </si>
  <si>
    <t>2612</t>
  </si>
  <si>
    <t>rfMRI connectivity (ICA100 edge 184)</t>
  </si>
  <si>
    <t>2613</t>
  </si>
  <si>
    <t>rfMRI connectivity (ICA100 edge 185)</t>
  </si>
  <si>
    <t>2614</t>
  </si>
  <si>
    <t>rfMRI connectivity (ICA100 edge 186)</t>
  </si>
  <si>
    <t>2615</t>
  </si>
  <si>
    <t>rfMRI connectivity (ICA100 edge 187)</t>
  </si>
  <si>
    <t>2616</t>
  </si>
  <si>
    <t>rfMRI connectivity (ICA100 edge 188)</t>
  </si>
  <si>
    <t>2617</t>
  </si>
  <si>
    <t>rfMRI connectivity (ICA100 edge 189)</t>
  </si>
  <si>
    <t>2618</t>
  </si>
  <si>
    <t>rfMRI connectivity (ICA100 edge 190)</t>
  </si>
  <si>
    <t>2619</t>
  </si>
  <si>
    <t>rfMRI connectivity (ICA100 edge 191)</t>
  </si>
  <si>
    <t>2620</t>
  </si>
  <si>
    <t>rfMRI connectivity (ICA100 edge 192)</t>
  </si>
  <si>
    <t>2621</t>
  </si>
  <si>
    <t>rfMRI connectivity (ICA100 edge 193)</t>
  </si>
  <si>
    <t>2622</t>
  </si>
  <si>
    <t>rfMRI connectivity (ICA100 edge 194)</t>
  </si>
  <si>
    <t>2623</t>
  </si>
  <si>
    <t>rfMRI connectivity (ICA100 edge 195)</t>
  </si>
  <si>
    <t>2624</t>
  </si>
  <si>
    <t>rfMRI connectivity (ICA100 edge 196)</t>
  </si>
  <si>
    <t>2625</t>
  </si>
  <si>
    <t>rfMRI connectivity (ICA100 edge 197)</t>
  </si>
  <si>
    <t>2626</t>
  </si>
  <si>
    <t>rfMRI connectivity (ICA100 edge 198)</t>
  </si>
  <si>
    <t>2627</t>
  </si>
  <si>
    <t>rfMRI connectivity (ICA100 edge 199)</t>
  </si>
  <si>
    <t>2628</t>
  </si>
  <si>
    <t>rfMRI connectivity (ICA100 edge 200)</t>
  </si>
  <si>
    <t>2629</t>
  </si>
  <si>
    <t>rfMRI connectivity (ICA100 edge 201)</t>
  </si>
  <si>
    <t>2630</t>
  </si>
  <si>
    <t>rfMRI connectivity (ICA100 edge 202)</t>
  </si>
  <si>
    <t>2631</t>
  </si>
  <si>
    <t>rfMRI connectivity (ICA100 edge 203)</t>
  </si>
  <si>
    <t>2632</t>
  </si>
  <si>
    <t>rfMRI connectivity (ICA100 edge 204)</t>
  </si>
  <si>
    <t>2633</t>
  </si>
  <si>
    <t>rfMRI connectivity (ICA100 edge 205)</t>
  </si>
  <si>
    <t>2634</t>
  </si>
  <si>
    <t>rfMRI connectivity (ICA100 edge 206)</t>
  </si>
  <si>
    <t>2635</t>
  </si>
  <si>
    <t>rfMRI connectivity (ICA100 edge 207)</t>
  </si>
  <si>
    <t>2636</t>
  </si>
  <si>
    <t>rfMRI connectivity (ICA100 edge 208)</t>
  </si>
  <si>
    <t>2637</t>
  </si>
  <si>
    <t>rfMRI connectivity (ICA100 edge 209)</t>
  </si>
  <si>
    <t>2638</t>
  </si>
  <si>
    <t>rfMRI connectivity (ICA100 edge 210)</t>
  </si>
  <si>
    <t>2639</t>
  </si>
  <si>
    <t>rfMRI connectivity (ICA100 edge 211)</t>
  </si>
  <si>
    <t>2640</t>
  </si>
  <si>
    <t>rfMRI connectivity (ICA100 edge 212)</t>
  </si>
  <si>
    <t>2641</t>
  </si>
  <si>
    <t>rfMRI connectivity (ICA100 edge 213)</t>
  </si>
  <si>
    <t>2642</t>
  </si>
  <si>
    <t>rfMRI connectivity (ICA100 edge 214)</t>
  </si>
  <si>
    <t>2643</t>
  </si>
  <si>
    <t>rfMRI connectivity (ICA100 edge 215)</t>
  </si>
  <si>
    <t>2644</t>
  </si>
  <si>
    <t>rfMRI connectivity (ICA100 edge 216)</t>
  </si>
  <si>
    <t>2645</t>
  </si>
  <si>
    <t>rfMRI connectivity (ICA100 edge 217)</t>
  </si>
  <si>
    <t>2646</t>
  </si>
  <si>
    <t>rfMRI connectivity (ICA100 edge 218)</t>
  </si>
  <si>
    <t>2647</t>
  </si>
  <si>
    <t>rfMRI connectivity (ICA100 edge 219)</t>
  </si>
  <si>
    <t>2648</t>
  </si>
  <si>
    <t>rfMRI connectivity (ICA100 edge 220)</t>
  </si>
  <si>
    <t>2649</t>
  </si>
  <si>
    <t>rfMRI connectivity (ICA100 edge 221)</t>
  </si>
  <si>
    <t>2650</t>
  </si>
  <si>
    <t>rfMRI connectivity (ICA100 edge 222)</t>
  </si>
  <si>
    <t>2651</t>
  </si>
  <si>
    <t>rfMRI connectivity (ICA100 edge 223)</t>
  </si>
  <si>
    <t>2652</t>
  </si>
  <si>
    <t>rfMRI connectivity (ICA100 edge 224)</t>
  </si>
  <si>
    <t>2653</t>
  </si>
  <si>
    <t>rfMRI connectivity (ICA100 edge 225)</t>
  </si>
  <si>
    <t>2654</t>
  </si>
  <si>
    <t>rfMRI connectivity (ICA100 edge 226)</t>
  </si>
  <si>
    <t>2655</t>
  </si>
  <si>
    <t>rfMRI connectivity (ICA100 edge 227)</t>
  </si>
  <si>
    <t>2656</t>
  </si>
  <si>
    <t>rfMRI connectivity (ICA100 edge 228)</t>
  </si>
  <si>
    <t>2657</t>
  </si>
  <si>
    <t>rfMRI connectivity (ICA100 edge 229)</t>
  </si>
  <si>
    <t>2658</t>
  </si>
  <si>
    <t>rfMRI connectivity (ICA100 edge 230)</t>
  </si>
  <si>
    <t>2659</t>
  </si>
  <si>
    <t>rfMRI connectivity (ICA100 edge 231)</t>
  </si>
  <si>
    <t>2660</t>
  </si>
  <si>
    <t>rfMRI connectivity (ICA100 edge 232)</t>
  </si>
  <si>
    <t>2661</t>
  </si>
  <si>
    <t>rfMRI connectivity (ICA100 edge 233)</t>
  </si>
  <si>
    <t>2662</t>
  </si>
  <si>
    <t>rfMRI connectivity (ICA100 edge 234)</t>
  </si>
  <si>
    <t>2663</t>
  </si>
  <si>
    <t>rfMRI connectivity (ICA100 edge 235)</t>
  </si>
  <si>
    <t>2664</t>
  </si>
  <si>
    <t>rfMRI connectivity (ICA100 edge 236)</t>
  </si>
  <si>
    <t>2665</t>
  </si>
  <si>
    <t>rfMRI connectivity (ICA100 edge 237)</t>
  </si>
  <si>
    <t>2666</t>
  </si>
  <si>
    <t>rfMRI connectivity (ICA100 edge 238)</t>
  </si>
  <si>
    <t>2667</t>
  </si>
  <si>
    <t>rfMRI connectivity (ICA100 edge 239)</t>
  </si>
  <si>
    <t>2668</t>
  </si>
  <si>
    <t>rfMRI connectivity (ICA100 edge 240)</t>
  </si>
  <si>
    <t>2669</t>
  </si>
  <si>
    <t>rfMRI connectivity (ICA100 edge 241)</t>
  </si>
  <si>
    <t>2670</t>
  </si>
  <si>
    <t>rfMRI connectivity (ICA100 edge 242)</t>
  </si>
  <si>
    <t>2671</t>
  </si>
  <si>
    <t>rfMRI connectivity (ICA100 edge 243)</t>
  </si>
  <si>
    <t>2672</t>
  </si>
  <si>
    <t>rfMRI connectivity (ICA100 edge 244)</t>
  </si>
  <si>
    <t>2673</t>
  </si>
  <si>
    <t>rfMRI connectivity (ICA100 edge 245)</t>
  </si>
  <si>
    <t>2674</t>
  </si>
  <si>
    <t>rfMRI connectivity (ICA100 edge 246)</t>
  </si>
  <si>
    <t>2675</t>
  </si>
  <si>
    <t>rfMRI connectivity (ICA100 edge 247)</t>
  </si>
  <si>
    <t>2676</t>
  </si>
  <si>
    <t>rfMRI connectivity (ICA100 edge 248)</t>
  </si>
  <si>
    <t>2677</t>
  </si>
  <si>
    <t>rfMRI connectivity (ICA100 edge 249)</t>
  </si>
  <si>
    <t>2678</t>
  </si>
  <si>
    <t>rfMRI connectivity (ICA100 edge 250)</t>
  </si>
  <si>
    <t>2679</t>
  </si>
  <si>
    <t>rfMRI connectivity (ICA100 edge 251)</t>
  </si>
  <si>
    <t>2680</t>
  </si>
  <si>
    <t>rfMRI connectivity (ICA100 edge 252)</t>
  </si>
  <si>
    <t>2681</t>
  </si>
  <si>
    <t>rfMRI connectivity (ICA100 edge 253)</t>
  </si>
  <si>
    <t>2682</t>
  </si>
  <si>
    <t>rfMRI connectivity (ICA100 edge 254)</t>
  </si>
  <si>
    <t>2683</t>
  </si>
  <si>
    <t>rfMRI connectivity (ICA100 edge 255)</t>
  </si>
  <si>
    <t>2684</t>
  </si>
  <si>
    <t>rfMRI connectivity (ICA100 edge 256)</t>
  </si>
  <si>
    <t>2685</t>
  </si>
  <si>
    <t>rfMRI connectivity (ICA100 edge 257)</t>
  </si>
  <si>
    <t>2686</t>
  </si>
  <si>
    <t>rfMRI connectivity (ICA100 edge 258)</t>
  </si>
  <si>
    <t>2687</t>
  </si>
  <si>
    <t>rfMRI connectivity (ICA100 edge 259)</t>
  </si>
  <si>
    <t>2688</t>
  </si>
  <si>
    <t>rfMRI connectivity (ICA100 edge 260)</t>
  </si>
  <si>
    <t>2689</t>
  </si>
  <si>
    <t>rfMRI connectivity (ICA100 edge 261)</t>
  </si>
  <si>
    <t>2690</t>
  </si>
  <si>
    <t>rfMRI connectivity (ICA100 edge 262)</t>
  </si>
  <si>
    <t>2691</t>
  </si>
  <si>
    <t>rfMRI connectivity (ICA100 edge 263)</t>
  </si>
  <si>
    <t>2692</t>
  </si>
  <si>
    <t>rfMRI connectivity (ICA100 edge 264)</t>
  </si>
  <si>
    <t>2693</t>
  </si>
  <si>
    <t>rfMRI connectivity (ICA100 edge 265)</t>
  </si>
  <si>
    <t>2694</t>
  </si>
  <si>
    <t>rfMRI connectivity (ICA100 edge 266)</t>
  </si>
  <si>
    <t>2695</t>
  </si>
  <si>
    <t>rfMRI connectivity (ICA100 edge 267)</t>
  </si>
  <si>
    <t>2696</t>
  </si>
  <si>
    <t>rfMRI connectivity (ICA100 edge 268)</t>
  </si>
  <si>
    <t>2697</t>
  </si>
  <si>
    <t>rfMRI connectivity (ICA100 edge 269)</t>
  </si>
  <si>
    <t>2698</t>
  </si>
  <si>
    <t>rfMRI connectivity (ICA100 edge 270)</t>
  </si>
  <si>
    <t>2699</t>
  </si>
  <si>
    <t>rfMRI connectivity (ICA100 edge 271)</t>
  </si>
  <si>
    <t>2700</t>
  </si>
  <si>
    <t>rfMRI connectivity (ICA100 edge 272)</t>
  </si>
  <si>
    <t>2701</t>
  </si>
  <si>
    <t>rfMRI connectivity (ICA100 edge 273)</t>
  </si>
  <si>
    <t>2702</t>
  </si>
  <si>
    <t>rfMRI connectivity (ICA100 edge 274)</t>
  </si>
  <si>
    <t>2703</t>
  </si>
  <si>
    <t>rfMRI connectivity (ICA100 edge 275)</t>
  </si>
  <si>
    <t>2704</t>
  </si>
  <si>
    <t>rfMRI connectivity (ICA100 edge 276)</t>
  </si>
  <si>
    <t>2705</t>
  </si>
  <si>
    <t>rfMRI connectivity (ICA100 edge 277)</t>
  </si>
  <si>
    <t>2706</t>
  </si>
  <si>
    <t>rfMRI connectivity (ICA100 edge 278)</t>
  </si>
  <si>
    <t>2707</t>
  </si>
  <si>
    <t>rfMRI connectivity (ICA100 edge 279)</t>
  </si>
  <si>
    <t>2708</t>
  </si>
  <si>
    <t>rfMRI connectivity (ICA100 edge 280)</t>
  </si>
  <si>
    <t>2709</t>
  </si>
  <si>
    <t>rfMRI connectivity (ICA100 edge 281)</t>
  </si>
  <si>
    <t>2710</t>
  </si>
  <si>
    <t>rfMRI connectivity (ICA100 edge 282)</t>
  </si>
  <si>
    <t>2711</t>
  </si>
  <si>
    <t>rfMRI connectivity (ICA100 edge 283)</t>
  </si>
  <si>
    <t>2712</t>
  </si>
  <si>
    <t>rfMRI connectivity (ICA100 edge 284)</t>
  </si>
  <si>
    <t>2713</t>
  </si>
  <si>
    <t>rfMRI connectivity (ICA100 edge 285)</t>
  </si>
  <si>
    <t>2714</t>
  </si>
  <si>
    <t>rfMRI connectivity (ICA100 edge 286)</t>
  </si>
  <si>
    <t>2715</t>
  </si>
  <si>
    <t>rfMRI connectivity (ICA100 edge 287)</t>
  </si>
  <si>
    <t>2716</t>
  </si>
  <si>
    <t>rfMRI connectivity (ICA100 edge 288)</t>
  </si>
  <si>
    <t>2717</t>
  </si>
  <si>
    <t>rfMRI connectivity (ICA100 edge 289)</t>
  </si>
  <si>
    <t>2718</t>
  </si>
  <si>
    <t>rfMRI connectivity (ICA100 edge 290)</t>
  </si>
  <si>
    <t>2719</t>
  </si>
  <si>
    <t>rfMRI connectivity (ICA100 edge 291)</t>
  </si>
  <si>
    <t>2720</t>
  </si>
  <si>
    <t>rfMRI connectivity (ICA100 edge 292)</t>
  </si>
  <si>
    <t>2721</t>
  </si>
  <si>
    <t>rfMRI connectivity (ICA100 edge 293)</t>
  </si>
  <si>
    <t>2722</t>
  </si>
  <si>
    <t>rfMRI connectivity (ICA100 edge 294)</t>
  </si>
  <si>
    <t>2723</t>
  </si>
  <si>
    <t>rfMRI connectivity (ICA100 edge 295)</t>
  </si>
  <si>
    <t>2724</t>
  </si>
  <si>
    <t>rfMRI connectivity (ICA100 edge 296)</t>
  </si>
  <si>
    <t>2725</t>
  </si>
  <si>
    <t>rfMRI connectivity (ICA100 edge 297)</t>
  </si>
  <si>
    <t>2726</t>
  </si>
  <si>
    <t>rfMRI connectivity (ICA100 edge 298)</t>
  </si>
  <si>
    <t>2727</t>
  </si>
  <si>
    <t>rfMRI connectivity (ICA100 edge 299)</t>
  </si>
  <si>
    <t>2728</t>
  </si>
  <si>
    <t>rfMRI connectivity (ICA100 edge 300)</t>
  </si>
  <si>
    <t>2729</t>
  </si>
  <si>
    <t>rfMRI connectivity (ICA100 edge 301)</t>
  </si>
  <si>
    <t>2730</t>
  </si>
  <si>
    <t>rfMRI connectivity (ICA100 edge 302)</t>
  </si>
  <si>
    <t>2731</t>
  </si>
  <si>
    <t>rfMRI connectivity (ICA100 edge 303)</t>
  </si>
  <si>
    <t>2732</t>
  </si>
  <si>
    <t>rfMRI connectivity (ICA100 edge 304)</t>
  </si>
  <si>
    <t>2733</t>
  </si>
  <si>
    <t>rfMRI connectivity (ICA100 edge 305)</t>
  </si>
  <si>
    <t>2734</t>
  </si>
  <si>
    <t>rfMRI connectivity (ICA100 edge 306)</t>
  </si>
  <si>
    <t>2735</t>
  </si>
  <si>
    <t>rfMRI connectivity (ICA100 edge 307)</t>
  </si>
  <si>
    <t>2736</t>
  </si>
  <si>
    <t>rfMRI connectivity (ICA100 edge 308)</t>
  </si>
  <si>
    <t>2737</t>
  </si>
  <si>
    <t>rfMRI connectivity (ICA100 edge 309)</t>
  </si>
  <si>
    <t>2738</t>
  </si>
  <si>
    <t>rfMRI connectivity (ICA100 edge 310)</t>
  </si>
  <si>
    <t>2739</t>
  </si>
  <si>
    <t>rfMRI connectivity (ICA100 edge 311)</t>
  </si>
  <si>
    <t>2740</t>
  </si>
  <si>
    <t>rfMRI connectivity (ICA100 edge 312)</t>
  </si>
  <si>
    <t>2741</t>
  </si>
  <si>
    <t>rfMRI connectivity (ICA100 edge 313)</t>
  </si>
  <si>
    <t>2742</t>
  </si>
  <si>
    <t>rfMRI connectivity (ICA100 edge 314)</t>
  </si>
  <si>
    <t>2743</t>
  </si>
  <si>
    <t>rfMRI connectivity (ICA100 edge 315)</t>
  </si>
  <si>
    <t>2744</t>
  </si>
  <si>
    <t>rfMRI connectivity (ICA100 edge 316)</t>
  </si>
  <si>
    <t>2745</t>
  </si>
  <si>
    <t>rfMRI connectivity (ICA100 edge 317)</t>
  </si>
  <si>
    <t>2746</t>
  </si>
  <si>
    <t>rfMRI connectivity (ICA100 edge 318)</t>
  </si>
  <si>
    <t>2747</t>
  </si>
  <si>
    <t>rfMRI connectivity (ICA100 edge 319)</t>
  </si>
  <si>
    <t>2748</t>
  </si>
  <si>
    <t>rfMRI connectivity (ICA100 edge 320)</t>
  </si>
  <si>
    <t>2749</t>
  </si>
  <si>
    <t>rfMRI connectivity (ICA100 edge 321)</t>
  </si>
  <si>
    <t>2750</t>
  </si>
  <si>
    <t>rfMRI connectivity (ICA100 edge 322)</t>
  </si>
  <si>
    <t>2751</t>
  </si>
  <si>
    <t>rfMRI connectivity (ICA100 edge 323)</t>
  </si>
  <si>
    <t>2752</t>
  </si>
  <si>
    <t>rfMRI connectivity (ICA100 edge 324)</t>
  </si>
  <si>
    <t>2753</t>
  </si>
  <si>
    <t>rfMRI connectivity (ICA100 edge 325)</t>
  </si>
  <si>
    <t>2754</t>
  </si>
  <si>
    <t>rfMRI connectivity (ICA100 edge 326)</t>
  </si>
  <si>
    <t>2755</t>
  </si>
  <si>
    <t>rfMRI connectivity (ICA100 edge 327)</t>
  </si>
  <si>
    <t>2756</t>
  </si>
  <si>
    <t>rfMRI connectivity (ICA100 edge 328)</t>
  </si>
  <si>
    <t>2757</t>
  </si>
  <si>
    <t>rfMRI connectivity (ICA100 edge 329)</t>
  </si>
  <si>
    <t>2758</t>
  </si>
  <si>
    <t>rfMRI connectivity (ICA100 edge 330)</t>
  </si>
  <si>
    <t>2759</t>
  </si>
  <si>
    <t>rfMRI connectivity (ICA100 edge 331)</t>
  </si>
  <si>
    <t>2760</t>
  </si>
  <si>
    <t>rfMRI connectivity (ICA100 edge 332)</t>
  </si>
  <si>
    <t>2761</t>
  </si>
  <si>
    <t>rfMRI connectivity (ICA100 edge 333)</t>
  </si>
  <si>
    <t>2762</t>
  </si>
  <si>
    <t>rfMRI connectivity (ICA100 edge 334)</t>
  </si>
  <si>
    <t>2763</t>
  </si>
  <si>
    <t>rfMRI connectivity (ICA100 edge 335)</t>
  </si>
  <si>
    <t>2764</t>
  </si>
  <si>
    <t>rfMRI connectivity (ICA100 edge 336)</t>
  </si>
  <si>
    <t>2765</t>
  </si>
  <si>
    <t>rfMRI connectivity (ICA100 edge 337)</t>
  </si>
  <si>
    <t>2766</t>
  </si>
  <si>
    <t>rfMRI connectivity (ICA100 edge 338)</t>
  </si>
  <si>
    <t>2767</t>
  </si>
  <si>
    <t>rfMRI connectivity (ICA100 edge 339)</t>
  </si>
  <si>
    <t>2768</t>
  </si>
  <si>
    <t>rfMRI connectivity (ICA100 edge 340)</t>
  </si>
  <si>
    <t>2769</t>
  </si>
  <si>
    <t>rfMRI connectivity (ICA100 edge 341)</t>
  </si>
  <si>
    <t>2770</t>
  </si>
  <si>
    <t>rfMRI connectivity (ICA100 edge 342)</t>
  </si>
  <si>
    <t>2771</t>
  </si>
  <si>
    <t>rfMRI connectivity (ICA100 edge 343)</t>
  </si>
  <si>
    <t>2772</t>
  </si>
  <si>
    <t>rfMRI connectivity (ICA100 edge 344)</t>
  </si>
  <si>
    <t>2773</t>
  </si>
  <si>
    <t>rfMRI connectivity (ICA100 edge 345)</t>
  </si>
  <si>
    <t>2774</t>
  </si>
  <si>
    <t>rfMRI connectivity (ICA100 edge 346)</t>
  </si>
  <si>
    <t>2775</t>
  </si>
  <si>
    <t>rfMRI connectivity (ICA100 edge 347)</t>
  </si>
  <si>
    <t>2776</t>
  </si>
  <si>
    <t>rfMRI connectivity (ICA100 edge 348)</t>
  </si>
  <si>
    <t>2777</t>
  </si>
  <si>
    <t>rfMRI connectivity (ICA100 edge 349)</t>
  </si>
  <si>
    <t>2778</t>
  </si>
  <si>
    <t>rfMRI connectivity (ICA100 edge 350)</t>
  </si>
  <si>
    <t>2779</t>
  </si>
  <si>
    <t>rfMRI connectivity (ICA100 edge 351)</t>
  </si>
  <si>
    <t>2780</t>
  </si>
  <si>
    <t>rfMRI connectivity (ICA100 edge 352)</t>
  </si>
  <si>
    <t>2781</t>
  </si>
  <si>
    <t>rfMRI connectivity (ICA100 edge 353)</t>
  </si>
  <si>
    <t>2782</t>
  </si>
  <si>
    <t>rfMRI connectivity (ICA100 edge 354)</t>
  </si>
  <si>
    <t>2783</t>
  </si>
  <si>
    <t>rfMRI connectivity (ICA100 edge 355)</t>
  </si>
  <si>
    <t>2784</t>
  </si>
  <si>
    <t>rfMRI connectivity (ICA100 edge 356)</t>
  </si>
  <si>
    <t>2785</t>
  </si>
  <si>
    <t>rfMRI connectivity (ICA100 edge 357)</t>
  </si>
  <si>
    <t>2786</t>
  </si>
  <si>
    <t>rfMRI connectivity (ICA100 edge 358)</t>
  </si>
  <si>
    <t>2787</t>
  </si>
  <si>
    <t>rfMRI connectivity (ICA100 edge 359)</t>
  </si>
  <si>
    <t>2788</t>
  </si>
  <si>
    <t>rfMRI connectivity (ICA100 edge 360)</t>
  </si>
  <si>
    <t>2789</t>
  </si>
  <si>
    <t>rfMRI connectivity (ICA100 edge 361)</t>
  </si>
  <si>
    <t>2790</t>
  </si>
  <si>
    <t>rfMRI connectivity (ICA100 edge 362)</t>
  </si>
  <si>
    <t>2791</t>
  </si>
  <si>
    <t>rfMRI connectivity (ICA100 edge 363)</t>
  </si>
  <si>
    <t>2792</t>
  </si>
  <si>
    <t>rfMRI connectivity (ICA100 edge 364)</t>
  </si>
  <si>
    <t>2793</t>
  </si>
  <si>
    <t>rfMRI connectivity (ICA100 edge 365)</t>
  </si>
  <si>
    <t>2794</t>
  </si>
  <si>
    <t>rfMRI connectivity (ICA100 edge 366)</t>
  </si>
  <si>
    <t>2795</t>
  </si>
  <si>
    <t>rfMRI connectivity (ICA100 edge 367)</t>
  </si>
  <si>
    <t>2796</t>
  </si>
  <si>
    <t>rfMRI connectivity (ICA100 edge 368)</t>
  </si>
  <si>
    <t>2797</t>
  </si>
  <si>
    <t>rfMRI connectivity (ICA100 edge 369)</t>
  </si>
  <si>
    <t>2798</t>
  </si>
  <si>
    <t>rfMRI connectivity (ICA100 edge 370)</t>
  </si>
  <si>
    <t>2799</t>
  </si>
  <si>
    <t>rfMRI connectivity (ICA100 edge 371)</t>
  </si>
  <si>
    <t>2800</t>
  </si>
  <si>
    <t>rfMRI connectivity (ICA100 edge 372)</t>
  </si>
  <si>
    <t>2801</t>
  </si>
  <si>
    <t>rfMRI connectivity (ICA100 edge 373)</t>
  </si>
  <si>
    <t>2802</t>
  </si>
  <si>
    <t>rfMRI connectivity (ICA100 edge 374)</t>
  </si>
  <si>
    <t>2803</t>
  </si>
  <si>
    <t>rfMRI connectivity (ICA100 edge 375)</t>
  </si>
  <si>
    <t>2804</t>
  </si>
  <si>
    <t>rfMRI connectivity (ICA100 edge 376)</t>
  </si>
  <si>
    <t>2805</t>
  </si>
  <si>
    <t>rfMRI connectivity (ICA100 edge 377)</t>
  </si>
  <si>
    <t>2806</t>
  </si>
  <si>
    <t>rfMRI connectivity (ICA100 edge 378)</t>
  </si>
  <si>
    <t>2807</t>
  </si>
  <si>
    <t>rfMRI connectivity (ICA100 edge 379)</t>
  </si>
  <si>
    <t>2808</t>
  </si>
  <si>
    <t>rfMRI connectivity (ICA100 edge 380)</t>
  </si>
  <si>
    <t>2809</t>
  </si>
  <si>
    <t>rfMRI connectivity (ICA100 edge 381)</t>
  </si>
  <si>
    <t>2810</t>
  </si>
  <si>
    <t>rfMRI connectivity (ICA100 edge 382)</t>
  </si>
  <si>
    <t>2811</t>
  </si>
  <si>
    <t>rfMRI connectivity (ICA100 edge 383)</t>
  </si>
  <si>
    <t>2812</t>
  </si>
  <si>
    <t>rfMRI connectivity (ICA100 edge 384)</t>
  </si>
  <si>
    <t>2813</t>
  </si>
  <si>
    <t>rfMRI connectivity (ICA100 edge 385)</t>
  </si>
  <si>
    <t>2814</t>
  </si>
  <si>
    <t>rfMRI connectivity (ICA100 edge 386)</t>
  </si>
  <si>
    <t>2815</t>
  </si>
  <si>
    <t>rfMRI connectivity (ICA100 edge 387)</t>
  </si>
  <si>
    <t>2816</t>
  </si>
  <si>
    <t>rfMRI connectivity (ICA100 edge 388)</t>
  </si>
  <si>
    <t>2817</t>
  </si>
  <si>
    <t>rfMRI connectivity (ICA100 edge 389)</t>
  </si>
  <si>
    <t>2818</t>
  </si>
  <si>
    <t>rfMRI connectivity (ICA100 edge 390)</t>
  </si>
  <si>
    <t>2819</t>
  </si>
  <si>
    <t>rfMRI connectivity (ICA100 edge 391)</t>
  </si>
  <si>
    <t>2820</t>
  </si>
  <si>
    <t>rfMRI connectivity (ICA100 edge 392)</t>
  </si>
  <si>
    <t>2821</t>
  </si>
  <si>
    <t>rfMRI connectivity (ICA100 edge 393)</t>
  </si>
  <si>
    <t>2822</t>
  </si>
  <si>
    <t>rfMRI connectivity (ICA100 edge 394)</t>
  </si>
  <si>
    <t>2823</t>
  </si>
  <si>
    <t>rfMRI connectivity (ICA100 edge 395)</t>
  </si>
  <si>
    <t>2824</t>
  </si>
  <si>
    <t>rfMRI connectivity (ICA100 edge 396)</t>
  </si>
  <si>
    <t>2825</t>
  </si>
  <si>
    <t>rfMRI connectivity (ICA100 edge 397)</t>
  </si>
  <si>
    <t>2826</t>
  </si>
  <si>
    <t>rfMRI connectivity (ICA100 edge 398)</t>
  </si>
  <si>
    <t>2827</t>
  </si>
  <si>
    <t>rfMRI connectivity (ICA100 edge 399)</t>
  </si>
  <si>
    <t>2828</t>
  </si>
  <si>
    <t>rfMRI connectivity (ICA100 edge 400)</t>
  </si>
  <si>
    <t>2829</t>
  </si>
  <si>
    <t>rfMRI connectivity (ICA100 edge 401)</t>
  </si>
  <si>
    <t>2830</t>
  </si>
  <si>
    <t>rfMRI connectivity (ICA100 edge 402)</t>
  </si>
  <si>
    <t>2831</t>
  </si>
  <si>
    <t>rfMRI connectivity (ICA100 edge 403)</t>
  </si>
  <si>
    <t>2832</t>
  </si>
  <si>
    <t>rfMRI connectivity (ICA100 edge 404)</t>
  </si>
  <si>
    <t>2833</t>
  </si>
  <si>
    <t>rfMRI connectivity (ICA100 edge 405)</t>
  </si>
  <si>
    <t>2834</t>
  </si>
  <si>
    <t>rfMRI connectivity (ICA100 edge 406)</t>
  </si>
  <si>
    <t>2835</t>
  </si>
  <si>
    <t>rfMRI connectivity (ICA100 edge 407)</t>
  </si>
  <si>
    <t>2836</t>
  </si>
  <si>
    <t>rfMRI connectivity (ICA100 edge 408)</t>
  </si>
  <si>
    <t>2837</t>
  </si>
  <si>
    <t>rfMRI connectivity (ICA100 edge 409)</t>
  </si>
  <si>
    <t>2838</t>
  </si>
  <si>
    <t>rfMRI connectivity (ICA100 edge 410)</t>
  </si>
  <si>
    <t>2839</t>
  </si>
  <si>
    <t>rfMRI connectivity (ICA100 edge 411)</t>
  </si>
  <si>
    <t>2840</t>
  </si>
  <si>
    <t>rfMRI connectivity (ICA100 edge 412)</t>
  </si>
  <si>
    <t>2841</t>
  </si>
  <si>
    <t>rfMRI connectivity (ICA100 edge 413)</t>
  </si>
  <si>
    <t>2842</t>
  </si>
  <si>
    <t>rfMRI connectivity (ICA100 edge 414)</t>
  </si>
  <si>
    <t>2843</t>
  </si>
  <si>
    <t>rfMRI connectivity (ICA100 edge 415)</t>
  </si>
  <si>
    <t>2844</t>
  </si>
  <si>
    <t>rfMRI connectivity (ICA100 edge 416)</t>
  </si>
  <si>
    <t>2845</t>
  </si>
  <si>
    <t>rfMRI connectivity (ICA100 edge 417)</t>
  </si>
  <si>
    <t>2846</t>
  </si>
  <si>
    <t>rfMRI connectivity (ICA100 edge 418)</t>
  </si>
  <si>
    <t>2847</t>
  </si>
  <si>
    <t>rfMRI connectivity (ICA100 edge 419)</t>
  </si>
  <si>
    <t>2848</t>
  </si>
  <si>
    <t>rfMRI connectivity (ICA100 edge 420)</t>
  </si>
  <si>
    <t>2849</t>
  </si>
  <si>
    <t>rfMRI connectivity (ICA100 edge 421)</t>
  </si>
  <si>
    <t>2850</t>
  </si>
  <si>
    <t>rfMRI connectivity (ICA100 edge 422)</t>
  </si>
  <si>
    <t>2851</t>
  </si>
  <si>
    <t>rfMRI connectivity (ICA100 edge 423)</t>
  </si>
  <si>
    <t>2852</t>
  </si>
  <si>
    <t>rfMRI connectivity (ICA100 edge 424)</t>
  </si>
  <si>
    <t>2853</t>
  </si>
  <si>
    <t>rfMRI connectivity (ICA100 edge 425)</t>
  </si>
  <si>
    <t>2854</t>
  </si>
  <si>
    <t>rfMRI connectivity (ICA100 edge 426)</t>
  </si>
  <si>
    <t>2855</t>
  </si>
  <si>
    <t>rfMRI connectivity (ICA100 edge 427)</t>
  </si>
  <si>
    <t>2856</t>
  </si>
  <si>
    <t>rfMRI connectivity (ICA100 edge 428)</t>
  </si>
  <si>
    <t>2857</t>
  </si>
  <si>
    <t>rfMRI connectivity (ICA100 edge 429)</t>
  </si>
  <si>
    <t>2858</t>
  </si>
  <si>
    <t>rfMRI connectivity (ICA100 edge 430)</t>
  </si>
  <si>
    <t>2859</t>
  </si>
  <si>
    <t>rfMRI connectivity (ICA100 edge 431)</t>
  </si>
  <si>
    <t>2860</t>
  </si>
  <si>
    <t>rfMRI connectivity (ICA100 edge 432)</t>
  </si>
  <si>
    <t>2861</t>
  </si>
  <si>
    <t>rfMRI connectivity (ICA100 edge 433)</t>
  </si>
  <si>
    <t>2862</t>
  </si>
  <si>
    <t>rfMRI connectivity (ICA100 edge 434)</t>
  </si>
  <si>
    <t>2863</t>
  </si>
  <si>
    <t>rfMRI connectivity (ICA100 edge 435)</t>
  </si>
  <si>
    <t>2864</t>
  </si>
  <si>
    <t>rfMRI connectivity (ICA100 edge 436)</t>
  </si>
  <si>
    <t>2865</t>
  </si>
  <si>
    <t>rfMRI connectivity (ICA100 edge 437)</t>
  </si>
  <si>
    <t>2866</t>
  </si>
  <si>
    <t>rfMRI connectivity (ICA100 edge 438)</t>
  </si>
  <si>
    <t>2867</t>
  </si>
  <si>
    <t>rfMRI connectivity (ICA100 edge 439)</t>
  </si>
  <si>
    <t>2868</t>
  </si>
  <si>
    <t>rfMRI connectivity (ICA100 edge 440)</t>
  </si>
  <si>
    <t>2869</t>
  </si>
  <si>
    <t>rfMRI connectivity (ICA100 edge 441)</t>
  </si>
  <si>
    <t>2870</t>
  </si>
  <si>
    <t>rfMRI connectivity (ICA100 edge 442)</t>
  </si>
  <si>
    <t>2871</t>
  </si>
  <si>
    <t>rfMRI connectivity (ICA100 edge 443)</t>
  </si>
  <si>
    <t>2872</t>
  </si>
  <si>
    <t>rfMRI connectivity (ICA100 edge 444)</t>
  </si>
  <si>
    <t>2873</t>
  </si>
  <si>
    <t>rfMRI connectivity (ICA100 edge 445)</t>
  </si>
  <si>
    <t>2874</t>
  </si>
  <si>
    <t>rfMRI connectivity (ICA100 edge 446)</t>
  </si>
  <si>
    <t>2875</t>
  </si>
  <si>
    <t>rfMRI connectivity (ICA100 edge 447)</t>
  </si>
  <si>
    <t>2876</t>
  </si>
  <si>
    <t>rfMRI connectivity (ICA100 edge 448)</t>
  </si>
  <si>
    <t>2877</t>
  </si>
  <si>
    <t>rfMRI connectivity (ICA100 edge 449)</t>
  </si>
  <si>
    <t>2878</t>
  </si>
  <si>
    <t>rfMRI connectivity (ICA100 edge 450)</t>
  </si>
  <si>
    <t>2879</t>
  </si>
  <si>
    <t>rfMRI connectivity (ICA100 edge 451)</t>
  </si>
  <si>
    <t>2880</t>
  </si>
  <si>
    <t>rfMRI connectivity (ICA100 edge 452)</t>
  </si>
  <si>
    <t>2881</t>
  </si>
  <si>
    <t>rfMRI connectivity (ICA100 edge 453)</t>
  </si>
  <si>
    <t>2882</t>
  </si>
  <si>
    <t>rfMRI connectivity (ICA100 edge 454)</t>
  </si>
  <si>
    <t>2883</t>
  </si>
  <si>
    <t>rfMRI connectivity (ICA100 edge 455)</t>
  </si>
  <si>
    <t>2884</t>
  </si>
  <si>
    <t>rfMRI connectivity (ICA100 edge 456)</t>
  </si>
  <si>
    <t>2885</t>
  </si>
  <si>
    <t>rfMRI connectivity (ICA100 edge 457)</t>
  </si>
  <si>
    <t>2886</t>
  </si>
  <si>
    <t>rfMRI connectivity (ICA100 edge 458)</t>
  </si>
  <si>
    <t>2887</t>
  </si>
  <si>
    <t>rfMRI connectivity (ICA100 edge 459)</t>
  </si>
  <si>
    <t>2888</t>
  </si>
  <si>
    <t>rfMRI connectivity (ICA100 edge 460)</t>
  </si>
  <si>
    <t>2889</t>
  </si>
  <si>
    <t>rfMRI connectivity (ICA100 edge 461)</t>
  </si>
  <si>
    <t>2890</t>
  </si>
  <si>
    <t>rfMRI connectivity (ICA100 edge 462)</t>
  </si>
  <si>
    <t>2891</t>
  </si>
  <si>
    <t>rfMRI connectivity (ICA100 edge 463)</t>
  </si>
  <si>
    <t>2892</t>
  </si>
  <si>
    <t>rfMRI connectivity (ICA100 edge 464)</t>
  </si>
  <si>
    <t>2893</t>
  </si>
  <si>
    <t>rfMRI connectivity (ICA100 edge 465)</t>
  </si>
  <si>
    <t>2894</t>
  </si>
  <si>
    <t>rfMRI connectivity (ICA100 edge 466)</t>
  </si>
  <si>
    <t>2895</t>
  </si>
  <si>
    <t>rfMRI connectivity (ICA100 edge 467)</t>
  </si>
  <si>
    <t>2896</t>
  </si>
  <si>
    <t>rfMRI connectivity (ICA100 edge 468)</t>
  </si>
  <si>
    <t>2897</t>
  </si>
  <si>
    <t>rfMRI connectivity (ICA100 edge 469)</t>
  </si>
  <si>
    <t>2898</t>
  </si>
  <si>
    <t>rfMRI connectivity (ICA100 edge 470)</t>
  </si>
  <si>
    <t>2899</t>
  </si>
  <si>
    <t>rfMRI connectivity (ICA100 edge 471)</t>
  </si>
  <si>
    <t>2900</t>
  </si>
  <si>
    <t>rfMRI connectivity (ICA100 edge 472)</t>
  </si>
  <si>
    <t>2901</t>
  </si>
  <si>
    <t>rfMRI connectivity (ICA100 edge 473)</t>
  </si>
  <si>
    <t>2902</t>
  </si>
  <si>
    <t>rfMRI connectivity (ICA100 edge 474)</t>
  </si>
  <si>
    <t>2903</t>
  </si>
  <si>
    <t>rfMRI connectivity (ICA100 edge 475)</t>
  </si>
  <si>
    <t>2904</t>
  </si>
  <si>
    <t>rfMRI connectivity (ICA100 edge 476)</t>
  </si>
  <si>
    <t>2905</t>
  </si>
  <si>
    <t>rfMRI connectivity (ICA100 edge 477)</t>
  </si>
  <si>
    <t>2906</t>
  </si>
  <si>
    <t>rfMRI connectivity (ICA100 edge 478)</t>
  </si>
  <si>
    <t>2907</t>
  </si>
  <si>
    <t>rfMRI connectivity (ICA100 edge 479)</t>
  </si>
  <si>
    <t>2908</t>
  </si>
  <si>
    <t>rfMRI connectivity (ICA100 edge 480)</t>
  </si>
  <si>
    <t>2909</t>
  </si>
  <si>
    <t>rfMRI connectivity (ICA100 edge 481)</t>
  </si>
  <si>
    <t>2910</t>
  </si>
  <si>
    <t>rfMRI connectivity (ICA100 edge 482)</t>
  </si>
  <si>
    <t>2911</t>
  </si>
  <si>
    <t>rfMRI connectivity (ICA100 edge 483)</t>
  </si>
  <si>
    <t>2912</t>
  </si>
  <si>
    <t>rfMRI connectivity (ICA100 edge 484)</t>
  </si>
  <si>
    <t>2913</t>
  </si>
  <si>
    <t>rfMRI connectivity (ICA100 edge 485)</t>
  </si>
  <si>
    <t>2914</t>
  </si>
  <si>
    <t>rfMRI connectivity (ICA100 edge 486)</t>
  </si>
  <si>
    <t>2915</t>
  </si>
  <si>
    <t>rfMRI connectivity (ICA100 edge 487)</t>
  </si>
  <si>
    <t>2916</t>
  </si>
  <si>
    <t>rfMRI connectivity (ICA100 edge 488)</t>
  </si>
  <si>
    <t>2917</t>
  </si>
  <si>
    <t>rfMRI connectivity (ICA100 edge 489)</t>
  </si>
  <si>
    <t>2918</t>
  </si>
  <si>
    <t>rfMRI connectivity (ICA100 edge 490)</t>
  </si>
  <si>
    <t>2919</t>
  </si>
  <si>
    <t>rfMRI connectivity (ICA100 edge 491)</t>
  </si>
  <si>
    <t>2920</t>
  </si>
  <si>
    <t>rfMRI connectivity (ICA100 edge 492)</t>
  </si>
  <si>
    <t>2921</t>
  </si>
  <si>
    <t>rfMRI connectivity (ICA100 edge 493)</t>
  </si>
  <si>
    <t>2922</t>
  </si>
  <si>
    <t>rfMRI connectivity (ICA100 edge 494)</t>
  </si>
  <si>
    <t>2923</t>
  </si>
  <si>
    <t>rfMRI connectivity (ICA100 edge 495)</t>
  </si>
  <si>
    <t>2924</t>
  </si>
  <si>
    <t>rfMRI connectivity (ICA100 edge 496)</t>
  </si>
  <si>
    <t>2925</t>
  </si>
  <si>
    <t>rfMRI connectivity (ICA100 edge 497)</t>
  </si>
  <si>
    <t>2926</t>
  </si>
  <si>
    <t>rfMRI connectivity (ICA100 edge 498)</t>
  </si>
  <si>
    <t>2927</t>
  </si>
  <si>
    <t>rfMRI connectivity (ICA100 edge 499)</t>
  </si>
  <si>
    <t>2928</t>
  </si>
  <si>
    <t>rfMRI connectivity (ICA100 edge 500)</t>
  </si>
  <si>
    <t>2929</t>
  </si>
  <si>
    <t>rfMRI connectivity (ICA100 edge 501)</t>
  </si>
  <si>
    <t>2930</t>
  </si>
  <si>
    <t>rfMRI connectivity (ICA100 edge 502)</t>
  </si>
  <si>
    <t>2931</t>
  </si>
  <si>
    <t>rfMRI connectivity (ICA100 edge 503)</t>
  </si>
  <si>
    <t>2932</t>
  </si>
  <si>
    <t>rfMRI connectivity (ICA100 edge 504)</t>
  </si>
  <si>
    <t>2933</t>
  </si>
  <si>
    <t>rfMRI connectivity (ICA100 edge 505)</t>
  </si>
  <si>
    <t>2934</t>
  </si>
  <si>
    <t>rfMRI connectivity (ICA100 edge 506)</t>
  </si>
  <si>
    <t>2935</t>
  </si>
  <si>
    <t>rfMRI connectivity (ICA100 edge 507)</t>
  </si>
  <si>
    <t>2936</t>
  </si>
  <si>
    <t>rfMRI connectivity (ICA100 edge 508)</t>
  </si>
  <si>
    <t>2937</t>
  </si>
  <si>
    <t>rfMRI connectivity (ICA100 edge 509)</t>
  </si>
  <si>
    <t>2938</t>
  </si>
  <si>
    <t>rfMRI connectivity (ICA100 edge 510)</t>
  </si>
  <si>
    <t>2939</t>
  </si>
  <si>
    <t>rfMRI connectivity (ICA100 edge 511)</t>
  </si>
  <si>
    <t>2940</t>
  </si>
  <si>
    <t>rfMRI connectivity (ICA100 edge 512)</t>
  </si>
  <si>
    <t>2941</t>
  </si>
  <si>
    <t>rfMRI connectivity (ICA100 edge 513)</t>
  </si>
  <si>
    <t>2942</t>
  </si>
  <si>
    <t>rfMRI connectivity (ICA100 edge 514)</t>
  </si>
  <si>
    <t>2943</t>
  </si>
  <si>
    <t>rfMRI connectivity (ICA100 edge 515)</t>
  </si>
  <si>
    <t>2944</t>
  </si>
  <si>
    <t>rfMRI connectivity (ICA100 edge 516)</t>
  </si>
  <si>
    <t>2945</t>
  </si>
  <si>
    <t>rfMRI connectivity (ICA100 edge 517)</t>
  </si>
  <si>
    <t>2946</t>
  </si>
  <si>
    <t>rfMRI connectivity (ICA100 edge 518)</t>
  </si>
  <si>
    <t>2947</t>
  </si>
  <si>
    <t>rfMRI connectivity (ICA100 edge 519)</t>
  </si>
  <si>
    <t>2948</t>
  </si>
  <si>
    <t>rfMRI connectivity (ICA100 edge 520)</t>
  </si>
  <si>
    <t>2949</t>
  </si>
  <si>
    <t>rfMRI connectivity (ICA100 edge 521)</t>
  </si>
  <si>
    <t>2950</t>
  </si>
  <si>
    <t>rfMRI connectivity (ICA100 edge 522)</t>
  </si>
  <si>
    <t>2951</t>
  </si>
  <si>
    <t>rfMRI connectivity (ICA100 edge 523)</t>
  </si>
  <si>
    <t>2952</t>
  </si>
  <si>
    <t>rfMRI connectivity (ICA100 edge 524)</t>
  </si>
  <si>
    <t>2953</t>
  </si>
  <si>
    <t>rfMRI connectivity (ICA100 edge 525)</t>
  </si>
  <si>
    <t>2954</t>
  </si>
  <si>
    <t>rfMRI connectivity (ICA100 edge 526)</t>
  </si>
  <si>
    <t>2955</t>
  </si>
  <si>
    <t>rfMRI connectivity (ICA100 edge 527)</t>
  </si>
  <si>
    <t>2956</t>
  </si>
  <si>
    <t>rfMRI connectivity (ICA100 edge 528)</t>
  </si>
  <si>
    <t>2957</t>
  </si>
  <si>
    <t>rfMRI connectivity (ICA100 edge 529)</t>
  </si>
  <si>
    <t>2958</t>
  </si>
  <si>
    <t>rfMRI connectivity (ICA100 edge 530)</t>
  </si>
  <si>
    <t>2959</t>
  </si>
  <si>
    <t>rfMRI connectivity (ICA100 edge 531)</t>
  </si>
  <si>
    <t>2960</t>
  </si>
  <si>
    <t>rfMRI connectivity (ICA100 edge 532)</t>
  </si>
  <si>
    <t>2961</t>
  </si>
  <si>
    <t>rfMRI connectivity (ICA100 edge 533)</t>
  </si>
  <si>
    <t>2962</t>
  </si>
  <si>
    <t>rfMRI connectivity (ICA100 edge 534)</t>
  </si>
  <si>
    <t>2963</t>
  </si>
  <si>
    <t>rfMRI connectivity (ICA100 edge 535)</t>
  </si>
  <si>
    <t>2964</t>
  </si>
  <si>
    <t>rfMRI connectivity (ICA100 edge 536)</t>
  </si>
  <si>
    <t>2965</t>
  </si>
  <si>
    <t>rfMRI connectivity (ICA100 edge 537)</t>
  </si>
  <si>
    <t>2966</t>
  </si>
  <si>
    <t>rfMRI connectivity (ICA100 edge 538)</t>
  </si>
  <si>
    <t>2967</t>
  </si>
  <si>
    <t>rfMRI connectivity (ICA100 edge 539)</t>
  </si>
  <si>
    <t>2968</t>
  </si>
  <si>
    <t>rfMRI connectivity (ICA100 edge 540)</t>
  </si>
  <si>
    <t>2969</t>
  </si>
  <si>
    <t>rfMRI connectivity (ICA100 edge 541)</t>
  </si>
  <si>
    <t>2970</t>
  </si>
  <si>
    <t>rfMRI connectivity (ICA100 edge 542)</t>
  </si>
  <si>
    <t>2971</t>
  </si>
  <si>
    <t>rfMRI connectivity (ICA100 edge 543)</t>
  </si>
  <si>
    <t>2972</t>
  </si>
  <si>
    <t>rfMRI connectivity (ICA100 edge 544)</t>
  </si>
  <si>
    <t>2973</t>
  </si>
  <si>
    <t>rfMRI connectivity (ICA100 edge 545)</t>
  </si>
  <si>
    <t>2974</t>
  </si>
  <si>
    <t>rfMRI connectivity (ICA100 edge 546)</t>
  </si>
  <si>
    <t>2975</t>
  </si>
  <si>
    <t>rfMRI connectivity (ICA100 edge 547)</t>
  </si>
  <si>
    <t>2976</t>
  </si>
  <si>
    <t>rfMRI connectivity (ICA100 edge 548)</t>
  </si>
  <si>
    <t>2977</t>
  </si>
  <si>
    <t>rfMRI connectivity (ICA100 edge 549)</t>
  </si>
  <si>
    <t>2978</t>
  </si>
  <si>
    <t>rfMRI connectivity (ICA100 edge 550)</t>
  </si>
  <si>
    <t>2979</t>
  </si>
  <si>
    <t>rfMRI connectivity (ICA100 edge 551)</t>
  </si>
  <si>
    <t>2980</t>
  </si>
  <si>
    <t>rfMRI connectivity (ICA100 edge 552)</t>
  </si>
  <si>
    <t>2981</t>
  </si>
  <si>
    <t>rfMRI connectivity (ICA100 edge 553)</t>
  </si>
  <si>
    <t>2982</t>
  </si>
  <si>
    <t>rfMRI connectivity (ICA100 edge 554)</t>
  </si>
  <si>
    <t>2983</t>
  </si>
  <si>
    <t>rfMRI connectivity (ICA100 edge 555)</t>
  </si>
  <si>
    <t>2984</t>
  </si>
  <si>
    <t>rfMRI connectivity (ICA100 edge 556)</t>
  </si>
  <si>
    <t>2985</t>
  </si>
  <si>
    <t>rfMRI connectivity (ICA100 edge 557)</t>
  </si>
  <si>
    <t>2986</t>
  </si>
  <si>
    <t>rfMRI connectivity (ICA100 edge 558)</t>
  </si>
  <si>
    <t>2987</t>
  </si>
  <si>
    <t>rfMRI connectivity (ICA100 edge 559)</t>
  </si>
  <si>
    <t>2988</t>
  </si>
  <si>
    <t>rfMRI connectivity (ICA100 edge 560)</t>
  </si>
  <si>
    <t>2989</t>
  </si>
  <si>
    <t>rfMRI connectivity (ICA100 edge 561)</t>
  </si>
  <si>
    <t>2990</t>
  </si>
  <si>
    <t>rfMRI connectivity (ICA100 edge 562)</t>
  </si>
  <si>
    <t>2991</t>
  </si>
  <si>
    <t>rfMRI connectivity (ICA100 edge 563)</t>
  </si>
  <si>
    <t>2992</t>
  </si>
  <si>
    <t>rfMRI connectivity (ICA100 edge 564)</t>
  </si>
  <si>
    <t>2993</t>
  </si>
  <si>
    <t>rfMRI connectivity (ICA100 edge 565)</t>
  </si>
  <si>
    <t>2994</t>
  </si>
  <si>
    <t>rfMRI connectivity (ICA100 edge 566)</t>
  </si>
  <si>
    <t>2995</t>
  </si>
  <si>
    <t>rfMRI connectivity (ICA100 edge 567)</t>
  </si>
  <si>
    <t>2996</t>
  </si>
  <si>
    <t>rfMRI connectivity (ICA100 edge 568)</t>
  </si>
  <si>
    <t>2997</t>
  </si>
  <si>
    <t>rfMRI connectivity (ICA100 edge 569)</t>
  </si>
  <si>
    <t>2998</t>
  </si>
  <si>
    <t>rfMRI connectivity (ICA100 edge 570)</t>
  </si>
  <si>
    <t>2999</t>
  </si>
  <si>
    <t>rfMRI connectivity (ICA100 edge 571)</t>
  </si>
  <si>
    <t>3000</t>
  </si>
  <si>
    <t>rfMRI connectivity (ICA100 edge 572)</t>
  </si>
  <si>
    <t>3001</t>
  </si>
  <si>
    <t>rfMRI connectivity (ICA100 edge 573)</t>
  </si>
  <si>
    <t>3002</t>
  </si>
  <si>
    <t>rfMRI connectivity (ICA100 edge 574)</t>
  </si>
  <si>
    <t>3003</t>
  </si>
  <si>
    <t>rfMRI connectivity (ICA100 edge 575)</t>
  </si>
  <si>
    <t>3004</t>
  </si>
  <si>
    <t>rfMRI connectivity (ICA100 edge 576)</t>
  </si>
  <si>
    <t>3005</t>
  </si>
  <si>
    <t>rfMRI connectivity (ICA100 edge 577)</t>
  </si>
  <si>
    <t>3006</t>
  </si>
  <si>
    <t>rfMRI connectivity (ICA100 edge 578)</t>
  </si>
  <si>
    <t>3007</t>
  </si>
  <si>
    <t>rfMRI connectivity (ICA100 edge 579)</t>
  </si>
  <si>
    <t>3008</t>
  </si>
  <si>
    <t>rfMRI connectivity (ICA100 edge 580)</t>
  </si>
  <si>
    <t>3009</t>
  </si>
  <si>
    <t>rfMRI connectivity (ICA100 edge 581)</t>
  </si>
  <si>
    <t>3010</t>
  </si>
  <si>
    <t>rfMRI connectivity (ICA100 edge 582)</t>
  </si>
  <si>
    <t>3011</t>
  </si>
  <si>
    <t>rfMRI connectivity (ICA100 edge 583)</t>
  </si>
  <si>
    <t>3012</t>
  </si>
  <si>
    <t>rfMRI connectivity (ICA100 edge 584)</t>
  </si>
  <si>
    <t>3013</t>
  </si>
  <si>
    <t>rfMRI connectivity (ICA100 edge 585)</t>
  </si>
  <si>
    <t>3014</t>
  </si>
  <si>
    <t>rfMRI connectivity (ICA100 edge 586)</t>
  </si>
  <si>
    <t>3015</t>
  </si>
  <si>
    <t>rfMRI connectivity (ICA100 edge 587)</t>
  </si>
  <si>
    <t>3016</t>
  </si>
  <si>
    <t>rfMRI connectivity (ICA100 edge 588)</t>
  </si>
  <si>
    <t>3017</t>
  </si>
  <si>
    <t>rfMRI connectivity (ICA100 edge 589)</t>
  </si>
  <si>
    <t>3018</t>
  </si>
  <si>
    <t>rfMRI connectivity (ICA100 edge 590)</t>
  </si>
  <si>
    <t>3019</t>
  </si>
  <si>
    <t>rfMRI connectivity (ICA100 edge 591)</t>
  </si>
  <si>
    <t>3020</t>
  </si>
  <si>
    <t>rfMRI connectivity (ICA100 edge 592)</t>
  </si>
  <si>
    <t>3021</t>
  </si>
  <si>
    <t>rfMRI connectivity (ICA100 edge 593)</t>
  </si>
  <si>
    <t>3022</t>
  </si>
  <si>
    <t>rfMRI connectivity (ICA100 edge 594)</t>
  </si>
  <si>
    <t>3023</t>
  </si>
  <si>
    <t>rfMRI connectivity (ICA100 edge 595)</t>
  </si>
  <si>
    <t>3024</t>
  </si>
  <si>
    <t>rfMRI connectivity (ICA100 edge 596)</t>
  </si>
  <si>
    <t>3025</t>
  </si>
  <si>
    <t>rfMRI connectivity (ICA100 edge 597)</t>
  </si>
  <si>
    <t>3026</t>
  </si>
  <si>
    <t>rfMRI connectivity (ICA100 edge 598)</t>
  </si>
  <si>
    <t>3027</t>
  </si>
  <si>
    <t>rfMRI connectivity (ICA100 edge 599)</t>
  </si>
  <si>
    <t>3028</t>
  </si>
  <si>
    <t>rfMRI connectivity (ICA100 edge 600)</t>
  </si>
  <si>
    <t>3029</t>
  </si>
  <si>
    <t>rfMRI connectivity (ICA100 edge 601)</t>
  </si>
  <si>
    <t>3030</t>
  </si>
  <si>
    <t>rfMRI connectivity (ICA100 edge 602)</t>
  </si>
  <si>
    <t>3031</t>
  </si>
  <si>
    <t>rfMRI connectivity (ICA100 edge 603)</t>
  </si>
  <si>
    <t>3032</t>
  </si>
  <si>
    <t>rfMRI connectivity (ICA100 edge 604)</t>
  </si>
  <si>
    <t>3033</t>
  </si>
  <si>
    <t>rfMRI connectivity (ICA100 edge 605)</t>
  </si>
  <si>
    <t>3034</t>
  </si>
  <si>
    <t>rfMRI connectivity (ICA100 edge 606)</t>
  </si>
  <si>
    <t>3035</t>
  </si>
  <si>
    <t>rfMRI connectivity (ICA100 edge 607)</t>
  </si>
  <si>
    <t>3036</t>
  </si>
  <si>
    <t>rfMRI connectivity (ICA100 edge 608)</t>
  </si>
  <si>
    <t>3037</t>
  </si>
  <si>
    <t>rfMRI connectivity (ICA100 edge 609)</t>
  </si>
  <si>
    <t>3038</t>
  </si>
  <si>
    <t>rfMRI connectivity (ICA100 edge 610)</t>
  </si>
  <si>
    <t>3039</t>
  </si>
  <si>
    <t>rfMRI connectivity (ICA100 edge 611)</t>
  </si>
  <si>
    <t>3040</t>
  </si>
  <si>
    <t>rfMRI connectivity (ICA100 edge 612)</t>
  </si>
  <si>
    <t>3041</t>
  </si>
  <si>
    <t>rfMRI connectivity (ICA100 edge 613)</t>
  </si>
  <si>
    <t>3042</t>
  </si>
  <si>
    <t>rfMRI connectivity (ICA100 edge 614)</t>
  </si>
  <si>
    <t>3043</t>
  </si>
  <si>
    <t>rfMRI connectivity (ICA100 edge 615)</t>
  </si>
  <si>
    <t>3044</t>
  </si>
  <si>
    <t>rfMRI connectivity (ICA100 edge 616)</t>
  </si>
  <si>
    <t>3045</t>
  </si>
  <si>
    <t>rfMRI connectivity (ICA100 edge 617)</t>
  </si>
  <si>
    <t>3046</t>
  </si>
  <si>
    <t>rfMRI connectivity (ICA100 edge 618)</t>
  </si>
  <si>
    <t>3047</t>
  </si>
  <si>
    <t>rfMRI connectivity (ICA100 edge 619)</t>
  </si>
  <si>
    <t>3048</t>
  </si>
  <si>
    <t>rfMRI connectivity (ICA100 edge 620)</t>
  </si>
  <si>
    <t>3049</t>
  </si>
  <si>
    <t>rfMRI connectivity (ICA100 edge 621)</t>
  </si>
  <si>
    <t>3050</t>
  </si>
  <si>
    <t>rfMRI connectivity (ICA100 edge 622)</t>
  </si>
  <si>
    <t>3051</t>
  </si>
  <si>
    <t>rfMRI connectivity (ICA100 edge 623)</t>
  </si>
  <si>
    <t>3052</t>
  </si>
  <si>
    <t>rfMRI connectivity (ICA100 edge 624)</t>
  </si>
  <si>
    <t>3053</t>
  </si>
  <si>
    <t>rfMRI connectivity (ICA100 edge 625)</t>
  </si>
  <si>
    <t>3054</t>
  </si>
  <si>
    <t>rfMRI connectivity (ICA100 edge 626)</t>
  </si>
  <si>
    <t>3055</t>
  </si>
  <si>
    <t>rfMRI connectivity (ICA100 edge 627)</t>
  </si>
  <si>
    <t>3056</t>
  </si>
  <si>
    <t>rfMRI connectivity (ICA100 edge 628)</t>
  </si>
  <si>
    <t>3057</t>
  </si>
  <si>
    <t>rfMRI connectivity (ICA100 edge 629)</t>
  </si>
  <si>
    <t>3058</t>
  </si>
  <si>
    <t>rfMRI connectivity (ICA100 edge 630)</t>
  </si>
  <si>
    <t>3059</t>
  </si>
  <si>
    <t>rfMRI connectivity (ICA100 edge 631)</t>
  </si>
  <si>
    <t>3060</t>
  </si>
  <si>
    <t>rfMRI connectivity (ICA100 edge 632)</t>
  </si>
  <si>
    <t>3061</t>
  </si>
  <si>
    <t>rfMRI connectivity (ICA100 edge 633)</t>
  </si>
  <si>
    <t>3062</t>
  </si>
  <si>
    <t>rfMRI connectivity (ICA100 edge 634)</t>
  </si>
  <si>
    <t>3063</t>
  </si>
  <si>
    <t>rfMRI connectivity (ICA100 edge 635)</t>
  </si>
  <si>
    <t>3064</t>
  </si>
  <si>
    <t>rfMRI connectivity (ICA100 edge 636)</t>
  </si>
  <si>
    <t>3065</t>
  </si>
  <si>
    <t>rfMRI connectivity (ICA100 edge 637)</t>
  </si>
  <si>
    <t>3066</t>
  </si>
  <si>
    <t>rfMRI connectivity (ICA100 edge 638)</t>
  </si>
  <si>
    <t>3067</t>
  </si>
  <si>
    <t>rfMRI connectivity (ICA100 edge 639)</t>
  </si>
  <si>
    <t>3068</t>
  </si>
  <si>
    <t>rfMRI connectivity (ICA100 edge 640)</t>
  </si>
  <si>
    <t>3069</t>
  </si>
  <si>
    <t>rfMRI connectivity (ICA100 edge 641)</t>
  </si>
  <si>
    <t>3070</t>
  </si>
  <si>
    <t>rfMRI connectivity (ICA100 edge 642)</t>
  </si>
  <si>
    <t>3071</t>
  </si>
  <si>
    <t>rfMRI connectivity (ICA100 edge 643)</t>
  </si>
  <si>
    <t>3072</t>
  </si>
  <si>
    <t>rfMRI connectivity (ICA100 edge 644)</t>
  </si>
  <si>
    <t>3073</t>
  </si>
  <si>
    <t>rfMRI connectivity (ICA100 edge 645)</t>
  </si>
  <si>
    <t>3074</t>
  </si>
  <si>
    <t>rfMRI connectivity (ICA100 edge 646)</t>
  </si>
  <si>
    <t>3075</t>
  </si>
  <si>
    <t>rfMRI connectivity (ICA100 edge 647)</t>
  </si>
  <si>
    <t>3076</t>
  </si>
  <si>
    <t>rfMRI connectivity (ICA100 edge 648)</t>
  </si>
  <si>
    <t>3077</t>
  </si>
  <si>
    <t>rfMRI connectivity (ICA100 edge 649)</t>
  </si>
  <si>
    <t>3078</t>
  </si>
  <si>
    <t>rfMRI connectivity (ICA100 edge 650)</t>
  </si>
  <si>
    <t>3079</t>
  </si>
  <si>
    <t>rfMRI connectivity (ICA100 edge 651)</t>
  </si>
  <si>
    <t>3080</t>
  </si>
  <si>
    <t>rfMRI connectivity (ICA100 edge 652)</t>
  </si>
  <si>
    <t>3081</t>
  </si>
  <si>
    <t>rfMRI connectivity (ICA100 edge 653)</t>
  </si>
  <si>
    <t>3082</t>
  </si>
  <si>
    <t>rfMRI connectivity (ICA100 edge 654)</t>
  </si>
  <si>
    <t>3083</t>
  </si>
  <si>
    <t>rfMRI connectivity (ICA100 edge 655)</t>
  </si>
  <si>
    <t>3084</t>
  </si>
  <si>
    <t>rfMRI connectivity (ICA100 edge 656)</t>
  </si>
  <si>
    <t>3085</t>
  </si>
  <si>
    <t>rfMRI connectivity (ICA100 edge 657)</t>
  </si>
  <si>
    <t>3086</t>
  </si>
  <si>
    <t>rfMRI connectivity (ICA100 edge 658)</t>
  </si>
  <si>
    <t>3087</t>
  </si>
  <si>
    <t>rfMRI connectivity (ICA100 edge 659)</t>
  </si>
  <si>
    <t>3088</t>
  </si>
  <si>
    <t>rfMRI connectivity (ICA100 edge 660)</t>
  </si>
  <si>
    <t>3089</t>
  </si>
  <si>
    <t>rfMRI connectivity (ICA100 edge 661)</t>
  </si>
  <si>
    <t>3090</t>
  </si>
  <si>
    <t>rfMRI connectivity (ICA100 edge 662)</t>
  </si>
  <si>
    <t>3091</t>
  </si>
  <si>
    <t>rfMRI connectivity (ICA100 edge 663)</t>
  </si>
  <si>
    <t>3092</t>
  </si>
  <si>
    <t>rfMRI connectivity (ICA100 edge 664)</t>
  </si>
  <si>
    <t>3093</t>
  </si>
  <si>
    <t>rfMRI connectivity (ICA100 edge 665)</t>
  </si>
  <si>
    <t>3094</t>
  </si>
  <si>
    <t>rfMRI connectivity (ICA100 edge 666)</t>
  </si>
  <si>
    <t>3095</t>
  </si>
  <si>
    <t>rfMRI connectivity (ICA100 edge 667)</t>
  </si>
  <si>
    <t>3096</t>
  </si>
  <si>
    <t>rfMRI connectivity (ICA100 edge 668)</t>
  </si>
  <si>
    <t>3097</t>
  </si>
  <si>
    <t>rfMRI connectivity (ICA100 edge 669)</t>
  </si>
  <si>
    <t>3098</t>
  </si>
  <si>
    <t>rfMRI connectivity (ICA100 edge 670)</t>
  </si>
  <si>
    <t>3099</t>
  </si>
  <si>
    <t>rfMRI connectivity (ICA100 edge 671)</t>
  </si>
  <si>
    <t>3100</t>
  </si>
  <si>
    <t>rfMRI connectivity (ICA100 edge 672)</t>
  </si>
  <si>
    <t>3101</t>
  </si>
  <si>
    <t>rfMRI connectivity (ICA100 edge 673)</t>
  </si>
  <si>
    <t>3102</t>
  </si>
  <si>
    <t>rfMRI connectivity (ICA100 edge 674)</t>
  </si>
  <si>
    <t>3103</t>
  </si>
  <si>
    <t>rfMRI connectivity (ICA100 edge 675)</t>
  </si>
  <si>
    <t>3104</t>
  </si>
  <si>
    <t>rfMRI connectivity (ICA100 edge 676)</t>
  </si>
  <si>
    <t>3105</t>
  </si>
  <si>
    <t>rfMRI connectivity (ICA100 edge 677)</t>
  </si>
  <si>
    <t>3106</t>
  </si>
  <si>
    <t>rfMRI connectivity (ICA100 edge 678)</t>
  </si>
  <si>
    <t>3107</t>
  </si>
  <si>
    <t>rfMRI connectivity (ICA100 edge 679)</t>
  </si>
  <si>
    <t>3108</t>
  </si>
  <si>
    <t>rfMRI connectivity (ICA100 edge 680)</t>
  </si>
  <si>
    <t>3109</t>
  </si>
  <si>
    <t>rfMRI connectivity (ICA100 edge 681)</t>
  </si>
  <si>
    <t>3110</t>
  </si>
  <si>
    <t>rfMRI connectivity (ICA100 edge 682)</t>
  </si>
  <si>
    <t>3111</t>
  </si>
  <si>
    <t>rfMRI connectivity (ICA100 edge 683)</t>
  </si>
  <si>
    <t>3112</t>
  </si>
  <si>
    <t>rfMRI connectivity (ICA100 edge 684)</t>
  </si>
  <si>
    <t>3113</t>
  </si>
  <si>
    <t>rfMRI connectivity (ICA100 edge 685)</t>
  </si>
  <si>
    <t>3114</t>
  </si>
  <si>
    <t>rfMRI connectivity (ICA100 edge 686)</t>
  </si>
  <si>
    <t>3115</t>
  </si>
  <si>
    <t>rfMRI connectivity (ICA100 edge 687)</t>
  </si>
  <si>
    <t>3116</t>
  </si>
  <si>
    <t>rfMRI connectivity (ICA100 edge 688)</t>
  </si>
  <si>
    <t>3117</t>
  </si>
  <si>
    <t>rfMRI connectivity (ICA100 edge 689)</t>
  </si>
  <si>
    <t>3118</t>
  </si>
  <si>
    <t>rfMRI connectivity (ICA100 edge 690)</t>
  </si>
  <si>
    <t>3119</t>
  </si>
  <si>
    <t>rfMRI connectivity (ICA100 edge 691)</t>
  </si>
  <si>
    <t>3120</t>
  </si>
  <si>
    <t>rfMRI connectivity (ICA100 edge 692)</t>
  </si>
  <si>
    <t>3121</t>
  </si>
  <si>
    <t>rfMRI connectivity (ICA100 edge 693)</t>
  </si>
  <si>
    <t>3122</t>
  </si>
  <si>
    <t>rfMRI connectivity (ICA100 edge 694)</t>
  </si>
  <si>
    <t>3123</t>
  </si>
  <si>
    <t>rfMRI connectivity (ICA100 edge 695)</t>
  </si>
  <si>
    <t>3124</t>
  </si>
  <si>
    <t>rfMRI connectivity (ICA100 edge 696)</t>
  </si>
  <si>
    <t>3125</t>
  </si>
  <si>
    <t>rfMRI connectivity (ICA100 edge 697)</t>
  </si>
  <si>
    <t>3126</t>
  </si>
  <si>
    <t>rfMRI connectivity (ICA100 edge 698)</t>
  </si>
  <si>
    <t>3127</t>
  </si>
  <si>
    <t>rfMRI connectivity (ICA100 edge 699)</t>
  </si>
  <si>
    <t>3128</t>
  </si>
  <si>
    <t>rfMRI connectivity (ICA100 edge 700)</t>
  </si>
  <si>
    <t>3129</t>
  </si>
  <si>
    <t>rfMRI connectivity (ICA100 edge 701)</t>
  </si>
  <si>
    <t>3130</t>
  </si>
  <si>
    <t>rfMRI connectivity (ICA100 edge 702)</t>
  </si>
  <si>
    <t>3131</t>
  </si>
  <si>
    <t>rfMRI connectivity (ICA100 edge 703)</t>
  </si>
  <si>
    <t>3132</t>
  </si>
  <si>
    <t>rfMRI connectivity (ICA100 edge 704)</t>
  </si>
  <si>
    <t>3133</t>
  </si>
  <si>
    <t>rfMRI connectivity (ICA100 edge 705)</t>
  </si>
  <si>
    <t>3134</t>
  </si>
  <si>
    <t>rfMRI connectivity (ICA100 edge 706)</t>
  </si>
  <si>
    <t>3135</t>
  </si>
  <si>
    <t>rfMRI connectivity (ICA100 edge 707)</t>
  </si>
  <si>
    <t>3136</t>
  </si>
  <si>
    <t>rfMRI connectivity (ICA100 edge 708)</t>
  </si>
  <si>
    <t>3137</t>
  </si>
  <si>
    <t>rfMRI connectivity (ICA100 edge 709)</t>
  </si>
  <si>
    <t>3138</t>
  </si>
  <si>
    <t>rfMRI connectivity (ICA100 edge 710)</t>
  </si>
  <si>
    <t>3139</t>
  </si>
  <si>
    <t>rfMRI connectivity (ICA100 edge 711)</t>
  </si>
  <si>
    <t>3140</t>
  </si>
  <si>
    <t>rfMRI connectivity (ICA100 edge 712)</t>
  </si>
  <si>
    <t>3141</t>
  </si>
  <si>
    <t>rfMRI connectivity (ICA100 edge 713)</t>
  </si>
  <si>
    <t>3142</t>
  </si>
  <si>
    <t>rfMRI connectivity (ICA100 edge 714)</t>
  </si>
  <si>
    <t>3143</t>
  </si>
  <si>
    <t>rfMRI connectivity (ICA100 edge 715)</t>
  </si>
  <si>
    <t>3144</t>
  </si>
  <si>
    <t>rfMRI connectivity (ICA100 edge 716)</t>
  </si>
  <si>
    <t>3145</t>
  </si>
  <si>
    <t>rfMRI connectivity (ICA100 edge 717)</t>
  </si>
  <si>
    <t>3146</t>
  </si>
  <si>
    <t>rfMRI connectivity (ICA100 edge 718)</t>
  </si>
  <si>
    <t>3147</t>
  </si>
  <si>
    <t>rfMRI connectivity (ICA100 edge 719)</t>
  </si>
  <si>
    <t>3148</t>
  </si>
  <si>
    <t>rfMRI connectivity (ICA100 edge 720)</t>
  </si>
  <si>
    <t>3149</t>
  </si>
  <si>
    <t>rfMRI connectivity (ICA100 edge 721)</t>
  </si>
  <si>
    <t>3150</t>
  </si>
  <si>
    <t>rfMRI connectivity (ICA100 edge 722)</t>
  </si>
  <si>
    <t>3151</t>
  </si>
  <si>
    <t>rfMRI connectivity (ICA100 edge 723)</t>
  </si>
  <si>
    <t>3152</t>
  </si>
  <si>
    <t>rfMRI connectivity (ICA100 edge 724)</t>
  </si>
  <si>
    <t>3153</t>
  </si>
  <si>
    <t>rfMRI connectivity (ICA100 edge 725)</t>
  </si>
  <si>
    <t>3154</t>
  </si>
  <si>
    <t>rfMRI connectivity (ICA100 edge 726)</t>
  </si>
  <si>
    <t>3155</t>
  </si>
  <si>
    <t>rfMRI connectivity (ICA100 edge 727)</t>
  </si>
  <si>
    <t>3156</t>
  </si>
  <si>
    <t>rfMRI connectivity (ICA100 edge 728)</t>
  </si>
  <si>
    <t>3157</t>
  </si>
  <si>
    <t>rfMRI connectivity (ICA100 edge 729)</t>
  </si>
  <si>
    <t>3158</t>
  </si>
  <si>
    <t>rfMRI connectivity (ICA100 edge 730)</t>
  </si>
  <si>
    <t>3159</t>
  </si>
  <si>
    <t>rfMRI connectivity (ICA100 edge 731)</t>
  </si>
  <si>
    <t>3160</t>
  </si>
  <si>
    <t>rfMRI connectivity (ICA100 edge 732)</t>
  </si>
  <si>
    <t>3161</t>
  </si>
  <si>
    <t>rfMRI connectivity (ICA100 edge 733)</t>
  </si>
  <si>
    <t>3162</t>
  </si>
  <si>
    <t>rfMRI connectivity (ICA100 edge 734)</t>
  </si>
  <si>
    <t>3163</t>
  </si>
  <si>
    <t>rfMRI connectivity (ICA100 edge 735)</t>
  </si>
  <si>
    <t>3164</t>
  </si>
  <si>
    <t>rfMRI connectivity (ICA100 edge 736)</t>
  </si>
  <si>
    <t>3165</t>
  </si>
  <si>
    <t>rfMRI connectivity (ICA100 edge 737)</t>
  </si>
  <si>
    <t>3166</t>
  </si>
  <si>
    <t>rfMRI connectivity (ICA100 edge 738)</t>
  </si>
  <si>
    <t>3167</t>
  </si>
  <si>
    <t>rfMRI connectivity (ICA100 edge 739)</t>
  </si>
  <si>
    <t>3168</t>
  </si>
  <si>
    <t>rfMRI connectivity (ICA100 edge 740)</t>
  </si>
  <si>
    <t>3169</t>
  </si>
  <si>
    <t>rfMRI connectivity (ICA100 edge 741)</t>
  </si>
  <si>
    <t>3170</t>
  </si>
  <si>
    <t>rfMRI connectivity (ICA100 edge 742)</t>
  </si>
  <si>
    <t>3171</t>
  </si>
  <si>
    <t>rfMRI connectivity (ICA100 edge 743)</t>
  </si>
  <si>
    <t>3172</t>
  </si>
  <si>
    <t>rfMRI connectivity (ICA100 edge 744)</t>
  </si>
  <si>
    <t>3173</t>
  </si>
  <si>
    <t>rfMRI connectivity (ICA100 edge 745)</t>
  </si>
  <si>
    <t>3174</t>
  </si>
  <si>
    <t>rfMRI connectivity (ICA100 edge 746)</t>
  </si>
  <si>
    <t>3175</t>
  </si>
  <si>
    <t>rfMRI connectivity (ICA100 edge 747)</t>
  </si>
  <si>
    <t>3176</t>
  </si>
  <si>
    <t>rfMRI connectivity (ICA100 edge 748)</t>
  </si>
  <si>
    <t>3177</t>
  </si>
  <si>
    <t>rfMRI connectivity (ICA100 edge 749)</t>
  </si>
  <si>
    <t>3178</t>
  </si>
  <si>
    <t>rfMRI connectivity (ICA100 edge 750)</t>
  </si>
  <si>
    <t>3179</t>
  </si>
  <si>
    <t>rfMRI connectivity (ICA100 edge 751)</t>
  </si>
  <si>
    <t>3180</t>
  </si>
  <si>
    <t>rfMRI connectivity (ICA100 edge 752)</t>
  </si>
  <si>
    <t>3181</t>
  </si>
  <si>
    <t>rfMRI connectivity (ICA100 edge 753)</t>
  </si>
  <si>
    <t>3182</t>
  </si>
  <si>
    <t>rfMRI connectivity (ICA100 edge 754)</t>
  </si>
  <si>
    <t>3183</t>
  </si>
  <si>
    <t>rfMRI connectivity (ICA100 edge 755)</t>
  </si>
  <si>
    <t>3184</t>
  </si>
  <si>
    <t>rfMRI connectivity (ICA100 edge 756)</t>
  </si>
  <si>
    <t>3185</t>
  </si>
  <si>
    <t>rfMRI connectivity (ICA100 edge 757)</t>
  </si>
  <si>
    <t>3186</t>
  </si>
  <si>
    <t>rfMRI connectivity (ICA100 edge 758)</t>
  </si>
  <si>
    <t>3187</t>
  </si>
  <si>
    <t>rfMRI connectivity (ICA100 edge 759)</t>
  </si>
  <si>
    <t>3188</t>
  </si>
  <si>
    <t>rfMRI connectivity (ICA100 edge 760)</t>
  </si>
  <si>
    <t>3189</t>
  </si>
  <si>
    <t>rfMRI connectivity (ICA100 edge 761)</t>
  </si>
  <si>
    <t>3190</t>
  </si>
  <si>
    <t>rfMRI connectivity (ICA100 edge 762)</t>
  </si>
  <si>
    <t>3191</t>
  </si>
  <si>
    <t>rfMRI connectivity (ICA100 edge 763)</t>
  </si>
  <si>
    <t>3192</t>
  </si>
  <si>
    <t>rfMRI connectivity (ICA100 edge 764)</t>
  </si>
  <si>
    <t>3193</t>
  </si>
  <si>
    <t>rfMRI connectivity (ICA100 edge 765)</t>
  </si>
  <si>
    <t>3194</t>
  </si>
  <si>
    <t>rfMRI connectivity (ICA100 edge 766)</t>
  </si>
  <si>
    <t>3195</t>
  </si>
  <si>
    <t>rfMRI connectivity (ICA100 edge 767)</t>
  </si>
  <si>
    <t>3196</t>
  </si>
  <si>
    <t>rfMRI connectivity (ICA100 edge 768)</t>
  </si>
  <si>
    <t>3197</t>
  </si>
  <si>
    <t>rfMRI connectivity (ICA100 edge 769)</t>
  </si>
  <si>
    <t>3198</t>
  </si>
  <si>
    <t>rfMRI connectivity (ICA100 edge 770)</t>
  </si>
  <si>
    <t>3199</t>
  </si>
  <si>
    <t>rfMRI connectivity (ICA100 edge 771)</t>
  </si>
  <si>
    <t>3200</t>
  </si>
  <si>
    <t>rfMRI connectivity (ICA100 edge 772)</t>
  </si>
  <si>
    <t>3201</t>
  </si>
  <si>
    <t>rfMRI connectivity (ICA100 edge 773)</t>
  </si>
  <si>
    <t>3202</t>
  </si>
  <si>
    <t>rfMRI connectivity (ICA100 edge 774)</t>
  </si>
  <si>
    <t>3203</t>
  </si>
  <si>
    <t>rfMRI connectivity (ICA100 edge 775)</t>
  </si>
  <si>
    <t>3204</t>
  </si>
  <si>
    <t>rfMRI connectivity (ICA100 edge 776)</t>
  </si>
  <si>
    <t>3205</t>
  </si>
  <si>
    <t>rfMRI connectivity (ICA100 edge 777)</t>
  </si>
  <si>
    <t>3206</t>
  </si>
  <si>
    <t>rfMRI connectivity (ICA100 edge 778)</t>
  </si>
  <si>
    <t>3207</t>
  </si>
  <si>
    <t>rfMRI connectivity (ICA100 edge 779)</t>
  </si>
  <si>
    <t>3208</t>
  </si>
  <si>
    <t>rfMRI connectivity (ICA100 edge 780)</t>
  </si>
  <si>
    <t>3209</t>
  </si>
  <si>
    <t>rfMRI connectivity (ICA100 edge 781)</t>
  </si>
  <si>
    <t>3210</t>
  </si>
  <si>
    <t>rfMRI connectivity (ICA100 edge 782)</t>
  </si>
  <si>
    <t>3211</t>
  </si>
  <si>
    <t>rfMRI connectivity (ICA100 edge 783)</t>
  </si>
  <si>
    <t>3212</t>
  </si>
  <si>
    <t>rfMRI connectivity (ICA100 edge 784)</t>
  </si>
  <si>
    <t>3213</t>
  </si>
  <si>
    <t>rfMRI connectivity (ICA100 edge 785)</t>
  </si>
  <si>
    <t>3214</t>
  </si>
  <si>
    <t>rfMRI connectivity (ICA100 edge 786)</t>
  </si>
  <si>
    <t>3215</t>
  </si>
  <si>
    <t>rfMRI connectivity (ICA100 edge 787)</t>
  </si>
  <si>
    <t>3216</t>
  </si>
  <si>
    <t>rfMRI connectivity (ICA100 edge 788)</t>
  </si>
  <si>
    <t>3217</t>
  </si>
  <si>
    <t>rfMRI connectivity (ICA100 edge 789)</t>
  </si>
  <si>
    <t>3218</t>
  </si>
  <si>
    <t>rfMRI connectivity (ICA100 edge 790)</t>
  </si>
  <si>
    <t>3219</t>
  </si>
  <si>
    <t>rfMRI connectivity (ICA100 edge 791)</t>
  </si>
  <si>
    <t>3220</t>
  </si>
  <si>
    <t>rfMRI connectivity (ICA100 edge 792)</t>
  </si>
  <si>
    <t>3221</t>
  </si>
  <si>
    <t>rfMRI connectivity (ICA100 edge 793)</t>
  </si>
  <si>
    <t>3222</t>
  </si>
  <si>
    <t>rfMRI connectivity (ICA100 edge 794)</t>
  </si>
  <si>
    <t>3223</t>
  </si>
  <si>
    <t>rfMRI connectivity (ICA100 edge 795)</t>
  </si>
  <si>
    <t>3224</t>
  </si>
  <si>
    <t>rfMRI connectivity (ICA100 edge 796)</t>
  </si>
  <si>
    <t>3225</t>
  </si>
  <si>
    <t>rfMRI connectivity (ICA100 edge 797)</t>
  </si>
  <si>
    <t>3226</t>
  </si>
  <si>
    <t>rfMRI connectivity (ICA100 edge 798)</t>
  </si>
  <si>
    <t>3227</t>
  </si>
  <si>
    <t>rfMRI connectivity (ICA100 edge 799)</t>
  </si>
  <si>
    <t>3228</t>
  </si>
  <si>
    <t>rfMRI connectivity (ICA100 edge 800)</t>
  </si>
  <si>
    <t>3229</t>
  </si>
  <si>
    <t>rfMRI connectivity (ICA100 edge 801)</t>
  </si>
  <si>
    <t>3230</t>
  </si>
  <si>
    <t>rfMRI connectivity (ICA100 edge 802)</t>
  </si>
  <si>
    <t>3231</t>
  </si>
  <si>
    <t>rfMRI connectivity (ICA100 edge 803)</t>
  </si>
  <si>
    <t>3232</t>
  </si>
  <si>
    <t>rfMRI connectivity (ICA100 edge 804)</t>
  </si>
  <si>
    <t>3233</t>
  </si>
  <si>
    <t>rfMRI connectivity (ICA100 edge 805)</t>
  </si>
  <si>
    <t>3234</t>
  </si>
  <si>
    <t>rfMRI connectivity (ICA100 edge 806)</t>
  </si>
  <si>
    <t>3235</t>
  </si>
  <si>
    <t>rfMRI connectivity (ICA100 edge 807)</t>
  </si>
  <si>
    <t>3236</t>
  </si>
  <si>
    <t>rfMRI connectivity (ICA100 edge 808)</t>
  </si>
  <si>
    <t>3237</t>
  </si>
  <si>
    <t>rfMRI connectivity (ICA100 edge 809)</t>
  </si>
  <si>
    <t>3238</t>
  </si>
  <si>
    <t>rfMRI connectivity (ICA100 edge 810)</t>
  </si>
  <si>
    <t>3239</t>
  </si>
  <si>
    <t>rfMRI connectivity (ICA100 edge 811)</t>
  </si>
  <si>
    <t>3240</t>
  </si>
  <si>
    <t>rfMRI connectivity (ICA100 edge 812)</t>
  </si>
  <si>
    <t>3241</t>
  </si>
  <si>
    <t>rfMRI connectivity (ICA100 edge 813)</t>
  </si>
  <si>
    <t>3242</t>
  </si>
  <si>
    <t>rfMRI connectivity (ICA100 edge 814)</t>
  </si>
  <si>
    <t>3243</t>
  </si>
  <si>
    <t>rfMRI connectivity (ICA100 edge 815)</t>
  </si>
  <si>
    <t>3244</t>
  </si>
  <si>
    <t>rfMRI connectivity (ICA100 edge 816)</t>
  </si>
  <si>
    <t>3245</t>
  </si>
  <si>
    <t>rfMRI connectivity (ICA100 edge 817)</t>
  </si>
  <si>
    <t>3246</t>
  </si>
  <si>
    <t>rfMRI connectivity (ICA100 edge 818)</t>
  </si>
  <si>
    <t>3247</t>
  </si>
  <si>
    <t>rfMRI connectivity (ICA100 edge 819)</t>
  </si>
  <si>
    <t>3248</t>
  </si>
  <si>
    <t>rfMRI connectivity (ICA100 edge 820)</t>
  </si>
  <si>
    <t>3249</t>
  </si>
  <si>
    <t>rfMRI connectivity (ICA100 edge 821)</t>
  </si>
  <si>
    <t>3250</t>
  </si>
  <si>
    <t>rfMRI connectivity (ICA100 edge 822)</t>
  </si>
  <si>
    <t>3251</t>
  </si>
  <si>
    <t>rfMRI connectivity (ICA100 edge 823)</t>
  </si>
  <si>
    <t>3252</t>
  </si>
  <si>
    <t>rfMRI connectivity (ICA100 edge 824)</t>
  </si>
  <si>
    <t>3253</t>
  </si>
  <si>
    <t>rfMRI connectivity (ICA100 edge 825)</t>
  </si>
  <si>
    <t>3254</t>
  </si>
  <si>
    <t>rfMRI connectivity (ICA100 edge 826)</t>
  </si>
  <si>
    <t>3255</t>
  </si>
  <si>
    <t>rfMRI connectivity (ICA100 edge 827)</t>
  </si>
  <si>
    <t>3256</t>
  </si>
  <si>
    <t>rfMRI connectivity (ICA100 edge 828)</t>
  </si>
  <si>
    <t>3257</t>
  </si>
  <si>
    <t>rfMRI connectivity (ICA100 edge 829)</t>
  </si>
  <si>
    <t>3258</t>
  </si>
  <si>
    <t>rfMRI connectivity (ICA100 edge 830)</t>
  </si>
  <si>
    <t>3259</t>
  </si>
  <si>
    <t>rfMRI connectivity (ICA100 edge 831)</t>
  </si>
  <si>
    <t>3260</t>
  </si>
  <si>
    <t>rfMRI connectivity (ICA100 edge 832)</t>
  </si>
  <si>
    <t>3261</t>
  </si>
  <si>
    <t>rfMRI connectivity (ICA100 edge 833)</t>
  </si>
  <si>
    <t>3262</t>
  </si>
  <si>
    <t>rfMRI connectivity (ICA100 edge 834)</t>
  </si>
  <si>
    <t>3263</t>
  </si>
  <si>
    <t>rfMRI connectivity (ICA100 edge 835)</t>
  </si>
  <si>
    <t>3264</t>
  </si>
  <si>
    <t>rfMRI connectivity (ICA100 edge 836)</t>
  </si>
  <si>
    <t>3265</t>
  </si>
  <si>
    <t>rfMRI connectivity (ICA100 edge 837)</t>
  </si>
  <si>
    <t>3266</t>
  </si>
  <si>
    <t>rfMRI connectivity (ICA100 edge 838)</t>
  </si>
  <si>
    <t>3267</t>
  </si>
  <si>
    <t>rfMRI connectivity (ICA100 edge 839)</t>
  </si>
  <si>
    <t>3268</t>
  </si>
  <si>
    <t>rfMRI connectivity (ICA100 edge 840)</t>
  </si>
  <si>
    <t>3269</t>
  </si>
  <si>
    <t>rfMRI connectivity (ICA100 edge 841)</t>
  </si>
  <si>
    <t>3270</t>
  </si>
  <si>
    <t>rfMRI connectivity (ICA100 edge 842)</t>
  </si>
  <si>
    <t>3271</t>
  </si>
  <si>
    <t>rfMRI connectivity (ICA100 edge 843)</t>
  </si>
  <si>
    <t>3272</t>
  </si>
  <si>
    <t>rfMRI connectivity (ICA100 edge 844)</t>
  </si>
  <si>
    <t>3273</t>
  </si>
  <si>
    <t>rfMRI connectivity (ICA100 edge 845)</t>
  </si>
  <si>
    <t>3274</t>
  </si>
  <si>
    <t>rfMRI connectivity (ICA100 edge 846)</t>
  </si>
  <si>
    <t>3275</t>
  </si>
  <si>
    <t>rfMRI connectivity (ICA100 edge 847)</t>
  </si>
  <si>
    <t>3276</t>
  </si>
  <si>
    <t>rfMRI connectivity (ICA100 edge 848)</t>
  </si>
  <si>
    <t>3277</t>
  </si>
  <si>
    <t>rfMRI connectivity (ICA100 edge 849)</t>
  </si>
  <si>
    <t>3278</t>
  </si>
  <si>
    <t>rfMRI connectivity (ICA100 edge 850)</t>
  </si>
  <si>
    <t>3279</t>
  </si>
  <si>
    <t>rfMRI connectivity (ICA100 edge 851)</t>
  </si>
  <si>
    <t>3280</t>
  </si>
  <si>
    <t>rfMRI connectivity (ICA100 edge 852)</t>
  </si>
  <si>
    <t>3281</t>
  </si>
  <si>
    <t>rfMRI connectivity (ICA100 edge 853)</t>
  </si>
  <si>
    <t>3282</t>
  </si>
  <si>
    <t>rfMRI connectivity (ICA100 edge 854)</t>
  </si>
  <si>
    <t>3283</t>
  </si>
  <si>
    <t>rfMRI connectivity (ICA100 edge 855)</t>
  </si>
  <si>
    <t>3284</t>
  </si>
  <si>
    <t>rfMRI connectivity (ICA100 edge 856)</t>
  </si>
  <si>
    <t>3285</t>
  </si>
  <si>
    <t>rfMRI connectivity (ICA100 edge 857)</t>
  </si>
  <si>
    <t>3286</t>
  </si>
  <si>
    <t>rfMRI connectivity (ICA100 edge 858)</t>
  </si>
  <si>
    <t>3287</t>
  </si>
  <si>
    <t>rfMRI connectivity (ICA100 edge 859)</t>
  </si>
  <si>
    <t>3288</t>
  </si>
  <si>
    <t>rfMRI connectivity (ICA100 edge 860)</t>
  </si>
  <si>
    <t>3289</t>
  </si>
  <si>
    <t>rfMRI connectivity (ICA100 edge 861)</t>
  </si>
  <si>
    <t>3290</t>
  </si>
  <si>
    <t>rfMRI connectivity (ICA100 edge 862)</t>
  </si>
  <si>
    <t>3291</t>
  </si>
  <si>
    <t>rfMRI connectivity (ICA100 edge 863)</t>
  </si>
  <si>
    <t>3292</t>
  </si>
  <si>
    <t>rfMRI connectivity (ICA100 edge 864)</t>
  </si>
  <si>
    <t>3293</t>
  </si>
  <si>
    <t>rfMRI connectivity (ICA100 edge 865)</t>
  </si>
  <si>
    <t>3294</t>
  </si>
  <si>
    <t>rfMRI connectivity (ICA100 edge 866)</t>
  </si>
  <si>
    <t>3295</t>
  </si>
  <si>
    <t>rfMRI connectivity (ICA100 edge 867)</t>
  </si>
  <si>
    <t>3296</t>
  </si>
  <si>
    <t>rfMRI connectivity (ICA100 edge 868)</t>
  </si>
  <si>
    <t>3297</t>
  </si>
  <si>
    <t>rfMRI connectivity (ICA100 edge 869)</t>
  </si>
  <si>
    <t>3298</t>
  </si>
  <si>
    <t>rfMRI connectivity (ICA100 edge 870)</t>
  </si>
  <si>
    <t>3299</t>
  </si>
  <si>
    <t>rfMRI connectivity (ICA100 edge 871)</t>
  </si>
  <si>
    <t>3300</t>
  </si>
  <si>
    <t>rfMRI connectivity (ICA100 edge 872)</t>
  </si>
  <si>
    <t>3301</t>
  </si>
  <si>
    <t>rfMRI connectivity (ICA100 edge 873)</t>
  </si>
  <si>
    <t>3302</t>
  </si>
  <si>
    <t>rfMRI connectivity (ICA100 edge 874)</t>
  </si>
  <si>
    <t>3303</t>
  </si>
  <si>
    <t>rfMRI connectivity (ICA100 edge 875)</t>
  </si>
  <si>
    <t>3304</t>
  </si>
  <si>
    <t>rfMRI connectivity (ICA100 edge 876)</t>
  </si>
  <si>
    <t>3305</t>
  </si>
  <si>
    <t>rfMRI connectivity (ICA100 edge 877)</t>
  </si>
  <si>
    <t>3306</t>
  </si>
  <si>
    <t>rfMRI connectivity (ICA100 edge 878)</t>
  </si>
  <si>
    <t>3307</t>
  </si>
  <si>
    <t>rfMRI connectivity (ICA100 edge 879)</t>
  </si>
  <si>
    <t>3308</t>
  </si>
  <si>
    <t>rfMRI connectivity (ICA100 edge 880)</t>
  </si>
  <si>
    <t>3309</t>
  </si>
  <si>
    <t>rfMRI connectivity (ICA100 edge 881)</t>
  </si>
  <si>
    <t>3310</t>
  </si>
  <si>
    <t>rfMRI connectivity (ICA100 edge 882)</t>
  </si>
  <si>
    <t>3311</t>
  </si>
  <si>
    <t>rfMRI connectivity (ICA100 edge 883)</t>
  </si>
  <si>
    <t>3312</t>
  </si>
  <si>
    <t>rfMRI connectivity (ICA100 edge 884)</t>
  </si>
  <si>
    <t>3313</t>
  </si>
  <si>
    <t>rfMRI connectivity (ICA100 edge 885)</t>
  </si>
  <si>
    <t>3314</t>
  </si>
  <si>
    <t>rfMRI connectivity (ICA100 edge 886)</t>
  </si>
  <si>
    <t>3315</t>
  </si>
  <si>
    <t>rfMRI connectivity (ICA100 edge 887)</t>
  </si>
  <si>
    <t>3316</t>
  </si>
  <si>
    <t>rfMRI connectivity (ICA100 edge 888)</t>
  </si>
  <si>
    <t>3317</t>
  </si>
  <si>
    <t>rfMRI connectivity (ICA100 edge 889)</t>
  </si>
  <si>
    <t>3318</t>
  </si>
  <si>
    <t>rfMRI connectivity (ICA100 edge 890)</t>
  </si>
  <si>
    <t>3319</t>
  </si>
  <si>
    <t>rfMRI connectivity (ICA100 edge 891)</t>
  </si>
  <si>
    <t>3320</t>
  </si>
  <si>
    <t>rfMRI connectivity (ICA100 edge 892)</t>
  </si>
  <si>
    <t>3321</t>
  </si>
  <si>
    <t>rfMRI connectivity (ICA100 edge 893)</t>
  </si>
  <si>
    <t>3322</t>
  </si>
  <si>
    <t>rfMRI connectivity (ICA100 edge 894)</t>
  </si>
  <si>
    <t>3323</t>
  </si>
  <si>
    <t>rfMRI connectivity (ICA100 edge 895)</t>
  </si>
  <si>
    <t>3324</t>
  </si>
  <si>
    <t>rfMRI connectivity (ICA100 edge 896)</t>
  </si>
  <si>
    <t>3325</t>
  </si>
  <si>
    <t>rfMRI connectivity (ICA100 edge 897)</t>
  </si>
  <si>
    <t>3326</t>
  </si>
  <si>
    <t>rfMRI connectivity (ICA100 edge 898)</t>
  </si>
  <si>
    <t>3327</t>
  </si>
  <si>
    <t>rfMRI connectivity (ICA100 edge 899)</t>
  </si>
  <si>
    <t>3328</t>
  </si>
  <si>
    <t>rfMRI connectivity (ICA100 edge 900)</t>
  </si>
  <si>
    <t>3329</t>
  </si>
  <si>
    <t>rfMRI connectivity (ICA100 edge 901)</t>
  </si>
  <si>
    <t>3330</t>
  </si>
  <si>
    <t>rfMRI connectivity (ICA100 edge 902)</t>
  </si>
  <si>
    <t>3331</t>
  </si>
  <si>
    <t>rfMRI connectivity (ICA100 edge 903)</t>
  </si>
  <si>
    <t>3332</t>
  </si>
  <si>
    <t>rfMRI connectivity (ICA100 edge 904)</t>
  </si>
  <si>
    <t>3333</t>
  </si>
  <si>
    <t>rfMRI connectivity (ICA100 edge 905)</t>
  </si>
  <si>
    <t>3334</t>
  </si>
  <si>
    <t>rfMRI connectivity (ICA100 edge 906)</t>
  </si>
  <si>
    <t>3335</t>
  </si>
  <si>
    <t>rfMRI connectivity (ICA100 edge 907)</t>
  </si>
  <si>
    <t>3336</t>
  </si>
  <si>
    <t>rfMRI connectivity (ICA100 edge 908)</t>
  </si>
  <si>
    <t>3337</t>
  </si>
  <si>
    <t>rfMRI connectivity (ICA100 edge 909)</t>
  </si>
  <si>
    <t>3338</t>
  </si>
  <si>
    <t>rfMRI connectivity (ICA100 edge 910)</t>
  </si>
  <si>
    <t>3339</t>
  </si>
  <si>
    <t>rfMRI connectivity (ICA100 edge 911)</t>
  </si>
  <si>
    <t>3340</t>
  </si>
  <si>
    <t>rfMRI connectivity (ICA100 edge 912)</t>
  </si>
  <si>
    <t>3341</t>
  </si>
  <si>
    <t>rfMRI connectivity (ICA100 edge 913)</t>
  </si>
  <si>
    <t>3342</t>
  </si>
  <si>
    <t>rfMRI connectivity (ICA100 edge 914)</t>
  </si>
  <si>
    <t>3343</t>
  </si>
  <si>
    <t>rfMRI connectivity (ICA100 edge 915)</t>
  </si>
  <si>
    <t>3344</t>
  </si>
  <si>
    <t>rfMRI connectivity (ICA100 edge 916)</t>
  </si>
  <si>
    <t>3345</t>
  </si>
  <si>
    <t>rfMRI connectivity (ICA100 edge 917)</t>
  </si>
  <si>
    <t>3346</t>
  </si>
  <si>
    <t>rfMRI connectivity (ICA100 edge 918)</t>
  </si>
  <si>
    <t>3347</t>
  </si>
  <si>
    <t>rfMRI connectivity (ICA100 edge 919)</t>
  </si>
  <si>
    <t>3348</t>
  </si>
  <si>
    <t>rfMRI connectivity (ICA100 edge 920)</t>
  </si>
  <si>
    <t>3349</t>
  </si>
  <si>
    <t>rfMRI connectivity (ICA100 edge 921)</t>
  </si>
  <si>
    <t>3350</t>
  </si>
  <si>
    <t>rfMRI connectivity (ICA100 edge 922)</t>
  </si>
  <si>
    <t>3351</t>
  </si>
  <si>
    <t>rfMRI connectivity (ICA100 edge 923)</t>
  </si>
  <si>
    <t>3352</t>
  </si>
  <si>
    <t>rfMRI connectivity (ICA100 edge 924)</t>
  </si>
  <si>
    <t>3353</t>
  </si>
  <si>
    <t>rfMRI connectivity (ICA100 edge 925)</t>
  </si>
  <si>
    <t>3354</t>
  </si>
  <si>
    <t>rfMRI connectivity (ICA100 edge 926)</t>
  </si>
  <si>
    <t>3355</t>
  </si>
  <si>
    <t>rfMRI connectivity (ICA100 edge 927)</t>
  </si>
  <si>
    <t>3356</t>
  </si>
  <si>
    <t>rfMRI connectivity (ICA100 edge 928)</t>
  </si>
  <si>
    <t>3357</t>
  </si>
  <si>
    <t>rfMRI connectivity (ICA100 edge 929)</t>
  </si>
  <si>
    <t>3358</t>
  </si>
  <si>
    <t>rfMRI connectivity (ICA100 edge 930)</t>
  </si>
  <si>
    <t>3359</t>
  </si>
  <si>
    <t>rfMRI connectivity (ICA100 edge 931)</t>
  </si>
  <si>
    <t>3360</t>
  </si>
  <si>
    <t>rfMRI connectivity (ICA100 edge 932)</t>
  </si>
  <si>
    <t>3361</t>
  </si>
  <si>
    <t>rfMRI connectivity (ICA100 edge 933)</t>
  </si>
  <si>
    <t>3362</t>
  </si>
  <si>
    <t>rfMRI connectivity (ICA100 edge 934)</t>
  </si>
  <si>
    <t>3363</t>
  </si>
  <si>
    <t>rfMRI connectivity (ICA100 edge 935)</t>
  </si>
  <si>
    <t>3364</t>
  </si>
  <si>
    <t>rfMRI connectivity (ICA100 edge 936)</t>
  </si>
  <si>
    <t>3365</t>
  </si>
  <si>
    <t>rfMRI connectivity (ICA100 edge 937)</t>
  </si>
  <si>
    <t>3366</t>
  </si>
  <si>
    <t>rfMRI connectivity (ICA100 edge 938)</t>
  </si>
  <si>
    <t>3367</t>
  </si>
  <si>
    <t>rfMRI connectivity (ICA100 edge 939)</t>
  </si>
  <si>
    <t>3368</t>
  </si>
  <si>
    <t>rfMRI connectivity (ICA100 edge 940)</t>
  </si>
  <si>
    <t>3369</t>
  </si>
  <si>
    <t>rfMRI connectivity (ICA100 edge 941)</t>
  </si>
  <si>
    <t>3370</t>
  </si>
  <si>
    <t>rfMRI connectivity (ICA100 edge 942)</t>
  </si>
  <si>
    <t>3371</t>
  </si>
  <si>
    <t>rfMRI connectivity (ICA100 edge 943)</t>
  </si>
  <si>
    <t>3372</t>
  </si>
  <si>
    <t>rfMRI connectivity (ICA100 edge 944)</t>
  </si>
  <si>
    <t>3373</t>
  </si>
  <si>
    <t>rfMRI connectivity (ICA100 edge 945)</t>
  </si>
  <si>
    <t>3374</t>
  </si>
  <si>
    <t>rfMRI connectivity (ICA100 edge 946)</t>
  </si>
  <si>
    <t>3375</t>
  </si>
  <si>
    <t>rfMRI connectivity (ICA100 edge 947)</t>
  </si>
  <si>
    <t>3376</t>
  </si>
  <si>
    <t>rfMRI connectivity (ICA100 edge 948)</t>
  </si>
  <si>
    <t>3377</t>
  </si>
  <si>
    <t>rfMRI connectivity (ICA100 edge 949)</t>
  </si>
  <si>
    <t>3378</t>
  </si>
  <si>
    <t>rfMRI connectivity (ICA100 edge 950)</t>
  </si>
  <si>
    <t>3379</t>
  </si>
  <si>
    <t>rfMRI connectivity (ICA100 edge 951)</t>
  </si>
  <si>
    <t>3380</t>
  </si>
  <si>
    <t>rfMRI connectivity (ICA100 edge 952)</t>
  </si>
  <si>
    <t>3381</t>
  </si>
  <si>
    <t>rfMRI connectivity (ICA100 edge 953)</t>
  </si>
  <si>
    <t>3382</t>
  </si>
  <si>
    <t>rfMRI connectivity (ICA100 edge 954)</t>
  </si>
  <si>
    <t>3383</t>
  </si>
  <si>
    <t>rfMRI connectivity (ICA100 edge 955)</t>
  </si>
  <si>
    <t>3384</t>
  </si>
  <si>
    <t>rfMRI connectivity (ICA100 edge 956)</t>
  </si>
  <si>
    <t>3385</t>
  </si>
  <si>
    <t>rfMRI connectivity (ICA100 edge 957)</t>
  </si>
  <si>
    <t>3386</t>
  </si>
  <si>
    <t>rfMRI connectivity (ICA100 edge 958)</t>
  </si>
  <si>
    <t>3387</t>
  </si>
  <si>
    <t>rfMRI connectivity (ICA100 edge 959)</t>
  </si>
  <si>
    <t>3388</t>
  </si>
  <si>
    <t>rfMRI connectivity (ICA100 edge 960)</t>
  </si>
  <si>
    <t>3389</t>
  </si>
  <si>
    <t>rfMRI connectivity (ICA100 edge 961)</t>
  </si>
  <si>
    <t>3390</t>
  </si>
  <si>
    <t>rfMRI connectivity (ICA100 edge 962)</t>
  </si>
  <si>
    <t>3391</t>
  </si>
  <si>
    <t>rfMRI connectivity (ICA100 edge 963)</t>
  </si>
  <si>
    <t>3392</t>
  </si>
  <si>
    <t>rfMRI connectivity (ICA100 edge 964)</t>
  </si>
  <si>
    <t>3393</t>
  </si>
  <si>
    <t>rfMRI connectivity (ICA100 edge 965)</t>
  </si>
  <si>
    <t>3394</t>
  </si>
  <si>
    <t>rfMRI connectivity (ICA100 edge 966)</t>
  </si>
  <si>
    <t>3395</t>
  </si>
  <si>
    <t>rfMRI connectivity (ICA100 edge 967)</t>
  </si>
  <si>
    <t>3396</t>
  </si>
  <si>
    <t>rfMRI connectivity (ICA100 edge 968)</t>
  </si>
  <si>
    <t>3397</t>
  </si>
  <si>
    <t>rfMRI connectivity (ICA100 edge 969)</t>
  </si>
  <si>
    <t>3398</t>
  </si>
  <si>
    <t>rfMRI connectivity (ICA100 edge 970)</t>
  </si>
  <si>
    <t>3399</t>
  </si>
  <si>
    <t>rfMRI connectivity (ICA100 edge 971)</t>
  </si>
  <si>
    <t>3400</t>
  </si>
  <si>
    <t>rfMRI connectivity (ICA100 edge 972)</t>
  </si>
  <si>
    <t>3401</t>
  </si>
  <si>
    <t>rfMRI connectivity (ICA100 edge 973)</t>
  </si>
  <si>
    <t>3402</t>
  </si>
  <si>
    <t>rfMRI connectivity (ICA100 edge 974)</t>
  </si>
  <si>
    <t>3403</t>
  </si>
  <si>
    <t>rfMRI connectivity (ICA100 edge 975)</t>
  </si>
  <si>
    <t>3404</t>
  </si>
  <si>
    <t>rfMRI connectivity (ICA100 edge 976)</t>
  </si>
  <si>
    <t>3405</t>
  </si>
  <si>
    <t>rfMRI connectivity (ICA100 edge 977)</t>
  </si>
  <si>
    <t>3406</t>
  </si>
  <si>
    <t>rfMRI connectivity (ICA100 edge 978)</t>
  </si>
  <si>
    <t>3407</t>
  </si>
  <si>
    <t>rfMRI connectivity (ICA100 edge 979)</t>
  </si>
  <si>
    <t>3408</t>
  </si>
  <si>
    <t>rfMRI connectivity (ICA100 edge 980)</t>
  </si>
  <si>
    <t>3409</t>
  </si>
  <si>
    <t>rfMRI connectivity (ICA100 edge 981)</t>
  </si>
  <si>
    <t>3410</t>
  </si>
  <si>
    <t>rfMRI connectivity (ICA100 edge 982)</t>
  </si>
  <si>
    <t>3411</t>
  </si>
  <si>
    <t>rfMRI connectivity (ICA100 edge 983)</t>
  </si>
  <si>
    <t>3412</t>
  </si>
  <si>
    <t>rfMRI connectivity (ICA100 edge 984)</t>
  </si>
  <si>
    <t>3413</t>
  </si>
  <si>
    <t>rfMRI connectivity (ICA100 edge 985)</t>
  </si>
  <si>
    <t>3414</t>
  </si>
  <si>
    <t>rfMRI connectivity (ICA100 edge 986)</t>
  </si>
  <si>
    <t>3415</t>
  </si>
  <si>
    <t>rfMRI connectivity (ICA100 edge 987)</t>
  </si>
  <si>
    <t>3416</t>
  </si>
  <si>
    <t>rfMRI connectivity (ICA100 edge 988)</t>
  </si>
  <si>
    <t>3417</t>
  </si>
  <si>
    <t>rfMRI connectivity (ICA100 edge 989)</t>
  </si>
  <si>
    <t>3418</t>
  </si>
  <si>
    <t>rfMRI connectivity (ICA100 edge 990)</t>
  </si>
  <si>
    <t>3419</t>
  </si>
  <si>
    <t>rfMRI connectivity (ICA100 edge 991)</t>
  </si>
  <si>
    <t>3420</t>
  </si>
  <si>
    <t>rfMRI connectivity (ICA100 edge 992)</t>
  </si>
  <si>
    <t>3421</t>
  </si>
  <si>
    <t>rfMRI connectivity (ICA100 edge 993)</t>
  </si>
  <si>
    <t>3422</t>
  </si>
  <si>
    <t>rfMRI connectivity (ICA100 edge 994)</t>
  </si>
  <si>
    <t>3423</t>
  </si>
  <si>
    <t>rfMRI connectivity (ICA100 edge 995)</t>
  </si>
  <si>
    <t>3424</t>
  </si>
  <si>
    <t>rfMRI connectivity (ICA100 edge 996)</t>
  </si>
  <si>
    <t>3425</t>
  </si>
  <si>
    <t>rfMRI connectivity (ICA100 edge 997)</t>
  </si>
  <si>
    <t>3426</t>
  </si>
  <si>
    <t>rfMRI connectivity (ICA100 edge 998)</t>
  </si>
  <si>
    <t>3427</t>
  </si>
  <si>
    <t>rfMRI connectivity (ICA100 edge 999)</t>
  </si>
  <si>
    <t>3428</t>
  </si>
  <si>
    <t>rfMRI connectivity (ICA100 edge 1000)</t>
  </si>
  <si>
    <t>3429</t>
  </si>
  <si>
    <t>rfMRI connectivity (ICA100 edge 1001)</t>
  </si>
  <si>
    <t>3430</t>
  </si>
  <si>
    <t>rfMRI connectivity (ICA100 edge 1002)</t>
  </si>
  <si>
    <t>3431</t>
  </si>
  <si>
    <t>rfMRI connectivity (ICA100 edge 1003)</t>
  </si>
  <si>
    <t>3432</t>
  </si>
  <si>
    <t>rfMRI connectivity (ICA100 edge 1004)</t>
  </si>
  <si>
    <t>3433</t>
  </si>
  <si>
    <t>rfMRI connectivity (ICA100 edge 1005)</t>
  </si>
  <si>
    <t>3434</t>
  </si>
  <si>
    <t>rfMRI connectivity (ICA100 edge 1006)</t>
  </si>
  <si>
    <t>3435</t>
  </si>
  <si>
    <t>rfMRI connectivity (ICA100 edge 1007)</t>
  </si>
  <si>
    <t>3436</t>
  </si>
  <si>
    <t>rfMRI connectivity (ICA100 edge 1008)</t>
  </si>
  <si>
    <t>3437</t>
  </si>
  <si>
    <t>rfMRI connectivity (ICA100 edge 1009)</t>
  </si>
  <si>
    <t>3438</t>
  </si>
  <si>
    <t>rfMRI connectivity (ICA100 edge 1010)</t>
  </si>
  <si>
    <t>3439</t>
  </si>
  <si>
    <t>rfMRI connectivity (ICA100 edge 1011)</t>
  </si>
  <si>
    <t>3440</t>
  </si>
  <si>
    <t>rfMRI connectivity (ICA100 edge 1012)</t>
  </si>
  <si>
    <t>3441</t>
  </si>
  <si>
    <t>rfMRI connectivity (ICA100 edge 1013)</t>
  </si>
  <si>
    <t>3442</t>
  </si>
  <si>
    <t>rfMRI connectivity (ICA100 edge 1014)</t>
  </si>
  <si>
    <t>3443</t>
  </si>
  <si>
    <t>rfMRI connectivity (ICA100 edge 1015)</t>
  </si>
  <si>
    <t>3444</t>
  </si>
  <si>
    <t>rfMRI connectivity (ICA100 edge 1016)</t>
  </si>
  <si>
    <t>3445</t>
  </si>
  <si>
    <t>rfMRI connectivity (ICA100 edge 1017)</t>
  </si>
  <si>
    <t>3446</t>
  </si>
  <si>
    <t>rfMRI connectivity (ICA100 edge 1018)</t>
  </si>
  <si>
    <t>3447</t>
  </si>
  <si>
    <t>rfMRI connectivity (ICA100 edge 1019)</t>
  </si>
  <si>
    <t>3448</t>
  </si>
  <si>
    <t>rfMRI connectivity (ICA100 edge 1020)</t>
  </si>
  <si>
    <t>3449</t>
  </si>
  <si>
    <t>rfMRI connectivity (ICA100 edge 1021)</t>
  </si>
  <si>
    <t>3450</t>
  </si>
  <si>
    <t>rfMRI connectivity (ICA100 edge 1022)</t>
  </si>
  <si>
    <t>3451</t>
  </si>
  <si>
    <t>rfMRI connectivity (ICA100 edge 1023)</t>
  </si>
  <si>
    <t>3452</t>
  </si>
  <si>
    <t>rfMRI connectivity (ICA100 edge 1024)</t>
  </si>
  <si>
    <t>3453</t>
  </si>
  <si>
    <t>rfMRI connectivity (ICA100 edge 1025)</t>
  </si>
  <si>
    <t>3454</t>
  </si>
  <si>
    <t>rfMRI connectivity (ICA100 edge 1026)</t>
  </si>
  <si>
    <t>3455</t>
  </si>
  <si>
    <t>rfMRI connectivity (ICA100 edge 1027)</t>
  </si>
  <si>
    <t>3456</t>
  </si>
  <si>
    <t>rfMRI connectivity (ICA100 edge 1028)</t>
  </si>
  <si>
    <t>3457</t>
  </si>
  <si>
    <t>rfMRI connectivity (ICA100 edge 1029)</t>
  </si>
  <si>
    <t>3458</t>
  </si>
  <si>
    <t>rfMRI connectivity (ICA100 edge 1030)</t>
  </si>
  <si>
    <t>3459</t>
  </si>
  <si>
    <t>rfMRI connectivity (ICA100 edge 1031)</t>
  </si>
  <si>
    <t>3460</t>
  </si>
  <si>
    <t>rfMRI connectivity (ICA100 edge 1032)</t>
  </si>
  <si>
    <t>3461</t>
  </si>
  <si>
    <t>rfMRI connectivity (ICA100 edge 1033)</t>
  </si>
  <si>
    <t>3462</t>
  </si>
  <si>
    <t>rfMRI connectivity (ICA100 edge 1034)</t>
  </si>
  <si>
    <t>3463</t>
  </si>
  <si>
    <t>rfMRI connectivity (ICA100 edge 1035)</t>
  </si>
  <si>
    <t>3464</t>
  </si>
  <si>
    <t>rfMRI connectivity (ICA100 edge 1036)</t>
  </si>
  <si>
    <t>3465</t>
  </si>
  <si>
    <t>rfMRI connectivity (ICA100 edge 1037)</t>
  </si>
  <si>
    <t>3466</t>
  </si>
  <si>
    <t>rfMRI connectivity (ICA100 edge 1038)</t>
  </si>
  <si>
    <t>3467</t>
  </si>
  <si>
    <t>rfMRI connectivity (ICA100 edge 1039)</t>
  </si>
  <si>
    <t>3468</t>
  </si>
  <si>
    <t>rfMRI connectivity (ICA100 edge 1040)</t>
  </si>
  <si>
    <t>3469</t>
  </si>
  <si>
    <t>rfMRI connectivity (ICA100 edge 1041)</t>
  </si>
  <si>
    <t>3470</t>
  </si>
  <si>
    <t>rfMRI connectivity (ICA100 edge 1042)</t>
  </si>
  <si>
    <t>3471</t>
  </si>
  <si>
    <t>rfMRI connectivity (ICA100 edge 1043)</t>
  </si>
  <si>
    <t>3472</t>
  </si>
  <si>
    <t>rfMRI connectivity (ICA100 edge 1044)</t>
  </si>
  <si>
    <t>3473</t>
  </si>
  <si>
    <t>rfMRI connectivity (ICA100 edge 1045)</t>
  </si>
  <si>
    <t>3474</t>
  </si>
  <si>
    <t>rfMRI connectivity (ICA100 edge 1046)</t>
  </si>
  <si>
    <t>3475</t>
  </si>
  <si>
    <t>rfMRI connectivity (ICA100 edge 1047)</t>
  </si>
  <si>
    <t>3476</t>
  </si>
  <si>
    <t>rfMRI connectivity (ICA100 edge 1048)</t>
  </si>
  <si>
    <t>3477</t>
  </si>
  <si>
    <t>rfMRI connectivity (ICA100 edge 1049)</t>
  </si>
  <si>
    <t>3478</t>
  </si>
  <si>
    <t>rfMRI connectivity (ICA100 edge 1050)</t>
  </si>
  <si>
    <t>3479</t>
  </si>
  <si>
    <t>rfMRI connectivity (ICA100 edge 1051)</t>
  </si>
  <si>
    <t>3480</t>
  </si>
  <si>
    <t>rfMRI connectivity (ICA100 edge 1052)</t>
  </si>
  <si>
    <t>3481</t>
  </si>
  <si>
    <t>rfMRI connectivity (ICA100 edge 1053)</t>
  </si>
  <si>
    <t>3482</t>
  </si>
  <si>
    <t>rfMRI connectivity (ICA100 edge 1054)</t>
  </si>
  <si>
    <t>3483</t>
  </si>
  <si>
    <t>rfMRI connectivity (ICA100 edge 1055)</t>
  </si>
  <si>
    <t>3484</t>
  </si>
  <si>
    <t>rfMRI connectivity (ICA100 edge 1056)</t>
  </si>
  <si>
    <t>3485</t>
  </si>
  <si>
    <t>rfMRI connectivity (ICA100 edge 1057)</t>
  </si>
  <si>
    <t>3486</t>
  </si>
  <si>
    <t>rfMRI connectivity (ICA100 edge 1058)</t>
  </si>
  <si>
    <t>3487</t>
  </si>
  <si>
    <t>rfMRI connectivity (ICA100 edge 1059)</t>
  </si>
  <si>
    <t>3488</t>
  </si>
  <si>
    <t>rfMRI connectivity (ICA100 edge 1060)</t>
  </si>
  <si>
    <t>3489</t>
  </si>
  <si>
    <t>rfMRI connectivity (ICA100 edge 1061)</t>
  </si>
  <si>
    <t>3490</t>
  </si>
  <si>
    <t>rfMRI connectivity (ICA100 edge 1062)</t>
  </si>
  <si>
    <t>3491</t>
  </si>
  <si>
    <t>rfMRI connectivity (ICA100 edge 1063)</t>
  </si>
  <si>
    <t>3492</t>
  </si>
  <si>
    <t>rfMRI connectivity (ICA100 edge 1064)</t>
  </si>
  <si>
    <t>3493</t>
  </si>
  <si>
    <t>rfMRI connectivity (ICA100 edge 1065)</t>
  </si>
  <si>
    <t>3494</t>
  </si>
  <si>
    <t>rfMRI connectivity (ICA100 edge 1066)</t>
  </si>
  <si>
    <t>3495</t>
  </si>
  <si>
    <t>rfMRI connectivity (ICA100 edge 1067)</t>
  </si>
  <si>
    <t>3496</t>
  </si>
  <si>
    <t>rfMRI connectivity (ICA100 edge 1068)</t>
  </si>
  <si>
    <t>3497</t>
  </si>
  <si>
    <t>rfMRI connectivity (ICA100 edge 1069)</t>
  </si>
  <si>
    <t>3498</t>
  </si>
  <si>
    <t>rfMRI connectivity (ICA100 edge 1070)</t>
  </si>
  <si>
    <t>3499</t>
  </si>
  <si>
    <t>rfMRI connectivity (ICA100 edge 1071)</t>
  </si>
  <si>
    <t>3500</t>
  </si>
  <si>
    <t>rfMRI connectivity (ICA100 edge 1072)</t>
  </si>
  <si>
    <t>3501</t>
  </si>
  <si>
    <t>rfMRI connectivity (ICA100 edge 1073)</t>
  </si>
  <si>
    <t>3502</t>
  </si>
  <si>
    <t>rfMRI connectivity (ICA100 edge 1074)</t>
  </si>
  <si>
    <t>3503</t>
  </si>
  <si>
    <t>rfMRI connectivity (ICA100 edge 1075)</t>
  </si>
  <si>
    <t>3504</t>
  </si>
  <si>
    <t>rfMRI connectivity (ICA100 edge 1076)</t>
  </si>
  <si>
    <t>3505</t>
  </si>
  <si>
    <t>rfMRI connectivity (ICA100 edge 1077)</t>
  </si>
  <si>
    <t>3506</t>
  </si>
  <si>
    <t>rfMRI connectivity (ICA100 edge 1078)</t>
  </si>
  <si>
    <t>3507</t>
  </si>
  <si>
    <t>rfMRI connectivity (ICA100 edge 1079)</t>
  </si>
  <si>
    <t>3508</t>
  </si>
  <si>
    <t>rfMRI connectivity (ICA100 edge 1080)</t>
  </si>
  <si>
    <t>3509</t>
  </si>
  <si>
    <t>rfMRI connectivity (ICA100 edge 1081)</t>
  </si>
  <si>
    <t>3510</t>
  </si>
  <si>
    <t>rfMRI connectivity (ICA100 edge 1082)</t>
  </si>
  <si>
    <t>3511</t>
  </si>
  <si>
    <t>rfMRI connectivity (ICA100 edge 1083)</t>
  </si>
  <si>
    <t>3512</t>
  </si>
  <si>
    <t>rfMRI connectivity (ICA100 edge 1084)</t>
  </si>
  <si>
    <t>3513</t>
  </si>
  <si>
    <t>rfMRI connectivity (ICA100 edge 1085)</t>
  </si>
  <si>
    <t>3514</t>
  </si>
  <si>
    <t>rfMRI connectivity (ICA100 edge 1086)</t>
  </si>
  <si>
    <t>3515</t>
  </si>
  <si>
    <t>rfMRI connectivity (ICA100 edge 1087)</t>
  </si>
  <si>
    <t>3516</t>
  </si>
  <si>
    <t>rfMRI connectivity (ICA100 edge 1088)</t>
  </si>
  <si>
    <t>3517</t>
  </si>
  <si>
    <t>rfMRI connectivity (ICA100 edge 1089)</t>
  </si>
  <si>
    <t>3518</t>
  </si>
  <si>
    <t>rfMRI connectivity (ICA100 edge 1090)</t>
  </si>
  <si>
    <t>3519</t>
  </si>
  <si>
    <t>rfMRI connectivity (ICA100 edge 1091)</t>
  </si>
  <si>
    <t>3520</t>
  </si>
  <si>
    <t>rfMRI connectivity (ICA100 edge 1092)</t>
  </si>
  <si>
    <t>3521</t>
  </si>
  <si>
    <t>rfMRI connectivity (ICA100 edge 1093)</t>
  </si>
  <si>
    <t>3522</t>
  </si>
  <si>
    <t>rfMRI connectivity (ICA100 edge 1094)</t>
  </si>
  <si>
    <t>3523</t>
  </si>
  <si>
    <t>rfMRI connectivity (ICA100 edge 1095)</t>
  </si>
  <si>
    <t>3524</t>
  </si>
  <si>
    <t>rfMRI connectivity (ICA100 edge 1096)</t>
  </si>
  <si>
    <t>3525</t>
  </si>
  <si>
    <t>rfMRI connectivity (ICA100 edge 1097)</t>
  </si>
  <si>
    <t>3526</t>
  </si>
  <si>
    <t>rfMRI connectivity (ICA100 edge 1098)</t>
  </si>
  <si>
    <t>3527</t>
  </si>
  <si>
    <t>rfMRI connectivity (ICA100 edge 1099)</t>
  </si>
  <si>
    <t>3528</t>
  </si>
  <si>
    <t>rfMRI connectivity (ICA100 edge 1100)</t>
  </si>
  <si>
    <t>3529</t>
  </si>
  <si>
    <t>rfMRI connectivity (ICA100 edge 1101)</t>
  </si>
  <si>
    <t>3530</t>
  </si>
  <si>
    <t>rfMRI connectivity (ICA100 edge 1102)</t>
  </si>
  <si>
    <t>3531</t>
  </si>
  <si>
    <t>rfMRI connectivity (ICA100 edge 1103)</t>
  </si>
  <si>
    <t>3532</t>
  </si>
  <si>
    <t>rfMRI connectivity (ICA100 edge 1104)</t>
  </si>
  <si>
    <t>3533</t>
  </si>
  <si>
    <t>rfMRI connectivity (ICA100 edge 1105)</t>
  </si>
  <si>
    <t>3534</t>
  </si>
  <si>
    <t>rfMRI connectivity (ICA100 edge 1106)</t>
  </si>
  <si>
    <t>3535</t>
  </si>
  <si>
    <t>rfMRI connectivity (ICA100 edge 1107)</t>
  </si>
  <si>
    <t>3536</t>
  </si>
  <si>
    <t>rfMRI connectivity (ICA100 edge 1108)</t>
  </si>
  <si>
    <t>3537</t>
  </si>
  <si>
    <t>rfMRI connectivity (ICA100 edge 1109)</t>
  </si>
  <si>
    <t>3538</t>
  </si>
  <si>
    <t>rfMRI connectivity (ICA100 edge 1110)</t>
  </si>
  <si>
    <t>3539</t>
  </si>
  <si>
    <t>rfMRI connectivity (ICA100 edge 1111)</t>
  </si>
  <si>
    <t>3540</t>
  </si>
  <si>
    <t>rfMRI connectivity (ICA100 edge 1112)</t>
  </si>
  <si>
    <t>3541</t>
  </si>
  <si>
    <t>rfMRI connectivity (ICA100 edge 1113)</t>
  </si>
  <si>
    <t>3542</t>
  </si>
  <si>
    <t>rfMRI connectivity (ICA100 edge 1114)</t>
  </si>
  <si>
    <t>3543</t>
  </si>
  <si>
    <t>rfMRI connectivity (ICA100 edge 1115)</t>
  </si>
  <si>
    <t>3544</t>
  </si>
  <si>
    <t>rfMRI connectivity (ICA100 edge 1116)</t>
  </si>
  <si>
    <t>3545</t>
  </si>
  <si>
    <t>rfMRI connectivity (ICA100 edge 1117)</t>
  </si>
  <si>
    <t>3546</t>
  </si>
  <si>
    <t>rfMRI connectivity (ICA100 edge 1118)</t>
  </si>
  <si>
    <t>3547</t>
  </si>
  <si>
    <t>rfMRI connectivity (ICA100 edge 1119)</t>
  </si>
  <si>
    <t>3548</t>
  </si>
  <si>
    <t>rfMRI connectivity (ICA100 edge 1120)</t>
  </si>
  <si>
    <t>3549</t>
  </si>
  <si>
    <t>rfMRI connectivity (ICA100 edge 1121)</t>
  </si>
  <si>
    <t>3550</t>
  </si>
  <si>
    <t>rfMRI connectivity (ICA100 edge 1122)</t>
  </si>
  <si>
    <t>3551</t>
  </si>
  <si>
    <t>rfMRI connectivity (ICA100 edge 1123)</t>
  </si>
  <si>
    <t>3552</t>
  </si>
  <si>
    <t>rfMRI connectivity (ICA100 edge 1124)</t>
  </si>
  <si>
    <t>3553</t>
  </si>
  <si>
    <t>rfMRI connectivity (ICA100 edge 1125)</t>
  </si>
  <si>
    <t>3554</t>
  </si>
  <si>
    <t>rfMRI connectivity (ICA100 edge 1126)</t>
  </si>
  <si>
    <t>3555</t>
  </si>
  <si>
    <t>rfMRI connectivity (ICA100 edge 1127)</t>
  </si>
  <si>
    <t>3556</t>
  </si>
  <si>
    <t>rfMRI connectivity (ICA100 edge 1128)</t>
  </si>
  <si>
    <t>3557</t>
  </si>
  <si>
    <t>rfMRI connectivity (ICA100 edge 1129)</t>
  </si>
  <si>
    <t>3558</t>
  </si>
  <si>
    <t>rfMRI connectivity (ICA100 edge 1130)</t>
  </si>
  <si>
    <t>3559</t>
  </si>
  <si>
    <t>rfMRI connectivity (ICA100 edge 1131)</t>
  </si>
  <si>
    <t>3560</t>
  </si>
  <si>
    <t>rfMRI connectivity (ICA100 edge 1132)</t>
  </si>
  <si>
    <t>3561</t>
  </si>
  <si>
    <t>rfMRI connectivity (ICA100 edge 1133)</t>
  </si>
  <si>
    <t>3562</t>
  </si>
  <si>
    <t>rfMRI connectivity (ICA100 edge 1134)</t>
  </si>
  <si>
    <t>3563</t>
  </si>
  <si>
    <t>rfMRI connectivity (ICA100 edge 1135)</t>
  </si>
  <si>
    <t>3564</t>
  </si>
  <si>
    <t>rfMRI connectivity (ICA100 edge 1136)</t>
  </si>
  <si>
    <t>3565</t>
  </si>
  <si>
    <t>rfMRI connectivity (ICA100 edge 1137)</t>
  </si>
  <si>
    <t>3566</t>
  </si>
  <si>
    <t>rfMRI connectivity (ICA100 edge 1138)</t>
  </si>
  <si>
    <t>3567</t>
  </si>
  <si>
    <t>rfMRI connectivity (ICA100 edge 1139)</t>
  </si>
  <si>
    <t>3568</t>
  </si>
  <si>
    <t>rfMRI connectivity (ICA100 edge 1140)</t>
  </si>
  <si>
    <t>3569</t>
  </si>
  <si>
    <t>rfMRI connectivity (ICA100 edge 1141)</t>
  </si>
  <si>
    <t>3570</t>
  </si>
  <si>
    <t>rfMRI connectivity (ICA100 edge 1142)</t>
  </si>
  <si>
    <t>3571</t>
  </si>
  <si>
    <t>rfMRI connectivity (ICA100 edge 1143)</t>
  </si>
  <si>
    <t>3572</t>
  </si>
  <si>
    <t>rfMRI connectivity (ICA100 edge 1144)</t>
  </si>
  <si>
    <t>3573</t>
  </si>
  <si>
    <t>rfMRI connectivity (ICA100 edge 1145)</t>
  </si>
  <si>
    <t>3574</t>
  </si>
  <si>
    <t>rfMRI connectivity (ICA100 edge 1146)</t>
  </si>
  <si>
    <t>3575</t>
  </si>
  <si>
    <t>rfMRI connectivity (ICA100 edge 1147)</t>
  </si>
  <si>
    <t>3576</t>
  </si>
  <si>
    <t>rfMRI connectivity (ICA100 edge 1148)</t>
  </si>
  <si>
    <t>3577</t>
  </si>
  <si>
    <t>rfMRI connectivity (ICA100 edge 1149)</t>
  </si>
  <si>
    <t>3578</t>
  </si>
  <si>
    <t>rfMRI connectivity (ICA100 edge 1150)</t>
  </si>
  <si>
    <t>3579</t>
  </si>
  <si>
    <t>rfMRI connectivity (ICA100 edge 1151)</t>
  </si>
  <si>
    <t>3580</t>
  </si>
  <si>
    <t>rfMRI connectivity (ICA100 edge 1152)</t>
  </si>
  <si>
    <t>3581</t>
  </si>
  <si>
    <t>rfMRI connectivity (ICA100 edge 1153)</t>
  </si>
  <si>
    <t>3582</t>
  </si>
  <si>
    <t>rfMRI connectivity (ICA100 edge 1154)</t>
  </si>
  <si>
    <t>3583</t>
  </si>
  <si>
    <t>rfMRI connectivity (ICA100 edge 1155)</t>
  </si>
  <si>
    <t>3584</t>
  </si>
  <si>
    <t>rfMRI connectivity (ICA100 edge 1156)</t>
  </si>
  <si>
    <t>3585</t>
  </si>
  <si>
    <t>rfMRI connectivity (ICA100 edge 1157)</t>
  </si>
  <si>
    <t>3586</t>
  </si>
  <si>
    <t>rfMRI connectivity (ICA100 edge 1158)</t>
  </si>
  <si>
    <t>3587</t>
  </si>
  <si>
    <t>rfMRI connectivity (ICA100 edge 1159)</t>
  </si>
  <si>
    <t>3588</t>
  </si>
  <si>
    <t>rfMRI connectivity (ICA100 edge 1160)</t>
  </si>
  <si>
    <t>3589</t>
  </si>
  <si>
    <t>rfMRI connectivity (ICA100 edge 1161)</t>
  </si>
  <si>
    <t>3590</t>
  </si>
  <si>
    <t>rfMRI connectivity (ICA100 edge 1162)</t>
  </si>
  <si>
    <t>3591</t>
  </si>
  <si>
    <t>rfMRI connectivity (ICA100 edge 1163)</t>
  </si>
  <si>
    <t>3592</t>
  </si>
  <si>
    <t>rfMRI connectivity (ICA100 edge 1164)</t>
  </si>
  <si>
    <t>3593</t>
  </si>
  <si>
    <t>rfMRI connectivity (ICA100 edge 1165)</t>
  </si>
  <si>
    <t>3594</t>
  </si>
  <si>
    <t>rfMRI connectivity (ICA100 edge 1166)</t>
  </si>
  <si>
    <t>3595</t>
  </si>
  <si>
    <t>rfMRI connectivity (ICA100 edge 1167)</t>
  </si>
  <si>
    <t>3596</t>
  </si>
  <si>
    <t>rfMRI connectivity (ICA100 edge 1168)</t>
  </si>
  <si>
    <t>3597</t>
  </si>
  <si>
    <t>rfMRI connectivity (ICA100 edge 1169)</t>
  </si>
  <si>
    <t>3598</t>
  </si>
  <si>
    <t>rfMRI connectivity (ICA100 edge 1170)</t>
  </si>
  <si>
    <t>3599</t>
  </si>
  <si>
    <t>rfMRI connectivity (ICA100 edge 1171)</t>
  </si>
  <si>
    <t>3600</t>
  </si>
  <si>
    <t>rfMRI connectivity (ICA100 edge 1172)</t>
  </si>
  <si>
    <t>3601</t>
  </si>
  <si>
    <t>rfMRI connectivity (ICA100 edge 1173)</t>
  </si>
  <si>
    <t>3602</t>
  </si>
  <si>
    <t>rfMRI connectivity (ICA100 edge 1174)</t>
  </si>
  <si>
    <t>3603</t>
  </si>
  <si>
    <t>rfMRI connectivity (ICA100 edge 1175)</t>
  </si>
  <si>
    <t>3604</t>
  </si>
  <si>
    <t>rfMRI connectivity (ICA100 edge 1176)</t>
  </si>
  <si>
    <t>3605</t>
  </si>
  <si>
    <t>rfMRI connectivity (ICA100 edge 1177)</t>
  </si>
  <si>
    <t>3606</t>
  </si>
  <si>
    <t>rfMRI connectivity (ICA100 edge 1178)</t>
  </si>
  <si>
    <t>3607</t>
  </si>
  <si>
    <t>rfMRI connectivity (ICA100 edge 1179)</t>
  </si>
  <si>
    <t>3608</t>
  </si>
  <si>
    <t>rfMRI connectivity (ICA100 edge 1180)</t>
  </si>
  <si>
    <t>3609</t>
  </si>
  <si>
    <t>rfMRI connectivity (ICA100 edge 1181)</t>
  </si>
  <si>
    <t>3610</t>
  </si>
  <si>
    <t>rfMRI connectivity (ICA100 edge 1182)</t>
  </si>
  <si>
    <t>3611</t>
  </si>
  <si>
    <t>rfMRI connectivity (ICA100 edge 1183)</t>
  </si>
  <si>
    <t>3612</t>
  </si>
  <si>
    <t>rfMRI connectivity (ICA100 edge 1184)</t>
  </si>
  <si>
    <t>3613</t>
  </si>
  <si>
    <t>rfMRI connectivity (ICA100 edge 1185)</t>
  </si>
  <si>
    <t>3614</t>
  </si>
  <si>
    <t>rfMRI connectivity (ICA100 edge 1186)</t>
  </si>
  <si>
    <t>3615</t>
  </si>
  <si>
    <t>rfMRI connectivity (ICA100 edge 1187)</t>
  </si>
  <si>
    <t>3616</t>
  </si>
  <si>
    <t>rfMRI connectivity (ICA100 edge 1188)</t>
  </si>
  <si>
    <t>3617</t>
  </si>
  <si>
    <t>rfMRI connectivity (ICA100 edge 1189)</t>
  </si>
  <si>
    <t>3618</t>
  </si>
  <si>
    <t>rfMRI connectivity (ICA100 edge 1190)</t>
  </si>
  <si>
    <t>3619</t>
  </si>
  <si>
    <t>rfMRI connectivity (ICA100 edge 1191)</t>
  </si>
  <si>
    <t>3620</t>
  </si>
  <si>
    <t>rfMRI connectivity (ICA100 edge 1192)</t>
  </si>
  <si>
    <t>3621</t>
  </si>
  <si>
    <t>rfMRI connectivity (ICA100 edge 1193)</t>
  </si>
  <si>
    <t>3622</t>
  </si>
  <si>
    <t>rfMRI connectivity (ICA100 edge 1194)</t>
  </si>
  <si>
    <t>3623</t>
  </si>
  <si>
    <t>rfMRI connectivity (ICA100 edge 1195)</t>
  </si>
  <si>
    <t>3624</t>
  </si>
  <si>
    <t>rfMRI connectivity (ICA100 edge 1196)</t>
  </si>
  <si>
    <t>3625</t>
  </si>
  <si>
    <t>rfMRI connectivity (ICA100 edge 1197)</t>
  </si>
  <si>
    <t>3626</t>
  </si>
  <si>
    <t>rfMRI connectivity (ICA100 edge 1198)</t>
  </si>
  <si>
    <t>3627</t>
  </si>
  <si>
    <t>rfMRI connectivity (ICA100 edge 1199)</t>
  </si>
  <si>
    <t>3628</t>
  </si>
  <si>
    <t>rfMRI connectivity (ICA100 edge 1200)</t>
  </si>
  <si>
    <t>3629</t>
  </si>
  <si>
    <t>rfMRI connectivity (ICA100 edge 1201)</t>
  </si>
  <si>
    <t>3630</t>
  </si>
  <si>
    <t>rfMRI connectivity (ICA100 edge 1202)</t>
  </si>
  <si>
    <t>3631</t>
  </si>
  <si>
    <t>rfMRI connectivity (ICA100 edge 1203)</t>
  </si>
  <si>
    <t>3632</t>
  </si>
  <si>
    <t>rfMRI connectivity (ICA100 edge 1204)</t>
  </si>
  <si>
    <t>3633</t>
  </si>
  <si>
    <t>rfMRI connectivity (ICA100 edge 1205)</t>
  </si>
  <si>
    <t>3634</t>
  </si>
  <si>
    <t>rfMRI connectivity (ICA100 edge 1206)</t>
  </si>
  <si>
    <t>3635</t>
  </si>
  <si>
    <t>rfMRI connectivity (ICA100 edge 1207)</t>
  </si>
  <si>
    <t>3636</t>
  </si>
  <si>
    <t>rfMRI connectivity (ICA100 edge 1208)</t>
  </si>
  <si>
    <t>3637</t>
  </si>
  <si>
    <t>rfMRI connectivity (ICA100 edge 1209)</t>
  </si>
  <si>
    <t>3638</t>
  </si>
  <si>
    <t>rfMRI connectivity (ICA100 edge 1210)</t>
  </si>
  <si>
    <t>3639</t>
  </si>
  <si>
    <t>rfMRI connectivity (ICA100 edge 1211)</t>
  </si>
  <si>
    <t>3640</t>
  </si>
  <si>
    <t>rfMRI connectivity (ICA100 edge 1212)</t>
  </si>
  <si>
    <t>3641</t>
  </si>
  <si>
    <t>rfMRI connectivity (ICA100 edge 1213)</t>
  </si>
  <si>
    <t>3642</t>
  </si>
  <si>
    <t>rfMRI connectivity (ICA100 edge 1214)</t>
  </si>
  <si>
    <t>3643</t>
  </si>
  <si>
    <t>rfMRI connectivity (ICA100 edge 1215)</t>
  </si>
  <si>
    <t>3644</t>
  </si>
  <si>
    <t>rfMRI connectivity (ICA100 edge 1216)</t>
  </si>
  <si>
    <t>3645</t>
  </si>
  <si>
    <t>rfMRI connectivity (ICA100 edge 1217)</t>
  </si>
  <si>
    <t>3646</t>
  </si>
  <si>
    <t>rfMRI connectivity (ICA100 edge 1218)</t>
  </si>
  <si>
    <t>3647</t>
  </si>
  <si>
    <t>rfMRI connectivity (ICA100 edge 1219)</t>
  </si>
  <si>
    <t>3648</t>
  </si>
  <si>
    <t>rfMRI connectivity (ICA100 edge 1220)</t>
  </si>
  <si>
    <t>3649</t>
  </si>
  <si>
    <t>rfMRI connectivity (ICA100 edge 1221)</t>
  </si>
  <si>
    <t>3650</t>
  </si>
  <si>
    <t>rfMRI connectivity (ICA100 edge 1222)</t>
  </si>
  <si>
    <t>3651</t>
  </si>
  <si>
    <t>rfMRI connectivity (ICA100 edge 1223)</t>
  </si>
  <si>
    <t>3652</t>
  </si>
  <si>
    <t>rfMRI connectivity (ICA100 edge 1224)</t>
  </si>
  <si>
    <t>3653</t>
  </si>
  <si>
    <t>rfMRI connectivity (ICA100 edge 1225)</t>
  </si>
  <si>
    <t>3654</t>
  </si>
  <si>
    <t>rfMRI connectivity (ICA100 edge 1226)</t>
  </si>
  <si>
    <t>3655</t>
  </si>
  <si>
    <t>rfMRI connectivity (ICA100 edge 1227)</t>
  </si>
  <si>
    <t>3656</t>
  </si>
  <si>
    <t>rfMRI connectivity (ICA100 edge 1228)</t>
  </si>
  <si>
    <t>3657</t>
  </si>
  <si>
    <t>rfMRI connectivity (ICA100 edge 1229)</t>
  </si>
  <si>
    <t>3658</t>
  </si>
  <si>
    <t>rfMRI connectivity (ICA100 edge 1230)</t>
  </si>
  <si>
    <t>3659</t>
  </si>
  <si>
    <t>rfMRI connectivity (ICA100 edge 1231)</t>
  </si>
  <si>
    <t>3660</t>
  </si>
  <si>
    <t>rfMRI connectivity (ICA100 edge 1232)</t>
  </si>
  <si>
    <t>3661</t>
  </si>
  <si>
    <t>rfMRI connectivity (ICA100 edge 1233)</t>
  </si>
  <si>
    <t>3662</t>
  </si>
  <si>
    <t>rfMRI connectivity (ICA100 edge 1234)</t>
  </si>
  <si>
    <t>3663</t>
  </si>
  <si>
    <t>rfMRI connectivity (ICA100 edge 1235)</t>
  </si>
  <si>
    <t>3664</t>
  </si>
  <si>
    <t>rfMRI connectivity (ICA100 edge 1236)</t>
  </si>
  <si>
    <t>3665</t>
  </si>
  <si>
    <t>rfMRI connectivity (ICA100 edge 1237)</t>
  </si>
  <si>
    <t>3666</t>
  </si>
  <si>
    <t>rfMRI connectivity (ICA100 edge 1238)</t>
  </si>
  <si>
    <t>3667</t>
  </si>
  <si>
    <t>rfMRI connectivity (ICA100 edge 1239)</t>
  </si>
  <si>
    <t>3668</t>
  </si>
  <si>
    <t>rfMRI connectivity (ICA100 edge 1240)</t>
  </si>
  <si>
    <t>3669</t>
  </si>
  <si>
    <t>rfMRI connectivity (ICA100 edge 1241)</t>
  </si>
  <si>
    <t>3670</t>
  </si>
  <si>
    <t>rfMRI connectivity (ICA100 edge 1242)</t>
  </si>
  <si>
    <t>3671</t>
  </si>
  <si>
    <t>rfMRI connectivity (ICA100 edge 1243)</t>
  </si>
  <si>
    <t>3672</t>
  </si>
  <si>
    <t>rfMRI connectivity (ICA100 edge 1244)</t>
  </si>
  <si>
    <t>3673</t>
  </si>
  <si>
    <t>rfMRI connectivity (ICA100 edge 1245)</t>
  </si>
  <si>
    <t>3674</t>
  </si>
  <si>
    <t>rfMRI connectivity (ICA100 edge 1246)</t>
  </si>
  <si>
    <t>3675</t>
  </si>
  <si>
    <t>rfMRI connectivity (ICA100 edge 1247)</t>
  </si>
  <si>
    <t>3676</t>
  </si>
  <si>
    <t>rfMRI connectivity (ICA100 edge 1248)</t>
  </si>
  <si>
    <t>3677</t>
  </si>
  <si>
    <t>rfMRI connectivity (ICA100 edge 1249)</t>
  </si>
  <si>
    <t>3678</t>
  </si>
  <si>
    <t>rfMRI connectivity (ICA100 edge 1250)</t>
  </si>
  <si>
    <t>3679</t>
  </si>
  <si>
    <t>rfMRI connectivity (ICA100 edge 1251)</t>
  </si>
  <si>
    <t>3680</t>
  </si>
  <si>
    <t>rfMRI connectivity (ICA100 edge 1252)</t>
  </si>
  <si>
    <t>3681</t>
  </si>
  <si>
    <t>rfMRI connectivity (ICA100 edge 1253)</t>
  </si>
  <si>
    <t>3682</t>
  </si>
  <si>
    <t>rfMRI connectivity (ICA100 edge 1254)</t>
  </si>
  <si>
    <t>3683</t>
  </si>
  <si>
    <t>rfMRI connectivity (ICA100 edge 1255)</t>
  </si>
  <si>
    <t>3684</t>
  </si>
  <si>
    <t>rfMRI connectivity (ICA100 edge 1256)</t>
  </si>
  <si>
    <t>3685</t>
  </si>
  <si>
    <t>rfMRI connectivity (ICA100 edge 1257)</t>
  </si>
  <si>
    <t>3686</t>
  </si>
  <si>
    <t>rfMRI connectivity (ICA100 edge 1258)</t>
  </si>
  <si>
    <t>3687</t>
  </si>
  <si>
    <t>rfMRI connectivity (ICA100 edge 1259)</t>
  </si>
  <si>
    <t>3688</t>
  </si>
  <si>
    <t>rfMRI connectivity (ICA100 edge 1260)</t>
  </si>
  <si>
    <t>3689</t>
  </si>
  <si>
    <t>rfMRI connectivity (ICA100 edge 1261)</t>
  </si>
  <si>
    <t>3690</t>
  </si>
  <si>
    <t>rfMRI connectivity (ICA100 edge 1262)</t>
  </si>
  <si>
    <t>3691</t>
  </si>
  <si>
    <t>rfMRI connectivity (ICA100 edge 1263)</t>
  </si>
  <si>
    <t>3692</t>
  </si>
  <si>
    <t>rfMRI connectivity (ICA100 edge 1264)</t>
  </si>
  <si>
    <t>3693</t>
  </si>
  <si>
    <t>rfMRI connectivity (ICA100 edge 1265)</t>
  </si>
  <si>
    <t>3694</t>
  </si>
  <si>
    <t>rfMRI connectivity (ICA100 edge 1266)</t>
  </si>
  <si>
    <t>3695</t>
  </si>
  <si>
    <t>rfMRI connectivity (ICA100 edge 1267)</t>
  </si>
  <si>
    <t>3696</t>
  </si>
  <si>
    <t>rfMRI connectivity (ICA100 edge 1268)</t>
  </si>
  <si>
    <t>3697</t>
  </si>
  <si>
    <t>rfMRI connectivity (ICA100 edge 1269)</t>
  </si>
  <si>
    <t>3698</t>
  </si>
  <si>
    <t>rfMRI connectivity (ICA100 edge 1270)</t>
  </si>
  <si>
    <t>3699</t>
  </si>
  <si>
    <t>rfMRI connectivity (ICA100 edge 1271)</t>
  </si>
  <si>
    <t>3700</t>
  </si>
  <si>
    <t>rfMRI connectivity (ICA100 edge 1272)</t>
  </si>
  <si>
    <t>3701</t>
  </si>
  <si>
    <t>rfMRI connectivity (ICA100 edge 1273)</t>
  </si>
  <si>
    <t>3702</t>
  </si>
  <si>
    <t>rfMRI connectivity (ICA100 edge 1274)</t>
  </si>
  <si>
    <t>3703</t>
  </si>
  <si>
    <t>rfMRI connectivity (ICA100 edge 1275)</t>
  </si>
  <si>
    <t>3704</t>
  </si>
  <si>
    <t>rfMRI connectivity (ICA100 edge 1276)</t>
  </si>
  <si>
    <t>3705</t>
  </si>
  <si>
    <t>rfMRI connectivity (ICA100 edge 1277)</t>
  </si>
  <si>
    <t>3706</t>
  </si>
  <si>
    <t>rfMRI connectivity (ICA100 edge 1278)</t>
  </si>
  <si>
    <t>3707</t>
  </si>
  <si>
    <t>rfMRI connectivity (ICA100 edge 1279)</t>
  </si>
  <si>
    <t>3708</t>
  </si>
  <si>
    <t>rfMRI connectivity (ICA100 edge 1280)</t>
  </si>
  <si>
    <t>3709</t>
  </si>
  <si>
    <t>rfMRI connectivity (ICA100 edge 1281)</t>
  </si>
  <si>
    <t>3710</t>
  </si>
  <si>
    <t>rfMRI connectivity (ICA100 edge 1282)</t>
  </si>
  <si>
    <t>3711</t>
  </si>
  <si>
    <t>rfMRI connectivity (ICA100 edge 1283)</t>
  </si>
  <si>
    <t>3712</t>
  </si>
  <si>
    <t>rfMRI connectivity (ICA100 edge 1284)</t>
  </si>
  <si>
    <t>3713</t>
  </si>
  <si>
    <t>rfMRI connectivity (ICA100 edge 1285)</t>
  </si>
  <si>
    <t>3714</t>
  </si>
  <si>
    <t>rfMRI connectivity (ICA100 edge 1286)</t>
  </si>
  <si>
    <t>3715</t>
  </si>
  <si>
    <t>rfMRI connectivity (ICA100 edge 1287)</t>
  </si>
  <si>
    <t>3716</t>
  </si>
  <si>
    <t>rfMRI connectivity (ICA100 edge 1288)</t>
  </si>
  <si>
    <t>3717</t>
  </si>
  <si>
    <t>rfMRI connectivity (ICA100 edge 1289)</t>
  </si>
  <si>
    <t>3718</t>
  </si>
  <si>
    <t>rfMRI connectivity (ICA100 edge 1290)</t>
  </si>
  <si>
    <t>3719</t>
  </si>
  <si>
    <t>rfMRI connectivity (ICA100 edge 1291)</t>
  </si>
  <si>
    <t>3720</t>
  </si>
  <si>
    <t>rfMRI connectivity (ICA100 edge 1292)</t>
  </si>
  <si>
    <t>3721</t>
  </si>
  <si>
    <t>rfMRI connectivity (ICA100 edge 1293)</t>
  </si>
  <si>
    <t>3722</t>
  </si>
  <si>
    <t>rfMRI connectivity (ICA100 edge 1294)</t>
  </si>
  <si>
    <t>3723</t>
  </si>
  <si>
    <t>rfMRI connectivity (ICA100 edge 1295)</t>
  </si>
  <si>
    <t>3724</t>
  </si>
  <si>
    <t>rfMRI connectivity (ICA100 edge 1296)</t>
  </si>
  <si>
    <t>3725</t>
  </si>
  <si>
    <t>rfMRI connectivity (ICA100 edge 1297)</t>
  </si>
  <si>
    <t>3726</t>
  </si>
  <si>
    <t>rfMRI connectivity (ICA100 edge 1298)</t>
  </si>
  <si>
    <t>3727</t>
  </si>
  <si>
    <t>rfMRI connectivity (ICA100 edge 1299)</t>
  </si>
  <si>
    <t>3728</t>
  </si>
  <si>
    <t>rfMRI connectivity (ICA100 edge 1300)</t>
  </si>
  <si>
    <t>3729</t>
  </si>
  <si>
    <t>rfMRI connectivity (ICA100 edge 1301)</t>
  </si>
  <si>
    <t>3730</t>
  </si>
  <si>
    <t>rfMRI connectivity (ICA100 edge 1302)</t>
  </si>
  <si>
    <t>3731</t>
  </si>
  <si>
    <t>rfMRI connectivity (ICA100 edge 1303)</t>
  </si>
  <si>
    <t>3732</t>
  </si>
  <si>
    <t>rfMRI connectivity (ICA100 edge 1304)</t>
  </si>
  <si>
    <t>3733</t>
  </si>
  <si>
    <t>rfMRI connectivity (ICA100 edge 1305)</t>
  </si>
  <si>
    <t>3734</t>
  </si>
  <si>
    <t>rfMRI connectivity (ICA100 edge 1306)</t>
  </si>
  <si>
    <t>3735</t>
  </si>
  <si>
    <t>rfMRI connectivity (ICA100 edge 1307)</t>
  </si>
  <si>
    <t>3736</t>
  </si>
  <si>
    <t>rfMRI connectivity (ICA100 edge 1308)</t>
  </si>
  <si>
    <t>3737</t>
  </si>
  <si>
    <t>rfMRI connectivity (ICA100 edge 1309)</t>
  </si>
  <si>
    <t>3738</t>
  </si>
  <si>
    <t>rfMRI connectivity (ICA100 edge 1310)</t>
  </si>
  <si>
    <t>3739</t>
  </si>
  <si>
    <t>rfMRI connectivity (ICA100 edge 1311)</t>
  </si>
  <si>
    <t>3740</t>
  </si>
  <si>
    <t>rfMRI connectivity (ICA100 edge 1312)</t>
  </si>
  <si>
    <t>3741</t>
  </si>
  <si>
    <t>rfMRI connectivity (ICA100 edge 1313)</t>
  </si>
  <si>
    <t>3742</t>
  </si>
  <si>
    <t>rfMRI connectivity (ICA100 edge 1314)</t>
  </si>
  <si>
    <t>3743</t>
  </si>
  <si>
    <t>rfMRI connectivity (ICA100 edge 1315)</t>
  </si>
  <si>
    <t>3744</t>
  </si>
  <si>
    <t>rfMRI connectivity (ICA100 edge 1316)</t>
  </si>
  <si>
    <t>3745</t>
  </si>
  <si>
    <t>rfMRI connectivity (ICA100 edge 1317)</t>
  </si>
  <si>
    <t>3746</t>
  </si>
  <si>
    <t>rfMRI connectivity (ICA100 edge 1318)</t>
  </si>
  <si>
    <t>3747</t>
  </si>
  <si>
    <t>rfMRI connectivity (ICA100 edge 1319)</t>
  </si>
  <si>
    <t>3748</t>
  </si>
  <si>
    <t>rfMRI connectivity (ICA100 edge 1320)</t>
  </si>
  <si>
    <t>3749</t>
  </si>
  <si>
    <t>rfMRI connectivity (ICA100 edge 1321)</t>
  </si>
  <si>
    <t>3750</t>
  </si>
  <si>
    <t>rfMRI connectivity (ICA100 edge 1322)</t>
  </si>
  <si>
    <t>3751</t>
  </si>
  <si>
    <t>rfMRI connectivity (ICA100 edge 1323)</t>
  </si>
  <si>
    <t>3752</t>
  </si>
  <si>
    <t>rfMRI connectivity (ICA100 edge 1324)</t>
  </si>
  <si>
    <t>3753</t>
  </si>
  <si>
    <t>rfMRI connectivity (ICA100 edge 1325)</t>
  </si>
  <si>
    <t>3754</t>
  </si>
  <si>
    <t>rfMRI connectivity (ICA100 edge 1326)</t>
  </si>
  <si>
    <t>3755</t>
  </si>
  <si>
    <t>rfMRI connectivity (ICA100 edge 1327)</t>
  </si>
  <si>
    <t>3756</t>
  </si>
  <si>
    <t>rfMRI connectivity (ICA100 edge 1328)</t>
  </si>
  <si>
    <t>3757</t>
  </si>
  <si>
    <t>rfMRI connectivity (ICA100 edge 1329)</t>
  </si>
  <si>
    <t>3758</t>
  </si>
  <si>
    <t>rfMRI connectivity (ICA100 edge 1330)</t>
  </si>
  <si>
    <t>3759</t>
  </si>
  <si>
    <t>rfMRI connectivity (ICA100 edge 1331)</t>
  </si>
  <si>
    <t>3760</t>
  </si>
  <si>
    <t>rfMRI connectivity (ICA100 edge 1332)</t>
  </si>
  <si>
    <t>3761</t>
  </si>
  <si>
    <t>rfMRI connectivity (ICA100 edge 1333)</t>
  </si>
  <si>
    <t>3762</t>
  </si>
  <si>
    <t>rfMRI connectivity (ICA100 edge 1334)</t>
  </si>
  <si>
    <t>3763</t>
  </si>
  <si>
    <t>rfMRI connectivity (ICA100 edge 1335)</t>
  </si>
  <si>
    <t>3764</t>
  </si>
  <si>
    <t>rfMRI connectivity (ICA100 edge 1336)</t>
  </si>
  <si>
    <t>3765</t>
  </si>
  <si>
    <t>rfMRI connectivity (ICA100 edge 1337)</t>
  </si>
  <si>
    <t>3766</t>
  </si>
  <si>
    <t>rfMRI connectivity (ICA100 edge 1338)</t>
  </si>
  <si>
    <t>3767</t>
  </si>
  <si>
    <t>rfMRI connectivity (ICA100 edge 1339)</t>
  </si>
  <si>
    <t>3768</t>
  </si>
  <si>
    <t>rfMRI connectivity (ICA100 edge 1340)</t>
  </si>
  <si>
    <t>3769</t>
  </si>
  <si>
    <t>rfMRI connectivity (ICA100 edge 1341)</t>
  </si>
  <si>
    <t>3770</t>
  </si>
  <si>
    <t>rfMRI connectivity (ICA100 edge 1342)</t>
  </si>
  <si>
    <t>3771</t>
  </si>
  <si>
    <t>rfMRI connectivity (ICA100 edge 1343)</t>
  </si>
  <si>
    <t>3772</t>
  </si>
  <si>
    <t>rfMRI connectivity (ICA100 edge 1344)</t>
  </si>
  <si>
    <t>3773</t>
  </si>
  <si>
    <t>rfMRI connectivity (ICA100 edge 1345)</t>
  </si>
  <si>
    <t>3774</t>
  </si>
  <si>
    <t>rfMRI connectivity (ICA100 edge 1346)</t>
  </si>
  <si>
    <t>3775</t>
  </si>
  <si>
    <t>rfMRI connectivity (ICA100 edge 1347)</t>
  </si>
  <si>
    <t>3776</t>
  </si>
  <si>
    <t>rfMRI connectivity (ICA100 edge 1348)</t>
  </si>
  <si>
    <t>3777</t>
  </si>
  <si>
    <t>rfMRI connectivity (ICA100 edge 1349)</t>
  </si>
  <si>
    <t>3778</t>
  </si>
  <si>
    <t>rfMRI connectivity (ICA100 edge 1350)</t>
  </si>
  <si>
    <t>3779</t>
  </si>
  <si>
    <t>rfMRI connectivity (ICA100 edge 1351)</t>
  </si>
  <si>
    <t>3780</t>
  </si>
  <si>
    <t>rfMRI connectivity (ICA100 edge 1352)</t>
  </si>
  <si>
    <t>3781</t>
  </si>
  <si>
    <t>rfMRI connectivity (ICA100 edge 1353)</t>
  </si>
  <si>
    <t>3782</t>
  </si>
  <si>
    <t>rfMRI connectivity (ICA100 edge 1354)</t>
  </si>
  <si>
    <t>3783</t>
  </si>
  <si>
    <t>rfMRI connectivity (ICA100 edge 1355)</t>
  </si>
  <si>
    <t>3784</t>
  </si>
  <si>
    <t>rfMRI connectivity (ICA100 edge 1356)</t>
  </si>
  <si>
    <t>3785</t>
  </si>
  <si>
    <t>rfMRI connectivity (ICA100 edge 1357)</t>
  </si>
  <si>
    <t>3786</t>
  </si>
  <si>
    <t>rfMRI connectivity (ICA100 edge 1358)</t>
  </si>
  <si>
    <t>3787</t>
  </si>
  <si>
    <t>rfMRI connectivity (ICA100 edge 1359)</t>
  </si>
  <si>
    <t>3788</t>
  </si>
  <si>
    <t>rfMRI connectivity (ICA100 edge 1360)</t>
  </si>
  <si>
    <t>3789</t>
  </si>
  <si>
    <t>rfMRI connectivity (ICA100 edge 1361)</t>
  </si>
  <si>
    <t>3790</t>
  </si>
  <si>
    <t>rfMRI connectivity (ICA100 edge 1362)</t>
  </si>
  <si>
    <t>3791</t>
  </si>
  <si>
    <t>rfMRI connectivity (ICA100 edge 1363)</t>
  </si>
  <si>
    <t>3792</t>
  </si>
  <si>
    <t>rfMRI connectivity (ICA100 edge 1364)</t>
  </si>
  <si>
    <t>3793</t>
  </si>
  <si>
    <t>rfMRI connectivity (ICA100 edge 1365)</t>
  </si>
  <si>
    <t>3794</t>
  </si>
  <si>
    <t>rfMRI connectivity (ICA100 edge 1366)</t>
  </si>
  <si>
    <t>3795</t>
  </si>
  <si>
    <t>rfMRI connectivity (ICA100 edge 1367)</t>
  </si>
  <si>
    <t>3796</t>
  </si>
  <si>
    <t>rfMRI connectivity (ICA100 edge 1368)</t>
  </si>
  <si>
    <t>3797</t>
  </si>
  <si>
    <t>rfMRI connectivity (ICA100 edge 1369)</t>
  </si>
  <si>
    <t>3798</t>
  </si>
  <si>
    <t>rfMRI connectivity (ICA100 edge 1370)</t>
  </si>
  <si>
    <t>3799</t>
  </si>
  <si>
    <t>rfMRI connectivity (ICA100 edge 1371)</t>
  </si>
  <si>
    <t>3800</t>
  </si>
  <si>
    <t>rfMRI connectivity (ICA100 edge 1372)</t>
  </si>
  <si>
    <t>3801</t>
  </si>
  <si>
    <t>rfMRI connectivity (ICA100 edge 1373)</t>
  </si>
  <si>
    <t>3802</t>
  </si>
  <si>
    <t>rfMRI connectivity (ICA100 edge 1374)</t>
  </si>
  <si>
    <t>3803</t>
  </si>
  <si>
    <t>rfMRI connectivity (ICA100 edge 1375)</t>
  </si>
  <si>
    <t>3804</t>
  </si>
  <si>
    <t>rfMRI connectivity (ICA100 edge 1376)</t>
  </si>
  <si>
    <t>3805</t>
  </si>
  <si>
    <t>rfMRI connectivity (ICA100 edge 1377)</t>
  </si>
  <si>
    <t>3806</t>
  </si>
  <si>
    <t>rfMRI connectivity (ICA100 edge 1378)</t>
  </si>
  <si>
    <t>3807</t>
  </si>
  <si>
    <t>rfMRI connectivity (ICA100 edge 1379)</t>
  </si>
  <si>
    <t>3808</t>
  </si>
  <si>
    <t>rfMRI connectivity (ICA100 edge 1380)</t>
  </si>
  <si>
    <t>3809</t>
  </si>
  <si>
    <t>rfMRI connectivity (ICA100 edge 1381)</t>
  </si>
  <si>
    <t>3810</t>
  </si>
  <si>
    <t>rfMRI connectivity (ICA100 edge 1382)</t>
  </si>
  <si>
    <t>3811</t>
  </si>
  <si>
    <t>rfMRI connectivity (ICA100 edge 1383)</t>
  </si>
  <si>
    <t>3812</t>
  </si>
  <si>
    <t>rfMRI connectivity (ICA100 edge 1384)</t>
  </si>
  <si>
    <t>3813</t>
  </si>
  <si>
    <t>rfMRI connectivity (ICA100 edge 1385)</t>
  </si>
  <si>
    <t>3814</t>
  </si>
  <si>
    <t>rfMRI connectivity (ICA100 edge 1386)</t>
  </si>
  <si>
    <t>3815</t>
  </si>
  <si>
    <t>rfMRI connectivity (ICA100 edge 1387)</t>
  </si>
  <si>
    <t>3816</t>
  </si>
  <si>
    <t>rfMRI connectivity (ICA100 edge 1388)</t>
  </si>
  <si>
    <t>3817</t>
  </si>
  <si>
    <t>rfMRI connectivity (ICA100 edge 1389)</t>
  </si>
  <si>
    <t>3818</t>
  </si>
  <si>
    <t>rfMRI connectivity (ICA100 edge 1390)</t>
  </si>
  <si>
    <t>3819</t>
  </si>
  <si>
    <t>rfMRI connectivity (ICA100 edge 1391)</t>
  </si>
  <si>
    <t>3820</t>
  </si>
  <si>
    <t>rfMRI connectivity (ICA100 edge 1392)</t>
  </si>
  <si>
    <t>3821</t>
  </si>
  <si>
    <t>rfMRI connectivity (ICA100 edge 1393)</t>
  </si>
  <si>
    <t>3822</t>
  </si>
  <si>
    <t>rfMRI connectivity (ICA100 edge 1394)</t>
  </si>
  <si>
    <t>3823</t>
  </si>
  <si>
    <t>rfMRI connectivity (ICA100 edge 1395)</t>
  </si>
  <si>
    <t>3824</t>
  </si>
  <si>
    <t>rfMRI connectivity (ICA100 edge 1396)</t>
  </si>
  <si>
    <t>3825</t>
  </si>
  <si>
    <t>rfMRI connectivity (ICA100 edge 1397)</t>
  </si>
  <si>
    <t>3826</t>
  </si>
  <si>
    <t>rfMRI connectivity (ICA100 edge 1398)</t>
  </si>
  <si>
    <t>3827</t>
  </si>
  <si>
    <t>rfMRI connectivity (ICA100 edge 1399)</t>
  </si>
  <si>
    <t>3828</t>
  </si>
  <si>
    <t>rfMRI connectivity (ICA100 edge 1400)</t>
  </si>
  <si>
    <t>3829</t>
  </si>
  <si>
    <t>rfMRI connectivity (ICA100 edge 1401)</t>
  </si>
  <si>
    <t>3830</t>
  </si>
  <si>
    <t>rfMRI connectivity (ICA100 edge 1402)</t>
  </si>
  <si>
    <t>3831</t>
  </si>
  <si>
    <t>rfMRI connectivity (ICA100 edge 1403)</t>
  </si>
  <si>
    <t>3832</t>
  </si>
  <si>
    <t>rfMRI connectivity (ICA100 edge 1404)</t>
  </si>
  <si>
    <t>3833</t>
  </si>
  <si>
    <t>rfMRI connectivity (ICA100 edge 1405)</t>
  </si>
  <si>
    <t>3834</t>
  </si>
  <si>
    <t>rfMRI connectivity (ICA100 edge 1406)</t>
  </si>
  <si>
    <t>3835</t>
  </si>
  <si>
    <t>rfMRI connectivity (ICA100 edge 1407)</t>
  </si>
  <si>
    <t>3836</t>
  </si>
  <si>
    <t>rfMRI connectivity (ICA100 edge 1408)</t>
  </si>
  <si>
    <t>3837</t>
  </si>
  <si>
    <t>rfMRI connectivity (ICA100 edge 1409)</t>
  </si>
  <si>
    <t>3838</t>
  </si>
  <si>
    <t>rfMRI connectivity (ICA100 edge 1410)</t>
  </si>
  <si>
    <t>3839</t>
  </si>
  <si>
    <t>rfMRI connectivity (ICA100 edge 1411)</t>
  </si>
  <si>
    <t>3840</t>
  </si>
  <si>
    <t>rfMRI connectivity (ICA100 edge 1412)</t>
  </si>
  <si>
    <t>3841</t>
  </si>
  <si>
    <t>rfMRI connectivity (ICA100 edge 1413)</t>
  </si>
  <si>
    <t>3842</t>
  </si>
  <si>
    <t>rfMRI connectivity (ICA100 edge 1414)</t>
  </si>
  <si>
    <t>3843</t>
  </si>
  <si>
    <t>rfMRI connectivity (ICA100 edge 1415)</t>
  </si>
  <si>
    <t>3844</t>
  </si>
  <si>
    <t>rfMRI connectivity (ICA100 edge 1416)</t>
  </si>
  <si>
    <t>3845</t>
  </si>
  <si>
    <t>rfMRI connectivity (ICA100 edge 1417)</t>
  </si>
  <si>
    <t>3846</t>
  </si>
  <si>
    <t>rfMRI connectivity (ICA100 edge 1418)</t>
  </si>
  <si>
    <t>3847</t>
  </si>
  <si>
    <t>rfMRI connectivity (ICA100 edge 1419)</t>
  </si>
  <si>
    <t>3848</t>
  </si>
  <si>
    <t>rfMRI connectivity (ICA100 edge 1420)</t>
  </si>
  <si>
    <t>3849</t>
  </si>
  <si>
    <t>rfMRI connectivity (ICA100 edge 1421)</t>
  </si>
  <si>
    <t>3850</t>
  </si>
  <si>
    <t>rfMRI connectivity (ICA100 edge 1422)</t>
  </si>
  <si>
    <t>3851</t>
  </si>
  <si>
    <t>rfMRI connectivity (ICA100 edge 1423)</t>
  </si>
  <si>
    <t>3852</t>
  </si>
  <si>
    <t>rfMRI connectivity (ICA100 edge 1424)</t>
  </si>
  <si>
    <t>3853</t>
  </si>
  <si>
    <t>rfMRI connectivity (ICA100 edge 1425)</t>
  </si>
  <si>
    <t>3854</t>
  </si>
  <si>
    <t>rfMRI connectivity (ICA100 edge 1426)</t>
  </si>
  <si>
    <t>3855</t>
  </si>
  <si>
    <t>rfMRI connectivity (ICA100 edge 1427)</t>
  </si>
  <si>
    <t>3856</t>
  </si>
  <si>
    <t>rfMRI connectivity (ICA100 edge 1428)</t>
  </si>
  <si>
    <t>3857</t>
  </si>
  <si>
    <t>rfMRI connectivity (ICA100 edge 1429)</t>
  </si>
  <si>
    <t>3858</t>
  </si>
  <si>
    <t>rfMRI connectivity (ICA100 edge 1430)</t>
  </si>
  <si>
    <t>3859</t>
  </si>
  <si>
    <t>rfMRI connectivity (ICA100 edge 1431)</t>
  </si>
  <si>
    <t>3860</t>
  </si>
  <si>
    <t>rfMRI connectivity (ICA100 edge 1432)</t>
  </si>
  <si>
    <t>3861</t>
  </si>
  <si>
    <t>rfMRI connectivity (ICA100 edge 1433)</t>
  </si>
  <si>
    <t>3862</t>
  </si>
  <si>
    <t>rfMRI connectivity (ICA100 edge 1434)</t>
  </si>
  <si>
    <t>3863</t>
  </si>
  <si>
    <t>rfMRI connectivity (ICA100 edge 1435)</t>
  </si>
  <si>
    <t>3864</t>
  </si>
  <si>
    <t>rfMRI connectivity (ICA100 edge 1436)</t>
  </si>
  <si>
    <t>3865</t>
  </si>
  <si>
    <t>rfMRI connectivity (ICA100 edge 1437)</t>
  </si>
  <si>
    <t>3866</t>
  </si>
  <si>
    <t>rfMRI connectivity (ICA100 edge 1438)</t>
  </si>
  <si>
    <t>3867</t>
  </si>
  <si>
    <t>rfMRI connectivity (ICA100 edge 1439)</t>
  </si>
  <si>
    <t>3868</t>
  </si>
  <si>
    <t>rfMRI connectivity (ICA100 edge 1440)</t>
  </si>
  <si>
    <t>3869</t>
  </si>
  <si>
    <t>rfMRI connectivity (ICA100 edge 1441)</t>
  </si>
  <si>
    <t>3870</t>
  </si>
  <si>
    <t>rfMRI connectivity (ICA100 edge 1442)</t>
  </si>
  <si>
    <t>3871</t>
  </si>
  <si>
    <t>rfMRI connectivity (ICA100 edge 1443)</t>
  </si>
  <si>
    <t>3872</t>
  </si>
  <si>
    <t>rfMRI connectivity (ICA100 edge 1444)</t>
  </si>
  <si>
    <t>3873</t>
  </si>
  <si>
    <t>rfMRI connectivity (ICA100 edge 1445)</t>
  </si>
  <si>
    <t>3874</t>
  </si>
  <si>
    <t>rfMRI connectivity (ICA100 edge 1446)</t>
  </si>
  <si>
    <t>3875</t>
  </si>
  <si>
    <t>rfMRI connectivity (ICA100 edge 1447)</t>
  </si>
  <si>
    <t>3876</t>
  </si>
  <si>
    <t>rfMRI connectivity (ICA100 edge 1448)</t>
  </si>
  <si>
    <t>3877</t>
  </si>
  <si>
    <t>rfMRI connectivity (ICA100 edge 1449)</t>
  </si>
  <si>
    <t>3878</t>
  </si>
  <si>
    <t>rfMRI connectivity (ICA100 edge 1450)</t>
  </si>
  <si>
    <t>3879</t>
  </si>
  <si>
    <t>rfMRI connectivity (ICA100 edge 1451)</t>
  </si>
  <si>
    <t>3880</t>
  </si>
  <si>
    <t>rfMRI connectivity (ICA100 edge 1452)</t>
  </si>
  <si>
    <t>3881</t>
  </si>
  <si>
    <t>rfMRI connectivity (ICA100 edge 1453)</t>
  </si>
  <si>
    <t>3882</t>
  </si>
  <si>
    <t>rfMRI connectivity (ICA100 edge 1454)</t>
  </si>
  <si>
    <t>3883</t>
  </si>
  <si>
    <t>rfMRI connectivity (ICA100 edge 1455)</t>
  </si>
  <si>
    <t>3884</t>
  </si>
  <si>
    <t>rfMRI connectivity (ICA100 edge 1456)</t>
  </si>
  <si>
    <t>3885</t>
  </si>
  <si>
    <t>rfMRI connectivity (ICA100 edge 1457)</t>
  </si>
  <si>
    <t>3886</t>
  </si>
  <si>
    <t>rfMRI connectivity (ICA100 edge 1458)</t>
  </si>
  <si>
    <t>3887</t>
  </si>
  <si>
    <t>rfMRI connectivity (ICA100 edge 1459)</t>
  </si>
  <si>
    <t>3888</t>
  </si>
  <si>
    <t>rfMRI connectivity (ICA100 edge 1460)</t>
  </si>
  <si>
    <t>3889</t>
  </si>
  <si>
    <t>rfMRI connectivity (ICA100 edge 1461)</t>
  </si>
  <si>
    <t>3890</t>
  </si>
  <si>
    <t>rfMRI connectivity (ICA100 edge 1462)</t>
  </si>
  <si>
    <t>3891</t>
  </si>
  <si>
    <t>rfMRI connectivity (ICA100 edge 1463)</t>
  </si>
  <si>
    <t>3892</t>
  </si>
  <si>
    <t>rfMRI connectivity (ICA100 edge 1464)</t>
  </si>
  <si>
    <t>3893</t>
  </si>
  <si>
    <t>rfMRI connectivity (ICA100 edge 1465)</t>
  </si>
  <si>
    <t>3894</t>
  </si>
  <si>
    <t>rfMRI connectivity (ICA100 edge 1466)</t>
  </si>
  <si>
    <t>3895</t>
  </si>
  <si>
    <t>rfMRI connectivity (ICA100 edge 1467)</t>
  </si>
  <si>
    <t>3896</t>
  </si>
  <si>
    <t>rfMRI connectivity (ICA100 edge 1468)</t>
  </si>
  <si>
    <t>3897</t>
  </si>
  <si>
    <t>rfMRI connectivity (ICA100 edge 1469)</t>
  </si>
  <si>
    <t>3898</t>
  </si>
  <si>
    <t>rfMRI connectivity (ICA100 edge 1470)</t>
  </si>
  <si>
    <t>3899</t>
  </si>
  <si>
    <t>rfMRI connectivity (ICA100 edge 1471)</t>
  </si>
  <si>
    <t>3900</t>
  </si>
  <si>
    <t>rfMRI connectivity (ICA100 edge 1472)</t>
  </si>
  <si>
    <t>3901</t>
  </si>
  <si>
    <t>rfMRI connectivity (ICA100 edge 1473)</t>
  </si>
  <si>
    <t>3902</t>
  </si>
  <si>
    <t>rfMRI connectivity (ICA100 edge 1474)</t>
  </si>
  <si>
    <t>3903</t>
  </si>
  <si>
    <t>rfMRI connectivity (ICA100 edge 1475)</t>
  </si>
  <si>
    <t>3904</t>
  </si>
  <si>
    <t>rfMRI connectivity (ICA100 edge 1476)</t>
  </si>
  <si>
    <t>3905</t>
  </si>
  <si>
    <t>rfMRI connectivity (ICA100 edge 1477)</t>
  </si>
  <si>
    <t>3906</t>
  </si>
  <si>
    <t>rfMRI connectivity (ICA100 edge 1478)</t>
  </si>
  <si>
    <t>3907</t>
  </si>
  <si>
    <t>rfMRI connectivity (ICA100 edge 1479)</t>
  </si>
  <si>
    <t>3908</t>
  </si>
  <si>
    <t>rfMRI connectivity (ICA100 edge 1480)</t>
  </si>
  <si>
    <t>3909</t>
  </si>
  <si>
    <t>rfMRI connectivity (ICA100 edge 1481)</t>
  </si>
  <si>
    <t>3910</t>
  </si>
  <si>
    <t>rfMRI connectivity (ICA100 edge 1482)</t>
  </si>
  <si>
    <t>3911</t>
  </si>
  <si>
    <t>rfMRI connectivity (ICA100 edge 1483)</t>
  </si>
  <si>
    <t>3912</t>
  </si>
  <si>
    <t>rfMRI connectivity (ICA100 edge 1484)</t>
  </si>
  <si>
    <t>3913</t>
  </si>
  <si>
    <t>rfMRI connectivity (ICA100 edge 1485)</t>
  </si>
  <si>
    <t>3914</t>
  </si>
  <si>
    <t>na</t>
  </si>
  <si>
    <t>rfMRI connectivity ICA-features 1</t>
  </si>
  <si>
    <t>3915</t>
  </si>
  <si>
    <t>rfMRI connectivity ICA-features 2</t>
  </si>
  <si>
    <t>3916</t>
  </si>
  <si>
    <t>rfMRI connectivity ICA-features 3</t>
  </si>
  <si>
    <t>3917</t>
  </si>
  <si>
    <t>rfMRI connectivity ICA-features 4</t>
  </si>
  <si>
    <t>3918</t>
  </si>
  <si>
    <t>rfMRI connectivity ICA-features 5</t>
  </si>
  <si>
    <t>3919</t>
  </si>
  <si>
    <t>rfMRI connectivity ICA-features 6</t>
  </si>
  <si>
    <t>3920</t>
  </si>
  <si>
    <t>25731</t>
  </si>
  <si>
    <t>QC T1-to-standard linear alignment discrepancy</t>
  </si>
  <si>
    <t>3921</t>
  </si>
  <si>
    <t>25732</t>
  </si>
  <si>
    <t>QC T1-to-standard nonlinear alignment discrepancy</t>
  </si>
  <si>
    <t>3922</t>
  </si>
  <si>
    <t>25733</t>
  </si>
  <si>
    <t>QC T1-to-standard nonlinear alignment warping</t>
  </si>
  <si>
    <t>3923</t>
  </si>
  <si>
    <t>25734</t>
  </si>
  <si>
    <t>QC T1 inverse SNR</t>
  </si>
  <si>
    <t>3924</t>
  </si>
  <si>
    <t>25735</t>
  </si>
  <si>
    <t>QC T1 inverse CNR</t>
  </si>
  <si>
    <t>3925</t>
  </si>
  <si>
    <t>25736</t>
  </si>
  <si>
    <t>QC T2 FLAIR-to-T1 linear alignment discrepancy</t>
  </si>
  <si>
    <t>3926</t>
  </si>
  <si>
    <t>25737</t>
  </si>
  <si>
    <t>QC dMRI-to-T1 linear alignment discrepancy</t>
  </si>
  <si>
    <t>3927</t>
  </si>
  <si>
    <t>25738</t>
  </si>
  <si>
    <t>QC SWI-to-T1 linear alignment discrepancy</t>
  </si>
  <si>
    <t>3928</t>
  </si>
  <si>
    <t>25739</t>
  </si>
  <si>
    <t>QC rfMRI-to-T1 linear alignment discrepancy</t>
  </si>
  <si>
    <t>3929</t>
  </si>
  <si>
    <t>25740</t>
  </si>
  <si>
    <t>QC tfMRI-to-T1 linear alignment discrepancy</t>
  </si>
  <si>
    <t>3930</t>
  </si>
  <si>
    <t>25741</t>
  </si>
  <si>
    <t>QC rfMRI head motion</t>
  </si>
  <si>
    <t>3931</t>
  </si>
  <si>
    <t>25742</t>
  </si>
  <si>
    <t>QC tfMRI head motion</t>
  </si>
  <si>
    <t>3932</t>
  </si>
  <si>
    <t>25743</t>
  </si>
  <si>
    <t>QC rfMRI inverse tSNR</t>
  </si>
  <si>
    <t>3933</t>
  </si>
  <si>
    <t>25744</t>
  </si>
  <si>
    <t>QC rfMRI cleaned inverse tSNR</t>
  </si>
  <si>
    <t>3934</t>
  </si>
  <si>
    <t>25745</t>
  </si>
  <si>
    <t>QC tfMRI inverse tSNR</t>
  </si>
  <si>
    <t>3935</t>
  </si>
  <si>
    <t>25746</t>
  </si>
  <si>
    <t>QC dMRI eddy outlier slices</t>
  </si>
  <si>
    <t>IDP ID</t>
  </si>
  <si>
    <t>Category name</t>
  </si>
  <si>
    <t>regional and tissue volume</t>
  </si>
  <si>
    <t>cortical area</t>
  </si>
  <si>
    <t>cortical thickness</t>
  </si>
  <si>
    <t>regional and tissue intensity</t>
  </si>
  <si>
    <t>cortical grey-white contrast</t>
  </si>
  <si>
    <t>white matter hyperintensity volume</t>
  </si>
  <si>
    <t>regional T2*</t>
  </si>
  <si>
    <t>WM tract FA</t>
  </si>
  <si>
    <t>WM tract MO</t>
  </si>
  <si>
    <t>WM tract diffusivity</t>
  </si>
  <si>
    <t>WM tract ICVF</t>
  </si>
  <si>
    <t>WM tract OD</t>
  </si>
  <si>
    <t>WM tract ISOVF</t>
  </si>
  <si>
    <t>tfMRI activation</t>
  </si>
  <si>
    <t>rfMRI node amplitude</t>
  </si>
  <si>
    <t>rfMRI connectivity</t>
  </si>
  <si>
    <t>QC</t>
  </si>
  <si>
    <t>se.male</t>
  </si>
  <si>
    <t>se.female</t>
  </si>
  <si>
    <t>gcp.pm</t>
  </si>
  <si>
    <t>pval.gcpzero.2tailed</t>
  </si>
  <si>
    <t>corrected_effect_p</t>
  </si>
  <si>
    <t>corrected_effect_se</t>
  </si>
  <si>
    <t>corrected_effect</t>
  </si>
  <si>
    <t>m_IVs</t>
  </si>
  <si>
    <t>Direction</t>
  </si>
  <si>
    <t>Male</t>
  </si>
  <si>
    <t>Model 3</t>
  </si>
  <si>
    <t>Female</t>
  </si>
  <si>
    <t>Sex-combined</t>
  </si>
  <si>
    <t>Model 2</t>
  </si>
  <si>
    <t>Model 1</t>
  </si>
  <si>
    <t>P</t>
  </si>
  <si>
    <t>95% CI upper</t>
  </si>
  <si>
    <t>95% CI lower</t>
  </si>
  <si>
    <t>b</t>
  </si>
  <si>
    <t>Sex</t>
  </si>
  <si>
    <t>Model</t>
  </si>
  <si>
    <t>Phen2 (IDP ID)</t>
  </si>
  <si>
    <t>Phen1</t>
  </si>
  <si>
    <t>n.snps</t>
  </si>
  <si>
    <t>Stop</t>
  </si>
  <si>
    <t>Start</t>
  </si>
  <si>
    <t>Chr</t>
  </si>
  <si>
    <t>Locus</t>
  </si>
  <si>
    <t>IDP2209</t>
  </si>
  <si>
    <t>None</t>
  </si>
  <si>
    <t>IDP0164</t>
  </si>
  <si>
    <t>IDP0199</t>
  </si>
  <si>
    <t>IDP0419</t>
  </si>
  <si>
    <t>rs7969196</t>
  </si>
  <si>
    <t>IDP0164, IDP0419</t>
  </si>
  <si>
    <t>rs5899177</t>
  </si>
  <si>
    <t>rs13026575</t>
  </si>
  <si>
    <t>rs12145751</t>
  </si>
  <si>
    <t>IDP0199, IDP2209</t>
  </si>
  <si>
    <t>dropped_trait</t>
  </si>
  <si>
    <t>posterior_explained_by_snp</t>
  </si>
  <si>
    <t>candidate_snp</t>
  </si>
  <si>
    <t>regional_prob</t>
  </si>
  <si>
    <t>posterior_prob</t>
  </si>
  <si>
    <t>traits</t>
  </si>
  <si>
    <t>iteration</t>
  </si>
  <si>
    <t>stop</t>
  </si>
  <si>
    <t>start</t>
  </si>
  <si>
    <t>chr</t>
  </si>
  <si>
    <t>locus</t>
  </si>
  <si>
    <t>Brain - Amygdala</t>
  </si>
  <si>
    <t>NINJ1</t>
  </si>
  <si>
    <t>ENSG00000131669.9</t>
  </si>
  <si>
    <t>Brain - Spinal cord (cervical c-1)</t>
  </si>
  <si>
    <t>Brain - Substantia nigra</t>
  </si>
  <si>
    <t>AC093110.3</t>
  </si>
  <si>
    <t>ENSG00000238018.2</t>
  </si>
  <si>
    <t>Brain - Caudate (basal ganglia)</t>
  </si>
  <si>
    <t>Brain - Nucleus accumbens (basal ganglia)</t>
  </si>
  <si>
    <t>Brain - Hippocampus</t>
  </si>
  <si>
    <t>Brain - Cortex</t>
  </si>
  <si>
    <t>Brain - Frontal Cortex (BA9)</t>
  </si>
  <si>
    <t>Brain - Putamen (basal ganglia)</t>
  </si>
  <si>
    <t>RPL23AP32</t>
  </si>
  <si>
    <t>ENSG00000237887.1</t>
  </si>
  <si>
    <t>Brain - Cerebellar Hemisphere</t>
  </si>
  <si>
    <t>Brain - Cerebellum</t>
  </si>
  <si>
    <t>Brain - Anterior cingulate cortex (BA24)</t>
  </si>
  <si>
    <t>SPTBN1</t>
  </si>
  <si>
    <t>ENSG00000115306.15</t>
  </si>
  <si>
    <t>Brain - Hypothalamus</t>
  </si>
  <si>
    <t>m-value</t>
  </si>
  <si>
    <t>p-value</t>
  </si>
  <si>
    <t>tissue</t>
  </si>
  <si>
    <t>gene_symbol</t>
  </si>
  <si>
    <t>genecode</t>
  </si>
  <si>
    <t>snp</t>
  </si>
  <si>
    <t>phenos</t>
  </si>
  <si>
    <t>Brain_Amygdala</t>
  </si>
  <si>
    <t>Brain_Spinal_cord_cervical_c-1</t>
  </si>
  <si>
    <t>step</t>
  </si>
  <si>
    <t>Brain_Substantia_nigra</t>
  </si>
  <si>
    <t>Brain_Caudate_basal_ganglia</t>
  </si>
  <si>
    <t>Brain_Nucleus_accumbens_basal_ganglia</t>
  </si>
  <si>
    <t>Brain_Hippocampus</t>
  </si>
  <si>
    <t>Brain_Cortex</t>
  </si>
  <si>
    <t>Brain_Frontal_Cortex_BA9</t>
  </si>
  <si>
    <t>Brain_Putamen_basal_ganglia</t>
  </si>
  <si>
    <t>Brain_Cerebellar_Hemisphere</t>
  </si>
  <si>
    <t>Brain_Cerebellum</t>
  </si>
  <si>
    <t>Brain_Anterior_cingulate_cortex_BA24</t>
  </si>
  <si>
    <t>Brain_Hypothalamus</t>
  </si>
  <si>
    <t>IDP description</t>
  </si>
  <si>
    <t>Volume of peripheral cortical grey matter (from T1 brain image, normalised for head size)</t>
  </si>
  <si>
    <t>Volume of peripheral cortical grey matter (from T1 brain image)</t>
  </si>
  <si>
    <t>Volume of ventricular cerebrospinal fluid (from T1 brain image, normalised for head size)</t>
  </si>
  <si>
    <t>Volume of ventricular cerebrospinal fluid (from T1 brain image)</t>
  </si>
  <si>
    <t>Volume of grey matter (from T1 brain image, normalised for head size)</t>
  </si>
  <si>
    <t>Volume of grey matter (from T1 brain image)</t>
  </si>
  <si>
    <t>Volume of white matter (from T1 brain image, normalised for head size)</t>
  </si>
  <si>
    <t>Volume of white matter (from T1 brain image)</t>
  </si>
  <si>
    <t>Volume of brain, grey+white, from T1 brain image, normalised for head size</t>
  </si>
  <si>
    <t>Volume of brain, grey+white, from T1 brain image</t>
  </si>
  <si>
    <t>Volume of left thalamus (from T1 brain image)</t>
  </si>
  <si>
    <t>Volume of right thalamus (from T1 brain image)</t>
  </si>
  <si>
    <t>Volume of left caudate (from T1 brain image)</t>
  </si>
  <si>
    <t>Volume of right caudate (from T1 brain image)</t>
  </si>
  <si>
    <t>Volume of left putamen (from T1 brain image)</t>
  </si>
  <si>
    <t>Volume of right putamen (from T1 brain image)</t>
  </si>
  <si>
    <t>Volume of left pallidum (from T1 brain image)</t>
  </si>
  <si>
    <t>Volume of right pallidum (from T1 brain image)</t>
  </si>
  <si>
    <t>Volume of left hippocampus (from T1 brain image)</t>
  </si>
  <si>
    <t>Volume of right hippocampus (from T1 brain image)</t>
  </si>
  <si>
    <t>Volume of left amygdala (from T1 brain image)</t>
  </si>
  <si>
    <t>Volume of right amygdala (from T1 brain image)</t>
  </si>
  <si>
    <t>Volume of left accumbens (from T1 brain image)</t>
  </si>
  <si>
    <t>Volume of right accumbens (from T1 brain image)</t>
  </si>
  <si>
    <t>Volume of brain stem + 4th ventricle (from T1 brain image)</t>
  </si>
  <si>
    <t>Volume of grey matter in Left Frontal Pole</t>
  </si>
  <si>
    <t>Volume of grey matter in Right Frontal Pole</t>
  </si>
  <si>
    <t>Volume of grey matter in Left Insular Cortex</t>
  </si>
  <si>
    <t>Volume of grey matter in Right Insular Cortex</t>
  </si>
  <si>
    <t>Volume of grey matter in Left Superior Frontal Gyrus</t>
  </si>
  <si>
    <t>Volume of grey matter in Right Superior Frontal Gyrus</t>
  </si>
  <si>
    <t>Volume of grey matter in Left Middle Frontal Gyrus</t>
  </si>
  <si>
    <t>Volume of grey matter in Right Middle Frontal Gyrus</t>
  </si>
  <si>
    <t>Volume of grey matter in Left Inferior Frontal Gyrus, pars triangularis</t>
  </si>
  <si>
    <t>Volume of grey matter in Right Inferior Frontal Gyrus, pars triangularis</t>
  </si>
  <si>
    <t>Volume of grey matter in Left Inferior Frontal Gyrus, pars opercularis</t>
  </si>
  <si>
    <t>Volume of grey matter in Right Inferior Frontal Gyrus, pars opercularis</t>
  </si>
  <si>
    <t>Volume of grey matter in Left Precentral Gyrus</t>
  </si>
  <si>
    <t>Volume of grey matter in Right Precentral Gyrus</t>
  </si>
  <si>
    <t>Volume of grey matter in Left Temporal Pole</t>
  </si>
  <si>
    <t>Volume of grey matter in Right Temporal Pole</t>
  </si>
  <si>
    <t>Volume of grey matter in Left Superior Temporal Gyrus, anterior division</t>
  </si>
  <si>
    <t>Volume of grey matter in Right Superior Temporal Gyrus, anterior division</t>
  </si>
  <si>
    <t>Volume of grey matter in Left Superior Temporal Gyrus, posterior division</t>
  </si>
  <si>
    <t>Volume of grey matter in Right Superior Temporal Gyrus, posterior division</t>
  </si>
  <si>
    <t>Volume of grey matter in Left Middle Temporal Gyrus, anterior division</t>
  </si>
  <si>
    <t>Volume of grey matter in Right Middle Temporal Gyrus, anterior division</t>
  </si>
  <si>
    <t>Volume of grey matter in Left Middle Temporal Gyrus, posterior division</t>
  </si>
  <si>
    <t>Volume of grey matter in Right Middle Temporal Gyrus, posterior division</t>
  </si>
  <si>
    <t>Volume of grey matter in Left Middle Temporal Gyrus, temporooccipital part</t>
  </si>
  <si>
    <t>Volume of grey matter in Right Middle Temporal Gyrus, temporooccipital part</t>
  </si>
  <si>
    <t>Volume of grey matter in Left Inferior Temporal Gyrus, anterior division</t>
  </si>
  <si>
    <t>Volume of grey matter in Right Inferior Temporal Gyrus, anterior division</t>
  </si>
  <si>
    <t>Volume of grey matter in Left Inferior Temporal Gyrus, posterior division</t>
  </si>
  <si>
    <t>Volume of grey matter in Right Inferior Temporal Gyrus, posterior division</t>
  </si>
  <si>
    <t>Volume of grey matter in Left Inferior Temporal Gyrus, temporooccipital part</t>
  </si>
  <si>
    <t>Volume of grey matter in Right Inferior Temporal Gyrus, temporooccipital part</t>
  </si>
  <si>
    <t>Volume of grey matter in Left Postcentral Gyrus</t>
  </si>
  <si>
    <t>Volume of grey matter in Right Postcentral Gyrus</t>
  </si>
  <si>
    <t>Volume of grey matter in Left Superior Parietal Lobule</t>
  </si>
  <si>
    <t>Volume of grey matter in Right Superior Parietal Lobule</t>
  </si>
  <si>
    <t>Volume of grey matter in Left Supramarginal Gyrus, anterior division</t>
  </si>
  <si>
    <t>Volume of grey matter in Right Supramarginal Gyrus, anterior division</t>
  </si>
  <si>
    <t>Volume of grey matter in Left Supramarginal Gyrus, posterior division</t>
  </si>
  <si>
    <t>Volume of grey matter in Right Supramarginal Gyrus, posterior division</t>
  </si>
  <si>
    <t>Volume of grey matter in Left Angular Gyrus</t>
  </si>
  <si>
    <t>Volume of grey matter in Right Angular Gyrus</t>
  </si>
  <si>
    <t>Volume of grey matter in Left Lateral Occipital Cortex, superior division</t>
  </si>
  <si>
    <t>Volume of grey matter in Right Lateral Occipital Cortex, superior division</t>
  </si>
  <si>
    <t>Volume of grey matter in Left Lateral Occipital Cortex, inferior division</t>
  </si>
  <si>
    <t>Volume of grey matter in Right Lateral Occipital Cortex, inferior division</t>
  </si>
  <si>
    <t>Volume of grey matter in Left Intracalcarine Cortex</t>
  </si>
  <si>
    <t>Volume of grey matter in Right Intracalcarine Cortex</t>
  </si>
  <si>
    <t>Volume of grey matter in Left Frontal Medial Cortex</t>
  </si>
  <si>
    <t>Volume of grey matter in Right Frontal Medial Cortex</t>
  </si>
  <si>
    <t>Volume of grey matter in Left Juxtapositional Lobule Cortex (formerly Supplementary Motor Cortex)</t>
  </si>
  <si>
    <t>Volume of grey matter in Right Juxtapositional Lobule Cortex (formerly Supplementary Motor Cortex)</t>
  </si>
  <si>
    <t>Volume of grey matter in Left Subcallosal Cortex</t>
  </si>
  <si>
    <t>Volume of grey matter in Right Subcallosal Cortex</t>
  </si>
  <si>
    <t>Volume of grey matter in Left Paracingulate Gyrus</t>
  </si>
  <si>
    <t>Volume of grey matter in Right Paracingulate Gyrus</t>
  </si>
  <si>
    <t>Volume of grey matter in Left Cingulate Gyrus, anterior division</t>
  </si>
  <si>
    <t>Volume of grey matter in Right Cingulate Gyrus, anterior division</t>
  </si>
  <si>
    <t>Volume of grey matter in Left Cingulate Gyrus, posterior division</t>
  </si>
  <si>
    <t>Volume of grey matter in Right Cingulate Gyrus, posterior division</t>
  </si>
  <si>
    <t>Volume of grey matter in Left Precuneous Cortex</t>
  </si>
  <si>
    <t>Volume of grey matter in Right Precuneous Cortex</t>
  </si>
  <si>
    <t>Volume of grey matter in Left Cuneal Cortex</t>
  </si>
  <si>
    <t>Volume of grey matter in Right Cuneal Cortex</t>
  </si>
  <si>
    <t>Volume of grey matter in Left Frontal Orbital Cortex</t>
  </si>
  <si>
    <t>Volume of grey matter in Right Frontal Orbital Cortex</t>
  </si>
  <si>
    <t>Volume of grey matter in Left Parahippocampal Gyrus, anterior division</t>
  </si>
  <si>
    <t>Volume of grey matter in Right Parahippocampal Gyrus, anterior division</t>
  </si>
  <si>
    <t>Volume of grey matter in Left Parahippocampal Gyrus, posterior division</t>
  </si>
  <si>
    <t>Volume of grey matter in Right Parahippocampal Gyrus, posterior division</t>
  </si>
  <si>
    <t>Volume of grey matter in Left Lingual Gyrus</t>
  </si>
  <si>
    <t>Volume of grey matter in Right Lingual Gyrus</t>
  </si>
  <si>
    <t>Volume of grey matter in Left Temporal Fusiform Cortex, anterior division</t>
  </si>
  <si>
    <t>Volume of grey matter in Right Temporal Fusiform Cortex, anterior division</t>
  </si>
  <si>
    <t>Volume of grey matter in Left Temporal Fusiform Cortex, posterior division</t>
  </si>
  <si>
    <t>Volume of grey matter in Right Temporal Fusiform Cortex, posterior division</t>
  </si>
  <si>
    <t>Volume of grey matter in Left Temporal Occipital Fusiform Cortex</t>
  </si>
  <si>
    <t>Volume of grey matter in Right Temporal Occipital Fusiform Cortex</t>
  </si>
  <si>
    <t>Volume of grey matter in Left Occipital Fusiform Gyrus</t>
  </si>
  <si>
    <t>Volume of grey matter in Right Occipital Fusiform Gyrus</t>
  </si>
  <si>
    <t>Volume of grey matter in Left Frontal Operculum Cortex</t>
  </si>
  <si>
    <t>Volume of grey matter in Right Frontal Operculum Cortex</t>
  </si>
  <si>
    <t>Volume of grey matter in Left Central Opercular Cortex</t>
  </si>
  <si>
    <t>Volume of grey matter in Right Central Opercular Cortex</t>
  </si>
  <si>
    <t>Volume of grey matter in Left Parietal Operculum Cortex</t>
  </si>
  <si>
    <t>Volume of grey matter in Right Parietal Operculum Cortex</t>
  </si>
  <si>
    <t>Volume of grey matter in Left Planum Polare</t>
  </si>
  <si>
    <t>Volume of grey matter in Right Planum Polare</t>
  </si>
  <si>
    <t>Volume of grey matter in Left Heschl's Gyrus (includes H1 and H2)</t>
  </si>
  <si>
    <t>Volume of grey matter in Right Heschl's Gyrus (includes H1 and H2)</t>
  </si>
  <si>
    <t>Volume of grey matter in Left Planum Temporale</t>
  </si>
  <si>
    <t>Volume of grey matter in Right Planum Temporale</t>
  </si>
  <si>
    <t>Volume of grey matter in Left Supracalcarine Cortex</t>
  </si>
  <si>
    <t>Volume of grey matter in Right Supracalcarine Cortex</t>
  </si>
  <si>
    <t>Volume of grey matter in Left Occipital Pole</t>
  </si>
  <si>
    <t>Volume of grey matter in Right Occipital Pole</t>
  </si>
  <si>
    <t>Volume of grey matter in Left Thalamus</t>
  </si>
  <si>
    <t>Volume of grey matter in Right Thalamus</t>
  </si>
  <si>
    <t>Volume of grey matter in Left Caudate</t>
  </si>
  <si>
    <t>Volume of grey matter in Right Caudate</t>
  </si>
  <si>
    <t>Volume of grey matter in Left Putamen</t>
  </si>
  <si>
    <t>Volume of grey matter in Right Putamen</t>
  </si>
  <si>
    <t>Volume of grey matter in Left Pallidum</t>
  </si>
  <si>
    <t>Volume of grey matter in Right Pallidum</t>
  </si>
  <si>
    <t>Volume of grey matter in Left Hippocampus</t>
  </si>
  <si>
    <t>Volume of grey matter in Right Hippocampus</t>
  </si>
  <si>
    <t>Volume of grey matter in Left Amygdala</t>
  </si>
  <si>
    <t>Volume of grey matter in Right Amygdala</t>
  </si>
  <si>
    <t>Volume of grey matter in Left Ventral Striatum</t>
  </si>
  <si>
    <t>Volume of grey matter in Right Ventral Striatum</t>
  </si>
  <si>
    <t>Volume of grey matter in Brain-Stem</t>
  </si>
  <si>
    <t>Volume of grey matter in Left I-IV Cerebellum</t>
  </si>
  <si>
    <t>Volume of grey matter in Right I-IV Cerebellum</t>
  </si>
  <si>
    <t>Volume of grey matter in Left V Cerebellum</t>
  </si>
  <si>
    <t>Volume of grey matter in Right V Cerebellum</t>
  </si>
  <si>
    <t>Volume of grey matter in Left VI Cerebellum</t>
  </si>
  <si>
    <t>Volume of grey matter in Vermis VI Cerebellum</t>
  </si>
  <si>
    <t>Volume of grey matter in Right VI Cerebellum</t>
  </si>
  <si>
    <t>Volume of grey matter in Left Crus I Cerebellum</t>
  </si>
  <si>
    <t>Volume of grey matter in Vermis Crus I Cerebellum</t>
  </si>
  <si>
    <t>Volume of grey matter in Right Crus I Cerebellum</t>
  </si>
  <si>
    <t>Volume of grey matter in Left Crus II Cerebellum</t>
  </si>
  <si>
    <t>Volume of grey matter in Vermis Crus II Cerebellum</t>
  </si>
  <si>
    <t>Volume of grey matter in Right Crus II Cerebellum</t>
  </si>
  <si>
    <t>Volume of grey matter in Left VIIb Cerebellum</t>
  </si>
  <si>
    <t>Volume of grey matter in Vermis VIIb Cerebellum</t>
  </si>
  <si>
    <t>Volume of grey matter in Right VIIb Cerebellum</t>
  </si>
  <si>
    <t>Volume of grey matter in Left VIIIa Cerebellum</t>
  </si>
  <si>
    <t>Volume of grey matter in Vermis VIIIa Cerebellum</t>
  </si>
  <si>
    <t>Volume of grey matter in Right VIIIa Cerebellum</t>
  </si>
  <si>
    <t>Volume of grey matter in Left VIIIb Cerebellum</t>
  </si>
  <si>
    <t>Volume of grey matter in Vermis VIIIb Cerebellum</t>
  </si>
  <si>
    <t>Volume of grey matter in Right VIIIb Cerebellum</t>
  </si>
  <si>
    <t>Volume of grey matter in Left IX Cerebellum</t>
  </si>
  <si>
    <t>Volume of grey matter in Vermis IX Cerebellum</t>
  </si>
  <si>
    <t>Volume of grey matter in Right IX Cerebellum</t>
  </si>
  <si>
    <t>Volume of grey matter in Left X Cerebellum</t>
  </si>
  <si>
    <t>Volume of grey matter in Vermis X Cerebellum</t>
  </si>
  <si>
    <t>Volume of grey matter in Right X Cerebellum</t>
  </si>
  <si>
    <t>Volume of BrainSeg in the whole brain generated by subcortical volumetric segmentation (aseg)</t>
  </si>
  <si>
    <t>Volume of BrainSegNotVent in the whole brain generated by subcortical volumetric segmentation (aseg)</t>
  </si>
  <si>
    <t>Volume of BrainSegNotVentSurf in the whole brain generated by subcortical volumetric segmentation (aseg)</t>
  </si>
  <si>
    <t>Volume of SubCortGray in the whole brain generated by subcortical volumetric segmentation (aseg)</t>
  </si>
  <si>
    <t>Volume of TotalGray in the whole brain generated by subcortical volumetric segmentation (aseg)</t>
  </si>
  <si>
    <t>Volume of SupraTentorial in the whole brain generated by subcortical volumetric segmentation (aseg)</t>
  </si>
  <si>
    <t>Volume of SupraTentorialNotVent in the whole brain generated by subcortical volumetric segmentation (aseg)</t>
  </si>
  <si>
    <t>Volume of EstimatedTotalIntraCranial in the whole brain generated by subcortical volumetric segmentation (aseg)</t>
  </si>
  <si>
    <t>Volume of VentricleChoroid in the whole brain generated by subcortical volumetric segmentation (aseg)</t>
  </si>
  <si>
    <t>Volume of 3rd-Ventricle in the whole brain generated by subcortical volumetric segmentation (aseg)</t>
  </si>
  <si>
    <t>Volume of 4th-Ventricle in the whole brain generated by subcortical volumetric segmentation (aseg)</t>
  </si>
  <si>
    <t>Volume of 5th-Ventricle in the whole brain generated by subcortical volumetric segmentation (aseg)</t>
  </si>
  <si>
    <t>Volume of Brain-Stem in the whole brain generated by subcortical volumetric segmentation (aseg)</t>
  </si>
  <si>
    <t>Volume of CSF in the whole brain generated by subcortical volumetric segmentation (aseg)</t>
  </si>
  <si>
    <t>Volume of WM-hypointensities in the whole brain generated by subcortical volumetric segmentation (aseg)</t>
  </si>
  <si>
    <t>Volume of non-WM-hypointensities in the whole brain generated by subcortical volumetric segmentation (aseg)</t>
  </si>
  <si>
    <t>Volume of Optic-Chiasm in the whole brain generated by subcortical volumetric segmentation (aseg)</t>
  </si>
  <si>
    <t>Volume of CC-Posterior in the whole brain generated by subcortical volumetric segmentation (aseg)</t>
  </si>
  <si>
    <t>Volume of CC-Mid-Posterior in the whole brain generated by subcortical volumetric segmentation (aseg)</t>
  </si>
  <si>
    <t>Volume of CC-Central in the whole brain generated by subcortical volumetric segmentation (aseg)</t>
  </si>
  <si>
    <t>Volume of CC-Mid-Anterior in the whole brain generated by subcortical volumetric segmentation (aseg)</t>
  </si>
  <si>
    <t>Volume of CC-Anterior in the whole brain generated by subcortical volumetric segmentation (aseg)</t>
  </si>
  <si>
    <t>Volume-ratio of BrainSegVol-to-eTIV in the whole brain generated by subcortical volumetric segmentation (aseg)</t>
  </si>
  <si>
    <t>Volume-ratio of MaskVol-to-eTIV in the whole brain generated by subcortical volumetric segmentation (aseg)</t>
  </si>
  <si>
    <t>Volume of Cortex in the left hemisphere generated by subcortical volumetric segmentation (aseg)</t>
  </si>
  <si>
    <t>Volume of CerebralWhiteMatter in the left hemisphere generated by subcortical volumetric segmentation (aseg)</t>
  </si>
  <si>
    <t>Volume of Lateral-Ventricle in the left hemisphere generated by subcortical volumetric segmentation (aseg)</t>
  </si>
  <si>
    <t>Volume of Inf-Lat-Vent in the left hemisphere generated by subcortical volumetric segmentation (aseg)</t>
  </si>
  <si>
    <t>Volume of Cerebellum-White-Matter in the left hemisphere generated by subcortical volumetric segmentation (aseg)</t>
  </si>
  <si>
    <t>Volume of Cerebellum-Cortex in the left hemisphere generated by subcortical volumetric segmentation (aseg)</t>
  </si>
  <si>
    <t>Volume of Thalamus-Proper in the left hemisphere generated by subcortical volumetric segmentation (aseg)</t>
  </si>
  <si>
    <t>Volume of Caudate in the left hemisphere generated by subcortical volumetric segmentation (aseg)</t>
  </si>
  <si>
    <t>Volume of Putamen in the left hemisphere generated by subcortical volumetric segmentation (aseg)</t>
  </si>
  <si>
    <t>Volume of Pallidum in the left hemisphere generated by subcortical volumetric segmentation (aseg)</t>
  </si>
  <si>
    <t>Volume of Hippocampus in the left hemisphere generated by subcortical volumetric segmentation (aseg)</t>
  </si>
  <si>
    <t>Volume of Amygdala in the left hemisphere generated by subcortical volumetric segmentation (aseg)</t>
  </si>
  <si>
    <t>Volume of Accumbens-area in the left hemisphere generated by subcortical volumetric segmentation (aseg)</t>
  </si>
  <si>
    <t>Volume of VentralDC in the left hemisphere generated by subcortical volumetric segmentation (aseg)</t>
  </si>
  <si>
    <t>Volume of vessel in the left hemisphere generated by subcortical volumetric segmentation (aseg)</t>
  </si>
  <si>
    <t>Volume of choroid-plexus in the left hemisphere generated by subcortical volumetric segmentation (aseg)</t>
  </si>
  <si>
    <t>Number of HolesBeforeFixing in the left hemisphere generated by subcortical volumetric segmentation (aseg)</t>
  </si>
  <si>
    <t>Volume of Cortex in the right hemisphere generated by subcortical volumetric segmentation (aseg)</t>
  </si>
  <si>
    <t>Volume of CerebralWhiteMatter in the right hemisphere generated by subcortical volumetric segmentation (aseg)</t>
  </si>
  <si>
    <t>Volume of Lateral-Ventricle in the right hemisphere generated by subcortical volumetric segmentation (aseg)</t>
  </si>
  <si>
    <t>Volume of Inf-Lat-Vent in the right hemisphere generated by subcortical volumetric segmentation (aseg)</t>
  </si>
  <si>
    <t>Volume of Cerebellum-White-Matter in the right hemisphere generated by subcortical volumetric segmentation (aseg)</t>
  </si>
  <si>
    <t>Volume of Cerebellum-Cortex in the right hemisphere generated by subcortical volumetric segmentation (aseg)</t>
  </si>
  <si>
    <t>Volume of Thalamus-Proper in the right hemisphere generated by subcortical volumetric segmentation (aseg)</t>
  </si>
  <si>
    <t>Volume of Caudate in the right hemisphere generated by subcortical volumetric segmentation (aseg)</t>
  </si>
  <si>
    <t>Volume of Putamen in the right hemisphere generated by subcortical volumetric segmentation (aseg)</t>
  </si>
  <si>
    <t>Volume of Pallidum in the right hemisphere generated by subcortical volumetric segmentation (aseg)</t>
  </si>
  <si>
    <t>Volume of Hippocampus in the right hemisphere generated by subcortical volumetric segmentation (aseg)</t>
  </si>
  <si>
    <t>Volume of Amygdala in the right hemisphere generated by subcortical volumetric segmentation (aseg)</t>
  </si>
  <si>
    <t>Volume of Accumbens-area in the right hemisphere generated by subcortical volumetric segmentation (aseg)</t>
  </si>
  <si>
    <t>Volume of VentralDC in the right hemisphere generated by subcortical volumetric segmentation (aseg)</t>
  </si>
  <si>
    <t>Volume of vessel in the right hemisphere generated by subcortical volumetric segmentation (aseg)</t>
  </si>
  <si>
    <t>Volume of choroid-plexus in the right hemisphere generated by subcortical volumetric segmentation (aseg)</t>
  </si>
  <si>
    <t>Number of HolesBeforeFixing in the right hemisphere generated by subcortical volumetric segmentation (aseg)</t>
  </si>
  <si>
    <t>Volume of Lateral-nucleus in the left hemisphere generated by subcortical volumetric sub-segmentation of the Amygdala Nuclei</t>
  </si>
  <si>
    <t>Volume of Basal-nucleus in the left hemisphere generated by subcortical volumetric sub-segmentation of the Amygdala Nuclei</t>
  </si>
  <si>
    <t>Volume of Accessory-Basal-nucleus in the left hemisphere generated by subcortical volumetric sub-segmentation of the Amygdala Nuclei</t>
  </si>
  <si>
    <t>Volume of Anterior-amygdaloid-area-AAA in the left hemisphere generated by subcortical volumetric sub-segmentation of the Amygdala Nuclei</t>
  </si>
  <si>
    <t>Volume of Central-nucleus in the left hemisphere generated by subcortical volumetric sub-segmentation of the Amygdala Nuclei</t>
  </si>
  <si>
    <t>Volume of Medial-nucleus in the left hemisphere generated by subcortical volumetric sub-segmentation of the Amygdala Nuclei</t>
  </si>
  <si>
    <t>Volume of Cortical-nucleus in the left hemisphere generated by subcortical volumetric sub-segmentation of the Amygdala Nuclei</t>
  </si>
  <si>
    <t>Volume of Corticoamygdaloid-transitio in the left hemisphere generated by subcortical volumetric sub-segmentation of the Amygdala Nuclei</t>
  </si>
  <si>
    <t>Volume of Paralaminar-nucleus in the left hemisphere generated by subcortical volumetric sub-segmentation of the Amygdala Nuclei</t>
  </si>
  <si>
    <t>Volume of Whole-amygdala in the left hemisphere generated by subcortical volumetric sub-segmentation of the Amygdala Nuclei</t>
  </si>
  <si>
    <t>Volume of Lateral-nucleus in the right hemisphere generated by subcortical volumetric sub-segmentation of the Amygdala Nuclei</t>
  </si>
  <si>
    <t>Volume of Basal-nucleus in the right hemisphere generated by subcortical volumetric sub-segmentation of the Amygdala Nuclei</t>
  </si>
  <si>
    <t>Volume of Accessory-Basal-nucleus in the right hemisphere generated by subcortical volumetric sub-segmentation of the Amygdala Nuclei</t>
  </si>
  <si>
    <t>Volume of Anterior-amygdaloid-area-AAA in the right hemisphere generated by subcortical volumetric sub-segmentation of the Amygdala Nuclei</t>
  </si>
  <si>
    <t>Volume of Central-nucleus in the right hemisphere generated by subcortical volumetric sub-segmentation of the Amygdala Nuclei</t>
  </si>
  <si>
    <t>Volume of Medial-nucleus in the right hemisphere generated by subcortical volumetric sub-segmentation of the Amygdala Nuclei</t>
  </si>
  <si>
    <t>Volume of Cortical-nucleus in the right hemisphere generated by subcortical volumetric sub-segmentation of the Amygdala Nuclei</t>
  </si>
  <si>
    <t>Volume of Corticoamygdaloid-transitio in the right hemisphere generated by subcortical volumetric sub-segmentation of the Amygdala Nuclei</t>
  </si>
  <si>
    <t>Volume of Paralaminar-nucleus in the right hemisphere generated by subcortical volumetric sub-segmentation of the Amygdala Nuclei</t>
  </si>
  <si>
    <t>Volume of Whole-amygdala in the right hemisphere generated by subcortical volumetric sub-segmentation of the Amygdala Nuclei</t>
  </si>
  <si>
    <t>Volume of Hippocampal-tail in the left hemisphere generated by subcortical volumetric sub-segmentation of the Hippocampal Subfields</t>
  </si>
  <si>
    <t>Volume of subiculum-body in the left hemisphere generated by subcortical volumetric sub-segmentation of the Hippocampal Subfields</t>
  </si>
  <si>
    <t>Volume of CA1-body in the left hemisphere generated by subcortical volumetric sub-segmentation of the Hippocampal Subfields</t>
  </si>
  <si>
    <t>Volume of subiculum-head in the left hemisphere generated by subcortical volumetric sub-segmentation of the Hippocampal Subfields</t>
  </si>
  <si>
    <t>Volume of hippocampal-fissure in the left hemisphere generated by subcortical volumetric sub-segmentation of the Hippocampal Subfields</t>
  </si>
  <si>
    <t>Volume of presubiculum-head in the left hemisphere generated by subcortical volumetric sub-segmentation of the Hippocampal Subfields</t>
  </si>
  <si>
    <t>Volume of CA1-head in the left hemisphere generated by subcortical volumetric sub-segmentation of the Hippocampal Subfields</t>
  </si>
  <si>
    <t>Volume of presubiculum-body in the left hemisphere generated by subcortical volumetric sub-segmentation of the Hippocampal Subfields</t>
  </si>
  <si>
    <t>Volume of parasubiculum in the left hemisphere generated by subcortical volumetric sub-segmentation of the Hippocampal Subfields</t>
  </si>
  <si>
    <t>Volume of molecular-layer-HP-head in the left hemisphere generated by subcortical volumetric sub-segmentation of the Hippocampal Subfields</t>
  </si>
  <si>
    <t>Volume of molecular-layer-HP-body in the left hemisphere generated by subcortical volumetric sub-segmentation of the Hippocampal Subfields</t>
  </si>
  <si>
    <t>Volume of GC-ML-DG-head in the left hemisphere generated by subcortical volumetric sub-segmentation of the Hippocampal Subfields</t>
  </si>
  <si>
    <t>Volume of CA3-body in the left hemisphere generated by subcortical volumetric sub-segmentation of the Hippocampal Subfields</t>
  </si>
  <si>
    <t>Volume of GC-ML-DG-body in the left hemisphere generated by subcortical volumetric sub-segmentation of the Hippocampal Subfields</t>
  </si>
  <si>
    <t>Volume of CA4-head in the left hemisphere generated by subcortical volumetric sub-segmentation of the Hippocampal Subfields</t>
  </si>
  <si>
    <t>Volume of CA4-body in the left hemisphere generated by subcortical volumetric sub-segmentation of the Hippocampal Subfields</t>
  </si>
  <si>
    <t>Volume of fimbria in the left hemisphere generated by subcortical volumetric sub-segmentation of the Hippocampal Subfields</t>
  </si>
  <si>
    <t>Volume of CA3-head in the left hemisphere generated by subcortical volumetric sub-segmentation of the Hippocampal Subfields</t>
  </si>
  <si>
    <t>Volume of HATA in the left hemisphere generated by subcortical volumetric sub-segmentation of the Hippocampal Subfields</t>
  </si>
  <si>
    <t>Volume of Whole-hippocampal-body in the left hemisphere generated by subcortical volumetric sub-segmentation of the Hippocampal Subfields</t>
  </si>
  <si>
    <t>Volume of Whole-hippocampal-head in the left hemisphere generated by subcortical volumetric sub-segmentation of the Hippocampal Subfields</t>
  </si>
  <si>
    <t>Volume of Whole-hippocampus in the left hemisphere generated by subcortical volumetric sub-segmentation of the Hippocampal Subfields</t>
  </si>
  <si>
    <t>Volume of Hippocampal-tail in the right hemisphere generated by subcortical volumetric sub-segmentation of the Hippocampal Subfields</t>
  </si>
  <si>
    <t>Volume of subiculum-body in the right hemisphere generated by subcortical volumetric sub-segmentation of the Hippocampal Subfields</t>
  </si>
  <si>
    <t>Volume of CA1-body in the right hemisphere generated by subcortical volumetric sub-segmentation of the Hippocampal Subfields</t>
  </si>
  <si>
    <t>Volume of subiculum-head in the right hemisphere generated by subcortical volumetric sub-segmentation of the Hippocampal Subfields</t>
  </si>
  <si>
    <t>Volume of hippocampal-fissure in the right hemisphere generated by subcortical volumetric sub-segmentation of the Hippocampal Subfields</t>
  </si>
  <si>
    <t>Volume of presubiculum-head in the right hemisphere generated by subcortical volumetric sub-segmentation of the Hippocampal Subfields</t>
  </si>
  <si>
    <t>Volume of CA1-head in the right hemisphere generated by subcortical volumetric sub-segmentation of the Hippocampal Subfields</t>
  </si>
  <si>
    <t>Volume of presubiculum-body in the right hemisphere generated by subcortical volumetric sub-segmentation of the Hippocampal Subfields</t>
  </si>
  <si>
    <t>Volume of parasubiculum in the right hemisphere generated by subcortical volumetric sub-segmentation of the Hippocampal Subfields</t>
  </si>
  <si>
    <t>Volume of molecular-layer-HP-head in the right hemisphere generated by subcortical volumetric sub-segmentation of the Hippocampal Subfields</t>
  </si>
  <si>
    <t>Volume of molecular-layer-HP-body in the right hemisphere generated by subcortical volumetric sub-segmentation of the Hippocampal Subfields</t>
  </si>
  <si>
    <t>Volume of GC-ML-DG-head in the right hemisphere generated by subcortical volumetric sub-segmentation of the Hippocampal Subfields</t>
  </si>
  <si>
    <t>Volume of CA3-body in the right hemisphere generated by subcortical volumetric sub-segmentation of the Hippocampal Subfields</t>
  </si>
  <si>
    <t>Volume of GC-ML-DG-body in the right hemisphere generated by subcortical volumetric sub-segmentation of the Hippocampal Subfields</t>
  </si>
  <si>
    <t>Volume of CA4-head in the right hemisphere generated by subcortical volumetric sub-segmentation of the Hippocampal Subfields</t>
  </si>
  <si>
    <t>Volume of CA4-body in the right hemisphere generated by subcortical volumetric sub-segmentation of the Hippocampal Subfields</t>
  </si>
  <si>
    <t>Volume of fimbria in the right hemisphere generated by subcortical volumetric sub-segmentation of the Hippocampal Subfields</t>
  </si>
  <si>
    <t>Volume of CA3-head in the right hemisphere generated by subcortical volumetric sub-segmentation of the Hippocampal Subfields</t>
  </si>
  <si>
    <t>Volume of HATA in the right hemisphere generated by subcortical volumetric sub-segmentation of the Hippocampal Subfields</t>
  </si>
  <si>
    <t>Volume of Whole-hippocampal-body in the right hemisphere generated by subcortical volumetric sub-segmentation of the Hippocampal Subfields</t>
  </si>
  <si>
    <t>Volume of Whole-hippocampal-head in the right hemisphere generated by subcortical volumetric sub-segmentation of the Hippocampal Subfields</t>
  </si>
  <si>
    <t>Volume of Whole-hippocampus in the right hemisphere generated by subcortical volumetric sub-segmentation of the Hippocampal Subfields</t>
  </si>
  <si>
    <t>Volume of MGN in the left hemisphere generated by subcortical volumetric sub-segmentation of the Thalamic Nuclei</t>
  </si>
  <si>
    <t>Volume of LGN in the left hemisphere generated by subcortical volumetric sub-segmentation of the Thalamic Nuclei</t>
  </si>
  <si>
    <t>Volume of PuI in the left hemisphere generated by subcortical volumetric sub-segmentation of the Thalamic Nuclei</t>
  </si>
  <si>
    <t>Volume of PuM in the left hemisphere generated by subcortical volumetric sub-segmentation of the Thalamic Nuclei</t>
  </si>
  <si>
    <t>Volume of L-Sg in the left hemisphere generated by subcortical volumetric sub-segmentation of the Thalamic Nuclei</t>
  </si>
  <si>
    <t>Volume of VPL in the left hemisphere generated by subcortical volumetric sub-segmentation of the Thalamic Nuclei</t>
  </si>
  <si>
    <t>Volume of CM in the left hemisphere generated by subcortical volumetric sub-segmentation of the Thalamic Nuclei</t>
  </si>
  <si>
    <t>Volume of VLa in the left hemisphere generated by subcortical volumetric sub-segmentation of the Thalamic Nuclei</t>
  </si>
  <si>
    <t>Volume of PuA in the left hemisphere generated by subcortical volumetric sub-segmentation of the Thalamic Nuclei</t>
  </si>
  <si>
    <t>Volume of MDm in the left hemisphere generated by subcortical volumetric sub-segmentation of the Thalamic Nuclei</t>
  </si>
  <si>
    <t>Volume of Pf in the left hemisphere generated by subcortical volumetric sub-segmentation of the Thalamic Nuclei</t>
  </si>
  <si>
    <t>Volume of VAmc in the left hemisphere generated by subcortical volumetric sub-segmentation of the Thalamic Nuclei</t>
  </si>
  <si>
    <t>Volume of MDl in the left hemisphere generated by subcortical volumetric sub-segmentation of the Thalamic Nuclei</t>
  </si>
  <si>
    <t>Volume of CeM in the left hemisphere generated by subcortical volumetric sub-segmentation of the Thalamic Nuclei</t>
  </si>
  <si>
    <t>Volume of VA in the left hemisphere generated by subcortical volumetric sub-segmentation of the Thalamic Nuclei</t>
  </si>
  <si>
    <t>Volume of MV(Re) in the left hemisphere generated by subcortical volumetric sub-segmentation of the Thalamic Nuclei</t>
  </si>
  <si>
    <t>Volume of VM in the left hemisphere generated by subcortical volumetric sub-segmentation of the Thalamic Nuclei</t>
  </si>
  <si>
    <t>Volume of CL in the left hemisphere generated by subcortical volumetric sub-segmentation of the Thalamic Nuclei</t>
  </si>
  <si>
    <t>Volume of PuL in the left hemisphere generated by subcortical volumetric sub-segmentation of the Thalamic Nuclei</t>
  </si>
  <si>
    <t>Volume of Pt in the left hemisphere generated by subcortical volumetric sub-segmentation of the Thalamic Nuclei</t>
  </si>
  <si>
    <t>Volume of AV in the left hemisphere generated by subcortical volumetric sub-segmentation of the Thalamic Nuclei</t>
  </si>
  <si>
    <t>Volume of Pc in the left hemisphere generated by subcortical volumetric sub-segmentation of the Thalamic Nuclei</t>
  </si>
  <si>
    <t>Volume of VLp in the left hemisphere generated by subcortical volumetric sub-segmentation of the Thalamic Nuclei</t>
  </si>
  <si>
    <t>Volume of LP in the left hemisphere generated by subcortical volumetric sub-segmentation of the Thalamic Nuclei</t>
  </si>
  <si>
    <t>Volume of LGN in the right hemisphere generated by subcortical volumetric sub-segmentation of the Thalamic Nuclei</t>
  </si>
  <si>
    <t>Volume of MGN in the right hemisphere generated by subcortical volumetric sub-segmentation of the Thalamic Nuclei</t>
  </si>
  <si>
    <t>Volume of PuI in the right hemisphere generated by subcortical volumetric sub-segmentation of the Thalamic Nuclei</t>
  </si>
  <si>
    <t>Volume of PuM in the right hemisphere generated by subcortical volumetric sub-segmentation of the Thalamic Nuclei</t>
  </si>
  <si>
    <t>Volume of L-Sg in the right hemisphere generated by subcortical volumetric sub-segmentation of the Thalamic Nuclei</t>
  </si>
  <si>
    <t>Volume of VPL in the right hemisphere generated by subcortical volumetric sub-segmentation of the Thalamic Nuclei</t>
  </si>
  <si>
    <t>Volume of CM in the right hemisphere generated by subcortical volumetric sub-segmentation of the Thalamic Nuclei</t>
  </si>
  <si>
    <t>Volume of VLa in the right hemisphere generated by subcortical volumetric sub-segmentation of the Thalamic Nuclei</t>
  </si>
  <si>
    <t>Volume of PuA in the right hemisphere generated by subcortical volumetric sub-segmentation of the Thalamic Nuclei</t>
  </si>
  <si>
    <t>Volume of MDm in the right hemisphere generated by subcortical volumetric sub-segmentation of the Thalamic Nuclei</t>
  </si>
  <si>
    <t>Volume of Pf in the right hemisphere generated by subcortical volumetric sub-segmentation of the Thalamic Nuclei</t>
  </si>
  <si>
    <t>Volume of VAmc in the right hemisphere generated by subcortical volumetric sub-segmentation of the Thalamic Nuclei</t>
  </si>
  <si>
    <t>Volume of MDl in the right hemisphere generated by subcortical volumetric sub-segmentation of the Thalamic Nuclei</t>
  </si>
  <si>
    <t>Volume of VA in the right hemisphere generated by subcortical volumetric sub-segmentation of the Thalamic Nuclei</t>
  </si>
  <si>
    <t>Volume of MV(Re) in the right hemisphere generated by subcortical volumetric sub-segmentation of the Thalamic Nuclei</t>
  </si>
  <si>
    <t>Volume of CeM in the right hemisphere generated by subcortical volumetric sub-segmentation of the Thalamic Nuclei</t>
  </si>
  <si>
    <t>Volume of VM in the right hemisphere generated by subcortical volumetric sub-segmentation of the Thalamic Nuclei</t>
  </si>
  <si>
    <t>Volume of PuL in the right hemisphere generated by subcortical volumetric sub-segmentation of the Thalamic Nuclei</t>
  </si>
  <si>
    <t>Volume of CL in the right hemisphere generated by subcortical volumetric sub-segmentation of the Thalamic Nuclei</t>
  </si>
  <si>
    <t>Volume of VLp in the right hemisphere generated by subcortical volumetric sub-segmentation of the Thalamic Nuclei</t>
  </si>
  <si>
    <t>Volume of Pc in the right hemisphere generated by subcortical volumetric sub-segmentation of the Thalamic Nuclei</t>
  </si>
  <si>
    <t>Volume of Pt in the right hemisphere generated by subcortical volumetric sub-segmentation of the Thalamic Nuclei</t>
  </si>
  <si>
    <t>Volume of AV in the right hemisphere generated by subcortical volumetric sub-segmentation of the Thalamic Nuclei</t>
  </si>
  <si>
    <t>Volume of LP in the right hemisphere generated by subcortical volumetric sub-segmentation of the Thalamic Nuclei</t>
  </si>
  <si>
    <t>Volume of LD in the left hemisphere generated by subcortical volumetric sub-segmentation of the Thalamic Nuclei</t>
  </si>
  <si>
    <t>Volume of LD in the right hemisphere generated by subcortical volumetric sub-segmentation of the Thalamic Nuclei</t>
  </si>
  <si>
    <t>Volume of Whole-thalamus in the left hemisphere generated by subcortical volumetric sub-segmentation of the Thalamic Nuclei</t>
  </si>
  <si>
    <t>Volume of Whole-thalamus in the right hemisphere generated by subcortical volumetric sub-segmentation of the Thalamic Nuclei</t>
  </si>
  <si>
    <t>Volume of Medulla in the whole brain generated by subcortical volumetric sub-segmentation of the Brainstem</t>
  </si>
  <si>
    <t>Volume of Pons in the whole brain generated by subcortical volumetric sub-segmentation of the Brainstem</t>
  </si>
  <si>
    <t>Volume of SCP in the whole brain generated by subcortical volumetric sub-segmentation of the Brainstem</t>
  </si>
  <si>
    <t>Volume of Midbrain in the whole brain generated by subcortical volumetric sub-segmentation of the Brainstem</t>
  </si>
  <si>
    <t>Volume of Whole-brainstem in the whole brain generated by subcortical volumetric sub-segmentation of the Brainstem</t>
  </si>
  <si>
    <t>Volume of bankssts in the left hemisphere generated by parcellation of the white surface using Desikan-Killiany parcellation</t>
  </si>
  <si>
    <t>Volume of caudalanteriorcingulate in the left hemisphere generated by parcellation of the white surface using Desikan-Killiany parcellation</t>
  </si>
  <si>
    <t>Volume of caudalmiddlefrontal in the left hemisphere generated by parcellation of the white surface using Desikan-Killiany parcellation</t>
  </si>
  <si>
    <t>Volume of cuneus in the left hemisphere generated by parcellation of the white surface using Desikan-Killiany parcellation</t>
  </si>
  <si>
    <t>Volume of entorhinal in the left hemisphere generated by parcellation of the white surface using Desikan-Killiany parcellation</t>
  </si>
  <si>
    <t>Volume of fusiform in the left hemisphere generated by parcellation of the white surface using Desikan-Killiany parcellation</t>
  </si>
  <si>
    <t>Volume of inferiorparietal in the left hemisphere generated by parcellation of the white surface using Desikan-Killiany parcellation</t>
  </si>
  <si>
    <t>Volume of inferiortemporal in the left hemisphere generated by parcellation of the white surface using Desikan-Killiany parcellation</t>
  </si>
  <si>
    <t>Volume of isthmuscingulate in the left hemisphere generated by parcellation of the white surface using Desikan-Killiany parcellation</t>
  </si>
  <si>
    <t>Volume of lateraloccipital in the left hemisphere generated by parcellation of the white surface using Desikan-Killiany parcellation</t>
  </si>
  <si>
    <t>Volume of lateralorbitofrontal in the left hemisphere generated by parcellation of the white surface using Desikan-Killiany parcellation</t>
  </si>
  <si>
    <t>Volume of lingual in the left hemisphere generated by parcellation of the white surface using Desikan-Killiany parcellation</t>
  </si>
  <si>
    <t>Volume of medialorbitofrontal in the left hemisphere generated by parcellation of the white surface using Desikan-Killiany parcellation</t>
  </si>
  <si>
    <t>Volume of middletemporal in the left hemisphere generated by parcellation of the white surface using Desikan-Killiany parcellation</t>
  </si>
  <si>
    <t>Volume of parahippocampal in the left hemisphere generated by parcellation of the white surface using Desikan-Killiany parcellation</t>
  </si>
  <si>
    <t>Volume of paracentral in the left hemisphere generated by parcellation of the white surface using Desikan-Killiany parcellation</t>
  </si>
  <si>
    <t>Volume of parsopercularis in the left hemisphere generated by parcellation of the white surface using Desikan-Killiany parcellation</t>
  </si>
  <si>
    <t>Volume of parsorbitalis in the left hemisphere generated by parcellation of the white surface using Desikan-Killiany parcellation</t>
  </si>
  <si>
    <t>Volume of parstriangularis in the left hemisphere generated by parcellation of the white surface using Desikan-Killiany parcellation</t>
  </si>
  <si>
    <t>Volume of pericalcarine in the left hemisphere generated by parcellation of the white surface using Desikan-Killiany parcellation</t>
  </si>
  <si>
    <t>Volume of postcentral in the left hemisphere generated by parcellation of the white surface using Desikan-Killiany parcellation</t>
  </si>
  <si>
    <t>Volume of posteriorcingulate in the left hemisphere generated by parcellation of the white surface using Desikan-Killiany parcellation</t>
  </si>
  <si>
    <t>Volume of precentral in the left hemisphere generated by parcellation of the white surface using Desikan-Killiany parcellation</t>
  </si>
  <si>
    <t>Volume of precuneus in the left hemisphere generated by parcellation of the white surface using Desikan-Killiany parcellation</t>
  </si>
  <si>
    <t>Volume of rostralanteriorcingulate in the left hemisphere generated by parcellation of the white surface using Desikan-Killiany parcellation</t>
  </si>
  <si>
    <t>Volume of rostralmiddlefrontal in the left hemisphere generated by parcellation of the white surface using Desikan-Killiany parcellation</t>
  </si>
  <si>
    <t>Volume of superiorfrontal in the left hemisphere generated by parcellation of the white surface using Desikan-Killiany parcellation</t>
  </si>
  <si>
    <t>Volume of superiorparietal in the left hemisphere generated by parcellation of the white surface using Desikan-Killiany parcellation</t>
  </si>
  <si>
    <t>Volume of superiortemporal in the left hemisphere generated by parcellation of the white surface using Desikan-Killiany parcellation</t>
  </si>
  <si>
    <t>Volume of supramarginal in the left hemisphere generated by parcellation of the white surface using Desikan-Killiany parcellation</t>
  </si>
  <si>
    <t>Volume of frontalpole in the left hemisphere generated by parcellation of the white surface using Desikan-Killiany parcellation</t>
  </si>
  <si>
    <t>Volume of transversetemporal in the left hemisphere generated by parcellation of the white surface using Desikan-Killiany parcellation</t>
  </si>
  <si>
    <t>Volume of insula in the left hemisphere generated by parcellation of the white surface using Desikan-Killiany parcellation</t>
  </si>
  <si>
    <t>Volume of bankssts in the right hemisphere generated by parcellation of the white surface using Desikan-Killiany parcellation</t>
  </si>
  <si>
    <t>Volume of caudalanteriorcingulate in the right hemisphere generated by parcellation of the white surface using Desikan-Killiany parcellation</t>
  </si>
  <si>
    <t>Volume of caudalmiddlefrontal in the right hemisphere generated by parcellation of the white surface using Desikan-Killiany parcellation</t>
  </si>
  <si>
    <t>Volume of cuneus in the right hemisphere generated by parcellation of the white surface using Desikan-Killiany parcellation</t>
  </si>
  <si>
    <t>Volume of entorhinal in the right hemisphere generated by parcellation of the white surface using Desikan-Killiany parcellation</t>
  </si>
  <si>
    <t>Volume of fusiform in the right hemisphere generated by parcellation of the white surface using Desikan-Killiany parcellation</t>
  </si>
  <si>
    <t>Volume of inferiorparietal in the right hemisphere generated by parcellation of the white surface using Desikan-Killiany parcellation</t>
  </si>
  <si>
    <t>Volume of inferiortemporal in the right hemisphere generated by parcellation of the white surface using Desikan-Killiany parcellation</t>
  </si>
  <si>
    <t>Volume of isthmuscingulate in the right hemisphere generated by parcellation of the white surface using Desikan-Killiany parcellation</t>
  </si>
  <si>
    <t>Volume of lateraloccipital in the right hemisphere generated by parcellation of the white surface using Desikan-Killiany parcellation</t>
  </si>
  <si>
    <t>Volume of lateralorbitofrontal in the right hemisphere generated by parcellation of the white surface using Desikan-Killiany parcellation</t>
  </si>
  <si>
    <t>Volume of lingual in the right hemisphere generated by parcellation of the white surface using Desikan-Killiany parcellation</t>
  </si>
  <si>
    <t>Volume of medialorbitofrontal in the right hemisphere generated by parcellation of the white surface using Desikan-Killiany parcellation</t>
  </si>
  <si>
    <t>Volume of middletemporal in the right hemisphere generated by parcellation of the white surface using Desikan-Killiany parcellation</t>
  </si>
  <si>
    <t>Volume of parahippocampal in the right hemisphere generated by parcellation of the white surface using Desikan-Killiany parcellation</t>
  </si>
  <si>
    <t>Volume of paracentral in the right hemisphere generated by parcellation of the white surface using Desikan-Killiany parcellation</t>
  </si>
  <si>
    <t>Volume of parsopercularis in the right hemisphere generated by parcellation of the white surface using Desikan-Killiany parcellation</t>
  </si>
  <si>
    <t>Volume of parsorbitalis in the right hemisphere generated by parcellation of the white surface using Desikan-Killiany parcellation</t>
  </si>
  <si>
    <t>Volume of parstriangularis in the right hemisphere generated by parcellation of the white surface using Desikan-Killiany parcellation</t>
  </si>
  <si>
    <t>Volume of pericalcarine in the right hemisphere generated by parcellation of the white surface using Desikan-Killiany parcellation</t>
  </si>
  <si>
    <t>Volume of postcentral in the right hemisphere generated by parcellation of the white surface using Desikan-Killiany parcellation</t>
  </si>
  <si>
    <t>Volume of posteriorcingulate in the right hemisphere generated by parcellation of the white surface using Desikan-Killiany parcellation</t>
  </si>
  <si>
    <t>Volume of precentral in the right hemisphere generated by parcellation of the white surface using Desikan-Killiany parcellation</t>
  </si>
  <si>
    <t>Volume of precuneus in the right hemisphere generated by parcellation of the white surface using Desikan-Killiany parcellation</t>
  </si>
  <si>
    <t>Volume of rostralanteriorcingulate in the right hemisphere generated by parcellation of the white surface using Desikan-Killiany parcellation</t>
  </si>
  <si>
    <t>Volume of rostralmiddlefrontal in the right hemisphere generated by parcellation of the white surface using Desikan-Killiany parcellation</t>
  </si>
  <si>
    <t>Volume of superiorfrontal in the right hemisphere generated by parcellation of the white surface using Desikan-Killiany parcellation</t>
  </si>
  <si>
    <t>Volume of superiorparietal in the right hemisphere generated by parcellation of the white surface using Desikan-Killiany parcellation</t>
  </si>
  <si>
    <t>Volume of superiortemporal in the right hemisphere generated by parcellation of the white surface using Desikan-Killiany parcellation</t>
  </si>
  <si>
    <t>Volume of supramarginal in the right hemisphere generated by parcellation of the white surface using Desikan-Killiany parcellation</t>
  </si>
  <si>
    <t>Volume of frontalpole in the right hemisphere generated by parcellation of the white surface using Desikan-Killiany parcellation</t>
  </si>
  <si>
    <t>Volume of transversetemporal in the right hemisphere generated by parcellation of the white surface using Desikan-Killiany parcellation</t>
  </si>
  <si>
    <t>Volume of insula in the right hemisphere generated by parcellation of the white surface using Desikan-Killiany parcellation</t>
  </si>
  <si>
    <t>Volume of BA1 in the left hemisphere generated by parcellation of the white surface using BA_exvivo parcellation</t>
  </si>
  <si>
    <t>Volume of BA2 in the left hemisphere generated by parcellation of the white surface using BA_exvivo parcellation</t>
  </si>
  <si>
    <t>Volume of BA3a in the left hemisphere generated by parcellation of the white surface using BA_exvivo parcellation</t>
  </si>
  <si>
    <t>Volume of BA3b in the left hemisphere generated by parcellation of the white surface using BA_exvivo parcellation</t>
  </si>
  <si>
    <t>Volume of BA4a in the left hemisphere generated by parcellation of the white surface using BA_exvivo parcellation</t>
  </si>
  <si>
    <t>Volume of BA4p in the left hemisphere generated by parcellation of the white surface using BA_exvivo parcellation</t>
  </si>
  <si>
    <t>Volume of BA6 in the left hemisphere generated by parcellation of the white surface using BA_exvivo parcellation</t>
  </si>
  <si>
    <t>Volume of BA44 in the left hemisphere generated by parcellation of the white surface using BA_exvivo parcellation</t>
  </si>
  <si>
    <t>Volume of BA45 in the left hemisphere generated by parcellation of the white surface using BA_exvivo parcellation</t>
  </si>
  <si>
    <t>Volume of V1 in the left hemisphere generated by parcellation of the white surface using BA_exvivo parcellation</t>
  </si>
  <si>
    <t>Volume of V2 in the left hemisphere generated by parcellation of the white surface using BA_exvivo parcellation</t>
  </si>
  <si>
    <t>Volume of MT in the left hemisphere generated by parcellation of the white surface using BA_exvivo parcellation</t>
  </si>
  <si>
    <t>Volume of perirhinal in the left hemisphere generated by parcellation of the white surface using BA_exvivo parcellation</t>
  </si>
  <si>
    <t>Volume of entorhinal in the left hemisphere generated by parcellation of the white surface using BA_exvivo parcellation</t>
  </si>
  <si>
    <t>Volume of BA1 in the right hemisphere generated by parcellation of the white surface using BA_exvivo parcellation</t>
  </si>
  <si>
    <t>Volume of BA2 in the right hemisphere generated by parcellation of the white surface using BA_exvivo parcellation</t>
  </si>
  <si>
    <t>Volume of BA3a in the right hemisphere generated by parcellation of the white surface using BA_exvivo parcellation</t>
  </si>
  <si>
    <t>Volume of BA3b in the right hemisphere generated by parcellation of the white surface using BA_exvivo parcellation</t>
  </si>
  <si>
    <t>Volume of BA4a in the right hemisphere generated by parcellation of the white surface using BA_exvivo parcellation</t>
  </si>
  <si>
    <t>Volume of BA4p in the right hemisphere generated by parcellation of the white surface using BA_exvivo parcellation</t>
  </si>
  <si>
    <t>Volume of BA6 in the right hemisphere generated by parcellation of the white surface using BA_exvivo parcellation</t>
  </si>
  <si>
    <t>Volume of BA44 in the right hemisphere generated by parcellation of the white surface using BA_exvivo parcellation</t>
  </si>
  <si>
    <t>Volume of BA45 in the right hemisphere generated by parcellation of the white surface using BA_exvivo parcellation</t>
  </si>
  <si>
    <t>Volume of V1 in the right hemisphere generated by parcellation of the white surface using BA_exvivo parcellation</t>
  </si>
  <si>
    <t>Volume of V2 in the right hemisphere generated by parcellation of the white surface using BA_exvivo parcellation</t>
  </si>
  <si>
    <t>Volume of MT in the right hemisphere generated by parcellation of the white surface using BA_exvivo parcellation</t>
  </si>
  <si>
    <t>Volume of perirhinal in the right hemisphere generated by parcellation of the white surface using BA_exvivo parcellation</t>
  </si>
  <si>
    <t>Volume of entorhinal in the right hemisphere generated by parcellation of the white surface using BA_exvivo parcellation</t>
  </si>
  <si>
    <t>Volume of caudalanteriorcingulate in the left hemisphere generated by parcellation of the white surface using DKT parcellation</t>
  </si>
  <si>
    <t>Volume of caudalmiddlefrontal in the left hemisphere generated by parcellation of the white surface using DKT parcellation</t>
  </si>
  <si>
    <t>Volume of cuneus in the left hemisphere generated by parcellation of the white surface using DKT parcellation</t>
  </si>
  <si>
    <t>Volume of entorhinal in the left hemisphere generated by parcellation of the white surface using DKT parcellation</t>
  </si>
  <si>
    <t>Volume of fusiform in the left hemisphere generated by parcellation of the white surface using DKT parcellation</t>
  </si>
  <si>
    <t>Volume of inferiorparietal in the left hemisphere generated by parcellation of the white surface using DKT parcellation</t>
  </si>
  <si>
    <t>Volume of inferiortemporal in the left hemisphere generated by parcellation of the white surface using DKT parcellation</t>
  </si>
  <si>
    <t>Volume of isthmuscingulate in the left hemisphere generated by parcellation of the white surface using DKT parcellation</t>
  </si>
  <si>
    <t>Volume of lateraloccipital in the left hemisphere generated by parcellation of the white surface using DKT parcellation</t>
  </si>
  <si>
    <t>Volume of lateralorbitofrontal in the left hemisphere generated by parcellation of the white surface using DKT parcellation</t>
  </si>
  <si>
    <t>Volume of lingual in the left hemisphere generated by parcellation of the white surface using DKT parcellation</t>
  </si>
  <si>
    <t>Volume of medialorbitofrontal in the left hemisphere generated by parcellation of the white surface using DKT parcellation</t>
  </si>
  <si>
    <t>Volume of middletemporal in the left hemisphere generated by parcellation of the white surface using DKT parcellation</t>
  </si>
  <si>
    <t>Volume of parahippocampal in the left hemisphere generated by parcellation of the white surface using DKT parcellation</t>
  </si>
  <si>
    <t>Volume of paracentral in the left hemisphere generated by parcellation of the white surface using DKT parcellation</t>
  </si>
  <si>
    <t>Volume of parsopercularis in the left hemisphere generated by parcellation of the white surface using DKT parcellation</t>
  </si>
  <si>
    <t>Volume of parsorbitalis in the left hemisphere generated by parcellation of the white surface using DKT parcellation</t>
  </si>
  <si>
    <t>Volume of parstriangularis in the left hemisphere generated by parcellation of the white surface using DKT parcellation</t>
  </si>
  <si>
    <t>Volume of pericalcarine in the left hemisphere generated by parcellation of the white surface using DKT parcellation</t>
  </si>
  <si>
    <t>Volume of postcentral in the left hemisphere generated by parcellation of the white surface using DKT parcellation</t>
  </si>
  <si>
    <t>Volume of posteriorcingulate in the left hemisphere generated by parcellation of the white surface using DKT parcellation</t>
  </si>
  <si>
    <t>Volume of precentral in the left hemisphere generated by parcellation of the white surface using DKT parcellation</t>
  </si>
  <si>
    <t>Volume of precuneus in the left hemisphere generated by parcellation of the white surface using DKT parcellation</t>
  </si>
  <si>
    <t>Volume of rostralanteriorcingulate in the left hemisphere generated by parcellation of the white surface using DKT parcellation</t>
  </si>
  <si>
    <t>Volume of rostralmiddlefrontal in the left hemisphere generated by parcellation of the white surface using DKT parcellation</t>
  </si>
  <si>
    <t>Volume of superiorfrontal in the left hemisphere generated by parcellation of the white surface using DKT parcellation</t>
  </si>
  <si>
    <t>Volume of superiorparietal in the left hemisphere generated by parcellation of the white surface using DKT parcellation</t>
  </si>
  <si>
    <t>Volume of superiortemporal in the left hemisphere generated by parcellation of the white surface using DKT parcellation</t>
  </si>
  <si>
    <t>Volume of supramarginal in the left hemisphere generated by parcellation of the white surface using DKT parcellation</t>
  </si>
  <si>
    <t>Volume of transversetemporal in the left hemisphere generated by parcellation of the white surface using DKT parcellation</t>
  </si>
  <si>
    <t>Volume of insula in the left hemisphere generated by parcellation of the white surface using DKT parcellation</t>
  </si>
  <si>
    <t>Volume of caudalanteriorcingulate in the right hemisphere generated by parcellation of the white surface using DKT parcellation</t>
  </si>
  <si>
    <t>Volume of caudalmiddlefrontal in the right hemisphere generated by parcellation of the white surface using DKT parcellation</t>
  </si>
  <si>
    <t>Volume of cuneus in the right hemisphere generated by parcellation of the white surface using DKT parcellation</t>
  </si>
  <si>
    <t>Volume of entorhinal in the right hemisphere generated by parcellation of the white surface using DKT parcellation</t>
  </si>
  <si>
    <t>Volume of fusiform in the right hemisphere generated by parcellation of the white surface using DKT parcellation</t>
  </si>
  <si>
    <t>Volume of inferiorparietal in the right hemisphere generated by parcellation of the white surface using DKT parcellation</t>
  </si>
  <si>
    <t>Volume of inferiortemporal in the right hemisphere generated by parcellation of the white surface using DKT parcellation</t>
  </si>
  <si>
    <t>Volume of isthmuscingulate in the right hemisphere generated by parcellation of the white surface using DKT parcellation</t>
  </si>
  <si>
    <t>Volume of lateraloccipital in the right hemisphere generated by parcellation of the white surface using DKT parcellation</t>
  </si>
  <si>
    <t>Volume of lateralorbitofrontal in the right hemisphere generated by parcellation of the white surface using DKT parcellation</t>
  </si>
  <si>
    <t>Volume of lingual in the right hemisphere generated by parcellation of the white surface using DKT parcellation</t>
  </si>
  <si>
    <t>Volume of medialorbitofrontal in the right hemisphere generated by parcellation of the white surface using DKT parcellation</t>
  </si>
  <si>
    <t>Volume of middletemporal in the right hemisphere generated by parcellation of the white surface using DKT parcellation</t>
  </si>
  <si>
    <t>Volume of parahippocampal in the right hemisphere generated by parcellation of the white surface using DKT parcellation</t>
  </si>
  <si>
    <t>Volume of paracentral in the right hemisphere generated by parcellation of the white surface using DKT parcellation</t>
  </si>
  <si>
    <t>Volume of parsopercularis in the right hemisphere generated by parcellation of the white surface using DKT parcellation</t>
  </si>
  <si>
    <t>Volume of parsorbitalis in the right hemisphere generated by parcellation of the white surface using DKT parcellation</t>
  </si>
  <si>
    <t>Volume of parstriangularis in the right hemisphere generated by parcellation of the white surface using DKT parcellation</t>
  </si>
  <si>
    <t>Volume of pericalcarine in the right hemisphere generated by parcellation of the white surface using DKT parcellation</t>
  </si>
  <si>
    <t>Volume of postcentral in the right hemisphere generated by parcellation of the white surface using DKT parcellation</t>
  </si>
  <si>
    <t>Volume of posteriorcingulate in the right hemisphere generated by parcellation of the white surface using DKT parcellation</t>
  </si>
  <si>
    <t>Volume of precentral in the right hemisphere generated by parcellation of the white surface using DKT parcellation</t>
  </si>
  <si>
    <t>Volume of precuneus in the right hemisphere generated by parcellation of the white surface using DKT parcellation</t>
  </si>
  <si>
    <t>Volume of rostralanteriorcingulate in the right hemisphere generated by parcellation of the white surface using DKT parcellation</t>
  </si>
  <si>
    <t>Volume of rostralmiddlefrontal in the right hemisphere generated by parcellation of the white surface using DKT parcellation</t>
  </si>
  <si>
    <t>Volume of superiorfrontal in the right hemisphere generated by parcellation of the white surface using DKT parcellation</t>
  </si>
  <si>
    <t>Volume of superiorparietal in the right hemisphere generated by parcellation of the white surface using DKT parcellation</t>
  </si>
  <si>
    <t>Volume of superiortemporal in the right hemisphere generated by parcellation of the white surface using DKT parcellation</t>
  </si>
  <si>
    <t>Volume of supramarginal in the right hemisphere generated by parcellation of the white surface using DKT parcellation</t>
  </si>
  <si>
    <t>Volume of transversetemporal in the right hemisphere generated by parcellation of the white surface using DKT parcellation</t>
  </si>
  <si>
    <t>Volume of insula in the right hemisphere generated by parcellation of the white surface using DKT parcellation</t>
  </si>
  <si>
    <t>Volume of G+S-frontomargin in the left hemisphere generated by parcellation of the white surface using Destrieux (a2009s) parcellation</t>
  </si>
  <si>
    <t>Volume of G+S-occipital-inf in the left hemisphere generated by parcellation of the white surface using Destrieux (a2009s) parcellation</t>
  </si>
  <si>
    <t>Volume of G+S-paracentral in the left hemisphere generated by parcellation of the white surface using Destrieux (a2009s) parcellation</t>
  </si>
  <si>
    <t>Volume of G+S-subcentral in the left hemisphere generated by parcellation of the white surface using Destrieux (a2009s) parcellation</t>
  </si>
  <si>
    <t>Volume of G+S-transv-frontopol in the left hemisphere generated by parcellation of the white surface using Destrieux (a2009s) parcellation</t>
  </si>
  <si>
    <t>Volume of G+S-cingul-Ant in the left hemisphere generated by parcellation of the white surface using Destrieux (a2009s) parcellation</t>
  </si>
  <si>
    <t>Volume of G+S-cingul-Mid-Ant in the left hemisphere generated by parcellation of the white surface using Destrieux (a2009s) parcellation</t>
  </si>
  <si>
    <t>Volume of G+S-cingul-Mid-Post in the left hemisphere generated by parcellation of the white surface using Destrieux (a2009s) parcellation</t>
  </si>
  <si>
    <t>Volume of G-cingul-Post-dorsal in the left hemisphere generated by parcellation of the white surface using Destrieux (a2009s) parcellation</t>
  </si>
  <si>
    <t>Volume of G-cingul-Post-ventral in the left hemisphere generated by parcellation of the white surface using Destrieux (a2009s) parcellation</t>
  </si>
  <si>
    <t>Volume of G-cuneus in the left hemisphere generated by parcellation of the white surface using Destrieux (a2009s) parcellation</t>
  </si>
  <si>
    <t>Volume of G-front-inf-Opercular in the left hemisphere generated by parcellation of the white surface using Destrieux (a2009s) parcellation</t>
  </si>
  <si>
    <t>Volume of G-front-inf-Orbital in the left hemisphere generated by parcellation of the white surface using Destrieux (a2009s) parcellation</t>
  </si>
  <si>
    <t>Volume of G-front-inf-Triangul in the left hemisphere generated by parcellation of the white surface using Destrieux (a2009s) parcellation</t>
  </si>
  <si>
    <t>Volume of G-front-middle in the left hemisphere generated by parcellation of the white surface using Destrieux (a2009s) parcellation</t>
  </si>
  <si>
    <t>Volume of G-front-sup in the left hemisphere generated by parcellation of the white surface using Destrieux (a2009s) parcellation</t>
  </si>
  <si>
    <t>Volume of G-Ins-lg+S-cent-ins in the left hemisphere generated by parcellation of the white surface using Destrieux (a2009s) parcellation</t>
  </si>
  <si>
    <t>Volume of G-insular-short in the left hemisphere generated by parcellation of the white surface using Destrieux (a2009s) parcellation</t>
  </si>
  <si>
    <t>Volume of G-occipital-middle in the left hemisphere generated by parcellation of the white surface using Destrieux (a2009s) parcellation</t>
  </si>
  <si>
    <t>Volume of G-occipital-sup in the left hemisphere generated by parcellation of the white surface using Destrieux (a2009s) parcellation</t>
  </si>
  <si>
    <t>Volume of G-oc-temp-lat-fusifor in the left hemisphere generated by parcellation of the white surface using Destrieux (a2009s) parcellation</t>
  </si>
  <si>
    <t>Volume of G-oc-temp-med-Lingual in the left hemisphere generated by parcellation of the white surface using Destrieux (a2009s) parcellation</t>
  </si>
  <si>
    <t>Volume of G-oc-temp-med-Parahip in the left hemisphere generated by parcellation of the white surface using Destrieux (a2009s) parcellation</t>
  </si>
  <si>
    <t>Volume of G-orbital in the left hemisphere generated by parcellation of the white surface using Destrieux (a2009s) parcellation</t>
  </si>
  <si>
    <t>Volume of G-pariet-inf-Angular in the left hemisphere generated by parcellation of the white surface using Destrieux (a2009s) parcellation</t>
  </si>
  <si>
    <t>Volume of G-pariet-inf-Supramar in the left hemisphere generated by parcellation of the white surface using Destrieux (a2009s) parcellation</t>
  </si>
  <si>
    <t>Volume of G-parietal-sup in the left hemisphere generated by parcellation of the white surface using Destrieux (a2009s) parcellation</t>
  </si>
  <si>
    <t>Volume of G-postcentral in the left hemisphere generated by parcellation of the white surface using Destrieux (a2009s) parcellation</t>
  </si>
  <si>
    <t>Volume of G-precentral in the left hemisphere generated by parcellation of the white surface using Destrieux (a2009s) parcellation</t>
  </si>
  <si>
    <t>Volume of G-precuneus in the left hemisphere generated by parcellation of the white surface using Destrieux (a2009s) parcellation</t>
  </si>
  <si>
    <t>Volume of G-rectus in the left hemisphere generated by parcellation of the white surface using Destrieux (a2009s) parcellation</t>
  </si>
  <si>
    <t>Volume of G-subcallosal in the left hemisphere generated by parcellation of the white surface using Destrieux (a2009s) parcellation</t>
  </si>
  <si>
    <t>Volume of G-temp-sup-G-T-transv in the left hemisphere generated by parcellation of the white surface using Destrieux (a2009s) parcellation</t>
  </si>
  <si>
    <t>Volume of G-temp-sup-Lateral in the left hemisphere generated by parcellation of the white surface using Destrieux (a2009s) parcellation</t>
  </si>
  <si>
    <t>Volume of G-temp-sup-Plan-polar in the left hemisphere generated by parcellation of the white surface using Destrieux (a2009s) parcellation</t>
  </si>
  <si>
    <t>Volume of G-temp-sup-Plan-tempo in the left hemisphere generated by parcellation of the white surface using Destrieux (a2009s) parcellation</t>
  </si>
  <si>
    <t>Volume of G-temporal-inf in the left hemisphere generated by parcellation of the white surface using Destrieux (a2009s) parcellation</t>
  </si>
  <si>
    <t>Volume of G-temporal-middle in the left hemisphere generated by parcellation of the white surface using Destrieux (a2009s) parcellation</t>
  </si>
  <si>
    <t>Volume of Lat-Fis-ant-Horizont in the left hemisphere generated by parcellation of the white surface using Destrieux (a2009s) parcellation</t>
  </si>
  <si>
    <t>Volume of Lat-Fis-ant-Vertical in the left hemisphere generated by parcellation of the white surface using Destrieux (a2009s) parcellation</t>
  </si>
  <si>
    <t>Volume of Lat-Fis-post in the left hemisphere generated by parcellation of the white surface using Destrieux (a2009s) parcellation</t>
  </si>
  <si>
    <t>Volume of Pole-occipital in the left hemisphere generated by parcellation of the white surface using Destrieux (a2009s) parcellation</t>
  </si>
  <si>
    <t>Volume of Pole-temporal in the left hemisphere generated by parcellation of the white surface using Destrieux (a2009s) parcellation</t>
  </si>
  <si>
    <t>Volume of S-calcarine in the left hemisphere generated by parcellation of the white surface using Destrieux (a2009s) parcellation</t>
  </si>
  <si>
    <t>Volume of S-central in the left hemisphere generated by parcellation of the white surface using Destrieux (a2009s) parcellation</t>
  </si>
  <si>
    <t>Volume of S-cingul-Marginalis in the left hemisphere generated by parcellation of the white surface using Destrieux (a2009s) parcellation</t>
  </si>
  <si>
    <t>Volume of S-circular-insula-ant in the left hemisphere generated by parcellation of the white surface using Destrieux (a2009s) parcellation</t>
  </si>
  <si>
    <t>Volume of S-circular-insula-inf in the left hemisphere generated by parcellation of the white surface using Destrieux (a2009s) parcellation</t>
  </si>
  <si>
    <t>Volume of S-circular-insula-sup in the left hemisphere generated by parcellation of the white surface using Destrieux (a2009s) parcellation</t>
  </si>
  <si>
    <t>Volume of S-collat-transv-ant in the left hemisphere generated by parcellation of the white surface using Destrieux (a2009s) parcellation</t>
  </si>
  <si>
    <t>Volume of S-collat-transv-post in the left hemisphere generated by parcellation of the white surface using Destrieux (a2009s) parcellation</t>
  </si>
  <si>
    <t>Volume of S-front-inf in the left hemisphere generated by parcellation of the white surface using Destrieux (a2009s) parcellation</t>
  </si>
  <si>
    <t>Volume of S-front-middle in the left hemisphere generated by parcellation of the white surface using Destrieux (a2009s) parcellation</t>
  </si>
  <si>
    <t>Volume of S-front-sup in the left hemisphere generated by parcellation of the white surface using Destrieux (a2009s) parcellation</t>
  </si>
  <si>
    <t>Volume of S-interm-prim-Jensen in the left hemisphere generated by parcellation of the white surface using Destrieux (a2009s) parcellation</t>
  </si>
  <si>
    <t>Volume of S-intrapariet+P-trans in the left hemisphere generated by parcellation of the white surface using Destrieux (a2009s) parcellation</t>
  </si>
  <si>
    <t>Volume of S-oc-middle+Lunatus in the left hemisphere generated by parcellation of the white surface using Destrieux (a2009s) parcellation</t>
  </si>
  <si>
    <t>Volume of S-oc-sup+transversal in the left hemisphere generated by parcellation of the white surface using Destrieux (a2009s) parcellation</t>
  </si>
  <si>
    <t>Volume of S-occipital-ant in the left hemisphere generated by parcellation of the white surface using Destrieux (a2009s) parcellation</t>
  </si>
  <si>
    <t>Volume of S-oc-temp-lat in the left hemisphere generated by parcellation of the white surface using Destrieux (a2009s) parcellation</t>
  </si>
  <si>
    <t>Volume of S-oc-temp-med+Lingual in the left hemisphere generated by parcellation of the white surface using Destrieux (a2009s) parcellation</t>
  </si>
  <si>
    <t>Volume of S-orbital-lateral in the left hemisphere generated by parcellation of the white surface using Destrieux (a2009s) parcellation</t>
  </si>
  <si>
    <t>Volume of S-orbital-med-olfact in the left hemisphere generated by parcellation of the white surface using Destrieux (a2009s) parcellation</t>
  </si>
  <si>
    <t>Volume of S-orbital-H-Shaped in the left hemisphere generated by parcellation of the white surface using Destrieux (a2009s) parcellation</t>
  </si>
  <si>
    <t>Volume of S-parieto-occipital in the left hemisphere generated by parcellation of the white surface using Destrieux (a2009s) parcellation</t>
  </si>
  <si>
    <t>Volume of S-pericallosal in the left hemisphere generated by parcellation of the white surface using Destrieux (a2009s) parcellation</t>
  </si>
  <si>
    <t>Volume of S-postcentral in the left hemisphere generated by parcellation of the white surface using Destrieux (a2009s) parcellation</t>
  </si>
  <si>
    <t>Volume of S-precentral-inf-part in the left hemisphere generated by parcellation of the white surface using Destrieux (a2009s) parcellation</t>
  </si>
  <si>
    <t>Volume of S-precentral-sup-part in the left hemisphere generated by parcellation of the white surface using Destrieux (a2009s) parcellation</t>
  </si>
  <si>
    <t>Volume of S-suborbital in the left hemisphere generated by parcellation of the white surface using Destrieux (a2009s) parcellation</t>
  </si>
  <si>
    <t>Volume of S-subparietal in the left hemisphere generated by parcellation of the white surface using Destrieux (a2009s) parcellation</t>
  </si>
  <si>
    <t>Volume of S-temporal-inf in the left hemisphere generated by parcellation of the white surface using Destrieux (a2009s) parcellation</t>
  </si>
  <si>
    <t>Volume of S-temporal-sup in the left hemisphere generated by parcellation of the white surface using Destrieux (a2009s) parcellation</t>
  </si>
  <si>
    <t>Volume of S-temporal-transverse in the left hemisphere generated by parcellation of the white surface using Destrieux (a2009s) parcellation</t>
  </si>
  <si>
    <t>Volume of G+S-frontomargin in the right hemisphere generated by parcellation of the white surface using Destrieux (a2009s) parcellation</t>
  </si>
  <si>
    <t>Volume of G+S-occipital-inf in the right hemisphere generated by parcellation of the white surface using Destrieux (a2009s) parcellation</t>
  </si>
  <si>
    <t>Volume of G+S-paracentral in the right hemisphere generated by parcellation of the white surface using Destrieux (a2009s) parcellation</t>
  </si>
  <si>
    <t>Volume of G+S-subcentral in the right hemisphere generated by parcellation of the white surface using Destrieux (a2009s) parcellation</t>
  </si>
  <si>
    <t>Volume of G+S-transv-frontopol in the right hemisphere generated by parcellation of the white surface using Destrieux (a2009s) parcellation</t>
  </si>
  <si>
    <t>Volume of G+S-cingul-Ant in the right hemisphere generated by parcellation of the white surface using Destrieux (a2009s) parcellation</t>
  </si>
  <si>
    <t>Volume of G+S-cingul-Mid-Ant in the right hemisphere generated by parcellation of the white surface using Destrieux (a2009s) parcellation</t>
  </si>
  <si>
    <t>Volume of G+S-cingul-Mid-Post in the right hemisphere generated by parcellation of the white surface using Destrieux (a2009s) parcellation</t>
  </si>
  <si>
    <t>Volume of G-cingul-Post-dorsal in the right hemisphere generated by parcellation of the white surface using Destrieux (a2009s) parcellation</t>
  </si>
  <si>
    <t>Volume of G-cingul-Post-ventral in the right hemisphere generated by parcellation of the white surface using Destrieux (a2009s) parcellation</t>
  </si>
  <si>
    <t>Volume of G-cuneus in the right hemisphere generated by parcellation of the white surface using Destrieux (a2009s) parcellation</t>
  </si>
  <si>
    <t>Volume of G-front-inf-Opercular in the right hemisphere generated by parcellation of the white surface using Destrieux (a2009s) parcellation</t>
  </si>
  <si>
    <t>Volume of G-front-inf-Orbital in the right hemisphere generated by parcellation of the white surface using Destrieux (a2009s) parcellation</t>
  </si>
  <si>
    <t>Volume of G-front-inf-Triangul in the right hemisphere generated by parcellation of the white surface using Destrieux (a2009s) parcellation</t>
  </si>
  <si>
    <t>Volume of G-front-middle in the right hemisphere generated by parcellation of the white surface using Destrieux (a2009s) parcellation</t>
  </si>
  <si>
    <t>Volume of G-front-sup in the right hemisphere generated by parcellation of the white surface using Destrieux (a2009s) parcellation</t>
  </si>
  <si>
    <t>Volume of G-Ins-lg+S-cent-ins in the right hemisphere generated by parcellation of the white surface using Destrieux (a2009s) parcellation</t>
  </si>
  <si>
    <t>Volume of G-insular-short in the right hemisphere generated by parcellation of the white surface using Destrieux (a2009s) parcellation</t>
  </si>
  <si>
    <t>Volume of G-occipital-middle in the right hemisphere generated by parcellation of the white surface using Destrieux (a2009s) parcellation</t>
  </si>
  <si>
    <t>Volume of G-occipital-sup in the right hemisphere generated by parcellation of the white surface using Destrieux (a2009s) parcellation</t>
  </si>
  <si>
    <t>Volume of G-oc-temp-lat-fusifor in the right hemisphere generated by parcellation of the white surface using Destrieux (a2009s) parcellation</t>
  </si>
  <si>
    <t>Volume of G-oc-temp-med-Lingual in the right hemisphere generated by parcellation of the white surface using Destrieux (a2009s) parcellation</t>
  </si>
  <si>
    <t>Volume of G-oc-temp-med-Parahip in the right hemisphere generated by parcellation of the white surface using Destrieux (a2009s) parcellation</t>
  </si>
  <si>
    <t>Volume of G-orbital in the right hemisphere generated by parcellation of the white surface using Destrieux (a2009s) parcellation</t>
  </si>
  <si>
    <t>Volume of G-pariet-inf-Angular in the right hemisphere generated by parcellation of the white surface using Destrieux (a2009s) parcellation</t>
  </si>
  <si>
    <t>Volume of G-pariet-inf-Supramar in the right hemisphere generated by parcellation of the white surface using Destrieux (a2009s) parcellation</t>
  </si>
  <si>
    <t>Volume of G-parietal-sup in the right hemisphere generated by parcellation of the white surface using Destrieux (a2009s) parcellation</t>
  </si>
  <si>
    <t>Volume of G-postcentral in the right hemisphere generated by parcellation of the white surface using Destrieux (a2009s) parcellation</t>
  </si>
  <si>
    <t>Volume of G-precentral in the right hemisphere generated by parcellation of the white surface using Destrieux (a2009s) parcellation</t>
  </si>
  <si>
    <t>Volume of G-precuneus in the right hemisphere generated by parcellation of the white surface using Destrieux (a2009s) parcellation</t>
  </si>
  <si>
    <t>Volume of G-rectus in the right hemisphere generated by parcellation of the white surface using Destrieux (a2009s) parcellation</t>
  </si>
  <si>
    <t>Volume of G-subcallosal in the right hemisphere generated by parcellation of the white surface using Destrieux (a2009s) parcellation</t>
  </si>
  <si>
    <t>Volume of G-temp-sup-G-T-transv in the right hemisphere generated by parcellation of the white surface using Destrieux (a2009s) parcellation</t>
  </si>
  <si>
    <t>Volume of G-temp-sup-Lateral in the right hemisphere generated by parcellation of the white surface using Destrieux (a2009s) parcellation</t>
  </si>
  <si>
    <t>Volume of G-temp-sup-Plan-polar in the right hemisphere generated by parcellation of the white surface using Destrieux (a2009s) parcellation</t>
  </si>
  <si>
    <t>Volume of G-temp-sup-Plan-tempo in the right hemisphere generated by parcellation of the white surface using Destrieux (a2009s) parcellation</t>
  </si>
  <si>
    <t>Volume of G-temporal-inf in the right hemisphere generated by parcellation of the white surface using Destrieux (a2009s) parcellation</t>
  </si>
  <si>
    <t>Volume of G-temporal-middle in the right hemisphere generated by parcellation of the white surface using Destrieux (a2009s) parcellation</t>
  </si>
  <si>
    <t>Volume of Lat-Fis-ant-Horizont in the right hemisphere generated by parcellation of the white surface using Destrieux (a2009s) parcellation</t>
  </si>
  <si>
    <t>Volume of Lat-Fis-ant-Vertical in the right hemisphere generated by parcellation of the white surface using Destrieux (a2009s) parcellation</t>
  </si>
  <si>
    <t>Volume of Lat-Fis-post in the right hemisphere generated by parcellation of the white surface using Destrieux (a2009s) parcellation</t>
  </si>
  <si>
    <t>Volume of Pole-occipital in the right hemisphere generated by parcellation of the white surface using Destrieux (a2009s) parcellation</t>
  </si>
  <si>
    <t>Volume of Pole-temporal in the right hemisphere generated by parcellation of the white surface using Destrieux (a2009s) parcellation</t>
  </si>
  <si>
    <t>Volume of S-calcarine in the right hemisphere generated by parcellation of the white surface using Destrieux (a2009s) parcellation</t>
  </si>
  <si>
    <t>Volume of S-central in the right hemisphere generated by parcellation of the white surface using Destrieux (a2009s) parcellation</t>
  </si>
  <si>
    <t>Volume of S-cingul-Marginalis in the right hemisphere generated by parcellation of the white surface using Destrieux (a2009s) parcellation</t>
  </si>
  <si>
    <t>Volume of S-circular-insula-ant in the right hemisphere generated by parcellation of the white surface using Destrieux (a2009s) parcellation</t>
  </si>
  <si>
    <t>Volume of S-circular-insula-inf in the right hemisphere generated by parcellation of the white surface using Destrieux (a2009s) parcellation</t>
  </si>
  <si>
    <t>Volume of S-circular-insula-sup in the right hemisphere generated by parcellation of the white surface using Destrieux (a2009s) parcellation</t>
  </si>
  <si>
    <t>Volume of S-collat-transv-ant in the right hemisphere generated by parcellation of the white surface using Destrieux (a2009s) parcellation</t>
  </si>
  <si>
    <t>Volume of S-collat-transv-post in the right hemisphere generated by parcellation of the white surface using Destrieux (a2009s) parcellation</t>
  </si>
  <si>
    <t>Volume of S-front-inf in the right hemisphere generated by parcellation of the white surface using Destrieux (a2009s) parcellation</t>
  </si>
  <si>
    <t>Volume of S-front-middle in the right hemisphere generated by parcellation of the white surface using Destrieux (a2009s) parcellation</t>
  </si>
  <si>
    <t>Volume of S-front-sup in the right hemisphere generated by parcellation of the white surface using Destrieux (a2009s) parcellation</t>
  </si>
  <si>
    <t>Volume of S-interm-prim-Jensen in the right hemisphere generated by parcellation of the white surface using Destrieux (a2009s) parcellation</t>
  </si>
  <si>
    <t>Volume of S-intrapariet+P-trans in the right hemisphere generated by parcellation of the white surface using Destrieux (a2009s) parcellation</t>
  </si>
  <si>
    <t>Volume of S-oc-middle+Lunatus in the right hemisphere generated by parcellation of the white surface using Destrieux (a2009s) parcellation</t>
  </si>
  <si>
    <t>Volume of S-oc-sup+transversal in the right hemisphere generated by parcellation of the white surface using Destrieux (a2009s) parcellation</t>
  </si>
  <si>
    <t>Volume of S-occipital-ant in the right hemisphere generated by parcellation of the white surface using Destrieux (a2009s) parcellation</t>
  </si>
  <si>
    <t>Volume of S-oc-temp-lat in the right hemisphere generated by parcellation of the white surface using Destrieux (a2009s) parcellation</t>
  </si>
  <si>
    <t>Volume of S-oc-temp-med+Lingual in the right hemisphere generated by parcellation of the white surface using Destrieux (a2009s) parcellation</t>
  </si>
  <si>
    <t>Volume of S-orbital-lateral in the right hemisphere generated by parcellation of the white surface using Destrieux (a2009s) parcellation</t>
  </si>
  <si>
    <t>Volume of S-orbital-med-olfact in the right hemisphere generated by parcellation of the white surface using Destrieux (a2009s) parcellation</t>
  </si>
  <si>
    <t>Volume of S-orbital-H-Shaped in the right hemisphere generated by parcellation of the white surface using Destrieux (a2009s) parcellation</t>
  </si>
  <si>
    <t>Volume of S-parieto-occipital in the right hemisphere generated by parcellation of the white surface using Destrieux (a2009s) parcellation</t>
  </si>
  <si>
    <t>Volume of S-pericallosal in the right hemisphere generated by parcellation of the white surface using Destrieux (a2009s) parcellation</t>
  </si>
  <si>
    <t>Volume of S-postcentral in the right hemisphere generated by parcellation of the white surface using Destrieux (a2009s) parcellation</t>
  </si>
  <si>
    <t>Volume of S-precentral-inf-part in the right hemisphere generated by parcellation of the white surface using Destrieux (a2009s) parcellation</t>
  </si>
  <si>
    <t>Volume of S-precentral-sup-part in the right hemisphere generated by parcellation of the white surface using Destrieux (a2009s) parcellation</t>
  </si>
  <si>
    <t>Volume of S-suborbital in the right hemisphere generated by parcellation of the white surface using Destrieux (a2009s) parcellation</t>
  </si>
  <si>
    <t>Volume of S-subparietal in the right hemisphere generated by parcellation of the white surface using Destrieux (a2009s) parcellation</t>
  </si>
  <si>
    <t>Volume of S-temporal-inf in the right hemisphere generated by parcellation of the white surface using Destrieux (a2009s) parcellation</t>
  </si>
  <si>
    <t>Volume of S-temporal-sup in the right hemisphere generated by parcellation of the white surface using Destrieux (a2009s) parcellation</t>
  </si>
  <si>
    <t>Volume of S-temporal-transverse in the right hemisphere generated by parcellation of the white surface using Destrieux (a2009s) parcellation</t>
  </si>
  <si>
    <t>Area of TotalSurface in the left hemisphere generated by parcellation of the white surface using Desikan-Killiany parcellation</t>
  </si>
  <si>
    <t>Area of bankssts in the left hemisphere generated by parcellation of the white surface using Desikan-Killiany parcellation</t>
  </si>
  <si>
    <t>Area of caudalanteriorcingulate in the left hemisphere generated by parcellation of the white surface using Desikan-Killiany parcellation</t>
  </si>
  <si>
    <t>Area of caudalmiddlefrontal in the left hemisphere generated by parcellation of the white surface using Desikan-Killiany parcellation</t>
  </si>
  <si>
    <t>Area of cuneus in the left hemisphere generated by parcellation of the white surface using Desikan-Killiany parcellation</t>
  </si>
  <si>
    <t>Area of entorhinal in the left hemisphere generated by parcellation of the white surface using Desikan-Killiany parcellation</t>
  </si>
  <si>
    <t>Area of fusiform in the left hemisphere generated by parcellation of the white surface using Desikan-Killiany parcellation</t>
  </si>
  <si>
    <t>Area of inferiorparietal in the left hemisphere generated by parcellation of the white surface using Desikan-Killiany parcellation</t>
  </si>
  <si>
    <t>Area of inferiortemporal in the left hemisphere generated by parcellation of the white surface using Desikan-Killiany parcellation</t>
  </si>
  <si>
    <t>Area of isthmuscingulate in the left hemisphere generated by parcellation of the white surface using Desikan-Killiany parcellation</t>
  </si>
  <si>
    <t>Area of lateraloccipital in the left hemisphere generated by parcellation of the white surface using Desikan-Killiany parcellation</t>
  </si>
  <si>
    <t>Area of lateralorbitofrontal in the left hemisphere generated by parcellation of the white surface using Desikan-Killiany parcellation</t>
  </si>
  <si>
    <t>Area of lingual in the left hemisphere generated by parcellation of the white surface using Desikan-Killiany parcellation</t>
  </si>
  <si>
    <t>Area of medialorbitofrontal in the left hemisphere generated by parcellation of the white surface using Desikan-Killiany parcellation</t>
  </si>
  <si>
    <t>Area of middletemporal in the left hemisphere generated by parcellation of the white surface using Desikan-Killiany parcellation</t>
  </si>
  <si>
    <t>Area of parahippocampal in the left hemisphere generated by parcellation of the white surface using Desikan-Killiany parcellation</t>
  </si>
  <si>
    <t>Area of paracentral in the left hemisphere generated by parcellation of the white surface using Desikan-Killiany parcellation</t>
  </si>
  <si>
    <t>Area of parsopercularis in the left hemisphere generated by parcellation of the white surface using Desikan-Killiany parcellation</t>
  </si>
  <si>
    <t>Area of parsorbitalis in the left hemisphere generated by parcellation of the white surface using Desikan-Killiany parcellation</t>
  </si>
  <si>
    <t>Area of parstriangularis in the left hemisphere generated by parcellation of the white surface using Desikan-Killiany parcellation</t>
  </si>
  <si>
    <t>Area of pericalcarine in the left hemisphere generated by parcellation of the white surface using Desikan-Killiany parcellation</t>
  </si>
  <si>
    <t>Area of postcentral in the left hemisphere generated by parcellation of the white surface using Desikan-Killiany parcellation</t>
  </si>
  <si>
    <t>Area of posteriorcingulate in the left hemisphere generated by parcellation of the white surface using Desikan-Killiany parcellation</t>
  </si>
  <si>
    <t>Area of precentral in the left hemisphere generated by parcellation of the white surface using Desikan-Killiany parcellation</t>
  </si>
  <si>
    <t>Area of precuneus in the left hemisphere generated by parcellation of the white surface using Desikan-Killiany parcellation</t>
  </si>
  <si>
    <t>Area of rostralanteriorcingulate in the left hemisphere generated by parcellation of the white surface using Desikan-Killiany parcellation</t>
  </si>
  <si>
    <t>Area of rostralmiddlefrontal in the left hemisphere generated by parcellation of the white surface using Desikan-Killiany parcellation</t>
  </si>
  <si>
    <t>Area of superiorfrontal in the left hemisphere generated by parcellation of the white surface using Desikan-Killiany parcellation</t>
  </si>
  <si>
    <t>Area of superiorparietal in the left hemisphere generated by parcellation of the white surface using Desikan-Killiany parcellation</t>
  </si>
  <si>
    <t>Area of superiortemporal in the left hemisphere generated by parcellation of the white surface using Desikan-Killiany parcellation</t>
  </si>
  <si>
    <t>Area of supramarginal in the left hemisphere generated by parcellation of the white surface using Desikan-Killiany parcellation</t>
  </si>
  <si>
    <t>Area of frontalpole in the left hemisphere generated by parcellation of the white surface using Desikan-Killiany parcellation</t>
  </si>
  <si>
    <t>Area of transversetemporal in the left hemisphere generated by parcellation of the white surface using Desikan-Killiany parcellation</t>
  </si>
  <si>
    <t>Area of insula in the left hemisphere generated by parcellation of the white surface using Desikan-Killiany parcellation</t>
  </si>
  <si>
    <t>Area of TotalSurface in the right hemisphere generated by parcellation of the white surface using Desikan-Killiany parcellation</t>
  </si>
  <si>
    <t>Area of bankssts in the right hemisphere generated by parcellation of the white surface using Desikan-Killiany parcellation</t>
  </si>
  <si>
    <t>Area of caudalanteriorcingulate in the right hemisphere generated by parcellation of the white surface using Desikan-Killiany parcellation</t>
  </si>
  <si>
    <t>Area of caudalmiddlefrontal in the right hemisphere generated by parcellation of the white surface using Desikan-Killiany parcellation</t>
  </si>
  <si>
    <t>Area of cuneus in the right hemisphere generated by parcellation of the white surface using Desikan-Killiany parcellation</t>
  </si>
  <si>
    <t>Area of entorhinal in the right hemisphere generated by parcellation of the white surface using Desikan-Killiany parcellation</t>
  </si>
  <si>
    <t>Area of fusiform in the right hemisphere generated by parcellation of the white surface using Desikan-Killiany parcellation</t>
  </si>
  <si>
    <t>Area of inferiorparietal in the right hemisphere generated by parcellation of the white surface using Desikan-Killiany parcellation</t>
  </si>
  <si>
    <t>Area of inferiortemporal in the right hemisphere generated by parcellation of the white surface using Desikan-Killiany parcellation</t>
  </si>
  <si>
    <t>Area of isthmuscingulate in the right hemisphere generated by parcellation of the white surface using Desikan-Killiany parcellation</t>
  </si>
  <si>
    <t>Area of lateraloccipital in the right hemisphere generated by parcellation of the white surface using Desikan-Killiany parcellation</t>
  </si>
  <si>
    <t>Area of lateralorbitofrontal in the right hemisphere generated by parcellation of the white surface using Desikan-Killiany parcellation</t>
  </si>
  <si>
    <t>Area of lingual in the right hemisphere generated by parcellation of the white surface using Desikan-Killiany parcellation</t>
  </si>
  <si>
    <t>Area of medialorbitofrontal in the right hemisphere generated by parcellation of the white surface using Desikan-Killiany parcellation</t>
  </si>
  <si>
    <t>Area of middletemporal in the right hemisphere generated by parcellation of the white surface using Desikan-Killiany parcellation</t>
  </si>
  <si>
    <t>Area of parahippocampal in the right hemisphere generated by parcellation of the white surface using Desikan-Killiany parcellation</t>
  </si>
  <si>
    <t>Area of paracentral in the right hemisphere generated by parcellation of the white surface using Desikan-Killiany parcellation</t>
  </si>
  <si>
    <t>Area of parsopercularis in the right hemisphere generated by parcellation of the white surface using Desikan-Killiany parcellation</t>
  </si>
  <si>
    <t>Area of parsorbitalis in the right hemisphere generated by parcellation of the white surface using Desikan-Killiany parcellation</t>
  </si>
  <si>
    <t>Area of parstriangularis in the right hemisphere generated by parcellation of the white surface using Desikan-Killiany parcellation</t>
  </si>
  <si>
    <t>Area of pericalcarine in the right hemisphere generated by parcellation of the white surface using Desikan-Killiany parcellation</t>
  </si>
  <si>
    <t>Area of postcentral in the right hemisphere generated by parcellation of the white surface using Desikan-Killiany parcellation</t>
  </si>
  <si>
    <t>Area of posteriorcingulate in the right hemisphere generated by parcellation of the white surface using Desikan-Killiany parcellation</t>
  </si>
  <si>
    <t>Area of precentral in the right hemisphere generated by parcellation of the white surface using Desikan-Killiany parcellation</t>
  </si>
  <si>
    <t>Area of precuneus in the right hemisphere generated by parcellation of the white surface using Desikan-Killiany parcellation</t>
  </si>
  <si>
    <t>Area of rostralanteriorcingulate in the right hemisphere generated by parcellation of the white surface using Desikan-Killiany parcellation</t>
  </si>
  <si>
    <t>Area of rostralmiddlefrontal in the right hemisphere generated by parcellation of the white surface using Desikan-Killiany parcellation</t>
  </si>
  <si>
    <t>Area of superiorfrontal in the right hemisphere generated by parcellation of the white surface using Desikan-Killiany parcellation</t>
  </si>
  <si>
    <t>Area of superiorparietal in the right hemisphere generated by parcellation of the white surface using Desikan-Killiany parcellation</t>
  </si>
  <si>
    <t>Area of superiortemporal in the right hemisphere generated by parcellation of the white surface using Desikan-Killiany parcellation</t>
  </si>
  <si>
    <t>Area of supramarginal in the right hemisphere generated by parcellation of the white surface using Desikan-Killiany parcellation</t>
  </si>
  <si>
    <t>Area of frontalpole in the right hemisphere generated by parcellation of the white surface using Desikan-Killiany parcellation</t>
  </si>
  <si>
    <t>Area of transversetemporal in the right hemisphere generated by parcellation of the white surface using Desikan-Killiany parcellation</t>
  </si>
  <si>
    <t>Area of insula in the right hemisphere generated by parcellation of the white surface using Desikan-Killiany parcellation</t>
  </si>
  <si>
    <t>Area of TotalSurface in the left hemisphere generated by parcellation of the pial surface using Desikan-Killiany parcellation</t>
  </si>
  <si>
    <t>Area of bankssts in the left hemisphere generated by parcellation of the pial surface using Desikan-Killiany parcellation</t>
  </si>
  <si>
    <t>Area of caudalanteriorcingulate in the left hemisphere generated by parcellation of the pial surface using Desikan-Killiany parcellation</t>
  </si>
  <si>
    <t>Area of caudalmiddlefrontal in the left hemisphere generated by parcellation of the pial surface using Desikan-Killiany parcellation</t>
  </si>
  <si>
    <t>Area of cuneus in the left hemisphere generated by parcellation of the pial surface using Desikan-Killiany parcellation</t>
  </si>
  <si>
    <t>Area of entorhinal in the left hemisphere generated by parcellation of the pial surface using Desikan-Killiany parcellation</t>
  </si>
  <si>
    <t>Area of fusiform in the left hemisphere generated by parcellation of the pial surface using Desikan-Killiany parcellation</t>
  </si>
  <si>
    <t>Area of inferiorparietal in the left hemisphere generated by parcellation of the pial surface using Desikan-Killiany parcellation</t>
  </si>
  <si>
    <t>Area of inferiortemporal in the left hemisphere generated by parcellation of the pial surface using Desikan-Killiany parcellation</t>
  </si>
  <si>
    <t>Area of isthmuscingulate in the left hemisphere generated by parcellation of the pial surface using Desikan-Killiany parcellation</t>
  </si>
  <si>
    <t>Area of lateraloccipital in the left hemisphere generated by parcellation of the pial surface using Desikan-Killiany parcellation</t>
  </si>
  <si>
    <t>Area of lateralorbitofrontal in the left hemisphere generated by parcellation of the pial surface using Desikan-Killiany parcellation</t>
  </si>
  <si>
    <t>Area of lingual in the left hemisphere generated by parcellation of the pial surface using Desikan-Killiany parcellation</t>
  </si>
  <si>
    <t>Area of medialorbitofrontal in the left hemisphere generated by parcellation of the pial surface using Desikan-Killiany parcellation</t>
  </si>
  <si>
    <t>Area of middletemporal in the left hemisphere generated by parcellation of the pial surface using Desikan-Killiany parcellation</t>
  </si>
  <si>
    <t>Area of parahippocampal in the left hemisphere generated by parcellation of the pial surface using Desikan-Killiany parcellation</t>
  </si>
  <si>
    <t>Area of paracentral in the left hemisphere generated by parcellation of the pial surface using Desikan-Killiany parcellation</t>
  </si>
  <si>
    <t>Area of parsopercularis in the left hemisphere generated by parcellation of the pial surface using Desikan-Killiany parcellation</t>
  </si>
  <si>
    <t>Area of parsorbitalis in the left hemisphere generated by parcellation of the pial surface using Desikan-Killiany parcellation</t>
  </si>
  <si>
    <t>Area of parstriangularis in the left hemisphere generated by parcellation of the pial surface using Desikan-Killiany parcellation</t>
  </si>
  <si>
    <t>Area of pericalcarine in the left hemisphere generated by parcellation of the pial surface using Desikan-Killiany parcellation</t>
  </si>
  <si>
    <t>Area of postcentral in the left hemisphere generated by parcellation of the pial surface using Desikan-Killiany parcellation</t>
  </si>
  <si>
    <t>Area of posteriorcingulate in the left hemisphere generated by parcellation of the pial surface using Desikan-Killiany parcellation</t>
  </si>
  <si>
    <t>Area of precentral in the left hemisphere generated by parcellation of the pial surface using Desikan-Killiany parcellation</t>
  </si>
  <si>
    <t>Area of precuneus in the left hemisphere generated by parcellation of the pial surface using Desikan-Killiany parcellation</t>
  </si>
  <si>
    <t>Area of rostralanteriorcingulate in the left hemisphere generated by parcellation of the pial surface using Desikan-Killiany parcellation</t>
  </si>
  <si>
    <t>Area of rostralmiddlefrontal in the left hemisphere generated by parcellation of the pial surface using Desikan-Killiany parcellation</t>
  </si>
  <si>
    <t>Area of superiorfrontal in the left hemisphere generated by parcellation of the pial surface using Desikan-Killiany parcellation</t>
  </si>
  <si>
    <t>Area of superiorparietal in the left hemisphere generated by parcellation of the pial surface using Desikan-Killiany parcellation</t>
  </si>
  <si>
    <t>Area of superiortemporal in the left hemisphere generated by parcellation of the pial surface using Desikan-Killiany parcellation</t>
  </si>
  <si>
    <t>Area of supramarginal in the left hemisphere generated by parcellation of the pial surface using Desikan-Killiany parcellation</t>
  </si>
  <si>
    <t>Area of frontalpole in the left hemisphere generated by parcellation of the pial surface using Desikan-Killiany parcellation</t>
  </si>
  <si>
    <t>Area of transversetemporal in the left hemisphere generated by parcellation of the pial surface using Desikan-Killiany parcellation</t>
  </si>
  <si>
    <t>Area of TotalSurface in the right hemisphere generated by parcellation of the pial surface using Desikan-Killiany parcellation</t>
  </si>
  <si>
    <t>Area of bankssts in the right hemisphere generated by parcellation of the pial surface using Desikan-Killiany parcellation</t>
  </si>
  <si>
    <t>Area of caudalanteriorcingulate in the right hemisphere generated by parcellation of the pial surface using Desikan-Killiany parcellation</t>
  </si>
  <si>
    <t>Area of caudalmiddlefrontal in the right hemisphere generated by parcellation of the pial surface using Desikan-Killiany parcellation</t>
  </si>
  <si>
    <t>Area of cuneus in the right hemisphere generated by parcellation of the pial surface using Desikan-Killiany parcellation</t>
  </si>
  <si>
    <t>Area of entorhinal in the right hemisphere generated by parcellation of the pial surface using Desikan-Killiany parcellation</t>
  </si>
  <si>
    <t>Area of fusiform in the right hemisphere generated by parcellation of the pial surface using Desikan-Killiany parcellation</t>
  </si>
  <si>
    <t>Area of inferiorparietal in the right hemisphere generated by parcellation of the pial surface using Desikan-Killiany parcellation</t>
  </si>
  <si>
    <t>Area of inferiortemporal in the right hemisphere generated by parcellation of the pial surface using Desikan-Killiany parcellation</t>
  </si>
  <si>
    <t>Area of isthmuscingulate in the right hemisphere generated by parcellation of the pial surface using Desikan-Killiany parcellation</t>
  </si>
  <si>
    <t>Area of lateraloccipital in the right hemisphere generated by parcellation of the pial surface using Desikan-Killiany parcellation</t>
  </si>
  <si>
    <t>Area of lateralorbitofrontal in the right hemisphere generated by parcellation of the pial surface using Desikan-Killiany parcellation</t>
  </si>
  <si>
    <t>Area of lingual in the right hemisphere generated by parcellation of the pial surface using Desikan-Killiany parcellation</t>
  </si>
  <si>
    <t>Area of medialorbitofrontal in the right hemisphere generated by parcellation of the pial surface using Desikan-Killiany parcellation</t>
  </si>
  <si>
    <t>Area of middletemporal in the right hemisphere generated by parcellation of the pial surface using Desikan-Killiany parcellation</t>
  </si>
  <si>
    <t>Area of parahippocampal in the right hemisphere generated by parcellation of the pial surface using Desikan-Killiany parcellation</t>
  </si>
  <si>
    <t>Area of paracentral in the right hemisphere generated by parcellation of the pial surface using Desikan-Killiany parcellation</t>
  </si>
  <si>
    <t>Area of parsopercularis in the right hemisphere generated by parcellation of the pial surface using Desikan-Killiany parcellation</t>
  </si>
  <si>
    <t>Area of parsorbitalis in the right hemisphere generated by parcellation of the pial surface using Desikan-Killiany parcellation</t>
  </si>
  <si>
    <t>Area of parstriangularis in the right hemisphere generated by parcellation of the pial surface using Desikan-Killiany parcellation</t>
  </si>
  <si>
    <t>Area of pericalcarine in the right hemisphere generated by parcellation of the pial surface using Desikan-Killiany parcellation</t>
  </si>
  <si>
    <t>Area of postcentral in the right hemisphere generated by parcellation of the pial surface using Desikan-Killiany parcellation</t>
  </si>
  <si>
    <t>Area of posteriorcingulate in the right hemisphere generated by parcellation of the pial surface using Desikan-Killiany parcellation</t>
  </si>
  <si>
    <t>Area of precentral in the right hemisphere generated by parcellation of the pial surface using Desikan-Killiany parcellation</t>
  </si>
  <si>
    <t>Area of precuneus in the right hemisphere generated by parcellation of the pial surface using Desikan-Killiany parcellation</t>
  </si>
  <si>
    <t>Area of rostralanteriorcingulate in the right hemisphere generated by parcellation of the pial surface using Desikan-Killiany parcellation</t>
  </si>
  <si>
    <t>Area of rostralmiddlefrontal in the right hemisphere generated by parcellation of the pial surface using Desikan-Killiany parcellation</t>
  </si>
  <si>
    <t>Area of superiorfrontal in the right hemisphere generated by parcellation of the pial surface using Desikan-Killiany parcellation</t>
  </si>
  <si>
    <t>Area of superiorparietal in the right hemisphere generated by parcellation of the pial surface using Desikan-Killiany parcellation</t>
  </si>
  <si>
    <t>Area of superiortemporal in the right hemisphere generated by parcellation of the pial surface using Desikan-Killiany parcellation</t>
  </si>
  <si>
    <t>Area of supramarginal in the right hemisphere generated by parcellation of the pial surface using Desikan-Killiany parcellation</t>
  </si>
  <si>
    <t>Area of frontalpole in the right hemisphere generated by parcellation of the pial surface using Desikan-Killiany parcellation</t>
  </si>
  <si>
    <t>Area of transversetemporal in the right hemisphere generated by parcellation of the pial surface using Desikan-Killiany parcellation</t>
  </si>
  <si>
    <t>Area of BA1 in the left hemisphere generated by parcellation of the white surface using BA_exvivo parcellation</t>
  </si>
  <si>
    <t>Area of BA2 in the left hemisphere generated by parcellation of the white surface using BA_exvivo parcellation</t>
  </si>
  <si>
    <t>Area of BA3a in the left hemisphere generated by parcellation of the white surface using BA_exvivo parcellation</t>
  </si>
  <si>
    <t>Area of BA3b in the left hemisphere generated by parcellation of the white surface using BA_exvivo parcellation</t>
  </si>
  <si>
    <t>Area of BA4a in the left hemisphere generated by parcellation of the white surface using BA_exvivo parcellation</t>
  </si>
  <si>
    <t>Area of BA4p in the left hemisphere generated by parcellation of the white surface using BA_exvivo parcellation</t>
  </si>
  <si>
    <t>Area of BA6 in the left hemisphere generated by parcellation of the white surface using BA_exvivo parcellation</t>
  </si>
  <si>
    <t>Area of BA44 in the left hemisphere generated by parcellation of the white surface using BA_exvivo parcellation</t>
  </si>
  <si>
    <t>Area of BA45 in the left hemisphere generated by parcellation of the white surface using BA_exvivo parcellation</t>
  </si>
  <si>
    <t>Area of V1 in the left hemisphere generated by parcellation of the white surface using BA_exvivo parcellation</t>
  </si>
  <si>
    <t>Area of V2 in the left hemisphere generated by parcellation of the white surface using BA_exvivo parcellation</t>
  </si>
  <si>
    <t>Area of MT in the left hemisphere generated by parcellation of the white surface using BA_exvivo parcellation</t>
  </si>
  <si>
    <t>Area of perirhinal in the left hemisphere generated by parcellation of the white surface using BA_exvivo parcellation</t>
  </si>
  <si>
    <t>Area of entorhinal in the left hemisphere generated by parcellation of the white surface using BA_exvivo parcellation</t>
  </si>
  <si>
    <t>Area of BA1 in the right hemisphere generated by parcellation of the white surface using BA_exvivo parcellation</t>
  </si>
  <si>
    <t>Area of BA2 in the right hemisphere generated by parcellation of the white surface using BA_exvivo parcellation</t>
  </si>
  <si>
    <t>Area of BA3a in the right hemisphere generated by parcellation of the white surface using BA_exvivo parcellation</t>
  </si>
  <si>
    <t>Area of BA3b in the right hemisphere generated by parcellation of the white surface using BA_exvivo parcellation</t>
  </si>
  <si>
    <t>Area of BA4a in the right hemisphere generated by parcellation of the white surface using BA_exvivo parcellation</t>
  </si>
  <si>
    <t>Area of BA4p in the right hemisphere generated by parcellation of the white surface using BA_exvivo parcellation</t>
  </si>
  <si>
    <t>Area of BA6 in the right hemisphere generated by parcellation of the white surface using BA_exvivo parcellation</t>
  </si>
  <si>
    <t>Area of BA44 in the right hemisphere generated by parcellation of the white surface using BA_exvivo parcellation</t>
  </si>
  <si>
    <t>Area of BA45 in the right hemisphere generated by parcellation of the white surface using BA_exvivo parcellation</t>
  </si>
  <si>
    <t>Area of V1 in the right hemisphere generated by parcellation of the white surface using BA_exvivo parcellation</t>
  </si>
  <si>
    <t>Area of V2 in the right hemisphere generated by parcellation of the white surface using BA_exvivo parcellation</t>
  </si>
  <si>
    <t>Area of MT in the right hemisphere generated by parcellation of the white surface using BA_exvivo parcellation</t>
  </si>
  <si>
    <t>Area of perirhinal in the right hemisphere generated by parcellation of the white surface using BA_exvivo parcellation</t>
  </si>
  <si>
    <t>Area of entorhinal in the right hemisphere generated by parcellation of the white surface using BA_exvivo parcellation</t>
  </si>
  <si>
    <t>Area of caudalanteriorcingulate in the left hemisphere generated by parcellation of the white surface using DKT parcellation</t>
  </si>
  <si>
    <t>Area of caudalmiddlefrontal in the left hemisphere generated by parcellation of the white surface using DKT parcellation</t>
  </si>
  <si>
    <t>Area of cuneus in the left hemisphere generated by parcellation of the white surface using DKT parcellation</t>
  </si>
  <si>
    <t>Area of entorhinal in the left hemisphere generated by parcellation of the white surface using DKT parcellation</t>
  </si>
  <si>
    <t>Area of fusiform in the left hemisphere generated by parcellation of the white surface using DKT parcellation</t>
  </si>
  <si>
    <t>Area of inferiorparietal in the left hemisphere generated by parcellation of the white surface using DKT parcellation</t>
  </si>
  <si>
    <t>Area of inferiortemporal in the left hemisphere generated by parcellation of the white surface using DKT parcellation</t>
  </si>
  <si>
    <t>Area of isthmuscingulate in the left hemisphere generated by parcellation of the white surface using DKT parcellation</t>
  </si>
  <si>
    <t>Area of lateraloccipital in the left hemisphere generated by parcellation of the white surface using DKT parcellation</t>
  </si>
  <si>
    <t>Area of lateralorbitofrontal in the left hemisphere generated by parcellation of the white surface using DKT parcellation</t>
  </si>
  <si>
    <t>Area of lingual in the left hemisphere generated by parcellation of the white surface using DKT parcellation</t>
  </si>
  <si>
    <t>Area of medialorbitofrontal in the left hemisphere generated by parcellation of the white surface using DKT parcellation</t>
  </si>
  <si>
    <t>Area of middletemporal in the left hemisphere generated by parcellation of the white surface using DKT parcellation</t>
  </si>
  <si>
    <t>Area of parahippocampal in the left hemisphere generated by parcellation of the white surface using DKT parcellation</t>
  </si>
  <si>
    <t>Area of paracentral in the left hemisphere generated by parcellation of the white surface using DKT parcellation</t>
  </si>
  <si>
    <t>Area of parsopercularis in the left hemisphere generated by parcellation of the white surface using DKT parcellation</t>
  </si>
  <si>
    <t>Area of parsorbitalis in the left hemisphere generated by parcellation of the white surface using DKT parcellation</t>
  </si>
  <si>
    <t>Area of parstriangularis in the left hemisphere generated by parcellation of the white surface using DKT parcellation</t>
  </si>
  <si>
    <t>Area of pericalcarine in the left hemisphere generated by parcellation of the white surface using DKT parcellation</t>
  </si>
  <si>
    <t>Area of postcentral in the left hemisphere generated by parcellation of the white surface using DKT parcellation</t>
  </si>
  <si>
    <t>Area of posteriorcingulate in the left hemisphere generated by parcellation of the white surface using DKT parcellation</t>
  </si>
  <si>
    <t>Area of precentral in the left hemisphere generated by parcellation of the white surface using DKT parcellation</t>
  </si>
  <si>
    <t>Area of precuneus in the left hemisphere generated by parcellation of the white surface using DKT parcellation</t>
  </si>
  <si>
    <t>Area of rostralanteriorcingulate in the left hemisphere generated by parcellation of the white surface using DKT parcellation</t>
  </si>
  <si>
    <t>Area of rostralmiddlefrontal in the left hemisphere generated by parcellation of the white surface using DKT parcellation</t>
  </si>
  <si>
    <t>Area of superiorfrontal in the left hemisphere generated by parcellation of the white surface using DKT parcellation</t>
  </si>
  <si>
    <t>Area of superiorparietal in the left hemisphere generated by parcellation of the white surface using DKT parcellation</t>
  </si>
  <si>
    <t>Area of superiortemporal in the left hemisphere generated by parcellation of the white surface using DKT parcellation</t>
  </si>
  <si>
    <t>Area of supramarginal in the left hemisphere generated by parcellation of the white surface using DKT parcellation</t>
  </si>
  <si>
    <t>Area of transversetemporal in the left hemisphere generated by parcellation of the white surface using DKT parcellation</t>
  </si>
  <si>
    <t>Area of insula in the left hemisphere generated by parcellation of the white surface using DKT parcellation</t>
  </si>
  <si>
    <t>Area of caudalanteriorcingulate in the right hemisphere generated by parcellation of the white surface using DKT parcellation</t>
  </si>
  <si>
    <t>Area of caudalmiddlefrontal in the right hemisphere generated by parcellation of the white surface using DKT parcellation</t>
  </si>
  <si>
    <t>Area of cuneus in the right hemisphere generated by parcellation of the white surface using DKT parcellation</t>
  </si>
  <si>
    <t>Area of entorhinal in the right hemisphere generated by parcellation of the white surface using DKT parcellation</t>
  </si>
  <si>
    <t>Area of fusiform in the right hemisphere generated by parcellation of the white surface using DKT parcellation</t>
  </si>
  <si>
    <t>Area of inferiorparietal in the right hemisphere generated by parcellation of the white surface using DKT parcellation</t>
  </si>
  <si>
    <t>Area of inferiortemporal in the right hemisphere generated by parcellation of the white surface using DKT parcellation</t>
  </si>
  <si>
    <t>Area of isthmuscingulate in the right hemisphere generated by parcellation of the white surface using DKT parcellation</t>
  </si>
  <si>
    <t>Area of lateraloccipital in the right hemisphere generated by parcellation of the white surface using DKT parcellation</t>
  </si>
  <si>
    <t>Area of lateralorbitofrontal in the right hemisphere generated by parcellation of the white surface using DKT parcellation</t>
  </si>
  <si>
    <t>Area of lingual in the right hemisphere generated by parcellation of the white surface using DKT parcellation</t>
  </si>
  <si>
    <t>Area of medialorbitofrontal in the right hemisphere generated by parcellation of the white surface using DKT parcellation</t>
  </si>
  <si>
    <t>Area of middletemporal in the right hemisphere generated by parcellation of the white surface using DKT parcellation</t>
  </si>
  <si>
    <t>Area of parahippocampal in the right hemisphere generated by parcellation of the white surface using DKT parcellation</t>
  </si>
  <si>
    <t>Area of paracentral in the right hemisphere generated by parcellation of the white surface using DKT parcellation</t>
  </si>
  <si>
    <t>Area of parsopercularis in the right hemisphere generated by parcellation of the white surface using DKT parcellation</t>
  </si>
  <si>
    <t>Area of parsorbitalis in the right hemisphere generated by parcellation of the white surface using DKT parcellation</t>
  </si>
  <si>
    <t>Area of parstriangularis in the right hemisphere generated by parcellation of the white surface using DKT parcellation</t>
  </si>
  <si>
    <t>Area of pericalcarine in the right hemisphere generated by parcellation of the white surface using DKT parcellation</t>
  </si>
  <si>
    <t>Area of postcentral in the right hemisphere generated by parcellation of the white surface using DKT parcellation</t>
  </si>
  <si>
    <t>Area of posteriorcingulate in the right hemisphere generated by parcellation of the white surface using DKT parcellation</t>
  </si>
  <si>
    <t>Area of precentral in the right hemisphere generated by parcellation of the white surface using DKT parcellation</t>
  </si>
  <si>
    <t>Area of precuneus in the right hemisphere generated by parcellation of the white surface using DKT parcellation</t>
  </si>
  <si>
    <t>Area of rostralanteriorcingulate in the right hemisphere generated by parcellation of the white surface using DKT parcellation</t>
  </si>
  <si>
    <t>Area of rostralmiddlefrontal in the right hemisphere generated by parcellation of the white surface using DKT parcellation</t>
  </si>
  <si>
    <t>Area of superiorfrontal in the right hemisphere generated by parcellation of the white surface using DKT parcellation</t>
  </si>
  <si>
    <t>Area of superiorparietal in the right hemisphere generated by parcellation of the white surface using DKT parcellation</t>
  </si>
  <si>
    <t>Area of superiortemporal in the right hemisphere generated by parcellation of the white surface using DKT parcellation</t>
  </si>
  <si>
    <t>Area of supramarginal in the right hemisphere generated by parcellation of the white surface using DKT parcellation</t>
  </si>
  <si>
    <t>Area of transversetemporal in the right hemisphere generated by parcellation of the white surface using DKT parcellation</t>
  </si>
  <si>
    <t>Area of insula in the right hemisphere generated by parcellation of the white surface using DKT parcellation</t>
  </si>
  <si>
    <t>Area of G+S-frontomargin in the left hemisphere generated by parcellation of the white surface using Destrieux (a2009s) parcellation</t>
  </si>
  <si>
    <t>Area of G+S-occipital-inf in the left hemisphere generated by parcellation of the white surface using Destrieux (a2009s) parcellation</t>
  </si>
  <si>
    <t>Area of G+S-paracentral in the left hemisphere generated by parcellation of the white surface using Destrieux (a2009s) parcellation</t>
  </si>
  <si>
    <t>Area of G+S-subcentral in the left hemisphere generated by parcellation of the white surface using Destrieux (a2009s) parcellation</t>
  </si>
  <si>
    <t>Area of G+S-transv-frontopol in the left hemisphere generated by parcellation of the white surface using Destrieux (a2009s) parcellation</t>
  </si>
  <si>
    <t>Area of G+S-cingul-Ant in the left hemisphere generated by parcellation of the white surface using Destrieux (a2009s) parcellation</t>
  </si>
  <si>
    <t>Area of G+S-cingul-Mid-Ant in the left hemisphere generated by parcellation of the white surface using Destrieux (a2009s) parcellation</t>
  </si>
  <si>
    <t>Area of G+S-cingul-Mid-Post in the left hemisphere generated by parcellation of the white surface using Destrieux (a2009s) parcellation</t>
  </si>
  <si>
    <t>Area of G-cingul-Post-dorsal in the left hemisphere generated by parcellation of the white surface using Destrieux (a2009s) parcellation</t>
  </si>
  <si>
    <t>Area of G-cingul-Post-ventral in the left hemisphere generated by parcellation of the white surface using Destrieux (a2009s) parcellation</t>
  </si>
  <si>
    <t>Area of G-cuneus in the left hemisphere generated by parcellation of the white surface using Destrieux (a2009s) parcellation</t>
  </si>
  <si>
    <t>Area of G-front-inf-Opercular in the left hemisphere generated by parcellation of the white surface using Destrieux (a2009s) parcellation</t>
  </si>
  <si>
    <t>Area of G-front-inf-Orbital in the left hemisphere generated by parcellation of the white surface using Destrieux (a2009s) parcellation</t>
  </si>
  <si>
    <t>Area of G-front-inf-Triangul in the left hemisphere generated by parcellation of the white surface using Destrieux (a2009s) parcellation</t>
  </si>
  <si>
    <t>Area of G-front-middle in the left hemisphere generated by parcellation of the white surface using Destrieux (a2009s) parcellation</t>
  </si>
  <si>
    <t>Area of G-front-sup in the left hemisphere generated by parcellation of the white surface using Destrieux (a2009s) parcellation</t>
  </si>
  <si>
    <t>Area of G-Ins-lg+S-cent-ins in the left hemisphere generated by parcellation of the white surface using Destrieux (a2009s) parcellation</t>
  </si>
  <si>
    <t>Area of G-insular-short in the left hemisphere generated by parcellation of the white surface using Destrieux (a2009s) parcellation</t>
  </si>
  <si>
    <t>Area of G-occipital-middle in the left hemisphere generated by parcellation of the white surface using Destrieux (a2009s) parcellation</t>
  </si>
  <si>
    <t>Area of G-occipital-sup in the left hemisphere generated by parcellation of the white surface using Destrieux (a2009s) parcellation</t>
  </si>
  <si>
    <t>Area of G-oc-temp-lat-fusifor in the left hemisphere generated by parcellation of the white surface using Destrieux (a2009s) parcellation</t>
  </si>
  <si>
    <t>Area of G-oc-temp-med-Lingual in the left hemisphere generated by parcellation of the white surface using Destrieux (a2009s) parcellation</t>
  </si>
  <si>
    <t>Area of G-oc-temp-med-Parahip in the left hemisphere generated by parcellation of the white surface using Destrieux (a2009s) parcellation</t>
  </si>
  <si>
    <t>Area of G-orbital in the left hemisphere generated by parcellation of the white surface using Destrieux (a2009s) parcellation</t>
  </si>
  <si>
    <t>Area of G-pariet-inf-Angular in the left hemisphere generated by parcellation of the white surface using Destrieux (a2009s) parcellation</t>
  </si>
  <si>
    <t>Area of G-pariet-inf-Supramar in the left hemisphere generated by parcellation of the white surface using Destrieux (a2009s) parcellation</t>
  </si>
  <si>
    <t>Area of G-parietal-sup in the left hemisphere generated by parcellation of the white surface using Destrieux (a2009s) parcellation</t>
  </si>
  <si>
    <t>Area of G-postcentral in the left hemisphere generated by parcellation of the white surface using Destrieux (a2009s) parcellation</t>
  </si>
  <si>
    <t>Area of G-precentral in the left hemisphere generated by parcellation of the white surface using Destrieux (a2009s) parcellation</t>
  </si>
  <si>
    <t>Area of G-precuneus in the left hemisphere generated by parcellation of the white surface using Destrieux (a2009s) parcellation</t>
  </si>
  <si>
    <t>Area of G-rectus in the left hemisphere generated by parcellation of the white surface using Destrieux (a2009s) parcellation</t>
  </si>
  <si>
    <t>Area of G-subcallosal in the left hemisphere generated by parcellation of the white surface using Destrieux (a2009s) parcellation</t>
  </si>
  <si>
    <t>Area of G-temp-sup-G-T-transv in the left hemisphere generated by parcellation of the white surface using Destrieux (a2009s) parcellation</t>
  </si>
  <si>
    <t>Area of G-temp-sup-Lateral in the left hemisphere generated by parcellation of the white surface using Destrieux (a2009s) parcellation</t>
  </si>
  <si>
    <t>Area of G-temp-sup-Plan-polar in the left hemisphere generated by parcellation of the white surface using Destrieux (a2009s) parcellation</t>
  </si>
  <si>
    <t>Area of G-temp-sup-Plan-tempo in the left hemisphere generated by parcellation of the white surface using Destrieux (a2009s) parcellation</t>
  </si>
  <si>
    <t>Area of G-temporal-inf in the left hemisphere generated by parcellation of the white surface using Destrieux (a2009s) parcellation</t>
  </si>
  <si>
    <t>Area of G-temporal-middle in the left hemisphere generated by parcellation of the white surface using Destrieux (a2009s) parcellation</t>
  </si>
  <si>
    <t>Area of Lat-Fis-ant-Horizont in the left hemisphere generated by parcellation of the white surface using Destrieux (a2009s) parcellation</t>
  </si>
  <si>
    <t>Area of Lat-Fis-ant-Vertical in the left hemisphere generated by parcellation of the white surface using Destrieux (a2009s) parcellation</t>
  </si>
  <si>
    <t>Area of Lat-Fis-post in the left hemisphere generated by parcellation of the white surface using Destrieux (a2009s) parcellation</t>
  </si>
  <si>
    <t>Area of Pole-occipital in the left hemisphere generated by parcellation of the white surface using Destrieux (a2009s) parcellation</t>
  </si>
  <si>
    <t>Area of Pole-temporal in the left hemisphere generated by parcellation of the white surface using Destrieux (a2009s) parcellation</t>
  </si>
  <si>
    <t>Area of S-calcarine in the left hemisphere generated by parcellation of the white surface using Destrieux (a2009s) parcellation</t>
  </si>
  <si>
    <t>Area of S-central in the left hemisphere generated by parcellation of the white surface using Destrieux (a2009s) parcellation</t>
  </si>
  <si>
    <t>Area of S-cingul-Marginalis in the left hemisphere generated by parcellation of the white surface using Destrieux (a2009s) parcellation</t>
  </si>
  <si>
    <t>Area of S-circular-insula-ant in the left hemisphere generated by parcellation of the white surface using Destrieux (a2009s) parcellation</t>
  </si>
  <si>
    <t>Area of S-circular-insula-inf in the left hemisphere generated by parcellation of the white surface using Destrieux (a2009s) parcellation</t>
  </si>
  <si>
    <t>Area of S-circular-insula-sup in the left hemisphere generated by parcellation of the white surface using Destrieux (a2009s) parcellation</t>
  </si>
  <si>
    <t>Area of S-collat-transv-ant in the left hemisphere generated by parcellation of the white surface using Destrieux (a2009s) parcellation</t>
  </si>
  <si>
    <t>Area of S-collat-transv-post in the left hemisphere generated by parcellation of the white surface using Destrieux (a2009s) parcellation</t>
  </si>
  <si>
    <t>Area of S-front-inf in the left hemisphere generated by parcellation of the white surface using Destrieux (a2009s) parcellation</t>
  </si>
  <si>
    <t>Area of S-front-middle in the left hemisphere generated by parcellation of the white surface using Destrieux (a2009s) parcellation</t>
  </si>
  <si>
    <t>Area of S-front-sup in the left hemisphere generated by parcellation of the white surface using Destrieux (a2009s) parcellation</t>
  </si>
  <si>
    <t>Area of S-interm-prim-Jensen in the left hemisphere generated by parcellation of the white surface using Destrieux (a2009s) parcellation</t>
  </si>
  <si>
    <t>Area of S-intrapariet+P-trans in the left hemisphere generated by parcellation of the white surface using Destrieux (a2009s) parcellation</t>
  </si>
  <si>
    <t>Area of S-oc-middle+Lunatus in the left hemisphere generated by parcellation of the white surface using Destrieux (a2009s) parcellation</t>
  </si>
  <si>
    <t>Area of S-oc-sup+transversal in the left hemisphere generated by parcellation of the white surface using Destrieux (a2009s) parcellation</t>
  </si>
  <si>
    <t>Area of S-occipital-ant in the left hemisphere generated by parcellation of the white surface using Destrieux (a2009s) parcellation</t>
  </si>
  <si>
    <t>Area of S-oc-temp-lat in the left hemisphere generated by parcellation of the white surface using Destrieux (a2009s) parcellation</t>
  </si>
  <si>
    <t>Area of S-oc-temp-med+Lingual in the left hemisphere generated by parcellation of the white surface using Destrieux (a2009s) parcellation</t>
  </si>
  <si>
    <t>Area of S-orbital-lateral in the left hemisphere generated by parcellation of the white surface using Destrieux (a2009s) parcellation</t>
  </si>
  <si>
    <t>Area of S-orbital-med-olfact in the left hemisphere generated by parcellation of the white surface using Destrieux (a2009s) parcellation</t>
  </si>
  <si>
    <t>Area of S-orbital-H-Shaped in the left hemisphere generated by parcellation of the white surface using Destrieux (a2009s) parcellation</t>
  </si>
  <si>
    <t>Area of S-parieto-occipital in the left hemisphere generated by parcellation of the white surface using Destrieux (a2009s) parcellation</t>
  </si>
  <si>
    <t>Area of S-pericallosal in the left hemisphere generated by parcellation of the white surface using Destrieux (a2009s) parcellation</t>
  </si>
  <si>
    <t>Area of S-postcentral in the left hemisphere generated by parcellation of the white surface using Destrieux (a2009s) parcellation</t>
  </si>
  <si>
    <t>Area of S-precentral-inf-part in the left hemisphere generated by parcellation of the white surface using Destrieux (a2009s) parcellation</t>
  </si>
  <si>
    <t>Area of S-precentral-sup-part in the left hemisphere generated by parcellation of the white surface using Destrieux (a2009s) parcellation</t>
  </si>
  <si>
    <t>Area of S-suborbital in the left hemisphere generated by parcellation of the white surface using Destrieux (a2009s) parcellation</t>
  </si>
  <si>
    <t>Area of S-subparietal in the left hemisphere generated by parcellation of the white surface using Destrieux (a2009s) parcellation</t>
  </si>
  <si>
    <t>Area of S-temporal-inf in the left hemisphere generated by parcellation of the white surface using Destrieux (a2009s) parcellation</t>
  </si>
  <si>
    <t>Area of S-temporal-sup in the left hemisphere generated by parcellation of the white surface using Destrieux (a2009s) parcellation</t>
  </si>
  <si>
    <t>Area of S-temporal-transverse in the left hemisphere generated by parcellation of the white surface using Destrieux (a2009s) parcellation</t>
  </si>
  <si>
    <t>Area of G+S-frontomargin in the right hemisphere generated by parcellation of the white surface using Destrieux (a2009s) parcellation</t>
  </si>
  <si>
    <t>Area of G+S-occipital-inf in the right hemisphere generated by parcellation of the white surface using Destrieux (a2009s) parcellation</t>
  </si>
  <si>
    <t>Area of G+S-paracentral in the right hemisphere generated by parcellation of the white surface using Destrieux (a2009s) parcellation</t>
  </si>
  <si>
    <t>Area of G+S-subcentral in the right hemisphere generated by parcellation of the white surface using Destrieux (a2009s) parcellation</t>
  </si>
  <si>
    <t>Area of G+S-transv-frontopol in the right hemisphere generated by parcellation of the white surface using Destrieux (a2009s) parcellation</t>
  </si>
  <si>
    <t>Area of G+S-cingul-Ant in the right hemisphere generated by parcellation of the white surface using Destrieux (a2009s) parcellation</t>
  </si>
  <si>
    <t>Area of G+S-cingul-Mid-Ant in the right hemisphere generated by parcellation of the white surface using Destrieux (a2009s) parcellation</t>
  </si>
  <si>
    <t>Area of G+S-cingul-Mid-Post in the right hemisphere generated by parcellation of the white surface using Destrieux (a2009s) parcellation</t>
  </si>
  <si>
    <t>Area of G-cingul-Post-dorsal in the right hemisphere generated by parcellation of the white surface using Destrieux (a2009s) parcellation</t>
  </si>
  <si>
    <t>Area of G-cingul-Post-ventral in the right hemisphere generated by parcellation of the white surface using Destrieux (a2009s) parcellation</t>
  </si>
  <si>
    <t>Area of G-cuneus in the right hemisphere generated by parcellation of the white surface using Destrieux (a2009s) parcellation</t>
  </si>
  <si>
    <t>Area of G-front-inf-Opercular in the right hemisphere generated by parcellation of the white surface using Destrieux (a2009s) parcellation</t>
  </si>
  <si>
    <t>Area of G-front-inf-Orbital in the right hemisphere generated by parcellation of the white surface using Destrieux (a2009s) parcellation</t>
  </si>
  <si>
    <t>Area of G-front-inf-Triangul in the right hemisphere generated by parcellation of the white surface using Destrieux (a2009s) parcellation</t>
  </si>
  <si>
    <t>Area of G-front-middle in the right hemisphere generated by parcellation of the white surface using Destrieux (a2009s) parcellation</t>
  </si>
  <si>
    <t>Area of G-front-sup in the right hemisphere generated by parcellation of the white surface using Destrieux (a2009s) parcellation</t>
  </si>
  <si>
    <t>Area of G-Ins-lg+S-cent-ins in the right hemisphere generated by parcellation of the white surface using Destrieux (a2009s) parcellation</t>
  </si>
  <si>
    <t>Area of G-insular-short in the right hemisphere generated by parcellation of the white surface using Destrieux (a2009s) parcellation</t>
  </si>
  <si>
    <t>Area of G-occipital-middle in the right hemisphere generated by parcellation of the white surface using Destrieux (a2009s) parcellation</t>
  </si>
  <si>
    <t>Area of G-occipital-sup in the right hemisphere generated by parcellation of the white surface using Destrieux (a2009s) parcellation</t>
  </si>
  <si>
    <t>Area of G-oc-temp-lat-fusifor in the right hemisphere generated by parcellation of the white surface using Destrieux (a2009s) parcellation</t>
  </si>
  <si>
    <t>Area of G-oc-temp-med-Lingual in the right hemisphere generated by parcellation of the white surface using Destrieux (a2009s) parcellation</t>
  </si>
  <si>
    <t>Area of G-oc-temp-med-Parahip in the right hemisphere generated by parcellation of the white surface using Destrieux (a2009s) parcellation</t>
  </si>
  <si>
    <t>Area of G-orbital in the right hemisphere generated by parcellation of the white surface using Destrieux (a2009s) parcellation</t>
  </si>
  <si>
    <t>Area of G-pariet-inf-Angular in the right hemisphere generated by parcellation of the white surface using Destrieux (a2009s) parcellation</t>
  </si>
  <si>
    <t>Area of G-pariet-inf-Supramar in the right hemisphere generated by parcellation of the white surface using Destrieux (a2009s) parcellation</t>
  </si>
  <si>
    <t>Area of G-parietal-sup in the right hemisphere generated by parcellation of the white surface using Destrieux (a2009s) parcellation</t>
  </si>
  <si>
    <t>Area of G-postcentral in the right hemisphere generated by parcellation of the white surface using Destrieux (a2009s) parcellation</t>
  </si>
  <si>
    <t>Area of G-precentral in the right hemisphere generated by parcellation of the white surface using Destrieux (a2009s) parcellation</t>
  </si>
  <si>
    <t>Area of G-precuneus in the right hemisphere generated by parcellation of the white surface using Destrieux (a2009s) parcellation</t>
  </si>
  <si>
    <t>Area of G-rectus in the right hemisphere generated by parcellation of the white surface using Destrieux (a2009s) parcellation</t>
  </si>
  <si>
    <t>Area of G-subcallosal in the right hemisphere generated by parcellation of the white surface using Destrieux (a2009s) parcellation</t>
  </si>
  <si>
    <t>Area of G-temp-sup-G-T-transv in the right hemisphere generated by parcellation of the white surface using Destrieux (a2009s) parcellation</t>
  </si>
  <si>
    <t>Area of G-temp-sup-Lateral in the right hemisphere generated by parcellation of the white surface using Destrieux (a2009s) parcellation</t>
  </si>
  <si>
    <t>Area of G-temp-sup-Plan-polar in the right hemisphere generated by parcellation of the white surface using Destrieux (a2009s) parcellation</t>
  </si>
  <si>
    <t>Area of G-temp-sup-Plan-tempo in the right hemisphere generated by parcellation of the white surface using Destrieux (a2009s) parcellation</t>
  </si>
  <si>
    <t>Area of G-temporal-inf in the right hemisphere generated by parcellation of the white surface using Destrieux (a2009s) parcellation</t>
  </si>
  <si>
    <t>Area of G-temporal-middle in the right hemisphere generated by parcellation of the white surface using Destrieux (a2009s) parcellation</t>
  </si>
  <si>
    <t>Area of Lat-Fis-ant-Horizont in the right hemisphere generated by parcellation of the white surface using Destrieux (a2009s) parcellation</t>
  </si>
  <si>
    <t>Area of Lat-Fis-ant-Vertical in the right hemisphere generated by parcellation of the white surface using Destrieux (a2009s) parcellation</t>
  </si>
  <si>
    <t>Area of Lat-Fis-post in the right hemisphere generated by parcellation of the white surface using Destrieux (a2009s) parcellation</t>
  </si>
  <si>
    <t>Area of Pole-occipital in the right hemisphere generated by parcellation of the white surface using Destrieux (a2009s) parcellation</t>
  </si>
  <si>
    <t>Area of Pole-temporal in the right hemisphere generated by parcellation of the white surface using Destrieux (a2009s) parcellation</t>
  </si>
  <si>
    <t>Area of S-calcarine in the right hemisphere generated by parcellation of the white surface using Destrieux (a2009s) parcellation</t>
  </si>
  <si>
    <t>Area of S-central in the right hemisphere generated by parcellation of the white surface using Destrieux (a2009s) parcellation</t>
  </si>
  <si>
    <t>Area of S-cingul-Marginalis in the right hemisphere generated by parcellation of the white surface using Destrieux (a2009s) parcellation</t>
  </si>
  <si>
    <t>Area of S-circular-insula-ant in the right hemisphere generated by parcellation of the white surface using Destrieux (a2009s) parcellation</t>
  </si>
  <si>
    <t>Area of S-circular-insula-inf in the right hemisphere generated by parcellation of the white surface using Destrieux (a2009s) parcellation</t>
  </si>
  <si>
    <t>Area of S-circular-insula-sup in the right hemisphere generated by parcellation of the white surface using Destrieux (a2009s) parcellation</t>
  </si>
  <si>
    <t>Area of S-collat-transv-ant in the right hemisphere generated by parcellation of the white surface using Destrieux (a2009s) parcellation</t>
  </si>
  <si>
    <t>Area of S-collat-transv-post in the right hemisphere generated by parcellation of the white surface using Destrieux (a2009s) parcellation</t>
  </si>
  <si>
    <t>Area of S-front-inf in the right hemisphere generated by parcellation of the white surface using Destrieux (a2009s) parcellation</t>
  </si>
  <si>
    <t>Area of S-front-middle in the right hemisphere generated by parcellation of the white surface using Destrieux (a2009s) parcellation</t>
  </si>
  <si>
    <t>Area of S-front-sup in the right hemisphere generated by parcellation of the white surface using Destrieux (a2009s) parcellation</t>
  </si>
  <si>
    <t>Area of S-interm-prim-Jensen in the right hemisphere generated by parcellation of the white surface using Destrieux (a2009s) parcellation</t>
  </si>
  <si>
    <t>Area of S-intrapariet+P-trans in the right hemisphere generated by parcellation of the white surface using Destrieux (a2009s) parcellation</t>
  </si>
  <si>
    <t>Area of S-oc-middle+Lunatus in the right hemisphere generated by parcellation of the white surface using Destrieux (a2009s) parcellation</t>
  </si>
  <si>
    <t>Area of S-oc-sup+transversal in the right hemisphere generated by parcellation of the white surface using Destrieux (a2009s) parcellation</t>
  </si>
  <si>
    <t>Area of S-occipital-ant in the right hemisphere generated by parcellation of the white surface using Destrieux (a2009s) parcellation</t>
  </si>
  <si>
    <t>Area of S-oc-temp-lat in the right hemisphere generated by parcellation of the white surface using Destrieux (a2009s) parcellation</t>
  </si>
  <si>
    <t>Area of S-oc-temp-med+Lingual in the right hemisphere generated by parcellation of the white surface using Destrieux (a2009s) parcellation</t>
  </si>
  <si>
    <t>Area of S-orbital-lateral in the right hemisphere generated by parcellation of the white surface using Destrieux (a2009s) parcellation</t>
  </si>
  <si>
    <t>Area of S-orbital-med-olfact in the right hemisphere generated by parcellation of the white surface using Destrieux (a2009s) parcellation</t>
  </si>
  <si>
    <t>Area of S-orbital-H-Shaped in the right hemisphere generated by parcellation of the white surface using Destrieux (a2009s) parcellation</t>
  </si>
  <si>
    <t>Area of S-parieto-occipital in the right hemisphere generated by parcellation of the white surface using Destrieux (a2009s) parcellation</t>
  </si>
  <si>
    <t>Area of S-pericallosal in the right hemisphere generated by parcellation of the white surface using Destrieux (a2009s) parcellation</t>
  </si>
  <si>
    <t>Area of S-postcentral in the right hemisphere generated by parcellation of the white surface using Destrieux (a2009s) parcellation</t>
  </si>
  <si>
    <t>Area of S-precentral-inf-part in the right hemisphere generated by parcellation of the white surface using Destrieux (a2009s) parcellation</t>
  </si>
  <si>
    <t>Area of S-precentral-sup-part in the right hemisphere generated by parcellation of the white surface using Destrieux (a2009s) parcellation</t>
  </si>
  <si>
    <t>Area of S-suborbital in the right hemisphere generated by parcellation of the white surface using Destrieux (a2009s) parcellation</t>
  </si>
  <si>
    <t>Area of S-subparietal in the right hemisphere generated by parcellation of the white surface using Destrieux (a2009s) parcellation</t>
  </si>
  <si>
    <t>Area of S-temporal-inf in the right hemisphere generated by parcellation of the white surface using Destrieux (a2009s) parcellation</t>
  </si>
  <si>
    <t>Area of S-temporal-sup in the right hemisphere generated by parcellation of the white surface using Destrieux (a2009s) parcellation</t>
  </si>
  <si>
    <t>Area of S-temporal-transverse in the right hemisphere generated by parcellation of the white surface using Destrieux (a2009s) parcellation</t>
  </si>
  <si>
    <t>Mean thickness of GlobalMeanMean thickness in the left hemisphere generated by parcellation of the white surface using Desikan-Killiany parcellation</t>
  </si>
  <si>
    <t>Mean thickness of bankssts in the left hemisphere generated by parcellation of the white surface using Desikan-Killiany parcellation</t>
  </si>
  <si>
    <t>Mean thickness of caudalanteriorcingulate in the left hemisphere generated by parcellation of the white surface using Desikan-Killiany parcellation</t>
  </si>
  <si>
    <t>Mean thickness of caudalmiddlefrontal in the left hemisphere generated by parcellation of the white surface using Desikan-Killiany parcellation</t>
  </si>
  <si>
    <t>Mean thickness of cuneus in the left hemisphere generated by parcellation of the white surface using Desikan-Killiany parcellation</t>
  </si>
  <si>
    <t>Mean thickness of entorhinal in the left hemisphere generated by parcellation of the white surface using Desikan-Killiany parcellation</t>
  </si>
  <si>
    <t>Mean thickness of fusiform in the left hemisphere generated by parcellation of the white surface using Desikan-Killiany parcellation</t>
  </si>
  <si>
    <t>Mean thickness of inferiorparietal in the left hemisphere generated by parcellation of the white surface using Desikan-Killiany parcellation</t>
  </si>
  <si>
    <t>Mean thickness of inferiortemporal in the left hemisphere generated by parcellation of the white surface using Desikan-Killiany parcellation</t>
  </si>
  <si>
    <t>Mean thickness of isthmuscingulate in the left hemisphere generated by parcellation of the white surface using Desikan-Killiany parcellation</t>
  </si>
  <si>
    <t>Mean thickness of lateraloccipital in the left hemisphere generated by parcellation of the white surface using Desikan-Killiany parcellation</t>
  </si>
  <si>
    <t>Mean thickness of lateralorbitofrontal in the left hemisphere generated by parcellation of the white surface using Desikan-Killiany parcellation</t>
  </si>
  <si>
    <t>Mean thickness of lingual in the left hemisphere generated by parcellation of the white surface using Desikan-Killiany parcellation</t>
  </si>
  <si>
    <t>Mean thickness of medialorbitofrontal in the left hemisphere generated by parcellation of the white surface using Desikan-Killiany parcellation</t>
  </si>
  <si>
    <t>Mean thickness of middletemporal in the left hemisphere generated by parcellation of the white surface using Desikan-Killiany parcellation</t>
  </si>
  <si>
    <t>Mean thickness of parahippocampal in the left hemisphere generated by parcellation of the white surface using Desikan-Killiany parcellation</t>
  </si>
  <si>
    <t>Mean thickness of paracentral in the left hemisphere generated by parcellation of the white surface using Desikan-Killiany parcellation</t>
  </si>
  <si>
    <t>Mean thickness of parsopercularis in the left hemisphere generated by parcellation of the white surface using Desikan-Killiany parcellation</t>
  </si>
  <si>
    <t>Mean thickness of parsorbitalis in the left hemisphere generated by parcellation of the white surface using Desikan-Killiany parcellation</t>
  </si>
  <si>
    <t>Mean thickness of parstriangularis in the left hemisphere generated by parcellation of the white surface using Desikan-Killiany parcellation</t>
  </si>
  <si>
    <t>Mean thickness of pericalcarine in the left hemisphere generated by parcellation of the white surface using Desikan-Killiany parcellation</t>
  </si>
  <si>
    <t>Mean thickness of postcentral in the left hemisphere generated by parcellation of the white surface using Desikan-Killiany parcellation</t>
  </si>
  <si>
    <t>Mean thickness of posteriorcingulate in the left hemisphere generated by parcellation of the white surface using Desikan-Killiany parcellation</t>
  </si>
  <si>
    <t>Mean thickness of precentral in the left hemisphere generated by parcellation of the white surface using Desikan-Killiany parcellation</t>
  </si>
  <si>
    <t>Mean thickness of precuneus in the left hemisphere generated by parcellation of the white surface using Desikan-Killiany parcellation</t>
  </si>
  <si>
    <t>Mean thickness of rostralanteriorcingulate in the left hemisphere generated by parcellation of the white surface using Desikan-Killiany parcellation</t>
  </si>
  <si>
    <t>Mean thickness of rostralmiddlefrontal in the left hemisphere generated by parcellation of the white surface using Desikan-Killiany parcellation</t>
  </si>
  <si>
    <t>Mean thickness of superiorfrontal in the left hemisphere generated by parcellation of the white surface using Desikan-Killiany parcellation</t>
  </si>
  <si>
    <t>Mean thickness of superiorparietal in the left hemisphere generated by parcellation of the white surface using Desikan-Killiany parcellation</t>
  </si>
  <si>
    <t>Mean thickness of superiortemporal in the left hemisphere generated by parcellation of the white surface using Desikan-Killiany parcellation</t>
  </si>
  <si>
    <t>Mean thickness of supramarginal in the left hemisphere generated by parcellation of the white surface using Desikan-Killiany parcellation</t>
  </si>
  <si>
    <t>Mean thickness of frontalpole in the left hemisphere generated by parcellation of the white surface using Desikan-Killiany parcellation</t>
  </si>
  <si>
    <t>Mean thickness of transversetemporal in the left hemisphere generated by parcellation of the white surface using Desikan-Killiany parcellation</t>
  </si>
  <si>
    <t>Mean thickness of insula in the left hemisphere generated by parcellation of the white surface using Desikan-Killiany parcellation</t>
  </si>
  <si>
    <t>Mean thickness of GlobalMeanMean thickness in the right hemisphere generated by parcellation of the white surface using Desikan-Killiany parcellation</t>
  </si>
  <si>
    <t>Mean thickness of bankssts in the right hemisphere generated by parcellation of the white surface using Desikan-Killiany parcellation</t>
  </si>
  <si>
    <t>Mean thickness of caudalanteriorcingulate in the right hemisphere generated by parcellation of the white surface using Desikan-Killiany parcellation</t>
  </si>
  <si>
    <t>Mean thickness of caudalmiddlefrontal in the right hemisphere generated by parcellation of the white surface using Desikan-Killiany parcellation</t>
  </si>
  <si>
    <t>Mean thickness of cuneus in the right hemisphere generated by parcellation of the white surface using Desikan-Killiany parcellation</t>
  </si>
  <si>
    <t>Mean thickness of entorhinal in the right hemisphere generated by parcellation of the white surface using Desikan-Killiany parcellation</t>
  </si>
  <si>
    <t>Mean thickness of fusiform in the right hemisphere generated by parcellation of the white surface using Desikan-Killiany parcellation</t>
  </si>
  <si>
    <t>Mean thickness of inferiorparietal in the right hemisphere generated by parcellation of the white surface using Desikan-Killiany parcellation</t>
  </si>
  <si>
    <t>Mean thickness of inferiortemporal in the right hemisphere generated by parcellation of the white surface using Desikan-Killiany parcellation</t>
  </si>
  <si>
    <t>Mean thickness of isthmuscingulate in the right hemisphere generated by parcellation of the white surface using Desikan-Killiany parcellation</t>
  </si>
  <si>
    <t>Mean thickness of lateraloccipital in the right hemisphere generated by parcellation of the white surface using Desikan-Killiany parcellation</t>
  </si>
  <si>
    <t>Mean thickness of lateralorbitofrontal in the right hemisphere generated by parcellation of the white surface using Desikan-Killiany parcellation</t>
  </si>
  <si>
    <t>Mean thickness of lingual in the right hemisphere generated by parcellation of the white surface using Desikan-Killiany parcellation</t>
  </si>
  <si>
    <t>Mean thickness of medialorbitofrontal in the right hemisphere generated by parcellation of the white surface using Desikan-Killiany parcellation</t>
  </si>
  <si>
    <t>Mean thickness of middletemporal in the right hemisphere generated by parcellation of the white surface using Desikan-Killiany parcellation</t>
  </si>
  <si>
    <t>Mean thickness of parahippocampal in the right hemisphere generated by parcellation of the white surface using Desikan-Killiany parcellation</t>
  </si>
  <si>
    <t>Mean thickness of paracentral in the right hemisphere generated by parcellation of the white surface using Desikan-Killiany parcellation</t>
  </si>
  <si>
    <t>Mean thickness of parsopercularis in the right hemisphere generated by parcellation of the white surface using Desikan-Killiany parcellation</t>
  </si>
  <si>
    <t>Mean thickness of parsorbitalis in the right hemisphere generated by parcellation of the white surface using Desikan-Killiany parcellation</t>
  </si>
  <si>
    <t>Mean thickness of parstriangularis in the right hemisphere generated by parcellation of the white surface using Desikan-Killiany parcellation</t>
  </si>
  <si>
    <t>Mean thickness of pericalcarine in the right hemisphere generated by parcellation of the white surface using Desikan-Killiany parcellation</t>
  </si>
  <si>
    <t>Mean thickness of postcentral in the right hemisphere generated by parcellation of the white surface using Desikan-Killiany parcellation</t>
  </si>
  <si>
    <t>Mean thickness of posteriorcingulate in the right hemisphere generated by parcellation of the white surface using Desikan-Killiany parcellation</t>
  </si>
  <si>
    <t>Mean thickness of precentral in the right hemisphere generated by parcellation of the white surface using Desikan-Killiany parcellation</t>
  </si>
  <si>
    <t>Mean thickness of precuneus in the right hemisphere generated by parcellation of the white surface using Desikan-Killiany parcellation</t>
  </si>
  <si>
    <t>Mean thickness of rostralanteriorcingulate in the right hemisphere generated by parcellation of the white surface using Desikan-Killiany parcellation</t>
  </si>
  <si>
    <t>Mean thickness of rostralmiddlefrontal in the right hemisphere generated by parcellation of the white surface using Desikan-Killiany parcellation</t>
  </si>
  <si>
    <t>Mean thickness of superiorfrontal in the right hemisphere generated by parcellation of the white surface using Desikan-Killiany parcellation</t>
  </si>
  <si>
    <t>Mean thickness of superiorparietal in the right hemisphere generated by parcellation of the white surface using Desikan-Killiany parcellation</t>
  </si>
  <si>
    <t>Mean thickness of superiortemporal in the right hemisphere generated by parcellation of the white surface using Desikan-Killiany parcellation</t>
  </si>
  <si>
    <t>Mean thickness of supramarginal in the right hemisphere generated by parcellation of the white surface using Desikan-Killiany parcellation</t>
  </si>
  <si>
    <t>Mean thickness of frontalpole in the right hemisphere generated by parcellation of the white surface using Desikan-Killiany parcellation</t>
  </si>
  <si>
    <t>Mean thickness of transversetemporal in the right hemisphere generated by parcellation of the white surface using Desikan-Killiany parcellation</t>
  </si>
  <si>
    <t>Mean thickness of insula in the right hemisphere generated by parcellation of the white surface using Desikan-Killiany parcellation</t>
  </si>
  <si>
    <t>Mean thickness of BA1 in the left hemisphere generated by parcellation of the white surface using BA_exvivo parcellation</t>
  </si>
  <si>
    <t>Mean thickness of BA2 in the left hemisphere generated by parcellation of the white surface using BA_exvivo parcellation</t>
  </si>
  <si>
    <t>Mean thickness of BA3a in the left hemisphere generated by parcellation of the white surface using BA_exvivo parcellation</t>
  </si>
  <si>
    <t>Mean thickness of BA3b in the left hemisphere generated by parcellation of the white surface using BA_exvivo parcellation</t>
  </si>
  <si>
    <t>Mean thickness of BA4a in the left hemisphere generated by parcellation of the white surface using BA_exvivo parcellation</t>
  </si>
  <si>
    <t>Mean thickness of BA4p in the left hemisphere generated by parcellation of the white surface using BA_exvivo parcellation</t>
  </si>
  <si>
    <t>Mean thickness of BA6 in the left hemisphere generated by parcellation of the white surface using BA_exvivo parcellation</t>
  </si>
  <si>
    <t>Mean thickness of BA44 in the left hemisphere generated by parcellation of the white surface using BA_exvivo parcellation</t>
  </si>
  <si>
    <t>Mean thickness of BA45 in the left hemisphere generated by parcellation of the white surface using BA_exvivo parcellation</t>
  </si>
  <si>
    <t>Mean thickness of V1 in the left hemisphere generated by parcellation of the white surface using BA_exvivo parcellation</t>
  </si>
  <si>
    <t>Mean thickness of V2 in the left hemisphere generated by parcellation of the white surface using BA_exvivo parcellation</t>
  </si>
  <si>
    <t>Mean thickness of MT in the left hemisphere generated by parcellation of the white surface using BA_exvivo parcellation</t>
  </si>
  <si>
    <t>Mean thickness of perirhinal in the left hemisphere generated by parcellation of the white surface using BA_exvivo parcellation</t>
  </si>
  <si>
    <t>Mean thickness of entorhinal in the left hemisphere generated by parcellation of the white surface using BA_exvivo parcellation</t>
  </si>
  <si>
    <t>Mean thickness of BA1 in the right hemisphere generated by parcellation of the white surface using BA_exvivo parcellation</t>
  </si>
  <si>
    <t>Mean thickness of BA2 in the right hemisphere generated by parcellation of the white surface using BA_exvivo parcellation</t>
  </si>
  <si>
    <t>Mean thickness of BA3a in the right hemisphere generated by parcellation of the white surface using BA_exvivo parcellation</t>
  </si>
  <si>
    <t>Mean thickness of BA3b in the right hemisphere generated by parcellation of the white surface using BA_exvivo parcellation</t>
  </si>
  <si>
    <t>Mean thickness of BA4a in the right hemisphere generated by parcellation of the white surface using BA_exvivo parcellation</t>
  </si>
  <si>
    <t>Mean thickness of BA4p in the right hemisphere generated by parcellation of the white surface using BA_exvivo parcellation</t>
  </si>
  <si>
    <t>Mean thickness of BA6 in the right hemisphere generated by parcellation of the white surface using BA_exvivo parcellation</t>
  </si>
  <si>
    <t>Mean thickness of BA44 in the right hemisphere generated by parcellation of the white surface using BA_exvivo parcellation</t>
  </si>
  <si>
    <t>Mean thickness of BA45 in the right hemisphere generated by parcellation of the white surface using BA_exvivo parcellation</t>
  </si>
  <si>
    <t>Mean thickness of V1 in the right hemisphere generated by parcellation of the white surface using BA_exvivo parcellation</t>
  </si>
  <si>
    <t>Mean thickness of V2 in the right hemisphere generated by parcellation of the white surface using BA_exvivo parcellation</t>
  </si>
  <si>
    <t>Mean thickness of MT in the right hemisphere generated by parcellation of the white surface using BA_exvivo parcellation</t>
  </si>
  <si>
    <t>Mean thickness of perirhinal in the right hemisphere generated by parcellation of the white surface using BA_exvivo parcellation</t>
  </si>
  <si>
    <t>Mean thickness of entorhinal in the right hemisphere generated by parcellation of the white surface using BA_exvivo parcellation</t>
  </si>
  <si>
    <t>Mean thickness of caudalanteriorcingulate in the left hemisphere generated by parcellation of the white surface using DKT parcellation</t>
  </si>
  <si>
    <t>Mean thickness of caudalmiddlefrontal in the left hemisphere generated by parcellation of the white surface using DKT parcellation</t>
  </si>
  <si>
    <t>Mean thickness of cuneus in the left hemisphere generated by parcellation of the white surface using DKT parcellation</t>
  </si>
  <si>
    <t>Mean thickness of entorhinal in the left hemisphere generated by parcellation of the white surface using DKT parcellation</t>
  </si>
  <si>
    <t>Mean thickness of fusiform in the left hemisphere generated by parcellation of the white surface using DKT parcellation</t>
  </si>
  <si>
    <t>Mean thickness of inferiorparietal in the left hemisphere generated by parcellation of the white surface using DKT parcellation</t>
  </si>
  <si>
    <t>Mean thickness of inferiortemporal in the left hemisphere generated by parcellation of the white surface using DKT parcellation</t>
  </si>
  <si>
    <t>Mean thickness of isthmuscingulate in the left hemisphere generated by parcellation of the white surface using DKT parcellation</t>
  </si>
  <si>
    <t>Mean thickness of lateraloccipital in the left hemisphere generated by parcellation of the white surface using DKT parcellation</t>
  </si>
  <si>
    <t>Mean thickness of lateralorbitofrontal in the left hemisphere generated by parcellation of the white surface using DKT parcellation</t>
  </si>
  <si>
    <t>Mean thickness of lingual in the left hemisphere generated by parcellation of the white surface using DKT parcellation</t>
  </si>
  <si>
    <t>Mean thickness of medialorbitofrontal in the left hemisphere generated by parcellation of the white surface using DKT parcellation</t>
  </si>
  <si>
    <t>Mean thickness of middletemporal in the left hemisphere generated by parcellation of the white surface using DKT parcellation</t>
  </si>
  <si>
    <t>Mean thickness of parahippocampal in the left hemisphere generated by parcellation of the white surface using DKT parcellation</t>
  </si>
  <si>
    <t>Mean thickness of paracentral in the left hemisphere generated by parcellation of the white surface using DKT parcellation</t>
  </si>
  <si>
    <t>Mean thickness of parsopercularis in the left hemisphere generated by parcellation of the white surface using DKT parcellation</t>
  </si>
  <si>
    <t>Mean thickness of parsorbitalis in the left hemisphere generated by parcellation of the white surface using DKT parcellation</t>
  </si>
  <si>
    <t>Mean thickness of parstriangularis in the left hemisphere generated by parcellation of the white surface using DKT parcellation</t>
  </si>
  <si>
    <t>Mean thickness of pericalcarine in the left hemisphere generated by parcellation of the white surface using DKT parcellation</t>
  </si>
  <si>
    <t>Mean thickness of postcentral in the left hemisphere generated by parcellation of the white surface using DKT parcellation</t>
  </si>
  <si>
    <t>Mean thickness of posteriorcingulate in the left hemisphere generated by parcellation of the white surface using DKT parcellation</t>
  </si>
  <si>
    <t>Mean thickness of precentral in the left hemisphere generated by parcellation of the white surface using DKT parcellation</t>
  </si>
  <si>
    <t>Mean thickness of precuneus in the left hemisphere generated by parcellation of the white surface using DKT parcellation</t>
  </si>
  <si>
    <t>Mean thickness of rostralanteriorcingulate in the left hemisphere generated by parcellation of the white surface using DKT parcellation</t>
  </si>
  <si>
    <t>Mean thickness of rostralmiddlefrontal in the left hemisphere generated by parcellation of the white surface using DKT parcellation</t>
  </si>
  <si>
    <t>Mean thickness of superiorfrontal in the left hemisphere generated by parcellation of the white surface using DKT parcellation</t>
  </si>
  <si>
    <t>Mean thickness of superiorparietal in the left hemisphere generated by parcellation of the white surface using DKT parcellation</t>
  </si>
  <si>
    <t>Mean thickness of superiortemporal in the left hemisphere generated by parcellation of the white surface using DKT parcellation</t>
  </si>
  <si>
    <t>Mean thickness of supramarginal in the left hemisphere generated by parcellation of the white surface using DKT parcellation</t>
  </si>
  <si>
    <t>Mean thickness of transversetemporal in the left hemisphere generated by parcellation of the white surface using DKT parcellation</t>
  </si>
  <si>
    <t>Mean thickness of insula in the left hemisphere generated by parcellation of the white surface using DKT parcellation</t>
  </si>
  <si>
    <t>Mean thickness of caudalanteriorcingulate in the right hemisphere generated by parcellation of the white surface using DKT parcellation</t>
  </si>
  <si>
    <t>Mean thickness of caudalmiddlefrontal in the right hemisphere generated by parcellation of the white surface using DKT parcellation</t>
  </si>
  <si>
    <t>Mean thickness of cuneus in the right hemisphere generated by parcellation of the white surface using DKT parcellation</t>
  </si>
  <si>
    <t>Mean thickness of entorhinal in the right hemisphere generated by parcellation of the white surface using DKT parcellation</t>
  </si>
  <si>
    <t>Mean thickness of fusiform in the right hemisphere generated by parcellation of the white surface using DKT parcellation</t>
  </si>
  <si>
    <t>Mean thickness of inferiorparietal in the right hemisphere generated by parcellation of the white surface using DKT parcellation</t>
  </si>
  <si>
    <t>Mean thickness of inferiortemporal in the right hemisphere generated by parcellation of the white surface using DKT parcellation</t>
  </si>
  <si>
    <t>Mean thickness of isthmuscingulate in the right hemisphere generated by parcellation of the white surface using DKT parcellation</t>
  </si>
  <si>
    <t>Mean thickness of lateraloccipital in the right hemisphere generated by parcellation of the white surface using DKT parcellation</t>
  </si>
  <si>
    <t>Mean thickness of lateralorbitofrontal in the right hemisphere generated by parcellation of the white surface using DKT parcellation</t>
  </si>
  <si>
    <t>Mean thickness of lingual in the right hemisphere generated by parcellation of the white surface using DKT parcellation</t>
  </si>
  <si>
    <t>Mean thickness of medialorbitofrontal in the right hemisphere generated by parcellation of the white surface using DKT parcellation</t>
  </si>
  <si>
    <t>Mean thickness of middletemporal in the right hemisphere generated by parcellation of the white surface using DKT parcellation</t>
  </si>
  <si>
    <t>Mean thickness of parahippocampal in the right hemisphere generated by parcellation of the white surface using DKT parcellation</t>
  </si>
  <si>
    <t>Mean thickness of paracentral in the right hemisphere generated by parcellation of the white surface using DKT parcellation</t>
  </si>
  <si>
    <t>Mean thickness of parsopercularis in the right hemisphere generated by parcellation of the white surface using DKT parcellation</t>
  </si>
  <si>
    <t>Mean thickness of parsorbitalis in the right hemisphere generated by parcellation of the white surface using DKT parcellation</t>
  </si>
  <si>
    <t>Mean thickness of parstriangularis in the right hemisphere generated by parcellation of the white surface using DKT parcellation</t>
  </si>
  <si>
    <t>Mean thickness of pericalcarine in the right hemisphere generated by parcellation of the white surface using DKT parcellation</t>
  </si>
  <si>
    <t>Mean thickness of postcentral in the right hemisphere generated by parcellation of the white surface using DKT parcellation</t>
  </si>
  <si>
    <t>Mean thickness of posteriorcingulate in the right hemisphere generated by parcellation of the white surface using DKT parcellation</t>
  </si>
  <si>
    <t>Mean thickness of precentral in the right hemisphere generated by parcellation of the white surface using DKT parcellation</t>
  </si>
  <si>
    <t>Mean thickness of precuneus in the right hemisphere generated by parcellation of the white surface using DKT parcellation</t>
  </si>
  <si>
    <t>Mean thickness of rostralanteriorcingulate in the right hemisphere generated by parcellation of the white surface using DKT parcellation</t>
  </si>
  <si>
    <t>Mean thickness of rostralmiddlefrontal in the right hemisphere generated by parcellation of the white surface using DKT parcellation</t>
  </si>
  <si>
    <t>Mean thickness of superiorfrontal in the right hemisphere generated by parcellation of the white surface using DKT parcellation</t>
  </si>
  <si>
    <t>Mean thickness of superiorparietal in the right hemisphere generated by parcellation of the white surface using DKT parcellation</t>
  </si>
  <si>
    <t>Mean thickness of superiortemporal in the right hemisphere generated by parcellation of the white surface using DKT parcellation</t>
  </si>
  <si>
    <t>Mean thickness of supramarginal in the right hemisphere generated by parcellation of the white surface using DKT parcellation</t>
  </si>
  <si>
    <t>Mean thickness of transversetemporal in the right hemisphere generated by parcellation of the white surface using DKT parcellation</t>
  </si>
  <si>
    <t>Mean thickness of insula in the right hemisphere generated by parcellation of the white surface using DKT parcellation</t>
  </si>
  <si>
    <t>Mean thickness of G+S-frontomargin in the left hemisphere generated by parcellation of the white surface using Destrieux (a2009s) parcellation</t>
  </si>
  <si>
    <t>Mean thickness of G+S-occipital-inf in the left hemisphere generated by parcellation of the white surface using Destrieux (a2009s) parcellation</t>
  </si>
  <si>
    <t>Mean thickness of G+S-paracentral in the left hemisphere generated by parcellation of the white surface using Destrieux (a2009s) parcellation</t>
  </si>
  <si>
    <t>Mean thickness of G+S-subcentral in the left hemisphere generated by parcellation of the white surface using Destrieux (a2009s) parcellation</t>
  </si>
  <si>
    <t>Mean thickness of G+S-transv-frontopol in the left hemisphere generated by parcellation of the white surface using Destrieux (a2009s) parcellation</t>
  </si>
  <si>
    <t>Mean thickness of G+S-cingul-Ant in the left hemisphere generated by parcellation of the white surface using Destrieux (a2009s) parcellation</t>
  </si>
  <si>
    <t>Mean thickness of G+S-cingul-Mid-Ant in the left hemisphere generated by parcellation of the white surface using Destrieux (a2009s) parcellation</t>
  </si>
  <si>
    <t>Mean thickness of G+S-cingul-Mid-Post in the left hemisphere generated by parcellation of the white surface using Destrieux (a2009s) parcellation</t>
  </si>
  <si>
    <t>Mean thickness of G-cingul-Post-dorsal in the left hemisphere generated by parcellation of the white surface using Destrieux (a2009s) parcellation</t>
  </si>
  <si>
    <t>Mean thickness of G-cingul-Post-ventral in the left hemisphere generated by parcellation of the white surface using Destrieux (a2009s) parcellation</t>
  </si>
  <si>
    <t>Mean thickness of G-cuneus in the left hemisphere generated by parcellation of the white surface using Destrieux (a2009s) parcellation</t>
  </si>
  <si>
    <t>Mean thickness of G-front-inf-Opercular in the left hemisphere generated by parcellation of the white surface using Destrieux (a2009s) parcellation</t>
  </si>
  <si>
    <t>Mean thickness of G-front-inf-Orbital in the left hemisphere generated by parcellation of the white surface using Destrieux (a2009s) parcellation</t>
  </si>
  <si>
    <t>Mean thickness of G-front-inf-Triangul in the left hemisphere generated by parcellation of the white surface using Destrieux (a2009s) parcellation</t>
  </si>
  <si>
    <t>Mean thickness of G-front-middle in the left hemisphere generated by parcellation of the white surface using Destrieux (a2009s) parcellation</t>
  </si>
  <si>
    <t>Mean thickness of G-front-sup in the left hemisphere generated by parcellation of the white surface using Destrieux (a2009s) parcellation</t>
  </si>
  <si>
    <t>Mean thickness of G-Ins-lg+S-cent-ins in the left hemisphere generated by parcellation of the white surface using Destrieux (a2009s) parcellation</t>
  </si>
  <si>
    <t>Mean thickness of G-insular-short in the left hemisphere generated by parcellation of the white surface using Destrieux (a2009s) parcellation</t>
  </si>
  <si>
    <t>Mean thickness of G-occipital-middle in the left hemisphere generated by parcellation of the white surface using Destrieux (a2009s) parcellation</t>
  </si>
  <si>
    <t>Mean thickness of G-occipital-sup in the left hemisphere generated by parcellation of the white surface using Destrieux (a2009s) parcellation</t>
  </si>
  <si>
    <t>Mean thickness of G-oc-temp-lat-fusifor in the left hemisphere generated by parcellation of the white surface using Destrieux (a2009s) parcellation</t>
  </si>
  <si>
    <t>Mean thickness of G-oc-temp-med-Lingual in the left hemisphere generated by parcellation of the white surface using Destrieux (a2009s) parcellation</t>
  </si>
  <si>
    <t>Mean thickness of G-oc-temp-med-Parahip in the left hemisphere generated by parcellation of the white surface using Destrieux (a2009s) parcellation</t>
  </si>
  <si>
    <t>Mean thickness of G-orbital in the left hemisphere generated by parcellation of the white surface using Destrieux (a2009s) parcellation</t>
  </si>
  <si>
    <t>Mean thickness of G-pariet-inf-Angular in the left hemisphere generated by parcellation of the white surface using Destrieux (a2009s) parcellation</t>
  </si>
  <si>
    <t>Mean thickness of G-pariet-inf-Supramar in the left hemisphere generated by parcellation of the white surface using Destrieux (a2009s) parcellation</t>
  </si>
  <si>
    <t>Mean thickness of G-parietal-sup in the left hemisphere generated by parcellation of the white surface using Destrieux (a2009s) parcellation</t>
  </si>
  <si>
    <t>Mean thickness of G-postcentral in the left hemisphere generated by parcellation of the white surface using Destrieux (a2009s) parcellation</t>
  </si>
  <si>
    <t>Mean thickness of G-precentral in the left hemisphere generated by parcellation of the white surface using Destrieux (a2009s) parcellation</t>
  </si>
  <si>
    <t>Mean thickness of G-precuneus in the left hemisphere generated by parcellation of the white surface using Destrieux (a2009s) parcellation</t>
  </si>
  <si>
    <t>Mean thickness of G-rectus in the left hemisphere generated by parcellation of the white surface using Destrieux (a2009s) parcellation</t>
  </si>
  <si>
    <t>Mean thickness of G-subcallosal in the left hemisphere generated by parcellation of the white surface using Destrieux (a2009s) parcellation</t>
  </si>
  <si>
    <t>Mean thickness of G-temp-sup-G-T-transv in the left hemisphere generated by parcellation of the white surface using Destrieux (a2009s) parcellation</t>
  </si>
  <si>
    <t>Mean thickness of G-temp-sup-Lateral in the left hemisphere generated by parcellation of the white surface using Destrieux (a2009s) parcellation</t>
  </si>
  <si>
    <t>Mean thickness of G-temp-sup-Plan-polar in the left hemisphere generated by parcellation of the white surface using Destrieux (a2009s) parcellation</t>
  </si>
  <si>
    <t>Mean thickness of G-temp-sup-Plan-tempo in the left hemisphere generated by parcellation of the white surface using Destrieux (a2009s) parcellation</t>
  </si>
  <si>
    <t>Mean thickness of G-temporal-inf in the left hemisphere generated by parcellation of the white surface using Destrieux (a2009s) parcellation</t>
  </si>
  <si>
    <t>Mean thickness of G-temporal-middle in the left hemisphere generated by parcellation of the white surface using Destrieux (a2009s) parcellation</t>
  </si>
  <si>
    <t>Mean thickness of Lat-Fis-ant-Horizont in the left hemisphere generated by parcellation of the white surface using Destrieux (a2009s) parcellation</t>
  </si>
  <si>
    <t>Mean thickness of Lat-Fis-ant-Vertical in the left hemisphere generated by parcellation of the white surface using Destrieux (a2009s) parcellation</t>
  </si>
  <si>
    <t>Mean thickness of Lat-Fis-post in the left hemisphere generated by parcellation of the white surface using Destrieux (a2009s) parcellation</t>
  </si>
  <si>
    <t>Mean thickness of Pole-occipital in the left hemisphere generated by parcellation of the white surface using Destrieux (a2009s) parcellation</t>
  </si>
  <si>
    <t>Mean thickness of Pole-temporal in the left hemisphere generated by parcellation of the white surface using Destrieux (a2009s) parcellation</t>
  </si>
  <si>
    <t>Mean thickness of S-calcarine in the left hemisphere generated by parcellation of the white surface using Destrieux (a2009s) parcellation</t>
  </si>
  <si>
    <t>Mean thickness of S-central in the left hemisphere generated by parcellation of the white surface using Destrieux (a2009s) parcellation</t>
  </si>
  <si>
    <t>Mean thickness of S-cingul-Marginalis in the left hemisphere generated by parcellation of the white surface using Destrieux (a2009s) parcellation</t>
  </si>
  <si>
    <t>Mean thickness of S-circular-insula-ant in the left hemisphere generated by parcellation of the white surface using Destrieux (a2009s) parcellation</t>
  </si>
  <si>
    <t>Mean thickness of S-circular-insula-inf in the left hemisphere generated by parcellation of the white surface using Destrieux (a2009s) parcellation</t>
  </si>
  <si>
    <t>Mean thickness of S-circular-insula-sup in the left hemisphere generated by parcellation of the white surface using Destrieux (a2009s) parcellation</t>
  </si>
  <si>
    <t>Mean thickness of S-collat-transv-ant in the left hemisphere generated by parcellation of the white surface using Destrieux (a2009s) parcellation</t>
  </si>
  <si>
    <t>Mean thickness of S-collat-transv-post in the left hemisphere generated by parcellation of the white surface using Destrieux (a2009s) parcellation</t>
  </si>
  <si>
    <t>Mean thickness of S-front-inf in the left hemisphere generated by parcellation of the white surface using Destrieux (a2009s) parcellation</t>
  </si>
  <si>
    <t>Mean thickness of S-front-middle in the left hemisphere generated by parcellation of the white surface using Destrieux (a2009s) parcellation</t>
  </si>
  <si>
    <t>Mean thickness of S-front-sup in the left hemisphere generated by parcellation of the white surface using Destrieux (a2009s) parcellation</t>
  </si>
  <si>
    <t>Mean thickness of S-interm-prim-Jensen in the left hemisphere generated by parcellation of the white surface using Destrieux (a2009s) parcellation</t>
  </si>
  <si>
    <t>Mean thickness of S-intrapariet+P-trans in the left hemisphere generated by parcellation of the white surface using Destrieux (a2009s) parcellation</t>
  </si>
  <si>
    <t>Mean thickness of S-oc-middle+Lunatus in the left hemisphere generated by parcellation of the white surface using Destrieux (a2009s) parcellation</t>
  </si>
  <si>
    <t>Mean thickness of S-oc-sup+transversal in the left hemisphere generated by parcellation of the white surface using Destrieux (a2009s) parcellation</t>
  </si>
  <si>
    <t>Mean thickness of S-occipital-ant in the left hemisphere generated by parcellation of the white surface using Destrieux (a2009s) parcellation</t>
  </si>
  <si>
    <t>Mean thickness of S-oc-temp-lat in the left hemisphere generated by parcellation of the white surface using Destrieux (a2009s) parcellation</t>
  </si>
  <si>
    <t>Mean thickness of S-oc-temp-med+Lingual in the left hemisphere generated by parcellation of the white surface using Destrieux (a2009s) parcellation</t>
  </si>
  <si>
    <t>Mean thickness of S-orbital-lateral in the left hemisphere generated by parcellation of the white surface using Destrieux (a2009s) parcellation</t>
  </si>
  <si>
    <t>Mean thickness of S-orbital-med-olfact in the left hemisphere generated by parcellation of the white surface using Destrieux (a2009s) parcellation</t>
  </si>
  <si>
    <t>Mean thickness of S-orbital-H-Shaped in the left hemisphere generated by parcellation of the white surface using Destrieux (a2009s) parcellation</t>
  </si>
  <si>
    <t>Mean thickness of S-parieto-occipital in the left hemisphere generated by parcellation of the white surface using Destrieux (a2009s) parcellation</t>
  </si>
  <si>
    <t>Mean thickness of S-pericallosal in the left hemisphere generated by parcellation of the white surface using Destrieux (a2009s) parcellation</t>
  </si>
  <si>
    <t>Mean thickness of S-postcentral in the left hemisphere generated by parcellation of the white surface using Destrieux (a2009s) parcellation</t>
  </si>
  <si>
    <t>Mean thickness of S-precentral-inf-part in the left hemisphere generated by parcellation of the white surface using Destrieux (a2009s) parcellation</t>
  </si>
  <si>
    <t>Mean thickness of S-precentral-sup-part in the left hemisphere generated by parcellation of the white surface using Destrieux (a2009s) parcellation</t>
  </si>
  <si>
    <t>Mean thickness of S-suborbital in the left hemisphere generated by parcellation of the white surface using Destrieux (a2009s) parcellation</t>
  </si>
  <si>
    <t>Mean thickness of S-subparietal in the left hemisphere generated by parcellation of the white surface using Destrieux (a2009s) parcellation</t>
  </si>
  <si>
    <t>Mean thickness of S-temporal-inf in the left hemisphere generated by parcellation of the white surface using Destrieux (a2009s) parcellation</t>
  </si>
  <si>
    <t>Mean thickness of S-temporal-sup in the left hemisphere generated by parcellation of the white surface using Destrieux (a2009s) parcellation</t>
  </si>
  <si>
    <t>Mean thickness of S-temporal-transverse in the left hemisphere generated by parcellation of the white surface using Destrieux (a2009s) parcellation</t>
  </si>
  <si>
    <t>Mean thickness of G+S-frontomargin in the right hemisphere generated by parcellation of the white surface using Destrieux (a2009s) parcellation</t>
  </si>
  <si>
    <t>Mean thickness of G+S-occipital-inf in the right hemisphere generated by parcellation of the white surface using Destrieux (a2009s) parcellation</t>
  </si>
  <si>
    <t>Mean thickness of G+S-paracentral in the right hemisphere generated by parcellation of the white surface using Destrieux (a2009s) parcellation</t>
  </si>
  <si>
    <t>Mean thickness of G+S-subcentral in the right hemisphere generated by parcellation of the white surface using Destrieux (a2009s) parcellation</t>
  </si>
  <si>
    <t>Mean thickness of G+S-transv-frontopol in the right hemisphere generated by parcellation of the white surface using Destrieux (a2009s) parcellation</t>
  </si>
  <si>
    <t>Mean thickness of G+S-cingul-Ant in the right hemisphere generated by parcellation of the white surface using Destrieux (a2009s) parcellation</t>
  </si>
  <si>
    <t>Mean thickness of G+S-cingul-Mid-Ant in the right hemisphere generated by parcellation of the white surface using Destrieux (a2009s) parcellation</t>
  </si>
  <si>
    <t>Mean thickness of G+S-cingul-Mid-Post in the right hemisphere generated by parcellation of the white surface using Destrieux (a2009s) parcellation</t>
  </si>
  <si>
    <t>Mean thickness of G-cingul-Post-dorsal in the right hemisphere generated by parcellation of the white surface using Destrieux (a2009s) parcellation</t>
  </si>
  <si>
    <t>Mean thickness of G-cingul-Post-ventral in the right hemisphere generated by parcellation of the white surface using Destrieux (a2009s) parcellation</t>
  </si>
  <si>
    <t>Mean thickness of G-cuneus in the right hemisphere generated by parcellation of the white surface using Destrieux (a2009s) parcellation</t>
  </si>
  <si>
    <t>Mean thickness of G-front-inf-Opercular in the right hemisphere generated by parcellation of the white surface using Destrieux (a2009s) parcellation</t>
  </si>
  <si>
    <t>Mean thickness of G-front-inf-Orbital in the right hemisphere generated by parcellation of the white surface using Destrieux (a2009s) parcellation</t>
  </si>
  <si>
    <t>Mean thickness of G-front-inf-Triangul in the right hemisphere generated by parcellation of the white surface using Destrieux (a2009s) parcellation</t>
  </si>
  <si>
    <t>Mean thickness of G-front-middle in the right hemisphere generated by parcellation of the white surface using Destrieux (a2009s) parcellation</t>
  </si>
  <si>
    <t>Mean thickness of G-front-sup in the right hemisphere generated by parcellation of the white surface using Destrieux (a2009s) parcellation</t>
  </si>
  <si>
    <t>Mean thickness of G-Ins-lg+S-cent-ins in the right hemisphere generated by parcellation of the white surface using Destrieux (a2009s) parcellation</t>
  </si>
  <si>
    <t>Mean thickness of G-insular-short in the right hemisphere generated by parcellation of the white surface using Destrieux (a2009s) parcellation</t>
  </si>
  <si>
    <t>Mean thickness of G-occipital-middle in the right hemisphere generated by parcellation of the white surface using Destrieux (a2009s) parcellation</t>
  </si>
  <si>
    <t>Mean thickness of G-occipital-sup in the right hemisphere generated by parcellation of the white surface using Destrieux (a2009s) parcellation</t>
  </si>
  <si>
    <t>Mean thickness of G-oc-temp-lat-fusifor in the right hemisphere generated by parcellation of the white surface using Destrieux (a2009s) parcellation</t>
  </si>
  <si>
    <t>Mean thickness of G-oc-temp-med-Lingual in the right hemisphere generated by parcellation of the white surface using Destrieux (a2009s) parcellation</t>
  </si>
  <si>
    <t>Mean thickness of G-oc-temp-med-Parahip in the right hemisphere generated by parcellation of the white surface using Destrieux (a2009s) parcellation</t>
  </si>
  <si>
    <t>Mean thickness of G-orbital in the right hemisphere generated by parcellation of the white surface using Destrieux (a2009s) parcellation</t>
  </si>
  <si>
    <t>Mean thickness of G-pariet-inf-Angular in the right hemisphere generated by parcellation of the white surface using Destrieux (a2009s) parcellation</t>
  </si>
  <si>
    <t>Mean thickness of G-pariet-inf-Supramar in the right hemisphere generated by parcellation of the white surface using Destrieux (a2009s) parcellation</t>
  </si>
  <si>
    <t>Mean thickness of G-parietal-sup in the right hemisphere generated by parcellation of the white surface using Destrieux (a2009s) parcellation</t>
  </si>
  <si>
    <t>Mean thickness of G-postcentral in the right hemisphere generated by parcellation of the white surface using Destrieux (a2009s) parcellation</t>
  </si>
  <si>
    <t>Mean thickness of G-precentral in the right hemisphere generated by parcellation of the white surface using Destrieux (a2009s) parcellation</t>
  </si>
  <si>
    <t>Mean thickness of G-precuneus in the right hemisphere generated by parcellation of the white surface using Destrieux (a2009s) parcellation</t>
  </si>
  <si>
    <t>Mean thickness of G-rectus in the right hemisphere generated by parcellation of the white surface using Destrieux (a2009s) parcellation</t>
  </si>
  <si>
    <t>Mean thickness of G-subcallosal in the right hemisphere generated by parcellation of the white surface using Destrieux (a2009s) parcellation</t>
  </si>
  <si>
    <t>Mean thickness of G-temp-sup-G-T-transv in the right hemisphere generated by parcellation of the white surface using Destrieux (a2009s) parcellation</t>
  </si>
  <si>
    <t>Mean thickness of G-temp-sup-Lateral in the right hemisphere generated by parcellation of the white surface using Destrieux (a2009s) parcellation</t>
  </si>
  <si>
    <t>Mean thickness of G-temp-sup-Plan-polar in the right hemisphere generated by parcellation of the white surface using Destrieux (a2009s) parcellation</t>
  </si>
  <si>
    <t>Mean thickness of G-temp-sup-Plan-tempo in the right hemisphere generated by parcellation of the white surface using Destrieux (a2009s) parcellation</t>
  </si>
  <si>
    <t>Mean thickness of G-temporal-inf in the right hemisphere generated by parcellation of the white surface using Destrieux (a2009s) parcellation</t>
  </si>
  <si>
    <t>Mean thickness of G-temporal-middle in the right hemisphere generated by parcellation of the white surface using Destrieux (a2009s) parcellation</t>
  </si>
  <si>
    <t>Mean thickness of Lat-Fis-ant-Horizont in the right hemisphere generated by parcellation of the white surface using Destrieux (a2009s) parcellation</t>
  </si>
  <si>
    <t>Mean thickness of Lat-Fis-ant-Vertical in the right hemisphere generated by parcellation of the white surface using Destrieux (a2009s) parcellation</t>
  </si>
  <si>
    <t>Mean thickness of Lat-Fis-post in the right hemisphere generated by parcellation of the white surface using Destrieux (a2009s) parcellation</t>
  </si>
  <si>
    <t>Mean thickness of Pole-occipital in the right hemisphere generated by parcellation of the white surface using Destrieux (a2009s) parcellation</t>
  </si>
  <si>
    <t>Mean thickness of Pole-temporal in the right hemisphere generated by parcellation of the white surface using Destrieux (a2009s) parcellation</t>
  </si>
  <si>
    <t>Mean thickness of S-calcarine in the right hemisphere generated by parcellation of the white surface using Destrieux (a2009s) parcellation</t>
  </si>
  <si>
    <t>Mean thickness of S-central in the right hemisphere generated by parcellation of the white surface using Destrieux (a2009s) parcellation</t>
  </si>
  <si>
    <t>Mean thickness of S-cingul-Marginalis in the right hemisphere generated by parcellation of the white surface using Destrieux (a2009s) parcellation</t>
  </si>
  <si>
    <t>Mean thickness of S-circular-insula-ant in the right hemisphere generated by parcellation of the white surface using Destrieux (a2009s) parcellation</t>
  </si>
  <si>
    <t>Mean thickness of S-circular-insula-inf in the right hemisphere generated by parcellation of the white surface using Destrieux (a2009s) parcellation</t>
  </si>
  <si>
    <t>Mean thickness of S-circular-insula-sup in the right hemisphere generated by parcellation of the white surface using Destrieux (a2009s) parcellation</t>
  </si>
  <si>
    <t>Mean thickness of S-collat-transv-ant in the right hemisphere generated by parcellation of the white surface using Destrieux (a2009s) parcellation</t>
  </si>
  <si>
    <t>Mean thickness of S-collat-transv-post in the right hemisphere generated by parcellation of the white surface using Destrieux (a2009s) parcellation</t>
  </si>
  <si>
    <t>Mean thickness of S-front-inf in the right hemisphere generated by parcellation of the white surface using Destrieux (a2009s) parcellation</t>
  </si>
  <si>
    <t>Mean thickness of S-front-middle in the right hemisphere generated by parcellation of the white surface using Destrieux (a2009s) parcellation</t>
  </si>
  <si>
    <t>Mean thickness of S-front-sup in the right hemisphere generated by parcellation of the white surface using Destrieux (a2009s) parcellation</t>
  </si>
  <si>
    <t>Mean thickness of S-interm-prim-Jensen in the right hemisphere generated by parcellation of the white surface using Destrieux (a2009s) parcellation</t>
  </si>
  <si>
    <t>Mean thickness of S-intrapariet+P-trans in the right hemisphere generated by parcellation of the white surface using Destrieux (a2009s) parcellation</t>
  </si>
  <si>
    <t>Mean thickness of S-oc-middle+Lunatus in the right hemisphere generated by parcellation of the white surface using Destrieux (a2009s) parcellation</t>
  </si>
  <si>
    <t>Mean thickness of S-oc-sup+transversal in the right hemisphere generated by parcellation of the white surface using Destrieux (a2009s) parcellation</t>
  </si>
  <si>
    <t>Mean thickness of S-occipital-ant in the right hemisphere generated by parcellation of the white surface using Destrieux (a2009s) parcellation</t>
  </si>
  <si>
    <t>Mean thickness of S-oc-temp-lat in the right hemisphere generated by parcellation of the white surface using Destrieux (a2009s) parcellation</t>
  </si>
  <si>
    <t>Mean thickness of S-oc-temp-med+Lingual in the right hemisphere generated by parcellation of the white surface using Destrieux (a2009s) parcellation</t>
  </si>
  <si>
    <t>Mean thickness of S-orbital-lateral in the right hemisphere generated by parcellation of the white surface using Destrieux (a2009s) parcellation</t>
  </si>
  <si>
    <t>Mean thickness of S-orbital-med-olfact in the right hemisphere generated by parcellation of the white surface using Destrieux (a2009s) parcellation</t>
  </si>
  <si>
    <t>Mean thickness of S-orbital-H-Shaped in the right hemisphere generated by parcellation of the white surface using Destrieux (a2009s) parcellation</t>
  </si>
  <si>
    <t>Mean thickness of S-parieto-occipital in the right hemisphere generated by parcellation of the white surface using Destrieux (a2009s) parcellation</t>
  </si>
  <si>
    <t>Mean thickness of S-pericallosal in the right hemisphere generated by parcellation of the white surface using Destrieux (a2009s) parcellation</t>
  </si>
  <si>
    <t>Mean thickness of S-postcentral in the right hemisphere generated by parcellation of the white surface using Destrieux (a2009s) parcellation</t>
  </si>
  <si>
    <t>Mean thickness of S-precentral-inf-part in the right hemisphere generated by parcellation of the white surface using Destrieux (a2009s) parcellation</t>
  </si>
  <si>
    <t>Mean thickness of S-precentral-sup-part in the right hemisphere generated by parcellation of the white surface using Destrieux (a2009s) parcellation</t>
  </si>
  <si>
    <t>Mean thickness of S-suborbital in the right hemisphere generated by parcellation of the white surface using Destrieux (a2009s) parcellation</t>
  </si>
  <si>
    <t>Mean thickness of S-subparietal in the right hemisphere generated by parcellation of the white surface using Destrieux (a2009s) parcellation</t>
  </si>
  <si>
    <t>Mean thickness of S-temporal-inf in the right hemisphere generated by parcellation of the white surface using Destrieux (a2009s) parcellation</t>
  </si>
  <si>
    <t>Mean thickness of S-temporal-sup in the right hemisphere generated by parcellation of the white surface using Destrieux (a2009s) parcellation</t>
  </si>
  <si>
    <t>Mean thickness of S-temporal-transverse in the right hemisphere generated by parcellation of the white surface using Destrieux (a2009s) parcellation</t>
  </si>
  <si>
    <t>Mean intensity of 3rd-Ventricle in the whole brain generated by subcortical volumetric segmentation (aseg)</t>
  </si>
  <si>
    <t>Mean intensity of 4th-Ventricle in the whole brain generated by subcortical volumetric segmentation (aseg)</t>
  </si>
  <si>
    <t>Mean intensity of 5th-Ventricle in the whole brain generated by subcortical volumetric segmentation (aseg)</t>
  </si>
  <si>
    <t>Mean intensity of Brain-Stem in the whole brain generated by subcortical volumetric segmentation (aseg)</t>
  </si>
  <si>
    <t>Mean intensity of CSF in the whole brain generated by subcortical volumetric segmentation (aseg)</t>
  </si>
  <si>
    <t>Mean intensity of WM-hypointensities in the whole brain generated by subcortical volumetric segmentation (aseg)</t>
  </si>
  <si>
    <t>Mean intensity of non-WM-hypointensities in the whole brain generated by subcortical volumetric segmentation (aseg)</t>
  </si>
  <si>
    <t>Mean intensity of Optic-Chiasm in the whole brain generated by subcortical volumetric segmentation (aseg)</t>
  </si>
  <si>
    <t>Mean intensity of CC-Posterior in the whole brain generated by subcortical volumetric segmentation (aseg)</t>
  </si>
  <si>
    <t>Mean intensity of CC-Mid-Posterior in the whole brain generated by subcortical volumetric segmentation (aseg)</t>
  </si>
  <si>
    <t>Mean intensity of CC-Central in the whole brain generated by subcortical volumetric segmentation (aseg)</t>
  </si>
  <si>
    <t>Mean intensity of CC-Mid-Anterior in the whole brain generated by subcortical volumetric segmentation (aseg)</t>
  </si>
  <si>
    <t>Mean intensity of CC-Anterior in the whole brain generated by subcortical volumetric segmentation (aseg)</t>
  </si>
  <si>
    <t>Mean intensity of Lateral-Ventricle in the left hemisphere generated by subcortical volumetric segmentation (aseg)</t>
  </si>
  <si>
    <t>Mean intensity of Inf-Lat-Vent in the left hemisphere generated by subcortical volumetric segmentation (aseg)</t>
  </si>
  <si>
    <t>Mean intensity of Cerebellum-White-Matter in the left hemisphere generated by subcortical volumetric segmentation (aseg)</t>
  </si>
  <si>
    <t>Mean intensity of Cerebellum-Cortex in the left hemisphere generated by subcortical volumetric segmentation (aseg)</t>
  </si>
  <si>
    <t>Mean intensity of Thalamus-Proper in the left hemisphere generated by subcortical volumetric segmentation (aseg)</t>
  </si>
  <si>
    <t>Mean intensity of Caudate in the left hemisphere generated by subcortical volumetric segmentation (aseg)</t>
  </si>
  <si>
    <t>Mean intensity of Putamen in the left hemisphere generated by subcortical volumetric segmentation (aseg)</t>
  </si>
  <si>
    <t>Mean intensity of Pallidum in the left hemisphere generated by subcortical volumetric segmentation (aseg)</t>
  </si>
  <si>
    <t>Mean intensity of Hippocampus in the left hemisphere generated by subcortical volumetric segmentation (aseg)</t>
  </si>
  <si>
    <t>Mean intensity of Amygdala in the left hemisphere generated by subcortical volumetric segmentation (aseg)</t>
  </si>
  <si>
    <t>Mean intensity of Accumbens-area in the left hemisphere generated by subcortical volumetric segmentation (aseg)</t>
  </si>
  <si>
    <t>Mean intensity of VentralDC in the left hemisphere generated by subcortical volumetric segmentation (aseg)</t>
  </si>
  <si>
    <t>Mean intensity of vessel in the left hemisphere generated by subcortical volumetric segmentation (aseg)</t>
  </si>
  <si>
    <t>Mean intensity of choroid-plexus in the left hemisphere generated by subcortical volumetric segmentation (aseg)</t>
  </si>
  <si>
    <t>Mean intensity of Lateral-Ventricle in the right hemisphere generated by subcortical volumetric segmentation (aseg)</t>
  </si>
  <si>
    <t>Mean intensity of Inf-Lat-Vent in the right hemisphere generated by subcortical volumetric segmentation (aseg)</t>
  </si>
  <si>
    <t>Mean intensity of Cerebellum-White-Matter in the right hemisphere generated by subcortical volumetric segmentation (aseg)</t>
  </si>
  <si>
    <t>Mean intensity of Cerebellum-Cortex in the right hemisphere generated by subcortical volumetric segmentation (aseg)</t>
  </si>
  <si>
    <t>Mean intensity of Thalamus-Proper in the right hemisphere generated by subcortical volumetric segmentation (aseg)</t>
  </si>
  <si>
    <t>Mean intensity of Caudate in the right hemisphere generated by subcortical volumetric segmentation (aseg)</t>
  </si>
  <si>
    <t>Mean intensity of Putamen in the right hemisphere generated by subcortical volumetric segmentation (aseg)</t>
  </si>
  <si>
    <t>Mean intensity of Pallidum in the right hemisphere generated by subcortical volumetric segmentation (aseg)</t>
  </si>
  <si>
    <t>Mean intensity of Hippocampus in the right hemisphere generated by subcortical volumetric segmentation (aseg)</t>
  </si>
  <si>
    <t>Mean intensity of Amygdala in the right hemisphere generated by subcortical volumetric segmentation (aseg)</t>
  </si>
  <si>
    <t>Mean intensity of Accumbens-area in the right hemisphere generated by subcortical volumetric segmentation (aseg)</t>
  </si>
  <si>
    <t>Mean intensity of VentralDC in the right hemisphere generated by subcortical volumetric segmentation (aseg)</t>
  </si>
  <si>
    <t>Mean intensity of vessel in the right hemisphere generated by subcortical volumetric segmentation (aseg)</t>
  </si>
  <si>
    <t>Mean intensity of choroid-plexus in the right hemisphere generated by subcortical volumetric segmentation (aseg)</t>
  </si>
  <si>
    <t>Grey-white contrast in unknown in the left hemisphere calculated as a percentage of the mean gray-white matter intensity from Desikan-Killiany parcellation</t>
  </si>
  <si>
    <t>Grey-white contrast in bankssts in the left hemisphere calculated as a percentage of the mean gray-white matter intensity from Desikan-Killiany parcellation</t>
  </si>
  <si>
    <t>Grey-white contrast in caudalanteriorcingulate in the left hemisphere calculated as a percentage of the mean gray-white matter intensity from Desikan-Killiany parcellation</t>
  </si>
  <si>
    <t>Grey-white contrast in caudalmiddlefrontal in the left hemisphere calculated as a percentage of the mean gray-white matter intensity from Desikan-Killiany parcellation</t>
  </si>
  <si>
    <t>Grey-white contrast in cuneus in the left hemisphere calculated as a percentage of the mean gray-white matter intensity from Desikan-Killiany parcellation</t>
  </si>
  <si>
    <t>Grey-white contrast in entorhinal in the left hemisphere calculated as a percentage of the mean gray-white matter intensity from Desikan-Killiany parcellation</t>
  </si>
  <si>
    <t>Grey-white contrast in fusiform in the left hemisphere calculated as a percentage of the mean gray-white matter intensity from Desikan-Killiany parcellation</t>
  </si>
  <si>
    <t>Grey-white contrast in inferiorparietal in the left hemisphere calculated as a percentage of the mean gray-white matter intensity from Desikan-Killiany parcellation</t>
  </si>
  <si>
    <t>Grey-white contrast in inferiortemporal in the left hemisphere calculated as a percentage of the mean gray-white matter intensity from Desikan-Killiany parcellation</t>
  </si>
  <si>
    <t>Grey-white contrast in isthmuscingulate in the left hemisphere calculated as a percentage of the mean gray-white matter intensity from Desikan-Killiany parcellation</t>
  </si>
  <si>
    <t>Grey-white contrast in lateraloccipital in the left hemisphere calculated as a percentage of the mean gray-white matter intensity from Desikan-Killiany parcellation</t>
  </si>
  <si>
    <t>Grey-white contrast in lateralorbitofrontal in the left hemisphere calculated as a percentage of the mean gray-white matter intensity from Desikan-Killiany parcellation</t>
  </si>
  <si>
    <t>Grey-white contrast in lingual in the left hemisphere calculated as a percentage of the mean gray-white matter intensity from Desikan-Killiany parcellation</t>
  </si>
  <si>
    <t>Grey-white contrast in medialorbitofrontal in the left hemisphere calculated as a percentage of the mean gray-white matter intensity from Desikan-Killiany parcellation</t>
  </si>
  <si>
    <t>Grey-white contrast in middletemporal in the left hemisphere calculated as a percentage of the mean gray-white matter intensity from Desikan-Killiany parcellation</t>
  </si>
  <si>
    <t>Grey-white contrast in parahippocampal in the left hemisphere calculated as a percentage of the mean gray-white matter intensity from Desikan-Killiany parcellation</t>
  </si>
  <si>
    <t>Grey-white contrast in paracentral in the left hemisphere calculated as a percentage of the mean gray-white matter intensity from Desikan-Killiany parcellation</t>
  </si>
  <si>
    <t>Grey-white contrast in parsopercularis in the left hemisphere calculated as a percentage of the mean gray-white matter intensity from Desikan-Killiany parcellation</t>
  </si>
  <si>
    <t>Grey-white contrast in parsorbitalis in the left hemisphere calculated as a percentage of the mean gray-white matter intensity from Desikan-Killiany parcellation</t>
  </si>
  <si>
    <t>Grey-white contrast in parstriangularis in the left hemisphere calculated as a percentage of the mean gray-white matter intensity from Desikan-Killiany parcellation</t>
  </si>
  <si>
    <t>Grey-white contrast in pericalcarine in the left hemisphere calculated as a percentage of the mean gray-white matter intensity from Desikan-Killiany parcellation</t>
  </si>
  <si>
    <t>Grey-white contrast in postcentral in the left hemisphere calculated as a percentage of the mean gray-white matter intensity from Desikan-Killiany parcellation</t>
  </si>
  <si>
    <t>Grey-white contrast in posteriorcingulate in the left hemisphere calculated as a percentage of the mean gray-white matter intensity from Desikan-Killiany parcellation</t>
  </si>
  <si>
    <t>Grey-white contrast in precentral in the left hemisphere calculated as a percentage of the mean gray-white matter intensity from Desikan-Killiany parcellation</t>
  </si>
  <si>
    <t>Grey-white contrast in precuneus in the left hemisphere calculated as a percentage of the mean gray-white matter intensity from Desikan-Killiany parcellation</t>
  </si>
  <si>
    <t>Grey-white contrast in rostralanteriorcingulate in the left hemisphere calculated as a percentage of the mean gray-white matter intensity from Desikan-Killiany parcellation</t>
  </si>
  <si>
    <t>Grey-white contrast in rostralmiddlefrontal in the left hemisphere calculated as a percentage of the mean gray-white matter intensity from Desikan-Killiany parcellation</t>
  </si>
  <si>
    <t>Grey-white contrast in superiorfrontal in the left hemisphere calculated as a percentage of the mean gray-white matter intensity from Desikan-Killiany parcellation</t>
  </si>
  <si>
    <t>Grey-white contrast in superiorparietal in the left hemisphere calculated as a percentage of the mean gray-white matter intensity from Desikan-Killiany parcellation</t>
  </si>
  <si>
    <t>Grey-white contrast in superiortemporal in the left hemisphere calculated as a percentage of the mean gray-white matter intensity from Desikan-Killiany parcellation</t>
  </si>
  <si>
    <t>Grey-white contrast in supramarginal in the left hemisphere calculated as a percentage of the mean gray-white matter intensity from Desikan-Killiany parcellation</t>
  </si>
  <si>
    <t>Grey-white contrast in frontalpole in the left hemisphere calculated as a percentage of the mean gray-white matter intensity from Desikan-Killiany parcellation</t>
  </si>
  <si>
    <t>Grey-white contrast in temporalpole in the left hemisphere calculated as a percentage of the mean gray-white matter intensity from Desikan-Killiany parcellation</t>
  </si>
  <si>
    <t>Grey-white contrast in transversetemporal in the left hemisphere calculated as a percentage of the mean gray-white matter intensity from Desikan-Killiany parcellation</t>
  </si>
  <si>
    <t>Grey-white contrast in insula in the left hemisphere calculated as a percentage of the mean gray-white matter intensity from Desikan-Killiany parcellation</t>
  </si>
  <si>
    <t>Grey-white contrast in unknown in the right hemisphere calculated as a percentage of the mean gray-white matter intensity from Desikan-Killiany parcellation</t>
  </si>
  <si>
    <t>Grey-white contrast in bankssts in the right hemisphere calculated as a percentage of the mean gray-white matter intensity from Desikan-Killiany parcellation</t>
  </si>
  <si>
    <t>Grey-white contrast in caudalanteriorcingulate in the right hemisphere calculated as a percentage of the mean gray-white matter intensity from Desikan-Killiany parcellation</t>
  </si>
  <si>
    <t>Grey-white contrast in caudalmiddlefrontal in the right hemisphere calculated as a percentage of the mean gray-white matter intensity from Desikan-Killiany parcellation</t>
  </si>
  <si>
    <t>Grey-white contrast in cuneus in the right hemisphere calculated as a percentage of the mean gray-white matter intensity from Desikan-Killiany parcellation</t>
  </si>
  <si>
    <t>Grey-white contrast in entorhinal in the right hemisphere calculated as a percentage of the mean gray-white matter intensity from Desikan-Killiany parcellation</t>
  </si>
  <si>
    <t>Grey-white contrast in fusiform in the right hemisphere calculated as a percentage of the mean gray-white matter intensity from Desikan-Killiany parcellation</t>
  </si>
  <si>
    <t>Grey-white contrast in inferiorparietal in the right hemisphere calculated as a percentage of the mean gray-white matter intensity from Desikan-Killiany parcellation</t>
  </si>
  <si>
    <t>Grey-white contrast in inferiortemporal in the right hemisphere calculated as a percentage of the mean gray-white matter intensity from Desikan-Killiany parcellation</t>
  </si>
  <si>
    <t>Grey-white contrast in isthmuscingulate in the right hemisphere calculated as a percentage of the mean gray-white matter intensity from Desikan-Killiany parcellation</t>
  </si>
  <si>
    <t>Grey-white contrast in lateraloccipital in the right hemisphere calculated as a percentage of the mean gray-white matter intensity from Desikan-Killiany parcellation</t>
  </si>
  <si>
    <t>Grey-white contrast in lateralorbitofrontal in the right hemisphere calculated as a percentage of the mean gray-white matter intensity from Desikan-Killiany parcellation</t>
  </si>
  <si>
    <t>Grey-white contrast in lingual in the right hemisphere calculated as a percentage of the mean gray-white matter intensity from Desikan-Killiany parcellation</t>
  </si>
  <si>
    <t>Grey-white contrast in medialorbitofrontal in the right hemisphere calculated as a percentage of the mean gray-white matter intensity from Desikan-Killiany parcellation</t>
  </si>
  <si>
    <t>Grey-white contrast in middletemporal in the right hemisphere calculated as a percentage of the mean gray-white matter intensity from Desikan-Killiany parcellation</t>
  </si>
  <si>
    <t>Grey-white contrast in parahippocampal in the right hemisphere calculated as a percentage of the mean gray-white matter intensity from Desikan-Killiany parcellation</t>
  </si>
  <si>
    <t>Grey-white contrast in paracentral in the right hemisphere calculated as a percentage of the mean gray-white matter intensity from Desikan-Killiany parcellation</t>
  </si>
  <si>
    <t>Grey-white contrast in parsopercularis in the right hemisphere calculated as a percentage of the mean gray-white matter intensity from Desikan-Killiany parcellation</t>
  </si>
  <si>
    <t>Grey-white contrast in parsorbitalis in the right hemisphere calculated as a percentage of the mean gray-white matter intensity from Desikan-Killiany parcellation</t>
  </si>
  <si>
    <t>Grey-white contrast in parstriangularis in the right hemisphere calculated as a percentage of the mean gray-white matter intensity from Desikan-Killiany parcellation</t>
  </si>
  <si>
    <t>Grey-white contrast in pericalcarine in the right hemisphere calculated as a percentage of the mean gray-white matter intensity from Desikan-Killiany parcellation</t>
  </si>
  <si>
    <t>Grey-white contrast in postcentral in the right hemisphere calculated as a percentage of the mean gray-white matter intensity from Desikan-Killiany parcellation</t>
  </si>
  <si>
    <t>Grey-white contrast in posteriorcingulate in the right hemisphere calculated as a percentage of the mean gray-white matter intensity from Desikan-Killiany parcellation</t>
  </si>
  <si>
    <t>Grey-white contrast in precentral in the right hemisphere calculated as a percentage of the mean gray-white matter intensity from Desikan-Killiany parcellation</t>
  </si>
  <si>
    <t>Grey-white contrast in precuneus in the right hemisphere calculated as a percentage of the mean gray-white matter intensity from Desikan-Killiany parcellation</t>
  </si>
  <si>
    <t>Grey-white contrast in rostralanteriorcingulate in the right hemisphere calculated as a percentage of the mean gray-white matter intensity from Desikan-Killiany parcellation</t>
  </si>
  <si>
    <t>Grey-white contrast in rostralmiddlefrontal in the right hemisphere calculated as a percentage of the mean gray-white matter intensity from Desikan-Killiany parcellation</t>
  </si>
  <si>
    <t>Grey-white contrast in superiorfrontal in the right hemisphere calculated as a percentage of the mean gray-white matter intensity from Desikan-Killiany parcellation</t>
  </si>
  <si>
    <t>Grey-white contrast in superiorparietal in the right hemisphere calculated as a percentage of the mean gray-white matter intensity from Desikan-Killiany parcellation</t>
  </si>
  <si>
    <t>Grey-white contrast in superiortemporal in the right hemisphere calculated as a percentage of the mean gray-white matter intensity from Desikan-Killiany parcellation</t>
  </si>
  <si>
    <t>Grey-white contrast in supramarginal in the right hemisphere calculated as a percentage of the mean gray-white matter intensity from Desikan-Killiany parcellation</t>
  </si>
  <si>
    <t>Grey-white contrast in frontalpole in the right hemisphere calculated as a percentage of the mean gray-white matter intensity from Desikan-Killiany parcellation</t>
  </si>
  <si>
    <t>Grey-white contrast in temporalpole in the right hemisphere calculated as a percentage of the mean gray-white matter intensity from Desikan-Killiany parcellation</t>
  </si>
  <si>
    <t>Grey-white contrast in transversetemporal in the right hemisphere calculated as a percentage of the mean gray-white matter intensity from Desikan-Killiany parcellation</t>
  </si>
  <si>
    <t>Grey-white contrast in insula in the right hemisphere calculated as a percentage of the mean gray-white matter intensity from Desikan-Killiany parcellation</t>
  </si>
  <si>
    <t>Total volume of white matter hyperintensities (from T1 and T2_FLAIR images)</t>
  </si>
  <si>
    <t>Median T2star in left thalamus (from SWI data)</t>
  </si>
  <si>
    <t>Median T2star in right thalamus (from SWI data)</t>
  </si>
  <si>
    <t>Median T2star in left caudate (from SWI data)</t>
  </si>
  <si>
    <t>Median T2star in right caudate (from SWI data)</t>
  </si>
  <si>
    <t>Median T2star in left putamen (from SWI data)</t>
  </si>
  <si>
    <t>Median T2star in right putamen (from SWI data)</t>
  </si>
  <si>
    <t>Median T2star in left pallidum (from SWI data)</t>
  </si>
  <si>
    <t>Median T2star in right pallidum (from SWI data)</t>
  </si>
  <si>
    <t>Median T2star in left hippocampus (from SWI data)</t>
  </si>
  <si>
    <t>Median T2star in right hippocampus (from SWI data)</t>
  </si>
  <si>
    <t>Median T2star in left amygdala (from SWI data)</t>
  </si>
  <si>
    <t>Median T2star in right amygdala (from SWI data)</t>
  </si>
  <si>
    <t>Median T2star in left accumbens (from SWI data)</t>
  </si>
  <si>
    <t>Median T2star in right accumbens (from SWI data)</t>
  </si>
  <si>
    <t>Mean FA (fractional anisotropy) in middle cerebellar peduncle on FA skeleton (from dMRI data)</t>
  </si>
  <si>
    <t>Mean FA (fractional anisotropy) in pontine crossing tract on FA skeleton (from dMRI data)</t>
  </si>
  <si>
    <t>Mean FA (fractional anisotropy) in genu of corpus callosum on FA skeleton (from dMRI data)</t>
  </si>
  <si>
    <t>Mean FA (fractional anisotropy) in body of corpus callosum on FA skeleton (from dMRI data)</t>
  </si>
  <si>
    <t>Mean FA (fractional anisotropy) in splenium of corpus callosum on FA skeleton (from dMRI data)</t>
  </si>
  <si>
    <t>Mean FA (fractional anisotropy) in fornix on FA skeleton (from dMRI data)</t>
  </si>
  <si>
    <t>Mean FA (fractional anisotropy) in corticospinal tract (right) on FA skeleton (from dMRI data)</t>
  </si>
  <si>
    <t>Mean FA (fractional anisotropy) in corticospinal tract (left) on FA skeleton (from dMRI data)</t>
  </si>
  <si>
    <t>Mean FA (fractional anisotropy) in medial lemniscus (right) on FA skeleton (from dMRI data)</t>
  </si>
  <si>
    <t>Mean FA (fractional anisotropy) in medial lemniscus (left) on FA skeleton (from dMRI data)</t>
  </si>
  <si>
    <t>Mean FA (fractional anisotropy) in inferior cerebellar peduncle (right) on FA skeleton (from dMRI data)</t>
  </si>
  <si>
    <t>Mean FA (fractional anisotropy) in inferior cerebellar peduncle (left) on FA skeleton (from dMRI data)</t>
  </si>
  <si>
    <t>Mean FA (fractional anisotropy) in superior cerebellar peduncle (right) on FA skeleton (from dMRI data)</t>
  </si>
  <si>
    <t>Mean FA (fractional anisotropy) in superior cerebellar peduncle (left) on FA skeleton (from dMRI data)</t>
  </si>
  <si>
    <t>Mean FA (fractional anisotropy) in cerebral peduncle (right) on FA skeleton (from dMRI data)</t>
  </si>
  <si>
    <t>Mean FA (fractional anisotropy) in cerebral peduncle (left) on FA skeleton (from dMRI data)</t>
  </si>
  <si>
    <t>Mean FA (fractional anisotropy) in anterior limb of internal capsule (right) on FA skeleton (from dMRI data)</t>
  </si>
  <si>
    <t>Mean FA (fractional anisotropy) in anterior limb of internal capsule (left) on FA skeleton (from dMRI data)</t>
  </si>
  <si>
    <t>Mean FA (fractional anisotropy) in posterior limb of internal capsule (right) on FA skeleton (from dMRI data)</t>
  </si>
  <si>
    <t>Mean FA (fractional anisotropy) in posterior limb of internal capsule (left) on FA skeleton (from dMRI data)</t>
  </si>
  <si>
    <t>Mean FA (fractional anisotropy) in retrolenticular part of internal capsule (right) on FA skeleton (from dMRI data)</t>
  </si>
  <si>
    <t>Mean FA (fractional anisotropy) in retrolenticular part of internal capsule (left) on FA skeleton (from dMRI data)</t>
  </si>
  <si>
    <t>Mean FA (fractional anisotropy) in anterior corona radiata (right) on FA skeleton (from dMRI data)</t>
  </si>
  <si>
    <t>Mean FA (fractional anisotropy) in anterior corona radiata (left) on FA skeleton (from dMRI data)</t>
  </si>
  <si>
    <t>Mean FA (fractional anisotropy) in superior corona radiata (right) on FA skeleton (from dMRI data)</t>
  </si>
  <si>
    <t>Mean FA (fractional anisotropy) in superior corona radiata (left) on FA skeleton (from dMRI data)</t>
  </si>
  <si>
    <t>Mean FA (fractional anisotropy) in posterior corona radiata (right) on FA skeleton (from dMRI data)</t>
  </si>
  <si>
    <t>Mean FA (fractional anisotropy) in posterior corona radiata (left) on FA skeleton (from dMRI data)</t>
  </si>
  <si>
    <t>Mean FA (fractional anisotropy) in posterior thalamic radiation (right) on FA skeleton (from dMRI data)</t>
  </si>
  <si>
    <t>Mean FA (fractional anisotropy) in posterior thalamic radiation (left) on FA skeleton (from dMRI data)</t>
  </si>
  <si>
    <t>Mean FA (fractional anisotropy) in sagittal stratum (right) on FA skeleton (from dMRI data)</t>
  </si>
  <si>
    <t>Mean FA (fractional anisotropy) in sagittal stratum (left) on FA skeleton (from dMRI data)</t>
  </si>
  <si>
    <t>Mean FA (fractional anisotropy) in external capsule (right) on FA skeleton (from dMRI data)</t>
  </si>
  <si>
    <t>Mean FA (fractional anisotropy) in external capsule (left) on FA skeleton (from dMRI data)</t>
  </si>
  <si>
    <t>Mean FA (fractional anisotropy) in cingulum cingulate gyrus (right) on FA skeleton (from dMRI data)</t>
  </si>
  <si>
    <t>Mean FA (fractional anisotropy) in cingulum cingulate gyrus (left) on FA skeleton (from dMRI data)</t>
  </si>
  <si>
    <t>Mean FA (fractional anisotropy) in cingulum hippocampus (right) on FA skeleton (from dMRI data)</t>
  </si>
  <si>
    <t>Mean FA (fractional anisotropy) in cingulum hippocampus (left) on FA skeleton (from dMRI data)</t>
  </si>
  <si>
    <t>Mean FA (fractional anisotropy) in fornix cres+stria terminalis (right) on FA skeleton (from dMRI data)</t>
  </si>
  <si>
    <t>Mean FA (fractional anisotropy) in fornix cres+stria terminalis (left) on FA skeleton (from dMRI data)</t>
  </si>
  <si>
    <t>Mean FA (fractional anisotropy) in superior longitudinal fasciculus (right) on FA skeleton (from dMRI data)</t>
  </si>
  <si>
    <t>Mean FA (fractional anisotropy) in superior longitudinal fasciculus (left) on FA skeleton (from dMRI data)</t>
  </si>
  <si>
    <t>Mean FA (fractional anisotropy) in superior fronto-occipital fasciculus (right) on FA skeleton (from dMRI data)</t>
  </si>
  <si>
    <t>Mean FA (fractional anisotropy) in superior fronto-occipital fasciculus (left) on FA skeleton (from dMRI data)</t>
  </si>
  <si>
    <t>Mean FA (fractional anisotropy) in uncinate fasciculus (right) on FA skeleton (from dMRI data)</t>
  </si>
  <si>
    <t>Mean FA (fractional anisotropy) in uncinate fasciculus (left) on FA skeleton (from dMRI data)</t>
  </si>
  <si>
    <t>Mean FA (fractional anisotropy) in tapetum (right) on FA skeleton (from dMRI data)</t>
  </si>
  <si>
    <t>Mean FA (fractional anisotropy) in tapetum (left) on FA skeleton (from dMRI data)</t>
  </si>
  <si>
    <t>Weighted-mean FA (fractional anisotropy) in tract left acoustic radiation (from dMRI data)</t>
  </si>
  <si>
    <t>Weighted-mean FA (fractional anisotropy) in tract right acoustic radiation (from dMRI data)</t>
  </si>
  <si>
    <t>Weighted-mean FA (fractional anisotropy) in tract left anterior thalamic radiation (from dMRI data)</t>
  </si>
  <si>
    <t>Weighted-mean FA (fractional anisotropy) in tract right anterior thalamic radiation (from dMRI data)</t>
  </si>
  <si>
    <t>Weighted-mean FA (fractional anisotropy) in tract left cingulate gyrus part of cingulum (from dMRI data)</t>
  </si>
  <si>
    <t>Weighted-mean FA (fractional anisotropy) in tract right cingulate gyrus part of cingulum (from dMRI data)</t>
  </si>
  <si>
    <t>Weighted-mean FA (fractional anisotropy) in tract left parahippocampal part of cingulum (from dMRI data)</t>
  </si>
  <si>
    <t>Weighted-mean FA (fractional anisotropy) in tract right parahippocampal part of cingulum (from dMRI data)</t>
  </si>
  <si>
    <t>Weighted-mean FA (fractional anisotropy) in tract left corticospinal tract (from dMRI data)</t>
  </si>
  <si>
    <t>Weighted-mean FA (fractional anisotropy) in tract right corticospinal tract (from dMRI data)</t>
  </si>
  <si>
    <t>Weighted-mean FA (fractional anisotropy) in tract forceps major (from dMRI data)</t>
  </si>
  <si>
    <t>Weighted-mean FA (fractional anisotropy) in tract forceps minor (from dMRI data)</t>
  </si>
  <si>
    <t>Weighted-mean FA (fractional anisotropy) in tract left inferior fronto-occipital fasciculus (from dMRI data)</t>
  </si>
  <si>
    <t>Weighted-mean FA (fractional anisotropy) in tract right inferior fronto-occipital fasciculus (from dMRI data)</t>
  </si>
  <si>
    <t>Weighted-mean FA (fractional anisotropy) in tract left inferior longitudinal fasciculus (from dMRI data)</t>
  </si>
  <si>
    <t>Weighted-mean FA (fractional anisotropy) in tract right inferior longitudinal fasciculus (from dMRI data)</t>
  </si>
  <si>
    <t>Weighted-mean FA (fractional anisotropy) in tract middle cerebellar peduncle (from dMRI data)</t>
  </si>
  <si>
    <t>Weighted-mean FA (fractional anisotropy) in tract left medial lemniscus (from dMRI data)</t>
  </si>
  <si>
    <t>Weighted-mean FA (fractional anisotropy) in tract right medial lemniscus (from dMRI data)</t>
  </si>
  <si>
    <t>Weighted-mean FA (fractional anisotropy) in tract left posterior thalamic radiation (from dMRI data)</t>
  </si>
  <si>
    <t>Weighted-mean FA (fractional anisotropy) in tract right posterior thalamic radiation (from dMRI data)</t>
  </si>
  <si>
    <t>Weighted-mean FA (fractional anisotropy) in tract left superior longitudinal fasciculus (from dMRI data)</t>
  </si>
  <si>
    <t>Weighted-mean FA (fractional anisotropy) in tract right superior longitudinal fasciculus (from dMRI data)</t>
  </si>
  <si>
    <t>Weighted-mean FA (fractional anisotropy) in tract left superior thalamic radiation (from dMRI data)</t>
  </si>
  <si>
    <t>Weighted-mean FA (fractional anisotropy) in tract right superior thalamic radiation (from dMRI data)</t>
  </si>
  <si>
    <t>Weighted-mean FA (fractional anisotropy) in tract left uncinate fasciculus (from dMRI data)</t>
  </si>
  <si>
    <t>Weighted-mean FA (fractional anisotropy) in tract right uncinate fasciculus (from dMRI data)</t>
  </si>
  <si>
    <t>Mean MO (diffusion tensor mode) in middle cerebellar peduncle on FA (fractional anisotropy) skeleton (from dMRI data)</t>
  </si>
  <si>
    <t>Mean MO (diffusion tensor mode) in pontine crossing tract on FA (fractional anisotropy) skeleton (from dMRI data)</t>
  </si>
  <si>
    <t>Mean MO (diffusion tensor mode) in genu of corpus callosum on FA (fractional anisotropy) skeleton (from dMRI data)</t>
  </si>
  <si>
    <t>Mean MO (diffusion tensor mode) in body of corpus callosum on FA (fractional anisotropy) skeleton (from dMRI data)</t>
  </si>
  <si>
    <t>Mean MO (diffusion tensor mode) in splenium of corpus callosum on FA (fractional anisotropy) skeleton (from dMRI data)</t>
  </si>
  <si>
    <t>Mean MO (diffusion tensor mode) in fornix on FA (fractional anisotropy) skeleton (from dMRI data)</t>
  </si>
  <si>
    <t>Mean MO (diffusion tensor mode) in corticospinal tract (right) on FA (fractional anisotropy) skeleton (from dMRI data)</t>
  </si>
  <si>
    <t>Mean MO (diffusion tensor mode) in corticospinal tract (left) on FA (fractional anisotropy) skeleton (from dMRI data)</t>
  </si>
  <si>
    <t>Mean MO (diffusion tensor mode) in medial lemniscus (right) on FA (fractional anisotropy) skeleton (from dMRI data)</t>
  </si>
  <si>
    <t>Mean MO (diffusion tensor mode) in medial lemniscus (left) on FA (fractional anisotropy) skeleton (from dMRI data)</t>
  </si>
  <si>
    <t>Mean MO (diffusion tensor mode) in inferior cerebellar peduncle (right) on FA (fractional anisotropy) skeleton (from dMRI data)</t>
  </si>
  <si>
    <t>Mean MO (diffusion tensor mode) in inferior cerebellar peduncle (left) on FA (fractional anisotropy) skeleton (from dMRI data)</t>
  </si>
  <si>
    <t>Mean MO (diffusion tensor mode) in superior cerebellar peduncle (right) on FA (fractional anisotropy) skeleton (from dMRI data)</t>
  </si>
  <si>
    <t>Mean MO (diffusion tensor mode) in superior cerebellar peduncle (left) on FA (fractional anisotropy) skeleton (from dMRI data)</t>
  </si>
  <si>
    <t>Mean MO (diffusion tensor mode) in cerebral peduncle (right) on FA (fractional anisotropy) skeleton (from dMRI data)</t>
  </si>
  <si>
    <t>Mean MO (diffusion tensor mode) in cerebral peduncle (left) on FA (fractional anisotropy) skeleton (from dMRI data)</t>
  </si>
  <si>
    <t>Mean MO (diffusion tensor mode) in anterior limb of internal capsule (right) on FA (fractional anisotropy) skeleton (from dMRI data)</t>
  </si>
  <si>
    <t>Mean MO (diffusion tensor mode) in anterior limb of internal capsule (left) on FA (fractional anisotropy) skeleton (from dMRI data)</t>
  </si>
  <si>
    <t>Mean MO (diffusion tensor mode) in posterior limb of internal capsule (right) on FA (fractional anisotropy) skeleton (from dMRI data)</t>
  </si>
  <si>
    <t>Mean MO (diffusion tensor mode) in posterior limb of internal capsule (left) on FA (fractional anisotropy) skeleton (from dMRI data)</t>
  </si>
  <si>
    <t>Mean MO (diffusion tensor mode) in retrolenticular part of internal capsule (right) on FA (fractional anisotropy) skeleton (from dMRI data)</t>
  </si>
  <si>
    <t>Mean MO (diffusion tensor mode) in retrolenticular part of internal capsule (left) on FA (fractional anisotropy) skeleton (from dMRI data)</t>
  </si>
  <si>
    <t>Mean MO (diffusion tensor mode) in anterior corona radiata (right) on FA (fractional anisotropy) skeleton (from dMRI data)</t>
  </si>
  <si>
    <t>Mean MO (diffusion tensor mode) in anterior corona radiata (left) on FA (fractional anisotropy) skeleton (from dMRI data)</t>
  </si>
  <si>
    <t>Mean MO (diffusion tensor mode) in superior corona radiata (right) on FA (fractional anisotropy) skeleton (from dMRI data)</t>
  </si>
  <si>
    <t>Mean MO (diffusion tensor mode) in superior corona radiata (left) on FA (fractional anisotropy) skeleton (from dMRI data)</t>
  </si>
  <si>
    <t>Mean MO (diffusion tensor mode) in posterior corona radiata (right) on FA (fractional anisotropy) skeleton (from dMRI data)</t>
  </si>
  <si>
    <t>Mean MO (diffusion tensor mode) in posterior corona radiata (left) on FA (fractional anisotropy) skeleton (from dMRI data)</t>
  </si>
  <si>
    <t>Mean MO (diffusion tensor mode) in posterior thalamic radiation (right) on FA (fractional anisotropy) skeleton (from dMRI data)</t>
  </si>
  <si>
    <t>Mean MO (diffusion tensor mode) in posterior thalamic radiation (left) on FA (fractional anisotropy) skeleton (from dMRI data)</t>
  </si>
  <si>
    <t>Mean MO (diffusion tensor mode) in sagittal stratum (right) on FA (fractional anisotropy) skeleton (from dMRI data)</t>
  </si>
  <si>
    <t>Mean MO (diffusion tensor mode) in sagittal stratum (left) on FA (fractional anisotropy) skeleton (from dMRI data)</t>
  </si>
  <si>
    <t>Mean MO (diffusion tensor mode) in external capsule (right) on FA (fractional anisotropy) skeleton (from dMRI data)</t>
  </si>
  <si>
    <t>Mean MO (diffusion tensor mode) in external capsule (left) on FA (fractional anisotropy) skeleton (from dMRI data)</t>
  </si>
  <si>
    <t>Mean MO (diffusion tensor mode) in cingulum cingulate gyrus (right) on FA (fractional anisotropy) skeleton (from dMRI data)</t>
  </si>
  <si>
    <t>Mean MO (diffusion tensor mode) in cingulum cingulate gyrus (left) on FA (fractional anisotropy) skeleton (from dMRI data)</t>
  </si>
  <si>
    <t>Mean MO (diffusion tensor mode) in cingulum hippocampus (right) on FA (fractional anisotropy) skeleton (from dMRI data)</t>
  </si>
  <si>
    <t>Mean MO (diffusion tensor mode) in cingulum hippocampus (left) on FA (fractional anisotropy) skeleton (from dMRI data)</t>
  </si>
  <si>
    <t>Mean MO (diffusion tensor mode) in fornix cres+stria terminalis (right) on FA (fractional anisotropy) skeleton (from dMRI data)</t>
  </si>
  <si>
    <t>Mean MO (diffusion tensor mode) in fornix cres+stria terminalis (left) on FA (fractional anisotropy) skeleton (from dMRI data)</t>
  </si>
  <si>
    <t>Mean MO (diffusion tensor mode) in superior longitudinal fasciculus (right) on FA (fractional anisotropy) skeleton (from dMRI data)</t>
  </si>
  <si>
    <t>Mean MO (diffusion tensor mode) in superior longitudinal fasciculus (left) on FA (fractional anisotropy) skeleton (from dMRI data)</t>
  </si>
  <si>
    <t>Mean MO (diffusion tensor mode) in superior fronto-occipital fasciculus (right) on FA (fractional anisotropy) skeleton (from dMRI data)</t>
  </si>
  <si>
    <t>Mean MO (diffusion tensor mode) in superior fronto-occipital fasciculus (left) on FA (fractional anisotropy) skeleton (from dMRI data)</t>
  </si>
  <si>
    <t>Mean MO (diffusion tensor mode) in uncinate fasciculus (right) on FA (fractional anisotropy) skeleton (from dMRI data)</t>
  </si>
  <si>
    <t>Mean MO (diffusion tensor mode) in uncinate fasciculus (left) on FA (fractional anisotropy) skeleton (from dMRI data)</t>
  </si>
  <si>
    <t>Mean MO (diffusion tensor mode) in tapetum (right) on FA (fractional anisotropy) skeleton (from dMRI data)</t>
  </si>
  <si>
    <t>Mean MO (diffusion tensor mode) in tapetum (left) on FA (fractional anisotropy) skeleton (from dMRI data)</t>
  </si>
  <si>
    <t>Weighted-mean MO (diffusion tensor mode) in tract left acoustic radiation (from dMRI data)</t>
  </si>
  <si>
    <t>Weighted-mean MO (diffusion tensor mode) in tract right acoustic radiation (from dMRI data)</t>
  </si>
  <si>
    <t>Weighted-mean MO (diffusion tensor mode) in tract left anterior thalamic radiation (from dMRI data)</t>
  </si>
  <si>
    <t>Weighted-mean MO (diffusion tensor mode) in tract right anterior thalamic radiation (from dMRI data)</t>
  </si>
  <si>
    <t>Weighted-mean MO (diffusion tensor mode) in tract left cingulate gyrus part of cingulum (from dMRI data)</t>
  </si>
  <si>
    <t>Weighted-mean MO (diffusion tensor mode) in tract right cingulate gyrus part of cingulum (from dMRI data)</t>
  </si>
  <si>
    <t>Weighted-mean MO (diffusion tensor mode) in tract left parahippocampal part of cingulum (from dMRI data)</t>
  </si>
  <si>
    <t>Weighted-mean MO (diffusion tensor mode) in tract right parahippocampal part of cingulum (from dMRI data)</t>
  </si>
  <si>
    <t>Weighted-mean MO (diffusion tensor mode) in tract left corticospinal tract (from dMRI data)</t>
  </si>
  <si>
    <t>Weighted-mean MO (diffusion tensor mode) in tract right corticospinal tract (from dMRI data)</t>
  </si>
  <si>
    <t>Weighted-mean MO (diffusion tensor mode) in tract forceps major (from dMRI data)</t>
  </si>
  <si>
    <t>Weighted-mean MO (diffusion tensor mode) in tract forceps minor (from dMRI data)</t>
  </si>
  <si>
    <t>Weighted-mean MO (diffusion tensor mode) in tract left inferior fronto-occipital fasciculus (from dMRI data)</t>
  </si>
  <si>
    <t>Weighted-mean MO (diffusion tensor mode) in tract right inferior fronto-occipital fasciculus (from dMRI data)</t>
  </si>
  <si>
    <t>Weighted-mean MO (diffusion tensor mode) in tract left inferior longitudinal fasciculus (from dMRI data)</t>
  </si>
  <si>
    <t>Weighted-mean MO (diffusion tensor mode) in tract right inferior longitudinal fasciculus (from dMRI data)</t>
  </si>
  <si>
    <t>Weighted-mean MO (diffusion tensor mode) in tract middle cerebellar peduncle (from dMRI data)</t>
  </si>
  <si>
    <t>Weighted-mean MO (diffusion tensor mode) in tract left medial lemniscus (from dMRI data)</t>
  </si>
  <si>
    <t>Weighted-mean MO (diffusion tensor mode) in tract right medial lemniscus (from dMRI data)</t>
  </si>
  <si>
    <t>Weighted-mean MO (diffusion tensor mode) in tract left posterior thalamic radiation (from dMRI data)</t>
  </si>
  <si>
    <t>Weighted-mean MO (diffusion tensor mode) in tract right posterior thalamic radiation (from dMRI data)</t>
  </si>
  <si>
    <t>Weighted-mean MO (diffusion tensor mode) in tract left superior longitudinal fasciculus (from dMRI data)</t>
  </si>
  <si>
    <t>Weighted-mean MO (diffusion tensor mode) in tract right superior longitudinal fasciculus (from dMRI data)</t>
  </si>
  <si>
    <t>Weighted-mean MO (diffusion tensor mode) in tract left superior thalamic radiation (from dMRI data)</t>
  </si>
  <si>
    <t>Weighted-mean MO (diffusion tensor mode) in tract right superior thalamic radiation (from dMRI data)</t>
  </si>
  <si>
    <t>Weighted-mean MO (diffusion tensor mode) in tract left uncinate fasciculus (from dMRI data)</t>
  </si>
  <si>
    <t>Weighted-mean MO (diffusion tensor mode) in tract right uncinate fasciculus (from dMRI data)</t>
  </si>
  <si>
    <t>Mean MD (mean diffusivity) in middle cerebellar peduncle on FA (fractional anisotropy) skeleton (from dMRI data)</t>
  </si>
  <si>
    <t>Mean MD (mean diffusivity) in pontine crossing tract on FA (fractional anisotropy) skeleton (from dMRI data)</t>
  </si>
  <si>
    <t>Mean MD (mean diffusivity) in genu of corpus callosum on FA (fractional anisotropy) skeleton (from dMRI data)</t>
  </si>
  <si>
    <t>Mean MD (mean diffusivity) in body of corpus callosum on FA (fractional anisotropy) skeleton (from dMRI data)</t>
  </si>
  <si>
    <t>Mean MD (mean diffusivity) in splenium of corpus callosum on FA (fractional anisotropy) skeleton (from dMRI data)</t>
  </si>
  <si>
    <t>Mean MD (mean diffusivity) in fornix on FA (fractional anisotropy) skeleton (from dMRI data)</t>
  </si>
  <si>
    <t>Mean MD (mean diffusivity) in corticospinal tract (right) on FA (fractional anisotropy) skeleton (from dMRI data)</t>
  </si>
  <si>
    <t>Mean MD (mean diffusivity) in corticospinal tract (left) on FA (fractional anisotropy) skeleton (from dMRI data)</t>
  </si>
  <si>
    <t>Mean MD (mean diffusivity) in medial lemniscus (right) on FA (fractional anisotropy) skeleton (from dMRI data)</t>
  </si>
  <si>
    <t>Mean MD (mean diffusivity) in medial lemniscus (left) on FA (fractional anisotropy) skeleton (from dMRI data)</t>
  </si>
  <si>
    <t>Mean MD (mean diffusivity) in inferior cerebellar peduncle (right) on FA (fractional anisotropy) skeleton (from dMRI data)</t>
  </si>
  <si>
    <t>Mean MD (mean diffusivity) in inferior cerebellar peduncle (left) on FA (fractional anisotropy) skeleton (from dMRI data)</t>
  </si>
  <si>
    <t>Mean MD (mean diffusivity) in superior cerebellar peduncle (right) on FA (fractional anisotropy) skeleton (from dMRI data)</t>
  </si>
  <si>
    <t>Mean MD (mean diffusivity) in superior cerebellar peduncle (left) on FA (fractional anisotropy) skeleton (from dMRI data)</t>
  </si>
  <si>
    <t>Mean MD (mean diffusivity) in cerebral peduncle (right) on FA (fractional anisotropy) skeleton (from dMRI data)</t>
  </si>
  <si>
    <t>Mean MD (mean diffusivity) in cerebral peduncle (left) on FA (fractional anisotropy) skeleton (from dMRI data)</t>
  </si>
  <si>
    <t>Mean MD (mean diffusivity) in anterior limb of internal capsule (right) on FA (fractional anisotropy) skeleton (from dMRI data)</t>
  </si>
  <si>
    <t>Mean MD (mean diffusivity) in anterior limb of internal capsule (left) on FA (fractional anisotropy) skeleton (from dMRI data)</t>
  </si>
  <si>
    <t>Mean MD (mean diffusivity) in posterior limb of internal capsule (right) on FA (fractional anisotropy) skeleton (from dMRI data)</t>
  </si>
  <si>
    <t>Mean MD (mean diffusivity) in posterior limb of internal capsule (left) on FA (fractional anisotropy) skeleton (from dMRI data)</t>
  </si>
  <si>
    <t>Mean MD (mean diffusivity) in retrolenticular part of internal capsule (right) on FA (fractional anisotropy) skeleton (from dMRI data)</t>
  </si>
  <si>
    <t>Mean MD (mean diffusivity) in retrolenticular part of internal capsule (left) on FA (fractional anisotropy) skeleton (from dMRI data)</t>
  </si>
  <si>
    <t>Mean MD (mean diffusivity) in anterior corona radiata (right) on FA (fractional anisotropy) skeleton (from dMRI data)</t>
  </si>
  <si>
    <t>Mean MD (mean diffusivity) in anterior corona radiata (left) on FA (fractional anisotropy) skeleton (from dMRI data)</t>
  </si>
  <si>
    <t>Mean MD (mean diffusivity) in superior corona radiata (right) on FA (fractional anisotropy) skeleton (from dMRI data)</t>
  </si>
  <si>
    <t>Mean MD (mean diffusivity) in superior corona radiata (left) on FA (fractional anisotropy) skeleton (from dMRI data)</t>
  </si>
  <si>
    <t>Mean MD (mean diffusivity) in posterior corona radiata (right) on FA (fractional anisotropy) skeleton (from dMRI data)</t>
  </si>
  <si>
    <t>Mean MD (mean diffusivity) in posterior corona radiata (left) on FA (fractional anisotropy) skeleton (from dMRI data)</t>
  </si>
  <si>
    <t>Mean MD (mean diffusivity) in posterior thalamic radiation (right) on FA (fractional anisotropy) skeleton (from dMRI data)</t>
  </si>
  <si>
    <t>Mean MD (mean diffusivity) in posterior thalamic radiation (left) on FA (fractional anisotropy) skeleton (from dMRI data)</t>
  </si>
  <si>
    <t>Mean MD (mean diffusivity) in sagittal stratum (right) on FA (fractional anisotropy) skeleton (from dMRI data)</t>
  </si>
  <si>
    <t>Mean MD (mean diffusivity) in sagittal stratum (left) on FA (fractional anisotropy) skeleton (from dMRI data)</t>
  </si>
  <si>
    <t>Mean MD (mean diffusivity) in external capsule (right) on FA (fractional anisotropy) skeleton (from dMRI data)</t>
  </si>
  <si>
    <t>Mean MD (mean diffusivity) in external capsule (left) on FA (fractional anisotropy) skeleton (from dMRI data)</t>
  </si>
  <si>
    <t>Mean MD (mean diffusivity) in cingulum cingulate gyrus (right) on FA (fractional anisotropy) skeleton (from dMRI data)</t>
  </si>
  <si>
    <t>Mean MD (mean diffusivity) in cingulum cingulate gyrus (left) on FA (fractional anisotropy) skeleton (from dMRI data)</t>
  </si>
  <si>
    <t>Mean MD (mean diffusivity) in cingulum hippocampus (right) on FA (fractional anisotropy) skeleton (from dMRI data)</t>
  </si>
  <si>
    <t>Mean MD (mean diffusivity) in cingulum hippocampus (left) on FA (fractional anisotropy) skeleton (from dMRI data)</t>
  </si>
  <si>
    <t>Mean MD (mean diffusivity) in fornix cres+stria terminalis (right) on FA (fractional anisotropy) skeleton (from dMRI data)</t>
  </si>
  <si>
    <t>Mean MD (mean diffusivity) in fornix cres+stria terminalis (left) on FA (fractional anisotropy) skeleton (from dMRI data)</t>
  </si>
  <si>
    <t>Mean MD (mean diffusivity) in superior longitudinal fasciculus (right) on FA (fractional anisotropy) skeleton (from dMRI data)</t>
  </si>
  <si>
    <t>Mean MD (mean diffusivity) in superior longitudinal fasciculus (left) on FA (fractional anisotropy) skeleton (from dMRI data)</t>
  </si>
  <si>
    <t>Mean MD (mean diffusivity) in superior fronto-occipital fasciculus (right) on FA (fractional anisotropy) skeleton (from dMRI data)</t>
  </si>
  <si>
    <t>Mean MD (mean diffusivity) in superior fronto-occipital fasciculus (left) on FA (fractional anisotropy) skeleton (from dMRI data)</t>
  </si>
  <si>
    <t>Mean MD (mean diffusivity) in uncinate fasciculus (right) on FA (fractional anisotropy) skeleton (from dMRI data)</t>
  </si>
  <si>
    <t>Mean MD (mean diffusivity) in uncinate fasciculus (left) on FA (fractional anisotropy) skeleton (from dMRI data)</t>
  </si>
  <si>
    <t>Mean MD (mean diffusivity) in tapetum (right) on FA (fractional anisotropy) skeleton (from dMRI data)</t>
  </si>
  <si>
    <t>Mean MD (mean diffusivity) in tapetum (left) on FA (fractional anisotropy) skeleton (from dMRI data)</t>
  </si>
  <si>
    <t>Mean L1 in middle cerebellar peduncle on FA (fractional anisotropy) skeleton (from dMRI data)</t>
  </si>
  <si>
    <t>Mean L1 in pontine crossing tract on FA (fractional anisotropy) skeleton (from dMRI data)</t>
  </si>
  <si>
    <t>Mean L1 in genu of corpus callosum on FA (fractional anisotropy) skeleton (from dMRI data)</t>
  </si>
  <si>
    <t>Mean L1 in body of corpus callosum on FA (fractional anisotropy) skeleton (from dMRI data)</t>
  </si>
  <si>
    <t>Mean L1 in splenium of corpus callosum on FA (fractional anisotropy) skeleton (from dMRI data)</t>
  </si>
  <si>
    <t>Mean L1 in fornix on FA (fractional anisotropy) skeleton (from dMRI data)</t>
  </si>
  <si>
    <t>Mean L1 in corticospinal tract (right) on FA (fractional anisotropy) skeleton (from dMRI data)</t>
  </si>
  <si>
    <t>Mean L1 in corticospinal tract (left) on FA (fractional anisotropy) skeleton (from dMRI data)</t>
  </si>
  <si>
    <t>Mean L1 in medial lemniscus (right) on FA (fractional anisotropy) skeleton (from dMRI data)</t>
  </si>
  <si>
    <t>Mean L1 in medial lemniscus (left) on FA (fractional anisotropy) skeleton (from dMRI data)</t>
  </si>
  <si>
    <t>Mean L1 in inferior cerebellar peduncle (right) on FA (fractional anisotropy) skeleton (from dMRI data)</t>
  </si>
  <si>
    <t>Mean L1 in inferior cerebellar peduncle (left) on FA (fractional anisotropy) skeleton (from dMRI data)</t>
  </si>
  <si>
    <t>Mean L1 in superior cerebellar peduncle (right) on FA (fractional anisotropy) skeleton (from dMRI data)</t>
  </si>
  <si>
    <t>Mean L1 in superior cerebellar peduncle (left) on FA (fractional anisotropy) skeleton (from dMRI data)</t>
  </si>
  <si>
    <t>Mean L1 in cerebral peduncle (right) on FA (fractional anisotropy) skeleton (from dMRI data)</t>
  </si>
  <si>
    <t>Mean L1 in cerebral peduncle (left) on FA (fractional anisotropy) skeleton (from dMRI data)</t>
  </si>
  <si>
    <t>Mean L1 in anterior limb of internal capsule (right) on FA (fractional anisotropy) skeleton (from dMRI data)</t>
  </si>
  <si>
    <t>Mean L1 in anterior limb of internal capsule (left) on FA (fractional anisotropy) skeleton (from dMRI data)</t>
  </si>
  <si>
    <t>Mean L1 in posterior limb of internal capsule (right) on FA (fractional anisotropy) skeleton (from dMRI data)</t>
  </si>
  <si>
    <t>Mean L1 in posterior limb of internal capsule (left) on FA (fractional anisotropy) skeleton (from dMRI data)</t>
  </si>
  <si>
    <t>Mean L1 in retrolenticular part of internal capsule (right) on FA (fractional anisotropy) skeleton (from dMRI data)</t>
  </si>
  <si>
    <t>Mean L1 in retrolenticular part of internal capsule (left) on FA (fractional anisotropy) skeleton (from dMRI data)</t>
  </si>
  <si>
    <t>Mean L1 in anterior corona radiata (right) on FA (fractional anisotropy) skeleton (from dMRI data)</t>
  </si>
  <si>
    <t>Mean L1 in anterior corona radiata (left) on FA (fractional anisotropy) skeleton (from dMRI data)</t>
  </si>
  <si>
    <t>Mean L1 in superior corona radiata (right) on FA (fractional anisotropy) skeleton (from dMRI data)</t>
  </si>
  <si>
    <t>Mean L1 in superior corona radiata (left) on FA (fractional anisotropy) skeleton (from dMRI data)</t>
  </si>
  <si>
    <t>Mean L1 in posterior corona radiata (right) on FA (fractional anisotropy) skeleton (from dMRI data)</t>
  </si>
  <si>
    <t>Mean L1 in posterior corona radiata (left) on FA (fractional anisotropy) skeleton (from dMRI data)</t>
  </si>
  <si>
    <t>Mean L1 in posterior thalamic radiation (right) on FA (fractional anisotropy) skeleton (from dMRI data)</t>
  </si>
  <si>
    <t>Mean L1 in posterior thalamic radiation (left) on FA (fractional anisotropy) skeleton (from dMRI data)</t>
  </si>
  <si>
    <t>Mean L1 in sagittal stratum (right) on FA (fractional anisotropy) skeleton (from dMRI data)</t>
  </si>
  <si>
    <t>Mean L1 in sagittal stratum (left) on FA (fractional anisotropy) skeleton (from dMRI data)</t>
  </si>
  <si>
    <t>Mean L1 in external capsule (right) on FA (fractional anisotropy) skeleton (from dMRI data)</t>
  </si>
  <si>
    <t>Mean L1 in external capsule (left) on FA (fractional anisotropy) skeleton (from dMRI data)</t>
  </si>
  <si>
    <t>Mean L1 in cingulum cingulate gyrus (right) on FA (fractional anisotropy) skeleton (from dMRI data)</t>
  </si>
  <si>
    <t>Mean L1 in cingulum cingulate gyrus (left) on FA (fractional anisotropy) skeleton (from dMRI data)</t>
  </si>
  <si>
    <t>Mean L1 in cingulum hippocampus (right) on FA (fractional anisotropy) skeleton (from dMRI data)</t>
  </si>
  <si>
    <t>Mean L1 in cingulum hippocampus (left) on FA (fractional anisotropy) skeleton (from dMRI data)</t>
  </si>
  <si>
    <t>Mean L1 in fornix cres+stria terminalis (right) on FA (fractional anisotropy) skeleton (from dMRI data)</t>
  </si>
  <si>
    <t>Mean L1 in fornix cres+stria terminalis (left) on FA (fractional anisotropy) skeleton (from dMRI data)</t>
  </si>
  <si>
    <t>Mean L1 in superior longitudinal fasciculus (right) on FA (fractional anisotropy) skeleton (from dMRI data)</t>
  </si>
  <si>
    <t>Mean L1 in superior longitudinal fasciculus (left) on FA (fractional anisotropy) skeleton (from dMRI data)</t>
  </si>
  <si>
    <t>Mean L1 in superior fronto-occipital fasciculus (right) on FA (fractional anisotropy) skeleton (from dMRI data)</t>
  </si>
  <si>
    <t>Mean L1 in superior fronto-occipital fasciculus (left) on FA (fractional anisotropy) skeleton (from dMRI data)</t>
  </si>
  <si>
    <t>Mean L1 in uncinate fasciculus (right) on FA (fractional anisotropy) skeleton (from dMRI data)</t>
  </si>
  <si>
    <t>Mean L1 in uncinate fasciculus (left) on FA (fractional anisotropy) skeleton (from dMRI data)</t>
  </si>
  <si>
    <t>Mean L1 in tapetum (right) on FA (fractional anisotropy) skeleton (from dMRI data)</t>
  </si>
  <si>
    <t>Mean L1 in tapetum (left) on FA (fractional anisotropy) skeleton (from dMRI data)</t>
  </si>
  <si>
    <t>Mean L2 in middle cerebellar peduncle on FA (fractional anisotropy) skeleton (from dMRI data)</t>
  </si>
  <si>
    <t>Mean L2 in pontine crossing tract on FA (fractional anisotropy) skeleton (from dMRI data)</t>
  </si>
  <si>
    <t>Mean L2 in genu of corpus callosum on FA (fractional anisotropy) skeleton (from dMRI data)</t>
  </si>
  <si>
    <t>Mean L2 in body of corpus callosum on FA (fractional anisotropy) skeleton (from dMRI data)</t>
  </si>
  <si>
    <t>Mean L2 in splenium of corpus callosum on FA (fractional anisotropy) skeleton (from dMRI data)</t>
  </si>
  <si>
    <t>Mean L2 in fornix on FA (fractional anisotropy) skeleton (from dMRI data)</t>
  </si>
  <si>
    <t>Mean L2 in corticospinal tract (right) on FA (fractional anisotropy) skeleton (from dMRI data)</t>
  </si>
  <si>
    <t>Mean L2 in corticospinal tract (left) on FA (fractional anisotropy) skeleton (from dMRI data)</t>
  </si>
  <si>
    <t>Mean L2 in medial lemniscus (right) on FA (fractional anisotropy) skeleton (from dMRI data)</t>
  </si>
  <si>
    <t>Mean L2 in medial lemniscus (left) on FA (fractional anisotropy) skeleton (from dMRI data)</t>
  </si>
  <si>
    <t>Mean L2 in inferior cerebellar peduncle (right) on FA (fractional anisotropy) skeleton (from dMRI data)</t>
  </si>
  <si>
    <t>Mean L2 in inferior cerebellar peduncle (left) on FA (fractional anisotropy) skeleton (from dMRI data)</t>
  </si>
  <si>
    <t>Mean L2 in superior cerebellar peduncle (right) on FA (fractional anisotropy) skeleton (from dMRI data)</t>
  </si>
  <si>
    <t>Mean L2 in superior cerebellar peduncle (left) on FA (fractional anisotropy) skeleton (from dMRI data)</t>
  </si>
  <si>
    <t>Mean L2 in cerebral peduncle (right) on FA (fractional anisotropy) skeleton (from dMRI data)</t>
  </si>
  <si>
    <t>Mean L2 in cerebral peduncle (left) on FA (fractional anisotropy) skeleton (from dMRI data)</t>
  </si>
  <si>
    <t>Mean L2 in anterior limb of internal capsule (right) on FA (fractional anisotropy) skeleton (from dMRI data)</t>
  </si>
  <si>
    <t>Mean L2 in anterior limb of internal capsule (left) on FA (fractional anisotropy) skeleton (from dMRI data)</t>
  </si>
  <si>
    <t>Mean L2 in posterior limb of internal capsule (right) on FA (fractional anisotropy) skeleton (from dMRI data)</t>
  </si>
  <si>
    <t>Mean L2 in posterior limb of internal capsule (left) on FA (fractional anisotropy) skeleton (from dMRI data)</t>
  </si>
  <si>
    <t>Mean L2 in retrolenticular part of internal capsule (right) on FA (fractional anisotropy) skeleton (from dMRI data)</t>
  </si>
  <si>
    <t>Mean L2 in retrolenticular part of internal capsule (left) on FA (fractional anisotropy) skeleton (from dMRI data)</t>
  </si>
  <si>
    <t>Mean L2 in anterior corona radiata (right) on FA (fractional anisotropy) skeleton (from dMRI data)</t>
  </si>
  <si>
    <t>Mean L2 in anterior corona radiata (left) on FA (fractional anisotropy) skeleton (from dMRI data)</t>
  </si>
  <si>
    <t>Mean L2 in superior corona radiata (right) on FA (fractional anisotropy) skeleton (from dMRI data)</t>
  </si>
  <si>
    <t>Mean L2 in superior corona radiata (left) on FA (fractional anisotropy) skeleton (from dMRI data)</t>
  </si>
  <si>
    <t>Mean L2 in posterior corona radiata (right) on FA (fractional anisotropy) skeleton (from dMRI data)</t>
  </si>
  <si>
    <t>Mean L2 in posterior corona radiata (left) on FA (fractional anisotropy) skeleton (from dMRI data)</t>
  </si>
  <si>
    <t>Mean L2 in posterior thalamic radiation (right) on FA (fractional anisotropy) skeleton (from dMRI data)</t>
  </si>
  <si>
    <t>Mean L2 in posterior thalamic radiation (left) on FA (fractional anisotropy) skeleton (from dMRI data)</t>
  </si>
  <si>
    <t>Mean L2 in sagittal stratum (right) on FA (fractional anisotropy) skeleton (from dMRI data)</t>
  </si>
  <si>
    <t>Mean L2 in sagittal stratum (left) on FA (fractional anisotropy) skeleton (from dMRI data)</t>
  </si>
  <si>
    <t>Mean L2 in external capsule (right) on FA (fractional anisotropy) skeleton (from dMRI data)</t>
  </si>
  <si>
    <t>Mean L2 in external capsule (left) on FA (fractional anisotropy) skeleton (from dMRI data)</t>
  </si>
  <si>
    <t>Mean L2 in cingulum cingulate gyrus (right) on FA (fractional anisotropy) skeleton (from dMRI data)</t>
  </si>
  <si>
    <t>Mean L2 in cingulum cingulate gyrus (left) on FA (fractional anisotropy) skeleton (from dMRI data)</t>
  </si>
  <si>
    <t>Mean L2 in cingulum hippocampus (right) on FA (fractional anisotropy) skeleton (from dMRI data)</t>
  </si>
  <si>
    <t>Mean L2 in cingulum hippocampus (left) on FA (fractional anisotropy) skeleton (from dMRI data)</t>
  </si>
  <si>
    <t>Mean L2 in fornix cres+stria terminalis (right) on FA (fractional anisotropy) skeleton (from dMRI data)</t>
  </si>
  <si>
    <t>Mean L2 in fornix cres+stria terminalis (left) on FA (fractional anisotropy) skeleton (from dMRI data)</t>
  </si>
  <si>
    <t>Mean L2 in superior longitudinal fasciculus (right) on FA (fractional anisotropy) skeleton (from dMRI data)</t>
  </si>
  <si>
    <t>Mean L2 in superior longitudinal fasciculus (left) on FA (fractional anisotropy) skeleton (from dMRI data)</t>
  </si>
  <si>
    <t>Mean L2 in superior fronto-occipital fasciculus (right) on FA (fractional anisotropy) skeleton (from dMRI data)</t>
  </si>
  <si>
    <t>Mean L2 in superior fronto-occipital fasciculus (left) on FA (fractional anisotropy) skeleton (from dMRI data)</t>
  </si>
  <si>
    <t>Mean L2 in uncinate fasciculus (right) on FA (fractional anisotropy) skeleton (from dMRI data)</t>
  </si>
  <si>
    <t>Mean L2 in uncinate fasciculus (left) on FA (fractional anisotropy) skeleton (from dMRI data)</t>
  </si>
  <si>
    <t>Mean L2 in tapetum (right) on FA (fractional anisotropy) skeleton (from dMRI data)</t>
  </si>
  <si>
    <t>Mean L2 in tapetum (left) on FA (fractional anisotropy) skeleton (from dMRI data)</t>
  </si>
  <si>
    <t>Mean L3 in middle cerebellar peduncle on FA (fractional anisotropy) skeleton (from dMRI data)</t>
  </si>
  <si>
    <t>Mean L3 in pontine crossing tract on FA (fractional anisotropy) skeleton (from dMRI data)</t>
  </si>
  <si>
    <t>Mean L3 in genu of corpus callosum on FA (fractional anisotropy) skeleton (from dMRI data)</t>
  </si>
  <si>
    <t>Mean L3 in body of corpus callosum on FA (fractional anisotropy) skeleton (from dMRI data)</t>
  </si>
  <si>
    <t>Mean L3 in splenium of corpus callosum on FA (fractional anisotropy) skeleton (from dMRI data)</t>
  </si>
  <si>
    <t>Mean L3 in fornix on FA (fractional anisotropy) skeleton (from dMRI data)</t>
  </si>
  <si>
    <t>Mean L3 in corticospinal tract (right) on FA (fractional anisotropy) skeleton (from dMRI data)</t>
  </si>
  <si>
    <t>Mean L3 in corticospinal tract (left) on FA (fractional anisotropy) skeleton (from dMRI data)</t>
  </si>
  <si>
    <t>Mean L3 in medial lemniscus (right) on FA (fractional anisotropy) skeleton (from dMRI data)</t>
  </si>
  <si>
    <t>Mean L3 in medial lemniscus (left) on FA (fractional anisotropy) skeleton (from dMRI data)</t>
  </si>
  <si>
    <t>Mean L3 in inferior cerebellar peduncle (right) on FA (fractional anisotropy) skeleton (from dMRI data)</t>
  </si>
  <si>
    <t>Mean L3 in inferior cerebellar peduncle (left) on FA (fractional anisotropy) skeleton (from dMRI data)</t>
  </si>
  <si>
    <t>Mean L3 in superior cerebellar peduncle (right) on FA (fractional anisotropy) skeleton (from dMRI data)</t>
  </si>
  <si>
    <t>Mean L3 in superior cerebellar peduncle (left) on FA (fractional anisotropy) skeleton (from dMRI data)</t>
  </si>
  <si>
    <t>Mean L3 in cerebral peduncle (right) on FA (fractional anisotropy) skeleton (from dMRI data)</t>
  </si>
  <si>
    <t>Mean L3 in cerebral peduncle (left) on FA (fractional anisotropy) skeleton (from dMRI data)</t>
  </si>
  <si>
    <t>Mean L3 in anterior limb of internal capsule (right) on FA (fractional anisotropy) skeleton (from dMRI data)</t>
  </si>
  <si>
    <t>Mean L3 in anterior limb of internal capsule (left) on FA (fractional anisotropy) skeleton (from dMRI data)</t>
  </si>
  <si>
    <t>Mean L3 in posterior limb of internal capsule (right) on FA (fractional anisotropy) skeleton (from dMRI data)</t>
  </si>
  <si>
    <t>Mean L3 in posterior limb of internal capsule (left) on FA (fractional anisotropy) skeleton (from dMRI data)</t>
  </si>
  <si>
    <t>Mean L3 in retrolenticular part of internal capsule (right) on FA (fractional anisotropy) skeleton (from dMRI data)</t>
  </si>
  <si>
    <t>Mean L3 in retrolenticular part of internal capsule (left) on FA (fractional anisotropy) skeleton (from dMRI data)</t>
  </si>
  <si>
    <t>Mean L3 in anterior corona radiata (right) on FA (fractional anisotropy) skeleton (from dMRI data)</t>
  </si>
  <si>
    <t>Mean L3 in anterior corona radiata (left) on FA (fractional anisotropy) skeleton (from dMRI data)</t>
  </si>
  <si>
    <t>Mean L3 in superior corona radiata (right) on FA (fractional anisotropy) skeleton (from dMRI data)</t>
  </si>
  <si>
    <t>Mean L3 in superior corona radiata (left) on FA (fractional anisotropy) skeleton (from dMRI data)</t>
  </si>
  <si>
    <t>Mean L3 in posterior corona radiata (right) on FA (fractional anisotropy) skeleton (from dMRI data)</t>
  </si>
  <si>
    <t>Mean L3 in posterior corona radiata (left) on FA (fractional anisotropy) skeleton (from dMRI data)</t>
  </si>
  <si>
    <t>Mean L3 in posterior thalamic radiation (right) on FA (fractional anisotropy) skeleton (from dMRI data)</t>
  </si>
  <si>
    <t>Mean L3 in posterior thalamic radiation (left) on FA (fractional anisotropy) skeleton (from dMRI data)</t>
  </si>
  <si>
    <t>Mean L3 in sagittal stratum (right) on FA (fractional anisotropy) skeleton (from dMRI data)</t>
  </si>
  <si>
    <t>Mean L3 in sagittal stratum (left) on FA (fractional anisotropy) skeleton (from dMRI data)</t>
  </si>
  <si>
    <t>Mean L3 in external capsule (right) on FA (fractional anisotropy) skeleton (from dMRI data)</t>
  </si>
  <si>
    <t>Mean L3 in external capsule (left) on FA (fractional anisotropy) skeleton (from dMRI data)</t>
  </si>
  <si>
    <t>Mean L3 in cingulum cingulate gyrus (right) on FA (fractional anisotropy) skeleton (from dMRI data)</t>
  </si>
  <si>
    <t>Mean L3 in cingulum cingulate gyrus (left) on FA (fractional anisotropy) skeleton (from dMRI data)</t>
  </si>
  <si>
    <t>Mean L3 in cingulum hippocampus (right) on FA (fractional anisotropy) skeleton (from dMRI data)</t>
  </si>
  <si>
    <t>Mean L3 in cingulum hippocampus (left) on FA (fractional anisotropy) skeleton (from dMRI data)</t>
  </si>
  <si>
    <t>Mean L3 in fornix cres+stria terminalis (right) on FA (fractional anisotropy) skeleton (from dMRI data)</t>
  </si>
  <si>
    <t>Mean L3 in fornix cres+stria terminalis (left) on FA (fractional anisotropy) skeleton (from dMRI data)</t>
  </si>
  <si>
    <t>Mean L3 in superior longitudinal fasciculus (right) on FA (fractional anisotropy) skeleton (from dMRI data)</t>
  </si>
  <si>
    <t>Mean L3 in superior longitudinal fasciculus (left) on FA (fractional anisotropy) skeleton (from dMRI data)</t>
  </si>
  <si>
    <t>Mean L3 in superior fronto-occipital fasciculus (right) on FA (fractional anisotropy) skeleton (from dMRI data)</t>
  </si>
  <si>
    <t>Mean L3 in superior fronto-occipital fasciculus (left) on FA (fractional anisotropy) skeleton (from dMRI data)</t>
  </si>
  <si>
    <t>Mean L3 in uncinate fasciculus (right) on FA (fractional anisotropy) skeleton (from dMRI data)</t>
  </si>
  <si>
    <t>Mean L3 in uncinate fasciculus (left) on FA (fractional anisotropy) skeleton (from dMRI data)</t>
  </si>
  <si>
    <t>Mean L3 in tapetum (right) on FA (fractional anisotropy) skeleton (from dMRI data)</t>
  </si>
  <si>
    <t>Mean L3 in tapetum (left) on FA (fractional anisotropy) skeleton (from dMRI data)</t>
  </si>
  <si>
    <t>Weighted-mean MD (mean diffusivity) in tract left acoustic radiation (from dMRI data)</t>
  </si>
  <si>
    <t>Weighted-mean MD (mean diffusivity) in tract right acoustic radiation (from dMRI data)</t>
  </si>
  <si>
    <t>Weighted-mean MD (mean diffusivity) in tract left anterior thalamic radiation (from dMRI data)</t>
  </si>
  <si>
    <t>Weighted-mean MD (mean diffusivity) in tract right anterior thalamic radiation (from dMRI data)</t>
  </si>
  <si>
    <t>Weighted-mean MD (mean diffusivity) in tract left cingulate gyrus part of cingulum (from dMRI data)</t>
  </si>
  <si>
    <t>Weighted-mean MD (mean diffusivity) in tract right cingulate gyrus part of cingulum (from dMRI data)</t>
  </si>
  <si>
    <t>Weighted-mean MD (mean diffusivity) in tract left parahippocampal part of cingulum (from dMRI data)</t>
  </si>
  <si>
    <t>Weighted-mean MD (mean diffusivity) in tract right parahippocampal part of cingulum (from dMRI data)</t>
  </si>
  <si>
    <t>Weighted-mean MD (mean diffusivity) in tract left corticospinal tract (from dMRI data)</t>
  </si>
  <si>
    <t>Weighted-mean MD (mean diffusivity) in tract right corticospinal tract (from dMRI data)</t>
  </si>
  <si>
    <t>Weighted-mean MD (mean diffusivity) in tract forceps major (from dMRI data)</t>
  </si>
  <si>
    <t>Weighted-mean MD (mean diffusivity) in tract forceps minor (from dMRI data)</t>
  </si>
  <si>
    <t>Weighted-mean MD (mean diffusivity) in tract left inferior fronto-occipital fasciculus (from dMRI data)</t>
  </si>
  <si>
    <t>Weighted-mean MD (mean diffusivity) in tract right inferior fronto-occipital fasciculus (from dMRI data)</t>
  </si>
  <si>
    <t>Weighted-mean MD (mean diffusivity) in tract left inferior longitudinal fasciculus (from dMRI data)</t>
  </si>
  <si>
    <t>Weighted-mean MD (mean diffusivity) in tract right inferior longitudinal fasciculus (from dMRI data)</t>
  </si>
  <si>
    <t>Weighted-mean MD (mean diffusivity) in tract middle cerebellar peduncle (from dMRI data)</t>
  </si>
  <si>
    <t>Weighted-mean MD (mean diffusivity) in tract left medial lemniscus (from dMRI data)</t>
  </si>
  <si>
    <t>Weighted-mean MD (mean diffusivity) in tract right medial lemniscus (from dMRI data)</t>
  </si>
  <si>
    <t>Weighted-mean MD (mean diffusivity) in tract left posterior thalamic radiation (from dMRI data)</t>
  </si>
  <si>
    <t>Weighted-mean MD (mean diffusivity) in tract right posterior thalamic radiation (from dMRI data)</t>
  </si>
  <si>
    <t>Weighted-mean MD (mean diffusivity) in tract left superior longitudinal fasciculus (from dMRI data)</t>
  </si>
  <si>
    <t>Weighted-mean MD (mean diffusivity) in tract right superior longitudinal fasciculus (from dMRI data)</t>
  </si>
  <si>
    <t>Weighted-mean MD (mean diffusivity) in tract left superior thalamic radiation (from dMRI data)</t>
  </si>
  <si>
    <t>Weighted-mean MD (mean diffusivity) in tract right superior thalamic radiation (from dMRI data)</t>
  </si>
  <si>
    <t>Weighted-mean MD (mean diffusivity) in tract left uncinate fasciculus (from dMRI data)</t>
  </si>
  <si>
    <t>Weighted-mean MD (mean diffusivity) in tract right uncinate fasciculus (from dMRI data)</t>
  </si>
  <si>
    <t>Weighted-mean L1 in tract left acoustic radiation (from dMRI data)</t>
  </si>
  <si>
    <t>Weighted-mean L1 in tract right acoustic radiation (from dMRI data)</t>
  </si>
  <si>
    <t>Weighted-mean L1 in tract left anterior thalamic radiation (from dMRI data)</t>
  </si>
  <si>
    <t>Weighted-mean L1 in tract right anterior thalamic radiation (from dMRI data)</t>
  </si>
  <si>
    <t>Weighted-mean L1 in tract left cingulate gyrus part of cingulum (from dMRI data)</t>
  </si>
  <si>
    <t>Weighted-mean L1 in tract right cingulate gyrus part of cingulum (from dMRI data)</t>
  </si>
  <si>
    <t>Weighted-mean L1 in tract left parahippocampal part of cingulum (from dMRI data)</t>
  </si>
  <si>
    <t>Weighted-mean L1 in tract right parahippocampal part of cingulum (from dMRI data)</t>
  </si>
  <si>
    <t>Weighted-mean L1 in tract left corticospinal tract (from dMRI data)</t>
  </si>
  <si>
    <t>Weighted-mean L1 in tract right corticospinal tract (from dMRI data)</t>
  </si>
  <si>
    <t>Weighted-mean L1 in tract forceps major (from dMRI data)</t>
  </si>
  <si>
    <t>Weighted-mean L1 in tract forceps minor (from dMRI data)</t>
  </si>
  <si>
    <t>Weighted-mean L1 in tract left inferior fronto-occipital fasciculus (from dMRI data)</t>
  </si>
  <si>
    <t>Weighted-mean L1 in tract right inferior fronto-occipital fasciculus (from dMRI data)</t>
  </si>
  <si>
    <t>Weighted-mean L1 in tract left inferior longitudinal fasciculus (from dMRI data)</t>
  </si>
  <si>
    <t>Weighted-mean L1 in tract right inferior longitudinal fasciculus (from dMRI data)</t>
  </si>
  <si>
    <t>Weighted-mean L1 in tract middle cerebellar peduncle (from dMRI data)</t>
  </si>
  <si>
    <t>Weighted-mean L1 in tract left medial lemniscus (from dMRI data)</t>
  </si>
  <si>
    <t>Weighted-mean L1 in tract right medial lemniscus (from dMRI data)</t>
  </si>
  <si>
    <t>Weighted-mean L1 in tract left posterior thalamic radiation (from dMRI data)</t>
  </si>
  <si>
    <t>Weighted-mean L1 in tract right posterior thalamic radiation (from dMRI data)</t>
  </si>
  <si>
    <t>Weighted-mean L1 in tract left superior longitudinal fasciculus (from dMRI data)</t>
  </si>
  <si>
    <t>Weighted-mean L1 in tract right superior longitudinal fasciculus (from dMRI data)</t>
  </si>
  <si>
    <t>Weighted-mean L1 in tract left superior thalamic radiation (from dMRI data)</t>
  </si>
  <si>
    <t>Weighted-mean L1 in tract right superior thalamic radiation (from dMRI data)</t>
  </si>
  <si>
    <t>Weighted-mean L1 in tract left uncinate fasciculus (from dMRI data)</t>
  </si>
  <si>
    <t>Weighted-mean L1 in tract right uncinate fasciculus (from dMRI data)</t>
  </si>
  <si>
    <t>Weighted-mean L2 in tract left acoustic radiation (from dMRI data)</t>
  </si>
  <si>
    <t>Weighted-mean L2 in tract right acoustic radiation (from dMRI data)</t>
  </si>
  <si>
    <t>Weighted-mean L2 in tract left anterior thalamic radiation (from dMRI data)</t>
  </si>
  <si>
    <t>Weighted-mean L2 in tract right anterior thalamic radiation (from dMRI data)</t>
  </si>
  <si>
    <t>Weighted-mean L2 in tract left cingulate gyrus part of cingulum (from dMRI data)</t>
  </si>
  <si>
    <t>Weighted-mean L2 in tract right cingulate gyrus part of cingulum (from dMRI data)</t>
  </si>
  <si>
    <t>Weighted-mean L2 in tract left parahippocampal part of cingulum (from dMRI data)</t>
  </si>
  <si>
    <t>Weighted-mean L2 in tract right parahippocampal part of cingulum (from dMRI data)</t>
  </si>
  <si>
    <t>Weighted-mean L2 in tract left corticospinal tract (from dMRI data)</t>
  </si>
  <si>
    <t>Weighted-mean L2 in tract right corticospinal tract (from dMRI data)</t>
  </si>
  <si>
    <t>Weighted-mean L2 in tract forceps major (from dMRI data)</t>
  </si>
  <si>
    <t>Weighted-mean L2 in tract forceps minor (from dMRI data)</t>
  </si>
  <si>
    <t>Weighted-mean L2 in tract left inferior fronto-occipital fasciculus (from dMRI data)</t>
  </si>
  <si>
    <t>Weighted-mean L2 in tract right inferior fronto-occipital fasciculus (from dMRI data)</t>
  </si>
  <si>
    <t>Weighted-mean L2 in tract left inferior longitudinal fasciculus (from dMRI data)</t>
  </si>
  <si>
    <t>Weighted-mean L2 in tract right inferior longitudinal fasciculus (from dMRI data)</t>
  </si>
  <si>
    <t>Weighted-mean L2 in tract middle cerebellar peduncle (from dMRI data)</t>
  </si>
  <si>
    <t>Weighted-mean L2 in tract left medial lemniscus (from dMRI data)</t>
  </si>
  <si>
    <t>Weighted-mean L2 in tract right medial lemniscus (from dMRI data)</t>
  </si>
  <si>
    <t>Weighted-mean L2 in tract left posterior thalamic radiation (from dMRI data)</t>
  </si>
  <si>
    <t>Weighted-mean L2 in tract right posterior thalamic radiation (from dMRI data)</t>
  </si>
  <si>
    <t>Weighted-mean L2 in tract left superior longitudinal fasciculus (from dMRI data)</t>
  </si>
  <si>
    <t>Weighted-mean L2 in tract right superior longitudinal fasciculus (from dMRI data)</t>
  </si>
  <si>
    <t>Weighted-mean L2 in tract left superior thalamic radiation (from dMRI data)</t>
  </si>
  <si>
    <t>Weighted-mean L2 in tract right superior thalamic radiation (from dMRI data)</t>
  </si>
  <si>
    <t>Weighted-mean L2 in tract left uncinate fasciculus (from dMRI data)</t>
  </si>
  <si>
    <t>Weighted-mean L2 in tract right uncinate fasciculus (from dMRI data)</t>
  </si>
  <si>
    <t>Weighted-mean L3 in tract left acoustic radiation (from dMRI data)</t>
  </si>
  <si>
    <t>Weighted-mean L3 in tract right acoustic radiation (from dMRI data)</t>
  </si>
  <si>
    <t>Weighted-mean L3 in tract left anterior thalamic radiation (from dMRI data)</t>
  </si>
  <si>
    <t>Weighted-mean L3 in tract right anterior thalamic radiation (from dMRI data)</t>
  </si>
  <si>
    <t>Weighted-mean L3 in tract left cingulate gyrus part of cingulum (from dMRI data)</t>
  </si>
  <si>
    <t>Weighted-mean L3 in tract right cingulate gyrus part of cingulum (from dMRI data)</t>
  </si>
  <si>
    <t>Weighted-mean L3 in tract left parahippocampal part of cingulum (from dMRI data)</t>
  </si>
  <si>
    <t>Weighted-mean L3 in tract right parahippocampal part of cingulum (from dMRI data)</t>
  </si>
  <si>
    <t>Weighted-mean L3 in tract left corticospinal tract (from dMRI data)</t>
  </si>
  <si>
    <t>Weighted-mean L3 in tract right corticospinal tract (from dMRI data)</t>
  </si>
  <si>
    <t>Weighted-mean L3 in tract forceps major (from dMRI data)</t>
  </si>
  <si>
    <t>Weighted-mean L3 in tract forceps minor (from dMRI data)</t>
  </si>
  <si>
    <t>Weighted-mean L3 in tract left inferior fronto-occipital fasciculus (from dMRI data)</t>
  </si>
  <si>
    <t>Weighted-mean L3 in tract right inferior fronto-occipital fasciculus (from dMRI data)</t>
  </si>
  <si>
    <t>Weighted-mean L3 in tract left inferior longitudinal fasciculus (from dMRI data)</t>
  </si>
  <si>
    <t>Weighted-mean L3 in tract right inferior longitudinal fasciculus (from dMRI data)</t>
  </si>
  <si>
    <t>Weighted-mean L3 in tract middle cerebellar peduncle (from dMRI data)</t>
  </si>
  <si>
    <t>Weighted-mean L3 in tract left medial lemniscus (from dMRI data)</t>
  </si>
  <si>
    <t>Weighted-mean L3 in tract right medial lemniscus (from dMRI data)</t>
  </si>
  <si>
    <t>Weighted-mean L3 in tract left posterior thalamic radiation (from dMRI data)</t>
  </si>
  <si>
    <t>Weighted-mean L3 in tract right posterior thalamic radiation (from dMRI data)</t>
  </si>
  <si>
    <t>Weighted-mean L3 in tract left superior longitudinal fasciculus (from dMRI data)</t>
  </si>
  <si>
    <t>Weighted-mean L3 in tract right superior longitudinal fasciculus (from dMRI data)</t>
  </si>
  <si>
    <t>Weighted-mean L3 in tract left superior thalamic radiation (from dMRI data)</t>
  </si>
  <si>
    <t>Weighted-mean L3 in tract right superior thalamic radiation (from dMRI data)</t>
  </si>
  <si>
    <t>Weighted-mean L3 in tract left uncinate fasciculus (from dMRI data)</t>
  </si>
  <si>
    <t>Weighted-mean L3 in tract right uncinate fasciculus (from dMRI data)</t>
  </si>
  <si>
    <t>Mean ICVF (intra-cellular volume fraction) in middle cerebellar peduncle on FA (fractional anisotropy) skeleton (from dMRI data)</t>
  </si>
  <si>
    <t>Mean ICVF (intra-cellular volume fraction) in pontine crossing tract on FA (fractional anisotropy) skeleton (from dMRI data)</t>
  </si>
  <si>
    <t>Mean ICVF (intra-cellular volume fraction) in genu of corpus callosum on FA (fractional anisotropy) skeleton (from dMRI data)</t>
  </si>
  <si>
    <t>Mean ICVF (intra-cellular volume fraction) in body of corpus callosum on FA (fractional anisotropy) skeleton (from dMRI data)</t>
  </si>
  <si>
    <t>Mean ICVF (intra-cellular volume fraction) in splenium of corpus callosum on FA (fractional anisotropy) skeleton (from dMRI data)</t>
  </si>
  <si>
    <t>Mean ICVF (intra-cellular volume fraction) in fornix on FA (fractional anisotropy) skeleton (from dMRI data)</t>
  </si>
  <si>
    <t>Mean ICVF (intra-cellular volume fraction) in corticospinal tract (right) on FA (fractional anisotropy) skeleton (from dMRI data)</t>
  </si>
  <si>
    <t>Mean ICVF (intra-cellular volume fraction) in corticospinal tract (left) on FA (fractional anisotropy) skeleton (from dMRI data)</t>
  </si>
  <si>
    <t>Mean ICVF (intra-cellular volume fraction) in medial lemniscus (right) on FA (fractional anisotropy) skeleton (from dMRI data)</t>
  </si>
  <si>
    <t>Mean ICVF (intra-cellular volume fraction) in medial lemniscus (left) on FA (fractional anisotropy) skeleton (from dMRI data)</t>
  </si>
  <si>
    <t>Mean ICVF (intra-cellular volume fraction) in inferior cerebellar peduncle (right) on FA (fractional anisotropy) skeleton (from dMRI data)</t>
  </si>
  <si>
    <t>Mean ICVF (intra-cellular volume fraction) in inferior cerebellar peduncle (left) on FA (fractional anisotropy) skeleton (from dMRI data)</t>
  </si>
  <si>
    <t>Mean ICVF (intra-cellular volume fraction) in superior cerebellar peduncle (right) on FA (fractional anisotropy) skeleton (from dMRI data)</t>
  </si>
  <si>
    <t>Mean ICVF (intra-cellular volume fraction) in superior cerebellar peduncle (left) on FA (fractional anisotropy) skeleton (from dMRI data)</t>
  </si>
  <si>
    <t>Mean ICVF (intra-cellular volume fraction) in cerebral peduncle (right) on FA (fractional anisotropy) skeleton (from dMRI data)</t>
  </si>
  <si>
    <t>Mean ICVF (intra-cellular volume fraction) in cerebral peduncle (left) on FA (fractional anisotropy) skeleton (from dMRI data)</t>
  </si>
  <si>
    <t>Mean ICVF (intra-cellular volume fraction) in anterior limb of internal capsule (right) on FA (fractional anisotropy) skeleton (from dMRI data)</t>
  </si>
  <si>
    <t>Mean ICVF (intra-cellular volume fraction) in anterior limb of internal capsule (left) on FA (fractional anisotropy) skeleton (from dMRI data)</t>
  </si>
  <si>
    <t>Mean ICVF (intra-cellular volume fraction) in posterior limb of internal capsule (right) on FA (fractional anisotropy) skeleton (from dMRI data)</t>
  </si>
  <si>
    <t>Mean ICVF (intra-cellular volume fraction) in posterior limb of internal capsule (left) on FA (fractional anisotropy) skeleton (from dMRI data)</t>
  </si>
  <si>
    <t>Mean ICVF (intra-cellular volume fraction) in retrolenticular part of internal capsule (right) on FA (fractional anisotropy) skeleton (from dMRI data)</t>
  </si>
  <si>
    <t>Mean ICVF (intra-cellular volume fraction) in retrolenticular part of internal capsule (left) on FA (fractional anisotropy) skeleton (from dMRI data)</t>
  </si>
  <si>
    <t>Mean ICVF (intra-cellular volume fraction) in anterior corona radiata (right) on FA (fractional anisotropy) skeleton (from dMRI data)</t>
  </si>
  <si>
    <t>Mean ICVF (intra-cellular volume fraction) in anterior corona radiata (left) on FA (fractional anisotropy) skeleton (from dMRI data)</t>
  </si>
  <si>
    <t>Mean ICVF (intra-cellular volume fraction) in superior corona radiata (right) on FA (fractional anisotropy) skeleton (from dMRI data)</t>
  </si>
  <si>
    <t>Mean ICVF (intra-cellular volume fraction) in superior corona radiata (left) on FA (fractional anisotropy) skeleton (from dMRI data)</t>
  </si>
  <si>
    <t>Mean ICVF (intra-cellular volume fraction) in posterior corona radiata (right) on FA (fractional anisotropy) skeleton (from dMRI data)</t>
  </si>
  <si>
    <t>Mean ICVF (intra-cellular volume fraction) in posterior corona radiata (left) on FA (fractional anisotropy) skeleton (from dMRI data)</t>
  </si>
  <si>
    <t>Mean ICVF (intra-cellular volume fraction) in posterior thalamic radiation (right) on FA (fractional anisotropy) skeleton (from dMRI data)</t>
  </si>
  <si>
    <t>Mean ICVF (intra-cellular volume fraction) in posterior thalamic radiation (left) on FA (fractional anisotropy) skeleton (from dMRI data)</t>
  </si>
  <si>
    <t>Mean ICVF (intra-cellular volume fraction) in sagittal stratum (right) on FA (fractional anisotropy) skeleton (from dMRI data)</t>
  </si>
  <si>
    <t>Mean ICVF (intra-cellular volume fraction) in sagittal stratum (left) on FA (fractional anisotropy) skeleton (from dMRI data)</t>
  </si>
  <si>
    <t>Mean ICVF (intra-cellular volume fraction) in external capsule (right) on FA (fractional anisotropy) skeleton (from dMRI data)</t>
  </si>
  <si>
    <t>Mean ICVF (intra-cellular volume fraction) in external capsule (left) on FA (fractional anisotropy) skeleton (from dMRI data)</t>
  </si>
  <si>
    <t>Mean ICVF (intra-cellular volume fraction) in cingulum cingulate gyrus (right) on FA (fractional anisotropy) skeleton (from dMRI data)</t>
  </si>
  <si>
    <t>Mean ICVF (intra-cellular volume fraction) in cingulum cingulate gyrus (left) on FA (fractional anisotropy) skeleton (from dMRI data)</t>
  </si>
  <si>
    <t>Mean ICVF (intra-cellular volume fraction) in cingulum hippocampus (right) on FA (fractional anisotropy) skeleton (from dMRI data)</t>
  </si>
  <si>
    <t>Mean ICVF (intra-cellular volume fraction) in cingulum hippocampus (left) on FA (fractional anisotropy) skeleton (from dMRI data)</t>
  </si>
  <si>
    <t>Mean ICVF (intra-cellular volume fraction) in fornix cres+stria terminalis (right) on FA (fractional anisotropy) skeleton (from dMRI data)</t>
  </si>
  <si>
    <t>Mean ICVF (intra-cellular volume fraction) in fornix cres+stria terminalis (left) on FA (fractional anisotropy) skeleton (from dMRI data)</t>
  </si>
  <si>
    <t>Mean ICVF (intra-cellular volume fraction) in superior longitudinal fasciculus (right) on FA (fractional anisotropy) skeleton (from dMRI data)</t>
  </si>
  <si>
    <t>Mean ICVF (intra-cellular volume fraction) in superior longitudinal fasciculus (left) on FA (fractional anisotropy) skeleton (from dMRI data)</t>
  </si>
  <si>
    <t>Mean ICVF (intra-cellular volume fraction) in superior fronto-occipital fasciculus (right) on FA (fractional anisotropy) skeleton (from dMRI data)</t>
  </si>
  <si>
    <t>Mean ICVF (intra-cellular volume fraction) in superior fronto-occipital fasciculus (left) on FA (fractional anisotropy) skeleton (from dMRI data)</t>
  </si>
  <si>
    <t>Mean ICVF (intra-cellular volume fraction) in uncinate fasciculus (right) on FA (fractional anisotropy) skeleton (from dMRI data)</t>
  </si>
  <si>
    <t>Mean ICVF (intra-cellular volume fraction) in uncinate fasciculus (left) on FA (fractional anisotropy) skeleton (from dMRI data)</t>
  </si>
  <si>
    <t>Mean ICVF (intra-cellular volume fraction) in tapetum (right) on FA (fractional anisotropy) skeleton (from dMRI data)</t>
  </si>
  <si>
    <t>Mean ICVF (intra-cellular volume fraction) in tapetum (left) on FA (fractional anisotropy) skeleton (from dMRI data)</t>
  </si>
  <si>
    <t>Weighted-mean ICVF (intra-cellular volume fraction) in tract left acoustic radiation (from dMRI data)</t>
  </si>
  <si>
    <t>Weighted-mean ICVF (intra-cellular volume fraction) in tract right acoustic radiation (from dMRI data)</t>
  </si>
  <si>
    <t>Weighted-mean ICVF (intra-cellular volume fraction) in tract left anterior thalamic radiation (from dMRI data)</t>
  </si>
  <si>
    <t>Weighted-mean ICVF (intra-cellular volume fraction) in tract right anterior thalamic radiation (from dMRI data)</t>
  </si>
  <si>
    <t>Weighted-mean ICVF (intra-cellular volume fraction) in tract left cingulate gyrus part of cingulum (from dMRI data)</t>
  </si>
  <si>
    <t>Weighted-mean ICVF (intra-cellular volume fraction) in tract right cingulate gyrus part of cingulum (from dMRI data)</t>
  </si>
  <si>
    <t>Weighted-mean ICVF (intra-cellular volume fraction) in tract left parahippocampal part of cingulum (from dMRI data)</t>
  </si>
  <si>
    <t>Weighted-mean ICVF (intra-cellular volume fraction) in tract right parahippocampal part of cingulum (from dMRI data)</t>
  </si>
  <si>
    <t>Weighted-mean ICVF (intra-cellular volume fraction) in tract left corticospinal tract (from dMRI data)</t>
  </si>
  <si>
    <t>Weighted-mean ICVF (intra-cellular volume fraction) in tract right corticospinal tract (from dMRI data)</t>
  </si>
  <si>
    <t>Weighted-mean ICVF (intra-cellular volume fraction) in tract forceps major (from dMRI data)</t>
  </si>
  <si>
    <t>Weighted-mean ICVF (intra-cellular volume fraction) in tract forceps minor (from dMRI data)</t>
  </si>
  <si>
    <t>Weighted-mean ICVF (intra-cellular volume fraction) in tract left inferior fronto-occipital fasciculus (from dMRI data)</t>
  </si>
  <si>
    <t>Weighted-mean ICVF (intra-cellular volume fraction) in tract right inferior fronto-occipital fasciculus (from dMRI data)</t>
  </si>
  <si>
    <t>Weighted-mean ICVF (intra-cellular volume fraction) in tract left inferior longitudinal fasciculus (from dMRI data)</t>
  </si>
  <si>
    <t>Weighted-mean ICVF (intra-cellular volume fraction) in tract right inferior longitudinal fasciculus (from dMRI data)</t>
  </si>
  <si>
    <t>Weighted-mean ICVF (intra-cellular volume fraction) in tract middle cerebellar peduncle (from dMRI data)</t>
  </si>
  <si>
    <t>Weighted-mean ICVF (intra-cellular volume fraction) in tract left medial lemniscus (from dMRI data)</t>
  </si>
  <si>
    <t>Weighted-mean ICVF (intra-cellular volume fraction) in tract right medial lemniscus (from dMRI data)</t>
  </si>
  <si>
    <t>Weighted-mean ICVF (intra-cellular volume fraction) in tract left posterior thalamic radiation (from dMRI data)</t>
  </si>
  <si>
    <t>Weighted-mean ICVF (intra-cellular volume fraction) in tract right posterior thalamic radiation (from dMRI data)</t>
  </si>
  <si>
    <t>Weighted-mean ICVF (intra-cellular volume fraction) in tract left superior longitudinal fasciculus (from dMRI data)</t>
  </si>
  <si>
    <t>Weighted-mean ICVF (intra-cellular volume fraction) in tract right superior longitudinal fasciculus (from dMRI data)</t>
  </si>
  <si>
    <t>Weighted-mean ICVF (intra-cellular volume fraction) in tract left superior thalamic radiation (from dMRI data)</t>
  </si>
  <si>
    <t>Weighted-mean ICVF (intra-cellular volume fraction) in tract right superior thalamic radiation (from dMRI data)</t>
  </si>
  <si>
    <t>Weighted-mean ICVF (intra-cellular volume fraction) in tract left uncinate fasciculus (from dMRI data)</t>
  </si>
  <si>
    <t>Weighted-mean ICVF (intra-cellular volume fraction) in tract right uncinate fasciculus (from dMRI data)</t>
  </si>
  <si>
    <t>Mean OD (orientation dispersion index) in middle cerebellar peduncle on FA (fractional anisotropy) skeleton (from dMRI data)</t>
  </si>
  <si>
    <t>Mean OD (orientation dispersion index) in pontine crossing tract on FA (fractional anisotropy) skeleton (from dMRI data)</t>
  </si>
  <si>
    <t>Mean OD (orientation dispersion index) in genu of corpus callosum on FA (fractional anisotropy) skeleton (from dMRI data)</t>
  </si>
  <si>
    <t>Mean OD (orientation dispersion index) in body of corpus callosum on FA (fractional anisotropy) skeleton (from dMRI data)</t>
  </si>
  <si>
    <t>Mean OD (orientation dispersion index) in splenium of corpus callosum on FA (fractional anisotropy) skeleton (from dMRI data)</t>
  </si>
  <si>
    <t>Mean OD (orientation dispersion index) in fornix on FA (fractional anisotropy) skeleton (from dMRI data)</t>
  </si>
  <si>
    <t>Mean OD (orientation dispersion index) in corticospinal tract (right) on FA (fractional anisotropy) skeleton (from dMRI data)</t>
  </si>
  <si>
    <t>Mean OD (orientation dispersion index) in corticospinal tract (left) on FA (fractional anisotropy) skeleton (from dMRI data)</t>
  </si>
  <si>
    <t>Mean OD (orientation dispersion index) in medial lemniscus (right) on FA (fractional anisotropy) skeleton (from dMRI data)</t>
  </si>
  <si>
    <t>Mean OD (orientation dispersion index) in medial lemniscus (left) on FA (fractional anisotropy) skeleton (from dMRI data)</t>
  </si>
  <si>
    <t>Mean OD (orientation dispersion index) in inferior cerebellar peduncle (right) on FA (fractional anisotropy) skeleton (from dMRI data)</t>
  </si>
  <si>
    <t>Mean OD (orientation dispersion index) in inferior cerebellar peduncle (left) on FA (fractional anisotropy) skeleton (from dMRI data)</t>
  </si>
  <si>
    <t>Mean OD (orientation dispersion index) in superior cerebellar peduncle (right) on FA (fractional anisotropy) skeleton (from dMRI data)</t>
  </si>
  <si>
    <t>Mean OD (orientation dispersion index) in superior cerebellar peduncle (left) on FA (fractional anisotropy) skeleton (from dMRI data)</t>
  </si>
  <si>
    <t>Mean OD (orientation dispersion index) in cerebral peduncle (right) on FA (fractional anisotropy) skeleton (from dMRI data)</t>
  </si>
  <si>
    <t>Mean OD (orientation dispersion index) in cerebral peduncle (left) on FA (fractional anisotropy) skeleton (from dMRI data)</t>
  </si>
  <si>
    <t>Mean OD (orientation dispersion index) in anterior limb of internal capsule (right) on FA (fractional anisotropy) skeleton (from dMRI data)</t>
  </si>
  <si>
    <t>Mean OD (orientation dispersion index) in anterior limb of internal capsule (left) on FA (fractional anisotropy) skeleton (from dMRI data)</t>
  </si>
  <si>
    <t>Mean OD (orientation dispersion index) in posterior limb of internal capsule (right) on FA (fractional anisotropy) skeleton (from dMRI data)</t>
  </si>
  <si>
    <t>Mean OD (orientation dispersion index) in posterior limb of internal capsule (left) on FA (fractional anisotropy) skeleton (from dMRI data)</t>
  </si>
  <si>
    <t>Mean OD (orientation dispersion index) in retrolenticular part of internal capsule (right) on FA (fractional anisotropy) skeleton (from dMRI data)</t>
  </si>
  <si>
    <t>Mean OD (orientation dispersion index) in retrolenticular part of internal capsule (left) on FA (fractional anisotropy) skeleton (from dMRI data)</t>
  </si>
  <si>
    <t>Mean OD (orientation dispersion index) in anterior corona radiata (right) on FA (fractional anisotropy) skeleton (from dMRI data)</t>
  </si>
  <si>
    <t>Mean OD (orientation dispersion index) in anterior corona radiata (left) on FA (fractional anisotropy) skeleton (from dMRI data)</t>
  </si>
  <si>
    <t>Mean OD (orientation dispersion index) in superior corona radiata (right) on FA (fractional anisotropy) skeleton (from dMRI data)</t>
  </si>
  <si>
    <t>Mean OD (orientation dispersion index) in superior corona radiata (left) on FA (fractional anisotropy) skeleton (from dMRI data)</t>
  </si>
  <si>
    <t>Mean OD (orientation dispersion index) in posterior corona radiata (right) on FA (fractional anisotropy) skeleton (from dMRI data)</t>
  </si>
  <si>
    <t>Mean OD (orientation dispersion index) in posterior corona radiata (left) on FA (fractional anisotropy) skeleton (from dMRI data)</t>
  </si>
  <si>
    <t>Mean OD (orientation dispersion index) in posterior thalamic radiation (right) on FA (fractional anisotropy) skeleton (from dMRI data)</t>
  </si>
  <si>
    <t>Mean OD (orientation dispersion index) in posterior thalamic radiation (left) on FA (fractional anisotropy) skeleton (from dMRI data)</t>
  </si>
  <si>
    <t>Mean OD (orientation dispersion index) in sagittal stratum (right) on FA (fractional anisotropy) skeleton (from dMRI data)</t>
  </si>
  <si>
    <t>Mean OD (orientation dispersion index) in sagittal stratum (left) on FA (fractional anisotropy) skeleton (from dMRI data)</t>
  </si>
  <si>
    <t>Mean OD (orientation dispersion index) in external capsule (right) on FA (fractional anisotropy) skeleton (from dMRI data)</t>
  </si>
  <si>
    <t>Mean OD (orientation dispersion index) in external capsule (left) on FA (fractional anisotropy) skeleton (from dMRI data)</t>
  </si>
  <si>
    <t>Mean OD (orientation dispersion index) in cingulum cingulate gyrus (right) on FA (fractional anisotropy) skeleton (from dMRI data)</t>
  </si>
  <si>
    <t>Mean OD (orientation dispersion index) in cingulum cingulate gyrus (left) on FA (fractional anisotropy) skeleton (from dMRI data)</t>
  </si>
  <si>
    <t>Mean OD (orientation dispersion index) in cingulum hippocampus (right) on FA (fractional anisotropy) skeleton (from dMRI data)</t>
  </si>
  <si>
    <t>Mean OD (orientation dispersion index) in cingulum hippocampus (left) on FA (fractional anisotropy) skeleton (from dMRI data)</t>
  </si>
  <si>
    <t>Mean OD (orientation dispersion index) in fornix cres+stria terminalis (right) on FA (fractional anisotropy) skeleton (from dMRI data)</t>
  </si>
  <si>
    <t>Mean OD (orientation dispersion index) in fornix cres+stria terminalis (left) on FA (fractional anisotropy) skeleton (from dMRI data)</t>
  </si>
  <si>
    <t>Mean OD (orientation dispersion index) in superior longitudinal fasciculus (right) on FA (fractional anisotropy) skeleton (from dMRI data)</t>
  </si>
  <si>
    <t>Mean OD (orientation dispersion index) in superior longitudinal fasciculus (left) on FA (fractional anisotropy) skeleton (from dMRI data)</t>
  </si>
  <si>
    <t>Mean OD (orientation dispersion index) in superior fronto-occipital fasciculus (right) on FA (fractional anisotropy) skeleton (from dMRI data)</t>
  </si>
  <si>
    <t>Mean OD (orientation dispersion index) in superior fronto-occipital fasciculus (left) on FA (fractional anisotropy) skeleton (from dMRI data)</t>
  </si>
  <si>
    <t>Mean OD (orientation dispersion index) in uncinate fasciculus (right) on FA (fractional anisotropy) skeleton (from dMRI data)</t>
  </si>
  <si>
    <t>Mean OD (orientation dispersion index) in uncinate fasciculus (left) on FA (fractional anisotropy) skeleton (from dMRI data)</t>
  </si>
  <si>
    <t>Mean OD (orientation dispersion index) in tapetum (right) on FA (fractional anisotropy) skeleton (from dMRI data)</t>
  </si>
  <si>
    <t>Mean OD (orientation dispersion index) in tapetum (left) on FA (fractional anisotropy) skeleton (from dMRI data)</t>
  </si>
  <si>
    <t>Weighted-mean OD (orientation dispersion index) in tract left acoustic radiation (from dMRI data)</t>
  </si>
  <si>
    <t>Weighted-mean OD (orientation dispersion index) in tract right acoustic radiation (from dMRI data)</t>
  </si>
  <si>
    <t>Weighted-mean OD (orientation dispersion index) in tract left anterior thalamic radiation (from dMRI data)</t>
  </si>
  <si>
    <t>Weighted-mean OD (orientation dispersion index) in tract right anterior thalamic radiation (from dMRI data)</t>
  </si>
  <si>
    <t>Weighted-mean OD (orientation dispersion index) in tract left cingulate gyrus part of cingulum (from dMRI data)</t>
  </si>
  <si>
    <t>Weighted-mean OD (orientation dispersion index) in tract right cingulate gyrus part of cingulum (from dMRI data)</t>
  </si>
  <si>
    <t>Weighted-mean OD (orientation dispersion index) in tract left parahippocampal part of cingulum (from dMRI data)</t>
  </si>
  <si>
    <t>Weighted-mean OD (orientation dispersion index) in tract right parahippocampal part of cingulum (from dMRI data)</t>
  </si>
  <si>
    <t>Weighted-mean OD (orientation dispersion index) in tract left corticospinal tract (from dMRI data)</t>
  </si>
  <si>
    <t>Weighted-mean OD (orientation dispersion index) in tract right corticospinal tract (from dMRI data)</t>
  </si>
  <si>
    <t>Weighted-mean OD (orientation dispersion index) in tract forceps major (from dMRI data)</t>
  </si>
  <si>
    <t>Weighted-mean OD (orientation dispersion index) in tract forceps minor (from dMRI data)</t>
  </si>
  <si>
    <t>Weighted-mean OD (orientation dispersion index) in tract left inferior fronto-occipital fasciculus (from dMRI data)</t>
  </si>
  <si>
    <t>Weighted-mean OD (orientation dispersion index) in tract right inferior fronto-occipital fasciculus (from dMRI data)</t>
  </si>
  <si>
    <t>Weighted-mean OD (orientation dispersion index) in tract left inferior longitudinal fasciculus (from dMRI data)</t>
  </si>
  <si>
    <t>Weighted-mean OD (orientation dispersion index) in tract right inferior longitudinal fasciculus (from dMRI data)</t>
  </si>
  <si>
    <t>Weighted-mean OD (orientation dispersion index) in tract middle cerebellar peduncle (from dMRI data)</t>
  </si>
  <si>
    <t>Weighted-mean OD (orientation dispersion index) in tract left medial lemniscus (from dMRI data)</t>
  </si>
  <si>
    <t>Weighted-mean OD (orientation dispersion index) in tract right medial lemniscus (from dMRI data)</t>
  </si>
  <si>
    <t>Weighted-mean OD (orientation dispersion index) in tract left posterior thalamic radiation (from dMRI data)</t>
  </si>
  <si>
    <t>Weighted-mean OD (orientation dispersion index) in tract right posterior thalamic radiation (from dMRI data)</t>
  </si>
  <si>
    <t>Weighted-mean OD (orientation dispersion index) in tract left superior longitudinal fasciculus (from dMRI data)</t>
  </si>
  <si>
    <t>Weighted-mean OD (orientation dispersion index) in tract right superior longitudinal fasciculus (from dMRI data)</t>
  </si>
  <si>
    <t>Weighted-mean OD (orientation dispersion index) in tract left superior thalamic radiation (from dMRI data)</t>
  </si>
  <si>
    <t>Weighted-mean OD (orientation dispersion index) in tract right superior thalamic radiation (from dMRI data)</t>
  </si>
  <si>
    <t>Weighted-mean OD (orientation dispersion index) in tract left uncinate fasciculus (from dMRI data)</t>
  </si>
  <si>
    <t>Weighted-mean OD (orientation dispersion index) in tract right uncinate fasciculus (from dMRI data)</t>
  </si>
  <si>
    <t>Mean ISOVF (isotropic or free water volume fraction) in middle cerebellar peduncle on FA (fractional anisotropy) skeleton (from dMRI data)</t>
  </si>
  <si>
    <t>Mean ISOVF (isotropic or free water volume fraction) in pontine crossing tract on FA (fractional anisotropy) skeleton (from dMRI data)</t>
  </si>
  <si>
    <t>Mean ISOVF (isotropic or free water volume fraction) in genu of corpus callosum on FA (fractional anisotropy) skeleton (from dMRI data)</t>
  </si>
  <si>
    <t>Mean ISOVF (isotropic or free water volume fraction) in body of corpus callosum on FA (fractional anisotropy) skeleton (from dMRI data)</t>
  </si>
  <si>
    <t>Mean ISOVF (isotropic or free water volume fraction) in splenium of corpus callosum on FA (fractional anisotropy) skeleton (from dMRI data)</t>
  </si>
  <si>
    <t>Mean ISOVF (isotropic or free water volume fraction) in fornix on FA (fractional anisotropy) skeleton (from dMRI data)</t>
  </si>
  <si>
    <t>Mean ISOVF (isotropic or free water volume fraction) in corticospinal tract (right) on FA (fractional anisotropy) skeleton (from dMRI data)</t>
  </si>
  <si>
    <t>Mean ISOVF (isotropic or free water volume fraction) in corticospinal tract (left) on FA (fractional anisotropy) skeleton (from dMRI data)</t>
  </si>
  <si>
    <t>Mean ISOVF (isotropic or free water volume fraction) in medial lemniscus (right) on FA (fractional anisotropy) skeleton (from dMRI data)</t>
  </si>
  <si>
    <t>Mean ISOVF (isotropic or free water volume fraction) in medial lemniscus (left) on FA (fractional anisotropy) skeleton (from dMRI data)</t>
  </si>
  <si>
    <t>Mean ISOVF (isotropic or free water volume fraction) in inferior cerebellar peduncle (right) on FA (fractional anisotropy) skeleton (from dMRI data)</t>
  </si>
  <si>
    <t>Mean ISOVF (isotropic or free water volume fraction) in inferior cerebellar peduncle (left) on FA (fractional anisotropy) skeleton (from dMRI data)</t>
  </si>
  <si>
    <t>Mean ISOVF (isotropic or free water volume fraction) in superior cerebellar peduncle (right) on FA (fractional anisotropy) skeleton (from dMRI data)</t>
  </si>
  <si>
    <t>Mean ISOVF (isotropic or free water volume fraction) in superior cerebellar peduncle (left) on FA (fractional anisotropy) skeleton (from dMRI data)</t>
  </si>
  <si>
    <t>Mean ISOVF (isotropic or free water volume fraction) in cerebral peduncle (right) on FA (fractional anisotropy) skeleton (from dMRI data)</t>
  </si>
  <si>
    <t>Mean ISOVF (isotropic or free water volume fraction) in cerebral peduncle (left) on FA (fractional anisotropy) skeleton (from dMRI data)</t>
  </si>
  <si>
    <t>Mean ISOVF (isotropic or free water volume fraction) in anterior limb of internal capsule (right) on FA (fractional anisotropy) skeleton (from dMRI da</t>
  </si>
  <si>
    <t>Mean ISOVF (isotropic or free water volume fraction) in anterior limb of internal capsule (left) on FA (fractional anisotropy) skeleton (from dMRI dat</t>
  </si>
  <si>
    <t>Mean ISOVF (isotropic or free water volume fraction) in posterior limb of internal capsule (right) on FA (fractional anisotropy) skeleton (from dMRI d</t>
  </si>
  <si>
    <t>Mean ISOVF (isotropic or free water volume fraction) in posterior limb of internal capsule (left) on FA (fractional anisotropy) skeleton (from dMRI da</t>
  </si>
  <si>
    <t>Mean ISOVF (isotropic or free water volume fraction) in retrolenticular part of internal capsule (right) on FA (fractional anisotropy) skeleton (from</t>
  </si>
  <si>
    <t>Mean ISOVF (isotropic or free water volume fraction) in retrolenticular part of internal capsule (left) on FA (fractional anisotropy) skeleton (from d</t>
  </si>
  <si>
    <t>Mean ISOVF (isotropic or free water volume fraction) in anterior corona radiata (right) on FA (fractional anisotropy) skeleton (from dMRI data)</t>
  </si>
  <si>
    <t>Mean ISOVF (isotropic or free water volume fraction) in anterior corona radiata (left) on FA (fractional anisotropy) skeleton (from dMRI data)</t>
  </si>
  <si>
    <t>Mean ISOVF (isotropic or free water volume fraction) in superior corona radiata (right) on FA (fractional anisotropy) skeleton (from dMRI data)</t>
  </si>
  <si>
    <t>Mean ISOVF (isotropic or free water volume fraction) in superior corona radiata (left) on FA (fractional anisotropy) skeleton (from dMRI data)</t>
  </si>
  <si>
    <t>Mean ISOVF (isotropic or free water volume fraction) in posterior corona radiata (right) on FA (fractional anisotropy) skeleton (from dMRI data)</t>
  </si>
  <si>
    <t>Mean ISOVF (isotropic or free water volume fraction) in posterior corona radiata (left) on FA (fractional anisotropy) skeleton (from dMRI data)</t>
  </si>
  <si>
    <t>Mean ISOVF (isotropic or free water volume fraction) in posterior thalamic radiation (right) on FA (fractional anisotropy) skeleton (from dMRI data)</t>
  </si>
  <si>
    <t>Mean ISOVF (isotropic or free water volume fraction) in posterior thalamic radiation (left) on FA (fractional anisotropy) skeleton (from dMRI data)</t>
  </si>
  <si>
    <t>Mean ISOVF (isotropic or free water volume fraction) in sagittal stratum (right) on FA (fractional anisotropy) skeleton (from dMRI data)</t>
  </si>
  <si>
    <t>Mean ISOVF (isotropic or free water volume fraction) in sagittal stratum (left) on FA (fractional anisotropy) skeleton (from dMRI data)</t>
  </si>
  <si>
    <t>Mean ISOVF (isotropic or free water volume fraction) in external capsule (right) on FA (fractional anisotropy) skeleton (from dMRI data)</t>
  </si>
  <si>
    <t>Mean ISOVF (isotropic or free water volume fraction) in external capsule (left) on FA (fractional anisotropy) skeleton (from dMRI data)</t>
  </si>
  <si>
    <t>Mean ISOVF (isotropic or free water volume fraction) in cingulum cingulate gyrus (right) on FA (fractional anisotropy) skeleton (from dMRI data)</t>
  </si>
  <si>
    <t>Mean ISOVF (isotropic or free water volume fraction) in cingulum cingulate gyrus (left) on FA (fractional anisotropy) skeleton (from dMRI data)</t>
  </si>
  <si>
    <t>Mean ISOVF (isotropic or free water volume fraction) in cingulum hippocampus (right) on FA (fractional anisotropy) skeleton (from dMRI data)</t>
  </si>
  <si>
    <t>Mean ISOVF (isotropic or free water volume fraction) in cingulum hippocampus (left) on FA (fractional anisotropy) skeleton (from dMRI data)</t>
  </si>
  <si>
    <t>Mean ISOVF (isotropic or free water volume fraction) in fornix cres+stria terminalis (right) on FA (fractional anisotropy) skeleton (from dMRI data)</t>
  </si>
  <si>
    <t>Mean ISOVF (isotropic or free water volume fraction) in fornix cres+stria terminalis (left) on FA (fractional anisotropy) skeleton (from dMRI data)</t>
  </si>
  <si>
    <t>Mean ISOVF (isotropic or free water volume fraction) in superior longitudinal fasciculus (right) on FA (fractional anisotropy) skeleton (from dMRI dat</t>
  </si>
  <si>
    <t>Mean ISOVF (isotropic or free water volume fraction) in superior longitudinal fasciculus (left) on FA (fractional anisotropy) skeleton (from dMRI data</t>
  </si>
  <si>
    <t>Mean ISOVF (isotropic or free water volume fraction) in superior fronto-occipital fasciculus (right) on FA (fractional anisotropy) skeleton (from dMRI</t>
  </si>
  <si>
    <t>Mean ISOVF (isotropic or free water volume fraction) in superior fronto-occipital fasciculus (left) on FA (fractional anisotropy) skeleton (from dMRI</t>
  </si>
  <si>
    <t>Mean ISOVF (isotropic or free water volume fraction) in uncinate fasciculus (right) on FA (fractional anisotropy) skeleton (from dMRI data)</t>
  </si>
  <si>
    <t>Mean ISOVF (isotropic or free water volume fraction) in uncinate fasciculus (left) on FA (fractional anisotropy) skeleton (from dMRI data)</t>
  </si>
  <si>
    <t>Mean ISOVF (isotropic or free water volume fraction) in tapetum (right) on FA (fractional anisotropy) skeleton (from dMRI data)</t>
  </si>
  <si>
    <t>Mean ISOVF (isotropic or free water volume fraction) in tapetum (left) on FA (fractional anisotropy) skeleton (from dMRI data)</t>
  </si>
  <si>
    <t>Weighted-mean ISOVF (isotropic or free water volume fraction) in tract left acoustic radiation (from dMRI data)</t>
  </si>
  <si>
    <t>Weighted-mean ISOVF (isotropic or free water volume fraction) in tract right acoustic radiation (from dMRI data)</t>
  </si>
  <si>
    <t>Weighted-mean ISOVF (isotropic or free water volume fraction) in tract left anterior thalamic radiation (from dMRI data)</t>
  </si>
  <si>
    <t>Weighted-mean ISOVF (isotropic or free water volume fraction) in tract right anterior thalamic radiation (from dMRI data)</t>
  </si>
  <si>
    <t>Weighted-mean ISOVF (isotropic or free water volume fraction) in tract left cingulate gyrus part of cingulum (from dMRI data)</t>
  </si>
  <si>
    <t>Weighted-mean ISOVF (isotropic or free water volume fraction) in tract right cingulate gyrus part of cingulum (from dMRI data)</t>
  </si>
  <si>
    <t>Weighted-mean ISOVF (isotropic or free water volume fraction) in tract left parahippocampal part of cingulum (from dMRI data)</t>
  </si>
  <si>
    <t>Weighted-mean ISOVF (isotropic or free water volume fraction) in tract right parahippocampal part of cingulum (from dMRI data)</t>
  </si>
  <si>
    <t>Weighted-mean ISOVF (isotropic or free water volume fraction) in tract left corticospinal tract (from dMRI data)</t>
  </si>
  <si>
    <t>Weighted-mean ISOVF (isotropic or free water volume fraction) in tract right corticospinal tract (from dMRI data)</t>
  </si>
  <si>
    <t>Weighted-mean ISOVF (isotropic or free water volume fraction) in tract forceps major (from dMRI data)</t>
  </si>
  <si>
    <t>Weighted-mean ISOVF (isotropic or free water volume fraction) in tract forceps minor (from dMRI data)</t>
  </si>
  <si>
    <t>Weighted-mean ISOVF (isotropic or free water volume fraction) in tract left inferior fronto-occipital fasciculus (from dMRI data)</t>
  </si>
  <si>
    <t>Weighted-mean ISOVF (isotropic or free water volume fraction) in tract right inferior fronto-occipital fasciculus (from dMRI data)</t>
  </si>
  <si>
    <t>Weighted-mean ISOVF (isotropic or free water volume fraction) in tract left inferior longitudinal fasciculus (from dMRI data)</t>
  </si>
  <si>
    <t>Weighted-mean ISOVF (isotropic or free water volume fraction) in tract right inferior longitudinal fasciculus (from dMRI data)</t>
  </si>
  <si>
    <t>Weighted-mean ISOVF (isotropic or free water volume fraction) in tract middle cerebellar peduncle (from dMRI data)</t>
  </si>
  <si>
    <t>Weighted-mean ISOVF (isotropic or free water volume fraction) in tract left medial lemniscus (from dMRI data)</t>
  </si>
  <si>
    <t>Weighted-mean ISOVF (isotropic or free water volume fraction) in tract right medial lemniscus (from dMRI data)</t>
  </si>
  <si>
    <t>Weighted-mean ISOVF (isotropic or free water volume fraction) in tract left posterior thalamic radiation (from dMRI data)</t>
  </si>
  <si>
    <t>Weighted-mean ISOVF (isotropic or free water volume fraction) in tract right posterior thalamic radiation (from dMRI data)</t>
  </si>
  <si>
    <t>Weighted-mean ISOVF (isotropic or free water volume fraction) in tract left superior longitudinal fasciculus (from dMRI data)</t>
  </si>
  <si>
    <t>Weighted-mean ISOVF (isotropic or free water volume fraction) in tract right superior longitudinal fasciculus (from dMRI data)</t>
  </si>
  <si>
    <t>Weighted-mean ISOVF (isotropic or free water volume fraction) in tract left superior thalamic radiation (from dMRI data)</t>
  </si>
  <si>
    <t>Weighted-mean ISOVF (isotropic or free water volume fraction) in tract right superior thalamic radiation (from dMRI data)</t>
  </si>
  <si>
    <t>Weighted-mean ISOVF (isotropic or free water volume fraction) in tract left uncinate fasciculus (from dMRI data)</t>
  </si>
  <si>
    <t>Weighted-mean ISOVF (isotropic or free water volume fraction) in tract right uncinate fasciculus (from dMRI data)</t>
  </si>
  <si>
    <t>Median BOLD (blood-oxygen-level dependent) effect (in group-defined mask) for shapes activation (in task fMRI data)</t>
  </si>
  <si>
    <t>90th percentile of the BOLD (blood-oxygen-level dependent) effect (in group-defined mask) for shapes activation (in task fMRI data)</t>
  </si>
  <si>
    <t>Median z-statistic (in group-defined mask) for shapes activation (in task fMRI data)</t>
  </si>
  <si>
    <t>90th percentile of the z-statistic (in group-defined mask) for shapes activation (in task fMRI data)</t>
  </si>
  <si>
    <t>Median BOLD (blood-oxygen-level dependent) effect (in group-defined mask) for faces activation (in task fMRI data)</t>
  </si>
  <si>
    <t>90th percentile of the BOLD (blood-oxygen-level dependent) effect (in group-defined mask) for faces activation (in task fMRI data)</t>
  </si>
  <si>
    <t>Median z-statistic (in group-defined mask) for faces activation (in task fMRI data)</t>
  </si>
  <si>
    <t>90th percentile of the z-statistic (in group-defined mask) for faces activation (in task fMRI data)</t>
  </si>
  <si>
    <t>Median BOLD (blood-oxygen-level dependent) effect (in group-defined mask) for faces-shapes contrast (in task fMRI data)</t>
  </si>
  <si>
    <t>90th percentile of the BOLD (blood-oxygen-level dependent) effect (in group-defined mask) for faces-shapes contrast (in task fMRI data)</t>
  </si>
  <si>
    <t>Median z-statistic (in group-defined mask) for faces-shapes contrast (in task fMRI data)</t>
  </si>
  <si>
    <t>90th percentile of the z-statistic (in group-defined mask) for faces-shapes contrast (in task fMRI data)</t>
  </si>
  <si>
    <t>Median BOLD (blood-oxygen-level dependent) effect (in group-defined amygdala activation mask) for faces-shapes contrast (in task fMRI data)</t>
  </si>
  <si>
    <t>90th percentile of the BOLD (blood-oxygen-level dependent) effect (in group-defined amygdala activation mask) for faces-shapes contrast (in task fMRI data)</t>
  </si>
  <si>
    <t>Median z-statistic (in group-defined amygdala activation mask) for faces-shapes contrast (in task fMRI data)</t>
  </si>
  <si>
    <t>90th percentile of the z-statistic (in group-defined amygdala activation mask) for faces-shapes contrast (in task fMRI data)</t>
  </si>
  <si>
    <t>These are not primary variables stored at UKB but are derived from all of the individual connectivity IDPs listed above. The method for estimation of these was described in Elliott et al, Nature, 2018. Code and data to allow their re-estimation can be found at https://www.fmrib.ox.ac.uk/ukbiobank/gwaspaper/index.html</t>
  </si>
  <si>
    <t>Discrepancy between the T1 brain image (linearly-aligned to standard space) and the standard-space brain template</t>
  </si>
  <si>
    <t>Discrepancy between the T1 brain image (nonlinearly-aligned to standard space) and the standard-space brain template</t>
  </si>
  <si>
    <t>Amount of warping (averaged distortion) applied to nonlinearly align the T1 brain image to standard-space</t>
  </si>
  <si>
    <t>Inverted signal-to-noise ratio in the T1 - background spatial standard deviation divided by mean brain intensity</t>
  </si>
  <si>
    <t>Inverted contrast-to-noise ratio in the T1 - background spatial standard deviation divided by contrast between white and grey matter mean intensities</t>
  </si>
  <si>
    <t>Discrepancy between the T2 FLAIR brain image (linearly-aligned to the T1) and the T1 brain image</t>
  </si>
  <si>
    <t>Discrepancy between the (EPI-unwarped b=0) dMRI brain image (linearly-aligned to the T1) and the T1 brain image</t>
  </si>
  <si>
    <t>Discrepancy between the (magnitude) SWI brain image (linearly-aligned to the T1) and the T1 brain image</t>
  </si>
  <si>
    <t>Discrepancy between the (EPI-unwarped SBref) rfMRI brain image (linearly-aligned to the T1) and the T1 brain image</t>
  </si>
  <si>
    <t>Discrepancy between the (EPI-unwarped SBref) tfMRI brain image (linearly-aligned to the T1) and the T1 brain image</t>
  </si>
  <si>
    <t>Mean rfMRI head motion, averaged across space and time points</t>
  </si>
  <si>
    <t>Mean tfMRI head motion, averaged across space and time points</t>
  </si>
  <si>
    <t>Inverted temporal signal-to-noise ratio in the pre-processed rfMRI. Reciprocal of median (across brain voxels) of voxelwise mean intensity divided by voxelwise time-series standard deviation</t>
  </si>
  <si>
    <t>Inverted temporal signal-to-noise ratio in the artefact-cleaned pre-processed rfMRI. Reciprocal of median (across brain voxels) of voxelwise mean intensity divided by voxelwise time-series standard deviation</t>
  </si>
  <si>
    <t>Inverted temporal signal-to-noise ratio in the pre-processed tfMRI. Reciprocal of median (across brain voxels) of voxelwise mean intensity divided by voxelwise time-series standard deviation</t>
  </si>
  <si>
    <t>Number of dMRI outlier slices (across all slices in all volumes) detected and corrected</t>
  </si>
  <si>
    <t>Supplementary Table S1: Information for brain imaging-derived phenotypes (IDPs).</t>
  </si>
  <si>
    <r>
      <t xml:space="preserve">FDR </t>
    </r>
    <r>
      <rPr>
        <b/>
        <i/>
        <sz val="11"/>
        <color theme="1"/>
        <rFont val="Arial"/>
        <family val="2"/>
      </rPr>
      <t>q</t>
    </r>
  </si>
  <si>
    <t>Supplementary Table S15: Expression quantitative trait loci data used in colocalization analysis.</t>
  </si>
  <si>
    <r>
      <t>r</t>
    </r>
    <r>
      <rPr>
        <b/>
        <vertAlign val="subscript"/>
        <sz val="11"/>
        <color theme="1"/>
        <rFont val="Arial"/>
        <family val="2"/>
      </rPr>
      <t>g</t>
    </r>
  </si>
  <si>
    <r>
      <t>r</t>
    </r>
    <r>
      <rPr>
        <b/>
        <vertAlign val="subscript"/>
        <sz val="11"/>
        <color theme="1"/>
        <rFont val="Arial"/>
        <family val="2"/>
      </rPr>
      <t>g</t>
    </r>
    <r>
      <rPr>
        <b/>
        <sz val="11"/>
        <color theme="1"/>
        <rFont val="Arial"/>
        <family val="2"/>
      </rPr>
      <t>.est</t>
    </r>
  </si>
  <si>
    <r>
      <t>r</t>
    </r>
    <r>
      <rPr>
        <b/>
        <vertAlign val="subscript"/>
        <sz val="11"/>
        <color theme="1"/>
        <rFont val="Arial"/>
        <family val="2"/>
      </rPr>
      <t>g</t>
    </r>
    <r>
      <rPr>
        <b/>
        <sz val="11"/>
        <color theme="1"/>
        <rFont val="Arial"/>
        <family val="2"/>
      </rPr>
      <t>.err</t>
    </r>
  </si>
  <si>
    <r>
      <t>r</t>
    </r>
    <r>
      <rPr>
        <b/>
        <vertAlign val="subscript"/>
        <sz val="11"/>
        <color theme="1"/>
        <rFont val="Arial"/>
        <family val="2"/>
      </rPr>
      <t>g</t>
    </r>
    <r>
      <rPr>
        <b/>
        <sz val="11"/>
        <color theme="1"/>
        <rFont val="Arial"/>
        <family val="2"/>
      </rPr>
      <t>.female</t>
    </r>
  </si>
  <si>
    <r>
      <t>r</t>
    </r>
    <r>
      <rPr>
        <b/>
        <vertAlign val="subscript"/>
        <sz val="11"/>
        <color theme="1"/>
        <rFont val="Arial"/>
        <family val="2"/>
      </rPr>
      <t>g</t>
    </r>
    <r>
      <rPr>
        <b/>
        <sz val="11"/>
        <color theme="1"/>
        <rFont val="Arial"/>
        <family val="2"/>
      </rPr>
      <t>.male</t>
    </r>
  </si>
  <si>
    <r>
      <t>p_r</t>
    </r>
    <r>
      <rPr>
        <b/>
        <vertAlign val="subscript"/>
        <sz val="11"/>
        <color theme="1"/>
        <rFont val="Arial"/>
        <family val="2"/>
      </rPr>
      <t>g</t>
    </r>
    <r>
      <rPr>
        <b/>
        <sz val="11"/>
        <color theme="1"/>
        <rFont val="Arial"/>
        <family val="2"/>
      </rPr>
      <t>_dif</t>
    </r>
  </si>
  <si>
    <t>heritability_obs</t>
  </si>
  <si>
    <t>heritability_obs_se</t>
  </si>
  <si>
    <t>z_heritability</t>
  </si>
  <si>
    <t>IDP0419, eQTL, HD</t>
  </si>
  <si>
    <t>IDP0419, HD</t>
  </si>
  <si>
    <t>IDP0199, HD</t>
  </si>
  <si>
    <t>HD</t>
  </si>
  <si>
    <t>IDP→HD</t>
  </si>
  <si>
    <t>HD→IDP</t>
  </si>
  <si>
    <t>Supplementary Table S2: Global genetic correlation between hearing difficulty (HD) and brain imaging-derived phenotypes (IDPs) in the sex-combined analysis.</t>
  </si>
  <si>
    <t>Supplementary Table S3: Global genetic correlation between hearing difficulty (HD) and brain imaging-derived phenotypes (IDPs) in females.</t>
  </si>
  <si>
    <t>Supplementary Table S4: Global genetic correlation between hearing difficulty (HD) and brain imaging-derived phenotypes (IDPs) in males.</t>
  </si>
  <si>
    <t>Supplementary Table S5: Sex differences in the genetic correlation between hearing difficulty (HD) and brain imaging-derived phenotypes (IDPs).</t>
  </si>
  <si>
    <t>Supplementary Table S6: Putative causal effects between hearing difficulty (HD) and brain imaging-derived phenotypes (IDPs) in the sex-combined latent causal variable analysis.</t>
  </si>
  <si>
    <t>Supplementary Table S7: Putative causal effects between hearing difficulty (HD) and brain imaging-derived phenotypes (IDPs) in females using latent causal variable analysis.</t>
  </si>
  <si>
    <t>Supplementary Table S8: Putative causal effects between hearing difficulty (HD) and brain imaging-derived phenotypes (IDPs) in males using latent causal variable analysis.</t>
  </si>
  <si>
    <t>Supplementary Table S9: Results of sex-combined Mendelian randomization analysis for hearing difficulty (HD) and brain imaging-derived phenotypes (IDPs).</t>
  </si>
  <si>
    <t>Supplementary Table S10: Results of Mendelian randomization analysis for hearing difficulty (HD) and brain imaging-derived phenotypes (IDPs) in females.</t>
  </si>
  <si>
    <t>Supplementary Table S11: Results of Mendelian randomization analysis for hearing difficulty (HD) and brain imaging-derived phenotypes (IDPs)in males.</t>
  </si>
  <si>
    <t>Supplementary Table S12: Results of multivariable generalized linear regression analysis for hearing difficulty (HD) and brain imaging-derived phenotypes (IDPs) identified in the Mendelian randomization analysis.</t>
  </si>
  <si>
    <t>Supplementary Table S13: Local genetic correlation between hearing difficulty (HD) and brain imaging-derived phenotypes (IDPs) identified in the Mendelian randomization analysis.</t>
  </si>
  <si>
    <t>Supplementary Table S14: Colocalization between hearing difficulty (HD) and brain imaging-derived phenotypes (IDPs) identified in the female Mendelian randomization analysis.</t>
  </si>
  <si>
    <t>Supplementary Table S17: Colocalization between hearing difficulty (HD), brain imaging-derived phenotype of volume of left primary visual cortex (IDP 0419: BA-exvivo lh volume V1), and three genes transcriptomic regulation in brain tissues from GTEx v.8 release.</t>
  </si>
  <si>
    <r>
      <t xml:space="preserve">Supplementary Table S16: Colocalization between hearing difficulty (HD), brain imaging-derived phenotype of volume of left hippocampus (IDP 0199: aseg lh volume Hippocampus), and </t>
    </r>
    <r>
      <rPr>
        <i/>
        <sz val="11"/>
        <color theme="1"/>
        <rFont val="Arial"/>
        <family val="2"/>
      </rPr>
      <t>NINJ1</t>
    </r>
    <r>
      <rPr>
        <sz val="11"/>
        <color theme="1"/>
        <rFont val="Arial"/>
        <family val="2"/>
      </rPr>
      <t xml:space="preserve"> transcriptomic regulation in brain tissues from GTEx v.8 release. </t>
    </r>
  </si>
  <si>
    <t>Supplementary Table S16: Colocalization between hearing difficulty (HD), brain imaging-derived phenotype of volume of left hippocampus (IDP 0199: aseg lh volume Hippocampus), and NINJ1 transcriptomic regulation in brain tissues from GTEx v.8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</si>
</sst>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sz val="11"/>
      <color theme="1"/>
      <name val="Arial"/>
      <family val="2"/>
    </font>
    <font>
      <b/>
      <sz val="11"/>
      <color theme="1"/>
      <name val="Arial"/>
      <family val="2"/>
    </font>
    <font>
      <sz val="11"/>
      <color rgb="FF000000"/>
      <name val="Arial"/>
      <family val="2"/>
    </font>
    <font>
      <i/>
      <sz val="11"/>
      <color theme="1"/>
      <name val="Arial"/>
      <family val="2"/>
    </font>
    <font>
      <u/>
      <sz val="11"/>
      <color theme="1"/>
      <name val="Arial"/>
      <family val="2"/>
    </font>
    <font>
      <b/>
      <i/>
      <sz val="11"/>
      <color theme="1"/>
      <name val="Arial"/>
      <family val="2"/>
    </font>
    <font>
      <b/>
      <vertAlign val="subscript"/>
      <sz val="11"/>
      <color theme="1"/>
      <name val="Arial"/>
      <family val="2"/>
    </font>
    <font>
      <b/>
      <sz val="12"/>
      <color theme="1"/>
      <name val="Calibri"/>
      <family val="2"/>
      <scheme val="minor"/>
    </font>
    <font>
      <sz val="12"/>
      <color theme="1"/>
      <name val="Calibri"/>
      <family val="2"/>
      <scheme val="minor"/>
    </font>
  </fonts>
  <fills count="3">
    <fill>
      <patternFill patternType="none"/>
    </fill>
    <fill>
      <patternFill patternType="gray125"/>
    </fill>
    <fill>
      <patternFill patternType="solid">
        <fgColor theme="4" tint="0.59999389629810485"/>
        <bgColor indexed="64"/>
      </patternFill>
    </fill>
  </fills>
  <borders count="1">
    <border>
      <left/>
      <right/>
      <top/>
      <bottom/>
      <diagonal/>
    </border>
  </borders>
  <cellStyleXfs count="1">
    <xf numFmtId="0" fontId="0" fillId="0" borderId="0"/>
  </cellStyleXfs>
  <cellXfs count="30">
    <xf numFmtId="0" fontId="0" fillId="0" borderId="0" xfId="0"/>
    <xf numFmtId="0" fontId="2" fillId="0" borderId="0" xfId="0" applyFont="1" applyAlignment="1">
      <alignment vertical="center"/>
    </xf>
    <xf numFmtId="0" fontId="2" fillId="0" borderId="0" xfId="0" applyFont="1"/>
    <xf numFmtId="11" fontId="2" fillId="0" borderId="0" xfId="0" applyNumberFormat="1" applyFont="1"/>
    <xf numFmtId="0" fontId="3" fillId="2" borderId="0" xfId="0" applyFont="1" applyFill="1" applyAlignment="1">
      <alignment horizontal="center"/>
    </xf>
    <xf numFmtId="0" fontId="2" fillId="0" borderId="0" xfId="0" applyFont="1" applyAlignment="1">
      <alignment horizontal="center"/>
    </xf>
    <xf numFmtId="0" fontId="0" fillId="0" borderId="0" xfId="0" applyAlignment="1">
      <alignment horizontal="center"/>
    </xf>
    <xf numFmtId="0" fontId="2" fillId="0" borderId="0" xfId="0" applyFont="1" applyAlignment="1">
      <alignment horizontal="left" vertical="center"/>
    </xf>
    <xf numFmtId="0" fontId="2" fillId="0" borderId="0" xfId="0" applyFont="1" applyAlignment="1">
      <alignment horizontal="left"/>
    </xf>
    <xf numFmtId="0" fontId="6" fillId="0" borderId="0" xfId="0" applyFont="1" applyAlignment="1">
      <alignment horizontal="center"/>
    </xf>
    <xf numFmtId="0" fontId="3" fillId="2" borderId="0" xfId="0" applyFont="1" applyFill="1" applyAlignment="1">
      <alignment horizontal="left"/>
    </xf>
    <xf numFmtId="0" fontId="0" fillId="0" borderId="0" xfId="0" applyAlignment="1">
      <alignment horizontal="left"/>
    </xf>
    <xf numFmtId="0" fontId="1" fillId="0" borderId="0" xfId="0" applyFont="1" applyAlignment="1">
      <alignment horizontal="left"/>
    </xf>
    <xf numFmtId="0" fontId="3" fillId="2" borderId="0" xfId="0" applyFont="1" applyFill="1" applyAlignment="1">
      <alignment horizontal="left" vertical="center"/>
    </xf>
    <xf numFmtId="0" fontId="3" fillId="2" borderId="0" xfId="0" applyFont="1" applyFill="1"/>
    <xf numFmtId="0" fontId="2" fillId="0" borderId="0" xfId="0" applyFont="1" applyAlignment="1">
      <alignment horizontal="right"/>
    </xf>
    <xf numFmtId="0" fontId="0" fillId="0" borderId="0" xfId="0" applyAlignment="1">
      <alignment horizontal="right"/>
    </xf>
    <xf numFmtId="49" fontId="2" fillId="0" borderId="0" xfId="0" applyNumberFormat="1" applyFont="1"/>
    <xf numFmtId="49" fontId="3" fillId="2" borderId="0" xfId="0" applyNumberFormat="1" applyFont="1" applyFill="1" applyAlignment="1">
      <alignment horizontal="left"/>
    </xf>
    <xf numFmtId="49" fontId="4" fillId="0" borderId="0" xfId="0" applyNumberFormat="1" applyFont="1" applyAlignment="1">
      <alignment vertical="center" wrapText="1"/>
    </xf>
    <xf numFmtId="0" fontId="2" fillId="0" borderId="0" xfId="0" applyFont="1" applyAlignment="1">
      <alignment horizontal="right" vertical="center" wrapText="1"/>
    </xf>
    <xf numFmtId="49" fontId="3" fillId="2" borderId="0" xfId="0" applyNumberFormat="1" applyFont="1" applyFill="1" applyAlignment="1">
      <alignment horizontal="left" vertical="center"/>
    </xf>
    <xf numFmtId="49" fontId="3" fillId="2" borderId="0" xfId="0" applyNumberFormat="1" applyFont="1" applyFill="1" applyAlignment="1">
      <alignment horizontal="left" vertical="center" wrapText="1"/>
    </xf>
    <xf numFmtId="0" fontId="3" fillId="2" borderId="0" xfId="0" applyFont="1" applyFill="1" applyAlignment="1">
      <alignment horizontal="left" vertical="center" wrapText="1"/>
    </xf>
    <xf numFmtId="49" fontId="2" fillId="0" borderId="0" xfId="0" applyNumberFormat="1" applyFont="1" applyAlignment="1">
      <alignment horizontal="left"/>
    </xf>
    <xf numFmtId="49" fontId="4" fillId="0" borderId="0" xfId="0" applyNumberFormat="1" applyFont="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left"/>
    </xf>
    <xf numFmtId="0" fontId="9" fillId="0" borderId="0" xfId="0" applyFont="1"/>
    <xf numFmtId="0" fontId="10"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CC524-ED05-4BB5-8EB3-55C993BBE068}">
  <dimension ref="A2:A34"/>
  <sheetViews>
    <sheetView tabSelected="1" workbookViewId="0">
      <selection activeCell="D39" sqref="D39"/>
    </sheetView>
  </sheetViews>
  <sheetFormatPr defaultRowHeight="15" x14ac:dyDescent="0.25"/>
  <sheetData>
    <row r="2" spans="1:1" s="29" customFormat="1" ht="15.75" x14ac:dyDescent="0.25">
      <c r="A2" s="28" t="s">
        <v>12309</v>
      </c>
    </row>
    <row r="3" spans="1:1" s="29" customFormat="1" ht="15.75" x14ac:dyDescent="0.25">
      <c r="A3" s="28"/>
    </row>
    <row r="4" spans="1:1" s="29" customFormat="1" ht="15.75" x14ac:dyDescent="0.25">
      <c r="A4" s="28" t="s">
        <v>12327</v>
      </c>
    </row>
    <row r="5" spans="1:1" s="29" customFormat="1" ht="15.75" x14ac:dyDescent="0.25">
      <c r="A5" s="28"/>
    </row>
    <row r="6" spans="1:1" s="29" customFormat="1" ht="15.75" x14ac:dyDescent="0.25">
      <c r="A6" s="28" t="s">
        <v>12328</v>
      </c>
    </row>
    <row r="7" spans="1:1" s="29" customFormat="1" ht="15.75" x14ac:dyDescent="0.25">
      <c r="A7" s="28"/>
    </row>
    <row r="8" spans="1:1" s="29" customFormat="1" ht="15.75" x14ac:dyDescent="0.25">
      <c r="A8" s="28" t="s">
        <v>12329</v>
      </c>
    </row>
    <row r="9" spans="1:1" s="29" customFormat="1" ht="15.75" x14ac:dyDescent="0.25">
      <c r="A9" s="28"/>
    </row>
    <row r="10" spans="1:1" s="29" customFormat="1" ht="15.75" x14ac:dyDescent="0.25">
      <c r="A10" s="28" t="s">
        <v>12330</v>
      </c>
    </row>
    <row r="11" spans="1:1" s="29" customFormat="1" ht="15.75" x14ac:dyDescent="0.25">
      <c r="A11" s="28"/>
    </row>
    <row r="12" spans="1:1" s="29" customFormat="1" ht="15.75" x14ac:dyDescent="0.25">
      <c r="A12" s="28" t="s">
        <v>12331</v>
      </c>
    </row>
    <row r="13" spans="1:1" s="29" customFormat="1" ht="15.75" x14ac:dyDescent="0.25">
      <c r="A13" s="28"/>
    </row>
    <row r="14" spans="1:1" s="29" customFormat="1" ht="15.75" x14ac:dyDescent="0.25">
      <c r="A14" s="28" t="s">
        <v>12332</v>
      </c>
    </row>
    <row r="15" spans="1:1" s="29" customFormat="1" ht="15.75" x14ac:dyDescent="0.25">
      <c r="A15" s="28"/>
    </row>
    <row r="16" spans="1:1" s="29" customFormat="1" ht="15.75" x14ac:dyDescent="0.25">
      <c r="A16" s="28" t="s">
        <v>12333</v>
      </c>
    </row>
    <row r="17" spans="1:1" s="29" customFormat="1" ht="15.75" x14ac:dyDescent="0.25">
      <c r="A17" s="28"/>
    </row>
    <row r="18" spans="1:1" s="29" customFormat="1" ht="15.75" x14ac:dyDescent="0.25">
      <c r="A18" s="28" t="s">
        <v>12334</v>
      </c>
    </row>
    <row r="19" spans="1:1" s="29" customFormat="1" ht="15.75" x14ac:dyDescent="0.25">
      <c r="A19" s="28"/>
    </row>
    <row r="20" spans="1:1" s="29" customFormat="1" ht="15.75" x14ac:dyDescent="0.25">
      <c r="A20" s="28" t="s">
        <v>12335</v>
      </c>
    </row>
    <row r="21" spans="1:1" s="29" customFormat="1" ht="15.75" x14ac:dyDescent="0.25">
      <c r="A21" s="28"/>
    </row>
    <row r="22" spans="1:1" s="29" customFormat="1" ht="15.75" x14ac:dyDescent="0.25">
      <c r="A22" s="28" t="s">
        <v>12336</v>
      </c>
    </row>
    <row r="23" spans="1:1" s="29" customFormat="1" ht="15.75" x14ac:dyDescent="0.25">
      <c r="A23" s="28"/>
    </row>
    <row r="24" spans="1:1" s="29" customFormat="1" ht="15.75" x14ac:dyDescent="0.25">
      <c r="A24" s="28" t="s">
        <v>12337</v>
      </c>
    </row>
    <row r="25" spans="1:1" s="29" customFormat="1" ht="15.75" x14ac:dyDescent="0.25">
      <c r="A25" s="28"/>
    </row>
    <row r="26" spans="1:1" s="29" customFormat="1" ht="15.75" x14ac:dyDescent="0.25">
      <c r="A26" s="28" t="s">
        <v>12338</v>
      </c>
    </row>
    <row r="27" spans="1:1" s="29" customFormat="1" ht="15.75" x14ac:dyDescent="0.25">
      <c r="A27" s="28"/>
    </row>
    <row r="28" spans="1:1" s="29" customFormat="1" ht="15.75" x14ac:dyDescent="0.25">
      <c r="A28" s="28" t="s">
        <v>12339</v>
      </c>
    </row>
    <row r="29" spans="1:1" s="29" customFormat="1" ht="15.75" x14ac:dyDescent="0.25">
      <c r="A29" s="28"/>
    </row>
    <row r="30" spans="1:1" s="29" customFormat="1" ht="15.75" x14ac:dyDescent="0.25">
      <c r="A30" s="28" t="s">
        <v>12311</v>
      </c>
    </row>
    <row r="31" spans="1:1" s="29" customFormat="1" ht="15.75" x14ac:dyDescent="0.25">
      <c r="A31" s="28"/>
    </row>
    <row r="32" spans="1:1" s="29" customFormat="1" ht="15.75" x14ac:dyDescent="0.25">
      <c r="A32" s="28" t="s">
        <v>12342</v>
      </c>
    </row>
    <row r="33" spans="1:1" s="29" customFormat="1" ht="15.75" x14ac:dyDescent="0.25">
      <c r="A33" s="28"/>
    </row>
    <row r="34" spans="1:1" s="29" customFormat="1" ht="15.75" x14ac:dyDescent="0.25">
      <c r="A34" s="28" t="s">
        <v>12340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56CFC-4E0B-465F-9000-4D1072B107BB}">
  <dimension ref="A1:I12"/>
  <sheetViews>
    <sheetView workbookViewId="0"/>
  </sheetViews>
  <sheetFormatPr defaultColWidth="9.140625" defaultRowHeight="15" x14ac:dyDescent="0.25"/>
  <cols>
    <col min="1" max="1" width="12.5703125" customWidth="1"/>
    <col min="2" max="2" width="7.28515625" bestFit="1" customWidth="1"/>
    <col min="3" max="3" width="8.42578125" bestFit="1" customWidth="1"/>
    <col min="4" max="4" width="46.7109375" bestFit="1" customWidth="1"/>
    <col min="5" max="5" width="26.28515625" bestFit="1" customWidth="1"/>
    <col min="6" max="6" width="6.85546875" style="16" bestFit="1" customWidth="1"/>
    <col min="7" max="7" width="18.140625" style="16" bestFit="1" customWidth="1"/>
    <col min="8" max="8" width="21.85546875" style="16" bestFit="1" customWidth="1"/>
    <col min="9" max="9" width="20.5703125" style="16" bestFit="1" customWidth="1"/>
    <col min="10" max="16384" width="9.140625" style="6"/>
  </cols>
  <sheetData>
    <row r="1" spans="1:9" s="11" customFormat="1" x14ac:dyDescent="0.25">
      <c r="A1" s="1" t="s">
        <v>12334</v>
      </c>
      <c r="B1" s="8"/>
      <c r="C1" s="8"/>
      <c r="D1" s="8"/>
      <c r="E1" s="8"/>
      <c r="F1" s="8"/>
      <c r="G1" s="8"/>
      <c r="H1" s="8"/>
      <c r="I1" s="8"/>
    </row>
    <row r="2" spans="1:9" s="11" customFormat="1" x14ac:dyDescent="0.25">
      <c r="A2" s="18" t="s">
        <v>10065</v>
      </c>
      <c r="B2" s="18" t="s">
        <v>10038</v>
      </c>
      <c r="C2" s="10" t="s">
        <v>0</v>
      </c>
      <c r="D2" s="10" t="s">
        <v>1</v>
      </c>
      <c r="E2" s="10" t="s">
        <v>10039</v>
      </c>
      <c r="F2" s="10" t="s">
        <v>10064</v>
      </c>
      <c r="G2" s="10" t="s">
        <v>10063</v>
      </c>
      <c r="H2" s="10" t="s">
        <v>10062</v>
      </c>
      <c r="I2" s="10" t="s">
        <v>10061</v>
      </c>
    </row>
    <row r="3" spans="1:9" x14ac:dyDescent="0.25">
      <c r="A3" s="17" t="s">
        <v>12325</v>
      </c>
      <c r="B3" s="17" t="s">
        <v>662</v>
      </c>
      <c r="C3" s="2" t="s">
        <v>663</v>
      </c>
      <c r="D3" s="2" t="s">
        <v>664</v>
      </c>
      <c r="E3" s="2" t="s">
        <v>10040</v>
      </c>
      <c r="F3" s="15">
        <v>17</v>
      </c>
      <c r="G3" s="15">
        <v>-0.19126079904459789</v>
      </c>
      <c r="H3" s="15">
        <v>7.8425316457127081E-2</v>
      </c>
      <c r="I3" s="15">
        <v>1.4737609942411561E-2</v>
      </c>
    </row>
    <row r="4" spans="1:9" x14ac:dyDescent="0.25">
      <c r="A4" s="17" t="s">
        <v>12325</v>
      </c>
      <c r="B4" s="17" t="s">
        <v>1826</v>
      </c>
      <c r="C4" s="2" t="s">
        <v>1827</v>
      </c>
      <c r="D4" s="2" t="s">
        <v>1828</v>
      </c>
      <c r="E4" s="2" t="s">
        <v>10040</v>
      </c>
      <c r="F4" s="15">
        <v>23</v>
      </c>
      <c r="G4" s="15">
        <v>-7.1967762594138993E-2</v>
      </c>
      <c r="H4" s="15">
        <v>6.6933997443842833E-2</v>
      </c>
      <c r="I4" s="15">
        <v>0.28228299834462878</v>
      </c>
    </row>
    <row r="5" spans="1:9" x14ac:dyDescent="0.25">
      <c r="A5" s="17" t="s">
        <v>12325</v>
      </c>
      <c r="B5" s="17" t="s">
        <v>9285</v>
      </c>
      <c r="C5" s="2" t="s">
        <v>7007</v>
      </c>
      <c r="D5" s="2" t="s">
        <v>9286</v>
      </c>
      <c r="E5" s="2" t="s">
        <v>10055</v>
      </c>
      <c r="F5" s="15">
        <v>19</v>
      </c>
      <c r="G5" s="15">
        <v>8.0055742939099145E-2</v>
      </c>
      <c r="H5" s="15">
        <v>7.9165516204866421E-2</v>
      </c>
      <c r="I5" s="15">
        <v>0.31189911933691561</v>
      </c>
    </row>
    <row r="6" spans="1:9" x14ac:dyDescent="0.25">
      <c r="A6" s="17" t="s">
        <v>12326</v>
      </c>
      <c r="B6" s="17" t="s">
        <v>662</v>
      </c>
      <c r="C6" s="2" t="s">
        <v>663</v>
      </c>
      <c r="D6" s="2" t="s">
        <v>664</v>
      </c>
      <c r="E6" s="2" t="s">
        <v>10040</v>
      </c>
      <c r="F6" s="15">
        <v>173</v>
      </c>
      <c r="G6" s="15">
        <v>-7.5362017689428976E-2</v>
      </c>
      <c r="H6" s="15">
        <v>8.3387501011164128E-2</v>
      </c>
      <c r="I6" s="15">
        <v>0.36612439483648379</v>
      </c>
    </row>
    <row r="7" spans="1:9" x14ac:dyDescent="0.25">
      <c r="A7" s="17" t="s">
        <v>12325</v>
      </c>
      <c r="B7" s="17" t="s">
        <v>197</v>
      </c>
      <c r="C7" s="2" t="s">
        <v>198</v>
      </c>
      <c r="D7" s="2" t="s">
        <v>199</v>
      </c>
      <c r="E7" s="2" t="s">
        <v>10040</v>
      </c>
      <c r="F7" s="15">
        <v>18</v>
      </c>
      <c r="G7" s="15">
        <v>-5.5901526279969513E-2</v>
      </c>
      <c r="H7" s="15">
        <v>7.7266585040915353E-2</v>
      </c>
      <c r="I7" s="15">
        <v>0.46937949438003013</v>
      </c>
    </row>
    <row r="8" spans="1:9" x14ac:dyDescent="0.25">
      <c r="A8" s="17" t="s">
        <v>12326</v>
      </c>
      <c r="B8" s="17" t="s">
        <v>197</v>
      </c>
      <c r="C8" s="2" t="s">
        <v>198</v>
      </c>
      <c r="D8" s="2" t="s">
        <v>199</v>
      </c>
      <c r="E8" s="2" t="s">
        <v>10040</v>
      </c>
      <c r="F8" s="15">
        <v>173</v>
      </c>
      <c r="G8" s="15">
        <v>-4.2299859397387549E-2</v>
      </c>
      <c r="H8" s="15">
        <v>8.072913633525082E-2</v>
      </c>
      <c r="I8" s="15">
        <v>0.60029756364398446</v>
      </c>
    </row>
    <row r="9" spans="1:9" x14ac:dyDescent="0.25">
      <c r="A9" s="17" t="s">
        <v>12325</v>
      </c>
      <c r="B9" s="17" t="s">
        <v>6527</v>
      </c>
      <c r="C9" s="2" t="s">
        <v>6475</v>
      </c>
      <c r="D9" s="2" t="s">
        <v>6528</v>
      </c>
      <c r="E9" s="2" t="s">
        <v>10054</v>
      </c>
      <c r="F9" s="15">
        <v>28</v>
      </c>
      <c r="G9" s="15">
        <v>1.416860421034504E-2</v>
      </c>
      <c r="H9" s="15">
        <v>2.845975353190007E-2</v>
      </c>
      <c r="I9" s="15">
        <v>0.6185918538097317</v>
      </c>
    </row>
    <row r="10" spans="1:9" x14ac:dyDescent="0.25">
      <c r="A10" s="17" t="s">
        <v>12326</v>
      </c>
      <c r="B10" s="17" t="s">
        <v>1826</v>
      </c>
      <c r="C10" s="2" t="s">
        <v>1827</v>
      </c>
      <c r="D10" s="2" t="s">
        <v>1828</v>
      </c>
      <c r="E10" s="2" t="s">
        <v>10040</v>
      </c>
      <c r="F10" s="15">
        <v>173</v>
      </c>
      <c r="G10" s="15">
        <v>-3.5423104603031441E-2</v>
      </c>
      <c r="H10" s="15">
        <v>8.1257590506129296E-2</v>
      </c>
      <c r="I10" s="15">
        <v>0.66288320380236676</v>
      </c>
    </row>
    <row r="11" spans="1:9" x14ac:dyDescent="0.25">
      <c r="A11" s="17" t="s">
        <v>12326</v>
      </c>
      <c r="B11" s="17" t="s">
        <v>6527</v>
      </c>
      <c r="C11" s="2" t="s">
        <v>6475</v>
      </c>
      <c r="D11" s="2" t="s">
        <v>6528</v>
      </c>
      <c r="E11" s="2" t="s">
        <v>10054</v>
      </c>
      <c r="F11" s="15">
        <v>173</v>
      </c>
      <c r="G11" s="15">
        <v>-1.702343809205981E-2</v>
      </c>
      <c r="H11" s="15">
        <v>8.6739341174196086E-2</v>
      </c>
      <c r="I11" s="15">
        <v>0.84440689351341414</v>
      </c>
    </row>
    <row r="12" spans="1:9" x14ac:dyDescent="0.25">
      <c r="A12" s="17" t="s">
        <v>12326</v>
      </c>
      <c r="B12" s="17" t="s">
        <v>9285</v>
      </c>
      <c r="C12" s="2" t="s">
        <v>7007</v>
      </c>
      <c r="D12" s="2" t="s">
        <v>9286</v>
      </c>
      <c r="E12" s="2" t="s">
        <v>10055</v>
      </c>
      <c r="F12" s="15">
        <v>173</v>
      </c>
      <c r="G12" s="15">
        <v>1.027396365131115E-2</v>
      </c>
      <c r="H12" s="15">
        <v>8.6409972249272396E-2</v>
      </c>
      <c r="I12" s="15">
        <v>0.90535625091098382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0C84-CB62-410B-9EBC-D97F0F84F3EC}">
  <dimension ref="A1:I56"/>
  <sheetViews>
    <sheetView workbookViewId="0"/>
  </sheetViews>
  <sheetFormatPr defaultColWidth="9" defaultRowHeight="14.25" x14ac:dyDescent="0.2"/>
  <cols>
    <col min="1" max="1" width="11.85546875" style="2" customWidth="1"/>
    <col min="2" max="2" width="7.28515625" style="2" bestFit="1" customWidth="1"/>
    <col min="3" max="3" width="8.42578125" style="2" bestFit="1" customWidth="1"/>
    <col min="4" max="4" width="47.85546875" style="2" bestFit="1" customWidth="1"/>
    <col min="5" max="5" width="26.28515625" style="2" bestFit="1" customWidth="1"/>
    <col min="6" max="6" width="6.85546875" style="15" bestFit="1" customWidth="1"/>
    <col min="7" max="7" width="18.140625" style="15" bestFit="1" customWidth="1"/>
    <col min="8" max="8" width="21.85546875" style="15" bestFit="1" customWidth="1"/>
    <col min="9" max="9" width="20.5703125" style="15" bestFit="1" customWidth="1"/>
    <col min="10" max="16384" width="9" style="2"/>
  </cols>
  <sheetData>
    <row r="1" spans="1:9" s="8" customFormat="1" x14ac:dyDescent="0.2">
      <c r="A1" s="1" t="s">
        <v>12335</v>
      </c>
    </row>
    <row r="2" spans="1:9" s="8" customFormat="1" ht="15" x14ac:dyDescent="0.25">
      <c r="A2" s="10" t="s">
        <v>10065</v>
      </c>
      <c r="B2" s="18" t="s">
        <v>10038</v>
      </c>
      <c r="C2" s="10" t="s">
        <v>0</v>
      </c>
      <c r="D2" s="10" t="s">
        <v>1</v>
      </c>
      <c r="E2" s="10" t="s">
        <v>10039</v>
      </c>
      <c r="F2" s="10" t="s">
        <v>10064</v>
      </c>
      <c r="G2" s="10" t="s">
        <v>10063</v>
      </c>
      <c r="H2" s="10" t="s">
        <v>10062</v>
      </c>
      <c r="I2" s="10" t="s">
        <v>10061</v>
      </c>
    </row>
    <row r="3" spans="1:9" x14ac:dyDescent="0.2">
      <c r="A3" s="17" t="s">
        <v>12325</v>
      </c>
      <c r="B3" s="17" t="s">
        <v>599</v>
      </c>
      <c r="C3" s="2" t="s">
        <v>600</v>
      </c>
      <c r="D3" s="2" t="s">
        <v>601</v>
      </c>
      <c r="E3" s="2" t="s">
        <v>10040</v>
      </c>
      <c r="F3" s="15">
        <v>60</v>
      </c>
      <c r="G3" s="15">
        <v>-1.9528695519026851E-2</v>
      </c>
      <c r="H3" s="15">
        <v>7.87111590518824E-3</v>
      </c>
      <c r="I3" s="15">
        <v>1.3099303627699061E-2</v>
      </c>
    </row>
    <row r="4" spans="1:9" x14ac:dyDescent="0.2">
      <c r="A4" s="17" t="s">
        <v>12325</v>
      </c>
      <c r="B4" s="17" t="s">
        <v>494</v>
      </c>
      <c r="C4" s="2" t="s">
        <v>495</v>
      </c>
      <c r="D4" s="2" t="s">
        <v>496</v>
      </c>
      <c r="E4" s="2" t="s">
        <v>10040</v>
      </c>
      <c r="F4" s="15">
        <v>41</v>
      </c>
      <c r="G4" s="15">
        <v>-3.4699497006725491E-2</v>
      </c>
      <c r="H4" s="15">
        <v>1.471466474042603E-2</v>
      </c>
      <c r="I4" s="15">
        <v>1.8365898899386859E-2</v>
      </c>
    </row>
    <row r="5" spans="1:9" x14ac:dyDescent="0.2">
      <c r="A5" s="17" t="s">
        <v>12325</v>
      </c>
      <c r="B5" s="17" t="s">
        <v>1259</v>
      </c>
      <c r="C5" s="2" t="s">
        <v>1260</v>
      </c>
      <c r="D5" s="2" t="s">
        <v>1261</v>
      </c>
      <c r="E5" s="2" t="s">
        <v>10040</v>
      </c>
      <c r="F5" s="15">
        <v>38</v>
      </c>
      <c r="G5" s="15">
        <v>3.0047976615773329E-2</v>
      </c>
      <c r="H5" s="15">
        <v>1.4414990349221231E-2</v>
      </c>
      <c r="I5" s="15">
        <v>3.7115156314682173E-2</v>
      </c>
    </row>
    <row r="6" spans="1:9" x14ac:dyDescent="0.2">
      <c r="A6" s="17" t="s">
        <v>12326</v>
      </c>
      <c r="B6" s="17" t="s">
        <v>6565</v>
      </c>
      <c r="C6" s="2" t="s">
        <v>6475</v>
      </c>
      <c r="D6" s="2" t="s">
        <v>6566</v>
      </c>
      <c r="E6" s="2" t="s">
        <v>10054</v>
      </c>
      <c r="F6" s="15">
        <v>131</v>
      </c>
      <c r="G6" s="15">
        <v>0.23933705916735401</v>
      </c>
      <c r="H6" s="15">
        <v>0.11637427981549089</v>
      </c>
      <c r="I6" s="15">
        <v>3.9723299282614442E-2</v>
      </c>
    </row>
    <row r="7" spans="1:9" x14ac:dyDescent="0.2">
      <c r="A7" s="17" t="s">
        <v>12325</v>
      </c>
      <c r="B7" s="17" t="s">
        <v>791</v>
      </c>
      <c r="C7" s="2" t="s">
        <v>792</v>
      </c>
      <c r="D7" s="2" t="s">
        <v>793</v>
      </c>
      <c r="E7" s="2" t="s">
        <v>10040</v>
      </c>
      <c r="F7" s="15">
        <v>39</v>
      </c>
      <c r="G7" s="15">
        <v>-2.5774927786236961E-2</v>
      </c>
      <c r="H7" s="15">
        <v>1.380600028892227E-2</v>
      </c>
      <c r="I7" s="15">
        <v>6.1910436473749463E-2</v>
      </c>
    </row>
    <row r="8" spans="1:9" x14ac:dyDescent="0.2">
      <c r="A8" s="17" t="s">
        <v>12325</v>
      </c>
      <c r="B8" s="17" t="s">
        <v>1091</v>
      </c>
      <c r="C8" s="2" t="s">
        <v>1092</v>
      </c>
      <c r="D8" s="2" t="s">
        <v>1093</v>
      </c>
      <c r="E8" s="2" t="s">
        <v>10040</v>
      </c>
      <c r="F8" s="15">
        <v>45</v>
      </c>
      <c r="G8" s="15">
        <v>1.995550976945545E-2</v>
      </c>
      <c r="H8" s="15">
        <v>1.2427857174438469E-2</v>
      </c>
      <c r="I8" s="15">
        <v>0.1083380812790516</v>
      </c>
    </row>
    <row r="9" spans="1:9" x14ac:dyDescent="0.2">
      <c r="A9" s="17" t="s">
        <v>12325</v>
      </c>
      <c r="B9" s="17" t="s">
        <v>746</v>
      </c>
      <c r="C9" s="2" t="s">
        <v>747</v>
      </c>
      <c r="D9" s="2" t="s">
        <v>748</v>
      </c>
      <c r="E9" s="2" t="s">
        <v>10040</v>
      </c>
      <c r="F9" s="15">
        <v>40</v>
      </c>
      <c r="G9" s="15">
        <v>-2.0664422086604149E-2</v>
      </c>
      <c r="H9" s="15">
        <v>1.4174161384261551E-2</v>
      </c>
      <c r="I9" s="15">
        <v>0.14486981620868131</v>
      </c>
    </row>
    <row r="10" spans="1:9" x14ac:dyDescent="0.2">
      <c r="A10" s="17" t="s">
        <v>12325</v>
      </c>
      <c r="B10" s="17" t="s">
        <v>767</v>
      </c>
      <c r="C10" s="2" t="s">
        <v>768</v>
      </c>
      <c r="D10" s="2" t="s">
        <v>769</v>
      </c>
      <c r="E10" s="2" t="s">
        <v>10040</v>
      </c>
      <c r="F10" s="15">
        <v>39</v>
      </c>
      <c r="G10" s="15">
        <v>2.0192233862601359E-2</v>
      </c>
      <c r="H10" s="15">
        <v>1.499475841816896E-2</v>
      </c>
      <c r="I10" s="15">
        <v>0.17810281531243469</v>
      </c>
    </row>
    <row r="11" spans="1:9" x14ac:dyDescent="0.2">
      <c r="A11" s="17" t="s">
        <v>12326</v>
      </c>
      <c r="B11" s="17" t="s">
        <v>3764</v>
      </c>
      <c r="C11" s="2" t="s">
        <v>3765</v>
      </c>
      <c r="D11" s="2" t="s">
        <v>3766</v>
      </c>
      <c r="E11" s="2" t="s">
        <v>10042</v>
      </c>
      <c r="F11" s="15">
        <v>131</v>
      </c>
      <c r="G11" s="15">
        <v>-0.12662202433188449</v>
      </c>
      <c r="H11" s="15">
        <v>0.10779761840933361</v>
      </c>
      <c r="I11" s="15">
        <v>0.2401438604941562</v>
      </c>
    </row>
    <row r="12" spans="1:9" x14ac:dyDescent="0.2">
      <c r="A12" s="17" t="s">
        <v>12326</v>
      </c>
      <c r="B12" s="17" t="s">
        <v>599</v>
      </c>
      <c r="C12" s="2" t="s">
        <v>600</v>
      </c>
      <c r="D12" s="2" t="s">
        <v>601</v>
      </c>
      <c r="E12" s="2" t="s">
        <v>10040</v>
      </c>
      <c r="F12" s="15">
        <v>131</v>
      </c>
      <c r="G12" s="15">
        <v>0.12930545432203111</v>
      </c>
      <c r="H12" s="15">
        <v>0.11289828420060979</v>
      </c>
      <c r="I12" s="15">
        <v>0.25207372114925752</v>
      </c>
    </row>
    <row r="13" spans="1:9" x14ac:dyDescent="0.2">
      <c r="A13" s="17" t="s">
        <v>12325</v>
      </c>
      <c r="B13" s="17" t="s">
        <v>3092</v>
      </c>
      <c r="C13" s="2" t="s">
        <v>3093</v>
      </c>
      <c r="D13" s="2" t="s">
        <v>3094</v>
      </c>
      <c r="E13" s="2" t="s">
        <v>10042</v>
      </c>
      <c r="F13" s="15">
        <v>44</v>
      </c>
      <c r="G13" s="15">
        <v>1.7577056771127669E-2</v>
      </c>
      <c r="H13" s="15">
        <v>1.5825614524258739E-2</v>
      </c>
      <c r="I13" s="15">
        <v>0.26670983525431258</v>
      </c>
    </row>
    <row r="14" spans="1:9" x14ac:dyDescent="0.2">
      <c r="A14" s="17" t="s">
        <v>12325</v>
      </c>
      <c r="B14" s="17" t="s">
        <v>794</v>
      </c>
      <c r="C14" s="2" t="s">
        <v>795</v>
      </c>
      <c r="D14" s="2" t="s">
        <v>796</v>
      </c>
      <c r="E14" s="2" t="s">
        <v>10040</v>
      </c>
      <c r="F14" s="15">
        <v>49</v>
      </c>
      <c r="G14" s="15">
        <v>-1.02960445858297E-2</v>
      </c>
      <c r="H14" s="15">
        <v>9.5850244089789923E-3</v>
      </c>
      <c r="I14" s="15">
        <v>0.2827418711016097</v>
      </c>
    </row>
    <row r="15" spans="1:9" x14ac:dyDescent="0.2">
      <c r="A15" s="17" t="s">
        <v>12326</v>
      </c>
      <c r="B15" s="17" t="s">
        <v>3173</v>
      </c>
      <c r="C15" s="2" t="s">
        <v>3174</v>
      </c>
      <c r="D15" s="2" t="s">
        <v>3175</v>
      </c>
      <c r="E15" s="2" t="s">
        <v>10042</v>
      </c>
      <c r="F15" s="15">
        <v>131</v>
      </c>
      <c r="G15" s="15">
        <v>0.1111923668255916</v>
      </c>
      <c r="H15" s="15">
        <v>0.1116631803826803</v>
      </c>
      <c r="I15" s="15">
        <v>0.31935528694807791</v>
      </c>
    </row>
    <row r="16" spans="1:9" x14ac:dyDescent="0.2">
      <c r="A16" s="17" t="s">
        <v>12326</v>
      </c>
      <c r="B16" s="17" t="s">
        <v>602</v>
      </c>
      <c r="C16" s="2" t="s">
        <v>603</v>
      </c>
      <c r="D16" s="2" t="s">
        <v>604</v>
      </c>
      <c r="E16" s="2" t="s">
        <v>10040</v>
      </c>
      <c r="F16" s="15">
        <v>131</v>
      </c>
      <c r="G16" s="15">
        <v>-0.1102161144155846</v>
      </c>
      <c r="H16" s="15">
        <v>0.1126941745001513</v>
      </c>
      <c r="I16" s="15">
        <v>0.32806900602615119</v>
      </c>
    </row>
    <row r="17" spans="1:9" x14ac:dyDescent="0.2">
      <c r="A17" s="17" t="s">
        <v>12325</v>
      </c>
      <c r="B17" s="17" t="s">
        <v>488</v>
      </c>
      <c r="C17" s="2" t="s">
        <v>489</v>
      </c>
      <c r="D17" s="2" t="s">
        <v>490</v>
      </c>
      <c r="E17" s="2" t="s">
        <v>10040</v>
      </c>
      <c r="F17" s="15">
        <v>44</v>
      </c>
      <c r="G17" s="15">
        <v>-1.2194003576428931E-2</v>
      </c>
      <c r="H17" s="15">
        <v>1.255429696391885E-2</v>
      </c>
      <c r="I17" s="15">
        <v>0.33139831655478402</v>
      </c>
    </row>
    <row r="18" spans="1:9" x14ac:dyDescent="0.2">
      <c r="A18" s="17" t="s">
        <v>12325</v>
      </c>
      <c r="B18" s="17" t="s">
        <v>1370</v>
      </c>
      <c r="C18" s="2" t="s">
        <v>1371</v>
      </c>
      <c r="D18" s="2" t="s">
        <v>1372</v>
      </c>
      <c r="E18" s="2" t="s">
        <v>10040</v>
      </c>
      <c r="F18" s="15">
        <v>43</v>
      </c>
      <c r="G18" s="15">
        <v>1.212240306099662E-2</v>
      </c>
      <c r="H18" s="15">
        <v>1.2753293611622101E-2</v>
      </c>
      <c r="I18" s="15">
        <v>0.34184242509063251</v>
      </c>
    </row>
    <row r="19" spans="1:9" x14ac:dyDescent="0.2">
      <c r="A19" s="17" t="s">
        <v>12325</v>
      </c>
      <c r="B19" s="17" t="s">
        <v>2090</v>
      </c>
      <c r="C19" s="2" t="s">
        <v>2091</v>
      </c>
      <c r="D19" s="2" t="s">
        <v>2092</v>
      </c>
      <c r="E19" s="2" t="s">
        <v>10041</v>
      </c>
      <c r="F19" s="15">
        <v>51</v>
      </c>
      <c r="G19" s="15">
        <v>-1.07731558602465E-2</v>
      </c>
      <c r="H19" s="15">
        <v>1.158424205011719E-2</v>
      </c>
      <c r="I19" s="15">
        <v>0.35237954297640428</v>
      </c>
    </row>
    <row r="20" spans="1:9" x14ac:dyDescent="0.2">
      <c r="A20" s="17" t="s">
        <v>12326</v>
      </c>
      <c r="B20" s="17" t="s">
        <v>488</v>
      </c>
      <c r="C20" s="2" t="s">
        <v>489</v>
      </c>
      <c r="D20" s="2" t="s">
        <v>490</v>
      </c>
      <c r="E20" s="2" t="s">
        <v>10040</v>
      </c>
      <c r="F20" s="15">
        <v>131</v>
      </c>
      <c r="G20" s="15">
        <v>-0.1045286334510078</v>
      </c>
      <c r="H20" s="15">
        <v>0.1145168591100358</v>
      </c>
      <c r="I20" s="15">
        <v>0.36135855860361621</v>
      </c>
    </row>
    <row r="21" spans="1:9" x14ac:dyDescent="0.2">
      <c r="A21" s="17" t="s">
        <v>12325</v>
      </c>
      <c r="B21" s="17" t="s">
        <v>1625</v>
      </c>
      <c r="C21" s="2" t="s">
        <v>1626</v>
      </c>
      <c r="D21" s="2" t="s">
        <v>1627</v>
      </c>
      <c r="E21" s="2" t="s">
        <v>10040</v>
      </c>
      <c r="F21" s="15">
        <v>33</v>
      </c>
      <c r="G21" s="15">
        <v>1.2392281281322521E-2</v>
      </c>
      <c r="H21" s="15">
        <v>1.5201304316734859E-2</v>
      </c>
      <c r="I21" s="15">
        <v>0.41495113629909169</v>
      </c>
    </row>
    <row r="22" spans="1:9" x14ac:dyDescent="0.2">
      <c r="A22" s="17" t="s">
        <v>12326</v>
      </c>
      <c r="B22" s="17" t="s">
        <v>767</v>
      </c>
      <c r="C22" s="2" t="s">
        <v>768</v>
      </c>
      <c r="D22" s="2" t="s">
        <v>769</v>
      </c>
      <c r="E22" s="2" t="s">
        <v>10040</v>
      </c>
      <c r="F22" s="15">
        <v>131</v>
      </c>
      <c r="G22" s="15">
        <v>8.3184590925369339E-2</v>
      </c>
      <c r="H22" s="15">
        <v>0.107645680745139</v>
      </c>
      <c r="I22" s="15">
        <v>0.43966269983544992</v>
      </c>
    </row>
    <row r="23" spans="1:9" x14ac:dyDescent="0.2">
      <c r="A23" s="17" t="s">
        <v>12325</v>
      </c>
      <c r="B23" s="17" t="s">
        <v>4607</v>
      </c>
      <c r="C23" s="2" t="s">
        <v>4608</v>
      </c>
      <c r="D23" s="2" t="s">
        <v>4609</v>
      </c>
      <c r="E23" s="2" t="s">
        <v>10048</v>
      </c>
      <c r="F23" s="15">
        <v>41</v>
      </c>
      <c r="G23" s="15">
        <v>1.022957558712455E-2</v>
      </c>
      <c r="H23" s="15">
        <v>1.4468204200861111E-2</v>
      </c>
      <c r="I23" s="15">
        <v>0.47954263035818889</v>
      </c>
    </row>
    <row r="24" spans="1:9" x14ac:dyDescent="0.2">
      <c r="A24" s="17" t="s">
        <v>12325</v>
      </c>
      <c r="B24" s="17" t="s">
        <v>3173</v>
      </c>
      <c r="C24" s="2" t="s">
        <v>3174</v>
      </c>
      <c r="D24" s="2" t="s">
        <v>3175</v>
      </c>
      <c r="E24" s="2" t="s">
        <v>10042</v>
      </c>
      <c r="F24" s="15">
        <v>35</v>
      </c>
      <c r="G24" s="15">
        <v>1.081265110697179E-2</v>
      </c>
      <c r="H24" s="15">
        <v>1.602508850020035E-2</v>
      </c>
      <c r="I24" s="15">
        <v>0.49984561007707801</v>
      </c>
    </row>
    <row r="25" spans="1:9" x14ac:dyDescent="0.2">
      <c r="A25" s="17" t="s">
        <v>12326</v>
      </c>
      <c r="B25" s="17" t="s">
        <v>3374</v>
      </c>
      <c r="C25" s="2" t="s">
        <v>3375</v>
      </c>
      <c r="D25" s="2" t="s">
        <v>3376</v>
      </c>
      <c r="E25" s="2" t="s">
        <v>10042</v>
      </c>
      <c r="F25" s="15">
        <v>131</v>
      </c>
      <c r="G25" s="15">
        <v>6.9410104995971944E-2</v>
      </c>
      <c r="H25" s="15">
        <v>0.10724437661017371</v>
      </c>
      <c r="I25" s="15">
        <v>0.51749319204344801</v>
      </c>
    </row>
    <row r="26" spans="1:9" x14ac:dyDescent="0.2">
      <c r="A26" s="17" t="s">
        <v>12326</v>
      </c>
      <c r="B26" s="17" t="s">
        <v>3695</v>
      </c>
      <c r="C26" s="2" t="s">
        <v>3696</v>
      </c>
      <c r="D26" s="2" t="s">
        <v>3697</v>
      </c>
      <c r="E26" s="2" t="s">
        <v>10042</v>
      </c>
      <c r="F26" s="15">
        <v>131</v>
      </c>
      <c r="G26" s="15">
        <v>7.0035936690834466E-2</v>
      </c>
      <c r="H26" s="15">
        <v>0.11118396765747759</v>
      </c>
      <c r="I26" s="15">
        <v>0.52875321311674051</v>
      </c>
    </row>
    <row r="27" spans="1:9" x14ac:dyDescent="0.2">
      <c r="A27" s="17" t="s">
        <v>12326</v>
      </c>
      <c r="B27" s="17" t="s">
        <v>794</v>
      </c>
      <c r="C27" s="2" t="s">
        <v>795</v>
      </c>
      <c r="D27" s="2" t="s">
        <v>796</v>
      </c>
      <c r="E27" s="2" t="s">
        <v>10040</v>
      </c>
      <c r="F27" s="15">
        <v>130</v>
      </c>
      <c r="G27" s="15">
        <v>6.6860663203746187E-2</v>
      </c>
      <c r="H27" s="15">
        <v>0.10891065251743851</v>
      </c>
      <c r="I27" s="15">
        <v>0.53927890041643933</v>
      </c>
    </row>
    <row r="28" spans="1:9" x14ac:dyDescent="0.2">
      <c r="A28" s="17" t="s">
        <v>12326</v>
      </c>
      <c r="B28" s="17" t="s">
        <v>3092</v>
      </c>
      <c r="C28" s="2" t="s">
        <v>3093</v>
      </c>
      <c r="D28" s="2" t="s">
        <v>3094</v>
      </c>
      <c r="E28" s="2" t="s">
        <v>10042</v>
      </c>
      <c r="F28" s="15">
        <v>131</v>
      </c>
      <c r="G28" s="15">
        <v>6.3379377230408471E-2</v>
      </c>
      <c r="H28" s="15">
        <v>0.1075077910275271</v>
      </c>
      <c r="I28" s="15">
        <v>0.55550386495660464</v>
      </c>
    </row>
    <row r="29" spans="1:9" x14ac:dyDescent="0.2">
      <c r="A29" s="17" t="s">
        <v>12326</v>
      </c>
      <c r="B29" s="17" t="s">
        <v>1370</v>
      </c>
      <c r="C29" s="2" t="s">
        <v>1371</v>
      </c>
      <c r="D29" s="2" t="s">
        <v>1372</v>
      </c>
      <c r="E29" s="2" t="s">
        <v>10040</v>
      </c>
      <c r="F29" s="15">
        <v>131</v>
      </c>
      <c r="G29" s="15">
        <v>5.5149518519124953E-2</v>
      </c>
      <c r="H29" s="15">
        <v>0.10976855226424791</v>
      </c>
      <c r="I29" s="15">
        <v>0.61537466024347154</v>
      </c>
    </row>
    <row r="30" spans="1:9" x14ac:dyDescent="0.2">
      <c r="A30" s="17" t="s">
        <v>12326</v>
      </c>
      <c r="B30" s="17" t="s">
        <v>749</v>
      </c>
      <c r="C30" s="2" t="s">
        <v>750</v>
      </c>
      <c r="D30" s="2" t="s">
        <v>751</v>
      </c>
      <c r="E30" s="2" t="s">
        <v>10040</v>
      </c>
      <c r="F30" s="15">
        <v>131</v>
      </c>
      <c r="G30" s="15">
        <v>5.1622029419781841E-2</v>
      </c>
      <c r="H30" s="15">
        <v>0.11248962846039549</v>
      </c>
      <c r="I30" s="15">
        <v>0.6463025382704205</v>
      </c>
    </row>
    <row r="31" spans="1:9" x14ac:dyDescent="0.2">
      <c r="A31" s="17" t="s">
        <v>12326</v>
      </c>
      <c r="B31" s="17" t="s">
        <v>791</v>
      </c>
      <c r="C31" s="2" t="s">
        <v>792</v>
      </c>
      <c r="D31" s="2" t="s">
        <v>793</v>
      </c>
      <c r="E31" s="2" t="s">
        <v>10040</v>
      </c>
      <c r="F31" s="15">
        <v>130</v>
      </c>
      <c r="G31" s="15">
        <v>4.9083244346715967E-2</v>
      </c>
      <c r="H31" s="15">
        <v>0.1085706414162485</v>
      </c>
      <c r="I31" s="15">
        <v>0.65120717919109583</v>
      </c>
    </row>
    <row r="32" spans="1:9" x14ac:dyDescent="0.2">
      <c r="A32" s="17" t="s">
        <v>12325</v>
      </c>
      <c r="B32" s="17" t="s">
        <v>1568</v>
      </c>
      <c r="C32" s="2" t="s">
        <v>1569</v>
      </c>
      <c r="D32" s="2" t="s">
        <v>1570</v>
      </c>
      <c r="E32" s="2" t="s">
        <v>10040</v>
      </c>
      <c r="F32" s="15">
        <v>46</v>
      </c>
      <c r="G32" s="15">
        <v>5.3058207997780478E-3</v>
      </c>
      <c r="H32" s="15">
        <v>1.2068563470151519E-2</v>
      </c>
      <c r="I32" s="15">
        <v>0.6601980117915438</v>
      </c>
    </row>
    <row r="33" spans="1:9" x14ac:dyDescent="0.2">
      <c r="A33" s="17" t="s">
        <v>12326</v>
      </c>
      <c r="B33" s="17" t="s">
        <v>1091</v>
      </c>
      <c r="C33" s="2" t="s">
        <v>1092</v>
      </c>
      <c r="D33" s="2" t="s">
        <v>1093</v>
      </c>
      <c r="E33" s="2" t="s">
        <v>10040</v>
      </c>
      <c r="F33" s="15">
        <v>131</v>
      </c>
      <c r="G33" s="15">
        <v>4.5690546034467462E-2</v>
      </c>
      <c r="H33" s="15">
        <v>0.1084289305494316</v>
      </c>
      <c r="I33" s="15">
        <v>0.6734724816369666</v>
      </c>
    </row>
    <row r="34" spans="1:9" x14ac:dyDescent="0.2">
      <c r="A34" s="17" t="s">
        <v>12325</v>
      </c>
      <c r="B34" s="17" t="s">
        <v>749</v>
      </c>
      <c r="C34" s="2" t="s">
        <v>750</v>
      </c>
      <c r="D34" s="2" t="s">
        <v>751</v>
      </c>
      <c r="E34" s="2" t="s">
        <v>10040</v>
      </c>
      <c r="F34" s="15">
        <v>39</v>
      </c>
      <c r="G34" s="15">
        <v>-5.2659423468937854E-3</v>
      </c>
      <c r="H34" s="15">
        <v>1.506541101660973E-2</v>
      </c>
      <c r="I34" s="15">
        <v>0.72668501374550587</v>
      </c>
    </row>
    <row r="35" spans="1:9" x14ac:dyDescent="0.2">
      <c r="A35" s="17" t="s">
        <v>12326</v>
      </c>
      <c r="B35" s="17" t="s">
        <v>3338</v>
      </c>
      <c r="C35" s="2" t="s">
        <v>3339</v>
      </c>
      <c r="D35" s="2" t="s">
        <v>3340</v>
      </c>
      <c r="E35" s="2" t="s">
        <v>10042</v>
      </c>
      <c r="F35" s="15">
        <v>131</v>
      </c>
      <c r="G35" s="15">
        <v>3.7302685503325009E-2</v>
      </c>
      <c r="H35" s="15">
        <v>0.10917579678335861</v>
      </c>
      <c r="I35" s="15">
        <v>0.7325951769692548</v>
      </c>
    </row>
    <row r="36" spans="1:9" x14ac:dyDescent="0.2">
      <c r="A36" s="17" t="s">
        <v>12325</v>
      </c>
      <c r="B36" s="17" t="s">
        <v>3695</v>
      </c>
      <c r="C36" s="2" t="s">
        <v>3696</v>
      </c>
      <c r="D36" s="2" t="s">
        <v>3697</v>
      </c>
      <c r="E36" s="2" t="s">
        <v>10042</v>
      </c>
      <c r="F36" s="15">
        <v>32</v>
      </c>
      <c r="G36" s="15">
        <v>-6.4154750406544853E-3</v>
      </c>
      <c r="H36" s="15">
        <v>1.9043777114007902E-2</v>
      </c>
      <c r="I36" s="15">
        <v>0.73620706947274328</v>
      </c>
    </row>
    <row r="37" spans="1:9" x14ac:dyDescent="0.2">
      <c r="A37" s="17" t="s">
        <v>12326</v>
      </c>
      <c r="B37" s="17" t="s">
        <v>2090</v>
      </c>
      <c r="C37" s="2" t="s">
        <v>2091</v>
      </c>
      <c r="D37" s="2" t="s">
        <v>2092</v>
      </c>
      <c r="E37" s="2" t="s">
        <v>10041</v>
      </c>
      <c r="F37" s="15">
        <v>131</v>
      </c>
      <c r="G37" s="15">
        <v>-3.2555797906768491E-2</v>
      </c>
      <c r="H37" s="15">
        <v>0.1088600462406905</v>
      </c>
      <c r="I37" s="15">
        <v>0.76489347736891666</v>
      </c>
    </row>
    <row r="38" spans="1:9" x14ac:dyDescent="0.2">
      <c r="A38" s="17" t="s">
        <v>12325</v>
      </c>
      <c r="B38" s="17" t="s">
        <v>3374</v>
      </c>
      <c r="C38" s="2" t="s">
        <v>3375</v>
      </c>
      <c r="D38" s="2" t="s">
        <v>3376</v>
      </c>
      <c r="E38" s="2" t="s">
        <v>10042</v>
      </c>
      <c r="F38" s="15">
        <v>40</v>
      </c>
      <c r="G38" s="15">
        <v>4.7396435353289036E-3</v>
      </c>
      <c r="H38" s="15">
        <v>1.720785299760948E-2</v>
      </c>
      <c r="I38" s="15">
        <v>0.78298212240655474</v>
      </c>
    </row>
    <row r="39" spans="1:9" x14ac:dyDescent="0.2">
      <c r="A39" s="17" t="s">
        <v>12325</v>
      </c>
      <c r="B39" s="17" t="s">
        <v>3071</v>
      </c>
      <c r="C39" s="2" t="s">
        <v>3072</v>
      </c>
      <c r="D39" s="2" t="s">
        <v>3073</v>
      </c>
      <c r="E39" s="2" t="s">
        <v>10042</v>
      </c>
      <c r="F39" s="15">
        <v>27</v>
      </c>
      <c r="G39" s="15">
        <v>6.6766566919563087E-3</v>
      </c>
      <c r="H39" s="15">
        <v>2.4635626548354519E-2</v>
      </c>
      <c r="I39" s="15">
        <v>0.78637848516589071</v>
      </c>
    </row>
    <row r="40" spans="1:9" x14ac:dyDescent="0.2">
      <c r="A40" s="17" t="s">
        <v>12326</v>
      </c>
      <c r="B40" s="17" t="s">
        <v>1568</v>
      </c>
      <c r="C40" s="2" t="s">
        <v>1569</v>
      </c>
      <c r="D40" s="2" t="s">
        <v>1570</v>
      </c>
      <c r="E40" s="2" t="s">
        <v>10040</v>
      </c>
      <c r="F40" s="15">
        <v>131</v>
      </c>
      <c r="G40" s="15">
        <v>-2.9227491309642129E-2</v>
      </c>
      <c r="H40" s="15">
        <v>0.1121811326418633</v>
      </c>
      <c r="I40" s="15">
        <v>0.79444850913737997</v>
      </c>
    </row>
    <row r="41" spans="1:9" x14ac:dyDescent="0.2">
      <c r="A41" s="17" t="s">
        <v>12326</v>
      </c>
      <c r="B41" s="17" t="s">
        <v>3557</v>
      </c>
      <c r="C41" s="2" t="s">
        <v>3558</v>
      </c>
      <c r="D41" s="2" t="s">
        <v>3559</v>
      </c>
      <c r="E41" s="2" t="s">
        <v>10042</v>
      </c>
      <c r="F41" s="15">
        <v>131</v>
      </c>
      <c r="G41" s="15">
        <v>-3.1160778000352461E-2</v>
      </c>
      <c r="H41" s="15">
        <v>0.1239426646889449</v>
      </c>
      <c r="I41" s="15">
        <v>0.80149493736696054</v>
      </c>
    </row>
    <row r="42" spans="1:9" x14ac:dyDescent="0.2">
      <c r="A42" s="17" t="s">
        <v>12325</v>
      </c>
      <c r="B42" s="17" t="s">
        <v>6565</v>
      </c>
      <c r="C42" s="2" t="s">
        <v>6475</v>
      </c>
      <c r="D42" s="2" t="s">
        <v>6566</v>
      </c>
      <c r="E42" s="2" t="s">
        <v>10054</v>
      </c>
      <c r="F42" s="15">
        <v>43</v>
      </c>
      <c r="G42" s="15">
        <v>-2.8432149713380141E-3</v>
      </c>
      <c r="H42" s="15">
        <v>1.165075176935699E-2</v>
      </c>
      <c r="I42" s="15">
        <v>0.80720213347254455</v>
      </c>
    </row>
    <row r="43" spans="1:9" x14ac:dyDescent="0.2">
      <c r="A43" s="17" t="s">
        <v>12325</v>
      </c>
      <c r="B43" s="17" t="s">
        <v>2510</v>
      </c>
      <c r="C43" s="2" t="s">
        <v>2511</v>
      </c>
      <c r="D43" s="2" t="s">
        <v>2512</v>
      </c>
      <c r="E43" s="2" t="s">
        <v>10041</v>
      </c>
      <c r="F43" s="15">
        <v>40</v>
      </c>
      <c r="G43" s="15">
        <v>-2.8334432707914042E-3</v>
      </c>
      <c r="H43" s="15">
        <v>1.1795886808543959E-2</v>
      </c>
      <c r="I43" s="15">
        <v>0.81017053069672962</v>
      </c>
    </row>
    <row r="44" spans="1:9" x14ac:dyDescent="0.2">
      <c r="A44" s="17" t="s">
        <v>12325</v>
      </c>
      <c r="B44" s="17" t="s">
        <v>3338</v>
      </c>
      <c r="C44" s="2" t="s">
        <v>3339</v>
      </c>
      <c r="D44" s="2" t="s">
        <v>3340</v>
      </c>
      <c r="E44" s="2" t="s">
        <v>10042</v>
      </c>
      <c r="F44" s="15">
        <v>28</v>
      </c>
      <c r="G44" s="15">
        <v>-6.3783774997888633E-3</v>
      </c>
      <c r="H44" s="15">
        <v>2.7701445795013109E-2</v>
      </c>
      <c r="I44" s="15">
        <v>0.81789415613460803</v>
      </c>
    </row>
    <row r="45" spans="1:9" x14ac:dyDescent="0.2">
      <c r="A45" s="17" t="s">
        <v>12326</v>
      </c>
      <c r="B45" s="17" t="s">
        <v>2030</v>
      </c>
      <c r="C45" s="2" t="s">
        <v>2031</v>
      </c>
      <c r="D45" s="2" t="s">
        <v>2032</v>
      </c>
      <c r="E45" s="2" t="s">
        <v>10041</v>
      </c>
      <c r="F45" s="15">
        <v>131</v>
      </c>
      <c r="G45" s="15">
        <v>-2.3561641785561201E-2</v>
      </c>
      <c r="H45" s="15">
        <v>0.11823738042489119</v>
      </c>
      <c r="I45" s="15">
        <v>0.84204837633794194</v>
      </c>
    </row>
    <row r="46" spans="1:9" x14ac:dyDescent="0.2">
      <c r="A46" s="17" t="s">
        <v>12326</v>
      </c>
      <c r="B46" s="17" t="s">
        <v>1259</v>
      </c>
      <c r="C46" s="2" t="s">
        <v>1260</v>
      </c>
      <c r="D46" s="2" t="s">
        <v>1261</v>
      </c>
      <c r="E46" s="2" t="s">
        <v>10040</v>
      </c>
      <c r="F46" s="15">
        <v>131</v>
      </c>
      <c r="G46" s="15">
        <v>2.030245092335984E-2</v>
      </c>
      <c r="H46" s="15">
        <v>0.1118320898710975</v>
      </c>
      <c r="I46" s="15">
        <v>0.85594055777587497</v>
      </c>
    </row>
    <row r="47" spans="1:9" x14ac:dyDescent="0.2">
      <c r="A47" s="17" t="s">
        <v>12326</v>
      </c>
      <c r="B47" s="17" t="s">
        <v>3071</v>
      </c>
      <c r="C47" s="2" t="s">
        <v>3072</v>
      </c>
      <c r="D47" s="2" t="s">
        <v>3073</v>
      </c>
      <c r="E47" s="2" t="s">
        <v>10042</v>
      </c>
      <c r="F47" s="15">
        <v>131</v>
      </c>
      <c r="G47" s="15">
        <v>1.9614954199707619E-2</v>
      </c>
      <c r="H47" s="15">
        <v>0.1160878374603144</v>
      </c>
      <c r="I47" s="15">
        <v>0.86582300102191145</v>
      </c>
    </row>
    <row r="48" spans="1:9" x14ac:dyDescent="0.2">
      <c r="A48" s="17" t="s">
        <v>12325</v>
      </c>
      <c r="B48" s="17" t="s">
        <v>3557</v>
      </c>
      <c r="C48" s="2" t="s">
        <v>3558</v>
      </c>
      <c r="D48" s="2" t="s">
        <v>3559</v>
      </c>
      <c r="E48" s="2" t="s">
        <v>10042</v>
      </c>
      <c r="F48" s="15">
        <v>28</v>
      </c>
      <c r="G48" s="15">
        <v>-4.0798014904218534E-3</v>
      </c>
      <c r="H48" s="15">
        <v>2.5850022039663429E-2</v>
      </c>
      <c r="I48" s="15">
        <v>0.87459403500172606</v>
      </c>
    </row>
    <row r="49" spans="1:9" x14ac:dyDescent="0.2">
      <c r="A49" s="17" t="s">
        <v>12326</v>
      </c>
      <c r="B49" s="17" t="s">
        <v>494</v>
      </c>
      <c r="C49" s="2" t="s">
        <v>495</v>
      </c>
      <c r="D49" s="2" t="s">
        <v>496</v>
      </c>
      <c r="E49" s="2" t="s">
        <v>10040</v>
      </c>
      <c r="F49" s="15">
        <v>131</v>
      </c>
      <c r="G49" s="15">
        <v>1.7213564536192268E-2</v>
      </c>
      <c r="H49" s="15">
        <v>0.1174465400638447</v>
      </c>
      <c r="I49" s="15">
        <v>0.88347529794872193</v>
      </c>
    </row>
    <row r="50" spans="1:9" x14ac:dyDescent="0.2">
      <c r="A50" s="17" t="s">
        <v>12325</v>
      </c>
      <c r="B50" s="17" t="s">
        <v>3764</v>
      </c>
      <c r="C50" s="2" t="s">
        <v>3765</v>
      </c>
      <c r="D50" s="2" t="s">
        <v>3766</v>
      </c>
      <c r="E50" s="2" t="s">
        <v>10042</v>
      </c>
      <c r="F50" s="15">
        <v>34</v>
      </c>
      <c r="G50" s="15">
        <v>-2.237864267441372E-3</v>
      </c>
      <c r="H50" s="15">
        <v>1.534673745610325E-2</v>
      </c>
      <c r="I50" s="15">
        <v>0.88406333203071907</v>
      </c>
    </row>
    <row r="51" spans="1:9" x14ac:dyDescent="0.2">
      <c r="A51" s="17" t="s">
        <v>12325</v>
      </c>
      <c r="B51" s="17" t="s">
        <v>2030</v>
      </c>
      <c r="C51" s="2" t="s">
        <v>2031</v>
      </c>
      <c r="D51" s="2" t="s">
        <v>2032</v>
      </c>
      <c r="E51" s="2" t="s">
        <v>10041</v>
      </c>
      <c r="F51" s="15">
        <v>37</v>
      </c>
      <c r="G51" s="15">
        <v>9.731717899655152E-4</v>
      </c>
      <c r="H51" s="15">
        <v>1.285272719991528E-2</v>
      </c>
      <c r="I51" s="15">
        <v>0.93964413659370172</v>
      </c>
    </row>
    <row r="52" spans="1:9" x14ac:dyDescent="0.2">
      <c r="A52" s="17" t="s">
        <v>12326</v>
      </c>
      <c r="B52" s="17" t="s">
        <v>2510</v>
      </c>
      <c r="C52" s="2" t="s">
        <v>2511</v>
      </c>
      <c r="D52" s="2" t="s">
        <v>2512</v>
      </c>
      <c r="E52" s="2" t="s">
        <v>10041</v>
      </c>
      <c r="F52" s="15">
        <v>131</v>
      </c>
      <c r="G52" s="15">
        <v>-8.8656367100285686E-3</v>
      </c>
      <c r="H52" s="15">
        <v>0.1196495887625811</v>
      </c>
      <c r="I52" s="15">
        <v>0.94093346083859108</v>
      </c>
    </row>
    <row r="53" spans="1:9" x14ac:dyDescent="0.2">
      <c r="A53" s="17" t="s">
        <v>12326</v>
      </c>
      <c r="B53" s="17" t="s">
        <v>746</v>
      </c>
      <c r="C53" s="2" t="s">
        <v>747</v>
      </c>
      <c r="D53" s="2" t="s">
        <v>748</v>
      </c>
      <c r="E53" s="2" t="s">
        <v>10040</v>
      </c>
      <c r="F53" s="15">
        <v>130</v>
      </c>
      <c r="G53" s="15">
        <v>-7.6102840743108146E-3</v>
      </c>
      <c r="H53" s="15">
        <v>0.11008753728852511</v>
      </c>
      <c r="I53" s="15">
        <v>0.94488662877125396</v>
      </c>
    </row>
    <row r="54" spans="1:9" x14ac:dyDescent="0.2">
      <c r="A54" s="17" t="s">
        <v>12326</v>
      </c>
      <c r="B54" s="17" t="s">
        <v>1625</v>
      </c>
      <c r="C54" s="2" t="s">
        <v>1626</v>
      </c>
      <c r="D54" s="2" t="s">
        <v>1627</v>
      </c>
      <c r="E54" s="2" t="s">
        <v>10040</v>
      </c>
      <c r="F54" s="15">
        <v>131</v>
      </c>
      <c r="G54" s="15">
        <v>3.865065787237363E-3</v>
      </c>
      <c r="H54" s="15">
        <v>0.1129470265730302</v>
      </c>
      <c r="I54" s="15">
        <v>0.97270158730663603</v>
      </c>
    </row>
    <row r="55" spans="1:9" x14ac:dyDescent="0.2">
      <c r="A55" s="17" t="s">
        <v>12326</v>
      </c>
      <c r="B55" s="17" t="s">
        <v>4607</v>
      </c>
      <c r="C55" s="2" t="s">
        <v>4608</v>
      </c>
      <c r="D55" s="2" t="s">
        <v>4609</v>
      </c>
      <c r="E55" s="2" t="s">
        <v>10048</v>
      </c>
      <c r="F55" s="15">
        <v>131</v>
      </c>
      <c r="G55" s="15">
        <v>2.0212975004681409E-3</v>
      </c>
      <c r="H55" s="15">
        <v>0.1128729429755868</v>
      </c>
      <c r="I55" s="15">
        <v>0.98571246720851635</v>
      </c>
    </row>
    <row r="56" spans="1:9" x14ac:dyDescent="0.2">
      <c r="A56" s="17" t="s">
        <v>12325</v>
      </c>
      <c r="B56" s="17" t="s">
        <v>602</v>
      </c>
      <c r="C56" s="2" t="s">
        <v>603</v>
      </c>
      <c r="D56" s="2" t="s">
        <v>604</v>
      </c>
      <c r="E56" s="2" t="s">
        <v>10040</v>
      </c>
      <c r="F56" s="15">
        <v>35</v>
      </c>
      <c r="G56" s="15">
        <v>1.2481528433549771E-4</v>
      </c>
      <c r="H56" s="15">
        <v>2.420195248296542E-2</v>
      </c>
      <c r="I56" s="15">
        <v>0.99588513584036598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C0E0C-DA2F-4783-9CAA-39339D2F73D9}">
  <dimension ref="A1:I32"/>
  <sheetViews>
    <sheetView workbookViewId="0"/>
  </sheetViews>
  <sheetFormatPr defaultColWidth="9" defaultRowHeight="14.25" x14ac:dyDescent="0.2"/>
  <cols>
    <col min="1" max="1" width="10.7109375" style="2" customWidth="1"/>
    <col min="2" max="2" width="7.28515625" style="2" bestFit="1" customWidth="1"/>
    <col min="3" max="3" width="8.42578125" style="2" bestFit="1" customWidth="1"/>
    <col min="4" max="4" width="52.140625" style="2" bestFit="1" customWidth="1"/>
    <col min="5" max="5" width="26.28515625" style="2" bestFit="1" customWidth="1"/>
    <col min="6" max="6" width="6.85546875" style="15" bestFit="1" customWidth="1"/>
    <col min="7" max="7" width="18.140625" style="15" bestFit="1" customWidth="1"/>
    <col min="8" max="8" width="21.85546875" style="15" bestFit="1" customWidth="1"/>
    <col min="9" max="9" width="20.5703125" style="15" bestFit="1" customWidth="1"/>
    <col min="10" max="16384" width="9" style="5"/>
  </cols>
  <sheetData>
    <row r="1" spans="1:9" s="8" customFormat="1" x14ac:dyDescent="0.2">
      <c r="A1" s="1" t="s">
        <v>12336</v>
      </c>
    </row>
    <row r="2" spans="1:9" s="8" customFormat="1" ht="15" x14ac:dyDescent="0.25">
      <c r="A2" s="18" t="s">
        <v>10065</v>
      </c>
      <c r="B2" s="10" t="s">
        <v>10038</v>
      </c>
      <c r="C2" s="10" t="s">
        <v>0</v>
      </c>
      <c r="D2" s="10" t="s">
        <v>1</v>
      </c>
      <c r="E2" s="10" t="s">
        <v>10039</v>
      </c>
      <c r="F2" s="10" t="s">
        <v>10064</v>
      </c>
      <c r="G2" s="10" t="s">
        <v>10063</v>
      </c>
      <c r="H2" s="10" t="s">
        <v>10062</v>
      </c>
      <c r="I2" s="10" t="s">
        <v>10061</v>
      </c>
    </row>
    <row r="3" spans="1:9" x14ac:dyDescent="0.2">
      <c r="A3" s="17" t="s">
        <v>12325</v>
      </c>
      <c r="B3" s="17" t="s">
        <v>3164</v>
      </c>
      <c r="C3" s="2" t="s">
        <v>3165</v>
      </c>
      <c r="D3" s="2" t="s">
        <v>3166</v>
      </c>
      <c r="E3" s="2" t="s">
        <v>10042</v>
      </c>
      <c r="F3" s="15">
        <v>37</v>
      </c>
      <c r="G3" s="15">
        <v>3.1757098822637643E-2</v>
      </c>
      <c r="H3" s="15">
        <v>1.4407385210919251E-2</v>
      </c>
      <c r="I3" s="15">
        <v>2.750862124920378E-2</v>
      </c>
    </row>
    <row r="4" spans="1:9" x14ac:dyDescent="0.2">
      <c r="A4" s="17" t="s">
        <v>12326</v>
      </c>
      <c r="B4" s="17" t="s">
        <v>6008</v>
      </c>
      <c r="C4" s="2" t="s">
        <v>6009</v>
      </c>
      <c r="D4" s="2" t="s">
        <v>6010</v>
      </c>
      <c r="E4" s="2" t="s">
        <v>10051</v>
      </c>
      <c r="F4" s="15">
        <v>112</v>
      </c>
      <c r="G4" s="15">
        <v>-0.28571208112561353</v>
      </c>
      <c r="H4" s="15">
        <v>0.13422869579250421</v>
      </c>
      <c r="I4" s="15">
        <v>3.3291761543614011E-2</v>
      </c>
    </row>
    <row r="5" spans="1:9" x14ac:dyDescent="0.2">
      <c r="A5" s="17" t="s">
        <v>12325</v>
      </c>
      <c r="B5" s="17" t="s">
        <v>4940</v>
      </c>
      <c r="C5" s="2" t="s">
        <v>4941</v>
      </c>
      <c r="D5" s="2" t="s">
        <v>4942</v>
      </c>
      <c r="E5" s="2" t="s">
        <v>10049</v>
      </c>
      <c r="F5" s="15">
        <v>31</v>
      </c>
      <c r="G5" s="15">
        <v>-2.9451348147698429E-2</v>
      </c>
      <c r="H5" s="15">
        <v>1.6768170350741841E-2</v>
      </c>
      <c r="I5" s="15">
        <v>7.9022842262407897E-2</v>
      </c>
    </row>
    <row r="6" spans="1:9" x14ac:dyDescent="0.2">
      <c r="A6" s="17" t="s">
        <v>12325</v>
      </c>
      <c r="B6" s="17" t="s">
        <v>4466</v>
      </c>
      <c r="C6" s="2" t="s">
        <v>4467</v>
      </c>
      <c r="D6" s="2" t="s">
        <v>4468</v>
      </c>
      <c r="E6" s="2" t="s">
        <v>10047</v>
      </c>
      <c r="F6" s="15">
        <v>33</v>
      </c>
      <c r="G6" s="15">
        <v>2.894908522394235E-2</v>
      </c>
      <c r="H6" s="15">
        <v>1.668999047435404E-2</v>
      </c>
      <c r="I6" s="15">
        <v>8.2826253819700893E-2</v>
      </c>
    </row>
    <row r="7" spans="1:9" x14ac:dyDescent="0.2">
      <c r="A7" s="17" t="s">
        <v>12325</v>
      </c>
      <c r="B7" s="17" t="s">
        <v>3527</v>
      </c>
      <c r="C7" s="2" t="s">
        <v>3528</v>
      </c>
      <c r="D7" s="2" t="s">
        <v>3529</v>
      </c>
      <c r="E7" s="2" t="s">
        <v>10042</v>
      </c>
      <c r="F7" s="15">
        <v>49</v>
      </c>
      <c r="G7" s="15">
        <v>1.7065255994476579E-2</v>
      </c>
      <c r="H7" s="15">
        <v>1.095684956808245E-2</v>
      </c>
      <c r="I7" s="15">
        <v>0.11935262620461751</v>
      </c>
    </row>
    <row r="8" spans="1:9" x14ac:dyDescent="0.2">
      <c r="A8" s="17" t="s">
        <v>12325</v>
      </c>
      <c r="B8" s="17" t="s">
        <v>3254</v>
      </c>
      <c r="C8" s="2" t="s">
        <v>3255</v>
      </c>
      <c r="D8" s="2" t="s">
        <v>3256</v>
      </c>
      <c r="E8" s="2" t="s">
        <v>10042</v>
      </c>
      <c r="F8" s="15">
        <v>43</v>
      </c>
      <c r="G8" s="15">
        <v>1.9008576312122601E-2</v>
      </c>
      <c r="H8" s="15">
        <v>1.2539250814859151E-2</v>
      </c>
      <c r="I8" s="15">
        <v>0.12953806547097629</v>
      </c>
    </row>
    <row r="9" spans="1:9" x14ac:dyDescent="0.2">
      <c r="A9" s="17" t="s">
        <v>12325</v>
      </c>
      <c r="B9" s="17" t="s">
        <v>1292</v>
      </c>
      <c r="C9" s="2" t="s">
        <v>1293</v>
      </c>
      <c r="D9" s="2" t="s">
        <v>1294</v>
      </c>
      <c r="E9" s="2" t="s">
        <v>10040</v>
      </c>
      <c r="F9" s="15">
        <v>43</v>
      </c>
      <c r="G9" s="15">
        <v>-1.6045129102207161E-2</v>
      </c>
      <c r="H9" s="15">
        <v>1.1478130844837391E-2</v>
      </c>
      <c r="I9" s="15">
        <v>0.1621470237607511</v>
      </c>
    </row>
    <row r="10" spans="1:9" x14ac:dyDescent="0.2">
      <c r="A10" s="17" t="s">
        <v>12326</v>
      </c>
      <c r="B10" s="17" t="s">
        <v>956</v>
      </c>
      <c r="C10" s="2" t="s">
        <v>957</v>
      </c>
      <c r="D10" s="2" t="s">
        <v>958</v>
      </c>
      <c r="E10" s="2" t="s">
        <v>10040</v>
      </c>
      <c r="F10" s="15">
        <v>112</v>
      </c>
      <c r="G10" s="15">
        <v>-0.1775086729684516</v>
      </c>
      <c r="H10" s="15">
        <v>0.12717266402566629</v>
      </c>
      <c r="I10" s="15">
        <v>0.16277219953195429</v>
      </c>
    </row>
    <row r="11" spans="1:9" x14ac:dyDescent="0.2">
      <c r="A11" s="17" t="s">
        <v>12326</v>
      </c>
      <c r="B11" s="17" t="s">
        <v>3146</v>
      </c>
      <c r="C11" s="2" t="s">
        <v>3147</v>
      </c>
      <c r="D11" s="2" t="s">
        <v>3148</v>
      </c>
      <c r="E11" s="2" t="s">
        <v>10042</v>
      </c>
      <c r="F11" s="15">
        <v>112</v>
      </c>
      <c r="G11" s="15">
        <v>0.16613173178891399</v>
      </c>
      <c r="H11" s="15">
        <v>0.12852578218765071</v>
      </c>
      <c r="I11" s="15">
        <v>0.1961513088588949</v>
      </c>
    </row>
    <row r="12" spans="1:9" x14ac:dyDescent="0.2">
      <c r="A12" s="17" t="s">
        <v>12326</v>
      </c>
      <c r="B12" s="17" t="s">
        <v>4469</v>
      </c>
      <c r="C12" s="2" t="s">
        <v>4470</v>
      </c>
      <c r="D12" s="2" t="s">
        <v>4471</v>
      </c>
      <c r="E12" s="2" t="s">
        <v>10047</v>
      </c>
      <c r="F12" s="15">
        <v>112</v>
      </c>
      <c r="G12" s="15">
        <v>0.16673050860922611</v>
      </c>
      <c r="H12" s="15">
        <v>0.1346718197504079</v>
      </c>
      <c r="I12" s="15">
        <v>0.2156973506334833</v>
      </c>
    </row>
    <row r="13" spans="1:9" x14ac:dyDescent="0.2">
      <c r="A13" s="17" t="s">
        <v>12326</v>
      </c>
      <c r="B13" s="17" t="s">
        <v>3428</v>
      </c>
      <c r="C13" s="2" t="s">
        <v>3429</v>
      </c>
      <c r="D13" s="2" t="s">
        <v>3430</v>
      </c>
      <c r="E13" s="2" t="s">
        <v>10042</v>
      </c>
      <c r="F13" s="15">
        <v>112</v>
      </c>
      <c r="G13" s="15">
        <v>0.16049841329358069</v>
      </c>
      <c r="H13" s="15">
        <v>0.12981418381819079</v>
      </c>
      <c r="I13" s="15">
        <v>0.21632091661842651</v>
      </c>
    </row>
    <row r="14" spans="1:9" x14ac:dyDescent="0.2">
      <c r="A14" s="17" t="s">
        <v>12326</v>
      </c>
      <c r="B14" s="17" t="s">
        <v>3164</v>
      </c>
      <c r="C14" s="2" t="s">
        <v>3165</v>
      </c>
      <c r="D14" s="2" t="s">
        <v>3166</v>
      </c>
      <c r="E14" s="2" t="s">
        <v>10042</v>
      </c>
      <c r="F14" s="15">
        <v>112</v>
      </c>
      <c r="G14" s="15">
        <v>0.13857428250821921</v>
      </c>
      <c r="H14" s="15">
        <v>0.1308438707122079</v>
      </c>
      <c r="I14" s="15">
        <v>0.28956280490424408</v>
      </c>
    </row>
    <row r="15" spans="1:9" x14ac:dyDescent="0.2">
      <c r="A15" s="17" t="s">
        <v>12325</v>
      </c>
      <c r="B15" s="17" t="s">
        <v>6008</v>
      </c>
      <c r="C15" s="2" t="s">
        <v>6009</v>
      </c>
      <c r="D15" s="2" t="s">
        <v>6010</v>
      </c>
      <c r="E15" s="2" t="s">
        <v>10051</v>
      </c>
      <c r="F15" s="15">
        <v>51</v>
      </c>
      <c r="G15" s="15">
        <v>-1.160697262378471E-2</v>
      </c>
      <c r="H15" s="15">
        <v>1.116831720528475E-2</v>
      </c>
      <c r="I15" s="15">
        <v>0.29867603567455092</v>
      </c>
    </row>
    <row r="16" spans="1:9" x14ac:dyDescent="0.2">
      <c r="A16" s="17" t="s">
        <v>12326</v>
      </c>
      <c r="B16" s="17" t="s">
        <v>4406</v>
      </c>
      <c r="C16" s="2" t="s">
        <v>4407</v>
      </c>
      <c r="D16" s="2" t="s">
        <v>4408</v>
      </c>
      <c r="E16" s="2" t="s">
        <v>10047</v>
      </c>
      <c r="F16" s="15">
        <v>112</v>
      </c>
      <c r="G16" s="15">
        <v>0.13826428881783279</v>
      </c>
      <c r="H16" s="15">
        <v>0.13931710730564759</v>
      </c>
      <c r="I16" s="15">
        <v>0.3209814686637032</v>
      </c>
    </row>
    <row r="17" spans="1:9" x14ac:dyDescent="0.2">
      <c r="A17" s="17" t="s">
        <v>12326</v>
      </c>
      <c r="B17" s="17" t="s">
        <v>4394</v>
      </c>
      <c r="C17" s="2" t="s">
        <v>4395</v>
      </c>
      <c r="D17" s="2" t="s">
        <v>4396</v>
      </c>
      <c r="E17" s="2" t="s">
        <v>10047</v>
      </c>
      <c r="F17" s="15">
        <v>112</v>
      </c>
      <c r="G17" s="15">
        <v>0.133574880183469</v>
      </c>
      <c r="H17" s="15">
        <v>0.14678749865817861</v>
      </c>
      <c r="I17" s="15">
        <v>0.36282877418302562</v>
      </c>
    </row>
    <row r="18" spans="1:9" x14ac:dyDescent="0.2">
      <c r="A18" s="17" t="s">
        <v>12326</v>
      </c>
      <c r="B18" s="17" t="s">
        <v>4466</v>
      </c>
      <c r="C18" s="2" t="s">
        <v>4467</v>
      </c>
      <c r="D18" s="2" t="s">
        <v>4468</v>
      </c>
      <c r="E18" s="2" t="s">
        <v>10047</v>
      </c>
      <c r="F18" s="15">
        <v>112</v>
      </c>
      <c r="G18" s="15">
        <v>0.1093866412520479</v>
      </c>
      <c r="H18" s="15">
        <v>0.12668753656963411</v>
      </c>
      <c r="I18" s="15">
        <v>0.38789752680664258</v>
      </c>
    </row>
    <row r="19" spans="1:9" x14ac:dyDescent="0.2">
      <c r="A19" s="17" t="s">
        <v>12326</v>
      </c>
      <c r="B19" s="17" t="s">
        <v>5204</v>
      </c>
      <c r="C19" s="2" t="s">
        <v>5205</v>
      </c>
      <c r="D19" s="2" t="s">
        <v>5206</v>
      </c>
      <c r="E19" s="2" t="s">
        <v>10049</v>
      </c>
      <c r="F19" s="15">
        <v>112</v>
      </c>
      <c r="G19" s="15">
        <v>-0.1158149826220899</v>
      </c>
      <c r="H19" s="15">
        <v>0.14745303809841889</v>
      </c>
      <c r="I19" s="15">
        <v>0.43219774917714998</v>
      </c>
    </row>
    <row r="20" spans="1:9" x14ac:dyDescent="0.2">
      <c r="A20" s="17" t="s">
        <v>12326</v>
      </c>
      <c r="B20" s="17" t="s">
        <v>5348</v>
      </c>
      <c r="C20" s="2" t="s">
        <v>5349</v>
      </c>
      <c r="D20" s="2" t="s">
        <v>5350</v>
      </c>
      <c r="E20" s="2" t="s">
        <v>10049</v>
      </c>
      <c r="F20" s="15">
        <v>112</v>
      </c>
      <c r="G20" s="15">
        <v>-0.1046451422184255</v>
      </c>
      <c r="H20" s="15">
        <v>0.13761197703236219</v>
      </c>
      <c r="I20" s="15">
        <v>0.44699383393059933</v>
      </c>
    </row>
    <row r="21" spans="1:9" x14ac:dyDescent="0.2">
      <c r="A21" s="17" t="s">
        <v>12325</v>
      </c>
      <c r="B21" s="17" t="s">
        <v>5204</v>
      </c>
      <c r="C21" s="2" t="s">
        <v>5205</v>
      </c>
      <c r="D21" s="2" t="s">
        <v>5206</v>
      </c>
      <c r="E21" s="2" t="s">
        <v>10049</v>
      </c>
      <c r="F21" s="15">
        <v>33</v>
      </c>
      <c r="G21" s="15">
        <v>6.6336960910047538E-3</v>
      </c>
      <c r="H21" s="15">
        <v>1.724198715948113E-2</v>
      </c>
      <c r="I21" s="15">
        <v>0.70042945688055003</v>
      </c>
    </row>
    <row r="22" spans="1:9" x14ac:dyDescent="0.2">
      <c r="A22" s="17" t="s">
        <v>12326</v>
      </c>
      <c r="B22" s="17" t="s">
        <v>4940</v>
      </c>
      <c r="C22" s="2" t="s">
        <v>4941</v>
      </c>
      <c r="D22" s="2" t="s">
        <v>4942</v>
      </c>
      <c r="E22" s="2" t="s">
        <v>10049</v>
      </c>
      <c r="F22" s="15">
        <v>112</v>
      </c>
      <c r="G22" s="15">
        <v>-4.8573608952580317E-2</v>
      </c>
      <c r="H22" s="15">
        <v>0.133840349741181</v>
      </c>
      <c r="I22" s="15">
        <v>0.71666314336640591</v>
      </c>
    </row>
    <row r="23" spans="1:9" x14ac:dyDescent="0.2">
      <c r="A23" s="17" t="s">
        <v>12326</v>
      </c>
      <c r="B23" s="17" t="s">
        <v>3254</v>
      </c>
      <c r="C23" s="2" t="s">
        <v>3255</v>
      </c>
      <c r="D23" s="2" t="s">
        <v>3256</v>
      </c>
      <c r="E23" s="2" t="s">
        <v>10042</v>
      </c>
      <c r="F23" s="15">
        <v>112</v>
      </c>
      <c r="G23" s="15">
        <v>4.4092261139827782E-2</v>
      </c>
      <c r="H23" s="15">
        <v>0.12911618657066451</v>
      </c>
      <c r="I23" s="15">
        <v>0.73273254809032085</v>
      </c>
    </row>
    <row r="24" spans="1:9" x14ac:dyDescent="0.2">
      <c r="A24" s="17" t="s">
        <v>12325</v>
      </c>
      <c r="B24" s="17" t="s">
        <v>4406</v>
      </c>
      <c r="C24" s="2" t="s">
        <v>4407</v>
      </c>
      <c r="D24" s="2" t="s">
        <v>4408</v>
      </c>
      <c r="E24" s="2" t="s">
        <v>10047</v>
      </c>
      <c r="F24" s="15">
        <v>29</v>
      </c>
      <c r="G24" s="15">
        <v>-6.231911254470951E-3</v>
      </c>
      <c r="H24" s="15">
        <v>2.202905889874119E-2</v>
      </c>
      <c r="I24" s="15">
        <v>0.77725730534038751</v>
      </c>
    </row>
    <row r="25" spans="1:9" x14ac:dyDescent="0.2">
      <c r="A25" s="17" t="s">
        <v>12325</v>
      </c>
      <c r="B25" s="17" t="s">
        <v>4394</v>
      </c>
      <c r="C25" s="2" t="s">
        <v>4395</v>
      </c>
      <c r="D25" s="2" t="s">
        <v>4396</v>
      </c>
      <c r="E25" s="2" t="s">
        <v>10047</v>
      </c>
      <c r="F25" s="15">
        <v>41</v>
      </c>
      <c r="G25" s="15">
        <v>2.9060670326048941E-3</v>
      </c>
      <c r="H25" s="15">
        <v>1.234074112367267E-2</v>
      </c>
      <c r="I25" s="15">
        <v>0.81383184130968078</v>
      </c>
    </row>
    <row r="26" spans="1:9" x14ac:dyDescent="0.2">
      <c r="A26" s="17" t="s">
        <v>12325</v>
      </c>
      <c r="B26" s="17" t="s">
        <v>5348</v>
      </c>
      <c r="C26" s="2" t="s">
        <v>5349</v>
      </c>
      <c r="D26" s="2" t="s">
        <v>5350</v>
      </c>
      <c r="E26" s="2" t="s">
        <v>10049</v>
      </c>
      <c r="F26" s="15">
        <v>34</v>
      </c>
      <c r="G26" s="15">
        <v>3.8217883356650448E-3</v>
      </c>
      <c r="H26" s="15">
        <v>1.669433356774782E-2</v>
      </c>
      <c r="I26" s="15">
        <v>0.81892543899844861</v>
      </c>
    </row>
    <row r="27" spans="1:9" x14ac:dyDescent="0.2">
      <c r="A27" s="17" t="s">
        <v>12325</v>
      </c>
      <c r="B27" s="17" t="s">
        <v>3146</v>
      </c>
      <c r="C27" s="2" t="s">
        <v>3147</v>
      </c>
      <c r="D27" s="2" t="s">
        <v>3148</v>
      </c>
      <c r="E27" s="2" t="s">
        <v>10042</v>
      </c>
      <c r="F27" s="15">
        <v>41</v>
      </c>
      <c r="G27" s="15">
        <v>-2.7981606875994991E-3</v>
      </c>
      <c r="H27" s="15">
        <v>1.298437771702776E-2</v>
      </c>
      <c r="I27" s="15">
        <v>0.82937587361968701</v>
      </c>
    </row>
    <row r="28" spans="1:9" x14ac:dyDescent="0.2">
      <c r="A28" s="17" t="s">
        <v>12325</v>
      </c>
      <c r="B28" s="17" t="s">
        <v>4469</v>
      </c>
      <c r="C28" s="2" t="s">
        <v>4470</v>
      </c>
      <c r="D28" s="2" t="s">
        <v>4471</v>
      </c>
      <c r="E28" s="2" t="s">
        <v>10047</v>
      </c>
      <c r="F28" s="15">
        <v>40</v>
      </c>
      <c r="G28" s="15">
        <v>-2.1283748107484559E-3</v>
      </c>
      <c r="H28" s="15">
        <v>1.2840532593577749E-2</v>
      </c>
      <c r="I28" s="15">
        <v>0.8683502309837966</v>
      </c>
    </row>
    <row r="29" spans="1:9" x14ac:dyDescent="0.2">
      <c r="A29" s="17" t="s">
        <v>12326</v>
      </c>
      <c r="B29" s="17" t="s">
        <v>3527</v>
      </c>
      <c r="C29" s="2" t="s">
        <v>3528</v>
      </c>
      <c r="D29" s="2" t="s">
        <v>3529</v>
      </c>
      <c r="E29" s="2" t="s">
        <v>10042</v>
      </c>
      <c r="F29" s="15">
        <v>112</v>
      </c>
      <c r="G29" s="15">
        <v>2.0925321862838499E-2</v>
      </c>
      <c r="H29" s="15">
        <v>0.12941979565757991</v>
      </c>
      <c r="I29" s="15">
        <v>0.87155341717427648</v>
      </c>
    </row>
    <row r="30" spans="1:9" x14ac:dyDescent="0.2">
      <c r="A30" s="17" t="s">
        <v>12325</v>
      </c>
      <c r="B30" s="17" t="s">
        <v>3428</v>
      </c>
      <c r="C30" s="2" t="s">
        <v>3429</v>
      </c>
      <c r="D30" s="2" t="s">
        <v>3430</v>
      </c>
      <c r="E30" s="2" t="s">
        <v>10042</v>
      </c>
      <c r="F30" s="15">
        <v>38</v>
      </c>
      <c r="G30" s="15">
        <v>2.3085157393723391E-3</v>
      </c>
      <c r="H30" s="15">
        <v>1.5253359469156709E-2</v>
      </c>
      <c r="I30" s="15">
        <v>0.87970377745581696</v>
      </c>
    </row>
    <row r="31" spans="1:9" x14ac:dyDescent="0.2">
      <c r="A31" s="17" t="s">
        <v>12326</v>
      </c>
      <c r="B31" s="17" t="s">
        <v>1292</v>
      </c>
      <c r="C31" s="2" t="s">
        <v>1293</v>
      </c>
      <c r="D31" s="2" t="s">
        <v>1294</v>
      </c>
      <c r="E31" s="2" t="s">
        <v>10040</v>
      </c>
      <c r="F31" s="15">
        <v>112</v>
      </c>
      <c r="G31" s="15">
        <v>-5.1375597139886597E-3</v>
      </c>
      <c r="H31" s="15">
        <v>0.13152141551956609</v>
      </c>
      <c r="I31" s="15">
        <v>0.96884053200539577</v>
      </c>
    </row>
    <row r="32" spans="1:9" x14ac:dyDescent="0.2">
      <c r="A32" s="17" t="s">
        <v>12325</v>
      </c>
      <c r="B32" s="17" t="s">
        <v>956</v>
      </c>
      <c r="C32" s="2" t="s">
        <v>957</v>
      </c>
      <c r="D32" s="2" t="s">
        <v>958</v>
      </c>
      <c r="E32" s="2" t="s">
        <v>10040</v>
      </c>
      <c r="F32" s="15">
        <v>37</v>
      </c>
      <c r="G32" s="15">
        <v>5.4798760556777561E-4</v>
      </c>
      <c r="H32" s="15">
        <v>1.749464739281734E-2</v>
      </c>
      <c r="I32" s="15">
        <v>0.97501182200267744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769BC-B82D-4F8F-965D-790A576F07C4}">
  <dimension ref="A1:K23"/>
  <sheetViews>
    <sheetView workbookViewId="0"/>
  </sheetViews>
  <sheetFormatPr defaultColWidth="8.7109375" defaultRowHeight="14.25" x14ac:dyDescent="0.2"/>
  <cols>
    <col min="1" max="1" width="7.7109375" style="2" bestFit="1" customWidth="1"/>
    <col min="2" max="2" width="13" style="2" bestFit="1" customWidth="1"/>
    <col min="3" max="3" width="9.28515625" style="2" bestFit="1" customWidth="1"/>
    <col min="4" max="4" width="6.5703125" style="2" bestFit="1" customWidth="1"/>
    <col min="5" max="5" width="7.42578125" style="2" bestFit="1" customWidth="1"/>
    <col min="6" max="6" width="44.28515625" style="2" bestFit="1" customWidth="1"/>
    <col min="7" max="7" width="23.7109375" style="2" bestFit="1" customWidth="1"/>
    <col min="8" max="10" width="12.7109375" style="15" bestFit="1" customWidth="1"/>
    <col min="11" max="11" width="11.7109375" style="15" bestFit="1" customWidth="1"/>
    <col min="12" max="16384" width="8.7109375" style="5"/>
  </cols>
  <sheetData>
    <row r="1" spans="1:11" s="8" customFormat="1" x14ac:dyDescent="0.2">
      <c r="A1" s="1" t="s">
        <v>12337</v>
      </c>
    </row>
    <row r="2" spans="1:11" s="7" customFormat="1" ht="30" x14ac:dyDescent="0.25">
      <c r="A2" s="13" t="s">
        <v>10077</v>
      </c>
      <c r="B2" s="13" t="s">
        <v>10076</v>
      </c>
      <c r="C2" s="21" t="s">
        <v>10065</v>
      </c>
      <c r="D2" s="21" t="s">
        <v>10038</v>
      </c>
      <c r="E2" s="22" t="s">
        <v>0</v>
      </c>
      <c r="F2" s="13" t="s">
        <v>1</v>
      </c>
      <c r="G2" s="13" t="s">
        <v>10039</v>
      </c>
      <c r="H2" s="23" t="s">
        <v>10075</v>
      </c>
      <c r="I2" s="23" t="s">
        <v>10074</v>
      </c>
      <c r="J2" s="23" t="s">
        <v>10073</v>
      </c>
      <c r="K2" s="23" t="s">
        <v>10072</v>
      </c>
    </row>
    <row r="3" spans="1:11" x14ac:dyDescent="0.2">
      <c r="A3" s="2" t="s">
        <v>10071</v>
      </c>
      <c r="B3" s="2" t="s">
        <v>10069</v>
      </c>
      <c r="C3" s="17" t="s">
        <v>12325</v>
      </c>
      <c r="D3" s="17" t="s">
        <v>662</v>
      </c>
      <c r="E3" s="19">
        <v>26597</v>
      </c>
      <c r="F3" s="2" t="s">
        <v>664</v>
      </c>
      <c r="G3" s="2" t="s">
        <v>10040</v>
      </c>
      <c r="H3" s="20">
        <v>4.7123110000000003E-2</v>
      </c>
      <c r="I3" s="20">
        <v>2.4501430000000001E-2</v>
      </c>
      <c r="J3" s="20">
        <v>6.9744790000000001E-2</v>
      </c>
      <c r="K3" s="20">
        <v>4.4483559999999999E-5</v>
      </c>
    </row>
    <row r="4" spans="1:11" x14ac:dyDescent="0.2">
      <c r="A4" s="2" t="s">
        <v>10071</v>
      </c>
      <c r="B4" s="2" t="s">
        <v>10068</v>
      </c>
      <c r="C4" s="17" t="s">
        <v>12325</v>
      </c>
      <c r="D4" s="17" t="s">
        <v>599</v>
      </c>
      <c r="E4" s="19">
        <v>26562</v>
      </c>
      <c r="F4" s="2" t="s">
        <v>601</v>
      </c>
      <c r="G4" s="2" t="s">
        <v>10040</v>
      </c>
      <c r="H4" s="20">
        <v>-0.14224010000000001</v>
      </c>
      <c r="I4" s="20">
        <v>-0.17449200000000001</v>
      </c>
      <c r="J4" s="20">
        <v>-0.10998819999999999</v>
      </c>
      <c r="K4" s="20">
        <v>5.419933E-18</v>
      </c>
    </row>
    <row r="5" spans="1:11" x14ac:dyDescent="0.2">
      <c r="A5" s="2" t="s">
        <v>10071</v>
      </c>
      <c r="B5" s="2" t="s">
        <v>10068</v>
      </c>
      <c r="C5" s="17" t="s">
        <v>12325</v>
      </c>
      <c r="D5" s="17" t="s">
        <v>494</v>
      </c>
      <c r="E5" s="19">
        <v>25920</v>
      </c>
      <c r="F5" s="2" t="s">
        <v>496</v>
      </c>
      <c r="G5" s="2" t="s">
        <v>10040</v>
      </c>
      <c r="H5" s="20">
        <v>-0.14355879999999999</v>
      </c>
      <c r="I5" s="20">
        <v>-0.17590900000000001</v>
      </c>
      <c r="J5" s="20">
        <v>-0.1112085</v>
      </c>
      <c r="K5" s="20">
        <v>3.3847819999999998E-18</v>
      </c>
    </row>
    <row r="6" spans="1:11" x14ac:dyDescent="0.2">
      <c r="A6" s="2" t="s">
        <v>10071</v>
      </c>
      <c r="B6" s="2" t="s">
        <v>10068</v>
      </c>
      <c r="C6" s="17" t="s">
        <v>12325</v>
      </c>
      <c r="D6" s="17" t="s">
        <v>1259</v>
      </c>
      <c r="E6" s="19">
        <v>27096</v>
      </c>
      <c r="F6" s="2" t="s">
        <v>1261</v>
      </c>
      <c r="G6" s="2" t="s">
        <v>10040</v>
      </c>
      <c r="H6" s="20">
        <v>-1.277117E-2</v>
      </c>
      <c r="I6" s="20">
        <v>-4.4786930000000003E-2</v>
      </c>
      <c r="J6" s="20">
        <v>1.9244589999999999E-2</v>
      </c>
      <c r="K6" s="20">
        <v>0.4343032</v>
      </c>
    </row>
    <row r="7" spans="1:11" x14ac:dyDescent="0.2">
      <c r="A7" s="2" t="s">
        <v>10071</v>
      </c>
      <c r="B7" s="2" t="s">
        <v>10068</v>
      </c>
      <c r="C7" s="17" t="s">
        <v>12326</v>
      </c>
      <c r="D7" s="17" t="s">
        <v>6565</v>
      </c>
      <c r="E7" s="19">
        <v>25755</v>
      </c>
      <c r="F7" s="2" t="s">
        <v>6566</v>
      </c>
      <c r="G7" s="2" t="s">
        <v>10054</v>
      </c>
      <c r="H7" s="20">
        <v>5.9317019999999998E-2</v>
      </c>
      <c r="I7" s="20">
        <v>2.694833E-2</v>
      </c>
      <c r="J7" s="20">
        <v>9.1685719999999998E-2</v>
      </c>
      <c r="K7" s="20">
        <v>3.294099E-4</v>
      </c>
    </row>
    <row r="8" spans="1:11" x14ac:dyDescent="0.2">
      <c r="A8" s="2" t="s">
        <v>10071</v>
      </c>
      <c r="B8" s="2" t="s">
        <v>10066</v>
      </c>
      <c r="C8" s="17" t="s">
        <v>12325</v>
      </c>
      <c r="D8" s="17" t="s">
        <v>3164</v>
      </c>
      <c r="E8" s="19">
        <v>26856</v>
      </c>
      <c r="F8" s="2" t="s">
        <v>3166</v>
      </c>
      <c r="G8" s="2" t="s">
        <v>10042</v>
      </c>
      <c r="H8" s="20">
        <v>-0.12756600000000001</v>
      </c>
      <c r="I8" s="20">
        <v>-0.1596487</v>
      </c>
      <c r="J8" s="20">
        <v>-9.5483280000000004E-2</v>
      </c>
      <c r="K8" s="20">
        <v>6.5294120000000002E-15</v>
      </c>
    </row>
    <row r="9" spans="1:11" x14ac:dyDescent="0.2">
      <c r="A9" s="2" t="s">
        <v>10071</v>
      </c>
      <c r="B9" s="2" t="s">
        <v>10066</v>
      </c>
      <c r="C9" s="17" t="s">
        <v>12326</v>
      </c>
      <c r="D9" s="17" t="s">
        <v>6008</v>
      </c>
      <c r="E9" s="19">
        <v>25417</v>
      </c>
      <c r="F9" s="2" t="s">
        <v>6010</v>
      </c>
      <c r="G9" s="2" t="s">
        <v>10051</v>
      </c>
      <c r="H9" s="20">
        <v>-8.0793260000000006E-2</v>
      </c>
      <c r="I9" s="20">
        <v>-0.11359474999999999</v>
      </c>
      <c r="J9" s="20">
        <v>-4.7991779999999998E-2</v>
      </c>
      <c r="K9" s="20">
        <v>1.395615E-6</v>
      </c>
    </row>
    <row r="10" spans="1:11" x14ac:dyDescent="0.2">
      <c r="A10" s="2" t="s">
        <v>10070</v>
      </c>
      <c r="B10" s="2" t="s">
        <v>10069</v>
      </c>
      <c r="C10" s="17" t="s">
        <v>12325</v>
      </c>
      <c r="D10" s="17" t="s">
        <v>662</v>
      </c>
      <c r="E10" s="19">
        <v>26597</v>
      </c>
      <c r="F10" s="2" t="s">
        <v>664</v>
      </c>
      <c r="G10" s="2" t="s">
        <v>10040</v>
      </c>
      <c r="H10" s="20">
        <v>-1.4377300000000001E-2</v>
      </c>
      <c r="I10" s="20">
        <v>-3.7772399999999998E-2</v>
      </c>
      <c r="J10" s="20">
        <v>9.0177920000000002E-3</v>
      </c>
      <c r="K10" s="20">
        <v>0.2283944</v>
      </c>
    </row>
    <row r="11" spans="1:11" x14ac:dyDescent="0.2">
      <c r="A11" s="2" t="s">
        <v>10070</v>
      </c>
      <c r="B11" s="2" t="s">
        <v>10068</v>
      </c>
      <c r="C11" s="17" t="s">
        <v>12325</v>
      </c>
      <c r="D11" s="17" t="s">
        <v>599</v>
      </c>
      <c r="E11" s="19">
        <v>26562</v>
      </c>
      <c r="F11" s="2" t="s">
        <v>601</v>
      </c>
      <c r="G11" s="2" t="s">
        <v>10040</v>
      </c>
      <c r="H11" s="20">
        <v>-3.9790399999999997E-2</v>
      </c>
      <c r="I11" s="20">
        <v>-7.4396480000000001E-2</v>
      </c>
      <c r="J11" s="20">
        <v>-5.1843169999999999E-3</v>
      </c>
      <c r="K11" s="20">
        <v>2.421968E-2</v>
      </c>
    </row>
    <row r="12" spans="1:11" x14ac:dyDescent="0.2">
      <c r="A12" s="2" t="s">
        <v>10070</v>
      </c>
      <c r="B12" s="2" t="s">
        <v>10068</v>
      </c>
      <c r="C12" s="17" t="s">
        <v>12325</v>
      </c>
      <c r="D12" s="17" t="s">
        <v>494</v>
      </c>
      <c r="E12" s="19">
        <v>25920</v>
      </c>
      <c r="F12" s="2" t="s">
        <v>496</v>
      </c>
      <c r="G12" s="2" t="s">
        <v>10040</v>
      </c>
      <c r="H12" s="20">
        <v>-3.6698019999999998E-2</v>
      </c>
      <c r="I12" s="20">
        <v>-7.1574579999999999E-2</v>
      </c>
      <c r="J12" s="20">
        <v>-1.82146E-3</v>
      </c>
      <c r="K12" s="20">
        <v>3.917321E-2</v>
      </c>
    </row>
    <row r="13" spans="1:11" x14ac:dyDescent="0.2">
      <c r="A13" s="2" t="s">
        <v>10070</v>
      </c>
      <c r="B13" s="2" t="s">
        <v>10068</v>
      </c>
      <c r="C13" s="17" t="s">
        <v>12325</v>
      </c>
      <c r="D13" s="17" t="s">
        <v>1259</v>
      </c>
      <c r="E13" s="19">
        <v>27096</v>
      </c>
      <c r="F13" s="2" t="s">
        <v>1261</v>
      </c>
      <c r="G13" s="2" t="s">
        <v>10040</v>
      </c>
      <c r="H13" s="20">
        <v>4.3673849999999997E-3</v>
      </c>
      <c r="I13" s="20">
        <v>-2.8015470000000001E-2</v>
      </c>
      <c r="J13" s="20">
        <v>3.6750240000000003E-2</v>
      </c>
      <c r="K13" s="20">
        <v>0.79151819999999995</v>
      </c>
    </row>
    <row r="14" spans="1:11" x14ac:dyDescent="0.2">
      <c r="A14" s="2" t="s">
        <v>10070</v>
      </c>
      <c r="B14" s="2" t="s">
        <v>10068</v>
      </c>
      <c r="C14" s="17" t="s">
        <v>12326</v>
      </c>
      <c r="D14" s="17" t="s">
        <v>6565</v>
      </c>
      <c r="E14" s="19">
        <v>25755</v>
      </c>
      <c r="F14" s="2" t="s">
        <v>6566</v>
      </c>
      <c r="G14" s="2" t="s">
        <v>10054</v>
      </c>
      <c r="H14" s="20">
        <v>8.5816859999999995E-2</v>
      </c>
      <c r="I14" s="20">
        <v>5.3227740000000003E-2</v>
      </c>
      <c r="J14" s="20">
        <v>0.118405993</v>
      </c>
      <c r="K14" s="20">
        <v>2.4823699999999997E-7</v>
      </c>
    </row>
    <row r="15" spans="1:11" x14ac:dyDescent="0.2">
      <c r="A15" s="2" t="s">
        <v>10070</v>
      </c>
      <c r="B15" s="2" t="s">
        <v>10066</v>
      </c>
      <c r="C15" s="17" t="s">
        <v>12325</v>
      </c>
      <c r="D15" s="17" t="s">
        <v>3164</v>
      </c>
      <c r="E15" s="19">
        <v>26856</v>
      </c>
      <c r="F15" s="2" t="s">
        <v>3166</v>
      </c>
      <c r="G15" s="2" t="s">
        <v>10042</v>
      </c>
      <c r="H15" s="20">
        <v>1.8861030000000001E-2</v>
      </c>
      <c r="I15" s="20">
        <v>-1.5874840000000001E-2</v>
      </c>
      <c r="J15" s="20">
        <v>5.3596900000000003E-2</v>
      </c>
      <c r="K15" s="20">
        <v>0.28721590000000002</v>
      </c>
    </row>
    <row r="16" spans="1:11" x14ac:dyDescent="0.2">
      <c r="A16" s="2" t="s">
        <v>10070</v>
      </c>
      <c r="B16" s="2" t="s">
        <v>10066</v>
      </c>
      <c r="C16" s="17" t="s">
        <v>12326</v>
      </c>
      <c r="D16" s="17" t="s">
        <v>6008</v>
      </c>
      <c r="E16" s="19">
        <v>25417</v>
      </c>
      <c r="F16" s="2" t="s">
        <v>6010</v>
      </c>
      <c r="G16" s="2" t="s">
        <v>10051</v>
      </c>
      <c r="H16" s="20">
        <v>-1.9527159999999998E-2</v>
      </c>
      <c r="I16" s="20">
        <v>-5.2654819999999998E-2</v>
      </c>
      <c r="J16" s="20">
        <v>1.360049E-2</v>
      </c>
      <c r="K16" s="20">
        <v>0.24797620000000001</v>
      </c>
    </row>
    <row r="17" spans="1:11" x14ac:dyDescent="0.2">
      <c r="A17" s="2" t="s">
        <v>10067</v>
      </c>
      <c r="B17" s="2" t="s">
        <v>10069</v>
      </c>
      <c r="C17" s="17" t="s">
        <v>12325</v>
      </c>
      <c r="D17" s="17" t="s">
        <v>662</v>
      </c>
      <c r="E17" s="19">
        <v>26597</v>
      </c>
      <c r="F17" s="2" t="s">
        <v>664</v>
      </c>
      <c r="G17" s="2" t="s">
        <v>10040</v>
      </c>
      <c r="H17" s="20">
        <v>-1.4553470000000001E-2</v>
      </c>
      <c r="I17" s="20">
        <v>-3.7951167000000001E-2</v>
      </c>
      <c r="J17" s="20">
        <v>8.8442307000000005E-3</v>
      </c>
      <c r="K17" s="20">
        <v>0.22279549000000001</v>
      </c>
    </row>
    <row r="18" spans="1:11" x14ac:dyDescent="0.2">
      <c r="A18" s="2" t="s">
        <v>10067</v>
      </c>
      <c r="B18" s="2" t="s">
        <v>10068</v>
      </c>
      <c r="C18" s="17" t="s">
        <v>12325</v>
      </c>
      <c r="D18" s="17" t="s">
        <v>599</v>
      </c>
      <c r="E18" s="19">
        <v>26562</v>
      </c>
      <c r="F18" s="2" t="s">
        <v>601</v>
      </c>
      <c r="G18" s="2" t="s">
        <v>10040</v>
      </c>
      <c r="H18" s="20">
        <v>-3.8462769899999999E-2</v>
      </c>
      <c r="I18" s="20">
        <v>-7.3204497199999996E-2</v>
      </c>
      <c r="J18" s="20">
        <v>-3.7210425000000001E-3</v>
      </c>
      <c r="K18" s="20">
        <v>3.0012339999999998E-2</v>
      </c>
    </row>
    <row r="19" spans="1:11" x14ac:dyDescent="0.2">
      <c r="A19" s="2" t="s">
        <v>10067</v>
      </c>
      <c r="B19" s="2" t="s">
        <v>10068</v>
      </c>
      <c r="C19" s="17" t="s">
        <v>12325</v>
      </c>
      <c r="D19" s="17" t="s">
        <v>494</v>
      </c>
      <c r="E19" s="19">
        <v>25920</v>
      </c>
      <c r="F19" s="2" t="s">
        <v>496</v>
      </c>
      <c r="G19" s="2" t="s">
        <v>10040</v>
      </c>
      <c r="H19" s="20">
        <v>-3.67764322E-2</v>
      </c>
      <c r="I19" s="20">
        <v>-7.1661159299999999E-2</v>
      </c>
      <c r="J19" s="20">
        <v>-1.8917051000000001E-3</v>
      </c>
      <c r="K19" s="20">
        <v>3.8801530000000001E-2</v>
      </c>
    </row>
    <row r="20" spans="1:11" x14ac:dyDescent="0.2">
      <c r="A20" s="2" t="s">
        <v>10067</v>
      </c>
      <c r="B20" s="2" t="s">
        <v>10068</v>
      </c>
      <c r="C20" s="17" t="s">
        <v>12325</v>
      </c>
      <c r="D20" s="17" t="s">
        <v>1259</v>
      </c>
      <c r="E20" s="19">
        <v>27096</v>
      </c>
      <c r="F20" s="2" t="s">
        <v>1261</v>
      </c>
      <c r="G20" s="2" t="s">
        <v>10040</v>
      </c>
      <c r="H20" s="20">
        <v>4.5182957000000001E-3</v>
      </c>
      <c r="I20" s="20">
        <v>-2.7868795500000001E-2</v>
      </c>
      <c r="J20" s="20">
        <v>3.6905386900000003E-2</v>
      </c>
      <c r="K20" s="20">
        <v>0.78451658999999996</v>
      </c>
    </row>
    <row r="21" spans="1:11" x14ac:dyDescent="0.2">
      <c r="A21" s="2" t="s">
        <v>10067</v>
      </c>
      <c r="B21" s="2" t="s">
        <v>10068</v>
      </c>
      <c r="C21" s="17" t="s">
        <v>12326</v>
      </c>
      <c r="D21" s="17" t="s">
        <v>6565</v>
      </c>
      <c r="E21" s="19">
        <v>25755</v>
      </c>
      <c r="F21" s="2" t="s">
        <v>6566</v>
      </c>
      <c r="G21" s="2" t="s">
        <v>10054</v>
      </c>
      <c r="H21" s="20">
        <v>8.61130643E-2</v>
      </c>
      <c r="I21" s="20">
        <v>5.3521879100000003E-2</v>
      </c>
      <c r="J21" s="20">
        <v>0.1187042</v>
      </c>
      <c r="K21" s="20">
        <v>2.2609699999999999E-7</v>
      </c>
    </row>
    <row r="22" spans="1:11" x14ac:dyDescent="0.2">
      <c r="A22" s="2" t="s">
        <v>10067</v>
      </c>
      <c r="B22" s="2" t="s">
        <v>10066</v>
      </c>
      <c r="C22" s="17" t="s">
        <v>12325</v>
      </c>
      <c r="D22" s="17" t="s">
        <v>3164</v>
      </c>
      <c r="E22" s="19">
        <v>26856</v>
      </c>
      <c r="F22" s="2" t="s">
        <v>3166</v>
      </c>
      <c r="G22" s="2" t="s">
        <v>10042</v>
      </c>
      <c r="H22" s="20">
        <v>1.9870106700000001E-2</v>
      </c>
      <c r="I22" s="20">
        <v>-1.4931281899999999E-2</v>
      </c>
      <c r="J22" s="20">
        <v>5.4671495200000003E-2</v>
      </c>
      <c r="K22" s="20">
        <v>0.26310759</v>
      </c>
    </row>
    <row r="23" spans="1:11" x14ac:dyDescent="0.2">
      <c r="A23" s="2" t="s">
        <v>10067</v>
      </c>
      <c r="B23" s="2" t="s">
        <v>10066</v>
      </c>
      <c r="C23" s="17" t="s">
        <v>12326</v>
      </c>
      <c r="D23" s="17" t="s">
        <v>6008</v>
      </c>
      <c r="E23" s="19">
        <v>25417</v>
      </c>
      <c r="F23" s="2" t="s">
        <v>6010</v>
      </c>
      <c r="G23" s="2" t="s">
        <v>10051</v>
      </c>
      <c r="H23" s="20">
        <v>-1.85619731E-2</v>
      </c>
      <c r="I23" s="20">
        <v>-5.1670045099999999E-2</v>
      </c>
      <c r="J23" s="20">
        <v>1.4546098800000001E-2</v>
      </c>
      <c r="K23" s="20">
        <v>0.27184320000000001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F1170-ECE1-4829-8B0C-50E7B2D1B18F}">
  <dimension ref="A1:N4437"/>
  <sheetViews>
    <sheetView workbookViewId="0"/>
  </sheetViews>
  <sheetFormatPr defaultColWidth="9" defaultRowHeight="14.25" x14ac:dyDescent="0.2"/>
  <cols>
    <col min="1" max="1" width="16.42578125" style="2" customWidth="1"/>
    <col min="2" max="2" width="7.140625" style="15" bestFit="1" customWidth="1"/>
    <col min="3" max="3" width="4.7109375" style="15" bestFit="1" customWidth="1"/>
    <col min="4" max="5" width="11.28515625" style="15" bestFit="1" customWidth="1"/>
    <col min="6" max="6" width="9.28515625" style="15" customWidth="1"/>
    <col min="7" max="7" width="8.7109375" style="8" customWidth="1"/>
    <col min="8" max="8" width="15.85546875" style="8" bestFit="1" customWidth="1"/>
    <col min="9" max="9" width="8.42578125" style="8" bestFit="1" customWidth="1"/>
    <col min="10" max="10" width="48.7109375" style="8" bestFit="1" customWidth="1"/>
    <col min="11" max="11" width="26.28515625" style="8" bestFit="1" customWidth="1"/>
    <col min="12" max="12" width="14.85546875" style="15" bestFit="1" customWidth="1"/>
    <col min="13" max="14" width="14.140625" style="15" bestFit="1" customWidth="1"/>
    <col min="15" max="16384" width="9" style="5"/>
  </cols>
  <sheetData>
    <row r="1" spans="1:14" s="8" customFormat="1" x14ac:dyDescent="0.2">
      <c r="A1" s="1" t="s">
        <v>12338</v>
      </c>
    </row>
    <row r="2" spans="1:14" s="8" customFormat="1" ht="16.5" x14ac:dyDescent="0.3">
      <c r="A2" s="14" t="s">
        <v>10076</v>
      </c>
      <c r="B2" s="10" t="s">
        <v>10084</v>
      </c>
      <c r="C2" s="10" t="s">
        <v>10083</v>
      </c>
      <c r="D2" s="10" t="s">
        <v>10082</v>
      </c>
      <c r="E2" s="10" t="s">
        <v>10081</v>
      </c>
      <c r="F2" s="10" t="s">
        <v>10080</v>
      </c>
      <c r="G2" s="10" t="s">
        <v>10079</v>
      </c>
      <c r="H2" s="18" t="s">
        <v>10078</v>
      </c>
      <c r="I2" s="22" t="s">
        <v>0</v>
      </c>
      <c r="J2" s="10" t="s">
        <v>1</v>
      </c>
      <c r="K2" s="10" t="s">
        <v>10039</v>
      </c>
      <c r="L2" s="10" t="s">
        <v>12312</v>
      </c>
      <c r="M2" s="10" t="s">
        <v>4</v>
      </c>
      <c r="N2" s="10" t="s">
        <v>12310</v>
      </c>
    </row>
    <row r="3" spans="1:14" x14ac:dyDescent="0.2">
      <c r="A3" s="2" t="s">
        <v>10069</v>
      </c>
      <c r="B3" s="15">
        <v>965</v>
      </c>
      <c r="C3" s="15">
        <v>6</v>
      </c>
      <c r="D3" s="15">
        <v>32586785</v>
      </c>
      <c r="E3" s="15">
        <v>32629239</v>
      </c>
      <c r="F3" s="15">
        <v>474</v>
      </c>
      <c r="G3" s="8" t="s">
        <v>12324</v>
      </c>
      <c r="H3" s="24" t="s">
        <v>662</v>
      </c>
      <c r="I3" s="25" t="s">
        <v>663</v>
      </c>
      <c r="J3" s="8" t="s">
        <v>664</v>
      </c>
      <c r="K3" s="8" t="s">
        <v>10040</v>
      </c>
      <c r="L3" s="15">
        <v>0.94236399999999998</v>
      </c>
      <c r="M3" s="15">
        <v>1.98328E-14</v>
      </c>
      <c r="N3" s="15">
        <v>8.7958467999999994E-11</v>
      </c>
    </row>
    <row r="4" spans="1:14" x14ac:dyDescent="0.2">
      <c r="A4" s="2" t="s">
        <v>10068</v>
      </c>
      <c r="B4" s="15">
        <v>746</v>
      </c>
      <c r="C4" s="15">
        <v>4</v>
      </c>
      <c r="D4" s="15">
        <v>163937104</v>
      </c>
      <c r="E4" s="15">
        <v>164781847</v>
      </c>
      <c r="F4" s="15">
        <v>2134</v>
      </c>
      <c r="G4" s="8" t="s">
        <v>12324</v>
      </c>
      <c r="H4" s="24" t="s">
        <v>1259</v>
      </c>
      <c r="I4" s="25">
        <v>27096</v>
      </c>
      <c r="J4" s="8" t="s">
        <v>1261</v>
      </c>
      <c r="K4" s="8" t="s">
        <v>10040</v>
      </c>
      <c r="L4" s="15">
        <v>-0.85321199999999997</v>
      </c>
      <c r="M4" s="15">
        <v>4.1049299999999998E-6</v>
      </c>
      <c r="N4" s="15">
        <v>9.1026822749999993E-3</v>
      </c>
    </row>
    <row r="5" spans="1:14" x14ac:dyDescent="0.2">
      <c r="A5" s="2" t="s">
        <v>10069</v>
      </c>
      <c r="B5" s="15">
        <v>966</v>
      </c>
      <c r="C5" s="15">
        <v>6</v>
      </c>
      <c r="D5" s="15">
        <v>32629240</v>
      </c>
      <c r="E5" s="15">
        <v>32682213</v>
      </c>
      <c r="F5" s="15">
        <v>650</v>
      </c>
      <c r="G5" s="8" t="s">
        <v>12324</v>
      </c>
      <c r="H5" s="24" t="s">
        <v>662</v>
      </c>
      <c r="I5" s="25" t="s">
        <v>663</v>
      </c>
      <c r="J5" s="8" t="s">
        <v>664</v>
      </c>
      <c r="K5" s="8" t="s">
        <v>10040</v>
      </c>
      <c r="L5" s="15">
        <v>0.88146500000000005</v>
      </c>
      <c r="M5" s="15">
        <v>6.80087E-6</v>
      </c>
      <c r="N5" s="15">
        <v>1.005395281666667E-2</v>
      </c>
    </row>
    <row r="6" spans="1:14" x14ac:dyDescent="0.2">
      <c r="A6" s="2" t="s">
        <v>10068</v>
      </c>
      <c r="B6" s="15">
        <v>103</v>
      </c>
      <c r="C6" s="15">
        <v>1</v>
      </c>
      <c r="D6" s="15">
        <v>117046312</v>
      </c>
      <c r="E6" s="15">
        <v>118118667</v>
      </c>
      <c r="F6" s="15">
        <v>2200</v>
      </c>
      <c r="G6" s="8" t="s">
        <v>12324</v>
      </c>
      <c r="H6" s="24" t="s">
        <v>494</v>
      </c>
      <c r="I6" s="25">
        <v>25920</v>
      </c>
      <c r="J6" s="8" t="s">
        <v>496</v>
      </c>
      <c r="K6" s="8" t="s">
        <v>10040</v>
      </c>
      <c r="L6" s="15">
        <v>-1</v>
      </c>
      <c r="M6" s="15">
        <v>1.44241E-5</v>
      </c>
      <c r="N6" s="15">
        <v>1.5992720875000001E-2</v>
      </c>
    </row>
    <row r="7" spans="1:14" x14ac:dyDescent="0.2">
      <c r="A7" s="2" t="s">
        <v>10068</v>
      </c>
      <c r="B7" s="15">
        <v>1844</v>
      </c>
      <c r="C7" s="15">
        <v>12</v>
      </c>
      <c r="D7" s="15">
        <v>115439452</v>
      </c>
      <c r="E7" s="15">
        <v>116197675</v>
      </c>
      <c r="F7" s="15">
        <v>2298</v>
      </c>
      <c r="G7" s="8" t="s">
        <v>12324</v>
      </c>
      <c r="H7" s="24" t="s">
        <v>599</v>
      </c>
      <c r="I7" s="25">
        <v>26562</v>
      </c>
      <c r="J7" s="8" t="s">
        <v>601</v>
      </c>
      <c r="K7" s="8" t="s">
        <v>10040</v>
      </c>
      <c r="L7" s="15">
        <v>1</v>
      </c>
      <c r="M7" s="15">
        <v>2.7480499999999999E-5</v>
      </c>
      <c r="N7" s="15">
        <v>2.0312669583333332E-2</v>
      </c>
    </row>
    <row r="8" spans="1:14" x14ac:dyDescent="0.2">
      <c r="A8" s="2" t="s">
        <v>10066</v>
      </c>
      <c r="B8" s="15">
        <v>2465</v>
      </c>
      <c r="C8" s="15">
        <v>22</v>
      </c>
      <c r="D8" s="15">
        <v>19635655</v>
      </c>
      <c r="E8" s="15">
        <v>20969184</v>
      </c>
      <c r="F8" s="15">
        <v>2780</v>
      </c>
      <c r="G8" s="8" t="s">
        <v>12324</v>
      </c>
      <c r="H8" s="24" t="s">
        <v>6008</v>
      </c>
      <c r="I8" s="25" t="s">
        <v>6009</v>
      </c>
      <c r="J8" s="8" t="s">
        <v>6010</v>
      </c>
      <c r="K8" s="8" t="s">
        <v>10051</v>
      </c>
      <c r="L8" s="15">
        <v>-0.55889200000000006</v>
      </c>
      <c r="M8" s="15">
        <v>2.46611E-5</v>
      </c>
      <c r="N8" s="15">
        <v>2.0312669583333332E-2</v>
      </c>
    </row>
    <row r="9" spans="1:14" x14ac:dyDescent="0.2">
      <c r="A9" s="2" t="s">
        <v>10066</v>
      </c>
      <c r="B9" s="15">
        <v>123</v>
      </c>
      <c r="C9" s="15">
        <v>1</v>
      </c>
      <c r="D9" s="15">
        <v>165553813</v>
      </c>
      <c r="E9" s="15">
        <v>166458031</v>
      </c>
      <c r="F9" s="15">
        <v>2176</v>
      </c>
      <c r="G9" s="8" t="s">
        <v>12324</v>
      </c>
      <c r="H9" s="24" t="s">
        <v>3164</v>
      </c>
      <c r="I9" s="25" t="s">
        <v>3165</v>
      </c>
      <c r="J9" s="8" t="s">
        <v>3166</v>
      </c>
      <c r="K9" s="8" t="s">
        <v>10042</v>
      </c>
      <c r="L9" s="15">
        <v>0.93843100000000002</v>
      </c>
      <c r="M9" s="15">
        <v>4.0821100000000001E-5</v>
      </c>
      <c r="N9" s="15">
        <v>2.5863082642857142E-2</v>
      </c>
    </row>
    <row r="10" spans="1:14" x14ac:dyDescent="0.2">
      <c r="A10" s="2" t="s">
        <v>10068</v>
      </c>
      <c r="B10" s="15">
        <v>2071</v>
      </c>
      <c r="C10" s="15">
        <v>15</v>
      </c>
      <c r="D10" s="15">
        <v>67396521</v>
      </c>
      <c r="E10" s="15">
        <v>69089815</v>
      </c>
      <c r="F10" s="15">
        <v>3608</v>
      </c>
      <c r="G10" s="8" t="s">
        <v>12324</v>
      </c>
      <c r="H10" s="24" t="s">
        <v>494</v>
      </c>
      <c r="I10" s="25">
        <v>25920</v>
      </c>
      <c r="J10" s="8" t="s">
        <v>496</v>
      </c>
      <c r="K10" s="8" t="s">
        <v>10040</v>
      </c>
      <c r="L10" s="15">
        <v>-0.92895499999999998</v>
      </c>
      <c r="M10" s="15">
        <v>6.1279999999999996E-5</v>
      </c>
      <c r="N10" s="15">
        <v>3.0197422222222221E-2</v>
      </c>
    </row>
    <row r="11" spans="1:14" x14ac:dyDescent="0.2">
      <c r="A11" s="2" t="s">
        <v>10066</v>
      </c>
      <c r="B11" s="15">
        <v>987</v>
      </c>
      <c r="C11" s="15">
        <v>6</v>
      </c>
      <c r="D11" s="15">
        <v>52598880</v>
      </c>
      <c r="E11" s="15">
        <v>53425492</v>
      </c>
      <c r="F11" s="15">
        <v>2334</v>
      </c>
      <c r="G11" s="8" t="s">
        <v>12324</v>
      </c>
      <c r="H11" s="24" t="s">
        <v>3164</v>
      </c>
      <c r="I11" s="25" t="s">
        <v>3165</v>
      </c>
      <c r="J11" s="8" t="s">
        <v>3166</v>
      </c>
      <c r="K11" s="8" t="s">
        <v>10042</v>
      </c>
      <c r="L11" s="15">
        <v>-0.78442699999999999</v>
      </c>
      <c r="M11" s="15">
        <v>5.9567600000000002E-5</v>
      </c>
      <c r="N11" s="15">
        <v>3.0197422222222221E-2</v>
      </c>
    </row>
    <row r="12" spans="1:14" x14ac:dyDescent="0.2">
      <c r="A12" s="2" t="s">
        <v>10069</v>
      </c>
      <c r="B12" s="15">
        <v>1280</v>
      </c>
      <c r="C12" s="15">
        <v>8</v>
      </c>
      <c r="D12" s="15">
        <v>36641175</v>
      </c>
      <c r="E12" s="15">
        <v>38803980</v>
      </c>
      <c r="F12" s="15">
        <v>2458</v>
      </c>
      <c r="G12" s="8" t="s">
        <v>12324</v>
      </c>
      <c r="H12" s="24" t="s">
        <v>662</v>
      </c>
      <c r="I12" s="25" t="s">
        <v>663</v>
      </c>
      <c r="J12" s="8" t="s">
        <v>664</v>
      </c>
      <c r="K12" s="8" t="s">
        <v>10040</v>
      </c>
      <c r="L12" s="15">
        <v>-0.95045400000000002</v>
      </c>
      <c r="M12" s="15">
        <v>8.4878500000000004E-5</v>
      </c>
      <c r="N12" s="15">
        <v>3.7643614749999998E-2</v>
      </c>
    </row>
    <row r="13" spans="1:14" x14ac:dyDescent="0.2">
      <c r="A13" s="2" t="s">
        <v>10066</v>
      </c>
      <c r="B13" s="15">
        <v>393</v>
      </c>
      <c r="C13" s="15">
        <v>2</v>
      </c>
      <c r="D13" s="15">
        <v>215899571</v>
      </c>
      <c r="E13" s="15">
        <v>217566011</v>
      </c>
      <c r="F13" s="15">
        <v>4256</v>
      </c>
      <c r="G13" s="8" t="s">
        <v>12324</v>
      </c>
      <c r="H13" s="24" t="s">
        <v>3164</v>
      </c>
      <c r="I13" s="25" t="s">
        <v>3165</v>
      </c>
      <c r="J13" s="8" t="s">
        <v>3166</v>
      </c>
      <c r="K13" s="8" t="s">
        <v>10042</v>
      </c>
      <c r="L13" s="15">
        <v>1</v>
      </c>
      <c r="M13" s="15">
        <v>1.23182E-4</v>
      </c>
      <c r="N13" s="15">
        <v>4.3372594230769231E-2</v>
      </c>
    </row>
    <row r="14" spans="1:14" x14ac:dyDescent="0.2">
      <c r="A14" s="2" t="s">
        <v>10066</v>
      </c>
      <c r="B14" s="15">
        <v>2345</v>
      </c>
      <c r="C14" s="15">
        <v>19</v>
      </c>
      <c r="D14" s="15">
        <v>39370420</v>
      </c>
      <c r="E14" s="15">
        <v>40171413</v>
      </c>
      <c r="F14" s="15">
        <v>2194</v>
      </c>
      <c r="G14" s="8" t="s">
        <v>12324</v>
      </c>
      <c r="H14" s="24" t="s">
        <v>3164</v>
      </c>
      <c r="I14" s="25" t="s">
        <v>3165</v>
      </c>
      <c r="J14" s="8" t="s">
        <v>3166</v>
      </c>
      <c r="K14" s="8" t="s">
        <v>10042</v>
      </c>
      <c r="L14" s="15">
        <v>-1</v>
      </c>
      <c r="M14" s="15">
        <v>1.2713500000000001E-4</v>
      </c>
      <c r="N14" s="15">
        <v>4.3372594230769231E-2</v>
      </c>
    </row>
    <row r="15" spans="1:14" x14ac:dyDescent="0.2">
      <c r="A15" s="2" t="s">
        <v>10068</v>
      </c>
      <c r="B15" s="15">
        <v>2224</v>
      </c>
      <c r="C15" s="15">
        <v>17</v>
      </c>
      <c r="D15" s="15">
        <v>66757557</v>
      </c>
      <c r="E15" s="15">
        <v>68176219</v>
      </c>
      <c r="F15" s="15">
        <v>3008</v>
      </c>
      <c r="G15" s="8" t="s">
        <v>12324</v>
      </c>
      <c r="H15" s="24" t="s">
        <v>6565</v>
      </c>
      <c r="I15" s="25" t="s">
        <v>6475</v>
      </c>
      <c r="J15" s="8" t="s">
        <v>6566</v>
      </c>
      <c r="K15" s="8" t="s">
        <v>10054</v>
      </c>
      <c r="L15" s="15">
        <v>-0.90577200000000002</v>
      </c>
      <c r="M15" s="15">
        <v>1.2514399999999999E-4</v>
      </c>
      <c r="N15" s="15">
        <v>4.3372594230769231E-2</v>
      </c>
    </row>
    <row r="16" spans="1:14" x14ac:dyDescent="0.2">
      <c r="A16" s="2" t="s">
        <v>10068</v>
      </c>
      <c r="B16" s="15">
        <v>2071</v>
      </c>
      <c r="C16" s="15">
        <v>15</v>
      </c>
      <c r="D16" s="15">
        <v>67396521</v>
      </c>
      <c r="E16" s="15">
        <v>69089815</v>
      </c>
      <c r="F16" s="15">
        <v>3608</v>
      </c>
      <c r="G16" s="8" t="s">
        <v>12324</v>
      </c>
      <c r="H16" s="24" t="s">
        <v>599</v>
      </c>
      <c r="I16" s="25">
        <v>26562</v>
      </c>
      <c r="J16" s="8" t="s">
        <v>601</v>
      </c>
      <c r="K16" s="8" t="s">
        <v>10040</v>
      </c>
      <c r="L16" s="15">
        <v>0.67989699999999997</v>
      </c>
      <c r="M16" s="15">
        <v>1.72046E-4</v>
      </c>
      <c r="N16" s="15">
        <v>5.1269487000000002E-2</v>
      </c>
    </row>
    <row r="17" spans="1:14" x14ac:dyDescent="0.2">
      <c r="A17" s="2" t="s">
        <v>10069</v>
      </c>
      <c r="B17" s="15">
        <v>549</v>
      </c>
      <c r="C17" s="15">
        <v>3</v>
      </c>
      <c r="D17" s="15">
        <v>145903839</v>
      </c>
      <c r="E17" s="15">
        <v>147358243</v>
      </c>
      <c r="F17" s="15">
        <v>2668</v>
      </c>
      <c r="G17" s="8" t="s">
        <v>12324</v>
      </c>
      <c r="H17" s="24" t="s">
        <v>662</v>
      </c>
      <c r="I17" s="25" t="s">
        <v>663</v>
      </c>
      <c r="J17" s="8" t="s">
        <v>664</v>
      </c>
      <c r="K17" s="8" t="s">
        <v>10040</v>
      </c>
      <c r="L17" s="15">
        <v>-1</v>
      </c>
      <c r="M17" s="15">
        <v>1.7340300000000001E-4</v>
      </c>
      <c r="N17" s="15">
        <v>5.1269487000000002E-2</v>
      </c>
    </row>
    <row r="18" spans="1:14" x14ac:dyDescent="0.2">
      <c r="A18" s="2" t="s">
        <v>10068</v>
      </c>
      <c r="B18" s="15">
        <v>232</v>
      </c>
      <c r="C18" s="15">
        <v>2</v>
      </c>
      <c r="D18" s="15">
        <v>29627933</v>
      </c>
      <c r="E18" s="15">
        <v>30575619</v>
      </c>
      <c r="F18" s="15">
        <v>2538</v>
      </c>
      <c r="G18" s="8" t="s">
        <v>12324</v>
      </c>
      <c r="H18" s="24" t="s">
        <v>1259</v>
      </c>
      <c r="I18" s="25">
        <v>27096</v>
      </c>
      <c r="J18" s="8" t="s">
        <v>1261</v>
      </c>
      <c r="K18" s="8" t="s">
        <v>10040</v>
      </c>
      <c r="L18" s="15">
        <v>1</v>
      </c>
      <c r="M18" s="15">
        <v>2.1054099999999999E-4</v>
      </c>
      <c r="N18" s="15">
        <v>5.4926431470588233E-2</v>
      </c>
    </row>
    <row r="19" spans="1:14" x14ac:dyDescent="0.2">
      <c r="A19" s="2" t="s">
        <v>10066</v>
      </c>
      <c r="B19" s="15">
        <v>267</v>
      </c>
      <c r="C19" s="15">
        <v>2</v>
      </c>
      <c r="D19" s="15">
        <v>59251997</v>
      </c>
      <c r="E19" s="15">
        <v>60775066</v>
      </c>
      <c r="F19" s="15">
        <v>3683</v>
      </c>
      <c r="G19" s="8" t="s">
        <v>12324</v>
      </c>
      <c r="H19" s="24" t="s">
        <v>6008</v>
      </c>
      <c r="I19" s="25" t="s">
        <v>6009</v>
      </c>
      <c r="J19" s="8" t="s">
        <v>6010</v>
      </c>
      <c r="K19" s="8" t="s">
        <v>10051</v>
      </c>
      <c r="L19" s="15">
        <v>-0.69307300000000005</v>
      </c>
      <c r="M19" s="15">
        <v>2.03566E-4</v>
      </c>
      <c r="N19" s="15">
        <v>5.4926431470588233E-2</v>
      </c>
    </row>
    <row r="20" spans="1:14" x14ac:dyDescent="0.2">
      <c r="A20" s="2" t="s">
        <v>10066</v>
      </c>
      <c r="B20" s="15">
        <v>2423</v>
      </c>
      <c r="C20" s="15">
        <v>20</v>
      </c>
      <c r="D20" s="15">
        <v>57924038</v>
      </c>
      <c r="E20" s="15">
        <v>58780894</v>
      </c>
      <c r="F20" s="15">
        <v>2369</v>
      </c>
      <c r="G20" s="8" t="s">
        <v>12324</v>
      </c>
      <c r="H20" s="24" t="s">
        <v>3164</v>
      </c>
      <c r="I20" s="25" t="s">
        <v>3165</v>
      </c>
      <c r="J20" s="8" t="s">
        <v>3166</v>
      </c>
      <c r="K20" s="8" t="s">
        <v>10042</v>
      </c>
      <c r="L20" s="15">
        <v>0.65587399999999996</v>
      </c>
      <c r="M20" s="15">
        <v>2.7310300000000002E-4</v>
      </c>
      <c r="N20" s="15">
        <v>6.7289544722222219E-2</v>
      </c>
    </row>
    <row r="21" spans="1:14" x14ac:dyDescent="0.2">
      <c r="A21" s="2" t="s">
        <v>10068</v>
      </c>
      <c r="B21" s="15">
        <v>1203</v>
      </c>
      <c r="C21" s="15">
        <v>7</v>
      </c>
      <c r="D21" s="15">
        <v>121946053</v>
      </c>
      <c r="E21" s="15">
        <v>123859746</v>
      </c>
      <c r="F21" s="15">
        <v>4148</v>
      </c>
      <c r="G21" s="8" t="s">
        <v>12324</v>
      </c>
      <c r="H21" s="24" t="s">
        <v>494</v>
      </c>
      <c r="I21" s="25">
        <v>25920</v>
      </c>
      <c r="J21" s="8" t="s">
        <v>496</v>
      </c>
      <c r="K21" s="8" t="s">
        <v>10040</v>
      </c>
      <c r="L21" s="15">
        <v>-1</v>
      </c>
      <c r="M21" s="15">
        <v>3.3481100000000002E-4</v>
      </c>
      <c r="N21" s="15">
        <v>6.7494853863636364E-2</v>
      </c>
    </row>
    <row r="22" spans="1:14" x14ac:dyDescent="0.2">
      <c r="A22" s="2" t="s">
        <v>10066</v>
      </c>
      <c r="B22" s="15">
        <v>1022</v>
      </c>
      <c r="C22" s="15">
        <v>6</v>
      </c>
      <c r="D22" s="15">
        <v>89974268</v>
      </c>
      <c r="E22" s="15">
        <v>91097024</v>
      </c>
      <c r="F22" s="15">
        <v>2305</v>
      </c>
      <c r="G22" s="8" t="s">
        <v>12324</v>
      </c>
      <c r="H22" s="24" t="s">
        <v>3164</v>
      </c>
      <c r="I22" s="25" t="s">
        <v>3165</v>
      </c>
      <c r="J22" s="8" t="s">
        <v>3166</v>
      </c>
      <c r="K22" s="8" t="s">
        <v>10042</v>
      </c>
      <c r="L22" s="15">
        <v>0.58125199999999999</v>
      </c>
      <c r="M22" s="15">
        <v>3.23393E-4</v>
      </c>
      <c r="N22" s="15">
        <v>6.7494853863636364E-2</v>
      </c>
    </row>
    <row r="23" spans="1:14" x14ac:dyDescent="0.2">
      <c r="A23" s="2" t="s">
        <v>10066</v>
      </c>
      <c r="B23" s="15">
        <v>2071</v>
      </c>
      <c r="C23" s="15">
        <v>15</v>
      </c>
      <c r="D23" s="15">
        <v>67396521</v>
      </c>
      <c r="E23" s="15">
        <v>69089815</v>
      </c>
      <c r="F23" s="15">
        <v>3606</v>
      </c>
      <c r="G23" s="8" t="s">
        <v>12324</v>
      </c>
      <c r="H23" s="24" t="s">
        <v>6008</v>
      </c>
      <c r="I23" s="25" t="s">
        <v>6009</v>
      </c>
      <c r="J23" s="8" t="s">
        <v>6010</v>
      </c>
      <c r="K23" s="8" t="s">
        <v>10051</v>
      </c>
      <c r="L23" s="15">
        <v>-0.72688399999999997</v>
      </c>
      <c r="M23" s="15">
        <v>3.2796600000000001E-4</v>
      </c>
      <c r="N23" s="15">
        <v>6.7494853863636364E-2</v>
      </c>
    </row>
    <row r="24" spans="1:14" x14ac:dyDescent="0.2">
      <c r="A24" s="2" t="s">
        <v>10068</v>
      </c>
      <c r="B24" s="15">
        <v>2244</v>
      </c>
      <c r="C24" s="15">
        <v>18</v>
      </c>
      <c r="D24" s="15">
        <v>5575813</v>
      </c>
      <c r="E24" s="15">
        <v>6756496</v>
      </c>
      <c r="F24" s="15">
        <v>3184</v>
      </c>
      <c r="G24" s="8" t="s">
        <v>12324</v>
      </c>
      <c r="H24" s="24" t="s">
        <v>6565</v>
      </c>
      <c r="I24" s="25" t="s">
        <v>6475</v>
      </c>
      <c r="J24" s="8" t="s">
        <v>6566</v>
      </c>
      <c r="K24" s="8" t="s">
        <v>10054</v>
      </c>
      <c r="L24" s="15">
        <v>-0.38904499999999997</v>
      </c>
      <c r="M24" s="15">
        <v>3.2560999999999999E-4</v>
      </c>
      <c r="N24" s="15">
        <v>6.7494853863636364E-2</v>
      </c>
    </row>
    <row r="25" spans="1:14" x14ac:dyDescent="0.2">
      <c r="A25" s="2" t="s">
        <v>10068</v>
      </c>
      <c r="B25" s="15">
        <v>2310</v>
      </c>
      <c r="C25" s="15">
        <v>19</v>
      </c>
      <c r="D25" s="15">
        <v>3085447</v>
      </c>
      <c r="E25" s="15">
        <v>3893909</v>
      </c>
      <c r="F25" s="15">
        <v>2669</v>
      </c>
      <c r="G25" s="8" t="s">
        <v>12324</v>
      </c>
      <c r="H25" s="24" t="s">
        <v>599</v>
      </c>
      <c r="I25" s="25">
        <v>26562</v>
      </c>
      <c r="J25" s="8" t="s">
        <v>601</v>
      </c>
      <c r="K25" s="8" t="s">
        <v>10040</v>
      </c>
      <c r="L25" s="15">
        <v>-0.477856</v>
      </c>
      <c r="M25" s="15">
        <v>3.9425000000000001E-4</v>
      </c>
      <c r="N25" s="15">
        <v>7.0115753400000008E-2</v>
      </c>
    </row>
    <row r="26" spans="1:14" x14ac:dyDescent="0.2">
      <c r="A26" s="2" t="s">
        <v>10069</v>
      </c>
      <c r="B26" s="15">
        <v>1804</v>
      </c>
      <c r="C26" s="15">
        <v>12</v>
      </c>
      <c r="D26" s="15">
        <v>68839662</v>
      </c>
      <c r="E26" s="15">
        <v>70097805</v>
      </c>
      <c r="F26" s="15">
        <v>2131</v>
      </c>
      <c r="G26" s="8" t="s">
        <v>12324</v>
      </c>
      <c r="H26" s="24" t="s">
        <v>662</v>
      </c>
      <c r="I26" s="25" t="s">
        <v>663</v>
      </c>
      <c r="J26" s="8" t="s">
        <v>664</v>
      </c>
      <c r="K26" s="8" t="s">
        <v>10040</v>
      </c>
      <c r="L26" s="15">
        <v>0.76023600000000002</v>
      </c>
      <c r="M26" s="15">
        <v>3.7752599999999999E-4</v>
      </c>
      <c r="N26" s="15">
        <v>7.0115753400000008E-2</v>
      </c>
    </row>
    <row r="27" spans="1:14" x14ac:dyDescent="0.2">
      <c r="A27" s="2" t="s">
        <v>10068</v>
      </c>
      <c r="B27" s="15">
        <v>2287</v>
      </c>
      <c r="C27" s="15">
        <v>18</v>
      </c>
      <c r="D27" s="15">
        <v>58527237</v>
      </c>
      <c r="E27" s="15">
        <v>59449422</v>
      </c>
      <c r="F27" s="15">
        <v>2310</v>
      </c>
      <c r="G27" s="8" t="s">
        <v>12324</v>
      </c>
      <c r="H27" s="24" t="s">
        <v>1259</v>
      </c>
      <c r="I27" s="25">
        <v>27096</v>
      </c>
      <c r="J27" s="8" t="s">
        <v>1261</v>
      </c>
      <c r="K27" s="8" t="s">
        <v>10040</v>
      </c>
      <c r="L27" s="15">
        <v>-0.82122899999999999</v>
      </c>
      <c r="M27" s="15">
        <v>3.9524100000000001E-4</v>
      </c>
      <c r="N27" s="15">
        <v>7.0115753400000008E-2</v>
      </c>
    </row>
    <row r="28" spans="1:14" x14ac:dyDescent="0.2">
      <c r="A28" s="2" t="s">
        <v>10069</v>
      </c>
      <c r="B28" s="15">
        <v>1375</v>
      </c>
      <c r="C28" s="15">
        <v>9</v>
      </c>
      <c r="D28" s="15">
        <v>3079046</v>
      </c>
      <c r="E28" s="15">
        <v>4025355</v>
      </c>
      <c r="F28" s="15">
        <v>1570</v>
      </c>
      <c r="G28" s="8" t="s">
        <v>12324</v>
      </c>
      <c r="H28" s="24" t="s">
        <v>662</v>
      </c>
      <c r="I28" s="25" t="s">
        <v>663</v>
      </c>
      <c r="J28" s="8" t="s">
        <v>664</v>
      </c>
      <c r="K28" s="8" t="s">
        <v>10040</v>
      </c>
      <c r="L28" s="15">
        <v>0.66641799999999995</v>
      </c>
      <c r="M28" s="15">
        <v>4.1819900000000001E-4</v>
      </c>
      <c r="N28" s="15">
        <v>7.1335098653846157E-2</v>
      </c>
    </row>
    <row r="29" spans="1:14" x14ac:dyDescent="0.2">
      <c r="A29" s="2" t="s">
        <v>10068</v>
      </c>
      <c r="B29" s="15">
        <v>2098</v>
      </c>
      <c r="C29" s="15">
        <v>15</v>
      </c>
      <c r="D29" s="15">
        <v>98828262</v>
      </c>
      <c r="E29" s="15">
        <v>99925972</v>
      </c>
      <c r="F29" s="15">
        <v>3280</v>
      </c>
      <c r="G29" s="8" t="s">
        <v>12324</v>
      </c>
      <c r="H29" s="24" t="s">
        <v>494</v>
      </c>
      <c r="I29" s="25">
        <v>25920</v>
      </c>
      <c r="J29" s="8" t="s">
        <v>496</v>
      </c>
      <c r="K29" s="8" t="s">
        <v>10040</v>
      </c>
      <c r="L29" s="15">
        <v>1</v>
      </c>
      <c r="M29" s="15">
        <v>4.60013E-4</v>
      </c>
      <c r="N29" s="15">
        <v>7.556139462962963E-2</v>
      </c>
    </row>
    <row r="30" spans="1:14" x14ac:dyDescent="0.2">
      <c r="A30" s="2" t="s">
        <v>10068</v>
      </c>
      <c r="B30" s="15">
        <v>1855</v>
      </c>
      <c r="C30" s="15">
        <v>12</v>
      </c>
      <c r="D30" s="15">
        <v>127545378</v>
      </c>
      <c r="E30" s="15">
        <v>128372588</v>
      </c>
      <c r="F30" s="15">
        <v>2649</v>
      </c>
      <c r="G30" s="8" t="s">
        <v>12324</v>
      </c>
      <c r="H30" s="24" t="s">
        <v>6565</v>
      </c>
      <c r="I30" s="25" t="s">
        <v>6475</v>
      </c>
      <c r="J30" s="8" t="s">
        <v>6566</v>
      </c>
      <c r="K30" s="8" t="s">
        <v>10054</v>
      </c>
      <c r="L30" s="15">
        <v>0.49891400000000002</v>
      </c>
      <c r="M30" s="15">
        <v>5.0327399999999995E-4</v>
      </c>
      <c r="N30" s="15">
        <v>7.9715006785714276E-2</v>
      </c>
    </row>
    <row r="31" spans="1:14" x14ac:dyDescent="0.2">
      <c r="A31" s="2" t="s">
        <v>10068</v>
      </c>
      <c r="B31" s="15">
        <v>352</v>
      </c>
      <c r="C31" s="15">
        <v>2</v>
      </c>
      <c r="D31" s="15">
        <v>168437446</v>
      </c>
      <c r="E31" s="15">
        <v>169224445</v>
      </c>
      <c r="F31" s="15">
        <v>2152</v>
      </c>
      <c r="G31" s="8" t="s">
        <v>12324</v>
      </c>
      <c r="H31" s="24" t="s">
        <v>494</v>
      </c>
      <c r="I31" s="25">
        <v>25920</v>
      </c>
      <c r="J31" s="8" t="s">
        <v>496</v>
      </c>
      <c r="K31" s="8" t="s">
        <v>10040</v>
      </c>
      <c r="L31" s="15">
        <v>-0.41723900000000003</v>
      </c>
      <c r="M31" s="15">
        <v>6.0966199999999996E-4</v>
      </c>
      <c r="N31" s="15">
        <v>7.9831321063829785E-2</v>
      </c>
    </row>
    <row r="32" spans="1:14" x14ac:dyDescent="0.2">
      <c r="A32" s="2" t="s">
        <v>10068</v>
      </c>
      <c r="B32" s="15">
        <v>2485</v>
      </c>
      <c r="C32" s="15">
        <v>22</v>
      </c>
      <c r="D32" s="15">
        <v>41722788</v>
      </c>
      <c r="E32" s="15">
        <v>42867927</v>
      </c>
      <c r="F32" s="15">
        <v>2334</v>
      </c>
      <c r="G32" s="8" t="s">
        <v>12324</v>
      </c>
      <c r="H32" s="24" t="s">
        <v>494</v>
      </c>
      <c r="I32" s="25">
        <v>25920</v>
      </c>
      <c r="J32" s="8" t="s">
        <v>496</v>
      </c>
      <c r="K32" s="8" t="s">
        <v>10040</v>
      </c>
      <c r="L32" s="15">
        <v>-1</v>
      </c>
      <c r="M32" s="15">
        <v>7.7956900000000003E-4</v>
      </c>
      <c r="N32" s="15">
        <v>7.9831321063829785E-2</v>
      </c>
    </row>
    <row r="33" spans="1:14" x14ac:dyDescent="0.2">
      <c r="A33" s="2" t="s">
        <v>10068</v>
      </c>
      <c r="B33" s="15">
        <v>1060</v>
      </c>
      <c r="C33" s="15">
        <v>6</v>
      </c>
      <c r="D33" s="15">
        <v>132890695</v>
      </c>
      <c r="E33" s="15">
        <v>134313643</v>
      </c>
      <c r="F33" s="15">
        <v>3680</v>
      </c>
      <c r="G33" s="8" t="s">
        <v>12324</v>
      </c>
      <c r="H33" s="24" t="s">
        <v>599</v>
      </c>
      <c r="I33" s="25">
        <v>26562</v>
      </c>
      <c r="J33" s="8" t="s">
        <v>601</v>
      </c>
      <c r="K33" s="8" t="s">
        <v>10040</v>
      </c>
      <c r="L33" s="15">
        <v>-0.59865500000000005</v>
      </c>
      <c r="M33" s="15">
        <v>6.1181600000000005E-4</v>
      </c>
      <c r="N33" s="15">
        <v>7.9831321063829785E-2</v>
      </c>
    </row>
    <row r="34" spans="1:14" x14ac:dyDescent="0.2">
      <c r="A34" s="2" t="s">
        <v>10068</v>
      </c>
      <c r="B34" s="15">
        <v>2126</v>
      </c>
      <c r="C34" s="15">
        <v>16</v>
      </c>
      <c r="D34" s="15">
        <v>26154123</v>
      </c>
      <c r="E34" s="15">
        <v>27443061</v>
      </c>
      <c r="F34" s="15">
        <v>4084</v>
      </c>
      <c r="G34" s="8" t="s">
        <v>12324</v>
      </c>
      <c r="H34" s="24" t="s">
        <v>599</v>
      </c>
      <c r="I34" s="25">
        <v>26562</v>
      </c>
      <c r="J34" s="8" t="s">
        <v>601</v>
      </c>
      <c r="K34" s="8" t="s">
        <v>10040</v>
      </c>
      <c r="L34" s="15">
        <v>0.80081500000000005</v>
      </c>
      <c r="M34" s="15">
        <v>6.3705399999999996E-4</v>
      </c>
      <c r="N34" s="15">
        <v>7.9831321063829785E-2</v>
      </c>
    </row>
    <row r="35" spans="1:14" x14ac:dyDescent="0.2">
      <c r="A35" s="2" t="s">
        <v>10068</v>
      </c>
      <c r="B35" s="15">
        <v>2273</v>
      </c>
      <c r="C35" s="15">
        <v>18</v>
      </c>
      <c r="D35" s="15">
        <v>44300146</v>
      </c>
      <c r="E35" s="15">
        <v>45718492</v>
      </c>
      <c r="F35" s="15">
        <v>3641</v>
      </c>
      <c r="G35" s="8" t="s">
        <v>12324</v>
      </c>
      <c r="H35" s="24" t="s">
        <v>599</v>
      </c>
      <c r="I35" s="25">
        <v>26562</v>
      </c>
      <c r="J35" s="8" t="s">
        <v>601</v>
      </c>
      <c r="K35" s="8" t="s">
        <v>10040</v>
      </c>
      <c r="L35" s="15">
        <v>-1</v>
      </c>
      <c r="M35" s="15">
        <v>6.82242E-4</v>
      </c>
      <c r="N35" s="15">
        <v>7.9831321063829785E-2</v>
      </c>
    </row>
    <row r="36" spans="1:14" x14ac:dyDescent="0.2">
      <c r="A36" s="2" t="s">
        <v>10068</v>
      </c>
      <c r="B36" s="15">
        <v>2095</v>
      </c>
      <c r="C36" s="15">
        <v>15</v>
      </c>
      <c r="D36" s="15">
        <v>95662426</v>
      </c>
      <c r="E36" s="15">
        <v>96864278</v>
      </c>
      <c r="F36" s="15">
        <v>3059</v>
      </c>
      <c r="G36" s="8" t="s">
        <v>12324</v>
      </c>
      <c r="H36" s="24" t="s">
        <v>599</v>
      </c>
      <c r="I36" s="25">
        <v>26562</v>
      </c>
      <c r="J36" s="8" t="s">
        <v>601</v>
      </c>
      <c r="K36" s="8" t="s">
        <v>10040</v>
      </c>
      <c r="L36" s="15">
        <v>-0.53311600000000003</v>
      </c>
      <c r="M36" s="15">
        <v>6.9783400000000004E-4</v>
      </c>
      <c r="N36" s="15">
        <v>7.9831321063829785E-2</v>
      </c>
    </row>
    <row r="37" spans="1:14" x14ac:dyDescent="0.2">
      <c r="A37" s="2" t="s">
        <v>10069</v>
      </c>
      <c r="B37" s="15">
        <v>248</v>
      </c>
      <c r="C37" s="15">
        <v>2</v>
      </c>
      <c r="D37" s="15">
        <v>43295777</v>
      </c>
      <c r="E37" s="15">
        <v>44104110</v>
      </c>
      <c r="F37" s="15">
        <v>1497</v>
      </c>
      <c r="G37" s="8" t="s">
        <v>12324</v>
      </c>
      <c r="H37" s="24" t="s">
        <v>662</v>
      </c>
      <c r="I37" s="25" t="s">
        <v>663</v>
      </c>
      <c r="J37" s="8" t="s">
        <v>664</v>
      </c>
      <c r="K37" s="8" t="s">
        <v>10040</v>
      </c>
      <c r="L37" s="15">
        <v>-1</v>
      </c>
      <c r="M37" s="15">
        <v>6.9627100000000004E-4</v>
      </c>
      <c r="N37" s="15">
        <v>7.9831321063829785E-2</v>
      </c>
    </row>
    <row r="38" spans="1:14" x14ac:dyDescent="0.2">
      <c r="A38" s="2" t="s">
        <v>10069</v>
      </c>
      <c r="B38" s="15">
        <v>1080</v>
      </c>
      <c r="C38" s="15">
        <v>6</v>
      </c>
      <c r="D38" s="15">
        <v>156762741</v>
      </c>
      <c r="E38" s="15">
        <v>158220143</v>
      </c>
      <c r="F38" s="15">
        <v>1894</v>
      </c>
      <c r="G38" s="8" t="s">
        <v>12324</v>
      </c>
      <c r="H38" s="24" t="s">
        <v>662</v>
      </c>
      <c r="I38" s="25" t="s">
        <v>663</v>
      </c>
      <c r="J38" s="8" t="s">
        <v>664</v>
      </c>
      <c r="K38" s="8" t="s">
        <v>10040</v>
      </c>
      <c r="L38" s="15">
        <v>-0.77871699999999999</v>
      </c>
      <c r="M38" s="15">
        <v>7.6181000000000003E-4</v>
      </c>
      <c r="N38" s="15">
        <v>7.9831321063829785E-2</v>
      </c>
    </row>
    <row r="39" spans="1:14" x14ac:dyDescent="0.2">
      <c r="A39" s="2" t="s">
        <v>10069</v>
      </c>
      <c r="B39" s="15">
        <v>2354</v>
      </c>
      <c r="C39" s="15">
        <v>19</v>
      </c>
      <c r="D39" s="15">
        <v>47752728</v>
      </c>
      <c r="E39" s="15">
        <v>48573065</v>
      </c>
      <c r="F39" s="15">
        <v>1556</v>
      </c>
      <c r="G39" s="8" t="s">
        <v>12324</v>
      </c>
      <c r="H39" s="24" t="s">
        <v>662</v>
      </c>
      <c r="I39" s="25" t="s">
        <v>663</v>
      </c>
      <c r="J39" s="8" t="s">
        <v>664</v>
      </c>
      <c r="K39" s="8" t="s">
        <v>10040</v>
      </c>
      <c r="L39" s="15">
        <v>-0.95411199999999996</v>
      </c>
      <c r="M39" s="15">
        <v>8.4174300000000005E-4</v>
      </c>
      <c r="N39" s="15">
        <v>7.9831321063829785E-2</v>
      </c>
    </row>
    <row r="40" spans="1:14" x14ac:dyDescent="0.2">
      <c r="A40" s="2" t="s">
        <v>10068</v>
      </c>
      <c r="B40" s="15">
        <v>2073</v>
      </c>
      <c r="C40" s="15">
        <v>15</v>
      </c>
      <c r="D40" s="15">
        <v>70767984</v>
      </c>
      <c r="E40" s="15">
        <v>72058129</v>
      </c>
      <c r="F40" s="15">
        <v>2884</v>
      </c>
      <c r="G40" s="8" t="s">
        <v>12324</v>
      </c>
      <c r="H40" s="24" t="s">
        <v>1259</v>
      </c>
      <c r="I40" s="25">
        <v>27096</v>
      </c>
      <c r="J40" s="8" t="s">
        <v>1261</v>
      </c>
      <c r="K40" s="8" t="s">
        <v>10040</v>
      </c>
      <c r="L40" s="15">
        <v>-0.92106500000000002</v>
      </c>
      <c r="M40" s="15">
        <v>6.14381E-4</v>
      </c>
      <c r="N40" s="15">
        <v>7.9831321063829785E-2</v>
      </c>
    </row>
    <row r="41" spans="1:14" x14ac:dyDescent="0.2">
      <c r="A41" s="2" t="s">
        <v>10068</v>
      </c>
      <c r="B41" s="15">
        <v>648</v>
      </c>
      <c r="C41" s="15">
        <v>4</v>
      </c>
      <c r="D41" s="15">
        <v>47408266</v>
      </c>
      <c r="E41" s="15">
        <v>49325138</v>
      </c>
      <c r="F41" s="15">
        <v>3570</v>
      </c>
      <c r="G41" s="8" t="s">
        <v>12324</v>
      </c>
      <c r="H41" s="24" t="s">
        <v>1259</v>
      </c>
      <c r="I41" s="25">
        <v>27096</v>
      </c>
      <c r="J41" s="8" t="s">
        <v>1261</v>
      </c>
      <c r="K41" s="8" t="s">
        <v>10040</v>
      </c>
      <c r="L41" s="15">
        <v>0.53505100000000005</v>
      </c>
      <c r="M41" s="15">
        <v>7.4197100000000002E-4</v>
      </c>
      <c r="N41" s="15">
        <v>7.9831321063829785E-2</v>
      </c>
    </row>
    <row r="42" spans="1:14" x14ac:dyDescent="0.2">
      <c r="A42" s="2" t="s">
        <v>10068</v>
      </c>
      <c r="B42" s="15">
        <v>2441</v>
      </c>
      <c r="C42" s="15">
        <v>21</v>
      </c>
      <c r="D42" s="15">
        <v>25247987</v>
      </c>
      <c r="E42" s="15">
        <v>26467826</v>
      </c>
      <c r="F42" s="15">
        <v>3880</v>
      </c>
      <c r="G42" s="8" t="s">
        <v>12324</v>
      </c>
      <c r="H42" s="24" t="s">
        <v>1259</v>
      </c>
      <c r="I42" s="25">
        <v>27096</v>
      </c>
      <c r="J42" s="8" t="s">
        <v>1261</v>
      </c>
      <c r="K42" s="8" t="s">
        <v>10040</v>
      </c>
      <c r="L42" s="15">
        <v>1</v>
      </c>
      <c r="M42" s="15">
        <v>7.5750100000000005E-4</v>
      </c>
      <c r="N42" s="15">
        <v>7.9831321063829785E-2</v>
      </c>
    </row>
    <row r="43" spans="1:14" x14ac:dyDescent="0.2">
      <c r="A43" s="2" t="s">
        <v>10068</v>
      </c>
      <c r="B43" s="15">
        <v>1201</v>
      </c>
      <c r="C43" s="15">
        <v>7</v>
      </c>
      <c r="D43" s="15">
        <v>119568237</v>
      </c>
      <c r="E43" s="15">
        <v>121042050</v>
      </c>
      <c r="F43" s="15">
        <v>2946</v>
      </c>
      <c r="G43" s="8" t="s">
        <v>12324</v>
      </c>
      <c r="H43" s="24" t="s">
        <v>1259</v>
      </c>
      <c r="I43" s="25">
        <v>27096</v>
      </c>
      <c r="J43" s="8" t="s">
        <v>1261</v>
      </c>
      <c r="K43" s="8" t="s">
        <v>10040</v>
      </c>
      <c r="L43" s="15">
        <v>0.96026400000000001</v>
      </c>
      <c r="M43" s="15">
        <v>8.0957900000000005E-4</v>
      </c>
      <c r="N43" s="15">
        <v>7.9831321063829785E-2</v>
      </c>
    </row>
    <row r="44" spans="1:14" x14ac:dyDescent="0.2">
      <c r="A44" s="2" t="s">
        <v>10068</v>
      </c>
      <c r="B44" s="15">
        <v>939</v>
      </c>
      <c r="C44" s="15">
        <v>6</v>
      </c>
      <c r="D44" s="15">
        <v>16566883</v>
      </c>
      <c r="E44" s="15">
        <v>17391994</v>
      </c>
      <c r="F44" s="15">
        <v>2131</v>
      </c>
      <c r="G44" s="8" t="s">
        <v>12324</v>
      </c>
      <c r="H44" s="24" t="s">
        <v>1259</v>
      </c>
      <c r="I44" s="25">
        <v>27096</v>
      </c>
      <c r="J44" s="8" t="s">
        <v>1261</v>
      </c>
      <c r="K44" s="8" t="s">
        <v>10040</v>
      </c>
      <c r="L44" s="15">
        <v>1</v>
      </c>
      <c r="M44" s="15">
        <v>8.4601399999999997E-4</v>
      </c>
      <c r="N44" s="15">
        <v>7.9831321063829785E-2</v>
      </c>
    </row>
    <row r="45" spans="1:14" x14ac:dyDescent="0.2">
      <c r="A45" s="2" t="s">
        <v>10066</v>
      </c>
      <c r="B45" s="15">
        <v>152</v>
      </c>
      <c r="C45" s="15">
        <v>1</v>
      </c>
      <c r="D45" s="15">
        <v>197935822</v>
      </c>
      <c r="E45" s="15">
        <v>199263389</v>
      </c>
      <c r="F45" s="15">
        <v>3209</v>
      </c>
      <c r="G45" s="8" t="s">
        <v>12324</v>
      </c>
      <c r="H45" s="24" t="s">
        <v>3164</v>
      </c>
      <c r="I45" s="25" t="s">
        <v>3165</v>
      </c>
      <c r="J45" s="8" t="s">
        <v>3166</v>
      </c>
      <c r="K45" s="8" t="s">
        <v>10042</v>
      </c>
      <c r="L45" s="15">
        <v>0.98064399999999996</v>
      </c>
      <c r="M45" s="15">
        <v>5.8190399999999995E-4</v>
      </c>
      <c r="N45" s="15">
        <v>7.9831321063829785E-2</v>
      </c>
    </row>
    <row r="46" spans="1:14" x14ac:dyDescent="0.2">
      <c r="A46" s="2" t="s">
        <v>10066</v>
      </c>
      <c r="B46" s="15">
        <v>1624</v>
      </c>
      <c r="C46" s="15">
        <v>11</v>
      </c>
      <c r="D46" s="15">
        <v>11632651</v>
      </c>
      <c r="E46" s="15">
        <v>12470449</v>
      </c>
      <c r="F46" s="15">
        <v>2688</v>
      </c>
      <c r="G46" s="8" t="s">
        <v>12324</v>
      </c>
      <c r="H46" s="24" t="s">
        <v>3164</v>
      </c>
      <c r="I46" s="25" t="s">
        <v>3165</v>
      </c>
      <c r="J46" s="8" t="s">
        <v>3166</v>
      </c>
      <c r="K46" s="8" t="s">
        <v>10042</v>
      </c>
      <c r="L46" s="15">
        <v>0.79014799999999996</v>
      </c>
      <c r="M46" s="15">
        <v>7.9329499999999996E-4</v>
      </c>
      <c r="N46" s="15">
        <v>7.9831321063829785E-2</v>
      </c>
    </row>
    <row r="47" spans="1:14" x14ac:dyDescent="0.2">
      <c r="A47" s="2" t="s">
        <v>10066</v>
      </c>
      <c r="B47" s="15">
        <v>1804</v>
      </c>
      <c r="C47" s="15">
        <v>12</v>
      </c>
      <c r="D47" s="15">
        <v>68839662</v>
      </c>
      <c r="E47" s="15">
        <v>70097805</v>
      </c>
      <c r="F47" s="15">
        <v>3448</v>
      </c>
      <c r="G47" s="8" t="s">
        <v>12324</v>
      </c>
      <c r="H47" s="24" t="s">
        <v>3164</v>
      </c>
      <c r="I47" s="25" t="s">
        <v>3165</v>
      </c>
      <c r="J47" s="8" t="s">
        <v>3166</v>
      </c>
      <c r="K47" s="8" t="s">
        <v>10042</v>
      </c>
      <c r="L47" s="15">
        <v>-0.99625399999999997</v>
      </c>
      <c r="M47" s="15">
        <v>8.1802700000000003E-4</v>
      </c>
      <c r="N47" s="15">
        <v>7.9831321063829785E-2</v>
      </c>
    </row>
    <row r="48" spans="1:14" x14ac:dyDescent="0.2">
      <c r="A48" s="2" t="s">
        <v>10068</v>
      </c>
      <c r="B48" s="15">
        <v>1298</v>
      </c>
      <c r="C48" s="15">
        <v>8</v>
      </c>
      <c r="D48" s="15">
        <v>61324890</v>
      </c>
      <c r="E48" s="15">
        <v>62330900</v>
      </c>
      <c r="F48" s="15">
        <v>2339</v>
      </c>
      <c r="G48" s="8" t="s">
        <v>12324</v>
      </c>
      <c r="H48" s="24" t="s">
        <v>6565</v>
      </c>
      <c r="I48" s="25" t="s">
        <v>6475</v>
      </c>
      <c r="J48" s="8" t="s">
        <v>6566</v>
      </c>
      <c r="K48" s="8" t="s">
        <v>10054</v>
      </c>
      <c r="L48" s="15">
        <v>1</v>
      </c>
      <c r="M48" s="15">
        <v>5.3437199999999997E-4</v>
      </c>
      <c r="N48" s="15">
        <v>7.9831321063829785E-2</v>
      </c>
    </row>
    <row r="49" spans="1:14" x14ac:dyDescent="0.2">
      <c r="A49" s="2" t="s">
        <v>10068</v>
      </c>
      <c r="B49" s="15">
        <v>589</v>
      </c>
      <c r="C49" s="15">
        <v>3</v>
      </c>
      <c r="D49" s="15">
        <v>192049689</v>
      </c>
      <c r="E49" s="15">
        <v>193122090</v>
      </c>
      <c r="F49" s="15">
        <v>2947</v>
      </c>
      <c r="G49" s="8" t="s">
        <v>12324</v>
      </c>
      <c r="H49" s="24" t="s">
        <v>6565</v>
      </c>
      <c r="I49" s="25" t="s">
        <v>6475</v>
      </c>
      <c r="J49" s="8" t="s">
        <v>6566</v>
      </c>
      <c r="K49" s="8" t="s">
        <v>10054</v>
      </c>
      <c r="L49" s="15">
        <v>0.43908900000000001</v>
      </c>
      <c r="M49" s="15">
        <v>8.1130000000000004E-4</v>
      </c>
      <c r="N49" s="15">
        <v>7.9831321063829785E-2</v>
      </c>
    </row>
    <row r="50" spans="1:14" x14ac:dyDescent="0.2">
      <c r="A50" s="2" t="s">
        <v>10068</v>
      </c>
      <c r="B50" s="15">
        <v>1326</v>
      </c>
      <c r="C50" s="15">
        <v>8</v>
      </c>
      <c r="D50" s="15">
        <v>96175631</v>
      </c>
      <c r="E50" s="15">
        <v>96900513</v>
      </c>
      <c r="F50" s="15">
        <v>2303</v>
      </c>
      <c r="G50" s="8" t="s">
        <v>12324</v>
      </c>
      <c r="H50" s="24" t="s">
        <v>494</v>
      </c>
      <c r="I50" s="25">
        <v>25920</v>
      </c>
      <c r="J50" s="8" t="s">
        <v>496</v>
      </c>
      <c r="K50" s="8" t="s">
        <v>10040</v>
      </c>
      <c r="L50" s="15">
        <v>0.77230900000000002</v>
      </c>
      <c r="M50" s="15">
        <v>9.1437899999999999E-4</v>
      </c>
      <c r="N50" s="15">
        <v>8.1227888961038955E-2</v>
      </c>
    </row>
    <row r="51" spans="1:14" x14ac:dyDescent="0.2">
      <c r="A51" s="2" t="s">
        <v>10068</v>
      </c>
      <c r="B51" s="15">
        <v>1061</v>
      </c>
      <c r="C51" s="15">
        <v>6</v>
      </c>
      <c r="D51" s="15">
        <v>134313644</v>
      </c>
      <c r="E51" s="15">
        <v>135544083</v>
      </c>
      <c r="F51" s="15">
        <v>3018</v>
      </c>
      <c r="G51" s="8" t="s">
        <v>12324</v>
      </c>
      <c r="H51" s="24" t="s">
        <v>494</v>
      </c>
      <c r="I51" s="25">
        <v>25920</v>
      </c>
      <c r="J51" s="8" t="s">
        <v>496</v>
      </c>
      <c r="K51" s="8" t="s">
        <v>10040</v>
      </c>
      <c r="L51" s="15">
        <v>-0.79931099999999999</v>
      </c>
      <c r="M51" s="15">
        <v>1.0326199999999999E-3</v>
      </c>
      <c r="N51" s="15">
        <v>8.1227888961038955E-2</v>
      </c>
    </row>
    <row r="52" spans="1:14" x14ac:dyDescent="0.2">
      <c r="A52" s="2" t="s">
        <v>10068</v>
      </c>
      <c r="B52" s="15">
        <v>933</v>
      </c>
      <c r="C52" s="15">
        <v>6</v>
      </c>
      <c r="D52" s="15">
        <v>7808324</v>
      </c>
      <c r="E52" s="15">
        <v>9020710</v>
      </c>
      <c r="F52" s="15">
        <v>3670</v>
      </c>
      <c r="G52" s="8" t="s">
        <v>12324</v>
      </c>
      <c r="H52" s="24" t="s">
        <v>494</v>
      </c>
      <c r="I52" s="25">
        <v>25920</v>
      </c>
      <c r="J52" s="8" t="s">
        <v>496</v>
      </c>
      <c r="K52" s="8" t="s">
        <v>10040</v>
      </c>
      <c r="L52" s="15">
        <v>-0.75289399999999995</v>
      </c>
      <c r="M52" s="15">
        <v>1.1451199999999999E-3</v>
      </c>
      <c r="N52" s="15">
        <v>8.1227888961038955E-2</v>
      </c>
    </row>
    <row r="53" spans="1:14" x14ac:dyDescent="0.2">
      <c r="A53" s="2" t="s">
        <v>10068</v>
      </c>
      <c r="B53" s="15">
        <v>543</v>
      </c>
      <c r="C53" s="15">
        <v>3</v>
      </c>
      <c r="D53" s="15">
        <v>139831268</v>
      </c>
      <c r="E53" s="15">
        <v>141034637</v>
      </c>
      <c r="F53" s="15">
        <v>3016</v>
      </c>
      <c r="G53" s="8" t="s">
        <v>12324</v>
      </c>
      <c r="H53" s="24" t="s">
        <v>494</v>
      </c>
      <c r="I53" s="25">
        <v>25920</v>
      </c>
      <c r="J53" s="8" t="s">
        <v>496</v>
      </c>
      <c r="K53" s="8" t="s">
        <v>10040</v>
      </c>
      <c r="L53" s="15">
        <v>-0.712557</v>
      </c>
      <c r="M53" s="15">
        <v>1.1477900000000001E-3</v>
      </c>
      <c r="N53" s="15">
        <v>8.1227888961038955E-2</v>
      </c>
    </row>
    <row r="54" spans="1:14" x14ac:dyDescent="0.2">
      <c r="A54" s="2" t="s">
        <v>10068</v>
      </c>
      <c r="B54" s="15">
        <v>1802</v>
      </c>
      <c r="C54" s="15">
        <v>12</v>
      </c>
      <c r="D54" s="15">
        <v>67183621</v>
      </c>
      <c r="E54" s="15">
        <v>68006682</v>
      </c>
      <c r="F54" s="15">
        <v>2250</v>
      </c>
      <c r="G54" s="8" t="s">
        <v>12324</v>
      </c>
      <c r="H54" s="24" t="s">
        <v>494</v>
      </c>
      <c r="I54" s="25">
        <v>25920</v>
      </c>
      <c r="J54" s="8" t="s">
        <v>496</v>
      </c>
      <c r="K54" s="8" t="s">
        <v>10040</v>
      </c>
      <c r="L54" s="15">
        <v>0.69430199999999997</v>
      </c>
      <c r="M54" s="15">
        <v>1.2262E-3</v>
      </c>
      <c r="N54" s="15">
        <v>8.1227888961038955E-2</v>
      </c>
    </row>
    <row r="55" spans="1:14" x14ac:dyDescent="0.2">
      <c r="A55" s="2" t="s">
        <v>10068</v>
      </c>
      <c r="B55" s="15">
        <v>2387</v>
      </c>
      <c r="C55" s="15">
        <v>20</v>
      </c>
      <c r="D55" s="15">
        <v>16661517</v>
      </c>
      <c r="E55" s="15">
        <v>17359290</v>
      </c>
      <c r="F55" s="15">
        <v>2176</v>
      </c>
      <c r="G55" s="8" t="s">
        <v>12324</v>
      </c>
      <c r="H55" s="24" t="s">
        <v>494</v>
      </c>
      <c r="I55" s="25">
        <v>25920</v>
      </c>
      <c r="J55" s="8" t="s">
        <v>496</v>
      </c>
      <c r="K55" s="8" t="s">
        <v>10040</v>
      </c>
      <c r="L55" s="15">
        <v>-0.66522800000000004</v>
      </c>
      <c r="M55" s="15">
        <v>1.2371999999999999E-3</v>
      </c>
      <c r="N55" s="15">
        <v>8.1227888961038955E-2</v>
      </c>
    </row>
    <row r="56" spans="1:14" x14ac:dyDescent="0.2">
      <c r="A56" s="2" t="s">
        <v>10068</v>
      </c>
      <c r="B56" s="15">
        <v>1270</v>
      </c>
      <c r="C56" s="15">
        <v>8</v>
      </c>
      <c r="D56" s="15">
        <v>24863244</v>
      </c>
      <c r="E56" s="15">
        <v>25859277</v>
      </c>
      <c r="F56" s="15">
        <v>2704</v>
      </c>
      <c r="G56" s="8" t="s">
        <v>12324</v>
      </c>
      <c r="H56" s="24" t="s">
        <v>494</v>
      </c>
      <c r="I56" s="25">
        <v>25920</v>
      </c>
      <c r="J56" s="8" t="s">
        <v>496</v>
      </c>
      <c r="K56" s="8" t="s">
        <v>10040</v>
      </c>
      <c r="L56" s="15">
        <v>0.904586</v>
      </c>
      <c r="M56" s="15">
        <v>1.31974E-3</v>
      </c>
      <c r="N56" s="15">
        <v>8.1227888961038955E-2</v>
      </c>
    </row>
    <row r="57" spans="1:14" x14ac:dyDescent="0.2">
      <c r="A57" s="2" t="s">
        <v>10068</v>
      </c>
      <c r="B57" s="15">
        <v>1911</v>
      </c>
      <c r="C57" s="15">
        <v>13</v>
      </c>
      <c r="D57" s="15">
        <v>71010209</v>
      </c>
      <c r="E57" s="15">
        <v>71976862</v>
      </c>
      <c r="F57" s="15">
        <v>2934</v>
      </c>
      <c r="G57" s="8" t="s">
        <v>12324</v>
      </c>
      <c r="H57" s="24" t="s">
        <v>599</v>
      </c>
      <c r="I57" s="25">
        <v>26562</v>
      </c>
      <c r="J57" s="8" t="s">
        <v>601</v>
      </c>
      <c r="K57" s="8" t="s">
        <v>10040</v>
      </c>
      <c r="L57" s="15">
        <v>-0.65745200000000004</v>
      </c>
      <c r="M57" s="15">
        <v>1.02527E-3</v>
      </c>
      <c r="N57" s="15">
        <v>8.1227888961038955E-2</v>
      </c>
    </row>
    <row r="58" spans="1:14" x14ac:dyDescent="0.2">
      <c r="A58" s="2" t="s">
        <v>10068</v>
      </c>
      <c r="B58" s="15">
        <v>209</v>
      </c>
      <c r="C58" s="15">
        <v>2</v>
      </c>
      <c r="D58" s="15">
        <v>5568654</v>
      </c>
      <c r="E58" s="15">
        <v>6306606</v>
      </c>
      <c r="F58" s="15">
        <v>2472</v>
      </c>
      <c r="G58" s="8" t="s">
        <v>12324</v>
      </c>
      <c r="H58" s="24" t="s">
        <v>599</v>
      </c>
      <c r="I58" s="25">
        <v>26562</v>
      </c>
      <c r="J58" s="8" t="s">
        <v>601</v>
      </c>
      <c r="K58" s="8" t="s">
        <v>10040</v>
      </c>
      <c r="L58" s="15">
        <v>-0.89448799999999995</v>
      </c>
      <c r="M58" s="15">
        <v>1.03535E-3</v>
      </c>
      <c r="N58" s="15">
        <v>8.1227888961038955E-2</v>
      </c>
    </row>
    <row r="59" spans="1:14" x14ac:dyDescent="0.2">
      <c r="A59" s="2" t="s">
        <v>10068</v>
      </c>
      <c r="B59" s="15">
        <v>1036</v>
      </c>
      <c r="C59" s="15">
        <v>6</v>
      </c>
      <c r="D59" s="15">
        <v>104951345</v>
      </c>
      <c r="E59" s="15">
        <v>106053915</v>
      </c>
      <c r="F59" s="15">
        <v>2271</v>
      </c>
      <c r="G59" s="8" t="s">
        <v>12324</v>
      </c>
      <c r="H59" s="24" t="s">
        <v>599</v>
      </c>
      <c r="I59" s="25">
        <v>26562</v>
      </c>
      <c r="J59" s="8" t="s">
        <v>601</v>
      </c>
      <c r="K59" s="8" t="s">
        <v>10040</v>
      </c>
      <c r="L59" s="15">
        <v>-0.76834499999999994</v>
      </c>
      <c r="M59" s="15">
        <v>1.20042E-3</v>
      </c>
      <c r="N59" s="15">
        <v>8.1227888961038955E-2</v>
      </c>
    </row>
    <row r="60" spans="1:14" x14ac:dyDescent="0.2">
      <c r="A60" s="2" t="s">
        <v>10068</v>
      </c>
      <c r="B60" s="15">
        <v>180</v>
      </c>
      <c r="C60" s="15">
        <v>1</v>
      </c>
      <c r="D60" s="15">
        <v>231287765</v>
      </c>
      <c r="E60" s="15">
        <v>232177704</v>
      </c>
      <c r="F60" s="15">
        <v>2142</v>
      </c>
      <c r="G60" s="8" t="s">
        <v>12324</v>
      </c>
      <c r="H60" s="24" t="s">
        <v>599</v>
      </c>
      <c r="I60" s="25">
        <v>26562</v>
      </c>
      <c r="J60" s="8" t="s">
        <v>601</v>
      </c>
      <c r="K60" s="8" t="s">
        <v>10040</v>
      </c>
      <c r="L60" s="15">
        <v>-0.83709900000000004</v>
      </c>
      <c r="M60" s="15">
        <v>1.27406E-3</v>
      </c>
      <c r="N60" s="15">
        <v>8.1227888961038955E-2</v>
      </c>
    </row>
    <row r="61" spans="1:14" x14ac:dyDescent="0.2">
      <c r="A61" s="2" t="s">
        <v>10068</v>
      </c>
      <c r="B61" s="15">
        <v>1180</v>
      </c>
      <c r="C61" s="15">
        <v>7</v>
      </c>
      <c r="D61" s="15">
        <v>92530166</v>
      </c>
      <c r="E61" s="15">
        <v>93691725</v>
      </c>
      <c r="F61" s="15">
        <v>2647</v>
      </c>
      <c r="G61" s="8" t="s">
        <v>12324</v>
      </c>
      <c r="H61" s="24" t="s">
        <v>599</v>
      </c>
      <c r="I61" s="25">
        <v>26562</v>
      </c>
      <c r="J61" s="8" t="s">
        <v>601</v>
      </c>
      <c r="K61" s="8" t="s">
        <v>10040</v>
      </c>
      <c r="L61" s="15">
        <v>0.86885100000000004</v>
      </c>
      <c r="M61" s="15">
        <v>1.3540099999999999E-3</v>
      </c>
      <c r="N61" s="15">
        <v>8.1227888961038955E-2</v>
      </c>
    </row>
    <row r="62" spans="1:14" x14ac:dyDescent="0.2">
      <c r="A62" s="2" t="s">
        <v>10068</v>
      </c>
      <c r="B62" s="15">
        <v>2342</v>
      </c>
      <c r="C62" s="15">
        <v>19</v>
      </c>
      <c r="D62" s="15">
        <v>35649344</v>
      </c>
      <c r="E62" s="15">
        <v>36638122</v>
      </c>
      <c r="F62" s="15">
        <v>2732</v>
      </c>
      <c r="G62" s="8" t="s">
        <v>12324</v>
      </c>
      <c r="H62" s="24" t="s">
        <v>599</v>
      </c>
      <c r="I62" s="25">
        <v>26562</v>
      </c>
      <c r="J62" s="8" t="s">
        <v>601</v>
      </c>
      <c r="K62" s="8" t="s">
        <v>10040</v>
      </c>
      <c r="L62" s="15">
        <v>0.51940500000000001</v>
      </c>
      <c r="M62" s="15">
        <v>1.40649E-3</v>
      </c>
      <c r="N62" s="15">
        <v>8.1227888961038955E-2</v>
      </c>
    </row>
    <row r="63" spans="1:14" x14ac:dyDescent="0.2">
      <c r="A63" s="2" t="s">
        <v>10068</v>
      </c>
      <c r="B63" s="15">
        <v>2316</v>
      </c>
      <c r="C63" s="15">
        <v>19</v>
      </c>
      <c r="D63" s="15">
        <v>8199017</v>
      </c>
      <c r="E63" s="15">
        <v>9105577</v>
      </c>
      <c r="F63" s="15">
        <v>2612</v>
      </c>
      <c r="G63" s="8" t="s">
        <v>12324</v>
      </c>
      <c r="H63" s="24" t="s">
        <v>599</v>
      </c>
      <c r="I63" s="25">
        <v>26562</v>
      </c>
      <c r="J63" s="8" t="s">
        <v>601</v>
      </c>
      <c r="K63" s="8" t="s">
        <v>10040</v>
      </c>
      <c r="L63" s="15">
        <v>-0.60701400000000005</v>
      </c>
      <c r="M63" s="15">
        <v>1.4102699999999999E-3</v>
      </c>
      <c r="N63" s="15">
        <v>8.1227888961038955E-2</v>
      </c>
    </row>
    <row r="64" spans="1:14" x14ac:dyDescent="0.2">
      <c r="A64" s="2" t="s">
        <v>10069</v>
      </c>
      <c r="B64" s="15">
        <v>2277</v>
      </c>
      <c r="C64" s="15">
        <v>18</v>
      </c>
      <c r="D64" s="15">
        <v>48228380</v>
      </c>
      <c r="E64" s="15">
        <v>49790996</v>
      </c>
      <c r="F64" s="15">
        <v>2236</v>
      </c>
      <c r="G64" s="8" t="s">
        <v>12324</v>
      </c>
      <c r="H64" s="24" t="s">
        <v>662</v>
      </c>
      <c r="I64" s="25" t="s">
        <v>663</v>
      </c>
      <c r="J64" s="8" t="s">
        <v>664</v>
      </c>
      <c r="K64" s="8" t="s">
        <v>10040</v>
      </c>
      <c r="L64" s="15">
        <v>-0.89538099999999998</v>
      </c>
      <c r="M64" s="15">
        <v>1.1532000000000001E-3</v>
      </c>
      <c r="N64" s="15">
        <v>8.1227888961038955E-2</v>
      </c>
    </row>
    <row r="65" spans="1:14" x14ac:dyDescent="0.2">
      <c r="A65" s="2" t="s">
        <v>10069</v>
      </c>
      <c r="B65" s="15">
        <v>361</v>
      </c>
      <c r="C65" s="15">
        <v>2</v>
      </c>
      <c r="D65" s="15">
        <v>176734751</v>
      </c>
      <c r="E65" s="15">
        <v>178149981</v>
      </c>
      <c r="F65" s="15">
        <v>2199</v>
      </c>
      <c r="G65" s="8" t="s">
        <v>12324</v>
      </c>
      <c r="H65" s="24" t="s">
        <v>662</v>
      </c>
      <c r="I65" s="25" t="s">
        <v>663</v>
      </c>
      <c r="J65" s="8" t="s">
        <v>664</v>
      </c>
      <c r="K65" s="8" t="s">
        <v>10040</v>
      </c>
      <c r="L65" s="15">
        <v>-1</v>
      </c>
      <c r="M65" s="15">
        <v>1.2443300000000001E-3</v>
      </c>
      <c r="N65" s="15">
        <v>8.1227888961038955E-2</v>
      </c>
    </row>
    <row r="66" spans="1:14" x14ac:dyDescent="0.2">
      <c r="A66" s="2" t="s">
        <v>10069</v>
      </c>
      <c r="B66" s="15">
        <v>2300</v>
      </c>
      <c r="C66" s="15">
        <v>18</v>
      </c>
      <c r="D66" s="15">
        <v>72785207</v>
      </c>
      <c r="E66" s="15">
        <v>73568260</v>
      </c>
      <c r="F66" s="15">
        <v>1428</v>
      </c>
      <c r="G66" s="8" t="s">
        <v>12324</v>
      </c>
      <c r="H66" s="24" t="s">
        <v>662</v>
      </c>
      <c r="I66" s="25" t="s">
        <v>663</v>
      </c>
      <c r="J66" s="8" t="s">
        <v>664</v>
      </c>
      <c r="K66" s="8" t="s">
        <v>10040</v>
      </c>
      <c r="L66" s="15">
        <v>0.99665999999999999</v>
      </c>
      <c r="M66" s="15">
        <v>1.3946500000000001E-3</v>
      </c>
      <c r="N66" s="15">
        <v>8.1227888961038955E-2</v>
      </c>
    </row>
    <row r="67" spans="1:14" x14ac:dyDescent="0.2">
      <c r="A67" s="2" t="s">
        <v>10068</v>
      </c>
      <c r="B67" s="15">
        <v>1643</v>
      </c>
      <c r="C67" s="15">
        <v>11</v>
      </c>
      <c r="D67" s="15">
        <v>30570130</v>
      </c>
      <c r="E67" s="15">
        <v>32065771</v>
      </c>
      <c r="F67" s="15">
        <v>2166</v>
      </c>
      <c r="G67" s="8" t="s">
        <v>12324</v>
      </c>
      <c r="H67" s="24" t="s">
        <v>1259</v>
      </c>
      <c r="I67" s="25">
        <v>27096</v>
      </c>
      <c r="J67" s="8" t="s">
        <v>1261</v>
      </c>
      <c r="K67" s="8" t="s">
        <v>10040</v>
      </c>
      <c r="L67" s="15">
        <v>0.68768200000000002</v>
      </c>
      <c r="M67" s="15">
        <v>9.6586000000000003E-4</v>
      </c>
      <c r="N67" s="15">
        <v>8.1227888961038955E-2</v>
      </c>
    </row>
    <row r="68" spans="1:14" x14ac:dyDescent="0.2">
      <c r="A68" s="2" t="s">
        <v>10068</v>
      </c>
      <c r="B68" s="15">
        <v>1944</v>
      </c>
      <c r="C68" s="15">
        <v>13</v>
      </c>
      <c r="D68" s="15">
        <v>106313848</v>
      </c>
      <c r="E68" s="15">
        <v>107037864</v>
      </c>
      <c r="F68" s="15">
        <v>2224</v>
      </c>
      <c r="G68" s="8" t="s">
        <v>12324</v>
      </c>
      <c r="H68" s="24" t="s">
        <v>1259</v>
      </c>
      <c r="I68" s="25">
        <v>27096</v>
      </c>
      <c r="J68" s="8" t="s">
        <v>1261</v>
      </c>
      <c r="K68" s="8" t="s">
        <v>10040</v>
      </c>
      <c r="L68" s="15">
        <v>0.87304899999999996</v>
      </c>
      <c r="M68" s="15">
        <v>9.7242300000000004E-4</v>
      </c>
      <c r="N68" s="15">
        <v>8.1227888961038955E-2</v>
      </c>
    </row>
    <row r="69" spans="1:14" x14ac:dyDescent="0.2">
      <c r="A69" s="2" t="s">
        <v>10068</v>
      </c>
      <c r="B69" s="15">
        <v>55</v>
      </c>
      <c r="C69" s="15">
        <v>1</v>
      </c>
      <c r="D69" s="15">
        <v>64344227</v>
      </c>
      <c r="E69" s="15">
        <v>65894184</v>
      </c>
      <c r="F69" s="15">
        <v>3659</v>
      </c>
      <c r="G69" s="8" t="s">
        <v>12324</v>
      </c>
      <c r="H69" s="24" t="s">
        <v>1259</v>
      </c>
      <c r="I69" s="25">
        <v>27096</v>
      </c>
      <c r="J69" s="8" t="s">
        <v>1261</v>
      </c>
      <c r="K69" s="8" t="s">
        <v>10040</v>
      </c>
      <c r="L69" s="15">
        <v>0.70697299999999996</v>
      </c>
      <c r="M69" s="15">
        <v>9.9219099999999991E-4</v>
      </c>
      <c r="N69" s="15">
        <v>8.1227888961038955E-2</v>
      </c>
    </row>
    <row r="70" spans="1:14" x14ac:dyDescent="0.2">
      <c r="A70" s="2" t="s">
        <v>10068</v>
      </c>
      <c r="B70" s="15">
        <v>2416</v>
      </c>
      <c r="C70" s="15">
        <v>20</v>
      </c>
      <c r="D70" s="15">
        <v>52411533</v>
      </c>
      <c r="E70" s="15">
        <v>53120334</v>
      </c>
      <c r="F70" s="15">
        <v>2351</v>
      </c>
      <c r="G70" s="8" t="s">
        <v>12324</v>
      </c>
      <c r="H70" s="24" t="s">
        <v>1259</v>
      </c>
      <c r="I70" s="25">
        <v>27096</v>
      </c>
      <c r="J70" s="8" t="s">
        <v>1261</v>
      </c>
      <c r="K70" s="8" t="s">
        <v>10040</v>
      </c>
      <c r="L70" s="15">
        <v>0.61854100000000001</v>
      </c>
      <c r="M70" s="15">
        <v>1.08497E-3</v>
      </c>
      <c r="N70" s="15">
        <v>8.1227888961038955E-2</v>
      </c>
    </row>
    <row r="71" spans="1:14" x14ac:dyDescent="0.2">
      <c r="A71" s="2" t="s">
        <v>10068</v>
      </c>
      <c r="B71" s="15">
        <v>1798</v>
      </c>
      <c r="C71" s="15">
        <v>12</v>
      </c>
      <c r="D71" s="15">
        <v>63055937</v>
      </c>
      <c r="E71" s="15">
        <v>63764111</v>
      </c>
      <c r="F71" s="15">
        <v>2104</v>
      </c>
      <c r="G71" s="8" t="s">
        <v>12324</v>
      </c>
      <c r="H71" s="24" t="s">
        <v>1259</v>
      </c>
      <c r="I71" s="25">
        <v>27096</v>
      </c>
      <c r="J71" s="8" t="s">
        <v>1261</v>
      </c>
      <c r="K71" s="8" t="s">
        <v>10040</v>
      </c>
      <c r="L71" s="15">
        <v>0.62629599999999996</v>
      </c>
      <c r="M71" s="15">
        <v>1.29711E-3</v>
      </c>
      <c r="N71" s="15">
        <v>8.1227888961038955E-2</v>
      </c>
    </row>
    <row r="72" spans="1:14" x14ac:dyDescent="0.2">
      <c r="A72" s="2" t="s">
        <v>10068</v>
      </c>
      <c r="B72" s="15">
        <v>1911</v>
      </c>
      <c r="C72" s="15">
        <v>13</v>
      </c>
      <c r="D72" s="15">
        <v>71010209</v>
      </c>
      <c r="E72" s="15">
        <v>71976862</v>
      </c>
      <c r="F72" s="15">
        <v>2934</v>
      </c>
      <c r="G72" s="8" t="s">
        <v>12324</v>
      </c>
      <c r="H72" s="24" t="s">
        <v>1259</v>
      </c>
      <c r="I72" s="25">
        <v>27096</v>
      </c>
      <c r="J72" s="8" t="s">
        <v>1261</v>
      </c>
      <c r="K72" s="8" t="s">
        <v>10040</v>
      </c>
      <c r="L72" s="15">
        <v>-0.68073399999999995</v>
      </c>
      <c r="M72" s="15">
        <v>1.35911E-3</v>
      </c>
      <c r="N72" s="15">
        <v>8.1227888961038955E-2</v>
      </c>
    </row>
    <row r="73" spans="1:14" x14ac:dyDescent="0.2">
      <c r="A73" s="2" t="s">
        <v>10066</v>
      </c>
      <c r="B73" s="15">
        <v>977</v>
      </c>
      <c r="C73" s="15">
        <v>6</v>
      </c>
      <c r="D73" s="15">
        <v>42103739</v>
      </c>
      <c r="E73" s="15">
        <v>43770626</v>
      </c>
      <c r="F73" s="15">
        <v>3514</v>
      </c>
      <c r="G73" s="8" t="s">
        <v>12324</v>
      </c>
      <c r="H73" s="24" t="s">
        <v>3164</v>
      </c>
      <c r="I73" s="25" t="s">
        <v>3165</v>
      </c>
      <c r="J73" s="8" t="s">
        <v>3166</v>
      </c>
      <c r="K73" s="8" t="s">
        <v>10042</v>
      </c>
      <c r="L73" s="15">
        <v>0.54765900000000001</v>
      </c>
      <c r="M73" s="15">
        <v>1.2167E-3</v>
      </c>
      <c r="N73" s="15">
        <v>8.1227888961038955E-2</v>
      </c>
    </row>
    <row r="74" spans="1:14" x14ac:dyDescent="0.2">
      <c r="A74" s="2" t="s">
        <v>10066</v>
      </c>
      <c r="B74" s="15">
        <v>1951</v>
      </c>
      <c r="C74" s="15">
        <v>13</v>
      </c>
      <c r="D74" s="15">
        <v>112319065</v>
      </c>
      <c r="E74" s="15">
        <v>113573118</v>
      </c>
      <c r="F74" s="15">
        <v>3631</v>
      </c>
      <c r="G74" s="8" t="s">
        <v>12324</v>
      </c>
      <c r="H74" s="24" t="s">
        <v>3164</v>
      </c>
      <c r="I74" s="25" t="s">
        <v>3165</v>
      </c>
      <c r="J74" s="8" t="s">
        <v>3166</v>
      </c>
      <c r="K74" s="8" t="s">
        <v>10042</v>
      </c>
      <c r="L74" s="15">
        <v>0.59801599999999999</v>
      </c>
      <c r="M74" s="15">
        <v>1.40806E-3</v>
      </c>
      <c r="N74" s="15">
        <v>8.1227888961038955E-2</v>
      </c>
    </row>
    <row r="75" spans="1:14" x14ac:dyDescent="0.2">
      <c r="A75" s="2" t="s">
        <v>10066</v>
      </c>
      <c r="B75" s="15">
        <v>892</v>
      </c>
      <c r="C75" s="15">
        <v>5</v>
      </c>
      <c r="D75" s="15">
        <v>139408117</v>
      </c>
      <c r="E75" s="15">
        <v>141253830</v>
      </c>
      <c r="F75" s="15">
        <v>3443</v>
      </c>
      <c r="G75" s="8" t="s">
        <v>12324</v>
      </c>
      <c r="H75" s="24" t="s">
        <v>6008</v>
      </c>
      <c r="I75" s="25" t="s">
        <v>6009</v>
      </c>
      <c r="J75" s="8" t="s">
        <v>6010</v>
      </c>
      <c r="K75" s="8" t="s">
        <v>10051</v>
      </c>
      <c r="L75" s="15">
        <v>-0.92970299999999995</v>
      </c>
      <c r="M75" s="15">
        <v>1.10873E-3</v>
      </c>
      <c r="N75" s="15">
        <v>8.1227888961038955E-2</v>
      </c>
    </row>
    <row r="76" spans="1:14" x14ac:dyDescent="0.2">
      <c r="A76" s="2" t="s">
        <v>10068</v>
      </c>
      <c r="B76" s="15">
        <v>1027</v>
      </c>
      <c r="C76" s="15">
        <v>6</v>
      </c>
      <c r="D76" s="15">
        <v>95176338</v>
      </c>
      <c r="E76" s="15">
        <v>96480153</v>
      </c>
      <c r="F76" s="15">
        <v>3162</v>
      </c>
      <c r="G76" s="8" t="s">
        <v>12324</v>
      </c>
      <c r="H76" s="24" t="s">
        <v>6565</v>
      </c>
      <c r="I76" s="25" t="s">
        <v>6475</v>
      </c>
      <c r="J76" s="8" t="s">
        <v>6566</v>
      </c>
      <c r="K76" s="8" t="s">
        <v>10054</v>
      </c>
      <c r="L76" s="15">
        <v>-1</v>
      </c>
      <c r="M76" s="15">
        <v>9.8377899999999995E-4</v>
      </c>
      <c r="N76" s="15">
        <v>8.1227888961038955E-2</v>
      </c>
    </row>
    <row r="77" spans="1:14" x14ac:dyDescent="0.2">
      <c r="A77" s="2" t="s">
        <v>10068</v>
      </c>
      <c r="B77" s="15">
        <v>779</v>
      </c>
      <c r="C77" s="15">
        <v>5</v>
      </c>
      <c r="D77" s="15">
        <v>2960069</v>
      </c>
      <c r="E77" s="15">
        <v>3677595</v>
      </c>
      <c r="F77" s="15">
        <v>3310</v>
      </c>
      <c r="G77" s="8" t="s">
        <v>12324</v>
      </c>
      <c r="H77" s="24" t="s">
        <v>6565</v>
      </c>
      <c r="I77" s="25" t="s">
        <v>6475</v>
      </c>
      <c r="J77" s="8" t="s">
        <v>6566</v>
      </c>
      <c r="K77" s="8" t="s">
        <v>10054</v>
      </c>
      <c r="L77" s="15">
        <v>1</v>
      </c>
      <c r="M77" s="15">
        <v>1.07759E-3</v>
      </c>
      <c r="N77" s="15">
        <v>8.1227888961038955E-2</v>
      </c>
    </row>
    <row r="78" spans="1:14" x14ac:dyDescent="0.2">
      <c r="A78" s="2" t="s">
        <v>10068</v>
      </c>
      <c r="B78" s="15">
        <v>1131</v>
      </c>
      <c r="C78" s="15">
        <v>7</v>
      </c>
      <c r="D78" s="15">
        <v>33159278</v>
      </c>
      <c r="E78" s="15">
        <v>34114532</v>
      </c>
      <c r="F78" s="15">
        <v>2223</v>
      </c>
      <c r="G78" s="8" t="s">
        <v>12324</v>
      </c>
      <c r="H78" s="24" t="s">
        <v>6565</v>
      </c>
      <c r="I78" s="25" t="s">
        <v>6475</v>
      </c>
      <c r="J78" s="8" t="s">
        <v>6566</v>
      </c>
      <c r="K78" s="8" t="s">
        <v>10054</v>
      </c>
      <c r="L78" s="15">
        <v>1</v>
      </c>
      <c r="M78" s="15">
        <v>1.1214599999999999E-3</v>
      </c>
      <c r="N78" s="15">
        <v>8.1227888961038955E-2</v>
      </c>
    </row>
    <row r="79" spans="1:14" x14ac:dyDescent="0.2">
      <c r="A79" s="2" t="s">
        <v>10068</v>
      </c>
      <c r="B79" s="15">
        <v>2456</v>
      </c>
      <c r="C79" s="15">
        <v>21</v>
      </c>
      <c r="D79" s="15">
        <v>42187153</v>
      </c>
      <c r="E79" s="15">
        <v>43081434</v>
      </c>
      <c r="F79" s="15">
        <v>2820</v>
      </c>
      <c r="G79" s="8" t="s">
        <v>12324</v>
      </c>
      <c r="H79" s="24" t="s">
        <v>6565</v>
      </c>
      <c r="I79" s="25" t="s">
        <v>6475</v>
      </c>
      <c r="J79" s="8" t="s">
        <v>6566</v>
      </c>
      <c r="K79" s="8" t="s">
        <v>10054</v>
      </c>
      <c r="L79" s="15">
        <v>0.579959</v>
      </c>
      <c r="M79" s="15">
        <v>1.3733899999999999E-3</v>
      </c>
      <c r="N79" s="15">
        <v>8.1227888961038955E-2</v>
      </c>
    </row>
    <row r="80" spans="1:14" x14ac:dyDescent="0.2">
      <c r="A80" s="2" t="s">
        <v>10068</v>
      </c>
      <c r="B80" s="15">
        <v>2018</v>
      </c>
      <c r="C80" s="15">
        <v>14</v>
      </c>
      <c r="D80" s="15">
        <v>90662837</v>
      </c>
      <c r="E80" s="15">
        <v>92101228</v>
      </c>
      <c r="F80" s="15">
        <v>3695</v>
      </c>
      <c r="G80" s="8" t="s">
        <v>12324</v>
      </c>
      <c r="H80" s="24" t="s">
        <v>494</v>
      </c>
      <c r="I80" s="25">
        <v>25920</v>
      </c>
      <c r="J80" s="8" t="s">
        <v>496</v>
      </c>
      <c r="K80" s="8" t="s">
        <v>10040</v>
      </c>
      <c r="L80" s="15">
        <v>-0.95624299999999995</v>
      </c>
      <c r="M80" s="15">
        <v>1.4299099999999999E-3</v>
      </c>
      <c r="N80" s="15">
        <v>8.1266603164556958E-2</v>
      </c>
    </row>
    <row r="81" spans="1:14" x14ac:dyDescent="0.2">
      <c r="A81" s="2" t="s">
        <v>10068</v>
      </c>
      <c r="B81" s="15">
        <v>457</v>
      </c>
      <c r="C81" s="15">
        <v>3</v>
      </c>
      <c r="D81" s="15">
        <v>36840137</v>
      </c>
      <c r="E81" s="15">
        <v>38729767</v>
      </c>
      <c r="F81" s="15">
        <v>3845</v>
      </c>
      <c r="G81" s="8" t="s">
        <v>12324</v>
      </c>
      <c r="H81" s="24" t="s">
        <v>6565</v>
      </c>
      <c r="I81" s="25" t="s">
        <v>6475</v>
      </c>
      <c r="J81" s="8" t="s">
        <v>6566</v>
      </c>
      <c r="K81" s="8" t="s">
        <v>10054</v>
      </c>
      <c r="L81" s="15">
        <v>0.85583399999999998</v>
      </c>
      <c r="M81" s="15">
        <v>1.4475899999999999E-3</v>
      </c>
      <c r="N81" s="15">
        <v>8.1266603164556958E-2</v>
      </c>
    </row>
    <row r="82" spans="1:14" x14ac:dyDescent="0.2">
      <c r="A82" s="2" t="s">
        <v>10066</v>
      </c>
      <c r="B82" s="15">
        <v>2271</v>
      </c>
      <c r="C82" s="15">
        <v>18</v>
      </c>
      <c r="D82" s="15">
        <v>41425455</v>
      </c>
      <c r="E82" s="15">
        <v>42974165</v>
      </c>
      <c r="F82" s="15">
        <v>3275</v>
      </c>
      <c r="G82" s="8" t="s">
        <v>12324</v>
      </c>
      <c r="H82" s="24" t="s">
        <v>3164</v>
      </c>
      <c r="I82" s="25" t="s">
        <v>3165</v>
      </c>
      <c r="J82" s="8" t="s">
        <v>3166</v>
      </c>
      <c r="K82" s="8" t="s">
        <v>10042</v>
      </c>
      <c r="L82" s="15">
        <v>1</v>
      </c>
      <c r="M82" s="15">
        <v>1.4795699999999999E-3</v>
      </c>
      <c r="N82" s="15">
        <v>8.1906237037037033E-2</v>
      </c>
    </row>
    <row r="83" spans="1:14" x14ac:dyDescent="0.2">
      <c r="A83" s="2" t="s">
        <v>10068</v>
      </c>
      <c r="B83" s="15">
        <v>573</v>
      </c>
      <c r="C83" s="15">
        <v>3</v>
      </c>
      <c r="D83" s="15">
        <v>172004761</v>
      </c>
      <c r="E83" s="15">
        <v>173415591</v>
      </c>
      <c r="F83" s="15">
        <v>3407</v>
      </c>
      <c r="G83" s="8" t="s">
        <v>12324</v>
      </c>
      <c r="H83" s="24" t="s">
        <v>6565</v>
      </c>
      <c r="I83" s="25" t="s">
        <v>6475</v>
      </c>
      <c r="J83" s="8" t="s">
        <v>6566</v>
      </c>
      <c r="K83" s="8" t="s">
        <v>10054</v>
      </c>
      <c r="L83" s="15">
        <v>-1</v>
      </c>
      <c r="M83" s="15">
        <v>1.49592E-3</v>
      </c>
      <c r="N83" s="15">
        <v>8.1906237037037033E-2</v>
      </c>
    </row>
    <row r="84" spans="1:14" x14ac:dyDescent="0.2">
      <c r="A84" s="2" t="s">
        <v>10068</v>
      </c>
      <c r="B84" s="15">
        <v>1327</v>
      </c>
      <c r="C84" s="15">
        <v>8</v>
      </c>
      <c r="D84" s="15">
        <v>96900514</v>
      </c>
      <c r="E84" s="15">
        <v>98132519</v>
      </c>
      <c r="F84" s="15">
        <v>2392</v>
      </c>
      <c r="G84" s="8" t="s">
        <v>12324</v>
      </c>
      <c r="H84" s="24" t="s">
        <v>494</v>
      </c>
      <c r="I84" s="25">
        <v>25920</v>
      </c>
      <c r="J84" s="8" t="s">
        <v>496</v>
      </c>
      <c r="K84" s="8" t="s">
        <v>10040</v>
      </c>
      <c r="L84" s="15">
        <v>0.61197199999999996</v>
      </c>
      <c r="M84" s="15">
        <v>1.52162E-3</v>
      </c>
      <c r="N84" s="15">
        <v>8.2297374390243899E-2</v>
      </c>
    </row>
    <row r="85" spans="1:14" x14ac:dyDescent="0.2">
      <c r="A85" s="2" t="s">
        <v>10066</v>
      </c>
      <c r="B85" s="15">
        <v>2342</v>
      </c>
      <c r="C85" s="15">
        <v>19</v>
      </c>
      <c r="D85" s="15">
        <v>35649344</v>
      </c>
      <c r="E85" s="15">
        <v>36638122</v>
      </c>
      <c r="F85" s="15">
        <v>2731</v>
      </c>
      <c r="G85" s="8" t="s">
        <v>12324</v>
      </c>
      <c r="H85" s="24" t="s">
        <v>6008</v>
      </c>
      <c r="I85" s="25" t="s">
        <v>6009</v>
      </c>
      <c r="J85" s="8" t="s">
        <v>6010</v>
      </c>
      <c r="K85" s="8" t="s">
        <v>10051</v>
      </c>
      <c r="L85" s="15">
        <v>-0.49981599999999998</v>
      </c>
      <c r="M85" s="15">
        <v>1.5786400000000001E-3</v>
      </c>
      <c r="N85" s="15">
        <v>8.43526313253012E-2</v>
      </c>
    </row>
    <row r="86" spans="1:14" x14ac:dyDescent="0.2">
      <c r="A86" s="2" t="s">
        <v>10068</v>
      </c>
      <c r="B86" s="15">
        <v>1486</v>
      </c>
      <c r="C86" s="15">
        <v>10</v>
      </c>
      <c r="D86" s="15">
        <v>1329233</v>
      </c>
      <c r="E86" s="15">
        <v>1872960</v>
      </c>
      <c r="F86" s="15">
        <v>2091</v>
      </c>
      <c r="G86" s="8" t="s">
        <v>12324</v>
      </c>
      <c r="H86" s="24" t="s">
        <v>599</v>
      </c>
      <c r="I86" s="25">
        <v>26562</v>
      </c>
      <c r="J86" s="8" t="s">
        <v>601</v>
      </c>
      <c r="K86" s="8" t="s">
        <v>10040</v>
      </c>
      <c r="L86" s="15">
        <v>0.62536400000000003</v>
      </c>
      <c r="M86" s="15">
        <v>1.63686E-3</v>
      </c>
      <c r="N86" s="15">
        <v>8.5075024712643665E-2</v>
      </c>
    </row>
    <row r="87" spans="1:14" x14ac:dyDescent="0.2">
      <c r="A87" s="2" t="s">
        <v>10066</v>
      </c>
      <c r="B87" s="15">
        <v>1812</v>
      </c>
      <c r="C87" s="15">
        <v>12</v>
      </c>
      <c r="D87" s="15">
        <v>77800464</v>
      </c>
      <c r="E87" s="15">
        <v>79315178</v>
      </c>
      <c r="F87" s="15">
        <v>3861</v>
      </c>
      <c r="G87" s="8" t="s">
        <v>12324</v>
      </c>
      <c r="H87" s="24" t="s">
        <v>3164</v>
      </c>
      <c r="I87" s="25" t="s">
        <v>3165</v>
      </c>
      <c r="J87" s="8" t="s">
        <v>3166</v>
      </c>
      <c r="K87" s="8" t="s">
        <v>10042</v>
      </c>
      <c r="L87" s="15">
        <v>0.62629699999999999</v>
      </c>
      <c r="M87" s="15">
        <v>1.6584900000000001E-3</v>
      </c>
      <c r="N87" s="15">
        <v>8.5075024712643665E-2</v>
      </c>
    </row>
    <row r="88" spans="1:14" x14ac:dyDescent="0.2">
      <c r="A88" s="2" t="s">
        <v>10066</v>
      </c>
      <c r="B88" s="15">
        <v>2110</v>
      </c>
      <c r="C88" s="15">
        <v>16</v>
      </c>
      <c r="D88" s="15">
        <v>7704355</v>
      </c>
      <c r="E88" s="15">
        <v>8341012</v>
      </c>
      <c r="F88" s="15">
        <v>3197</v>
      </c>
      <c r="G88" s="8" t="s">
        <v>12324</v>
      </c>
      <c r="H88" s="24" t="s">
        <v>6008</v>
      </c>
      <c r="I88" s="25" t="s">
        <v>6009</v>
      </c>
      <c r="J88" s="8" t="s">
        <v>6010</v>
      </c>
      <c r="K88" s="8" t="s">
        <v>10051</v>
      </c>
      <c r="L88" s="15">
        <v>-0.52115599999999995</v>
      </c>
      <c r="M88" s="15">
        <v>1.65332E-3</v>
      </c>
      <c r="N88" s="15">
        <v>8.5075024712643665E-2</v>
      </c>
    </row>
    <row r="89" spans="1:14" x14ac:dyDescent="0.2">
      <c r="A89" s="2" t="s">
        <v>10068</v>
      </c>
      <c r="B89" s="15">
        <v>169</v>
      </c>
      <c r="C89" s="15">
        <v>1</v>
      </c>
      <c r="D89" s="15">
        <v>218563961</v>
      </c>
      <c r="E89" s="15">
        <v>220073132</v>
      </c>
      <c r="F89" s="15">
        <v>4151</v>
      </c>
      <c r="G89" s="8" t="s">
        <v>12324</v>
      </c>
      <c r="H89" s="24" t="s">
        <v>6565</v>
      </c>
      <c r="I89" s="25" t="s">
        <v>6475</v>
      </c>
      <c r="J89" s="8" t="s">
        <v>6566</v>
      </c>
      <c r="K89" s="8" t="s">
        <v>10054</v>
      </c>
      <c r="L89" s="15">
        <v>0.72631900000000005</v>
      </c>
      <c r="M89" s="15">
        <v>1.6688899999999999E-3</v>
      </c>
      <c r="N89" s="15">
        <v>8.5075024712643665E-2</v>
      </c>
    </row>
    <row r="90" spans="1:14" x14ac:dyDescent="0.2">
      <c r="A90" s="2" t="s">
        <v>10066</v>
      </c>
      <c r="B90" s="15">
        <v>1752</v>
      </c>
      <c r="C90" s="15">
        <v>12</v>
      </c>
      <c r="D90" s="15">
        <v>11742150</v>
      </c>
      <c r="E90" s="15">
        <v>12721874</v>
      </c>
      <c r="F90" s="15">
        <v>2782</v>
      </c>
      <c r="G90" s="8" t="s">
        <v>12324</v>
      </c>
      <c r="H90" s="24" t="s">
        <v>3164</v>
      </c>
      <c r="I90" s="25" t="s">
        <v>3165</v>
      </c>
      <c r="J90" s="8" t="s">
        <v>3166</v>
      </c>
      <c r="K90" s="8" t="s">
        <v>10042</v>
      </c>
      <c r="L90" s="15">
        <v>0.61641400000000002</v>
      </c>
      <c r="M90" s="15">
        <v>1.8226E-3</v>
      </c>
      <c r="N90" s="15">
        <v>9.1854897727272733E-2</v>
      </c>
    </row>
    <row r="91" spans="1:14" x14ac:dyDescent="0.2">
      <c r="A91" s="2" t="s">
        <v>10069</v>
      </c>
      <c r="B91" s="15">
        <v>2495</v>
      </c>
      <c r="C91" s="15">
        <v>22</v>
      </c>
      <c r="D91" s="15">
        <v>50347997</v>
      </c>
      <c r="E91" s="15">
        <v>51244236</v>
      </c>
      <c r="F91" s="15">
        <v>1603</v>
      </c>
      <c r="G91" s="8" t="s">
        <v>12324</v>
      </c>
      <c r="H91" s="24" t="s">
        <v>662</v>
      </c>
      <c r="I91" s="25" t="s">
        <v>663</v>
      </c>
      <c r="J91" s="8" t="s">
        <v>664</v>
      </c>
      <c r="K91" s="8" t="s">
        <v>10040</v>
      </c>
      <c r="L91" s="15">
        <v>-0.48511700000000002</v>
      </c>
      <c r="M91" s="15">
        <v>1.8682799999999999E-3</v>
      </c>
      <c r="N91" s="15">
        <v>9.3099121348314606E-2</v>
      </c>
    </row>
    <row r="92" spans="1:14" x14ac:dyDescent="0.2">
      <c r="A92" s="2" t="s">
        <v>10066</v>
      </c>
      <c r="B92" s="15">
        <v>1878</v>
      </c>
      <c r="C92" s="15">
        <v>13</v>
      </c>
      <c r="D92" s="15">
        <v>35744569</v>
      </c>
      <c r="E92" s="15">
        <v>36579413</v>
      </c>
      <c r="F92" s="15">
        <v>2315</v>
      </c>
      <c r="G92" s="8" t="s">
        <v>12324</v>
      </c>
      <c r="H92" s="24" t="s">
        <v>3164</v>
      </c>
      <c r="I92" s="25" t="s">
        <v>3165</v>
      </c>
      <c r="J92" s="8" t="s">
        <v>3166</v>
      </c>
      <c r="K92" s="8" t="s">
        <v>10042</v>
      </c>
      <c r="L92" s="15">
        <v>0.97841599999999995</v>
      </c>
      <c r="M92" s="15">
        <v>1.9861000000000002E-3</v>
      </c>
      <c r="N92" s="15">
        <v>9.7870594444444459E-2</v>
      </c>
    </row>
    <row r="93" spans="1:14" x14ac:dyDescent="0.2">
      <c r="A93" s="2" t="s">
        <v>10066</v>
      </c>
      <c r="B93" s="15">
        <v>356</v>
      </c>
      <c r="C93" s="15">
        <v>2</v>
      </c>
      <c r="D93" s="15">
        <v>171566483</v>
      </c>
      <c r="E93" s="15">
        <v>172501315</v>
      </c>
      <c r="F93" s="15">
        <v>2160</v>
      </c>
      <c r="G93" s="8" t="s">
        <v>12324</v>
      </c>
      <c r="H93" s="24" t="s">
        <v>6008</v>
      </c>
      <c r="I93" s="25" t="s">
        <v>6009</v>
      </c>
      <c r="J93" s="8" t="s">
        <v>6010</v>
      </c>
      <c r="K93" s="8" t="s">
        <v>10051</v>
      </c>
      <c r="L93" s="15">
        <v>-0.95999800000000002</v>
      </c>
      <c r="M93" s="15">
        <v>2.0351000000000002E-3</v>
      </c>
      <c r="N93" s="15">
        <v>9.9183170329670348E-2</v>
      </c>
    </row>
    <row r="94" spans="1:14" x14ac:dyDescent="0.2">
      <c r="A94" s="2" t="s">
        <v>10068</v>
      </c>
      <c r="B94" s="15">
        <v>1722</v>
      </c>
      <c r="C94" s="15">
        <v>11</v>
      </c>
      <c r="D94" s="15">
        <v>116247378</v>
      </c>
      <c r="E94" s="15">
        <v>117295641</v>
      </c>
      <c r="F94" s="15">
        <v>3128</v>
      </c>
      <c r="G94" s="8" t="s">
        <v>12324</v>
      </c>
      <c r="H94" s="24" t="s">
        <v>494</v>
      </c>
      <c r="I94" s="25">
        <v>25920</v>
      </c>
      <c r="J94" s="8" t="s">
        <v>496</v>
      </c>
      <c r="K94" s="8" t="s">
        <v>10040</v>
      </c>
      <c r="L94" s="15">
        <v>-0.89009799999999994</v>
      </c>
      <c r="M94" s="15">
        <v>2.0877500000000002E-3</v>
      </c>
      <c r="N94" s="15">
        <v>0.10035665833333331</v>
      </c>
    </row>
    <row r="95" spans="1:14" x14ac:dyDescent="0.2">
      <c r="A95" s="2" t="s">
        <v>10069</v>
      </c>
      <c r="B95" s="15">
        <v>350</v>
      </c>
      <c r="C95" s="15">
        <v>2</v>
      </c>
      <c r="D95" s="15">
        <v>165917789</v>
      </c>
      <c r="E95" s="15">
        <v>167488576</v>
      </c>
      <c r="F95" s="15">
        <v>2561</v>
      </c>
      <c r="G95" s="8" t="s">
        <v>12324</v>
      </c>
      <c r="H95" s="24" t="s">
        <v>662</v>
      </c>
      <c r="I95" s="25" t="s">
        <v>663</v>
      </c>
      <c r="J95" s="8" t="s">
        <v>664</v>
      </c>
      <c r="K95" s="8" t="s">
        <v>10040</v>
      </c>
      <c r="L95" s="15">
        <v>-0.69143200000000005</v>
      </c>
      <c r="M95" s="15">
        <v>2.1074599999999998E-3</v>
      </c>
      <c r="N95" s="15">
        <v>0.10035665833333331</v>
      </c>
    </row>
    <row r="96" spans="1:14" x14ac:dyDescent="0.2">
      <c r="A96" s="2" t="s">
        <v>10069</v>
      </c>
      <c r="B96" s="15">
        <v>1241</v>
      </c>
      <c r="C96" s="15">
        <v>8</v>
      </c>
      <c r="D96" s="15">
        <v>4273084</v>
      </c>
      <c r="E96" s="15">
        <v>4893120</v>
      </c>
      <c r="F96" s="15">
        <v>2073</v>
      </c>
      <c r="G96" s="8" t="s">
        <v>12324</v>
      </c>
      <c r="H96" s="24" t="s">
        <v>662</v>
      </c>
      <c r="I96" s="25" t="s">
        <v>663</v>
      </c>
      <c r="J96" s="8" t="s">
        <v>664</v>
      </c>
      <c r="K96" s="8" t="s">
        <v>10040</v>
      </c>
      <c r="L96" s="15">
        <v>0.85755999999999999</v>
      </c>
      <c r="M96" s="15">
        <v>2.1695500000000001E-3</v>
      </c>
      <c r="N96" s="15">
        <v>0.10035665833333331</v>
      </c>
    </row>
    <row r="97" spans="1:14" x14ac:dyDescent="0.2">
      <c r="A97" s="2" t="s">
        <v>10068</v>
      </c>
      <c r="B97" s="15">
        <v>1829</v>
      </c>
      <c r="C97" s="15">
        <v>12</v>
      </c>
      <c r="D97" s="15">
        <v>97814022</v>
      </c>
      <c r="E97" s="15">
        <v>99244337</v>
      </c>
      <c r="F97" s="15">
        <v>3317</v>
      </c>
      <c r="G97" s="8" t="s">
        <v>12324</v>
      </c>
      <c r="H97" s="24" t="s">
        <v>1259</v>
      </c>
      <c r="I97" s="25">
        <v>27096</v>
      </c>
      <c r="J97" s="8" t="s">
        <v>1261</v>
      </c>
      <c r="K97" s="8" t="s">
        <v>10040</v>
      </c>
      <c r="L97" s="15">
        <v>-0.92116600000000004</v>
      </c>
      <c r="M97" s="15">
        <v>2.1585799999999998E-3</v>
      </c>
      <c r="N97" s="15">
        <v>0.10035665833333331</v>
      </c>
    </row>
    <row r="98" spans="1:14" x14ac:dyDescent="0.2">
      <c r="A98" s="2" t="s">
        <v>10068</v>
      </c>
      <c r="B98" s="15">
        <v>611</v>
      </c>
      <c r="C98" s="15">
        <v>4</v>
      </c>
      <c r="D98" s="15">
        <v>11050120</v>
      </c>
      <c r="E98" s="15">
        <v>12209028</v>
      </c>
      <c r="F98" s="15">
        <v>3959</v>
      </c>
      <c r="G98" s="8" t="s">
        <v>12324</v>
      </c>
      <c r="H98" s="24" t="s">
        <v>1259</v>
      </c>
      <c r="I98" s="25">
        <v>27096</v>
      </c>
      <c r="J98" s="8" t="s">
        <v>1261</v>
      </c>
      <c r="K98" s="8" t="s">
        <v>10040</v>
      </c>
      <c r="L98" s="15">
        <v>0.90008100000000002</v>
      </c>
      <c r="M98" s="15">
        <v>2.1723200000000002E-3</v>
      </c>
      <c r="N98" s="15">
        <v>0.10035665833333331</v>
      </c>
    </row>
    <row r="99" spans="1:14" x14ac:dyDescent="0.2">
      <c r="A99" s="2" t="s">
        <v>10068</v>
      </c>
      <c r="B99" s="15">
        <v>692</v>
      </c>
      <c r="C99" s="15">
        <v>4</v>
      </c>
      <c r="D99" s="15">
        <v>102544804</v>
      </c>
      <c r="E99" s="15">
        <v>104384534</v>
      </c>
      <c r="F99" s="15">
        <v>4088</v>
      </c>
      <c r="G99" s="8" t="s">
        <v>12324</v>
      </c>
      <c r="H99" s="24" t="s">
        <v>599</v>
      </c>
      <c r="I99" s="25">
        <v>26562</v>
      </c>
      <c r="J99" s="8" t="s">
        <v>601</v>
      </c>
      <c r="K99" s="8" t="s">
        <v>10040</v>
      </c>
      <c r="L99" s="15">
        <v>0.92317499999999997</v>
      </c>
      <c r="M99" s="15">
        <v>2.23858E-3</v>
      </c>
      <c r="N99" s="15">
        <v>0.1023515701030928</v>
      </c>
    </row>
    <row r="100" spans="1:14" x14ac:dyDescent="0.2">
      <c r="A100" s="2" t="s">
        <v>10069</v>
      </c>
      <c r="B100" s="15">
        <v>1481</v>
      </c>
      <c r="C100" s="15">
        <v>9</v>
      </c>
      <c r="D100" s="15">
        <v>137593528</v>
      </c>
      <c r="E100" s="15">
        <v>138202112</v>
      </c>
      <c r="F100" s="15">
        <v>1626</v>
      </c>
      <c r="G100" s="8" t="s">
        <v>12324</v>
      </c>
      <c r="H100" s="24" t="s">
        <v>662</v>
      </c>
      <c r="I100" s="25" t="s">
        <v>663</v>
      </c>
      <c r="J100" s="8" t="s">
        <v>664</v>
      </c>
      <c r="K100" s="8" t="s">
        <v>10040</v>
      </c>
      <c r="L100" s="15">
        <v>-0.78919899999999998</v>
      </c>
      <c r="M100" s="15">
        <v>2.2802399999999998E-3</v>
      </c>
      <c r="N100" s="15">
        <v>0.103192493877551</v>
      </c>
    </row>
    <row r="101" spans="1:14" x14ac:dyDescent="0.2">
      <c r="A101" s="2" t="s">
        <v>10068</v>
      </c>
      <c r="B101" s="15">
        <v>1911</v>
      </c>
      <c r="C101" s="15">
        <v>13</v>
      </c>
      <c r="D101" s="15">
        <v>71010209</v>
      </c>
      <c r="E101" s="15">
        <v>71976862</v>
      </c>
      <c r="F101" s="15">
        <v>2934</v>
      </c>
      <c r="G101" s="8" t="s">
        <v>12324</v>
      </c>
      <c r="H101" s="24" t="s">
        <v>494</v>
      </c>
      <c r="I101" s="25">
        <v>25920</v>
      </c>
      <c r="J101" s="8" t="s">
        <v>496</v>
      </c>
      <c r="K101" s="8" t="s">
        <v>10040</v>
      </c>
      <c r="L101" s="15">
        <v>-0.37097000000000002</v>
      </c>
      <c r="M101" s="15">
        <v>2.3784100000000001E-3</v>
      </c>
      <c r="N101" s="15">
        <v>0.1054824835</v>
      </c>
    </row>
    <row r="102" spans="1:14" x14ac:dyDescent="0.2">
      <c r="A102" s="2" t="s">
        <v>10068</v>
      </c>
      <c r="B102" s="15">
        <v>820</v>
      </c>
      <c r="C102" s="15">
        <v>5</v>
      </c>
      <c r="D102" s="15">
        <v>52837226</v>
      </c>
      <c r="E102" s="15">
        <v>53747856</v>
      </c>
      <c r="F102" s="15">
        <v>2619</v>
      </c>
      <c r="G102" s="8" t="s">
        <v>12324</v>
      </c>
      <c r="H102" s="24" t="s">
        <v>6565</v>
      </c>
      <c r="I102" s="25" t="s">
        <v>6475</v>
      </c>
      <c r="J102" s="8" t="s">
        <v>6566</v>
      </c>
      <c r="K102" s="8" t="s">
        <v>10054</v>
      </c>
      <c r="L102" s="15">
        <v>1</v>
      </c>
      <c r="M102" s="15">
        <v>2.3548499999999999E-3</v>
      </c>
      <c r="N102" s="15">
        <v>0.1054824835</v>
      </c>
    </row>
    <row r="103" spans="1:14" x14ac:dyDescent="0.2">
      <c r="A103" s="2" t="s">
        <v>10068</v>
      </c>
      <c r="B103" s="15">
        <v>1426</v>
      </c>
      <c r="C103" s="15">
        <v>9</v>
      </c>
      <c r="D103" s="15">
        <v>80137025</v>
      </c>
      <c r="E103" s="15">
        <v>81161597</v>
      </c>
      <c r="F103" s="15">
        <v>2394</v>
      </c>
      <c r="G103" s="8" t="s">
        <v>12324</v>
      </c>
      <c r="H103" s="24" t="s">
        <v>494</v>
      </c>
      <c r="I103" s="25">
        <v>25920</v>
      </c>
      <c r="J103" s="8" t="s">
        <v>496</v>
      </c>
      <c r="K103" s="8" t="s">
        <v>10040</v>
      </c>
      <c r="L103" s="15">
        <v>1</v>
      </c>
      <c r="M103" s="15">
        <v>2.4321299999999998E-3</v>
      </c>
      <c r="N103" s="15">
        <v>0.1057499661764706</v>
      </c>
    </row>
    <row r="104" spans="1:14" x14ac:dyDescent="0.2">
      <c r="A104" s="2" t="s">
        <v>10068</v>
      </c>
      <c r="B104" s="15">
        <v>2015</v>
      </c>
      <c r="C104" s="15">
        <v>14</v>
      </c>
      <c r="D104" s="15">
        <v>87350276</v>
      </c>
      <c r="E104" s="15">
        <v>88208595</v>
      </c>
      <c r="F104" s="15">
        <v>2326</v>
      </c>
      <c r="G104" s="8" t="s">
        <v>12324</v>
      </c>
      <c r="H104" s="24" t="s">
        <v>1259</v>
      </c>
      <c r="I104" s="25">
        <v>27096</v>
      </c>
      <c r="J104" s="8" t="s">
        <v>1261</v>
      </c>
      <c r="K104" s="8" t="s">
        <v>10040</v>
      </c>
      <c r="L104" s="15">
        <v>1</v>
      </c>
      <c r="M104" s="15">
        <v>2.4177500000000002E-3</v>
      </c>
      <c r="N104" s="15">
        <v>0.1057499661764706</v>
      </c>
    </row>
    <row r="105" spans="1:14" x14ac:dyDescent="0.2">
      <c r="A105" s="2" t="s">
        <v>10068</v>
      </c>
      <c r="B105" s="15">
        <v>97</v>
      </c>
      <c r="C105" s="15">
        <v>1</v>
      </c>
      <c r="D105" s="15">
        <v>110224231</v>
      </c>
      <c r="E105" s="15">
        <v>111134062</v>
      </c>
      <c r="F105" s="15">
        <v>2128</v>
      </c>
      <c r="G105" s="8" t="s">
        <v>12324</v>
      </c>
      <c r="H105" s="24" t="s">
        <v>494</v>
      </c>
      <c r="I105" s="25">
        <v>25920</v>
      </c>
      <c r="J105" s="8" t="s">
        <v>496</v>
      </c>
      <c r="K105" s="8" t="s">
        <v>10040</v>
      </c>
      <c r="L105" s="15">
        <v>-0.72314800000000001</v>
      </c>
      <c r="M105" s="15">
        <v>2.52674E-3</v>
      </c>
      <c r="N105" s="15">
        <v>0.1070148764150944</v>
      </c>
    </row>
    <row r="106" spans="1:14" x14ac:dyDescent="0.2">
      <c r="A106" s="2" t="s">
        <v>10068</v>
      </c>
      <c r="B106" s="15">
        <v>2402</v>
      </c>
      <c r="C106" s="15">
        <v>20</v>
      </c>
      <c r="D106" s="15">
        <v>37253658</v>
      </c>
      <c r="E106" s="15">
        <v>38427594</v>
      </c>
      <c r="F106" s="15">
        <v>2773</v>
      </c>
      <c r="G106" s="8" t="s">
        <v>12324</v>
      </c>
      <c r="H106" s="24" t="s">
        <v>1259</v>
      </c>
      <c r="I106" s="25">
        <v>27096</v>
      </c>
      <c r="J106" s="8" t="s">
        <v>1261</v>
      </c>
      <c r="K106" s="8" t="s">
        <v>10040</v>
      </c>
      <c r="L106" s="15">
        <v>1</v>
      </c>
      <c r="M106" s="15">
        <v>2.5082799999999999E-3</v>
      </c>
      <c r="N106" s="15">
        <v>0.1070148764150944</v>
      </c>
    </row>
    <row r="107" spans="1:14" x14ac:dyDescent="0.2">
      <c r="A107" s="2" t="s">
        <v>10066</v>
      </c>
      <c r="B107" s="15">
        <v>2437</v>
      </c>
      <c r="C107" s="15">
        <v>21</v>
      </c>
      <c r="D107" s="15">
        <v>21632917</v>
      </c>
      <c r="E107" s="15">
        <v>22201890</v>
      </c>
      <c r="F107" s="15">
        <v>2228</v>
      </c>
      <c r="G107" s="8" t="s">
        <v>12324</v>
      </c>
      <c r="H107" s="24" t="s">
        <v>6008</v>
      </c>
      <c r="I107" s="25" t="s">
        <v>6009</v>
      </c>
      <c r="J107" s="8" t="s">
        <v>6010</v>
      </c>
      <c r="K107" s="8" t="s">
        <v>10051</v>
      </c>
      <c r="L107" s="15">
        <v>-0.59146299999999996</v>
      </c>
      <c r="M107" s="15">
        <v>2.5414299999999999E-3</v>
      </c>
      <c r="N107" s="15">
        <v>0.1070148764150944</v>
      </c>
    </row>
    <row r="108" spans="1:14" x14ac:dyDescent="0.2">
      <c r="A108" s="2" t="s">
        <v>10066</v>
      </c>
      <c r="B108" s="15">
        <v>2303</v>
      </c>
      <c r="C108" s="15">
        <v>18</v>
      </c>
      <c r="D108" s="15">
        <v>75240761</v>
      </c>
      <c r="E108" s="15">
        <v>76231685</v>
      </c>
      <c r="F108" s="15">
        <v>3743</v>
      </c>
      <c r="G108" s="8" t="s">
        <v>12324</v>
      </c>
      <c r="H108" s="24" t="s">
        <v>6008</v>
      </c>
      <c r="I108" s="25" t="s">
        <v>6009</v>
      </c>
      <c r="J108" s="8" t="s">
        <v>6010</v>
      </c>
      <c r="K108" s="8" t="s">
        <v>10051</v>
      </c>
      <c r="L108" s="15">
        <v>-0.82110399999999995</v>
      </c>
      <c r="M108" s="15">
        <v>2.5577400000000002E-3</v>
      </c>
      <c r="N108" s="15">
        <v>0.1070148764150944</v>
      </c>
    </row>
    <row r="109" spans="1:14" x14ac:dyDescent="0.2">
      <c r="A109" s="2" t="s">
        <v>10066</v>
      </c>
      <c r="B109" s="15">
        <v>2289</v>
      </c>
      <c r="C109" s="15">
        <v>18</v>
      </c>
      <c r="D109" s="15">
        <v>60780195</v>
      </c>
      <c r="E109" s="15">
        <v>62074993</v>
      </c>
      <c r="F109" s="15">
        <v>3545</v>
      </c>
      <c r="G109" s="8" t="s">
        <v>12324</v>
      </c>
      <c r="H109" s="24" t="s">
        <v>6008</v>
      </c>
      <c r="I109" s="25" t="s">
        <v>6009</v>
      </c>
      <c r="J109" s="8" t="s">
        <v>6010</v>
      </c>
      <c r="K109" s="8" t="s">
        <v>10051</v>
      </c>
      <c r="L109" s="15">
        <v>0.54133500000000001</v>
      </c>
      <c r="M109" s="15">
        <v>2.7515299999999999E-3</v>
      </c>
      <c r="N109" s="15">
        <v>0.1140470612149533</v>
      </c>
    </row>
    <row r="110" spans="1:14" x14ac:dyDescent="0.2">
      <c r="A110" s="2" t="s">
        <v>10068</v>
      </c>
      <c r="B110" s="15">
        <v>1422</v>
      </c>
      <c r="C110" s="15">
        <v>9</v>
      </c>
      <c r="D110" s="15">
        <v>76197745</v>
      </c>
      <c r="E110" s="15">
        <v>77862308</v>
      </c>
      <c r="F110" s="15">
        <v>3704</v>
      </c>
      <c r="G110" s="8" t="s">
        <v>12324</v>
      </c>
      <c r="H110" s="24" t="s">
        <v>599</v>
      </c>
      <c r="I110" s="25">
        <v>26562</v>
      </c>
      <c r="J110" s="8" t="s">
        <v>601</v>
      </c>
      <c r="K110" s="8" t="s">
        <v>10040</v>
      </c>
      <c r="L110" s="15">
        <v>0.58771200000000001</v>
      </c>
      <c r="M110" s="15">
        <v>2.90421E-3</v>
      </c>
      <c r="N110" s="15">
        <v>0.11503300701754381</v>
      </c>
    </row>
    <row r="111" spans="1:14" x14ac:dyDescent="0.2">
      <c r="A111" s="2" t="s">
        <v>10068</v>
      </c>
      <c r="B111" s="15">
        <v>2115</v>
      </c>
      <c r="C111" s="15">
        <v>16</v>
      </c>
      <c r="D111" s="15">
        <v>11022543</v>
      </c>
      <c r="E111" s="15">
        <v>11916631</v>
      </c>
      <c r="F111" s="15">
        <v>3001</v>
      </c>
      <c r="G111" s="8" t="s">
        <v>12324</v>
      </c>
      <c r="H111" s="24" t="s">
        <v>599</v>
      </c>
      <c r="I111" s="25">
        <v>26562</v>
      </c>
      <c r="J111" s="8" t="s">
        <v>601</v>
      </c>
      <c r="K111" s="8" t="s">
        <v>10040</v>
      </c>
      <c r="L111" s="15">
        <v>-1</v>
      </c>
      <c r="M111" s="15">
        <v>2.9428200000000001E-3</v>
      </c>
      <c r="N111" s="15">
        <v>0.11503300701754381</v>
      </c>
    </row>
    <row r="112" spans="1:14" x14ac:dyDescent="0.2">
      <c r="A112" s="2" t="s">
        <v>10069</v>
      </c>
      <c r="B112" s="15">
        <v>55</v>
      </c>
      <c r="C112" s="15">
        <v>1</v>
      </c>
      <c r="D112" s="15">
        <v>64344227</v>
      </c>
      <c r="E112" s="15">
        <v>65894184</v>
      </c>
      <c r="F112" s="15">
        <v>2472</v>
      </c>
      <c r="G112" s="8" t="s">
        <v>12324</v>
      </c>
      <c r="H112" s="24" t="s">
        <v>662</v>
      </c>
      <c r="I112" s="25" t="s">
        <v>663</v>
      </c>
      <c r="J112" s="8" t="s">
        <v>664</v>
      </c>
      <c r="K112" s="8" t="s">
        <v>10040</v>
      </c>
      <c r="L112" s="15">
        <v>-0.97864300000000004</v>
      </c>
      <c r="M112" s="15">
        <v>2.9245199999999999E-3</v>
      </c>
      <c r="N112" s="15">
        <v>0.11503300701754381</v>
      </c>
    </row>
    <row r="113" spans="1:14" x14ac:dyDescent="0.2">
      <c r="A113" s="2" t="s">
        <v>10069</v>
      </c>
      <c r="B113" s="15">
        <v>1072</v>
      </c>
      <c r="C113" s="15">
        <v>6</v>
      </c>
      <c r="D113" s="15">
        <v>149278799</v>
      </c>
      <c r="E113" s="15">
        <v>150635315</v>
      </c>
      <c r="F113" s="15">
        <v>2611</v>
      </c>
      <c r="G113" s="8" t="s">
        <v>12324</v>
      </c>
      <c r="H113" s="24" t="s">
        <v>662</v>
      </c>
      <c r="I113" s="25" t="s">
        <v>663</v>
      </c>
      <c r="J113" s="8" t="s">
        <v>664</v>
      </c>
      <c r="K113" s="8" t="s">
        <v>10040</v>
      </c>
      <c r="L113" s="15">
        <v>-1</v>
      </c>
      <c r="M113" s="15">
        <v>2.9329400000000002E-3</v>
      </c>
      <c r="N113" s="15">
        <v>0.11503300701754381</v>
      </c>
    </row>
    <row r="114" spans="1:14" x14ac:dyDescent="0.2">
      <c r="A114" s="2" t="s">
        <v>10066</v>
      </c>
      <c r="B114" s="15">
        <v>396</v>
      </c>
      <c r="C114" s="15">
        <v>2</v>
      </c>
      <c r="D114" s="15">
        <v>219678784</v>
      </c>
      <c r="E114" s="15">
        <v>220771552</v>
      </c>
      <c r="F114" s="15">
        <v>2229</v>
      </c>
      <c r="G114" s="8" t="s">
        <v>12324</v>
      </c>
      <c r="H114" s="24" t="s">
        <v>6008</v>
      </c>
      <c r="I114" s="25" t="s">
        <v>6009</v>
      </c>
      <c r="J114" s="8" t="s">
        <v>6010</v>
      </c>
      <c r="K114" s="8" t="s">
        <v>10051</v>
      </c>
      <c r="L114" s="15">
        <v>-0.66873199999999999</v>
      </c>
      <c r="M114" s="15">
        <v>2.9340299999999998E-3</v>
      </c>
      <c r="N114" s="15">
        <v>0.11503300701754381</v>
      </c>
    </row>
    <row r="115" spans="1:14" x14ac:dyDescent="0.2">
      <c r="A115" s="2" t="s">
        <v>10068</v>
      </c>
      <c r="B115" s="15">
        <v>1324</v>
      </c>
      <c r="C115" s="15">
        <v>8</v>
      </c>
      <c r="D115" s="15">
        <v>92876621</v>
      </c>
      <c r="E115" s="15">
        <v>94999066</v>
      </c>
      <c r="F115" s="15">
        <v>3963</v>
      </c>
      <c r="G115" s="8" t="s">
        <v>12324</v>
      </c>
      <c r="H115" s="24" t="s">
        <v>6565</v>
      </c>
      <c r="I115" s="25" t="s">
        <v>6475</v>
      </c>
      <c r="J115" s="8" t="s">
        <v>6566</v>
      </c>
      <c r="K115" s="8" t="s">
        <v>10054</v>
      </c>
      <c r="L115" s="15">
        <v>0.67667299999999997</v>
      </c>
      <c r="M115" s="15">
        <v>2.8563999999999998E-3</v>
      </c>
      <c r="N115" s="15">
        <v>0.11503300701754381</v>
      </c>
    </row>
    <row r="116" spans="1:14" x14ac:dyDescent="0.2">
      <c r="A116" s="2" t="s">
        <v>10068</v>
      </c>
      <c r="B116" s="15">
        <v>766</v>
      </c>
      <c r="C116" s="15">
        <v>4</v>
      </c>
      <c r="D116" s="15">
        <v>182946259</v>
      </c>
      <c r="E116" s="15">
        <v>183603892</v>
      </c>
      <c r="F116" s="15">
        <v>2151</v>
      </c>
      <c r="G116" s="8" t="s">
        <v>12324</v>
      </c>
      <c r="H116" s="24" t="s">
        <v>6565</v>
      </c>
      <c r="I116" s="25" t="s">
        <v>6475</v>
      </c>
      <c r="J116" s="8" t="s">
        <v>6566</v>
      </c>
      <c r="K116" s="8" t="s">
        <v>10054</v>
      </c>
      <c r="L116" s="15">
        <v>0.67024799999999995</v>
      </c>
      <c r="M116" s="15">
        <v>2.9568799999999998E-3</v>
      </c>
      <c r="N116" s="15">
        <v>0.11503300701754381</v>
      </c>
    </row>
    <row r="117" spans="1:14" x14ac:dyDescent="0.2">
      <c r="A117" s="2" t="s">
        <v>10068</v>
      </c>
      <c r="B117" s="15">
        <v>1352</v>
      </c>
      <c r="C117" s="15">
        <v>8</v>
      </c>
      <c r="D117" s="15">
        <v>126766828</v>
      </c>
      <c r="E117" s="15">
        <v>128073654</v>
      </c>
      <c r="F117" s="15">
        <v>3626</v>
      </c>
      <c r="G117" s="8" t="s">
        <v>12324</v>
      </c>
      <c r="H117" s="24" t="s">
        <v>599</v>
      </c>
      <c r="I117" s="25">
        <v>26562</v>
      </c>
      <c r="J117" s="8" t="s">
        <v>601</v>
      </c>
      <c r="K117" s="8" t="s">
        <v>10040</v>
      </c>
      <c r="L117" s="15">
        <v>0.91893999999999998</v>
      </c>
      <c r="M117" s="15">
        <v>3.0106899999999999E-3</v>
      </c>
      <c r="N117" s="15">
        <v>0.11610791434782609</v>
      </c>
    </row>
    <row r="118" spans="1:14" x14ac:dyDescent="0.2">
      <c r="A118" s="2" t="s">
        <v>10069</v>
      </c>
      <c r="B118" s="15">
        <v>241</v>
      </c>
      <c r="C118" s="15">
        <v>2</v>
      </c>
      <c r="D118" s="15">
        <v>36867390</v>
      </c>
      <c r="E118" s="15">
        <v>37603360</v>
      </c>
      <c r="F118" s="15">
        <v>1165</v>
      </c>
      <c r="G118" s="8" t="s">
        <v>12324</v>
      </c>
      <c r="H118" s="24" t="s">
        <v>662</v>
      </c>
      <c r="I118" s="25" t="s">
        <v>663</v>
      </c>
      <c r="J118" s="8" t="s">
        <v>664</v>
      </c>
      <c r="K118" s="8" t="s">
        <v>10040</v>
      </c>
      <c r="L118" s="15">
        <v>1</v>
      </c>
      <c r="M118" s="15">
        <v>3.2587499999999999E-3</v>
      </c>
      <c r="N118" s="15">
        <v>0.1178145130081301</v>
      </c>
    </row>
    <row r="119" spans="1:14" x14ac:dyDescent="0.2">
      <c r="A119" s="2" t="s">
        <v>10068</v>
      </c>
      <c r="B119" s="15">
        <v>226</v>
      </c>
      <c r="C119" s="15">
        <v>2</v>
      </c>
      <c r="D119" s="15">
        <v>22429641</v>
      </c>
      <c r="E119" s="15">
        <v>23538527</v>
      </c>
      <c r="F119" s="15">
        <v>2666</v>
      </c>
      <c r="G119" s="8" t="s">
        <v>12324</v>
      </c>
      <c r="H119" s="24" t="s">
        <v>1259</v>
      </c>
      <c r="I119" s="25">
        <v>27096</v>
      </c>
      <c r="J119" s="8" t="s">
        <v>1261</v>
      </c>
      <c r="K119" s="8" t="s">
        <v>10040</v>
      </c>
      <c r="L119" s="15">
        <v>0.56478700000000004</v>
      </c>
      <c r="M119" s="15">
        <v>3.1529100000000001E-3</v>
      </c>
      <c r="N119" s="15">
        <v>0.1178145130081301</v>
      </c>
    </row>
    <row r="120" spans="1:14" x14ac:dyDescent="0.2">
      <c r="A120" s="2" t="s">
        <v>10068</v>
      </c>
      <c r="B120" s="15">
        <v>1647</v>
      </c>
      <c r="C120" s="15">
        <v>11</v>
      </c>
      <c r="D120" s="15">
        <v>34672698</v>
      </c>
      <c r="E120" s="15">
        <v>35500367</v>
      </c>
      <c r="F120" s="15">
        <v>2523</v>
      </c>
      <c r="G120" s="8" t="s">
        <v>12324</v>
      </c>
      <c r="H120" s="24" t="s">
        <v>1259</v>
      </c>
      <c r="I120" s="25">
        <v>27096</v>
      </c>
      <c r="J120" s="8" t="s">
        <v>1261</v>
      </c>
      <c r="K120" s="8" t="s">
        <v>10040</v>
      </c>
      <c r="L120" s="15">
        <v>1</v>
      </c>
      <c r="M120" s="15">
        <v>3.1561200000000001E-3</v>
      </c>
      <c r="N120" s="15">
        <v>0.1178145130081301</v>
      </c>
    </row>
    <row r="121" spans="1:14" x14ac:dyDescent="0.2">
      <c r="A121" s="2" t="s">
        <v>10068</v>
      </c>
      <c r="B121" s="15">
        <v>1786</v>
      </c>
      <c r="C121" s="15">
        <v>12</v>
      </c>
      <c r="D121" s="15">
        <v>47499604</v>
      </c>
      <c r="E121" s="15">
        <v>48227035</v>
      </c>
      <c r="F121" s="15">
        <v>2314</v>
      </c>
      <c r="G121" s="8" t="s">
        <v>12324</v>
      </c>
      <c r="H121" s="24" t="s">
        <v>6565</v>
      </c>
      <c r="I121" s="25" t="s">
        <v>6475</v>
      </c>
      <c r="J121" s="8" t="s">
        <v>6566</v>
      </c>
      <c r="K121" s="8" t="s">
        <v>10054</v>
      </c>
      <c r="L121" s="15">
        <v>0.98297500000000004</v>
      </c>
      <c r="M121" s="15">
        <v>3.18374E-3</v>
      </c>
      <c r="N121" s="15">
        <v>0.1178145130081301</v>
      </c>
    </row>
    <row r="122" spans="1:14" x14ac:dyDescent="0.2">
      <c r="A122" s="2" t="s">
        <v>10068</v>
      </c>
      <c r="B122" s="15">
        <v>1538</v>
      </c>
      <c r="C122" s="15">
        <v>10</v>
      </c>
      <c r="D122" s="15">
        <v>55867695</v>
      </c>
      <c r="E122" s="15">
        <v>57044845</v>
      </c>
      <c r="F122" s="15">
        <v>3966</v>
      </c>
      <c r="G122" s="8" t="s">
        <v>12324</v>
      </c>
      <c r="H122" s="24" t="s">
        <v>6565</v>
      </c>
      <c r="I122" s="25" t="s">
        <v>6475</v>
      </c>
      <c r="J122" s="8" t="s">
        <v>6566</v>
      </c>
      <c r="K122" s="8" t="s">
        <v>10054</v>
      </c>
      <c r="L122" s="15">
        <v>0.816693</v>
      </c>
      <c r="M122" s="15">
        <v>3.1938499999999998E-3</v>
      </c>
      <c r="N122" s="15">
        <v>0.1178145130081301</v>
      </c>
    </row>
    <row r="123" spans="1:14" x14ac:dyDescent="0.2">
      <c r="A123" s="2" t="s">
        <v>10068</v>
      </c>
      <c r="B123" s="15">
        <v>2095</v>
      </c>
      <c r="C123" s="15">
        <v>15</v>
      </c>
      <c r="D123" s="15">
        <v>95662426</v>
      </c>
      <c r="E123" s="15">
        <v>96864278</v>
      </c>
      <c r="F123" s="15">
        <v>3059</v>
      </c>
      <c r="G123" s="8" t="s">
        <v>12324</v>
      </c>
      <c r="H123" s="24" t="s">
        <v>6565</v>
      </c>
      <c r="I123" s="25" t="s">
        <v>6475</v>
      </c>
      <c r="J123" s="8" t="s">
        <v>6566</v>
      </c>
      <c r="K123" s="8" t="s">
        <v>10054</v>
      </c>
      <c r="L123" s="15">
        <v>0.54906200000000005</v>
      </c>
      <c r="M123" s="15">
        <v>3.2426E-3</v>
      </c>
      <c r="N123" s="15">
        <v>0.1178145130081301</v>
      </c>
    </row>
    <row r="124" spans="1:14" x14ac:dyDescent="0.2">
      <c r="A124" s="2" t="s">
        <v>10068</v>
      </c>
      <c r="B124" s="15">
        <v>2205</v>
      </c>
      <c r="C124" s="15">
        <v>17</v>
      </c>
      <c r="D124" s="15">
        <v>40233546</v>
      </c>
      <c r="E124" s="15">
        <v>42348003</v>
      </c>
      <c r="F124" s="15">
        <v>3564</v>
      </c>
      <c r="G124" s="8" t="s">
        <v>12324</v>
      </c>
      <c r="H124" s="24" t="s">
        <v>6565</v>
      </c>
      <c r="I124" s="25" t="s">
        <v>6475</v>
      </c>
      <c r="J124" s="8" t="s">
        <v>6566</v>
      </c>
      <c r="K124" s="8" t="s">
        <v>10054</v>
      </c>
      <c r="L124" s="15">
        <v>1</v>
      </c>
      <c r="M124" s="15">
        <v>3.2572199999999999E-3</v>
      </c>
      <c r="N124" s="15">
        <v>0.1178145130081301</v>
      </c>
    </row>
    <row r="125" spans="1:14" x14ac:dyDescent="0.2">
      <c r="A125" s="2" t="s">
        <v>10068</v>
      </c>
      <c r="B125" s="15">
        <v>2419</v>
      </c>
      <c r="C125" s="15">
        <v>20</v>
      </c>
      <c r="D125" s="15">
        <v>54743695</v>
      </c>
      <c r="E125" s="15">
        <v>55448075</v>
      </c>
      <c r="F125" s="15">
        <v>2232</v>
      </c>
      <c r="G125" s="8" t="s">
        <v>12324</v>
      </c>
      <c r="H125" s="24" t="s">
        <v>6565</v>
      </c>
      <c r="I125" s="25" t="s">
        <v>6475</v>
      </c>
      <c r="J125" s="8" t="s">
        <v>6566</v>
      </c>
      <c r="K125" s="8" t="s">
        <v>10054</v>
      </c>
      <c r="L125" s="15">
        <v>0.55116299999999996</v>
      </c>
      <c r="M125" s="15">
        <v>3.2674599999999998E-3</v>
      </c>
      <c r="N125" s="15">
        <v>0.1178145130081301</v>
      </c>
    </row>
    <row r="126" spans="1:14" x14ac:dyDescent="0.2">
      <c r="A126" s="2" t="s">
        <v>10068</v>
      </c>
      <c r="B126" s="15">
        <v>963</v>
      </c>
      <c r="C126" s="15">
        <v>6</v>
      </c>
      <c r="D126" s="15">
        <v>32454578</v>
      </c>
      <c r="E126" s="15">
        <v>32539567</v>
      </c>
      <c r="F126" s="15">
        <v>788</v>
      </c>
      <c r="G126" s="8" t="s">
        <v>12324</v>
      </c>
      <c r="H126" s="24" t="s">
        <v>599</v>
      </c>
      <c r="I126" s="25">
        <v>26562</v>
      </c>
      <c r="J126" s="8" t="s">
        <v>601</v>
      </c>
      <c r="K126" s="8" t="s">
        <v>10040</v>
      </c>
      <c r="L126" s="15">
        <v>-0.38154199999999999</v>
      </c>
      <c r="M126" s="15">
        <v>3.35279E-3</v>
      </c>
      <c r="N126" s="15">
        <v>0.11991631975806449</v>
      </c>
    </row>
    <row r="127" spans="1:14" x14ac:dyDescent="0.2">
      <c r="A127" s="2" t="s">
        <v>10069</v>
      </c>
      <c r="B127" s="15">
        <v>542</v>
      </c>
      <c r="C127" s="15">
        <v>3</v>
      </c>
      <c r="D127" s="15">
        <v>138693847</v>
      </c>
      <c r="E127" s="15">
        <v>139831267</v>
      </c>
      <c r="F127" s="15">
        <v>1926</v>
      </c>
      <c r="G127" s="8" t="s">
        <v>12324</v>
      </c>
      <c r="H127" s="24" t="s">
        <v>662</v>
      </c>
      <c r="I127" s="25" t="s">
        <v>663</v>
      </c>
      <c r="J127" s="8" t="s">
        <v>664</v>
      </c>
      <c r="K127" s="8" t="s">
        <v>10040</v>
      </c>
      <c r="L127" s="15">
        <v>0.96008199999999999</v>
      </c>
      <c r="M127" s="15">
        <v>3.4603199999999998E-3</v>
      </c>
      <c r="N127" s="15">
        <v>0.1227721536</v>
      </c>
    </row>
    <row r="128" spans="1:14" x14ac:dyDescent="0.2">
      <c r="A128" s="2" t="s">
        <v>10068</v>
      </c>
      <c r="B128" s="15">
        <v>1615</v>
      </c>
      <c r="C128" s="15">
        <v>11</v>
      </c>
      <c r="D128" s="15">
        <v>4405708</v>
      </c>
      <c r="E128" s="15">
        <v>4946051</v>
      </c>
      <c r="F128" s="15">
        <v>2334</v>
      </c>
      <c r="G128" s="8" t="s">
        <v>12324</v>
      </c>
      <c r="H128" s="24" t="s">
        <v>1259</v>
      </c>
      <c r="I128" s="25">
        <v>27096</v>
      </c>
      <c r="J128" s="8" t="s">
        <v>1261</v>
      </c>
      <c r="K128" s="8" t="s">
        <v>10040</v>
      </c>
      <c r="L128" s="15">
        <v>0.62329599999999996</v>
      </c>
      <c r="M128" s="15">
        <v>3.5424499999999999E-3</v>
      </c>
      <c r="N128" s="15">
        <v>0.124688617063492</v>
      </c>
    </row>
    <row r="129" spans="1:14" x14ac:dyDescent="0.2">
      <c r="A129" s="2" t="s">
        <v>10068</v>
      </c>
      <c r="B129" s="15">
        <v>1587</v>
      </c>
      <c r="C129" s="15">
        <v>10</v>
      </c>
      <c r="D129" s="15">
        <v>112164982</v>
      </c>
      <c r="E129" s="15">
        <v>113117615</v>
      </c>
      <c r="F129" s="15">
        <v>2397</v>
      </c>
      <c r="G129" s="8" t="s">
        <v>12324</v>
      </c>
      <c r="H129" s="24" t="s">
        <v>599</v>
      </c>
      <c r="I129" s="25">
        <v>26562</v>
      </c>
      <c r="J129" s="8" t="s">
        <v>601</v>
      </c>
      <c r="K129" s="8" t="s">
        <v>10040</v>
      </c>
      <c r="L129" s="15">
        <v>-0.69686099999999995</v>
      </c>
      <c r="M129" s="15">
        <v>3.6708000000000001E-3</v>
      </c>
      <c r="N129" s="15">
        <v>0.12740191582733809</v>
      </c>
    </row>
    <row r="130" spans="1:14" x14ac:dyDescent="0.2">
      <c r="A130" s="2" t="s">
        <v>10068</v>
      </c>
      <c r="B130" s="15">
        <v>973</v>
      </c>
      <c r="C130" s="15">
        <v>6</v>
      </c>
      <c r="D130" s="15">
        <v>37570052</v>
      </c>
      <c r="E130" s="15">
        <v>38688720</v>
      </c>
      <c r="F130" s="15">
        <v>2836</v>
      </c>
      <c r="G130" s="8" t="s">
        <v>12324</v>
      </c>
      <c r="H130" s="24" t="s">
        <v>599</v>
      </c>
      <c r="I130" s="25">
        <v>26562</v>
      </c>
      <c r="J130" s="8" t="s">
        <v>601</v>
      </c>
      <c r="K130" s="8" t="s">
        <v>10040</v>
      </c>
      <c r="L130" s="15">
        <v>0.68729300000000004</v>
      </c>
      <c r="M130" s="15">
        <v>3.7545899999999999E-3</v>
      </c>
      <c r="N130" s="15">
        <v>0.12740191582733809</v>
      </c>
    </row>
    <row r="131" spans="1:14" x14ac:dyDescent="0.2">
      <c r="A131" s="2" t="s">
        <v>10068</v>
      </c>
      <c r="B131" s="15">
        <v>298</v>
      </c>
      <c r="C131" s="15">
        <v>2</v>
      </c>
      <c r="D131" s="15">
        <v>101556800</v>
      </c>
      <c r="E131" s="15">
        <v>102494487</v>
      </c>
      <c r="F131" s="15">
        <v>2201</v>
      </c>
      <c r="G131" s="8" t="s">
        <v>12324</v>
      </c>
      <c r="H131" s="24" t="s">
        <v>599</v>
      </c>
      <c r="I131" s="25">
        <v>26562</v>
      </c>
      <c r="J131" s="8" t="s">
        <v>601</v>
      </c>
      <c r="K131" s="8" t="s">
        <v>10040</v>
      </c>
      <c r="L131" s="15">
        <v>-1</v>
      </c>
      <c r="M131" s="15">
        <v>3.7753499999999998E-3</v>
      </c>
      <c r="N131" s="15">
        <v>0.12740191582733809</v>
      </c>
    </row>
    <row r="132" spans="1:14" x14ac:dyDescent="0.2">
      <c r="A132" s="2" t="s">
        <v>10068</v>
      </c>
      <c r="B132" s="15">
        <v>1087</v>
      </c>
      <c r="C132" s="15">
        <v>6</v>
      </c>
      <c r="D132" s="15">
        <v>163336362</v>
      </c>
      <c r="E132" s="15">
        <v>164687462</v>
      </c>
      <c r="F132" s="15">
        <v>4131</v>
      </c>
      <c r="G132" s="8" t="s">
        <v>12324</v>
      </c>
      <c r="H132" s="24" t="s">
        <v>599</v>
      </c>
      <c r="I132" s="25">
        <v>26562</v>
      </c>
      <c r="J132" s="8" t="s">
        <v>601</v>
      </c>
      <c r="K132" s="8" t="s">
        <v>10040</v>
      </c>
      <c r="L132" s="15">
        <v>0.485711</v>
      </c>
      <c r="M132" s="15">
        <v>3.89449E-3</v>
      </c>
      <c r="N132" s="15">
        <v>0.12740191582733809</v>
      </c>
    </row>
    <row r="133" spans="1:14" x14ac:dyDescent="0.2">
      <c r="A133" s="2" t="s">
        <v>10068</v>
      </c>
      <c r="B133" s="15">
        <v>1351</v>
      </c>
      <c r="C133" s="15">
        <v>8</v>
      </c>
      <c r="D133" s="15">
        <v>125453323</v>
      </c>
      <c r="E133" s="15">
        <v>126766827</v>
      </c>
      <c r="F133" s="15">
        <v>3453</v>
      </c>
      <c r="G133" s="8" t="s">
        <v>12324</v>
      </c>
      <c r="H133" s="24" t="s">
        <v>599</v>
      </c>
      <c r="I133" s="25">
        <v>26562</v>
      </c>
      <c r="J133" s="8" t="s">
        <v>601</v>
      </c>
      <c r="K133" s="8" t="s">
        <v>10040</v>
      </c>
      <c r="L133" s="15">
        <v>0.63825699999999996</v>
      </c>
      <c r="M133" s="15">
        <v>3.9358600000000002E-3</v>
      </c>
      <c r="N133" s="15">
        <v>0.12740191582733809</v>
      </c>
    </row>
    <row r="134" spans="1:14" x14ac:dyDescent="0.2">
      <c r="A134" s="2" t="s">
        <v>10068</v>
      </c>
      <c r="B134" s="15">
        <v>1320</v>
      </c>
      <c r="C134" s="15">
        <v>8</v>
      </c>
      <c r="D134" s="15">
        <v>87563146</v>
      </c>
      <c r="E134" s="15">
        <v>89081177</v>
      </c>
      <c r="F134" s="15">
        <v>3714</v>
      </c>
      <c r="G134" s="8" t="s">
        <v>12324</v>
      </c>
      <c r="H134" s="24" t="s">
        <v>599</v>
      </c>
      <c r="I134" s="25">
        <v>26562</v>
      </c>
      <c r="J134" s="8" t="s">
        <v>601</v>
      </c>
      <c r="K134" s="8" t="s">
        <v>10040</v>
      </c>
      <c r="L134" s="15">
        <v>-1</v>
      </c>
      <c r="M134" s="15">
        <v>3.9739299999999997E-3</v>
      </c>
      <c r="N134" s="15">
        <v>0.12740191582733809</v>
      </c>
    </row>
    <row r="135" spans="1:14" x14ac:dyDescent="0.2">
      <c r="A135" s="2" t="s">
        <v>10068</v>
      </c>
      <c r="B135" s="15">
        <v>2002</v>
      </c>
      <c r="C135" s="15">
        <v>14</v>
      </c>
      <c r="D135" s="15">
        <v>72665320</v>
      </c>
      <c r="E135" s="15">
        <v>73373373</v>
      </c>
      <c r="F135" s="15">
        <v>2101</v>
      </c>
      <c r="G135" s="8" t="s">
        <v>12324</v>
      </c>
      <c r="H135" s="24" t="s">
        <v>1259</v>
      </c>
      <c r="I135" s="25">
        <v>27096</v>
      </c>
      <c r="J135" s="8" t="s">
        <v>1261</v>
      </c>
      <c r="K135" s="8" t="s">
        <v>10040</v>
      </c>
      <c r="L135" s="15">
        <v>-0.86554600000000004</v>
      </c>
      <c r="M135" s="15">
        <v>3.8570200000000001E-3</v>
      </c>
      <c r="N135" s="15">
        <v>0.12740191582733809</v>
      </c>
    </row>
    <row r="136" spans="1:14" x14ac:dyDescent="0.2">
      <c r="A136" s="2" t="s">
        <v>10066</v>
      </c>
      <c r="B136" s="15">
        <v>1821</v>
      </c>
      <c r="C136" s="15">
        <v>12</v>
      </c>
      <c r="D136" s="15">
        <v>88344765</v>
      </c>
      <c r="E136" s="15">
        <v>90567001</v>
      </c>
      <c r="F136" s="15">
        <v>3688</v>
      </c>
      <c r="G136" s="8" t="s">
        <v>12324</v>
      </c>
      <c r="H136" s="24" t="s">
        <v>3164</v>
      </c>
      <c r="I136" s="25" t="s">
        <v>3165</v>
      </c>
      <c r="J136" s="8" t="s">
        <v>3166</v>
      </c>
      <c r="K136" s="8" t="s">
        <v>10042</v>
      </c>
      <c r="L136" s="15">
        <v>0.73454200000000003</v>
      </c>
      <c r="M136" s="15">
        <v>3.69528E-3</v>
      </c>
      <c r="N136" s="15">
        <v>0.12740191582733809</v>
      </c>
    </row>
    <row r="137" spans="1:14" x14ac:dyDescent="0.2">
      <c r="A137" s="2" t="s">
        <v>10066</v>
      </c>
      <c r="B137" s="15">
        <v>2095</v>
      </c>
      <c r="C137" s="15">
        <v>15</v>
      </c>
      <c r="D137" s="15">
        <v>95662426</v>
      </c>
      <c r="E137" s="15">
        <v>96864278</v>
      </c>
      <c r="F137" s="15">
        <v>3050</v>
      </c>
      <c r="G137" s="8" t="s">
        <v>12324</v>
      </c>
      <c r="H137" s="24" t="s">
        <v>3164</v>
      </c>
      <c r="I137" s="25" t="s">
        <v>3165</v>
      </c>
      <c r="J137" s="8" t="s">
        <v>3166</v>
      </c>
      <c r="K137" s="8" t="s">
        <v>10042</v>
      </c>
      <c r="L137" s="15">
        <v>-0.53965099999999999</v>
      </c>
      <c r="M137" s="15">
        <v>3.7293299999999999E-3</v>
      </c>
      <c r="N137" s="15">
        <v>0.12740191582733809</v>
      </c>
    </row>
    <row r="138" spans="1:14" x14ac:dyDescent="0.2">
      <c r="A138" s="2" t="s">
        <v>10066</v>
      </c>
      <c r="B138" s="15">
        <v>1230</v>
      </c>
      <c r="C138" s="15">
        <v>7</v>
      </c>
      <c r="D138" s="15">
        <v>157199332</v>
      </c>
      <c r="E138" s="15">
        <v>158031247</v>
      </c>
      <c r="F138" s="15">
        <v>3193</v>
      </c>
      <c r="G138" s="8" t="s">
        <v>12324</v>
      </c>
      <c r="H138" s="24" t="s">
        <v>3164</v>
      </c>
      <c r="I138" s="25" t="s">
        <v>3165</v>
      </c>
      <c r="J138" s="8" t="s">
        <v>3166</v>
      </c>
      <c r="K138" s="8" t="s">
        <v>10042</v>
      </c>
      <c r="L138" s="15">
        <v>0.836592</v>
      </c>
      <c r="M138" s="15">
        <v>3.9929800000000001E-3</v>
      </c>
      <c r="N138" s="15">
        <v>0.12740191582733809</v>
      </c>
    </row>
    <row r="139" spans="1:14" x14ac:dyDescent="0.2">
      <c r="A139" s="2" t="s">
        <v>10066</v>
      </c>
      <c r="B139" s="15">
        <v>212</v>
      </c>
      <c r="C139" s="15">
        <v>2</v>
      </c>
      <c r="D139" s="15">
        <v>7966710</v>
      </c>
      <c r="E139" s="15">
        <v>8978798</v>
      </c>
      <c r="F139" s="15">
        <v>2475</v>
      </c>
      <c r="G139" s="8" t="s">
        <v>12324</v>
      </c>
      <c r="H139" s="24" t="s">
        <v>6008</v>
      </c>
      <c r="I139" s="25" t="s">
        <v>6009</v>
      </c>
      <c r="J139" s="8" t="s">
        <v>6010</v>
      </c>
      <c r="K139" s="8" t="s">
        <v>10051</v>
      </c>
      <c r="L139" s="15">
        <v>0.47010299999999999</v>
      </c>
      <c r="M139" s="15">
        <v>3.8986699999999999E-3</v>
      </c>
      <c r="N139" s="15">
        <v>0.12740191582733809</v>
      </c>
    </row>
    <row r="140" spans="1:14" x14ac:dyDescent="0.2">
      <c r="A140" s="2" t="s">
        <v>10066</v>
      </c>
      <c r="B140" s="15">
        <v>498</v>
      </c>
      <c r="C140" s="15">
        <v>3</v>
      </c>
      <c r="D140" s="15">
        <v>87411259</v>
      </c>
      <c r="E140" s="15">
        <v>88375763</v>
      </c>
      <c r="F140" s="15">
        <v>2380</v>
      </c>
      <c r="G140" s="8" t="s">
        <v>12324</v>
      </c>
      <c r="H140" s="24" t="s">
        <v>6008</v>
      </c>
      <c r="I140" s="25" t="s">
        <v>6009</v>
      </c>
      <c r="J140" s="8" t="s">
        <v>6010</v>
      </c>
      <c r="K140" s="8" t="s">
        <v>10051</v>
      </c>
      <c r="L140" s="15">
        <v>0.887096</v>
      </c>
      <c r="M140" s="15">
        <v>3.9630300000000002E-3</v>
      </c>
      <c r="N140" s="15">
        <v>0.12740191582733809</v>
      </c>
    </row>
    <row r="141" spans="1:14" x14ac:dyDescent="0.2">
      <c r="A141" s="2" t="s">
        <v>10068</v>
      </c>
      <c r="B141" s="15">
        <v>593</v>
      </c>
      <c r="C141" s="15">
        <v>3</v>
      </c>
      <c r="D141" s="15">
        <v>195710291</v>
      </c>
      <c r="E141" s="15">
        <v>196383152</v>
      </c>
      <c r="F141" s="15">
        <v>2102</v>
      </c>
      <c r="G141" s="8" t="s">
        <v>12324</v>
      </c>
      <c r="H141" s="24" t="s">
        <v>6565</v>
      </c>
      <c r="I141" s="25" t="s">
        <v>6475</v>
      </c>
      <c r="J141" s="8" t="s">
        <v>6566</v>
      </c>
      <c r="K141" s="8" t="s">
        <v>10054</v>
      </c>
      <c r="L141" s="15">
        <v>-0.84825799999999996</v>
      </c>
      <c r="M141" s="15">
        <v>3.8907400000000002E-3</v>
      </c>
      <c r="N141" s="15">
        <v>0.12740191582733809</v>
      </c>
    </row>
    <row r="142" spans="1:14" x14ac:dyDescent="0.2">
      <c r="A142" s="2" t="s">
        <v>10066</v>
      </c>
      <c r="B142" s="15">
        <v>2038</v>
      </c>
      <c r="C142" s="15">
        <v>15</v>
      </c>
      <c r="D142" s="15">
        <v>25384328</v>
      </c>
      <c r="E142" s="15">
        <v>26392947</v>
      </c>
      <c r="F142" s="15">
        <v>3379</v>
      </c>
      <c r="G142" s="8" t="s">
        <v>12324</v>
      </c>
      <c r="H142" s="24" t="s">
        <v>3164</v>
      </c>
      <c r="I142" s="25" t="s">
        <v>3165</v>
      </c>
      <c r="J142" s="8" t="s">
        <v>3166</v>
      </c>
      <c r="K142" s="8" t="s">
        <v>10042</v>
      </c>
      <c r="L142" s="15">
        <v>0.691832</v>
      </c>
      <c r="M142" s="15">
        <v>4.0306400000000003E-3</v>
      </c>
      <c r="N142" s="15">
        <v>0.12768491714285721</v>
      </c>
    </row>
    <row r="143" spans="1:14" x14ac:dyDescent="0.2">
      <c r="A143" s="2" t="s">
        <v>10068</v>
      </c>
      <c r="B143" s="15">
        <v>1355</v>
      </c>
      <c r="C143" s="15">
        <v>8</v>
      </c>
      <c r="D143" s="15">
        <v>130383564</v>
      </c>
      <c r="E143" s="15">
        <v>131545725</v>
      </c>
      <c r="F143" s="15">
        <v>3097</v>
      </c>
      <c r="G143" s="8" t="s">
        <v>12324</v>
      </c>
      <c r="H143" s="24" t="s">
        <v>599</v>
      </c>
      <c r="I143" s="25">
        <v>26562</v>
      </c>
      <c r="J143" s="8" t="s">
        <v>601</v>
      </c>
      <c r="K143" s="8" t="s">
        <v>10040</v>
      </c>
      <c r="L143" s="15">
        <v>-0.53568000000000005</v>
      </c>
      <c r="M143" s="15">
        <v>4.3649200000000004E-3</v>
      </c>
      <c r="N143" s="15">
        <v>0.1365738090909091</v>
      </c>
    </row>
    <row r="144" spans="1:14" x14ac:dyDescent="0.2">
      <c r="A144" s="2" t="s">
        <v>10068</v>
      </c>
      <c r="B144" s="15">
        <v>2437</v>
      </c>
      <c r="C144" s="15">
        <v>21</v>
      </c>
      <c r="D144" s="15">
        <v>21632917</v>
      </c>
      <c r="E144" s="15">
        <v>22201890</v>
      </c>
      <c r="F144" s="15">
        <v>2228</v>
      </c>
      <c r="G144" s="8" t="s">
        <v>12324</v>
      </c>
      <c r="H144" s="24" t="s">
        <v>599</v>
      </c>
      <c r="I144" s="25">
        <v>26562</v>
      </c>
      <c r="J144" s="8" t="s">
        <v>601</v>
      </c>
      <c r="K144" s="8" t="s">
        <v>10040</v>
      </c>
      <c r="L144" s="15">
        <v>-0.87569699999999995</v>
      </c>
      <c r="M144" s="15">
        <v>4.3807300000000002E-3</v>
      </c>
      <c r="N144" s="15">
        <v>0.1365738090909091</v>
      </c>
    </row>
    <row r="145" spans="1:14" x14ac:dyDescent="0.2">
      <c r="A145" s="2" t="s">
        <v>10068</v>
      </c>
      <c r="B145" s="15">
        <v>2375</v>
      </c>
      <c r="C145" s="15">
        <v>20</v>
      </c>
      <c r="D145" s="15">
        <v>5379451</v>
      </c>
      <c r="E145" s="15">
        <v>6128358</v>
      </c>
      <c r="F145" s="15">
        <v>2575</v>
      </c>
      <c r="G145" s="8" t="s">
        <v>12324</v>
      </c>
      <c r="H145" s="24" t="s">
        <v>6565</v>
      </c>
      <c r="I145" s="25" t="s">
        <v>6475</v>
      </c>
      <c r="J145" s="8" t="s">
        <v>6566</v>
      </c>
      <c r="K145" s="8" t="s">
        <v>10054</v>
      </c>
      <c r="L145" s="15">
        <v>0.34393800000000002</v>
      </c>
      <c r="M145" s="15">
        <v>4.4036199999999996E-3</v>
      </c>
      <c r="N145" s="15">
        <v>0.1365738090909091</v>
      </c>
    </row>
    <row r="146" spans="1:14" x14ac:dyDescent="0.2">
      <c r="A146" s="2" t="s">
        <v>10068</v>
      </c>
      <c r="B146" s="15">
        <v>230</v>
      </c>
      <c r="C146" s="15">
        <v>2</v>
      </c>
      <c r="D146" s="15">
        <v>26894103</v>
      </c>
      <c r="E146" s="15">
        <v>28819510</v>
      </c>
      <c r="F146" s="15">
        <v>3438</v>
      </c>
      <c r="G146" s="8" t="s">
        <v>12324</v>
      </c>
      <c r="H146" s="24" t="s">
        <v>599</v>
      </c>
      <c r="I146" s="25">
        <v>26562</v>
      </c>
      <c r="J146" s="8" t="s">
        <v>601</v>
      </c>
      <c r="K146" s="8" t="s">
        <v>10040</v>
      </c>
      <c r="L146" s="15">
        <v>0.57534799999999997</v>
      </c>
      <c r="M146" s="15">
        <v>4.5250400000000001E-3</v>
      </c>
      <c r="N146" s="15">
        <v>0.13727913209459461</v>
      </c>
    </row>
    <row r="147" spans="1:14" x14ac:dyDescent="0.2">
      <c r="A147" s="2" t="s">
        <v>10068</v>
      </c>
      <c r="B147" s="15">
        <v>640</v>
      </c>
      <c r="C147" s="15">
        <v>4</v>
      </c>
      <c r="D147" s="15">
        <v>39820062</v>
      </c>
      <c r="E147" s="15">
        <v>40590541</v>
      </c>
      <c r="F147" s="15">
        <v>2209</v>
      </c>
      <c r="G147" s="8" t="s">
        <v>12324</v>
      </c>
      <c r="H147" s="24" t="s">
        <v>599</v>
      </c>
      <c r="I147" s="25">
        <v>26562</v>
      </c>
      <c r="J147" s="8" t="s">
        <v>601</v>
      </c>
      <c r="K147" s="8" t="s">
        <v>10040</v>
      </c>
      <c r="L147" s="15">
        <v>0.83346299999999995</v>
      </c>
      <c r="M147" s="15">
        <v>4.55076E-3</v>
      </c>
      <c r="N147" s="15">
        <v>0.13727913209459461</v>
      </c>
    </row>
    <row r="148" spans="1:14" x14ac:dyDescent="0.2">
      <c r="A148" s="2" t="s">
        <v>10068</v>
      </c>
      <c r="B148" s="15">
        <v>1838</v>
      </c>
      <c r="C148" s="15">
        <v>12</v>
      </c>
      <c r="D148" s="15">
        <v>108183189</v>
      </c>
      <c r="E148" s="15">
        <v>109031819</v>
      </c>
      <c r="F148" s="15">
        <v>2465</v>
      </c>
      <c r="G148" s="8" t="s">
        <v>12324</v>
      </c>
      <c r="H148" s="24" t="s">
        <v>599</v>
      </c>
      <c r="I148" s="25">
        <v>26562</v>
      </c>
      <c r="J148" s="8" t="s">
        <v>601</v>
      </c>
      <c r="K148" s="8" t="s">
        <v>10040</v>
      </c>
      <c r="L148" s="15">
        <v>-0.62944100000000003</v>
      </c>
      <c r="M148" s="15">
        <v>4.55501E-3</v>
      </c>
      <c r="N148" s="15">
        <v>0.13727913209459461</v>
      </c>
    </row>
    <row r="149" spans="1:14" x14ac:dyDescent="0.2">
      <c r="A149" s="2" t="s">
        <v>10068</v>
      </c>
      <c r="B149" s="15">
        <v>1865</v>
      </c>
      <c r="C149" s="15">
        <v>13</v>
      </c>
      <c r="D149" s="15">
        <v>20491182</v>
      </c>
      <c r="E149" s="15">
        <v>21540733</v>
      </c>
      <c r="F149" s="15">
        <v>3042</v>
      </c>
      <c r="G149" s="8" t="s">
        <v>12324</v>
      </c>
      <c r="H149" s="24" t="s">
        <v>599</v>
      </c>
      <c r="I149" s="25">
        <v>26562</v>
      </c>
      <c r="J149" s="8" t="s">
        <v>601</v>
      </c>
      <c r="K149" s="8" t="s">
        <v>10040</v>
      </c>
      <c r="L149" s="15">
        <v>0.73421800000000004</v>
      </c>
      <c r="M149" s="15">
        <v>4.5811300000000001E-3</v>
      </c>
      <c r="N149" s="15">
        <v>0.13727913209459461</v>
      </c>
    </row>
    <row r="150" spans="1:14" x14ac:dyDescent="0.2">
      <c r="A150" s="2" t="s">
        <v>10066</v>
      </c>
      <c r="B150" s="15">
        <v>1988</v>
      </c>
      <c r="C150" s="15">
        <v>14</v>
      </c>
      <c r="D150" s="15">
        <v>56206431</v>
      </c>
      <c r="E150" s="15">
        <v>57460781</v>
      </c>
      <c r="F150" s="15">
        <v>3747</v>
      </c>
      <c r="G150" s="8" t="s">
        <v>12324</v>
      </c>
      <c r="H150" s="24" t="s">
        <v>6008</v>
      </c>
      <c r="I150" s="25" t="s">
        <v>6009</v>
      </c>
      <c r="J150" s="8" t="s">
        <v>6010</v>
      </c>
      <c r="K150" s="8" t="s">
        <v>10051</v>
      </c>
      <c r="L150" s="15">
        <v>-0.71871700000000005</v>
      </c>
      <c r="M150" s="15">
        <v>4.5312900000000003E-3</v>
      </c>
      <c r="N150" s="15">
        <v>0.13727913209459461</v>
      </c>
    </row>
    <row r="151" spans="1:14" x14ac:dyDescent="0.2">
      <c r="A151" s="2" t="s">
        <v>10068</v>
      </c>
      <c r="B151" s="15">
        <v>646</v>
      </c>
      <c r="C151" s="15">
        <v>4</v>
      </c>
      <c r="D151" s="15">
        <v>45186768</v>
      </c>
      <c r="E151" s="15">
        <v>46358360</v>
      </c>
      <c r="F151" s="15">
        <v>2412</v>
      </c>
      <c r="G151" s="8" t="s">
        <v>12324</v>
      </c>
      <c r="H151" s="24" t="s">
        <v>599</v>
      </c>
      <c r="I151" s="25">
        <v>26562</v>
      </c>
      <c r="J151" s="8" t="s">
        <v>601</v>
      </c>
      <c r="K151" s="8" t="s">
        <v>10040</v>
      </c>
      <c r="L151" s="15">
        <v>-0.81164599999999998</v>
      </c>
      <c r="M151" s="15">
        <v>4.6160200000000002E-3</v>
      </c>
      <c r="N151" s="15">
        <v>0.1373963</v>
      </c>
    </row>
    <row r="152" spans="1:14" x14ac:dyDescent="0.2">
      <c r="A152" s="2" t="s">
        <v>10068</v>
      </c>
      <c r="B152" s="15">
        <v>7</v>
      </c>
      <c r="C152" s="15">
        <v>1</v>
      </c>
      <c r="D152" s="15">
        <v>4773404</v>
      </c>
      <c r="E152" s="15">
        <v>5362404</v>
      </c>
      <c r="F152" s="15">
        <v>2212</v>
      </c>
      <c r="G152" s="8" t="s">
        <v>12324</v>
      </c>
      <c r="H152" s="24" t="s">
        <v>599</v>
      </c>
      <c r="I152" s="25">
        <v>26562</v>
      </c>
      <c r="J152" s="8" t="s">
        <v>601</v>
      </c>
      <c r="K152" s="8" t="s">
        <v>10040</v>
      </c>
      <c r="L152" s="15">
        <v>-0.80288599999999999</v>
      </c>
      <c r="M152" s="15">
        <v>4.6718200000000001E-3</v>
      </c>
      <c r="N152" s="15">
        <v>0.1381301446666667</v>
      </c>
    </row>
    <row r="153" spans="1:14" x14ac:dyDescent="0.2">
      <c r="A153" s="2" t="s">
        <v>10068</v>
      </c>
      <c r="B153" s="15">
        <v>1347</v>
      </c>
      <c r="C153" s="15">
        <v>8</v>
      </c>
      <c r="D153" s="15">
        <v>120216588</v>
      </c>
      <c r="E153" s="15">
        <v>121554390</v>
      </c>
      <c r="F153" s="15">
        <v>3417</v>
      </c>
      <c r="G153" s="8" t="s">
        <v>12324</v>
      </c>
      <c r="H153" s="24" t="s">
        <v>494</v>
      </c>
      <c r="I153" s="25">
        <v>25920</v>
      </c>
      <c r="J153" s="8" t="s">
        <v>496</v>
      </c>
      <c r="K153" s="8" t="s">
        <v>10040</v>
      </c>
      <c r="L153" s="15">
        <v>-0.71863600000000005</v>
      </c>
      <c r="M153" s="15">
        <v>4.7704799999999997E-3</v>
      </c>
      <c r="N153" s="15">
        <v>0.1391913078947368</v>
      </c>
    </row>
    <row r="154" spans="1:14" x14ac:dyDescent="0.2">
      <c r="A154" s="2" t="s">
        <v>10066</v>
      </c>
      <c r="B154" s="15">
        <v>870</v>
      </c>
      <c r="C154" s="15">
        <v>5</v>
      </c>
      <c r="D154" s="15">
        <v>113121556</v>
      </c>
      <c r="E154" s="15">
        <v>113998532</v>
      </c>
      <c r="F154" s="15">
        <v>2562</v>
      </c>
      <c r="G154" s="8" t="s">
        <v>12324</v>
      </c>
      <c r="H154" s="24" t="s">
        <v>3164</v>
      </c>
      <c r="I154" s="25" t="s">
        <v>3165</v>
      </c>
      <c r="J154" s="8" t="s">
        <v>3166</v>
      </c>
      <c r="K154" s="8" t="s">
        <v>10042</v>
      </c>
      <c r="L154" s="15">
        <v>-0.75238099999999997</v>
      </c>
      <c r="M154" s="15">
        <v>4.7464999999999999E-3</v>
      </c>
      <c r="N154" s="15">
        <v>0.1391913078947368</v>
      </c>
    </row>
    <row r="155" spans="1:14" x14ac:dyDescent="0.2">
      <c r="A155" s="2" t="s">
        <v>10066</v>
      </c>
      <c r="B155" s="15">
        <v>611</v>
      </c>
      <c r="C155" s="15">
        <v>4</v>
      </c>
      <c r="D155" s="15">
        <v>11050120</v>
      </c>
      <c r="E155" s="15">
        <v>12209028</v>
      </c>
      <c r="F155" s="15">
        <v>3957</v>
      </c>
      <c r="G155" s="8" t="s">
        <v>12324</v>
      </c>
      <c r="H155" s="24" t="s">
        <v>3164</v>
      </c>
      <c r="I155" s="25" t="s">
        <v>3165</v>
      </c>
      <c r="J155" s="8" t="s">
        <v>3166</v>
      </c>
      <c r="K155" s="8" t="s">
        <v>10042</v>
      </c>
      <c r="L155" s="15">
        <v>0.75233099999999997</v>
      </c>
      <c r="M155" s="15">
        <v>4.8275100000000001E-3</v>
      </c>
      <c r="N155" s="15">
        <v>0.13962848733766231</v>
      </c>
    </row>
    <row r="156" spans="1:14" x14ac:dyDescent="0.2">
      <c r="A156" s="2" t="s">
        <v>10068</v>
      </c>
      <c r="B156" s="15">
        <v>361</v>
      </c>
      <c r="C156" s="15">
        <v>2</v>
      </c>
      <c r="D156" s="15">
        <v>176734751</v>
      </c>
      <c r="E156" s="15">
        <v>178149981</v>
      </c>
      <c r="F156" s="15">
        <v>3306</v>
      </c>
      <c r="G156" s="8" t="s">
        <v>12324</v>
      </c>
      <c r="H156" s="24" t="s">
        <v>6565</v>
      </c>
      <c r="I156" s="25" t="s">
        <v>6475</v>
      </c>
      <c r="J156" s="8" t="s">
        <v>6566</v>
      </c>
      <c r="K156" s="8" t="s">
        <v>10054</v>
      </c>
      <c r="L156" s="15">
        <v>0.55599500000000002</v>
      </c>
      <c r="M156" s="15">
        <v>4.8484299999999999E-3</v>
      </c>
      <c r="N156" s="15">
        <v>0.13962848733766231</v>
      </c>
    </row>
    <row r="157" spans="1:14" x14ac:dyDescent="0.2">
      <c r="A157" s="2" t="s">
        <v>10068</v>
      </c>
      <c r="B157" s="15">
        <v>2110</v>
      </c>
      <c r="C157" s="15">
        <v>16</v>
      </c>
      <c r="D157" s="15">
        <v>7704355</v>
      </c>
      <c r="E157" s="15">
        <v>8341012</v>
      </c>
      <c r="F157" s="15">
        <v>3199</v>
      </c>
      <c r="G157" s="8" t="s">
        <v>12324</v>
      </c>
      <c r="H157" s="24" t="s">
        <v>599</v>
      </c>
      <c r="I157" s="25">
        <v>26562</v>
      </c>
      <c r="J157" s="8" t="s">
        <v>601</v>
      </c>
      <c r="K157" s="8" t="s">
        <v>10040</v>
      </c>
      <c r="L157" s="15">
        <v>0.65340299999999996</v>
      </c>
      <c r="M157" s="15">
        <v>4.9467599999999997E-3</v>
      </c>
      <c r="N157" s="15">
        <v>0.14154116516129031</v>
      </c>
    </row>
    <row r="158" spans="1:14" x14ac:dyDescent="0.2">
      <c r="A158" s="2" t="s">
        <v>10068</v>
      </c>
      <c r="B158" s="15">
        <v>1737</v>
      </c>
      <c r="C158" s="15">
        <v>11</v>
      </c>
      <c r="D158" s="15">
        <v>132584402</v>
      </c>
      <c r="E158" s="15">
        <v>133521642</v>
      </c>
      <c r="F158" s="15">
        <v>2749</v>
      </c>
      <c r="G158" s="8" t="s">
        <v>12324</v>
      </c>
      <c r="H158" s="24" t="s">
        <v>599</v>
      </c>
      <c r="I158" s="25">
        <v>26562</v>
      </c>
      <c r="J158" s="8" t="s">
        <v>601</v>
      </c>
      <c r="K158" s="8" t="s">
        <v>10040</v>
      </c>
      <c r="L158" s="15">
        <v>-0.58690100000000001</v>
      </c>
      <c r="M158" s="15">
        <v>5.1482300000000002E-3</v>
      </c>
      <c r="N158" s="15">
        <v>0.14193074316770191</v>
      </c>
    </row>
    <row r="159" spans="1:14" x14ac:dyDescent="0.2">
      <c r="A159" s="2" t="s">
        <v>10069</v>
      </c>
      <c r="B159" s="15">
        <v>1356</v>
      </c>
      <c r="C159" s="15">
        <v>8</v>
      </c>
      <c r="D159" s="15">
        <v>131545726</v>
      </c>
      <c r="E159" s="15">
        <v>132534636</v>
      </c>
      <c r="F159" s="15">
        <v>2035</v>
      </c>
      <c r="G159" s="8" t="s">
        <v>12324</v>
      </c>
      <c r="H159" s="24" t="s">
        <v>662</v>
      </c>
      <c r="I159" s="25" t="s">
        <v>663</v>
      </c>
      <c r="J159" s="8" t="s">
        <v>664</v>
      </c>
      <c r="K159" s="8" t="s">
        <v>10040</v>
      </c>
      <c r="L159" s="15">
        <v>1</v>
      </c>
      <c r="M159" s="15">
        <v>5.1056299999999999E-3</v>
      </c>
      <c r="N159" s="15">
        <v>0.14193074316770191</v>
      </c>
    </row>
    <row r="160" spans="1:14" x14ac:dyDescent="0.2">
      <c r="A160" s="2" t="s">
        <v>10069</v>
      </c>
      <c r="B160" s="15">
        <v>2264</v>
      </c>
      <c r="C160" s="15">
        <v>18</v>
      </c>
      <c r="D160" s="15">
        <v>32458908</v>
      </c>
      <c r="E160" s="15">
        <v>34153297</v>
      </c>
      <c r="F160" s="15">
        <v>2419</v>
      </c>
      <c r="G160" s="8" t="s">
        <v>12324</v>
      </c>
      <c r="H160" s="24" t="s">
        <v>662</v>
      </c>
      <c r="I160" s="25" t="s">
        <v>663</v>
      </c>
      <c r="J160" s="8" t="s">
        <v>664</v>
      </c>
      <c r="K160" s="8" t="s">
        <v>10040</v>
      </c>
      <c r="L160" s="15">
        <v>-0.56795300000000004</v>
      </c>
      <c r="M160" s="15">
        <v>5.1523899999999997E-3</v>
      </c>
      <c r="N160" s="15">
        <v>0.14193074316770191</v>
      </c>
    </row>
    <row r="161" spans="1:14" x14ac:dyDescent="0.2">
      <c r="A161" s="2" t="s">
        <v>10068</v>
      </c>
      <c r="B161" s="15">
        <v>2124</v>
      </c>
      <c r="C161" s="15">
        <v>16</v>
      </c>
      <c r="D161" s="15">
        <v>24014706</v>
      </c>
      <c r="E161" s="15">
        <v>25235251</v>
      </c>
      <c r="F161" s="15">
        <v>3246</v>
      </c>
      <c r="G161" s="8" t="s">
        <v>12324</v>
      </c>
      <c r="H161" s="24" t="s">
        <v>1259</v>
      </c>
      <c r="I161" s="25">
        <v>27096</v>
      </c>
      <c r="J161" s="8" t="s">
        <v>1261</v>
      </c>
      <c r="K161" s="8" t="s">
        <v>10040</v>
      </c>
      <c r="L161" s="15">
        <v>0.68539700000000003</v>
      </c>
      <c r="M161" s="15">
        <v>5.07567E-3</v>
      </c>
      <c r="N161" s="15">
        <v>0.14193074316770191</v>
      </c>
    </row>
    <row r="162" spans="1:14" x14ac:dyDescent="0.2">
      <c r="A162" s="2" t="s">
        <v>10066</v>
      </c>
      <c r="B162" s="15">
        <v>758</v>
      </c>
      <c r="C162" s="15">
        <v>4</v>
      </c>
      <c r="D162" s="15">
        <v>175959698</v>
      </c>
      <c r="E162" s="15">
        <v>177129678</v>
      </c>
      <c r="F162" s="15">
        <v>3045</v>
      </c>
      <c r="G162" s="8" t="s">
        <v>12324</v>
      </c>
      <c r="H162" s="24" t="s">
        <v>6008</v>
      </c>
      <c r="I162" s="25" t="s">
        <v>6009</v>
      </c>
      <c r="J162" s="8" t="s">
        <v>6010</v>
      </c>
      <c r="K162" s="8" t="s">
        <v>10051</v>
      </c>
      <c r="L162" s="15">
        <v>-0.79296900000000003</v>
      </c>
      <c r="M162" s="15">
        <v>5.0632000000000003E-3</v>
      </c>
      <c r="N162" s="15">
        <v>0.14193074316770191</v>
      </c>
    </row>
    <row r="163" spans="1:14" x14ac:dyDescent="0.2">
      <c r="A163" s="2" t="s">
        <v>10068</v>
      </c>
      <c r="B163" s="15">
        <v>121</v>
      </c>
      <c r="C163" s="15">
        <v>1</v>
      </c>
      <c r="D163" s="15">
        <v>163854568</v>
      </c>
      <c r="E163" s="15">
        <v>164726579</v>
      </c>
      <c r="F163" s="15">
        <v>2112</v>
      </c>
      <c r="G163" s="8" t="s">
        <v>12324</v>
      </c>
      <c r="H163" s="24" t="s">
        <v>6565</v>
      </c>
      <c r="I163" s="25" t="s">
        <v>6475</v>
      </c>
      <c r="J163" s="8" t="s">
        <v>6566</v>
      </c>
      <c r="K163" s="8" t="s">
        <v>10054</v>
      </c>
      <c r="L163" s="15">
        <v>0.40753</v>
      </c>
      <c r="M163" s="15">
        <v>5.0493500000000002E-3</v>
      </c>
      <c r="N163" s="15">
        <v>0.14193074316770191</v>
      </c>
    </row>
    <row r="164" spans="1:14" x14ac:dyDescent="0.2">
      <c r="A164" s="2" t="s">
        <v>10066</v>
      </c>
      <c r="B164" s="15">
        <v>2141</v>
      </c>
      <c r="C164" s="15">
        <v>16</v>
      </c>
      <c r="D164" s="15">
        <v>61092845</v>
      </c>
      <c r="E164" s="15">
        <v>62607090</v>
      </c>
      <c r="F164" s="15">
        <v>3118</v>
      </c>
      <c r="G164" s="8" t="s">
        <v>12324</v>
      </c>
      <c r="H164" s="24" t="s">
        <v>3164</v>
      </c>
      <c r="I164" s="25" t="s">
        <v>3165</v>
      </c>
      <c r="J164" s="8" t="s">
        <v>3166</v>
      </c>
      <c r="K164" s="8" t="s">
        <v>10042</v>
      </c>
      <c r="L164" s="15">
        <v>-0.64587000000000006</v>
      </c>
      <c r="M164" s="15">
        <v>5.2661399999999999E-3</v>
      </c>
      <c r="N164" s="15">
        <v>0.14416870925925929</v>
      </c>
    </row>
    <row r="165" spans="1:14" x14ac:dyDescent="0.2">
      <c r="A165" s="2" t="s">
        <v>10066</v>
      </c>
      <c r="B165" s="15">
        <v>673</v>
      </c>
      <c r="C165" s="15">
        <v>4</v>
      </c>
      <c r="D165" s="15">
        <v>79880102</v>
      </c>
      <c r="E165" s="15">
        <v>81206182</v>
      </c>
      <c r="F165" s="15">
        <v>3141</v>
      </c>
      <c r="G165" s="8" t="s">
        <v>12324</v>
      </c>
      <c r="H165" s="24" t="s">
        <v>6008</v>
      </c>
      <c r="I165" s="25" t="s">
        <v>6009</v>
      </c>
      <c r="J165" s="8" t="s">
        <v>6010</v>
      </c>
      <c r="K165" s="8" t="s">
        <v>10051</v>
      </c>
      <c r="L165" s="15">
        <v>0.82056399999999996</v>
      </c>
      <c r="M165" s="15">
        <v>5.4449600000000004E-3</v>
      </c>
      <c r="N165" s="15">
        <v>0.14814967852760741</v>
      </c>
    </row>
    <row r="166" spans="1:14" x14ac:dyDescent="0.2">
      <c r="A166" s="2" t="s">
        <v>10068</v>
      </c>
      <c r="B166" s="15">
        <v>1439</v>
      </c>
      <c r="C166" s="15">
        <v>9</v>
      </c>
      <c r="D166" s="15">
        <v>94175375</v>
      </c>
      <c r="E166" s="15">
        <v>94924482</v>
      </c>
      <c r="F166" s="15">
        <v>2493</v>
      </c>
      <c r="G166" s="8" t="s">
        <v>12324</v>
      </c>
      <c r="H166" s="24" t="s">
        <v>1259</v>
      </c>
      <c r="I166" s="25">
        <v>27096</v>
      </c>
      <c r="J166" s="8" t="s">
        <v>1261</v>
      </c>
      <c r="K166" s="8" t="s">
        <v>10040</v>
      </c>
      <c r="L166" s="15">
        <v>-1</v>
      </c>
      <c r="M166" s="15">
        <v>5.4843399999999999E-3</v>
      </c>
      <c r="N166" s="15">
        <v>0.1483112676829268</v>
      </c>
    </row>
    <row r="167" spans="1:14" x14ac:dyDescent="0.2">
      <c r="A167" s="2" t="s">
        <v>10068</v>
      </c>
      <c r="B167" s="15">
        <v>1358</v>
      </c>
      <c r="C167" s="15">
        <v>8</v>
      </c>
      <c r="D167" s="15">
        <v>133461552</v>
      </c>
      <c r="E167" s="15">
        <v>134509448</v>
      </c>
      <c r="F167" s="15">
        <v>2997</v>
      </c>
      <c r="G167" s="8" t="s">
        <v>12324</v>
      </c>
      <c r="H167" s="24" t="s">
        <v>494</v>
      </c>
      <c r="I167" s="25">
        <v>25920</v>
      </c>
      <c r="J167" s="8" t="s">
        <v>496</v>
      </c>
      <c r="K167" s="8" t="s">
        <v>10040</v>
      </c>
      <c r="L167" s="15">
        <v>0.52742699999999998</v>
      </c>
      <c r="M167" s="15">
        <v>5.5931000000000002E-3</v>
      </c>
      <c r="N167" s="15">
        <v>0.14998021174698789</v>
      </c>
    </row>
    <row r="168" spans="1:14" x14ac:dyDescent="0.2">
      <c r="A168" s="2" t="s">
        <v>10068</v>
      </c>
      <c r="B168" s="15">
        <v>1875</v>
      </c>
      <c r="C168" s="15">
        <v>13</v>
      </c>
      <c r="D168" s="15">
        <v>31433219</v>
      </c>
      <c r="E168" s="15">
        <v>32986686</v>
      </c>
      <c r="F168" s="15">
        <v>4078</v>
      </c>
      <c r="G168" s="8" t="s">
        <v>12324</v>
      </c>
      <c r="H168" s="24" t="s">
        <v>599</v>
      </c>
      <c r="I168" s="25">
        <v>26562</v>
      </c>
      <c r="J168" s="8" t="s">
        <v>601</v>
      </c>
      <c r="K168" s="8" t="s">
        <v>10040</v>
      </c>
      <c r="L168" s="15">
        <v>-0.822268</v>
      </c>
      <c r="M168" s="15">
        <v>5.6136900000000002E-3</v>
      </c>
      <c r="N168" s="15">
        <v>0.14998021174698789</v>
      </c>
    </row>
    <row r="169" spans="1:14" x14ac:dyDescent="0.2">
      <c r="A169" s="2" t="s">
        <v>10068</v>
      </c>
      <c r="B169" s="15">
        <v>907</v>
      </c>
      <c r="C169" s="15">
        <v>5</v>
      </c>
      <c r="D169" s="15">
        <v>157191082</v>
      </c>
      <c r="E169" s="15">
        <v>158484775</v>
      </c>
      <c r="F169" s="15">
        <v>3215</v>
      </c>
      <c r="G169" s="8" t="s">
        <v>12324</v>
      </c>
      <c r="H169" s="24" t="s">
        <v>494</v>
      </c>
      <c r="I169" s="25">
        <v>25920</v>
      </c>
      <c r="J169" s="8" t="s">
        <v>496</v>
      </c>
      <c r="K169" s="8" t="s">
        <v>10040</v>
      </c>
      <c r="L169" s="15">
        <v>1</v>
      </c>
      <c r="M169" s="15">
        <v>5.6938900000000001E-3</v>
      </c>
      <c r="N169" s="15">
        <v>0.1512119889221557</v>
      </c>
    </row>
    <row r="170" spans="1:14" x14ac:dyDescent="0.2">
      <c r="A170" s="2" t="s">
        <v>10066</v>
      </c>
      <c r="B170" s="15">
        <v>1133</v>
      </c>
      <c r="C170" s="15">
        <v>7</v>
      </c>
      <c r="D170" s="15">
        <v>35354136</v>
      </c>
      <c r="E170" s="15">
        <v>36507690</v>
      </c>
      <c r="F170" s="15">
        <v>3207</v>
      </c>
      <c r="G170" s="8" t="s">
        <v>12324</v>
      </c>
      <c r="H170" s="24" t="s">
        <v>3164</v>
      </c>
      <c r="I170" s="25" t="s">
        <v>3165</v>
      </c>
      <c r="J170" s="8" t="s">
        <v>3166</v>
      </c>
      <c r="K170" s="8" t="s">
        <v>10042</v>
      </c>
      <c r="L170" s="15">
        <v>0.56549700000000003</v>
      </c>
      <c r="M170" s="15">
        <v>5.8355400000000002E-3</v>
      </c>
      <c r="N170" s="15">
        <v>0.15405130892857141</v>
      </c>
    </row>
    <row r="171" spans="1:14" x14ac:dyDescent="0.2">
      <c r="A171" s="2" t="s">
        <v>10068</v>
      </c>
      <c r="B171" s="15">
        <v>1393</v>
      </c>
      <c r="C171" s="15">
        <v>9</v>
      </c>
      <c r="D171" s="15">
        <v>17392383</v>
      </c>
      <c r="E171" s="15">
        <v>17990565</v>
      </c>
      <c r="F171" s="15">
        <v>2069</v>
      </c>
      <c r="G171" s="8" t="s">
        <v>12324</v>
      </c>
      <c r="H171" s="24" t="s">
        <v>1259</v>
      </c>
      <c r="I171" s="25">
        <v>27096</v>
      </c>
      <c r="J171" s="8" t="s">
        <v>1261</v>
      </c>
      <c r="K171" s="8" t="s">
        <v>10040</v>
      </c>
      <c r="L171" s="15">
        <v>0.77710599999999996</v>
      </c>
      <c r="M171" s="15">
        <v>5.9849100000000004E-3</v>
      </c>
      <c r="N171" s="15">
        <v>0.1561357402941177</v>
      </c>
    </row>
    <row r="172" spans="1:14" x14ac:dyDescent="0.2">
      <c r="A172" s="2" t="s">
        <v>10068</v>
      </c>
      <c r="B172" s="15">
        <v>1194</v>
      </c>
      <c r="C172" s="15">
        <v>7</v>
      </c>
      <c r="D172" s="15">
        <v>109095559</v>
      </c>
      <c r="E172" s="15">
        <v>110479479</v>
      </c>
      <c r="F172" s="15">
        <v>3594</v>
      </c>
      <c r="G172" s="8" t="s">
        <v>12324</v>
      </c>
      <c r="H172" s="24" t="s">
        <v>6565</v>
      </c>
      <c r="I172" s="25" t="s">
        <v>6475</v>
      </c>
      <c r="J172" s="8" t="s">
        <v>6566</v>
      </c>
      <c r="K172" s="8" t="s">
        <v>10054</v>
      </c>
      <c r="L172" s="15">
        <v>0.63358999999999999</v>
      </c>
      <c r="M172" s="15">
        <v>5.9524799999999996E-3</v>
      </c>
      <c r="N172" s="15">
        <v>0.1561357402941177</v>
      </c>
    </row>
    <row r="173" spans="1:14" x14ac:dyDescent="0.2">
      <c r="A173" s="2" t="s">
        <v>10068</v>
      </c>
      <c r="B173" s="15">
        <v>179</v>
      </c>
      <c r="C173" s="15">
        <v>1</v>
      </c>
      <c r="D173" s="15">
        <v>230227248</v>
      </c>
      <c r="E173" s="15">
        <v>231287764</v>
      </c>
      <c r="F173" s="15">
        <v>3620</v>
      </c>
      <c r="G173" s="8" t="s">
        <v>12324</v>
      </c>
      <c r="H173" s="24" t="s">
        <v>494</v>
      </c>
      <c r="I173" s="25">
        <v>25920</v>
      </c>
      <c r="J173" s="8" t="s">
        <v>496</v>
      </c>
      <c r="K173" s="8" t="s">
        <v>10040</v>
      </c>
      <c r="L173" s="15">
        <v>-0.85714999999999997</v>
      </c>
      <c r="M173" s="15">
        <v>6.0781799999999999E-3</v>
      </c>
      <c r="N173" s="15">
        <v>0.15702200508021391</v>
      </c>
    </row>
    <row r="174" spans="1:14" x14ac:dyDescent="0.2">
      <c r="A174" s="2" t="s">
        <v>10068</v>
      </c>
      <c r="B174" s="15">
        <v>1958</v>
      </c>
      <c r="C174" s="15">
        <v>14</v>
      </c>
      <c r="D174" s="15">
        <v>23985937</v>
      </c>
      <c r="E174" s="15">
        <v>24906056</v>
      </c>
      <c r="F174" s="15">
        <v>2227</v>
      </c>
      <c r="G174" s="8" t="s">
        <v>12324</v>
      </c>
      <c r="H174" s="24" t="s">
        <v>494</v>
      </c>
      <c r="I174" s="25">
        <v>25920</v>
      </c>
      <c r="J174" s="8" t="s">
        <v>496</v>
      </c>
      <c r="K174" s="8" t="s">
        <v>10040</v>
      </c>
      <c r="L174" s="15">
        <v>-0.43503999999999998</v>
      </c>
      <c r="M174" s="15">
        <v>6.1072100000000001E-3</v>
      </c>
      <c r="N174" s="15">
        <v>0.15702200508021391</v>
      </c>
    </row>
    <row r="175" spans="1:14" x14ac:dyDescent="0.2">
      <c r="A175" s="2" t="s">
        <v>10068</v>
      </c>
      <c r="B175" s="15">
        <v>1359</v>
      </c>
      <c r="C175" s="15">
        <v>8</v>
      </c>
      <c r="D175" s="15">
        <v>134509449</v>
      </c>
      <c r="E175" s="15">
        <v>135313673</v>
      </c>
      <c r="F175" s="15">
        <v>2949</v>
      </c>
      <c r="G175" s="8" t="s">
        <v>12324</v>
      </c>
      <c r="H175" s="24" t="s">
        <v>494</v>
      </c>
      <c r="I175" s="25">
        <v>25920</v>
      </c>
      <c r="J175" s="8" t="s">
        <v>496</v>
      </c>
      <c r="K175" s="8" t="s">
        <v>10040</v>
      </c>
      <c r="L175" s="15">
        <v>-0.50749500000000003</v>
      </c>
      <c r="M175" s="15">
        <v>6.1486900000000001E-3</v>
      </c>
      <c r="N175" s="15">
        <v>0.15702200508021391</v>
      </c>
    </row>
    <row r="176" spans="1:14" x14ac:dyDescent="0.2">
      <c r="A176" s="2" t="s">
        <v>10068</v>
      </c>
      <c r="B176" s="15">
        <v>1264</v>
      </c>
      <c r="C176" s="15">
        <v>8</v>
      </c>
      <c r="D176" s="15">
        <v>19488889</v>
      </c>
      <c r="E176" s="15">
        <v>20135628</v>
      </c>
      <c r="F176" s="15">
        <v>2235</v>
      </c>
      <c r="G176" s="8" t="s">
        <v>12324</v>
      </c>
      <c r="H176" s="24" t="s">
        <v>494</v>
      </c>
      <c r="I176" s="25">
        <v>25920</v>
      </c>
      <c r="J176" s="8" t="s">
        <v>496</v>
      </c>
      <c r="K176" s="8" t="s">
        <v>10040</v>
      </c>
      <c r="L176" s="15">
        <v>-1</v>
      </c>
      <c r="M176" s="15">
        <v>6.2564200000000004E-3</v>
      </c>
      <c r="N176" s="15">
        <v>0.15702200508021391</v>
      </c>
    </row>
    <row r="177" spans="1:14" x14ac:dyDescent="0.2">
      <c r="A177" s="2" t="s">
        <v>10068</v>
      </c>
      <c r="B177" s="15">
        <v>932</v>
      </c>
      <c r="C177" s="15">
        <v>6</v>
      </c>
      <c r="D177" s="15">
        <v>6621938</v>
      </c>
      <c r="E177" s="15">
        <v>7808323</v>
      </c>
      <c r="F177" s="15">
        <v>3912</v>
      </c>
      <c r="G177" s="8" t="s">
        <v>12324</v>
      </c>
      <c r="H177" s="24" t="s">
        <v>494</v>
      </c>
      <c r="I177" s="25">
        <v>25920</v>
      </c>
      <c r="J177" s="8" t="s">
        <v>496</v>
      </c>
      <c r="K177" s="8" t="s">
        <v>10040</v>
      </c>
      <c r="L177" s="15">
        <v>-0.50110399999999999</v>
      </c>
      <c r="M177" s="15">
        <v>6.30468E-3</v>
      </c>
      <c r="N177" s="15">
        <v>0.15702200508021391</v>
      </c>
    </row>
    <row r="178" spans="1:14" x14ac:dyDescent="0.2">
      <c r="A178" s="2" t="s">
        <v>10068</v>
      </c>
      <c r="B178" s="15">
        <v>298</v>
      </c>
      <c r="C178" s="15">
        <v>2</v>
      </c>
      <c r="D178" s="15">
        <v>101556800</v>
      </c>
      <c r="E178" s="15">
        <v>102494487</v>
      </c>
      <c r="F178" s="15">
        <v>2201</v>
      </c>
      <c r="G178" s="8" t="s">
        <v>12324</v>
      </c>
      <c r="H178" s="24" t="s">
        <v>494</v>
      </c>
      <c r="I178" s="25">
        <v>25920</v>
      </c>
      <c r="J178" s="8" t="s">
        <v>496</v>
      </c>
      <c r="K178" s="8" t="s">
        <v>10040</v>
      </c>
      <c r="L178" s="15">
        <v>0.96592800000000001</v>
      </c>
      <c r="M178" s="15">
        <v>6.3366999999999998E-3</v>
      </c>
      <c r="N178" s="15">
        <v>0.15702200508021391</v>
      </c>
    </row>
    <row r="179" spans="1:14" x14ac:dyDescent="0.2">
      <c r="A179" s="2" t="s">
        <v>10068</v>
      </c>
      <c r="B179" s="15">
        <v>487</v>
      </c>
      <c r="C179" s="15">
        <v>3</v>
      </c>
      <c r="D179" s="15">
        <v>75374968</v>
      </c>
      <c r="E179" s="15">
        <v>76157470</v>
      </c>
      <c r="F179" s="15">
        <v>1358</v>
      </c>
      <c r="G179" s="8" t="s">
        <v>12324</v>
      </c>
      <c r="H179" s="24" t="s">
        <v>494</v>
      </c>
      <c r="I179" s="25">
        <v>25920</v>
      </c>
      <c r="J179" s="8" t="s">
        <v>496</v>
      </c>
      <c r="K179" s="8" t="s">
        <v>10040</v>
      </c>
      <c r="L179" s="15">
        <v>-0.486236</v>
      </c>
      <c r="M179" s="15">
        <v>6.4335399999999997E-3</v>
      </c>
      <c r="N179" s="15">
        <v>0.15702200508021391</v>
      </c>
    </row>
    <row r="180" spans="1:14" x14ac:dyDescent="0.2">
      <c r="A180" s="2" t="s">
        <v>10068</v>
      </c>
      <c r="B180" s="15">
        <v>310</v>
      </c>
      <c r="C180" s="15">
        <v>2</v>
      </c>
      <c r="D180" s="15">
        <v>117822517</v>
      </c>
      <c r="E180" s="15">
        <v>118663653</v>
      </c>
      <c r="F180" s="15">
        <v>2372</v>
      </c>
      <c r="G180" s="8" t="s">
        <v>12324</v>
      </c>
      <c r="H180" s="24" t="s">
        <v>494</v>
      </c>
      <c r="I180" s="25">
        <v>25920</v>
      </c>
      <c r="J180" s="8" t="s">
        <v>496</v>
      </c>
      <c r="K180" s="8" t="s">
        <v>10040</v>
      </c>
      <c r="L180" s="15">
        <v>0.72036500000000003</v>
      </c>
      <c r="M180" s="15">
        <v>6.5950100000000001E-3</v>
      </c>
      <c r="N180" s="15">
        <v>0.15702200508021391</v>
      </c>
    </row>
    <row r="181" spans="1:14" x14ac:dyDescent="0.2">
      <c r="A181" s="2" t="s">
        <v>10068</v>
      </c>
      <c r="B181" s="15">
        <v>1632</v>
      </c>
      <c r="C181" s="15">
        <v>11</v>
      </c>
      <c r="D181" s="15">
        <v>20686337</v>
      </c>
      <c r="E181" s="15">
        <v>21442722</v>
      </c>
      <c r="F181" s="15">
        <v>2292</v>
      </c>
      <c r="G181" s="8" t="s">
        <v>12324</v>
      </c>
      <c r="H181" s="24" t="s">
        <v>599</v>
      </c>
      <c r="I181" s="25">
        <v>26562</v>
      </c>
      <c r="J181" s="8" t="s">
        <v>601</v>
      </c>
      <c r="K181" s="8" t="s">
        <v>10040</v>
      </c>
      <c r="L181" s="15">
        <v>-0.545045</v>
      </c>
      <c r="M181" s="15">
        <v>6.2895800000000003E-3</v>
      </c>
      <c r="N181" s="15">
        <v>0.15702200508021391</v>
      </c>
    </row>
    <row r="182" spans="1:14" x14ac:dyDescent="0.2">
      <c r="A182" s="2" t="s">
        <v>10068</v>
      </c>
      <c r="B182" s="15">
        <v>1190</v>
      </c>
      <c r="C182" s="15">
        <v>7</v>
      </c>
      <c r="D182" s="15">
        <v>104109232</v>
      </c>
      <c r="E182" s="15">
        <v>105312563</v>
      </c>
      <c r="F182" s="15">
        <v>2581</v>
      </c>
      <c r="G182" s="8" t="s">
        <v>12324</v>
      </c>
      <c r="H182" s="24" t="s">
        <v>599</v>
      </c>
      <c r="I182" s="25">
        <v>26562</v>
      </c>
      <c r="J182" s="8" t="s">
        <v>601</v>
      </c>
      <c r="K182" s="8" t="s">
        <v>10040</v>
      </c>
      <c r="L182" s="15">
        <v>0.66337999999999997</v>
      </c>
      <c r="M182" s="15">
        <v>6.5032199999999997E-3</v>
      </c>
      <c r="N182" s="15">
        <v>0.15702200508021391</v>
      </c>
    </row>
    <row r="183" spans="1:14" x14ac:dyDescent="0.2">
      <c r="A183" s="2" t="s">
        <v>10068</v>
      </c>
      <c r="B183" s="15">
        <v>2431</v>
      </c>
      <c r="C183" s="15">
        <v>21</v>
      </c>
      <c r="D183" s="15">
        <v>15026793</v>
      </c>
      <c r="E183" s="15">
        <v>15840033</v>
      </c>
      <c r="F183" s="15">
        <v>2576</v>
      </c>
      <c r="G183" s="8" t="s">
        <v>12324</v>
      </c>
      <c r="H183" s="24" t="s">
        <v>1259</v>
      </c>
      <c r="I183" s="25">
        <v>27096</v>
      </c>
      <c r="J183" s="8" t="s">
        <v>1261</v>
      </c>
      <c r="K183" s="8" t="s">
        <v>10040</v>
      </c>
      <c r="L183" s="15">
        <v>-0.44068200000000002</v>
      </c>
      <c r="M183" s="15">
        <v>6.4524200000000004E-3</v>
      </c>
      <c r="N183" s="15">
        <v>0.15702200508021391</v>
      </c>
    </row>
    <row r="184" spans="1:14" x14ac:dyDescent="0.2">
      <c r="A184" s="2" t="s">
        <v>10068</v>
      </c>
      <c r="B184" s="15">
        <v>2370</v>
      </c>
      <c r="C184" s="15">
        <v>20</v>
      </c>
      <c r="D184" s="15">
        <v>884242</v>
      </c>
      <c r="E184" s="15">
        <v>1771285</v>
      </c>
      <c r="F184" s="15">
        <v>2583</v>
      </c>
      <c r="G184" s="8" t="s">
        <v>12324</v>
      </c>
      <c r="H184" s="24" t="s">
        <v>1259</v>
      </c>
      <c r="I184" s="25">
        <v>27096</v>
      </c>
      <c r="J184" s="8" t="s">
        <v>1261</v>
      </c>
      <c r="K184" s="8" t="s">
        <v>10040</v>
      </c>
      <c r="L184" s="15">
        <v>-0.48305700000000001</v>
      </c>
      <c r="M184" s="15">
        <v>6.6018800000000001E-3</v>
      </c>
      <c r="N184" s="15">
        <v>0.15702200508021391</v>
      </c>
    </row>
    <row r="185" spans="1:14" x14ac:dyDescent="0.2">
      <c r="A185" s="2" t="s">
        <v>10068</v>
      </c>
      <c r="B185" s="15">
        <v>1797</v>
      </c>
      <c r="C185" s="15">
        <v>12</v>
      </c>
      <c r="D185" s="15">
        <v>61737954</v>
      </c>
      <c r="E185" s="15">
        <v>63055936</v>
      </c>
      <c r="F185" s="15">
        <v>3249</v>
      </c>
      <c r="G185" s="8" t="s">
        <v>12324</v>
      </c>
      <c r="H185" s="24" t="s">
        <v>1259</v>
      </c>
      <c r="I185" s="25">
        <v>27096</v>
      </c>
      <c r="J185" s="8" t="s">
        <v>1261</v>
      </c>
      <c r="K185" s="8" t="s">
        <v>10040</v>
      </c>
      <c r="L185" s="15">
        <v>0.69286099999999995</v>
      </c>
      <c r="M185" s="15">
        <v>6.6207699999999998E-3</v>
      </c>
      <c r="N185" s="15">
        <v>0.15702200508021391</v>
      </c>
    </row>
    <row r="186" spans="1:14" x14ac:dyDescent="0.2">
      <c r="A186" s="2" t="s">
        <v>10066</v>
      </c>
      <c r="B186" s="15">
        <v>1807</v>
      </c>
      <c r="C186" s="15">
        <v>12</v>
      </c>
      <c r="D186" s="15">
        <v>71948186</v>
      </c>
      <c r="E186" s="15">
        <v>73154515</v>
      </c>
      <c r="F186" s="15">
        <v>2476</v>
      </c>
      <c r="G186" s="8" t="s">
        <v>12324</v>
      </c>
      <c r="H186" s="24" t="s">
        <v>3164</v>
      </c>
      <c r="I186" s="25" t="s">
        <v>3165</v>
      </c>
      <c r="J186" s="8" t="s">
        <v>3166</v>
      </c>
      <c r="K186" s="8" t="s">
        <v>10042</v>
      </c>
      <c r="L186" s="15">
        <v>0.96254399999999996</v>
      </c>
      <c r="M186" s="15">
        <v>6.59984E-3</v>
      </c>
      <c r="N186" s="15">
        <v>0.15702200508021391</v>
      </c>
    </row>
    <row r="187" spans="1:14" x14ac:dyDescent="0.2">
      <c r="A187" s="2" t="s">
        <v>10066</v>
      </c>
      <c r="B187" s="15">
        <v>1961</v>
      </c>
      <c r="C187" s="15">
        <v>14</v>
      </c>
      <c r="D187" s="15">
        <v>26395691</v>
      </c>
      <c r="E187" s="15">
        <v>27720240</v>
      </c>
      <c r="F187" s="15">
        <v>3044</v>
      </c>
      <c r="G187" s="8" t="s">
        <v>12324</v>
      </c>
      <c r="H187" s="24" t="s">
        <v>6008</v>
      </c>
      <c r="I187" s="25" t="s">
        <v>6009</v>
      </c>
      <c r="J187" s="8" t="s">
        <v>6010</v>
      </c>
      <c r="K187" s="8" t="s">
        <v>10051</v>
      </c>
      <c r="L187" s="15">
        <v>-0.62884600000000002</v>
      </c>
      <c r="M187" s="15">
        <v>6.48972E-3</v>
      </c>
      <c r="N187" s="15">
        <v>0.15702200508021391</v>
      </c>
    </row>
    <row r="188" spans="1:14" x14ac:dyDescent="0.2">
      <c r="A188" s="2" t="s">
        <v>10066</v>
      </c>
      <c r="B188" s="15">
        <v>2379</v>
      </c>
      <c r="C188" s="15">
        <v>20</v>
      </c>
      <c r="D188" s="15">
        <v>9279551</v>
      </c>
      <c r="E188" s="15">
        <v>10279603</v>
      </c>
      <c r="F188" s="15">
        <v>2700</v>
      </c>
      <c r="G188" s="8" t="s">
        <v>12324</v>
      </c>
      <c r="H188" s="24" t="s">
        <v>6008</v>
      </c>
      <c r="I188" s="25" t="s">
        <v>6009</v>
      </c>
      <c r="J188" s="8" t="s">
        <v>6010</v>
      </c>
      <c r="K188" s="8" t="s">
        <v>10051</v>
      </c>
      <c r="L188" s="15">
        <v>0.55681999999999998</v>
      </c>
      <c r="M188" s="15">
        <v>6.6117399999999996E-3</v>
      </c>
      <c r="N188" s="15">
        <v>0.15702200508021391</v>
      </c>
    </row>
    <row r="189" spans="1:14" x14ac:dyDescent="0.2">
      <c r="A189" s="2" t="s">
        <v>10068</v>
      </c>
      <c r="B189" s="15">
        <v>2346</v>
      </c>
      <c r="C189" s="15">
        <v>19</v>
      </c>
      <c r="D189" s="15">
        <v>40171414</v>
      </c>
      <c r="E189" s="15">
        <v>41004105</v>
      </c>
      <c r="F189" s="15">
        <v>2104</v>
      </c>
      <c r="G189" s="8" t="s">
        <v>12324</v>
      </c>
      <c r="H189" s="24" t="s">
        <v>6565</v>
      </c>
      <c r="I189" s="25" t="s">
        <v>6475</v>
      </c>
      <c r="J189" s="8" t="s">
        <v>6566</v>
      </c>
      <c r="K189" s="8" t="s">
        <v>10054</v>
      </c>
      <c r="L189" s="15">
        <v>0.55858399999999997</v>
      </c>
      <c r="M189" s="15">
        <v>6.4316099999999999E-3</v>
      </c>
      <c r="N189" s="15">
        <v>0.15702200508021391</v>
      </c>
    </row>
    <row r="190" spans="1:14" x14ac:dyDescent="0.2">
      <c r="A190" s="2" t="s">
        <v>10069</v>
      </c>
      <c r="B190" s="15">
        <v>1865</v>
      </c>
      <c r="C190" s="15">
        <v>13</v>
      </c>
      <c r="D190" s="15">
        <v>20491182</v>
      </c>
      <c r="E190" s="15">
        <v>21540733</v>
      </c>
      <c r="F190" s="15">
        <v>2011</v>
      </c>
      <c r="G190" s="8" t="s">
        <v>12324</v>
      </c>
      <c r="H190" s="24" t="s">
        <v>662</v>
      </c>
      <c r="I190" s="25" t="s">
        <v>663</v>
      </c>
      <c r="J190" s="8" t="s">
        <v>664</v>
      </c>
      <c r="K190" s="8" t="s">
        <v>10040</v>
      </c>
      <c r="L190" s="15">
        <v>-0.78626099999999999</v>
      </c>
      <c r="M190" s="15">
        <v>6.7353200000000004E-3</v>
      </c>
      <c r="N190" s="15">
        <v>0.15888906489361701</v>
      </c>
    </row>
    <row r="191" spans="1:14" x14ac:dyDescent="0.2">
      <c r="A191" s="2" t="s">
        <v>10068</v>
      </c>
      <c r="B191" s="15">
        <v>1803</v>
      </c>
      <c r="C191" s="15">
        <v>12</v>
      </c>
      <c r="D191" s="15">
        <v>68006683</v>
      </c>
      <c r="E191" s="15">
        <v>68839661</v>
      </c>
      <c r="F191" s="15">
        <v>2184</v>
      </c>
      <c r="G191" s="8" t="s">
        <v>12324</v>
      </c>
      <c r="H191" s="24" t="s">
        <v>494</v>
      </c>
      <c r="I191" s="25">
        <v>25920</v>
      </c>
      <c r="J191" s="8" t="s">
        <v>496</v>
      </c>
      <c r="K191" s="8" t="s">
        <v>10040</v>
      </c>
      <c r="L191" s="15">
        <v>-0.54465699999999995</v>
      </c>
      <c r="M191" s="15">
        <v>6.8000200000000004E-3</v>
      </c>
      <c r="N191" s="15">
        <v>0.15924883854166669</v>
      </c>
    </row>
    <row r="192" spans="1:14" x14ac:dyDescent="0.2">
      <c r="A192" s="2" t="s">
        <v>10069</v>
      </c>
      <c r="B192" s="15">
        <v>2408</v>
      </c>
      <c r="C192" s="15">
        <v>20</v>
      </c>
      <c r="D192" s="15">
        <v>44072211</v>
      </c>
      <c r="E192" s="15">
        <v>45673603</v>
      </c>
      <c r="F192" s="15">
        <v>2571</v>
      </c>
      <c r="G192" s="8" t="s">
        <v>12324</v>
      </c>
      <c r="H192" s="24" t="s">
        <v>662</v>
      </c>
      <c r="I192" s="25" t="s">
        <v>663</v>
      </c>
      <c r="J192" s="8" t="s">
        <v>664</v>
      </c>
      <c r="K192" s="8" t="s">
        <v>10040</v>
      </c>
      <c r="L192" s="15">
        <v>-0.68918199999999996</v>
      </c>
      <c r="M192" s="15">
        <v>6.8405599999999999E-3</v>
      </c>
      <c r="N192" s="15">
        <v>0.15924883854166669</v>
      </c>
    </row>
    <row r="193" spans="1:14" x14ac:dyDescent="0.2">
      <c r="A193" s="2" t="s">
        <v>10068</v>
      </c>
      <c r="B193" s="15">
        <v>2447</v>
      </c>
      <c r="C193" s="15">
        <v>21</v>
      </c>
      <c r="D193" s="15">
        <v>32202240</v>
      </c>
      <c r="E193" s="15">
        <v>33270272</v>
      </c>
      <c r="F193" s="15">
        <v>2913</v>
      </c>
      <c r="G193" s="8" t="s">
        <v>12324</v>
      </c>
      <c r="H193" s="24" t="s">
        <v>1259</v>
      </c>
      <c r="I193" s="25">
        <v>27096</v>
      </c>
      <c r="J193" s="8" t="s">
        <v>1261</v>
      </c>
      <c r="K193" s="8" t="s">
        <v>10040</v>
      </c>
      <c r="L193" s="15">
        <v>0.40804699999999999</v>
      </c>
      <c r="M193" s="15">
        <v>6.8941999999999996E-3</v>
      </c>
      <c r="N193" s="15">
        <v>0.15924883854166669</v>
      </c>
    </row>
    <row r="194" spans="1:14" x14ac:dyDescent="0.2">
      <c r="A194" s="2" t="s">
        <v>10068</v>
      </c>
      <c r="B194" s="15">
        <v>2245</v>
      </c>
      <c r="C194" s="15">
        <v>18</v>
      </c>
      <c r="D194" s="15">
        <v>6756497</v>
      </c>
      <c r="E194" s="15">
        <v>7862479</v>
      </c>
      <c r="F194" s="15">
        <v>3072</v>
      </c>
      <c r="G194" s="8" t="s">
        <v>12324</v>
      </c>
      <c r="H194" s="24" t="s">
        <v>6565</v>
      </c>
      <c r="I194" s="25" t="s">
        <v>6475</v>
      </c>
      <c r="J194" s="8" t="s">
        <v>6566</v>
      </c>
      <c r="K194" s="8" t="s">
        <v>10054</v>
      </c>
      <c r="L194" s="15">
        <v>-0.471833</v>
      </c>
      <c r="M194" s="15">
        <v>6.8771099999999996E-3</v>
      </c>
      <c r="N194" s="15">
        <v>0.15924883854166669</v>
      </c>
    </row>
    <row r="195" spans="1:14" x14ac:dyDescent="0.2">
      <c r="A195" s="2" t="s">
        <v>10068</v>
      </c>
      <c r="B195" s="15">
        <v>2197</v>
      </c>
      <c r="C195" s="15">
        <v>17</v>
      </c>
      <c r="D195" s="15">
        <v>29783142</v>
      </c>
      <c r="E195" s="15">
        <v>31318753</v>
      </c>
      <c r="F195" s="15">
        <v>3428</v>
      </c>
      <c r="G195" s="8" t="s">
        <v>12324</v>
      </c>
      <c r="H195" s="24" t="s">
        <v>1259</v>
      </c>
      <c r="I195" s="25">
        <v>27096</v>
      </c>
      <c r="J195" s="8" t="s">
        <v>1261</v>
      </c>
      <c r="K195" s="8" t="s">
        <v>10040</v>
      </c>
      <c r="L195" s="15">
        <v>-0.620614</v>
      </c>
      <c r="M195" s="15">
        <v>7.0182700000000001E-3</v>
      </c>
      <c r="N195" s="15">
        <v>0.1599838687179487</v>
      </c>
    </row>
    <row r="196" spans="1:14" x14ac:dyDescent="0.2">
      <c r="A196" s="2" t="s">
        <v>10068</v>
      </c>
      <c r="B196" s="15">
        <v>222</v>
      </c>
      <c r="C196" s="15">
        <v>2</v>
      </c>
      <c r="D196" s="15">
        <v>17241116</v>
      </c>
      <c r="E196" s="15">
        <v>18656325</v>
      </c>
      <c r="F196" s="15">
        <v>4147</v>
      </c>
      <c r="G196" s="8" t="s">
        <v>12324</v>
      </c>
      <c r="H196" s="24" t="s">
        <v>6565</v>
      </c>
      <c r="I196" s="25" t="s">
        <v>6475</v>
      </c>
      <c r="J196" s="8" t="s">
        <v>6566</v>
      </c>
      <c r="K196" s="8" t="s">
        <v>10054</v>
      </c>
      <c r="L196" s="15">
        <v>0.857155</v>
      </c>
      <c r="M196" s="15">
        <v>6.9914E-3</v>
      </c>
      <c r="N196" s="15">
        <v>0.1599838687179487</v>
      </c>
    </row>
    <row r="197" spans="1:14" x14ac:dyDescent="0.2">
      <c r="A197" s="2" t="s">
        <v>10068</v>
      </c>
      <c r="B197" s="15">
        <v>1424</v>
      </c>
      <c r="C197" s="15">
        <v>9</v>
      </c>
      <c r="D197" s="15">
        <v>78630916</v>
      </c>
      <c r="E197" s="15">
        <v>79451035</v>
      </c>
      <c r="F197" s="15">
        <v>2481</v>
      </c>
      <c r="G197" s="8" t="s">
        <v>12324</v>
      </c>
      <c r="H197" s="24" t="s">
        <v>6565</v>
      </c>
      <c r="I197" s="25" t="s">
        <v>6475</v>
      </c>
      <c r="J197" s="8" t="s">
        <v>6566</v>
      </c>
      <c r="K197" s="8" t="s">
        <v>10054</v>
      </c>
      <c r="L197" s="15">
        <v>0.93248900000000001</v>
      </c>
      <c r="M197" s="15">
        <v>7.0342399999999998E-3</v>
      </c>
      <c r="N197" s="15">
        <v>0.1599838687179487</v>
      </c>
    </row>
    <row r="198" spans="1:14" x14ac:dyDescent="0.2">
      <c r="A198" s="2" t="s">
        <v>10068</v>
      </c>
      <c r="B198" s="15">
        <v>590</v>
      </c>
      <c r="C198" s="15">
        <v>3</v>
      </c>
      <c r="D198" s="15">
        <v>193122091</v>
      </c>
      <c r="E198" s="15">
        <v>194217140</v>
      </c>
      <c r="F198" s="15">
        <v>3265</v>
      </c>
      <c r="G198" s="8" t="s">
        <v>12324</v>
      </c>
      <c r="H198" s="24" t="s">
        <v>494</v>
      </c>
      <c r="I198" s="25">
        <v>25920</v>
      </c>
      <c r="J198" s="8" t="s">
        <v>496</v>
      </c>
      <c r="K198" s="8" t="s">
        <v>10040</v>
      </c>
      <c r="L198" s="15">
        <v>-0.65765799999999996</v>
      </c>
      <c r="M198" s="15">
        <v>7.1228400000000001E-3</v>
      </c>
      <c r="N198" s="15">
        <v>0.16109915750000001</v>
      </c>
    </row>
    <row r="199" spans="1:14" x14ac:dyDescent="0.2">
      <c r="A199" s="2" t="s">
        <v>10068</v>
      </c>
      <c r="B199" s="15">
        <v>184</v>
      </c>
      <c r="C199" s="15">
        <v>1</v>
      </c>
      <c r="D199" s="15">
        <v>234365797</v>
      </c>
      <c r="E199" s="15">
        <v>235097113</v>
      </c>
      <c r="F199" s="15">
        <v>2254</v>
      </c>
      <c r="G199" s="8" t="s">
        <v>12324</v>
      </c>
      <c r="H199" s="24" t="s">
        <v>494</v>
      </c>
      <c r="I199" s="25">
        <v>25920</v>
      </c>
      <c r="J199" s="8" t="s">
        <v>496</v>
      </c>
      <c r="K199" s="8" t="s">
        <v>10040</v>
      </c>
      <c r="L199" s="15">
        <v>-0.56083499999999997</v>
      </c>
      <c r="M199" s="15">
        <v>7.2531999999999996E-3</v>
      </c>
      <c r="N199" s="15">
        <v>0.16109915750000001</v>
      </c>
    </row>
    <row r="200" spans="1:14" x14ac:dyDescent="0.2">
      <c r="A200" s="2" t="s">
        <v>10068</v>
      </c>
      <c r="B200" s="15">
        <v>1438</v>
      </c>
      <c r="C200" s="15">
        <v>9</v>
      </c>
      <c r="D200" s="15">
        <v>93441051</v>
      </c>
      <c r="E200" s="15">
        <v>94175374</v>
      </c>
      <c r="F200" s="15">
        <v>2260</v>
      </c>
      <c r="G200" s="8" t="s">
        <v>12324</v>
      </c>
      <c r="H200" s="24" t="s">
        <v>1259</v>
      </c>
      <c r="I200" s="25">
        <v>27096</v>
      </c>
      <c r="J200" s="8" t="s">
        <v>1261</v>
      </c>
      <c r="K200" s="8" t="s">
        <v>10040</v>
      </c>
      <c r="L200" s="15">
        <v>-0.70277400000000001</v>
      </c>
      <c r="M200" s="15">
        <v>7.2268000000000002E-3</v>
      </c>
      <c r="N200" s="15">
        <v>0.16109915750000001</v>
      </c>
    </row>
    <row r="201" spans="1:14" x14ac:dyDescent="0.2">
      <c r="A201" s="2" t="s">
        <v>10066</v>
      </c>
      <c r="B201" s="15">
        <v>2391</v>
      </c>
      <c r="C201" s="15">
        <v>20</v>
      </c>
      <c r="D201" s="15">
        <v>19957929</v>
      </c>
      <c r="E201" s="15">
        <v>21682377</v>
      </c>
      <c r="F201" s="15">
        <v>3360</v>
      </c>
      <c r="G201" s="8" t="s">
        <v>12324</v>
      </c>
      <c r="H201" s="24" t="s">
        <v>3164</v>
      </c>
      <c r="I201" s="25" t="s">
        <v>3165</v>
      </c>
      <c r="J201" s="8" t="s">
        <v>3166</v>
      </c>
      <c r="K201" s="8" t="s">
        <v>10042</v>
      </c>
      <c r="L201" s="15">
        <v>1</v>
      </c>
      <c r="M201" s="15">
        <v>7.2284699999999999E-3</v>
      </c>
      <c r="N201" s="15">
        <v>0.16109915750000001</v>
      </c>
    </row>
    <row r="202" spans="1:14" x14ac:dyDescent="0.2">
      <c r="A202" s="2" t="s">
        <v>10066</v>
      </c>
      <c r="B202" s="15">
        <v>2199</v>
      </c>
      <c r="C202" s="15">
        <v>17</v>
      </c>
      <c r="D202" s="15">
        <v>32356062</v>
      </c>
      <c r="E202" s="15">
        <v>33614189</v>
      </c>
      <c r="F202" s="15">
        <v>3178</v>
      </c>
      <c r="G202" s="8" t="s">
        <v>12324</v>
      </c>
      <c r="H202" s="24" t="s">
        <v>3164</v>
      </c>
      <c r="I202" s="25" t="s">
        <v>3165</v>
      </c>
      <c r="J202" s="8" t="s">
        <v>3166</v>
      </c>
      <c r="K202" s="8" t="s">
        <v>10042</v>
      </c>
      <c r="L202" s="15">
        <v>0.75522100000000003</v>
      </c>
      <c r="M202" s="15">
        <v>7.2649000000000004E-3</v>
      </c>
      <c r="N202" s="15">
        <v>0.16109915750000001</v>
      </c>
    </row>
    <row r="203" spans="1:14" x14ac:dyDescent="0.2">
      <c r="A203" s="2" t="s">
        <v>10068</v>
      </c>
      <c r="B203" s="15">
        <v>1121</v>
      </c>
      <c r="C203" s="15">
        <v>7</v>
      </c>
      <c r="D203" s="15">
        <v>22165061</v>
      </c>
      <c r="E203" s="15">
        <v>23106680</v>
      </c>
      <c r="F203" s="15">
        <v>2750</v>
      </c>
      <c r="G203" s="8" t="s">
        <v>12324</v>
      </c>
      <c r="H203" s="24" t="s">
        <v>494</v>
      </c>
      <c r="I203" s="25">
        <v>25920</v>
      </c>
      <c r="J203" s="8" t="s">
        <v>496</v>
      </c>
      <c r="K203" s="8" t="s">
        <v>10040</v>
      </c>
      <c r="L203" s="15">
        <v>-0.50262600000000002</v>
      </c>
      <c r="M203" s="15">
        <v>7.44855E-3</v>
      </c>
      <c r="N203" s="15">
        <v>0.16434984701492539</v>
      </c>
    </row>
    <row r="204" spans="1:14" x14ac:dyDescent="0.2">
      <c r="A204" s="2" t="s">
        <v>10068</v>
      </c>
      <c r="B204" s="15">
        <v>471</v>
      </c>
      <c r="C204" s="15">
        <v>3</v>
      </c>
      <c r="D204" s="15">
        <v>58557719</v>
      </c>
      <c r="E204" s="15">
        <v>59998583</v>
      </c>
      <c r="F204" s="15">
        <v>3731</v>
      </c>
      <c r="G204" s="8" t="s">
        <v>12324</v>
      </c>
      <c r="H204" s="24" t="s">
        <v>1259</v>
      </c>
      <c r="I204" s="25">
        <v>27096</v>
      </c>
      <c r="J204" s="8" t="s">
        <v>1261</v>
      </c>
      <c r="K204" s="8" t="s">
        <v>10040</v>
      </c>
      <c r="L204" s="15">
        <v>-0.70773299999999995</v>
      </c>
      <c r="M204" s="15">
        <v>7.6072900000000001E-3</v>
      </c>
      <c r="N204" s="15">
        <v>0.1666830300492611</v>
      </c>
    </row>
    <row r="205" spans="1:14" x14ac:dyDescent="0.2">
      <c r="A205" s="2" t="s">
        <v>10068</v>
      </c>
      <c r="B205" s="15">
        <v>61</v>
      </c>
      <c r="C205" s="15">
        <v>1</v>
      </c>
      <c r="D205" s="15">
        <v>70992906</v>
      </c>
      <c r="E205" s="15">
        <v>72513119</v>
      </c>
      <c r="F205" s="15">
        <v>3117</v>
      </c>
      <c r="G205" s="8" t="s">
        <v>12324</v>
      </c>
      <c r="H205" s="24" t="s">
        <v>6565</v>
      </c>
      <c r="I205" s="25" t="s">
        <v>6475</v>
      </c>
      <c r="J205" s="8" t="s">
        <v>6566</v>
      </c>
      <c r="K205" s="8" t="s">
        <v>10054</v>
      </c>
      <c r="L205" s="15">
        <v>0.69185300000000005</v>
      </c>
      <c r="M205" s="15">
        <v>7.6294600000000002E-3</v>
      </c>
      <c r="N205" s="15">
        <v>0.1666830300492611</v>
      </c>
    </row>
    <row r="206" spans="1:14" x14ac:dyDescent="0.2">
      <c r="A206" s="2" t="s">
        <v>10066</v>
      </c>
      <c r="B206" s="15">
        <v>880</v>
      </c>
      <c r="C206" s="15">
        <v>5</v>
      </c>
      <c r="D206" s="15">
        <v>123191942</v>
      </c>
      <c r="E206" s="15">
        <v>124109485</v>
      </c>
      <c r="F206" s="15">
        <v>2326</v>
      </c>
      <c r="G206" s="8" t="s">
        <v>12324</v>
      </c>
      <c r="H206" s="24" t="s">
        <v>3164</v>
      </c>
      <c r="I206" s="25" t="s">
        <v>3165</v>
      </c>
      <c r="J206" s="8" t="s">
        <v>3166</v>
      </c>
      <c r="K206" s="8" t="s">
        <v>10042</v>
      </c>
      <c r="L206" s="15">
        <v>0.77780899999999997</v>
      </c>
      <c r="M206" s="15">
        <v>7.7239800000000001E-3</v>
      </c>
      <c r="N206" s="15">
        <v>0.16792083970588231</v>
      </c>
    </row>
    <row r="207" spans="1:14" x14ac:dyDescent="0.2">
      <c r="A207" s="2" t="s">
        <v>10066</v>
      </c>
      <c r="B207" s="15">
        <v>2339</v>
      </c>
      <c r="C207" s="15">
        <v>19</v>
      </c>
      <c r="D207" s="15">
        <v>33028100</v>
      </c>
      <c r="E207" s="15">
        <v>33785835</v>
      </c>
      <c r="F207" s="15">
        <v>2503</v>
      </c>
      <c r="G207" s="8" t="s">
        <v>12324</v>
      </c>
      <c r="H207" s="24" t="s">
        <v>6008</v>
      </c>
      <c r="I207" s="25" t="s">
        <v>6009</v>
      </c>
      <c r="J207" s="8" t="s">
        <v>6010</v>
      </c>
      <c r="K207" s="8" t="s">
        <v>10051</v>
      </c>
      <c r="L207" s="15">
        <v>0.71450199999999997</v>
      </c>
      <c r="M207" s="15">
        <v>7.8996199999999996E-3</v>
      </c>
      <c r="N207" s="15">
        <v>0.17090153512195119</v>
      </c>
    </row>
    <row r="208" spans="1:14" x14ac:dyDescent="0.2">
      <c r="A208" s="2" t="s">
        <v>10069</v>
      </c>
      <c r="B208" s="15">
        <v>769</v>
      </c>
      <c r="C208" s="15">
        <v>4</v>
      </c>
      <c r="D208" s="15">
        <v>185483263</v>
      </c>
      <c r="E208" s="15">
        <v>186232882</v>
      </c>
      <c r="F208" s="15">
        <v>1849</v>
      </c>
      <c r="G208" s="8" t="s">
        <v>12324</v>
      </c>
      <c r="H208" s="24" t="s">
        <v>662</v>
      </c>
      <c r="I208" s="25" t="s">
        <v>663</v>
      </c>
      <c r="J208" s="8" t="s">
        <v>664</v>
      </c>
      <c r="K208" s="8" t="s">
        <v>10040</v>
      </c>
      <c r="L208" s="15">
        <v>-1</v>
      </c>
      <c r="M208" s="15">
        <v>8.0274500000000002E-3</v>
      </c>
      <c r="N208" s="15">
        <v>0.17198908574879229</v>
      </c>
    </row>
    <row r="209" spans="1:14" x14ac:dyDescent="0.2">
      <c r="A209" s="2" t="s">
        <v>10066</v>
      </c>
      <c r="B209" s="15">
        <v>275</v>
      </c>
      <c r="C209" s="15">
        <v>2</v>
      </c>
      <c r="D209" s="15">
        <v>68877775</v>
      </c>
      <c r="E209" s="15">
        <v>70756283</v>
      </c>
      <c r="F209" s="15">
        <v>4058</v>
      </c>
      <c r="G209" s="8" t="s">
        <v>12324</v>
      </c>
      <c r="H209" s="24" t="s">
        <v>6008</v>
      </c>
      <c r="I209" s="25" t="s">
        <v>6009</v>
      </c>
      <c r="J209" s="8" t="s">
        <v>6010</v>
      </c>
      <c r="K209" s="8" t="s">
        <v>10051</v>
      </c>
      <c r="L209" s="15">
        <v>-0.64130500000000001</v>
      </c>
      <c r="M209" s="15">
        <v>8.0066300000000007E-3</v>
      </c>
      <c r="N209" s="15">
        <v>0.17198908574879229</v>
      </c>
    </row>
    <row r="210" spans="1:14" x14ac:dyDescent="0.2">
      <c r="A210" s="2" t="s">
        <v>10068</v>
      </c>
      <c r="B210" s="15">
        <v>11</v>
      </c>
      <c r="C210" s="15">
        <v>1</v>
      </c>
      <c r="D210" s="15">
        <v>8580988</v>
      </c>
      <c r="E210" s="15">
        <v>9475966</v>
      </c>
      <c r="F210" s="15">
        <v>2168</v>
      </c>
      <c r="G210" s="8" t="s">
        <v>12324</v>
      </c>
      <c r="H210" s="24" t="s">
        <v>494</v>
      </c>
      <c r="I210" s="25">
        <v>25920</v>
      </c>
      <c r="J210" s="8" t="s">
        <v>496</v>
      </c>
      <c r="K210" s="8" t="s">
        <v>10040</v>
      </c>
      <c r="L210" s="15">
        <v>0.521007</v>
      </c>
      <c r="M210" s="15">
        <v>8.1107000000000002E-3</v>
      </c>
      <c r="N210" s="15">
        <v>0.17293728124999999</v>
      </c>
    </row>
    <row r="211" spans="1:14" x14ac:dyDescent="0.2">
      <c r="A211" s="2" t="s">
        <v>10068</v>
      </c>
      <c r="B211" s="15">
        <v>1469</v>
      </c>
      <c r="C211" s="15">
        <v>9</v>
      </c>
      <c r="D211" s="15">
        <v>125137579</v>
      </c>
      <c r="E211" s="15">
        <v>126092931</v>
      </c>
      <c r="F211" s="15">
        <v>2150</v>
      </c>
      <c r="G211" s="8" t="s">
        <v>12324</v>
      </c>
      <c r="H211" s="24" t="s">
        <v>494</v>
      </c>
      <c r="I211" s="25">
        <v>25920</v>
      </c>
      <c r="J211" s="8" t="s">
        <v>496</v>
      </c>
      <c r="K211" s="8" t="s">
        <v>10040</v>
      </c>
      <c r="L211" s="15">
        <v>-0.76416899999999999</v>
      </c>
      <c r="M211" s="15">
        <v>8.1800899999999992E-3</v>
      </c>
      <c r="N211" s="15">
        <v>0.17328896619047621</v>
      </c>
    </row>
    <row r="212" spans="1:14" x14ac:dyDescent="0.2">
      <c r="A212" s="2" t="s">
        <v>10068</v>
      </c>
      <c r="B212" s="15">
        <v>1657</v>
      </c>
      <c r="C212" s="15">
        <v>11</v>
      </c>
      <c r="D212" s="15">
        <v>45019560</v>
      </c>
      <c r="E212" s="15">
        <v>46316005</v>
      </c>
      <c r="F212" s="15">
        <v>2889</v>
      </c>
      <c r="G212" s="8" t="s">
        <v>12324</v>
      </c>
      <c r="H212" s="24" t="s">
        <v>1259</v>
      </c>
      <c r="I212" s="25">
        <v>27096</v>
      </c>
      <c r="J212" s="8" t="s">
        <v>1261</v>
      </c>
      <c r="K212" s="8" t="s">
        <v>10040</v>
      </c>
      <c r="L212" s="15">
        <v>0.57735099999999995</v>
      </c>
      <c r="M212" s="15">
        <v>8.2053400000000002E-3</v>
      </c>
      <c r="N212" s="15">
        <v>0.17328896619047621</v>
      </c>
    </row>
    <row r="213" spans="1:14" x14ac:dyDescent="0.2">
      <c r="A213" s="2" t="s">
        <v>10068</v>
      </c>
      <c r="B213" s="15">
        <v>1029</v>
      </c>
      <c r="C213" s="15">
        <v>6</v>
      </c>
      <c r="D213" s="15">
        <v>98173004</v>
      </c>
      <c r="E213" s="15">
        <v>99678876</v>
      </c>
      <c r="F213" s="15">
        <v>2943</v>
      </c>
      <c r="G213" s="8" t="s">
        <v>12324</v>
      </c>
      <c r="H213" s="24" t="s">
        <v>6565</v>
      </c>
      <c r="I213" s="25" t="s">
        <v>6475</v>
      </c>
      <c r="J213" s="8" t="s">
        <v>6566</v>
      </c>
      <c r="K213" s="8" t="s">
        <v>10054</v>
      </c>
      <c r="L213" s="15">
        <v>0.54312400000000005</v>
      </c>
      <c r="M213" s="15">
        <v>8.2698100000000007E-3</v>
      </c>
      <c r="N213" s="15">
        <v>0.1738227836492891</v>
      </c>
    </row>
    <row r="214" spans="1:14" x14ac:dyDescent="0.2">
      <c r="A214" s="2" t="s">
        <v>10068</v>
      </c>
      <c r="B214" s="15">
        <v>1962</v>
      </c>
      <c r="C214" s="15">
        <v>14</v>
      </c>
      <c r="D214" s="15">
        <v>27720241</v>
      </c>
      <c r="E214" s="15">
        <v>29029224</v>
      </c>
      <c r="F214" s="15">
        <v>3855</v>
      </c>
      <c r="G214" s="8" t="s">
        <v>12324</v>
      </c>
      <c r="H214" s="24" t="s">
        <v>1259</v>
      </c>
      <c r="I214" s="25">
        <v>27096</v>
      </c>
      <c r="J214" s="8" t="s">
        <v>1261</v>
      </c>
      <c r="K214" s="8" t="s">
        <v>10040</v>
      </c>
      <c r="L214" s="15">
        <v>-0.74759500000000001</v>
      </c>
      <c r="M214" s="15">
        <v>8.4060100000000002E-3</v>
      </c>
      <c r="N214" s="15">
        <v>0.174062198372093</v>
      </c>
    </row>
    <row r="215" spans="1:14" x14ac:dyDescent="0.2">
      <c r="A215" s="2" t="s">
        <v>10066</v>
      </c>
      <c r="B215" s="15">
        <v>1228</v>
      </c>
      <c r="C215" s="15">
        <v>7</v>
      </c>
      <c r="D215" s="15">
        <v>155280611</v>
      </c>
      <c r="E215" s="15">
        <v>156344386</v>
      </c>
      <c r="F215" s="15">
        <v>3592</v>
      </c>
      <c r="G215" s="8" t="s">
        <v>12324</v>
      </c>
      <c r="H215" s="24" t="s">
        <v>3164</v>
      </c>
      <c r="I215" s="25" t="s">
        <v>3165</v>
      </c>
      <c r="J215" s="8" t="s">
        <v>3166</v>
      </c>
      <c r="K215" s="8" t="s">
        <v>10042</v>
      </c>
      <c r="L215" s="15">
        <v>-0.52846000000000004</v>
      </c>
      <c r="M215" s="15">
        <v>8.3797200000000002E-3</v>
      </c>
      <c r="N215" s="15">
        <v>0.174062198372093</v>
      </c>
    </row>
    <row r="216" spans="1:14" x14ac:dyDescent="0.2">
      <c r="A216" s="2" t="s">
        <v>10066</v>
      </c>
      <c r="B216" s="15">
        <v>1940</v>
      </c>
      <c r="C216" s="15">
        <v>13</v>
      </c>
      <c r="D216" s="15">
        <v>101573737</v>
      </c>
      <c r="E216" s="15">
        <v>103050417</v>
      </c>
      <c r="F216" s="15">
        <v>4111</v>
      </c>
      <c r="G216" s="8" t="s">
        <v>12324</v>
      </c>
      <c r="H216" s="24" t="s">
        <v>3164</v>
      </c>
      <c r="I216" s="25" t="s">
        <v>3165</v>
      </c>
      <c r="J216" s="8" t="s">
        <v>3166</v>
      </c>
      <c r="K216" s="8" t="s">
        <v>10042</v>
      </c>
      <c r="L216" s="15">
        <v>0.60207900000000003</v>
      </c>
      <c r="M216" s="15">
        <v>8.40693E-3</v>
      </c>
      <c r="N216" s="15">
        <v>0.174062198372093</v>
      </c>
    </row>
    <row r="217" spans="1:14" x14ac:dyDescent="0.2">
      <c r="A217" s="2" t="s">
        <v>10066</v>
      </c>
      <c r="B217" s="15">
        <v>1209</v>
      </c>
      <c r="C217" s="15">
        <v>7</v>
      </c>
      <c r="D217" s="15">
        <v>130418705</v>
      </c>
      <c r="E217" s="15">
        <v>131856481</v>
      </c>
      <c r="F217" s="15">
        <v>3647</v>
      </c>
      <c r="G217" s="8" t="s">
        <v>12324</v>
      </c>
      <c r="H217" s="24" t="s">
        <v>6008</v>
      </c>
      <c r="I217" s="25" t="s">
        <v>6009</v>
      </c>
      <c r="J217" s="8" t="s">
        <v>6010</v>
      </c>
      <c r="K217" s="8" t="s">
        <v>10051</v>
      </c>
      <c r="L217" s="15">
        <v>-0.471885</v>
      </c>
      <c r="M217" s="15">
        <v>8.4381899999999999E-3</v>
      </c>
      <c r="N217" s="15">
        <v>0.174062198372093</v>
      </c>
    </row>
    <row r="218" spans="1:14" x14ac:dyDescent="0.2">
      <c r="A218" s="2" t="s">
        <v>10068</v>
      </c>
      <c r="B218" s="15">
        <v>66</v>
      </c>
      <c r="C218" s="15">
        <v>1</v>
      </c>
      <c r="D218" s="15">
        <v>76977916</v>
      </c>
      <c r="E218" s="15">
        <v>77895394</v>
      </c>
      <c r="F218" s="15">
        <v>2480</v>
      </c>
      <c r="G218" s="8" t="s">
        <v>12324</v>
      </c>
      <c r="H218" s="24" t="s">
        <v>494</v>
      </c>
      <c r="I218" s="25">
        <v>25920</v>
      </c>
      <c r="J218" s="8" t="s">
        <v>496</v>
      </c>
      <c r="K218" s="8" t="s">
        <v>10040</v>
      </c>
      <c r="L218" s="15">
        <v>-0.70683600000000002</v>
      </c>
      <c r="M218" s="15">
        <v>8.5483799999999995E-3</v>
      </c>
      <c r="N218" s="15">
        <v>0.17470997834101379</v>
      </c>
    </row>
    <row r="219" spans="1:14" x14ac:dyDescent="0.2">
      <c r="A219" s="2" t="s">
        <v>10068</v>
      </c>
      <c r="B219" s="15">
        <v>2283</v>
      </c>
      <c r="C219" s="15">
        <v>18</v>
      </c>
      <c r="D219" s="15">
        <v>54957868</v>
      </c>
      <c r="E219" s="15">
        <v>55809315</v>
      </c>
      <c r="F219" s="15">
        <v>2737</v>
      </c>
      <c r="G219" s="8" t="s">
        <v>12324</v>
      </c>
      <c r="H219" s="24" t="s">
        <v>6565</v>
      </c>
      <c r="I219" s="25" t="s">
        <v>6475</v>
      </c>
      <c r="J219" s="8" t="s">
        <v>6566</v>
      </c>
      <c r="K219" s="8" t="s">
        <v>10054</v>
      </c>
      <c r="L219" s="15">
        <v>0.552261</v>
      </c>
      <c r="M219" s="15">
        <v>8.5119500000000008E-3</v>
      </c>
      <c r="N219" s="15">
        <v>0.17470997834101379</v>
      </c>
    </row>
    <row r="220" spans="1:14" x14ac:dyDescent="0.2">
      <c r="A220" s="2" t="s">
        <v>10068</v>
      </c>
      <c r="B220" s="15">
        <v>2337</v>
      </c>
      <c r="C220" s="15">
        <v>19</v>
      </c>
      <c r="D220" s="15">
        <v>30375793</v>
      </c>
      <c r="E220" s="15">
        <v>31763008</v>
      </c>
      <c r="F220" s="15">
        <v>2932</v>
      </c>
      <c r="G220" s="8" t="s">
        <v>12324</v>
      </c>
      <c r="H220" s="24" t="s">
        <v>599</v>
      </c>
      <c r="I220" s="25">
        <v>26562</v>
      </c>
      <c r="J220" s="8" t="s">
        <v>601</v>
      </c>
      <c r="K220" s="8" t="s">
        <v>10040</v>
      </c>
      <c r="L220" s="15">
        <v>0.70387299999999997</v>
      </c>
      <c r="M220" s="15">
        <v>8.6036600000000008E-3</v>
      </c>
      <c r="N220" s="15">
        <v>0.1750331747706422</v>
      </c>
    </row>
    <row r="221" spans="1:14" x14ac:dyDescent="0.2">
      <c r="A221" s="2" t="s">
        <v>10068</v>
      </c>
      <c r="B221" s="15">
        <v>702</v>
      </c>
      <c r="C221" s="15">
        <v>4</v>
      </c>
      <c r="D221" s="15">
        <v>115306150</v>
      </c>
      <c r="E221" s="15">
        <v>116204703</v>
      </c>
      <c r="F221" s="15">
        <v>2342</v>
      </c>
      <c r="G221" s="8" t="s">
        <v>12324</v>
      </c>
      <c r="H221" s="24" t="s">
        <v>6565</v>
      </c>
      <c r="I221" s="25" t="s">
        <v>6475</v>
      </c>
      <c r="J221" s="8" t="s">
        <v>6566</v>
      </c>
      <c r="K221" s="8" t="s">
        <v>10054</v>
      </c>
      <c r="L221" s="15">
        <v>0.69327499999999997</v>
      </c>
      <c r="M221" s="15">
        <v>8.7923700000000007E-3</v>
      </c>
      <c r="N221" s="15">
        <v>0.1780555294520548</v>
      </c>
    </row>
    <row r="222" spans="1:14" x14ac:dyDescent="0.2">
      <c r="A222" s="2" t="s">
        <v>10068</v>
      </c>
      <c r="B222" s="15">
        <v>2372</v>
      </c>
      <c r="C222" s="15">
        <v>20</v>
      </c>
      <c r="D222" s="15">
        <v>2668109</v>
      </c>
      <c r="E222" s="15">
        <v>3736551</v>
      </c>
      <c r="F222" s="15">
        <v>2803</v>
      </c>
      <c r="G222" s="8" t="s">
        <v>12324</v>
      </c>
      <c r="H222" s="24" t="s">
        <v>599</v>
      </c>
      <c r="I222" s="25">
        <v>26562</v>
      </c>
      <c r="J222" s="8" t="s">
        <v>601</v>
      </c>
      <c r="K222" s="8" t="s">
        <v>10040</v>
      </c>
      <c r="L222" s="15">
        <v>-0.47934500000000002</v>
      </c>
      <c r="M222" s="15">
        <v>9.0164300000000006E-3</v>
      </c>
      <c r="N222" s="15">
        <v>0.17810881155555561</v>
      </c>
    </row>
    <row r="223" spans="1:14" x14ac:dyDescent="0.2">
      <c r="A223" s="2" t="s">
        <v>10068</v>
      </c>
      <c r="B223" s="15">
        <v>784</v>
      </c>
      <c r="C223" s="15">
        <v>5</v>
      </c>
      <c r="D223" s="15">
        <v>8079416</v>
      </c>
      <c r="E223" s="15">
        <v>9203855</v>
      </c>
      <c r="F223" s="15">
        <v>3627</v>
      </c>
      <c r="G223" s="8" t="s">
        <v>12324</v>
      </c>
      <c r="H223" s="24" t="s">
        <v>599</v>
      </c>
      <c r="I223" s="25">
        <v>26562</v>
      </c>
      <c r="J223" s="8" t="s">
        <v>601</v>
      </c>
      <c r="K223" s="8" t="s">
        <v>10040</v>
      </c>
      <c r="L223" s="15">
        <v>0.34945799999999999</v>
      </c>
      <c r="M223" s="15">
        <v>9.0359600000000009E-3</v>
      </c>
      <c r="N223" s="15">
        <v>0.17810881155555561</v>
      </c>
    </row>
    <row r="224" spans="1:14" x14ac:dyDescent="0.2">
      <c r="A224" s="2" t="s">
        <v>10068</v>
      </c>
      <c r="B224" s="15">
        <v>2381</v>
      </c>
      <c r="C224" s="15">
        <v>20</v>
      </c>
      <c r="D224" s="15">
        <v>11257013</v>
      </c>
      <c r="E224" s="15">
        <v>12353961</v>
      </c>
      <c r="F224" s="15">
        <v>2925</v>
      </c>
      <c r="G224" s="8" t="s">
        <v>12324</v>
      </c>
      <c r="H224" s="24" t="s">
        <v>1259</v>
      </c>
      <c r="I224" s="25">
        <v>27096</v>
      </c>
      <c r="J224" s="8" t="s">
        <v>1261</v>
      </c>
      <c r="K224" s="8" t="s">
        <v>10040</v>
      </c>
      <c r="L224" s="15">
        <v>0.627529</v>
      </c>
      <c r="M224" s="15">
        <v>9.0001899999999999E-3</v>
      </c>
      <c r="N224" s="15">
        <v>0.17810881155555561</v>
      </c>
    </row>
    <row r="225" spans="1:14" x14ac:dyDescent="0.2">
      <c r="A225" s="2" t="s">
        <v>10066</v>
      </c>
      <c r="B225" s="15">
        <v>1499</v>
      </c>
      <c r="C225" s="15">
        <v>10</v>
      </c>
      <c r="D225" s="15">
        <v>11856925</v>
      </c>
      <c r="E225" s="15">
        <v>12581571</v>
      </c>
      <c r="F225" s="15">
        <v>2296</v>
      </c>
      <c r="G225" s="8" t="s">
        <v>12324</v>
      </c>
      <c r="H225" s="24" t="s">
        <v>3164</v>
      </c>
      <c r="I225" s="25" t="s">
        <v>3165</v>
      </c>
      <c r="J225" s="8" t="s">
        <v>3166</v>
      </c>
      <c r="K225" s="8" t="s">
        <v>10042</v>
      </c>
      <c r="L225" s="15">
        <v>0.52189099999999999</v>
      </c>
      <c r="M225" s="15">
        <v>8.8856600000000001E-3</v>
      </c>
      <c r="N225" s="15">
        <v>0.17810881155555561</v>
      </c>
    </row>
    <row r="226" spans="1:14" x14ac:dyDescent="0.2">
      <c r="A226" s="2" t="s">
        <v>10068</v>
      </c>
      <c r="B226" s="15">
        <v>1612</v>
      </c>
      <c r="C226" s="15">
        <v>11</v>
      </c>
      <c r="D226" s="15">
        <v>1857846</v>
      </c>
      <c r="E226" s="15">
        <v>2477449</v>
      </c>
      <c r="F226" s="15">
        <v>2201</v>
      </c>
      <c r="G226" s="8" t="s">
        <v>12324</v>
      </c>
      <c r="H226" s="24" t="s">
        <v>6565</v>
      </c>
      <c r="I226" s="25" t="s">
        <v>6475</v>
      </c>
      <c r="J226" s="8" t="s">
        <v>6566</v>
      </c>
      <c r="K226" s="8" t="s">
        <v>10054</v>
      </c>
      <c r="L226" s="15">
        <v>0.42375699999999999</v>
      </c>
      <c r="M226" s="15">
        <v>8.8895399999999996E-3</v>
      </c>
      <c r="N226" s="15">
        <v>0.17810881155555561</v>
      </c>
    </row>
    <row r="227" spans="1:14" x14ac:dyDescent="0.2">
      <c r="A227" s="2" t="s">
        <v>10068</v>
      </c>
      <c r="B227" s="15">
        <v>168</v>
      </c>
      <c r="C227" s="15">
        <v>1</v>
      </c>
      <c r="D227" s="15">
        <v>217352166</v>
      </c>
      <c r="E227" s="15">
        <v>218563960</v>
      </c>
      <c r="F227" s="15">
        <v>3610</v>
      </c>
      <c r="G227" s="8" t="s">
        <v>12324</v>
      </c>
      <c r="H227" s="24" t="s">
        <v>6565</v>
      </c>
      <c r="I227" s="25" t="s">
        <v>6475</v>
      </c>
      <c r="J227" s="8" t="s">
        <v>6566</v>
      </c>
      <c r="K227" s="8" t="s">
        <v>10054</v>
      </c>
      <c r="L227" s="15">
        <v>0.64730600000000005</v>
      </c>
      <c r="M227" s="15">
        <v>8.9697800000000001E-3</v>
      </c>
      <c r="N227" s="15">
        <v>0.17810881155555561</v>
      </c>
    </row>
    <row r="228" spans="1:14" x14ac:dyDescent="0.2">
      <c r="A228" s="2" t="s">
        <v>10069</v>
      </c>
      <c r="B228" s="15">
        <v>311</v>
      </c>
      <c r="C228" s="15">
        <v>2</v>
      </c>
      <c r="D228" s="15">
        <v>118663654</v>
      </c>
      <c r="E228" s="15">
        <v>119635489</v>
      </c>
      <c r="F228" s="15">
        <v>1672</v>
      </c>
      <c r="G228" s="8" t="s">
        <v>12324</v>
      </c>
      <c r="H228" s="24" t="s">
        <v>662</v>
      </c>
      <c r="I228" s="25" t="s">
        <v>663</v>
      </c>
      <c r="J228" s="8" t="s">
        <v>664</v>
      </c>
      <c r="K228" s="8" t="s">
        <v>10040</v>
      </c>
      <c r="L228" s="15">
        <v>0.91572600000000004</v>
      </c>
      <c r="M228" s="15">
        <v>9.1495499999999994E-3</v>
      </c>
      <c r="N228" s="15">
        <v>0.17954979756637171</v>
      </c>
    </row>
    <row r="229" spans="1:14" x14ac:dyDescent="0.2">
      <c r="A229" s="2" t="s">
        <v>10068</v>
      </c>
      <c r="B229" s="15">
        <v>1575</v>
      </c>
      <c r="C229" s="15">
        <v>10</v>
      </c>
      <c r="D229" s="15">
        <v>97040173</v>
      </c>
      <c r="E229" s="15">
        <v>98005994</v>
      </c>
      <c r="F229" s="15">
        <v>2643</v>
      </c>
      <c r="G229" s="8" t="s">
        <v>12324</v>
      </c>
      <c r="H229" s="24" t="s">
        <v>1259</v>
      </c>
      <c r="I229" s="25">
        <v>27096</v>
      </c>
      <c r="J229" s="8" t="s">
        <v>1261</v>
      </c>
      <c r="K229" s="8" t="s">
        <v>10040</v>
      </c>
      <c r="L229" s="15">
        <v>0.64684600000000003</v>
      </c>
      <c r="M229" s="15">
        <v>9.31301E-3</v>
      </c>
      <c r="N229" s="15">
        <v>0.18109131441048029</v>
      </c>
    </row>
    <row r="230" spans="1:14" x14ac:dyDescent="0.2">
      <c r="A230" s="2" t="s">
        <v>10068</v>
      </c>
      <c r="B230" s="15">
        <v>51</v>
      </c>
      <c r="C230" s="15">
        <v>1</v>
      </c>
      <c r="D230" s="15">
        <v>58387484</v>
      </c>
      <c r="E230" s="15">
        <v>59889045</v>
      </c>
      <c r="F230" s="15">
        <v>3890</v>
      </c>
      <c r="G230" s="8" t="s">
        <v>12324</v>
      </c>
      <c r="H230" s="24" t="s">
        <v>1259</v>
      </c>
      <c r="I230" s="25">
        <v>27096</v>
      </c>
      <c r="J230" s="8" t="s">
        <v>1261</v>
      </c>
      <c r="K230" s="8" t="s">
        <v>10040</v>
      </c>
      <c r="L230" s="15">
        <v>0.42868499999999998</v>
      </c>
      <c r="M230" s="15">
        <v>9.3506000000000006E-3</v>
      </c>
      <c r="N230" s="15">
        <v>0.18109131441048029</v>
      </c>
    </row>
    <row r="231" spans="1:14" x14ac:dyDescent="0.2">
      <c r="A231" s="2" t="s">
        <v>10068</v>
      </c>
      <c r="B231" s="15">
        <v>751</v>
      </c>
      <c r="C231" s="15">
        <v>4</v>
      </c>
      <c r="D231" s="15">
        <v>168623791</v>
      </c>
      <c r="E231" s="15">
        <v>169555114</v>
      </c>
      <c r="F231" s="15">
        <v>2759</v>
      </c>
      <c r="G231" s="8" t="s">
        <v>12324</v>
      </c>
      <c r="H231" s="24" t="s">
        <v>6565</v>
      </c>
      <c r="I231" s="25" t="s">
        <v>6475</v>
      </c>
      <c r="J231" s="8" t="s">
        <v>6566</v>
      </c>
      <c r="K231" s="8" t="s">
        <v>10054</v>
      </c>
      <c r="L231" s="15">
        <v>1</v>
      </c>
      <c r="M231" s="15">
        <v>9.3198299999999994E-3</v>
      </c>
      <c r="N231" s="15">
        <v>0.18109131441048029</v>
      </c>
    </row>
    <row r="232" spans="1:14" x14ac:dyDescent="0.2">
      <c r="A232" s="2" t="s">
        <v>10068</v>
      </c>
      <c r="B232" s="15">
        <v>1337</v>
      </c>
      <c r="C232" s="15">
        <v>8</v>
      </c>
      <c r="D232" s="15">
        <v>108647464</v>
      </c>
      <c r="E232" s="15">
        <v>109920827</v>
      </c>
      <c r="F232" s="15">
        <v>3309</v>
      </c>
      <c r="G232" s="8" t="s">
        <v>12324</v>
      </c>
      <c r="H232" s="24" t="s">
        <v>494</v>
      </c>
      <c r="I232" s="25">
        <v>25920</v>
      </c>
      <c r="J232" s="8" t="s">
        <v>496</v>
      </c>
      <c r="K232" s="8" t="s">
        <v>10040</v>
      </c>
      <c r="L232" s="15">
        <v>0.58684899999999995</v>
      </c>
      <c r="M232" s="15">
        <v>9.43483E-3</v>
      </c>
      <c r="N232" s="15">
        <v>0.18145159329004329</v>
      </c>
    </row>
    <row r="233" spans="1:14" x14ac:dyDescent="0.2">
      <c r="A233" s="2" t="s">
        <v>10068</v>
      </c>
      <c r="B233" s="15">
        <v>898</v>
      </c>
      <c r="C233" s="15">
        <v>5</v>
      </c>
      <c r="D233" s="15">
        <v>148662215</v>
      </c>
      <c r="E233" s="15">
        <v>149850203</v>
      </c>
      <c r="F233" s="15">
        <v>2858</v>
      </c>
      <c r="G233" s="8" t="s">
        <v>12324</v>
      </c>
      <c r="H233" s="24" t="s">
        <v>1259</v>
      </c>
      <c r="I233" s="25">
        <v>27096</v>
      </c>
      <c r="J233" s="8" t="s">
        <v>1261</v>
      </c>
      <c r="K233" s="8" t="s">
        <v>10040</v>
      </c>
      <c r="L233" s="15">
        <v>0.48580099999999998</v>
      </c>
      <c r="M233" s="15">
        <v>9.4510299999999992E-3</v>
      </c>
      <c r="N233" s="15">
        <v>0.18145159329004329</v>
      </c>
    </row>
    <row r="234" spans="1:14" x14ac:dyDescent="0.2">
      <c r="A234" s="2" t="s">
        <v>10068</v>
      </c>
      <c r="B234" s="15">
        <v>2385</v>
      </c>
      <c r="C234" s="15">
        <v>20</v>
      </c>
      <c r="D234" s="15">
        <v>15238520</v>
      </c>
      <c r="E234" s="15">
        <v>15962576</v>
      </c>
      <c r="F234" s="15">
        <v>2161</v>
      </c>
      <c r="G234" s="8" t="s">
        <v>12324</v>
      </c>
      <c r="H234" s="24" t="s">
        <v>599</v>
      </c>
      <c r="I234" s="25">
        <v>26562</v>
      </c>
      <c r="J234" s="8" t="s">
        <v>601</v>
      </c>
      <c r="K234" s="8" t="s">
        <v>10040</v>
      </c>
      <c r="L234" s="15">
        <v>0.303703</v>
      </c>
      <c r="M234" s="15">
        <v>9.51865E-3</v>
      </c>
      <c r="N234" s="15">
        <v>0.18196212392241379</v>
      </c>
    </row>
    <row r="235" spans="1:14" x14ac:dyDescent="0.2">
      <c r="A235" s="2" t="s">
        <v>10069</v>
      </c>
      <c r="B235" s="15">
        <v>925</v>
      </c>
      <c r="C235" s="15">
        <v>5</v>
      </c>
      <c r="D235" s="15">
        <v>179794711</v>
      </c>
      <c r="E235" s="15">
        <v>180902886</v>
      </c>
      <c r="F235" s="15">
        <v>1675</v>
      </c>
      <c r="G235" s="8" t="s">
        <v>12324</v>
      </c>
      <c r="H235" s="24" t="s">
        <v>662</v>
      </c>
      <c r="I235" s="25" t="s">
        <v>663</v>
      </c>
      <c r="J235" s="8" t="s">
        <v>664</v>
      </c>
      <c r="K235" s="8" t="s">
        <v>10040</v>
      </c>
      <c r="L235" s="15">
        <v>0.67980200000000002</v>
      </c>
      <c r="M235" s="15">
        <v>9.6259599999999994E-3</v>
      </c>
      <c r="N235" s="15">
        <v>0.18322374506437769</v>
      </c>
    </row>
    <row r="236" spans="1:14" x14ac:dyDescent="0.2">
      <c r="A236" s="2" t="s">
        <v>10069</v>
      </c>
      <c r="B236" s="15">
        <v>1895</v>
      </c>
      <c r="C236" s="15">
        <v>13</v>
      </c>
      <c r="D236" s="15">
        <v>53336572</v>
      </c>
      <c r="E236" s="15">
        <v>54684856</v>
      </c>
      <c r="F236" s="15">
        <v>2218</v>
      </c>
      <c r="G236" s="8" t="s">
        <v>12324</v>
      </c>
      <c r="H236" s="24" t="s">
        <v>662</v>
      </c>
      <c r="I236" s="25" t="s">
        <v>663</v>
      </c>
      <c r="J236" s="8" t="s">
        <v>664</v>
      </c>
      <c r="K236" s="8" t="s">
        <v>10040</v>
      </c>
      <c r="L236" s="15">
        <v>-0.86860199999999999</v>
      </c>
      <c r="M236" s="15">
        <v>9.9738199999999996E-3</v>
      </c>
      <c r="N236" s="15">
        <v>0.18743174449152539</v>
      </c>
    </row>
    <row r="237" spans="1:14" x14ac:dyDescent="0.2">
      <c r="A237" s="2" t="s">
        <v>10066</v>
      </c>
      <c r="B237" s="15">
        <v>337</v>
      </c>
      <c r="C237" s="15">
        <v>2</v>
      </c>
      <c r="D237" s="15">
        <v>147252197</v>
      </c>
      <c r="E237" s="15">
        <v>149568875</v>
      </c>
      <c r="F237" s="15">
        <v>4205</v>
      </c>
      <c r="G237" s="8" t="s">
        <v>12324</v>
      </c>
      <c r="H237" s="24" t="s">
        <v>3164</v>
      </c>
      <c r="I237" s="25" t="s">
        <v>3165</v>
      </c>
      <c r="J237" s="8" t="s">
        <v>3166</v>
      </c>
      <c r="K237" s="8" t="s">
        <v>10042</v>
      </c>
      <c r="L237" s="15">
        <v>-0.50333600000000001</v>
      </c>
      <c r="M237" s="15">
        <v>9.9377600000000003E-3</v>
      </c>
      <c r="N237" s="15">
        <v>0.18743174449152539</v>
      </c>
    </row>
    <row r="238" spans="1:14" x14ac:dyDescent="0.2">
      <c r="A238" s="2" t="s">
        <v>10068</v>
      </c>
      <c r="B238" s="15">
        <v>51</v>
      </c>
      <c r="C238" s="15">
        <v>1</v>
      </c>
      <c r="D238" s="15">
        <v>58387484</v>
      </c>
      <c r="E238" s="15">
        <v>59889045</v>
      </c>
      <c r="F238" s="15">
        <v>3890</v>
      </c>
      <c r="G238" s="8" t="s">
        <v>12324</v>
      </c>
      <c r="H238" s="24" t="s">
        <v>6565</v>
      </c>
      <c r="I238" s="25" t="s">
        <v>6475</v>
      </c>
      <c r="J238" s="8" t="s">
        <v>6566</v>
      </c>
      <c r="K238" s="8" t="s">
        <v>10054</v>
      </c>
      <c r="L238" s="15">
        <v>0.4627</v>
      </c>
      <c r="M238" s="15">
        <v>9.94512E-3</v>
      </c>
      <c r="N238" s="15">
        <v>0.18743174449152539</v>
      </c>
    </row>
    <row r="239" spans="1:14" x14ac:dyDescent="0.2">
      <c r="A239" s="2" t="s">
        <v>10068</v>
      </c>
      <c r="B239" s="15">
        <v>269</v>
      </c>
      <c r="C239" s="15">
        <v>2</v>
      </c>
      <c r="D239" s="15">
        <v>62429911</v>
      </c>
      <c r="E239" s="15">
        <v>63672118</v>
      </c>
      <c r="F239" s="15">
        <v>2268</v>
      </c>
      <c r="G239" s="8" t="s">
        <v>12324</v>
      </c>
      <c r="H239" s="24" t="s">
        <v>494</v>
      </c>
      <c r="I239" s="25">
        <v>25920</v>
      </c>
      <c r="J239" s="8" t="s">
        <v>496</v>
      </c>
      <c r="K239" s="8" t="s">
        <v>10040</v>
      </c>
      <c r="L239" s="15">
        <v>0.62160099999999996</v>
      </c>
      <c r="M239" s="15">
        <v>1.0184E-2</v>
      </c>
      <c r="N239" s="15">
        <v>0.19057400843881861</v>
      </c>
    </row>
    <row r="240" spans="1:14" x14ac:dyDescent="0.2">
      <c r="A240" s="2" t="s">
        <v>10068</v>
      </c>
      <c r="B240" s="15">
        <v>96</v>
      </c>
      <c r="C240" s="15">
        <v>1</v>
      </c>
      <c r="D240" s="15">
        <v>109271450</v>
      </c>
      <c r="E240" s="15">
        <v>110224230</v>
      </c>
      <c r="F240" s="15">
        <v>2188</v>
      </c>
      <c r="G240" s="8" t="s">
        <v>12324</v>
      </c>
      <c r="H240" s="24" t="s">
        <v>599</v>
      </c>
      <c r="I240" s="25">
        <v>26562</v>
      </c>
      <c r="J240" s="8" t="s">
        <v>601</v>
      </c>
      <c r="K240" s="8" t="s">
        <v>10040</v>
      </c>
      <c r="L240" s="15">
        <v>-0.72727699999999995</v>
      </c>
      <c r="M240" s="15">
        <v>1.0301899999999999E-2</v>
      </c>
      <c r="N240" s="15">
        <v>0.19116705648535559</v>
      </c>
    </row>
    <row r="241" spans="1:14" x14ac:dyDescent="0.2">
      <c r="A241" s="2" t="s">
        <v>10066</v>
      </c>
      <c r="B241" s="15">
        <v>580</v>
      </c>
      <c r="C241" s="15">
        <v>3</v>
      </c>
      <c r="D241" s="15">
        <v>181424324</v>
      </c>
      <c r="E241" s="15">
        <v>183203155</v>
      </c>
      <c r="F241" s="15">
        <v>3572</v>
      </c>
      <c r="G241" s="8" t="s">
        <v>12324</v>
      </c>
      <c r="H241" s="24" t="s">
        <v>3164</v>
      </c>
      <c r="I241" s="25" t="s">
        <v>3165</v>
      </c>
      <c r="J241" s="8" t="s">
        <v>3166</v>
      </c>
      <c r="K241" s="8" t="s">
        <v>10042</v>
      </c>
      <c r="L241" s="15">
        <v>0.399698</v>
      </c>
      <c r="M241" s="15">
        <v>1.02795E-2</v>
      </c>
      <c r="N241" s="15">
        <v>0.19116705648535559</v>
      </c>
    </row>
    <row r="242" spans="1:14" x14ac:dyDescent="0.2">
      <c r="A242" s="2" t="s">
        <v>10068</v>
      </c>
      <c r="B242" s="15">
        <v>1387</v>
      </c>
      <c r="C242" s="15">
        <v>9</v>
      </c>
      <c r="D242" s="15">
        <v>12664859</v>
      </c>
      <c r="E242" s="15">
        <v>13512852</v>
      </c>
      <c r="F242" s="15">
        <v>2060</v>
      </c>
      <c r="G242" s="8" t="s">
        <v>12324</v>
      </c>
      <c r="H242" s="24" t="s">
        <v>494</v>
      </c>
      <c r="I242" s="25">
        <v>25920</v>
      </c>
      <c r="J242" s="8" t="s">
        <v>496</v>
      </c>
      <c r="K242" s="8" t="s">
        <v>10040</v>
      </c>
      <c r="L242" s="15">
        <v>0.51770400000000005</v>
      </c>
      <c r="M242" s="15">
        <v>1.0354500000000001E-2</v>
      </c>
      <c r="N242" s="15">
        <v>0.19134253125</v>
      </c>
    </row>
    <row r="243" spans="1:14" x14ac:dyDescent="0.2">
      <c r="A243" s="2" t="s">
        <v>10068</v>
      </c>
      <c r="B243" s="15">
        <v>132</v>
      </c>
      <c r="C243" s="15">
        <v>1</v>
      </c>
      <c r="D243" s="15">
        <v>175385221</v>
      </c>
      <c r="E243" s="15">
        <v>176449096</v>
      </c>
      <c r="F243" s="15">
        <v>2479</v>
      </c>
      <c r="G243" s="8" t="s">
        <v>12324</v>
      </c>
      <c r="H243" s="24" t="s">
        <v>494</v>
      </c>
      <c r="I243" s="25">
        <v>25920</v>
      </c>
      <c r="J243" s="8" t="s">
        <v>496</v>
      </c>
      <c r="K243" s="8" t="s">
        <v>10040</v>
      </c>
      <c r="L243" s="15">
        <v>0.85710699999999995</v>
      </c>
      <c r="M243" s="15">
        <v>1.04312E-2</v>
      </c>
      <c r="N243" s="15">
        <v>0.19196004979253109</v>
      </c>
    </row>
    <row r="244" spans="1:14" x14ac:dyDescent="0.2">
      <c r="A244" s="2" t="s">
        <v>10068</v>
      </c>
      <c r="B244" s="15">
        <v>2340</v>
      </c>
      <c r="C244" s="15">
        <v>19</v>
      </c>
      <c r="D244" s="15">
        <v>33785836</v>
      </c>
      <c r="E244" s="15">
        <v>34633274</v>
      </c>
      <c r="F244" s="15">
        <v>2680</v>
      </c>
      <c r="G244" s="8" t="s">
        <v>12324</v>
      </c>
      <c r="H244" s="24" t="s">
        <v>1259</v>
      </c>
      <c r="I244" s="25">
        <v>27096</v>
      </c>
      <c r="J244" s="8" t="s">
        <v>1261</v>
      </c>
      <c r="K244" s="8" t="s">
        <v>10040</v>
      </c>
      <c r="L244" s="15">
        <v>0.67483400000000004</v>
      </c>
      <c r="M244" s="15">
        <v>1.04908E-2</v>
      </c>
      <c r="N244" s="15">
        <v>0.1922590826446281</v>
      </c>
    </row>
    <row r="245" spans="1:14" x14ac:dyDescent="0.2">
      <c r="A245" s="2" t="s">
        <v>10068</v>
      </c>
      <c r="B245" s="15">
        <v>835</v>
      </c>
      <c r="C245" s="15">
        <v>5</v>
      </c>
      <c r="D245" s="15">
        <v>71468652</v>
      </c>
      <c r="E245" s="15">
        <v>73314061</v>
      </c>
      <c r="F245" s="15">
        <v>3984</v>
      </c>
      <c r="G245" s="8" t="s">
        <v>12324</v>
      </c>
      <c r="H245" s="24" t="s">
        <v>494</v>
      </c>
      <c r="I245" s="25">
        <v>25920</v>
      </c>
      <c r="J245" s="8" t="s">
        <v>496</v>
      </c>
      <c r="K245" s="8" t="s">
        <v>10040</v>
      </c>
      <c r="L245" s="15">
        <v>0.47925099999999998</v>
      </c>
      <c r="M245" s="15">
        <v>1.07835E-2</v>
      </c>
      <c r="N245" s="15">
        <v>0.19680996913580251</v>
      </c>
    </row>
    <row r="246" spans="1:14" x14ac:dyDescent="0.2">
      <c r="A246" s="2" t="s">
        <v>10069</v>
      </c>
      <c r="B246" s="15">
        <v>1210</v>
      </c>
      <c r="C246" s="15">
        <v>7</v>
      </c>
      <c r="D246" s="15">
        <v>131856482</v>
      </c>
      <c r="E246" s="15">
        <v>133807216</v>
      </c>
      <c r="F246" s="15">
        <v>2450</v>
      </c>
      <c r="G246" s="8" t="s">
        <v>12324</v>
      </c>
      <c r="H246" s="24" t="s">
        <v>662</v>
      </c>
      <c r="I246" s="25" t="s">
        <v>663</v>
      </c>
      <c r="J246" s="8" t="s">
        <v>664</v>
      </c>
      <c r="K246" s="8" t="s">
        <v>10040</v>
      </c>
      <c r="L246" s="15">
        <v>-0.82262299999999999</v>
      </c>
      <c r="M246" s="15">
        <v>1.08503E-2</v>
      </c>
      <c r="N246" s="15">
        <v>0.19721754303278691</v>
      </c>
    </row>
    <row r="247" spans="1:14" x14ac:dyDescent="0.2">
      <c r="A247" s="2" t="s">
        <v>10068</v>
      </c>
      <c r="B247" s="15">
        <v>26</v>
      </c>
      <c r="C247" s="15">
        <v>1</v>
      </c>
      <c r="D247" s="15">
        <v>23907046</v>
      </c>
      <c r="E247" s="15">
        <v>25885138</v>
      </c>
      <c r="F247" s="15">
        <v>4114</v>
      </c>
      <c r="G247" s="8" t="s">
        <v>12324</v>
      </c>
      <c r="H247" s="24" t="s">
        <v>599</v>
      </c>
      <c r="I247" s="25">
        <v>26562</v>
      </c>
      <c r="J247" s="8" t="s">
        <v>601</v>
      </c>
      <c r="K247" s="8" t="s">
        <v>10040</v>
      </c>
      <c r="L247" s="15">
        <v>0.67442899999999995</v>
      </c>
      <c r="M247" s="15">
        <v>1.1090600000000001E-2</v>
      </c>
      <c r="N247" s="15">
        <v>0.19833391532258071</v>
      </c>
    </row>
    <row r="248" spans="1:14" x14ac:dyDescent="0.2">
      <c r="A248" s="2" t="s">
        <v>10069</v>
      </c>
      <c r="B248" s="15">
        <v>224</v>
      </c>
      <c r="C248" s="15">
        <v>2</v>
      </c>
      <c r="D248" s="15">
        <v>20064518</v>
      </c>
      <c r="E248" s="15">
        <v>21084898</v>
      </c>
      <c r="F248" s="15">
        <v>1856</v>
      </c>
      <c r="G248" s="8" t="s">
        <v>12324</v>
      </c>
      <c r="H248" s="24" t="s">
        <v>662</v>
      </c>
      <c r="I248" s="25" t="s">
        <v>663</v>
      </c>
      <c r="J248" s="8" t="s">
        <v>664</v>
      </c>
      <c r="K248" s="8" t="s">
        <v>10040</v>
      </c>
      <c r="L248" s="15">
        <v>-0.91411699999999996</v>
      </c>
      <c r="M248" s="15">
        <v>1.1021899999999999E-2</v>
      </c>
      <c r="N248" s="15">
        <v>0.19833391532258071</v>
      </c>
    </row>
    <row r="249" spans="1:14" x14ac:dyDescent="0.2">
      <c r="A249" s="2" t="s">
        <v>10066</v>
      </c>
      <c r="B249" s="15">
        <v>2302</v>
      </c>
      <c r="C249" s="15">
        <v>18</v>
      </c>
      <c r="D249" s="15">
        <v>74471746</v>
      </c>
      <c r="E249" s="15">
        <v>75240760</v>
      </c>
      <c r="F249" s="15">
        <v>3153</v>
      </c>
      <c r="G249" s="8" t="s">
        <v>12324</v>
      </c>
      <c r="H249" s="24" t="s">
        <v>6008</v>
      </c>
      <c r="I249" s="25" t="s">
        <v>6009</v>
      </c>
      <c r="J249" s="8" t="s">
        <v>6010</v>
      </c>
      <c r="K249" s="8" t="s">
        <v>10051</v>
      </c>
      <c r="L249" s="15">
        <v>-0.39637299999999998</v>
      </c>
      <c r="M249" s="15">
        <v>1.09929E-2</v>
      </c>
      <c r="N249" s="15">
        <v>0.19833391532258071</v>
      </c>
    </row>
    <row r="250" spans="1:14" x14ac:dyDescent="0.2">
      <c r="A250" s="2" t="s">
        <v>10066</v>
      </c>
      <c r="B250" s="15">
        <v>1939</v>
      </c>
      <c r="C250" s="15">
        <v>13</v>
      </c>
      <c r="D250" s="15">
        <v>100470869</v>
      </c>
      <c r="E250" s="15">
        <v>101573736</v>
      </c>
      <c r="F250" s="15">
        <v>2563</v>
      </c>
      <c r="G250" s="8" t="s">
        <v>12324</v>
      </c>
      <c r="H250" s="24" t="s">
        <v>6008</v>
      </c>
      <c r="I250" s="25" t="s">
        <v>6009</v>
      </c>
      <c r="J250" s="8" t="s">
        <v>6010</v>
      </c>
      <c r="K250" s="8" t="s">
        <v>10051</v>
      </c>
      <c r="L250" s="15">
        <v>-0.45398100000000002</v>
      </c>
      <c r="M250" s="15">
        <v>1.10539E-2</v>
      </c>
      <c r="N250" s="15">
        <v>0.19833391532258071</v>
      </c>
    </row>
    <row r="251" spans="1:14" x14ac:dyDescent="0.2">
      <c r="A251" s="2" t="s">
        <v>10066</v>
      </c>
      <c r="B251" s="15">
        <v>2473</v>
      </c>
      <c r="C251" s="15">
        <v>22</v>
      </c>
      <c r="D251" s="15">
        <v>27952442</v>
      </c>
      <c r="E251" s="15">
        <v>29457601</v>
      </c>
      <c r="F251" s="15">
        <v>3130</v>
      </c>
      <c r="G251" s="8" t="s">
        <v>12324</v>
      </c>
      <c r="H251" s="24" t="s">
        <v>6008</v>
      </c>
      <c r="I251" s="25" t="s">
        <v>6009</v>
      </c>
      <c r="J251" s="8" t="s">
        <v>6010</v>
      </c>
      <c r="K251" s="8" t="s">
        <v>10051</v>
      </c>
      <c r="L251" s="15">
        <v>-0.77232999999999996</v>
      </c>
      <c r="M251" s="15">
        <v>1.1242200000000001E-2</v>
      </c>
      <c r="N251" s="15">
        <v>0.20023757831325301</v>
      </c>
    </row>
    <row r="252" spans="1:14" x14ac:dyDescent="0.2">
      <c r="A252" s="2" t="s">
        <v>10068</v>
      </c>
      <c r="B252" s="15">
        <v>1886</v>
      </c>
      <c r="C252" s="15">
        <v>13</v>
      </c>
      <c r="D252" s="15">
        <v>42950158</v>
      </c>
      <c r="E252" s="15">
        <v>43931931</v>
      </c>
      <c r="F252" s="15">
        <v>2441</v>
      </c>
      <c r="G252" s="8" t="s">
        <v>12324</v>
      </c>
      <c r="H252" s="24" t="s">
        <v>494</v>
      </c>
      <c r="I252" s="25">
        <v>25920</v>
      </c>
      <c r="J252" s="8" t="s">
        <v>496</v>
      </c>
      <c r="K252" s="8" t="s">
        <v>10040</v>
      </c>
      <c r="L252" s="15">
        <v>-0.49151699999999998</v>
      </c>
      <c r="M252" s="15">
        <v>1.1337399999999999E-2</v>
      </c>
      <c r="N252" s="15">
        <v>0.20079286507936511</v>
      </c>
    </row>
    <row r="253" spans="1:14" x14ac:dyDescent="0.2">
      <c r="A253" s="2" t="s">
        <v>10066</v>
      </c>
      <c r="B253" s="15">
        <v>1188</v>
      </c>
      <c r="C253" s="15">
        <v>7</v>
      </c>
      <c r="D253" s="15">
        <v>101950749</v>
      </c>
      <c r="E253" s="15">
        <v>103191322</v>
      </c>
      <c r="F253" s="15">
        <v>2203</v>
      </c>
      <c r="G253" s="8" t="s">
        <v>12324</v>
      </c>
      <c r="H253" s="24" t="s">
        <v>3164</v>
      </c>
      <c r="I253" s="25" t="s">
        <v>3165</v>
      </c>
      <c r="J253" s="8" t="s">
        <v>3166</v>
      </c>
      <c r="K253" s="8" t="s">
        <v>10042</v>
      </c>
      <c r="L253" s="15">
        <v>-0.44535799999999998</v>
      </c>
      <c r="M253" s="15">
        <v>1.13931E-2</v>
      </c>
      <c r="N253" s="15">
        <v>0.20079286507936511</v>
      </c>
    </row>
    <row r="254" spans="1:14" x14ac:dyDescent="0.2">
      <c r="A254" s="2" t="s">
        <v>10066</v>
      </c>
      <c r="B254" s="15">
        <v>1677</v>
      </c>
      <c r="C254" s="15">
        <v>11</v>
      </c>
      <c r="D254" s="15">
        <v>68887345</v>
      </c>
      <c r="E254" s="15">
        <v>69713996</v>
      </c>
      <c r="F254" s="15">
        <v>2309</v>
      </c>
      <c r="G254" s="8" t="s">
        <v>12324</v>
      </c>
      <c r="H254" s="24" t="s">
        <v>3164</v>
      </c>
      <c r="I254" s="25" t="s">
        <v>3165</v>
      </c>
      <c r="J254" s="8" t="s">
        <v>3166</v>
      </c>
      <c r="K254" s="8" t="s">
        <v>10042</v>
      </c>
      <c r="L254" s="15">
        <v>0.67566400000000004</v>
      </c>
      <c r="M254" s="15">
        <v>1.14092E-2</v>
      </c>
      <c r="N254" s="15">
        <v>0.20079286507936511</v>
      </c>
    </row>
    <row r="255" spans="1:14" x14ac:dyDescent="0.2">
      <c r="A255" s="2" t="s">
        <v>10068</v>
      </c>
      <c r="B255" s="15">
        <v>2215</v>
      </c>
      <c r="C255" s="15">
        <v>17</v>
      </c>
      <c r="D255" s="15">
        <v>53468007</v>
      </c>
      <c r="E255" s="15">
        <v>54950107</v>
      </c>
      <c r="F255" s="15">
        <v>3511</v>
      </c>
      <c r="G255" s="8" t="s">
        <v>12324</v>
      </c>
      <c r="H255" s="24" t="s">
        <v>494</v>
      </c>
      <c r="I255" s="25">
        <v>25920</v>
      </c>
      <c r="J255" s="8" t="s">
        <v>496</v>
      </c>
      <c r="K255" s="8" t="s">
        <v>10040</v>
      </c>
      <c r="L255" s="15">
        <v>0.421684</v>
      </c>
      <c r="M255" s="15">
        <v>1.15383E-2</v>
      </c>
      <c r="N255" s="15">
        <v>0.20118455617977529</v>
      </c>
    </row>
    <row r="256" spans="1:14" x14ac:dyDescent="0.2">
      <c r="A256" s="2" t="s">
        <v>10068</v>
      </c>
      <c r="B256" s="15">
        <v>1585</v>
      </c>
      <c r="C256" s="15">
        <v>10</v>
      </c>
      <c r="D256" s="15">
        <v>109579150</v>
      </c>
      <c r="E256" s="15">
        <v>110358382</v>
      </c>
      <c r="F256" s="15">
        <v>2476</v>
      </c>
      <c r="G256" s="8" t="s">
        <v>12324</v>
      </c>
      <c r="H256" s="24" t="s">
        <v>494</v>
      </c>
      <c r="I256" s="25">
        <v>25920</v>
      </c>
      <c r="J256" s="8" t="s">
        <v>496</v>
      </c>
      <c r="K256" s="8" t="s">
        <v>10040</v>
      </c>
      <c r="L256" s="15">
        <v>0.97772599999999998</v>
      </c>
      <c r="M256" s="15">
        <v>1.157E-2</v>
      </c>
      <c r="N256" s="15">
        <v>0.20118455617977529</v>
      </c>
    </row>
    <row r="257" spans="1:14" x14ac:dyDescent="0.2">
      <c r="A257" s="2" t="s">
        <v>10068</v>
      </c>
      <c r="B257" s="15">
        <v>474</v>
      </c>
      <c r="C257" s="15">
        <v>3</v>
      </c>
      <c r="D257" s="15">
        <v>61277588</v>
      </c>
      <c r="E257" s="15">
        <v>62609818</v>
      </c>
      <c r="F257" s="15">
        <v>3265</v>
      </c>
      <c r="G257" s="8" t="s">
        <v>12324</v>
      </c>
      <c r="H257" s="24" t="s">
        <v>494</v>
      </c>
      <c r="I257" s="25">
        <v>25920</v>
      </c>
      <c r="J257" s="8" t="s">
        <v>496</v>
      </c>
      <c r="K257" s="8" t="s">
        <v>10040</v>
      </c>
      <c r="L257" s="15">
        <v>0.62934800000000002</v>
      </c>
      <c r="M257" s="15">
        <v>1.17266E-2</v>
      </c>
      <c r="N257" s="15">
        <v>0.20118455617977529</v>
      </c>
    </row>
    <row r="258" spans="1:14" x14ac:dyDescent="0.2">
      <c r="A258" s="2" t="s">
        <v>10068</v>
      </c>
      <c r="B258" s="15">
        <v>1601</v>
      </c>
      <c r="C258" s="15">
        <v>10</v>
      </c>
      <c r="D258" s="15">
        <v>127997709</v>
      </c>
      <c r="E258" s="15">
        <v>129134738</v>
      </c>
      <c r="F258" s="15">
        <v>2774</v>
      </c>
      <c r="G258" s="8" t="s">
        <v>12324</v>
      </c>
      <c r="H258" s="24" t="s">
        <v>494</v>
      </c>
      <c r="I258" s="25">
        <v>25920</v>
      </c>
      <c r="J258" s="8" t="s">
        <v>496</v>
      </c>
      <c r="K258" s="8" t="s">
        <v>10040</v>
      </c>
      <c r="L258" s="15">
        <v>-1</v>
      </c>
      <c r="M258" s="15">
        <v>1.1894099999999999E-2</v>
      </c>
      <c r="N258" s="15">
        <v>0.20118455617977529</v>
      </c>
    </row>
    <row r="259" spans="1:14" x14ac:dyDescent="0.2">
      <c r="A259" s="2" t="s">
        <v>10068</v>
      </c>
      <c r="B259" s="15">
        <v>231</v>
      </c>
      <c r="C259" s="15">
        <v>2</v>
      </c>
      <c r="D259" s="15">
        <v>28819511</v>
      </c>
      <c r="E259" s="15">
        <v>29627932</v>
      </c>
      <c r="F259" s="15">
        <v>2091</v>
      </c>
      <c r="G259" s="8" t="s">
        <v>12324</v>
      </c>
      <c r="H259" s="24" t="s">
        <v>494</v>
      </c>
      <c r="I259" s="25">
        <v>25920</v>
      </c>
      <c r="J259" s="8" t="s">
        <v>496</v>
      </c>
      <c r="K259" s="8" t="s">
        <v>10040</v>
      </c>
      <c r="L259" s="15">
        <v>0.68325599999999997</v>
      </c>
      <c r="M259" s="15">
        <v>1.2105400000000001E-2</v>
      </c>
      <c r="N259" s="15">
        <v>0.20118455617977529</v>
      </c>
    </row>
    <row r="260" spans="1:14" x14ac:dyDescent="0.2">
      <c r="A260" s="2" t="s">
        <v>10068</v>
      </c>
      <c r="B260" s="15">
        <v>411</v>
      </c>
      <c r="C260" s="15">
        <v>2</v>
      </c>
      <c r="D260" s="15">
        <v>234945578</v>
      </c>
      <c r="E260" s="15">
        <v>235625789</v>
      </c>
      <c r="F260" s="15">
        <v>2575</v>
      </c>
      <c r="G260" s="8" t="s">
        <v>12324</v>
      </c>
      <c r="H260" s="24" t="s">
        <v>494</v>
      </c>
      <c r="I260" s="25">
        <v>25920</v>
      </c>
      <c r="J260" s="8" t="s">
        <v>496</v>
      </c>
      <c r="K260" s="8" t="s">
        <v>10040</v>
      </c>
      <c r="L260" s="15">
        <v>-0.77826799999999996</v>
      </c>
      <c r="M260" s="15">
        <v>1.21119E-2</v>
      </c>
      <c r="N260" s="15">
        <v>0.20118455617977529</v>
      </c>
    </row>
    <row r="261" spans="1:14" x14ac:dyDescent="0.2">
      <c r="A261" s="2" t="s">
        <v>10068</v>
      </c>
      <c r="B261" s="15">
        <v>552</v>
      </c>
      <c r="C261" s="15">
        <v>3</v>
      </c>
      <c r="D261" s="15">
        <v>149998412</v>
      </c>
      <c r="E261" s="15">
        <v>151131307</v>
      </c>
      <c r="F261" s="15">
        <v>2627</v>
      </c>
      <c r="G261" s="8" t="s">
        <v>12324</v>
      </c>
      <c r="H261" s="24" t="s">
        <v>599</v>
      </c>
      <c r="I261" s="25">
        <v>26562</v>
      </c>
      <c r="J261" s="8" t="s">
        <v>601</v>
      </c>
      <c r="K261" s="8" t="s">
        <v>10040</v>
      </c>
      <c r="L261" s="15">
        <v>-0.66539300000000001</v>
      </c>
      <c r="M261" s="15">
        <v>1.18341E-2</v>
      </c>
      <c r="N261" s="15">
        <v>0.20118455617977529</v>
      </c>
    </row>
    <row r="262" spans="1:14" x14ac:dyDescent="0.2">
      <c r="A262" s="2" t="s">
        <v>10068</v>
      </c>
      <c r="B262" s="15">
        <v>1620</v>
      </c>
      <c r="C262" s="15">
        <v>11</v>
      </c>
      <c r="D262" s="15">
        <v>7915072</v>
      </c>
      <c r="E262" s="15">
        <v>9080939</v>
      </c>
      <c r="F262" s="15">
        <v>3467</v>
      </c>
      <c r="G262" s="8" t="s">
        <v>12324</v>
      </c>
      <c r="H262" s="24" t="s">
        <v>599</v>
      </c>
      <c r="I262" s="25">
        <v>26562</v>
      </c>
      <c r="J262" s="8" t="s">
        <v>601</v>
      </c>
      <c r="K262" s="8" t="s">
        <v>10040</v>
      </c>
      <c r="L262" s="15">
        <v>-0.52290199999999998</v>
      </c>
      <c r="M262" s="15">
        <v>1.1868999999999999E-2</v>
      </c>
      <c r="N262" s="15">
        <v>0.20118455617977529</v>
      </c>
    </row>
    <row r="263" spans="1:14" x14ac:dyDescent="0.2">
      <c r="A263" s="2" t="s">
        <v>10068</v>
      </c>
      <c r="B263" s="15">
        <v>10</v>
      </c>
      <c r="C263" s="15">
        <v>1</v>
      </c>
      <c r="D263" s="15">
        <v>7711795</v>
      </c>
      <c r="E263" s="15">
        <v>8580987</v>
      </c>
      <c r="F263" s="15">
        <v>2129</v>
      </c>
      <c r="G263" s="8" t="s">
        <v>12324</v>
      </c>
      <c r="H263" s="24" t="s">
        <v>599</v>
      </c>
      <c r="I263" s="25">
        <v>26562</v>
      </c>
      <c r="J263" s="8" t="s">
        <v>601</v>
      </c>
      <c r="K263" s="8" t="s">
        <v>10040</v>
      </c>
      <c r="L263" s="15">
        <v>-0.78645399999999999</v>
      </c>
      <c r="M263" s="15">
        <v>1.2072899999999999E-2</v>
      </c>
      <c r="N263" s="15">
        <v>0.20118455617977529</v>
      </c>
    </row>
    <row r="264" spans="1:14" x14ac:dyDescent="0.2">
      <c r="A264" s="2" t="s">
        <v>10068</v>
      </c>
      <c r="B264" s="15">
        <v>1032</v>
      </c>
      <c r="C264" s="15">
        <v>6</v>
      </c>
      <c r="D264" s="15">
        <v>101793543</v>
      </c>
      <c r="E264" s="15">
        <v>102637706</v>
      </c>
      <c r="F264" s="15">
        <v>2161</v>
      </c>
      <c r="G264" s="8" t="s">
        <v>12324</v>
      </c>
      <c r="H264" s="24" t="s">
        <v>599</v>
      </c>
      <c r="I264" s="25">
        <v>26562</v>
      </c>
      <c r="J264" s="8" t="s">
        <v>601</v>
      </c>
      <c r="K264" s="8" t="s">
        <v>10040</v>
      </c>
      <c r="L264" s="15">
        <v>-0.63147699999999996</v>
      </c>
      <c r="M264" s="15">
        <v>1.20789E-2</v>
      </c>
      <c r="N264" s="15">
        <v>0.20118455617977529</v>
      </c>
    </row>
    <row r="265" spans="1:14" x14ac:dyDescent="0.2">
      <c r="A265" s="2" t="s">
        <v>10068</v>
      </c>
      <c r="B265" s="15">
        <v>1703</v>
      </c>
      <c r="C265" s="15">
        <v>11</v>
      </c>
      <c r="D265" s="15">
        <v>96150135</v>
      </c>
      <c r="E265" s="15">
        <v>97091671</v>
      </c>
      <c r="F265" s="15">
        <v>2212</v>
      </c>
      <c r="G265" s="8" t="s">
        <v>12324</v>
      </c>
      <c r="H265" s="24" t="s">
        <v>1259</v>
      </c>
      <c r="I265" s="25">
        <v>27096</v>
      </c>
      <c r="J265" s="8" t="s">
        <v>1261</v>
      </c>
      <c r="K265" s="8" t="s">
        <v>10040</v>
      </c>
      <c r="L265" s="15">
        <v>0.85019299999999998</v>
      </c>
      <c r="M265" s="15">
        <v>1.17663E-2</v>
      </c>
      <c r="N265" s="15">
        <v>0.20118455617977529</v>
      </c>
    </row>
    <row r="266" spans="1:14" x14ac:dyDescent="0.2">
      <c r="A266" s="2" t="s">
        <v>10068</v>
      </c>
      <c r="B266" s="15">
        <v>2350</v>
      </c>
      <c r="C266" s="15">
        <v>19</v>
      </c>
      <c r="D266" s="15">
        <v>43960959</v>
      </c>
      <c r="E266" s="15">
        <v>45040932</v>
      </c>
      <c r="F266" s="15">
        <v>2980</v>
      </c>
      <c r="G266" s="8" t="s">
        <v>12324</v>
      </c>
      <c r="H266" s="24" t="s">
        <v>1259</v>
      </c>
      <c r="I266" s="25">
        <v>27096</v>
      </c>
      <c r="J266" s="8" t="s">
        <v>1261</v>
      </c>
      <c r="K266" s="8" t="s">
        <v>10040</v>
      </c>
      <c r="L266" s="15">
        <v>0.62522100000000003</v>
      </c>
      <c r="M266" s="15">
        <v>1.18499E-2</v>
      </c>
      <c r="N266" s="15">
        <v>0.20118455617977529</v>
      </c>
    </row>
    <row r="267" spans="1:14" x14ac:dyDescent="0.2">
      <c r="A267" s="2" t="s">
        <v>10068</v>
      </c>
      <c r="B267" s="15">
        <v>2336</v>
      </c>
      <c r="C267" s="15">
        <v>19</v>
      </c>
      <c r="D267" s="15">
        <v>29389091</v>
      </c>
      <c r="E267" s="15">
        <v>30375792</v>
      </c>
      <c r="F267" s="15">
        <v>3159</v>
      </c>
      <c r="G267" s="8" t="s">
        <v>12324</v>
      </c>
      <c r="H267" s="24" t="s">
        <v>1259</v>
      </c>
      <c r="I267" s="25">
        <v>27096</v>
      </c>
      <c r="J267" s="8" t="s">
        <v>1261</v>
      </c>
      <c r="K267" s="8" t="s">
        <v>10040</v>
      </c>
      <c r="L267" s="15">
        <v>0.85977300000000001</v>
      </c>
      <c r="M267" s="15">
        <v>1.1977700000000001E-2</v>
      </c>
      <c r="N267" s="15">
        <v>0.20118455617977529</v>
      </c>
    </row>
    <row r="268" spans="1:14" x14ac:dyDescent="0.2">
      <c r="A268" s="2" t="s">
        <v>10066</v>
      </c>
      <c r="B268" s="15">
        <v>154</v>
      </c>
      <c r="C268" s="15">
        <v>1</v>
      </c>
      <c r="D268" s="15">
        <v>200134006</v>
      </c>
      <c r="E268" s="15">
        <v>201067952</v>
      </c>
      <c r="F268" s="15">
        <v>2431</v>
      </c>
      <c r="G268" s="8" t="s">
        <v>12324</v>
      </c>
      <c r="H268" s="24" t="s">
        <v>3164</v>
      </c>
      <c r="I268" s="25" t="s">
        <v>3165</v>
      </c>
      <c r="J268" s="8" t="s">
        <v>3166</v>
      </c>
      <c r="K268" s="8" t="s">
        <v>10042</v>
      </c>
      <c r="L268" s="15">
        <v>-0.38974999999999999</v>
      </c>
      <c r="M268" s="15">
        <v>1.15861E-2</v>
      </c>
      <c r="N268" s="15">
        <v>0.20118455617977529</v>
      </c>
    </row>
    <row r="269" spans="1:14" x14ac:dyDescent="0.2">
      <c r="A269" s="2" t="s">
        <v>10066</v>
      </c>
      <c r="B269" s="15">
        <v>807</v>
      </c>
      <c r="C269" s="15">
        <v>5</v>
      </c>
      <c r="D269" s="15">
        <v>35157147</v>
      </c>
      <c r="E269" s="15">
        <v>36431967</v>
      </c>
      <c r="F269" s="15">
        <v>3364</v>
      </c>
      <c r="G269" s="8" t="s">
        <v>12324</v>
      </c>
      <c r="H269" s="24" t="s">
        <v>6008</v>
      </c>
      <c r="I269" s="25" t="s">
        <v>6009</v>
      </c>
      <c r="J269" s="8" t="s">
        <v>6010</v>
      </c>
      <c r="K269" s="8" t="s">
        <v>10051</v>
      </c>
      <c r="L269" s="15">
        <v>0.55950500000000003</v>
      </c>
      <c r="M269" s="15">
        <v>1.1757800000000001E-2</v>
      </c>
      <c r="N269" s="15">
        <v>0.20118455617977529</v>
      </c>
    </row>
    <row r="270" spans="1:14" x14ac:dyDescent="0.2">
      <c r="A270" s="2" t="s">
        <v>10066</v>
      </c>
      <c r="B270" s="15">
        <v>1671</v>
      </c>
      <c r="C270" s="15">
        <v>11</v>
      </c>
      <c r="D270" s="15">
        <v>60515106</v>
      </c>
      <c r="E270" s="15">
        <v>61717117</v>
      </c>
      <c r="F270" s="15">
        <v>2249</v>
      </c>
      <c r="G270" s="8" t="s">
        <v>12324</v>
      </c>
      <c r="H270" s="24" t="s">
        <v>3164</v>
      </c>
      <c r="I270" s="25" t="s">
        <v>3165</v>
      </c>
      <c r="J270" s="8" t="s">
        <v>3166</v>
      </c>
      <c r="K270" s="8" t="s">
        <v>10042</v>
      </c>
      <c r="L270" s="15">
        <v>0.63003600000000004</v>
      </c>
      <c r="M270" s="15">
        <v>1.22179E-2</v>
      </c>
      <c r="N270" s="15">
        <v>0.2021880093283582</v>
      </c>
    </row>
    <row r="271" spans="1:14" x14ac:dyDescent="0.2">
      <c r="A271" s="2" t="s">
        <v>10068</v>
      </c>
      <c r="B271" s="15">
        <v>1179</v>
      </c>
      <c r="C271" s="15">
        <v>7</v>
      </c>
      <c r="D271" s="15">
        <v>90660832</v>
      </c>
      <c r="E271" s="15">
        <v>92530165</v>
      </c>
      <c r="F271" s="15">
        <v>3026</v>
      </c>
      <c r="G271" s="8" t="s">
        <v>12324</v>
      </c>
      <c r="H271" s="24" t="s">
        <v>494</v>
      </c>
      <c r="I271" s="25">
        <v>25920</v>
      </c>
      <c r="J271" s="8" t="s">
        <v>496</v>
      </c>
      <c r="K271" s="8" t="s">
        <v>10040</v>
      </c>
      <c r="L271" s="15">
        <v>-0.673072</v>
      </c>
      <c r="M271" s="15">
        <v>1.26442E-2</v>
      </c>
      <c r="N271" s="15">
        <v>0.20699176014760151</v>
      </c>
    </row>
    <row r="272" spans="1:14" x14ac:dyDescent="0.2">
      <c r="A272" s="2" t="s">
        <v>10066</v>
      </c>
      <c r="B272" s="15">
        <v>1451</v>
      </c>
      <c r="C272" s="15">
        <v>9</v>
      </c>
      <c r="D272" s="15">
        <v>107061020</v>
      </c>
      <c r="E272" s="15">
        <v>108203095</v>
      </c>
      <c r="F272" s="15">
        <v>3589</v>
      </c>
      <c r="G272" s="8" t="s">
        <v>12324</v>
      </c>
      <c r="H272" s="24" t="s">
        <v>3164</v>
      </c>
      <c r="I272" s="25" t="s">
        <v>3165</v>
      </c>
      <c r="J272" s="8" t="s">
        <v>3166</v>
      </c>
      <c r="K272" s="8" t="s">
        <v>10042</v>
      </c>
      <c r="L272" s="15">
        <v>-0.66380799999999995</v>
      </c>
      <c r="M272" s="15">
        <v>1.26482E-2</v>
      </c>
      <c r="N272" s="15">
        <v>0.20699176014760151</v>
      </c>
    </row>
    <row r="273" spans="1:14" x14ac:dyDescent="0.2">
      <c r="A273" s="2" t="s">
        <v>10068</v>
      </c>
      <c r="B273" s="15">
        <v>1613</v>
      </c>
      <c r="C273" s="15">
        <v>11</v>
      </c>
      <c r="D273" s="15">
        <v>2477450</v>
      </c>
      <c r="E273" s="15">
        <v>3362508</v>
      </c>
      <c r="F273" s="15">
        <v>2442</v>
      </c>
      <c r="G273" s="8" t="s">
        <v>12324</v>
      </c>
      <c r="H273" s="24" t="s">
        <v>6565</v>
      </c>
      <c r="I273" s="25" t="s">
        <v>6475</v>
      </c>
      <c r="J273" s="8" t="s">
        <v>6566</v>
      </c>
      <c r="K273" s="8" t="s">
        <v>10054</v>
      </c>
      <c r="L273" s="15">
        <v>-0.41310799999999998</v>
      </c>
      <c r="M273" s="15">
        <v>1.26047E-2</v>
      </c>
      <c r="N273" s="15">
        <v>0.20699176014760151</v>
      </c>
    </row>
    <row r="274" spans="1:14" x14ac:dyDescent="0.2">
      <c r="A274" s="2" t="s">
        <v>10068</v>
      </c>
      <c r="B274" s="15">
        <v>1324</v>
      </c>
      <c r="C274" s="15">
        <v>8</v>
      </c>
      <c r="D274" s="15">
        <v>92876621</v>
      </c>
      <c r="E274" s="15">
        <v>94999066</v>
      </c>
      <c r="F274" s="15">
        <v>3963</v>
      </c>
      <c r="G274" s="8" t="s">
        <v>12324</v>
      </c>
      <c r="H274" s="24" t="s">
        <v>494</v>
      </c>
      <c r="I274" s="25">
        <v>25920</v>
      </c>
      <c r="J274" s="8" t="s">
        <v>496</v>
      </c>
      <c r="K274" s="8" t="s">
        <v>10040</v>
      </c>
      <c r="L274" s="15">
        <v>0.57753100000000002</v>
      </c>
      <c r="M274" s="15">
        <v>1.2846099999999999E-2</v>
      </c>
      <c r="N274" s="15">
        <v>0.2092840958188153</v>
      </c>
    </row>
    <row r="275" spans="1:14" x14ac:dyDescent="0.2">
      <c r="A275" s="2" t="s">
        <v>10068</v>
      </c>
      <c r="B275" s="15">
        <v>2423</v>
      </c>
      <c r="C275" s="15">
        <v>20</v>
      </c>
      <c r="D275" s="15">
        <v>57924038</v>
      </c>
      <c r="E275" s="15">
        <v>58780894</v>
      </c>
      <c r="F275" s="15">
        <v>2371</v>
      </c>
      <c r="G275" s="8" t="s">
        <v>12324</v>
      </c>
      <c r="H275" s="24" t="s">
        <v>494</v>
      </c>
      <c r="I275" s="25">
        <v>25920</v>
      </c>
      <c r="J275" s="8" t="s">
        <v>496</v>
      </c>
      <c r="K275" s="8" t="s">
        <v>10040</v>
      </c>
      <c r="L275" s="15">
        <v>-0.34229100000000001</v>
      </c>
      <c r="M275" s="15">
        <v>1.32248E-2</v>
      </c>
      <c r="N275" s="15">
        <v>0.2092840958188153</v>
      </c>
    </row>
    <row r="276" spans="1:14" x14ac:dyDescent="0.2">
      <c r="A276" s="2" t="s">
        <v>10068</v>
      </c>
      <c r="B276" s="15">
        <v>908</v>
      </c>
      <c r="C276" s="15">
        <v>5</v>
      </c>
      <c r="D276" s="15">
        <v>158484776</v>
      </c>
      <c r="E276" s="15">
        <v>159663733</v>
      </c>
      <c r="F276" s="15">
        <v>3099</v>
      </c>
      <c r="G276" s="8" t="s">
        <v>12324</v>
      </c>
      <c r="H276" s="24" t="s">
        <v>494</v>
      </c>
      <c r="I276" s="25">
        <v>25920</v>
      </c>
      <c r="J276" s="8" t="s">
        <v>496</v>
      </c>
      <c r="K276" s="8" t="s">
        <v>10040</v>
      </c>
      <c r="L276" s="15">
        <v>-0.33704000000000001</v>
      </c>
      <c r="M276" s="15">
        <v>1.33656E-2</v>
      </c>
      <c r="N276" s="15">
        <v>0.2092840958188153</v>
      </c>
    </row>
    <row r="277" spans="1:14" x14ac:dyDescent="0.2">
      <c r="A277" s="2" t="s">
        <v>10068</v>
      </c>
      <c r="B277" s="15">
        <v>1182</v>
      </c>
      <c r="C277" s="15">
        <v>7</v>
      </c>
      <c r="D277" s="15">
        <v>95174848</v>
      </c>
      <c r="E277" s="15">
        <v>96564981</v>
      </c>
      <c r="F277" s="15">
        <v>3148</v>
      </c>
      <c r="G277" s="8" t="s">
        <v>12324</v>
      </c>
      <c r="H277" s="24" t="s">
        <v>494</v>
      </c>
      <c r="I277" s="25">
        <v>25920</v>
      </c>
      <c r="J277" s="8" t="s">
        <v>496</v>
      </c>
      <c r="K277" s="8" t="s">
        <v>10040</v>
      </c>
      <c r="L277" s="15">
        <v>-0.72815700000000005</v>
      </c>
      <c r="M277" s="15">
        <v>1.3537199999999999E-2</v>
      </c>
      <c r="N277" s="15">
        <v>0.2092840958188153</v>
      </c>
    </row>
    <row r="278" spans="1:14" x14ac:dyDescent="0.2">
      <c r="A278" s="2" t="s">
        <v>10068</v>
      </c>
      <c r="B278" s="15">
        <v>699</v>
      </c>
      <c r="C278" s="15">
        <v>4</v>
      </c>
      <c r="D278" s="15">
        <v>111733580</v>
      </c>
      <c r="E278" s="15">
        <v>112830229</v>
      </c>
      <c r="F278" s="15">
        <v>2394</v>
      </c>
      <c r="G278" s="8" t="s">
        <v>12324</v>
      </c>
      <c r="H278" s="24" t="s">
        <v>494</v>
      </c>
      <c r="I278" s="25">
        <v>25920</v>
      </c>
      <c r="J278" s="8" t="s">
        <v>496</v>
      </c>
      <c r="K278" s="8" t="s">
        <v>10040</v>
      </c>
      <c r="L278" s="15">
        <v>-0.71162599999999998</v>
      </c>
      <c r="M278" s="15">
        <v>1.3543299999999999E-2</v>
      </c>
      <c r="N278" s="15">
        <v>0.2092840958188153</v>
      </c>
    </row>
    <row r="279" spans="1:14" x14ac:dyDescent="0.2">
      <c r="A279" s="2" t="s">
        <v>10068</v>
      </c>
      <c r="B279" s="15">
        <v>653</v>
      </c>
      <c r="C279" s="15">
        <v>4</v>
      </c>
      <c r="D279" s="15">
        <v>57103101</v>
      </c>
      <c r="E279" s="15">
        <v>58011085</v>
      </c>
      <c r="F279" s="15">
        <v>2965</v>
      </c>
      <c r="G279" s="8" t="s">
        <v>12324</v>
      </c>
      <c r="H279" s="24" t="s">
        <v>599</v>
      </c>
      <c r="I279" s="25">
        <v>26562</v>
      </c>
      <c r="J279" s="8" t="s">
        <v>601</v>
      </c>
      <c r="K279" s="8" t="s">
        <v>10040</v>
      </c>
      <c r="L279" s="15">
        <v>0.77254199999999995</v>
      </c>
      <c r="M279" s="15">
        <v>1.3039800000000001E-2</v>
      </c>
      <c r="N279" s="15">
        <v>0.2092840958188153</v>
      </c>
    </row>
    <row r="280" spans="1:14" x14ac:dyDescent="0.2">
      <c r="A280" s="2" t="s">
        <v>10066</v>
      </c>
      <c r="B280" s="15">
        <v>1307</v>
      </c>
      <c r="C280" s="15">
        <v>8</v>
      </c>
      <c r="D280" s="15">
        <v>72013185</v>
      </c>
      <c r="E280" s="15">
        <v>72917489</v>
      </c>
      <c r="F280" s="15">
        <v>2488</v>
      </c>
      <c r="G280" s="8" t="s">
        <v>12324</v>
      </c>
      <c r="H280" s="24" t="s">
        <v>3164</v>
      </c>
      <c r="I280" s="25" t="s">
        <v>3165</v>
      </c>
      <c r="J280" s="8" t="s">
        <v>3166</v>
      </c>
      <c r="K280" s="8" t="s">
        <v>10042</v>
      </c>
      <c r="L280" s="15">
        <v>-0.80053600000000003</v>
      </c>
      <c r="M280" s="15">
        <v>1.29598E-2</v>
      </c>
      <c r="N280" s="15">
        <v>0.2092840958188153</v>
      </c>
    </row>
    <row r="281" spans="1:14" x14ac:dyDescent="0.2">
      <c r="A281" s="2" t="s">
        <v>10066</v>
      </c>
      <c r="B281" s="15">
        <v>2242</v>
      </c>
      <c r="C281" s="15">
        <v>18</v>
      </c>
      <c r="D281" s="15">
        <v>3722829</v>
      </c>
      <c r="E281" s="15">
        <v>4603961</v>
      </c>
      <c r="F281" s="15">
        <v>2678</v>
      </c>
      <c r="G281" s="8" t="s">
        <v>12324</v>
      </c>
      <c r="H281" s="24" t="s">
        <v>3164</v>
      </c>
      <c r="I281" s="25" t="s">
        <v>3165</v>
      </c>
      <c r="J281" s="8" t="s">
        <v>3166</v>
      </c>
      <c r="K281" s="8" t="s">
        <v>10042</v>
      </c>
      <c r="L281" s="15">
        <v>0.46750700000000001</v>
      </c>
      <c r="M281" s="15">
        <v>1.32368E-2</v>
      </c>
      <c r="N281" s="15">
        <v>0.2092840958188153</v>
      </c>
    </row>
    <row r="282" spans="1:14" x14ac:dyDescent="0.2">
      <c r="A282" s="2" t="s">
        <v>10066</v>
      </c>
      <c r="B282" s="15">
        <v>2100</v>
      </c>
      <c r="C282" s="15">
        <v>15</v>
      </c>
      <c r="D282" s="15">
        <v>100742118</v>
      </c>
      <c r="E282" s="15">
        <v>101550750</v>
      </c>
      <c r="F282" s="15">
        <v>3025</v>
      </c>
      <c r="G282" s="8" t="s">
        <v>12324</v>
      </c>
      <c r="H282" s="24" t="s">
        <v>3164</v>
      </c>
      <c r="I282" s="25" t="s">
        <v>3165</v>
      </c>
      <c r="J282" s="8" t="s">
        <v>3166</v>
      </c>
      <c r="K282" s="8" t="s">
        <v>10042</v>
      </c>
      <c r="L282" s="15">
        <v>-0.50748899999999997</v>
      </c>
      <c r="M282" s="15">
        <v>1.3317900000000001E-2</v>
      </c>
      <c r="N282" s="15">
        <v>0.2092840958188153</v>
      </c>
    </row>
    <row r="283" spans="1:14" x14ac:dyDescent="0.2">
      <c r="A283" s="2" t="s">
        <v>10066</v>
      </c>
      <c r="B283" s="15">
        <v>1434</v>
      </c>
      <c r="C283" s="15">
        <v>9</v>
      </c>
      <c r="D283" s="15">
        <v>90135155</v>
      </c>
      <c r="E283" s="15">
        <v>90890979</v>
      </c>
      <c r="F283" s="15">
        <v>2377</v>
      </c>
      <c r="G283" s="8" t="s">
        <v>12324</v>
      </c>
      <c r="H283" s="24" t="s">
        <v>3164</v>
      </c>
      <c r="I283" s="25" t="s">
        <v>3165</v>
      </c>
      <c r="J283" s="8" t="s">
        <v>3166</v>
      </c>
      <c r="K283" s="8" t="s">
        <v>10042</v>
      </c>
      <c r="L283" s="15">
        <v>-0.76809099999999997</v>
      </c>
      <c r="M283" s="15">
        <v>1.34065E-2</v>
      </c>
      <c r="N283" s="15">
        <v>0.2092840958188153</v>
      </c>
    </row>
    <row r="284" spans="1:14" x14ac:dyDescent="0.2">
      <c r="A284" s="2" t="s">
        <v>10066</v>
      </c>
      <c r="B284" s="15">
        <v>2030</v>
      </c>
      <c r="C284" s="15">
        <v>14</v>
      </c>
      <c r="D284" s="15">
        <v>104439107</v>
      </c>
      <c r="E284" s="15">
        <v>105091340</v>
      </c>
      <c r="F284" s="15">
        <v>2128</v>
      </c>
      <c r="G284" s="8" t="s">
        <v>12324</v>
      </c>
      <c r="H284" s="24" t="s">
        <v>3164</v>
      </c>
      <c r="I284" s="25" t="s">
        <v>3165</v>
      </c>
      <c r="J284" s="8" t="s">
        <v>3166</v>
      </c>
      <c r="K284" s="8" t="s">
        <v>10042</v>
      </c>
      <c r="L284" s="15">
        <v>0.42039799999999999</v>
      </c>
      <c r="M284" s="15">
        <v>1.34629E-2</v>
      </c>
      <c r="N284" s="15">
        <v>0.2092840958188153</v>
      </c>
    </row>
    <row r="285" spans="1:14" x14ac:dyDescent="0.2">
      <c r="A285" s="2" t="s">
        <v>10066</v>
      </c>
      <c r="B285" s="15">
        <v>1192</v>
      </c>
      <c r="C285" s="15">
        <v>7</v>
      </c>
      <c r="D285" s="15">
        <v>106399740</v>
      </c>
      <c r="E285" s="15">
        <v>107658603</v>
      </c>
      <c r="F285" s="15">
        <v>2650</v>
      </c>
      <c r="G285" s="8" t="s">
        <v>12324</v>
      </c>
      <c r="H285" s="24" t="s">
        <v>3164</v>
      </c>
      <c r="I285" s="25" t="s">
        <v>3165</v>
      </c>
      <c r="J285" s="8" t="s">
        <v>3166</v>
      </c>
      <c r="K285" s="8" t="s">
        <v>10042</v>
      </c>
      <c r="L285" s="15">
        <v>-0.93500799999999995</v>
      </c>
      <c r="M285" s="15">
        <v>1.3516800000000001E-2</v>
      </c>
      <c r="N285" s="15">
        <v>0.2092840958188153</v>
      </c>
    </row>
    <row r="286" spans="1:14" x14ac:dyDescent="0.2">
      <c r="A286" s="2" t="s">
        <v>10066</v>
      </c>
      <c r="B286" s="15">
        <v>1222</v>
      </c>
      <c r="C286" s="15">
        <v>7</v>
      </c>
      <c r="D286" s="15">
        <v>148622914</v>
      </c>
      <c r="E286" s="15">
        <v>149842999</v>
      </c>
      <c r="F286" s="15">
        <v>3286</v>
      </c>
      <c r="G286" s="8" t="s">
        <v>12324</v>
      </c>
      <c r="H286" s="24" t="s">
        <v>6008</v>
      </c>
      <c r="I286" s="25" t="s">
        <v>6009</v>
      </c>
      <c r="J286" s="8" t="s">
        <v>6010</v>
      </c>
      <c r="K286" s="8" t="s">
        <v>10051</v>
      </c>
      <c r="L286" s="15">
        <v>-0.43651699999999999</v>
      </c>
      <c r="M286" s="15">
        <v>1.3147799999999999E-2</v>
      </c>
      <c r="N286" s="15">
        <v>0.2092840958188153</v>
      </c>
    </row>
    <row r="287" spans="1:14" x14ac:dyDescent="0.2">
      <c r="A287" s="2" t="s">
        <v>10066</v>
      </c>
      <c r="B287" s="15">
        <v>2347</v>
      </c>
      <c r="C287" s="15">
        <v>19</v>
      </c>
      <c r="D287" s="15">
        <v>41004106</v>
      </c>
      <c r="E287" s="15">
        <v>41733463</v>
      </c>
      <c r="F287" s="15">
        <v>2121</v>
      </c>
      <c r="G287" s="8" t="s">
        <v>12324</v>
      </c>
      <c r="H287" s="24" t="s">
        <v>6008</v>
      </c>
      <c r="I287" s="25" t="s">
        <v>6009</v>
      </c>
      <c r="J287" s="8" t="s">
        <v>6010</v>
      </c>
      <c r="K287" s="8" t="s">
        <v>10051</v>
      </c>
      <c r="L287" s="15">
        <v>-0.79188499999999995</v>
      </c>
      <c r="M287" s="15">
        <v>1.31857E-2</v>
      </c>
      <c r="N287" s="15">
        <v>0.2092840958188153</v>
      </c>
    </row>
    <row r="288" spans="1:14" x14ac:dyDescent="0.2">
      <c r="A288" s="2" t="s">
        <v>10066</v>
      </c>
      <c r="B288" s="15">
        <v>1625</v>
      </c>
      <c r="C288" s="15">
        <v>11</v>
      </c>
      <c r="D288" s="15">
        <v>12470450</v>
      </c>
      <c r="E288" s="15">
        <v>13364727</v>
      </c>
      <c r="F288" s="15">
        <v>2432</v>
      </c>
      <c r="G288" s="8" t="s">
        <v>12324</v>
      </c>
      <c r="H288" s="24" t="s">
        <v>6008</v>
      </c>
      <c r="I288" s="25" t="s">
        <v>6009</v>
      </c>
      <c r="J288" s="8" t="s">
        <v>6010</v>
      </c>
      <c r="K288" s="8" t="s">
        <v>10051</v>
      </c>
      <c r="L288" s="15">
        <v>-0.72855099999999995</v>
      </c>
      <c r="M288" s="15">
        <v>1.33911E-2</v>
      </c>
      <c r="N288" s="15">
        <v>0.2092840958188153</v>
      </c>
    </row>
    <row r="289" spans="1:14" x14ac:dyDescent="0.2">
      <c r="A289" s="2" t="s">
        <v>10068</v>
      </c>
      <c r="B289" s="15">
        <v>2390</v>
      </c>
      <c r="C289" s="15">
        <v>20</v>
      </c>
      <c r="D289" s="15">
        <v>18959420</v>
      </c>
      <c r="E289" s="15">
        <v>19957928</v>
      </c>
      <c r="F289" s="15">
        <v>2835</v>
      </c>
      <c r="G289" s="8" t="s">
        <v>12324</v>
      </c>
      <c r="H289" s="24" t="s">
        <v>6565</v>
      </c>
      <c r="I289" s="25" t="s">
        <v>6475</v>
      </c>
      <c r="J289" s="8" t="s">
        <v>6566</v>
      </c>
      <c r="K289" s="8" t="s">
        <v>10054</v>
      </c>
      <c r="L289" s="15">
        <v>0.78406100000000001</v>
      </c>
      <c r="M289" s="15">
        <v>1.33934E-2</v>
      </c>
      <c r="N289" s="15">
        <v>0.2092840958188153</v>
      </c>
    </row>
    <row r="290" spans="1:14" x14ac:dyDescent="0.2">
      <c r="A290" s="2" t="s">
        <v>10069</v>
      </c>
      <c r="B290" s="15">
        <v>1667</v>
      </c>
      <c r="C290" s="15">
        <v>11</v>
      </c>
      <c r="D290" s="15">
        <v>56623495</v>
      </c>
      <c r="E290" s="15">
        <v>57675986</v>
      </c>
      <c r="F290" s="15">
        <v>1464</v>
      </c>
      <c r="G290" s="8" t="s">
        <v>12324</v>
      </c>
      <c r="H290" s="24" t="s">
        <v>662</v>
      </c>
      <c r="I290" s="25" t="s">
        <v>663</v>
      </c>
      <c r="J290" s="8" t="s">
        <v>664</v>
      </c>
      <c r="K290" s="8" t="s">
        <v>10040</v>
      </c>
      <c r="L290" s="15">
        <v>-0.97567700000000002</v>
      </c>
      <c r="M290" s="15">
        <v>1.36887E-2</v>
      </c>
      <c r="N290" s="15">
        <v>0.21079647395833331</v>
      </c>
    </row>
    <row r="291" spans="1:14" x14ac:dyDescent="0.2">
      <c r="A291" s="2" t="s">
        <v>10068</v>
      </c>
      <c r="B291" s="15">
        <v>1643</v>
      </c>
      <c r="C291" s="15">
        <v>11</v>
      </c>
      <c r="D291" s="15">
        <v>30570130</v>
      </c>
      <c r="E291" s="15">
        <v>32065771</v>
      </c>
      <c r="F291" s="15">
        <v>2166</v>
      </c>
      <c r="G291" s="8" t="s">
        <v>12324</v>
      </c>
      <c r="H291" s="24" t="s">
        <v>494</v>
      </c>
      <c r="I291" s="25">
        <v>25920</v>
      </c>
      <c r="J291" s="8" t="s">
        <v>496</v>
      </c>
      <c r="K291" s="8" t="s">
        <v>10040</v>
      </c>
      <c r="L291" s="15">
        <v>-0.44800099999999998</v>
      </c>
      <c r="M291" s="15">
        <v>1.3767400000000001E-2</v>
      </c>
      <c r="N291" s="15">
        <v>0.21127480622837369</v>
      </c>
    </row>
    <row r="292" spans="1:14" x14ac:dyDescent="0.2">
      <c r="A292" s="2" t="s">
        <v>10068</v>
      </c>
      <c r="B292" s="15">
        <v>2416</v>
      </c>
      <c r="C292" s="15">
        <v>20</v>
      </c>
      <c r="D292" s="15">
        <v>52411533</v>
      </c>
      <c r="E292" s="15">
        <v>53120334</v>
      </c>
      <c r="F292" s="15">
        <v>2351</v>
      </c>
      <c r="G292" s="8" t="s">
        <v>12324</v>
      </c>
      <c r="H292" s="24" t="s">
        <v>6565</v>
      </c>
      <c r="I292" s="25" t="s">
        <v>6475</v>
      </c>
      <c r="J292" s="8" t="s">
        <v>6566</v>
      </c>
      <c r="K292" s="8" t="s">
        <v>10054</v>
      </c>
      <c r="L292" s="15">
        <v>0.581515</v>
      </c>
      <c r="M292" s="15">
        <v>1.38496E-2</v>
      </c>
      <c r="N292" s="15">
        <v>0.21180336551724141</v>
      </c>
    </row>
    <row r="293" spans="1:14" x14ac:dyDescent="0.2">
      <c r="A293" s="2" t="s">
        <v>10068</v>
      </c>
      <c r="B293" s="15">
        <v>1002</v>
      </c>
      <c r="C293" s="15">
        <v>6</v>
      </c>
      <c r="D293" s="15">
        <v>69294228</v>
      </c>
      <c r="E293" s="15">
        <v>70363348</v>
      </c>
      <c r="F293" s="15">
        <v>2992</v>
      </c>
      <c r="G293" s="8" t="s">
        <v>12324</v>
      </c>
      <c r="H293" s="24" t="s">
        <v>6565</v>
      </c>
      <c r="I293" s="25" t="s">
        <v>6475</v>
      </c>
      <c r="J293" s="8" t="s">
        <v>6566</v>
      </c>
      <c r="K293" s="8" t="s">
        <v>10054</v>
      </c>
      <c r="L293" s="15">
        <v>0.80548500000000001</v>
      </c>
      <c r="M293" s="15">
        <v>1.3925099999999999E-2</v>
      </c>
      <c r="N293" s="15">
        <v>0.2122261804123711</v>
      </c>
    </row>
    <row r="294" spans="1:14" x14ac:dyDescent="0.2">
      <c r="A294" s="2" t="s">
        <v>10068</v>
      </c>
      <c r="B294" s="15">
        <v>206</v>
      </c>
      <c r="C294" s="15">
        <v>2</v>
      </c>
      <c r="D294" s="15">
        <v>3314203</v>
      </c>
      <c r="E294" s="15">
        <v>4016104</v>
      </c>
      <c r="F294" s="15">
        <v>2402</v>
      </c>
      <c r="G294" s="8" t="s">
        <v>12324</v>
      </c>
      <c r="H294" s="24" t="s">
        <v>494</v>
      </c>
      <c r="I294" s="25">
        <v>25920</v>
      </c>
      <c r="J294" s="8" t="s">
        <v>496</v>
      </c>
      <c r="K294" s="8" t="s">
        <v>10040</v>
      </c>
      <c r="L294" s="15">
        <v>-0.35587800000000003</v>
      </c>
      <c r="M294" s="15">
        <v>1.4221900000000001E-2</v>
      </c>
      <c r="N294" s="15">
        <v>0.21273808</v>
      </c>
    </row>
    <row r="295" spans="1:14" x14ac:dyDescent="0.2">
      <c r="A295" s="2" t="s">
        <v>10068</v>
      </c>
      <c r="B295" s="15">
        <v>1637</v>
      </c>
      <c r="C295" s="15">
        <v>11</v>
      </c>
      <c r="D295" s="15">
        <v>24892440</v>
      </c>
      <c r="E295" s="15">
        <v>25662918</v>
      </c>
      <c r="F295" s="15">
        <v>2776</v>
      </c>
      <c r="G295" s="8" t="s">
        <v>12324</v>
      </c>
      <c r="H295" s="24" t="s">
        <v>494</v>
      </c>
      <c r="I295" s="25">
        <v>25920</v>
      </c>
      <c r="J295" s="8" t="s">
        <v>496</v>
      </c>
      <c r="K295" s="8" t="s">
        <v>10040</v>
      </c>
      <c r="L295" s="15">
        <v>-1</v>
      </c>
      <c r="M295" s="15">
        <v>1.4390399999999999E-2</v>
      </c>
      <c r="N295" s="15">
        <v>0.21273808</v>
      </c>
    </row>
    <row r="296" spans="1:14" x14ac:dyDescent="0.2">
      <c r="A296" s="2" t="s">
        <v>10068</v>
      </c>
      <c r="B296" s="15">
        <v>1518</v>
      </c>
      <c r="C296" s="15">
        <v>10</v>
      </c>
      <c r="D296" s="15">
        <v>29393750</v>
      </c>
      <c r="E296" s="15">
        <v>30000223</v>
      </c>
      <c r="F296" s="15">
        <v>2188</v>
      </c>
      <c r="G296" s="8" t="s">
        <v>12324</v>
      </c>
      <c r="H296" s="24" t="s">
        <v>599</v>
      </c>
      <c r="I296" s="25">
        <v>26562</v>
      </c>
      <c r="J296" s="8" t="s">
        <v>601</v>
      </c>
      <c r="K296" s="8" t="s">
        <v>10040</v>
      </c>
      <c r="L296" s="15">
        <v>-0.87534599999999996</v>
      </c>
      <c r="M296" s="15">
        <v>1.40565E-2</v>
      </c>
      <c r="N296" s="15">
        <v>0.21273808</v>
      </c>
    </row>
    <row r="297" spans="1:14" x14ac:dyDescent="0.2">
      <c r="A297" s="2" t="s">
        <v>10068</v>
      </c>
      <c r="B297" s="15">
        <v>184</v>
      </c>
      <c r="C297" s="15">
        <v>1</v>
      </c>
      <c r="D297" s="15">
        <v>234365797</v>
      </c>
      <c r="E297" s="15">
        <v>235097113</v>
      </c>
      <c r="F297" s="15">
        <v>2254</v>
      </c>
      <c r="G297" s="8" t="s">
        <v>12324</v>
      </c>
      <c r="H297" s="24" t="s">
        <v>599</v>
      </c>
      <c r="I297" s="25">
        <v>26562</v>
      </c>
      <c r="J297" s="8" t="s">
        <v>601</v>
      </c>
      <c r="K297" s="8" t="s">
        <v>10040</v>
      </c>
      <c r="L297" s="15">
        <v>-0.51049</v>
      </c>
      <c r="M297" s="15">
        <v>1.41683E-2</v>
      </c>
      <c r="N297" s="15">
        <v>0.21273808</v>
      </c>
    </row>
    <row r="298" spans="1:14" x14ac:dyDescent="0.2">
      <c r="A298" s="2" t="s">
        <v>10068</v>
      </c>
      <c r="B298" s="15">
        <v>1062</v>
      </c>
      <c r="C298" s="15">
        <v>6</v>
      </c>
      <c r="D298" s="15">
        <v>135544084</v>
      </c>
      <c r="E298" s="15">
        <v>137553212</v>
      </c>
      <c r="F298" s="15">
        <v>3653</v>
      </c>
      <c r="G298" s="8" t="s">
        <v>12324</v>
      </c>
      <c r="H298" s="24" t="s">
        <v>1259</v>
      </c>
      <c r="I298" s="25">
        <v>27096</v>
      </c>
      <c r="J298" s="8" t="s">
        <v>1261</v>
      </c>
      <c r="K298" s="8" t="s">
        <v>10040</v>
      </c>
      <c r="L298" s="15">
        <v>-0.47096100000000002</v>
      </c>
      <c r="M298" s="15">
        <v>1.4012999999999999E-2</v>
      </c>
      <c r="N298" s="15">
        <v>0.21273808</v>
      </c>
    </row>
    <row r="299" spans="1:14" x14ac:dyDescent="0.2">
      <c r="A299" s="2" t="s">
        <v>10068</v>
      </c>
      <c r="B299" s="15">
        <v>1082</v>
      </c>
      <c r="C299" s="15">
        <v>6</v>
      </c>
      <c r="D299" s="15">
        <v>158952061</v>
      </c>
      <c r="E299" s="15">
        <v>159604052</v>
      </c>
      <c r="F299" s="15">
        <v>2180</v>
      </c>
      <c r="G299" s="8" t="s">
        <v>12324</v>
      </c>
      <c r="H299" s="24" t="s">
        <v>1259</v>
      </c>
      <c r="I299" s="25">
        <v>27096</v>
      </c>
      <c r="J299" s="8" t="s">
        <v>1261</v>
      </c>
      <c r="K299" s="8" t="s">
        <v>10040</v>
      </c>
      <c r="L299" s="15">
        <v>-0.92192200000000002</v>
      </c>
      <c r="M299" s="15">
        <v>1.4310399999999999E-2</v>
      </c>
      <c r="N299" s="15">
        <v>0.21273808</v>
      </c>
    </row>
    <row r="300" spans="1:14" x14ac:dyDescent="0.2">
      <c r="A300" s="2" t="s">
        <v>10066</v>
      </c>
      <c r="B300" s="15">
        <v>1184</v>
      </c>
      <c r="C300" s="15">
        <v>7</v>
      </c>
      <c r="D300" s="15">
        <v>97420208</v>
      </c>
      <c r="E300" s="15">
        <v>98173564</v>
      </c>
      <c r="F300" s="15">
        <v>2108</v>
      </c>
      <c r="G300" s="8" t="s">
        <v>12324</v>
      </c>
      <c r="H300" s="24" t="s">
        <v>3164</v>
      </c>
      <c r="I300" s="25" t="s">
        <v>3165</v>
      </c>
      <c r="J300" s="8" t="s">
        <v>3166</v>
      </c>
      <c r="K300" s="8" t="s">
        <v>10042</v>
      </c>
      <c r="L300" s="15">
        <v>-0.65893599999999997</v>
      </c>
      <c r="M300" s="15">
        <v>1.4356600000000001E-2</v>
      </c>
      <c r="N300" s="15">
        <v>0.21273808</v>
      </c>
    </row>
    <row r="301" spans="1:14" x14ac:dyDescent="0.2">
      <c r="A301" s="2" t="s">
        <v>10066</v>
      </c>
      <c r="B301" s="15">
        <v>481</v>
      </c>
      <c r="C301" s="15">
        <v>3</v>
      </c>
      <c r="D301" s="15">
        <v>68319771</v>
      </c>
      <c r="E301" s="15">
        <v>69784969</v>
      </c>
      <c r="F301" s="15">
        <v>4029</v>
      </c>
      <c r="G301" s="8" t="s">
        <v>12324</v>
      </c>
      <c r="H301" s="24" t="s">
        <v>6008</v>
      </c>
      <c r="I301" s="25" t="s">
        <v>6009</v>
      </c>
      <c r="J301" s="8" t="s">
        <v>6010</v>
      </c>
      <c r="K301" s="8" t="s">
        <v>10051</v>
      </c>
      <c r="L301" s="15">
        <v>-0.596333</v>
      </c>
      <c r="M301" s="15">
        <v>1.42104E-2</v>
      </c>
      <c r="N301" s="15">
        <v>0.21273808</v>
      </c>
    </row>
    <row r="302" spans="1:14" x14ac:dyDescent="0.2">
      <c r="A302" s="2" t="s">
        <v>10068</v>
      </c>
      <c r="B302" s="15">
        <v>2242</v>
      </c>
      <c r="C302" s="15">
        <v>18</v>
      </c>
      <c r="D302" s="15">
        <v>3722829</v>
      </c>
      <c r="E302" s="15">
        <v>4603961</v>
      </c>
      <c r="F302" s="15">
        <v>2690</v>
      </c>
      <c r="G302" s="8" t="s">
        <v>12324</v>
      </c>
      <c r="H302" s="24" t="s">
        <v>6565</v>
      </c>
      <c r="I302" s="25" t="s">
        <v>6475</v>
      </c>
      <c r="J302" s="8" t="s">
        <v>6566</v>
      </c>
      <c r="K302" s="8" t="s">
        <v>10054</v>
      </c>
      <c r="L302" s="15">
        <v>0.37267099999999997</v>
      </c>
      <c r="M302" s="15">
        <v>1.43333E-2</v>
      </c>
      <c r="N302" s="15">
        <v>0.21273808</v>
      </c>
    </row>
    <row r="303" spans="1:14" x14ac:dyDescent="0.2">
      <c r="A303" s="2" t="s">
        <v>10068</v>
      </c>
      <c r="B303" s="15">
        <v>1373</v>
      </c>
      <c r="C303" s="15">
        <v>9</v>
      </c>
      <c r="D303" s="15">
        <v>1874962</v>
      </c>
      <c r="E303" s="15">
        <v>2441120</v>
      </c>
      <c r="F303" s="15">
        <v>2006</v>
      </c>
      <c r="G303" s="8" t="s">
        <v>12324</v>
      </c>
      <c r="H303" s="24" t="s">
        <v>6565</v>
      </c>
      <c r="I303" s="25" t="s">
        <v>6475</v>
      </c>
      <c r="J303" s="8" t="s">
        <v>6566</v>
      </c>
      <c r="K303" s="8" t="s">
        <v>10054</v>
      </c>
      <c r="L303" s="15">
        <v>-0.38439899999999999</v>
      </c>
      <c r="M303" s="15">
        <v>1.44458E-2</v>
      </c>
      <c r="N303" s="15">
        <v>0.21284758471760801</v>
      </c>
    </row>
    <row r="304" spans="1:14" x14ac:dyDescent="0.2">
      <c r="A304" s="2" t="s">
        <v>10066</v>
      </c>
      <c r="B304" s="15">
        <v>1374</v>
      </c>
      <c r="C304" s="15">
        <v>9</v>
      </c>
      <c r="D304" s="15">
        <v>2441121</v>
      </c>
      <c r="E304" s="15">
        <v>3079045</v>
      </c>
      <c r="F304" s="15">
        <v>2021</v>
      </c>
      <c r="G304" s="8" t="s">
        <v>12324</v>
      </c>
      <c r="H304" s="24" t="s">
        <v>3164</v>
      </c>
      <c r="I304" s="25" t="s">
        <v>3165</v>
      </c>
      <c r="J304" s="8" t="s">
        <v>3166</v>
      </c>
      <c r="K304" s="8" t="s">
        <v>10042</v>
      </c>
      <c r="L304" s="15">
        <v>-0.78641099999999997</v>
      </c>
      <c r="M304" s="15">
        <v>1.45092E-2</v>
      </c>
      <c r="N304" s="15">
        <v>0.21307384768211921</v>
      </c>
    </row>
    <row r="305" spans="1:14" x14ac:dyDescent="0.2">
      <c r="A305" s="2" t="s">
        <v>10068</v>
      </c>
      <c r="B305" s="15">
        <v>590</v>
      </c>
      <c r="C305" s="15">
        <v>3</v>
      </c>
      <c r="D305" s="15">
        <v>193122091</v>
      </c>
      <c r="E305" s="15">
        <v>194217140</v>
      </c>
      <c r="F305" s="15">
        <v>3265</v>
      </c>
      <c r="G305" s="8" t="s">
        <v>12324</v>
      </c>
      <c r="H305" s="24" t="s">
        <v>6565</v>
      </c>
      <c r="I305" s="25" t="s">
        <v>6475</v>
      </c>
      <c r="J305" s="8" t="s">
        <v>6566</v>
      </c>
      <c r="K305" s="8" t="s">
        <v>10054</v>
      </c>
      <c r="L305" s="15">
        <v>0.406943</v>
      </c>
      <c r="M305" s="15">
        <v>1.4631399999999999E-2</v>
      </c>
      <c r="N305" s="15">
        <v>0.21415927062706269</v>
      </c>
    </row>
    <row r="306" spans="1:14" x14ac:dyDescent="0.2">
      <c r="A306" s="2" t="s">
        <v>10068</v>
      </c>
      <c r="B306" s="15">
        <v>1228</v>
      </c>
      <c r="C306" s="15">
        <v>7</v>
      </c>
      <c r="D306" s="15">
        <v>155280611</v>
      </c>
      <c r="E306" s="15">
        <v>156344386</v>
      </c>
      <c r="F306" s="15">
        <v>3612</v>
      </c>
      <c r="G306" s="8" t="s">
        <v>12324</v>
      </c>
      <c r="H306" s="24" t="s">
        <v>599</v>
      </c>
      <c r="I306" s="25">
        <v>26562</v>
      </c>
      <c r="J306" s="8" t="s">
        <v>601</v>
      </c>
      <c r="K306" s="8" t="s">
        <v>10040</v>
      </c>
      <c r="L306" s="15">
        <v>0.59281200000000001</v>
      </c>
      <c r="M306" s="15">
        <v>1.47049E-2</v>
      </c>
      <c r="N306" s="15">
        <v>0.2145270773026316</v>
      </c>
    </row>
    <row r="307" spans="1:14" x14ac:dyDescent="0.2">
      <c r="A307" s="2" t="s">
        <v>10066</v>
      </c>
      <c r="B307" s="15">
        <v>2164</v>
      </c>
      <c r="C307" s="15">
        <v>16</v>
      </c>
      <c r="D307" s="15">
        <v>83077870</v>
      </c>
      <c r="E307" s="15">
        <v>83778371</v>
      </c>
      <c r="F307" s="15">
        <v>3187</v>
      </c>
      <c r="G307" s="8" t="s">
        <v>12324</v>
      </c>
      <c r="H307" s="24" t="s">
        <v>3164</v>
      </c>
      <c r="I307" s="25" t="s">
        <v>3165</v>
      </c>
      <c r="J307" s="8" t="s">
        <v>3166</v>
      </c>
      <c r="K307" s="8" t="s">
        <v>10042</v>
      </c>
      <c r="L307" s="15">
        <v>0.36356100000000002</v>
      </c>
      <c r="M307" s="15">
        <v>1.49307E-2</v>
      </c>
      <c r="N307" s="15">
        <v>0.21499238474025981</v>
      </c>
    </row>
    <row r="308" spans="1:14" x14ac:dyDescent="0.2">
      <c r="A308" s="2" t="s">
        <v>10066</v>
      </c>
      <c r="B308" s="15">
        <v>278</v>
      </c>
      <c r="C308" s="15">
        <v>2</v>
      </c>
      <c r="D308" s="15">
        <v>72160303</v>
      </c>
      <c r="E308" s="15">
        <v>73544290</v>
      </c>
      <c r="F308" s="15">
        <v>2344</v>
      </c>
      <c r="G308" s="8" t="s">
        <v>12324</v>
      </c>
      <c r="H308" s="24" t="s">
        <v>6008</v>
      </c>
      <c r="I308" s="25" t="s">
        <v>6009</v>
      </c>
      <c r="J308" s="8" t="s">
        <v>6010</v>
      </c>
      <c r="K308" s="8" t="s">
        <v>10051</v>
      </c>
      <c r="L308" s="15">
        <v>0.79198599999999997</v>
      </c>
      <c r="M308" s="15">
        <v>1.47937E-2</v>
      </c>
      <c r="N308" s="15">
        <v>0.21499238474025981</v>
      </c>
    </row>
    <row r="309" spans="1:14" x14ac:dyDescent="0.2">
      <c r="A309" s="2" t="s">
        <v>10068</v>
      </c>
      <c r="B309" s="15">
        <v>521</v>
      </c>
      <c r="C309" s="15">
        <v>3</v>
      </c>
      <c r="D309" s="15">
        <v>116498571</v>
      </c>
      <c r="E309" s="15">
        <v>117241644</v>
      </c>
      <c r="F309" s="15">
        <v>2118</v>
      </c>
      <c r="G309" s="8" t="s">
        <v>12324</v>
      </c>
      <c r="H309" s="24" t="s">
        <v>6565</v>
      </c>
      <c r="I309" s="25" t="s">
        <v>6475</v>
      </c>
      <c r="J309" s="8" t="s">
        <v>6566</v>
      </c>
      <c r="K309" s="8" t="s">
        <v>10054</v>
      </c>
      <c r="L309" s="15">
        <v>0.51239699999999999</v>
      </c>
      <c r="M309" s="15">
        <v>1.48562E-2</v>
      </c>
      <c r="N309" s="15">
        <v>0.21499238474025981</v>
      </c>
    </row>
    <row r="310" spans="1:14" x14ac:dyDescent="0.2">
      <c r="A310" s="2" t="s">
        <v>10068</v>
      </c>
      <c r="B310" s="15">
        <v>946</v>
      </c>
      <c r="C310" s="15">
        <v>6</v>
      </c>
      <c r="D310" s="15">
        <v>22199714</v>
      </c>
      <c r="E310" s="15">
        <v>23192337</v>
      </c>
      <c r="F310" s="15">
        <v>3080</v>
      </c>
      <c r="G310" s="8" t="s">
        <v>12324</v>
      </c>
      <c r="H310" s="24" t="s">
        <v>6565</v>
      </c>
      <c r="I310" s="25" t="s">
        <v>6475</v>
      </c>
      <c r="J310" s="8" t="s">
        <v>6566</v>
      </c>
      <c r="K310" s="8" t="s">
        <v>10054</v>
      </c>
      <c r="L310" s="15">
        <v>-0.49127700000000002</v>
      </c>
      <c r="M310" s="15">
        <v>1.4919E-2</v>
      </c>
      <c r="N310" s="15">
        <v>0.21499238474025981</v>
      </c>
    </row>
    <row r="311" spans="1:14" x14ac:dyDescent="0.2">
      <c r="A311" s="2" t="s">
        <v>10066</v>
      </c>
      <c r="B311" s="15">
        <v>422</v>
      </c>
      <c r="C311" s="15">
        <v>3</v>
      </c>
      <c r="D311" s="15">
        <v>795747</v>
      </c>
      <c r="E311" s="15">
        <v>1440048</v>
      </c>
      <c r="F311" s="15">
        <v>2294</v>
      </c>
      <c r="G311" s="8" t="s">
        <v>12324</v>
      </c>
      <c r="H311" s="24" t="s">
        <v>3164</v>
      </c>
      <c r="I311" s="25" t="s">
        <v>3165</v>
      </c>
      <c r="J311" s="8" t="s">
        <v>3166</v>
      </c>
      <c r="K311" s="8" t="s">
        <v>10042</v>
      </c>
      <c r="L311" s="15">
        <v>0.77293199999999995</v>
      </c>
      <c r="M311" s="15">
        <v>1.49853E-2</v>
      </c>
      <c r="N311" s="15">
        <v>0.2150802766990291</v>
      </c>
    </row>
    <row r="312" spans="1:14" x14ac:dyDescent="0.2">
      <c r="A312" s="2" t="s">
        <v>10068</v>
      </c>
      <c r="B312" s="15">
        <v>2101</v>
      </c>
      <c r="C312" s="15">
        <v>15</v>
      </c>
      <c r="D312" s="15">
        <v>101550751</v>
      </c>
      <c r="E312" s="15">
        <v>102520975</v>
      </c>
      <c r="F312" s="15">
        <v>2801</v>
      </c>
      <c r="G312" s="8" t="s">
        <v>12324</v>
      </c>
      <c r="H312" s="24" t="s">
        <v>494</v>
      </c>
      <c r="I312" s="25">
        <v>25920</v>
      </c>
      <c r="J312" s="8" t="s">
        <v>496</v>
      </c>
      <c r="K312" s="8" t="s">
        <v>10040</v>
      </c>
      <c r="L312" s="15">
        <v>-0.28445399999999998</v>
      </c>
      <c r="M312" s="15">
        <v>1.52648E-2</v>
      </c>
      <c r="N312" s="15">
        <v>0.21838512258064521</v>
      </c>
    </row>
    <row r="313" spans="1:14" x14ac:dyDescent="0.2">
      <c r="A313" s="2" t="s">
        <v>10068</v>
      </c>
      <c r="B313" s="15">
        <v>825</v>
      </c>
      <c r="C313" s="15">
        <v>5</v>
      </c>
      <c r="D313" s="15">
        <v>57895013</v>
      </c>
      <c r="E313" s="15">
        <v>58721458</v>
      </c>
      <c r="F313" s="15">
        <v>2500</v>
      </c>
      <c r="G313" s="8" t="s">
        <v>12324</v>
      </c>
      <c r="H313" s="24" t="s">
        <v>6565</v>
      </c>
      <c r="I313" s="25" t="s">
        <v>6475</v>
      </c>
      <c r="J313" s="8" t="s">
        <v>6566</v>
      </c>
      <c r="K313" s="8" t="s">
        <v>10054</v>
      </c>
      <c r="L313" s="15">
        <v>-0.57997900000000002</v>
      </c>
      <c r="M313" s="15">
        <v>1.54898E-2</v>
      </c>
      <c r="N313" s="15">
        <v>0.22089152090032149</v>
      </c>
    </row>
    <row r="314" spans="1:14" x14ac:dyDescent="0.2">
      <c r="A314" s="2" t="s">
        <v>10068</v>
      </c>
      <c r="B314" s="15">
        <v>1061</v>
      </c>
      <c r="C314" s="15">
        <v>6</v>
      </c>
      <c r="D314" s="15">
        <v>134313644</v>
      </c>
      <c r="E314" s="15">
        <v>135544083</v>
      </c>
      <c r="F314" s="15">
        <v>3018</v>
      </c>
      <c r="G314" s="8" t="s">
        <v>12324</v>
      </c>
      <c r="H314" s="24" t="s">
        <v>1259</v>
      </c>
      <c r="I314" s="25">
        <v>27096</v>
      </c>
      <c r="J314" s="8" t="s">
        <v>1261</v>
      </c>
      <c r="K314" s="8" t="s">
        <v>10040</v>
      </c>
      <c r="L314" s="15">
        <v>0.54244499999999995</v>
      </c>
      <c r="M314" s="15">
        <v>1.5547399999999999E-2</v>
      </c>
      <c r="N314" s="15">
        <v>0.2210023044871795</v>
      </c>
    </row>
    <row r="315" spans="1:14" x14ac:dyDescent="0.2">
      <c r="A315" s="2" t="s">
        <v>10066</v>
      </c>
      <c r="B315" s="15">
        <v>2019</v>
      </c>
      <c r="C315" s="15">
        <v>14</v>
      </c>
      <c r="D315" s="15">
        <v>92101229</v>
      </c>
      <c r="E315" s="15">
        <v>93386328</v>
      </c>
      <c r="F315" s="15">
        <v>3900</v>
      </c>
      <c r="G315" s="8" t="s">
        <v>12324</v>
      </c>
      <c r="H315" s="24" t="s">
        <v>6008</v>
      </c>
      <c r="I315" s="25" t="s">
        <v>6009</v>
      </c>
      <c r="J315" s="8" t="s">
        <v>6010</v>
      </c>
      <c r="K315" s="8" t="s">
        <v>10051</v>
      </c>
      <c r="L315" s="15">
        <v>-0.76218399999999997</v>
      </c>
      <c r="M315" s="15">
        <v>1.56116E-2</v>
      </c>
      <c r="N315" s="15">
        <v>0.2212058977635783</v>
      </c>
    </row>
    <row r="316" spans="1:14" x14ac:dyDescent="0.2">
      <c r="A316" s="2" t="s">
        <v>10066</v>
      </c>
      <c r="B316" s="15">
        <v>531</v>
      </c>
      <c r="C316" s="15">
        <v>3</v>
      </c>
      <c r="D316" s="15">
        <v>125475723</v>
      </c>
      <c r="E316" s="15">
        <v>125992650</v>
      </c>
      <c r="F316" s="15">
        <v>2138</v>
      </c>
      <c r="G316" s="8" t="s">
        <v>12324</v>
      </c>
      <c r="H316" s="24" t="s">
        <v>3164</v>
      </c>
      <c r="I316" s="25" t="s">
        <v>3165</v>
      </c>
      <c r="J316" s="8" t="s">
        <v>3166</v>
      </c>
      <c r="K316" s="8" t="s">
        <v>10042</v>
      </c>
      <c r="L316" s="15">
        <v>-0.90218799999999999</v>
      </c>
      <c r="M316" s="15">
        <v>1.6076099999999999E-2</v>
      </c>
      <c r="N316" s="15">
        <v>0.22706211305732479</v>
      </c>
    </row>
    <row r="317" spans="1:14" x14ac:dyDescent="0.2">
      <c r="A317" s="2" t="s">
        <v>10068</v>
      </c>
      <c r="B317" s="15">
        <v>2380</v>
      </c>
      <c r="C317" s="15">
        <v>20</v>
      </c>
      <c r="D317" s="15">
        <v>10279604</v>
      </c>
      <c r="E317" s="15">
        <v>11257012</v>
      </c>
      <c r="F317" s="15">
        <v>2707</v>
      </c>
      <c r="G317" s="8" t="s">
        <v>12324</v>
      </c>
      <c r="H317" s="24" t="s">
        <v>494</v>
      </c>
      <c r="I317" s="25">
        <v>25920</v>
      </c>
      <c r="J317" s="8" t="s">
        <v>496</v>
      </c>
      <c r="K317" s="8" t="s">
        <v>10040</v>
      </c>
      <c r="L317" s="15">
        <v>-0.234295</v>
      </c>
      <c r="M317" s="15">
        <v>1.65171E-2</v>
      </c>
      <c r="N317" s="15">
        <v>0.23255028095238089</v>
      </c>
    </row>
    <row r="318" spans="1:14" x14ac:dyDescent="0.2">
      <c r="A318" s="2" t="s">
        <v>10068</v>
      </c>
      <c r="B318" s="15">
        <v>2079</v>
      </c>
      <c r="C318" s="15">
        <v>15</v>
      </c>
      <c r="D318" s="15">
        <v>78514102</v>
      </c>
      <c r="E318" s="15">
        <v>79292536</v>
      </c>
      <c r="F318" s="15">
        <v>2115</v>
      </c>
      <c r="G318" s="8" t="s">
        <v>12324</v>
      </c>
      <c r="H318" s="24" t="s">
        <v>599</v>
      </c>
      <c r="I318" s="25">
        <v>26562</v>
      </c>
      <c r="J318" s="8" t="s">
        <v>601</v>
      </c>
      <c r="K318" s="8" t="s">
        <v>10040</v>
      </c>
      <c r="L318" s="15">
        <v>0.462675</v>
      </c>
      <c r="M318" s="15">
        <v>1.67361E-2</v>
      </c>
      <c r="N318" s="15">
        <v>0.2344964671875</v>
      </c>
    </row>
    <row r="319" spans="1:14" x14ac:dyDescent="0.2">
      <c r="A319" s="2" t="s">
        <v>10069</v>
      </c>
      <c r="B319" s="15">
        <v>1876</v>
      </c>
      <c r="C319" s="15">
        <v>13</v>
      </c>
      <c r="D319" s="15">
        <v>32986687</v>
      </c>
      <c r="E319" s="15">
        <v>34722391</v>
      </c>
      <c r="F319" s="15">
        <v>2415</v>
      </c>
      <c r="G319" s="8" t="s">
        <v>12324</v>
      </c>
      <c r="H319" s="24" t="s">
        <v>662</v>
      </c>
      <c r="I319" s="25" t="s">
        <v>663</v>
      </c>
      <c r="J319" s="8" t="s">
        <v>664</v>
      </c>
      <c r="K319" s="8" t="s">
        <v>10040</v>
      </c>
      <c r="L319" s="15">
        <v>-0.74281900000000001</v>
      </c>
      <c r="M319" s="15">
        <v>1.6815500000000001E-2</v>
      </c>
      <c r="N319" s="15">
        <v>0.2344964671875</v>
      </c>
    </row>
    <row r="320" spans="1:14" x14ac:dyDescent="0.2">
      <c r="A320" s="2" t="s">
        <v>10069</v>
      </c>
      <c r="B320" s="15">
        <v>246</v>
      </c>
      <c r="C320" s="15">
        <v>2</v>
      </c>
      <c r="D320" s="15">
        <v>41540440</v>
      </c>
      <c r="E320" s="15">
        <v>42307418</v>
      </c>
      <c r="F320" s="15">
        <v>2008</v>
      </c>
      <c r="G320" s="8" t="s">
        <v>12324</v>
      </c>
      <c r="H320" s="24" t="s">
        <v>662</v>
      </c>
      <c r="I320" s="25" t="s">
        <v>663</v>
      </c>
      <c r="J320" s="8" t="s">
        <v>664</v>
      </c>
      <c r="K320" s="8" t="s">
        <v>10040</v>
      </c>
      <c r="L320" s="15">
        <v>-0.92313599999999996</v>
      </c>
      <c r="M320" s="15">
        <v>1.6916E-2</v>
      </c>
      <c r="N320" s="15">
        <v>0.2344964671875</v>
      </c>
    </row>
    <row r="321" spans="1:14" x14ac:dyDescent="0.2">
      <c r="A321" s="2" t="s">
        <v>10066</v>
      </c>
      <c r="B321" s="15">
        <v>1642</v>
      </c>
      <c r="C321" s="15">
        <v>11</v>
      </c>
      <c r="D321" s="15">
        <v>29530461</v>
      </c>
      <c r="E321" s="15">
        <v>30570129</v>
      </c>
      <c r="F321" s="15">
        <v>2323</v>
      </c>
      <c r="G321" s="8" t="s">
        <v>12324</v>
      </c>
      <c r="H321" s="24" t="s">
        <v>3164</v>
      </c>
      <c r="I321" s="25" t="s">
        <v>3165</v>
      </c>
      <c r="J321" s="8" t="s">
        <v>3166</v>
      </c>
      <c r="K321" s="8" t="s">
        <v>10042</v>
      </c>
      <c r="L321" s="15">
        <v>0.68967100000000003</v>
      </c>
      <c r="M321" s="15">
        <v>1.67852E-2</v>
      </c>
      <c r="N321" s="15">
        <v>0.2344964671875</v>
      </c>
    </row>
    <row r="322" spans="1:14" x14ac:dyDescent="0.2">
      <c r="A322" s="2" t="s">
        <v>10068</v>
      </c>
      <c r="B322" s="15">
        <v>385</v>
      </c>
      <c r="C322" s="15">
        <v>2</v>
      </c>
      <c r="D322" s="15">
        <v>207726595</v>
      </c>
      <c r="E322" s="15">
        <v>208674588</v>
      </c>
      <c r="F322" s="15">
        <v>2241</v>
      </c>
      <c r="G322" s="8" t="s">
        <v>12324</v>
      </c>
      <c r="H322" s="24" t="s">
        <v>6565</v>
      </c>
      <c r="I322" s="25" t="s">
        <v>6475</v>
      </c>
      <c r="J322" s="8" t="s">
        <v>6566</v>
      </c>
      <c r="K322" s="8" t="s">
        <v>10054</v>
      </c>
      <c r="L322" s="15">
        <v>-0.55124399999999996</v>
      </c>
      <c r="M322" s="15">
        <v>1.6919699999999999E-2</v>
      </c>
      <c r="N322" s="15">
        <v>0.2344964671875</v>
      </c>
    </row>
    <row r="323" spans="1:14" x14ac:dyDescent="0.2">
      <c r="A323" s="2" t="s">
        <v>10068</v>
      </c>
      <c r="B323" s="15">
        <v>1472</v>
      </c>
      <c r="C323" s="15">
        <v>9</v>
      </c>
      <c r="D323" s="15">
        <v>128785783</v>
      </c>
      <c r="E323" s="15">
        <v>129617771</v>
      </c>
      <c r="F323" s="15">
        <v>2235</v>
      </c>
      <c r="G323" s="8" t="s">
        <v>12324</v>
      </c>
      <c r="H323" s="24" t="s">
        <v>599</v>
      </c>
      <c r="I323" s="25">
        <v>26562</v>
      </c>
      <c r="J323" s="8" t="s">
        <v>601</v>
      </c>
      <c r="K323" s="8" t="s">
        <v>10040</v>
      </c>
      <c r="L323" s="15">
        <v>0.80074000000000001</v>
      </c>
      <c r="M323" s="15">
        <v>1.69943E-2</v>
      </c>
      <c r="N323" s="15">
        <v>0.2347966370716511</v>
      </c>
    </row>
    <row r="324" spans="1:14" x14ac:dyDescent="0.2">
      <c r="A324" s="2" t="s">
        <v>10068</v>
      </c>
      <c r="B324" s="15">
        <v>679</v>
      </c>
      <c r="C324" s="15">
        <v>4</v>
      </c>
      <c r="D324" s="15">
        <v>88502718</v>
      </c>
      <c r="E324" s="15">
        <v>89244554</v>
      </c>
      <c r="F324" s="15">
        <v>2361</v>
      </c>
      <c r="G324" s="8" t="s">
        <v>12324</v>
      </c>
      <c r="H324" s="24" t="s">
        <v>599</v>
      </c>
      <c r="I324" s="25">
        <v>26562</v>
      </c>
      <c r="J324" s="8" t="s">
        <v>601</v>
      </c>
      <c r="K324" s="8" t="s">
        <v>10040</v>
      </c>
      <c r="L324" s="15">
        <v>0.87907900000000005</v>
      </c>
      <c r="M324" s="15">
        <v>1.71212E-2</v>
      </c>
      <c r="N324" s="15">
        <v>0.23506458179012349</v>
      </c>
    </row>
    <row r="325" spans="1:14" x14ac:dyDescent="0.2">
      <c r="A325" s="2" t="s">
        <v>10069</v>
      </c>
      <c r="B325" s="15">
        <v>2365</v>
      </c>
      <c r="C325" s="15">
        <v>19</v>
      </c>
      <c r="D325" s="15">
        <v>55714086</v>
      </c>
      <c r="E325" s="15">
        <v>56411086</v>
      </c>
      <c r="F325" s="15">
        <v>1262</v>
      </c>
      <c r="G325" s="8" t="s">
        <v>12324</v>
      </c>
      <c r="H325" s="24" t="s">
        <v>662</v>
      </c>
      <c r="I325" s="25" t="s">
        <v>663</v>
      </c>
      <c r="J325" s="8" t="s">
        <v>664</v>
      </c>
      <c r="K325" s="8" t="s">
        <v>10040</v>
      </c>
      <c r="L325" s="15">
        <v>0.58904299999999998</v>
      </c>
      <c r="M325" s="15">
        <v>1.7172699999999999E-2</v>
      </c>
      <c r="N325" s="15">
        <v>0.23506458179012349</v>
      </c>
    </row>
    <row r="326" spans="1:14" x14ac:dyDescent="0.2">
      <c r="A326" s="2" t="s">
        <v>10068</v>
      </c>
      <c r="B326" s="15">
        <v>1053</v>
      </c>
      <c r="C326" s="15">
        <v>6</v>
      </c>
      <c r="D326" s="15">
        <v>123854858</v>
      </c>
      <c r="E326" s="15">
        <v>125365054</v>
      </c>
      <c r="F326" s="15">
        <v>3843</v>
      </c>
      <c r="G326" s="8" t="s">
        <v>12324</v>
      </c>
      <c r="H326" s="24" t="s">
        <v>1259</v>
      </c>
      <c r="I326" s="25">
        <v>27096</v>
      </c>
      <c r="J326" s="8" t="s">
        <v>1261</v>
      </c>
      <c r="K326" s="8" t="s">
        <v>10040</v>
      </c>
      <c r="L326" s="15">
        <v>0.76962399999999997</v>
      </c>
      <c r="M326" s="15">
        <v>1.7141E-2</v>
      </c>
      <c r="N326" s="15">
        <v>0.23506458179012349</v>
      </c>
    </row>
    <row r="327" spans="1:14" x14ac:dyDescent="0.2">
      <c r="A327" s="2" t="s">
        <v>10066</v>
      </c>
      <c r="B327" s="15">
        <v>2245</v>
      </c>
      <c r="C327" s="15">
        <v>18</v>
      </c>
      <c r="D327" s="15">
        <v>6756497</v>
      </c>
      <c r="E327" s="15">
        <v>7862479</v>
      </c>
      <c r="F327" s="15">
        <v>3064</v>
      </c>
      <c r="G327" s="8" t="s">
        <v>12324</v>
      </c>
      <c r="H327" s="24" t="s">
        <v>6008</v>
      </c>
      <c r="I327" s="25" t="s">
        <v>6009</v>
      </c>
      <c r="J327" s="8" t="s">
        <v>6010</v>
      </c>
      <c r="K327" s="8" t="s">
        <v>10051</v>
      </c>
      <c r="L327" s="15">
        <v>-0.32038499999999998</v>
      </c>
      <c r="M327" s="15">
        <v>1.7487900000000001E-2</v>
      </c>
      <c r="N327" s="15">
        <v>0.23864257384615381</v>
      </c>
    </row>
    <row r="328" spans="1:14" x14ac:dyDescent="0.2">
      <c r="A328" s="2" t="s">
        <v>10069</v>
      </c>
      <c r="B328" s="15">
        <v>1949</v>
      </c>
      <c r="C328" s="15">
        <v>13</v>
      </c>
      <c r="D328" s="15">
        <v>110995433</v>
      </c>
      <c r="E328" s="15">
        <v>111621244</v>
      </c>
      <c r="F328" s="15">
        <v>1565</v>
      </c>
      <c r="G328" s="8" t="s">
        <v>12324</v>
      </c>
      <c r="H328" s="24" t="s">
        <v>662</v>
      </c>
      <c r="I328" s="25" t="s">
        <v>663</v>
      </c>
      <c r="J328" s="8" t="s">
        <v>664</v>
      </c>
      <c r="K328" s="8" t="s">
        <v>10040</v>
      </c>
      <c r="L328" s="15">
        <v>-0.651173</v>
      </c>
      <c r="M328" s="15">
        <v>1.7587200000000001E-2</v>
      </c>
      <c r="N328" s="15">
        <v>0.2390853564954683</v>
      </c>
    </row>
    <row r="329" spans="1:14" x14ac:dyDescent="0.2">
      <c r="A329" s="2" t="s">
        <v>10068</v>
      </c>
      <c r="B329" s="15">
        <v>193</v>
      </c>
      <c r="C329" s="15">
        <v>1</v>
      </c>
      <c r="D329" s="15">
        <v>241813535</v>
      </c>
      <c r="E329" s="15">
        <v>242417923</v>
      </c>
      <c r="F329" s="15">
        <v>2175</v>
      </c>
      <c r="G329" s="8" t="s">
        <v>12324</v>
      </c>
      <c r="H329" s="24" t="s">
        <v>1259</v>
      </c>
      <c r="I329" s="25">
        <v>27096</v>
      </c>
      <c r="J329" s="8" t="s">
        <v>1261</v>
      </c>
      <c r="K329" s="8" t="s">
        <v>10040</v>
      </c>
      <c r="L329" s="15">
        <v>-0.71275999999999995</v>
      </c>
      <c r="M329" s="15">
        <v>1.7649000000000001E-2</v>
      </c>
      <c r="N329" s="15">
        <v>0.2390853564954683</v>
      </c>
    </row>
    <row r="330" spans="1:14" x14ac:dyDescent="0.2">
      <c r="A330" s="2" t="s">
        <v>10068</v>
      </c>
      <c r="B330" s="15">
        <v>168</v>
      </c>
      <c r="C330" s="15">
        <v>1</v>
      </c>
      <c r="D330" s="15">
        <v>217352166</v>
      </c>
      <c r="E330" s="15">
        <v>218563960</v>
      </c>
      <c r="F330" s="15">
        <v>3610</v>
      </c>
      <c r="G330" s="8" t="s">
        <v>12324</v>
      </c>
      <c r="H330" s="24" t="s">
        <v>1259</v>
      </c>
      <c r="I330" s="25">
        <v>27096</v>
      </c>
      <c r="J330" s="8" t="s">
        <v>1261</v>
      </c>
      <c r="K330" s="8" t="s">
        <v>10040</v>
      </c>
      <c r="L330" s="15">
        <v>0.52673700000000001</v>
      </c>
      <c r="M330" s="15">
        <v>1.7787600000000001E-2</v>
      </c>
      <c r="N330" s="15">
        <v>0.2390853564954683</v>
      </c>
    </row>
    <row r="331" spans="1:14" x14ac:dyDescent="0.2">
      <c r="A331" s="2" t="s">
        <v>10066</v>
      </c>
      <c r="B331" s="15">
        <v>1059</v>
      </c>
      <c r="C331" s="15">
        <v>6</v>
      </c>
      <c r="D331" s="15">
        <v>131457165</v>
      </c>
      <c r="E331" s="15">
        <v>132890694</v>
      </c>
      <c r="F331" s="15">
        <v>3474</v>
      </c>
      <c r="G331" s="8" t="s">
        <v>12324</v>
      </c>
      <c r="H331" s="24" t="s">
        <v>3164</v>
      </c>
      <c r="I331" s="25" t="s">
        <v>3165</v>
      </c>
      <c r="J331" s="8" t="s">
        <v>3166</v>
      </c>
      <c r="K331" s="8" t="s">
        <v>10042</v>
      </c>
      <c r="L331" s="15">
        <v>0.86457099999999998</v>
      </c>
      <c r="M331" s="15">
        <v>1.77328E-2</v>
      </c>
      <c r="N331" s="15">
        <v>0.2390853564954683</v>
      </c>
    </row>
    <row r="332" spans="1:14" x14ac:dyDescent="0.2">
      <c r="A332" s="2" t="s">
        <v>10066</v>
      </c>
      <c r="B332" s="15">
        <v>1166</v>
      </c>
      <c r="C332" s="15">
        <v>7</v>
      </c>
      <c r="D332" s="15">
        <v>73128831</v>
      </c>
      <c r="E332" s="15">
        <v>75243899</v>
      </c>
      <c r="F332" s="15">
        <v>2515</v>
      </c>
      <c r="G332" s="8" t="s">
        <v>12324</v>
      </c>
      <c r="H332" s="24" t="s">
        <v>6008</v>
      </c>
      <c r="I332" s="25" t="s">
        <v>6009</v>
      </c>
      <c r="J332" s="8" t="s">
        <v>6010</v>
      </c>
      <c r="K332" s="8" t="s">
        <v>10051</v>
      </c>
      <c r="L332" s="15">
        <v>-0.41217900000000002</v>
      </c>
      <c r="M332" s="15">
        <v>1.78438E-2</v>
      </c>
      <c r="N332" s="15">
        <v>0.2390853564954683</v>
      </c>
    </row>
    <row r="333" spans="1:14" x14ac:dyDescent="0.2">
      <c r="A333" s="2" t="s">
        <v>10068</v>
      </c>
      <c r="B333" s="15">
        <v>1214</v>
      </c>
      <c r="C333" s="15">
        <v>7</v>
      </c>
      <c r="D333" s="15">
        <v>137657460</v>
      </c>
      <c r="E333" s="15">
        <v>138755107</v>
      </c>
      <c r="F333" s="15">
        <v>3174</v>
      </c>
      <c r="G333" s="8" t="s">
        <v>12324</v>
      </c>
      <c r="H333" s="24" t="s">
        <v>6565</v>
      </c>
      <c r="I333" s="25" t="s">
        <v>6475</v>
      </c>
      <c r="J333" s="8" t="s">
        <v>6566</v>
      </c>
      <c r="K333" s="8" t="s">
        <v>10054</v>
      </c>
      <c r="L333" s="15">
        <v>-0.55854499999999996</v>
      </c>
      <c r="M333" s="15">
        <v>1.7834699999999998E-2</v>
      </c>
      <c r="N333" s="15">
        <v>0.2390853564954683</v>
      </c>
    </row>
    <row r="334" spans="1:14" x14ac:dyDescent="0.2">
      <c r="A334" s="2" t="s">
        <v>10068</v>
      </c>
      <c r="B334" s="15">
        <v>1079</v>
      </c>
      <c r="C334" s="15">
        <v>6</v>
      </c>
      <c r="D334" s="15">
        <v>155523958</v>
      </c>
      <c r="E334" s="15">
        <v>156762740</v>
      </c>
      <c r="F334" s="15">
        <v>3556</v>
      </c>
      <c r="G334" s="8" t="s">
        <v>12324</v>
      </c>
      <c r="H334" s="24" t="s">
        <v>599</v>
      </c>
      <c r="I334" s="25">
        <v>26562</v>
      </c>
      <c r="J334" s="8" t="s">
        <v>601</v>
      </c>
      <c r="K334" s="8" t="s">
        <v>10040</v>
      </c>
      <c r="L334" s="15">
        <v>0.78750900000000001</v>
      </c>
      <c r="M334" s="15">
        <v>1.8178799999999998E-2</v>
      </c>
      <c r="N334" s="15">
        <v>0.24284029518072289</v>
      </c>
    </row>
    <row r="335" spans="1:14" x14ac:dyDescent="0.2">
      <c r="A335" s="2" t="s">
        <v>10068</v>
      </c>
      <c r="B335" s="15">
        <v>1710</v>
      </c>
      <c r="C335" s="15">
        <v>11</v>
      </c>
      <c r="D335" s="15">
        <v>101881253</v>
      </c>
      <c r="E335" s="15">
        <v>102671665</v>
      </c>
      <c r="F335" s="15">
        <v>2120</v>
      </c>
      <c r="G335" s="8" t="s">
        <v>12324</v>
      </c>
      <c r="H335" s="24" t="s">
        <v>1259</v>
      </c>
      <c r="I335" s="25">
        <v>27096</v>
      </c>
      <c r="J335" s="8" t="s">
        <v>1261</v>
      </c>
      <c r="K335" s="8" t="s">
        <v>10040</v>
      </c>
      <c r="L335" s="15">
        <v>-0.74803600000000003</v>
      </c>
      <c r="M335" s="15">
        <v>1.8307199999999999E-2</v>
      </c>
      <c r="N335" s="15">
        <v>0.2433380928143713</v>
      </c>
    </row>
    <row r="336" spans="1:14" x14ac:dyDescent="0.2">
      <c r="A336" s="2" t="s">
        <v>10066</v>
      </c>
      <c r="B336" s="15">
        <v>2273</v>
      </c>
      <c r="C336" s="15">
        <v>18</v>
      </c>
      <c r="D336" s="15">
        <v>44300146</v>
      </c>
      <c r="E336" s="15">
        <v>45718492</v>
      </c>
      <c r="F336" s="15">
        <v>3634</v>
      </c>
      <c r="G336" s="8" t="s">
        <v>12324</v>
      </c>
      <c r="H336" s="24" t="s">
        <v>3164</v>
      </c>
      <c r="I336" s="25" t="s">
        <v>3165</v>
      </c>
      <c r="J336" s="8" t="s">
        <v>3166</v>
      </c>
      <c r="K336" s="8" t="s">
        <v>10042</v>
      </c>
      <c r="L336" s="15">
        <v>-0.70032000000000005</v>
      </c>
      <c r="M336" s="15">
        <v>1.83258E-2</v>
      </c>
      <c r="N336" s="15">
        <v>0.2433380928143713</v>
      </c>
    </row>
    <row r="337" spans="1:14" x14ac:dyDescent="0.2">
      <c r="A337" s="2" t="s">
        <v>10068</v>
      </c>
      <c r="B337" s="15">
        <v>1570</v>
      </c>
      <c r="C337" s="15">
        <v>10</v>
      </c>
      <c r="D337" s="15">
        <v>91021322</v>
      </c>
      <c r="E337" s="15">
        <v>91960435</v>
      </c>
      <c r="F337" s="15">
        <v>2827</v>
      </c>
      <c r="G337" s="8" t="s">
        <v>12324</v>
      </c>
      <c r="H337" s="24" t="s">
        <v>599</v>
      </c>
      <c r="I337" s="25">
        <v>26562</v>
      </c>
      <c r="J337" s="8" t="s">
        <v>601</v>
      </c>
      <c r="K337" s="8" t="s">
        <v>10040</v>
      </c>
      <c r="L337" s="15">
        <v>0.69657599999999997</v>
      </c>
      <c r="M337" s="15">
        <v>1.8504799999999998E-2</v>
      </c>
      <c r="N337" s="15">
        <v>0.24498145671641791</v>
      </c>
    </row>
    <row r="338" spans="1:14" x14ac:dyDescent="0.2">
      <c r="A338" s="2" t="s">
        <v>10068</v>
      </c>
      <c r="B338" s="15">
        <v>21</v>
      </c>
      <c r="C338" s="15">
        <v>1</v>
      </c>
      <c r="D338" s="15">
        <v>19238925</v>
      </c>
      <c r="E338" s="15">
        <v>20556202</v>
      </c>
      <c r="F338" s="15">
        <v>3799</v>
      </c>
      <c r="G338" s="8" t="s">
        <v>12324</v>
      </c>
      <c r="H338" s="24" t="s">
        <v>494</v>
      </c>
      <c r="I338" s="25">
        <v>25920</v>
      </c>
      <c r="J338" s="8" t="s">
        <v>496</v>
      </c>
      <c r="K338" s="8" t="s">
        <v>10040</v>
      </c>
      <c r="L338" s="15">
        <v>-0.45853699999999997</v>
      </c>
      <c r="M338" s="15">
        <v>1.86471E-2</v>
      </c>
      <c r="N338" s="15">
        <v>0.24540026261127601</v>
      </c>
    </row>
    <row r="339" spans="1:14" x14ac:dyDescent="0.2">
      <c r="A339" s="2" t="s">
        <v>10068</v>
      </c>
      <c r="B339" s="15">
        <v>2120</v>
      </c>
      <c r="C339" s="15">
        <v>16</v>
      </c>
      <c r="D339" s="15">
        <v>17343278</v>
      </c>
      <c r="E339" s="15">
        <v>19104257</v>
      </c>
      <c r="F339" s="15">
        <v>3349</v>
      </c>
      <c r="G339" s="8" t="s">
        <v>12324</v>
      </c>
      <c r="H339" s="24" t="s">
        <v>6565</v>
      </c>
      <c r="I339" s="25" t="s">
        <v>6475</v>
      </c>
      <c r="J339" s="8" t="s">
        <v>6566</v>
      </c>
      <c r="K339" s="8" t="s">
        <v>10054</v>
      </c>
      <c r="L339" s="15">
        <v>0.39649499999999999</v>
      </c>
      <c r="M339" s="15">
        <v>1.8618300000000001E-2</v>
      </c>
      <c r="N339" s="15">
        <v>0.24540026261127601</v>
      </c>
    </row>
    <row r="340" spans="1:14" x14ac:dyDescent="0.2">
      <c r="A340" s="2" t="s">
        <v>10068</v>
      </c>
      <c r="B340" s="15">
        <v>2031</v>
      </c>
      <c r="C340" s="15">
        <v>14</v>
      </c>
      <c r="D340" s="15">
        <v>105091341</v>
      </c>
      <c r="E340" s="15">
        <v>106347143</v>
      </c>
      <c r="F340" s="15">
        <v>2603</v>
      </c>
      <c r="G340" s="8" t="s">
        <v>12324</v>
      </c>
      <c r="H340" s="24" t="s">
        <v>599</v>
      </c>
      <c r="I340" s="25">
        <v>26562</v>
      </c>
      <c r="J340" s="8" t="s">
        <v>601</v>
      </c>
      <c r="K340" s="8" t="s">
        <v>10040</v>
      </c>
      <c r="L340" s="15">
        <v>-0.27734500000000001</v>
      </c>
      <c r="M340" s="15">
        <v>1.8779199999999999E-2</v>
      </c>
      <c r="N340" s="15">
        <v>0.24568068436578169</v>
      </c>
    </row>
    <row r="341" spans="1:14" x14ac:dyDescent="0.2">
      <c r="A341" s="2" t="s">
        <v>10069</v>
      </c>
      <c r="B341" s="15">
        <v>969</v>
      </c>
      <c r="C341" s="15">
        <v>6</v>
      </c>
      <c r="D341" s="15">
        <v>33194976</v>
      </c>
      <c r="E341" s="15">
        <v>33864262</v>
      </c>
      <c r="F341" s="15">
        <v>1507</v>
      </c>
      <c r="G341" s="8" t="s">
        <v>12324</v>
      </c>
      <c r="H341" s="24" t="s">
        <v>662</v>
      </c>
      <c r="I341" s="25" t="s">
        <v>663</v>
      </c>
      <c r="J341" s="8" t="s">
        <v>664</v>
      </c>
      <c r="K341" s="8" t="s">
        <v>10040</v>
      </c>
      <c r="L341" s="15">
        <v>1</v>
      </c>
      <c r="M341" s="15">
        <v>1.87335E-2</v>
      </c>
      <c r="N341" s="15">
        <v>0.24568068436578169</v>
      </c>
    </row>
    <row r="342" spans="1:14" x14ac:dyDescent="0.2">
      <c r="A342" s="2" t="s">
        <v>10068</v>
      </c>
      <c r="B342" s="15">
        <v>211</v>
      </c>
      <c r="C342" s="15">
        <v>2</v>
      </c>
      <c r="D342" s="15">
        <v>7108209</v>
      </c>
      <c r="E342" s="15">
        <v>7966709</v>
      </c>
      <c r="F342" s="15">
        <v>2340</v>
      </c>
      <c r="G342" s="8" t="s">
        <v>12324</v>
      </c>
      <c r="H342" s="24" t="s">
        <v>599</v>
      </c>
      <c r="I342" s="25">
        <v>26562</v>
      </c>
      <c r="J342" s="8" t="s">
        <v>601</v>
      </c>
      <c r="K342" s="8" t="s">
        <v>10040</v>
      </c>
      <c r="L342" s="15">
        <v>-0.33235799999999999</v>
      </c>
      <c r="M342" s="15">
        <v>1.9011199999999999E-2</v>
      </c>
      <c r="N342" s="15">
        <v>0.24725710263929621</v>
      </c>
    </row>
    <row r="343" spans="1:14" x14ac:dyDescent="0.2">
      <c r="A343" s="2" t="s">
        <v>10066</v>
      </c>
      <c r="B343" s="15">
        <v>1988</v>
      </c>
      <c r="C343" s="15">
        <v>14</v>
      </c>
      <c r="D343" s="15">
        <v>56206431</v>
      </c>
      <c r="E343" s="15">
        <v>57460781</v>
      </c>
      <c r="F343" s="15">
        <v>3747</v>
      </c>
      <c r="G343" s="8" t="s">
        <v>12324</v>
      </c>
      <c r="H343" s="24" t="s">
        <v>3164</v>
      </c>
      <c r="I343" s="25" t="s">
        <v>3165</v>
      </c>
      <c r="J343" s="8" t="s">
        <v>3166</v>
      </c>
      <c r="K343" s="8" t="s">
        <v>10042</v>
      </c>
      <c r="L343" s="15">
        <v>0.76585899999999996</v>
      </c>
      <c r="M343" s="15">
        <v>1.8971700000000001E-2</v>
      </c>
      <c r="N343" s="15">
        <v>0.24725710263929621</v>
      </c>
    </row>
    <row r="344" spans="1:14" x14ac:dyDescent="0.2">
      <c r="A344" s="2" t="s">
        <v>10068</v>
      </c>
      <c r="B344" s="15">
        <v>2161</v>
      </c>
      <c r="C344" s="15">
        <v>16</v>
      </c>
      <c r="D344" s="15">
        <v>80559686</v>
      </c>
      <c r="E344" s="15">
        <v>81437861</v>
      </c>
      <c r="F344" s="15">
        <v>3333</v>
      </c>
      <c r="G344" s="8" t="s">
        <v>12324</v>
      </c>
      <c r="H344" s="24" t="s">
        <v>599</v>
      </c>
      <c r="I344" s="25">
        <v>26562</v>
      </c>
      <c r="J344" s="8" t="s">
        <v>601</v>
      </c>
      <c r="K344" s="8" t="s">
        <v>10040</v>
      </c>
      <c r="L344" s="15">
        <v>-0.46654400000000001</v>
      </c>
      <c r="M344" s="15">
        <v>1.9192799999999999E-2</v>
      </c>
      <c r="N344" s="15">
        <v>0.2488890877192983</v>
      </c>
    </row>
    <row r="345" spans="1:14" x14ac:dyDescent="0.2">
      <c r="A345" s="2" t="s">
        <v>10068</v>
      </c>
      <c r="B345" s="15">
        <v>7</v>
      </c>
      <c r="C345" s="15">
        <v>1</v>
      </c>
      <c r="D345" s="15">
        <v>4773404</v>
      </c>
      <c r="E345" s="15">
        <v>5362404</v>
      </c>
      <c r="F345" s="15">
        <v>2212</v>
      </c>
      <c r="G345" s="8" t="s">
        <v>12324</v>
      </c>
      <c r="H345" s="24" t="s">
        <v>1259</v>
      </c>
      <c r="I345" s="25">
        <v>27096</v>
      </c>
      <c r="J345" s="8" t="s">
        <v>1261</v>
      </c>
      <c r="K345" s="8" t="s">
        <v>10040</v>
      </c>
      <c r="L345" s="15">
        <v>-0.62906700000000004</v>
      </c>
      <c r="M345" s="15">
        <v>1.9327400000000002E-2</v>
      </c>
      <c r="N345" s="15">
        <v>0.2499038454810496</v>
      </c>
    </row>
    <row r="346" spans="1:14" x14ac:dyDescent="0.2">
      <c r="A346" s="2" t="s">
        <v>10068</v>
      </c>
      <c r="B346" s="15">
        <v>934</v>
      </c>
      <c r="C346" s="15">
        <v>6</v>
      </c>
      <c r="D346" s="15">
        <v>9020711</v>
      </c>
      <c r="E346" s="15">
        <v>10416550</v>
      </c>
      <c r="F346" s="15">
        <v>3978</v>
      </c>
      <c r="G346" s="8" t="s">
        <v>12324</v>
      </c>
      <c r="H346" s="24" t="s">
        <v>494</v>
      </c>
      <c r="I346" s="25">
        <v>25920</v>
      </c>
      <c r="J346" s="8" t="s">
        <v>496</v>
      </c>
      <c r="K346" s="8" t="s">
        <v>10040</v>
      </c>
      <c r="L346" s="15">
        <v>-0.286914</v>
      </c>
      <c r="M346" s="15">
        <v>1.9422700000000001E-2</v>
      </c>
      <c r="N346" s="15">
        <v>0.25040603052325577</v>
      </c>
    </row>
    <row r="347" spans="1:14" x14ac:dyDescent="0.2">
      <c r="A347" s="2" t="s">
        <v>10068</v>
      </c>
      <c r="B347" s="15">
        <v>1554</v>
      </c>
      <c r="C347" s="15">
        <v>10</v>
      </c>
      <c r="D347" s="15">
        <v>72659224</v>
      </c>
      <c r="E347" s="15">
        <v>73514214</v>
      </c>
      <c r="F347" s="15">
        <v>2745</v>
      </c>
      <c r="G347" s="8" t="s">
        <v>12324</v>
      </c>
      <c r="H347" s="24" t="s">
        <v>1259</v>
      </c>
      <c r="I347" s="25">
        <v>27096</v>
      </c>
      <c r="J347" s="8" t="s">
        <v>1261</v>
      </c>
      <c r="K347" s="8" t="s">
        <v>10040</v>
      </c>
      <c r="L347" s="15">
        <v>-0.38594800000000001</v>
      </c>
      <c r="M347" s="15">
        <v>1.95789E-2</v>
      </c>
      <c r="N347" s="15">
        <v>0.25114661560693641</v>
      </c>
    </row>
    <row r="348" spans="1:14" x14ac:dyDescent="0.2">
      <c r="A348" s="2" t="s">
        <v>10066</v>
      </c>
      <c r="B348" s="15">
        <v>849</v>
      </c>
      <c r="C348" s="15">
        <v>5</v>
      </c>
      <c r="D348" s="15">
        <v>87943483</v>
      </c>
      <c r="E348" s="15">
        <v>89584466</v>
      </c>
      <c r="F348" s="15">
        <v>2359</v>
      </c>
      <c r="G348" s="8" t="s">
        <v>12324</v>
      </c>
      <c r="H348" s="24" t="s">
        <v>3164</v>
      </c>
      <c r="I348" s="25" t="s">
        <v>3165</v>
      </c>
      <c r="J348" s="8" t="s">
        <v>3166</v>
      </c>
      <c r="K348" s="8" t="s">
        <v>10042</v>
      </c>
      <c r="L348" s="15">
        <v>-0.35175099999999998</v>
      </c>
      <c r="M348" s="15">
        <v>1.95934E-2</v>
      </c>
      <c r="N348" s="15">
        <v>0.25114661560693641</v>
      </c>
    </row>
    <row r="349" spans="1:14" x14ac:dyDescent="0.2">
      <c r="A349" s="2" t="s">
        <v>10068</v>
      </c>
      <c r="B349" s="15">
        <v>2244</v>
      </c>
      <c r="C349" s="15">
        <v>18</v>
      </c>
      <c r="D349" s="15">
        <v>5575813</v>
      </c>
      <c r="E349" s="15">
        <v>6756496</v>
      </c>
      <c r="F349" s="15">
        <v>3184</v>
      </c>
      <c r="G349" s="8" t="s">
        <v>12324</v>
      </c>
      <c r="H349" s="24" t="s">
        <v>494</v>
      </c>
      <c r="I349" s="25">
        <v>25920</v>
      </c>
      <c r="J349" s="8" t="s">
        <v>496</v>
      </c>
      <c r="K349" s="8" t="s">
        <v>10040</v>
      </c>
      <c r="L349" s="15">
        <v>-0.31058000000000002</v>
      </c>
      <c r="M349" s="15">
        <v>1.96724E-2</v>
      </c>
      <c r="N349" s="15">
        <v>0.25143254755043232</v>
      </c>
    </row>
    <row r="350" spans="1:14" x14ac:dyDescent="0.2">
      <c r="A350" s="2" t="s">
        <v>10066</v>
      </c>
      <c r="B350" s="15">
        <v>2236</v>
      </c>
      <c r="C350" s="15">
        <v>17</v>
      </c>
      <c r="D350" s="15">
        <v>79333775</v>
      </c>
      <c r="E350" s="15">
        <v>80459149</v>
      </c>
      <c r="F350" s="15">
        <v>3324</v>
      </c>
      <c r="G350" s="8" t="s">
        <v>12324</v>
      </c>
      <c r="H350" s="24" t="s">
        <v>6008</v>
      </c>
      <c r="I350" s="25" t="s">
        <v>6009</v>
      </c>
      <c r="J350" s="8" t="s">
        <v>6010</v>
      </c>
      <c r="K350" s="8" t="s">
        <v>10051</v>
      </c>
      <c r="L350" s="15">
        <v>-0.35752800000000001</v>
      </c>
      <c r="M350" s="15">
        <v>1.97939E-2</v>
      </c>
      <c r="N350" s="15">
        <v>0.25225846695402299</v>
      </c>
    </row>
    <row r="351" spans="1:14" x14ac:dyDescent="0.2">
      <c r="A351" s="2" t="s">
        <v>10068</v>
      </c>
      <c r="B351" s="15">
        <v>2274</v>
      </c>
      <c r="C351" s="15">
        <v>18</v>
      </c>
      <c r="D351" s="15">
        <v>45718493</v>
      </c>
      <c r="E351" s="15">
        <v>46558306</v>
      </c>
      <c r="F351" s="15">
        <v>2471</v>
      </c>
      <c r="G351" s="8" t="s">
        <v>12324</v>
      </c>
      <c r="H351" s="24" t="s">
        <v>494</v>
      </c>
      <c r="I351" s="25">
        <v>25920</v>
      </c>
      <c r="J351" s="8" t="s">
        <v>496</v>
      </c>
      <c r="K351" s="8" t="s">
        <v>10040</v>
      </c>
      <c r="L351" s="15">
        <v>0.56984999999999997</v>
      </c>
      <c r="M351" s="15">
        <v>2.0006900000000001E-2</v>
      </c>
      <c r="N351" s="15">
        <v>0.25281249014084511</v>
      </c>
    </row>
    <row r="352" spans="1:14" x14ac:dyDescent="0.2">
      <c r="A352" s="2" t="s">
        <v>10068</v>
      </c>
      <c r="B352" s="15">
        <v>254</v>
      </c>
      <c r="C352" s="15">
        <v>2</v>
      </c>
      <c r="D352" s="15">
        <v>48171059</v>
      </c>
      <c r="E352" s="15">
        <v>49114132</v>
      </c>
      <c r="F352" s="15">
        <v>2514</v>
      </c>
      <c r="G352" s="8" t="s">
        <v>12324</v>
      </c>
      <c r="H352" s="24" t="s">
        <v>1259</v>
      </c>
      <c r="I352" s="25">
        <v>27096</v>
      </c>
      <c r="J352" s="8" t="s">
        <v>1261</v>
      </c>
      <c r="K352" s="8" t="s">
        <v>10040</v>
      </c>
      <c r="L352" s="15">
        <v>0.73904999999999998</v>
      </c>
      <c r="M352" s="15">
        <v>2.0135500000000001E-2</v>
      </c>
      <c r="N352" s="15">
        <v>0.25281249014084511</v>
      </c>
    </row>
    <row r="353" spans="1:14" x14ac:dyDescent="0.2">
      <c r="A353" s="2" t="s">
        <v>10068</v>
      </c>
      <c r="B353" s="15">
        <v>1618</v>
      </c>
      <c r="C353" s="15">
        <v>11</v>
      </c>
      <c r="D353" s="15">
        <v>6180841</v>
      </c>
      <c r="E353" s="15">
        <v>7191230</v>
      </c>
      <c r="F353" s="15">
        <v>2912</v>
      </c>
      <c r="G353" s="8" t="s">
        <v>12324</v>
      </c>
      <c r="H353" s="24" t="s">
        <v>1259</v>
      </c>
      <c r="I353" s="25">
        <v>27096</v>
      </c>
      <c r="J353" s="8" t="s">
        <v>1261</v>
      </c>
      <c r="K353" s="8" t="s">
        <v>10040</v>
      </c>
      <c r="L353" s="15">
        <v>-0.52609399999999995</v>
      </c>
      <c r="M353" s="15">
        <v>2.0184899999999999E-2</v>
      </c>
      <c r="N353" s="15">
        <v>0.25281249014084511</v>
      </c>
    </row>
    <row r="354" spans="1:14" x14ac:dyDescent="0.2">
      <c r="A354" s="2" t="s">
        <v>10068</v>
      </c>
      <c r="B354" s="15">
        <v>2415</v>
      </c>
      <c r="C354" s="15">
        <v>20</v>
      </c>
      <c r="D354" s="15">
        <v>51533751</v>
      </c>
      <c r="E354" s="15">
        <v>52411532</v>
      </c>
      <c r="F354" s="15">
        <v>2241</v>
      </c>
      <c r="G354" s="8" t="s">
        <v>12324</v>
      </c>
      <c r="H354" s="24" t="s">
        <v>1259</v>
      </c>
      <c r="I354" s="25">
        <v>27096</v>
      </c>
      <c r="J354" s="8" t="s">
        <v>1261</v>
      </c>
      <c r="K354" s="8" t="s">
        <v>10040</v>
      </c>
      <c r="L354" s="15">
        <v>0.66415000000000002</v>
      </c>
      <c r="M354" s="15">
        <v>2.02197E-2</v>
      </c>
      <c r="N354" s="15">
        <v>0.25281249014084511</v>
      </c>
    </row>
    <row r="355" spans="1:14" x14ac:dyDescent="0.2">
      <c r="A355" s="2" t="s">
        <v>10066</v>
      </c>
      <c r="B355" s="15">
        <v>471</v>
      </c>
      <c r="C355" s="15">
        <v>3</v>
      </c>
      <c r="D355" s="15">
        <v>58557719</v>
      </c>
      <c r="E355" s="15">
        <v>59998583</v>
      </c>
      <c r="F355" s="15">
        <v>3736</v>
      </c>
      <c r="G355" s="8" t="s">
        <v>12324</v>
      </c>
      <c r="H355" s="24" t="s">
        <v>3164</v>
      </c>
      <c r="I355" s="25" t="s">
        <v>3165</v>
      </c>
      <c r="J355" s="8" t="s">
        <v>3166</v>
      </c>
      <c r="K355" s="8" t="s">
        <v>10042</v>
      </c>
      <c r="L355" s="15">
        <v>0.46642400000000001</v>
      </c>
      <c r="M355" s="15">
        <v>2.0052500000000001E-2</v>
      </c>
      <c r="N355" s="15">
        <v>0.25281249014084511</v>
      </c>
    </row>
    <row r="356" spans="1:14" x14ac:dyDescent="0.2">
      <c r="A356" s="2" t="s">
        <v>10066</v>
      </c>
      <c r="B356" s="15">
        <v>2245</v>
      </c>
      <c r="C356" s="15">
        <v>18</v>
      </c>
      <c r="D356" s="15">
        <v>6756497</v>
      </c>
      <c r="E356" s="15">
        <v>7862479</v>
      </c>
      <c r="F356" s="15">
        <v>3064</v>
      </c>
      <c r="G356" s="8" t="s">
        <v>12324</v>
      </c>
      <c r="H356" s="24" t="s">
        <v>3164</v>
      </c>
      <c r="I356" s="25" t="s">
        <v>3165</v>
      </c>
      <c r="J356" s="8" t="s">
        <v>3166</v>
      </c>
      <c r="K356" s="8" t="s">
        <v>10042</v>
      </c>
      <c r="L356" s="15">
        <v>-0.300956</v>
      </c>
      <c r="M356" s="15">
        <v>2.0178000000000001E-2</v>
      </c>
      <c r="N356" s="15">
        <v>0.25281249014084511</v>
      </c>
    </row>
    <row r="357" spans="1:14" x14ac:dyDescent="0.2">
      <c r="A357" s="2" t="s">
        <v>10066</v>
      </c>
      <c r="B357" s="15">
        <v>2155</v>
      </c>
      <c r="C357" s="15">
        <v>16</v>
      </c>
      <c r="D357" s="15">
        <v>76635468</v>
      </c>
      <c r="E357" s="15">
        <v>77270665</v>
      </c>
      <c r="F357" s="15">
        <v>2074</v>
      </c>
      <c r="G357" s="8" t="s">
        <v>12324</v>
      </c>
      <c r="H357" s="24" t="s">
        <v>6008</v>
      </c>
      <c r="I357" s="25" t="s">
        <v>6009</v>
      </c>
      <c r="J357" s="8" t="s">
        <v>6010</v>
      </c>
      <c r="K357" s="8" t="s">
        <v>10051</v>
      </c>
      <c r="L357" s="15">
        <v>-0.77661800000000003</v>
      </c>
      <c r="M357" s="15">
        <v>2.0236400000000002E-2</v>
      </c>
      <c r="N357" s="15">
        <v>0.25281249014084511</v>
      </c>
    </row>
    <row r="358" spans="1:14" x14ac:dyDescent="0.2">
      <c r="A358" s="2" t="s">
        <v>10066</v>
      </c>
      <c r="B358" s="15">
        <v>158</v>
      </c>
      <c r="C358" s="15">
        <v>1</v>
      </c>
      <c r="D358" s="15">
        <v>205009624</v>
      </c>
      <c r="E358" s="15">
        <v>205917548</v>
      </c>
      <c r="F358" s="15">
        <v>2533</v>
      </c>
      <c r="G358" s="8" t="s">
        <v>12324</v>
      </c>
      <c r="H358" s="24" t="s">
        <v>6008</v>
      </c>
      <c r="I358" s="25" t="s">
        <v>6009</v>
      </c>
      <c r="J358" s="8" t="s">
        <v>6010</v>
      </c>
      <c r="K358" s="8" t="s">
        <v>10051</v>
      </c>
      <c r="L358" s="15">
        <v>-0.87005900000000003</v>
      </c>
      <c r="M358" s="15">
        <v>2.0441999999999998E-2</v>
      </c>
      <c r="N358" s="15">
        <v>0.2542298529411765</v>
      </c>
    </row>
    <row r="359" spans="1:14" x14ac:dyDescent="0.2">
      <c r="A359" s="2" t="s">
        <v>10068</v>
      </c>
      <c r="B359" s="15">
        <v>1946</v>
      </c>
      <c r="C359" s="15">
        <v>13</v>
      </c>
      <c r="D359" s="15">
        <v>108521979</v>
      </c>
      <c r="E359" s="15">
        <v>109156765</v>
      </c>
      <c r="F359" s="15">
        <v>2075</v>
      </c>
      <c r="G359" s="8" t="s">
        <v>12324</v>
      </c>
      <c r="H359" s="24" t="s">
        <v>6565</v>
      </c>
      <c r="I359" s="25" t="s">
        <v>6475</v>
      </c>
      <c r="J359" s="8" t="s">
        <v>6566</v>
      </c>
      <c r="K359" s="8" t="s">
        <v>10054</v>
      </c>
      <c r="L359" s="15">
        <v>-0.48555999999999999</v>
      </c>
      <c r="M359" s="15">
        <v>2.04645E-2</v>
      </c>
      <c r="N359" s="15">
        <v>0.2542298529411765</v>
      </c>
    </row>
    <row r="360" spans="1:14" x14ac:dyDescent="0.2">
      <c r="A360" s="2" t="s">
        <v>10066</v>
      </c>
      <c r="B360" s="15">
        <v>1172</v>
      </c>
      <c r="C360" s="15">
        <v>7</v>
      </c>
      <c r="D360" s="15">
        <v>81533567</v>
      </c>
      <c r="E360" s="15">
        <v>82759283</v>
      </c>
      <c r="F360" s="15">
        <v>3240</v>
      </c>
      <c r="G360" s="8" t="s">
        <v>12324</v>
      </c>
      <c r="H360" s="24" t="s">
        <v>6008</v>
      </c>
      <c r="I360" s="25" t="s">
        <v>6009</v>
      </c>
      <c r="J360" s="8" t="s">
        <v>6010</v>
      </c>
      <c r="K360" s="8" t="s">
        <v>10051</v>
      </c>
      <c r="L360" s="15">
        <v>-0.45317600000000002</v>
      </c>
      <c r="M360" s="15">
        <v>2.0569299999999999E-2</v>
      </c>
      <c r="N360" s="15">
        <v>0.25481800418994421</v>
      </c>
    </row>
    <row r="361" spans="1:14" x14ac:dyDescent="0.2">
      <c r="A361" s="2" t="s">
        <v>10068</v>
      </c>
      <c r="B361" s="15">
        <v>563</v>
      </c>
      <c r="C361" s="15">
        <v>3</v>
      </c>
      <c r="D361" s="15">
        <v>161628884</v>
      </c>
      <c r="E361" s="15">
        <v>162622604</v>
      </c>
      <c r="F361" s="15">
        <v>3692</v>
      </c>
      <c r="G361" s="8" t="s">
        <v>12324</v>
      </c>
      <c r="H361" s="24" t="s">
        <v>1259</v>
      </c>
      <c r="I361" s="25">
        <v>27096</v>
      </c>
      <c r="J361" s="8" t="s">
        <v>1261</v>
      </c>
      <c r="K361" s="8" t="s">
        <v>10040</v>
      </c>
      <c r="L361" s="15">
        <v>-0.90874699999999997</v>
      </c>
      <c r="M361" s="15">
        <v>2.0633200000000001E-2</v>
      </c>
      <c r="N361" s="15">
        <v>0.25489121132596693</v>
      </c>
    </row>
    <row r="362" spans="1:14" x14ac:dyDescent="0.2">
      <c r="A362" s="2" t="s">
        <v>10068</v>
      </c>
      <c r="B362" s="15">
        <v>2453</v>
      </c>
      <c r="C362" s="15">
        <v>21</v>
      </c>
      <c r="D362" s="15">
        <v>39252060</v>
      </c>
      <c r="E362" s="15">
        <v>40480831</v>
      </c>
      <c r="F362" s="15">
        <v>3347</v>
      </c>
      <c r="G362" s="8" t="s">
        <v>12324</v>
      </c>
      <c r="H362" s="24" t="s">
        <v>1259</v>
      </c>
      <c r="I362" s="25">
        <v>27096</v>
      </c>
      <c r="J362" s="8" t="s">
        <v>1261</v>
      </c>
      <c r="K362" s="8" t="s">
        <v>10040</v>
      </c>
      <c r="L362" s="15">
        <v>0.46792600000000001</v>
      </c>
      <c r="M362" s="15">
        <v>2.0697900000000002E-2</v>
      </c>
      <c r="N362" s="15">
        <v>0.25489121132596693</v>
      </c>
    </row>
    <row r="363" spans="1:14" x14ac:dyDescent="0.2">
      <c r="A363" s="2" t="s">
        <v>10068</v>
      </c>
      <c r="B363" s="15">
        <v>1949</v>
      </c>
      <c r="C363" s="15">
        <v>13</v>
      </c>
      <c r="D363" s="15">
        <v>110995433</v>
      </c>
      <c r="E363" s="15">
        <v>111621244</v>
      </c>
      <c r="F363" s="15">
        <v>2235</v>
      </c>
      <c r="G363" s="8" t="s">
        <v>12324</v>
      </c>
      <c r="H363" s="24" t="s">
        <v>1259</v>
      </c>
      <c r="I363" s="25">
        <v>27096</v>
      </c>
      <c r="J363" s="8" t="s">
        <v>1261</v>
      </c>
      <c r="K363" s="8" t="s">
        <v>10040</v>
      </c>
      <c r="L363" s="15">
        <v>-0.50182400000000005</v>
      </c>
      <c r="M363" s="15">
        <v>2.0787199999999999E-2</v>
      </c>
      <c r="N363" s="15">
        <v>0.25489121132596693</v>
      </c>
    </row>
    <row r="364" spans="1:14" x14ac:dyDescent="0.2">
      <c r="A364" s="2" t="s">
        <v>10068</v>
      </c>
      <c r="B364" s="15">
        <v>1138</v>
      </c>
      <c r="C364" s="15">
        <v>7</v>
      </c>
      <c r="D364" s="15">
        <v>41415926</v>
      </c>
      <c r="E364" s="15">
        <v>42494806</v>
      </c>
      <c r="F364" s="15">
        <v>2758</v>
      </c>
      <c r="G364" s="8" t="s">
        <v>12324</v>
      </c>
      <c r="H364" s="24" t="s">
        <v>1259</v>
      </c>
      <c r="I364" s="25">
        <v>27096</v>
      </c>
      <c r="J364" s="8" t="s">
        <v>1261</v>
      </c>
      <c r="K364" s="8" t="s">
        <v>10040</v>
      </c>
      <c r="L364" s="15">
        <v>-0.61016999999999999</v>
      </c>
      <c r="M364" s="15">
        <v>2.08051E-2</v>
      </c>
      <c r="N364" s="15">
        <v>0.25489121132596693</v>
      </c>
    </row>
    <row r="365" spans="1:14" x14ac:dyDescent="0.2">
      <c r="A365" s="2" t="s">
        <v>10068</v>
      </c>
      <c r="B365" s="15">
        <v>1533</v>
      </c>
      <c r="C365" s="15">
        <v>10</v>
      </c>
      <c r="D365" s="15">
        <v>50145674</v>
      </c>
      <c r="E365" s="15">
        <v>51724039</v>
      </c>
      <c r="F365" s="15">
        <v>2779</v>
      </c>
      <c r="G365" s="8" t="s">
        <v>12324</v>
      </c>
      <c r="H365" s="24" t="s">
        <v>599</v>
      </c>
      <c r="I365" s="25">
        <v>26562</v>
      </c>
      <c r="J365" s="8" t="s">
        <v>601</v>
      </c>
      <c r="K365" s="8" t="s">
        <v>10040</v>
      </c>
      <c r="L365" s="15">
        <v>0.42262300000000003</v>
      </c>
      <c r="M365" s="15">
        <v>2.1123699999999999E-2</v>
      </c>
      <c r="N365" s="15">
        <v>0.25597621351351352</v>
      </c>
    </row>
    <row r="366" spans="1:14" x14ac:dyDescent="0.2">
      <c r="A366" s="2" t="s">
        <v>10068</v>
      </c>
      <c r="B366" s="15">
        <v>2490</v>
      </c>
      <c r="C366" s="15">
        <v>22</v>
      </c>
      <c r="D366" s="15">
        <v>46351049</v>
      </c>
      <c r="E366" s="15">
        <v>47299625</v>
      </c>
      <c r="F366" s="15">
        <v>3014</v>
      </c>
      <c r="G366" s="8" t="s">
        <v>12324</v>
      </c>
      <c r="H366" s="24" t="s">
        <v>1259</v>
      </c>
      <c r="I366" s="25">
        <v>27096</v>
      </c>
      <c r="J366" s="8" t="s">
        <v>1261</v>
      </c>
      <c r="K366" s="8" t="s">
        <v>10040</v>
      </c>
      <c r="L366" s="15">
        <v>-0.47323399999999999</v>
      </c>
      <c r="M366" s="15">
        <v>2.1129100000000001E-2</v>
      </c>
      <c r="N366" s="15">
        <v>0.25597621351351352</v>
      </c>
    </row>
    <row r="367" spans="1:14" x14ac:dyDescent="0.2">
      <c r="A367" s="2" t="s">
        <v>10066</v>
      </c>
      <c r="B367" s="15">
        <v>688</v>
      </c>
      <c r="C367" s="15">
        <v>4</v>
      </c>
      <c r="D367" s="15">
        <v>98445516</v>
      </c>
      <c r="E367" s="15">
        <v>99532480</v>
      </c>
      <c r="F367" s="15">
        <v>2657</v>
      </c>
      <c r="G367" s="8" t="s">
        <v>12324</v>
      </c>
      <c r="H367" s="24" t="s">
        <v>3164</v>
      </c>
      <c r="I367" s="25" t="s">
        <v>3165</v>
      </c>
      <c r="J367" s="8" t="s">
        <v>3166</v>
      </c>
      <c r="K367" s="8" t="s">
        <v>10042</v>
      </c>
      <c r="L367" s="15">
        <v>0.68225499999999994</v>
      </c>
      <c r="M367" s="15">
        <v>2.1306700000000001E-2</v>
      </c>
      <c r="N367" s="15">
        <v>0.25597621351351352</v>
      </c>
    </row>
    <row r="368" spans="1:14" x14ac:dyDescent="0.2">
      <c r="A368" s="2" t="s">
        <v>10066</v>
      </c>
      <c r="B368" s="15">
        <v>1600</v>
      </c>
      <c r="C368" s="15">
        <v>10</v>
      </c>
      <c r="D368" s="15">
        <v>126875817</v>
      </c>
      <c r="E368" s="15">
        <v>127997708</v>
      </c>
      <c r="F368" s="15">
        <v>3045</v>
      </c>
      <c r="G368" s="8" t="s">
        <v>12324</v>
      </c>
      <c r="H368" s="24" t="s">
        <v>6008</v>
      </c>
      <c r="I368" s="25" t="s">
        <v>6009</v>
      </c>
      <c r="J368" s="8" t="s">
        <v>6010</v>
      </c>
      <c r="K368" s="8" t="s">
        <v>10051</v>
      </c>
      <c r="L368" s="15">
        <v>0.87053499999999995</v>
      </c>
      <c r="M368" s="15">
        <v>2.1220599999999999E-2</v>
      </c>
      <c r="N368" s="15">
        <v>0.25597621351351352</v>
      </c>
    </row>
    <row r="369" spans="1:14" x14ac:dyDescent="0.2">
      <c r="A369" s="2" t="s">
        <v>10068</v>
      </c>
      <c r="B369" s="15">
        <v>891</v>
      </c>
      <c r="C369" s="15">
        <v>5</v>
      </c>
      <c r="D369" s="15">
        <v>136949854</v>
      </c>
      <c r="E369" s="15">
        <v>139408116</v>
      </c>
      <c r="F369" s="15">
        <v>3566</v>
      </c>
      <c r="G369" s="8" t="s">
        <v>12324</v>
      </c>
      <c r="H369" s="24" t="s">
        <v>6565</v>
      </c>
      <c r="I369" s="25" t="s">
        <v>6475</v>
      </c>
      <c r="J369" s="8" t="s">
        <v>6566</v>
      </c>
      <c r="K369" s="8" t="s">
        <v>10054</v>
      </c>
      <c r="L369" s="15">
        <v>0.49667899999999998</v>
      </c>
      <c r="M369" s="15">
        <v>2.0978199999999999E-2</v>
      </c>
      <c r="N369" s="15">
        <v>0.25597621351351352</v>
      </c>
    </row>
    <row r="370" spans="1:14" x14ac:dyDescent="0.2">
      <c r="A370" s="2" t="s">
        <v>10068</v>
      </c>
      <c r="B370" s="15">
        <v>1584</v>
      </c>
      <c r="C370" s="15">
        <v>10</v>
      </c>
      <c r="D370" s="15">
        <v>108725998</v>
      </c>
      <c r="E370" s="15">
        <v>109579149</v>
      </c>
      <c r="F370" s="15">
        <v>2691</v>
      </c>
      <c r="G370" s="8" t="s">
        <v>12324</v>
      </c>
      <c r="H370" s="24" t="s">
        <v>6565</v>
      </c>
      <c r="I370" s="25" t="s">
        <v>6475</v>
      </c>
      <c r="J370" s="8" t="s">
        <v>6566</v>
      </c>
      <c r="K370" s="8" t="s">
        <v>10054</v>
      </c>
      <c r="L370" s="15">
        <v>0.58631599999999995</v>
      </c>
      <c r="M370" s="15">
        <v>2.1263799999999999E-2</v>
      </c>
      <c r="N370" s="15">
        <v>0.25597621351351352</v>
      </c>
    </row>
    <row r="371" spans="1:14" x14ac:dyDescent="0.2">
      <c r="A371" s="2" t="s">
        <v>10068</v>
      </c>
      <c r="B371" s="15">
        <v>1596</v>
      </c>
      <c r="C371" s="15">
        <v>10</v>
      </c>
      <c r="D371" s="15">
        <v>122803507</v>
      </c>
      <c r="E371" s="15">
        <v>123856184</v>
      </c>
      <c r="F371" s="15">
        <v>3005</v>
      </c>
      <c r="G371" s="8" t="s">
        <v>12324</v>
      </c>
      <c r="H371" s="24" t="s">
        <v>6565</v>
      </c>
      <c r="I371" s="25" t="s">
        <v>6475</v>
      </c>
      <c r="J371" s="8" t="s">
        <v>6566</v>
      </c>
      <c r="K371" s="8" t="s">
        <v>10054</v>
      </c>
      <c r="L371" s="15">
        <v>0.470196</v>
      </c>
      <c r="M371" s="15">
        <v>2.12952E-2</v>
      </c>
      <c r="N371" s="15">
        <v>0.25597621351351352</v>
      </c>
    </row>
    <row r="372" spans="1:14" x14ac:dyDescent="0.2">
      <c r="A372" s="2" t="s">
        <v>10068</v>
      </c>
      <c r="B372" s="15">
        <v>263</v>
      </c>
      <c r="C372" s="15">
        <v>2</v>
      </c>
      <c r="D372" s="15">
        <v>55663337</v>
      </c>
      <c r="E372" s="15">
        <v>56394698</v>
      </c>
      <c r="F372" s="15">
        <v>2278</v>
      </c>
      <c r="G372" s="8" t="s">
        <v>12324</v>
      </c>
      <c r="H372" s="24" t="s">
        <v>6565</v>
      </c>
      <c r="I372" s="25" t="s">
        <v>6475</v>
      </c>
      <c r="J372" s="8" t="s">
        <v>6566</v>
      </c>
      <c r="K372" s="8" t="s">
        <v>10054</v>
      </c>
      <c r="L372" s="15">
        <v>0.75718399999999997</v>
      </c>
      <c r="M372" s="15">
        <v>2.13554E-2</v>
      </c>
      <c r="N372" s="15">
        <v>0.25597621351351352</v>
      </c>
    </row>
    <row r="373" spans="1:14" x14ac:dyDescent="0.2">
      <c r="A373" s="2" t="s">
        <v>10068</v>
      </c>
      <c r="B373" s="15">
        <v>1581</v>
      </c>
      <c r="C373" s="15">
        <v>10</v>
      </c>
      <c r="D373" s="15">
        <v>104206838</v>
      </c>
      <c r="E373" s="15">
        <v>106142283</v>
      </c>
      <c r="F373" s="15">
        <v>3883</v>
      </c>
      <c r="G373" s="8" t="s">
        <v>12324</v>
      </c>
      <c r="H373" s="24" t="s">
        <v>599</v>
      </c>
      <c r="I373" s="25">
        <v>26562</v>
      </c>
      <c r="J373" s="8" t="s">
        <v>601</v>
      </c>
      <c r="K373" s="8" t="s">
        <v>10040</v>
      </c>
      <c r="L373" s="15">
        <v>-0.794516</v>
      </c>
      <c r="M373" s="15">
        <v>2.18186E-2</v>
      </c>
      <c r="N373" s="15">
        <v>0.26011215549597849</v>
      </c>
    </row>
    <row r="374" spans="1:14" x14ac:dyDescent="0.2">
      <c r="A374" s="2" t="s">
        <v>10068</v>
      </c>
      <c r="B374" s="15">
        <v>1069</v>
      </c>
      <c r="C374" s="15">
        <v>6</v>
      </c>
      <c r="D374" s="15">
        <v>145778283</v>
      </c>
      <c r="E374" s="15">
        <v>147015882</v>
      </c>
      <c r="F374" s="15">
        <v>2285</v>
      </c>
      <c r="G374" s="8" t="s">
        <v>12324</v>
      </c>
      <c r="H374" s="24" t="s">
        <v>599</v>
      </c>
      <c r="I374" s="25">
        <v>26562</v>
      </c>
      <c r="J374" s="8" t="s">
        <v>601</v>
      </c>
      <c r="K374" s="8" t="s">
        <v>10040</v>
      </c>
      <c r="L374" s="15">
        <v>-0.64699300000000004</v>
      </c>
      <c r="M374" s="15">
        <v>2.1876400000000001E-2</v>
      </c>
      <c r="N374" s="15">
        <v>0.26011215549597849</v>
      </c>
    </row>
    <row r="375" spans="1:14" x14ac:dyDescent="0.2">
      <c r="A375" s="2" t="s">
        <v>10069</v>
      </c>
      <c r="B375" s="15">
        <v>1505</v>
      </c>
      <c r="C375" s="15">
        <v>10</v>
      </c>
      <c r="D375" s="15">
        <v>17065861</v>
      </c>
      <c r="E375" s="15">
        <v>18529742</v>
      </c>
      <c r="F375" s="15">
        <v>2279</v>
      </c>
      <c r="G375" s="8" t="s">
        <v>12324</v>
      </c>
      <c r="H375" s="24" t="s">
        <v>662</v>
      </c>
      <c r="I375" s="25" t="s">
        <v>663</v>
      </c>
      <c r="J375" s="8" t="s">
        <v>664</v>
      </c>
      <c r="K375" s="8" t="s">
        <v>10040</v>
      </c>
      <c r="L375" s="15">
        <v>0.78298400000000001</v>
      </c>
      <c r="M375" s="15">
        <v>2.1772900000000001E-2</v>
      </c>
      <c r="N375" s="15">
        <v>0.26011215549597849</v>
      </c>
    </row>
    <row r="376" spans="1:14" x14ac:dyDescent="0.2">
      <c r="A376" s="2" t="s">
        <v>10066</v>
      </c>
      <c r="B376" s="15">
        <v>1162</v>
      </c>
      <c r="C376" s="15">
        <v>7</v>
      </c>
      <c r="D376" s="15">
        <v>67474723</v>
      </c>
      <c r="E376" s="15">
        <v>68569224</v>
      </c>
      <c r="F376" s="15">
        <v>4124</v>
      </c>
      <c r="G376" s="8" t="s">
        <v>12324</v>
      </c>
      <c r="H376" s="24" t="s">
        <v>6008</v>
      </c>
      <c r="I376" s="25" t="s">
        <v>6009</v>
      </c>
      <c r="J376" s="8" t="s">
        <v>6010</v>
      </c>
      <c r="K376" s="8" t="s">
        <v>10051</v>
      </c>
      <c r="L376" s="15">
        <v>-0.44736999999999999</v>
      </c>
      <c r="M376" s="15">
        <v>2.2020600000000001E-2</v>
      </c>
      <c r="N376" s="15">
        <v>0.26112663368983963</v>
      </c>
    </row>
    <row r="377" spans="1:14" x14ac:dyDescent="0.2">
      <c r="A377" s="2" t="s">
        <v>10068</v>
      </c>
      <c r="B377" s="15">
        <v>538</v>
      </c>
      <c r="C377" s="15">
        <v>3</v>
      </c>
      <c r="D377" s="15">
        <v>132925968</v>
      </c>
      <c r="E377" s="15">
        <v>133718493</v>
      </c>
      <c r="F377" s="15">
        <v>2169</v>
      </c>
      <c r="G377" s="8" t="s">
        <v>12324</v>
      </c>
      <c r="H377" s="24" t="s">
        <v>1259</v>
      </c>
      <c r="I377" s="25">
        <v>27096</v>
      </c>
      <c r="J377" s="8" t="s">
        <v>1261</v>
      </c>
      <c r="K377" s="8" t="s">
        <v>10040</v>
      </c>
      <c r="L377" s="15">
        <v>-0.38703700000000002</v>
      </c>
      <c r="M377" s="15">
        <v>2.2159600000000002E-2</v>
      </c>
      <c r="N377" s="15">
        <v>0.26158125398936172</v>
      </c>
    </row>
    <row r="378" spans="1:14" x14ac:dyDescent="0.2">
      <c r="A378" s="2" t="s">
        <v>10068</v>
      </c>
      <c r="B378" s="15">
        <v>5</v>
      </c>
      <c r="C378" s="15">
        <v>1</v>
      </c>
      <c r="D378" s="15">
        <v>3582048</v>
      </c>
      <c r="E378" s="15">
        <v>4281476</v>
      </c>
      <c r="F378" s="15">
        <v>2302</v>
      </c>
      <c r="G378" s="8" t="s">
        <v>12324</v>
      </c>
      <c r="H378" s="24" t="s">
        <v>1259</v>
      </c>
      <c r="I378" s="25">
        <v>27096</v>
      </c>
      <c r="J378" s="8" t="s">
        <v>1261</v>
      </c>
      <c r="K378" s="8" t="s">
        <v>10040</v>
      </c>
      <c r="L378" s="15">
        <v>-0.25944299999999998</v>
      </c>
      <c r="M378" s="15">
        <v>2.2176899999999999E-2</v>
      </c>
      <c r="N378" s="15">
        <v>0.26158125398936172</v>
      </c>
    </row>
    <row r="379" spans="1:14" x14ac:dyDescent="0.2">
      <c r="A379" s="2" t="s">
        <v>10068</v>
      </c>
      <c r="B379" s="15">
        <v>1187</v>
      </c>
      <c r="C379" s="15">
        <v>7</v>
      </c>
      <c r="D379" s="15">
        <v>100849308</v>
      </c>
      <c r="E379" s="15">
        <v>101950748</v>
      </c>
      <c r="F379" s="15">
        <v>3456</v>
      </c>
      <c r="G379" s="8" t="s">
        <v>12324</v>
      </c>
      <c r="H379" s="24" t="s">
        <v>599</v>
      </c>
      <c r="I379" s="25">
        <v>26562</v>
      </c>
      <c r="J379" s="8" t="s">
        <v>601</v>
      </c>
      <c r="K379" s="8" t="s">
        <v>10040</v>
      </c>
      <c r="L379" s="15">
        <v>-0.59117200000000003</v>
      </c>
      <c r="M379" s="15">
        <v>2.2404500000000001E-2</v>
      </c>
      <c r="N379" s="15">
        <v>0.26176070263157891</v>
      </c>
    </row>
    <row r="380" spans="1:14" x14ac:dyDescent="0.2">
      <c r="A380" s="2" t="s">
        <v>10068</v>
      </c>
      <c r="B380" s="15">
        <v>2287</v>
      </c>
      <c r="C380" s="15">
        <v>18</v>
      </c>
      <c r="D380" s="15">
        <v>58527237</v>
      </c>
      <c r="E380" s="15">
        <v>59449422</v>
      </c>
      <c r="F380" s="15">
        <v>2310</v>
      </c>
      <c r="G380" s="8" t="s">
        <v>12324</v>
      </c>
      <c r="H380" s="24" t="s">
        <v>599</v>
      </c>
      <c r="I380" s="25">
        <v>26562</v>
      </c>
      <c r="J380" s="8" t="s">
        <v>601</v>
      </c>
      <c r="K380" s="8" t="s">
        <v>10040</v>
      </c>
      <c r="L380" s="15">
        <v>-0.70391599999999999</v>
      </c>
      <c r="M380" s="15">
        <v>2.2428199999999999E-2</v>
      </c>
      <c r="N380" s="15">
        <v>0.26176070263157891</v>
      </c>
    </row>
    <row r="381" spans="1:14" x14ac:dyDescent="0.2">
      <c r="A381" s="2" t="s">
        <v>10066</v>
      </c>
      <c r="B381" s="15">
        <v>478</v>
      </c>
      <c r="C381" s="15">
        <v>3</v>
      </c>
      <c r="D381" s="15">
        <v>65326752</v>
      </c>
      <c r="E381" s="15">
        <v>66702084</v>
      </c>
      <c r="F381" s="15">
        <v>3390</v>
      </c>
      <c r="G381" s="8" t="s">
        <v>12324</v>
      </c>
      <c r="H381" s="24" t="s">
        <v>3164</v>
      </c>
      <c r="I381" s="25" t="s">
        <v>3165</v>
      </c>
      <c r="J381" s="8" t="s">
        <v>3166</v>
      </c>
      <c r="K381" s="8" t="s">
        <v>10042</v>
      </c>
      <c r="L381" s="15">
        <v>0.41397099999999998</v>
      </c>
      <c r="M381" s="15">
        <v>2.22791E-2</v>
      </c>
      <c r="N381" s="15">
        <v>0.26176070263157891</v>
      </c>
    </row>
    <row r="382" spans="1:14" x14ac:dyDescent="0.2">
      <c r="A382" s="2" t="s">
        <v>10068</v>
      </c>
      <c r="B382" s="15">
        <v>1280</v>
      </c>
      <c r="C382" s="15">
        <v>8</v>
      </c>
      <c r="D382" s="15">
        <v>36641175</v>
      </c>
      <c r="E382" s="15">
        <v>38803980</v>
      </c>
      <c r="F382" s="15">
        <v>3766</v>
      </c>
      <c r="G382" s="8" t="s">
        <v>12324</v>
      </c>
      <c r="H382" s="24" t="s">
        <v>6565</v>
      </c>
      <c r="I382" s="25" t="s">
        <v>6475</v>
      </c>
      <c r="J382" s="8" t="s">
        <v>6566</v>
      </c>
      <c r="K382" s="8" t="s">
        <v>10054</v>
      </c>
      <c r="L382" s="15">
        <v>0.46811199999999997</v>
      </c>
      <c r="M382" s="15">
        <v>2.2348799999999999E-2</v>
      </c>
      <c r="N382" s="15">
        <v>0.26176070263157891</v>
      </c>
    </row>
    <row r="383" spans="1:14" x14ac:dyDescent="0.2">
      <c r="A383" s="2" t="s">
        <v>10068</v>
      </c>
      <c r="B383" s="15">
        <v>1429</v>
      </c>
      <c r="C383" s="15">
        <v>9</v>
      </c>
      <c r="D383" s="15">
        <v>83455503</v>
      </c>
      <c r="E383" s="15">
        <v>85135751</v>
      </c>
      <c r="F383" s="15">
        <v>3685</v>
      </c>
      <c r="G383" s="8" t="s">
        <v>12324</v>
      </c>
      <c r="H383" s="24" t="s">
        <v>599</v>
      </c>
      <c r="I383" s="25">
        <v>26562</v>
      </c>
      <c r="J383" s="8" t="s">
        <v>601</v>
      </c>
      <c r="K383" s="8" t="s">
        <v>10040</v>
      </c>
      <c r="L383" s="15">
        <v>-0.70563200000000004</v>
      </c>
      <c r="M383" s="15">
        <v>2.2875199999999998E-2</v>
      </c>
      <c r="N383" s="15">
        <v>0.26263909560723508</v>
      </c>
    </row>
    <row r="384" spans="1:14" x14ac:dyDescent="0.2">
      <c r="A384" s="2" t="s">
        <v>10068</v>
      </c>
      <c r="B384" s="15">
        <v>2452</v>
      </c>
      <c r="C384" s="15">
        <v>21</v>
      </c>
      <c r="D384" s="15">
        <v>38046450</v>
      </c>
      <c r="E384" s="15">
        <v>39252059</v>
      </c>
      <c r="F384" s="15">
        <v>3382</v>
      </c>
      <c r="G384" s="8" t="s">
        <v>12324</v>
      </c>
      <c r="H384" s="24" t="s">
        <v>599</v>
      </c>
      <c r="I384" s="25">
        <v>26562</v>
      </c>
      <c r="J384" s="8" t="s">
        <v>601</v>
      </c>
      <c r="K384" s="8" t="s">
        <v>10040</v>
      </c>
      <c r="L384" s="15">
        <v>0.81045</v>
      </c>
      <c r="M384" s="15">
        <v>2.2918000000000001E-2</v>
      </c>
      <c r="N384" s="15">
        <v>0.26263909560723508</v>
      </c>
    </row>
    <row r="385" spans="1:14" x14ac:dyDescent="0.2">
      <c r="A385" s="2" t="s">
        <v>10069</v>
      </c>
      <c r="B385" s="15">
        <v>2044</v>
      </c>
      <c r="C385" s="15">
        <v>15</v>
      </c>
      <c r="D385" s="15">
        <v>33484268</v>
      </c>
      <c r="E385" s="15">
        <v>34410072</v>
      </c>
      <c r="F385" s="15">
        <v>1960</v>
      </c>
      <c r="G385" s="8" t="s">
        <v>12324</v>
      </c>
      <c r="H385" s="24" t="s">
        <v>662</v>
      </c>
      <c r="I385" s="25" t="s">
        <v>663</v>
      </c>
      <c r="J385" s="8" t="s">
        <v>664</v>
      </c>
      <c r="K385" s="8" t="s">
        <v>10040</v>
      </c>
      <c r="L385" s="15">
        <v>-0.748336</v>
      </c>
      <c r="M385" s="15">
        <v>2.2662399999999999E-2</v>
      </c>
      <c r="N385" s="15">
        <v>0.26263909560723508</v>
      </c>
    </row>
    <row r="386" spans="1:14" x14ac:dyDescent="0.2">
      <c r="A386" s="2" t="s">
        <v>10068</v>
      </c>
      <c r="B386" s="15">
        <v>1281</v>
      </c>
      <c r="C386" s="15">
        <v>8</v>
      </c>
      <c r="D386" s="15">
        <v>38803981</v>
      </c>
      <c r="E386" s="15">
        <v>40179577</v>
      </c>
      <c r="F386" s="15">
        <v>3431</v>
      </c>
      <c r="G386" s="8" t="s">
        <v>12324</v>
      </c>
      <c r="H386" s="24" t="s">
        <v>1259</v>
      </c>
      <c r="I386" s="25">
        <v>27096</v>
      </c>
      <c r="J386" s="8" t="s">
        <v>1261</v>
      </c>
      <c r="K386" s="8" t="s">
        <v>10040</v>
      </c>
      <c r="L386" s="15">
        <v>0.42239599999999999</v>
      </c>
      <c r="M386" s="15">
        <v>2.2895200000000001E-2</v>
      </c>
      <c r="N386" s="15">
        <v>0.26263909560723508</v>
      </c>
    </row>
    <row r="387" spans="1:14" x14ac:dyDescent="0.2">
      <c r="A387" s="2" t="s">
        <v>10068</v>
      </c>
      <c r="B387" s="15">
        <v>1197</v>
      </c>
      <c r="C387" s="15">
        <v>7</v>
      </c>
      <c r="D387" s="15">
        <v>113339387</v>
      </c>
      <c r="E387" s="15">
        <v>115321301</v>
      </c>
      <c r="F387" s="15">
        <v>3408</v>
      </c>
      <c r="G387" s="8" t="s">
        <v>12324</v>
      </c>
      <c r="H387" s="24" t="s">
        <v>6565</v>
      </c>
      <c r="I387" s="25" t="s">
        <v>6475</v>
      </c>
      <c r="J387" s="8" t="s">
        <v>6566</v>
      </c>
      <c r="K387" s="8" t="s">
        <v>10054</v>
      </c>
      <c r="L387" s="15">
        <v>-0.46459600000000001</v>
      </c>
      <c r="M387" s="15">
        <v>2.26879E-2</v>
      </c>
      <c r="N387" s="15">
        <v>0.26263909560723508</v>
      </c>
    </row>
    <row r="388" spans="1:14" x14ac:dyDescent="0.2">
      <c r="A388" s="2" t="s">
        <v>10068</v>
      </c>
      <c r="B388" s="15">
        <v>1871</v>
      </c>
      <c r="C388" s="15">
        <v>13</v>
      </c>
      <c r="D388" s="15">
        <v>26681710</v>
      </c>
      <c r="E388" s="15">
        <v>27392005</v>
      </c>
      <c r="F388" s="15">
        <v>2227</v>
      </c>
      <c r="G388" s="8" t="s">
        <v>12324</v>
      </c>
      <c r="H388" s="24" t="s">
        <v>6565</v>
      </c>
      <c r="I388" s="25" t="s">
        <v>6475</v>
      </c>
      <c r="J388" s="8" t="s">
        <v>6566</v>
      </c>
      <c r="K388" s="8" t="s">
        <v>10054</v>
      </c>
      <c r="L388" s="15">
        <v>0.59823999999999999</v>
      </c>
      <c r="M388" s="15">
        <v>2.27336E-2</v>
      </c>
      <c r="N388" s="15">
        <v>0.26263909560723508</v>
      </c>
    </row>
    <row r="389" spans="1:14" x14ac:dyDescent="0.2">
      <c r="A389" s="2" t="s">
        <v>10068</v>
      </c>
      <c r="B389" s="15">
        <v>1185</v>
      </c>
      <c r="C389" s="15">
        <v>7</v>
      </c>
      <c r="D389" s="15">
        <v>98173565</v>
      </c>
      <c r="E389" s="15">
        <v>99465540</v>
      </c>
      <c r="F389" s="15">
        <v>2741</v>
      </c>
      <c r="G389" s="8" t="s">
        <v>12324</v>
      </c>
      <c r="H389" s="24" t="s">
        <v>6565</v>
      </c>
      <c r="I389" s="25" t="s">
        <v>6475</v>
      </c>
      <c r="J389" s="8" t="s">
        <v>6566</v>
      </c>
      <c r="K389" s="8" t="s">
        <v>10054</v>
      </c>
      <c r="L389" s="15">
        <v>-0.68022300000000002</v>
      </c>
      <c r="M389" s="15">
        <v>2.28065E-2</v>
      </c>
      <c r="N389" s="15">
        <v>0.26263909560723508</v>
      </c>
    </row>
    <row r="390" spans="1:14" x14ac:dyDescent="0.2">
      <c r="A390" s="2" t="s">
        <v>10068</v>
      </c>
      <c r="B390" s="15">
        <v>974</v>
      </c>
      <c r="C390" s="15">
        <v>6</v>
      </c>
      <c r="D390" s="15">
        <v>38688721</v>
      </c>
      <c r="E390" s="15">
        <v>39785907</v>
      </c>
      <c r="F390" s="15">
        <v>3443</v>
      </c>
      <c r="G390" s="8" t="s">
        <v>12324</v>
      </c>
      <c r="H390" s="24" t="s">
        <v>494</v>
      </c>
      <c r="I390" s="25">
        <v>25920</v>
      </c>
      <c r="J390" s="8" t="s">
        <v>496</v>
      </c>
      <c r="K390" s="8" t="s">
        <v>10040</v>
      </c>
      <c r="L390" s="15">
        <v>-0.88917599999999997</v>
      </c>
      <c r="M390" s="15">
        <v>2.3106600000000001E-2</v>
      </c>
      <c r="N390" s="15">
        <v>0.26343899999999998</v>
      </c>
    </row>
    <row r="391" spans="1:14" x14ac:dyDescent="0.2">
      <c r="A391" s="2" t="s">
        <v>10066</v>
      </c>
      <c r="B391" s="15">
        <v>598</v>
      </c>
      <c r="C391" s="15">
        <v>4</v>
      </c>
      <c r="D391" s="15">
        <v>1529268</v>
      </c>
      <c r="E391" s="15">
        <v>2468935</v>
      </c>
      <c r="F391" s="15">
        <v>2391</v>
      </c>
      <c r="G391" s="8" t="s">
        <v>12324</v>
      </c>
      <c r="H391" s="24" t="s">
        <v>6008</v>
      </c>
      <c r="I391" s="25" t="s">
        <v>6009</v>
      </c>
      <c r="J391" s="8" t="s">
        <v>6010</v>
      </c>
      <c r="K391" s="8" t="s">
        <v>10051</v>
      </c>
      <c r="L391" s="15">
        <v>0.69388799999999995</v>
      </c>
      <c r="M391" s="15">
        <v>2.30818E-2</v>
      </c>
      <c r="N391" s="15">
        <v>0.26343899999999998</v>
      </c>
    </row>
    <row r="392" spans="1:14" x14ac:dyDescent="0.2">
      <c r="A392" s="2" t="s">
        <v>10068</v>
      </c>
      <c r="B392" s="15">
        <v>347</v>
      </c>
      <c r="C392" s="15">
        <v>2</v>
      </c>
      <c r="D392" s="15">
        <v>161432090</v>
      </c>
      <c r="E392" s="15">
        <v>163607635</v>
      </c>
      <c r="F392" s="15">
        <v>4176</v>
      </c>
      <c r="G392" s="8" t="s">
        <v>12324</v>
      </c>
      <c r="H392" s="24" t="s">
        <v>494</v>
      </c>
      <c r="I392" s="25">
        <v>25920</v>
      </c>
      <c r="J392" s="8" t="s">
        <v>496</v>
      </c>
      <c r="K392" s="8" t="s">
        <v>10040</v>
      </c>
      <c r="L392" s="15">
        <v>-0.48146299999999997</v>
      </c>
      <c r="M392" s="15">
        <v>2.3675700000000001E-2</v>
      </c>
      <c r="N392" s="15">
        <v>0.26565426010101012</v>
      </c>
    </row>
    <row r="393" spans="1:14" x14ac:dyDescent="0.2">
      <c r="A393" s="2" t="s">
        <v>10068</v>
      </c>
      <c r="B393" s="15">
        <v>2187</v>
      </c>
      <c r="C393" s="15">
        <v>17</v>
      </c>
      <c r="D393" s="15">
        <v>13648447</v>
      </c>
      <c r="E393" s="15">
        <v>14508610</v>
      </c>
      <c r="F393" s="15">
        <v>2927</v>
      </c>
      <c r="G393" s="8" t="s">
        <v>12324</v>
      </c>
      <c r="H393" s="24" t="s">
        <v>494</v>
      </c>
      <c r="I393" s="25">
        <v>25920</v>
      </c>
      <c r="J393" s="8" t="s">
        <v>496</v>
      </c>
      <c r="K393" s="8" t="s">
        <v>10040</v>
      </c>
      <c r="L393" s="15">
        <v>-0.25720700000000002</v>
      </c>
      <c r="M393" s="15">
        <v>2.37202E-2</v>
      </c>
      <c r="N393" s="15">
        <v>0.26565426010101012</v>
      </c>
    </row>
    <row r="394" spans="1:14" x14ac:dyDescent="0.2">
      <c r="A394" s="2" t="s">
        <v>10068</v>
      </c>
      <c r="B394" s="15">
        <v>1042</v>
      </c>
      <c r="C394" s="15">
        <v>6</v>
      </c>
      <c r="D394" s="15">
        <v>112342874</v>
      </c>
      <c r="E394" s="15">
        <v>113705003</v>
      </c>
      <c r="F394" s="15">
        <v>2872</v>
      </c>
      <c r="G394" s="8" t="s">
        <v>12324</v>
      </c>
      <c r="H394" s="24" t="s">
        <v>599</v>
      </c>
      <c r="I394" s="25">
        <v>26562</v>
      </c>
      <c r="J394" s="8" t="s">
        <v>601</v>
      </c>
      <c r="K394" s="8" t="s">
        <v>10040</v>
      </c>
      <c r="L394" s="15">
        <v>0.65255099999999999</v>
      </c>
      <c r="M394" s="15">
        <v>2.3659400000000001E-2</v>
      </c>
      <c r="N394" s="15">
        <v>0.26565426010101012</v>
      </c>
    </row>
    <row r="395" spans="1:14" x14ac:dyDescent="0.2">
      <c r="A395" s="2" t="s">
        <v>10068</v>
      </c>
      <c r="B395" s="15">
        <v>1850</v>
      </c>
      <c r="C395" s="15">
        <v>12</v>
      </c>
      <c r="D395" s="15">
        <v>121817510</v>
      </c>
      <c r="E395" s="15">
        <v>123396634</v>
      </c>
      <c r="F395" s="15">
        <v>3196</v>
      </c>
      <c r="G395" s="8" t="s">
        <v>12324</v>
      </c>
      <c r="H395" s="24" t="s">
        <v>1259</v>
      </c>
      <c r="I395" s="25">
        <v>27096</v>
      </c>
      <c r="J395" s="8" t="s">
        <v>1261</v>
      </c>
      <c r="K395" s="8" t="s">
        <v>10040</v>
      </c>
      <c r="L395" s="15">
        <v>0.49832700000000002</v>
      </c>
      <c r="M395" s="15">
        <v>2.3529999999999999E-2</v>
      </c>
      <c r="N395" s="15">
        <v>0.26565426010101012</v>
      </c>
    </row>
    <row r="396" spans="1:14" x14ac:dyDescent="0.2">
      <c r="A396" s="2" t="s">
        <v>10068</v>
      </c>
      <c r="B396" s="15">
        <v>1834</v>
      </c>
      <c r="C396" s="15">
        <v>12</v>
      </c>
      <c r="D396" s="15">
        <v>104140832</v>
      </c>
      <c r="E396" s="15">
        <v>105079100</v>
      </c>
      <c r="F396" s="15">
        <v>3069</v>
      </c>
      <c r="G396" s="8" t="s">
        <v>12324</v>
      </c>
      <c r="H396" s="24" t="s">
        <v>1259</v>
      </c>
      <c r="I396" s="25">
        <v>27096</v>
      </c>
      <c r="J396" s="8" t="s">
        <v>1261</v>
      </c>
      <c r="K396" s="8" t="s">
        <v>10040</v>
      </c>
      <c r="L396" s="15">
        <v>0.36863600000000002</v>
      </c>
      <c r="M396" s="15">
        <v>2.3694E-2</v>
      </c>
      <c r="N396" s="15">
        <v>0.26565426010101012</v>
      </c>
    </row>
    <row r="397" spans="1:14" x14ac:dyDescent="0.2">
      <c r="A397" s="2" t="s">
        <v>10066</v>
      </c>
      <c r="B397" s="15">
        <v>2001</v>
      </c>
      <c r="C397" s="15">
        <v>14</v>
      </c>
      <c r="D397" s="15">
        <v>71140427</v>
      </c>
      <c r="E397" s="15">
        <v>72665319</v>
      </c>
      <c r="F397" s="15">
        <v>3706</v>
      </c>
      <c r="G397" s="8" t="s">
        <v>12324</v>
      </c>
      <c r="H397" s="24" t="s">
        <v>3164</v>
      </c>
      <c r="I397" s="25" t="s">
        <v>3165</v>
      </c>
      <c r="J397" s="8" t="s">
        <v>3166</v>
      </c>
      <c r="K397" s="8" t="s">
        <v>10042</v>
      </c>
      <c r="L397" s="15">
        <v>-0.56181499999999995</v>
      </c>
      <c r="M397" s="15">
        <v>2.3537200000000001E-2</v>
      </c>
      <c r="N397" s="15">
        <v>0.26565426010101012</v>
      </c>
    </row>
    <row r="398" spans="1:14" x14ac:dyDescent="0.2">
      <c r="A398" s="2" t="s">
        <v>10066</v>
      </c>
      <c r="B398" s="15">
        <v>8</v>
      </c>
      <c r="C398" s="15">
        <v>1</v>
      </c>
      <c r="D398" s="15">
        <v>5362405</v>
      </c>
      <c r="E398" s="15">
        <v>6136814</v>
      </c>
      <c r="F398" s="15">
        <v>2335</v>
      </c>
      <c r="G398" s="8" t="s">
        <v>12324</v>
      </c>
      <c r="H398" s="24" t="s">
        <v>3164</v>
      </c>
      <c r="I398" s="25" t="s">
        <v>3165</v>
      </c>
      <c r="J398" s="8" t="s">
        <v>3166</v>
      </c>
      <c r="K398" s="8" t="s">
        <v>10042</v>
      </c>
      <c r="L398" s="15">
        <v>0.66913</v>
      </c>
      <c r="M398" s="15">
        <v>2.3612500000000002E-2</v>
      </c>
      <c r="N398" s="15">
        <v>0.26565426010101012</v>
      </c>
    </row>
    <row r="399" spans="1:14" x14ac:dyDescent="0.2">
      <c r="A399" s="2" t="s">
        <v>10068</v>
      </c>
      <c r="B399" s="15">
        <v>1143</v>
      </c>
      <c r="C399" s="15">
        <v>7</v>
      </c>
      <c r="D399" s="15">
        <v>47253455</v>
      </c>
      <c r="E399" s="15">
        <v>48363585</v>
      </c>
      <c r="F399" s="15">
        <v>3192</v>
      </c>
      <c r="G399" s="8" t="s">
        <v>12324</v>
      </c>
      <c r="H399" s="24" t="s">
        <v>494</v>
      </c>
      <c r="I399" s="25">
        <v>25920</v>
      </c>
      <c r="J399" s="8" t="s">
        <v>496</v>
      </c>
      <c r="K399" s="8" t="s">
        <v>10040</v>
      </c>
      <c r="L399" s="15">
        <v>-0.59031299999999998</v>
      </c>
      <c r="M399" s="15">
        <v>2.4201899999999998E-2</v>
      </c>
      <c r="N399" s="15">
        <v>0.26740086014851477</v>
      </c>
    </row>
    <row r="400" spans="1:14" x14ac:dyDescent="0.2">
      <c r="A400" s="2" t="s">
        <v>10068</v>
      </c>
      <c r="B400" s="15">
        <v>1887</v>
      </c>
      <c r="C400" s="15">
        <v>13</v>
      </c>
      <c r="D400" s="15">
        <v>43931932</v>
      </c>
      <c r="E400" s="15">
        <v>45476446</v>
      </c>
      <c r="F400" s="15">
        <v>3516</v>
      </c>
      <c r="G400" s="8" t="s">
        <v>12324</v>
      </c>
      <c r="H400" s="24" t="s">
        <v>599</v>
      </c>
      <c r="I400" s="25">
        <v>26562</v>
      </c>
      <c r="J400" s="8" t="s">
        <v>601</v>
      </c>
      <c r="K400" s="8" t="s">
        <v>10040</v>
      </c>
      <c r="L400" s="15">
        <v>0.39416600000000002</v>
      </c>
      <c r="M400" s="15">
        <v>2.4014500000000001E-2</v>
      </c>
      <c r="N400" s="15">
        <v>0.26740086014851477</v>
      </c>
    </row>
    <row r="401" spans="1:14" x14ac:dyDescent="0.2">
      <c r="A401" s="2" t="s">
        <v>10068</v>
      </c>
      <c r="B401" s="15">
        <v>1143</v>
      </c>
      <c r="C401" s="15">
        <v>7</v>
      </c>
      <c r="D401" s="15">
        <v>47253455</v>
      </c>
      <c r="E401" s="15">
        <v>48363585</v>
      </c>
      <c r="F401" s="15">
        <v>3192</v>
      </c>
      <c r="G401" s="8" t="s">
        <v>12324</v>
      </c>
      <c r="H401" s="24" t="s">
        <v>1259</v>
      </c>
      <c r="I401" s="25">
        <v>27096</v>
      </c>
      <c r="J401" s="8" t="s">
        <v>1261</v>
      </c>
      <c r="K401" s="8" t="s">
        <v>10040</v>
      </c>
      <c r="L401" s="15">
        <v>0.63623300000000005</v>
      </c>
      <c r="M401" s="15">
        <v>2.40591E-2</v>
      </c>
      <c r="N401" s="15">
        <v>0.26740086014851477</v>
      </c>
    </row>
    <row r="402" spans="1:14" x14ac:dyDescent="0.2">
      <c r="A402" s="2" t="s">
        <v>10066</v>
      </c>
      <c r="B402" s="15">
        <v>2079</v>
      </c>
      <c r="C402" s="15">
        <v>15</v>
      </c>
      <c r="D402" s="15">
        <v>78514102</v>
      </c>
      <c r="E402" s="15">
        <v>79292536</v>
      </c>
      <c r="F402" s="15">
        <v>2115</v>
      </c>
      <c r="G402" s="8" t="s">
        <v>12324</v>
      </c>
      <c r="H402" s="24" t="s">
        <v>3164</v>
      </c>
      <c r="I402" s="25" t="s">
        <v>3165</v>
      </c>
      <c r="J402" s="8" t="s">
        <v>3166</v>
      </c>
      <c r="K402" s="8" t="s">
        <v>10042</v>
      </c>
      <c r="L402" s="15">
        <v>0.31338100000000002</v>
      </c>
      <c r="M402" s="15">
        <v>2.4335699999999998E-2</v>
      </c>
      <c r="N402" s="15">
        <v>0.26740086014851477</v>
      </c>
    </row>
    <row r="403" spans="1:14" x14ac:dyDescent="0.2">
      <c r="A403" s="2" t="s">
        <v>10066</v>
      </c>
      <c r="B403" s="15">
        <v>1030</v>
      </c>
      <c r="C403" s="15">
        <v>6</v>
      </c>
      <c r="D403" s="15">
        <v>99678877</v>
      </c>
      <c r="E403" s="15">
        <v>100878645</v>
      </c>
      <c r="F403" s="15">
        <v>3106</v>
      </c>
      <c r="G403" s="8" t="s">
        <v>12324</v>
      </c>
      <c r="H403" s="24" t="s">
        <v>6008</v>
      </c>
      <c r="I403" s="25" t="s">
        <v>6009</v>
      </c>
      <c r="J403" s="8" t="s">
        <v>6010</v>
      </c>
      <c r="K403" s="8" t="s">
        <v>10051</v>
      </c>
      <c r="L403" s="15">
        <v>-0.60031500000000004</v>
      </c>
      <c r="M403" s="15">
        <v>2.41503E-2</v>
      </c>
      <c r="N403" s="15">
        <v>0.26740086014851477</v>
      </c>
    </row>
    <row r="404" spans="1:14" x14ac:dyDescent="0.2">
      <c r="A404" s="2" t="s">
        <v>10066</v>
      </c>
      <c r="B404" s="15">
        <v>1277</v>
      </c>
      <c r="C404" s="15">
        <v>8</v>
      </c>
      <c r="D404" s="15">
        <v>32454963</v>
      </c>
      <c r="E404" s="15">
        <v>33982537</v>
      </c>
      <c r="F404" s="15">
        <v>3092</v>
      </c>
      <c r="G404" s="8" t="s">
        <v>12324</v>
      </c>
      <c r="H404" s="24" t="s">
        <v>6008</v>
      </c>
      <c r="I404" s="25" t="s">
        <v>6009</v>
      </c>
      <c r="J404" s="8" t="s">
        <v>6010</v>
      </c>
      <c r="K404" s="8" t="s">
        <v>10051</v>
      </c>
      <c r="L404" s="15">
        <v>0.49771700000000002</v>
      </c>
      <c r="M404" s="15">
        <v>2.42279E-2</v>
      </c>
      <c r="N404" s="15">
        <v>0.26740086014851477</v>
      </c>
    </row>
    <row r="405" spans="1:14" x14ac:dyDescent="0.2">
      <c r="A405" s="2" t="s">
        <v>10066</v>
      </c>
      <c r="B405" s="15">
        <v>1889</v>
      </c>
      <c r="C405" s="15">
        <v>13</v>
      </c>
      <c r="D405" s="15">
        <v>46493237</v>
      </c>
      <c r="E405" s="15">
        <v>47433528</v>
      </c>
      <c r="F405" s="15">
        <v>2277</v>
      </c>
      <c r="G405" s="8" t="s">
        <v>12324</v>
      </c>
      <c r="H405" s="24" t="s">
        <v>6008</v>
      </c>
      <c r="I405" s="25" t="s">
        <v>6009</v>
      </c>
      <c r="J405" s="8" t="s">
        <v>6010</v>
      </c>
      <c r="K405" s="8" t="s">
        <v>10051</v>
      </c>
      <c r="L405" s="15">
        <v>-0.43319600000000003</v>
      </c>
      <c r="M405" s="15">
        <v>2.4318800000000002E-2</v>
      </c>
      <c r="N405" s="15">
        <v>0.26740086014851477</v>
      </c>
    </row>
    <row r="406" spans="1:14" x14ac:dyDescent="0.2">
      <c r="A406" s="2" t="s">
        <v>10068</v>
      </c>
      <c r="B406" s="15">
        <v>1890</v>
      </c>
      <c r="C406" s="15">
        <v>13</v>
      </c>
      <c r="D406" s="15">
        <v>47433529</v>
      </c>
      <c r="E406" s="15">
        <v>48137479</v>
      </c>
      <c r="F406" s="15">
        <v>2178</v>
      </c>
      <c r="G406" s="8" t="s">
        <v>12324</v>
      </c>
      <c r="H406" s="24" t="s">
        <v>6565</v>
      </c>
      <c r="I406" s="25" t="s">
        <v>6475</v>
      </c>
      <c r="J406" s="8" t="s">
        <v>6566</v>
      </c>
      <c r="K406" s="8" t="s">
        <v>10054</v>
      </c>
      <c r="L406" s="15">
        <v>0.73233400000000004</v>
      </c>
      <c r="M406" s="15">
        <v>2.4358500000000002E-2</v>
      </c>
      <c r="N406" s="15">
        <v>0.26740086014851477</v>
      </c>
    </row>
    <row r="407" spans="1:14" x14ac:dyDescent="0.2">
      <c r="A407" s="2" t="s">
        <v>10068</v>
      </c>
      <c r="B407" s="15">
        <v>1475</v>
      </c>
      <c r="C407" s="15">
        <v>9</v>
      </c>
      <c r="D407" s="15">
        <v>132193799</v>
      </c>
      <c r="E407" s="15">
        <v>132999452</v>
      </c>
      <c r="F407" s="15">
        <v>2828</v>
      </c>
      <c r="G407" s="8" t="s">
        <v>12324</v>
      </c>
      <c r="H407" s="24" t="s">
        <v>494</v>
      </c>
      <c r="I407" s="25">
        <v>25920</v>
      </c>
      <c r="J407" s="8" t="s">
        <v>496</v>
      </c>
      <c r="K407" s="8" t="s">
        <v>10040</v>
      </c>
      <c r="L407" s="15">
        <v>0.65987600000000002</v>
      </c>
      <c r="M407" s="15">
        <v>2.4827999999999999E-2</v>
      </c>
      <c r="N407" s="15">
        <v>0.26792280622009568</v>
      </c>
    </row>
    <row r="408" spans="1:14" x14ac:dyDescent="0.2">
      <c r="A408" s="2" t="s">
        <v>10068</v>
      </c>
      <c r="B408" s="15">
        <v>2327</v>
      </c>
      <c r="C408" s="15">
        <v>19</v>
      </c>
      <c r="D408" s="15">
        <v>18504868</v>
      </c>
      <c r="E408" s="15">
        <v>19749166</v>
      </c>
      <c r="F408" s="15">
        <v>2539</v>
      </c>
      <c r="G408" s="8" t="s">
        <v>12324</v>
      </c>
      <c r="H408" s="24" t="s">
        <v>494</v>
      </c>
      <c r="I408" s="25">
        <v>25920</v>
      </c>
      <c r="J408" s="8" t="s">
        <v>496</v>
      </c>
      <c r="K408" s="8" t="s">
        <v>10040</v>
      </c>
      <c r="L408" s="15">
        <v>-0.45245400000000002</v>
      </c>
      <c r="M408" s="15">
        <v>2.513E-2</v>
      </c>
      <c r="N408" s="15">
        <v>0.26792280622009568</v>
      </c>
    </row>
    <row r="409" spans="1:14" x14ac:dyDescent="0.2">
      <c r="A409" s="2" t="s">
        <v>10068</v>
      </c>
      <c r="B409" s="15">
        <v>1363</v>
      </c>
      <c r="C409" s="15">
        <v>8</v>
      </c>
      <c r="D409" s="15">
        <v>138564844</v>
      </c>
      <c r="E409" s="15">
        <v>139404631</v>
      </c>
      <c r="F409" s="15">
        <v>2827</v>
      </c>
      <c r="G409" s="8" t="s">
        <v>12324</v>
      </c>
      <c r="H409" s="24" t="s">
        <v>494</v>
      </c>
      <c r="I409" s="25">
        <v>25920</v>
      </c>
      <c r="J409" s="8" t="s">
        <v>496</v>
      </c>
      <c r="K409" s="8" t="s">
        <v>10040</v>
      </c>
      <c r="L409" s="15">
        <v>0.42138300000000001</v>
      </c>
      <c r="M409" s="15">
        <v>2.5251800000000001E-2</v>
      </c>
      <c r="N409" s="15">
        <v>0.26792280622009568</v>
      </c>
    </row>
    <row r="410" spans="1:14" x14ac:dyDescent="0.2">
      <c r="A410" s="2" t="s">
        <v>10068</v>
      </c>
      <c r="B410" s="15">
        <v>217</v>
      </c>
      <c r="C410" s="15">
        <v>2</v>
      </c>
      <c r="D410" s="15">
        <v>11995766</v>
      </c>
      <c r="E410" s="15">
        <v>12732506</v>
      </c>
      <c r="F410" s="15">
        <v>2216</v>
      </c>
      <c r="G410" s="8" t="s">
        <v>12324</v>
      </c>
      <c r="H410" s="24" t="s">
        <v>599</v>
      </c>
      <c r="I410" s="25">
        <v>26562</v>
      </c>
      <c r="J410" s="8" t="s">
        <v>601</v>
      </c>
      <c r="K410" s="8" t="s">
        <v>10040</v>
      </c>
      <c r="L410" s="15">
        <v>-0.39024999999999999</v>
      </c>
      <c r="M410" s="15">
        <v>2.46567E-2</v>
      </c>
      <c r="N410" s="15">
        <v>0.26792280622009568</v>
      </c>
    </row>
    <row r="411" spans="1:14" x14ac:dyDescent="0.2">
      <c r="A411" s="2" t="s">
        <v>10068</v>
      </c>
      <c r="B411" s="15">
        <v>2186</v>
      </c>
      <c r="C411" s="15">
        <v>17</v>
      </c>
      <c r="D411" s="15">
        <v>12676354</v>
      </c>
      <c r="E411" s="15">
        <v>13648446</v>
      </c>
      <c r="F411" s="15">
        <v>3480</v>
      </c>
      <c r="G411" s="8" t="s">
        <v>12324</v>
      </c>
      <c r="H411" s="24" t="s">
        <v>599</v>
      </c>
      <c r="I411" s="25">
        <v>26562</v>
      </c>
      <c r="J411" s="8" t="s">
        <v>601</v>
      </c>
      <c r="K411" s="8" t="s">
        <v>10040</v>
      </c>
      <c r="L411" s="15">
        <v>0.34099200000000002</v>
      </c>
      <c r="M411" s="15">
        <v>2.4927600000000001E-2</v>
      </c>
      <c r="N411" s="15">
        <v>0.26792280622009568</v>
      </c>
    </row>
    <row r="412" spans="1:14" x14ac:dyDescent="0.2">
      <c r="A412" s="2" t="s">
        <v>10068</v>
      </c>
      <c r="B412" s="15">
        <v>1932</v>
      </c>
      <c r="C412" s="15">
        <v>13</v>
      </c>
      <c r="D412" s="15">
        <v>91764205</v>
      </c>
      <c r="E412" s="15">
        <v>93285142</v>
      </c>
      <c r="F412" s="15">
        <v>3873</v>
      </c>
      <c r="G412" s="8" t="s">
        <v>12324</v>
      </c>
      <c r="H412" s="24" t="s">
        <v>599</v>
      </c>
      <c r="I412" s="25">
        <v>26562</v>
      </c>
      <c r="J412" s="8" t="s">
        <v>601</v>
      </c>
      <c r="K412" s="8" t="s">
        <v>10040</v>
      </c>
      <c r="L412" s="15">
        <v>0.430842</v>
      </c>
      <c r="M412" s="15">
        <v>2.5077499999999999E-2</v>
      </c>
      <c r="N412" s="15">
        <v>0.26792280622009568</v>
      </c>
    </row>
    <row r="413" spans="1:14" x14ac:dyDescent="0.2">
      <c r="A413" s="2" t="s">
        <v>10069</v>
      </c>
      <c r="B413" s="15">
        <v>41</v>
      </c>
      <c r="C413" s="15">
        <v>1</v>
      </c>
      <c r="D413" s="15">
        <v>45167236</v>
      </c>
      <c r="E413" s="15">
        <v>47257261</v>
      </c>
      <c r="F413" s="15">
        <v>2658</v>
      </c>
      <c r="G413" s="8" t="s">
        <v>12324</v>
      </c>
      <c r="H413" s="24" t="s">
        <v>662</v>
      </c>
      <c r="I413" s="25" t="s">
        <v>663</v>
      </c>
      <c r="J413" s="8" t="s">
        <v>664</v>
      </c>
      <c r="K413" s="8" t="s">
        <v>10040</v>
      </c>
      <c r="L413" s="15">
        <v>0.52834700000000001</v>
      </c>
      <c r="M413" s="15">
        <v>2.4769099999999999E-2</v>
      </c>
      <c r="N413" s="15">
        <v>0.26792280622009568</v>
      </c>
    </row>
    <row r="414" spans="1:14" x14ac:dyDescent="0.2">
      <c r="A414" s="2" t="s">
        <v>10068</v>
      </c>
      <c r="B414" s="15">
        <v>1729</v>
      </c>
      <c r="C414" s="15">
        <v>11</v>
      </c>
      <c r="D414" s="15">
        <v>124403478</v>
      </c>
      <c r="E414" s="15">
        <v>125266684</v>
      </c>
      <c r="F414" s="15">
        <v>2219</v>
      </c>
      <c r="G414" s="8" t="s">
        <v>12324</v>
      </c>
      <c r="H414" s="24" t="s">
        <v>1259</v>
      </c>
      <c r="I414" s="25">
        <v>27096</v>
      </c>
      <c r="J414" s="8" t="s">
        <v>1261</v>
      </c>
      <c r="K414" s="8" t="s">
        <v>10040</v>
      </c>
      <c r="L414" s="15">
        <v>0.591951</v>
      </c>
      <c r="M414" s="15">
        <v>2.4629999999999999E-2</v>
      </c>
      <c r="N414" s="15">
        <v>0.26792280622009568</v>
      </c>
    </row>
    <row r="415" spans="1:14" x14ac:dyDescent="0.2">
      <c r="A415" s="2" t="s">
        <v>10068</v>
      </c>
      <c r="B415" s="15">
        <v>1411</v>
      </c>
      <c r="C415" s="15">
        <v>9</v>
      </c>
      <c r="D415" s="15">
        <v>33194893</v>
      </c>
      <c r="E415" s="15">
        <v>34704544</v>
      </c>
      <c r="F415" s="15">
        <v>3552</v>
      </c>
      <c r="G415" s="8" t="s">
        <v>12324</v>
      </c>
      <c r="H415" s="24" t="s">
        <v>1259</v>
      </c>
      <c r="I415" s="25">
        <v>27096</v>
      </c>
      <c r="J415" s="8" t="s">
        <v>1261</v>
      </c>
      <c r="K415" s="8" t="s">
        <v>10040</v>
      </c>
      <c r="L415" s="15">
        <v>0.63927500000000004</v>
      </c>
      <c r="M415" s="15">
        <v>2.5024500000000002E-2</v>
      </c>
      <c r="N415" s="15">
        <v>0.26792280622009568</v>
      </c>
    </row>
    <row r="416" spans="1:14" x14ac:dyDescent="0.2">
      <c r="A416" s="2" t="s">
        <v>10068</v>
      </c>
      <c r="B416" s="15">
        <v>692</v>
      </c>
      <c r="C416" s="15">
        <v>4</v>
      </c>
      <c r="D416" s="15">
        <v>102544804</v>
      </c>
      <c r="E416" s="15">
        <v>104384534</v>
      </c>
      <c r="F416" s="15">
        <v>4088</v>
      </c>
      <c r="G416" s="8" t="s">
        <v>12324</v>
      </c>
      <c r="H416" s="24" t="s">
        <v>1259</v>
      </c>
      <c r="I416" s="25">
        <v>27096</v>
      </c>
      <c r="J416" s="8" t="s">
        <v>1261</v>
      </c>
      <c r="K416" s="8" t="s">
        <v>10040</v>
      </c>
      <c r="L416" s="15">
        <v>0.715916</v>
      </c>
      <c r="M416" s="15">
        <v>2.5235799999999999E-2</v>
      </c>
      <c r="N416" s="15">
        <v>0.26792280622009568</v>
      </c>
    </row>
    <row r="417" spans="1:14" x14ac:dyDescent="0.2">
      <c r="A417" s="2" t="s">
        <v>10066</v>
      </c>
      <c r="B417" s="15">
        <v>1501</v>
      </c>
      <c r="C417" s="15">
        <v>10</v>
      </c>
      <c r="D417" s="15">
        <v>13208062</v>
      </c>
      <c r="E417" s="15">
        <v>14008135</v>
      </c>
      <c r="F417" s="15">
        <v>2620</v>
      </c>
      <c r="G417" s="8" t="s">
        <v>12324</v>
      </c>
      <c r="H417" s="24" t="s">
        <v>3164</v>
      </c>
      <c r="I417" s="25" t="s">
        <v>3165</v>
      </c>
      <c r="J417" s="8" t="s">
        <v>3166</v>
      </c>
      <c r="K417" s="8" t="s">
        <v>10042</v>
      </c>
      <c r="L417" s="15">
        <v>0.68984900000000005</v>
      </c>
      <c r="M417" s="15">
        <v>2.4820100000000001E-2</v>
      </c>
      <c r="N417" s="15">
        <v>0.26792280622009568</v>
      </c>
    </row>
    <row r="418" spans="1:14" x14ac:dyDescent="0.2">
      <c r="A418" s="2" t="s">
        <v>10066</v>
      </c>
      <c r="B418" s="15">
        <v>136</v>
      </c>
      <c r="C418" s="15">
        <v>1</v>
      </c>
      <c r="D418" s="15">
        <v>180221609</v>
      </c>
      <c r="E418" s="15">
        <v>181324205</v>
      </c>
      <c r="F418" s="15">
        <v>2656</v>
      </c>
      <c r="G418" s="8" t="s">
        <v>12324</v>
      </c>
      <c r="H418" s="24" t="s">
        <v>3164</v>
      </c>
      <c r="I418" s="25" t="s">
        <v>3165</v>
      </c>
      <c r="J418" s="8" t="s">
        <v>3166</v>
      </c>
      <c r="K418" s="8" t="s">
        <v>10042</v>
      </c>
      <c r="L418" s="15">
        <v>-0.540296</v>
      </c>
      <c r="M418" s="15">
        <v>2.4921800000000001E-2</v>
      </c>
      <c r="N418" s="15">
        <v>0.26792280622009568</v>
      </c>
    </row>
    <row r="419" spans="1:14" x14ac:dyDescent="0.2">
      <c r="A419" s="2" t="s">
        <v>10066</v>
      </c>
      <c r="B419" s="15">
        <v>1365</v>
      </c>
      <c r="C419" s="15">
        <v>8</v>
      </c>
      <c r="D419" s="15">
        <v>140355989</v>
      </c>
      <c r="E419" s="15">
        <v>141527881</v>
      </c>
      <c r="F419" s="15">
        <v>3259</v>
      </c>
      <c r="G419" s="8" t="s">
        <v>12324</v>
      </c>
      <c r="H419" s="24" t="s">
        <v>6008</v>
      </c>
      <c r="I419" s="25" t="s">
        <v>6009</v>
      </c>
      <c r="J419" s="8" t="s">
        <v>6010</v>
      </c>
      <c r="K419" s="8" t="s">
        <v>10051</v>
      </c>
      <c r="L419" s="15">
        <v>0.36258299999999999</v>
      </c>
      <c r="M419" s="15">
        <v>2.5060499999999999E-2</v>
      </c>
      <c r="N419" s="15">
        <v>0.26792280622009568</v>
      </c>
    </row>
    <row r="420" spans="1:14" x14ac:dyDescent="0.2">
      <c r="A420" s="2" t="s">
        <v>10068</v>
      </c>
      <c r="B420" s="15">
        <v>1332</v>
      </c>
      <c r="C420" s="15">
        <v>8</v>
      </c>
      <c r="D420" s="15">
        <v>103716054</v>
      </c>
      <c r="E420" s="15">
        <v>104467845</v>
      </c>
      <c r="F420" s="15">
        <v>2072</v>
      </c>
      <c r="G420" s="8" t="s">
        <v>12324</v>
      </c>
      <c r="H420" s="24" t="s">
        <v>6565</v>
      </c>
      <c r="I420" s="25" t="s">
        <v>6475</v>
      </c>
      <c r="J420" s="8" t="s">
        <v>6566</v>
      </c>
      <c r="K420" s="8" t="s">
        <v>10054</v>
      </c>
      <c r="L420" s="15">
        <v>0.48734899999999998</v>
      </c>
      <c r="M420" s="15">
        <v>2.5182400000000001E-2</v>
      </c>
      <c r="N420" s="15">
        <v>0.26792280622009568</v>
      </c>
    </row>
    <row r="421" spans="1:14" x14ac:dyDescent="0.2">
      <c r="A421" s="2" t="s">
        <v>10068</v>
      </c>
      <c r="B421" s="15">
        <v>1740</v>
      </c>
      <c r="C421" s="15">
        <v>12</v>
      </c>
      <c r="D421" s="15">
        <v>60317</v>
      </c>
      <c r="E421" s="15">
        <v>1078397</v>
      </c>
      <c r="F421" s="15">
        <v>2626</v>
      </c>
      <c r="G421" s="8" t="s">
        <v>12324</v>
      </c>
      <c r="H421" s="24" t="s">
        <v>494</v>
      </c>
      <c r="I421" s="25">
        <v>25920</v>
      </c>
      <c r="J421" s="8" t="s">
        <v>496</v>
      </c>
      <c r="K421" s="8" t="s">
        <v>10040</v>
      </c>
      <c r="L421" s="15">
        <v>0.39544699999999999</v>
      </c>
      <c r="M421" s="15">
        <v>2.5312999999999999E-2</v>
      </c>
      <c r="N421" s="15">
        <v>0.26793115751789981</v>
      </c>
    </row>
    <row r="422" spans="1:14" x14ac:dyDescent="0.2">
      <c r="A422" s="2" t="s">
        <v>10068</v>
      </c>
      <c r="B422" s="15">
        <v>2277</v>
      </c>
      <c r="C422" s="15">
        <v>18</v>
      </c>
      <c r="D422" s="15">
        <v>48228380</v>
      </c>
      <c r="E422" s="15">
        <v>49790996</v>
      </c>
      <c r="F422" s="15">
        <v>3703</v>
      </c>
      <c r="G422" s="8" t="s">
        <v>12324</v>
      </c>
      <c r="H422" s="24" t="s">
        <v>6565</v>
      </c>
      <c r="I422" s="25" t="s">
        <v>6475</v>
      </c>
      <c r="J422" s="8" t="s">
        <v>6566</v>
      </c>
      <c r="K422" s="8" t="s">
        <v>10054</v>
      </c>
      <c r="L422" s="15">
        <v>0.78317499999999995</v>
      </c>
      <c r="M422" s="15">
        <v>2.5460199999999999E-2</v>
      </c>
      <c r="N422" s="15">
        <v>0.26884758809523812</v>
      </c>
    </row>
    <row r="423" spans="1:14" x14ac:dyDescent="0.2">
      <c r="A423" s="2" t="s">
        <v>10068</v>
      </c>
      <c r="B423" s="15">
        <v>766</v>
      </c>
      <c r="C423" s="15">
        <v>4</v>
      </c>
      <c r="D423" s="15">
        <v>182946259</v>
      </c>
      <c r="E423" s="15">
        <v>183603892</v>
      </c>
      <c r="F423" s="15">
        <v>2151</v>
      </c>
      <c r="G423" s="8" t="s">
        <v>12324</v>
      </c>
      <c r="H423" s="24" t="s">
        <v>599</v>
      </c>
      <c r="I423" s="25">
        <v>26562</v>
      </c>
      <c r="J423" s="8" t="s">
        <v>601</v>
      </c>
      <c r="K423" s="8" t="s">
        <v>10040</v>
      </c>
      <c r="L423" s="15">
        <v>0.53260600000000002</v>
      </c>
      <c r="M423" s="15">
        <v>2.5783799999999999E-2</v>
      </c>
      <c r="N423" s="15">
        <v>0.27096382151300241</v>
      </c>
    </row>
    <row r="424" spans="1:14" x14ac:dyDescent="0.2">
      <c r="A424" s="2" t="s">
        <v>10066</v>
      </c>
      <c r="B424" s="15">
        <v>2232</v>
      </c>
      <c r="C424" s="15">
        <v>17</v>
      </c>
      <c r="D424" s="15">
        <v>75619257</v>
      </c>
      <c r="E424" s="15">
        <v>76596287</v>
      </c>
      <c r="F424" s="15">
        <v>3431</v>
      </c>
      <c r="G424" s="8" t="s">
        <v>12324</v>
      </c>
      <c r="H424" s="24" t="s">
        <v>3164</v>
      </c>
      <c r="I424" s="25" t="s">
        <v>3165</v>
      </c>
      <c r="J424" s="8" t="s">
        <v>3166</v>
      </c>
      <c r="K424" s="8" t="s">
        <v>10042</v>
      </c>
      <c r="L424" s="15">
        <v>0.675508</v>
      </c>
      <c r="M424" s="15">
        <v>2.58439E-2</v>
      </c>
      <c r="N424" s="15">
        <v>0.27096382151300241</v>
      </c>
    </row>
    <row r="425" spans="1:14" x14ac:dyDescent="0.2">
      <c r="A425" s="2" t="s">
        <v>10066</v>
      </c>
      <c r="B425" s="15">
        <v>2122</v>
      </c>
      <c r="C425" s="15">
        <v>16</v>
      </c>
      <c r="D425" s="15">
        <v>20351262</v>
      </c>
      <c r="E425" s="15">
        <v>22667048</v>
      </c>
      <c r="F425" s="15">
        <v>3170</v>
      </c>
      <c r="G425" s="8" t="s">
        <v>12324</v>
      </c>
      <c r="H425" s="24" t="s">
        <v>6008</v>
      </c>
      <c r="I425" s="25" t="s">
        <v>6009</v>
      </c>
      <c r="J425" s="8" t="s">
        <v>6010</v>
      </c>
      <c r="K425" s="8" t="s">
        <v>10051</v>
      </c>
      <c r="L425" s="15">
        <v>-0.43388199999999999</v>
      </c>
      <c r="M425" s="15">
        <v>2.57363E-2</v>
      </c>
      <c r="N425" s="15">
        <v>0.27096382151300241</v>
      </c>
    </row>
    <row r="426" spans="1:14" x14ac:dyDescent="0.2">
      <c r="A426" s="2" t="s">
        <v>10068</v>
      </c>
      <c r="B426" s="15">
        <v>2247</v>
      </c>
      <c r="C426" s="15">
        <v>18</v>
      </c>
      <c r="D426" s="15">
        <v>8788525</v>
      </c>
      <c r="E426" s="15">
        <v>9816164</v>
      </c>
      <c r="F426" s="15">
        <v>3463</v>
      </c>
      <c r="G426" s="8" t="s">
        <v>12324</v>
      </c>
      <c r="H426" s="24" t="s">
        <v>494</v>
      </c>
      <c r="I426" s="25">
        <v>25920</v>
      </c>
      <c r="J426" s="8" t="s">
        <v>496</v>
      </c>
      <c r="K426" s="8" t="s">
        <v>10040</v>
      </c>
      <c r="L426" s="15">
        <v>-0.40843299999999999</v>
      </c>
      <c r="M426" s="15">
        <v>2.6277100000000001E-2</v>
      </c>
      <c r="N426" s="15">
        <v>0.27420926705882348</v>
      </c>
    </row>
    <row r="427" spans="1:14" x14ac:dyDescent="0.2">
      <c r="A427" s="2" t="s">
        <v>10066</v>
      </c>
      <c r="B427" s="15">
        <v>1456</v>
      </c>
      <c r="C427" s="15">
        <v>9</v>
      </c>
      <c r="D427" s="15">
        <v>112076382</v>
      </c>
      <c r="E427" s="15">
        <v>112865520</v>
      </c>
      <c r="F427" s="15">
        <v>2463</v>
      </c>
      <c r="G427" s="8" t="s">
        <v>12324</v>
      </c>
      <c r="H427" s="24" t="s">
        <v>6008</v>
      </c>
      <c r="I427" s="25" t="s">
        <v>6009</v>
      </c>
      <c r="J427" s="8" t="s">
        <v>6010</v>
      </c>
      <c r="K427" s="8" t="s">
        <v>10051</v>
      </c>
      <c r="L427" s="15">
        <v>-0.75339699999999998</v>
      </c>
      <c r="M427" s="15">
        <v>2.62667E-2</v>
      </c>
      <c r="N427" s="15">
        <v>0.27420926705882348</v>
      </c>
    </row>
    <row r="428" spans="1:14" x14ac:dyDescent="0.2">
      <c r="A428" s="2" t="s">
        <v>10068</v>
      </c>
      <c r="B428" s="15">
        <v>2324</v>
      </c>
      <c r="C428" s="15">
        <v>19</v>
      </c>
      <c r="D428" s="15">
        <v>16079007</v>
      </c>
      <c r="E428" s="15">
        <v>17045963</v>
      </c>
      <c r="F428" s="15">
        <v>2508</v>
      </c>
      <c r="G428" s="8" t="s">
        <v>12324</v>
      </c>
      <c r="H428" s="24" t="s">
        <v>599</v>
      </c>
      <c r="I428" s="25">
        <v>26562</v>
      </c>
      <c r="J428" s="8" t="s">
        <v>601</v>
      </c>
      <c r="K428" s="8" t="s">
        <v>10040</v>
      </c>
      <c r="L428" s="15">
        <v>0.51946300000000001</v>
      </c>
      <c r="M428" s="15">
        <v>2.6383799999999999E-2</v>
      </c>
      <c r="N428" s="15">
        <v>0.27467641549295768</v>
      </c>
    </row>
    <row r="429" spans="1:14" x14ac:dyDescent="0.2">
      <c r="A429" s="2" t="s">
        <v>10068</v>
      </c>
      <c r="B429" s="15">
        <v>1490</v>
      </c>
      <c r="C429" s="15">
        <v>10</v>
      </c>
      <c r="D429" s="15">
        <v>3880323</v>
      </c>
      <c r="E429" s="15">
        <v>4813182</v>
      </c>
      <c r="F429" s="15">
        <v>2821</v>
      </c>
      <c r="G429" s="8" t="s">
        <v>12324</v>
      </c>
      <c r="H429" s="24" t="s">
        <v>494</v>
      </c>
      <c r="I429" s="25">
        <v>25920</v>
      </c>
      <c r="J429" s="8" t="s">
        <v>496</v>
      </c>
      <c r="K429" s="8" t="s">
        <v>10040</v>
      </c>
      <c r="L429" s="15">
        <v>-0.60505600000000004</v>
      </c>
      <c r="M429" s="15">
        <v>2.6576200000000001E-2</v>
      </c>
      <c r="N429" s="15">
        <v>0.27603149180327868</v>
      </c>
    </row>
    <row r="430" spans="1:14" x14ac:dyDescent="0.2">
      <c r="A430" s="2" t="s">
        <v>10066</v>
      </c>
      <c r="B430" s="15">
        <v>1587</v>
      </c>
      <c r="C430" s="15">
        <v>10</v>
      </c>
      <c r="D430" s="15">
        <v>112164982</v>
      </c>
      <c r="E430" s="15">
        <v>113117615</v>
      </c>
      <c r="F430" s="15">
        <v>2396</v>
      </c>
      <c r="G430" s="8" t="s">
        <v>12324</v>
      </c>
      <c r="H430" s="24" t="s">
        <v>6008</v>
      </c>
      <c r="I430" s="25" t="s">
        <v>6009</v>
      </c>
      <c r="J430" s="8" t="s">
        <v>6010</v>
      </c>
      <c r="K430" s="8" t="s">
        <v>10051</v>
      </c>
      <c r="L430" s="15">
        <v>0.54241899999999998</v>
      </c>
      <c r="M430" s="15">
        <v>2.7088399999999999E-2</v>
      </c>
      <c r="N430" s="15">
        <v>0.28069405140186909</v>
      </c>
    </row>
    <row r="431" spans="1:14" x14ac:dyDescent="0.2">
      <c r="A431" s="2" t="s">
        <v>10068</v>
      </c>
      <c r="B431" s="15">
        <v>25</v>
      </c>
      <c r="C431" s="15">
        <v>1</v>
      </c>
      <c r="D431" s="15">
        <v>22740288</v>
      </c>
      <c r="E431" s="15">
        <v>23907045</v>
      </c>
      <c r="F431" s="15">
        <v>2339</v>
      </c>
      <c r="G431" s="8" t="s">
        <v>12324</v>
      </c>
      <c r="H431" s="24" t="s">
        <v>1259</v>
      </c>
      <c r="I431" s="25">
        <v>27096</v>
      </c>
      <c r="J431" s="8" t="s">
        <v>1261</v>
      </c>
      <c r="K431" s="8" t="s">
        <v>10040</v>
      </c>
      <c r="L431" s="15">
        <v>0.68357500000000004</v>
      </c>
      <c r="M431" s="15">
        <v>2.7293899999999999E-2</v>
      </c>
      <c r="N431" s="15">
        <v>0.28216421095571093</v>
      </c>
    </row>
    <row r="432" spans="1:14" x14ac:dyDescent="0.2">
      <c r="A432" s="2" t="s">
        <v>10068</v>
      </c>
      <c r="B432" s="15">
        <v>1533</v>
      </c>
      <c r="C432" s="15">
        <v>10</v>
      </c>
      <c r="D432" s="15">
        <v>50145674</v>
      </c>
      <c r="E432" s="15">
        <v>51724039</v>
      </c>
      <c r="F432" s="15">
        <v>2779</v>
      </c>
      <c r="G432" s="8" t="s">
        <v>12324</v>
      </c>
      <c r="H432" s="24" t="s">
        <v>1259</v>
      </c>
      <c r="I432" s="25">
        <v>27096</v>
      </c>
      <c r="J432" s="8" t="s">
        <v>1261</v>
      </c>
      <c r="K432" s="8" t="s">
        <v>10040</v>
      </c>
      <c r="L432" s="15">
        <v>0.44034899999999999</v>
      </c>
      <c r="M432" s="15">
        <v>2.7427099999999999E-2</v>
      </c>
      <c r="N432" s="15">
        <v>0.28288183372093018</v>
      </c>
    </row>
    <row r="433" spans="1:14" x14ac:dyDescent="0.2">
      <c r="A433" s="2" t="s">
        <v>10068</v>
      </c>
      <c r="B433" s="15">
        <v>2366</v>
      </c>
      <c r="C433" s="15">
        <v>19</v>
      </c>
      <c r="D433" s="15">
        <v>56411087</v>
      </c>
      <c r="E433" s="15">
        <v>57143509</v>
      </c>
      <c r="F433" s="15">
        <v>2607</v>
      </c>
      <c r="G433" s="8" t="s">
        <v>12324</v>
      </c>
      <c r="H433" s="24" t="s">
        <v>494</v>
      </c>
      <c r="I433" s="25">
        <v>25920</v>
      </c>
      <c r="J433" s="8" t="s">
        <v>496</v>
      </c>
      <c r="K433" s="8" t="s">
        <v>10040</v>
      </c>
      <c r="L433" s="15">
        <v>0.49357899999999999</v>
      </c>
      <c r="M433" s="15">
        <v>2.7782000000000001E-2</v>
      </c>
      <c r="N433" s="15">
        <v>0.28587742459396748</v>
      </c>
    </row>
    <row r="434" spans="1:14" x14ac:dyDescent="0.2">
      <c r="A434" s="2" t="s">
        <v>10068</v>
      </c>
      <c r="B434" s="15">
        <v>1423</v>
      </c>
      <c r="C434" s="15">
        <v>9</v>
      </c>
      <c r="D434" s="15">
        <v>77862309</v>
      </c>
      <c r="E434" s="15">
        <v>78630915</v>
      </c>
      <c r="F434" s="15">
        <v>2593</v>
      </c>
      <c r="G434" s="8" t="s">
        <v>12324</v>
      </c>
      <c r="H434" s="24" t="s">
        <v>1259</v>
      </c>
      <c r="I434" s="25">
        <v>27096</v>
      </c>
      <c r="J434" s="8" t="s">
        <v>1261</v>
      </c>
      <c r="K434" s="8" t="s">
        <v>10040</v>
      </c>
      <c r="L434" s="15">
        <v>0.76155200000000001</v>
      </c>
      <c r="M434" s="15">
        <v>2.8089699999999999E-2</v>
      </c>
      <c r="N434" s="15">
        <v>0.28837458217592588</v>
      </c>
    </row>
    <row r="435" spans="1:14" x14ac:dyDescent="0.2">
      <c r="A435" s="2" t="s">
        <v>10068</v>
      </c>
      <c r="B435" s="15">
        <v>551</v>
      </c>
      <c r="C435" s="15">
        <v>3</v>
      </c>
      <c r="D435" s="15">
        <v>148638309</v>
      </c>
      <c r="E435" s="15">
        <v>149998411</v>
      </c>
      <c r="F435" s="15">
        <v>3667</v>
      </c>
      <c r="G435" s="8" t="s">
        <v>12324</v>
      </c>
      <c r="H435" s="24" t="s">
        <v>599</v>
      </c>
      <c r="I435" s="25">
        <v>26562</v>
      </c>
      <c r="J435" s="8" t="s">
        <v>601</v>
      </c>
      <c r="K435" s="8" t="s">
        <v>10040</v>
      </c>
      <c r="L435" s="15">
        <v>0.5</v>
      </c>
      <c r="M435" s="15">
        <v>2.8219500000000002E-2</v>
      </c>
      <c r="N435" s="15">
        <v>0.28903806581986141</v>
      </c>
    </row>
    <row r="436" spans="1:14" x14ac:dyDescent="0.2">
      <c r="A436" s="2" t="s">
        <v>10068</v>
      </c>
      <c r="B436" s="15">
        <v>2435</v>
      </c>
      <c r="C436" s="15">
        <v>21</v>
      </c>
      <c r="D436" s="15">
        <v>19479025</v>
      </c>
      <c r="E436" s="15">
        <v>20407307</v>
      </c>
      <c r="F436" s="15">
        <v>3161</v>
      </c>
      <c r="G436" s="8" t="s">
        <v>12324</v>
      </c>
      <c r="H436" s="24" t="s">
        <v>599</v>
      </c>
      <c r="I436" s="25">
        <v>26562</v>
      </c>
      <c r="J436" s="8" t="s">
        <v>601</v>
      </c>
      <c r="K436" s="8" t="s">
        <v>10040</v>
      </c>
      <c r="L436" s="15">
        <v>-0.64881800000000001</v>
      </c>
      <c r="M436" s="15">
        <v>2.8412900000000001E-2</v>
      </c>
      <c r="N436" s="15">
        <v>0.2899564346330275</v>
      </c>
    </row>
    <row r="437" spans="1:14" x14ac:dyDescent="0.2">
      <c r="A437" s="2" t="s">
        <v>10068</v>
      </c>
      <c r="B437" s="15">
        <v>2157</v>
      </c>
      <c r="C437" s="15">
        <v>16</v>
      </c>
      <c r="D437" s="15">
        <v>77739133</v>
      </c>
      <c r="E437" s="15">
        <v>78280636</v>
      </c>
      <c r="F437" s="15">
        <v>2521</v>
      </c>
      <c r="G437" s="8" t="s">
        <v>12324</v>
      </c>
      <c r="H437" s="24" t="s">
        <v>599</v>
      </c>
      <c r="I437" s="25">
        <v>26562</v>
      </c>
      <c r="J437" s="8" t="s">
        <v>601</v>
      </c>
      <c r="K437" s="8" t="s">
        <v>10040</v>
      </c>
      <c r="L437" s="15">
        <v>0.47826099999999999</v>
      </c>
      <c r="M437" s="15">
        <v>2.8505300000000001E-2</v>
      </c>
      <c r="N437" s="15">
        <v>0.2899564346330275</v>
      </c>
    </row>
    <row r="438" spans="1:14" x14ac:dyDescent="0.2">
      <c r="A438" s="2" t="s">
        <v>10068</v>
      </c>
      <c r="B438" s="15">
        <v>280</v>
      </c>
      <c r="C438" s="15">
        <v>2</v>
      </c>
      <c r="D438" s="15">
        <v>75148104</v>
      </c>
      <c r="E438" s="15">
        <v>75942397</v>
      </c>
      <c r="F438" s="15">
        <v>2306</v>
      </c>
      <c r="G438" s="8" t="s">
        <v>12324</v>
      </c>
      <c r="H438" s="24" t="s">
        <v>6565</v>
      </c>
      <c r="I438" s="25" t="s">
        <v>6475</v>
      </c>
      <c r="J438" s="8" t="s">
        <v>6566</v>
      </c>
      <c r="K438" s="8" t="s">
        <v>10054</v>
      </c>
      <c r="L438" s="15">
        <v>0.74263500000000005</v>
      </c>
      <c r="M438" s="15">
        <v>2.8467200000000002E-2</v>
      </c>
      <c r="N438" s="15">
        <v>0.2899564346330275</v>
      </c>
    </row>
    <row r="439" spans="1:14" x14ac:dyDescent="0.2">
      <c r="A439" s="2" t="s">
        <v>10068</v>
      </c>
      <c r="B439" s="15">
        <v>519</v>
      </c>
      <c r="C439" s="15">
        <v>3</v>
      </c>
      <c r="D439" s="15">
        <v>113657666</v>
      </c>
      <c r="E439" s="15">
        <v>115649909</v>
      </c>
      <c r="F439" s="15">
        <v>3945</v>
      </c>
      <c r="G439" s="8" t="s">
        <v>12324</v>
      </c>
      <c r="H439" s="24" t="s">
        <v>494</v>
      </c>
      <c r="I439" s="25">
        <v>25920</v>
      </c>
      <c r="J439" s="8" t="s">
        <v>496</v>
      </c>
      <c r="K439" s="8" t="s">
        <v>10040</v>
      </c>
      <c r="L439" s="15">
        <v>-0.42559599999999997</v>
      </c>
      <c r="M439" s="15">
        <v>2.8586199999999999E-2</v>
      </c>
      <c r="N439" s="15">
        <v>0.29011395194508011</v>
      </c>
    </row>
    <row r="440" spans="1:14" x14ac:dyDescent="0.2">
      <c r="A440" s="2" t="s">
        <v>10066</v>
      </c>
      <c r="B440" s="15">
        <v>283</v>
      </c>
      <c r="C440" s="15">
        <v>2</v>
      </c>
      <c r="D440" s="15">
        <v>77372831</v>
      </c>
      <c r="E440" s="15">
        <v>78080057</v>
      </c>
      <c r="F440" s="15">
        <v>2176</v>
      </c>
      <c r="G440" s="8" t="s">
        <v>12324</v>
      </c>
      <c r="H440" s="24" t="s">
        <v>3164</v>
      </c>
      <c r="I440" s="25" t="s">
        <v>3165</v>
      </c>
      <c r="J440" s="8" t="s">
        <v>3166</v>
      </c>
      <c r="K440" s="8" t="s">
        <v>10042</v>
      </c>
      <c r="L440" s="15">
        <v>-0.69172299999999998</v>
      </c>
      <c r="M440" s="15">
        <v>2.8851700000000001E-2</v>
      </c>
      <c r="N440" s="15">
        <v>0.29081202159090908</v>
      </c>
    </row>
    <row r="441" spans="1:14" x14ac:dyDescent="0.2">
      <c r="A441" s="2" t="s">
        <v>10066</v>
      </c>
      <c r="B441" s="15">
        <v>15</v>
      </c>
      <c r="C441" s="15">
        <v>1</v>
      </c>
      <c r="D441" s="15">
        <v>13481026</v>
      </c>
      <c r="E441" s="15">
        <v>14720131</v>
      </c>
      <c r="F441" s="15">
        <v>3285</v>
      </c>
      <c r="G441" s="8" t="s">
        <v>12324</v>
      </c>
      <c r="H441" s="24" t="s">
        <v>6008</v>
      </c>
      <c r="I441" s="25" t="s">
        <v>6009</v>
      </c>
      <c r="J441" s="8" t="s">
        <v>6010</v>
      </c>
      <c r="K441" s="8" t="s">
        <v>10051</v>
      </c>
      <c r="L441" s="15">
        <v>0.32127800000000001</v>
      </c>
      <c r="M441" s="15">
        <v>2.8749400000000001E-2</v>
      </c>
      <c r="N441" s="15">
        <v>0.29081202159090908</v>
      </c>
    </row>
    <row r="442" spans="1:14" x14ac:dyDescent="0.2">
      <c r="A442" s="2" t="s">
        <v>10068</v>
      </c>
      <c r="B442" s="15">
        <v>1797</v>
      </c>
      <c r="C442" s="15">
        <v>12</v>
      </c>
      <c r="D442" s="15">
        <v>61737954</v>
      </c>
      <c r="E442" s="15">
        <v>63055936</v>
      </c>
      <c r="F442" s="15">
        <v>3249</v>
      </c>
      <c r="G442" s="8" t="s">
        <v>12324</v>
      </c>
      <c r="H442" s="24" t="s">
        <v>6565</v>
      </c>
      <c r="I442" s="25" t="s">
        <v>6475</v>
      </c>
      <c r="J442" s="8" t="s">
        <v>6566</v>
      </c>
      <c r="K442" s="8" t="s">
        <v>10054</v>
      </c>
      <c r="L442" s="15">
        <v>0.72761600000000004</v>
      </c>
      <c r="M442" s="15">
        <v>2.88402E-2</v>
      </c>
      <c r="N442" s="15">
        <v>0.29081202159090908</v>
      </c>
    </row>
    <row r="443" spans="1:14" x14ac:dyDescent="0.2">
      <c r="A443" s="2" t="s">
        <v>10066</v>
      </c>
      <c r="B443" s="15">
        <v>1414</v>
      </c>
      <c r="C443" s="15">
        <v>9</v>
      </c>
      <c r="D443" s="15">
        <v>37687113</v>
      </c>
      <c r="E443" s="15">
        <v>38822977</v>
      </c>
      <c r="F443" s="15">
        <v>2968</v>
      </c>
      <c r="G443" s="8" t="s">
        <v>12324</v>
      </c>
      <c r="H443" s="24" t="s">
        <v>3164</v>
      </c>
      <c r="I443" s="25" t="s">
        <v>3165</v>
      </c>
      <c r="J443" s="8" t="s">
        <v>3166</v>
      </c>
      <c r="K443" s="8" t="s">
        <v>10042</v>
      </c>
      <c r="L443" s="15">
        <v>0.42758299999999999</v>
      </c>
      <c r="M443" s="15">
        <v>2.9050099999999999E-2</v>
      </c>
      <c r="N443" s="15">
        <v>0.29082887923250561</v>
      </c>
    </row>
    <row r="444" spans="1:14" x14ac:dyDescent="0.2">
      <c r="A444" s="2" t="s">
        <v>10066</v>
      </c>
      <c r="B444" s="15">
        <v>1643</v>
      </c>
      <c r="C444" s="15">
        <v>11</v>
      </c>
      <c r="D444" s="15">
        <v>30570130</v>
      </c>
      <c r="E444" s="15">
        <v>32065771</v>
      </c>
      <c r="F444" s="15">
        <v>2166</v>
      </c>
      <c r="G444" s="8" t="s">
        <v>12324</v>
      </c>
      <c r="H444" s="24" t="s">
        <v>6008</v>
      </c>
      <c r="I444" s="25" t="s">
        <v>6009</v>
      </c>
      <c r="J444" s="8" t="s">
        <v>6010</v>
      </c>
      <c r="K444" s="8" t="s">
        <v>10051</v>
      </c>
      <c r="L444" s="15">
        <v>-0.55311399999999999</v>
      </c>
      <c r="M444" s="15">
        <v>2.9019400000000001E-2</v>
      </c>
      <c r="N444" s="15">
        <v>0.29082887923250561</v>
      </c>
    </row>
    <row r="445" spans="1:14" x14ac:dyDescent="0.2">
      <c r="A445" s="2" t="s">
        <v>10068</v>
      </c>
      <c r="B445" s="15">
        <v>210</v>
      </c>
      <c r="C445" s="15">
        <v>2</v>
      </c>
      <c r="D445" s="15">
        <v>6306607</v>
      </c>
      <c r="E445" s="15">
        <v>7108208</v>
      </c>
      <c r="F445" s="15">
        <v>2265</v>
      </c>
      <c r="G445" s="8" t="s">
        <v>12324</v>
      </c>
      <c r="H445" s="24" t="s">
        <v>6565</v>
      </c>
      <c r="I445" s="25" t="s">
        <v>6475</v>
      </c>
      <c r="J445" s="8" t="s">
        <v>6566</v>
      </c>
      <c r="K445" s="8" t="s">
        <v>10054</v>
      </c>
      <c r="L445" s="15">
        <v>-0.69226100000000002</v>
      </c>
      <c r="M445" s="15">
        <v>2.8925699999999999E-2</v>
      </c>
      <c r="N445" s="15">
        <v>0.29082887923250561</v>
      </c>
    </row>
    <row r="446" spans="1:14" x14ac:dyDescent="0.2">
      <c r="A446" s="2" t="s">
        <v>10068</v>
      </c>
      <c r="B446" s="15">
        <v>1070</v>
      </c>
      <c r="C446" s="15">
        <v>6</v>
      </c>
      <c r="D446" s="15">
        <v>147015883</v>
      </c>
      <c r="E446" s="15">
        <v>148184844</v>
      </c>
      <c r="F446" s="15">
        <v>2706</v>
      </c>
      <c r="G446" s="8" t="s">
        <v>12324</v>
      </c>
      <c r="H446" s="24" t="s">
        <v>494</v>
      </c>
      <c r="I446" s="25">
        <v>25920</v>
      </c>
      <c r="J446" s="8" t="s">
        <v>496</v>
      </c>
      <c r="K446" s="8" t="s">
        <v>10040</v>
      </c>
      <c r="L446" s="15">
        <v>-0.54281299999999999</v>
      </c>
      <c r="M446" s="15">
        <v>2.9197000000000001E-2</v>
      </c>
      <c r="N446" s="15">
        <v>0.29164120495495499</v>
      </c>
    </row>
    <row r="447" spans="1:14" x14ac:dyDescent="0.2">
      <c r="A447" s="2" t="s">
        <v>10068</v>
      </c>
      <c r="B447" s="15">
        <v>2472</v>
      </c>
      <c r="C447" s="15">
        <v>22</v>
      </c>
      <c r="D447" s="15">
        <v>27192924</v>
      </c>
      <c r="E447" s="15">
        <v>27952441</v>
      </c>
      <c r="F447" s="15">
        <v>2882</v>
      </c>
      <c r="G447" s="8" t="s">
        <v>12324</v>
      </c>
      <c r="H447" s="24" t="s">
        <v>1259</v>
      </c>
      <c r="I447" s="25">
        <v>27096</v>
      </c>
      <c r="J447" s="8" t="s">
        <v>1261</v>
      </c>
      <c r="K447" s="8" t="s">
        <v>10040</v>
      </c>
      <c r="L447" s="15">
        <v>0.449851</v>
      </c>
      <c r="M447" s="15">
        <v>2.9402600000000001E-2</v>
      </c>
      <c r="N447" s="15">
        <v>0.29237787219730937</v>
      </c>
    </row>
    <row r="448" spans="1:14" x14ac:dyDescent="0.2">
      <c r="A448" s="2" t="s">
        <v>10066</v>
      </c>
      <c r="B448" s="15">
        <v>2433</v>
      </c>
      <c r="C448" s="15">
        <v>21</v>
      </c>
      <c r="D448" s="15">
        <v>16873444</v>
      </c>
      <c r="E448" s="15">
        <v>18222037</v>
      </c>
      <c r="F448" s="15">
        <v>2681</v>
      </c>
      <c r="G448" s="8" t="s">
        <v>12324</v>
      </c>
      <c r="H448" s="24" t="s">
        <v>3164</v>
      </c>
      <c r="I448" s="25" t="s">
        <v>3165</v>
      </c>
      <c r="J448" s="8" t="s">
        <v>3166</v>
      </c>
      <c r="K448" s="8" t="s">
        <v>10042</v>
      </c>
      <c r="L448" s="15">
        <v>0.25562699999999999</v>
      </c>
      <c r="M448" s="15">
        <v>2.9382499999999999E-2</v>
      </c>
      <c r="N448" s="15">
        <v>0.29237787219730937</v>
      </c>
    </row>
    <row r="449" spans="1:14" x14ac:dyDescent="0.2">
      <c r="A449" s="2" t="s">
        <v>10068</v>
      </c>
      <c r="B449" s="15">
        <v>2185</v>
      </c>
      <c r="C449" s="15">
        <v>17</v>
      </c>
      <c r="D449" s="15">
        <v>11778165</v>
      </c>
      <c r="E449" s="15">
        <v>12676353</v>
      </c>
      <c r="F449" s="15">
        <v>2193</v>
      </c>
      <c r="G449" s="8" t="s">
        <v>12324</v>
      </c>
      <c r="H449" s="24" t="s">
        <v>6565</v>
      </c>
      <c r="I449" s="25" t="s">
        <v>6475</v>
      </c>
      <c r="J449" s="8" t="s">
        <v>6566</v>
      </c>
      <c r="K449" s="8" t="s">
        <v>10054</v>
      </c>
      <c r="L449" s="15">
        <v>-0.29039500000000001</v>
      </c>
      <c r="M449" s="15">
        <v>2.9679000000000001E-2</v>
      </c>
      <c r="N449" s="15">
        <v>0.29446614093959728</v>
      </c>
    </row>
    <row r="450" spans="1:14" x14ac:dyDescent="0.2">
      <c r="A450" s="2" t="s">
        <v>10068</v>
      </c>
      <c r="B450" s="15">
        <v>2418</v>
      </c>
      <c r="C450" s="15">
        <v>20</v>
      </c>
      <c r="D450" s="15">
        <v>53879804</v>
      </c>
      <c r="E450" s="15">
        <v>54743694</v>
      </c>
      <c r="F450" s="15">
        <v>2307</v>
      </c>
      <c r="G450" s="8" t="s">
        <v>12324</v>
      </c>
      <c r="H450" s="24" t="s">
        <v>494</v>
      </c>
      <c r="I450" s="25">
        <v>25920</v>
      </c>
      <c r="J450" s="8" t="s">
        <v>496</v>
      </c>
      <c r="K450" s="8" t="s">
        <v>10040</v>
      </c>
      <c r="L450" s="15">
        <v>0.42513299999999998</v>
      </c>
      <c r="M450" s="15">
        <v>2.9757800000000001E-2</v>
      </c>
      <c r="N450" s="15">
        <v>0.29458893526785712</v>
      </c>
    </row>
    <row r="451" spans="1:14" x14ac:dyDescent="0.2">
      <c r="A451" s="2" t="s">
        <v>10068</v>
      </c>
      <c r="B451" s="15">
        <v>1312</v>
      </c>
      <c r="C451" s="15">
        <v>8</v>
      </c>
      <c r="D451" s="15">
        <v>77377990</v>
      </c>
      <c r="E451" s="15">
        <v>78633659</v>
      </c>
      <c r="F451" s="15">
        <v>3133</v>
      </c>
      <c r="G451" s="8" t="s">
        <v>12324</v>
      </c>
      <c r="H451" s="24" t="s">
        <v>6565</v>
      </c>
      <c r="I451" s="25" t="s">
        <v>6475</v>
      </c>
      <c r="J451" s="8" t="s">
        <v>6566</v>
      </c>
      <c r="K451" s="8" t="s">
        <v>10054</v>
      </c>
      <c r="L451" s="15">
        <v>-0.65908</v>
      </c>
      <c r="M451" s="15">
        <v>3.02469E-2</v>
      </c>
      <c r="N451" s="15">
        <v>0.29814731</v>
      </c>
    </row>
    <row r="452" spans="1:14" x14ac:dyDescent="0.2">
      <c r="A452" s="2" t="s">
        <v>10068</v>
      </c>
      <c r="B452" s="15">
        <v>13</v>
      </c>
      <c r="C452" s="15">
        <v>1</v>
      </c>
      <c r="D452" s="15">
        <v>10753428</v>
      </c>
      <c r="E452" s="15">
        <v>11709173</v>
      </c>
      <c r="F452" s="15">
        <v>2452</v>
      </c>
      <c r="G452" s="8" t="s">
        <v>12324</v>
      </c>
      <c r="H452" s="24" t="s">
        <v>6565</v>
      </c>
      <c r="I452" s="25" t="s">
        <v>6475</v>
      </c>
      <c r="J452" s="8" t="s">
        <v>6566</v>
      </c>
      <c r="K452" s="8" t="s">
        <v>10054</v>
      </c>
      <c r="L452" s="15">
        <v>-0.338173</v>
      </c>
      <c r="M452" s="15">
        <v>3.0251699999999999E-2</v>
      </c>
      <c r="N452" s="15">
        <v>0.29814731</v>
      </c>
    </row>
    <row r="453" spans="1:14" x14ac:dyDescent="0.2">
      <c r="A453" s="2" t="s">
        <v>10068</v>
      </c>
      <c r="B453" s="15">
        <v>1270</v>
      </c>
      <c r="C453" s="15">
        <v>8</v>
      </c>
      <c r="D453" s="15">
        <v>24863244</v>
      </c>
      <c r="E453" s="15">
        <v>25859277</v>
      </c>
      <c r="F453" s="15">
        <v>2704</v>
      </c>
      <c r="G453" s="8" t="s">
        <v>12324</v>
      </c>
      <c r="H453" s="24" t="s">
        <v>1259</v>
      </c>
      <c r="I453" s="25">
        <v>27096</v>
      </c>
      <c r="J453" s="8" t="s">
        <v>1261</v>
      </c>
      <c r="K453" s="8" t="s">
        <v>10040</v>
      </c>
      <c r="L453" s="15">
        <v>-0.67389200000000005</v>
      </c>
      <c r="M453" s="15">
        <v>3.0448599999999999E-2</v>
      </c>
      <c r="N453" s="15">
        <v>0.29942248558758322</v>
      </c>
    </row>
    <row r="454" spans="1:14" x14ac:dyDescent="0.2">
      <c r="A454" s="2" t="s">
        <v>10068</v>
      </c>
      <c r="B454" s="15">
        <v>1646</v>
      </c>
      <c r="C454" s="15">
        <v>11</v>
      </c>
      <c r="D454" s="15">
        <v>33905328</v>
      </c>
      <c r="E454" s="15">
        <v>34672697</v>
      </c>
      <c r="F454" s="15">
        <v>2131</v>
      </c>
      <c r="G454" s="8" t="s">
        <v>12324</v>
      </c>
      <c r="H454" s="24" t="s">
        <v>599</v>
      </c>
      <c r="I454" s="25">
        <v>26562</v>
      </c>
      <c r="J454" s="8" t="s">
        <v>601</v>
      </c>
      <c r="K454" s="8" t="s">
        <v>10040</v>
      </c>
      <c r="L454" s="15">
        <v>-0.69884800000000002</v>
      </c>
      <c r="M454" s="15">
        <v>3.06044E-2</v>
      </c>
      <c r="N454" s="15">
        <v>0.30028874778761061</v>
      </c>
    </row>
    <row r="455" spans="1:14" x14ac:dyDescent="0.2">
      <c r="A455" s="2" t="s">
        <v>10068</v>
      </c>
      <c r="B455" s="15">
        <v>1580</v>
      </c>
      <c r="C455" s="15">
        <v>10</v>
      </c>
      <c r="D455" s="15">
        <v>102509299</v>
      </c>
      <c r="E455" s="15">
        <v>104206837</v>
      </c>
      <c r="F455" s="15">
        <v>2777</v>
      </c>
      <c r="G455" s="8" t="s">
        <v>12324</v>
      </c>
      <c r="H455" s="24" t="s">
        <v>599</v>
      </c>
      <c r="I455" s="25">
        <v>26562</v>
      </c>
      <c r="J455" s="8" t="s">
        <v>601</v>
      </c>
      <c r="K455" s="8" t="s">
        <v>10040</v>
      </c>
      <c r="L455" s="15">
        <v>0.45812199999999997</v>
      </c>
      <c r="M455" s="15">
        <v>3.08311E-2</v>
      </c>
      <c r="N455" s="15">
        <v>0.30118045925110132</v>
      </c>
    </row>
    <row r="456" spans="1:14" x14ac:dyDescent="0.2">
      <c r="A456" s="2" t="s">
        <v>10069</v>
      </c>
      <c r="B456" s="15">
        <v>488</v>
      </c>
      <c r="C456" s="15">
        <v>3</v>
      </c>
      <c r="D456" s="15">
        <v>76157471</v>
      </c>
      <c r="E456" s="15">
        <v>77507832</v>
      </c>
      <c r="F456" s="15">
        <v>2380</v>
      </c>
      <c r="G456" s="8" t="s">
        <v>12324</v>
      </c>
      <c r="H456" s="24" t="s">
        <v>662</v>
      </c>
      <c r="I456" s="25" t="s">
        <v>663</v>
      </c>
      <c r="J456" s="8" t="s">
        <v>664</v>
      </c>
      <c r="K456" s="8" t="s">
        <v>10040</v>
      </c>
      <c r="L456" s="15">
        <v>-0.696662</v>
      </c>
      <c r="M456" s="15">
        <v>3.0783000000000001E-2</v>
      </c>
      <c r="N456" s="15">
        <v>0.30118045925110132</v>
      </c>
    </row>
    <row r="457" spans="1:14" x14ac:dyDescent="0.2">
      <c r="A457" s="2" t="s">
        <v>10068</v>
      </c>
      <c r="B457" s="15">
        <v>1117</v>
      </c>
      <c r="C457" s="15">
        <v>7</v>
      </c>
      <c r="D457" s="15">
        <v>17596579</v>
      </c>
      <c r="E457" s="15">
        <v>19131026</v>
      </c>
      <c r="F457" s="15">
        <v>3723</v>
      </c>
      <c r="G457" s="8" t="s">
        <v>12324</v>
      </c>
      <c r="H457" s="24" t="s">
        <v>1259</v>
      </c>
      <c r="I457" s="25">
        <v>27096</v>
      </c>
      <c r="J457" s="8" t="s">
        <v>1261</v>
      </c>
      <c r="K457" s="8" t="s">
        <v>10040</v>
      </c>
      <c r="L457" s="15">
        <v>0.51265300000000003</v>
      </c>
      <c r="M457" s="15">
        <v>3.1031699999999999E-2</v>
      </c>
      <c r="N457" s="15">
        <v>0.30196028179824558</v>
      </c>
    </row>
    <row r="458" spans="1:14" x14ac:dyDescent="0.2">
      <c r="A458" s="2" t="s">
        <v>10068</v>
      </c>
      <c r="B458" s="15">
        <v>1387</v>
      </c>
      <c r="C458" s="15">
        <v>9</v>
      </c>
      <c r="D458" s="15">
        <v>12664859</v>
      </c>
      <c r="E458" s="15">
        <v>13512852</v>
      </c>
      <c r="F458" s="15">
        <v>2060</v>
      </c>
      <c r="G458" s="8" t="s">
        <v>12324</v>
      </c>
      <c r="H458" s="24" t="s">
        <v>6565</v>
      </c>
      <c r="I458" s="25" t="s">
        <v>6475</v>
      </c>
      <c r="J458" s="8" t="s">
        <v>6566</v>
      </c>
      <c r="K458" s="8" t="s">
        <v>10054</v>
      </c>
      <c r="L458" s="15">
        <v>0.35232200000000002</v>
      </c>
      <c r="M458" s="15">
        <v>3.1047100000000001E-2</v>
      </c>
      <c r="N458" s="15">
        <v>0.30196028179824558</v>
      </c>
    </row>
    <row r="459" spans="1:14" x14ac:dyDescent="0.2">
      <c r="A459" s="2" t="s">
        <v>10068</v>
      </c>
      <c r="B459" s="15">
        <v>2421</v>
      </c>
      <c r="C459" s="15">
        <v>20</v>
      </c>
      <c r="D459" s="15">
        <v>56172844</v>
      </c>
      <c r="E459" s="15">
        <v>56951773</v>
      </c>
      <c r="F459" s="15">
        <v>2406</v>
      </c>
      <c r="G459" s="8" t="s">
        <v>12324</v>
      </c>
      <c r="H459" s="24" t="s">
        <v>494</v>
      </c>
      <c r="I459" s="25">
        <v>25920</v>
      </c>
      <c r="J459" s="8" t="s">
        <v>496</v>
      </c>
      <c r="K459" s="8" t="s">
        <v>10040</v>
      </c>
      <c r="L459" s="15">
        <v>-0.32330599999999998</v>
      </c>
      <c r="M459" s="15">
        <v>3.13026E-2</v>
      </c>
      <c r="N459" s="15">
        <v>0.30336949344978159</v>
      </c>
    </row>
    <row r="460" spans="1:14" x14ac:dyDescent="0.2">
      <c r="A460" s="2" t="s">
        <v>10066</v>
      </c>
      <c r="B460" s="15">
        <v>764</v>
      </c>
      <c r="C460" s="15">
        <v>4</v>
      </c>
      <c r="D460" s="15">
        <v>181122434</v>
      </c>
      <c r="E460" s="15">
        <v>182065646</v>
      </c>
      <c r="F460" s="15">
        <v>3218</v>
      </c>
      <c r="G460" s="8" t="s">
        <v>12324</v>
      </c>
      <c r="H460" s="24" t="s">
        <v>6008</v>
      </c>
      <c r="I460" s="25" t="s">
        <v>6009</v>
      </c>
      <c r="J460" s="8" t="s">
        <v>6010</v>
      </c>
      <c r="K460" s="8" t="s">
        <v>10051</v>
      </c>
      <c r="L460" s="15">
        <v>0.38801600000000003</v>
      </c>
      <c r="M460" s="15">
        <v>3.1328799999999997E-2</v>
      </c>
      <c r="N460" s="15">
        <v>0.30336949344978159</v>
      </c>
    </row>
    <row r="461" spans="1:14" x14ac:dyDescent="0.2">
      <c r="A461" s="2" t="s">
        <v>10069</v>
      </c>
      <c r="B461" s="15">
        <v>24</v>
      </c>
      <c r="C461" s="15">
        <v>1</v>
      </c>
      <c r="D461" s="15">
        <v>22145630</v>
      </c>
      <c r="E461" s="15">
        <v>22740287</v>
      </c>
      <c r="F461" s="15">
        <v>1353</v>
      </c>
      <c r="G461" s="8" t="s">
        <v>12324</v>
      </c>
      <c r="H461" s="24" t="s">
        <v>662</v>
      </c>
      <c r="I461" s="25" t="s">
        <v>663</v>
      </c>
      <c r="J461" s="8" t="s">
        <v>664</v>
      </c>
      <c r="K461" s="8" t="s">
        <v>10040</v>
      </c>
      <c r="L461" s="15">
        <v>0.75578699999999999</v>
      </c>
      <c r="M461" s="15">
        <v>3.1532699999999997E-2</v>
      </c>
      <c r="N461" s="15">
        <v>0.30467870261437913</v>
      </c>
    </row>
    <row r="462" spans="1:14" x14ac:dyDescent="0.2">
      <c r="A462" s="2" t="s">
        <v>10068</v>
      </c>
      <c r="B462" s="15">
        <v>144</v>
      </c>
      <c r="C462" s="15">
        <v>1</v>
      </c>
      <c r="D462" s="15">
        <v>188625773</v>
      </c>
      <c r="E462" s="15">
        <v>189904637</v>
      </c>
      <c r="F462" s="15">
        <v>3768</v>
      </c>
      <c r="G462" s="8" t="s">
        <v>12324</v>
      </c>
      <c r="H462" s="24" t="s">
        <v>599</v>
      </c>
      <c r="I462" s="25">
        <v>26562</v>
      </c>
      <c r="J462" s="8" t="s">
        <v>601</v>
      </c>
      <c r="K462" s="8" t="s">
        <v>10040</v>
      </c>
      <c r="L462" s="15">
        <v>0.90570600000000001</v>
      </c>
      <c r="M462" s="15">
        <v>3.1652300000000001E-2</v>
      </c>
      <c r="N462" s="15">
        <v>0.30516945760869568</v>
      </c>
    </row>
    <row r="463" spans="1:14" x14ac:dyDescent="0.2">
      <c r="A463" s="2" t="s">
        <v>10068</v>
      </c>
      <c r="B463" s="15">
        <v>1786</v>
      </c>
      <c r="C463" s="15">
        <v>12</v>
      </c>
      <c r="D463" s="15">
        <v>47499604</v>
      </c>
      <c r="E463" s="15">
        <v>48227035</v>
      </c>
      <c r="F463" s="15">
        <v>2314</v>
      </c>
      <c r="G463" s="8" t="s">
        <v>12324</v>
      </c>
      <c r="H463" s="24" t="s">
        <v>494</v>
      </c>
      <c r="I463" s="25">
        <v>25920</v>
      </c>
      <c r="J463" s="8" t="s">
        <v>496</v>
      </c>
      <c r="K463" s="8" t="s">
        <v>10040</v>
      </c>
      <c r="L463" s="15">
        <v>0.72092800000000001</v>
      </c>
      <c r="M463" s="15">
        <v>3.1895199999999999E-2</v>
      </c>
      <c r="N463" s="15">
        <v>0.3068442776572668</v>
      </c>
    </row>
    <row r="464" spans="1:14" x14ac:dyDescent="0.2">
      <c r="A464" s="2" t="s">
        <v>10068</v>
      </c>
      <c r="B464" s="15">
        <v>1109</v>
      </c>
      <c r="C464" s="15">
        <v>7</v>
      </c>
      <c r="D464" s="15">
        <v>11232448</v>
      </c>
      <c r="E464" s="15">
        <v>11855413</v>
      </c>
      <c r="F464" s="15">
        <v>2249</v>
      </c>
      <c r="G464" s="8" t="s">
        <v>12324</v>
      </c>
      <c r="H464" s="24" t="s">
        <v>1259</v>
      </c>
      <c r="I464" s="25">
        <v>27096</v>
      </c>
      <c r="J464" s="8" t="s">
        <v>1261</v>
      </c>
      <c r="K464" s="8" t="s">
        <v>10040</v>
      </c>
      <c r="L464" s="15">
        <v>0.37801800000000002</v>
      </c>
      <c r="M464" s="15">
        <v>3.2088400000000003E-2</v>
      </c>
      <c r="N464" s="15">
        <v>0.30736944708423319</v>
      </c>
    </row>
    <row r="465" spans="1:14" x14ac:dyDescent="0.2">
      <c r="A465" s="2" t="s">
        <v>10066</v>
      </c>
      <c r="B465" s="15">
        <v>670</v>
      </c>
      <c r="C465" s="15">
        <v>4</v>
      </c>
      <c r="D465" s="15">
        <v>76497359</v>
      </c>
      <c r="E465" s="15">
        <v>78045637</v>
      </c>
      <c r="F465" s="15">
        <v>4212</v>
      </c>
      <c r="G465" s="8" t="s">
        <v>12324</v>
      </c>
      <c r="H465" s="24" t="s">
        <v>6008</v>
      </c>
      <c r="I465" s="25" t="s">
        <v>6009</v>
      </c>
      <c r="J465" s="8" t="s">
        <v>6010</v>
      </c>
      <c r="K465" s="8" t="s">
        <v>10051</v>
      </c>
      <c r="L465" s="15">
        <v>-0.67291100000000004</v>
      </c>
      <c r="M465" s="15">
        <v>3.2041899999999998E-2</v>
      </c>
      <c r="N465" s="15">
        <v>0.30736944708423319</v>
      </c>
    </row>
    <row r="466" spans="1:14" x14ac:dyDescent="0.2">
      <c r="A466" s="2" t="s">
        <v>10068</v>
      </c>
      <c r="B466" s="15">
        <v>1849</v>
      </c>
      <c r="C466" s="15">
        <v>12</v>
      </c>
      <c r="D466" s="15">
        <v>120567741</v>
      </c>
      <c r="E466" s="15">
        <v>121817509</v>
      </c>
      <c r="F466" s="15">
        <v>3403</v>
      </c>
      <c r="G466" s="8" t="s">
        <v>12324</v>
      </c>
      <c r="H466" s="24" t="s">
        <v>494</v>
      </c>
      <c r="I466" s="25">
        <v>25920</v>
      </c>
      <c r="J466" s="8" t="s">
        <v>496</v>
      </c>
      <c r="K466" s="8" t="s">
        <v>10040</v>
      </c>
      <c r="L466" s="15">
        <v>0.72566600000000003</v>
      </c>
      <c r="M466" s="15">
        <v>3.2305300000000002E-2</v>
      </c>
      <c r="N466" s="15">
        <v>0.30878018426724141</v>
      </c>
    </row>
    <row r="467" spans="1:14" x14ac:dyDescent="0.2">
      <c r="A467" s="2" t="s">
        <v>10068</v>
      </c>
      <c r="B467" s="15">
        <v>461</v>
      </c>
      <c r="C467" s="15">
        <v>3</v>
      </c>
      <c r="D467" s="15">
        <v>42301658</v>
      </c>
      <c r="E467" s="15">
        <v>44141693</v>
      </c>
      <c r="F467" s="15">
        <v>3895</v>
      </c>
      <c r="G467" s="8" t="s">
        <v>12324</v>
      </c>
      <c r="H467" s="24" t="s">
        <v>494</v>
      </c>
      <c r="I467" s="25">
        <v>25920</v>
      </c>
      <c r="J467" s="8" t="s">
        <v>496</v>
      </c>
      <c r="K467" s="8" t="s">
        <v>10040</v>
      </c>
      <c r="L467" s="15">
        <v>-0.29912300000000003</v>
      </c>
      <c r="M467" s="15">
        <v>3.25936E-2</v>
      </c>
      <c r="N467" s="15">
        <v>0.3088731111111111</v>
      </c>
    </row>
    <row r="468" spans="1:14" x14ac:dyDescent="0.2">
      <c r="A468" s="2" t="s">
        <v>10068</v>
      </c>
      <c r="B468" s="15">
        <v>312</v>
      </c>
      <c r="C468" s="15">
        <v>2</v>
      </c>
      <c r="D468" s="15">
        <v>119635490</v>
      </c>
      <c r="E468" s="15">
        <v>121073752</v>
      </c>
      <c r="F468" s="15">
        <v>3439</v>
      </c>
      <c r="G468" s="8" t="s">
        <v>12324</v>
      </c>
      <c r="H468" s="24" t="s">
        <v>599</v>
      </c>
      <c r="I468" s="25">
        <v>26562</v>
      </c>
      <c r="J468" s="8" t="s">
        <v>601</v>
      </c>
      <c r="K468" s="8" t="s">
        <v>10040</v>
      </c>
      <c r="L468" s="15">
        <v>0.59014800000000001</v>
      </c>
      <c r="M468" s="15">
        <v>3.2497600000000001E-2</v>
      </c>
      <c r="N468" s="15">
        <v>0.3088731111111111</v>
      </c>
    </row>
    <row r="469" spans="1:14" x14ac:dyDescent="0.2">
      <c r="A469" s="2" t="s">
        <v>10066</v>
      </c>
      <c r="B469" s="15">
        <v>2109</v>
      </c>
      <c r="C469" s="15">
        <v>16</v>
      </c>
      <c r="D469" s="15">
        <v>7051430</v>
      </c>
      <c r="E469" s="15">
        <v>7704354</v>
      </c>
      <c r="F469" s="15">
        <v>3202</v>
      </c>
      <c r="G469" s="8" t="s">
        <v>12324</v>
      </c>
      <c r="H469" s="24" t="s">
        <v>3164</v>
      </c>
      <c r="I469" s="25" t="s">
        <v>3165</v>
      </c>
      <c r="J469" s="8" t="s">
        <v>3166</v>
      </c>
      <c r="K469" s="8" t="s">
        <v>10042</v>
      </c>
      <c r="L469" s="15">
        <v>-0.45819300000000002</v>
      </c>
      <c r="M469" s="15">
        <v>3.2404299999999997E-2</v>
      </c>
      <c r="N469" s="15">
        <v>0.3088731111111111</v>
      </c>
    </row>
    <row r="470" spans="1:14" x14ac:dyDescent="0.2">
      <c r="A470" s="2" t="s">
        <v>10068</v>
      </c>
      <c r="B470" s="15">
        <v>620</v>
      </c>
      <c r="C470" s="15">
        <v>4</v>
      </c>
      <c r="D470" s="15">
        <v>21416381</v>
      </c>
      <c r="E470" s="15">
        <v>22835185</v>
      </c>
      <c r="F470" s="15">
        <v>4231</v>
      </c>
      <c r="G470" s="8" t="s">
        <v>12324</v>
      </c>
      <c r="H470" s="24" t="s">
        <v>6565</v>
      </c>
      <c r="I470" s="25" t="s">
        <v>6475</v>
      </c>
      <c r="J470" s="8" t="s">
        <v>6566</v>
      </c>
      <c r="K470" s="8" t="s">
        <v>10054</v>
      </c>
      <c r="L470" s="15">
        <v>-0.76155700000000004</v>
      </c>
      <c r="M470" s="15">
        <v>3.2570200000000001E-2</v>
      </c>
      <c r="N470" s="15">
        <v>0.3088731111111111</v>
      </c>
    </row>
    <row r="471" spans="1:14" x14ac:dyDescent="0.2">
      <c r="A471" s="2" t="s">
        <v>10068</v>
      </c>
      <c r="B471" s="15">
        <v>1304</v>
      </c>
      <c r="C471" s="15">
        <v>8</v>
      </c>
      <c r="D471" s="15">
        <v>68683824</v>
      </c>
      <c r="E471" s="15">
        <v>70004665</v>
      </c>
      <c r="F471" s="15">
        <v>3527</v>
      </c>
      <c r="G471" s="8" t="s">
        <v>12324</v>
      </c>
      <c r="H471" s="24" t="s">
        <v>599</v>
      </c>
      <c r="I471" s="25">
        <v>26562</v>
      </c>
      <c r="J471" s="8" t="s">
        <v>601</v>
      </c>
      <c r="K471" s="8" t="s">
        <v>10040</v>
      </c>
      <c r="L471" s="15">
        <v>0.66749099999999995</v>
      </c>
      <c r="M471" s="15">
        <v>3.2969600000000002E-2</v>
      </c>
      <c r="N471" s="15">
        <v>0.31177009808102352</v>
      </c>
    </row>
    <row r="472" spans="1:14" x14ac:dyDescent="0.2">
      <c r="A472" s="2" t="s">
        <v>10068</v>
      </c>
      <c r="B472" s="15">
        <v>403</v>
      </c>
      <c r="C472" s="15">
        <v>2</v>
      </c>
      <c r="D472" s="15">
        <v>226242843</v>
      </c>
      <c r="E472" s="15">
        <v>227557841</v>
      </c>
      <c r="F472" s="15">
        <v>2790</v>
      </c>
      <c r="G472" s="8" t="s">
        <v>12324</v>
      </c>
      <c r="H472" s="24" t="s">
        <v>494</v>
      </c>
      <c r="I472" s="25">
        <v>25920</v>
      </c>
      <c r="J472" s="8" t="s">
        <v>496</v>
      </c>
      <c r="K472" s="8" t="s">
        <v>10040</v>
      </c>
      <c r="L472" s="15">
        <v>0.68958799999999998</v>
      </c>
      <c r="M472" s="15">
        <v>3.3391299999999999E-2</v>
      </c>
      <c r="N472" s="15">
        <v>0.31320188114754099</v>
      </c>
    </row>
    <row r="473" spans="1:14" x14ac:dyDescent="0.2">
      <c r="A473" s="2" t="s">
        <v>10068</v>
      </c>
      <c r="B473" s="15">
        <v>448</v>
      </c>
      <c r="C473" s="15">
        <v>3</v>
      </c>
      <c r="D473" s="15">
        <v>27614909</v>
      </c>
      <c r="E473" s="15">
        <v>28649810</v>
      </c>
      <c r="F473" s="15">
        <v>2313</v>
      </c>
      <c r="G473" s="8" t="s">
        <v>12324</v>
      </c>
      <c r="H473" s="24" t="s">
        <v>494</v>
      </c>
      <c r="I473" s="25">
        <v>25920</v>
      </c>
      <c r="J473" s="8" t="s">
        <v>496</v>
      </c>
      <c r="K473" s="8" t="s">
        <v>10040</v>
      </c>
      <c r="L473" s="15">
        <v>-0.772926</v>
      </c>
      <c r="M473" s="15">
        <v>3.39618E-2</v>
      </c>
      <c r="N473" s="15">
        <v>0.31320188114754099</v>
      </c>
    </row>
    <row r="474" spans="1:14" x14ac:dyDescent="0.2">
      <c r="A474" s="2" t="s">
        <v>10068</v>
      </c>
      <c r="B474" s="15">
        <v>2301</v>
      </c>
      <c r="C474" s="15">
        <v>18</v>
      </c>
      <c r="D474" s="15">
        <v>73568261</v>
      </c>
      <c r="E474" s="15">
        <v>74471745</v>
      </c>
      <c r="F474" s="15">
        <v>3292</v>
      </c>
      <c r="G474" s="8" t="s">
        <v>12324</v>
      </c>
      <c r="H474" s="24" t="s">
        <v>494</v>
      </c>
      <c r="I474" s="25">
        <v>25920</v>
      </c>
      <c r="J474" s="8" t="s">
        <v>496</v>
      </c>
      <c r="K474" s="8" t="s">
        <v>10040</v>
      </c>
      <c r="L474" s="15">
        <v>-0.41773199999999999</v>
      </c>
      <c r="M474" s="15">
        <v>3.4043200000000003E-2</v>
      </c>
      <c r="N474" s="15">
        <v>0.31320188114754099</v>
      </c>
    </row>
    <row r="475" spans="1:14" x14ac:dyDescent="0.2">
      <c r="A475" s="2" t="s">
        <v>10068</v>
      </c>
      <c r="B475" s="15">
        <v>1310</v>
      </c>
      <c r="C475" s="15">
        <v>8</v>
      </c>
      <c r="D475" s="15">
        <v>75011700</v>
      </c>
      <c r="E475" s="15">
        <v>76295483</v>
      </c>
      <c r="F475" s="15">
        <v>3411</v>
      </c>
      <c r="G475" s="8" t="s">
        <v>12324</v>
      </c>
      <c r="H475" s="24" t="s">
        <v>494</v>
      </c>
      <c r="I475" s="25">
        <v>25920</v>
      </c>
      <c r="J475" s="8" t="s">
        <v>496</v>
      </c>
      <c r="K475" s="8" t="s">
        <v>10040</v>
      </c>
      <c r="L475" s="15">
        <v>-0.56182500000000002</v>
      </c>
      <c r="M475" s="15">
        <v>3.40769E-2</v>
      </c>
      <c r="N475" s="15">
        <v>0.31320188114754099</v>
      </c>
    </row>
    <row r="476" spans="1:14" x14ac:dyDescent="0.2">
      <c r="A476" s="2" t="s">
        <v>10068</v>
      </c>
      <c r="B476" s="15">
        <v>830</v>
      </c>
      <c r="C476" s="15">
        <v>5</v>
      </c>
      <c r="D476" s="15">
        <v>63214090</v>
      </c>
      <c r="E476" s="15">
        <v>64438518</v>
      </c>
      <c r="F476" s="15">
        <v>2189</v>
      </c>
      <c r="G476" s="8" t="s">
        <v>12324</v>
      </c>
      <c r="H476" s="24" t="s">
        <v>494</v>
      </c>
      <c r="I476" s="25">
        <v>25920</v>
      </c>
      <c r="J476" s="8" t="s">
        <v>496</v>
      </c>
      <c r="K476" s="8" t="s">
        <v>10040</v>
      </c>
      <c r="L476" s="15">
        <v>0.72394999999999998</v>
      </c>
      <c r="M476" s="15">
        <v>3.4326599999999999E-2</v>
      </c>
      <c r="N476" s="15">
        <v>0.31320188114754099</v>
      </c>
    </row>
    <row r="477" spans="1:14" x14ac:dyDescent="0.2">
      <c r="A477" s="2" t="s">
        <v>10068</v>
      </c>
      <c r="B477" s="15">
        <v>2005</v>
      </c>
      <c r="C477" s="15">
        <v>14</v>
      </c>
      <c r="D477" s="15">
        <v>75699502</v>
      </c>
      <c r="E477" s="15">
        <v>76694201</v>
      </c>
      <c r="F477" s="15">
        <v>2376</v>
      </c>
      <c r="G477" s="8" t="s">
        <v>12324</v>
      </c>
      <c r="H477" s="24" t="s">
        <v>599</v>
      </c>
      <c r="I477" s="25">
        <v>26562</v>
      </c>
      <c r="J477" s="8" t="s">
        <v>601</v>
      </c>
      <c r="K477" s="8" t="s">
        <v>10040</v>
      </c>
      <c r="L477" s="15">
        <v>0.52207499999999996</v>
      </c>
      <c r="M477" s="15">
        <v>3.4462800000000002E-2</v>
      </c>
      <c r="N477" s="15">
        <v>0.31320188114754099</v>
      </c>
    </row>
    <row r="478" spans="1:14" x14ac:dyDescent="0.2">
      <c r="A478" s="2" t="s">
        <v>10069</v>
      </c>
      <c r="B478" s="15">
        <v>1352</v>
      </c>
      <c r="C478" s="15">
        <v>8</v>
      </c>
      <c r="D478" s="15">
        <v>126766828</v>
      </c>
      <c r="E478" s="15">
        <v>128073654</v>
      </c>
      <c r="F478" s="15">
        <v>2457</v>
      </c>
      <c r="G478" s="8" t="s">
        <v>12324</v>
      </c>
      <c r="H478" s="24" t="s">
        <v>662</v>
      </c>
      <c r="I478" s="25" t="s">
        <v>663</v>
      </c>
      <c r="J478" s="8" t="s">
        <v>664</v>
      </c>
      <c r="K478" s="8" t="s">
        <v>10040</v>
      </c>
      <c r="L478" s="15">
        <v>-0.62026700000000001</v>
      </c>
      <c r="M478" s="15">
        <v>3.4204699999999998E-2</v>
      </c>
      <c r="N478" s="15">
        <v>0.31320188114754099</v>
      </c>
    </row>
    <row r="479" spans="1:14" x14ac:dyDescent="0.2">
      <c r="A479" s="2" t="s">
        <v>10069</v>
      </c>
      <c r="B479" s="15">
        <v>1134</v>
      </c>
      <c r="C479" s="15">
        <v>7</v>
      </c>
      <c r="D479" s="15">
        <v>36507691</v>
      </c>
      <c r="E479" s="15">
        <v>37981936</v>
      </c>
      <c r="F479" s="15">
        <v>2646</v>
      </c>
      <c r="G479" s="8" t="s">
        <v>12324</v>
      </c>
      <c r="H479" s="24" t="s">
        <v>662</v>
      </c>
      <c r="I479" s="25" t="s">
        <v>663</v>
      </c>
      <c r="J479" s="8" t="s">
        <v>664</v>
      </c>
      <c r="K479" s="8" t="s">
        <v>10040</v>
      </c>
      <c r="L479" s="15">
        <v>-0.57767299999999999</v>
      </c>
      <c r="M479" s="15">
        <v>3.4233800000000002E-2</v>
      </c>
      <c r="N479" s="15">
        <v>0.31320188114754099</v>
      </c>
    </row>
    <row r="480" spans="1:14" x14ac:dyDescent="0.2">
      <c r="A480" s="2" t="s">
        <v>10068</v>
      </c>
      <c r="B480" s="15">
        <v>1224</v>
      </c>
      <c r="C480" s="15">
        <v>7</v>
      </c>
      <c r="D480" s="15">
        <v>150897819</v>
      </c>
      <c r="E480" s="15">
        <v>152253294</v>
      </c>
      <c r="F480" s="15">
        <v>3162</v>
      </c>
      <c r="G480" s="8" t="s">
        <v>12324</v>
      </c>
      <c r="H480" s="24" t="s">
        <v>1259</v>
      </c>
      <c r="I480" s="25">
        <v>27096</v>
      </c>
      <c r="J480" s="8" t="s">
        <v>1261</v>
      </c>
      <c r="K480" s="8" t="s">
        <v>10040</v>
      </c>
      <c r="L480" s="15">
        <v>0.39693400000000001</v>
      </c>
      <c r="M480" s="15">
        <v>3.3201599999999998E-2</v>
      </c>
      <c r="N480" s="15">
        <v>0.31320188114754099</v>
      </c>
    </row>
    <row r="481" spans="1:14" x14ac:dyDescent="0.2">
      <c r="A481" s="2" t="s">
        <v>10068</v>
      </c>
      <c r="B481" s="15">
        <v>1499</v>
      </c>
      <c r="C481" s="15">
        <v>10</v>
      </c>
      <c r="D481" s="15">
        <v>11856925</v>
      </c>
      <c r="E481" s="15">
        <v>12581571</v>
      </c>
      <c r="F481" s="15">
        <v>2297</v>
      </c>
      <c r="G481" s="8" t="s">
        <v>12324</v>
      </c>
      <c r="H481" s="24" t="s">
        <v>1259</v>
      </c>
      <c r="I481" s="25">
        <v>27096</v>
      </c>
      <c r="J481" s="8" t="s">
        <v>1261</v>
      </c>
      <c r="K481" s="8" t="s">
        <v>10040</v>
      </c>
      <c r="L481" s="15">
        <v>-0.36834099999999997</v>
      </c>
      <c r="M481" s="15">
        <v>3.3486299999999997E-2</v>
      </c>
      <c r="N481" s="15">
        <v>0.31320188114754099</v>
      </c>
    </row>
    <row r="482" spans="1:14" x14ac:dyDescent="0.2">
      <c r="A482" s="2" t="s">
        <v>10068</v>
      </c>
      <c r="B482" s="15">
        <v>1712</v>
      </c>
      <c r="C482" s="15">
        <v>11</v>
      </c>
      <c r="D482" s="15">
        <v>103495636</v>
      </c>
      <c r="E482" s="15">
        <v>104875270</v>
      </c>
      <c r="F482" s="15">
        <v>3367</v>
      </c>
      <c r="G482" s="8" t="s">
        <v>12324</v>
      </c>
      <c r="H482" s="24" t="s">
        <v>1259</v>
      </c>
      <c r="I482" s="25">
        <v>27096</v>
      </c>
      <c r="J482" s="8" t="s">
        <v>1261</v>
      </c>
      <c r="K482" s="8" t="s">
        <v>10040</v>
      </c>
      <c r="L482" s="15">
        <v>-0.614205</v>
      </c>
      <c r="M482" s="15">
        <v>3.4443000000000001E-2</v>
      </c>
      <c r="N482" s="15">
        <v>0.31320188114754099</v>
      </c>
    </row>
    <row r="483" spans="1:14" x14ac:dyDescent="0.2">
      <c r="A483" s="2" t="s">
        <v>10066</v>
      </c>
      <c r="B483" s="15">
        <v>2123</v>
      </c>
      <c r="C483" s="15">
        <v>16</v>
      </c>
      <c r="D483" s="15">
        <v>22667049</v>
      </c>
      <c r="E483" s="15">
        <v>24014705</v>
      </c>
      <c r="F483" s="15">
        <v>3437</v>
      </c>
      <c r="G483" s="8" t="s">
        <v>12324</v>
      </c>
      <c r="H483" s="24" t="s">
        <v>3164</v>
      </c>
      <c r="I483" s="25" t="s">
        <v>3165</v>
      </c>
      <c r="J483" s="8" t="s">
        <v>3166</v>
      </c>
      <c r="K483" s="8" t="s">
        <v>10042</v>
      </c>
      <c r="L483" s="15">
        <v>-0.35161199999999998</v>
      </c>
      <c r="M483" s="15">
        <v>3.3877600000000001E-2</v>
      </c>
      <c r="N483" s="15">
        <v>0.31320188114754099</v>
      </c>
    </row>
    <row r="484" spans="1:14" x14ac:dyDescent="0.2">
      <c r="A484" s="2" t="s">
        <v>10066</v>
      </c>
      <c r="B484" s="15">
        <v>2048</v>
      </c>
      <c r="C484" s="15">
        <v>15</v>
      </c>
      <c r="D484" s="15">
        <v>37962916</v>
      </c>
      <c r="E484" s="15">
        <v>39238840</v>
      </c>
      <c r="F484" s="15">
        <v>3281</v>
      </c>
      <c r="G484" s="8" t="s">
        <v>12324</v>
      </c>
      <c r="H484" s="24" t="s">
        <v>3164</v>
      </c>
      <c r="I484" s="25" t="s">
        <v>3165</v>
      </c>
      <c r="J484" s="8" t="s">
        <v>3166</v>
      </c>
      <c r="K484" s="8" t="s">
        <v>10042</v>
      </c>
      <c r="L484" s="15">
        <v>0.40945700000000002</v>
      </c>
      <c r="M484" s="15">
        <v>3.4093900000000003E-2</v>
      </c>
      <c r="N484" s="15">
        <v>0.31320188114754099</v>
      </c>
    </row>
    <row r="485" spans="1:14" x14ac:dyDescent="0.2">
      <c r="A485" s="2" t="s">
        <v>10066</v>
      </c>
      <c r="B485" s="15">
        <v>781</v>
      </c>
      <c r="C485" s="15">
        <v>5</v>
      </c>
      <c r="D485" s="15">
        <v>4636543</v>
      </c>
      <c r="E485" s="15">
        <v>5828694</v>
      </c>
      <c r="F485" s="15">
        <v>3814</v>
      </c>
      <c r="G485" s="8" t="s">
        <v>12324</v>
      </c>
      <c r="H485" s="24" t="s">
        <v>6008</v>
      </c>
      <c r="I485" s="25" t="s">
        <v>6009</v>
      </c>
      <c r="J485" s="8" t="s">
        <v>6010</v>
      </c>
      <c r="K485" s="8" t="s">
        <v>10051</v>
      </c>
      <c r="L485" s="15">
        <v>-0.42873899999999998</v>
      </c>
      <c r="M485" s="15">
        <v>3.3933100000000001E-2</v>
      </c>
      <c r="N485" s="15">
        <v>0.31320188114754099</v>
      </c>
    </row>
    <row r="486" spans="1:14" x14ac:dyDescent="0.2">
      <c r="A486" s="2" t="s">
        <v>10066</v>
      </c>
      <c r="B486" s="15">
        <v>893</v>
      </c>
      <c r="C486" s="15">
        <v>5</v>
      </c>
      <c r="D486" s="15">
        <v>141253831</v>
      </c>
      <c r="E486" s="15">
        <v>142532956</v>
      </c>
      <c r="F486" s="15">
        <v>3418</v>
      </c>
      <c r="G486" s="8" t="s">
        <v>12324</v>
      </c>
      <c r="H486" s="24" t="s">
        <v>6008</v>
      </c>
      <c r="I486" s="25" t="s">
        <v>6009</v>
      </c>
      <c r="J486" s="8" t="s">
        <v>6010</v>
      </c>
      <c r="K486" s="8" t="s">
        <v>10051</v>
      </c>
      <c r="L486" s="15">
        <v>-0.399538</v>
      </c>
      <c r="M486" s="15">
        <v>3.4304599999999998E-2</v>
      </c>
      <c r="N486" s="15">
        <v>0.31320188114754099</v>
      </c>
    </row>
    <row r="487" spans="1:14" x14ac:dyDescent="0.2">
      <c r="A487" s="2" t="s">
        <v>10068</v>
      </c>
      <c r="B487" s="15">
        <v>838</v>
      </c>
      <c r="C487" s="15">
        <v>5</v>
      </c>
      <c r="D487" s="15">
        <v>75239303</v>
      </c>
      <c r="E487" s="15">
        <v>75959515</v>
      </c>
      <c r="F487" s="15">
        <v>2198</v>
      </c>
      <c r="G487" s="8" t="s">
        <v>12324</v>
      </c>
      <c r="H487" s="24" t="s">
        <v>6565</v>
      </c>
      <c r="I487" s="25" t="s">
        <v>6475</v>
      </c>
      <c r="J487" s="8" t="s">
        <v>6566</v>
      </c>
      <c r="K487" s="8" t="s">
        <v>10054</v>
      </c>
      <c r="L487" s="15">
        <v>-0.32766899999999999</v>
      </c>
      <c r="M487" s="15">
        <v>3.3437599999999998E-2</v>
      </c>
      <c r="N487" s="15">
        <v>0.31320188114754099</v>
      </c>
    </row>
    <row r="488" spans="1:14" x14ac:dyDescent="0.2">
      <c r="A488" s="2" t="s">
        <v>10068</v>
      </c>
      <c r="B488" s="15">
        <v>381</v>
      </c>
      <c r="C488" s="15">
        <v>2</v>
      </c>
      <c r="D488" s="15">
        <v>202504863</v>
      </c>
      <c r="E488" s="15">
        <v>203639686</v>
      </c>
      <c r="F488" s="15">
        <v>2111</v>
      </c>
      <c r="G488" s="8" t="s">
        <v>12324</v>
      </c>
      <c r="H488" s="24" t="s">
        <v>6565</v>
      </c>
      <c r="I488" s="25" t="s">
        <v>6475</v>
      </c>
      <c r="J488" s="8" t="s">
        <v>6566</v>
      </c>
      <c r="K488" s="8" t="s">
        <v>10054</v>
      </c>
      <c r="L488" s="15">
        <v>0.61830399999999996</v>
      </c>
      <c r="M488" s="15">
        <v>3.4027000000000002E-2</v>
      </c>
      <c r="N488" s="15">
        <v>0.31320188114754099</v>
      </c>
    </row>
    <row r="489" spans="1:14" x14ac:dyDescent="0.2">
      <c r="A489" s="2" t="s">
        <v>10068</v>
      </c>
      <c r="B489" s="15">
        <v>286</v>
      </c>
      <c r="C489" s="15">
        <v>2</v>
      </c>
      <c r="D489" s="15">
        <v>79900056</v>
      </c>
      <c r="E489" s="15">
        <v>80737811</v>
      </c>
      <c r="F489" s="15">
        <v>2132</v>
      </c>
      <c r="G489" s="8" t="s">
        <v>12324</v>
      </c>
      <c r="H489" s="24" t="s">
        <v>6565</v>
      </c>
      <c r="I489" s="25" t="s">
        <v>6475</v>
      </c>
      <c r="J489" s="8" t="s">
        <v>6566</v>
      </c>
      <c r="K489" s="8" t="s">
        <v>10054</v>
      </c>
      <c r="L489" s="15">
        <v>0.61017500000000002</v>
      </c>
      <c r="M489" s="15">
        <v>3.4324E-2</v>
      </c>
      <c r="N489" s="15">
        <v>0.31320188114754099</v>
      </c>
    </row>
    <row r="490" spans="1:14" x14ac:dyDescent="0.2">
      <c r="A490" s="2" t="s">
        <v>10068</v>
      </c>
      <c r="B490" s="15">
        <v>1309</v>
      </c>
      <c r="C490" s="15">
        <v>8</v>
      </c>
      <c r="D490" s="15">
        <v>73838028</v>
      </c>
      <c r="E490" s="15">
        <v>75011699</v>
      </c>
      <c r="F490" s="15">
        <v>2861</v>
      </c>
      <c r="G490" s="8" t="s">
        <v>12324</v>
      </c>
      <c r="H490" s="24" t="s">
        <v>6565</v>
      </c>
      <c r="I490" s="25" t="s">
        <v>6475</v>
      </c>
      <c r="J490" s="8" t="s">
        <v>6566</v>
      </c>
      <c r="K490" s="8" t="s">
        <v>10054</v>
      </c>
      <c r="L490" s="15">
        <v>-0.47181099999999998</v>
      </c>
      <c r="M490" s="15">
        <v>3.4347200000000001E-2</v>
      </c>
      <c r="N490" s="15">
        <v>0.31320188114754099</v>
      </c>
    </row>
    <row r="491" spans="1:14" x14ac:dyDescent="0.2">
      <c r="A491" s="2" t="s">
        <v>10068</v>
      </c>
      <c r="B491" s="15">
        <v>756</v>
      </c>
      <c r="C491" s="15">
        <v>4</v>
      </c>
      <c r="D491" s="15">
        <v>174470207</v>
      </c>
      <c r="E491" s="15">
        <v>175295842</v>
      </c>
      <c r="F491" s="15">
        <v>2079</v>
      </c>
      <c r="G491" s="8" t="s">
        <v>12324</v>
      </c>
      <c r="H491" s="24" t="s">
        <v>1259</v>
      </c>
      <c r="I491" s="25">
        <v>27096</v>
      </c>
      <c r="J491" s="8" t="s">
        <v>1261</v>
      </c>
      <c r="K491" s="8" t="s">
        <v>10040</v>
      </c>
      <c r="L491" s="15">
        <v>-0.542377</v>
      </c>
      <c r="M491" s="15">
        <v>3.4540500000000002E-2</v>
      </c>
      <c r="N491" s="15">
        <v>0.31326608895705521</v>
      </c>
    </row>
    <row r="492" spans="1:14" x14ac:dyDescent="0.2">
      <c r="A492" s="2" t="s">
        <v>10068</v>
      </c>
      <c r="B492" s="15">
        <v>341</v>
      </c>
      <c r="C492" s="15">
        <v>2</v>
      </c>
      <c r="D492" s="15">
        <v>153999310</v>
      </c>
      <c r="E492" s="15">
        <v>155207969</v>
      </c>
      <c r="F492" s="15">
        <v>3240</v>
      </c>
      <c r="G492" s="8" t="s">
        <v>12324</v>
      </c>
      <c r="H492" s="24" t="s">
        <v>599</v>
      </c>
      <c r="I492" s="25">
        <v>26562</v>
      </c>
      <c r="J492" s="8" t="s">
        <v>601</v>
      </c>
      <c r="K492" s="8" t="s">
        <v>10040</v>
      </c>
      <c r="L492" s="15">
        <v>0.71235199999999999</v>
      </c>
      <c r="M492" s="15">
        <v>3.4804300000000003E-2</v>
      </c>
      <c r="N492" s="15">
        <v>0.31501442959183679</v>
      </c>
    </row>
    <row r="493" spans="1:14" x14ac:dyDescent="0.2">
      <c r="A493" s="2" t="s">
        <v>10068</v>
      </c>
      <c r="B493" s="15">
        <v>587</v>
      </c>
      <c r="C493" s="15">
        <v>3</v>
      </c>
      <c r="D493" s="15">
        <v>190591294</v>
      </c>
      <c r="E493" s="15">
        <v>191229357</v>
      </c>
      <c r="F493" s="15">
        <v>2240</v>
      </c>
      <c r="G493" s="8" t="s">
        <v>12324</v>
      </c>
      <c r="H493" s="24" t="s">
        <v>1259</v>
      </c>
      <c r="I493" s="25">
        <v>27096</v>
      </c>
      <c r="J493" s="8" t="s">
        <v>1261</v>
      </c>
      <c r="K493" s="8" t="s">
        <v>10040</v>
      </c>
      <c r="L493" s="15">
        <v>-0.43107499999999999</v>
      </c>
      <c r="M493" s="15">
        <v>3.4936200000000001E-2</v>
      </c>
      <c r="N493" s="15">
        <v>0.31556425050916498</v>
      </c>
    </row>
    <row r="494" spans="1:14" x14ac:dyDescent="0.2">
      <c r="A494" s="2" t="s">
        <v>10066</v>
      </c>
      <c r="B494" s="15">
        <v>1328</v>
      </c>
      <c r="C494" s="15">
        <v>8</v>
      </c>
      <c r="D494" s="15">
        <v>98132520</v>
      </c>
      <c r="E494" s="15">
        <v>99388944</v>
      </c>
      <c r="F494" s="15">
        <v>3227</v>
      </c>
      <c r="G494" s="8" t="s">
        <v>12324</v>
      </c>
      <c r="H494" s="24" t="s">
        <v>3164</v>
      </c>
      <c r="I494" s="25" t="s">
        <v>3165</v>
      </c>
      <c r="J494" s="8" t="s">
        <v>3166</v>
      </c>
      <c r="K494" s="8" t="s">
        <v>10042</v>
      </c>
      <c r="L494" s="15">
        <v>-0.59225799999999995</v>
      </c>
      <c r="M494" s="15">
        <v>3.5084799999999999E-2</v>
      </c>
      <c r="N494" s="15">
        <v>0.31612123380566798</v>
      </c>
    </row>
    <row r="495" spans="1:14" x14ac:dyDescent="0.2">
      <c r="A495" s="2" t="s">
        <v>10066</v>
      </c>
      <c r="B495" s="15">
        <v>538</v>
      </c>
      <c r="C495" s="15">
        <v>3</v>
      </c>
      <c r="D495" s="15">
        <v>132925968</v>
      </c>
      <c r="E495" s="15">
        <v>133718493</v>
      </c>
      <c r="F495" s="15">
        <v>2169</v>
      </c>
      <c r="G495" s="8" t="s">
        <v>12324</v>
      </c>
      <c r="H495" s="24" t="s">
        <v>6008</v>
      </c>
      <c r="I495" s="25" t="s">
        <v>6009</v>
      </c>
      <c r="J495" s="8" t="s">
        <v>6010</v>
      </c>
      <c r="K495" s="8" t="s">
        <v>10051</v>
      </c>
      <c r="L495" s="15">
        <v>-0.46444600000000003</v>
      </c>
      <c r="M495" s="15">
        <v>3.5211699999999999E-2</v>
      </c>
      <c r="N495" s="15">
        <v>0.31612123380566798</v>
      </c>
    </row>
    <row r="496" spans="1:14" x14ac:dyDescent="0.2">
      <c r="A496" s="2" t="s">
        <v>10068</v>
      </c>
      <c r="B496" s="15">
        <v>943</v>
      </c>
      <c r="C496" s="15">
        <v>6</v>
      </c>
      <c r="D496" s="15">
        <v>19449153</v>
      </c>
      <c r="E496" s="15">
        <v>20418020</v>
      </c>
      <c r="F496" s="15">
        <v>2743</v>
      </c>
      <c r="G496" s="8" t="s">
        <v>12324</v>
      </c>
      <c r="H496" s="24" t="s">
        <v>6565</v>
      </c>
      <c r="I496" s="25" t="s">
        <v>6475</v>
      </c>
      <c r="J496" s="8" t="s">
        <v>6566</v>
      </c>
      <c r="K496" s="8" t="s">
        <v>10054</v>
      </c>
      <c r="L496" s="15">
        <v>0.42461900000000002</v>
      </c>
      <c r="M496" s="15">
        <v>3.5161100000000001E-2</v>
      </c>
      <c r="N496" s="15">
        <v>0.31612123380566798</v>
      </c>
    </row>
    <row r="497" spans="1:14" x14ac:dyDescent="0.2">
      <c r="A497" s="2" t="s">
        <v>10068</v>
      </c>
      <c r="B497" s="15">
        <v>1212</v>
      </c>
      <c r="C497" s="15">
        <v>7</v>
      </c>
      <c r="D497" s="15">
        <v>134943222</v>
      </c>
      <c r="E497" s="15">
        <v>136113467</v>
      </c>
      <c r="F497" s="15">
        <v>3291</v>
      </c>
      <c r="G497" s="8" t="s">
        <v>12324</v>
      </c>
      <c r="H497" s="24" t="s">
        <v>599</v>
      </c>
      <c r="I497" s="25">
        <v>26562</v>
      </c>
      <c r="J497" s="8" t="s">
        <v>601</v>
      </c>
      <c r="K497" s="8" t="s">
        <v>10040</v>
      </c>
      <c r="L497" s="15">
        <v>-0.31092999999999998</v>
      </c>
      <c r="M497" s="15">
        <v>3.5325200000000001E-2</v>
      </c>
      <c r="N497" s="15">
        <v>0.31649951919191921</v>
      </c>
    </row>
    <row r="498" spans="1:14" x14ac:dyDescent="0.2">
      <c r="A498" s="2" t="s">
        <v>10068</v>
      </c>
      <c r="B498" s="15">
        <v>11</v>
      </c>
      <c r="C498" s="15">
        <v>1</v>
      </c>
      <c r="D498" s="15">
        <v>8580988</v>
      </c>
      <c r="E498" s="15">
        <v>9475966</v>
      </c>
      <c r="F498" s="15">
        <v>2168</v>
      </c>
      <c r="G498" s="8" t="s">
        <v>12324</v>
      </c>
      <c r="H498" s="24" t="s">
        <v>1259</v>
      </c>
      <c r="I498" s="25">
        <v>27096</v>
      </c>
      <c r="J498" s="8" t="s">
        <v>1261</v>
      </c>
      <c r="K498" s="8" t="s">
        <v>10040</v>
      </c>
      <c r="L498" s="15">
        <v>0.37521300000000002</v>
      </c>
      <c r="M498" s="15">
        <v>3.5612400000000002E-2</v>
      </c>
      <c r="N498" s="15">
        <v>0.31842942338709679</v>
      </c>
    </row>
    <row r="499" spans="1:14" x14ac:dyDescent="0.2">
      <c r="A499" s="2" t="s">
        <v>10068</v>
      </c>
      <c r="B499" s="15">
        <v>2177</v>
      </c>
      <c r="C499" s="15">
        <v>17</v>
      </c>
      <c r="D499" s="15">
        <v>3430441</v>
      </c>
      <c r="E499" s="15">
        <v>4463971</v>
      </c>
      <c r="F499" s="15">
        <v>3173</v>
      </c>
      <c r="G499" s="8" t="s">
        <v>12324</v>
      </c>
      <c r="H499" s="24" t="s">
        <v>599</v>
      </c>
      <c r="I499" s="25">
        <v>26562</v>
      </c>
      <c r="J499" s="8" t="s">
        <v>601</v>
      </c>
      <c r="K499" s="8" t="s">
        <v>10040</v>
      </c>
      <c r="L499" s="15">
        <v>-0.320297</v>
      </c>
      <c r="M499" s="15">
        <v>3.5849199999999998E-2</v>
      </c>
      <c r="N499" s="15">
        <v>0.31925944176706822</v>
      </c>
    </row>
    <row r="500" spans="1:14" x14ac:dyDescent="0.2">
      <c r="A500" s="2" t="s">
        <v>10066</v>
      </c>
      <c r="B500" s="15">
        <v>1631</v>
      </c>
      <c r="C500" s="15">
        <v>11</v>
      </c>
      <c r="D500" s="15">
        <v>19780785</v>
      </c>
      <c r="E500" s="15">
        <v>20686336</v>
      </c>
      <c r="F500" s="15">
        <v>2796</v>
      </c>
      <c r="G500" s="8" t="s">
        <v>12324</v>
      </c>
      <c r="H500" s="24" t="s">
        <v>6008</v>
      </c>
      <c r="I500" s="25" t="s">
        <v>6009</v>
      </c>
      <c r="J500" s="8" t="s">
        <v>6010</v>
      </c>
      <c r="K500" s="8" t="s">
        <v>10051</v>
      </c>
      <c r="L500" s="15">
        <v>0.31932199999999999</v>
      </c>
      <c r="M500" s="15">
        <v>3.58488E-2</v>
      </c>
      <c r="N500" s="15">
        <v>0.31925944176706822</v>
      </c>
    </row>
    <row r="501" spans="1:14" x14ac:dyDescent="0.2">
      <c r="A501" s="2" t="s">
        <v>10068</v>
      </c>
      <c r="B501" s="15">
        <v>524</v>
      </c>
      <c r="C501" s="15">
        <v>3</v>
      </c>
      <c r="D501" s="15">
        <v>118903054</v>
      </c>
      <c r="E501" s="15">
        <v>119759983</v>
      </c>
      <c r="F501" s="15">
        <v>2153</v>
      </c>
      <c r="G501" s="8" t="s">
        <v>12324</v>
      </c>
      <c r="H501" s="24" t="s">
        <v>1259</v>
      </c>
      <c r="I501" s="25">
        <v>27096</v>
      </c>
      <c r="J501" s="8" t="s">
        <v>1261</v>
      </c>
      <c r="K501" s="8" t="s">
        <v>10040</v>
      </c>
      <c r="L501" s="15">
        <v>0.74900599999999995</v>
      </c>
      <c r="M501" s="15">
        <v>3.59371E-2</v>
      </c>
      <c r="N501" s="15">
        <v>0.319320887</v>
      </c>
    </row>
    <row r="502" spans="1:14" x14ac:dyDescent="0.2">
      <c r="A502" s="2" t="s">
        <v>10068</v>
      </c>
      <c r="B502" s="15">
        <v>1350</v>
      </c>
      <c r="C502" s="15">
        <v>8</v>
      </c>
      <c r="D502" s="15">
        <v>124001020</v>
      </c>
      <c r="E502" s="15">
        <v>125453322</v>
      </c>
      <c r="F502" s="15">
        <v>3556</v>
      </c>
      <c r="G502" s="8" t="s">
        <v>12324</v>
      </c>
      <c r="H502" s="24" t="s">
        <v>1259</v>
      </c>
      <c r="I502" s="25">
        <v>27096</v>
      </c>
      <c r="J502" s="8" t="s">
        <v>1261</v>
      </c>
      <c r="K502" s="8" t="s">
        <v>10040</v>
      </c>
      <c r="L502" s="15">
        <v>0.399864</v>
      </c>
      <c r="M502" s="15">
        <v>3.60001E-2</v>
      </c>
      <c r="N502" s="15">
        <v>0.319320887</v>
      </c>
    </row>
    <row r="503" spans="1:14" x14ac:dyDescent="0.2">
      <c r="A503" s="2" t="s">
        <v>10068</v>
      </c>
      <c r="B503" s="15">
        <v>354</v>
      </c>
      <c r="C503" s="15">
        <v>2</v>
      </c>
      <c r="D503" s="15">
        <v>170155562</v>
      </c>
      <c r="E503" s="15">
        <v>170865765</v>
      </c>
      <c r="F503" s="15">
        <v>2269</v>
      </c>
      <c r="G503" s="8" t="s">
        <v>12324</v>
      </c>
      <c r="H503" s="24" t="s">
        <v>1259</v>
      </c>
      <c r="I503" s="25">
        <v>27096</v>
      </c>
      <c r="J503" s="8" t="s">
        <v>1261</v>
      </c>
      <c r="K503" s="8" t="s">
        <v>10040</v>
      </c>
      <c r="L503" s="15">
        <v>-0.60711999999999999</v>
      </c>
      <c r="M503" s="15">
        <v>3.6210699999999998E-2</v>
      </c>
      <c r="N503" s="15">
        <v>0.32054781337325339</v>
      </c>
    </row>
    <row r="504" spans="1:14" x14ac:dyDescent="0.2">
      <c r="A504" s="2" t="s">
        <v>10066</v>
      </c>
      <c r="B504" s="15">
        <v>1682</v>
      </c>
      <c r="C504" s="15">
        <v>11</v>
      </c>
      <c r="D504" s="15">
        <v>75445254</v>
      </c>
      <c r="E504" s="15">
        <v>76518906</v>
      </c>
      <c r="F504" s="15">
        <v>2473</v>
      </c>
      <c r="G504" s="8" t="s">
        <v>12324</v>
      </c>
      <c r="H504" s="24" t="s">
        <v>3164</v>
      </c>
      <c r="I504" s="25" t="s">
        <v>3165</v>
      </c>
      <c r="J504" s="8" t="s">
        <v>3166</v>
      </c>
      <c r="K504" s="8" t="s">
        <v>10042</v>
      </c>
      <c r="L504" s="15">
        <v>0.36249700000000001</v>
      </c>
      <c r="M504" s="15">
        <v>3.63927E-2</v>
      </c>
      <c r="N504" s="15">
        <v>0.32087798111332011</v>
      </c>
    </row>
    <row r="505" spans="1:14" x14ac:dyDescent="0.2">
      <c r="A505" s="2" t="s">
        <v>10068</v>
      </c>
      <c r="B505" s="15">
        <v>1649</v>
      </c>
      <c r="C505" s="15">
        <v>11</v>
      </c>
      <c r="D505" s="15">
        <v>36331190</v>
      </c>
      <c r="E505" s="15">
        <v>37119024</v>
      </c>
      <c r="F505" s="15">
        <v>2242</v>
      </c>
      <c r="G505" s="8" t="s">
        <v>12324</v>
      </c>
      <c r="H505" s="24" t="s">
        <v>6565</v>
      </c>
      <c r="I505" s="25" t="s">
        <v>6475</v>
      </c>
      <c r="J505" s="8" t="s">
        <v>6566</v>
      </c>
      <c r="K505" s="8" t="s">
        <v>10054</v>
      </c>
      <c r="L505" s="15">
        <v>0.511683</v>
      </c>
      <c r="M505" s="15">
        <v>3.6374999999999998E-2</v>
      </c>
      <c r="N505" s="15">
        <v>0.32087798111332011</v>
      </c>
    </row>
    <row r="506" spans="1:14" x14ac:dyDescent="0.2">
      <c r="A506" s="2" t="s">
        <v>10068</v>
      </c>
      <c r="B506" s="15">
        <v>1944</v>
      </c>
      <c r="C506" s="15">
        <v>13</v>
      </c>
      <c r="D506" s="15">
        <v>106313848</v>
      </c>
      <c r="E506" s="15">
        <v>107037864</v>
      </c>
      <c r="F506" s="15">
        <v>2224</v>
      </c>
      <c r="G506" s="8" t="s">
        <v>12324</v>
      </c>
      <c r="H506" s="24" t="s">
        <v>494</v>
      </c>
      <c r="I506" s="25">
        <v>25920</v>
      </c>
      <c r="J506" s="8" t="s">
        <v>496</v>
      </c>
      <c r="K506" s="8" t="s">
        <v>10040</v>
      </c>
      <c r="L506" s="15">
        <v>-0.62340899999999999</v>
      </c>
      <c r="M506" s="15">
        <v>3.6711199999999999E-2</v>
      </c>
      <c r="N506" s="15">
        <v>0.32102649229287089</v>
      </c>
    </row>
    <row r="507" spans="1:14" x14ac:dyDescent="0.2">
      <c r="A507" s="2" t="s">
        <v>10068</v>
      </c>
      <c r="B507" s="15">
        <v>267</v>
      </c>
      <c r="C507" s="15">
        <v>2</v>
      </c>
      <c r="D507" s="15">
        <v>59251997</v>
      </c>
      <c r="E507" s="15">
        <v>60775066</v>
      </c>
      <c r="F507" s="15">
        <v>3682</v>
      </c>
      <c r="G507" s="8" t="s">
        <v>12324</v>
      </c>
      <c r="H507" s="24" t="s">
        <v>494</v>
      </c>
      <c r="I507" s="25">
        <v>25920</v>
      </c>
      <c r="J507" s="8" t="s">
        <v>496</v>
      </c>
      <c r="K507" s="8" t="s">
        <v>10040</v>
      </c>
      <c r="L507" s="15">
        <v>-0.45258700000000002</v>
      </c>
      <c r="M507" s="15">
        <v>3.6842199999999999E-2</v>
      </c>
      <c r="N507" s="15">
        <v>0.32102649229287089</v>
      </c>
    </row>
    <row r="508" spans="1:14" x14ac:dyDescent="0.2">
      <c r="A508" s="2" t="s">
        <v>10068</v>
      </c>
      <c r="B508" s="15">
        <v>122</v>
      </c>
      <c r="C508" s="15">
        <v>1</v>
      </c>
      <c r="D508" s="15">
        <v>164726580</v>
      </c>
      <c r="E508" s="15">
        <v>165553812</v>
      </c>
      <c r="F508" s="15">
        <v>2324</v>
      </c>
      <c r="G508" s="8" t="s">
        <v>12324</v>
      </c>
      <c r="H508" s="24" t="s">
        <v>494</v>
      </c>
      <c r="I508" s="25">
        <v>25920</v>
      </c>
      <c r="J508" s="8" t="s">
        <v>496</v>
      </c>
      <c r="K508" s="8" t="s">
        <v>10040</v>
      </c>
      <c r="L508" s="15">
        <v>-0.52438300000000004</v>
      </c>
      <c r="M508" s="15">
        <v>3.6920099999999997E-2</v>
      </c>
      <c r="N508" s="15">
        <v>0.32102649229287089</v>
      </c>
    </row>
    <row r="509" spans="1:14" x14ac:dyDescent="0.2">
      <c r="A509" s="2" t="s">
        <v>10068</v>
      </c>
      <c r="B509" s="15">
        <v>2322</v>
      </c>
      <c r="C509" s="15">
        <v>19</v>
      </c>
      <c r="D509" s="15">
        <v>14891101</v>
      </c>
      <c r="E509" s="15">
        <v>15650185</v>
      </c>
      <c r="F509" s="15">
        <v>2310</v>
      </c>
      <c r="G509" s="8" t="s">
        <v>12324</v>
      </c>
      <c r="H509" s="24" t="s">
        <v>494</v>
      </c>
      <c r="I509" s="25">
        <v>25920</v>
      </c>
      <c r="J509" s="8" t="s">
        <v>496</v>
      </c>
      <c r="K509" s="8" t="s">
        <v>10040</v>
      </c>
      <c r="L509" s="15">
        <v>0.36689899999999998</v>
      </c>
      <c r="M509" s="15">
        <v>3.6990299999999997E-2</v>
      </c>
      <c r="N509" s="15">
        <v>0.32102649229287089</v>
      </c>
    </row>
    <row r="510" spans="1:14" x14ac:dyDescent="0.2">
      <c r="A510" s="2" t="s">
        <v>10068</v>
      </c>
      <c r="B510" s="15">
        <v>2181</v>
      </c>
      <c r="C510" s="15">
        <v>17</v>
      </c>
      <c r="D510" s="15">
        <v>7264459</v>
      </c>
      <c r="E510" s="15">
        <v>8554763</v>
      </c>
      <c r="F510" s="15">
        <v>3096</v>
      </c>
      <c r="G510" s="8" t="s">
        <v>12324</v>
      </c>
      <c r="H510" s="24" t="s">
        <v>494</v>
      </c>
      <c r="I510" s="25">
        <v>25920</v>
      </c>
      <c r="J510" s="8" t="s">
        <v>496</v>
      </c>
      <c r="K510" s="8" t="s">
        <v>10040</v>
      </c>
      <c r="L510" s="15">
        <v>-0.466059</v>
      </c>
      <c r="M510" s="15">
        <v>3.7246799999999997E-2</v>
      </c>
      <c r="N510" s="15">
        <v>0.32102649229287089</v>
      </c>
    </row>
    <row r="511" spans="1:14" x14ac:dyDescent="0.2">
      <c r="A511" s="2" t="s">
        <v>10068</v>
      </c>
      <c r="B511" s="15">
        <v>928</v>
      </c>
      <c r="C511" s="15">
        <v>6</v>
      </c>
      <c r="D511" s="15">
        <v>2746532</v>
      </c>
      <c r="E511" s="15">
        <v>3964072</v>
      </c>
      <c r="F511" s="15">
        <v>3926</v>
      </c>
      <c r="G511" s="8" t="s">
        <v>12324</v>
      </c>
      <c r="H511" s="24" t="s">
        <v>494</v>
      </c>
      <c r="I511" s="25">
        <v>25920</v>
      </c>
      <c r="J511" s="8" t="s">
        <v>496</v>
      </c>
      <c r="K511" s="8" t="s">
        <v>10040</v>
      </c>
      <c r="L511" s="15">
        <v>-0.29518499999999998</v>
      </c>
      <c r="M511" s="15">
        <v>3.75138E-2</v>
      </c>
      <c r="N511" s="15">
        <v>0.32102649229287089</v>
      </c>
    </row>
    <row r="512" spans="1:14" x14ac:dyDescent="0.2">
      <c r="A512" s="2" t="s">
        <v>10068</v>
      </c>
      <c r="B512" s="15">
        <v>133</v>
      </c>
      <c r="C512" s="15">
        <v>1</v>
      </c>
      <c r="D512" s="15">
        <v>176449097</v>
      </c>
      <c r="E512" s="15">
        <v>177746472</v>
      </c>
      <c r="F512" s="15">
        <v>2589</v>
      </c>
      <c r="G512" s="8" t="s">
        <v>12324</v>
      </c>
      <c r="H512" s="24" t="s">
        <v>599</v>
      </c>
      <c r="I512" s="25">
        <v>26562</v>
      </c>
      <c r="J512" s="8" t="s">
        <v>601</v>
      </c>
      <c r="K512" s="8" t="s">
        <v>10040</v>
      </c>
      <c r="L512" s="15">
        <v>0.67059199999999997</v>
      </c>
      <c r="M512" s="15">
        <v>3.7537500000000001E-2</v>
      </c>
      <c r="N512" s="15">
        <v>0.32102649229287089</v>
      </c>
    </row>
    <row r="513" spans="1:14" x14ac:dyDescent="0.2">
      <c r="A513" s="2" t="s">
        <v>10068</v>
      </c>
      <c r="B513" s="15">
        <v>1195</v>
      </c>
      <c r="C513" s="15">
        <v>7</v>
      </c>
      <c r="D513" s="15">
        <v>110479480</v>
      </c>
      <c r="E513" s="15">
        <v>111795299</v>
      </c>
      <c r="F513" s="15">
        <v>2291</v>
      </c>
      <c r="G513" s="8" t="s">
        <v>12324</v>
      </c>
      <c r="H513" s="24" t="s">
        <v>599</v>
      </c>
      <c r="I513" s="25">
        <v>26562</v>
      </c>
      <c r="J513" s="8" t="s">
        <v>601</v>
      </c>
      <c r="K513" s="8" t="s">
        <v>10040</v>
      </c>
      <c r="L513" s="15">
        <v>-0.75295900000000004</v>
      </c>
      <c r="M513" s="15">
        <v>3.7540700000000003E-2</v>
      </c>
      <c r="N513" s="15">
        <v>0.32102649229287089</v>
      </c>
    </row>
    <row r="514" spans="1:14" x14ac:dyDescent="0.2">
      <c r="A514" s="2" t="s">
        <v>10069</v>
      </c>
      <c r="B514" s="15">
        <v>2132</v>
      </c>
      <c r="C514" s="15">
        <v>16</v>
      </c>
      <c r="D514" s="15">
        <v>49010762</v>
      </c>
      <c r="E514" s="15">
        <v>50467033</v>
      </c>
      <c r="F514" s="15">
        <v>2335</v>
      </c>
      <c r="G514" s="8" t="s">
        <v>12324</v>
      </c>
      <c r="H514" s="24" t="s">
        <v>662</v>
      </c>
      <c r="I514" s="25" t="s">
        <v>663</v>
      </c>
      <c r="J514" s="8" t="s">
        <v>664</v>
      </c>
      <c r="K514" s="8" t="s">
        <v>10040</v>
      </c>
      <c r="L514" s="15">
        <v>-0.43038199999999999</v>
      </c>
      <c r="M514" s="15">
        <v>3.6888499999999998E-2</v>
      </c>
      <c r="N514" s="15">
        <v>0.32102649229287089</v>
      </c>
    </row>
    <row r="515" spans="1:14" x14ac:dyDescent="0.2">
      <c r="A515" s="2" t="s">
        <v>10066</v>
      </c>
      <c r="B515" s="15">
        <v>117</v>
      </c>
      <c r="C515" s="15">
        <v>1</v>
      </c>
      <c r="D515" s="15">
        <v>159882516</v>
      </c>
      <c r="E515" s="15">
        <v>161054076</v>
      </c>
      <c r="F515" s="15">
        <v>2923</v>
      </c>
      <c r="G515" s="8" t="s">
        <v>12324</v>
      </c>
      <c r="H515" s="24" t="s">
        <v>3164</v>
      </c>
      <c r="I515" s="25" t="s">
        <v>3165</v>
      </c>
      <c r="J515" s="8" t="s">
        <v>3166</v>
      </c>
      <c r="K515" s="8" t="s">
        <v>10042</v>
      </c>
      <c r="L515" s="15">
        <v>-0.53537299999999999</v>
      </c>
      <c r="M515" s="15">
        <v>3.6919800000000003E-2</v>
      </c>
      <c r="N515" s="15">
        <v>0.32102649229287089</v>
      </c>
    </row>
    <row r="516" spans="1:14" x14ac:dyDescent="0.2">
      <c r="A516" s="2" t="s">
        <v>10066</v>
      </c>
      <c r="B516" s="15">
        <v>120</v>
      </c>
      <c r="C516" s="15">
        <v>1</v>
      </c>
      <c r="D516" s="15">
        <v>163141863</v>
      </c>
      <c r="E516" s="15">
        <v>163854567</v>
      </c>
      <c r="F516" s="15">
        <v>2157</v>
      </c>
      <c r="G516" s="8" t="s">
        <v>12324</v>
      </c>
      <c r="H516" s="24" t="s">
        <v>3164</v>
      </c>
      <c r="I516" s="25" t="s">
        <v>3165</v>
      </c>
      <c r="J516" s="8" t="s">
        <v>3166</v>
      </c>
      <c r="K516" s="8" t="s">
        <v>10042</v>
      </c>
      <c r="L516" s="15">
        <v>0.293935</v>
      </c>
      <c r="M516" s="15">
        <v>3.7223600000000003E-2</v>
      </c>
      <c r="N516" s="15">
        <v>0.32102649229287089</v>
      </c>
    </row>
    <row r="517" spans="1:14" x14ac:dyDescent="0.2">
      <c r="A517" s="2" t="s">
        <v>10066</v>
      </c>
      <c r="B517" s="15">
        <v>736</v>
      </c>
      <c r="C517" s="15">
        <v>4</v>
      </c>
      <c r="D517" s="15">
        <v>152162099</v>
      </c>
      <c r="E517" s="15">
        <v>153520883</v>
      </c>
      <c r="F517" s="15">
        <v>3119</v>
      </c>
      <c r="G517" s="8" t="s">
        <v>12324</v>
      </c>
      <c r="H517" s="24" t="s">
        <v>3164</v>
      </c>
      <c r="I517" s="25" t="s">
        <v>3165</v>
      </c>
      <c r="J517" s="8" t="s">
        <v>3166</v>
      </c>
      <c r="K517" s="8" t="s">
        <v>10042</v>
      </c>
      <c r="L517" s="15">
        <v>0.58017300000000005</v>
      </c>
      <c r="M517" s="15">
        <v>3.7532000000000003E-2</v>
      </c>
      <c r="N517" s="15">
        <v>0.32102649229287089</v>
      </c>
    </row>
    <row r="518" spans="1:14" x14ac:dyDescent="0.2">
      <c r="A518" s="2" t="s">
        <v>10066</v>
      </c>
      <c r="B518" s="15">
        <v>2449</v>
      </c>
      <c r="C518" s="15">
        <v>21</v>
      </c>
      <c r="D518" s="15">
        <v>34383795</v>
      </c>
      <c r="E518" s="15">
        <v>35729261</v>
      </c>
      <c r="F518" s="15">
        <v>3020</v>
      </c>
      <c r="G518" s="8" t="s">
        <v>12324</v>
      </c>
      <c r="H518" s="24" t="s">
        <v>6008</v>
      </c>
      <c r="I518" s="25" t="s">
        <v>6009</v>
      </c>
      <c r="J518" s="8" t="s">
        <v>6010</v>
      </c>
      <c r="K518" s="8" t="s">
        <v>10051</v>
      </c>
      <c r="L518" s="15">
        <v>-0.58486800000000005</v>
      </c>
      <c r="M518" s="15">
        <v>3.7445300000000001E-2</v>
      </c>
      <c r="N518" s="15">
        <v>0.32102649229287089</v>
      </c>
    </row>
    <row r="519" spans="1:14" x14ac:dyDescent="0.2">
      <c r="A519" s="2" t="s">
        <v>10068</v>
      </c>
      <c r="B519" s="15">
        <v>9</v>
      </c>
      <c r="C519" s="15">
        <v>1</v>
      </c>
      <c r="D519" s="15">
        <v>6136815</v>
      </c>
      <c r="E519" s="15">
        <v>7711794</v>
      </c>
      <c r="F519" s="15">
        <v>4051</v>
      </c>
      <c r="G519" s="8" t="s">
        <v>12324</v>
      </c>
      <c r="H519" s="24" t="s">
        <v>6565</v>
      </c>
      <c r="I519" s="25" t="s">
        <v>6475</v>
      </c>
      <c r="J519" s="8" t="s">
        <v>6566</v>
      </c>
      <c r="K519" s="8" t="s">
        <v>10054</v>
      </c>
      <c r="L519" s="15">
        <v>0.36786000000000002</v>
      </c>
      <c r="M519" s="15">
        <v>3.7022600000000003E-2</v>
      </c>
      <c r="N519" s="15">
        <v>0.32102649229287089</v>
      </c>
    </row>
    <row r="520" spans="1:14" x14ac:dyDescent="0.2">
      <c r="A520" s="2" t="s">
        <v>10068</v>
      </c>
      <c r="B520" s="15">
        <v>1682</v>
      </c>
      <c r="C520" s="15">
        <v>11</v>
      </c>
      <c r="D520" s="15">
        <v>75445254</v>
      </c>
      <c r="E520" s="15">
        <v>76518906</v>
      </c>
      <c r="F520" s="15">
        <v>2470</v>
      </c>
      <c r="G520" s="8" t="s">
        <v>12324</v>
      </c>
      <c r="H520" s="24" t="s">
        <v>6565</v>
      </c>
      <c r="I520" s="25" t="s">
        <v>6475</v>
      </c>
      <c r="J520" s="8" t="s">
        <v>6566</v>
      </c>
      <c r="K520" s="8" t="s">
        <v>10054</v>
      </c>
      <c r="L520" s="15">
        <v>-0.40210499999999999</v>
      </c>
      <c r="M520" s="15">
        <v>3.7335100000000003E-2</v>
      </c>
      <c r="N520" s="15">
        <v>0.32102649229287089</v>
      </c>
    </row>
    <row r="521" spans="1:14" x14ac:dyDescent="0.2">
      <c r="A521" s="2" t="s">
        <v>10068</v>
      </c>
      <c r="B521" s="15">
        <v>1738</v>
      </c>
      <c r="C521" s="15">
        <v>11</v>
      </c>
      <c r="D521" s="15">
        <v>133521643</v>
      </c>
      <c r="E521" s="15">
        <v>134351064</v>
      </c>
      <c r="F521" s="15">
        <v>2238</v>
      </c>
      <c r="G521" s="8" t="s">
        <v>12324</v>
      </c>
      <c r="H521" s="24" t="s">
        <v>6565</v>
      </c>
      <c r="I521" s="25" t="s">
        <v>6475</v>
      </c>
      <c r="J521" s="8" t="s">
        <v>6566</v>
      </c>
      <c r="K521" s="8" t="s">
        <v>10054</v>
      </c>
      <c r="L521" s="15">
        <v>0.35192499999999999</v>
      </c>
      <c r="M521" s="15">
        <v>3.7567700000000002E-2</v>
      </c>
      <c r="N521" s="15">
        <v>0.32102649229287089</v>
      </c>
    </row>
    <row r="522" spans="1:14" x14ac:dyDescent="0.2">
      <c r="A522" s="2" t="s">
        <v>10068</v>
      </c>
      <c r="B522" s="15">
        <v>2168</v>
      </c>
      <c r="C522" s="15">
        <v>16</v>
      </c>
      <c r="D522" s="15">
        <v>86058598</v>
      </c>
      <c r="E522" s="15">
        <v>86748867</v>
      </c>
      <c r="F522" s="15">
        <v>3165</v>
      </c>
      <c r="G522" s="8" t="s">
        <v>12324</v>
      </c>
      <c r="H522" s="24" t="s">
        <v>6565</v>
      </c>
      <c r="I522" s="25" t="s">
        <v>6475</v>
      </c>
      <c r="J522" s="8" t="s">
        <v>6566</v>
      </c>
      <c r="K522" s="8" t="s">
        <v>10054</v>
      </c>
      <c r="L522" s="15">
        <v>0.51612599999999997</v>
      </c>
      <c r="M522" s="15">
        <v>3.7680400000000003E-2</v>
      </c>
      <c r="N522" s="15">
        <v>0.32137033461538461</v>
      </c>
    </row>
    <row r="523" spans="1:14" x14ac:dyDescent="0.2">
      <c r="A523" s="2" t="s">
        <v>10068</v>
      </c>
      <c r="B523" s="15">
        <v>1277</v>
      </c>
      <c r="C523" s="15">
        <v>8</v>
      </c>
      <c r="D523" s="15">
        <v>32454963</v>
      </c>
      <c r="E523" s="15">
        <v>33982537</v>
      </c>
      <c r="F523" s="15">
        <v>3125</v>
      </c>
      <c r="G523" s="8" t="s">
        <v>12324</v>
      </c>
      <c r="H523" s="24" t="s">
        <v>494</v>
      </c>
      <c r="I523" s="25">
        <v>25920</v>
      </c>
      <c r="J523" s="8" t="s">
        <v>496</v>
      </c>
      <c r="K523" s="8" t="s">
        <v>10040</v>
      </c>
      <c r="L523" s="15">
        <v>0.506637</v>
      </c>
      <c r="M523" s="15">
        <v>3.7851299999999997E-2</v>
      </c>
      <c r="N523" s="15">
        <v>0.32220828310940502</v>
      </c>
    </row>
    <row r="524" spans="1:14" x14ac:dyDescent="0.2">
      <c r="A524" s="2" t="s">
        <v>10068</v>
      </c>
      <c r="B524" s="15">
        <v>2448</v>
      </c>
      <c r="C524" s="15">
        <v>21</v>
      </c>
      <c r="D524" s="15">
        <v>33270273</v>
      </c>
      <c r="E524" s="15">
        <v>34383794</v>
      </c>
      <c r="F524" s="15">
        <v>2789</v>
      </c>
      <c r="G524" s="8" t="s">
        <v>12324</v>
      </c>
      <c r="H524" s="24" t="s">
        <v>494</v>
      </c>
      <c r="I524" s="25">
        <v>25920</v>
      </c>
      <c r="J524" s="8" t="s">
        <v>496</v>
      </c>
      <c r="K524" s="8" t="s">
        <v>10040</v>
      </c>
      <c r="L524" s="15">
        <v>-0.37817699999999999</v>
      </c>
      <c r="M524" s="15">
        <v>3.8219900000000001E-2</v>
      </c>
      <c r="N524" s="15">
        <v>0.32225333935361222</v>
      </c>
    </row>
    <row r="525" spans="1:14" x14ac:dyDescent="0.2">
      <c r="A525" s="2" t="s">
        <v>10066</v>
      </c>
      <c r="B525" s="15">
        <v>1398</v>
      </c>
      <c r="C525" s="15">
        <v>9</v>
      </c>
      <c r="D525" s="15">
        <v>21674033</v>
      </c>
      <c r="E525" s="15">
        <v>23091193</v>
      </c>
      <c r="F525" s="15">
        <v>3599</v>
      </c>
      <c r="G525" s="8" t="s">
        <v>12324</v>
      </c>
      <c r="H525" s="24" t="s">
        <v>3164</v>
      </c>
      <c r="I525" s="25" t="s">
        <v>3165</v>
      </c>
      <c r="J525" s="8" t="s">
        <v>3166</v>
      </c>
      <c r="K525" s="8" t="s">
        <v>10042</v>
      </c>
      <c r="L525" s="15">
        <v>-0.40447300000000003</v>
      </c>
      <c r="M525" s="15">
        <v>3.8186699999999997E-2</v>
      </c>
      <c r="N525" s="15">
        <v>0.32225333935361222</v>
      </c>
    </row>
    <row r="526" spans="1:14" x14ac:dyDescent="0.2">
      <c r="A526" s="2" t="s">
        <v>10066</v>
      </c>
      <c r="B526" s="15">
        <v>184</v>
      </c>
      <c r="C526" s="15">
        <v>1</v>
      </c>
      <c r="D526" s="15">
        <v>234365797</v>
      </c>
      <c r="E526" s="15">
        <v>235097113</v>
      </c>
      <c r="F526" s="15">
        <v>2254</v>
      </c>
      <c r="G526" s="8" t="s">
        <v>12324</v>
      </c>
      <c r="H526" s="24" t="s">
        <v>6008</v>
      </c>
      <c r="I526" s="25" t="s">
        <v>6009</v>
      </c>
      <c r="J526" s="8" t="s">
        <v>6010</v>
      </c>
      <c r="K526" s="8" t="s">
        <v>10051</v>
      </c>
      <c r="L526" s="15">
        <v>0.52010100000000004</v>
      </c>
      <c r="M526" s="15">
        <v>3.8027499999999999E-2</v>
      </c>
      <c r="N526" s="15">
        <v>0.32225333935361222</v>
      </c>
    </row>
    <row r="527" spans="1:14" x14ac:dyDescent="0.2">
      <c r="A527" s="2" t="s">
        <v>10066</v>
      </c>
      <c r="B527" s="15">
        <v>435</v>
      </c>
      <c r="C527" s="15">
        <v>3</v>
      </c>
      <c r="D527" s="15">
        <v>12859210</v>
      </c>
      <c r="E527" s="15">
        <v>14312007</v>
      </c>
      <c r="F527" s="15">
        <v>4187</v>
      </c>
      <c r="G527" s="8" t="s">
        <v>12324</v>
      </c>
      <c r="H527" s="24" t="s">
        <v>6008</v>
      </c>
      <c r="I527" s="25" t="s">
        <v>6009</v>
      </c>
      <c r="J527" s="8" t="s">
        <v>6010</v>
      </c>
      <c r="K527" s="8" t="s">
        <v>10051</v>
      </c>
      <c r="L527" s="15">
        <v>-0.46476400000000001</v>
      </c>
      <c r="M527" s="15">
        <v>3.8084800000000002E-2</v>
      </c>
      <c r="N527" s="15">
        <v>0.32225333935361222</v>
      </c>
    </row>
    <row r="528" spans="1:14" x14ac:dyDescent="0.2">
      <c r="A528" s="2" t="s">
        <v>10068</v>
      </c>
      <c r="B528" s="15">
        <v>624</v>
      </c>
      <c r="C528" s="15">
        <v>4</v>
      </c>
      <c r="D528" s="15">
        <v>25832019</v>
      </c>
      <c r="E528" s="15">
        <v>27385580</v>
      </c>
      <c r="F528" s="15">
        <v>3346</v>
      </c>
      <c r="G528" s="8" t="s">
        <v>12324</v>
      </c>
      <c r="H528" s="24" t="s">
        <v>6565</v>
      </c>
      <c r="I528" s="25" t="s">
        <v>6475</v>
      </c>
      <c r="J528" s="8" t="s">
        <v>6566</v>
      </c>
      <c r="K528" s="8" t="s">
        <v>10054</v>
      </c>
      <c r="L528" s="15">
        <v>0.519154</v>
      </c>
      <c r="M528" s="15">
        <v>3.8091300000000002E-2</v>
      </c>
      <c r="N528" s="15">
        <v>0.32225333935361222</v>
      </c>
    </row>
    <row r="529" spans="1:14" x14ac:dyDescent="0.2">
      <c r="A529" s="2" t="s">
        <v>10068</v>
      </c>
      <c r="B529" s="15">
        <v>2163</v>
      </c>
      <c r="C529" s="15">
        <v>16</v>
      </c>
      <c r="D529" s="15">
        <v>82310205</v>
      </c>
      <c r="E529" s="15">
        <v>83077869</v>
      </c>
      <c r="F529" s="15">
        <v>3287</v>
      </c>
      <c r="G529" s="8" t="s">
        <v>12324</v>
      </c>
      <c r="H529" s="24" t="s">
        <v>6565</v>
      </c>
      <c r="I529" s="25" t="s">
        <v>6475</v>
      </c>
      <c r="J529" s="8" t="s">
        <v>6566</v>
      </c>
      <c r="K529" s="8" t="s">
        <v>10054</v>
      </c>
      <c r="L529" s="15">
        <v>0.40063300000000002</v>
      </c>
      <c r="M529" s="15">
        <v>3.8319800000000001E-2</v>
      </c>
      <c r="N529" s="15">
        <v>0.32248256736242892</v>
      </c>
    </row>
    <row r="530" spans="1:14" x14ac:dyDescent="0.2">
      <c r="A530" s="2" t="s">
        <v>10068</v>
      </c>
      <c r="B530" s="15">
        <v>250</v>
      </c>
      <c r="C530" s="15">
        <v>2</v>
      </c>
      <c r="D530" s="15">
        <v>45189469</v>
      </c>
      <c r="E530" s="15">
        <v>45850047</v>
      </c>
      <c r="F530" s="15">
        <v>2112</v>
      </c>
      <c r="G530" s="8" t="s">
        <v>12324</v>
      </c>
      <c r="H530" s="24" t="s">
        <v>1259</v>
      </c>
      <c r="I530" s="25">
        <v>27096</v>
      </c>
      <c r="J530" s="8" t="s">
        <v>1261</v>
      </c>
      <c r="K530" s="8" t="s">
        <v>10040</v>
      </c>
      <c r="L530" s="15">
        <v>-0.54621200000000003</v>
      </c>
      <c r="M530" s="15">
        <v>3.8455799999999998E-2</v>
      </c>
      <c r="N530" s="15">
        <v>0.32266921845574392</v>
      </c>
    </row>
    <row r="531" spans="1:14" x14ac:dyDescent="0.2">
      <c r="A531" s="2" t="s">
        <v>10068</v>
      </c>
      <c r="B531" s="15">
        <v>1784</v>
      </c>
      <c r="C531" s="15">
        <v>12</v>
      </c>
      <c r="D531" s="15">
        <v>44923826</v>
      </c>
      <c r="E531" s="15">
        <v>46037744</v>
      </c>
      <c r="F531" s="15">
        <v>2561</v>
      </c>
      <c r="G531" s="8" t="s">
        <v>12324</v>
      </c>
      <c r="H531" s="24" t="s">
        <v>1259</v>
      </c>
      <c r="I531" s="25">
        <v>27096</v>
      </c>
      <c r="J531" s="8" t="s">
        <v>1261</v>
      </c>
      <c r="K531" s="8" t="s">
        <v>10040</v>
      </c>
      <c r="L531" s="15">
        <v>0.33466699999999999</v>
      </c>
      <c r="M531" s="15">
        <v>3.86021E-2</v>
      </c>
      <c r="N531" s="15">
        <v>0.32266921845574392</v>
      </c>
    </row>
    <row r="532" spans="1:14" x14ac:dyDescent="0.2">
      <c r="A532" s="2" t="s">
        <v>10066</v>
      </c>
      <c r="B532" s="15">
        <v>1101</v>
      </c>
      <c r="C532" s="15">
        <v>7</v>
      </c>
      <c r="D532" s="15">
        <v>6020654</v>
      </c>
      <c r="E532" s="15">
        <v>6716905</v>
      </c>
      <c r="F532" s="15">
        <v>2184</v>
      </c>
      <c r="G532" s="8" t="s">
        <v>12324</v>
      </c>
      <c r="H532" s="24" t="s">
        <v>3164</v>
      </c>
      <c r="I532" s="25" t="s">
        <v>3165</v>
      </c>
      <c r="J532" s="8" t="s">
        <v>3166</v>
      </c>
      <c r="K532" s="8" t="s">
        <v>10042</v>
      </c>
      <c r="L532" s="15">
        <v>-0.45184200000000002</v>
      </c>
      <c r="M532" s="15">
        <v>3.8629999999999998E-2</v>
      </c>
      <c r="N532" s="15">
        <v>0.32266921845574392</v>
      </c>
    </row>
    <row r="533" spans="1:14" x14ac:dyDescent="0.2">
      <c r="A533" s="2" t="s">
        <v>10068</v>
      </c>
      <c r="B533" s="15">
        <v>110</v>
      </c>
      <c r="C533" s="15">
        <v>1</v>
      </c>
      <c r="D533" s="15">
        <v>151146408</v>
      </c>
      <c r="E533" s="15">
        <v>152535630</v>
      </c>
      <c r="F533" s="15">
        <v>2477</v>
      </c>
      <c r="G533" s="8" t="s">
        <v>12324</v>
      </c>
      <c r="H533" s="24" t="s">
        <v>6565</v>
      </c>
      <c r="I533" s="25" t="s">
        <v>6475</v>
      </c>
      <c r="J533" s="8" t="s">
        <v>6566</v>
      </c>
      <c r="K533" s="8" t="s">
        <v>10054</v>
      </c>
      <c r="L533" s="15">
        <v>-0.87509400000000004</v>
      </c>
      <c r="M533" s="15">
        <v>3.8633000000000001E-2</v>
      </c>
      <c r="N533" s="15">
        <v>0.32266921845574392</v>
      </c>
    </row>
    <row r="534" spans="1:14" x14ac:dyDescent="0.2">
      <c r="A534" s="2" t="s">
        <v>10068</v>
      </c>
      <c r="B534" s="15">
        <v>79</v>
      </c>
      <c r="C534" s="15">
        <v>1</v>
      </c>
      <c r="D534" s="15">
        <v>90941550</v>
      </c>
      <c r="E534" s="15">
        <v>91870059</v>
      </c>
      <c r="F534" s="15">
        <v>2263</v>
      </c>
      <c r="G534" s="8" t="s">
        <v>12324</v>
      </c>
      <c r="H534" s="24" t="s">
        <v>6565</v>
      </c>
      <c r="I534" s="25" t="s">
        <v>6475</v>
      </c>
      <c r="J534" s="8" t="s">
        <v>6566</v>
      </c>
      <c r="K534" s="8" t="s">
        <v>10054</v>
      </c>
      <c r="L534" s="15">
        <v>-0.83336500000000002</v>
      </c>
      <c r="M534" s="15">
        <v>3.8706200000000003E-2</v>
      </c>
      <c r="N534" s="15">
        <v>0.32267292669172931</v>
      </c>
    </row>
    <row r="535" spans="1:14" x14ac:dyDescent="0.2">
      <c r="A535" s="2" t="s">
        <v>10068</v>
      </c>
      <c r="B535" s="15">
        <v>895</v>
      </c>
      <c r="C535" s="15">
        <v>5</v>
      </c>
      <c r="D535" s="15">
        <v>143605909</v>
      </c>
      <c r="E535" s="15">
        <v>145319096</v>
      </c>
      <c r="F535" s="15">
        <v>3911</v>
      </c>
      <c r="G535" s="8" t="s">
        <v>12324</v>
      </c>
      <c r="H535" s="24" t="s">
        <v>1259</v>
      </c>
      <c r="I535" s="25">
        <v>27096</v>
      </c>
      <c r="J535" s="8" t="s">
        <v>1261</v>
      </c>
      <c r="K535" s="8" t="s">
        <v>10040</v>
      </c>
      <c r="L535" s="15">
        <v>0.45662700000000001</v>
      </c>
      <c r="M535" s="15">
        <v>3.8958899999999998E-2</v>
      </c>
      <c r="N535" s="15">
        <v>0.32417020919324568</v>
      </c>
    </row>
    <row r="536" spans="1:14" x14ac:dyDescent="0.2">
      <c r="A536" s="2" t="s">
        <v>10068</v>
      </c>
      <c r="B536" s="15">
        <v>1480</v>
      </c>
      <c r="C536" s="15">
        <v>9</v>
      </c>
      <c r="D536" s="15">
        <v>136770927</v>
      </c>
      <c r="E536" s="15">
        <v>137593527</v>
      </c>
      <c r="F536" s="15">
        <v>2772</v>
      </c>
      <c r="G536" s="8" t="s">
        <v>12324</v>
      </c>
      <c r="H536" s="24" t="s">
        <v>599</v>
      </c>
      <c r="I536" s="25">
        <v>26562</v>
      </c>
      <c r="J536" s="8" t="s">
        <v>601</v>
      </c>
      <c r="K536" s="8" t="s">
        <v>10040</v>
      </c>
      <c r="L536" s="15">
        <v>-0.19334599999999999</v>
      </c>
      <c r="M536" s="15">
        <v>3.9080700000000003E-2</v>
      </c>
      <c r="N536" s="15">
        <v>0.32457472752808991</v>
      </c>
    </row>
    <row r="537" spans="1:14" x14ac:dyDescent="0.2">
      <c r="A537" s="2" t="s">
        <v>10068</v>
      </c>
      <c r="B537" s="15">
        <v>803</v>
      </c>
      <c r="C537" s="15">
        <v>5</v>
      </c>
      <c r="D537" s="15">
        <v>30416067</v>
      </c>
      <c r="E537" s="15">
        <v>31679464</v>
      </c>
      <c r="F537" s="15">
        <v>3532</v>
      </c>
      <c r="G537" s="8" t="s">
        <v>12324</v>
      </c>
      <c r="H537" s="24" t="s">
        <v>494</v>
      </c>
      <c r="I537" s="25">
        <v>25920</v>
      </c>
      <c r="J537" s="8" t="s">
        <v>496</v>
      </c>
      <c r="K537" s="8" t="s">
        <v>10040</v>
      </c>
      <c r="L537" s="15">
        <v>0.46998099999999998</v>
      </c>
      <c r="M537" s="15">
        <v>3.9355000000000001E-2</v>
      </c>
      <c r="N537" s="15">
        <v>0.32624191588785051</v>
      </c>
    </row>
    <row r="538" spans="1:14" x14ac:dyDescent="0.2">
      <c r="A538" s="2" t="s">
        <v>10068</v>
      </c>
      <c r="B538" s="15">
        <v>2241</v>
      </c>
      <c r="C538" s="15">
        <v>18</v>
      </c>
      <c r="D538" s="15">
        <v>2839843</v>
      </c>
      <c r="E538" s="15">
        <v>3722828</v>
      </c>
      <c r="F538" s="15">
        <v>2853</v>
      </c>
      <c r="G538" s="8" t="s">
        <v>12324</v>
      </c>
      <c r="H538" s="24" t="s">
        <v>494</v>
      </c>
      <c r="I538" s="25">
        <v>25920</v>
      </c>
      <c r="J538" s="8" t="s">
        <v>496</v>
      </c>
      <c r="K538" s="8" t="s">
        <v>10040</v>
      </c>
      <c r="L538" s="15">
        <v>-0.39152700000000001</v>
      </c>
      <c r="M538" s="15">
        <v>3.9482000000000003E-2</v>
      </c>
      <c r="N538" s="15">
        <v>0.32668408582089559</v>
      </c>
    </row>
    <row r="539" spans="1:14" x14ac:dyDescent="0.2">
      <c r="A539" s="2" t="s">
        <v>10068</v>
      </c>
      <c r="B539" s="15">
        <v>1676</v>
      </c>
      <c r="C539" s="15">
        <v>11</v>
      </c>
      <c r="D539" s="15">
        <v>68000950</v>
      </c>
      <c r="E539" s="15">
        <v>68887344</v>
      </c>
      <c r="F539" s="15">
        <v>2113</v>
      </c>
      <c r="G539" s="8" t="s">
        <v>12324</v>
      </c>
      <c r="H539" s="24" t="s">
        <v>6565</v>
      </c>
      <c r="I539" s="25" t="s">
        <v>6475</v>
      </c>
      <c r="J539" s="8" t="s">
        <v>6566</v>
      </c>
      <c r="K539" s="8" t="s">
        <v>10054</v>
      </c>
      <c r="L539" s="15">
        <v>-0.63217599999999996</v>
      </c>
      <c r="M539" s="15">
        <v>3.9775499999999998E-2</v>
      </c>
      <c r="N539" s="15">
        <v>0.3284997067039106</v>
      </c>
    </row>
    <row r="540" spans="1:14" x14ac:dyDescent="0.2">
      <c r="A540" s="2" t="s">
        <v>10069</v>
      </c>
      <c r="B540" s="15">
        <v>1544</v>
      </c>
      <c r="C540" s="15">
        <v>10</v>
      </c>
      <c r="D540" s="15">
        <v>62626466</v>
      </c>
      <c r="E540" s="15">
        <v>64069687</v>
      </c>
      <c r="F540" s="15">
        <v>1935</v>
      </c>
      <c r="G540" s="8" t="s">
        <v>12324</v>
      </c>
      <c r="H540" s="24" t="s">
        <v>662</v>
      </c>
      <c r="I540" s="25" t="s">
        <v>663</v>
      </c>
      <c r="J540" s="8" t="s">
        <v>664</v>
      </c>
      <c r="K540" s="8" t="s">
        <v>10040</v>
      </c>
      <c r="L540" s="15">
        <v>-0.457847</v>
      </c>
      <c r="M540" s="15">
        <v>4.0010299999999999E-2</v>
      </c>
      <c r="N540" s="15">
        <v>0.32982468494423789</v>
      </c>
    </row>
    <row r="541" spans="1:14" x14ac:dyDescent="0.2">
      <c r="A541" s="2" t="s">
        <v>10066</v>
      </c>
      <c r="B541" s="15">
        <v>546</v>
      </c>
      <c r="C541" s="15">
        <v>3</v>
      </c>
      <c r="D541" s="15">
        <v>142976708</v>
      </c>
      <c r="E541" s="15">
        <v>144408821</v>
      </c>
      <c r="F541" s="15">
        <v>3667</v>
      </c>
      <c r="G541" s="8" t="s">
        <v>12324</v>
      </c>
      <c r="H541" s="24" t="s">
        <v>6008</v>
      </c>
      <c r="I541" s="25" t="s">
        <v>6009</v>
      </c>
      <c r="J541" s="8" t="s">
        <v>6010</v>
      </c>
      <c r="K541" s="8" t="s">
        <v>10051</v>
      </c>
      <c r="L541" s="15">
        <v>0.58829399999999998</v>
      </c>
      <c r="M541" s="15">
        <v>4.0129499999999999E-2</v>
      </c>
      <c r="N541" s="15">
        <v>0.3301935667903525</v>
      </c>
    </row>
    <row r="542" spans="1:14" x14ac:dyDescent="0.2">
      <c r="A542" s="2" t="s">
        <v>10068</v>
      </c>
      <c r="B542" s="15">
        <v>138</v>
      </c>
      <c r="C542" s="15">
        <v>1</v>
      </c>
      <c r="D542" s="15">
        <v>182420541</v>
      </c>
      <c r="E542" s="15">
        <v>183920616</v>
      </c>
      <c r="F542" s="15">
        <v>3664</v>
      </c>
      <c r="G542" s="8" t="s">
        <v>12324</v>
      </c>
      <c r="H542" s="24" t="s">
        <v>494</v>
      </c>
      <c r="I542" s="25">
        <v>25920</v>
      </c>
      <c r="J542" s="8" t="s">
        <v>496</v>
      </c>
      <c r="K542" s="8" t="s">
        <v>10040</v>
      </c>
      <c r="L542" s="15">
        <v>-0.73534600000000006</v>
      </c>
      <c r="M542" s="15">
        <v>4.0222500000000001E-2</v>
      </c>
      <c r="N542" s="15">
        <v>0.33029846950092417</v>
      </c>
    </row>
    <row r="543" spans="1:14" x14ac:dyDescent="0.2">
      <c r="A543" s="2" t="s">
        <v>10068</v>
      </c>
      <c r="B543" s="15">
        <v>2241</v>
      </c>
      <c r="C543" s="15">
        <v>18</v>
      </c>
      <c r="D543" s="15">
        <v>2839843</v>
      </c>
      <c r="E543" s="15">
        <v>3722828</v>
      </c>
      <c r="F543" s="15">
        <v>2853</v>
      </c>
      <c r="G543" s="8" t="s">
        <v>12324</v>
      </c>
      <c r="H543" s="24" t="s">
        <v>1259</v>
      </c>
      <c r="I543" s="25">
        <v>27096</v>
      </c>
      <c r="J543" s="8" t="s">
        <v>1261</v>
      </c>
      <c r="K543" s="8" t="s">
        <v>10040</v>
      </c>
      <c r="L543" s="15">
        <v>-0.44158500000000001</v>
      </c>
      <c r="M543" s="15">
        <v>4.0291199999999999E-2</v>
      </c>
      <c r="N543" s="15">
        <v>0.33029846950092417</v>
      </c>
    </row>
    <row r="544" spans="1:14" x14ac:dyDescent="0.2">
      <c r="A544" s="2" t="s">
        <v>10066</v>
      </c>
      <c r="B544" s="15">
        <v>353</v>
      </c>
      <c r="C544" s="15">
        <v>2</v>
      </c>
      <c r="D544" s="15">
        <v>169224446</v>
      </c>
      <c r="E544" s="15">
        <v>170155561</v>
      </c>
      <c r="F544" s="15">
        <v>2291</v>
      </c>
      <c r="G544" s="8" t="s">
        <v>12324</v>
      </c>
      <c r="H544" s="24" t="s">
        <v>6008</v>
      </c>
      <c r="I544" s="25" t="s">
        <v>6009</v>
      </c>
      <c r="J544" s="8" t="s">
        <v>6010</v>
      </c>
      <c r="K544" s="8" t="s">
        <v>10051</v>
      </c>
      <c r="L544" s="15">
        <v>-0.74956100000000003</v>
      </c>
      <c r="M544" s="15">
        <v>4.0374300000000002E-2</v>
      </c>
      <c r="N544" s="15">
        <v>0.33036904151291507</v>
      </c>
    </row>
    <row r="545" spans="1:14" x14ac:dyDescent="0.2">
      <c r="A545" s="2" t="s">
        <v>10068</v>
      </c>
      <c r="B545" s="15">
        <v>791</v>
      </c>
      <c r="C545" s="15">
        <v>5</v>
      </c>
      <c r="D545" s="15">
        <v>16592320</v>
      </c>
      <c r="E545" s="15">
        <v>17803477</v>
      </c>
      <c r="F545" s="15">
        <v>3399</v>
      </c>
      <c r="G545" s="8" t="s">
        <v>12324</v>
      </c>
      <c r="H545" s="24" t="s">
        <v>1259</v>
      </c>
      <c r="I545" s="25">
        <v>27096</v>
      </c>
      <c r="J545" s="8" t="s">
        <v>1261</v>
      </c>
      <c r="K545" s="8" t="s">
        <v>10040</v>
      </c>
      <c r="L545" s="15">
        <v>-0.47633799999999998</v>
      </c>
      <c r="M545" s="15">
        <v>4.0528000000000002E-2</v>
      </c>
      <c r="N545" s="15">
        <v>0.33101598526703502</v>
      </c>
    </row>
    <row r="546" spans="1:14" x14ac:dyDescent="0.2">
      <c r="A546" s="2" t="s">
        <v>10068</v>
      </c>
      <c r="B546" s="15">
        <v>2434</v>
      </c>
      <c r="C546" s="15">
        <v>21</v>
      </c>
      <c r="D546" s="15">
        <v>18222038</v>
      </c>
      <c r="E546" s="15">
        <v>19479024</v>
      </c>
      <c r="F546" s="15">
        <v>3645</v>
      </c>
      <c r="G546" s="8" t="s">
        <v>12324</v>
      </c>
      <c r="H546" s="24" t="s">
        <v>494</v>
      </c>
      <c r="I546" s="25">
        <v>25920</v>
      </c>
      <c r="J546" s="8" t="s">
        <v>496</v>
      </c>
      <c r="K546" s="8" t="s">
        <v>10040</v>
      </c>
      <c r="L546" s="15">
        <v>-0.51705500000000004</v>
      </c>
      <c r="M546" s="15">
        <v>4.1335299999999998E-2</v>
      </c>
      <c r="N546" s="15">
        <v>0.33603101618705028</v>
      </c>
    </row>
    <row r="547" spans="1:14" x14ac:dyDescent="0.2">
      <c r="A547" s="2" t="s">
        <v>10068</v>
      </c>
      <c r="B547" s="15">
        <v>2433</v>
      </c>
      <c r="C547" s="15">
        <v>21</v>
      </c>
      <c r="D547" s="15">
        <v>16873444</v>
      </c>
      <c r="E547" s="15">
        <v>18222037</v>
      </c>
      <c r="F547" s="15">
        <v>2705</v>
      </c>
      <c r="G547" s="8" t="s">
        <v>12324</v>
      </c>
      <c r="H547" s="24" t="s">
        <v>494</v>
      </c>
      <c r="I547" s="25">
        <v>25920</v>
      </c>
      <c r="J547" s="8" t="s">
        <v>496</v>
      </c>
      <c r="K547" s="8" t="s">
        <v>10040</v>
      </c>
      <c r="L547" s="15">
        <v>-0.29354200000000003</v>
      </c>
      <c r="M547" s="15">
        <v>4.15127E-2</v>
      </c>
      <c r="N547" s="15">
        <v>0.33603101618705028</v>
      </c>
    </row>
    <row r="548" spans="1:14" x14ac:dyDescent="0.2">
      <c r="A548" s="2" t="s">
        <v>10068</v>
      </c>
      <c r="B548" s="15">
        <v>2078</v>
      </c>
      <c r="C548" s="15">
        <v>15</v>
      </c>
      <c r="D548" s="15">
        <v>77897164</v>
      </c>
      <c r="E548" s="15">
        <v>78514101</v>
      </c>
      <c r="F548" s="15">
        <v>2076</v>
      </c>
      <c r="G548" s="8" t="s">
        <v>12324</v>
      </c>
      <c r="H548" s="24" t="s">
        <v>599</v>
      </c>
      <c r="I548" s="25">
        <v>26562</v>
      </c>
      <c r="J548" s="8" t="s">
        <v>601</v>
      </c>
      <c r="K548" s="8" t="s">
        <v>10040</v>
      </c>
      <c r="L548" s="15">
        <v>0.69567400000000001</v>
      </c>
      <c r="M548" s="15">
        <v>4.1492899999999999E-2</v>
      </c>
      <c r="N548" s="15">
        <v>0.33603101618705028</v>
      </c>
    </row>
    <row r="549" spans="1:14" x14ac:dyDescent="0.2">
      <c r="A549" s="2" t="s">
        <v>10068</v>
      </c>
      <c r="B549" s="15">
        <v>1874</v>
      </c>
      <c r="C549" s="15">
        <v>13</v>
      </c>
      <c r="D549" s="15">
        <v>30068526</v>
      </c>
      <c r="E549" s="15">
        <v>31433218</v>
      </c>
      <c r="F549" s="15">
        <v>4064</v>
      </c>
      <c r="G549" s="8" t="s">
        <v>12324</v>
      </c>
      <c r="H549" s="24" t="s">
        <v>599</v>
      </c>
      <c r="I549" s="25">
        <v>26562</v>
      </c>
      <c r="J549" s="8" t="s">
        <v>601</v>
      </c>
      <c r="K549" s="8" t="s">
        <v>10040</v>
      </c>
      <c r="L549" s="15">
        <v>-0.42831599999999997</v>
      </c>
      <c r="M549" s="15">
        <v>4.17562E-2</v>
      </c>
      <c r="N549" s="15">
        <v>0.33603101618705028</v>
      </c>
    </row>
    <row r="550" spans="1:14" x14ac:dyDescent="0.2">
      <c r="A550" s="2" t="s">
        <v>10068</v>
      </c>
      <c r="B550" s="15">
        <v>1571</v>
      </c>
      <c r="C550" s="15">
        <v>10</v>
      </c>
      <c r="D550" s="15">
        <v>91960436</v>
      </c>
      <c r="E550" s="15">
        <v>92911506</v>
      </c>
      <c r="F550" s="15">
        <v>2633</v>
      </c>
      <c r="G550" s="8" t="s">
        <v>12324</v>
      </c>
      <c r="H550" s="24" t="s">
        <v>599</v>
      </c>
      <c r="I550" s="25">
        <v>26562</v>
      </c>
      <c r="J550" s="8" t="s">
        <v>601</v>
      </c>
      <c r="K550" s="8" t="s">
        <v>10040</v>
      </c>
      <c r="L550" s="15">
        <v>0.69628999999999996</v>
      </c>
      <c r="M550" s="15">
        <v>4.2013399999999999E-2</v>
      </c>
      <c r="N550" s="15">
        <v>0.33603101618705028</v>
      </c>
    </row>
    <row r="551" spans="1:14" x14ac:dyDescent="0.2">
      <c r="A551" s="2" t="s">
        <v>10069</v>
      </c>
      <c r="B551" s="15">
        <v>771</v>
      </c>
      <c r="C551" s="15">
        <v>4</v>
      </c>
      <c r="D551" s="15">
        <v>186881569</v>
      </c>
      <c r="E551" s="15">
        <v>187985393</v>
      </c>
      <c r="F551" s="15">
        <v>2372</v>
      </c>
      <c r="G551" s="8" t="s">
        <v>12324</v>
      </c>
      <c r="H551" s="24" t="s">
        <v>662</v>
      </c>
      <c r="I551" s="25" t="s">
        <v>663</v>
      </c>
      <c r="J551" s="8" t="s">
        <v>664</v>
      </c>
      <c r="K551" s="8" t="s">
        <v>10040</v>
      </c>
      <c r="L551" s="15">
        <v>-0.59709299999999998</v>
      </c>
      <c r="M551" s="15">
        <v>4.1267499999999999E-2</v>
      </c>
      <c r="N551" s="15">
        <v>0.33603101618705028</v>
      </c>
    </row>
    <row r="552" spans="1:14" x14ac:dyDescent="0.2">
      <c r="A552" s="2" t="s">
        <v>10069</v>
      </c>
      <c r="B552" s="15">
        <v>1945</v>
      </c>
      <c r="C552" s="15">
        <v>13</v>
      </c>
      <c r="D552" s="15">
        <v>107037865</v>
      </c>
      <c r="E552" s="15">
        <v>108521978</v>
      </c>
      <c r="F552" s="15">
        <v>2571</v>
      </c>
      <c r="G552" s="8" t="s">
        <v>12324</v>
      </c>
      <c r="H552" s="24" t="s">
        <v>662</v>
      </c>
      <c r="I552" s="25" t="s">
        <v>663</v>
      </c>
      <c r="J552" s="8" t="s">
        <v>664</v>
      </c>
      <c r="K552" s="8" t="s">
        <v>10040</v>
      </c>
      <c r="L552" s="15">
        <v>-0.42469299999999999</v>
      </c>
      <c r="M552" s="15">
        <v>4.1767699999999998E-2</v>
      </c>
      <c r="N552" s="15">
        <v>0.33603101618705028</v>
      </c>
    </row>
    <row r="553" spans="1:14" x14ac:dyDescent="0.2">
      <c r="A553" s="2" t="s">
        <v>10068</v>
      </c>
      <c r="B553" s="15">
        <v>1941</v>
      </c>
      <c r="C553" s="15">
        <v>13</v>
      </c>
      <c r="D553" s="15">
        <v>103050418</v>
      </c>
      <c r="E553" s="15">
        <v>104378435</v>
      </c>
      <c r="F553" s="15">
        <v>4065</v>
      </c>
      <c r="G553" s="8" t="s">
        <v>12324</v>
      </c>
      <c r="H553" s="24" t="s">
        <v>1259</v>
      </c>
      <c r="I553" s="25">
        <v>27096</v>
      </c>
      <c r="J553" s="8" t="s">
        <v>1261</v>
      </c>
      <c r="K553" s="8" t="s">
        <v>10040</v>
      </c>
      <c r="L553" s="15">
        <v>-0.63799399999999995</v>
      </c>
      <c r="M553" s="15">
        <v>4.2038399999999997E-2</v>
      </c>
      <c r="N553" s="15">
        <v>0.33603101618705028</v>
      </c>
    </row>
    <row r="554" spans="1:14" x14ac:dyDescent="0.2">
      <c r="A554" s="2" t="s">
        <v>10066</v>
      </c>
      <c r="B554" s="15">
        <v>2311</v>
      </c>
      <c r="C554" s="15">
        <v>19</v>
      </c>
      <c r="D554" s="15">
        <v>3893910</v>
      </c>
      <c r="E554" s="15">
        <v>4741718</v>
      </c>
      <c r="F554" s="15">
        <v>2457</v>
      </c>
      <c r="G554" s="8" t="s">
        <v>12324</v>
      </c>
      <c r="H554" s="24" t="s">
        <v>3164</v>
      </c>
      <c r="I554" s="25" t="s">
        <v>3165</v>
      </c>
      <c r="J554" s="8" t="s">
        <v>3166</v>
      </c>
      <c r="K554" s="8" t="s">
        <v>10042</v>
      </c>
      <c r="L554" s="15">
        <v>-0.26989999999999997</v>
      </c>
      <c r="M554" s="15">
        <v>4.1605000000000003E-2</v>
      </c>
      <c r="N554" s="15">
        <v>0.33603101618705028</v>
      </c>
    </row>
    <row r="555" spans="1:14" x14ac:dyDescent="0.2">
      <c r="A555" s="2" t="s">
        <v>10066</v>
      </c>
      <c r="B555" s="15">
        <v>70</v>
      </c>
      <c r="C555" s="15">
        <v>1</v>
      </c>
      <c r="D555" s="15">
        <v>80781443</v>
      </c>
      <c r="E555" s="15">
        <v>82123368</v>
      </c>
      <c r="F555" s="15">
        <v>4036</v>
      </c>
      <c r="G555" s="8" t="s">
        <v>12324</v>
      </c>
      <c r="H555" s="24" t="s">
        <v>6008</v>
      </c>
      <c r="I555" s="25" t="s">
        <v>6009</v>
      </c>
      <c r="J555" s="8" t="s">
        <v>6010</v>
      </c>
      <c r="K555" s="8" t="s">
        <v>10051</v>
      </c>
      <c r="L555" s="15">
        <v>0.43894</v>
      </c>
      <c r="M555" s="15">
        <v>4.1783399999999998E-2</v>
      </c>
      <c r="N555" s="15">
        <v>0.33603101618705028</v>
      </c>
    </row>
    <row r="556" spans="1:14" x14ac:dyDescent="0.2">
      <c r="A556" s="2" t="s">
        <v>10066</v>
      </c>
      <c r="B556" s="15">
        <v>757</v>
      </c>
      <c r="C556" s="15">
        <v>4</v>
      </c>
      <c r="D556" s="15">
        <v>175295843</v>
      </c>
      <c r="E556" s="15">
        <v>175959697</v>
      </c>
      <c r="F556" s="15">
        <v>2166</v>
      </c>
      <c r="G556" s="8" t="s">
        <v>12324</v>
      </c>
      <c r="H556" s="24" t="s">
        <v>6008</v>
      </c>
      <c r="I556" s="25" t="s">
        <v>6009</v>
      </c>
      <c r="J556" s="8" t="s">
        <v>6010</v>
      </c>
      <c r="K556" s="8" t="s">
        <v>10051</v>
      </c>
      <c r="L556" s="15">
        <v>0.76295999999999997</v>
      </c>
      <c r="M556" s="15">
        <v>4.1898499999999998E-2</v>
      </c>
      <c r="N556" s="15">
        <v>0.33603101618705028</v>
      </c>
    </row>
    <row r="557" spans="1:14" x14ac:dyDescent="0.2">
      <c r="A557" s="2" t="s">
        <v>10066</v>
      </c>
      <c r="B557" s="15">
        <v>8</v>
      </c>
      <c r="C557" s="15">
        <v>1</v>
      </c>
      <c r="D557" s="15">
        <v>5362405</v>
      </c>
      <c r="E557" s="15">
        <v>6136814</v>
      </c>
      <c r="F557" s="15">
        <v>2335</v>
      </c>
      <c r="G557" s="8" t="s">
        <v>12324</v>
      </c>
      <c r="H557" s="24" t="s">
        <v>6008</v>
      </c>
      <c r="I557" s="25" t="s">
        <v>6009</v>
      </c>
      <c r="J557" s="8" t="s">
        <v>6010</v>
      </c>
      <c r="K557" s="8" t="s">
        <v>10051</v>
      </c>
      <c r="L557" s="15">
        <v>0.55922499999999997</v>
      </c>
      <c r="M557" s="15">
        <v>4.21085E-2</v>
      </c>
      <c r="N557" s="15">
        <v>0.33603101618705028</v>
      </c>
    </row>
    <row r="558" spans="1:14" x14ac:dyDescent="0.2">
      <c r="A558" s="2" t="s">
        <v>10068</v>
      </c>
      <c r="B558" s="15">
        <v>790</v>
      </c>
      <c r="C558" s="15">
        <v>5</v>
      </c>
      <c r="D558" s="15">
        <v>14910296</v>
      </c>
      <c r="E558" s="15">
        <v>16592319</v>
      </c>
      <c r="F558" s="15">
        <v>3511</v>
      </c>
      <c r="G558" s="8" t="s">
        <v>12324</v>
      </c>
      <c r="H558" s="24" t="s">
        <v>6565</v>
      </c>
      <c r="I558" s="25" t="s">
        <v>6475</v>
      </c>
      <c r="J558" s="8" t="s">
        <v>6566</v>
      </c>
      <c r="K558" s="8" t="s">
        <v>10054</v>
      </c>
      <c r="L558" s="15">
        <v>0.35652</v>
      </c>
      <c r="M558" s="15">
        <v>4.2126999999999998E-2</v>
      </c>
      <c r="N558" s="15">
        <v>0.33603101618705028</v>
      </c>
    </row>
    <row r="559" spans="1:14" x14ac:dyDescent="0.2">
      <c r="A559" s="2" t="s">
        <v>10068</v>
      </c>
      <c r="B559" s="15">
        <v>418</v>
      </c>
      <c r="C559" s="15">
        <v>2</v>
      </c>
      <c r="D559" s="15">
        <v>240325601</v>
      </c>
      <c r="E559" s="15">
        <v>241113279</v>
      </c>
      <c r="F559" s="15">
        <v>2937</v>
      </c>
      <c r="G559" s="8" t="s">
        <v>12324</v>
      </c>
      <c r="H559" s="24" t="s">
        <v>1259</v>
      </c>
      <c r="I559" s="25">
        <v>27096</v>
      </c>
      <c r="J559" s="8" t="s">
        <v>1261</v>
      </c>
      <c r="K559" s="8" t="s">
        <v>10040</v>
      </c>
      <c r="L559" s="15">
        <v>0.29691499999999998</v>
      </c>
      <c r="M559" s="15">
        <v>4.2313200000000002E-2</v>
      </c>
      <c r="N559" s="15">
        <v>0.33630652688172052</v>
      </c>
    </row>
    <row r="560" spans="1:14" x14ac:dyDescent="0.2">
      <c r="A560" s="2" t="s">
        <v>10066</v>
      </c>
      <c r="B560" s="15">
        <v>2294</v>
      </c>
      <c r="C560" s="15">
        <v>18</v>
      </c>
      <c r="D560" s="15">
        <v>66407961</v>
      </c>
      <c r="E560" s="15">
        <v>67195980</v>
      </c>
      <c r="F560" s="15">
        <v>2264</v>
      </c>
      <c r="G560" s="8" t="s">
        <v>12324</v>
      </c>
      <c r="H560" s="24" t="s">
        <v>3164</v>
      </c>
      <c r="I560" s="25" t="s">
        <v>3165</v>
      </c>
      <c r="J560" s="8" t="s">
        <v>3166</v>
      </c>
      <c r="K560" s="8" t="s">
        <v>10042</v>
      </c>
      <c r="L560" s="15">
        <v>-0.42561900000000003</v>
      </c>
      <c r="M560" s="15">
        <v>4.2249599999999998E-2</v>
      </c>
      <c r="N560" s="15">
        <v>0.33630652688172052</v>
      </c>
    </row>
    <row r="561" spans="1:14" x14ac:dyDescent="0.2">
      <c r="A561" s="2" t="s">
        <v>10066</v>
      </c>
      <c r="B561" s="15">
        <v>1162</v>
      </c>
      <c r="C561" s="15">
        <v>7</v>
      </c>
      <c r="D561" s="15">
        <v>67474723</v>
      </c>
      <c r="E561" s="15">
        <v>68569224</v>
      </c>
      <c r="F561" s="15">
        <v>4124</v>
      </c>
      <c r="G561" s="8" t="s">
        <v>12324</v>
      </c>
      <c r="H561" s="24" t="s">
        <v>3164</v>
      </c>
      <c r="I561" s="25" t="s">
        <v>3165</v>
      </c>
      <c r="J561" s="8" t="s">
        <v>3166</v>
      </c>
      <c r="K561" s="8" t="s">
        <v>10042</v>
      </c>
      <c r="L561" s="15">
        <v>-0.37010999999999999</v>
      </c>
      <c r="M561" s="15">
        <v>4.2448100000000002E-2</v>
      </c>
      <c r="N561" s="15">
        <v>0.3367751762075134</v>
      </c>
    </row>
    <row r="562" spans="1:14" x14ac:dyDescent="0.2">
      <c r="A562" s="2" t="s">
        <v>10068</v>
      </c>
      <c r="B562" s="15">
        <v>1276</v>
      </c>
      <c r="C562" s="15">
        <v>8</v>
      </c>
      <c r="D562" s="15">
        <v>31134787</v>
      </c>
      <c r="E562" s="15">
        <v>32454962</v>
      </c>
      <c r="F562" s="15">
        <v>3871</v>
      </c>
      <c r="G562" s="8" t="s">
        <v>12324</v>
      </c>
      <c r="H562" s="24" t="s">
        <v>6565</v>
      </c>
      <c r="I562" s="25" t="s">
        <v>6475</v>
      </c>
      <c r="J562" s="8" t="s">
        <v>6566</v>
      </c>
      <c r="K562" s="8" t="s">
        <v>10054</v>
      </c>
      <c r="L562" s="15">
        <v>0.38373400000000002</v>
      </c>
      <c r="M562" s="15">
        <v>4.26425E-2</v>
      </c>
      <c r="N562" s="15">
        <v>0.33771337053571432</v>
      </c>
    </row>
    <row r="563" spans="1:14" x14ac:dyDescent="0.2">
      <c r="A563" s="2" t="s">
        <v>10068</v>
      </c>
      <c r="B563" s="15">
        <v>796</v>
      </c>
      <c r="C563" s="15">
        <v>5</v>
      </c>
      <c r="D563" s="15">
        <v>22149043</v>
      </c>
      <c r="E563" s="15">
        <v>23246745</v>
      </c>
      <c r="F563" s="15">
        <v>2753</v>
      </c>
      <c r="G563" s="8" t="s">
        <v>12324</v>
      </c>
      <c r="H563" s="24" t="s">
        <v>599</v>
      </c>
      <c r="I563" s="25">
        <v>26562</v>
      </c>
      <c r="J563" s="8" t="s">
        <v>601</v>
      </c>
      <c r="K563" s="8" t="s">
        <v>10040</v>
      </c>
      <c r="L563" s="15">
        <v>-0.37074000000000001</v>
      </c>
      <c r="M563" s="15">
        <v>4.2797000000000002E-2</v>
      </c>
      <c r="N563" s="15">
        <v>0.33773077402135232</v>
      </c>
    </row>
    <row r="564" spans="1:14" x14ac:dyDescent="0.2">
      <c r="A564" s="2" t="s">
        <v>10068</v>
      </c>
      <c r="B564" s="15">
        <v>789</v>
      </c>
      <c r="C564" s="15">
        <v>5</v>
      </c>
      <c r="D564" s="15">
        <v>13608148</v>
      </c>
      <c r="E564" s="15">
        <v>14910295</v>
      </c>
      <c r="F564" s="15">
        <v>3247</v>
      </c>
      <c r="G564" s="8" t="s">
        <v>12324</v>
      </c>
      <c r="H564" s="24" t="s">
        <v>1259</v>
      </c>
      <c r="I564" s="25">
        <v>27096</v>
      </c>
      <c r="J564" s="8" t="s">
        <v>1261</v>
      </c>
      <c r="K564" s="8" t="s">
        <v>10040</v>
      </c>
      <c r="L564" s="15">
        <v>-0.40140700000000001</v>
      </c>
      <c r="M564" s="15">
        <v>4.2786100000000001E-2</v>
      </c>
      <c r="N564" s="15">
        <v>0.33773077402135232</v>
      </c>
    </row>
    <row r="565" spans="1:14" x14ac:dyDescent="0.2">
      <c r="A565" s="2" t="s">
        <v>10069</v>
      </c>
      <c r="B565" s="15">
        <v>2342</v>
      </c>
      <c r="C565" s="15">
        <v>19</v>
      </c>
      <c r="D565" s="15">
        <v>35649344</v>
      </c>
      <c r="E565" s="15">
        <v>36638122</v>
      </c>
      <c r="F565" s="15">
        <v>1627</v>
      </c>
      <c r="G565" s="8" t="s">
        <v>12324</v>
      </c>
      <c r="H565" s="24" t="s">
        <v>662</v>
      </c>
      <c r="I565" s="25" t="s">
        <v>663</v>
      </c>
      <c r="J565" s="8" t="s">
        <v>664</v>
      </c>
      <c r="K565" s="8" t="s">
        <v>10040</v>
      </c>
      <c r="L565" s="15">
        <v>0.64463700000000002</v>
      </c>
      <c r="M565" s="15">
        <v>4.2954199999999998E-2</v>
      </c>
      <c r="N565" s="15">
        <v>0.33836923090586152</v>
      </c>
    </row>
    <row r="566" spans="1:14" x14ac:dyDescent="0.2">
      <c r="A566" s="2" t="s">
        <v>10069</v>
      </c>
      <c r="B566" s="15">
        <v>820</v>
      </c>
      <c r="C566" s="15">
        <v>5</v>
      </c>
      <c r="D566" s="15">
        <v>52837226</v>
      </c>
      <c r="E566" s="15">
        <v>53747856</v>
      </c>
      <c r="F566" s="15">
        <v>1830</v>
      </c>
      <c r="G566" s="8" t="s">
        <v>12324</v>
      </c>
      <c r="H566" s="24" t="s">
        <v>662</v>
      </c>
      <c r="I566" s="25" t="s">
        <v>663</v>
      </c>
      <c r="J566" s="8" t="s">
        <v>664</v>
      </c>
      <c r="K566" s="8" t="s">
        <v>10040</v>
      </c>
      <c r="L566" s="15">
        <v>-0.805759</v>
      </c>
      <c r="M566" s="15">
        <v>4.3037800000000001E-2</v>
      </c>
      <c r="N566" s="15">
        <v>0.33842667198581561</v>
      </c>
    </row>
    <row r="567" spans="1:14" x14ac:dyDescent="0.2">
      <c r="A567" s="2" t="s">
        <v>10068</v>
      </c>
      <c r="B567" s="15">
        <v>898</v>
      </c>
      <c r="C567" s="15">
        <v>5</v>
      </c>
      <c r="D567" s="15">
        <v>148662215</v>
      </c>
      <c r="E567" s="15">
        <v>149850203</v>
      </c>
      <c r="F567" s="15">
        <v>2858</v>
      </c>
      <c r="G567" s="8" t="s">
        <v>12324</v>
      </c>
      <c r="H567" s="24" t="s">
        <v>494</v>
      </c>
      <c r="I567" s="25">
        <v>25920</v>
      </c>
      <c r="J567" s="8" t="s">
        <v>496</v>
      </c>
      <c r="K567" s="8" t="s">
        <v>10040</v>
      </c>
      <c r="L567" s="15">
        <v>0.43194300000000002</v>
      </c>
      <c r="M567" s="15">
        <v>4.3419699999999999E-2</v>
      </c>
      <c r="N567" s="15">
        <v>0.34021974298245611</v>
      </c>
    </row>
    <row r="568" spans="1:14" x14ac:dyDescent="0.2">
      <c r="A568" s="2" t="s">
        <v>10068</v>
      </c>
      <c r="B568" s="15">
        <v>1280</v>
      </c>
      <c r="C568" s="15">
        <v>8</v>
      </c>
      <c r="D568" s="15">
        <v>36641175</v>
      </c>
      <c r="E568" s="15">
        <v>38803980</v>
      </c>
      <c r="F568" s="15">
        <v>3766</v>
      </c>
      <c r="G568" s="8" t="s">
        <v>12324</v>
      </c>
      <c r="H568" s="24" t="s">
        <v>599</v>
      </c>
      <c r="I568" s="25">
        <v>26562</v>
      </c>
      <c r="J568" s="8" t="s">
        <v>601</v>
      </c>
      <c r="K568" s="8" t="s">
        <v>10040</v>
      </c>
      <c r="L568" s="15">
        <v>0.55885200000000002</v>
      </c>
      <c r="M568" s="15">
        <v>4.3614100000000003E-2</v>
      </c>
      <c r="N568" s="15">
        <v>0.34021974298245611</v>
      </c>
    </row>
    <row r="569" spans="1:14" x14ac:dyDescent="0.2">
      <c r="A569" s="2" t="s">
        <v>10068</v>
      </c>
      <c r="B569" s="15">
        <v>1999</v>
      </c>
      <c r="C569" s="15">
        <v>14</v>
      </c>
      <c r="D569" s="15">
        <v>68976913</v>
      </c>
      <c r="E569" s="15">
        <v>69794542</v>
      </c>
      <c r="F569" s="15">
        <v>2200</v>
      </c>
      <c r="G569" s="8" t="s">
        <v>12324</v>
      </c>
      <c r="H569" s="24" t="s">
        <v>599</v>
      </c>
      <c r="I569" s="25">
        <v>26562</v>
      </c>
      <c r="J569" s="8" t="s">
        <v>601</v>
      </c>
      <c r="K569" s="8" t="s">
        <v>10040</v>
      </c>
      <c r="L569" s="15">
        <v>0.62800999999999996</v>
      </c>
      <c r="M569" s="15">
        <v>4.3652700000000003E-2</v>
      </c>
      <c r="N569" s="15">
        <v>0.34021974298245611</v>
      </c>
    </row>
    <row r="570" spans="1:14" x14ac:dyDescent="0.2">
      <c r="A570" s="2" t="s">
        <v>10069</v>
      </c>
      <c r="B570" s="15">
        <v>2225</v>
      </c>
      <c r="C570" s="15">
        <v>17</v>
      </c>
      <c r="D570" s="15">
        <v>68176220</v>
      </c>
      <c r="E570" s="15">
        <v>69245590</v>
      </c>
      <c r="F570" s="15">
        <v>2118</v>
      </c>
      <c r="G570" s="8" t="s">
        <v>12324</v>
      </c>
      <c r="H570" s="24" t="s">
        <v>662</v>
      </c>
      <c r="I570" s="25" t="s">
        <v>663</v>
      </c>
      <c r="J570" s="8" t="s">
        <v>664</v>
      </c>
      <c r="K570" s="8" t="s">
        <v>10040</v>
      </c>
      <c r="L570" s="15">
        <v>0.69580600000000004</v>
      </c>
      <c r="M570" s="15">
        <v>4.3610599999999999E-2</v>
      </c>
      <c r="N570" s="15">
        <v>0.34021974298245611</v>
      </c>
    </row>
    <row r="571" spans="1:14" x14ac:dyDescent="0.2">
      <c r="A571" s="2" t="s">
        <v>10066</v>
      </c>
      <c r="B571" s="15">
        <v>1489</v>
      </c>
      <c r="C571" s="15">
        <v>10</v>
      </c>
      <c r="D571" s="15">
        <v>3225337</v>
      </c>
      <c r="E571" s="15">
        <v>3880322</v>
      </c>
      <c r="F571" s="15">
        <v>2170</v>
      </c>
      <c r="G571" s="8" t="s">
        <v>12324</v>
      </c>
      <c r="H571" s="24" t="s">
        <v>6008</v>
      </c>
      <c r="I571" s="25" t="s">
        <v>6009</v>
      </c>
      <c r="J571" s="8" t="s">
        <v>6010</v>
      </c>
      <c r="K571" s="8" t="s">
        <v>10051</v>
      </c>
      <c r="L571" s="15">
        <v>-0.22467000000000001</v>
      </c>
      <c r="M571" s="15">
        <v>4.3413500000000001E-2</v>
      </c>
      <c r="N571" s="15">
        <v>0.34021974298245611</v>
      </c>
    </row>
    <row r="572" spans="1:14" x14ac:dyDescent="0.2">
      <c r="A572" s="2" t="s">
        <v>10068</v>
      </c>
      <c r="B572" s="15">
        <v>1983</v>
      </c>
      <c r="C572" s="15">
        <v>14</v>
      </c>
      <c r="D572" s="15">
        <v>51418372</v>
      </c>
      <c r="E572" s="15">
        <v>52206122</v>
      </c>
      <c r="F572" s="15">
        <v>2329</v>
      </c>
      <c r="G572" s="8" t="s">
        <v>12324</v>
      </c>
      <c r="H572" s="24" t="s">
        <v>6565</v>
      </c>
      <c r="I572" s="25" t="s">
        <v>6475</v>
      </c>
      <c r="J572" s="8" t="s">
        <v>6566</v>
      </c>
      <c r="K572" s="8" t="s">
        <v>10054</v>
      </c>
      <c r="L572" s="15">
        <v>-0.63085199999999997</v>
      </c>
      <c r="M572" s="15">
        <v>4.3726099999999997E-2</v>
      </c>
      <c r="N572" s="15">
        <v>0.34021974298245611</v>
      </c>
    </row>
    <row r="573" spans="1:14" x14ac:dyDescent="0.2">
      <c r="A573" s="2" t="s">
        <v>10068</v>
      </c>
      <c r="B573" s="15">
        <v>2185</v>
      </c>
      <c r="C573" s="15">
        <v>17</v>
      </c>
      <c r="D573" s="15">
        <v>11778165</v>
      </c>
      <c r="E573" s="15">
        <v>12676353</v>
      </c>
      <c r="F573" s="15">
        <v>2193</v>
      </c>
      <c r="G573" s="8" t="s">
        <v>12324</v>
      </c>
      <c r="H573" s="24" t="s">
        <v>494</v>
      </c>
      <c r="I573" s="25">
        <v>25920</v>
      </c>
      <c r="J573" s="8" t="s">
        <v>496</v>
      </c>
      <c r="K573" s="8" t="s">
        <v>10040</v>
      </c>
      <c r="L573" s="15">
        <v>-0.27779599999999999</v>
      </c>
      <c r="M573" s="15">
        <v>4.3887599999999999E-2</v>
      </c>
      <c r="N573" s="15">
        <v>0.34028235314685312</v>
      </c>
    </row>
    <row r="574" spans="1:14" x14ac:dyDescent="0.2">
      <c r="A574" s="2" t="s">
        <v>10069</v>
      </c>
      <c r="B574" s="15">
        <v>1069</v>
      </c>
      <c r="C574" s="15">
        <v>6</v>
      </c>
      <c r="D574" s="15">
        <v>145778283</v>
      </c>
      <c r="E574" s="15">
        <v>147015882</v>
      </c>
      <c r="F574" s="15">
        <v>1279</v>
      </c>
      <c r="G574" s="8" t="s">
        <v>12324</v>
      </c>
      <c r="H574" s="24" t="s">
        <v>662</v>
      </c>
      <c r="I574" s="25" t="s">
        <v>663</v>
      </c>
      <c r="J574" s="8" t="s">
        <v>664</v>
      </c>
      <c r="K574" s="8" t="s">
        <v>10040</v>
      </c>
      <c r="L574" s="15">
        <v>-0.82246300000000006</v>
      </c>
      <c r="M574" s="15">
        <v>4.3818500000000003E-2</v>
      </c>
      <c r="N574" s="15">
        <v>0.34028235314685312</v>
      </c>
    </row>
    <row r="575" spans="1:14" x14ac:dyDescent="0.2">
      <c r="A575" s="2" t="s">
        <v>10066</v>
      </c>
      <c r="B575" s="15">
        <v>2044</v>
      </c>
      <c r="C575" s="15">
        <v>15</v>
      </c>
      <c r="D575" s="15">
        <v>33484268</v>
      </c>
      <c r="E575" s="15">
        <v>34410072</v>
      </c>
      <c r="F575" s="15">
        <v>3209</v>
      </c>
      <c r="G575" s="8" t="s">
        <v>12324</v>
      </c>
      <c r="H575" s="24" t="s">
        <v>6008</v>
      </c>
      <c r="I575" s="25" t="s">
        <v>6009</v>
      </c>
      <c r="J575" s="8" t="s">
        <v>6010</v>
      </c>
      <c r="K575" s="8" t="s">
        <v>10051</v>
      </c>
      <c r="L575" s="15">
        <v>-0.47032099999999999</v>
      </c>
      <c r="M575" s="15">
        <v>4.4093199999999999E-2</v>
      </c>
      <c r="N575" s="15">
        <v>0.3412798289703316</v>
      </c>
    </row>
    <row r="576" spans="1:14" x14ac:dyDescent="0.2">
      <c r="A576" s="2" t="s">
        <v>10068</v>
      </c>
      <c r="B576" s="15">
        <v>2145</v>
      </c>
      <c r="C576" s="15">
        <v>16</v>
      </c>
      <c r="D576" s="15">
        <v>65882821</v>
      </c>
      <c r="E576" s="15">
        <v>66738843</v>
      </c>
      <c r="F576" s="15">
        <v>2161</v>
      </c>
      <c r="G576" s="8" t="s">
        <v>12324</v>
      </c>
      <c r="H576" s="24" t="s">
        <v>1259</v>
      </c>
      <c r="I576" s="25">
        <v>27096</v>
      </c>
      <c r="J576" s="8" t="s">
        <v>1261</v>
      </c>
      <c r="K576" s="8" t="s">
        <v>10040</v>
      </c>
      <c r="L576" s="15">
        <v>-0.55884</v>
      </c>
      <c r="M576" s="15">
        <v>4.4374799999999999E-2</v>
      </c>
      <c r="N576" s="15">
        <v>0.34264732869565218</v>
      </c>
    </row>
    <row r="577" spans="1:14" x14ac:dyDescent="0.2">
      <c r="A577" s="2" t="s">
        <v>10066</v>
      </c>
      <c r="B577" s="15">
        <v>1741</v>
      </c>
      <c r="C577" s="15">
        <v>12</v>
      </c>
      <c r="D577" s="15">
        <v>1078398</v>
      </c>
      <c r="E577" s="15">
        <v>1942426</v>
      </c>
      <c r="F577" s="15">
        <v>2809</v>
      </c>
      <c r="G577" s="8" t="s">
        <v>12324</v>
      </c>
      <c r="H577" s="24" t="s">
        <v>3164</v>
      </c>
      <c r="I577" s="25" t="s">
        <v>3165</v>
      </c>
      <c r="J577" s="8" t="s">
        <v>3166</v>
      </c>
      <c r="K577" s="8" t="s">
        <v>10042</v>
      </c>
      <c r="L577" s="15">
        <v>-0.73253999999999997</v>
      </c>
      <c r="M577" s="15">
        <v>4.4424400000000003E-2</v>
      </c>
      <c r="N577" s="15">
        <v>0.34264732869565218</v>
      </c>
    </row>
    <row r="578" spans="1:14" x14ac:dyDescent="0.2">
      <c r="A578" s="2" t="s">
        <v>10066</v>
      </c>
      <c r="B578" s="15">
        <v>550</v>
      </c>
      <c r="C578" s="15">
        <v>3</v>
      </c>
      <c r="D578" s="15">
        <v>147358244</v>
      </c>
      <c r="E578" s="15">
        <v>148638308</v>
      </c>
      <c r="F578" s="15">
        <v>3340</v>
      </c>
      <c r="G578" s="8" t="s">
        <v>12324</v>
      </c>
      <c r="H578" s="24" t="s">
        <v>3164</v>
      </c>
      <c r="I578" s="25" t="s">
        <v>3165</v>
      </c>
      <c r="J578" s="8" t="s">
        <v>3166</v>
      </c>
      <c r="K578" s="8" t="s">
        <v>10042</v>
      </c>
      <c r="L578" s="15">
        <v>-0.46850000000000003</v>
      </c>
      <c r="M578" s="15">
        <v>4.4668399999999997E-2</v>
      </c>
      <c r="N578" s="15">
        <v>0.34393117013888891</v>
      </c>
    </row>
    <row r="579" spans="1:14" x14ac:dyDescent="0.2">
      <c r="A579" s="2" t="s">
        <v>10066</v>
      </c>
      <c r="B579" s="15">
        <v>2227</v>
      </c>
      <c r="C579" s="15">
        <v>17</v>
      </c>
      <c r="D579" s="15">
        <v>70495120</v>
      </c>
      <c r="E579" s="15">
        <v>71466953</v>
      </c>
      <c r="F579" s="15">
        <v>2895</v>
      </c>
      <c r="G579" s="8" t="s">
        <v>12324</v>
      </c>
      <c r="H579" s="24" t="s">
        <v>6008</v>
      </c>
      <c r="I579" s="25" t="s">
        <v>6009</v>
      </c>
      <c r="J579" s="8" t="s">
        <v>6010</v>
      </c>
      <c r="K579" s="8" t="s">
        <v>10051</v>
      </c>
      <c r="L579" s="15">
        <v>-0.445826</v>
      </c>
      <c r="M579" s="15">
        <v>4.4773100000000003E-2</v>
      </c>
      <c r="N579" s="15">
        <v>0.34413985875216641</v>
      </c>
    </row>
    <row r="580" spans="1:14" x14ac:dyDescent="0.2">
      <c r="A580" s="2" t="s">
        <v>10068</v>
      </c>
      <c r="B580" s="15">
        <v>2324</v>
      </c>
      <c r="C580" s="15">
        <v>19</v>
      </c>
      <c r="D580" s="15">
        <v>16079007</v>
      </c>
      <c r="E580" s="15">
        <v>17045963</v>
      </c>
      <c r="F580" s="15">
        <v>2508</v>
      </c>
      <c r="G580" s="8" t="s">
        <v>12324</v>
      </c>
      <c r="H580" s="24" t="s">
        <v>6565</v>
      </c>
      <c r="I580" s="25" t="s">
        <v>6475</v>
      </c>
      <c r="J580" s="8" t="s">
        <v>6566</v>
      </c>
      <c r="K580" s="8" t="s">
        <v>10054</v>
      </c>
      <c r="L580" s="15">
        <v>0.55166700000000002</v>
      </c>
      <c r="M580" s="15">
        <v>4.4980899999999997E-2</v>
      </c>
      <c r="N580" s="15">
        <v>0.34513891262975782</v>
      </c>
    </row>
    <row r="581" spans="1:14" x14ac:dyDescent="0.2">
      <c r="A581" s="2" t="s">
        <v>10068</v>
      </c>
      <c r="B581" s="15">
        <v>1872</v>
      </c>
      <c r="C581" s="15">
        <v>13</v>
      </c>
      <c r="D581" s="15">
        <v>27392006</v>
      </c>
      <c r="E581" s="15">
        <v>28587125</v>
      </c>
      <c r="F581" s="15">
        <v>3936</v>
      </c>
      <c r="G581" s="8" t="s">
        <v>12324</v>
      </c>
      <c r="H581" s="24" t="s">
        <v>1259</v>
      </c>
      <c r="I581" s="25">
        <v>27096</v>
      </c>
      <c r="J581" s="8" t="s">
        <v>1261</v>
      </c>
      <c r="K581" s="8" t="s">
        <v>10040</v>
      </c>
      <c r="L581" s="15">
        <v>0.53268199999999999</v>
      </c>
      <c r="M581" s="15">
        <v>4.5264699999999998E-2</v>
      </c>
      <c r="N581" s="15">
        <v>0.34563764113597251</v>
      </c>
    </row>
    <row r="582" spans="1:14" x14ac:dyDescent="0.2">
      <c r="A582" s="2" t="s">
        <v>10066</v>
      </c>
      <c r="B582" s="15">
        <v>1359</v>
      </c>
      <c r="C582" s="15">
        <v>8</v>
      </c>
      <c r="D582" s="15">
        <v>134509449</v>
      </c>
      <c r="E582" s="15">
        <v>135313673</v>
      </c>
      <c r="F582" s="15">
        <v>2942</v>
      </c>
      <c r="G582" s="8" t="s">
        <v>12324</v>
      </c>
      <c r="H582" s="24" t="s">
        <v>3164</v>
      </c>
      <c r="I582" s="25" t="s">
        <v>3165</v>
      </c>
      <c r="J582" s="8" t="s">
        <v>3166</v>
      </c>
      <c r="K582" s="8" t="s">
        <v>10042</v>
      </c>
      <c r="L582" s="15">
        <v>0.57393700000000003</v>
      </c>
      <c r="M582" s="15">
        <v>4.5150799999999998E-2</v>
      </c>
      <c r="N582" s="15">
        <v>0.34563764113597251</v>
      </c>
    </row>
    <row r="583" spans="1:14" x14ac:dyDescent="0.2">
      <c r="A583" s="2" t="s">
        <v>10066</v>
      </c>
      <c r="B583" s="15">
        <v>509</v>
      </c>
      <c r="C583" s="15">
        <v>3</v>
      </c>
      <c r="D583" s="15">
        <v>103450272</v>
      </c>
      <c r="E583" s="15">
        <v>104116563</v>
      </c>
      <c r="F583" s="15">
        <v>2218</v>
      </c>
      <c r="G583" s="8" t="s">
        <v>12324</v>
      </c>
      <c r="H583" s="24" t="s">
        <v>3164</v>
      </c>
      <c r="I583" s="25" t="s">
        <v>3165</v>
      </c>
      <c r="J583" s="8" t="s">
        <v>3166</v>
      </c>
      <c r="K583" s="8" t="s">
        <v>10042</v>
      </c>
      <c r="L583" s="15">
        <v>-0.67532899999999996</v>
      </c>
      <c r="M583" s="15">
        <v>4.5279699999999999E-2</v>
      </c>
      <c r="N583" s="15">
        <v>0.34563764113597251</v>
      </c>
    </row>
    <row r="584" spans="1:14" x14ac:dyDescent="0.2">
      <c r="A584" s="2" t="s">
        <v>10066</v>
      </c>
      <c r="B584" s="15">
        <v>593</v>
      </c>
      <c r="C584" s="15">
        <v>3</v>
      </c>
      <c r="D584" s="15">
        <v>195710291</v>
      </c>
      <c r="E584" s="15">
        <v>196383152</v>
      </c>
      <c r="F584" s="15">
        <v>2100</v>
      </c>
      <c r="G584" s="8" t="s">
        <v>12324</v>
      </c>
      <c r="H584" s="24" t="s">
        <v>6008</v>
      </c>
      <c r="I584" s="25" t="s">
        <v>6009</v>
      </c>
      <c r="J584" s="8" t="s">
        <v>6010</v>
      </c>
      <c r="K584" s="8" t="s">
        <v>10051</v>
      </c>
      <c r="L584" s="15">
        <v>-0.50513399999999997</v>
      </c>
      <c r="M584" s="15">
        <v>4.54448E-2</v>
      </c>
      <c r="N584" s="15">
        <v>0.3460433473413379</v>
      </c>
    </row>
    <row r="585" spans="1:14" x14ac:dyDescent="0.2">
      <c r="A585" s="2" t="s">
        <v>10068</v>
      </c>
      <c r="B585" s="15">
        <v>1163</v>
      </c>
      <c r="C585" s="15">
        <v>7</v>
      </c>
      <c r="D585" s="15">
        <v>68569225</v>
      </c>
      <c r="E585" s="15">
        <v>70144614</v>
      </c>
      <c r="F585" s="15">
        <v>3119</v>
      </c>
      <c r="G585" s="8" t="s">
        <v>12324</v>
      </c>
      <c r="H585" s="24" t="s">
        <v>6565</v>
      </c>
      <c r="I585" s="25" t="s">
        <v>6475</v>
      </c>
      <c r="J585" s="8" t="s">
        <v>6566</v>
      </c>
      <c r="K585" s="8" t="s">
        <v>10054</v>
      </c>
      <c r="L585" s="15">
        <v>0.69111400000000001</v>
      </c>
      <c r="M585" s="15">
        <v>4.5488899999999999E-2</v>
      </c>
      <c r="N585" s="15">
        <v>0.3460433473413379</v>
      </c>
    </row>
    <row r="586" spans="1:14" x14ac:dyDescent="0.2">
      <c r="A586" s="2" t="s">
        <v>10068</v>
      </c>
      <c r="B586" s="15">
        <v>2092</v>
      </c>
      <c r="C586" s="15">
        <v>15</v>
      </c>
      <c r="D586" s="15">
        <v>92675406</v>
      </c>
      <c r="E586" s="15">
        <v>93707010</v>
      </c>
      <c r="F586" s="15">
        <v>3490</v>
      </c>
      <c r="G586" s="8" t="s">
        <v>12324</v>
      </c>
      <c r="H586" s="24" t="s">
        <v>494</v>
      </c>
      <c r="I586" s="25">
        <v>25920</v>
      </c>
      <c r="J586" s="8" t="s">
        <v>496</v>
      </c>
      <c r="K586" s="8" t="s">
        <v>10040</v>
      </c>
      <c r="L586" s="15">
        <v>-0.653501</v>
      </c>
      <c r="M586" s="15">
        <v>4.5803299999999998E-2</v>
      </c>
      <c r="N586" s="15">
        <v>0.34677083361774752</v>
      </c>
    </row>
    <row r="587" spans="1:14" x14ac:dyDescent="0.2">
      <c r="A587" s="2" t="s">
        <v>10068</v>
      </c>
      <c r="B587" s="15">
        <v>601</v>
      </c>
      <c r="C587" s="15">
        <v>4</v>
      </c>
      <c r="D587" s="15">
        <v>4266179</v>
      </c>
      <c r="E587" s="15">
        <v>5051834</v>
      </c>
      <c r="F587" s="15">
        <v>2597</v>
      </c>
      <c r="G587" s="8" t="s">
        <v>12324</v>
      </c>
      <c r="H587" s="24" t="s">
        <v>599</v>
      </c>
      <c r="I587" s="25">
        <v>26562</v>
      </c>
      <c r="J587" s="8" t="s">
        <v>601</v>
      </c>
      <c r="K587" s="8" t="s">
        <v>10040</v>
      </c>
      <c r="L587" s="15">
        <v>0.41652400000000001</v>
      </c>
      <c r="M587" s="15">
        <v>4.5731899999999999E-2</v>
      </c>
      <c r="N587" s="15">
        <v>0.34677083361774752</v>
      </c>
    </row>
    <row r="588" spans="1:14" x14ac:dyDescent="0.2">
      <c r="A588" s="2" t="s">
        <v>10068</v>
      </c>
      <c r="B588" s="15">
        <v>2219</v>
      </c>
      <c r="C588" s="15">
        <v>17</v>
      </c>
      <c r="D588" s="15">
        <v>60453121</v>
      </c>
      <c r="E588" s="15">
        <v>62112373</v>
      </c>
      <c r="F588" s="15">
        <v>2624</v>
      </c>
      <c r="G588" s="8" t="s">
        <v>12324</v>
      </c>
      <c r="H588" s="24" t="s">
        <v>599</v>
      </c>
      <c r="I588" s="25">
        <v>26562</v>
      </c>
      <c r="J588" s="8" t="s">
        <v>601</v>
      </c>
      <c r="K588" s="8" t="s">
        <v>10040</v>
      </c>
      <c r="L588" s="15">
        <v>-0.57513800000000004</v>
      </c>
      <c r="M588" s="15">
        <v>4.5819100000000001E-2</v>
      </c>
      <c r="N588" s="15">
        <v>0.34677083361774752</v>
      </c>
    </row>
    <row r="589" spans="1:14" x14ac:dyDescent="0.2">
      <c r="A589" s="2" t="s">
        <v>10068</v>
      </c>
      <c r="B589" s="15">
        <v>1307</v>
      </c>
      <c r="C589" s="15">
        <v>8</v>
      </c>
      <c r="D589" s="15">
        <v>72013185</v>
      </c>
      <c r="E589" s="15">
        <v>72917489</v>
      </c>
      <c r="F589" s="15">
        <v>2488</v>
      </c>
      <c r="G589" s="8" t="s">
        <v>12324</v>
      </c>
      <c r="H589" s="24" t="s">
        <v>599</v>
      </c>
      <c r="I589" s="25">
        <v>26562</v>
      </c>
      <c r="J589" s="8" t="s">
        <v>601</v>
      </c>
      <c r="K589" s="8" t="s">
        <v>10040</v>
      </c>
      <c r="L589" s="15">
        <v>0.45211800000000002</v>
      </c>
      <c r="M589" s="15">
        <v>4.6034899999999997E-2</v>
      </c>
      <c r="N589" s="15">
        <v>0.34701018559322028</v>
      </c>
    </row>
    <row r="590" spans="1:14" x14ac:dyDescent="0.2">
      <c r="A590" s="2" t="s">
        <v>10068</v>
      </c>
      <c r="B590" s="15">
        <v>2312</v>
      </c>
      <c r="C590" s="15">
        <v>19</v>
      </c>
      <c r="D590" s="15">
        <v>4741719</v>
      </c>
      <c r="E590" s="15">
        <v>5478684</v>
      </c>
      <c r="F590" s="15">
        <v>2416</v>
      </c>
      <c r="G590" s="8" t="s">
        <v>12324</v>
      </c>
      <c r="H590" s="24" t="s">
        <v>1259</v>
      </c>
      <c r="I590" s="25">
        <v>27096</v>
      </c>
      <c r="J590" s="8" t="s">
        <v>1261</v>
      </c>
      <c r="K590" s="8" t="s">
        <v>10040</v>
      </c>
      <c r="L590" s="15">
        <v>-0.593055</v>
      </c>
      <c r="M590" s="15">
        <v>4.6163700000000002E-2</v>
      </c>
      <c r="N590" s="15">
        <v>0.34701018559322028</v>
      </c>
    </row>
    <row r="591" spans="1:14" x14ac:dyDescent="0.2">
      <c r="A591" s="2" t="s">
        <v>10066</v>
      </c>
      <c r="B591" s="15">
        <v>1769</v>
      </c>
      <c r="C591" s="15">
        <v>12</v>
      </c>
      <c r="D591" s="15">
        <v>28753586</v>
      </c>
      <c r="E591" s="15">
        <v>29647193</v>
      </c>
      <c r="F591" s="15">
        <v>2861</v>
      </c>
      <c r="G591" s="8" t="s">
        <v>12324</v>
      </c>
      <c r="H591" s="24" t="s">
        <v>3164</v>
      </c>
      <c r="I591" s="25" t="s">
        <v>3165</v>
      </c>
      <c r="J591" s="8" t="s">
        <v>3166</v>
      </c>
      <c r="K591" s="8" t="s">
        <v>10042</v>
      </c>
      <c r="L591" s="15">
        <v>0.73174600000000001</v>
      </c>
      <c r="M591" s="15">
        <v>4.6159100000000002E-2</v>
      </c>
      <c r="N591" s="15">
        <v>0.34701018559322028</v>
      </c>
    </row>
    <row r="592" spans="1:14" x14ac:dyDescent="0.2">
      <c r="A592" s="2" t="s">
        <v>10068</v>
      </c>
      <c r="B592" s="15">
        <v>2318</v>
      </c>
      <c r="C592" s="15">
        <v>19</v>
      </c>
      <c r="D592" s="15">
        <v>10028841</v>
      </c>
      <c r="E592" s="15">
        <v>11681978</v>
      </c>
      <c r="F592" s="15">
        <v>4153</v>
      </c>
      <c r="G592" s="8" t="s">
        <v>12324</v>
      </c>
      <c r="H592" s="24" t="s">
        <v>6565</v>
      </c>
      <c r="I592" s="25" t="s">
        <v>6475</v>
      </c>
      <c r="J592" s="8" t="s">
        <v>6566</v>
      </c>
      <c r="K592" s="8" t="s">
        <v>10054</v>
      </c>
      <c r="L592" s="15">
        <v>0.373143</v>
      </c>
      <c r="M592" s="15">
        <v>4.5993100000000002E-2</v>
      </c>
      <c r="N592" s="15">
        <v>0.34701018559322028</v>
      </c>
    </row>
    <row r="593" spans="1:14" x14ac:dyDescent="0.2">
      <c r="A593" s="2" t="s">
        <v>10066</v>
      </c>
      <c r="B593" s="15">
        <v>943</v>
      </c>
      <c r="C593" s="15">
        <v>6</v>
      </c>
      <c r="D593" s="15">
        <v>19449153</v>
      </c>
      <c r="E593" s="15">
        <v>20418020</v>
      </c>
      <c r="F593" s="15">
        <v>2736</v>
      </c>
      <c r="G593" s="8" t="s">
        <v>12324</v>
      </c>
      <c r="H593" s="24" t="s">
        <v>3164</v>
      </c>
      <c r="I593" s="25" t="s">
        <v>3165</v>
      </c>
      <c r="J593" s="8" t="s">
        <v>3166</v>
      </c>
      <c r="K593" s="8" t="s">
        <v>10042</v>
      </c>
      <c r="L593" s="15">
        <v>0.30463099999999999</v>
      </c>
      <c r="M593" s="15">
        <v>4.62732E-2</v>
      </c>
      <c r="N593" s="15">
        <v>0.34724474111675119</v>
      </c>
    </row>
    <row r="594" spans="1:14" x14ac:dyDescent="0.2">
      <c r="A594" s="2" t="s">
        <v>10068</v>
      </c>
      <c r="B594" s="15">
        <v>1859</v>
      </c>
      <c r="C594" s="15">
        <v>12</v>
      </c>
      <c r="D594" s="15">
        <v>130629841</v>
      </c>
      <c r="E594" s="15">
        <v>131404042</v>
      </c>
      <c r="F594" s="15">
        <v>2999</v>
      </c>
      <c r="G594" s="8" t="s">
        <v>12324</v>
      </c>
      <c r="H594" s="24" t="s">
        <v>1259</v>
      </c>
      <c r="I594" s="25">
        <v>27096</v>
      </c>
      <c r="J594" s="8" t="s">
        <v>1261</v>
      </c>
      <c r="K594" s="8" t="s">
        <v>10040</v>
      </c>
      <c r="L594" s="15">
        <v>-0.32262999999999997</v>
      </c>
      <c r="M594" s="15">
        <v>4.6438500000000001E-2</v>
      </c>
      <c r="N594" s="15">
        <v>0.34730986087689708</v>
      </c>
    </row>
    <row r="595" spans="1:14" x14ac:dyDescent="0.2">
      <c r="A595" s="2" t="s">
        <v>10068</v>
      </c>
      <c r="B595" s="15">
        <v>782</v>
      </c>
      <c r="C595" s="15">
        <v>5</v>
      </c>
      <c r="D595" s="15">
        <v>5828695</v>
      </c>
      <c r="E595" s="15">
        <v>6936733</v>
      </c>
      <c r="F595" s="15">
        <v>3837</v>
      </c>
      <c r="G595" s="8" t="s">
        <v>12324</v>
      </c>
      <c r="H595" s="24" t="s">
        <v>6565</v>
      </c>
      <c r="I595" s="25" t="s">
        <v>6475</v>
      </c>
      <c r="J595" s="8" t="s">
        <v>6566</v>
      </c>
      <c r="K595" s="8" t="s">
        <v>10054</v>
      </c>
      <c r="L595" s="15">
        <v>0.48231000000000002</v>
      </c>
      <c r="M595" s="15">
        <v>4.6392500000000003E-2</v>
      </c>
      <c r="N595" s="15">
        <v>0.34730986087689708</v>
      </c>
    </row>
    <row r="596" spans="1:14" x14ac:dyDescent="0.2">
      <c r="A596" s="2" t="s">
        <v>10066</v>
      </c>
      <c r="B596" s="15">
        <v>60</v>
      </c>
      <c r="C596" s="15">
        <v>1</v>
      </c>
      <c r="D596" s="15">
        <v>69438910</v>
      </c>
      <c r="E596" s="15">
        <v>70992905</v>
      </c>
      <c r="F596" s="15">
        <v>3256</v>
      </c>
      <c r="G596" s="8" t="s">
        <v>12324</v>
      </c>
      <c r="H596" s="24" t="s">
        <v>3164</v>
      </c>
      <c r="I596" s="25" t="s">
        <v>3165</v>
      </c>
      <c r="J596" s="8" t="s">
        <v>3166</v>
      </c>
      <c r="K596" s="8" t="s">
        <v>10042</v>
      </c>
      <c r="L596" s="15">
        <v>0.52296500000000001</v>
      </c>
      <c r="M596" s="15">
        <v>4.66279E-2</v>
      </c>
      <c r="N596" s="15">
        <v>0.34813928703703712</v>
      </c>
    </row>
    <row r="597" spans="1:14" x14ac:dyDescent="0.2">
      <c r="A597" s="2" t="s">
        <v>10068</v>
      </c>
      <c r="B597" s="15">
        <v>271</v>
      </c>
      <c r="C597" s="15">
        <v>2</v>
      </c>
      <c r="D597" s="15">
        <v>64696090</v>
      </c>
      <c r="E597" s="15">
        <v>65938002</v>
      </c>
      <c r="F597" s="15">
        <v>3152</v>
      </c>
      <c r="G597" s="8" t="s">
        <v>12324</v>
      </c>
      <c r="H597" s="24" t="s">
        <v>6565</v>
      </c>
      <c r="I597" s="25" t="s">
        <v>6475</v>
      </c>
      <c r="J597" s="8" t="s">
        <v>6566</v>
      </c>
      <c r="K597" s="8" t="s">
        <v>10054</v>
      </c>
      <c r="L597" s="15">
        <v>0.30262499999999998</v>
      </c>
      <c r="M597" s="15">
        <v>4.6739599999999999E-2</v>
      </c>
      <c r="N597" s="15">
        <v>0.34838676638655458</v>
      </c>
    </row>
    <row r="598" spans="1:14" x14ac:dyDescent="0.2">
      <c r="A598" s="2" t="s">
        <v>10069</v>
      </c>
      <c r="B598" s="15">
        <v>1737</v>
      </c>
      <c r="C598" s="15">
        <v>11</v>
      </c>
      <c r="D598" s="15">
        <v>132584402</v>
      </c>
      <c r="E598" s="15">
        <v>133521642</v>
      </c>
      <c r="F598" s="15">
        <v>1762</v>
      </c>
      <c r="G598" s="8" t="s">
        <v>12324</v>
      </c>
      <c r="H598" s="24" t="s">
        <v>662</v>
      </c>
      <c r="I598" s="25" t="s">
        <v>663</v>
      </c>
      <c r="J598" s="8" t="s">
        <v>664</v>
      </c>
      <c r="K598" s="8" t="s">
        <v>10040</v>
      </c>
      <c r="L598" s="15">
        <v>-0.83697699999999997</v>
      </c>
      <c r="M598" s="15">
        <v>4.6924800000000003E-2</v>
      </c>
      <c r="N598" s="15">
        <v>0.34918034899328859</v>
      </c>
    </row>
    <row r="599" spans="1:14" x14ac:dyDescent="0.2">
      <c r="A599" s="2" t="s">
        <v>10068</v>
      </c>
      <c r="B599" s="15">
        <v>577</v>
      </c>
      <c r="C599" s="15">
        <v>3</v>
      </c>
      <c r="D599" s="15">
        <v>176931164</v>
      </c>
      <c r="E599" s="15">
        <v>178110322</v>
      </c>
      <c r="F599" s="15">
        <v>2812</v>
      </c>
      <c r="G599" s="8" t="s">
        <v>12324</v>
      </c>
      <c r="H599" s="24" t="s">
        <v>599</v>
      </c>
      <c r="I599" s="25">
        <v>26562</v>
      </c>
      <c r="J599" s="8" t="s">
        <v>601</v>
      </c>
      <c r="K599" s="8" t="s">
        <v>10040</v>
      </c>
      <c r="L599" s="15">
        <v>0.55418000000000001</v>
      </c>
      <c r="M599" s="15">
        <v>4.7311499999999999E-2</v>
      </c>
      <c r="N599" s="15">
        <v>0.35069836416666672</v>
      </c>
    </row>
    <row r="600" spans="1:14" x14ac:dyDescent="0.2">
      <c r="A600" s="2" t="s">
        <v>10068</v>
      </c>
      <c r="B600" s="15">
        <v>1920</v>
      </c>
      <c r="C600" s="15">
        <v>13</v>
      </c>
      <c r="D600" s="15">
        <v>80778340</v>
      </c>
      <c r="E600" s="15">
        <v>81724089</v>
      </c>
      <c r="F600" s="15">
        <v>2493</v>
      </c>
      <c r="G600" s="8" t="s">
        <v>12324</v>
      </c>
      <c r="H600" s="24" t="s">
        <v>6565</v>
      </c>
      <c r="I600" s="25" t="s">
        <v>6475</v>
      </c>
      <c r="J600" s="8" t="s">
        <v>6566</v>
      </c>
      <c r="K600" s="8" t="s">
        <v>10054</v>
      </c>
      <c r="L600" s="15">
        <v>-0.59263200000000005</v>
      </c>
      <c r="M600" s="15">
        <v>4.7371900000000002E-2</v>
      </c>
      <c r="N600" s="15">
        <v>0.35069836416666672</v>
      </c>
    </row>
    <row r="601" spans="1:14" x14ac:dyDescent="0.2">
      <c r="A601" s="2" t="s">
        <v>10068</v>
      </c>
      <c r="B601" s="15">
        <v>1875</v>
      </c>
      <c r="C601" s="15">
        <v>13</v>
      </c>
      <c r="D601" s="15">
        <v>31433219</v>
      </c>
      <c r="E601" s="15">
        <v>32986686</v>
      </c>
      <c r="F601" s="15">
        <v>4078</v>
      </c>
      <c r="G601" s="8" t="s">
        <v>12324</v>
      </c>
      <c r="H601" s="24" t="s">
        <v>6565</v>
      </c>
      <c r="I601" s="25" t="s">
        <v>6475</v>
      </c>
      <c r="J601" s="8" t="s">
        <v>6566</v>
      </c>
      <c r="K601" s="8" t="s">
        <v>10054</v>
      </c>
      <c r="L601" s="15">
        <v>-0.60117299999999996</v>
      </c>
      <c r="M601" s="15">
        <v>4.7392400000000001E-2</v>
      </c>
      <c r="N601" s="15">
        <v>0.35069836416666672</v>
      </c>
    </row>
    <row r="602" spans="1:14" x14ac:dyDescent="0.2">
      <c r="A602" s="2" t="s">
        <v>10068</v>
      </c>
      <c r="B602" s="15">
        <v>1349</v>
      </c>
      <c r="C602" s="15">
        <v>8</v>
      </c>
      <c r="D602" s="15">
        <v>122622805</v>
      </c>
      <c r="E602" s="15">
        <v>124001019</v>
      </c>
      <c r="F602" s="15">
        <v>3006</v>
      </c>
      <c r="G602" s="8" t="s">
        <v>12324</v>
      </c>
      <c r="H602" s="24" t="s">
        <v>6565</v>
      </c>
      <c r="I602" s="25" t="s">
        <v>6475</v>
      </c>
      <c r="J602" s="8" t="s">
        <v>6566</v>
      </c>
      <c r="K602" s="8" t="s">
        <v>10054</v>
      </c>
      <c r="L602" s="15">
        <v>0.53807799999999995</v>
      </c>
      <c r="M602" s="15">
        <v>4.7445099999999997E-2</v>
      </c>
      <c r="N602" s="15">
        <v>0.35069836416666672</v>
      </c>
    </row>
    <row r="603" spans="1:14" x14ac:dyDescent="0.2">
      <c r="A603" s="2" t="s">
        <v>10069</v>
      </c>
      <c r="B603" s="15">
        <v>851</v>
      </c>
      <c r="C603" s="15">
        <v>5</v>
      </c>
      <c r="D603" s="15">
        <v>90793805</v>
      </c>
      <c r="E603" s="15">
        <v>91956905</v>
      </c>
      <c r="F603" s="15">
        <v>1264</v>
      </c>
      <c r="G603" s="8" t="s">
        <v>12324</v>
      </c>
      <c r="H603" s="24" t="s">
        <v>662</v>
      </c>
      <c r="I603" s="25" t="s">
        <v>663</v>
      </c>
      <c r="J603" s="8" t="s">
        <v>664</v>
      </c>
      <c r="K603" s="8" t="s">
        <v>10040</v>
      </c>
      <c r="L603" s="15">
        <v>0.79767399999999999</v>
      </c>
      <c r="M603" s="15">
        <v>4.7597300000000002E-2</v>
      </c>
      <c r="N603" s="15">
        <v>0.35076061378737539</v>
      </c>
    </row>
    <row r="604" spans="1:14" x14ac:dyDescent="0.2">
      <c r="A604" s="2" t="s">
        <v>10066</v>
      </c>
      <c r="B604" s="15">
        <v>2326</v>
      </c>
      <c r="C604" s="15">
        <v>19</v>
      </c>
      <c r="D604" s="15">
        <v>17750519</v>
      </c>
      <c r="E604" s="15">
        <v>18504867</v>
      </c>
      <c r="F604" s="15">
        <v>2320</v>
      </c>
      <c r="G604" s="8" t="s">
        <v>12324</v>
      </c>
      <c r="H604" s="24" t="s">
        <v>6008</v>
      </c>
      <c r="I604" s="25" t="s">
        <v>6009</v>
      </c>
      <c r="J604" s="8" t="s">
        <v>6010</v>
      </c>
      <c r="K604" s="8" t="s">
        <v>10051</v>
      </c>
      <c r="L604" s="15">
        <v>0.45233899999999999</v>
      </c>
      <c r="M604" s="15">
        <v>4.76117E-2</v>
      </c>
      <c r="N604" s="15">
        <v>0.35076061378737539</v>
      </c>
    </row>
    <row r="605" spans="1:14" x14ac:dyDescent="0.2">
      <c r="A605" s="2" t="s">
        <v>10068</v>
      </c>
      <c r="B605" s="15">
        <v>1431</v>
      </c>
      <c r="C605" s="15">
        <v>9</v>
      </c>
      <c r="D605" s="15">
        <v>86769887</v>
      </c>
      <c r="E605" s="15">
        <v>87815449</v>
      </c>
      <c r="F605" s="15">
        <v>2975</v>
      </c>
      <c r="G605" s="8" t="s">
        <v>12324</v>
      </c>
      <c r="H605" s="24" t="s">
        <v>6565</v>
      </c>
      <c r="I605" s="25" t="s">
        <v>6475</v>
      </c>
      <c r="J605" s="8" t="s">
        <v>6566</v>
      </c>
      <c r="K605" s="8" t="s">
        <v>10054</v>
      </c>
      <c r="L605" s="15">
        <v>0.47060600000000002</v>
      </c>
      <c r="M605" s="15">
        <v>4.79143E-2</v>
      </c>
      <c r="N605" s="15">
        <v>0.35240451160862363</v>
      </c>
    </row>
    <row r="606" spans="1:14" x14ac:dyDescent="0.2">
      <c r="A606" s="2" t="s">
        <v>10068</v>
      </c>
      <c r="B606" s="15">
        <v>2326</v>
      </c>
      <c r="C606" s="15">
        <v>19</v>
      </c>
      <c r="D606" s="15">
        <v>17750519</v>
      </c>
      <c r="E606" s="15">
        <v>18504867</v>
      </c>
      <c r="F606" s="15">
        <v>2318</v>
      </c>
      <c r="G606" s="8" t="s">
        <v>12324</v>
      </c>
      <c r="H606" s="24" t="s">
        <v>6565</v>
      </c>
      <c r="I606" s="25" t="s">
        <v>6475</v>
      </c>
      <c r="J606" s="8" t="s">
        <v>6566</v>
      </c>
      <c r="K606" s="8" t="s">
        <v>10054</v>
      </c>
      <c r="L606" s="15">
        <v>0.42332199999999998</v>
      </c>
      <c r="M606" s="15">
        <v>4.8265500000000003E-2</v>
      </c>
      <c r="N606" s="15">
        <v>0.35439982201986758</v>
      </c>
    </row>
    <row r="607" spans="1:14" x14ac:dyDescent="0.2">
      <c r="A607" s="2" t="s">
        <v>10066</v>
      </c>
      <c r="B607" s="15">
        <v>1975</v>
      </c>
      <c r="C607" s="15">
        <v>14</v>
      </c>
      <c r="D607" s="15">
        <v>42562551</v>
      </c>
      <c r="E607" s="15">
        <v>43321168</v>
      </c>
      <c r="F607" s="15">
        <v>2282</v>
      </c>
      <c r="G607" s="8" t="s">
        <v>12324</v>
      </c>
      <c r="H607" s="24" t="s">
        <v>3164</v>
      </c>
      <c r="I607" s="25" t="s">
        <v>3165</v>
      </c>
      <c r="J607" s="8" t="s">
        <v>3166</v>
      </c>
      <c r="K607" s="8" t="s">
        <v>10042</v>
      </c>
      <c r="L607" s="15">
        <v>-0.39311299999999999</v>
      </c>
      <c r="M607" s="15">
        <v>4.8631500000000001E-2</v>
      </c>
      <c r="N607" s="15">
        <v>0.3560748795379538</v>
      </c>
    </row>
    <row r="608" spans="1:14" x14ac:dyDescent="0.2">
      <c r="A608" s="2" t="s">
        <v>10066</v>
      </c>
      <c r="B608" s="15">
        <v>1367</v>
      </c>
      <c r="C608" s="15">
        <v>8</v>
      </c>
      <c r="D608" s="15">
        <v>142611890</v>
      </c>
      <c r="E608" s="15">
        <v>143611461</v>
      </c>
      <c r="F608" s="15">
        <v>3046</v>
      </c>
      <c r="G608" s="8" t="s">
        <v>12324</v>
      </c>
      <c r="H608" s="24" t="s">
        <v>3164</v>
      </c>
      <c r="I608" s="25" t="s">
        <v>3165</v>
      </c>
      <c r="J608" s="8" t="s">
        <v>3166</v>
      </c>
      <c r="K608" s="8" t="s">
        <v>10042</v>
      </c>
      <c r="L608" s="15">
        <v>0.56402300000000005</v>
      </c>
      <c r="M608" s="15">
        <v>4.8654200000000002E-2</v>
      </c>
      <c r="N608" s="15">
        <v>0.3560748795379538</v>
      </c>
    </row>
    <row r="609" spans="1:14" x14ac:dyDescent="0.2">
      <c r="A609" s="2" t="s">
        <v>10069</v>
      </c>
      <c r="B609" s="15">
        <v>964</v>
      </c>
      <c r="C609" s="15">
        <v>6</v>
      </c>
      <c r="D609" s="15">
        <v>32539568</v>
      </c>
      <c r="E609" s="15">
        <v>32586784</v>
      </c>
      <c r="F609" s="15">
        <v>403</v>
      </c>
      <c r="G609" s="8" t="s">
        <v>12324</v>
      </c>
      <c r="H609" s="24" t="s">
        <v>662</v>
      </c>
      <c r="I609" s="25" t="s">
        <v>663</v>
      </c>
      <c r="J609" s="8" t="s">
        <v>664</v>
      </c>
      <c r="K609" s="8" t="s">
        <v>10040</v>
      </c>
      <c r="L609" s="15">
        <v>0.36123699999999997</v>
      </c>
      <c r="M609" s="15">
        <v>4.8981499999999997E-2</v>
      </c>
      <c r="N609" s="15">
        <v>0.35675891205211729</v>
      </c>
    </row>
    <row r="610" spans="1:14" x14ac:dyDescent="0.2">
      <c r="A610" s="2" t="s">
        <v>10068</v>
      </c>
      <c r="B610" s="15">
        <v>1107</v>
      </c>
      <c r="C610" s="15">
        <v>7</v>
      </c>
      <c r="D610" s="15">
        <v>9900802</v>
      </c>
      <c r="E610" s="15">
        <v>10481677</v>
      </c>
      <c r="F610" s="15">
        <v>2159</v>
      </c>
      <c r="G610" s="8" t="s">
        <v>12324</v>
      </c>
      <c r="H610" s="24" t="s">
        <v>1259</v>
      </c>
      <c r="I610" s="25">
        <v>27096</v>
      </c>
      <c r="J610" s="8" t="s">
        <v>1261</v>
      </c>
      <c r="K610" s="8" t="s">
        <v>10040</v>
      </c>
      <c r="L610" s="15">
        <v>0.57642599999999999</v>
      </c>
      <c r="M610" s="15">
        <v>4.9250799999999997E-2</v>
      </c>
      <c r="N610" s="15">
        <v>0.35675891205211729</v>
      </c>
    </row>
    <row r="611" spans="1:14" x14ac:dyDescent="0.2">
      <c r="A611" s="2" t="s">
        <v>10068</v>
      </c>
      <c r="B611" s="15">
        <v>313</v>
      </c>
      <c r="C611" s="15">
        <v>2</v>
      </c>
      <c r="D611" s="15">
        <v>121073753</v>
      </c>
      <c r="E611" s="15">
        <v>122026817</v>
      </c>
      <c r="F611" s="15">
        <v>2636</v>
      </c>
      <c r="G611" s="8" t="s">
        <v>12324</v>
      </c>
      <c r="H611" s="24" t="s">
        <v>1259</v>
      </c>
      <c r="I611" s="25">
        <v>27096</v>
      </c>
      <c r="J611" s="8" t="s">
        <v>1261</v>
      </c>
      <c r="K611" s="8" t="s">
        <v>10040</v>
      </c>
      <c r="L611" s="15">
        <v>-0.404503</v>
      </c>
      <c r="M611" s="15">
        <v>4.9381899999999999E-2</v>
      </c>
      <c r="N611" s="15">
        <v>0.35675891205211729</v>
      </c>
    </row>
    <row r="612" spans="1:14" x14ac:dyDescent="0.2">
      <c r="A612" s="2" t="s">
        <v>10068</v>
      </c>
      <c r="B612" s="15">
        <v>2064</v>
      </c>
      <c r="C612" s="15">
        <v>15</v>
      </c>
      <c r="D612" s="15">
        <v>58712955</v>
      </c>
      <c r="E612" s="15">
        <v>59901116</v>
      </c>
      <c r="F612" s="15">
        <v>2758</v>
      </c>
      <c r="G612" s="8" t="s">
        <v>12324</v>
      </c>
      <c r="H612" s="24" t="s">
        <v>1259</v>
      </c>
      <c r="I612" s="25">
        <v>27096</v>
      </c>
      <c r="J612" s="8" t="s">
        <v>1261</v>
      </c>
      <c r="K612" s="8" t="s">
        <v>10040</v>
      </c>
      <c r="L612" s="15">
        <v>-0.35284599999999999</v>
      </c>
      <c r="M612" s="15">
        <v>4.9391200000000003E-2</v>
      </c>
      <c r="N612" s="15">
        <v>0.35675891205211729</v>
      </c>
    </row>
    <row r="613" spans="1:14" x14ac:dyDescent="0.2">
      <c r="A613" s="2" t="s">
        <v>10066</v>
      </c>
      <c r="B613" s="15">
        <v>97</v>
      </c>
      <c r="C613" s="15">
        <v>1</v>
      </c>
      <c r="D613" s="15">
        <v>110224231</v>
      </c>
      <c r="E613" s="15">
        <v>111134062</v>
      </c>
      <c r="F613" s="15">
        <v>2127</v>
      </c>
      <c r="G613" s="8" t="s">
        <v>12324</v>
      </c>
      <c r="H613" s="24" t="s">
        <v>6008</v>
      </c>
      <c r="I613" s="25" t="s">
        <v>6009</v>
      </c>
      <c r="J613" s="8" t="s">
        <v>6010</v>
      </c>
      <c r="K613" s="8" t="s">
        <v>10051</v>
      </c>
      <c r="L613" s="15">
        <v>0.65376900000000004</v>
      </c>
      <c r="M613" s="15">
        <v>4.9054399999999998E-2</v>
      </c>
      <c r="N613" s="15">
        <v>0.35675891205211729</v>
      </c>
    </row>
    <row r="614" spans="1:14" x14ac:dyDescent="0.2">
      <c r="A614" s="2" t="s">
        <v>10068</v>
      </c>
      <c r="B614" s="15">
        <v>1952</v>
      </c>
      <c r="C614" s="15">
        <v>13</v>
      </c>
      <c r="D614" s="15">
        <v>113573119</v>
      </c>
      <c r="E614" s="15">
        <v>114302561</v>
      </c>
      <c r="F614" s="15">
        <v>2205</v>
      </c>
      <c r="G614" s="8" t="s">
        <v>12324</v>
      </c>
      <c r="H614" s="24" t="s">
        <v>6565</v>
      </c>
      <c r="I614" s="25" t="s">
        <v>6475</v>
      </c>
      <c r="J614" s="8" t="s">
        <v>6566</v>
      </c>
      <c r="K614" s="8" t="s">
        <v>10054</v>
      </c>
      <c r="L614" s="15">
        <v>-0.33898200000000001</v>
      </c>
      <c r="M614" s="15">
        <v>4.9057000000000003E-2</v>
      </c>
      <c r="N614" s="15">
        <v>0.35675891205211729</v>
      </c>
    </row>
    <row r="615" spans="1:14" x14ac:dyDescent="0.2">
      <c r="A615" s="2" t="s">
        <v>10068</v>
      </c>
      <c r="B615" s="15">
        <v>1414</v>
      </c>
      <c r="C615" s="15">
        <v>9</v>
      </c>
      <c r="D615" s="15">
        <v>37687113</v>
      </c>
      <c r="E615" s="15">
        <v>38822977</v>
      </c>
      <c r="F615" s="15">
        <v>2973</v>
      </c>
      <c r="G615" s="8" t="s">
        <v>12324</v>
      </c>
      <c r="H615" s="24" t="s">
        <v>6565</v>
      </c>
      <c r="I615" s="25" t="s">
        <v>6475</v>
      </c>
      <c r="J615" s="8" t="s">
        <v>6566</v>
      </c>
      <c r="K615" s="8" t="s">
        <v>10054</v>
      </c>
      <c r="L615" s="15">
        <v>-0.32638699999999998</v>
      </c>
      <c r="M615" s="15">
        <v>4.9322400000000002E-2</v>
      </c>
      <c r="N615" s="15">
        <v>0.35675891205211729</v>
      </c>
    </row>
    <row r="616" spans="1:14" x14ac:dyDescent="0.2">
      <c r="A616" s="2" t="s">
        <v>10068</v>
      </c>
      <c r="B616" s="15">
        <v>2151</v>
      </c>
      <c r="C616" s="15">
        <v>16</v>
      </c>
      <c r="D616" s="15">
        <v>73140782</v>
      </c>
      <c r="E616" s="15">
        <v>74135275</v>
      </c>
      <c r="F616" s="15">
        <v>2524</v>
      </c>
      <c r="G616" s="8" t="s">
        <v>12324</v>
      </c>
      <c r="H616" s="24" t="s">
        <v>6565</v>
      </c>
      <c r="I616" s="25" t="s">
        <v>6475</v>
      </c>
      <c r="J616" s="8" t="s">
        <v>6566</v>
      </c>
      <c r="K616" s="8" t="s">
        <v>10054</v>
      </c>
      <c r="L616" s="15">
        <v>-0.49156300000000003</v>
      </c>
      <c r="M616" s="15">
        <v>4.9328400000000001E-2</v>
      </c>
      <c r="N616" s="15">
        <v>0.35675891205211729</v>
      </c>
    </row>
    <row r="617" spans="1:14" x14ac:dyDescent="0.2">
      <c r="A617" s="2" t="s">
        <v>10068</v>
      </c>
      <c r="B617" s="15">
        <v>1602</v>
      </c>
      <c r="C617" s="15">
        <v>10</v>
      </c>
      <c r="D617" s="15">
        <v>129134739</v>
      </c>
      <c r="E617" s="15">
        <v>129831969</v>
      </c>
      <c r="F617" s="15">
        <v>3060</v>
      </c>
      <c r="G617" s="8" t="s">
        <v>12324</v>
      </c>
      <c r="H617" s="24" t="s">
        <v>1259</v>
      </c>
      <c r="I617" s="25">
        <v>27096</v>
      </c>
      <c r="J617" s="8" t="s">
        <v>1261</v>
      </c>
      <c r="K617" s="8" t="s">
        <v>10040</v>
      </c>
      <c r="L617" s="15">
        <v>-0.30338199999999999</v>
      </c>
      <c r="M617" s="15">
        <v>4.9502900000000002E-2</v>
      </c>
      <c r="N617" s="15">
        <v>0.35698432764227639</v>
      </c>
    </row>
    <row r="618" spans="1:14" x14ac:dyDescent="0.2">
      <c r="A618" s="2" t="s">
        <v>10068</v>
      </c>
      <c r="B618" s="15">
        <v>1592</v>
      </c>
      <c r="C618" s="15">
        <v>10</v>
      </c>
      <c r="D618" s="15">
        <v>118416050</v>
      </c>
      <c r="E618" s="15">
        <v>119528730</v>
      </c>
      <c r="F618" s="15">
        <v>2464</v>
      </c>
      <c r="G618" s="8" t="s">
        <v>12324</v>
      </c>
      <c r="H618" s="24" t="s">
        <v>6565</v>
      </c>
      <c r="I618" s="25" t="s">
        <v>6475</v>
      </c>
      <c r="J618" s="8" t="s">
        <v>6566</v>
      </c>
      <c r="K618" s="8" t="s">
        <v>10054</v>
      </c>
      <c r="L618" s="15">
        <v>0.30263200000000001</v>
      </c>
      <c r="M618" s="15">
        <v>4.9655699999999997E-2</v>
      </c>
      <c r="N618" s="15">
        <v>0.35750491801948048</v>
      </c>
    </row>
    <row r="619" spans="1:14" x14ac:dyDescent="0.2">
      <c r="A619" s="2" t="s">
        <v>10068</v>
      </c>
      <c r="B619" s="15">
        <v>603</v>
      </c>
      <c r="C619" s="15">
        <v>4</v>
      </c>
      <c r="D619" s="15">
        <v>5972710</v>
      </c>
      <c r="E619" s="15">
        <v>7135819</v>
      </c>
      <c r="F619" s="15">
        <v>3852</v>
      </c>
      <c r="G619" s="8" t="s">
        <v>12324</v>
      </c>
      <c r="H619" s="24" t="s">
        <v>599</v>
      </c>
      <c r="I619" s="25">
        <v>26562</v>
      </c>
      <c r="J619" s="8" t="s">
        <v>601</v>
      </c>
      <c r="K619" s="8" t="s">
        <v>10040</v>
      </c>
      <c r="L619" s="15">
        <v>0.43444700000000003</v>
      </c>
      <c r="M619" s="15">
        <v>4.97919E-2</v>
      </c>
      <c r="N619" s="15">
        <v>0.35786574757281547</v>
      </c>
    </row>
    <row r="620" spans="1:14" x14ac:dyDescent="0.2">
      <c r="A620" s="2" t="s">
        <v>10068</v>
      </c>
      <c r="B620" s="15">
        <v>1592</v>
      </c>
      <c r="C620" s="15">
        <v>10</v>
      </c>
      <c r="D620" s="15">
        <v>118416050</v>
      </c>
      <c r="E620" s="15">
        <v>119528730</v>
      </c>
      <c r="F620" s="15">
        <v>2464</v>
      </c>
      <c r="G620" s="8" t="s">
        <v>12324</v>
      </c>
      <c r="H620" s="24" t="s">
        <v>1259</v>
      </c>
      <c r="I620" s="25">
        <v>27096</v>
      </c>
      <c r="J620" s="8" t="s">
        <v>1261</v>
      </c>
      <c r="K620" s="8" t="s">
        <v>10040</v>
      </c>
      <c r="L620" s="15">
        <v>-0.285271</v>
      </c>
      <c r="M620" s="15">
        <v>4.98672E-2</v>
      </c>
      <c r="N620" s="15">
        <v>0.35786574757281547</v>
      </c>
    </row>
    <row r="621" spans="1:14" x14ac:dyDescent="0.2">
      <c r="A621" s="2" t="s">
        <v>10068</v>
      </c>
      <c r="B621" s="15">
        <v>1377</v>
      </c>
      <c r="C621" s="15">
        <v>9</v>
      </c>
      <c r="D621" s="15">
        <v>4596615</v>
      </c>
      <c r="E621" s="15">
        <v>5437591</v>
      </c>
      <c r="F621" s="15">
        <v>2456</v>
      </c>
      <c r="G621" s="8" t="s">
        <v>12324</v>
      </c>
      <c r="H621" s="24" t="s">
        <v>1259</v>
      </c>
      <c r="I621" s="25">
        <v>27096</v>
      </c>
      <c r="J621" s="8" t="s">
        <v>1261</v>
      </c>
      <c r="K621" s="8" t="s">
        <v>10040</v>
      </c>
      <c r="L621" s="15">
        <v>0.54920400000000003</v>
      </c>
      <c r="M621" s="15">
        <v>5.0109800000000003E-2</v>
      </c>
      <c r="N621" s="15">
        <v>0.35873999677419349</v>
      </c>
    </row>
    <row r="622" spans="1:14" x14ac:dyDescent="0.2">
      <c r="A622" s="2" t="s">
        <v>10068</v>
      </c>
      <c r="B622" s="15">
        <v>1794</v>
      </c>
      <c r="C622" s="15">
        <v>12</v>
      </c>
      <c r="D622" s="15">
        <v>56987106</v>
      </c>
      <c r="E622" s="15">
        <v>58748139</v>
      </c>
      <c r="F622" s="15">
        <v>3108</v>
      </c>
      <c r="G622" s="8" t="s">
        <v>12324</v>
      </c>
      <c r="H622" s="24" t="s">
        <v>1259</v>
      </c>
      <c r="I622" s="25">
        <v>27096</v>
      </c>
      <c r="J622" s="8" t="s">
        <v>1261</v>
      </c>
      <c r="K622" s="8" t="s">
        <v>10040</v>
      </c>
      <c r="L622" s="15">
        <v>0.49064099999999999</v>
      </c>
      <c r="M622" s="15">
        <v>5.0150800000000002E-2</v>
      </c>
      <c r="N622" s="15">
        <v>0.35873999677419349</v>
      </c>
    </row>
    <row r="623" spans="1:14" x14ac:dyDescent="0.2">
      <c r="A623" s="2" t="s">
        <v>10068</v>
      </c>
      <c r="B623" s="15">
        <v>1352</v>
      </c>
      <c r="C623" s="15">
        <v>8</v>
      </c>
      <c r="D623" s="15">
        <v>126766828</v>
      </c>
      <c r="E623" s="15">
        <v>128073654</v>
      </c>
      <c r="F623" s="15">
        <v>3626</v>
      </c>
      <c r="G623" s="8" t="s">
        <v>12324</v>
      </c>
      <c r="H623" s="24" t="s">
        <v>494</v>
      </c>
      <c r="I623" s="25">
        <v>25920</v>
      </c>
      <c r="J623" s="8" t="s">
        <v>496</v>
      </c>
      <c r="K623" s="8" t="s">
        <v>10040</v>
      </c>
      <c r="L623" s="15">
        <v>0.42768499999999998</v>
      </c>
      <c r="M623" s="15">
        <v>5.0430299999999997E-2</v>
      </c>
      <c r="N623" s="15">
        <v>0.35995871784565908</v>
      </c>
    </row>
    <row r="624" spans="1:14" x14ac:dyDescent="0.2">
      <c r="A624" s="2" t="s">
        <v>10068</v>
      </c>
      <c r="B624" s="15">
        <v>1171</v>
      </c>
      <c r="C624" s="15">
        <v>7</v>
      </c>
      <c r="D624" s="15">
        <v>80055722</v>
      </c>
      <c r="E624" s="15">
        <v>81533566</v>
      </c>
      <c r="F624" s="15">
        <v>3588</v>
      </c>
      <c r="G624" s="8" t="s">
        <v>12324</v>
      </c>
      <c r="H624" s="24" t="s">
        <v>494</v>
      </c>
      <c r="I624" s="25">
        <v>25920</v>
      </c>
      <c r="J624" s="8" t="s">
        <v>496</v>
      </c>
      <c r="K624" s="8" t="s">
        <v>10040</v>
      </c>
      <c r="L624" s="15">
        <v>0.45418599999999998</v>
      </c>
      <c r="M624" s="15">
        <v>5.0483500000000001E-2</v>
      </c>
      <c r="N624" s="15">
        <v>0.35995871784565908</v>
      </c>
    </row>
    <row r="625" spans="1:14" x14ac:dyDescent="0.2">
      <c r="A625" s="2" t="s">
        <v>10068</v>
      </c>
      <c r="B625" s="15">
        <v>622</v>
      </c>
      <c r="C625" s="15">
        <v>4</v>
      </c>
      <c r="D625" s="15">
        <v>23858351</v>
      </c>
      <c r="E625" s="15">
        <v>24764724</v>
      </c>
      <c r="F625" s="15">
        <v>2263</v>
      </c>
      <c r="G625" s="8" t="s">
        <v>12324</v>
      </c>
      <c r="H625" s="24" t="s">
        <v>6565</v>
      </c>
      <c r="I625" s="25" t="s">
        <v>6475</v>
      </c>
      <c r="J625" s="8" t="s">
        <v>6566</v>
      </c>
      <c r="K625" s="8" t="s">
        <v>10054</v>
      </c>
      <c r="L625" s="15">
        <v>0.32308199999999998</v>
      </c>
      <c r="M625" s="15">
        <v>5.0699099999999997E-2</v>
      </c>
      <c r="N625" s="15">
        <v>0.36091574398073828</v>
      </c>
    </row>
    <row r="626" spans="1:14" x14ac:dyDescent="0.2">
      <c r="A626" s="2" t="s">
        <v>10068</v>
      </c>
      <c r="B626" s="15">
        <v>221</v>
      </c>
      <c r="C626" s="15">
        <v>2</v>
      </c>
      <c r="D626" s="15">
        <v>15721704</v>
      </c>
      <c r="E626" s="15">
        <v>17241115</v>
      </c>
      <c r="F626" s="15">
        <v>4105</v>
      </c>
      <c r="G626" s="8" t="s">
        <v>12324</v>
      </c>
      <c r="H626" s="24" t="s">
        <v>494</v>
      </c>
      <c r="I626" s="25">
        <v>25920</v>
      </c>
      <c r="J626" s="8" t="s">
        <v>496</v>
      </c>
      <c r="K626" s="8" t="s">
        <v>10040</v>
      </c>
      <c r="L626" s="15">
        <v>0.26426699999999997</v>
      </c>
      <c r="M626" s="15">
        <v>5.10819E-2</v>
      </c>
      <c r="N626" s="15">
        <v>0.36154934018987339</v>
      </c>
    </row>
    <row r="627" spans="1:14" x14ac:dyDescent="0.2">
      <c r="A627" s="2" t="s">
        <v>10068</v>
      </c>
      <c r="B627" s="15">
        <v>2001</v>
      </c>
      <c r="C627" s="15">
        <v>14</v>
      </c>
      <c r="D627" s="15">
        <v>71140427</v>
      </c>
      <c r="E627" s="15">
        <v>72665319</v>
      </c>
      <c r="F627" s="15">
        <v>3708</v>
      </c>
      <c r="G627" s="8" t="s">
        <v>12324</v>
      </c>
      <c r="H627" s="24" t="s">
        <v>599</v>
      </c>
      <c r="I627" s="25">
        <v>26562</v>
      </c>
      <c r="J627" s="8" t="s">
        <v>601</v>
      </c>
      <c r="K627" s="8" t="s">
        <v>10040</v>
      </c>
      <c r="L627" s="15">
        <v>-0.35194399999999998</v>
      </c>
      <c r="M627" s="15">
        <v>5.1083400000000001E-2</v>
      </c>
      <c r="N627" s="15">
        <v>0.36154934018987339</v>
      </c>
    </row>
    <row r="628" spans="1:14" x14ac:dyDescent="0.2">
      <c r="A628" s="2" t="s">
        <v>10068</v>
      </c>
      <c r="B628" s="15">
        <v>2097</v>
      </c>
      <c r="C628" s="15">
        <v>15</v>
      </c>
      <c r="D628" s="15">
        <v>98025685</v>
      </c>
      <c r="E628" s="15">
        <v>98828261</v>
      </c>
      <c r="F628" s="15">
        <v>3002</v>
      </c>
      <c r="G628" s="8" t="s">
        <v>12324</v>
      </c>
      <c r="H628" s="24" t="s">
        <v>599</v>
      </c>
      <c r="I628" s="25">
        <v>26562</v>
      </c>
      <c r="J628" s="8" t="s">
        <v>601</v>
      </c>
      <c r="K628" s="8" t="s">
        <v>10040</v>
      </c>
      <c r="L628" s="15">
        <v>0.22337000000000001</v>
      </c>
      <c r="M628" s="15">
        <v>5.1456000000000002E-2</v>
      </c>
      <c r="N628" s="15">
        <v>0.36154934018987339</v>
      </c>
    </row>
    <row r="629" spans="1:14" x14ac:dyDescent="0.2">
      <c r="A629" s="2" t="s">
        <v>10069</v>
      </c>
      <c r="B629" s="15">
        <v>16</v>
      </c>
      <c r="C629" s="15">
        <v>1</v>
      </c>
      <c r="D629" s="15">
        <v>14720132</v>
      </c>
      <c r="E629" s="15">
        <v>15755230</v>
      </c>
      <c r="F629" s="15">
        <v>2274</v>
      </c>
      <c r="G629" s="8" t="s">
        <v>12324</v>
      </c>
      <c r="H629" s="24" t="s">
        <v>662</v>
      </c>
      <c r="I629" s="25" t="s">
        <v>663</v>
      </c>
      <c r="J629" s="8" t="s">
        <v>664</v>
      </c>
      <c r="K629" s="8" t="s">
        <v>10040</v>
      </c>
      <c r="L629" s="15">
        <v>0.61508099999999999</v>
      </c>
      <c r="M629" s="15">
        <v>5.0982399999999997E-2</v>
      </c>
      <c r="N629" s="15">
        <v>0.36154934018987339</v>
      </c>
    </row>
    <row r="630" spans="1:14" x14ac:dyDescent="0.2">
      <c r="A630" s="2" t="s">
        <v>10069</v>
      </c>
      <c r="B630" s="15">
        <v>850</v>
      </c>
      <c r="C630" s="15">
        <v>5</v>
      </c>
      <c r="D630" s="15">
        <v>89584467</v>
      </c>
      <c r="E630" s="15">
        <v>90793804</v>
      </c>
      <c r="F630" s="15">
        <v>1491</v>
      </c>
      <c r="G630" s="8" t="s">
        <v>12324</v>
      </c>
      <c r="H630" s="24" t="s">
        <v>662</v>
      </c>
      <c r="I630" s="25" t="s">
        <v>663</v>
      </c>
      <c r="J630" s="8" t="s">
        <v>664</v>
      </c>
      <c r="K630" s="8" t="s">
        <v>10040</v>
      </c>
      <c r="L630" s="15">
        <v>-0.71777100000000005</v>
      </c>
      <c r="M630" s="15">
        <v>5.11461E-2</v>
      </c>
      <c r="N630" s="15">
        <v>0.36154934018987339</v>
      </c>
    </row>
    <row r="631" spans="1:14" x14ac:dyDescent="0.2">
      <c r="A631" s="2" t="s">
        <v>10069</v>
      </c>
      <c r="B631" s="15">
        <v>611</v>
      </c>
      <c r="C631" s="15">
        <v>4</v>
      </c>
      <c r="D631" s="15">
        <v>11050120</v>
      </c>
      <c r="E631" s="15">
        <v>12209028</v>
      </c>
      <c r="F631" s="15">
        <v>2461</v>
      </c>
      <c r="G631" s="8" t="s">
        <v>12324</v>
      </c>
      <c r="H631" s="24" t="s">
        <v>662</v>
      </c>
      <c r="I631" s="25" t="s">
        <v>663</v>
      </c>
      <c r="J631" s="8" t="s">
        <v>664</v>
      </c>
      <c r="K631" s="8" t="s">
        <v>10040</v>
      </c>
      <c r="L631" s="15">
        <v>-0.73575599999999997</v>
      </c>
      <c r="M631" s="15">
        <v>5.1394099999999998E-2</v>
      </c>
      <c r="N631" s="15">
        <v>0.36154934018987339</v>
      </c>
    </row>
    <row r="632" spans="1:14" x14ac:dyDescent="0.2">
      <c r="A632" s="2" t="s">
        <v>10069</v>
      </c>
      <c r="B632" s="15">
        <v>2472</v>
      </c>
      <c r="C632" s="15">
        <v>22</v>
      </c>
      <c r="D632" s="15">
        <v>27192924</v>
      </c>
      <c r="E632" s="15">
        <v>27952441</v>
      </c>
      <c r="F632" s="15">
        <v>1955</v>
      </c>
      <c r="G632" s="8" t="s">
        <v>12324</v>
      </c>
      <c r="H632" s="24" t="s">
        <v>662</v>
      </c>
      <c r="I632" s="25" t="s">
        <v>663</v>
      </c>
      <c r="J632" s="8" t="s">
        <v>664</v>
      </c>
      <c r="K632" s="8" t="s">
        <v>10040</v>
      </c>
      <c r="L632" s="15">
        <v>-0.38407200000000002</v>
      </c>
      <c r="M632" s="15">
        <v>5.15218E-2</v>
      </c>
      <c r="N632" s="15">
        <v>0.36154934018987339</v>
      </c>
    </row>
    <row r="633" spans="1:14" x14ac:dyDescent="0.2">
      <c r="A633" s="2" t="s">
        <v>10066</v>
      </c>
      <c r="B633" s="15">
        <v>546</v>
      </c>
      <c r="C633" s="15">
        <v>3</v>
      </c>
      <c r="D633" s="15">
        <v>142976708</v>
      </c>
      <c r="E633" s="15">
        <v>144408821</v>
      </c>
      <c r="F633" s="15">
        <v>3667</v>
      </c>
      <c r="G633" s="8" t="s">
        <v>12324</v>
      </c>
      <c r="H633" s="24" t="s">
        <v>3164</v>
      </c>
      <c r="I633" s="25" t="s">
        <v>3165</v>
      </c>
      <c r="J633" s="8" t="s">
        <v>3166</v>
      </c>
      <c r="K633" s="8" t="s">
        <v>10042</v>
      </c>
      <c r="L633" s="15">
        <v>0.61526400000000003</v>
      </c>
      <c r="M633" s="15">
        <v>5.1407599999999998E-2</v>
      </c>
      <c r="N633" s="15">
        <v>0.36154934018987339</v>
      </c>
    </row>
    <row r="634" spans="1:14" x14ac:dyDescent="0.2">
      <c r="A634" s="2" t="s">
        <v>10068</v>
      </c>
      <c r="B634" s="15">
        <v>598</v>
      </c>
      <c r="C634" s="15">
        <v>4</v>
      </c>
      <c r="D634" s="15">
        <v>1529268</v>
      </c>
      <c r="E634" s="15">
        <v>2468935</v>
      </c>
      <c r="F634" s="15">
        <v>2402</v>
      </c>
      <c r="G634" s="8" t="s">
        <v>12324</v>
      </c>
      <c r="H634" s="24" t="s">
        <v>6565</v>
      </c>
      <c r="I634" s="25" t="s">
        <v>6475</v>
      </c>
      <c r="J634" s="8" t="s">
        <v>6566</v>
      </c>
      <c r="K634" s="8" t="s">
        <v>10054</v>
      </c>
      <c r="L634" s="15">
        <v>-0.310589</v>
      </c>
      <c r="M634" s="15">
        <v>5.1375200000000003E-2</v>
      </c>
      <c r="N634" s="15">
        <v>0.36154934018987339</v>
      </c>
    </row>
    <row r="635" spans="1:14" x14ac:dyDescent="0.2">
      <c r="A635" s="2" t="s">
        <v>10068</v>
      </c>
      <c r="B635" s="15">
        <v>1109</v>
      </c>
      <c r="C635" s="15">
        <v>7</v>
      </c>
      <c r="D635" s="15">
        <v>11232448</v>
      </c>
      <c r="E635" s="15">
        <v>11855413</v>
      </c>
      <c r="F635" s="15">
        <v>2249</v>
      </c>
      <c r="G635" s="8" t="s">
        <v>12324</v>
      </c>
      <c r="H635" s="24" t="s">
        <v>494</v>
      </c>
      <c r="I635" s="25">
        <v>25920</v>
      </c>
      <c r="J635" s="8" t="s">
        <v>496</v>
      </c>
      <c r="K635" s="8" t="s">
        <v>10040</v>
      </c>
      <c r="L635" s="15">
        <v>-0.28517900000000002</v>
      </c>
      <c r="M635" s="15">
        <v>5.2051500000000001E-2</v>
      </c>
      <c r="N635" s="15">
        <v>0.36348062480376758</v>
      </c>
    </row>
    <row r="636" spans="1:14" x14ac:dyDescent="0.2">
      <c r="A636" s="2" t="s">
        <v>10068</v>
      </c>
      <c r="B636" s="15">
        <v>2251</v>
      </c>
      <c r="C636" s="15">
        <v>18</v>
      </c>
      <c r="D636" s="15">
        <v>12735559</v>
      </c>
      <c r="E636" s="15">
        <v>13641479</v>
      </c>
      <c r="F636" s="15">
        <v>2392</v>
      </c>
      <c r="G636" s="8" t="s">
        <v>12324</v>
      </c>
      <c r="H636" s="24" t="s">
        <v>599</v>
      </c>
      <c r="I636" s="25">
        <v>26562</v>
      </c>
      <c r="J636" s="8" t="s">
        <v>601</v>
      </c>
      <c r="K636" s="8" t="s">
        <v>10040</v>
      </c>
      <c r="L636" s="15">
        <v>-0.58245499999999995</v>
      </c>
      <c r="M636" s="15">
        <v>5.1947800000000002E-2</v>
      </c>
      <c r="N636" s="15">
        <v>0.36348062480376758</v>
      </c>
    </row>
    <row r="637" spans="1:14" x14ac:dyDescent="0.2">
      <c r="A637" s="2" t="s">
        <v>10068</v>
      </c>
      <c r="B637" s="15">
        <v>2240</v>
      </c>
      <c r="C637" s="15">
        <v>18</v>
      </c>
      <c r="D637" s="15">
        <v>1940212</v>
      </c>
      <c r="E637" s="15">
        <v>2839842</v>
      </c>
      <c r="F637" s="15">
        <v>3169</v>
      </c>
      <c r="G637" s="8" t="s">
        <v>12324</v>
      </c>
      <c r="H637" s="24" t="s">
        <v>599</v>
      </c>
      <c r="I637" s="25">
        <v>26562</v>
      </c>
      <c r="J637" s="8" t="s">
        <v>601</v>
      </c>
      <c r="K637" s="8" t="s">
        <v>10040</v>
      </c>
      <c r="L637" s="15">
        <v>0.81060399999999999</v>
      </c>
      <c r="M637" s="15">
        <v>5.2083200000000003E-2</v>
      </c>
      <c r="N637" s="15">
        <v>0.36348062480376758</v>
      </c>
    </row>
    <row r="638" spans="1:14" x14ac:dyDescent="0.2">
      <c r="A638" s="2" t="s">
        <v>10068</v>
      </c>
      <c r="B638" s="15">
        <v>196</v>
      </c>
      <c r="C638" s="15">
        <v>1</v>
      </c>
      <c r="D638" s="15">
        <v>244723197</v>
      </c>
      <c r="E638" s="15">
        <v>245970505</v>
      </c>
      <c r="F638" s="15">
        <v>3686</v>
      </c>
      <c r="G638" s="8" t="s">
        <v>12324</v>
      </c>
      <c r="H638" s="24" t="s">
        <v>599</v>
      </c>
      <c r="I638" s="25">
        <v>26562</v>
      </c>
      <c r="J638" s="8" t="s">
        <v>601</v>
      </c>
      <c r="K638" s="8" t="s">
        <v>10040</v>
      </c>
      <c r="L638" s="15">
        <v>0.35570600000000002</v>
      </c>
      <c r="M638" s="15">
        <v>5.2206799999999998E-2</v>
      </c>
      <c r="N638" s="15">
        <v>0.36348062480376758</v>
      </c>
    </row>
    <row r="639" spans="1:14" x14ac:dyDescent="0.2">
      <c r="A639" s="2" t="s">
        <v>10066</v>
      </c>
      <c r="B639" s="15">
        <v>2047</v>
      </c>
      <c r="C639" s="15">
        <v>15</v>
      </c>
      <c r="D639" s="15">
        <v>36583328</v>
      </c>
      <c r="E639" s="15">
        <v>37962915</v>
      </c>
      <c r="F639" s="15">
        <v>3558</v>
      </c>
      <c r="G639" s="8" t="s">
        <v>12324</v>
      </c>
      <c r="H639" s="24" t="s">
        <v>6008</v>
      </c>
      <c r="I639" s="25" t="s">
        <v>6009</v>
      </c>
      <c r="J639" s="8" t="s">
        <v>6010</v>
      </c>
      <c r="K639" s="8" t="s">
        <v>10051</v>
      </c>
      <c r="L639" s="15">
        <v>-0.73391200000000001</v>
      </c>
      <c r="M639" s="15">
        <v>5.2173700000000003E-2</v>
      </c>
      <c r="N639" s="15">
        <v>0.36348062480376758</v>
      </c>
    </row>
    <row r="640" spans="1:14" x14ac:dyDescent="0.2">
      <c r="A640" s="2" t="s">
        <v>10066</v>
      </c>
      <c r="B640" s="15">
        <v>67</v>
      </c>
      <c r="C640" s="15">
        <v>1</v>
      </c>
      <c r="D640" s="15">
        <v>77895395</v>
      </c>
      <c r="E640" s="15">
        <v>79065286</v>
      </c>
      <c r="F640" s="15">
        <v>2502</v>
      </c>
      <c r="G640" s="8" t="s">
        <v>12324</v>
      </c>
      <c r="H640" s="24" t="s">
        <v>6008</v>
      </c>
      <c r="I640" s="25" t="s">
        <v>6009</v>
      </c>
      <c r="J640" s="8" t="s">
        <v>6010</v>
      </c>
      <c r="K640" s="8" t="s">
        <v>10051</v>
      </c>
      <c r="L640" s="15">
        <v>0.68701100000000004</v>
      </c>
      <c r="M640" s="15">
        <v>5.2305400000000002E-2</v>
      </c>
      <c r="N640" s="15">
        <v>0.36359631504702189</v>
      </c>
    </row>
    <row r="641" spans="1:14" x14ac:dyDescent="0.2">
      <c r="A641" s="2" t="s">
        <v>10068</v>
      </c>
      <c r="B641" s="15">
        <v>2157</v>
      </c>
      <c r="C641" s="15">
        <v>16</v>
      </c>
      <c r="D641" s="15">
        <v>77739133</v>
      </c>
      <c r="E641" s="15">
        <v>78280636</v>
      </c>
      <c r="F641" s="15">
        <v>2521</v>
      </c>
      <c r="G641" s="8" t="s">
        <v>12324</v>
      </c>
      <c r="H641" s="24" t="s">
        <v>494</v>
      </c>
      <c r="I641" s="25">
        <v>25920</v>
      </c>
      <c r="J641" s="8" t="s">
        <v>496</v>
      </c>
      <c r="K641" s="8" t="s">
        <v>10040</v>
      </c>
      <c r="L641" s="15">
        <v>-0.37423800000000002</v>
      </c>
      <c r="M641" s="15">
        <v>5.2610999999999998E-2</v>
      </c>
      <c r="N641" s="15">
        <v>0.36455700000000002</v>
      </c>
    </row>
    <row r="642" spans="1:14" x14ac:dyDescent="0.2">
      <c r="A642" s="2" t="s">
        <v>10068</v>
      </c>
      <c r="B642" s="15">
        <v>1730</v>
      </c>
      <c r="C642" s="15">
        <v>11</v>
      </c>
      <c r="D642" s="15">
        <v>125266685</v>
      </c>
      <c r="E642" s="15">
        <v>126304240</v>
      </c>
      <c r="F642" s="15">
        <v>2906</v>
      </c>
      <c r="G642" s="8" t="s">
        <v>12324</v>
      </c>
      <c r="H642" s="24" t="s">
        <v>599</v>
      </c>
      <c r="I642" s="25">
        <v>26562</v>
      </c>
      <c r="J642" s="8" t="s">
        <v>601</v>
      </c>
      <c r="K642" s="8" t="s">
        <v>10040</v>
      </c>
      <c r="L642" s="15">
        <v>0.62671200000000005</v>
      </c>
      <c r="M642" s="15">
        <v>5.2725000000000001E-2</v>
      </c>
      <c r="N642" s="15">
        <v>0.36455700000000002</v>
      </c>
    </row>
    <row r="643" spans="1:14" x14ac:dyDescent="0.2">
      <c r="A643" s="2" t="s">
        <v>10066</v>
      </c>
      <c r="B643" s="15">
        <v>2321</v>
      </c>
      <c r="C643" s="15">
        <v>19</v>
      </c>
      <c r="D643" s="15">
        <v>13968320</v>
      </c>
      <c r="E643" s="15">
        <v>14891100</v>
      </c>
      <c r="F643" s="15">
        <v>2338</v>
      </c>
      <c r="G643" s="8" t="s">
        <v>12324</v>
      </c>
      <c r="H643" s="24" t="s">
        <v>3164</v>
      </c>
      <c r="I643" s="25" t="s">
        <v>3165</v>
      </c>
      <c r="J643" s="8" t="s">
        <v>3166</v>
      </c>
      <c r="K643" s="8" t="s">
        <v>10042</v>
      </c>
      <c r="L643" s="15">
        <v>0.468885</v>
      </c>
      <c r="M643" s="15">
        <v>5.2532000000000002E-2</v>
      </c>
      <c r="N643" s="15">
        <v>0.36455700000000002</v>
      </c>
    </row>
    <row r="644" spans="1:14" x14ac:dyDescent="0.2">
      <c r="A644" s="2" t="s">
        <v>10066</v>
      </c>
      <c r="B644" s="15">
        <v>2226</v>
      </c>
      <c r="C644" s="15">
        <v>17</v>
      </c>
      <c r="D644" s="15">
        <v>69245591</v>
      </c>
      <c r="E644" s="15">
        <v>70495119</v>
      </c>
      <c r="F644" s="15">
        <v>3001</v>
      </c>
      <c r="G644" s="8" t="s">
        <v>12324</v>
      </c>
      <c r="H644" s="24" t="s">
        <v>3164</v>
      </c>
      <c r="I644" s="25" t="s">
        <v>3165</v>
      </c>
      <c r="J644" s="8" t="s">
        <v>3166</v>
      </c>
      <c r="K644" s="8" t="s">
        <v>10042</v>
      </c>
      <c r="L644" s="15">
        <v>0.458818</v>
      </c>
      <c r="M644" s="15">
        <v>5.2772399999999997E-2</v>
      </c>
      <c r="N644" s="15">
        <v>0.36455700000000002</v>
      </c>
    </row>
    <row r="645" spans="1:14" x14ac:dyDescent="0.2">
      <c r="A645" s="2" t="s">
        <v>10066</v>
      </c>
      <c r="B645" s="15">
        <v>1690</v>
      </c>
      <c r="C645" s="15">
        <v>11</v>
      </c>
      <c r="D645" s="15">
        <v>83677774</v>
      </c>
      <c r="E645" s="15">
        <v>84613229</v>
      </c>
      <c r="F645" s="15">
        <v>2219</v>
      </c>
      <c r="G645" s="8" t="s">
        <v>12324</v>
      </c>
      <c r="H645" s="24" t="s">
        <v>3164</v>
      </c>
      <c r="I645" s="25" t="s">
        <v>3165</v>
      </c>
      <c r="J645" s="8" t="s">
        <v>3166</v>
      </c>
      <c r="K645" s="8" t="s">
        <v>10042</v>
      </c>
      <c r="L645" s="15">
        <v>0.638517</v>
      </c>
      <c r="M645" s="15">
        <v>5.2867400000000002E-2</v>
      </c>
      <c r="N645" s="15">
        <v>0.36464528615863151</v>
      </c>
    </row>
    <row r="646" spans="1:14" x14ac:dyDescent="0.2">
      <c r="A646" s="2" t="s">
        <v>10068</v>
      </c>
      <c r="B646" s="15">
        <v>37</v>
      </c>
      <c r="C646" s="15">
        <v>1</v>
      </c>
      <c r="D646" s="15">
        <v>40200951</v>
      </c>
      <c r="E646" s="15">
        <v>41093875</v>
      </c>
      <c r="F646" s="15">
        <v>2151</v>
      </c>
      <c r="G646" s="8" t="s">
        <v>12324</v>
      </c>
      <c r="H646" s="24" t="s">
        <v>494</v>
      </c>
      <c r="I646" s="25">
        <v>25920</v>
      </c>
      <c r="J646" s="8" t="s">
        <v>496</v>
      </c>
      <c r="K646" s="8" t="s">
        <v>10040</v>
      </c>
      <c r="L646" s="15">
        <v>-0.65217800000000004</v>
      </c>
      <c r="M646" s="15">
        <v>5.30208E-2</v>
      </c>
      <c r="N646" s="15">
        <v>0.3648595426356589</v>
      </c>
    </row>
    <row r="647" spans="1:14" x14ac:dyDescent="0.2">
      <c r="A647" s="2" t="s">
        <v>10066</v>
      </c>
      <c r="B647" s="15">
        <v>2356</v>
      </c>
      <c r="C647" s="15">
        <v>19</v>
      </c>
      <c r="D647" s="15">
        <v>49415190</v>
      </c>
      <c r="E647" s="15">
        <v>50451925</v>
      </c>
      <c r="F647" s="15">
        <v>2624</v>
      </c>
      <c r="G647" s="8" t="s">
        <v>12324</v>
      </c>
      <c r="H647" s="24" t="s">
        <v>3164</v>
      </c>
      <c r="I647" s="25" t="s">
        <v>3165</v>
      </c>
      <c r="J647" s="8" t="s">
        <v>3166</v>
      </c>
      <c r="K647" s="8" t="s">
        <v>10042</v>
      </c>
      <c r="L647" s="15">
        <v>-0.57905700000000004</v>
      </c>
      <c r="M647" s="15">
        <v>5.3062999999999999E-2</v>
      </c>
      <c r="N647" s="15">
        <v>0.3648595426356589</v>
      </c>
    </row>
    <row r="648" spans="1:14" x14ac:dyDescent="0.2">
      <c r="A648" s="2" t="s">
        <v>10066</v>
      </c>
      <c r="B648" s="15">
        <v>1437</v>
      </c>
      <c r="C648" s="15">
        <v>9</v>
      </c>
      <c r="D648" s="15">
        <v>92500278</v>
      </c>
      <c r="E648" s="15">
        <v>93441050</v>
      </c>
      <c r="F648" s="15">
        <v>2551</v>
      </c>
      <c r="G648" s="8" t="s">
        <v>12324</v>
      </c>
      <c r="H648" s="24" t="s">
        <v>6008</v>
      </c>
      <c r="I648" s="25" t="s">
        <v>6009</v>
      </c>
      <c r="J648" s="8" t="s">
        <v>6010</v>
      </c>
      <c r="K648" s="8" t="s">
        <v>10051</v>
      </c>
      <c r="L648" s="15">
        <v>0.34448400000000001</v>
      </c>
      <c r="M648" s="15">
        <v>5.3240500000000003E-2</v>
      </c>
      <c r="N648" s="15">
        <v>0.36551333978328182</v>
      </c>
    </row>
    <row r="649" spans="1:14" x14ac:dyDescent="0.2">
      <c r="A649" s="2" t="s">
        <v>10068</v>
      </c>
      <c r="B649" s="15">
        <v>1371</v>
      </c>
      <c r="C649" s="15">
        <v>9</v>
      </c>
      <c r="D649" s="15">
        <v>653662</v>
      </c>
      <c r="E649" s="15">
        <v>1103598</v>
      </c>
      <c r="F649" s="15">
        <v>1992</v>
      </c>
      <c r="G649" s="8" t="s">
        <v>12324</v>
      </c>
      <c r="H649" s="24" t="s">
        <v>599</v>
      </c>
      <c r="I649" s="25">
        <v>26562</v>
      </c>
      <c r="J649" s="8" t="s">
        <v>601</v>
      </c>
      <c r="K649" s="8" t="s">
        <v>10040</v>
      </c>
      <c r="L649" s="15">
        <v>0.49154399999999998</v>
      </c>
      <c r="M649" s="15">
        <v>5.35027E-2</v>
      </c>
      <c r="N649" s="15">
        <v>0.36623244444444453</v>
      </c>
    </row>
    <row r="650" spans="1:14" x14ac:dyDescent="0.2">
      <c r="A650" s="2" t="s">
        <v>10068</v>
      </c>
      <c r="B650" s="15">
        <v>1492</v>
      </c>
      <c r="C650" s="15">
        <v>10</v>
      </c>
      <c r="D650" s="15">
        <v>5396243</v>
      </c>
      <c r="E650" s="15">
        <v>6234718</v>
      </c>
      <c r="F650" s="15">
        <v>3063</v>
      </c>
      <c r="G650" s="8" t="s">
        <v>12324</v>
      </c>
      <c r="H650" s="24" t="s">
        <v>1259</v>
      </c>
      <c r="I650" s="25">
        <v>27096</v>
      </c>
      <c r="J650" s="8" t="s">
        <v>1261</v>
      </c>
      <c r="K650" s="8" t="s">
        <v>10040</v>
      </c>
      <c r="L650" s="15">
        <v>0.56614799999999998</v>
      </c>
      <c r="M650" s="15">
        <v>5.35104E-2</v>
      </c>
      <c r="N650" s="15">
        <v>0.36623244444444453</v>
      </c>
    </row>
    <row r="651" spans="1:14" x14ac:dyDescent="0.2">
      <c r="A651" s="2" t="s">
        <v>10068</v>
      </c>
      <c r="B651" s="15">
        <v>2023</v>
      </c>
      <c r="C651" s="15">
        <v>14</v>
      </c>
      <c r="D651" s="15">
        <v>97174315</v>
      </c>
      <c r="E651" s="15">
        <v>98268391</v>
      </c>
      <c r="F651" s="15">
        <v>2882</v>
      </c>
      <c r="G651" s="8" t="s">
        <v>12324</v>
      </c>
      <c r="H651" s="24" t="s">
        <v>494</v>
      </c>
      <c r="I651" s="25">
        <v>25920</v>
      </c>
      <c r="J651" s="8" t="s">
        <v>496</v>
      </c>
      <c r="K651" s="8" t="s">
        <v>10040</v>
      </c>
      <c r="L651" s="15">
        <v>-0.34404699999999999</v>
      </c>
      <c r="M651" s="15">
        <v>5.3909800000000001E-2</v>
      </c>
      <c r="N651" s="15">
        <v>0.36726568817204303</v>
      </c>
    </row>
    <row r="652" spans="1:14" x14ac:dyDescent="0.2">
      <c r="A652" s="2" t="s">
        <v>10066</v>
      </c>
      <c r="B652" s="15">
        <v>379</v>
      </c>
      <c r="C652" s="15">
        <v>2</v>
      </c>
      <c r="D652" s="15">
        <v>199654970</v>
      </c>
      <c r="E652" s="15">
        <v>201324132</v>
      </c>
      <c r="F652" s="15">
        <v>2772</v>
      </c>
      <c r="G652" s="8" t="s">
        <v>12324</v>
      </c>
      <c r="H652" s="24" t="s">
        <v>6008</v>
      </c>
      <c r="I652" s="25" t="s">
        <v>6009</v>
      </c>
      <c r="J652" s="8" t="s">
        <v>6010</v>
      </c>
      <c r="K652" s="8" t="s">
        <v>10051</v>
      </c>
      <c r="L652" s="15">
        <v>0.44632300000000003</v>
      </c>
      <c r="M652" s="15">
        <v>5.3856599999999998E-2</v>
      </c>
      <c r="N652" s="15">
        <v>0.36726568817204303</v>
      </c>
    </row>
    <row r="653" spans="1:14" x14ac:dyDescent="0.2">
      <c r="A653" s="2" t="s">
        <v>10068</v>
      </c>
      <c r="B653" s="15">
        <v>1351</v>
      </c>
      <c r="C653" s="15">
        <v>8</v>
      </c>
      <c r="D653" s="15">
        <v>125453323</v>
      </c>
      <c r="E653" s="15">
        <v>126766827</v>
      </c>
      <c r="F653" s="15">
        <v>3453</v>
      </c>
      <c r="G653" s="8" t="s">
        <v>12324</v>
      </c>
      <c r="H653" s="24" t="s">
        <v>6565</v>
      </c>
      <c r="I653" s="25" t="s">
        <v>6475</v>
      </c>
      <c r="J653" s="8" t="s">
        <v>6566</v>
      </c>
      <c r="K653" s="8" t="s">
        <v>10054</v>
      </c>
      <c r="L653" s="15">
        <v>-0.37793100000000002</v>
      </c>
      <c r="M653" s="15">
        <v>5.3865299999999998E-2</v>
      </c>
      <c r="N653" s="15">
        <v>0.36726568817204303</v>
      </c>
    </row>
    <row r="654" spans="1:14" x14ac:dyDescent="0.2">
      <c r="A654" s="2" t="s">
        <v>10068</v>
      </c>
      <c r="B654" s="15">
        <v>223</v>
      </c>
      <c r="C654" s="15">
        <v>2</v>
      </c>
      <c r="D654" s="15">
        <v>18656326</v>
      </c>
      <c r="E654" s="15">
        <v>20064517</v>
      </c>
      <c r="F654" s="15">
        <v>3982</v>
      </c>
      <c r="G654" s="8" t="s">
        <v>12324</v>
      </c>
      <c r="H654" s="24" t="s">
        <v>599</v>
      </c>
      <c r="I654" s="25">
        <v>26562</v>
      </c>
      <c r="J654" s="8" t="s">
        <v>601</v>
      </c>
      <c r="K654" s="8" t="s">
        <v>10040</v>
      </c>
      <c r="L654" s="15">
        <v>0.54954999999999998</v>
      </c>
      <c r="M654" s="15">
        <v>5.4348399999999998E-2</v>
      </c>
      <c r="N654" s="15">
        <v>0.36815849083969471</v>
      </c>
    </row>
    <row r="655" spans="1:14" x14ac:dyDescent="0.2">
      <c r="A655" s="2" t="s">
        <v>10069</v>
      </c>
      <c r="B655" s="15">
        <v>1594</v>
      </c>
      <c r="C655" s="15">
        <v>10</v>
      </c>
      <c r="D655" s="15">
        <v>120592840</v>
      </c>
      <c r="E655" s="15">
        <v>121874445</v>
      </c>
      <c r="F655" s="15">
        <v>2410</v>
      </c>
      <c r="G655" s="8" t="s">
        <v>12324</v>
      </c>
      <c r="H655" s="24" t="s">
        <v>662</v>
      </c>
      <c r="I655" s="25" t="s">
        <v>663</v>
      </c>
      <c r="J655" s="8" t="s">
        <v>664</v>
      </c>
      <c r="K655" s="8" t="s">
        <v>10040</v>
      </c>
      <c r="L655" s="15">
        <v>-0.55425199999999997</v>
      </c>
      <c r="M655" s="15">
        <v>5.42985E-2</v>
      </c>
      <c r="N655" s="15">
        <v>0.36815849083969471</v>
      </c>
    </row>
    <row r="656" spans="1:14" x14ac:dyDescent="0.2">
      <c r="A656" s="2" t="s">
        <v>10066</v>
      </c>
      <c r="B656" s="15">
        <v>2179</v>
      </c>
      <c r="C656" s="15">
        <v>17</v>
      </c>
      <c r="D656" s="15">
        <v>5573785</v>
      </c>
      <c r="E656" s="15">
        <v>6305078</v>
      </c>
      <c r="F656" s="15">
        <v>2658</v>
      </c>
      <c r="G656" s="8" t="s">
        <v>12324</v>
      </c>
      <c r="H656" s="24" t="s">
        <v>3164</v>
      </c>
      <c r="I656" s="25" t="s">
        <v>3165</v>
      </c>
      <c r="J656" s="8" t="s">
        <v>3166</v>
      </c>
      <c r="K656" s="8" t="s">
        <v>10042</v>
      </c>
      <c r="L656" s="15">
        <v>-0.27847499999999997</v>
      </c>
      <c r="M656" s="15">
        <v>5.4372900000000002E-2</v>
      </c>
      <c r="N656" s="15">
        <v>0.36815849083969471</v>
      </c>
    </row>
    <row r="657" spans="1:14" x14ac:dyDescent="0.2">
      <c r="A657" s="2" t="s">
        <v>10066</v>
      </c>
      <c r="B657" s="15">
        <v>861</v>
      </c>
      <c r="C657" s="15">
        <v>5</v>
      </c>
      <c r="D657" s="15">
        <v>102903986</v>
      </c>
      <c r="E657" s="15">
        <v>103788460</v>
      </c>
      <c r="F657" s="15">
        <v>2191</v>
      </c>
      <c r="G657" s="8" t="s">
        <v>12324</v>
      </c>
      <c r="H657" s="24" t="s">
        <v>6008</v>
      </c>
      <c r="I657" s="25" t="s">
        <v>6009</v>
      </c>
      <c r="J657" s="8" t="s">
        <v>6010</v>
      </c>
      <c r="K657" s="8" t="s">
        <v>10051</v>
      </c>
      <c r="L657" s="15">
        <v>-0.71060999999999996</v>
      </c>
      <c r="M657" s="15">
        <v>5.4216E-2</v>
      </c>
      <c r="N657" s="15">
        <v>0.36815849083969471</v>
      </c>
    </row>
    <row r="658" spans="1:14" x14ac:dyDescent="0.2">
      <c r="A658" s="2" t="s">
        <v>10068</v>
      </c>
      <c r="B658" s="15">
        <v>2292</v>
      </c>
      <c r="C658" s="15">
        <v>18</v>
      </c>
      <c r="D658" s="15">
        <v>64253144</v>
      </c>
      <c r="E658" s="15">
        <v>65294195</v>
      </c>
      <c r="F658" s="15">
        <v>3098</v>
      </c>
      <c r="G658" s="8" t="s">
        <v>12324</v>
      </c>
      <c r="H658" s="24" t="s">
        <v>494</v>
      </c>
      <c r="I658" s="25">
        <v>25920</v>
      </c>
      <c r="J658" s="8" t="s">
        <v>496</v>
      </c>
      <c r="K658" s="8" t="s">
        <v>10040</v>
      </c>
      <c r="L658" s="15">
        <v>-0.37740099999999999</v>
      </c>
      <c r="M658" s="15">
        <v>5.4530799999999997E-2</v>
      </c>
      <c r="N658" s="15">
        <v>0.36866478353658533</v>
      </c>
    </row>
    <row r="659" spans="1:14" x14ac:dyDescent="0.2">
      <c r="A659" s="2" t="s">
        <v>10069</v>
      </c>
      <c r="B659" s="15">
        <v>2489</v>
      </c>
      <c r="C659" s="15">
        <v>22</v>
      </c>
      <c r="D659" s="15">
        <v>45170650</v>
      </c>
      <c r="E659" s="15">
        <v>46351048</v>
      </c>
      <c r="F659" s="15">
        <v>2606</v>
      </c>
      <c r="G659" s="8" t="s">
        <v>12324</v>
      </c>
      <c r="H659" s="24" t="s">
        <v>662</v>
      </c>
      <c r="I659" s="25" t="s">
        <v>663</v>
      </c>
      <c r="J659" s="8" t="s">
        <v>664</v>
      </c>
      <c r="K659" s="8" t="s">
        <v>10040</v>
      </c>
      <c r="L659" s="15">
        <v>-0.51252299999999995</v>
      </c>
      <c r="M659" s="15">
        <v>5.5039999999999999E-2</v>
      </c>
      <c r="N659" s="15">
        <v>0.36929258698940998</v>
      </c>
    </row>
    <row r="660" spans="1:14" x14ac:dyDescent="0.2">
      <c r="A660" s="2" t="s">
        <v>10068</v>
      </c>
      <c r="B660" s="15">
        <v>84</v>
      </c>
      <c r="C660" s="15">
        <v>1</v>
      </c>
      <c r="D660" s="15">
        <v>96147577</v>
      </c>
      <c r="E660" s="15">
        <v>97721186</v>
      </c>
      <c r="F660" s="15">
        <v>3591</v>
      </c>
      <c r="G660" s="8" t="s">
        <v>12324</v>
      </c>
      <c r="H660" s="24" t="s">
        <v>1259</v>
      </c>
      <c r="I660" s="25">
        <v>27096</v>
      </c>
      <c r="J660" s="8" t="s">
        <v>1261</v>
      </c>
      <c r="K660" s="8" t="s">
        <v>10040</v>
      </c>
      <c r="L660" s="15">
        <v>0.59552000000000005</v>
      </c>
      <c r="M660" s="15">
        <v>5.4925500000000002E-2</v>
      </c>
      <c r="N660" s="15">
        <v>0.36929258698940998</v>
      </c>
    </row>
    <row r="661" spans="1:14" x14ac:dyDescent="0.2">
      <c r="A661" s="2" t="s">
        <v>10066</v>
      </c>
      <c r="B661" s="15">
        <v>843</v>
      </c>
      <c r="C661" s="15">
        <v>5</v>
      </c>
      <c r="D661" s="15">
        <v>81710195</v>
      </c>
      <c r="E661" s="15">
        <v>82720248</v>
      </c>
      <c r="F661" s="15">
        <v>2473</v>
      </c>
      <c r="G661" s="8" t="s">
        <v>12324</v>
      </c>
      <c r="H661" s="24" t="s">
        <v>3164</v>
      </c>
      <c r="I661" s="25" t="s">
        <v>3165</v>
      </c>
      <c r="J661" s="8" t="s">
        <v>3166</v>
      </c>
      <c r="K661" s="8" t="s">
        <v>10042</v>
      </c>
      <c r="L661" s="15">
        <v>0.75807400000000003</v>
      </c>
      <c r="M661" s="15">
        <v>5.4779700000000001E-2</v>
      </c>
      <c r="N661" s="15">
        <v>0.36929258698940998</v>
      </c>
    </row>
    <row r="662" spans="1:14" x14ac:dyDescent="0.2">
      <c r="A662" s="2" t="s">
        <v>10066</v>
      </c>
      <c r="B662" s="15">
        <v>2175</v>
      </c>
      <c r="C662" s="15">
        <v>17</v>
      </c>
      <c r="D662" s="15">
        <v>1480057</v>
      </c>
      <c r="E662" s="15">
        <v>2699135</v>
      </c>
      <c r="F662" s="15">
        <v>3285</v>
      </c>
      <c r="G662" s="8" t="s">
        <v>12324</v>
      </c>
      <c r="H662" s="24" t="s">
        <v>3164</v>
      </c>
      <c r="I662" s="25" t="s">
        <v>3165</v>
      </c>
      <c r="J662" s="8" t="s">
        <v>3166</v>
      </c>
      <c r="K662" s="8" t="s">
        <v>10042</v>
      </c>
      <c r="L662" s="15">
        <v>-0.23503199999999999</v>
      </c>
      <c r="M662" s="15">
        <v>5.4793000000000001E-2</v>
      </c>
      <c r="N662" s="15">
        <v>0.36929258698940998</v>
      </c>
    </row>
    <row r="663" spans="1:14" x14ac:dyDescent="0.2">
      <c r="A663" s="2" t="s">
        <v>10066</v>
      </c>
      <c r="B663" s="15">
        <v>1948</v>
      </c>
      <c r="C663" s="15">
        <v>13</v>
      </c>
      <c r="D663" s="15">
        <v>109813577</v>
      </c>
      <c r="E663" s="15">
        <v>110995432</v>
      </c>
      <c r="F663" s="15">
        <v>3996</v>
      </c>
      <c r="G663" s="8" t="s">
        <v>12324</v>
      </c>
      <c r="H663" s="24" t="s">
        <v>6008</v>
      </c>
      <c r="I663" s="25" t="s">
        <v>6009</v>
      </c>
      <c r="J663" s="8" t="s">
        <v>6010</v>
      </c>
      <c r="K663" s="8" t="s">
        <v>10051</v>
      </c>
      <c r="L663" s="15">
        <v>0.244897</v>
      </c>
      <c r="M663" s="15">
        <v>5.5032499999999998E-2</v>
      </c>
      <c r="N663" s="15">
        <v>0.36929258698940998</v>
      </c>
    </row>
    <row r="664" spans="1:14" x14ac:dyDescent="0.2">
      <c r="A664" s="2" t="s">
        <v>10068</v>
      </c>
      <c r="B664" s="15">
        <v>477</v>
      </c>
      <c r="C664" s="15">
        <v>3</v>
      </c>
      <c r="D664" s="15">
        <v>64662374</v>
      </c>
      <c r="E664" s="15">
        <v>65326751</v>
      </c>
      <c r="F664" s="15">
        <v>2296</v>
      </c>
      <c r="G664" s="8" t="s">
        <v>12324</v>
      </c>
      <c r="H664" s="24" t="s">
        <v>494</v>
      </c>
      <c r="I664" s="25">
        <v>25920</v>
      </c>
      <c r="J664" s="8" t="s">
        <v>496</v>
      </c>
      <c r="K664" s="8" t="s">
        <v>10040</v>
      </c>
      <c r="L664" s="15">
        <v>-0.54780600000000002</v>
      </c>
      <c r="M664" s="15">
        <v>5.5363599999999999E-2</v>
      </c>
      <c r="N664" s="15">
        <v>0.37090266767371599</v>
      </c>
    </row>
    <row r="665" spans="1:14" x14ac:dyDescent="0.2">
      <c r="A665" s="2" t="s">
        <v>10066</v>
      </c>
      <c r="B665" s="15">
        <v>2322</v>
      </c>
      <c r="C665" s="15">
        <v>19</v>
      </c>
      <c r="D665" s="15">
        <v>14891101</v>
      </c>
      <c r="E665" s="15">
        <v>15650185</v>
      </c>
      <c r="F665" s="15">
        <v>2310</v>
      </c>
      <c r="G665" s="8" t="s">
        <v>12324</v>
      </c>
      <c r="H665" s="24" t="s">
        <v>3164</v>
      </c>
      <c r="I665" s="25" t="s">
        <v>3165</v>
      </c>
      <c r="J665" s="8" t="s">
        <v>3166</v>
      </c>
      <c r="K665" s="8" t="s">
        <v>10042</v>
      </c>
      <c r="L665" s="15">
        <v>-0.41906500000000002</v>
      </c>
      <c r="M665" s="15">
        <v>5.5567699999999998E-2</v>
      </c>
      <c r="N665" s="15">
        <v>0.37170852111613878</v>
      </c>
    </row>
    <row r="666" spans="1:14" x14ac:dyDescent="0.2">
      <c r="A666" s="2" t="s">
        <v>10068</v>
      </c>
      <c r="B666" s="15">
        <v>770</v>
      </c>
      <c r="C666" s="15">
        <v>4</v>
      </c>
      <c r="D666" s="15">
        <v>186232883</v>
      </c>
      <c r="E666" s="15">
        <v>186881568</v>
      </c>
      <c r="F666" s="15">
        <v>2216</v>
      </c>
      <c r="G666" s="8" t="s">
        <v>12324</v>
      </c>
      <c r="H666" s="24" t="s">
        <v>599</v>
      </c>
      <c r="I666" s="25">
        <v>26562</v>
      </c>
      <c r="J666" s="8" t="s">
        <v>601</v>
      </c>
      <c r="K666" s="8" t="s">
        <v>10040</v>
      </c>
      <c r="L666" s="15">
        <v>0.37742199999999998</v>
      </c>
      <c r="M666" s="15">
        <v>5.5920400000000002E-2</v>
      </c>
      <c r="N666" s="15">
        <v>0.37247958308383228</v>
      </c>
    </row>
    <row r="667" spans="1:14" x14ac:dyDescent="0.2">
      <c r="A667" s="2" t="s">
        <v>10068</v>
      </c>
      <c r="B667" s="15">
        <v>307</v>
      </c>
      <c r="C667" s="15">
        <v>2</v>
      </c>
      <c r="D667" s="15">
        <v>113930669</v>
      </c>
      <c r="E667" s="15">
        <v>115203835</v>
      </c>
      <c r="F667" s="15">
        <v>2867</v>
      </c>
      <c r="G667" s="8" t="s">
        <v>12324</v>
      </c>
      <c r="H667" s="24" t="s">
        <v>599</v>
      </c>
      <c r="I667" s="25">
        <v>26562</v>
      </c>
      <c r="J667" s="8" t="s">
        <v>601</v>
      </c>
      <c r="K667" s="8" t="s">
        <v>10040</v>
      </c>
      <c r="L667" s="15">
        <v>-0.52204200000000001</v>
      </c>
      <c r="M667" s="15">
        <v>5.5989499999999998E-2</v>
      </c>
      <c r="N667" s="15">
        <v>0.37247958308383228</v>
      </c>
    </row>
    <row r="668" spans="1:14" x14ac:dyDescent="0.2">
      <c r="A668" s="2" t="s">
        <v>10066</v>
      </c>
      <c r="B668" s="15">
        <v>1422</v>
      </c>
      <c r="C668" s="15">
        <v>9</v>
      </c>
      <c r="D668" s="15">
        <v>76197745</v>
      </c>
      <c r="E668" s="15">
        <v>77862308</v>
      </c>
      <c r="F668" s="15">
        <v>3697</v>
      </c>
      <c r="G668" s="8" t="s">
        <v>12324</v>
      </c>
      <c r="H668" s="24" t="s">
        <v>3164</v>
      </c>
      <c r="I668" s="25" t="s">
        <v>3165</v>
      </c>
      <c r="J668" s="8" t="s">
        <v>3166</v>
      </c>
      <c r="K668" s="8" t="s">
        <v>10042</v>
      </c>
      <c r="L668" s="15">
        <v>-0.54428299999999996</v>
      </c>
      <c r="M668" s="15">
        <v>5.5855700000000001E-2</v>
      </c>
      <c r="N668" s="15">
        <v>0.37247958308383228</v>
      </c>
    </row>
    <row r="669" spans="1:14" x14ac:dyDescent="0.2">
      <c r="A669" s="2" t="s">
        <v>10066</v>
      </c>
      <c r="B669" s="15">
        <v>2404</v>
      </c>
      <c r="C669" s="15">
        <v>20</v>
      </c>
      <c r="D669" s="15">
        <v>40272391</v>
      </c>
      <c r="E669" s="15">
        <v>41351514</v>
      </c>
      <c r="F669" s="15">
        <v>3104</v>
      </c>
      <c r="G669" s="8" t="s">
        <v>12324</v>
      </c>
      <c r="H669" s="24" t="s">
        <v>3164</v>
      </c>
      <c r="I669" s="25" t="s">
        <v>3165</v>
      </c>
      <c r="J669" s="8" t="s">
        <v>3166</v>
      </c>
      <c r="K669" s="8" t="s">
        <v>10042</v>
      </c>
      <c r="L669" s="15">
        <v>0.45899499999999999</v>
      </c>
      <c r="M669" s="15">
        <v>5.6087400000000003E-2</v>
      </c>
      <c r="N669" s="15">
        <v>0.37247958308383228</v>
      </c>
    </row>
    <row r="670" spans="1:14" x14ac:dyDescent="0.2">
      <c r="A670" s="2" t="s">
        <v>10068</v>
      </c>
      <c r="B670" s="15">
        <v>1559</v>
      </c>
      <c r="C670" s="15">
        <v>10</v>
      </c>
      <c r="D670" s="15">
        <v>79952997</v>
      </c>
      <c r="E670" s="15">
        <v>81190573</v>
      </c>
      <c r="F670" s="15">
        <v>3461</v>
      </c>
      <c r="G670" s="8" t="s">
        <v>12324</v>
      </c>
      <c r="H670" s="24" t="s">
        <v>6565</v>
      </c>
      <c r="I670" s="25" t="s">
        <v>6475</v>
      </c>
      <c r="J670" s="8" t="s">
        <v>6566</v>
      </c>
      <c r="K670" s="8" t="s">
        <v>10054</v>
      </c>
      <c r="L670" s="15">
        <v>-0.45014100000000001</v>
      </c>
      <c r="M670" s="15">
        <v>5.6102899999999997E-2</v>
      </c>
      <c r="N670" s="15">
        <v>0.37247958308383228</v>
      </c>
    </row>
    <row r="671" spans="1:14" x14ac:dyDescent="0.2">
      <c r="A671" s="2" t="s">
        <v>10068</v>
      </c>
      <c r="B671" s="15">
        <v>2019</v>
      </c>
      <c r="C671" s="15">
        <v>14</v>
      </c>
      <c r="D671" s="15">
        <v>92101229</v>
      </c>
      <c r="E671" s="15">
        <v>93386328</v>
      </c>
      <c r="F671" s="15">
        <v>3910</v>
      </c>
      <c r="G671" s="8" t="s">
        <v>12324</v>
      </c>
      <c r="H671" s="24" t="s">
        <v>494</v>
      </c>
      <c r="I671" s="25">
        <v>25920</v>
      </c>
      <c r="J671" s="8" t="s">
        <v>496</v>
      </c>
      <c r="K671" s="8" t="s">
        <v>10040</v>
      </c>
      <c r="L671" s="15">
        <v>-0.74576200000000004</v>
      </c>
      <c r="M671" s="15">
        <v>5.6559100000000001E-2</v>
      </c>
      <c r="N671" s="15">
        <v>0.37263695420974879</v>
      </c>
    </row>
    <row r="672" spans="1:14" x14ac:dyDescent="0.2">
      <c r="A672" s="2" t="s">
        <v>10068</v>
      </c>
      <c r="B672" s="15">
        <v>1744</v>
      </c>
      <c r="C672" s="15">
        <v>12</v>
      </c>
      <c r="D672" s="15">
        <v>3871115</v>
      </c>
      <c r="E672" s="15">
        <v>4967643</v>
      </c>
      <c r="F672" s="15">
        <v>2833</v>
      </c>
      <c r="G672" s="8" t="s">
        <v>12324</v>
      </c>
      <c r="H672" s="24" t="s">
        <v>494</v>
      </c>
      <c r="I672" s="25">
        <v>25920</v>
      </c>
      <c r="J672" s="8" t="s">
        <v>496</v>
      </c>
      <c r="K672" s="8" t="s">
        <v>10040</v>
      </c>
      <c r="L672" s="15">
        <v>-0.46508500000000003</v>
      </c>
      <c r="M672" s="15">
        <v>5.6882799999999997E-2</v>
      </c>
      <c r="N672" s="15">
        <v>0.37263695420974879</v>
      </c>
    </row>
    <row r="673" spans="1:14" x14ac:dyDescent="0.2">
      <c r="A673" s="2" t="s">
        <v>10068</v>
      </c>
      <c r="B673" s="15">
        <v>614</v>
      </c>
      <c r="C673" s="15">
        <v>4</v>
      </c>
      <c r="D673" s="15">
        <v>14395887</v>
      </c>
      <c r="E673" s="15">
        <v>14967147</v>
      </c>
      <c r="F673" s="15">
        <v>2082</v>
      </c>
      <c r="G673" s="8" t="s">
        <v>12324</v>
      </c>
      <c r="H673" s="24" t="s">
        <v>599</v>
      </c>
      <c r="I673" s="25">
        <v>26562</v>
      </c>
      <c r="J673" s="8" t="s">
        <v>601</v>
      </c>
      <c r="K673" s="8" t="s">
        <v>10040</v>
      </c>
      <c r="L673" s="15">
        <v>-0.63747200000000004</v>
      </c>
      <c r="M673" s="15">
        <v>5.6852399999999997E-2</v>
      </c>
      <c r="N673" s="15">
        <v>0.37263695420974879</v>
      </c>
    </row>
    <row r="674" spans="1:14" x14ac:dyDescent="0.2">
      <c r="A674" s="2" t="s">
        <v>10069</v>
      </c>
      <c r="B674" s="15">
        <v>2039</v>
      </c>
      <c r="C674" s="15">
        <v>15</v>
      </c>
      <c r="D674" s="15">
        <v>26392948</v>
      </c>
      <c r="E674" s="15">
        <v>27563172</v>
      </c>
      <c r="F674" s="15">
        <v>2074</v>
      </c>
      <c r="G674" s="8" t="s">
        <v>12324</v>
      </c>
      <c r="H674" s="24" t="s">
        <v>662</v>
      </c>
      <c r="I674" s="25" t="s">
        <v>663</v>
      </c>
      <c r="J674" s="8" t="s">
        <v>664</v>
      </c>
      <c r="K674" s="8" t="s">
        <v>10040</v>
      </c>
      <c r="L674" s="15">
        <v>0.47306199999999998</v>
      </c>
      <c r="M674" s="15">
        <v>5.68129E-2</v>
      </c>
      <c r="N674" s="15">
        <v>0.37263695420974879</v>
      </c>
    </row>
    <row r="675" spans="1:14" x14ac:dyDescent="0.2">
      <c r="A675" s="2" t="s">
        <v>10068</v>
      </c>
      <c r="B675" s="15">
        <v>2135</v>
      </c>
      <c r="C675" s="15">
        <v>16</v>
      </c>
      <c r="D675" s="15">
        <v>53393883</v>
      </c>
      <c r="E675" s="15">
        <v>54866095</v>
      </c>
      <c r="F675" s="15">
        <v>4005</v>
      </c>
      <c r="G675" s="8" t="s">
        <v>12324</v>
      </c>
      <c r="H675" s="24" t="s">
        <v>1259</v>
      </c>
      <c r="I675" s="25">
        <v>27096</v>
      </c>
      <c r="J675" s="8" t="s">
        <v>1261</v>
      </c>
      <c r="K675" s="8" t="s">
        <v>10040</v>
      </c>
      <c r="L675" s="15">
        <v>0.43008200000000002</v>
      </c>
      <c r="M675" s="15">
        <v>5.6341299999999997E-2</v>
      </c>
      <c r="N675" s="15">
        <v>0.37263695420974879</v>
      </c>
    </row>
    <row r="676" spans="1:14" x14ac:dyDescent="0.2">
      <c r="A676" s="2" t="s">
        <v>10068</v>
      </c>
      <c r="B676" s="15">
        <v>1914</v>
      </c>
      <c r="C676" s="15">
        <v>13</v>
      </c>
      <c r="D676" s="15">
        <v>74437636</v>
      </c>
      <c r="E676" s="15">
        <v>75882384</v>
      </c>
      <c r="F676" s="15">
        <v>3904</v>
      </c>
      <c r="G676" s="8" t="s">
        <v>12324</v>
      </c>
      <c r="H676" s="24" t="s">
        <v>1259</v>
      </c>
      <c r="I676" s="25">
        <v>27096</v>
      </c>
      <c r="J676" s="8" t="s">
        <v>1261</v>
      </c>
      <c r="K676" s="8" t="s">
        <v>10040</v>
      </c>
      <c r="L676" s="15">
        <v>-0.24430299999999999</v>
      </c>
      <c r="M676" s="15">
        <v>5.64956E-2</v>
      </c>
      <c r="N676" s="15">
        <v>0.37263695420974879</v>
      </c>
    </row>
    <row r="677" spans="1:14" x14ac:dyDescent="0.2">
      <c r="A677" s="2" t="s">
        <v>10068</v>
      </c>
      <c r="B677" s="15">
        <v>975</v>
      </c>
      <c r="C677" s="15">
        <v>6</v>
      </c>
      <c r="D677" s="15">
        <v>39785908</v>
      </c>
      <c r="E677" s="15">
        <v>40778401</v>
      </c>
      <c r="F677" s="15">
        <v>3059</v>
      </c>
      <c r="G677" s="8" t="s">
        <v>12324</v>
      </c>
      <c r="H677" s="24" t="s">
        <v>1259</v>
      </c>
      <c r="I677" s="25">
        <v>27096</v>
      </c>
      <c r="J677" s="8" t="s">
        <v>1261</v>
      </c>
      <c r="K677" s="8" t="s">
        <v>10040</v>
      </c>
      <c r="L677" s="15">
        <v>0.39095999999999997</v>
      </c>
      <c r="M677" s="15">
        <v>5.6739699999999997E-2</v>
      </c>
      <c r="N677" s="15">
        <v>0.37263695420974879</v>
      </c>
    </row>
    <row r="678" spans="1:14" x14ac:dyDescent="0.2">
      <c r="A678" s="2" t="s">
        <v>10068</v>
      </c>
      <c r="B678" s="15">
        <v>2231</v>
      </c>
      <c r="C678" s="15">
        <v>17</v>
      </c>
      <c r="D678" s="15">
        <v>74908267</v>
      </c>
      <c r="E678" s="15">
        <v>75619256</v>
      </c>
      <c r="F678" s="15">
        <v>2646</v>
      </c>
      <c r="G678" s="8" t="s">
        <v>12324</v>
      </c>
      <c r="H678" s="24" t="s">
        <v>1259</v>
      </c>
      <c r="I678" s="25">
        <v>27096</v>
      </c>
      <c r="J678" s="8" t="s">
        <v>1261</v>
      </c>
      <c r="K678" s="8" t="s">
        <v>10040</v>
      </c>
      <c r="L678" s="15">
        <v>0.31997300000000001</v>
      </c>
      <c r="M678" s="15">
        <v>5.6836900000000003E-2</v>
      </c>
      <c r="N678" s="15">
        <v>0.37263695420974879</v>
      </c>
    </row>
    <row r="679" spans="1:14" x14ac:dyDescent="0.2">
      <c r="A679" s="2" t="s">
        <v>10068</v>
      </c>
      <c r="B679" s="15">
        <v>184</v>
      </c>
      <c r="C679" s="15">
        <v>1</v>
      </c>
      <c r="D679" s="15">
        <v>234365797</v>
      </c>
      <c r="E679" s="15">
        <v>235097113</v>
      </c>
      <c r="F679" s="15">
        <v>2254</v>
      </c>
      <c r="G679" s="8" t="s">
        <v>12324</v>
      </c>
      <c r="H679" s="24" t="s">
        <v>1259</v>
      </c>
      <c r="I679" s="25">
        <v>27096</v>
      </c>
      <c r="J679" s="8" t="s">
        <v>1261</v>
      </c>
      <c r="K679" s="8" t="s">
        <v>10040</v>
      </c>
      <c r="L679" s="15">
        <v>-0.42701699999999998</v>
      </c>
      <c r="M679" s="15">
        <v>5.6840500000000002E-2</v>
      </c>
      <c r="N679" s="15">
        <v>0.37263695420974879</v>
      </c>
    </row>
    <row r="680" spans="1:14" x14ac:dyDescent="0.2">
      <c r="A680" s="2" t="s">
        <v>10068</v>
      </c>
      <c r="B680" s="15">
        <v>2143</v>
      </c>
      <c r="C680" s="15">
        <v>16</v>
      </c>
      <c r="D680" s="15">
        <v>64207177</v>
      </c>
      <c r="E680" s="15">
        <v>65072403</v>
      </c>
      <c r="F680" s="15">
        <v>2337</v>
      </c>
      <c r="G680" s="8" t="s">
        <v>12324</v>
      </c>
      <c r="H680" s="24" t="s">
        <v>494</v>
      </c>
      <c r="I680" s="25">
        <v>25920</v>
      </c>
      <c r="J680" s="8" t="s">
        <v>496</v>
      </c>
      <c r="K680" s="8" t="s">
        <v>10040</v>
      </c>
      <c r="L680" s="15">
        <v>-0.62316000000000005</v>
      </c>
      <c r="M680" s="15">
        <v>5.7316499999999999E-2</v>
      </c>
      <c r="N680" s="15">
        <v>0.37492430309734509</v>
      </c>
    </row>
    <row r="681" spans="1:14" x14ac:dyDescent="0.2">
      <c r="A681" s="2" t="s">
        <v>10068</v>
      </c>
      <c r="B681" s="15">
        <v>195</v>
      </c>
      <c r="C681" s="15">
        <v>1</v>
      </c>
      <c r="D681" s="15">
        <v>243048004</v>
      </c>
      <c r="E681" s="15">
        <v>244723196</v>
      </c>
      <c r="F681" s="15">
        <v>3471</v>
      </c>
      <c r="G681" s="8" t="s">
        <v>12324</v>
      </c>
      <c r="H681" s="24" t="s">
        <v>599</v>
      </c>
      <c r="I681" s="25">
        <v>26562</v>
      </c>
      <c r="J681" s="8" t="s">
        <v>601</v>
      </c>
      <c r="K681" s="8" t="s">
        <v>10040</v>
      </c>
      <c r="L681" s="15">
        <v>0.35078100000000001</v>
      </c>
      <c r="M681" s="15">
        <v>5.7497699999999999E-2</v>
      </c>
      <c r="N681" s="15">
        <v>0.37555566936671569</v>
      </c>
    </row>
    <row r="682" spans="1:14" x14ac:dyDescent="0.2">
      <c r="A682" s="2" t="s">
        <v>10066</v>
      </c>
      <c r="B682" s="15">
        <v>2046</v>
      </c>
      <c r="C682" s="15">
        <v>15</v>
      </c>
      <c r="D682" s="15">
        <v>35118928</v>
      </c>
      <c r="E682" s="15">
        <v>36583327</v>
      </c>
      <c r="F682" s="15">
        <v>3537</v>
      </c>
      <c r="G682" s="8" t="s">
        <v>12324</v>
      </c>
      <c r="H682" s="24" t="s">
        <v>6008</v>
      </c>
      <c r="I682" s="25" t="s">
        <v>6009</v>
      </c>
      <c r="J682" s="8" t="s">
        <v>6010</v>
      </c>
      <c r="K682" s="8" t="s">
        <v>10051</v>
      </c>
      <c r="L682" s="15">
        <v>0.31628699999999998</v>
      </c>
      <c r="M682" s="15">
        <v>5.76353E-2</v>
      </c>
      <c r="N682" s="15">
        <v>0.37590081691176469</v>
      </c>
    </row>
    <row r="683" spans="1:14" x14ac:dyDescent="0.2">
      <c r="A683" s="2" t="s">
        <v>10068</v>
      </c>
      <c r="B683" s="15">
        <v>1943</v>
      </c>
      <c r="C683" s="15">
        <v>13</v>
      </c>
      <c r="D683" s="15">
        <v>105672501</v>
      </c>
      <c r="E683" s="15">
        <v>106313847</v>
      </c>
      <c r="F683" s="15">
        <v>2042</v>
      </c>
      <c r="G683" s="8" t="s">
        <v>12324</v>
      </c>
      <c r="H683" s="24" t="s">
        <v>494</v>
      </c>
      <c r="I683" s="25">
        <v>25920</v>
      </c>
      <c r="J683" s="8" t="s">
        <v>496</v>
      </c>
      <c r="K683" s="8" t="s">
        <v>10040</v>
      </c>
      <c r="L683" s="15">
        <v>-0.56861600000000001</v>
      </c>
      <c r="M683" s="15">
        <v>5.8142300000000001E-2</v>
      </c>
      <c r="N683" s="15">
        <v>0.37773602781844812</v>
      </c>
    </row>
    <row r="684" spans="1:14" x14ac:dyDescent="0.2">
      <c r="A684" s="2" t="s">
        <v>10066</v>
      </c>
      <c r="B684" s="15">
        <v>420</v>
      </c>
      <c r="C684" s="15">
        <v>2</v>
      </c>
      <c r="D684" s="15">
        <v>241910367</v>
      </c>
      <c r="E684" s="15">
        <v>243188366</v>
      </c>
      <c r="F684" s="15">
        <v>2879</v>
      </c>
      <c r="G684" s="8" t="s">
        <v>12324</v>
      </c>
      <c r="H684" s="24" t="s">
        <v>6008</v>
      </c>
      <c r="I684" s="25" t="s">
        <v>6009</v>
      </c>
      <c r="J684" s="8" t="s">
        <v>6010</v>
      </c>
      <c r="K684" s="8" t="s">
        <v>10051</v>
      </c>
      <c r="L684" s="15">
        <v>0.41393200000000002</v>
      </c>
      <c r="M684" s="15">
        <v>5.8097799999999998E-2</v>
      </c>
      <c r="N684" s="15">
        <v>0.37773602781844812</v>
      </c>
    </row>
    <row r="685" spans="1:14" x14ac:dyDescent="0.2">
      <c r="A685" s="2" t="s">
        <v>10066</v>
      </c>
      <c r="B685" s="15">
        <v>2024</v>
      </c>
      <c r="C685" s="15">
        <v>14</v>
      </c>
      <c r="D685" s="15">
        <v>98268392</v>
      </c>
      <c r="E685" s="15">
        <v>98885322</v>
      </c>
      <c r="F685" s="15">
        <v>2188</v>
      </c>
      <c r="G685" s="8" t="s">
        <v>12324</v>
      </c>
      <c r="H685" s="24" t="s">
        <v>6008</v>
      </c>
      <c r="I685" s="25" t="s">
        <v>6009</v>
      </c>
      <c r="J685" s="8" t="s">
        <v>6010</v>
      </c>
      <c r="K685" s="8" t="s">
        <v>10051</v>
      </c>
      <c r="L685" s="15">
        <v>-0.51324999999999998</v>
      </c>
      <c r="M685" s="15">
        <v>5.81722E-2</v>
      </c>
      <c r="N685" s="15">
        <v>0.37773602781844812</v>
      </c>
    </row>
    <row r="686" spans="1:14" x14ac:dyDescent="0.2">
      <c r="A686" s="2" t="s">
        <v>10068</v>
      </c>
      <c r="B686" s="15">
        <v>789</v>
      </c>
      <c r="C686" s="15">
        <v>5</v>
      </c>
      <c r="D686" s="15">
        <v>13608148</v>
      </c>
      <c r="E686" s="15">
        <v>14910295</v>
      </c>
      <c r="F686" s="15">
        <v>3247</v>
      </c>
      <c r="G686" s="8" t="s">
        <v>12324</v>
      </c>
      <c r="H686" s="24" t="s">
        <v>599</v>
      </c>
      <c r="I686" s="25">
        <v>26562</v>
      </c>
      <c r="J686" s="8" t="s">
        <v>601</v>
      </c>
      <c r="K686" s="8" t="s">
        <v>10040</v>
      </c>
      <c r="L686" s="15">
        <v>0.38915699999999998</v>
      </c>
      <c r="M686" s="15">
        <v>5.8266800000000001E-2</v>
      </c>
      <c r="N686" s="15">
        <v>0.37774092773722628</v>
      </c>
    </row>
    <row r="687" spans="1:14" x14ac:dyDescent="0.2">
      <c r="A687" s="2" t="s">
        <v>10068</v>
      </c>
      <c r="B687" s="15">
        <v>474</v>
      </c>
      <c r="C687" s="15">
        <v>3</v>
      </c>
      <c r="D687" s="15">
        <v>61277588</v>
      </c>
      <c r="E687" s="15">
        <v>62609818</v>
      </c>
      <c r="F687" s="15">
        <v>3265</v>
      </c>
      <c r="G687" s="8" t="s">
        <v>12324</v>
      </c>
      <c r="H687" s="24" t="s">
        <v>1259</v>
      </c>
      <c r="I687" s="25">
        <v>27096</v>
      </c>
      <c r="J687" s="8" t="s">
        <v>1261</v>
      </c>
      <c r="K687" s="8" t="s">
        <v>10040</v>
      </c>
      <c r="L687" s="15">
        <v>0.49794300000000002</v>
      </c>
      <c r="M687" s="15">
        <v>5.8343300000000001E-2</v>
      </c>
      <c r="N687" s="15">
        <v>0.37774092773722628</v>
      </c>
    </row>
    <row r="688" spans="1:14" x14ac:dyDescent="0.2">
      <c r="A688" s="2" t="s">
        <v>10068</v>
      </c>
      <c r="B688" s="15">
        <v>2451</v>
      </c>
      <c r="C688" s="15">
        <v>21</v>
      </c>
      <c r="D688" s="15">
        <v>37303549</v>
      </c>
      <c r="E688" s="15">
        <v>38046449</v>
      </c>
      <c r="F688" s="15">
        <v>2567</v>
      </c>
      <c r="G688" s="8" t="s">
        <v>12324</v>
      </c>
      <c r="H688" s="24" t="s">
        <v>1259</v>
      </c>
      <c r="I688" s="25">
        <v>27096</v>
      </c>
      <c r="J688" s="8" t="s">
        <v>1261</v>
      </c>
      <c r="K688" s="8" t="s">
        <v>10040</v>
      </c>
      <c r="L688" s="15">
        <v>-0.213807</v>
      </c>
      <c r="M688" s="15">
        <v>5.8539399999999998E-2</v>
      </c>
      <c r="N688" s="15">
        <v>0.37845807434402329</v>
      </c>
    </row>
    <row r="689" spans="1:14" x14ac:dyDescent="0.2">
      <c r="A689" s="2" t="s">
        <v>10068</v>
      </c>
      <c r="B689" s="15">
        <v>1541</v>
      </c>
      <c r="C689" s="15">
        <v>10</v>
      </c>
      <c r="D689" s="15">
        <v>58809134</v>
      </c>
      <c r="E689" s="15">
        <v>59822946</v>
      </c>
      <c r="F689" s="15">
        <v>3586</v>
      </c>
      <c r="G689" s="8" t="s">
        <v>12324</v>
      </c>
      <c r="H689" s="24" t="s">
        <v>1259</v>
      </c>
      <c r="I689" s="25">
        <v>27096</v>
      </c>
      <c r="J689" s="8" t="s">
        <v>1261</v>
      </c>
      <c r="K689" s="8" t="s">
        <v>10040</v>
      </c>
      <c r="L689" s="15">
        <v>0.77956199999999998</v>
      </c>
      <c r="M689" s="15">
        <v>5.8925999999999999E-2</v>
      </c>
      <c r="N689" s="15">
        <v>0.38040292576419221</v>
      </c>
    </row>
    <row r="690" spans="1:14" x14ac:dyDescent="0.2">
      <c r="A690" s="2" t="s">
        <v>10068</v>
      </c>
      <c r="B690" s="15">
        <v>1389</v>
      </c>
      <c r="C690" s="15">
        <v>9</v>
      </c>
      <c r="D690" s="15">
        <v>14244748</v>
      </c>
      <c r="E690" s="15">
        <v>14902924</v>
      </c>
      <c r="F690" s="15">
        <v>2096</v>
      </c>
      <c r="G690" s="8" t="s">
        <v>12324</v>
      </c>
      <c r="H690" s="24" t="s">
        <v>494</v>
      </c>
      <c r="I690" s="25">
        <v>25920</v>
      </c>
      <c r="J690" s="8" t="s">
        <v>496</v>
      </c>
      <c r="K690" s="8" t="s">
        <v>10040</v>
      </c>
      <c r="L690" s="15">
        <v>0.23719899999999999</v>
      </c>
      <c r="M690" s="15">
        <v>5.9248200000000001E-2</v>
      </c>
      <c r="N690" s="15">
        <v>0.38192698691860472</v>
      </c>
    </row>
    <row r="691" spans="1:14" x14ac:dyDescent="0.2">
      <c r="A691" s="2" t="s">
        <v>10068</v>
      </c>
      <c r="B691" s="15">
        <v>2274</v>
      </c>
      <c r="C691" s="15">
        <v>18</v>
      </c>
      <c r="D691" s="15">
        <v>45718493</v>
      </c>
      <c r="E691" s="15">
        <v>46558306</v>
      </c>
      <c r="F691" s="15">
        <v>2471</v>
      </c>
      <c r="G691" s="8" t="s">
        <v>12324</v>
      </c>
      <c r="H691" s="24" t="s">
        <v>599</v>
      </c>
      <c r="I691" s="25">
        <v>26562</v>
      </c>
      <c r="J691" s="8" t="s">
        <v>601</v>
      </c>
      <c r="K691" s="8" t="s">
        <v>10040</v>
      </c>
      <c r="L691" s="15">
        <v>-0.70540599999999998</v>
      </c>
      <c r="M691" s="15">
        <v>5.9348100000000001E-2</v>
      </c>
      <c r="N691" s="15">
        <v>0.38201570899854859</v>
      </c>
    </row>
    <row r="692" spans="1:14" x14ac:dyDescent="0.2">
      <c r="A692" s="2" t="s">
        <v>10068</v>
      </c>
      <c r="B692" s="15">
        <v>1296</v>
      </c>
      <c r="C692" s="15">
        <v>8</v>
      </c>
      <c r="D692" s="15">
        <v>59555978</v>
      </c>
      <c r="E692" s="15">
        <v>60476248</v>
      </c>
      <c r="F692" s="15">
        <v>2063</v>
      </c>
      <c r="G692" s="8" t="s">
        <v>12324</v>
      </c>
      <c r="H692" s="24" t="s">
        <v>494</v>
      </c>
      <c r="I692" s="25">
        <v>25920</v>
      </c>
      <c r="J692" s="8" t="s">
        <v>496</v>
      </c>
      <c r="K692" s="8" t="s">
        <v>10040</v>
      </c>
      <c r="L692" s="15">
        <v>0.38550200000000001</v>
      </c>
      <c r="M692" s="15">
        <v>5.9675199999999998E-2</v>
      </c>
      <c r="N692" s="15">
        <v>0.38356451014492748</v>
      </c>
    </row>
    <row r="693" spans="1:14" x14ac:dyDescent="0.2">
      <c r="A693" s="2" t="s">
        <v>10068</v>
      </c>
      <c r="B693" s="15">
        <v>2127</v>
      </c>
      <c r="C693" s="15">
        <v>16</v>
      </c>
      <c r="D693" s="15">
        <v>27443062</v>
      </c>
      <c r="E693" s="15">
        <v>29043177</v>
      </c>
      <c r="F693" s="15">
        <v>2384</v>
      </c>
      <c r="G693" s="8" t="s">
        <v>12324</v>
      </c>
      <c r="H693" s="24" t="s">
        <v>494</v>
      </c>
      <c r="I693" s="25">
        <v>25920</v>
      </c>
      <c r="J693" s="8" t="s">
        <v>496</v>
      </c>
      <c r="K693" s="8" t="s">
        <v>10040</v>
      </c>
      <c r="L693" s="15">
        <v>0.43187900000000001</v>
      </c>
      <c r="M693" s="15">
        <v>5.99914E-2</v>
      </c>
      <c r="N693" s="15">
        <v>0.38452667702312138</v>
      </c>
    </row>
    <row r="694" spans="1:14" x14ac:dyDescent="0.2">
      <c r="A694" s="2" t="s">
        <v>10066</v>
      </c>
      <c r="B694" s="15">
        <v>580</v>
      </c>
      <c r="C694" s="15">
        <v>3</v>
      </c>
      <c r="D694" s="15">
        <v>181424324</v>
      </c>
      <c r="E694" s="15">
        <v>183203155</v>
      </c>
      <c r="F694" s="15">
        <v>3572</v>
      </c>
      <c r="G694" s="8" t="s">
        <v>12324</v>
      </c>
      <c r="H694" s="24" t="s">
        <v>6008</v>
      </c>
      <c r="I694" s="25" t="s">
        <v>6009</v>
      </c>
      <c r="J694" s="8" t="s">
        <v>6010</v>
      </c>
      <c r="K694" s="8" t="s">
        <v>10051</v>
      </c>
      <c r="L694" s="15">
        <v>0.290578</v>
      </c>
      <c r="M694" s="15">
        <v>5.9998299999999997E-2</v>
      </c>
      <c r="N694" s="15">
        <v>0.38452667702312138</v>
      </c>
    </row>
    <row r="695" spans="1:14" x14ac:dyDescent="0.2">
      <c r="A695" s="2" t="s">
        <v>10066</v>
      </c>
      <c r="B695" s="15">
        <v>1602</v>
      </c>
      <c r="C695" s="15">
        <v>10</v>
      </c>
      <c r="D695" s="15">
        <v>129134739</v>
      </c>
      <c r="E695" s="15">
        <v>129831969</v>
      </c>
      <c r="F695" s="15">
        <v>3052</v>
      </c>
      <c r="G695" s="8" t="s">
        <v>12324</v>
      </c>
      <c r="H695" s="24" t="s">
        <v>6008</v>
      </c>
      <c r="I695" s="25" t="s">
        <v>6009</v>
      </c>
      <c r="J695" s="8" t="s">
        <v>6010</v>
      </c>
      <c r="K695" s="8" t="s">
        <v>10051</v>
      </c>
      <c r="L695" s="15">
        <v>-0.52188999999999997</v>
      </c>
      <c r="M695" s="15">
        <v>6.0138499999999998E-2</v>
      </c>
      <c r="N695" s="15">
        <v>0.38486904401154398</v>
      </c>
    </row>
    <row r="696" spans="1:14" x14ac:dyDescent="0.2">
      <c r="A696" s="2" t="s">
        <v>10068</v>
      </c>
      <c r="B696" s="15">
        <v>838</v>
      </c>
      <c r="C696" s="15">
        <v>5</v>
      </c>
      <c r="D696" s="15">
        <v>75239303</v>
      </c>
      <c r="E696" s="15">
        <v>75959515</v>
      </c>
      <c r="F696" s="15">
        <v>2198</v>
      </c>
      <c r="G696" s="8" t="s">
        <v>12324</v>
      </c>
      <c r="H696" s="24" t="s">
        <v>599</v>
      </c>
      <c r="I696" s="25">
        <v>26562</v>
      </c>
      <c r="J696" s="8" t="s">
        <v>601</v>
      </c>
      <c r="K696" s="8" t="s">
        <v>10040</v>
      </c>
      <c r="L696" s="15">
        <v>0.34693099999999999</v>
      </c>
      <c r="M696" s="15">
        <v>6.0405500000000001E-2</v>
      </c>
      <c r="N696" s="15">
        <v>0.38591391798561148</v>
      </c>
    </row>
    <row r="697" spans="1:14" x14ac:dyDescent="0.2">
      <c r="A697" s="2" t="s">
        <v>10068</v>
      </c>
      <c r="B697" s="15">
        <v>2380</v>
      </c>
      <c r="C697" s="15">
        <v>20</v>
      </c>
      <c r="D697" s="15">
        <v>10279604</v>
      </c>
      <c r="E697" s="15">
        <v>11257012</v>
      </c>
      <c r="F697" s="15">
        <v>2707</v>
      </c>
      <c r="G697" s="8" t="s">
        <v>12324</v>
      </c>
      <c r="H697" s="24" t="s">
        <v>599</v>
      </c>
      <c r="I697" s="25">
        <v>26562</v>
      </c>
      <c r="J697" s="8" t="s">
        <v>601</v>
      </c>
      <c r="K697" s="8" t="s">
        <v>10040</v>
      </c>
      <c r="L697" s="15">
        <v>-0.26958100000000002</v>
      </c>
      <c r="M697" s="15">
        <v>6.0475800000000003E-2</v>
      </c>
      <c r="N697" s="15">
        <v>0.38591391798561148</v>
      </c>
    </row>
    <row r="698" spans="1:14" x14ac:dyDescent="0.2">
      <c r="A698" s="2" t="s">
        <v>10068</v>
      </c>
      <c r="B698" s="15">
        <v>2439</v>
      </c>
      <c r="C698" s="15">
        <v>21</v>
      </c>
      <c r="D698" s="15">
        <v>23266942</v>
      </c>
      <c r="E698" s="15">
        <v>24055941</v>
      </c>
      <c r="F698" s="15">
        <v>2119</v>
      </c>
      <c r="G698" s="8" t="s">
        <v>12324</v>
      </c>
      <c r="H698" s="24" t="s">
        <v>599</v>
      </c>
      <c r="I698" s="25">
        <v>26562</v>
      </c>
      <c r="J698" s="8" t="s">
        <v>601</v>
      </c>
      <c r="K698" s="8" t="s">
        <v>10040</v>
      </c>
      <c r="L698" s="15">
        <v>0.31977100000000003</v>
      </c>
      <c r="M698" s="15">
        <v>6.08456E-2</v>
      </c>
      <c r="N698" s="15">
        <v>0.38660492263610308</v>
      </c>
    </row>
    <row r="699" spans="1:14" x14ac:dyDescent="0.2">
      <c r="A699" s="2" t="s">
        <v>10069</v>
      </c>
      <c r="B699" s="15">
        <v>669</v>
      </c>
      <c r="C699" s="15">
        <v>4</v>
      </c>
      <c r="D699" s="15">
        <v>74885901</v>
      </c>
      <c r="E699" s="15">
        <v>76497358</v>
      </c>
      <c r="F699" s="15">
        <v>2609</v>
      </c>
      <c r="G699" s="8" t="s">
        <v>12324</v>
      </c>
      <c r="H699" s="24" t="s">
        <v>662</v>
      </c>
      <c r="I699" s="25" t="s">
        <v>663</v>
      </c>
      <c r="J699" s="8" t="s">
        <v>664</v>
      </c>
      <c r="K699" s="8" t="s">
        <v>10040</v>
      </c>
      <c r="L699" s="15">
        <v>0.64859199999999995</v>
      </c>
      <c r="M699" s="15">
        <v>6.0773599999999997E-2</v>
      </c>
      <c r="N699" s="15">
        <v>0.38660492263610308</v>
      </c>
    </row>
    <row r="700" spans="1:14" x14ac:dyDescent="0.2">
      <c r="A700" s="2" t="s">
        <v>10066</v>
      </c>
      <c r="B700" s="15">
        <v>824</v>
      </c>
      <c r="C700" s="15">
        <v>5</v>
      </c>
      <c r="D700" s="15">
        <v>56896891</v>
      </c>
      <c r="E700" s="15">
        <v>57895012</v>
      </c>
      <c r="F700" s="15">
        <v>2836</v>
      </c>
      <c r="G700" s="8" t="s">
        <v>12324</v>
      </c>
      <c r="H700" s="24" t="s">
        <v>6008</v>
      </c>
      <c r="I700" s="25" t="s">
        <v>6009</v>
      </c>
      <c r="J700" s="8" t="s">
        <v>6010</v>
      </c>
      <c r="K700" s="8" t="s">
        <v>10051</v>
      </c>
      <c r="L700" s="15">
        <v>-0.72303300000000004</v>
      </c>
      <c r="M700" s="15">
        <v>6.0728999999999998E-2</v>
      </c>
      <c r="N700" s="15">
        <v>0.38660492263610308</v>
      </c>
    </row>
    <row r="701" spans="1:14" x14ac:dyDescent="0.2">
      <c r="A701" s="2" t="s">
        <v>10069</v>
      </c>
      <c r="B701" s="15">
        <v>2478</v>
      </c>
      <c r="C701" s="15">
        <v>22</v>
      </c>
      <c r="D701" s="15">
        <v>33501726</v>
      </c>
      <c r="E701" s="15">
        <v>34361897</v>
      </c>
      <c r="F701" s="15">
        <v>1724</v>
      </c>
      <c r="G701" s="8" t="s">
        <v>12324</v>
      </c>
      <c r="H701" s="24" t="s">
        <v>662</v>
      </c>
      <c r="I701" s="25" t="s">
        <v>663</v>
      </c>
      <c r="J701" s="8" t="s">
        <v>664</v>
      </c>
      <c r="K701" s="8" t="s">
        <v>10040</v>
      </c>
      <c r="L701" s="15">
        <v>-0.56979100000000005</v>
      </c>
      <c r="M701" s="15">
        <v>6.1228900000000003E-2</v>
      </c>
      <c r="N701" s="15">
        <v>0.38794148785714277</v>
      </c>
    </row>
    <row r="702" spans="1:14" x14ac:dyDescent="0.2">
      <c r="A702" s="2" t="s">
        <v>10068</v>
      </c>
      <c r="B702" s="15">
        <v>396</v>
      </c>
      <c r="C702" s="15">
        <v>2</v>
      </c>
      <c r="D702" s="15">
        <v>219678784</v>
      </c>
      <c r="E702" s="15">
        <v>220771552</v>
      </c>
      <c r="F702" s="15">
        <v>2231</v>
      </c>
      <c r="G702" s="8" t="s">
        <v>12324</v>
      </c>
      <c r="H702" s="24" t="s">
        <v>6565</v>
      </c>
      <c r="I702" s="25" t="s">
        <v>6475</v>
      </c>
      <c r="J702" s="8" t="s">
        <v>6566</v>
      </c>
      <c r="K702" s="8" t="s">
        <v>10054</v>
      </c>
      <c r="L702" s="15">
        <v>0.368533</v>
      </c>
      <c r="M702" s="15">
        <v>6.1230899999999998E-2</v>
      </c>
      <c r="N702" s="15">
        <v>0.38794148785714277</v>
      </c>
    </row>
    <row r="703" spans="1:14" x14ac:dyDescent="0.2">
      <c r="A703" s="2" t="s">
        <v>10066</v>
      </c>
      <c r="B703" s="15">
        <v>2069</v>
      </c>
      <c r="C703" s="15">
        <v>15</v>
      </c>
      <c r="D703" s="15">
        <v>64339946</v>
      </c>
      <c r="E703" s="15">
        <v>66355634</v>
      </c>
      <c r="F703" s="15">
        <v>3790</v>
      </c>
      <c r="G703" s="8" t="s">
        <v>12324</v>
      </c>
      <c r="H703" s="24" t="s">
        <v>6008</v>
      </c>
      <c r="I703" s="25" t="s">
        <v>6009</v>
      </c>
      <c r="J703" s="8" t="s">
        <v>6010</v>
      </c>
      <c r="K703" s="8" t="s">
        <v>10051</v>
      </c>
      <c r="L703" s="15">
        <v>-0.59638899999999995</v>
      </c>
      <c r="M703" s="15">
        <v>6.1428499999999997E-2</v>
      </c>
      <c r="N703" s="15">
        <v>0.38863822753209698</v>
      </c>
    </row>
    <row r="704" spans="1:14" x14ac:dyDescent="0.2">
      <c r="A704" s="2" t="s">
        <v>10066</v>
      </c>
      <c r="B704" s="15">
        <v>2098</v>
      </c>
      <c r="C704" s="15">
        <v>15</v>
      </c>
      <c r="D704" s="15">
        <v>98828262</v>
      </c>
      <c r="E704" s="15">
        <v>99925972</v>
      </c>
      <c r="F704" s="15">
        <v>3283</v>
      </c>
      <c r="G704" s="8" t="s">
        <v>12324</v>
      </c>
      <c r="H704" s="24" t="s">
        <v>3164</v>
      </c>
      <c r="I704" s="25" t="s">
        <v>3165</v>
      </c>
      <c r="J704" s="8" t="s">
        <v>3166</v>
      </c>
      <c r="K704" s="8" t="s">
        <v>10042</v>
      </c>
      <c r="L704" s="15">
        <v>0.53063300000000002</v>
      </c>
      <c r="M704" s="15">
        <v>6.1673400000000003E-2</v>
      </c>
      <c r="N704" s="15">
        <v>0.38907756614509248</v>
      </c>
    </row>
    <row r="705" spans="1:14" x14ac:dyDescent="0.2">
      <c r="A705" s="2" t="s">
        <v>10068</v>
      </c>
      <c r="B705" s="15">
        <v>2037</v>
      </c>
      <c r="C705" s="15">
        <v>15</v>
      </c>
      <c r="D705" s="15">
        <v>24531188</v>
      </c>
      <c r="E705" s="15">
        <v>25384327</v>
      </c>
      <c r="F705" s="15">
        <v>3658</v>
      </c>
      <c r="G705" s="8" t="s">
        <v>12324</v>
      </c>
      <c r="H705" s="24" t="s">
        <v>6565</v>
      </c>
      <c r="I705" s="25" t="s">
        <v>6475</v>
      </c>
      <c r="J705" s="8" t="s">
        <v>6566</v>
      </c>
      <c r="K705" s="8" t="s">
        <v>10054</v>
      </c>
      <c r="L705" s="15">
        <v>-0.41231299999999999</v>
      </c>
      <c r="M705" s="15">
        <v>6.1615700000000002E-2</v>
      </c>
      <c r="N705" s="15">
        <v>0.38907756614509248</v>
      </c>
    </row>
    <row r="706" spans="1:14" x14ac:dyDescent="0.2">
      <c r="A706" s="2" t="s">
        <v>10068</v>
      </c>
      <c r="B706" s="15">
        <v>440</v>
      </c>
      <c r="C706" s="15">
        <v>3</v>
      </c>
      <c r="D706" s="15">
        <v>19030989</v>
      </c>
      <c r="E706" s="15">
        <v>20754842</v>
      </c>
      <c r="F706" s="15">
        <v>4224</v>
      </c>
      <c r="G706" s="8" t="s">
        <v>12324</v>
      </c>
      <c r="H706" s="24" t="s">
        <v>494</v>
      </c>
      <c r="I706" s="25">
        <v>25920</v>
      </c>
      <c r="J706" s="8" t="s">
        <v>496</v>
      </c>
      <c r="K706" s="8" t="s">
        <v>10040</v>
      </c>
      <c r="L706" s="15">
        <v>-0.63907400000000003</v>
      </c>
      <c r="M706" s="15">
        <v>6.2026600000000001E-2</v>
      </c>
      <c r="N706" s="15">
        <v>0.38925644209039539</v>
      </c>
    </row>
    <row r="707" spans="1:14" x14ac:dyDescent="0.2">
      <c r="A707" s="2" t="s">
        <v>10066</v>
      </c>
      <c r="B707" s="15">
        <v>2136</v>
      </c>
      <c r="C707" s="15">
        <v>16</v>
      </c>
      <c r="D707" s="15">
        <v>54866096</v>
      </c>
      <c r="E707" s="15">
        <v>55907389</v>
      </c>
      <c r="F707" s="15">
        <v>3397</v>
      </c>
      <c r="G707" s="8" t="s">
        <v>12324</v>
      </c>
      <c r="H707" s="24" t="s">
        <v>3164</v>
      </c>
      <c r="I707" s="25" t="s">
        <v>3165</v>
      </c>
      <c r="J707" s="8" t="s">
        <v>3166</v>
      </c>
      <c r="K707" s="8" t="s">
        <v>10042</v>
      </c>
      <c r="L707" s="15">
        <v>0.39538699999999999</v>
      </c>
      <c r="M707" s="15">
        <v>6.1922999999999999E-2</v>
      </c>
      <c r="N707" s="15">
        <v>0.38925644209039539</v>
      </c>
    </row>
    <row r="708" spans="1:14" x14ac:dyDescent="0.2">
      <c r="A708" s="2" t="s">
        <v>10066</v>
      </c>
      <c r="B708" s="15">
        <v>512</v>
      </c>
      <c r="C708" s="15">
        <v>3</v>
      </c>
      <c r="D708" s="15">
        <v>106174686</v>
      </c>
      <c r="E708" s="15">
        <v>107736519</v>
      </c>
      <c r="F708" s="15">
        <v>3542</v>
      </c>
      <c r="G708" s="8" t="s">
        <v>12324</v>
      </c>
      <c r="H708" s="24" t="s">
        <v>3164</v>
      </c>
      <c r="I708" s="25" t="s">
        <v>3165</v>
      </c>
      <c r="J708" s="8" t="s">
        <v>3166</v>
      </c>
      <c r="K708" s="8" t="s">
        <v>10042</v>
      </c>
      <c r="L708" s="15">
        <v>0.40526600000000002</v>
      </c>
      <c r="M708" s="15">
        <v>6.2054999999999999E-2</v>
      </c>
      <c r="N708" s="15">
        <v>0.38925644209039539</v>
      </c>
    </row>
    <row r="709" spans="1:14" x14ac:dyDescent="0.2">
      <c r="A709" s="2" t="s">
        <v>10066</v>
      </c>
      <c r="B709" s="15">
        <v>2086</v>
      </c>
      <c r="C709" s="15">
        <v>15</v>
      </c>
      <c r="D709" s="15">
        <v>86341599</v>
      </c>
      <c r="E709" s="15">
        <v>87158587</v>
      </c>
      <c r="F709" s="15">
        <v>2898</v>
      </c>
      <c r="G709" s="8" t="s">
        <v>12324</v>
      </c>
      <c r="H709" s="24" t="s">
        <v>6008</v>
      </c>
      <c r="I709" s="25" t="s">
        <v>6009</v>
      </c>
      <c r="J709" s="8" t="s">
        <v>6010</v>
      </c>
      <c r="K709" s="8" t="s">
        <v>10051</v>
      </c>
      <c r="L709" s="15">
        <v>0.78510100000000005</v>
      </c>
      <c r="M709" s="15">
        <v>6.1975200000000001E-2</v>
      </c>
      <c r="N709" s="15">
        <v>0.38925644209039539</v>
      </c>
    </row>
    <row r="710" spans="1:14" x14ac:dyDescent="0.2">
      <c r="A710" s="2" t="s">
        <v>10068</v>
      </c>
      <c r="B710" s="15">
        <v>8</v>
      </c>
      <c r="C710" s="15">
        <v>1</v>
      </c>
      <c r="D710" s="15">
        <v>5362405</v>
      </c>
      <c r="E710" s="15">
        <v>6136814</v>
      </c>
      <c r="F710" s="15">
        <v>2338</v>
      </c>
      <c r="G710" s="8" t="s">
        <v>12324</v>
      </c>
      <c r="H710" s="24" t="s">
        <v>6565</v>
      </c>
      <c r="I710" s="25" t="s">
        <v>6475</v>
      </c>
      <c r="J710" s="8" t="s">
        <v>6566</v>
      </c>
      <c r="K710" s="8" t="s">
        <v>10054</v>
      </c>
      <c r="L710" s="15">
        <v>-0.50671200000000005</v>
      </c>
      <c r="M710" s="15">
        <v>6.2140599999999997E-2</v>
      </c>
      <c r="N710" s="15">
        <v>0.38925644209039539</v>
      </c>
    </row>
    <row r="711" spans="1:14" x14ac:dyDescent="0.2">
      <c r="A711" s="2" t="s">
        <v>10068</v>
      </c>
      <c r="B711" s="15">
        <v>2047</v>
      </c>
      <c r="C711" s="15">
        <v>15</v>
      </c>
      <c r="D711" s="15">
        <v>36583328</v>
      </c>
      <c r="E711" s="15">
        <v>37962915</v>
      </c>
      <c r="F711" s="15">
        <v>3562</v>
      </c>
      <c r="G711" s="8" t="s">
        <v>12324</v>
      </c>
      <c r="H711" s="24" t="s">
        <v>6565</v>
      </c>
      <c r="I711" s="25" t="s">
        <v>6475</v>
      </c>
      <c r="J711" s="8" t="s">
        <v>6566</v>
      </c>
      <c r="K711" s="8" t="s">
        <v>10054</v>
      </c>
      <c r="L711" s="15">
        <v>0.49056</v>
      </c>
      <c r="M711" s="15">
        <v>6.2309700000000003E-2</v>
      </c>
      <c r="N711" s="15">
        <v>0.38976518970380819</v>
      </c>
    </row>
    <row r="712" spans="1:14" x14ac:dyDescent="0.2">
      <c r="A712" s="2" t="s">
        <v>10068</v>
      </c>
      <c r="B712" s="15">
        <v>2011</v>
      </c>
      <c r="C712" s="15">
        <v>14</v>
      </c>
      <c r="D712" s="15">
        <v>82524786</v>
      </c>
      <c r="E712" s="15">
        <v>84087372</v>
      </c>
      <c r="F712" s="15">
        <v>4026</v>
      </c>
      <c r="G712" s="8" t="s">
        <v>12324</v>
      </c>
      <c r="H712" s="24" t="s">
        <v>1259</v>
      </c>
      <c r="I712" s="25">
        <v>27096</v>
      </c>
      <c r="J712" s="8" t="s">
        <v>1261</v>
      </c>
      <c r="K712" s="8" t="s">
        <v>10040</v>
      </c>
      <c r="L712" s="15">
        <v>0.79073400000000005</v>
      </c>
      <c r="M712" s="15">
        <v>6.2539899999999995E-2</v>
      </c>
      <c r="N712" s="15">
        <v>0.39019890998593532</v>
      </c>
    </row>
    <row r="713" spans="1:14" x14ac:dyDescent="0.2">
      <c r="A713" s="2" t="s">
        <v>10068</v>
      </c>
      <c r="B713" s="15">
        <v>849</v>
      </c>
      <c r="C713" s="15">
        <v>5</v>
      </c>
      <c r="D713" s="15">
        <v>87943483</v>
      </c>
      <c r="E713" s="15">
        <v>89584466</v>
      </c>
      <c r="F713" s="15">
        <v>2356</v>
      </c>
      <c r="G713" s="8" t="s">
        <v>12324</v>
      </c>
      <c r="H713" s="24" t="s">
        <v>1259</v>
      </c>
      <c r="I713" s="25">
        <v>27096</v>
      </c>
      <c r="J713" s="8" t="s">
        <v>1261</v>
      </c>
      <c r="K713" s="8" t="s">
        <v>10040</v>
      </c>
      <c r="L713" s="15">
        <v>-0.39919700000000002</v>
      </c>
      <c r="M713" s="15">
        <v>6.2554999999999999E-2</v>
      </c>
      <c r="N713" s="15">
        <v>0.39019890998593532</v>
      </c>
    </row>
    <row r="714" spans="1:14" x14ac:dyDescent="0.2">
      <c r="A714" s="2" t="s">
        <v>10068</v>
      </c>
      <c r="B714" s="15">
        <v>4</v>
      </c>
      <c r="C714" s="15">
        <v>1</v>
      </c>
      <c r="D714" s="15">
        <v>2983520</v>
      </c>
      <c r="E714" s="15">
        <v>3582047</v>
      </c>
      <c r="F714" s="15">
        <v>2078</v>
      </c>
      <c r="G714" s="8" t="s">
        <v>12324</v>
      </c>
      <c r="H714" s="24" t="s">
        <v>1259</v>
      </c>
      <c r="I714" s="25">
        <v>27096</v>
      </c>
      <c r="J714" s="8" t="s">
        <v>1261</v>
      </c>
      <c r="K714" s="8" t="s">
        <v>10040</v>
      </c>
      <c r="L714" s="15">
        <v>-0.25013999999999997</v>
      </c>
      <c r="M714" s="15">
        <v>6.2674400000000005E-2</v>
      </c>
      <c r="N714" s="15">
        <v>0.39039461235955059</v>
      </c>
    </row>
    <row r="715" spans="1:14" x14ac:dyDescent="0.2">
      <c r="A715" s="2" t="s">
        <v>10068</v>
      </c>
      <c r="B715" s="15">
        <v>1593</v>
      </c>
      <c r="C715" s="15">
        <v>10</v>
      </c>
      <c r="D715" s="15">
        <v>119528731</v>
      </c>
      <c r="E715" s="15">
        <v>120592839</v>
      </c>
      <c r="F715" s="15">
        <v>2840</v>
      </c>
      <c r="G715" s="8" t="s">
        <v>12324</v>
      </c>
      <c r="H715" s="24" t="s">
        <v>494</v>
      </c>
      <c r="I715" s="25">
        <v>25920</v>
      </c>
      <c r="J715" s="8" t="s">
        <v>496</v>
      </c>
      <c r="K715" s="8" t="s">
        <v>10040</v>
      </c>
      <c r="L715" s="15">
        <v>-0.27456199999999997</v>
      </c>
      <c r="M715" s="15">
        <v>6.3327900000000006E-2</v>
      </c>
      <c r="N715" s="15">
        <v>0.3911688530640669</v>
      </c>
    </row>
    <row r="716" spans="1:14" x14ac:dyDescent="0.2">
      <c r="A716" s="2" t="s">
        <v>10068</v>
      </c>
      <c r="B716" s="15">
        <v>2200</v>
      </c>
      <c r="C716" s="15">
        <v>17</v>
      </c>
      <c r="D716" s="15">
        <v>33614190</v>
      </c>
      <c r="E716" s="15">
        <v>34474611</v>
      </c>
      <c r="F716" s="15">
        <v>2411</v>
      </c>
      <c r="G716" s="8" t="s">
        <v>12324</v>
      </c>
      <c r="H716" s="24" t="s">
        <v>599</v>
      </c>
      <c r="I716" s="25">
        <v>26562</v>
      </c>
      <c r="J716" s="8" t="s">
        <v>601</v>
      </c>
      <c r="K716" s="8" t="s">
        <v>10040</v>
      </c>
      <c r="L716" s="15">
        <v>-0.20161399999999999</v>
      </c>
      <c r="M716" s="15">
        <v>6.29194E-2</v>
      </c>
      <c r="N716" s="15">
        <v>0.3911688530640669</v>
      </c>
    </row>
    <row r="717" spans="1:14" x14ac:dyDescent="0.2">
      <c r="A717" s="2" t="s">
        <v>10069</v>
      </c>
      <c r="B717" s="15">
        <v>1310</v>
      </c>
      <c r="C717" s="15">
        <v>8</v>
      </c>
      <c r="D717" s="15">
        <v>75011700</v>
      </c>
      <c r="E717" s="15">
        <v>76295483</v>
      </c>
      <c r="F717" s="15">
        <v>1950</v>
      </c>
      <c r="G717" s="8" t="s">
        <v>12324</v>
      </c>
      <c r="H717" s="24" t="s">
        <v>662</v>
      </c>
      <c r="I717" s="25" t="s">
        <v>663</v>
      </c>
      <c r="J717" s="8" t="s">
        <v>664</v>
      </c>
      <c r="K717" s="8" t="s">
        <v>10040</v>
      </c>
      <c r="L717" s="15">
        <v>-0.68618199999999996</v>
      </c>
      <c r="M717" s="15">
        <v>6.3306200000000007E-2</v>
      </c>
      <c r="N717" s="15">
        <v>0.3911688530640669</v>
      </c>
    </row>
    <row r="718" spans="1:14" x14ac:dyDescent="0.2">
      <c r="A718" s="2" t="s">
        <v>10068</v>
      </c>
      <c r="B718" s="15">
        <v>215</v>
      </c>
      <c r="C718" s="15">
        <v>2</v>
      </c>
      <c r="D718" s="15">
        <v>10611655</v>
      </c>
      <c r="E718" s="15">
        <v>11230349</v>
      </c>
      <c r="F718" s="15">
        <v>2257</v>
      </c>
      <c r="G718" s="8" t="s">
        <v>12324</v>
      </c>
      <c r="H718" s="24" t="s">
        <v>1259</v>
      </c>
      <c r="I718" s="25">
        <v>27096</v>
      </c>
      <c r="J718" s="8" t="s">
        <v>1261</v>
      </c>
      <c r="K718" s="8" t="s">
        <v>10040</v>
      </c>
      <c r="L718" s="15">
        <v>-0.400702</v>
      </c>
      <c r="M718" s="15">
        <v>6.3303799999999993E-2</v>
      </c>
      <c r="N718" s="15">
        <v>0.3911688530640669</v>
      </c>
    </row>
    <row r="719" spans="1:14" x14ac:dyDescent="0.2">
      <c r="A719" s="2" t="s">
        <v>10066</v>
      </c>
      <c r="B719" s="15">
        <v>2219</v>
      </c>
      <c r="C719" s="15">
        <v>17</v>
      </c>
      <c r="D719" s="15">
        <v>60453121</v>
      </c>
      <c r="E719" s="15">
        <v>62112373</v>
      </c>
      <c r="F719" s="15">
        <v>2618</v>
      </c>
      <c r="G719" s="8" t="s">
        <v>12324</v>
      </c>
      <c r="H719" s="24" t="s">
        <v>3164</v>
      </c>
      <c r="I719" s="25" t="s">
        <v>3165</v>
      </c>
      <c r="J719" s="8" t="s">
        <v>3166</v>
      </c>
      <c r="K719" s="8" t="s">
        <v>10042</v>
      </c>
      <c r="L719" s="15">
        <v>0.43477900000000003</v>
      </c>
      <c r="M719" s="15">
        <v>6.3273899999999994E-2</v>
      </c>
      <c r="N719" s="15">
        <v>0.3911688530640669</v>
      </c>
    </row>
    <row r="720" spans="1:14" x14ac:dyDescent="0.2">
      <c r="A720" s="2" t="s">
        <v>10068</v>
      </c>
      <c r="B720" s="15">
        <v>1949</v>
      </c>
      <c r="C720" s="15">
        <v>13</v>
      </c>
      <c r="D720" s="15">
        <v>110995433</v>
      </c>
      <c r="E720" s="15">
        <v>111621244</v>
      </c>
      <c r="F720" s="15">
        <v>2235</v>
      </c>
      <c r="G720" s="8" t="s">
        <v>12324</v>
      </c>
      <c r="H720" s="24" t="s">
        <v>6565</v>
      </c>
      <c r="I720" s="25" t="s">
        <v>6475</v>
      </c>
      <c r="J720" s="8" t="s">
        <v>6566</v>
      </c>
      <c r="K720" s="8" t="s">
        <v>10054</v>
      </c>
      <c r="L720" s="15">
        <v>0.29976999999999998</v>
      </c>
      <c r="M720" s="15">
        <v>6.3048400000000004E-2</v>
      </c>
      <c r="N720" s="15">
        <v>0.3911688530640669</v>
      </c>
    </row>
    <row r="721" spans="1:14" x14ac:dyDescent="0.2">
      <c r="A721" s="2" t="s">
        <v>10068</v>
      </c>
      <c r="B721" s="15">
        <v>2409</v>
      </c>
      <c r="C721" s="15">
        <v>20</v>
      </c>
      <c r="D721" s="15">
        <v>45673604</v>
      </c>
      <c r="E721" s="15">
        <v>46486132</v>
      </c>
      <c r="F721" s="15">
        <v>2143</v>
      </c>
      <c r="G721" s="8" t="s">
        <v>12324</v>
      </c>
      <c r="H721" s="24" t="s">
        <v>494</v>
      </c>
      <c r="I721" s="25">
        <v>25920</v>
      </c>
      <c r="J721" s="8" t="s">
        <v>496</v>
      </c>
      <c r="K721" s="8" t="s">
        <v>10040</v>
      </c>
      <c r="L721" s="15">
        <v>0.60012399999999999</v>
      </c>
      <c r="M721" s="15">
        <v>6.4042399999999999E-2</v>
      </c>
      <c r="N721" s="15">
        <v>0.39448339444444452</v>
      </c>
    </row>
    <row r="722" spans="1:14" x14ac:dyDescent="0.2">
      <c r="A722" s="2" t="s">
        <v>10068</v>
      </c>
      <c r="B722" s="15">
        <v>1603</v>
      </c>
      <c r="C722" s="15">
        <v>10</v>
      </c>
      <c r="D722" s="15">
        <v>129831970</v>
      </c>
      <c r="E722" s="15">
        <v>130694008</v>
      </c>
      <c r="F722" s="15">
        <v>2884</v>
      </c>
      <c r="G722" s="8" t="s">
        <v>12324</v>
      </c>
      <c r="H722" s="24" t="s">
        <v>599</v>
      </c>
      <c r="I722" s="25">
        <v>26562</v>
      </c>
      <c r="J722" s="8" t="s">
        <v>601</v>
      </c>
      <c r="K722" s="8" t="s">
        <v>10040</v>
      </c>
      <c r="L722" s="15">
        <v>-0.38093900000000003</v>
      </c>
      <c r="M722" s="15">
        <v>6.4019999999999994E-2</v>
      </c>
      <c r="N722" s="15">
        <v>0.39448339444444452</v>
      </c>
    </row>
    <row r="723" spans="1:14" x14ac:dyDescent="0.2">
      <c r="A723" s="2" t="s">
        <v>10066</v>
      </c>
      <c r="B723" s="15">
        <v>1765</v>
      </c>
      <c r="C723" s="15">
        <v>12</v>
      </c>
      <c r="D723" s="15">
        <v>25058715</v>
      </c>
      <c r="E723" s="15">
        <v>25990813</v>
      </c>
      <c r="F723" s="15">
        <v>2855</v>
      </c>
      <c r="G723" s="8" t="s">
        <v>12324</v>
      </c>
      <c r="H723" s="24" t="s">
        <v>3164</v>
      </c>
      <c r="I723" s="25" t="s">
        <v>3165</v>
      </c>
      <c r="J723" s="8" t="s">
        <v>3166</v>
      </c>
      <c r="K723" s="8" t="s">
        <v>10042</v>
      </c>
      <c r="L723" s="15">
        <v>0.80992200000000003</v>
      </c>
      <c r="M723" s="15">
        <v>6.4186699999999999E-2</v>
      </c>
      <c r="N723" s="15">
        <v>0.39482387586685158</v>
      </c>
    </row>
    <row r="724" spans="1:14" x14ac:dyDescent="0.2">
      <c r="A724" s="2" t="s">
        <v>10068</v>
      </c>
      <c r="B724" s="15">
        <v>355</v>
      </c>
      <c r="C724" s="15">
        <v>2</v>
      </c>
      <c r="D724" s="15">
        <v>170865766</v>
      </c>
      <c r="E724" s="15">
        <v>171566482</v>
      </c>
      <c r="F724" s="15">
        <v>2231</v>
      </c>
      <c r="G724" s="8" t="s">
        <v>12324</v>
      </c>
      <c r="H724" s="24" t="s">
        <v>1259</v>
      </c>
      <c r="I724" s="25">
        <v>27096</v>
      </c>
      <c r="J724" s="8" t="s">
        <v>1261</v>
      </c>
      <c r="K724" s="8" t="s">
        <v>10040</v>
      </c>
      <c r="L724" s="15">
        <v>-0.45000699999999999</v>
      </c>
      <c r="M724" s="15">
        <v>6.4563999999999996E-2</v>
      </c>
      <c r="N724" s="15">
        <v>0.39659465373961222</v>
      </c>
    </row>
    <row r="725" spans="1:14" x14ac:dyDescent="0.2">
      <c r="A725" s="2" t="s">
        <v>10068</v>
      </c>
      <c r="B725" s="15">
        <v>1464</v>
      </c>
      <c r="C725" s="15">
        <v>9</v>
      </c>
      <c r="D725" s="15">
        <v>119001228</v>
      </c>
      <c r="E725" s="15">
        <v>119890464</v>
      </c>
      <c r="F725" s="15">
        <v>2351</v>
      </c>
      <c r="G725" s="8" t="s">
        <v>12324</v>
      </c>
      <c r="H725" s="24" t="s">
        <v>599</v>
      </c>
      <c r="I725" s="25">
        <v>26562</v>
      </c>
      <c r="J725" s="8" t="s">
        <v>601</v>
      </c>
      <c r="K725" s="8" t="s">
        <v>10040</v>
      </c>
      <c r="L725" s="15">
        <v>0.47439900000000002</v>
      </c>
      <c r="M725" s="15">
        <v>6.4777899999999999E-2</v>
      </c>
      <c r="N725" s="15">
        <v>0.39735821092669438</v>
      </c>
    </row>
    <row r="726" spans="1:14" x14ac:dyDescent="0.2">
      <c r="A726" s="2" t="s">
        <v>10068</v>
      </c>
      <c r="B726" s="15">
        <v>1732</v>
      </c>
      <c r="C726" s="15">
        <v>11</v>
      </c>
      <c r="D726" s="15">
        <v>127306872</v>
      </c>
      <c r="E726" s="15">
        <v>128262550</v>
      </c>
      <c r="F726" s="15">
        <v>2647</v>
      </c>
      <c r="G726" s="8" t="s">
        <v>12324</v>
      </c>
      <c r="H726" s="24" t="s">
        <v>494</v>
      </c>
      <c r="I726" s="25">
        <v>25920</v>
      </c>
      <c r="J726" s="8" t="s">
        <v>496</v>
      </c>
      <c r="K726" s="8" t="s">
        <v>10040</v>
      </c>
      <c r="L726" s="15">
        <v>-0.65823600000000004</v>
      </c>
      <c r="M726" s="15">
        <v>6.5014000000000002E-2</v>
      </c>
      <c r="N726" s="15">
        <v>0.39743036845730029</v>
      </c>
    </row>
    <row r="727" spans="1:14" x14ac:dyDescent="0.2">
      <c r="A727" s="2" t="s">
        <v>10069</v>
      </c>
      <c r="B727" s="15">
        <v>1423</v>
      </c>
      <c r="C727" s="15">
        <v>9</v>
      </c>
      <c r="D727" s="15">
        <v>77862309</v>
      </c>
      <c r="E727" s="15">
        <v>78630915</v>
      </c>
      <c r="F727" s="15">
        <v>1760</v>
      </c>
      <c r="G727" s="8" t="s">
        <v>12324</v>
      </c>
      <c r="H727" s="24" t="s">
        <v>662</v>
      </c>
      <c r="I727" s="25" t="s">
        <v>663</v>
      </c>
      <c r="J727" s="8" t="s">
        <v>664</v>
      </c>
      <c r="K727" s="8" t="s">
        <v>10040</v>
      </c>
      <c r="L727" s="15">
        <v>0.54743900000000001</v>
      </c>
      <c r="M727" s="15">
        <v>6.5058500000000005E-2</v>
      </c>
      <c r="N727" s="15">
        <v>0.39743036845730029</v>
      </c>
    </row>
    <row r="728" spans="1:14" x14ac:dyDescent="0.2">
      <c r="A728" s="2" t="s">
        <v>10068</v>
      </c>
      <c r="B728" s="15">
        <v>1993</v>
      </c>
      <c r="C728" s="15">
        <v>14</v>
      </c>
      <c r="D728" s="15">
        <v>61652817</v>
      </c>
      <c r="E728" s="15">
        <v>62717985</v>
      </c>
      <c r="F728" s="15">
        <v>2776</v>
      </c>
      <c r="G728" s="8" t="s">
        <v>12324</v>
      </c>
      <c r="H728" s="24" t="s">
        <v>6565</v>
      </c>
      <c r="I728" s="25" t="s">
        <v>6475</v>
      </c>
      <c r="J728" s="8" t="s">
        <v>6566</v>
      </c>
      <c r="K728" s="8" t="s">
        <v>10054</v>
      </c>
      <c r="L728" s="15">
        <v>0.26933600000000002</v>
      </c>
      <c r="M728" s="15">
        <v>6.5015400000000001E-2</v>
      </c>
      <c r="N728" s="15">
        <v>0.39743036845730029</v>
      </c>
    </row>
    <row r="729" spans="1:14" x14ac:dyDescent="0.2">
      <c r="A729" s="2" t="s">
        <v>10068</v>
      </c>
      <c r="B729" s="15">
        <v>1872</v>
      </c>
      <c r="C729" s="15">
        <v>13</v>
      </c>
      <c r="D729" s="15">
        <v>27392006</v>
      </c>
      <c r="E729" s="15">
        <v>28587125</v>
      </c>
      <c r="F729" s="15">
        <v>3936</v>
      </c>
      <c r="G729" s="8" t="s">
        <v>12324</v>
      </c>
      <c r="H729" s="24" t="s">
        <v>494</v>
      </c>
      <c r="I729" s="25">
        <v>25920</v>
      </c>
      <c r="J729" s="8" t="s">
        <v>496</v>
      </c>
      <c r="K729" s="8" t="s">
        <v>10040</v>
      </c>
      <c r="L729" s="15">
        <v>0.44756899999999999</v>
      </c>
      <c r="M729" s="15">
        <v>6.5341499999999997E-2</v>
      </c>
      <c r="N729" s="15">
        <v>0.39790771330589852</v>
      </c>
    </row>
    <row r="730" spans="1:14" x14ac:dyDescent="0.2">
      <c r="A730" s="2" t="s">
        <v>10068</v>
      </c>
      <c r="B730" s="15">
        <v>1289</v>
      </c>
      <c r="C730" s="15">
        <v>8</v>
      </c>
      <c r="D730" s="15">
        <v>52326237</v>
      </c>
      <c r="E730" s="15">
        <v>53108910</v>
      </c>
      <c r="F730" s="15">
        <v>2418</v>
      </c>
      <c r="G730" s="8" t="s">
        <v>12324</v>
      </c>
      <c r="H730" s="24" t="s">
        <v>599</v>
      </c>
      <c r="I730" s="25">
        <v>26562</v>
      </c>
      <c r="J730" s="8" t="s">
        <v>601</v>
      </c>
      <c r="K730" s="8" t="s">
        <v>10040</v>
      </c>
      <c r="L730" s="15">
        <v>-0.64633300000000005</v>
      </c>
      <c r="M730" s="15">
        <v>6.5382300000000004E-2</v>
      </c>
      <c r="N730" s="15">
        <v>0.39790771330589852</v>
      </c>
    </row>
    <row r="731" spans="1:14" x14ac:dyDescent="0.2">
      <c r="A731" s="2" t="s">
        <v>10066</v>
      </c>
      <c r="B731" s="15">
        <v>1612</v>
      </c>
      <c r="C731" s="15">
        <v>11</v>
      </c>
      <c r="D731" s="15">
        <v>1857846</v>
      </c>
      <c r="E731" s="15">
        <v>2477449</v>
      </c>
      <c r="F731" s="15">
        <v>2201</v>
      </c>
      <c r="G731" s="8" t="s">
        <v>12324</v>
      </c>
      <c r="H731" s="24" t="s">
        <v>6008</v>
      </c>
      <c r="I731" s="25" t="s">
        <v>6009</v>
      </c>
      <c r="J731" s="8" t="s">
        <v>6010</v>
      </c>
      <c r="K731" s="8" t="s">
        <v>10051</v>
      </c>
      <c r="L731" s="15">
        <v>-0.31210900000000003</v>
      </c>
      <c r="M731" s="15">
        <v>6.54058E-2</v>
      </c>
      <c r="N731" s="15">
        <v>0.39790771330589852</v>
      </c>
    </row>
    <row r="732" spans="1:14" x14ac:dyDescent="0.2">
      <c r="A732" s="2" t="s">
        <v>10068</v>
      </c>
      <c r="B732" s="15">
        <v>1577</v>
      </c>
      <c r="C732" s="15">
        <v>10</v>
      </c>
      <c r="D732" s="15">
        <v>99367801</v>
      </c>
      <c r="E732" s="15">
        <v>100337830</v>
      </c>
      <c r="F732" s="15">
        <v>2329</v>
      </c>
      <c r="G732" s="8" t="s">
        <v>12324</v>
      </c>
      <c r="H732" s="24" t="s">
        <v>599</v>
      </c>
      <c r="I732" s="25">
        <v>26562</v>
      </c>
      <c r="J732" s="8" t="s">
        <v>601</v>
      </c>
      <c r="K732" s="8" t="s">
        <v>10040</v>
      </c>
      <c r="L732" s="15">
        <v>0.42983300000000002</v>
      </c>
      <c r="M732" s="15">
        <v>6.5654900000000002E-2</v>
      </c>
      <c r="N732" s="15">
        <v>0.39833034404924761</v>
      </c>
    </row>
    <row r="733" spans="1:14" x14ac:dyDescent="0.2">
      <c r="A733" s="2" t="s">
        <v>10068</v>
      </c>
      <c r="B733" s="15">
        <v>1230</v>
      </c>
      <c r="C733" s="15">
        <v>7</v>
      </c>
      <c r="D733" s="15">
        <v>157199332</v>
      </c>
      <c r="E733" s="15">
        <v>158031247</v>
      </c>
      <c r="F733" s="15">
        <v>3187</v>
      </c>
      <c r="G733" s="8" t="s">
        <v>12324</v>
      </c>
      <c r="H733" s="24" t="s">
        <v>1259</v>
      </c>
      <c r="I733" s="25">
        <v>27096</v>
      </c>
      <c r="J733" s="8" t="s">
        <v>1261</v>
      </c>
      <c r="K733" s="8" t="s">
        <v>10040</v>
      </c>
      <c r="L733" s="15">
        <v>0.327295</v>
      </c>
      <c r="M733" s="15">
        <v>6.5591300000000005E-2</v>
      </c>
      <c r="N733" s="15">
        <v>0.39833034404924761</v>
      </c>
    </row>
    <row r="734" spans="1:14" x14ac:dyDescent="0.2">
      <c r="A734" s="2" t="s">
        <v>10068</v>
      </c>
      <c r="B734" s="15">
        <v>1460</v>
      </c>
      <c r="C734" s="15">
        <v>9</v>
      </c>
      <c r="D734" s="15">
        <v>115390113</v>
      </c>
      <c r="E734" s="15">
        <v>116159540</v>
      </c>
      <c r="F734" s="15">
        <v>2188</v>
      </c>
      <c r="G734" s="8" t="s">
        <v>12324</v>
      </c>
      <c r="H734" s="24" t="s">
        <v>599</v>
      </c>
      <c r="I734" s="25">
        <v>26562</v>
      </c>
      <c r="J734" s="8" t="s">
        <v>601</v>
      </c>
      <c r="K734" s="8" t="s">
        <v>10040</v>
      </c>
      <c r="L734" s="15">
        <v>0.48796800000000001</v>
      </c>
      <c r="M734" s="15">
        <v>6.60361E-2</v>
      </c>
      <c r="N734" s="15">
        <v>0.40009576980874317</v>
      </c>
    </row>
    <row r="735" spans="1:14" x14ac:dyDescent="0.2">
      <c r="A735" s="2" t="s">
        <v>10068</v>
      </c>
      <c r="B735" s="15">
        <v>1089</v>
      </c>
      <c r="C735" s="15">
        <v>6</v>
      </c>
      <c r="D735" s="15">
        <v>165835954</v>
      </c>
      <c r="E735" s="15">
        <v>166853325</v>
      </c>
      <c r="F735" s="15">
        <v>3414</v>
      </c>
      <c r="G735" s="8" t="s">
        <v>12324</v>
      </c>
      <c r="H735" s="24" t="s">
        <v>494</v>
      </c>
      <c r="I735" s="25">
        <v>25920</v>
      </c>
      <c r="J735" s="8" t="s">
        <v>496</v>
      </c>
      <c r="K735" s="8" t="s">
        <v>10040</v>
      </c>
      <c r="L735" s="15">
        <v>0.41712700000000003</v>
      </c>
      <c r="M735" s="15">
        <v>6.6775200000000007E-2</v>
      </c>
      <c r="N735" s="15">
        <v>0.40031917315436238</v>
      </c>
    </row>
    <row r="736" spans="1:14" x14ac:dyDescent="0.2">
      <c r="A736" s="2" t="s">
        <v>10068</v>
      </c>
      <c r="B736" s="15">
        <v>624</v>
      </c>
      <c r="C736" s="15">
        <v>4</v>
      </c>
      <c r="D736" s="15">
        <v>25832019</v>
      </c>
      <c r="E736" s="15">
        <v>27385580</v>
      </c>
      <c r="F736" s="15">
        <v>3346</v>
      </c>
      <c r="G736" s="8" t="s">
        <v>12324</v>
      </c>
      <c r="H736" s="24" t="s">
        <v>599</v>
      </c>
      <c r="I736" s="25">
        <v>26562</v>
      </c>
      <c r="J736" s="8" t="s">
        <v>601</v>
      </c>
      <c r="K736" s="8" t="s">
        <v>10040</v>
      </c>
      <c r="L736" s="15">
        <v>-0.36147899999999999</v>
      </c>
      <c r="M736" s="15">
        <v>6.6536100000000001E-2</v>
      </c>
      <c r="N736" s="15">
        <v>0.40031917315436238</v>
      </c>
    </row>
    <row r="737" spans="1:14" x14ac:dyDescent="0.2">
      <c r="A737" s="2" t="s">
        <v>10069</v>
      </c>
      <c r="B737" s="15">
        <v>1581</v>
      </c>
      <c r="C737" s="15">
        <v>10</v>
      </c>
      <c r="D737" s="15">
        <v>104206838</v>
      </c>
      <c r="E737" s="15">
        <v>106142283</v>
      </c>
      <c r="F737" s="15">
        <v>2575</v>
      </c>
      <c r="G737" s="8" t="s">
        <v>12324</v>
      </c>
      <c r="H737" s="24" t="s">
        <v>662</v>
      </c>
      <c r="I737" s="25" t="s">
        <v>663</v>
      </c>
      <c r="J737" s="8" t="s">
        <v>664</v>
      </c>
      <c r="K737" s="8" t="s">
        <v>10040</v>
      </c>
      <c r="L737" s="15">
        <v>-0.53460600000000003</v>
      </c>
      <c r="M737" s="15">
        <v>6.7001900000000003E-2</v>
      </c>
      <c r="N737" s="15">
        <v>0.40031917315436238</v>
      </c>
    </row>
    <row r="738" spans="1:14" x14ac:dyDescent="0.2">
      <c r="A738" s="2" t="s">
        <v>10069</v>
      </c>
      <c r="B738" s="15">
        <v>2483</v>
      </c>
      <c r="C738" s="15">
        <v>22</v>
      </c>
      <c r="D738" s="15">
        <v>38718590</v>
      </c>
      <c r="E738" s="15">
        <v>40378783</v>
      </c>
      <c r="F738" s="15">
        <v>2212</v>
      </c>
      <c r="G738" s="8" t="s">
        <v>12324</v>
      </c>
      <c r="H738" s="24" t="s">
        <v>662</v>
      </c>
      <c r="I738" s="25" t="s">
        <v>663</v>
      </c>
      <c r="J738" s="8" t="s">
        <v>664</v>
      </c>
      <c r="K738" s="8" t="s">
        <v>10040</v>
      </c>
      <c r="L738" s="15">
        <v>0.72847499999999998</v>
      </c>
      <c r="M738" s="15">
        <v>6.7246399999999998E-2</v>
      </c>
      <c r="N738" s="15">
        <v>0.40031917315436238</v>
      </c>
    </row>
    <row r="739" spans="1:14" x14ac:dyDescent="0.2">
      <c r="A739" s="2" t="s">
        <v>10068</v>
      </c>
      <c r="B739" s="15">
        <v>803</v>
      </c>
      <c r="C739" s="15">
        <v>5</v>
      </c>
      <c r="D739" s="15">
        <v>30416067</v>
      </c>
      <c r="E739" s="15">
        <v>31679464</v>
      </c>
      <c r="F739" s="15">
        <v>3532</v>
      </c>
      <c r="G739" s="8" t="s">
        <v>12324</v>
      </c>
      <c r="H739" s="24" t="s">
        <v>1259</v>
      </c>
      <c r="I739" s="25">
        <v>27096</v>
      </c>
      <c r="J739" s="8" t="s">
        <v>1261</v>
      </c>
      <c r="K739" s="8" t="s">
        <v>10040</v>
      </c>
      <c r="L739" s="15">
        <v>-0.340532</v>
      </c>
      <c r="M739" s="15">
        <v>6.7018800000000003E-2</v>
      </c>
      <c r="N739" s="15">
        <v>0.40031917315436238</v>
      </c>
    </row>
    <row r="740" spans="1:14" x14ac:dyDescent="0.2">
      <c r="A740" s="2" t="s">
        <v>10066</v>
      </c>
      <c r="B740" s="15">
        <v>1934</v>
      </c>
      <c r="C740" s="15">
        <v>13</v>
      </c>
      <c r="D740" s="15">
        <v>94925137</v>
      </c>
      <c r="E740" s="15">
        <v>96132647</v>
      </c>
      <c r="F740" s="15">
        <v>4016</v>
      </c>
      <c r="G740" s="8" t="s">
        <v>12324</v>
      </c>
      <c r="H740" s="24" t="s">
        <v>3164</v>
      </c>
      <c r="I740" s="25" t="s">
        <v>3165</v>
      </c>
      <c r="J740" s="8" t="s">
        <v>3166</v>
      </c>
      <c r="K740" s="8" t="s">
        <v>10042</v>
      </c>
      <c r="L740" s="15">
        <v>0.54689299999999996</v>
      </c>
      <c r="M740" s="15">
        <v>6.6419800000000001E-2</v>
      </c>
      <c r="N740" s="15">
        <v>0.40031917315436238</v>
      </c>
    </row>
    <row r="741" spans="1:14" x14ac:dyDescent="0.2">
      <c r="A741" s="2" t="s">
        <v>10066</v>
      </c>
      <c r="B741" s="15">
        <v>2035</v>
      </c>
      <c r="C741" s="15">
        <v>15</v>
      </c>
      <c r="D741" s="15">
        <v>22799927</v>
      </c>
      <c r="E741" s="15">
        <v>24099946</v>
      </c>
      <c r="F741" s="15">
        <v>2426</v>
      </c>
      <c r="G741" s="8" t="s">
        <v>12324</v>
      </c>
      <c r="H741" s="24" t="s">
        <v>3164</v>
      </c>
      <c r="I741" s="25" t="s">
        <v>3165</v>
      </c>
      <c r="J741" s="8" t="s">
        <v>3166</v>
      </c>
      <c r="K741" s="8" t="s">
        <v>10042</v>
      </c>
      <c r="L741" s="15">
        <v>0.23292299999999999</v>
      </c>
      <c r="M741" s="15">
        <v>6.7139599999999994E-2</v>
      </c>
      <c r="N741" s="15">
        <v>0.40031917315436238</v>
      </c>
    </row>
    <row r="742" spans="1:14" x14ac:dyDescent="0.2">
      <c r="A742" s="2" t="s">
        <v>10066</v>
      </c>
      <c r="B742" s="15">
        <v>1037</v>
      </c>
      <c r="C742" s="15">
        <v>6</v>
      </c>
      <c r="D742" s="15">
        <v>106053916</v>
      </c>
      <c r="E742" s="15">
        <v>107309327</v>
      </c>
      <c r="F742" s="15">
        <v>3680</v>
      </c>
      <c r="G742" s="8" t="s">
        <v>12324</v>
      </c>
      <c r="H742" s="24" t="s">
        <v>3164</v>
      </c>
      <c r="I742" s="25" t="s">
        <v>3165</v>
      </c>
      <c r="J742" s="8" t="s">
        <v>3166</v>
      </c>
      <c r="K742" s="8" t="s">
        <v>10042</v>
      </c>
      <c r="L742" s="15">
        <v>-0.37244300000000002</v>
      </c>
      <c r="M742" s="15">
        <v>6.7230700000000004E-2</v>
      </c>
      <c r="N742" s="15">
        <v>0.40031917315436238</v>
      </c>
    </row>
    <row r="743" spans="1:14" x14ac:dyDescent="0.2">
      <c r="A743" s="2" t="s">
        <v>10066</v>
      </c>
      <c r="B743" s="15">
        <v>113</v>
      </c>
      <c r="C743" s="15">
        <v>1</v>
      </c>
      <c r="D743" s="15">
        <v>154685546</v>
      </c>
      <c r="E743" s="15">
        <v>156813845</v>
      </c>
      <c r="F743" s="15">
        <v>3322</v>
      </c>
      <c r="G743" s="8" t="s">
        <v>12324</v>
      </c>
      <c r="H743" s="24" t="s">
        <v>6008</v>
      </c>
      <c r="I743" s="25" t="s">
        <v>6009</v>
      </c>
      <c r="J743" s="8" t="s">
        <v>6010</v>
      </c>
      <c r="K743" s="8" t="s">
        <v>10051</v>
      </c>
      <c r="L743" s="15">
        <v>-0.58673299999999995</v>
      </c>
      <c r="M743" s="15">
        <v>6.6556599999999994E-2</v>
      </c>
      <c r="N743" s="15">
        <v>0.40031917315436238</v>
      </c>
    </row>
    <row r="744" spans="1:14" x14ac:dyDescent="0.2">
      <c r="A744" s="2" t="s">
        <v>10066</v>
      </c>
      <c r="B744" s="15">
        <v>754</v>
      </c>
      <c r="C744" s="15">
        <v>4</v>
      </c>
      <c r="D744" s="15">
        <v>171643020</v>
      </c>
      <c r="E744" s="15">
        <v>172555990</v>
      </c>
      <c r="F744" s="15">
        <v>2824</v>
      </c>
      <c r="G744" s="8" t="s">
        <v>12324</v>
      </c>
      <c r="H744" s="24" t="s">
        <v>6008</v>
      </c>
      <c r="I744" s="25" t="s">
        <v>6009</v>
      </c>
      <c r="J744" s="8" t="s">
        <v>6010</v>
      </c>
      <c r="K744" s="8" t="s">
        <v>10051</v>
      </c>
      <c r="L744" s="15">
        <v>-0.47426400000000002</v>
      </c>
      <c r="M744" s="15">
        <v>6.6859500000000002E-2</v>
      </c>
      <c r="N744" s="15">
        <v>0.40031917315436238</v>
      </c>
    </row>
    <row r="745" spans="1:14" x14ac:dyDescent="0.2">
      <c r="A745" s="2" t="s">
        <v>10068</v>
      </c>
      <c r="B745" s="15">
        <v>1061</v>
      </c>
      <c r="C745" s="15">
        <v>6</v>
      </c>
      <c r="D745" s="15">
        <v>134313644</v>
      </c>
      <c r="E745" s="15">
        <v>135544083</v>
      </c>
      <c r="F745" s="15">
        <v>3018</v>
      </c>
      <c r="G745" s="8" t="s">
        <v>12324</v>
      </c>
      <c r="H745" s="24" t="s">
        <v>6565</v>
      </c>
      <c r="I745" s="25" t="s">
        <v>6475</v>
      </c>
      <c r="J745" s="8" t="s">
        <v>6566</v>
      </c>
      <c r="K745" s="8" t="s">
        <v>10054</v>
      </c>
      <c r="L745" s="15">
        <v>-0.42041000000000001</v>
      </c>
      <c r="M745" s="15">
        <v>6.6226599999999997E-2</v>
      </c>
      <c r="N745" s="15">
        <v>0.40031917315436238</v>
      </c>
    </row>
    <row r="746" spans="1:14" x14ac:dyDescent="0.2">
      <c r="A746" s="2" t="s">
        <v>10068</v>
      </c>
      <c r="B746" s="15">
        <v>1590</v>
      </c>
      <c r="C746" s="15">
        <v>10</v>
      </c>
      <c r="D746" s="15">
        <v>115588904</v>
      </c>
      <c r="E746" s="15">
        <v>116845213</v>
      </c>
      <c r="F746" s="15">
        <v>2885</v>
      </c>
      <c r="G746" s="8" t="s">
        <v>12324</v>
      </c>
      <c r="H746" s="24" t="s">
        <v>6565</v>
      </c>
      <c r="I746" s="25" t="s">
        <v>6475</v>
      </c>
      <c r="J746" s="8" t="s">
        <v>6566</v>
      </c>
      <c r="K746" s="8" t="s">
        <v>10054</v>
      </c>
      <c r="L746" s="15">
        <v>-0.34784399999999999</v>
      </c>
      <c r="M746" s="15">
        <v>6.65018E-2</v>
      </c>
      <c r="N746" s="15">
        <v>0.40031917315436238</v>
      </c>
    </row>
    <row r="747" spans="1:14" x14ac:dyDescent="0.2">
      <c r="A747" s="2" t="s">
        <v>10068</v>
      </c>
      <c r="B747" s="15">
        <v>1067</v>
      </c>
      <c r="C747" s="15">
        <v>6</v>
      </c>
      <c r="D747" s="15">
        <v>143083348</v>
      </c>
      <c r="E747" s="15">
        <v>144791455</v>
      </c>
      <c r="F747" s="15">
        <v>3684</v>
      </c>
      <c r="G747" s="8" t="s">
        <v>12324</v>
      </c>
      <c r="H747" s="24" t="s">
        <v>6565</v>
      </c>
      <c r="I747" s="25" t="s">
        <v>6475</v>
      </c>
      <c r="J747" s="8" t="s">
        <v>6566</v>
      </c>
      <c r="K747" s="8" t="s">
        <v>10054</v>
      </c>
      <c r="L747" s="15">
        <v>-0.463862</v>
      </c>
      <c r="M747" s="15">
        <v>6.6883300000000007E-2</v>
      </c>
      <c r="N747" s="15">
        <v>0.40031917315436238</v>
      </c>
    </row>
    <row r="748" spans="1:14" x14ac:dyDescent="0.2">
      <c r="A748" s="2" t="s">
        <v>10068</v>
      </c>
      <c r="B748" s="15">
        <v>967</v>
      </c>
      <c r="C748" s="15">
        <v>6</v>
      </c>
      <c r="D748" s="15">
        <v>32682214</v>
      </c>
      <c r="E748" s="15">
        <v>32897998</v>
      </c>
      <c r="F748" s="15">
        <v>2326</v>
      </c>
      <c r="G748" s="8" t="s">
        <v>12324</v>
      </c>
      <c r="H748" s="24" t="s">
        <v>599</v>
      </c>
      <c r="I748" s="25">
        <v>26562</v>
      </c>
      <c r="J748" s="8" t="s">
        <v>601</v>
      </c>
      <c r="K748" s="8" t="s">
        <v>10040</v>
      </c>
      <c r="L748" s="15">
        <v>-0.55394699999999997</v>
      </c>
      <c r="M748" s="15">
        <v>6.7459599999999995E-2</v>
      </c>
      <c r="N748" s="15">
        <v>0.40105003485254692</v>
      </c>
    </row>
    <row r="749" spans="1:14" x14ac:dyDescent="0.2">
      <c r="A749" s="2" t="s">
        <v>10068</v>
      </c>
      <c r="B749" s="15">
        <v>1948</v>
      </c>
      <c r="C749" s="15">
        <v>13</v>
      </c>
      <c r="D749" s="15">
        <v>109813577</v>
      </c>
      <c r="E749" s="15">
        <v>110995432</v>
      </c>
      <c r="F749" s="15">
        <v>3993</v>
      </c>
      <c r="G749" s="8" t="s">
        <v>12324</v>
      </c>
      <c r="H749" s="24" t="s">
        <v>599</v>
      </c>
      <c r="I749" s="25">
        <v>26562</v>
      </c>
      <c r="J749" s="8" t="s">
        <v>601</v>
      </c>
      <c r="K749" s="8" t="s">
        <v>10040</v>
      </c>
      <c r="L749" s="15">
        <v>-0.302373</v>
      </c>
      <c r="M749" s="15">
        <v>6.7901600000000006E-2</v>
      </c>
      <c r="N749" s="15">
        <v>0.402060875834446</v>
      </c>
    </row>
    <row r="750" spans="1:14" x14ac:dyDescent="0.2">
      <c r="A750" s="2" t="s">
        <v>10068</v>
      </c>
      <c r="B750" s="15">
        <v>1616</v>
      </c>
      <c r="C750" s="15">
        <v>11</v>
      </c>
      <c r="D750" s="15">
        <v>4946052</v>
      </c>
      <c r="E750" s="15">
        <v>5533057</v>
      </c>
      <c r="F750" s="15">
        <v>2794</v>
      </c>
      <c r="G750" s="8" t="s">
        <v>12324</v>
      </c>
      <c r="H750" s="24" t="s">
        <v>1259</v>
      </c>
      <c r="I750" s="25">
        <v>27096</v>
      </c>
      <c r="J750" s="8" t="s">
        <v>1261</v>
      </c>
      <c r="K750" s="8" t="s">
        <v>10040</v>
      </c>
      <c r="L750" s="15">
        <v>-0.34315499999999999</v>
      </c>
      <c r="M750" s="15">
        <v>6.7813600000000002E-2</v>
      </c>
      <c r="N750" s="15">
        <v>0.402060875834446</v>
      </c>
    </row>
    <row r="751" spans="1:14" x14ac:dyDescent="0.2">
      <c r="A751" s="2" t="s">
        <v>10068</v>
      </c>
      <c r="B751" s="15">
        <v>109</v>
      </c>
      <c r="C751" s="15">
        <v>1</v>
      </c>
      <c r="D751" s="15">
        <v>149716038</v>
      </c>
      <c r="E751" s="15">
        <v>151146407</v>
      </c>
      <c r="F751" s="15">
        <v>2410</v>
      </c>
      <c r="G751" s="8" t="s">
        <v>12324</v>
      </c>
      <c r="H751" s="24" t="s">
        <v>6565</v>
      </c>
      <c r="I751" s="25" t="s">
        <v>6475</v>
      </c>
      <c r="J751" s="8" t="s">
        <v>6566</v>
      </c>
      <c r="K751" s="8" t="s">
        <v>10054</v>
      </c>
      <c r="L751" s="15">
        <v>0.37105100000000002</v>
      </c>
      <c r="M751" s="15">
        <v>6.7823800000000004E-2</v>
      </c>
      <c r="N751" s="15">
        <v>0.402060875834446</v>
      </c>
    </row>
    <row r="752" spans="1:14" x14ac:dyDescent="0.2">
      <c r="A752" s="2" t="s">
        <v>10068</v>
      </c>
      <c r="B752" s="15">
        <v>2492</v>
      </c>
      <c r="C752" s="15">
        <v>22</v>
      </c>
      <c r="D752" s="15">
        <v>48269178</v>
      </c>
      <c r="E752" s="15">
        <v>48977538</v>
      </c>
      <c r="F752" s="15">
        <v>2634</v>
      </c>
      <c r="G752" s="8" t="s">
        <v>12324</v>
      </c>
      <c r="H752" s="24" t="s">
        <v>494</v>
      </c>
      <c r="I752" s="25">
        <v>25920</v>
      </c>
      <c r="J752" s="8" t="s">
        <v>496</v>
      </c>
      <c r="K752" s="8" t="s">
        <v>10040</v>
      </c>
      <c r="L752" s="15">
        <v>0.27022000000000002</v>
      </c>
      <c r="M752" s="15">
        <v>6.8112900000000004E-2</v>
      </c>
      <c r="N752" s="15">
        <v>0.40277428199999998</v>
      </c>
    </row>
    <row r="753" spans="1:14" x14ac:dyDescent="0.2">
      <c r="A753" s="2" t="s">
        <v>10068</v>
      </c>
      <c r="B753" s="15">
        <v>1221</v>
      </c>
      <c r="C753" s="15">
        <v>7</v>
      </c>
      <c r="D753" s="15">
        <v>147352172</v>
      </c>
      <c r="E753" s="15">
        <v>148622913</v>
      </c>
      <c r="F753" s="15">
        <v>4116</v>
      </c>
      <c r="G753" s="8" t="s">
        <v>12324</v>
      </c>
      <c r="H753" s="24" t="s">
        <v>494</v>
      </c>
      <c r="I753" s="25">
        <v>25920</v>
      </c>
      <c r="J753" s="8" t="s">
        <v>496</v>
      </c>
      <c r="K753" s="8" t="s">
        <v>10040</v>
      </c>
      <c r="L753" s="15">
        <v>-0.49968699999999999</v>
      </c>
      <c r="M753" s="15">
        <v>6.8253300000000003E-2</v>
      </c>
      <c r="N753" s="15">
        <v>0.40306709121171769</v>
      </c>
    </row>
    <row r="754" spans="1:14" x14ac:dyDescent="0.2">
      <c r="A754" s="2" t="s">
        <v>10068</v>
      </c>
      <c r="B754" s="15">
        <v>1532</v>
      </c>
      <c r="C754" s="15">
        <v>10</v>
      </c>
      <c r="D754" s="15">
        <v>49197321</v>
      </c>
      <c r="E754" s="15">
        <v>50145673</v>
      </c>
      <c r="F754" s="15">
        <v>2044</v>
      </c>
      <c r="G754" s="8" t="s">
        <v>12324</v>
      </c>
      <c r="H754" s="24" t="s">
        <v>599</v>
      </c>
      <c r="I754" s="25">
        <v>26562</v>
      </c>
      <c r="J754" s="8" t="s">
        <v>601</v>
      </c>
      <c r="K754" s="8" t="s">
        <v>10040</v>
      </c>
      <c r="L754" s="15">
        <v>0.24526999999999999</v>
      </c>
      <c r="M754" s="15">
        <v>6.8416599999999994E-2</v>
      </c>
      <c r="N754" s="15">
        <v>0.40326090384615387</v>
      </c>
    </row>
    <row r="755" spans="1:14" x14ac:dyDescent="0.2">
      <c r="A755" s="2" t="s">
        <v>10069</v>
      </c>
      <c r="B755" s="15">
        <v>359</v>
      </c>
      <c r="C755" s="15">
        <v>2</v>
      </c>
      <c r="D755" s="15">
        <v>174118390</v>
      </c>
      <c r="E755" s="15">
        <v>174927563</v>
      </c>
      <c r="F755" s="15">
        <v>1317</v>
      </c>
      <c r="G755" s="8" t="s">
        <v>12324</v>
      </c>
      <c r="H755" s="24" t="s">
        <v>662</v>
      </c>
      <c r="I755" s="25" t="s">
        <v>663</v>
      </c>
      <c r="J755" s="8" t="s">
        <v>664</v>
      </c>
      <c r="K755" s="8" t="s">
        <v>10040</v>
      </c>
      <c r="L755" s="15">
        <v>0.61530899999999999</v>
      </c>
      <c r="M755" s="15">
        <v>6.8474499999999994E-2</v>
      </c>
      <c r="N755" s="15">
        <v>0.40326090384615387</v>
      </c>
    </row>
    <row r="756" spans="1:14" x14ac:dyDescent="0.2">
      <c r="A756" s="2" t="s">
        <v>10068</v>
      </c>
      <c r="B756" s="15">
        <v>320</v>
      </c>
      <c r="C756" s="15">
        <v>2</v>
      </c>
      <c r="D756" s="15">
        <v>127895645</v>
      </c>
      <c r="E756" s="15">
        <v>129486897</v>
      </c>
      <c r="F756" s="15">
        <v>4205</v>
      </c>
      <c r="G756" s="8" t="s">
        <v>12324</v>
      </c>
      <c r="H756" s="24" t="s">
        <v>1259</v>
      </c>
      <c r="I756" s="25">
        <v>27096</v>
      </c>
      <c r="J756" s="8" t="s">
        <v>1261</v>
      </c>
      <c r="K756" s="8" t="s">
        <v>10040</v>
      </c>
      <c r="L756" s="15">
        <v>0.71738599999999997</v>
      </c>
      <c r="M756" s="15">
        <v>6.8558900000000006E-2</v>
      </c>
      <c r="N756" s="15">
        <v>0.40326090384615387</v>
      </c>
    </row>
    <row r="757" spans="1:14" x14ac:dyDescent="0.2">
      <c r="A757" s="2" t="s">
        <v>10068</v>
      </c>
      <c r="B757" s="15">
        <v>1846</v>
      </c>
      <c r="C757" s="15">
        <v>12</v>
      </c>
      <c r="D757" s="15">
        <v>117091844</v>
      </c>
      <c r="E757" s="15">
        <v>118256124</v>
      </c>
      <c r="F757" s="15">
        <v>3188</v>
      </c>
      <c r="G757" s="8" t="s">
        <v>12324</v>
      </c>
      <c r="H757" s="24" t="s">
        <v>494</v>
      </c>
      <c r="I757" s="25">
        <v>25920</v>
      </c>
      <c r="J757" s="8" t="s">
        <v>496</v>
      </c>
      <c r="K757" s="8" t="s">
        <v>10040</v>
      </c>
      <c r="L757" s="15">
        <v>-0.20708299999999999</v>
      </c>
      <c r="M757" s="15">
        <v>6.9587499999999997E-2</v>
      </c>
      <c r="N757" s="15">
        <v>0.40452373197903008</v>
      </c>
    </row>
    <row r="758" spans="1:14" x14ac:dyDescent="0.2">
      <c r="A758" s="2" t="s">
        <v>10068</v>
      </c>
      <c r="B758" s="15">
        <v>2418</v>
      </c>
      <c r="C758" s="15">
        <v>20</v>
      </c>
      <c r="D758" s="15">
        <v>53879804</v>
      </c>
      <c r="E758" s="15">
        <v>54743694</v>
      </c>
      <c r="F758" s="15">
        <v>2307</v>
      </c>
      <c r="G758" s="8" t="s">
        <v>12324</v>
      </c>
      <c r="H758" s="24" t="s">
        <v>599</v>
      </c>
      <c r="I758" s="25">
        <v>26562</v>
      </c>
      <c r="J758" s="8" t="s">
        <v>601</v>
      </c>
      <c r="K758" s="8" t="s">
        <v>10040</v>
      </c>
      <c r="L758" s="15">
        <v>-0.43210300000000001</v>
      </c>
      <c r="M758" s="15">
        <v>6.9594500000000004E-2</v>
      </c>
      <c r="N758" s="15">
        <v>0.40452373197903008</v>
      </c>
    </row>
    <row r="759" spans="1:14" x14ac:dyDescent="0.2">
      <c r="A759" s="2" t="s">
        <v>10069</v>
      </c>
      <c r="B759" s="15">
        <v>1092</v>
      </c>
      <c r="C759" s="15">
        <v>6</v>
      </c>
      <c r="D759" s="15">
        <v>168707339</v>
      </c>
      <c r="E759" s="15">
        <v>169667886</v>
      </c>
      <c r="F759" s="15">
        <v>2821</v>
      </c>
      <c r="G759" s="8" t="s">
        <v>12324</v>
      </c>
      <c r="H759" s="24" t="s">
        <v>662</v>
      </c>
      <c r="I759" s="25" t="s">
        <v>663</v>
      </c>
      <c r="J759" s="8" t="s">
        <v>664</v>
      </c>
      <c r="K759" s="8" t="s">
        <v>10040</v>
      </c>
      <c r="L759" s="15">
        <v>-0.72445700000000002</v>
      </c>
      <c r="M759" s="15">
        <v>6.9407800000000006E-2</v>
      </c>
      <c r="N759" s="15">
        <v>0.40452373197903008</v>
      </c>
    </row>
    <row r="760" spans="1:14" x14ac:dyDescent="0.2">
      <c r="A760" s="2" t="s">
        <v>10068</v>
      </c>
      <c r="B760" s="15">
        <v>2224</v>
      </c>
      <c r="C760" s="15">
        <v>17</v>
      </c>
      <c r="D760" s="15">
        <v>66757557</v>
      </c>
      <c r="E760" s="15">
        <v>68176219</v>
      </c>
      <c r="F760" s="15">
        <v>3008</v>
      </c>
      <c r="G760" s="8" t="s">
        <v>12324</v>
      </c>
      <c r="H760" s="24" t="s">
        <v>1259</v>
      </c>
      <c r="I760" s="25">
        <v>27096</v>
      </c>
      <c r="J760" s="8" t="s">
        <v>1261</v>
      </c>
      <c r="K760" s="8" t="s">
        <v>10040</v>
      </c>
      <c r="L760" s="15">
        <v>-0.34845700000000002</v>
      </c>
      <c r="M760" s="15">
        <v>6.9443099999999994E-2</v>
      </c>
      <c r="N760" s="15">
        <v>0.40452373197903008</v>
      </c>
    </row>
    <row r="761" spans="1:14" x14ac:dyDescent="0.2">
      <c r="A761" s="2" t="s">
        <v>10066</v>
      </c>
      <c r="B761" s="15">
        <v>1836</v>
      </c>
      <c r="C761" s="15">
        <v>12</v>
      </c>
      <c r="D761" s="15">
        <v>106153788</v>
      </c>
      <c r="E761" s="15">
        <v>106964977</v>
      </c>
      <c r="F761" s="15">
        <v>2092</v>
      </c>
      <c r="G761" s="8" t="s">
        <v>12324</v>
      </c>
      <c r="H761" s="24" t="s">
        <v>3164</v>
      </c>
      <c r="I761" s="25" t="s">
        <v>3165</v>
      </c>
      <c r="J761" s="8" t="s">
        <v>3166</v>
      </c>
      <c r="K761" s="8" t="s">
        <v>10042</v>
      </c>
      <c r="L761" s="15">
        <v>0.419271</v>
      </c>
      <c r="M761" s="15">
        <v>6.8865999999999997E-2</v>
      </c>
      <c r="N761" s="15">
        <v>0.40452373197903008</v>
      </c>
    </row>
    <row r="762" spans="1:14" x14ac:dyDescent="0.2">
      <c r="A762" s="2" t="s">
        <v>10066</v>
      </c>
      <c r="B762" s="15">
        <v>2229</v>
      </c>
      <c r="C762" s="15">
        <v>17</v>
      </c>
      <c r="D762" s="15">
        <v>72383473</v>
      </c>
      <c r="E762" s="15">
        <v>73741321</v>
      </c>
      <c r="F762" s="15">
        <v>3552</v>
      </c>
      <c r="G762" s="8" t="s">
        <v>12324</v>
      </c>
      <c r="H762" s="24" t="s">
        <v>3164</v>
      </c>
      <c r="I762" s="25" t="s">
        <v>3165</v>
      </c>
      <c r="J762" s="8" t="s">
        <v>3166</v>
      </c>
      <c r="K762" s="8" t="s">
        <v>10042</v>
      </c>
      <c r="L762" s="15">
        <v>0.72305200000000003</v>
      </c>
      <c r="M762" s="15">
        <v>6.9554000000000005E-2</v>
      </c>
      <c r="N762" s="15">
        <v>0.40452373197903008</v>
      </c>
    </row>
    <row r="763" spans="1:14" x14ac:dyDescent="0.2">
      <c r="A763" s="2" t="s">
        <v>10068</v>
      </c>
      <c r="B763" s="15">
        <v>1792</v>
      </c>
      <c r="C763" s="15">
        <v>12</v>
      </c>
      <c r="D763" s="15">
        <v>54371449</v>
      </c>
      <c r="E763" s="15">
        <v>55416802</v>
      </c>
      <c r="F763" s="15">
        <v>2521</v>
      </c>
      <c r="G763" s="8" t="s">
        <v>12324</v>
      </c>
      <c r="H763" s="24" t="s">
        <v>6565</v>
      </c>
      <c r="I763" s="25" t="s">
        <v>6475</v>
      </c>
      <c r="J763" s="8" t="s">
        <v>6566</v>
      </c>
      <c r="K763" s="8" t="s">
        <v>10054</v>
      </c>
      <c r="L763" s="15">
        <v>0.34375699999999998</v>
      </c>
      <c r="M763" s="15">
        <v>6.9404499999999994E-2</v>
      </c>
      <c r="N763" s="15">
        <v>0.40452373197903008</v>
      </c>
    </row>
    <row r="764" spans="1:14" x14ac:dyDescent="0.2">
      <c r="A764" s="2" t="s">
        <v>10068</v>
      </c>
      <c r="B764" s="15">
        <v>433</v>
      </c>
      <c r="C764" s="15">
        <v>3</v>
      </c>
      <c r="D764" s="15">
        <v>11226368</v>
      </c>
      <c r="E764" s="15">
        <v>11997658</v>
      </c>
      <c r="F764" s="15">
        <v>2129</v>
      </c>
      <c r="G764" s="8" t="s">
        <v>12324</v>
      </c>
      <c r="H764" s="24" t="s">
        <v>6565</v>
      </c>
      <c r="I764" s="25" t="s">
        <v>6475</v>
      </c>
      <c r="J764" s="8" t="s">
        <v>6566</v>
      </c>
      <c r="K764" s="8" t="s">
        <v>10054</v>
      </c>
      <c r="L764" s="15">
        <v>0.63567600000000002</v>
      </c>
      <c r="M764" s="15">
        <v>6.9432800000000003E-2</v>
      </c>
      <c r="N764" s="15">
        <v>0.40452373197903008</v>
      </c>
    </row>
    <row r="765" spans="1:14" x14ac:dyDescent="0.2">
      <c r="A765" s="2" t="s">
        <v>10068</v>
      </c>
      <c r="B765" s="15">
        <v>2413</v>
      </c>
      <c r="C765" s="15">
        <v>20</v>
      </c>
      <c r="D765" s="15">
        <v>49236419</v>
      </c>
      <c r="E765" s="15">
        <v>50653620</v>
      </c>
      <c r="F765" s="15">
        <v>4123</v>
      </c>
      <c r="G765" s="8" t="s">
        <v>12324</v>
      </c>
      <c r="H765" s="24" t="s">
        <v>6565</v>
      </c>
      <c r="I765" s="25" t="s">
        <v>6475</v>
      </c>
      <c r="J765" s="8" t="s">
        <v>6566</v>
      </c>
      <c r="K765" s="8" t="s">
        <v>10054</v>
      </c>
      <c r="L765" s="15">
        <v>0.40245999999999998</v>
      </c>
      <c r="M765" s="15">
        <v>6.9570999999999994E-2</v>
      </c>
      <c r="N765" s="15">
        <v>0.40452373197903008</v>
      </c>
    </row>
    <row r="766" spans="1:14" x14ac:dyDescent="0.2">
      <c r="A766" s="2" t="s">
        <v>10066</v>
      </c>
      <c r="B766" s="15">
        <v>734</v>
      </c>
      <c r="C766" s="15">
        <v>4</v>
      </c>
      <c r="D766" s="15">
        <v>149998529</v>
      </c>
      <c r="E766" s="15">
        <v>151014322</v>
      </c>
      <c r="F766" s="15">
        <v>2102</v>
      </c>
      <c r="G766" s="8" t="s">
        <v>12324</v>
      </c>
      <c r="H766" s="24" t="s">
        <v>3164</v>
      </c>
      <c r="I766" s="25" t="s">
        <v>3165</v>
      </c>
      <c r="J766" s="8" t="s">
        <v>3166</v>
      </c>
      <c r="K766" s="8" t="s">
        <v>10042</v>
      </c>
      <c r="L766" s="15">
        <v>0.49663200000000002</v>
      </c>
      <c r="M766" s="15">
        <v>7.0129200000000003E-2</v>
      </c>
      <c r="N766" s="15">
        <v>0.40656601568627448</v>
      </c>
    </row>
    <row r="767" spans="1:14" x14ac:dyDescent="0.2">
      <c r="A767" s="2" t="s">
        <v>10066</v>
      </c>
      <c r="B767" s="15">
        <v>178</v>
      </c>
      <c r="C767" s="15">
        <v>1</v>
      </c>
      <c r="D767" s="15">
        <v>229075157</v>
      </c>
      <c r="E767" s="15">
        <v>230227247</v>
      </c>
      <c r="F767" s="15">
        <v>2492</v>
      </c>
      <c r="G767" s="8" t="s">
        <v>12324</v>
      </c>
      <c r="H767" s="24" t="s">
        <v>6008</v>
      </c>
      <c r="I767" s="25" t="s">
        <v>6009</v>
      </c>
      <c r="J767" s="8" t="s">
        <v>6010</v>
      </c>
      <c r="K767" s="8" t="s">
        <v>10051</v>
      </c>
      <c r="L767" s="15">
        <v>0.51628200000000002</v>
      </c>
      <c r="M767" s="15">
        <v>7.0114499999999996E-2</v>
      </c>
      <c r="N767" s="15">
        <v>0.40656601568627448</v>
      </c>
    </row>
    <row r="768" spans="1:14" x14ac:dyDescent="0.2">
      <c r="A768" s="2" t="s">
        <v>10068</v>
      </c>
      <c r="B768" s="15">
        <v>1695</v>
      </c>
      <c r="C768" s="15">
        <v>11</v>
      </c>
      <c r="D768" s="15">
        <v>88359288</v>
      </c>
      <c r="E768" s="15">
        <v>89209738</v>
      </c>
      <c r="F768" s="15">
        <v>2144</v>
      </c>
      <c r="G768" s="8" t="s">
        <v>12324</v>
      </c>
      <c r="H768" s="24" t="s">
        <v>494</v>
      </c>
      <c r="I768" s="25">
        <v>25920</v>
      </c>
      <c r="J768" s="8" t="s">
        <v>496</v>
      </c>
      <c r="K768" s="8" t="s">
        <v>10040</v>
      </c>
      <c r="L768" s="15">
        <v>0.44348599999999999</v>
      </c>
      <c r="M768" s="15">
        <v>7.0442400000000002E-2</v>
      </c>
      <c r="N768" s="15">
        <v>0.40678651562500001</v>
      </c>
    </row>
    <row r="769" spans="1:14" x14ac:dyDescent="0.2">
      <c r="A769" s="2" t="s">
        <v>10066</v>
      </c>
      <c r="B769" s="15">
        <v>561</v>
      </c>
      <c r="C769" s="15">
        <v>3</v>
      </c>
      <c r="D769" s="15">
        <v>159478752</v>
      </c>
      <c r="E769" s="15">
        <v>160584961</v>
      </c>
      <c r="F769" s="15">
        <v>2309</v>
      </c>
      <c r="G769" s="8" t="s">
        <v>12324</v>
      </c>
      <c r="H769" s="24" t="s">
        <v>6008</v>
      </c>
      <c r="I769" s="25" t="s">
        <v>6009</v>
      </c>
      <c r="J769" s="8" t="s">
        <v>6010</v>
      </c>
      <c r="K769" s="8" t="s">
        <v>10051</v>
      </c>
      <c r="L769" s="15">
        <v>0.51756000000000002</v>
      </c>
      <c r="M769" s="15">
        <v>7.0334300000000002E-2</v>
      </c>
      <c r="N769" s="15">
        <v>0.40678651562500001</v>
      </c>
    </row>
    <row r="770" spans="1:14" x14ac:dyDescent="0.2">
      <c r="A770" s="2" t="s">
        <v>10066</v>
      </c>
      <c r="B770" s="15">
        <v>519</v>
      </c>
      <c r="C770" s="15">
        <v>3</v>
      </c>
      <c r="D770" s="15">
        <v>113657666</v>
      </c>
      <c r="E770" s="15">
        <v>115649909</v>
      </c>
      <c r="F770" s="15">
        <v>3946</v>
      </c>
      <c r="G770" s="8" t="s">
        <v>12324</v>
      </c>
      <c r="H770" s="24" t="s">
        <v>6008</v>
      </c>
      <c r="I770" s="25" t="s">
        <v>6009</v>
      </c>
      <c r="J770" s="8" t="s">
        <v>6010</v>
      </c>
      <c r="K770" s="8" t="s">
        <v>10051</v>
      </c>
      <c r="L770" s="15">
        <v>-0.30501800000000001</v>
      </c>
      <c r="M770" s="15">
        <v>7.0386199999999996E-2</v>
      </c>
      <c r="N770" s="15">
        <v>0.40678651562500001</v>
      </c>
    </row>
    <row r="771" spans="1:14" x14ac:dyDescent="0.2">
      <c r="A771" s="2" t="s">
        <v>10068</v>
      </c>
      <c r="B771" s="15">
        <v>185</v>
      </c>
      <c r="C771" s="15">
        <v>1</v>
      </c>
      <c r="D771" s="15">
        <v>235097114</v>
      </c>
      <c r="E771" s="15">
        <v>236199671</v>
      </c>
      <c r="F771" s="15">
        <v>2347</v>
      </c>
      <c r="G771" s="8" t="s">
        <v>12324</v>
      </c>
      <c r="H771" s="24" t="s">
        <v>494</v>
      </c>
      <c r="I771" s="25">
        <v>25920</v>
      </c>
      <c r="J771" s="8" t="s">
        <v>496</v>
      </c>
      <c r="K771" s="8" t="s">
        <v>10040</v>
      </c>
      <c r="L771" s="15">
        <v>-0.29341499999999998</v>
      </c>
      <c r="M771" s="15">
        <v>7.1182999999999996E-2</v>
      </c>
      <c r="N771" s="15">
        <v>0.40783122820512818</v>
      </c>
    </row>
    <row r="772" spans="1:14" x14ac:dyDescent="0.2">
      <c r="A772" s="2" t="s">
        <v>10068</v>
      </c>
      <c r="B772" s="15">
        <v>909</v>
      </c>
      <c r="C772" s="15">
        <v>5</v>
      </c>
      <c r="D772" s="15">
        <v>159663734</v>
      </c>
      <c r="E772" s="15">
        <v>160519049</v>
      </c>
      <c r="F772" s="15">
        <v>2369</v>
      </c>
      <c r="G772" s="8" t="s">
        <v>12324</v>
      </c>
      <c r="H772" s="24" t="s">
        <v>494</v>
      </c>
      <c r="I772" s="25">
        <v>25920</v>
      </c>
      <c r="J772" s="8" t="s">
        <v>496</v>
      </c>
      <c r="K772" s="8" t="s">
        <v>10040</v>
      </c>
      <c r="L772" s="15">
        <v>0.58848299999999998</v>
      </c>
      <c r="M772" s="15">
        <v>7.1289699999999998E-2</v>
      </c>
      <c r="N772" s="15">
        <v>0.40783122820512818</v>
      </c>
    </row>
    <row r="773" spans="1:14" x14ac:dyDescent="0.2">
      <c r="A773" s="2" t="s">
        <v>10068</v>
      </c>
      <c r="B773" s="15">
        <v>1133</v>
      </c>
      <c r="C773" s="15">
        <v>7</v>
      </c>
      <c r="D773" s="15">
        <v>35354136</v>
      </c>
      <c r="E773" s="15">
        <v>36507690</v>
      </c>
      <c r="F773" s="15">
        <v>3206</v>
      </c>
      <c r="G773" s="8" t="s">
        <v>12324</v>
      </c>
      <c r="H773" s="24" t="s">
        <v>494</v>
      </c>
      <c r="I773" s="25">
        <v>25920</v>
      </c>
      <c r="J773" s="8" t="s">
        <v>496</v>
      </c>
      <c r="K773" s="8" t="s">
        <v>10040</v>
      </c>
      <c r="L773" s="15">
        <v>0.39834599999999998</v>
      </c>
      <c r="M773" s="15">
        <v>7.1514300000000003E-2</v>
      </c>
      <c r="N773" s="15">
        <v>0.40783122820512818</v>
      </c>
    </row>
    <row r="774" spans="1:14" x14ac:dyDescent="0.2">
      <c r="A774" s="2" t="s">
        <v>10068</v>
      </c>
      <c r="B774" s="15">
        <v>1099</v>
      </c>
      <c r="C774" s="15">
        <v>7</v>
      </c>
      <c r="D774" s="15">
        <v>4139432</v>
      </c>
      <c r="E774" s="15">
        <v>4938442</v>
      </c>
      <c r="F774" s="15">
        <v>3080</v>
      </c>
      <c r="G774" s="8" t="s">
        <v>12324</v>
      </c>
      <c r="H774" s="24" t="s">
        <v>599</v>
      </c>
      <c r="I774" s="25">
        <v>26562</v>
      </c>
      <c r="J774" s="8" t="s">
        <v>601</v>
      </c>
      <c r="K774" s="8" t="s">
        <v>10040</v>
      </c>
      <c r="L774" s="15">
        <v>0.38273499999999999</v>
      </c>
      <c r="M774" s="15">
        <v>7.1296799999999994E-2</v>
      </c>
      <c r="N774" s="15">
        <v>0.40783122820512818</v>
      </c>
    </row>
    <row r="775" spans="1:14" x14ac:dyDescent="0.2">
      <c r="A775" s="2" t="s">
        <v>10068</v>
      </c>
      <c r="B775" s="15">
        <v>130</v>
      </c>
      <c r="C775" s="15">
        <v>1</v>
      </c>
      <c r="D775" s="15">
        <v>172465154</v>
      </c>
      <c r="E775" s="15">
        <v>173582511</v>
      </c>
      <c r="F775" s="15">
        <v>2152</v>
      </c>
      <c r="G775" s="8" t="s">
        <v>12324</v>
      </c>
      <c r="H775" s="24" t="s">
        <v>599</v>
      </c>
      <c r="I775" s="25">
        <v>26562</v>
      </c>
      <c r="J775" s="8" t="s">
        <v>601</v>
      </c>
      <c r="K775" s="8" t="s">
        <v>10040</v>
      </c>
      <c r="L775" s="15">
        <v>-0.508934</v>
      </c>
      <c r="M775" s="15">
        <v>7.1510500000000005E-2</v>
      </c>
      <c r="N775" s="15">
        <v>0.40783122820512818</v>
      </c>
    </row>
    <row r="776" spans="1:14" x14ac:dyDescent="0.2">
      <c r="A776" s="2" t="s">
        <v>10068</v>
      </c>
      <c r="B776" s="15">
        <v>319</v>
      </c>
      <c r="C776" s="15">
        <v>2</v>
      </c>
      <c r="D776" s="15">
        <v>126754028</v>
      </c>
      <c r="E776" s="15">
        <v>127895644</v>
      </c>
      <c r="F776" s="15">
        <v>3423</v>
      </c>
      <c r="G776" s="8" t="s">
        <v>12324</v>
      </c>
      <c r="H776" s="24" t="s">
        <v>599</v>
      </c>
      <c r="I776" s="25">
        <v>26562</v>
      </c>
      <c r="J776" s="8" t="s">
        <v>601</v>
      </c>
      <c r="K776" s="8" t="s">
        <v>10040</v>
      </c>
      <c r="L776" s="15">
        <v>-0.51805900000000005</v>
      </c>
      <c r="M776" s="15">
        <v>7.1570800000000004E-2</v>
      </c>
      <c r="N776" s="15">
        <v>0.40783122820512818</v>
      </c>
    </row>
    <row r="777" spans="1:14" x14ac:dyDescent="0.2">
      <c r="A777" s="2" t="s">
        <v>10068</v>
      </c>
      <c r="B777" s="15">
        <v>2376</v>
      </c>
      <c r="C777" s="15">
        <v>20</v>
      </c>
      <c r="D777" s="15">
        <v>6128359</v>
      </c>
      <c r="E777" s="15">
        <v>7231796</v>
      </c>
      <c r="F777" s="15">
        <v>3062</v>
      </c>
      <c r="G777" s="8" t="s">
        <v>12324</v>
      </c>
      <c r="H777" s="24" t="s">
        <v>599</v>
      </c>
      <c r="I777" s="25">
        <v>26562</v>
      </c>
      <c r="J777" s="8" t="s">
        <v>601</v>
      </c>
      <c r="K777" s="8" t="s">
        <v>10040</v>
      </c>
      <c r="L777" s="15">
        <v>-0.297848</v>
      </c>
      <c r="M777" s="15">
        <v>7.1726799999999993E-2</v>
      </c>
      <c r="N777" s="15">
        <v>0.40783122820512818</v>
      </c>
    </row>
    <row r="778" spans="1:14" x14ac:dyDescent="0.2">
      <c r="A778" s="2" t="s">
        <v>10069</v>
      </c>
      <c r="B778" s="15">
        <v>212</v>
      </c>
      <c r="C778" s="15">
        <v>2</v>
      </c>
      <c r="D778" s="15">
        <v>7966710</v>
      </c>
      <c r="E778" s="15">
        <v>8978798</v>
      </c>
      <c r="F778" s="15">
        <v>1431</v>
      </c>
      <c r="G778" s="8" t="s">
        <v>12324</v>
      </c>
      <c r="H778" s="24" t="s">
        <v>662</v>
      </c>
      <c r="I778" s="25" t="s">
        <v>663</v>
      </c>
      <c r="J778" s="8" t="s">
        <v>664</v>
      </c>
      <c r="K778" s="8" t="s">
        <v>10040</v>
      </c>
      <c r="L778" s="15">
        <v>-0.348993</v>
      </c>
      <c r="M778" s="15">
        <v>7.0982199999999995E-2</v>
      </c>
      <c r="N778" s="15">
        <v>0.40783122820512818</v>
      </c>
    </row>
    <row r="779" spans="1:14" x14ac:dyDescent="0.2">
      <c r="A779" s="2" t="s">
        <v>10068</v>
      </c>
      <c r="B779" s="15">
        <v>1476</v>
      </c>
      <c r="C779" s="15">
        <v>9</v>
      </c>
      <c r="D779" s="15">
        <v>132999453</v>
      </c>
      <c r="E779" s="15">
        <v>134141936</v>
      </c>
      <c r="F779" s="15">
        <v>2775</v>
      </c>
      <c r="G779" s="8" t="s">
        <v>12324</v>
      </c>
      <c r="H779" s="24" t="s">
        <v>1259</v>
      </c>
      <c r="I779" s="25">
        <v>27096</v>
      </c>
      <c r="J779" s="8" t="s">
        <v>1261</v>
      </c>
      <c r="K779" s="8" t="s">
        <v>10040</v>
      </c>
      <c r="L779" s="15">
        <v>-0.29162199999999999</v>
      </c>
      <c r="M779" s="15">
        <v>7.1084099999999997E-2</v>
      </c>
      <c r="N779" s="15">
        <v>0.40783122820512818</v>
      </c>
    </row>
    <row r="780" spans="1:14" x14ac:dyDescent="0.2">
      <c r="A780" s="2" t="s">
        <v>10068</v>
      </c>
      <c r="B780" s="15">
        <v>2035</v>
      </c>
      <c r="C780" s="15">
        <v>15</v>
      </c>
      <c r="D780" s="15">
        <v>22799927</v>
      </c>
      <c r="E780" s="15">
        <v>24099946</v>
      </c>
      <c r="F780" s="15">
        <v>2425</v>
      </c>
      <c r="G780" s="8" t="s">
        <v>12324</v>
      </c>
      <c r="H780" s="24" t="s">
        <v>1259</v>
      </c>
      <c r="I780" s="25">
        <v>27096</v>
      </c>
      <c r="J780" s="8" t="s">
        <v>1261</v>
      </c>
      <c r="K780" s="8" t="s">
        <v>10040</v>
      </c>
      <c r="L780" s="15">
        <v>0.22936899999999999</v>
      </c>
      <c r="M780" s="15">
        <v>7.1331699999999998E-2</v>
      </c>
      <c r="N780" s="15">
        <v>0.40783122820512818</v>
      </c>
    </row>
    <row r="781" spans="1:14" x14ac:dyDescent="0.2">
      <c r="A781" s="2" t="s">
        <v>10066</v>
      </c>
      <c r="B781" s="15">
        <v>158</v>
      </c>
      <c r="C781" s="15">
        <v>1</v>
      </c>
      <c r="D781" s="15">
        <v>205009624</v>
      </c>
      <c r="E781" s="15">
        <v>205917548</v>
      </c>
      <c r="F781" s="15">
        <v>2533</v>
      </c>
      <c r="G781" s="8" t="s">
        <v>12324</v>
      </c>
      <c r="H781" s="24" t="s">
        <v>3164</v>
      </c>
      <c r="I781" s="25" t="s">
        <v>3165</v>
      </c>
      <c r="J781" s="8" t="s">
        <v>3166</v>
      </c>
      <c r="K781" s="8" t="s">
        <v>10042</v>
      </c>
      <c r="L781" s="15">
        <v>-0.52551300000000001</v>
      </c>
      <c r="M781" s="15">
        <v>7.1683499999999997E-2</v>
      </c>
      <c r="N781" s="15">
        <v>0.40783122820512818</v>
      </c>
    </row>
    <row r="782" spans="1:14" x14ac:dyDescent="0.2">
      <c r="A782" s="2" t="s">
        <v>10068</v>
      </c>
      <c r="B782" s="15">
        <v>533</v>
      </c>
      <c r="C782" s="15">
        <v>3</v>
      </c>
      <c r="D782" s="15">
        <v>127495174</v>
      </c>
      <c r="E782" s="15">
        <v>129091975</v>
      </c>
      <c r="F782" s="15">
        <v>3602</v>
      </c>
      <c r="G782" s="8" t="s">
        <v>12324</v>
      </c>
      <c r="H782" s="24" t="s">
        <v>6565</v>
      </c>
      <c r="I782" s="25" t="s">
        <v>6475</v>
      </c>
      <c r="J782" s="8" t="s">
        <v>6566</v>
      </c>
      <c r="K782" s="8" t="s">
        <v>10054</v>
      </c>
      <c r="L782" s="15">
        <v>0.43750699999999998</v>
      </c>
      <c r="M782" s="15">
        <v>7.1537900000000001E-2</v>
      </c>
      <c r="N782" s="15">
        <v>0.40783122820512818</v>
      </c>
    </row>
    <row r="783" spans="1:14" x14ac:dyDescent="0.2">
      <c r="A783" s="2" t="s">
        <v>10066</v>
      </c>
      <c r="B783" s="15">
        <v>937</v>
      </c>
      <c r="C783" s="15">
        <v>6</v>
      </c>
      <c r="D783" s="15">
        <v>13352327</v>
      </c>
      <c r="E783" s="15">
        <v>15069421</v>
      </c>
      <c r="F783" s="15">
        <v>3938</v>
      </c>
      <c r="G783" s="8" t="s">
        <v>12324</v>
      </c>
      <c r="H783" s="24" t="s">
        <v>6008</v>
      </c>
      <c r="I783" s="25" t="s">
        <v>6009</v>
      </c>
      <c r="J783" s="8" t="s">
        <v>6010</v>
      </c>
      <c r="K783" s="8" t="s">
        <v>10051</v>
      </c>
      <c r="L783" s="15">
        <v>0.41103099999999998</v>
      </c>
      <c r="M783" s="15">
        <v>7.19109E-2</v>
      </c>
      <c r="N783" s="15">
        <v>0.40783227813299228</v>
      </c>
    </row>
    <row r="784" spans="1:14" x14ac:dyDescent="0.2">
      <c r="A784" s="2" t="s">
        <v>10068</v>
      </c>
      <c r="B784" s="15">
        <v>2070</v>
      </c>
      <c r="C784" s="15">
        <v>15</v>
      </c>
      <c r="D784" s="15">
        <v>66355635</v>
      </c>
      <c r="E784" s="15">
        <v>67396520</v>
      </c>
      <c r="F784" s="15">
        <v>3219</v>
      </c>
      <c r="G784" s="8" t="s">
        <v>12324</v>
      </c>
      <c r="H784" s="24" t="s">
        <v>6565</v>
      </c>
      <c r="I784" s="25" t="s">
        <v>6475</v>
      </c>
      <c r="J784" s="8" t="s">
        <v>6566</v>
      </c>
      <c r="K784" s="8" t="s">
        <v>10054</v>
      </c>
      <c r="L784" s="15">
        <v>0.383436</v>
      </c>
      <c r="M784" s="15">
        <v>7.1890300000000004E-2</v>
      </c>
      <c r="N784" s="15">
        <v>0.40783227813299228</v>
      </c>
    </row>
    <row r="785" spans="1:14" x14ac:dyDescent="0.2">
      <c r="A785" s="2" t="s">
        <v>10068</v>
      </c>
      <c r="B785" s="15">
        <v>1941</v>
      </c>
      <c r="C785" s="15">
        <v>13</v>
      </c>
      <c r="D785" s="15">
        <v>103050418</v>
      </c>
      <c r="E785" s="15">
        <v>104378435</v>
      </c>
      <c r="F785" s="15">
        <v>4065</v>
      </c>
      <c r="G785" s="8" t="s">
        <v>12324</v>
      </c>
      <c r="H785" s="24" t="s">
        <v>6565</v>
      </c>
      <c r="I785" s="25" t="s">
        <v>6475</v>
      </c>
      <c r="J785" s="8" t="s">
        <v>6566</v>
      </c>
      <c r="K785" s="8" t="s">
        <v>10054</v>
      </c>
      <c r="L785" s="15">
        <v>0.65736000000000006</v>
      </c>
      <c r="M785" s="15">
        <v>7.2062399999999999E-2</v>
      </c>
      <c r="N785" s="15">
        <v>0.4081695325670498</v>
      </c>
    </row>
    <row r="786" spans="1:14" x14ac:dyDescent="0.2">
      <c r="A786" s="2" t="s">
        <v>10068</v>
      </c>
      <c r="B786" s="15">
        <v>1063</v>
      </c>
      <c r="C786" s="15">
        <v>6</v>
      </c>
      <c r="D786" s="15">
        <v>137553213</v>
      </c>
      <c r="E786" s="15">
        <v>138825721</v>
      </c>
      <c r="F786" s="15">
        <v>3520</v>
      </c>
      <c r="G786" s="8" t="s">
        <v>12324</v>
      </c>
      <c r="H786" s="24" t="s">
        <v>494</v>
      </c>
      <c r="I786" s="25">
        <v>25920</v>
      </c>
      <c r="J786" s="8" t="s">
        <v>496</v>
      </c>
      <c r="K786" s="8" t="s">
        <v>10040</v>
      </c>
      <c r="L786" s="15">
        <v>0.52998699999999999</v>
      </c>
      <c r="M786" s="15">
        <v>7.2924699999999995E-2</v>
      </c>
      <c r="N786" s="15">
        <v>0.40839539700374528</v>
      </c>
    </row>
    <row r="787" spans="1:14" x14ac:dyDescent="0.2">
      <c r="A787" s="2" t="s">
        <v>10068</v>
      </c>
      <c r="B787" s="15">
        <v>2107</v>
      </c>
      <c r="C787" s="15">
        <v>16</v>
      </c>
      <c r="D787" s="15">
        <v>5782969</v>
      </c>
      <c r="E787" s="15">
        <v>6446081</v>
      </c>
      <c r="F787" s="15">
        <v>2566</v>
      </c>
      <c r="G787" s="8" t="s">
        <v>12324</v>
      </c>
      <c r="H787" s="24" t="s">
        <v>494</v>
      </c>
      <c r="I787" s="25">
        <v>25920</v>
      </c>
      <c r="J787" s="8" t="s">
        <v>496</v>
      </c>
      <c r="K787" s="8" t="s">
        <v>10040</v>
      </c>
      <c r="L787" s="15">
        <v>-0.36152699999999999</v>
      </c>
      <c r="M787" s="15">
        <v>7.3508199999999996E-2</v>
      </c>
      <c r="N787" s="15">
        <v>0.40839539700374528</v>
      </c>
    </row>
    <row r="788" spans="1:14" x14ac:dyDescent="0.2">
      <c r="A788" s="2" t="s">
        <v>10068</v>
      </c>
      <c r="B788" s="15">
        <v>1481</v>
      </c>
      <c r="C788" s="15">
        <v>9</v>
      </c>
      <c r="D788" s="15">
        <v>137593528</v>
      </c>
      <c r="E788" s="15">
        <v>138202112</v>
      </c>
      <c r="F788" s="15">
        <v>2655</v>
      </c>
      <c r="G788" s="8" t="s">
        <v>12324</v>
      </c>
      <c r="H788" s="24" t="s">
        <v>494</v>
      </c>
      <c r="I788" s="25">
        <v>25920</v>
      </c>
      <c r="J788" s="8" t="s">
        <v>496</v>
      </c>
      <c r="K788" s="8" t="s">
        <v>10040</v>
      </c>
      <c r="L788" s="15">
        <v>-0.33718399999999998</v>
      </c>
      <c r="M788" s="15">
        <v>7.36261E-2</v>
      </c>
      <c r="N788" s="15">
        <v>0.40839539700374528</v>
      </c>
    </row>
    <row r="789" spans="1:14" x14ac:dyDescent="0.2">
      <c r="A789" s="2" t="s">
        <v>10068</v>
      </c>
      <c r="B789" s="15">
        <v>783</v>
      </c>
      <c r="C789" s="15">
        <v>5</v>
      </c>
      <c r="D789" s="15">
        <v>6936734</v>
      </c>
      <c r="E789" s="15">
        <v>8079415</v>
      </c>
      <c r="F789" s="15">
        <v>3800</v>
      </c>
      <c r="G789" s="8" t="s">
        <v>12324</v>
      </c>
      <c r="H789" s="24" t="s">
        <v>494</v>
      </c>
      <c r="I789" s="25">
        <v>25920</v>
      </c>
      <c r="J789" s="8" t="s">
        <v>496</v>
      </c>
      <c r="K789" s="8" t="s">
        <v>10040</v>
      </c>
      <c r="L789" s="15">
        <v>0.30646499999999999</v>
      </c>
      <c r="M789" s="15">
        <v>7.37598E-2</v>
      </c>
      <c r="N789" s="15">
        <v>0.40839539700374528</v>
      </c>
    </row>
    <row r="790" spans="1:14" x14ac:dyDescent="0.2">
      <c r="A790" s="2" t="s">
        <v>10068</v>
      </c>
      <c r="B790" s="15">
        <v>2076</v>
      </c>
      <c r="C790" s="15">
        <v>15</v>
      </c>
      <c r="D790" s="15">
        <v>74458114</v>
      </c>
      <c r="E790" s="15">
        <v>76401952</v>
      </c>
      <c r="F790" s="15">
        <v>3289</v>
      </c>
      <c r="G790" s="8" t="s">
        <v>12324</v>
      </c>
      <c r="H790" s="24" t="s">
        <v>599</v>
      </c>
      <c r="I790" s="25">
        <v>26562</v>
      </c>
      <c r="J790" s="8" t="s">
        <v>601</v>
      </c>
      <c r="K790" s="8" t="s">
        <v>10040</v>
      </c>
      <c r="L790" s="15">
        <v>-0.44627299999999998</v>
      </c>
      <c r="M790" s="15">
        <v>7.2529300000000005E-2</v>
      </c>
      <c r="N790" s="15">
        <v>0.40839539700374528</v>
      </c>
    </row>
    <row r="791" spans="1:14" x14ac:dyDescent="0.2">
      <c r="A791" s="2" t="s">
        <v>10068</v>
      </c>
      <c r="B791" s="15">
        <v>927</v>
      </c>
      <c r="C791" s="15">
        <v>6</v>
      </c>
      <c r="D791" s="15">
        <v>1380680</v>
      </c>
      <c r="E791" s="15">
        <v>2746531</v>
      </c>
      <c r="F791" s="15">
        <v>4012</v>
      </c>
      <c r="G791" s="8" t="s">
        <v>12324</v>
      </c>
      <c r="H791" s="24" t="s">
        <v>599</v>
      </c>
      <c r="I791" s="25">
        <v>26562</v>
      </c>
      <c r="J791" s="8" t="s">
        <v>601</v>
      </c>
      <c r="K791" s="8" t="s">
        <v>10040</v>
      </c>
      <c r="L791" s="15">
        <v>0.47180699999999998</v>
      </c>
      <c r="M791" s="15">
        <v>7.3215000000000002E-2</v>
      </c>
      <c r="N791" s="15">
        <v>0.40839539700374528</v>
      </c>
    </row>
    <row r="792" spans="1:14" x14ac:dyDescent="0.2">
      <c r="A792" s="2" t="s">
        <v>10069</v>
      </c>
      <c r="B792" s="15">
        <v>1301</v>
      </c>
      <c r="C792" s="15">
        <v>8</v>
      </c>
      <c r="D792" s="15">
        <v>64215359</v>
      </c>
      <c r="E792" s="15">
        <v>66018204</v>
      </c>
      <c r="F792" s="15">
        <v>1983</v>
      </c>
      <c r="G792" s="8" t="s">
        <v>12324</v>
      </c>
      <c r="H792" s="24" t="s">
        <v>662</v>
      </c>
      <c r="I792" s="25" t="s">
        <v>663</v>
      </c>
      <c r="J792" s="8" t="s">
        <v>664</v>
      </c>
      <c r="K792" s="8" t="s">
        <v>10040</v>
      </c>
      <c r="L792" s="15">
        <v>0.58743100000000004</v>
      </c>
      <c r="M792" s="15">
        <v>7.3185E-2</v>
      </c>
      <c r="N792" s="15">
        <v>0.40839539700374528</v>
      </c>
    </row>
    <row r="793" spans="1:14" x14ac:dyDescent="0.2">
      <c r="A793" s="2" t="s">
        <v>10068</v>
      </c>
      <c r="B793" s="15">
        <v>432</v>
      </c>
      <c r="C793" s="15">
        <v>3</v>
      </c>
      <c r="D793" s="15">
        <v>9970732</v>
      </c>
      <c r="E793" s="15">
        <v>11226367</v>
      </c>
      <c r="F793" s="15">
        <v>3708</v>
      </c>
      <c r="G793" s="8" t="s">
        <v>12324</v>
      </c>
      <c r="H793" s="24" t="s">
        <v>1259</v>
      </c>
      <c r="I793" s="25">
        <v>27096</v>
      </c>
      <c r="J793" s="8" t="s">
        <v>1261</v>
      </c>
      <c r="K793" s="8" t="s">
        <v>10040</v>
      </c>
      <c r="L793" s="15">
        <v>-0.37308000000000002</v>
      </c>
      <c r="M793" s="15">
        <v>7.3098499999999997E-2</v>
      </c>
      <c r="N793" s="15">
        <v>0.40839539700374528</v>
      </c>
    </row>
    <row r="794" spans="1:14" x14ac:dyDescent="0.2">
      <c r="A794" s="2" t="s">
        <v>10068</v>
      </c>
      <c r="B794" s="15">
        <v>768</v>
      </c>
      <c r="C794" s="15">
        <v>4</v>
      </c>
      <c r="D794" s="15">
        <v>184338585</v>
      </c>
      <c r="E794" s="15">
        <v>185483262</v>
      </c>
      <c r="F794" s="15">
        <v>3992</v>
      </c>
      <c r="G794" s="8" t="s">
        <v>12324</v>
      </c>
      <c r="H794" s="24" t="s">
        <v>1259</v>
      </c>
      <c r="I794" s="25">
        <v>27096</v>
      </c>
      <c r="J794" s="8" t="s">
        <v>1261</v>
      </c>
      <c r="K794" s="8" t="s">
        <v>10040</v>
      </c>
      <c r="L794" s="15">
        <v>0.34181499999999998</v>
      </c>
      <c r="M794" s="15">
        <v>7.3155999999999999E-2</v>
      </c>
      <c r="N794" s="15">
        <v>0.40839539700374528</v>
      </c>
    </row>
    <row r="795" spans="1:14" x14ac:dyDescent="0.2">
      <c r="A795" s="2" t="s">
        <v>10068</v>
      </c>
      <c r="B795" s="15">
        <v>1222</v>
      </c>
      <c r="C795" s="15">
        <v>7</v>
      </c>
      <c r="D795" s="15">
        <v>148622914</v>
      </c>
      <c r="E795" s="15">
        <v>149842999</v>
      </c>
      <c r="F795" s="15">
        <v>3286</v>
      </c>
      <c r="G795" s="8" t="s">
        <v>12324</v>
      </c>
      <c r="H795" s="24" t="s">
        <v>1259</v>
      </c>
      <c r="I795" s="25">
        <v>27096</v>
      </c>
      <c r="J795" s="8" t="s">
        <v>1261</v>
      </c>
      <c r="K795" s="8" t="s">
        <v>10040</v>
      </c>
      <c r="L795" s="15">
        <v>-0.39475900000000003</v>
      </c>
      <c r="M795" s="15">
        <v>7.3340600000000006E-2</v>
      </c>
      <c r="N795" s="15">
        <v>0.40839539700374528</v>
      </c>
    </row>
    <row r="796" spans="1:14" x14ac:dyDescent="0.2">
      <c r="A796" s="2" t="s">
        <v>10066</v>
      </c>
      <c r="B796" s="15">
        <v>1104</v>
      </c>
      <c r="C796" s="15">
        <v>7</v>
      </c>
      <c r="D796" s="15">
        <v>7926501</v>
      </c>
      <c r="E796" s="15">
        <v>8718351</v>
      </c>
      <c r="F796" s="15">
        <v>2793</v>
      </c>
      <c r="G796" s="8" t="s">
        <v>12324</v>
      </c>
      <c r="H796" s="24" t="s">
        <v>3164</v>
      </c>
      <c r="I796" s="25" t="s">
        <v>3165</v>
      </c>
      <c r="J796" s="8" t="s">
        <v>3166</v>
      </c>
      <c r="K796" s="8" t="s">
        <v>10042</v>
      </c>
      <c r="L796" s="15">
        <v>0.50491200000000003</v>
      </c>
      <c r="M796" s="15">
        <v>7.2783700000000007E-2</v>
      </c>
      <c r="N796" s="15">
        <v>0.40839539700374528</v>
      </c>
    </row>
    <row r="797" spans="1:14" x14ac:dyDescent="0.2">
      <c r="A797" s="2" t="s">
        <v>10066</v>
      </c>
      <c r="B797" s="15">
        <v>1671</v>
      </c>
      <c r="C797" s="15">
        <v>11</v>
      </c>
      <c r="D797" s="15">
        <v>60515106</v>
      </c>
      <c r="E797" s="15">
        <v>61717117</v>
      </c>
      <c r="F797" s="15">
        <v>2249</v>
      </c>
      <c r="G797" s="8" t="s">
        <v>12324</v>
      </c>
      <c r="H797" s="24" t="s">
        <v>6008</v>
      </c>
      <c r="I797" s="25" t="s">
        <v>6009</v>
      </c>
      <c r="J797" s="8" t="s">
        <v>6010</v>
      </c>
      <c r="K797" s="8" t="s">
        <v>10051</v>
      </c>
      <c r="L797" s="15">
        <v>-0.36160599999999998</v>
      </c>
      <c r="M797" s="15">
        <v>7.2262699999999999E-2</v>
      </c>
      <c r="N797" s="15">
        <v>0.40839539700374528</v>
      </c>
    </row>
    <row r="798" spans="1:14" x14ac:dyDescent="0.2">
      <c r="A798" s="2" t="s">
        <v>10066</v>
      </c>
      <c r="B798" s="15">
        <v>483</v>
      </c>
      <c r="C798" s="15">
        <v>3</v>
      </c>
      <c r="D798" s="15">
        <v>71223282</v>
      </c>
      <c r="E798" s="15">
        <v>72334704</v>
      </c>
      <c r="F798" s="15">
        <v>2926</v>
      </c>
      <c r="G798" s="8" t="s">
        <v>12324</v>
      </c>
      <c r="H798" s="24" t="s">
        <v>6008</v>
      </c>
      <c r="I798" s="25" t="s">
        <v>6009</v>
      </c>
      <c r="J798" s="8" t="s">
        <v>6010</v>
      </c>
      <c r="K798" s="8" t="s">
        <v>10051</v>
      </c>
      <c r="L798" s="15">
        <v>0.44311200000000001</v>
      </c>
      <c r="M798" s="15">
        <v>7.2344900000000004E-2</v>
      </c>
      <c r="N798" s="15">
        <v>0.40839539700374528</v>
      </c>
    </row>
    <row r="799" spans="1:14" x14ac:dyDescent="0.2">
      <c r="A799" s="2" t="s">
        <v>10066</v>
      </c>
      <c r="B799" s="15">
        <v>1477</v>
      </c>
      <c r="C799" s="15">
        <v>9</v>
      </c>
      <c r="D799" s="15">
        <v>134141937</v>
      </c>
      <c r="E799" s="15">
        <v>135135887</v>
      </c>
      <c r="F799" s="15">
        <v>2231</v>
      </c>
      <c r="G799" s="8" t="s">
        <v>12324</v>
      </c>
      <c r="H799" s="24" t="s">
        <v>6008</v>
      </c>
      <c r="I799" s="25" t="s">
        <v>6009</v>
      </c>
      <c r="J799" s="8" t="s">
        <v>6010</v>
      </c>
      <c r="K799" s="8" t="s">
        <v>10051</v>
      </c>
      <c r="L799" s="15">
        <v>0.511598</v>
      </c>
      <c r="M799" s="15">
        <v>7.2635000000000005E-2</v>
      </c>
      <c r="N799" s="15">
        <v>0.40839539700374528</v>
      </c>
    </row>
    <row r="800" spans="1:14" x14ac:dyDescent="0.2">
      <c r="A800" s="2" t="s">
        <v>10066</v>
      </c>
      <c r="B800" s="15">
        <v>29</v>
      </c>
      <c r="C800" s="15">
        <v>1</v>
      </c>
      <c r="D800" s="15">
        <v>29188427</v>
      </c>
      <c r="E800" s="15">
        <v>30405182</v>
      </c>
      <c r="F800" s="15">
        <v>2675</v>
      </c>
      <c r="G800" s="8" t="s">
        <v>12324</v>
      </c>
      <c r="H800" s="24" t="s">
        <v>6008</v>
      </c>
      <c r="I800" s="25" t="s">
        <v>6009</v>
      </c>
      <c r="J800" s="8" t="s">
        <v>6010</v>
      </c>
      <c r="K800" s="8" t="s">
        <v>10051</v>
      </c>
      <c r="L800" s="15">
        <v>-0.40268700000000002</v>
      </c>
      <c r="M800" s="15">
        <v>7.3420399999999997E-2</v>
      </c>
      <c r="N800" s="15">
        <v>0.40839539700374528</v>
      </c>
    </row>
    <row r="801" spans="1:14" x14ac:dyDescent="0.2">
      <c r="A801" s="2" t="s">
        <v>10066</v>
      </c>
      <c r="B801" s="15">
        <v>590</v>
      </c>
      <c r="C801" s="15">
        <v>3</v>
      </c>
      <c r="D801" s="15">
        <v>193122091</v>
      </c>
      <c r="E801" s="15">
        <v>194217140</v>
      </c>
      <c r="F801" s="15">
        <v>3264</v>
      </c>
      <c r="G801" s="8" t="s">
        <v>12324</v>
      </c>
      <c r="H801" s="24" t="s">
        <v>6008</v>
      </c>
      <c r="I801" s="25" t="s">
        <v>6009</v>
      </c>
      <c r="J801" s="8" t="s">
        <v>6010</v>
      </c>
      <c r="K801" s="8" t="s">
        <v>10051</v>
      </c>
      <c r="L801" s="15">
        <v>-0.40649800000000003</v>
      </c>
      <c r="M801" s="15">
        <v>7.3436699999999994E-2</v>
      </c>
      <c r="N801" s="15">
        <v>0.40839539700374528</v>
      </c>
    </row>
    <row r="802" spans="1:14" x14ac:dyDescent="0.2">
      <c r="A802" s="2" t="s">
        <v>10068</v>
      </c>
      <c r="B802" s="15">
        <v>224</v>
      </c>
      <c r="C802" s="15">
        <v>2</v>
      </c>
      <c r="D802" s="15">
        <v>20064518</v>
      </c>
      <c r="E802" s="15">
        <v>21084898</v>
      </c>
      <c r="F802" s="15">
        <v>2702</v>
      </c>
      <c r="G802" s="8" t="s">
        <v>12324</v>
      </c>
      <c r="H802" s="24" t="s">
        <v>6565</v>
      </c>
      <c r="I802" s="25" t="s">
        <v>6475</v>
      </c>
      <c r="J802" s="8" t="s">
        <v>6566</v>
      </c>
      <c r="K802" s="8" t="s">
        <v>10054</v>
      </c>
      <c r="L802" s="15">
        <v>0.54043799999999997</v>
      </c>
      <c r="M802" s="15">
        <v>7.3396100000000006E-2</v>
      </c>
      <c r="N802" s="15">
        <v>0.40839539700374528</v>
      </c>
    </row>
    <row r="803" spans="1:14" x14ac:dyDescent="0.2">
      <c r="A803" s="2" t="s">
        <v>10068</v>
      </c>
      <c r="B803" s="15">
        <v>2320</v>
      </c>
      <c r="C803" s="15">
        <v>19</v>
      </c>
      <c r="D803" s="15">
        <v>13213187</v>
      </c>
      <c r="E803" s="15">
        <v>13968319</v>
      </c>
      <c r="F803" s="15">
        <v>2121</v>
      </c>
      <c r="G803" s="8" t="s">
        <v>12324</v>
      </c>
      <c r="H803" s="24" t="s">
        <v>6565</v>
      </c>
      <c r="I803" s="25" t="s">
        <v>6475</v>
      </c>
      <c r="J803" s="8" t="s">
        <v>6566</v>
      </c>
      <c r="K803" s="8" t="s">
        <v>10054</v>
      </c>
      <c r="L803" s="15">
        <v>-0.39999299999999999</v>
      </c>
      <c r="M803" s="15">
        <v>7.3715299999999997E-2</v>
      </c>
      <c r="N803" s="15">
        <v>0.40839539700374528</v>
      </c>
    </row>
    <row r="804" spans="1:14" x14ac:dyDescent="0.2">
      <c r="A804" s="2" t="s">
        <v>10069</v>
      </c>
      <c r="B804" s="15">
        <v>2230</v>
      </c>
      <c r="C804" s="15">
        <v>17</v>
      </c>
      <c r="D804" s="15">
        <v>73741322</v>
      </c>
      <c r="E804" s="15">
        <v>74908266</v>
      </c>
      <c r="F804" s="15">
        <v>1865</v>
      </c>
      <c r="G804" s="8" t="s">
        <v>12324</v>
      </c>
      <c r="H804" s="24" t="s">
        <v>662</v>
      </c>
      <c r="I804" s="25" t="s">
        <v>663</v>
      </c>
      <c r="J804" s="8" t="s">
        <v>664</v>
      </c>
      <c r="K804" s="8" t="s">
        <v>10040</v>
      </c>
      <c r="L804" s="15">
        <v>0.47474100000000002</v>
      </c>
      <c r="M804" s="15">
        <v>7.4061199999999994E-2</v>
      </c>
      <c r="N804" s="15">
        <v>0.40955289526184541</v>
      </c>
    </row>
    <row r="805" spans="1:14" x14ac:dyDescent="0.2">
      <c r="A805" s="2" t="s">
        <v>10068</v>
      </c>
      <c r="B805" s="15">
        <v>872</v>
      </c>
      <c r="C805" s="15">
        <v>5</v>
      </c>
      <c r="D805" s="15">
        <v>115117632</v>
      </c>
      <c r="E805" s="15">
        <v>116208000</v>
      </c>
      <c r="F805" s="15">
        <v>3688</v>
      </c>
      <c r="G805" s="8" t="s">
        <v>12324</v>
      </c>
      <c r="H805" s="24" t="s">
        <v>1259</v>
      </c>
      <c r="I805" s="25">
        <v>27096</v>
      </c>
      <c r="J805" s="8" t="s">
        <v>1261</v>
      </c>
      <c r="K805" s="8" t="s">
        <v>10040</v>
      </c>
      <c r="L805" s="15">
        <v>-0.39602700000000002</v>
      </c>
      <c r="M805" s="15">
        <v>7.4177199999999999E-2</v>
      </c>
      <c r="N805" s="15">
        <v>0.40968353922789541</v>
      </c>
    </row>
    <row r="806" spans="1:14" x14ac:dyDescent="0.2">
      <c r="A806" s="2" t="s">
        <v>10068</v>
      </c>
      <c r="B806" s="15">
        <v>2390</v>
      </c>
      <c r="C806" s="15">
        <v>20</v>
      </c>
      <c r="D806" s="15">
        <v>18959420</v>
      </c>
      <c r="E806" s="15">
        <v>19957928</v>
      </c>
      <c r="F806" s="15">
        <v>2835</v>
      </c>
      <c r="G806" s="8" t="s">
        <v>12324</v>
      </c>
      <c r="H806" s="24" t="s">
        <v>599</v>
      </c>
      <c r="I806" s="25">
        <v>26562</v>
      </c>
      <c r="J806" s="8" t="s">
        <v>601</v>
      </c>
      <c r="K806" s="8" t="s">
        <v>10040</v>
      </c>
      <c r="L806" s="15">
        <v>-0.58648699999999998</v>
      </c>
      <c r="M806" s="15">
        <v>7.4327699999999997E-2</v>
      </c>
      <c r="N806" s="15">
        <v>0.40996644161490681</v>
      </c>
    </row>
    <row r="807" spans="1:14" x14ac:dyDescent="0.2">
      <c r="A807" s="2" t="s">
        <v>10066</v>
      </c>
      <c r="B807" s="15">
        <v>2310</v>
      </c>
      <c r="C807" s="15">
        <v>19</v>
      </c>
      <c r="D807" s="15">
        <v>3085447</v>
      </c>
      <c r="E807" s="15">
        <v>3893909</v>
      </c>
      <c r="F807" s="15">
        <v>2668</v>
      </c>
      <c r="G807" s="8" t="s">
        <v>12324</v>
      </c>
      <c r="H807" s="24" t="s">
        <v>3164</v>
      </c>
      <c r="I807" s="25" t="s">
        <v>3165</v>
      </c>
      <c r="J807" s="8" t="s">
        <v>3166</v>
      </c>
      <c r="K807" s="8" t="s">
        <v>10042</v>
      </c>
      <c r="L807" s="15">
        <v>0.26630199999999998</v>
      </c>
      <c r="M807" s="15">
        <v>7.4413300000000002E-2</v>
      </c>
      <c r="N807" s="15">
        <v>0.40996644161490681</v>
      </c>
    </row>
    <row r="808" spans="1:14" x14ac:dyDescent="0.2">
      <c r="A808" s="2" t="s">
        <v>10068</v>
      </c>
      <c r="B808" s="15">
        <v>76</v>
      </c>
      <c r="C808" s="15">
        <v>1</v>
      </c>
      <c r="D808" s="15">
        <v>87667573</v>
      </c>
      <c r="E808" s="15">
        <v>88656689</v>
      </c>
      <c r="F808" s="15">
        <v>2207</v>
      </c>
      <c r="G808" s="8" t="s">
        <v>12324</v>
      </c>
      <c r="H808" s="24" t="s">
        <v>494</v>
      </c>
      <c r="I808" s="25">
        <v>25920</v>
      </c>
      <c r="J808" s="8" t="s">
        <v>496</v>
      </c>
      <c r="K808" s="8" t="s">
        <v>10040</v>
      </c>
      <c r="L808" s="15">
        <v>-0.30385899999999999</v>
      </c>
      <c r="M808" s="15">
        <v>7.5017399999999998E-2</v>
      </c>
      <c r="N808" s="15">
        <v>0.41050037454545452</v>
      </c>
    </row>
    <row r="809" spans="1:14" x14ac:dyDescent="0.2">
      <c r="A809" s="2" t="s">
        <v>10068</v>
      </c>
      <c r="B809" s="15">
        <v>2490</v>
      </c>
      <c r="C809" s="15">
        <v>22</v>
      </c>
      <c r="D809" s="15">
        <v>46351049</v>
      </c>
      <c r="E809" s="15">
        <v>47299625</v>
      </c>
      <c r="F809" s="15">
        <v>3014</v>
      </c>
      <c r="G809" s="8" t="s">
        <v>12324</v>
      </c>
      <c r="H809" s="24" t="s">
        <v>494</v>
      </c>
      <c r="I809" s="25">
        <v>25920</v>
      </c>
      <c r="J809" s="8" t="s">
        <v>496</v>
      </c>
      <c r="K809" s="8" t="s">
        <v>10040</v>
      </c>
      <c r="L809" s="15">
        <v>-0.26618399999999998</v>
      </c>
      <c r="M809" s="15">
        <v>7.5757099999999994E-2</v>
      </c>
      <c r="N809" s="15">
        <v>0.41050037454545452</v>
      </c>
    </row>
    <row r="810" spans="1:14" x14ac:dyDescent="0.2">
      <c r="A810" s="2" t="s">
        <v>10068</v>
      </c>
      <c r="B810" s="15">
        <v>2264</v>
      </c>
      <c r="C810" s="15">
        <v>18</v>
      </c>
      <c r="D810" s="15">
        <v>32458908</v>
      </c>
      <c r="E810" s="15">
        <v>34153297</v>
      </c>
      <c r="F810" s="15">
        <v>3671</v>
      </c>
      <c r="G810" s="8" t="s">
        <v>12324</v>
      </c>
      <c r="H810" s="24" t="s">
        <v>494</v>
      </c>
      <c r="I810" s="25">
        <v>25920</v>
      </c>
      <c r="J810" s="8" t="s">
        <v>496</v>
      </c>
      <c r="K810" s="8" t="s">
        <v>10040</v>
      </c>
      <c r="L810" s="15">
        <v>0.40949999999999998</v>
      </c>
      <c r="M810" s="15">
        <v>7.6185900000000001E-2</v>
      </c>
      <c r="N810" s="15">
        <v>0.41050037454545452</v>
      </c>
    </row>
    <row r="811" spans="1:14" x14ac:dyDescent="0.2">
      <c r="A811" s="2" t="s">
        <v>10068</v>
      </c>
      <c r="B811" s="15">
        <v>2271</v>
      </c>
      <c r="C811" s="15">
        <v>18</v>
      </c>
      <c r="D811" s="15">
        <v>41425455</v>
      </c>
      <c r="E811" s="15">
        <v>42974165</v>
      </c>
      <c r="F811" s="15">
        <v>3269</v>
      </c>
      <c r="G811" s="8" t="s">
        <v>12324</v>
      </c>
      <c r="H811" s="24" t="s">
        <v>599</v>
      </c>
      <c r="I811" s="25">
        <v>26562</v>
      </c>
      <c r="J811" s="8" t="s">
        <v>601</v>
      </c>
      <c r="K811" s="8" t="s">
        <v>10040</v>
      </c>
      <c r="L811" s="15">
        <v>-0.53736099999999998</v>
      </c>
      <c r="M811" s="15">
        <v>7.4985099999999999E-2</v>
      </c>
      <c r="N811" s="15">
        <v>0.41050037454545452</v>
      </c>
    </row>
    <row r="812" spans="1:14" x14ac:dyDescent="0.2">
      <c r="A812" s="2" t="s">
        <v>10069</v>
      </c>
      <c r="B812" s="15">
        <v>2262</v>
      </c>
      <c r="C812" s="15">
        <v>18</v>
      </c>
      <c r="D812" s="15">
        <v>28792735</v>
      </c>
      <c r="E812" s="15">
        <v>30401128</v>
      </c>
      <c r="F812" s="15">
        <v>2545</v>
      </c>
      <c r="G812" s="8" t="s">
        <v>12324</v>
      </c>
      <c r="H812" s="24" t="s">
        <v>662</v>
      </c>
      <c r="I812" s="25" t="s">
        <v>663</v>
      </c>
      <c r="J812" s="8" t="s">
        <v>664</v>
      </c>
      <c r="K812" s="8" t="s">
        <v>10040</v>
      </c>
      <c r="L812" s="15">
        <v>0.63932299999999997</v>
      </c>
      <c r="M812" s="15">
        <v>7.6218400000000006E-2</v>
      </c>
      <c r="N812" s="15">
        <v>0.41050037454545452</v>
      </c>
    </row>
    <row r="813" spans="1:14" x14ac:dyDescent="0.2">
      <c r="A813" s="2" t="s">
        <v>10068</v>
      </c>
      <c r="B813" s="15">
        <v>1624</v>
      </c>
      <c r="C813" s="15">
        <v>11</v>
      </c>
      <c r="D813" s="15">
        <v>11632651</v>
      </c>
      <c r="E813" s="15">
        <v>12470449</v>
      </c>
      <c r="F813" s="15">
        <v>2689</v>
      </c>
      <c r="G813" s="8" t="s">
        <v>12324</v>
      </c>
      <c r="H813" s="24" t="s">
        <v>1259</v>
      </c>
      <c r="I813" s="25">
        <v>27096</v>
      </c>
      <c r="J813" s="8" t="s">
        <v>1261</v>
      </c>
      <c r="K813" s="8" t="s">
        <v>10040</v>
      </c>
      <c r="L813" s="15">
        <v>0.45527800000000002</v>
      </c>
      <c r="M813" s="15">
        <v>7.4897900000000003E-2</v>
      </c>
      <c r="N813" s="15">
        <v>0.41050037454545452</v>
      </c>
    </row>
    <row r="814" spans="1:14" x14ac:dyDescent="0.2">
      <c r="A814" s="2" t="s">
        <v>10068</v>
      </c>
      <c r="B814" s="15">
        <v>1422</v>
      </c>
      <c r="C814" s="15">
        <v>9</v>
      </c>
      <c r="D814" s="15">
        <v>76197745</v>
      </c>
      <c r="E814" s="15">
        <v>77862308</v>
      </c>
      <c r="F814" s="15">
        <v>3704</v>
      </c>
      <c r="G814" s="8" t="s">
        <v>12324</v>
      </c>
      <c r="H814" s="24" t="s">
        <v>1259</v>
      </c>
      <c r="I814" s="25">
        <v>27096</v>
      </c>
      <c r="J814" s="8" t="s">
        <v>1261</v>
      </c>
      <c r="K814" s="8" t="s">
        <v>10040</v>
      </c>
      <c r="L814" s="15">
        <v>0.37298100000000001</v>
      </c>
      <c r="M814" s="15">
        <v>7.5874700000000003E-2</v>
      </c>
      <c r="N814" s="15">
        <v>0.41050037454545452</v>
      </c>
    </row>
    <row r="815" spans="1:14" x14ac:dyDescent="0.2">
      <c r="A815" s="2" t="s">
        <v>10068</v>
      </c>
      <c r="B815" s="15">
        <v>261</v>
      </c>
      <c r="C815" s="15">
        <v>2</v>
      </c>
      <c r="D815" s="15">
        <v>53852121</v>
      </c>
      <c r="E815" s="15">
        <v>54688234</v>
      </c>
      <c r="F815" s="15">
        <v>2090</v>
      </c>
      <c r="G815" s="8" t="s">
        <v>12324</v>
      </c>
      <c r="H815" s="24" t="s">
        <v>1259</v>
      </c>
      <c r="I815" s="25">
        <v>27096</v>
      </c>
      <c r="J815" s="8" t="s">
        <v>1261</v>
      </c>
      <c r="K815" s="8" t="s">
        <v>10040</v>
      </c>
      <c r="L815" s="15">
        <v>-0.40990700000000002</v>
      </c>
      <c r="M815" s="15">
        <v>7.5951199999999996E-2</v>
      </c>
      <c r="N815" s="15">
        <v>0.41050037454545452</v>
      </c>
    </row>
    <row r="816" spans="1:14" x14ac:dyDescent="0.2">
      <c r="A816" s="2" t="s">
        <v>10068</v>
      </c>
      <c r="B816" s="15">
        <v>2375</v>
      </c>
      <c r="C816" s="15">
        <v>20</v>
      </c>
      <c r="D816" s="15">
        <v>5379451</v>
      </c>
      <c r="E816" s="15">
        <v>6128358</v>
      </c>
      <c r="F816" s="15">
        <v>2575</v>
      </c>
      <c r="G816" s="8" t="s">
        <v>12324</v>
      </c>
      <c r="H816" s="24" t="s">
        <v>1259</v>
      </c>
      <c r="I816" s="25">
        <v>27096</v>
      </c>
      <c r="J816" s="8" t="s">
        <v>1261</v>
      </c>
      <c r="K816" s="8" t="s">
        <v>10040</v>
      </c>
      <c r="L816" s="15">
        <v>0.366205</v>
      </c>
      <c r="M816" s="15">
        <v>7.6303999999999997E-2</v>
      </c>
      <c r="N816" s="15">
        <v>0.41050037454545452</v>
      </c>
    </row>
    <row r="817" spans="1:14" x14ac:dyDescent="0.2">
      <c r="A817" s="2" t="s">
        <v>10066</v>
      </c>
      <c r="B817" s="15">
        <v>162</v>
      </c>
      <c r="C817" s="15">
        <v>1</v>
      </c>
      <c r="D817" s="15">
        <v>211082893</v>
      </c>
      <c r="E817" s="15">
        <v>212347582</v>
      </c>
      <c r="F817" s="15">
        <v>3792</v>
      </c>
      <c r="G817" s="8" t="s">
        <v>12324</v>
      </c>
      <c r="H817" s="24" t="s">
        <v>3164</v>
      </c>
      <c r="I817" s="25" t="s">
        <v>3165</v>
      </c>
      <c r="J817" s="8" t="s">
        <v>3166</v>
      </c>
      <c r="K817" s="8" t="s">
        <v>10042</v>
      </c>
      <c r="L817" s="15">
        <v>0.51915199999999995</v>
      </c>
      <c r="M817" s="15">
        <v>7.5461E-2</v>
      </c>
      <c r="N817" s="15">
        <v>0.41050037454545452</v>
      </c>
    </row>
    <row r="818" spans="1:14" x14ac:dyDescent="0.2">
      <c r="A818" s="2" t="s">
        <v>10066</v>
      </c>
      <c r="B818" s="15">
        <v>935</v>
      </c>
      <c r="C818" s="15">
        <v>6</v>
      </c>
      <c r="D818" s="15">
        <v>10416551</v>
      </c>
      <c r="E818" s="15">
        <v>11790671</v>
      </c>
      <c r="F818" s="15">
        <v>3902</v>
      </c>
      <c r="G818" s="8" t="s">
        <v>12324</v>
      </c>
      <c r="H818" s="24" t="s">
        <v>3164</v>
      </c>
      <c r="I818" s="25" t="s">
        <v>3165</v>
      </c>
      <c r="J818" s="8" t="s">
        <v>3166</v>
      </c>
      <c r="K818" s="8" t="s">
        <v>10042</v>
      </c>
      <c r="L818" s="15">
        <v>0.36186299999999999</v>
      </c>
      <c r="M818" s="15">
        <v>7.6236100000000001E-2</v>
      </c>
      <c r="N818" s="15">
        <v>0.41050037454545452</v>
      </c>
    </row>
    <row r="819" spans="1:14" x14ac:dyDescent="0.2">
      <c r="A819" s="2" t="s">
        <v>10066</v>
      </c>
      <c r="B819" s="15">
        <v>2415</v>
      </c>
      <c r="C819" s="15">
        <v>20</v>
      </c>
      <c r="D819" s="15">
        <v>51533751</v>
      </c>
      <c r="E819" s="15">
        <v>52411532</v>
      </c>
      <c r="F819" s="15">
        <v>2241</v>
      </c>
      <c r="G819" s="8" t="s">
        <v>12324</v>
      </c>
      <c r="H819" s="24" t="s">
        <v>6008</v>
      </c>
      <c r="I819" s="25" t="s">
        <v>6009</v>
      </c>
      <c r="J819" s="8" t="s">
        <v>6010</v>
      </c>
      <c r="K819" s="8" t="s">
        <v>10051</v>
      </c>
      <c r="L819" s="15">
        <v>0.47427900000000001</v>
      </c>
      <c r="M819" s="15">
        <v>7.4747300000000003E-2</v>
      </c>
      <c r="N819" s="15">
        <v>0.41050037454545452</v>
      </c>
    </row>
    <row r="820" spans="1:14" x14ac:dyDescent="0.2">
      <c r="A820" s="2" t="s">
        <v>10066</v>
      </c>
      <c r="B820" s="15">
        <v>927</v>
      </c>
      <c r="C820" s="15">
        <v>6</v>
      </c>
      <c r="D820" s="15">
        <v>1380680</v>
      </c>
      <c r="E820" s="15">
        <v>2746531</v>
      </c>
      <c r="F820" s="15">
        <v>4012</v>
      </c>
      <c r="G820" s="8" t="s">
        <v>12324</v>
      </c>
      <c r="H820" s="24" t="s">
        <v>6008</v>
      </c>
      <c r="I820" s="25" t="s">
        <v>6009</v>
      </c>
      <c r="J820" s="8" t="s">
        <v>6010</v>
      </c>
      <c r="K820" s="8" t="s">
        <v>10051</v>
      </c>
      <c r="L820" s="15">
        <v>0.41831099999999999</v>
      </c>
      <c r="M820" s="15">
        <v>7.5537000000000007E-2</v>
      </c>
      <c r="N820" s="15">
        <v>0.41050037454545452</v>
      </c>
    </row>
    <row r="821" spans="1:14" x14ac:dyDescent="0.2">
      <c r="A821" s="2" t="s">
        <v>10068</v>
      </c>
      <c r="B821" s="15">
        <v>911</v>
      </c>
      <c r="C821" s="15">
        <v>5</v>
      </c>
      <c r="D821" s="15">
        <v>161478178</v>
      </c>
      <c r="E821" s="15">
        <v>162386027</v>
      </c>
      <c r="F821" s="15">
        <v>2131</v>
      </c>
      <c r="G821" s="8" t="s">
        <v>12324</v>
      </c>
      <c r="H821" s="24" t="s">
        <v>6565</v>
      </c>
      <c r="I821" s="25" t="s">
        <v>6475</v>
      </c>
      <c r="J821" s="8" t="s">
        <v>6566</v>
      </c>
      <c r="K821" s="8" t="s">
        <v>10054</v>
      </c>
      <c r="L821" s="15">
        <v>0.32672000000000001</v>
      </c>
      <c r="M821" s="15">
        <v>7.4927400000000005E-2</v>
      </c>
      <c r="N821" s="15">
        <v>0.41050037454545452</v>
      </c>
    </row>
    <row r="822" spans="1:14" x14ac:dyDescent="0.2">
      <c r="A822" s="2" t="s">
        <v>10068</v>
      </c>
      <c r="B822" s="15">
        <v>1718</v>
      </c>
      <c r="C822" s="15">
        <v>11</v>
      </c>
      <c r="D822" s="15">
        <v>111117781</v>
      </c>
      <c r="E822" s="15">
        <v>112755446</v>
      </c>
      <c r="F822" s="15">
        <v>3295</v>
      </c>
      <c r="G822" s="8" t="s">
        <v>12324</v>
      </c>
      <c r="H822" s="24" t="s">
        <v>6565</v>
      </c>
      <c r="I822" s="25" t="s">
        <v>6475</v>
      </c>
      <c r="J822" s="8" t="s">
        <v>6566</v>
      </c>
      <c r="K822" s="8" t="s">
        <v>10054</v>
      </c>
      <c r="L822" s="15">
        <v>-0.471391</v>
      </c>
      <c r="M822" s="15">
        <v>7.5260199999999999E-2</v>
      </c>
      <c r="N822" s="15">
        <v>0.41050037454545452</v>
      </c>
    </row>
    <row r="823" spans="1:14" x14ac:dyDescent="0.2">
      <c r="A823" s="2" t="s">
        <v>10068</v>
      </c>
      <c r="B823" s="15">
        <v>1327</v>
      </c>
      <c r="C823" s="15">
        <v>8</v>
      </c>
      <c r="D823" s="15">
        <v>96900514</v>
      </c>
      <c r="E823" s="15">
        <v>98132519</v>
      </c>
      <c r="F823" s="15">
        <v>2392</v>
      </c>
      <c r="G823" s="8" t="s">
        <v>12324</v>
      </c>
      <c r="H823" s="24" t="s">
        <v>6565</v>
      </c>
      <c r="I823" s="25" t="s">
        <v>6475</v>
      </c>
      <c r="J823" s="8" t="s">
        <v>6566</v>
      </c>
      <c r="K823" s="8" t="s">
        <v>10054</v>
      </c>
      <c r="L823" s="15">
        <v>0.35860599999999998</v>
      </c>
      <c r="M823" s="15">
        <v>7.5525099999999998E-2</v>
      </c>
      <c r="N823" s="15">
        <v>0.41050037454545452</v>
      </c>
    </row>
    <row r="824" spans="1:14" x14ac:dyDescent="0.2">
      <c r="A824" s="2" t="s">
        <v>10068</v>
      </c>
      <c r="B824" s="15">
        <v>606</v>
      </c>
      <c r="C824" s="15">
        <v>4</v>
      </c>
      <c r="D824" s="15">
        <v>8309827</v>
      </c>
      <c r="E824" s="15">
        <v>8882616</v>
      </c>
      <c r="F824" s="15">
        <v>2113</v>
      </c>
      <c r="G824" s="8" t="s">
        <v>12324</v>
      </c>
      <c r="H824" s="24" t="s">
        <v>6565</v>
      </c>
      <c r="I824" s="25" t="s">
        <v>6475</v>
      </c>
      <c r="J824" s="8" t="s">
        <v>6566</v>
      </c>
      <c r="K824" s="8" t="s">
        <v>10054</v>
      </c>
      <c r="L824" s="15">
        <v>-0.17259099999999999</v>
      </c>
      <c r="M824" s="15">
        <v>7.57655E-2</v>
      </c>
      <c r="N824" s="15">
        <v>0.41050037454545452</v>
      </c>
    </row>
    <row r="825" spans="1:14" x14ac:dyDescent="0.2">
      <c r="A825" s="2" t="s">
        <v>10068</v>
      </c>
      <c r="B825" s="15">
        <v>2351</v>
      </c>
      <c r="C825" s="15">
        <v>19</v>
      </c>
      <c r="D825" s="15">
        <v>45040933</v>
      </c>
      <c r="E825" s="15">
        <v>45893307</v>
      </c>
      <c r="F825" s="15">
        <v>2371</v>
      </c>
      <c r="G825" s="8" t="s">
        <v>12324</v>
      </c>
      <c r="H825" s="24" t="s">
        <v>6565</v>
      </c>
      <c r="I825" s="25" t="s">
        <v>6475</v>
      </c>
      <c r="J825" s="8" t="s">
        <v>6566</v>
      </c>
      <c r="K825" s="8" t="s">
        <v>10054</v>
      </c>
      <c r="L825" s="15">
        <v>-0.418518</v>
      </c>
      <c r="M825" s="15">
        <v>7.6090500000000005E-2</v>
      </c>
      <c r="N825" s="15">
        <v>0.41050037454545452</v>
      </c>
    </row>
    <row r="826" spans="1:14" x14ac:dyDescent="0.2">
      <c r="A826" s="2" t="s">
        <v>10068</v>
      </c>
      <c r="B826" s="15">
        <v>418</v>
      </c>
      <c r="C826" s="15">
        <v>2</v>
      </c>
      <c r="D826" s="15">
        <v>240325601</v>
      </c>
      <c r="E826" s="15">
        <v>241113279</v>
      </c>
      <c r="F826" s="15">
        <v>2937</v>
      </c>
      <c r="G826" s="8" t="s">
        <v>12324</v>
      </c>
      <c r="H826" s="24" t="s">
        <v>6565</v>
      </c>
      <c r="I826" s="25" t="s">
        <v>6475</v>
      </c>
      <c r="J826" s="8" t="s">
        <v>6566</v>
      </c>
      <c r="K826" s="8" t="s">
        <v>10054</v>
      </c>
      <c r="L826" s="15">
        <v>0.25088199999999999</v>
      </c>
      <c r="M826" s="15">
        <v>7.6093800000000003E-2</v>
      </c>
      <c r="N826" s="15">
        <v>0.41050037454545452</v>
      </c>
    </row>
    <row r="827" spans="1:14" x14ac:dyDescent="0.2">
      <c r="A827" s="2" t="s">
        <v>10068</v>
      </c>
      <c r="B827" s="15">
        <v>892</v>
      </c>
      <c r="C827" s="15">
        <v>5</v>
      </c>
      <c r="D827" s="15">
        <v>139408117</v>
      </c>
      <c r="E827" s="15">
        <v>141253830</v>
      </c>
      <c r="F827" s="15">
        <v>3443</v>
      </c>
      <c r="G827" s="8" t="s">
        <v>12324</v>
      </c>
      <c r="H827" s="24" t="s">
        <v>6565</v>
      </c>
      <c r="I827" s="25" t="s">
        <v>6475</v>
      </c>
      <c r="J827" s="8" t="s">
        <v>6566</v>
      </c>
      <c r="K827" s="8" t="s">
        <v>10054</v>
      </c>
      <c r="L827" s="15">
        <v>-0.42967899999999998</v>
      </c>
      <c r="M827" s="15">
        <v>7.6361399999999996E-2</v>
      </c>
      <c r="N827" s="15">
        <v>0.41050037454545452</v>
      </c>
    </row>
    <row r="828" spans="1:14" x14ac:dyDescent="0.2">
      <c r="A828" s="2" t="s">
        <v>10066</v>
      </c>
      <c r="B828" s="15">
        <v>811</v>
      </c>
      <c r="C828" s="15">
        <v>5</v>
      </c>
      <c r="D828" s="15">
        <v>40290852</v>
      </c>
      <c r="E828" s="15">
        <v>41279590</v>
      </c>
      <c r="F828" s="15">
        <v>2645</v>
      </c>
      <c r="G828" s="8" t="s">
        <v>12324</v>
      </c>
      <c r="H828" s="24" t="s">
        <v>6008</v>
      </c>
      <c r="I828" s="25" t="s">
        <v>6009</v>
      </c>
      <c r="J828" s="8" t="s">
        <v>6010</v>
      </c>
      <c r="K828" s="8" t="s">
        <v>10051</v>
      </c>
      <c r="L828" s="15">
        <v>-0.669207</v>
      </c>
      <c r="M828" s="15">
        <v>7.6571E-2</v>
      </c>
      <c r="N828" s="15">
        <v>0.41112879539951569</v>
      </c>
    </row>
    <row r="829" spans="1:14" x14ac:dyDescent="0.2">
      <c r="A829" s="2" t="s">
        <v>10068</v>
      </c>
      <c r="B829" s="15">
        <v>2195</v>
      </c>
      <c r="C829" s="15">
        <v>17</v>
      </c>
      <c r="D829" s="15">
        <v>25872111</v>
      </c>
      <c r="E829" s="15">
        <v>27344401</v>
      </c>
      <c r="F829" s="15">
        <v>2153</v>
      </c>
      <c r="G829" s="8" t="s">
        <v>12324</v>
      </c>
      <c r="H829" s="24" t="s">
        <v>494</v>
      </c>
      <c r="I829" s="25">
        <v>25920</v>
      </c>
      <c r="J829" s="8" t="s">
        <v>496</v>
      </c>
      <c r="K829" s="8" t="s">
        <v>10040</v>
      </c>
      <c r="L829" s="15">
        <v>0.410215</v>
      </c>
      <c r="M829" s="15">
        <v>7.6921500000000004E-2</v>
      </c>
      <c r="N829" s="15">
        <v>0.41141090481927711</v>
      </c>
    </row>
    <row r="830" spans="1:14" x14ac:dyDescent="0.2">
      <c r="A830" s="2" t="s">
        <v>10068</v>
      </c>
      <c r="B830" s="15">
        <v>1677</v>
      </c>
      <c r="C830" s="15">
        <v>11</v>
      </c>
      <c r="D830" s="15">
        <v>68887345</v>
      </c>
      <c r="E830" s="15">
        <v>69713996</v>
      </c>
      <c r="F830" s="15">
        <v>2319</v>
      </c>
      <c r="G830" s="8" t="s">
        <v>12324</v>
      </c>
      <c r="H830" s="24" t="s">
        <v>1259</v>
      </c>
      <c r="I830" s="25">
        <v>27096</v>
      </c>
      <c r="J830" s="8" t="s">
        <v>1261</v>
      </c>
      <c r="K830" s="8" t="s">
        <v>10040</v>
      </c>
      <c r="L830" s="15">
        <v>0.327573</v>
      </c>
      <c r="M830" s="15">
        <v>7.6994599999999996E-2</v>
      </c>
      <c r="N830" s="15">
        <v>0.41141090481927711</v>
      </c>
    </row>
    <row r="831" spans="1:14" x14ac:dyDescent="0.2">
      <c r="A831" s="2" t="s">
        <v>10068</v>
      </c>
      <c r="B831" s="15">
        <v>1858</v>
      </c>
      <c r="C831" s="15">
        <v>12</v>
      </c>
      <c r="D831" s="15">
        <v>129887419</v>
      </c>
      <c r="E831" s="15">
        <v>130629840</v>
      </c>
      <c r="F831" s="15">
        <v>2610</v>
      </c>
      <c r="G831" s="8" t="s">
        <v>12324</v>
      </c>
      <c r="H831" s="24" t="s">
        <v>6565</v>
      </c>
      <c r="I831" s="25" t="s">
        <v>6475</v>
      </c>
      <c r="J831" s="8" t="s">
        <v>6566</v>
      </c>
      <c r="K831" s="8" t="s">
        <v>10054</v>
      </c>
      <c r="L831" s="15">
        <v>-0.30162899999999998</v>
      </c>
      <c r="M831" s="15">
        <v>7.6759999999999995E-2</v>
      </c>
      <c r="N831" s="15">
        <v>0.41141090481927711</v>
      </c>
    </row>
    <row r="832" spans="1:14" x14ac:dyDescent="0.2">
      <c r="A832" s="2" t="s">
        <v>10068</v>
      </c>
      <c r="B832" s="15">
        <v>1636</v>
      </c>
      <c r="C832" s="15">
        <v>11</v>
      </c>
      <c r="D832" s="15">
        <v>24091273</v>
      </c>
      <c r="E832" s="15">
        <v>24892439</v>
      </c>
      <c r="F832" s="15">
        <v>3079</v>
      </c>
      <c r="G832" s="8" t="s">
        <v>12324</v>
      </c>
      <c r="H832" s="24" t="s">
        <v>6565</v>
      </c>
      <c r="I832" s="25" t="s">
        <v>6475</v>
      </c>
      <c r="J832" s="8" t="s">
        <v>6566</v>
      </c>
      <c r="K832" s="8" t="s">
        <v>10054</v>
      </c>
      <c r="L832" s="15">
        <v>0.513324</v>
      </c>
      <c r="M832" s="15">
        <v>7.6839500000000005E-2</v>
      </c>
      <c r="N832" s="15">
        <v>0.41141090481927711</v>
      </c>
    </row>
    <row r="833" spans="1:14" x14ac:dyDescent="0.2">
      <c r="A833" s="2" t="s">
        <v>10068</v>
      </c>
      <c r="B833" s="15">
        <v>2226</v>
      </c>
      <c r="C833" s="15">
        <v>17</v>
      </c>
      <c r="D833" s="15">
        <v>69245591</v>
      </c>
      <c r="E833" s="15">
        <v>70495119</v>
      </c>
      <c r="F833" s="15">
        <v>3010</v>
      </c>
      <c r="G833" s="8" t="s">
        <v>12324</v>
      </c>
      <c r="H833" s="24" t="s">
        <v>494</v>
      </c>
      <c r="I833" s="25">
        <v>25920</v>
      </c>
      <c r="J833" s="8" t="s">
        <v>496</v>
      </c>
      <c r="K833" s="8" t="s">
        <v>10040</v>
      </c>
      <c r="L833" s="15">
        <v>-0.39548</v>
      </c>
      <c r="M833" s="15">
        <v>7.72095E-2</v>
      </c>
      <c r="N833" s="15">
        <v>0.41206273465703969</v>
      </c>
    </row>
    <row r="834" spans="1:14" x14ac:dyDescent="0.2">
      <c r="A834" s="2" t="s">
        <v>10066</v>
      </c>
      <c r="B834" s="15">
        <v>924</v>
      </c>
      <c r="C834" s="15">
        <v>5</v>
      </c>
      <c r="D834" s="15">
        <v>178595253</v>
      </c>
      <c r="E834" s="15">
        <v>179794710</v>
      </c>
      <c r="F834" s="15">
        <v>3846</v>
      </c>
      <c r="G834" s="8" t="s">
        <v>12324</v>
      </c>
      <c r="H834" s="24" t="s">
        <v>6008</v>
      </c>
      <c r="I834" s="25" t="s">
        <v>6009</v>
      </c>
      <c r="J834" s="8" t="s">
        <v>6010</v>
      </c>
      <c r="K834" s="8" t="s">
        <v>10051</v>
      </c>
      <c r="L834" s="15">
        <v>0.52457799999999999</v>
      </c>
      <c r="M834" s="15">
        <v>7.73919E-2</v>
      </c>
      <c r="N834" s="15">
        <v>0.41253975540865379</v>
      </c>
    </row>
    <row r="835" spans="1:14" x14ac:dyDescent="0.2">
      <c r="A835" s="2" t="s">
        <v>10066</v>
      </c>
      <c r="B835" s="15">
        <v>2031</v>
      </c>
      <c r="C835" s="15">
        <v>14</v>
      </c>
      <c r="D835" s="15">
        <v>105091341</v>
      </c>
      <c r="E835" s="15">
        <v>106347143</v>
      </c>
      <c r="F835" s="15">
        <v>2605</v>
      </c>
      <c r="G835" s="8" t="s">
        <v>12324</v>
      </c>
      <c r="H835" s="24" t="s">
        <v>3164</v>
      </c>
      <c r="I835" s="25" t="s">
        <v>3165</v>
      </c>
      <c r="J835" s="8" t="s">
        <v>3166</v>
      </c>
      <c r="K835" s="8" t="s">
        <v>10042</v>
      </c>
      <c r="L835" s="15">
        <v>0.207708</v>
      </c>
      <c r="M835" s="15">
        <v>7.7820899999999998E-2</v>
      </c>
      <c r="N835" s="15">
        <v>0.4143285612244898</v>
      </c>
    </row>
    <row r="836" spans="1:14" x14ac:dyDescent="0.2">
      <c r="A836" s="2" t="s">
        <v>10068</v>
      </c>
      <c r="B836" s="15">
        <v>2438</v>
      </c>
      <c r="C836" s="15">
        <v>21</v>
      </c>
      <c r="D836" s="15">
        <v>22201891</v>
      </c>
      <c r="E836" s="15">
        <v>23266941</v>
      </c>
      <c r="F836" s="15">
        <v>3267</v>
      </c>
      <c r="G836" s="8" t="s">
        <v>12324</v>
      </c>
      <c r="H836" s="24" t="s">
        <v>1259</v>
      </c>
      <c r="I836" s="25">
        <v>27096</v>
      </c>
      <c r="J836" s="8" t="s">
        <v>1261</v>
      </c>
      <c r="K836" s="8" t="s">
        <v>10040</v>
      </c>
      <c r="L836" s="15">
        <v>0.39188400000000001</v>
      </c>
      <c r="M836" s="15">
        <v>7.8258300000000003E-2</v>
      </c>
      <c r="N836" s="15">
        <v>0.41615774640287773</v>
      </c>
    </row>
    <row r="837" spans="1:14" x14ac:dyDescent="0.2">
      <c r="A837" s="2" t="s">
        <v>10066</v>
      </c>
      <c r="B837" s="15">
        <v>2273</v>
      </c>
      <c r="C837" s="15">
        <v>18</v>
      </c>
      <c r="D837" s="15">
        <v>44300146</v>
      </c>
      <c r="E837" s="15">
        <v>45718492</v>
      </c>
      <c r="F837" s="15">
        <v>3634</v>
      </c>
      <c r="G837" s="8" t="s">
        <v>12324</v>
      </c>
      <c r="H837" s="24" t="s">
        <v>6008</v>
      </c>
      <c r="I837" s="25" t="s">
        <v>6009</v>
      </c>
      <c r="J837" s="8" t="s">
        <v>6010</v>
      </c>
      <c r="K837" s="8" t="s">
        <v>10051</v>
      </c>
      <c r="L837" s="15">
        <v>-0.65506299999999995</v>
      </c>
      <c r="M837" s="15">
        <v>7.8370200000000001E-2</v>
      </c>
      <c r="N837" s="15">
        <v>0.41625369700598802</v>
      </c>
    </row>
    <row r="838" spans="1:14" x14ac:dyDescent="0.2">
      <c r="A838" s="2" t="s">
        <v>10069</v>
      </c>
      <c r="B838" s="15">
        <v>963</v>
      </c>
      <c r="C838" s="15">
        <v>6</v>
      </c>
      <c r="D838" s="15">
        <v>32454578</v>
      </c>
      <c r="E838" s="15">
        <v>32539567</v>
      </c>
      <c r="F838" s="15">
        <v>2</v>
      </c>
      <c r="G838" s="8" t="s">
        <v>12324</v>
      </c>
      <c r="H838" s="24" t="s">
        <v>662</v>
      </c>
      <c r="I838" s="25" t="s">
        <v>663</v>
      </c>
      <c r="J838" s="8" t="s">
        <v>664</v>
      </c>
      <c r="K838" s="8" t="s">
        <v>10040</v>
      </c>
      <c r="L838" s="15">
        <v>0.71984400000000004</v>
      </c>
      <c r="M838" s="15">
        <v>7.8721399999999997E-2</v>
      </c>
      <c r="N838" s="15">
        <v>0.41726620669056153</v>
      </c>
    </row>
    <row r="839" spans="1:14" x14ac:dyDescent="0.2">
      <c r="A839" s="2" t="s">
        <v>10068</v>
      </c>
      <c r="B839" s="15">
        <v>16</v>
      </c>
      <c r="C839" s="15">
        <v>1</v>
      </c>
      <c r="D839" s="15">
        <v>14720132</v>
      </c>
      <c r="E839" s="15">
        <v>15755230</v>
      </c>
      <c r="F839" s="15">
        <v>3458</v>
      </c>
      <c r="G839" s="8" t="s">
        <v>12324</v>
      </c>
      <c r="H839" s="24" t="s">
        <v>6565</v>
      </c>
      <c r="I839" s="25" t="s">
        <v>6475</v>
      </c>
      <c r="J839" s="8" t="s">
        <v>6566</v>
      </c>
      <c r="K839" s="8" t="s">
        <v>10054</v>
      </c>
      <c r="L839" s="15">
        <v>0.32099800000000001</v>
      </c>
      <c r="M839" s="15">
        <v>7.8749E-2</v>
      </c>
      <c r="N839" s="15">
        <v>0.41726620669056153</v>
      </c>
    </row>
    <row r="840" spans="1:14" x14ac:dyDescent="0.2">
      <c r="A840" s="2" t="s">
        <v>10066</v>
      </c>
      <c r="B840" s="15">
        <v>2047</v>
      </c>
      <c r="C840" s="15">
        <v>15</v>
      </c>
      <c r="D840" s="15">
        <v>36583328</v>
      </c>
      <c r="E840" s="15">
        <v>37962915</v>
      </c>
      <c r="F840" s="15">
        <v>3558</v>
      </c>
      <c r="G840" s="8" t="s">
        <v>12324</v>
      </c>
      <c r="H840" s="24" t="s">
        <v>3164</v>
      </c>
      <c r="I840" s="25" t="s">
        <v>3165</v>
      </c>
      <c r="J840" s="8" t="s">
        <v>3166</v>
      </c>
      <c r="K840" s="8" t="s">
        <v>10042</v>
      </c>
      <c r="L840" s="15">
        <v>-0.52958899999999998</v>
      </c>
      <c r="M840" s="15">
        <v>7.8965499999999994E-2</v>
      </c>
      <c r="N840" s="15">
        <v>0.41759938855780693</v>
      </c>
    </row>
    <row r="841" spans="1:14" x14ac:dyDescent="0.2">
      <c r="A841" s="2" t="s">
        <v>10066</v>
      </c>
      <c r="B841" s="15">
        <v>1454</v>
      </c>
      <c r="C841" s="15">
        <v>9</v>
      </c>
      <c r="D841" s="15">
        <v>110630151</v>
      </c>
      <c r="E841" s="15">
        <v>111368107</v>
      </c>
      <c r="F841" s="15">
        <v>2133</v>
      </c>
      <c r="G841" s="8" t="s">
        <v>12324</v>
      </c>
      <c r="H841" s="24" t="s">
        <v>6008</v>
      </c>
      <c r="I841" s="25" t="s">
        <v>6009</v>
      </c>
      <c r="J841" s="8" t="s">
        <v>6010</v>
      </c>
      <c r="K841" s="8" t="s">
        <v>10051</v>
      </c>
      <c r="L841" s="15">
        <v>-0.41638599999999998</v>
      </c>
      <c r="M841" s="15">
        <v>7.9000200000000007E-2</v>
      </c>
      <c r="N841" s="15">
        <v>0.41759938855780693</v>
      </c>
    </row>
    <row r="842" spans="1:14" x14ac:dyDescent="0.2">
      <c r="A842" s="2" t="s">
        <v>10069</v>
      </c>
      <c r="B842" s="15">
        <v>1965</v>
      </c>
      <c r="C842" s="15">
        <v>14</v>
      </c>
      <c r="D842" s="15">
        <v>32382246</v>
      </c>
      <c r="E842" s="15">
        <v>33591113</v>
      </c>
      <c r="F842" s="15">
        <v>2175</v>
      </c>
      <c r="G842" s="8" t="s">
        <v>12324</v>
      </c>
      <c r="H842" s="24" t="s">
        <v>662</v>
      </c>
      <c r="I842" s="25" t="s">
        <v>663</v>
      </c>
      <c r="J842" s="8" t="s">
        <v>664</v>
      </c>
      <c r="K842" s="8" t="s">
        <v>10040</v>
      </c>
      <c r="L842" s="15">
        <v>0.48407699999999998</v>
      </c>
      <c r="M842" s="15">
        <v>7.9543699999999995E-2</v>
      </c>
      <c r="N842" s="15">
        <v>0.41866347452606628</v>
      </c>
    </row>
    <row r="843" spans="1:14" x14ac:dyDescent="0.2">
      <c r="A843" s="2" t="s">
        <v>10069</v>
      </c>
      <c r="B843" s="15">
        <v>914</v>
      </c>
      <c r="C843" s="15">
        <v>5</v>
      </c>
      <c r="D843" s="15">
        <v>165289212</v>
      </c>
      <c r="E843" s="15">
        <v>166863413</v>
      </c>
      <c r="F843" s="15">
        <v>2184</v>
      </c>
      <c r="G843" s="8" t="s">
        <v>12324</v>
      </c>
      <c r="H843" s="24" t="s">
        <v>662</v>
      </c>
      <c r="I843" s="25" t="s">
        <v>663</v>
      </c>
      <c r="J843" s="8" t="s">
        <v>664</v>
      </c>
      <c r="K843" s="8" t="s">
        <v>10040</v>
      </c>
      <c r="L843" s="15">
        <v>0.47123999999999999</v>
      </c>
      <c r="M843" s="15">
        <v>7.9600400000000002E-2</v>
      </c>
      <c r="N843" s="15">
        <v>0.41866347452606628</v>
      </c>
    </row>
    <row r="844" spans="1:14" x14ac:dyDescent="0.2">
      <c r="A844" s="2" t="s">
        <v>10068</v>
      </c>
      <c r="B844" s="15">
        <v>364</v>
      </c>
      <c r="C844" s="15">
        <v>2</v>
      </c>
      <c r="D844" s="15">
        <v>180336046</v>
      </c>
      <c r="E844" s="15">
        <v>181309939</v>
      </c>
      <c r="F844" s="15">
        <v>2746</v>
      </c>
      <c r="G844" s="8" t="s">
        <v>12324</v>
      </c>
      <c r="H844" s="24" t="s">
        <v>1259</v>
      </c>
      <c r="I844" s="25">
        <v>27096</v>
      </c>
      <c r="J844" s="8" t="s">
        <v>1261</v>
      </c>
      <c r="K844" s="8" t="s">
        <v>10040</v>
      </c>
      <c r="L844" s="15">
        <v>-0.57399900000000004</v>
      </c>
      <c r="M844" s="15">
        <v>7.9673499999999994E-2</v>
      </c>
      <c r="N844" s="15">
        <v>0.41866347452606628</v>
      </c>
    </row>
    <row r="845" spans="1:14" x14ac:dyDescent="0.2">
      <c r="A845" s="2" t="s">
        <v>10066</v>
      </c>
      <c r="B845" s="15">
        <v>2478</v>
      </c>
      <c r="C845" s="15">
        <v>22</v>
      </c>
      <c r="D845" s="15">
        <v>33501726</v>
      </c>
      <c r="E845" s="15">
        <v>34361897</v>
      </c>
      <c r="F845" s="15">
        <v>2648</v>
      </c>
      <c r="G845" s="8" t="s">
        <v>12324</v>
      </c>
      <c r="H845" s="24" t="s">
        <v>3164</v>
      </c>
      <c r="I845" s="25" t="s">
        <v>3165</v>
      </c>
      <c r="J845" s="8" t="s">
        <v>3166</v>
      </c>
      <c r="K845" s="8" t="s">
        <v>10042</v>
      </c>
      <c r="L845" s="15">
        <v>0.56863799999999998</v>
      </c>
      <c r="M845" s="15">
        <v>7.93957E-2</v>
      </c>
      <c r="N845" s="15">
        <v>0.41866347452606628</v>
      </c>
    </row>
    <row r="846" spans="1:14" x14ac:dyDescent="0.2">
      <c r="A846" s="2" t="s">
        <v>10066</v>
      </c>
      <c r="B846" s="15">
        <v>1271</v>
      </c>
      <c r="C846" s="15">
        <v>8</v>
      </c>
      <c r="D846" s="15">
        <v>25859278</v>
      </c>
      <c r="E846" s="15">
        <v>26679135</v>
      </c>
      <c r="F846" s="15">
        <v>2879</v>
      </c>
      <c r="G846" s="8" t="s">
        <v>12324</v>
      </c>
      <c r="H846" s="24" t="s">
        <v>3164</v>
      </c>
      <c r="I846" s="25" t="s">
        <v>3165</v>
      </c>
      <c r="J846" s="8" t="s">
        <v>3166</v>
      </c>
      <c r="K846" s="8" t="s">
        <v>10042</v>
      </c>
      <c r="L846" s="15">
        <v>-0.40162199999999998</v>
      </c>
      <c r="M846" s="15">
        <v>7.9401899999999997E-2</v>
      </c>
      <c r="N846" s="15">
        <v>0.41866347452606628</v>
      </c>
    </row>
    <row r="847" spans="1:14" x14ac:dyDescent="0.2">
      <c r="A847" s="2" t="s">
        <v>10068</v>
      </c>
      <c r="B847" s="15">
        <v>2379</v>
      </c>
      <c r="C847" s="15">
        <v>20</v>
      </c>
      <c r="D847" s="15">
        <v>9279551</v>
      </c>
      <c r="E847" s="15">
        <v>10279603</v>
      </c>
      <c r="F847" s="15">
        <v>2702</v>
      </c>
      <c r="G847" s="8" t="s">
        <v>12324</v>
      </c>
      <c r="H847" s="24" t="s">
        <v>599</v>
      </c>
      <c r="I847" s="25">
        <v>26562</v>
      </c>
      <c r="J847" s="8" t="s">
        <v>601</v>
      </c>
      <c r="K847" s="8" t="s">
        <v>10040</v>
      </c>
      <c r="L847" s="15">
        <v>-0.403146</v>
      </c>
      <c r="M847" s="15">
        <v>7.9862500000000003E-2</v>
      </c>
      <c r="N847" s="15">
        <v>0.41866452423167849</v>
      </c>
    </row>
    <row r="848" spans="1:14" x14ac:dyDescent="0.2">
      <c r="A848" s="2" t="s">
        <v>10066</v>
      </c>
      <c r="B848" s="15">
        <v>1862</v>
      </c>
      <c r="C848" s="15">
        <v>12</v>
      </c>
      <c r="D848" s="15">
        <v>132957946</v>
      </c>
      <c r="E848" s="15">
        <v>133841814</v>
      </c>
      <c r="F848" s="15">
        <v>2639</v>
      </c>
      <c r="G848" s="8" t="s">
        <v>12324</v>
      </c>
      <c r="H848" s="24" t="s">
        <v>6008</v>
      </c>
      <c r="I848" s="25" t="s">
        <v>6009</v>
      </c>
      <c r="J848" s="8" t="s">
        <v>6010</v>
      </c>
      <c r="K848" s="8" t="s">
        <v>10051</v>
      </c>
      <c r="L848" s="15">
        <v>-0.44201200000000002</v>
      </c>
      <c r="M848" s="15">
        <v>7.9772700000000002E-2</v>
      </c>
      <c r="N848" s="15">
        <v>0.41866452423167849</v>
      </c>
    </row>
    <row r="849" spans="1:14" x14ac:dyDescent="0.2">
      <c r="A849" s="2" t="s">
        <v>10068</v>
      </c>
      <c r="B849" s="15">
        <v>108</v>
      </c>
      <c r="C849" s="15">
        <v>1</v>
      </c>
      <c r="D849" s="15">
        <v>147083836</v>
      </c>
      <c r="E849" s="15">
        <v>149716037</v>
      </c>
      <c r="F849" s="15">
        <v>1208</v>
      </c>
      <c r="G849" s="8" t="s">
        <v>12324</v>
      </c>
      <c r="H849" s="24" t="s">
        <v>599</v>
      </c>
      <c r="I849" s="25">
        <v>26562</v>
      </c>
      <c r="J849" s="8" t="s">
        <v>601</v>
      </c>
      <c r="K849" s="8" t="s">
        <v>10040</v>
      </c>
      <c r="L849" s="15">
        <v>-0.29187999999999997</v>
      </c>
      <c r="M849" s="15">
        <v>8.0425899999999995E-2</v>
      </c>
      <c r="N849" s="15">
        <v>0.4192466474735605</v>
      </c>
    </row>
    <row r="850" spans="1:14" x14ac:dyDescent="0.2">
      <c r="A850" s="2" t="s">
        <v>10068</v>
      </c>
      <c r="B850" s="15">
        <v>1489</v>
      </c>
      <c r="C850" s="15">
        <v>10</v>
      </c>
      <c r="D850" s="15">
        <v>3225337</v>
      </c>
      <c r="E850" s="15">
        <v>3880322</v>
      </c>
      <c r="F850" s="15">
        <v>2169</v>
      </c>
      <c r="G850" s="8" t="s">
        <v>12324</v>
      </c>
      <c r="H850" s="24" t="s">
        <v>599</v>
      </c>
      <c r="I850" s="25">
        <v>26562</v>
      </c>
      <c r="J850" s="8" t="s">
        <v>601</v>
      </c>
      <c r="K850" s="8" t="s">
        <v>10040</v>
      </c>
      <c r="L850" s="15">
        <v>0.230604</v>
      </c>
      <c r="M850" s="15">
        <v>8.0444100000000004E-2</v>
      </c>
      <c r="N850" s="15">
        <v>0.4192466474735605</v>
      </c>
    </row>
    <row r="851" spans="1:14" x14ac:dyDescent="0.2">
      <c r="A851" s="2" t="s">
        <v>10066</v>
      </c>
      <c r="B851" s="15">
        <v>748</v>
      </c>
      <c r="C851" s="15">
        <v>4</v>
      </c>
      <c r="D851" s="15">
        <v>165824651</v>
      </c>
      <c r="E851" s="15">
        <v>166702855</v>
      </c>
      <c r="F851" s="15">
        <v>2820</v>
      </c>
      <c r="G851" s="8" t="s">
        <v>12324</v>
      </c>
      <c r="H851" s="24" t="s">
        <v>6008</v>
      </c>
      <c r="I851" s="25" t="s">
        <v>6009</v>
      </c>
      <c r="J851" s="8" t="s">
        <v>6010</v>
      </c>
      <c r="K851" s="8" t="s">
        <v>10051</v>
      </c>
      <c r="L851" s="15">
        <v>0.74102000000000001</v>
      </c>
      <c r="M851" s="15">
        <v>8.0309099999999994E-2</v>
      </c>
      <c r="N851" s="15">
        <v>0.4192466474735605</v>
      </c>
    </row>
    <row r="852" spans="1:14" x14ac:dyDescent="0.2">
      <c r="A852" s="2" t="s">
        <v>10066</v>
      </c>
      <c r="B852" s="15">
        <v>769</v>
      </c>
      <c r="C852" s="15">
        <v>4</v>
      </c>
      <c r="D852" s="15">
        <v>185483263</v>
      </c>
      <c r="E852" s="15">
        <v>186232882</v>
      </c>
      <c r="F852" s="15">
        <v>2652</v>
      </c>
      <c r="G852" s="8" t="s">
        <v>12324</v>
      </c>
      <c r="H852" s="24" t="s">
        <v>6008</v>
      </c>
      <c r="I852" s="25" t="s">
        <v>6009</v>
      </c>
      <c r="J852" s="8" t="s">
        <v>6010</v>
      </c>
      <c r="K852" s="8" t="s">
        <v>10051</v>
      </c>
      <c r="L852" s="15">
        <v>-0.35577700000000001</v>
      </c>
      <c r="M852" s="15">
        <v>8.0446199999999995E-2</v>
      </c>
      <c r="N852" s="15">
        <v>0.4192466474735605</v>
      </c>
    </row>
    <row r="853" spans="1:14" x14ac:dyDescent="0.2">
      <c r="A853" s="2" t="s">
        <v>10068</v>
      </c>
      <c r="B853" s="15">
        <v>57</v>
      </c>
      <c r="C853" s="15">
        <v>1</v>
      </c>
      <c r="D853" s="15">
        <v>66778016</v>
      </c>
      <c r="E853" s="15">
        <v>67761890</v>
      </c>
      <c r="F853" s="15">
        <v>2611</v>
      </c>
      <c r="G853" s="8" t="s">
        <v>12324</v>
      </c>
      <c r="H853" s="24" t="s">
        <v>6565</v>
      </c>
      <c r="I853" s="25" t="s">
        <v>6475</v>
      </c>
      <c r="J853" s="8" t="s">
        <v>6566</v>
      </c>
      <c r="K853" s="8" t="s">
        <v>10054</v>
      </c>
      <c r="L853" s="15">
        <v>0.57976000000000005</v>
      </c>
      <c r="M853" s="15">
        <v>8.0126900000000001E-2</v>
      </c>
      <c r="N853" s="15">
        <v>0.4192466474735605</v>
      </c>
    </row>
    <row r="854" spans="1:14" x14ac:dyDescent="0.2">
      <c r="A854" s="2" t="s">
        <v>10069</v>
      </c>
      <c r="B854" s="15">
        <v>926</v>
      </c>
      <c r="C854" s="15">
        <v>6</v>
      </c>
      <c r="D854" s="15">
        <v>63979</v>
      </c>
      <c r="E854" s="15">
        <v>1380679</v>
      </c>
      <c r="F854" s="15">
        <v>2494</v>
      </c>
      <c r="G854" s="8" t="s">
        <v>12324</v>
      </c>
      <c r="H854" s="24" t="s">
        <v>662</v>
      </c>
      <c r="I854" s="25" t="s">
        <v>663</v>
      </c>
      <c r="J854" s="8" t="s">
        <v>664</v>
      </c>
      <c r="K854" s="8" t="s">
        <v>10040</v>
      </c>
      <c r="L854" s="15">
        <v>-0.36848500000000001</v>
      </c>
      <c r="M854" s="15">
        <v>8.0786899999999995E-2</v>
      </c>
      <c r="N854" s="15">
        <v>0.42052805340375587</v>
      </c>
    </row>
    <row r="855" spans="1:14" x14ac:dyDescent="0.2">
      <c r="A855" s="2" t="s">
        <v>10066</v>
      </c>
      <c r="B855" s="15">
        <v>1957</v>
      </c>
      <c r="C855" s="15">
        <v>14</v>
      </c>
      <c r="D855" s="15">
        <v>22760701</v>
      </c>
      <c r="E855" s="15">
        <v>23985936</v>
      </c>
      <c r="F855" s="15">
        <v>3272</v>
      </c>
      <c r="G855" s="8" t="s">
        <v>12324</v>
      </c>
      <c r="H855" s="24" t="s">
        <v>3164</v>
      </c>
      <c r="I855" s="25" t="s">
        <v>3165</v>
      </c>
      <c r="J855" s="8" t="s">
        <v>3166</v>
      </c>
      <c r="K855" s="8" t="s">
        <v>10042</v>
      </c>
      <c r="L855" s="15">
        <v>0.41545100000000001</v>
      </c>
      <c r="M855" s="15">
        <v>8.1102900000000006E-2</v>
      </c>
      <c r="N855" s="15">
        <v>0.42167803223915601</v>
      </c>
    </row>
    <row r="856" spans="1:14" x14ac:dyDescent="0.2">
      <c r="A856" s="2" t="s">
        <v>10069</v>
      </c>
      <c r="B856" s="15">
        <v>1866</v>
      </c>
      <c r="C856" s="15">
        <v>13</v>
      </c>
      <c r="D856" s="15">
        <v>21540734</v>
      </c>
      <c r="E856" s="15">
        <v>22795188</v>
      </c>
      <c r="F856" s="15">
        <v>2483</v>
      </c>
      <c r="G856" s="8" t="s">
        <v>12324</v>
      </c>
      <c r="H856" s="24" t="s">
        <v>662</v>
      </c>
      <c r="I856" s="25" t="s">
        <v>663</v>
      </c>
      <c r="J856" s="8" t="s">
        <v>664</v>
      </c>
      <c r="K856" s="8" t="s">
        <v>10040</v>
      </c>
      <c r="L856" s="15">
        <v>-0.52985899999999997</v>
      </c>
      <c r="M856" s="15">
        <v>8.1254999999999994E-2</v>
      </c>
      <c r="N856" s="15">
        <v>0.42197415105386421</v>
      </c>
    </row>
    <row r="857" spans="1:14" x14ac:dyDescent="0.2">
      <c r="A857" s="2" t="s">
        <v>10068</v>
      </c>
      <c r="B857" s="15">
        <v>1437</v>
      </c>
      <c r="C857" s="15">
        <v>9</v>
      </c>
      <c r="D857" s="15">
        <v>92500278</v>
      </c>
      <c r="E857" s="15">
        <v>93441050</v>
      </c>
      <c r="F857" s="15">
        <v>2550</v>
      </c>
      <c r="G857" s="8" t="s">
        <v>12324</v>
      </c>
      <c r="H857" s="24" t="s">
        <v>494</v>
      </c>
      <c r="I857" s="25">
        <v>25920</v>
      </c>
      <c r="J857" s="8" t="s">
        <v>496</v>
      </c>
      <c r="K857" s="8" t="s">
        <v>10040</v>
      </c>
      <c r="L857" s="15">
        <v>-0.462424</v>
      </c>
      <c r="M857" s="15">
        <v>8.1362799999999999E-2</v>
      </c>
      <c r="N857" s="15">
        <v>0.42203978713450291</v>
      </c>
    </row>
    <row r="858" spans="1:14" x14ac:dyDescent="0.2">
      <c r="A858" s="2" t="s">
        <v>10068</v>
      </c>
      <c r="B858" s="15">
        <v>1919</v>
      </c>
      <c r="C858" s="15">
        <v>13</v>
      </c>
      <c r="D858" s="15">
        <v>79489046</v>
      </c>
      <c r="E858" s="15">
        <v>80778339</v>
      </c>
      <c r="F858" s="15">
        <v>2818</v>
      </c>
      <c r="G858" s="8" t="s">
        <v>12324</v>
      </c>
      <c r="H858" s="24" t="s">
        <v>599</v>
      </c>
      <c r="I858" s="25">
        <v>26562</v>
      </c>
      <c r="J858" s="8" t="s">
        <v>601</v>
      </c>
      <c r="K858" s="8" t="s">
        <v>10040</v>
      </c>
      <c r="L858" s="15">
        <v>0.32717499999999999</v>
      </c>
      <c r="M858" s="15">
        <v>8.1762699999999994E-2</v>
      </c>
      <c r="N858" s="15">
        <v>0.42257134342258429</v>
      </c>
    </row>
    <row r="859" spans="1:14" x14ac:dyDescent="0.2">
      <c r="A859" s="2" t="s">
        <v>10068</v>
      </c>
      <c r="B859" s="15">
        <v>2181</v>
      </c>
      <c r="C859" s="15">
        <v>17</v>
      </c>
      <c r="D859" s="15">
        <v>7264459</v>
      </c>
      <c r="E859" s="15">
        <v>8554763</v>
      </c>
      <c r="F859" s="15">
        <v>3096</v>
      </c>
      <c r="G859" s="8" t="s">
        <v>12324</v>
      </c>
      <c r="H859" s="24" t="s">
        <v>599</v>
      </c>
      <c r="I859" s="25">
        <v>26562</v>
      </c>
      <c r="J859" s="8" t="s">
        <v>601</v>
      </c>
      <c r="K859" s="8" t="s">
        <v>10040</v>
      </c>
      <c r="L859" s="15">
        <v>-0.38300499999999998</v>
      </c>
      <c r="M859" s="15">
        <v>8.18464E-2</v>
      </c>
      <c r="N859" s="15">
        <v>0.42257134342258429</v>
      </c>
    </row>
    <row r="860" spans="1:14" x14ac:dyDescent="0.2">
      <c r="A860" s="2" t="s">
        <v>10068</v>
      </c>
      <c r="B860" s="15">
        <v>2446</v>
      </c>
      <c r="C860" s="15">
        <v>21</v>
      </c>
      <c r="D860" s="15">
        <v>30847297</v>
      </c>
      <c r="E860" s="15">
        <v>32202239</v>
      </c>
      <c r="F860" s="15">
        <v>3633</v>
      </c>
      <c r="G860" s="8" t="s">
        <v>12324</v>
      </c>
      <c r="H860" s="24" t="s">
        <v>1259</v>
      </c>
      <c r="I860" s="25">
        <v>27096</v>
      </c>
      <c r="J860" s="8" t="s">
        <v>1261</v>
      </c>
      <c r="K860" s="8" t="s">
        <v>10040</v>
      </c>
      <c r="L860" s="15">
        <v>-0.37667800000000001</v>
      </c>
      <c r="M860" s="15">
        <v>8.1812899999999994E-2</v>
      </c>
      <c r="N860" s="15">
        <v>0.42257134342258429</v>
      </c>
    </row>
    <row r="861" spans="1:14" x14ac:dyDescent="0.2">
      <c r="A861" s="2" t="s">
        <v>10068</v>
      </c>
      <c r="B861" s="15">
        <v>420</v>
      </c>
      <c r="C861" s="15">
        <v>2</v>
      </c>
      <c r="D861" s="15">
        <v>241910367</v>
      </c>
      <c r="E861" s="15">
        <v>243188366</v>
      </c>
      <c r="F861" s="15">
        <v>2900</v>
      </c>
      <c r="G861" s="8" t="s">
        <v>12324</v>
      </c>
      <c r="H861" s="24" t="s">
        <v>6565</v>
      </c>
      <c r="I861" s="25" t="s">
        <v>6475</v>
      </c>
      <c r="J861" s="8" t="s">
        <v>6566</v>
      </c>
      <c r="K861" s="8" t="s">
        <v>10054</v>
      </c>
      <c r="L861" s="15">
        <v>0.30882999999999999</v>
      </c>
      <c r="M861" s="15">
        <v>8.1754999999999994E-2</v>
      </c>
      <c r="N861" s="15">
        <v>0.42257134342258429</v>
      </c>
    </row>
    <row r="862" spans="1:14" x14ac:dyDescent="0.2">
      <c r="A862" s="2" t="s">
        <v>10068</v>
      </c>
      <c r="B862" s="15">
        <v>1244</v>
      </c>
      <c r="C862" s="15">
        <v>8</v>
      </c>
      <c r="D862" s="15">
        <v>6019164</v>
      </c>
      <c r="E862" s="15">
        <v>6663427</v>
      </c>
      <c r="F862" s="15">
        <v>3366</v>
      </c>
      <c r="G862" s="8" t="s">
        <v>12324</v>
      </c>
      <c r="H862" s="24" t="s">
        <v>599</v>
      </c>
      <c r="I862" s="25">
        <v>26562</v>
      </c>
      <c r="J862" s="8" t="s">
        <v>601</v>
      </c>
      <c r="K862" s="8" t="s">
        <v>10040</v>
      </c>
      <c r="L862" s="15">
        <v>0.34089599999999998</v>
      </c>
      <c r="M862" s="15">
        <v>8.2244399999999995E-2</v>
      </c>
      <c r="N862" s="15">
        <v>0.42268530648899189</v>
      </c>
    </row>
    <row r="863" spans="1:14" x14ac:dyDescent="0.2">
      <c r="A863" s="2" t="s">
        <v>10069</v>
      </c>
      <c r="B863" s="15">
        <v>2022</v>
      </c>
      <c r="C863" s="15">
        <v>14</v>
      </c>
      <c r="D863" s="15">
        <v>95946793</v>
      </c>
      <c r="E863" s="15">
        <v>97174314</v>
      </c>
      <c r="F863" s="15">
        <v>2649</v>
      </c>
      <c r="G863" s="8" t="s">
        <v>12324</v>
      </c>
      <c r="H863" s="24" t="s">
        <v>662</v>
      </c>
      <c r="I863" s="25" t="s">
        <v>663</v>
      </c>
      <c r="J863" s="8" t="s">
        <v>664</v>
      </c>
      <c r="K863" s="8" t="s">
        <v>10040</v>
      </c>
      <c r="L863" s="15">
        <v>-0.51768999999999998</v>
      </c>
      <c r="M863" s="15">
        <v>8.2012799999999997E-2</v>
      </c>
      <c r="N863" s="15">
        <v>0.42268530648899189</v>
      </c>
    </row>
    <row r="864" spans="1:14" x14ac:dyDescent="0.2">
      <c r="A864" s="2" t="s">
        <v>10068</v>
      </c>
      <c r="B864" s="15">
        <v>1088</v>
      </c>
      <c r="C864" s="15">
        <v>6</v>
      </c>
      <c r="D864" s="15">
        <v>164687463</v>
      </c>
      <c r="E864" s="15">
        <v>165835953</v>
      </c>
      <c r="F864" s="15">
        <v>3985</v>
      </c>
      <c r="G864" s="8" t="s">
        <v>12324</v>
      </c>
      <c r="H864" s="24" t="s">
        <v>1259</v>
      </c>
      <c r="I864" s="25">
        <v>27096</v>
      </c>
      <c r="J864" s="8" t="s">
        <v>1261</v>
      </c>
      <c r="K864" s="8" t="s">
        <v>10040</v>
      </c>
      <c r="L864" s="15">
        <v>-0.35862899999999998</v>
      </c>
      <c r="M864" s="15">
        <v>8.2059199999999999E-2</v>
      </c>
      <c r="N864" s="15">
        <v>0.42268530648899189</v>
      </c>
    </row>
    <row r="865" spans="1:14" x14ac:dyDescent="0.2">
      <c r="A865" s="2" t="s">
        <v>10068</v>
      </c>
      <c r="B865" s="15">
        <v>227</v>
      </c>
      <c r="C865" s="15">
        <v>2</v>
      </c>
      <c r="D865" s="15">
        <v>23538528</v>
      </c>
      <c r="E865" s="15">
        <v>24669224</v>
      </c>
      <c r="F865" s="15">
        <v>3133</v>
      </c>
      <c r="G865" s="8" t="s">
        <v>12324</v>
      </c>
      <c r="H865" s="24" t="s">
        <v>1259</v>
      </c>
      <c r="I865" s="25">
        <v>27096</v>
      </c>
      <c r="J865" s="8" t="s">
        <v>1261</v>
      </c>
      <c r="K865" s="8" t="s">
        <v>10040</v>
      </c>
      <c r="L865" s="15">
        <v>0.29021999999999998</v>
      </c>
      <c r="M865" s="15">
        <v>8.2249699999999995E-2</v>
      </c>
      <c r="N865" s="15">
        <v>0.42268530648899189</v>
      </c>
    </row>
    <row r="866" spans="1:14" x14ac:dyDescent="0.2">
      <c r="A866" s="2" t="s">
        <v>10068</v>
      </c>
      <c r="B866" s="15">
        <v>1632</v>
      </c>
      <c r="C866" s="15">
        <v>11</v>
      </c>
      <c r="D866" s="15">
        <v>20686337</v>
      </c>
      <c r="E866" s="15">
        <v>21442722</v>
      </c>
      <c r="F866" s="15">
        <v>2292</v>
      </c>
      <c r="G866" s="8" t="s">
        <v>12324</v>
      </c>
      <c r="H866" s="24" t="s">
        <v>494</v>
      </c>
      <c r="I866" s="25">
        <v>25920</v>
      </c>
      <c r="J866" s="8" t="s">
        <v>496</v>
      </c>
      <c r="K866" s="8" t="s">
        <v>10040</v>
      </c>
      <c r="L866" s="15">
        <v>-0.445301</v>
      </c>
      <c r="M866" s="15">
        <v>8.2496799999999995E-2</v>
      </c>
      <c r="N866" s="15">
        <v>0.42346447685185179</v>
      </c>
    </row>
    <row r="867" spans="1:14" x14ac:dyDescent="0.2">
      <c r="A867" s="2" t="s">
        <v>10069</v>
      </c>
      <c r="B867" s="15">
        <v>1099</v>
      </c>
      <c r="C867" s="15">
        <v>7</v>
      </c>
      <c r="D867" s="15">
        <v>4139432</v>
      </c>
      <c r="E867" s="15">
        <v>4938442</v>
      </c>
      <c r="F867" s="15">
        <v>1774</v>
      </c>
      <c r="G867" s="8" t="s">
        <v>12324</v>
      </c>
      <c r="H867" s="24" t="s">
        <v>662</v>
      </c>
      <c r="I867" s="25" t="s">
        <v>663</v>
      </c>
      <c r="J867" s="8" t="s">
        <v>664</v>
      </c>
      <c r="K867" s="8" t="s">
        <v>10040</v>
      </c>
      <c r="L867" s="15">
        <v>-0.50289799999999996</v>
      </c>
      <c r="M867" s="15">
        <v>8.2613599999999995E-2</v>
      </c>
      <c r="N867" s="15">
        <v>0.42357377572254329</v>
      </c>
    </row>
    <row r="868" spans="1:14" x14ac:dyDescent="0.2">
      <c r="A868" s="2" t="s">
        <v>10068</v>
      </c>
      <c r="B868" s="15">
        <v>1392</v>
      </c>
      <c r="C868" s="15">
        <v>9</v>
      </c>
      <c r="D868" s="15">
        <v>16658378</v>
      </c>
      <c r="E868" s="15">
        <v>17392382</v>
      </c>
      <c r="F868" s="15">
        <v>2470</v>
      </c>
      <c r="G868" s="8" t="s">
        <v>12324</v>
      </c>
      <c r="H868" s="24" t="s">
        <v>494</v>
      </c>
      <c r="I868" s="25">
        <v>25920</v>
      </c>
      <c r="J868" s="8" t="s">
        <v>496</v>
      </c>
      <c r="K868" s="8" t="s">
        <v>10040</v>
      </c>
      <c r="L868" s="15">
        <v>0.48328500000000002</v>
      </c>
      <c r="M868" s="15">
        <v>8.2967600000000002E-2</v>
      </c>
      <c r="N868" s="15">
        <v>0.42365312011494249</v>
      </c>
    </row>
    <row r="869" spans="1:14" x14ac:dyDescent="0.2">
      <c r="A869" s="2" t="s">
        <v>10068</v>
      </c>
      <c r="B869" s="15">
        <v>1986</v>
      </c>
      <c r="C869" s="15">
        <v>14</v>
      </c>
      <c r="D869" s="15">
        <v>54359599</v>
      </c>
      <c r="E869" s="15">
        <v>55292832</v>
      </c>
      <c r="F869" s="15">
        <v>2088</v>
      </c>
      <c r="G869" s="8" t="s">
        <v>12324</v>
      </c>
      <c r="H869" s="24" t="s">
        <v>1259</v>
      </c>
      <c r="I869" s="25">
        <v>27096</v>
      </c>
      <c r="J869" s="8" t="s">
        <v>1261</v>
      </c>
      <c r="K869" s="8" t="s">
        <v>10040</v>
      </c>
      <c r="L869" s="15">
        <v>0.55111200000000005</v>
      </c>
      <c r="M869" s="15">
        <v>8.3000900000000002E-2</v>
      </c>
      <c r="N869" s="15">
        <v>0.42365312011494249</v>
      </c>
    </row>
    <row r="870" spans="1:14" x14ac:dyDescent="0.2">
      <c r="A870" s="2" t="s">
        <v>10068</v>
      </c>
      <c r="B870" s="15">
        <v>619</v>
      </c>
      <c r="C870" s="15">
        <v>4</v>
      </c>
      <c r="D870" s="15">
        <v>20086839</v>
      </c>
      <c r="E870" s="15">
        <v>21416380</v>
      </c>
      <c r="F870" s="15">
        <v>3873</v>
      </c>
      <c r="G870" s="8" t="s">
        <v>12324</v>
      </c>
      <c r="H870" s="24" t="s">
        <v>1259</v>
      </c>
      <c r="I870" s="25">
        <v>27096</v>
      </c>
      <c r="J870" s="8" t="s">
        <v>1261</v>
      </c>
      <c r="K870" s="8" t="s">
        <v>10040</v>
      </c>
      <c r="L870" s="15">
        <v>0.28184100000000001</v>
      </c>
      <c r="M870" s="15">
        <v>8.3106700000000006E-2</v>
      </c>
      <c r="N870" s="15">
        <v>0.42365312011494249</v>
      </c>
    </row>
    <row r="871" spans="1:14" x14ac:dyDescent="0.2">
      <c r="A871" s="2" t="s">
        <v>10066</v>
      </c>
      <c r="B871" s="15">
        <v>1871</v>
      </c>
      <c r="C871" s="15">
        <v>13</v>
      </c>
      <c r="D871" s="15">
        <v>26681710</v>
      </c>
      <c r="E871" s="15">
        <v>27392005</v>
      </c>
      <c r="F871" s="15">
        <v>2228</v>
      </c>
      <c r="G871" s="8" t="s">
        <v>12324</v>
      </c>
      <c r="H871" s="24" t="s">
        <v>3164</v>
      </c>
      <c r="I871" s="25" t="s">
        <v>3165</v>
      </c>
      <c r="J871" s="8" t="s">
        <v>3166</v>
      </c>
      <c r="K871" s="8" t="s">
        <v>10042</v>
      </c>
      <c r="L871" s="15">
        <v>0.74993799999999999</v>
      </c>
      <c r="M871" s="15">
        <v>8.2878800000000002E-2</v>
      </c>
      <c r="N871" s="15">
        <v>0.42365312011494249</v>
      </c>
    </row>
    <row r="872" spans="1:14" x14ac:dyDescent="0.2">
      <c r="A872" s="2" t="s">
        <v>10066</v>
      </c>
      <c r="B872" s="15">
        <v>1060</v>
      </c>
      <c r="C872" s="15">
        <v>6</v>
      </c>
      <c r="D872" s="15">
        <v>132890695</v>
      </c>
      <c r="E872" s="15">
        <v>134313643</v>
      </c>
      <c r="F872" s="15">
        <v>3680</v>
      </c>
      <c r="G872" s="8" t="s">
        <v>12324</v>
      </c>
      <c r="H872" s="24" t="s">
        <v>6008</v>
      </c>
      <c r="I872" s="25" t="s">
        <v>6009</v>
      </c>
      <c r="J872" s="8" t="s">
        <v>6010</v>
      </c>
      <c r="K872" s="8" t="s">
        <v>10051</v>
      </c>
      <c r="L872" s="15">
        <v>-0.52867500000000001</v>
      </c>
      <c r="M872" s="15">
        <v>8.3046099999999998E-2</v>
      </c>
      <c r="N872" s="15">
        <v>0.42365312011494249</v>
      </c>
    </row>
    <row r="873" spans="1:14" x14ac:dyDescent="0.2">
      <c r="A873" s="2" t="s">
        <v>10066</v>
      </c>
      <c r="B873" s="15">
        <v>2223</v>
      </c>
      <c r="C873" s="15">
        <v>17</v>
      </c>
      <c r="D873" s="15">
        <v>65582328</v>
      </c>
      <c r="E873" s="15">
        <v>66757556</v>
      </c>
      <c r="F873" s="15">
        <v>2935</v>
      </c>
      <c r="G873" s="8" t="s">
        <v>12324</v>
      </c>
      <c r="H873" s="24" t="s">
        <v>6008</v>
      </c>
      <c r="I873" s="25" t="s">
        <v>6009</v>
      </c>
      <c r="J873" s="8" t="s">
        <v>6010</v>
      </c>
      <c r="K873" s="8" t="s">
        <v>10051</v>
      </c>
      <c r="L873" s="15">
        <v>-0.53284600000000004</v>
      </c>
      <c r="M873" s="15">
        <v>8.3358500000000002E-2</v>
      </c>
      <c r="N873" s="15">
        <v>0.42444884902411018</v>
      </c>
    </row>
    <row r="874" spans="1:14" x14ac:dyDescent="0.2">
      <c r="A874" s="2" t="s">
        <v>10068</v>
      </c>
      <c r="B874" s="15">
        <v>1225</v>
      </c>
      <c r="C874" s="15">
        <v>7</v>
      </c>
      <c r="D874" s="15">
        <v>152253295</v>
      </c>
      <c r="E874" s="15">
        <v>153241228</v>
      </c>
      <c r="F874" s="15">
        <v>3855</v>
      </c>
      <c r="G874" s="8" t="s">
        <v>12324</v>
      </c>
      <c r="H874" s="24" t="s">
        <v>494</v>
      </c>
      <c r="I874" s="25">
        <v>25920</v>
      </c>
      <c r="J874" s="8" t="s">
        <v>496</v>
      </c>
      <c r="K874" s="8" t="s">
        <v>10040</v>
      </c>
      <c r="L874" s="15">
        <v>-0.47160600000000003</v>
      </c>
      <c r="M874" s="15">
        <v>8.3749699999999996E-2</v>
      </c>
      <c r="N874" s="15">
        <v>0.42595174254587148</v>
      </c>
    </row>
    <row r="875" spans="1:14" x14ac:dyDescent="0.2">
      <c r="A875" s="2" t="s">
        <v>10068</v>
      </c>
      <c r="B875" s="15">
        <v>978</v>
      </c>
      <c r="C875" s="15">
        <v>6</v>
      </c>
      <c r="D875" s="15">
        <v>43770627</v>
      </c>
      <c r="E875" s="15">
        <v>44596897</v>
      </c>
      <c r="F875" s="15">
        <v>2313</v>
      </c>
      <c r="G875" s="8" t="s">
        <v>12324</v>
      </c>
      <c r="H875" s="24" t="s">
        <v>494</v>
      </c>
      <c r="I875" s="25">
        <v>25920</v>
      </c>
      <c r="J875" s="8" t="s">
        <v>496</v>
      </c>
      <c r="K875" s="8" t="s">
        <v>10040</v>
      </c>
      <c r="L875" s="15">
        <v>-0.28715400000000002</v>
      </c>
      <c r="M875" s="15">
        <v>8.4249099999999993E-2</v>
      </c>
      <c r="N875" s="15">
        <v>0.4276146824942792</v>
      </c>
    </row>
    <row r="876" spans="1:14" x14ac:dyDescent="0.2">
      <c r="A876" s="2" t="s">
        <v>10069</v>
      </c>
      <c r="B876" s="15">
        <v>2385</v>
      </c>
      <c r="C876" s="15">
        <v>20</v>
      </c>
      <c r="D876" s="15">
        <v>15238520</v>
      </c>
      <c r="E876" s="15">
        <v>15962576</v>
      </c>
      <c r="F876" s="15">
        <v>1349</v>
      </c>
      <c r="G876" s="8" t="s">
        <v>12324</v>
      </c>
      <c r="H876" s="24" t="s">
        <v>662</v>
      </c>
      <c r="I876" s="25" t="s">
        <v>663</v>
      </c>
      <c r="J876" s="8" t="s">
        <v>664</v>
      </c>
      <c r="K876" s="8" t="s">
        <v>10040</v>
      </c>
      <c r="L876" s="15">
        <v>-0.49268000000000001</v>
      </c>
      <c r="M876" s="15">
        <v>8.4269499999999997E-2</v>
      </c>
      <c r="N876" s="15">
        <v>0.4276146824942792</v>
      </c>
    </row>
    <row r="877" spans="1:14" x14ac:dyDescent="0.2">
      <c r="A877" s="2" t="s">
        <v>10068</v>
      </c>
      <c r="B877" s="15">
        <v>1874</v>
      </c>
      <c r="C877" s="15">
        <v>13</v>
      </c>
      <c r="D877" s="15">
        <v>30068526</v>
      </c>
      <c r="E877" s="15">
        <v>31433218</v>
      </c>
      <c r="F877" s="15">
        <v>4064</v>
      </c>
      <c r="G877" s="8" t="s">
        <v>12324</v>
      </c>
      <c r="H877" s="24" t="s">
        <v>6565</v>
      </c>
      <c r="I877" s="25" t="s">
        <v>6475</v>
      </c>
      <c r="J877" s="8" t="s">
        <v>6566</v>
      </c>
      <c r="K877" s="8" t="s">
        <v>10054</v>
      </c>
      <c r="L877" s="15">
        <v>-0.47443999999999997</v>
      </c>
      <c r="M877" s="15">
        <v>8.4430400000000003E-2</v>
      </c>
      <c r="N877" s="15">
        <v>0.42794151314285722</v>
      </c>
    </row>
    <row r="878" spans="1:14" x14ac:dyDescent="0.2">
      <c r="A878" s="2" t="s">
        <v>10068</v>
      </c>
      <c r="B878" s="15">
        <v>1030</v>
      </c>
      <c r="C878" s="15">
        <v>6</v>
      </c>
      <c r="D878" s="15">
        <v>99678877</v>
      </c>
      <c r="E878" s="15">
        <v>100878645</v>
      </c>
      <c r="F878" s="15">
        <v>3107</v>
      </c>
      <c r="G878" s="8" t="s">
        <v>12324</v>
      </c>
      <c r="H878" s="24" t="s">
        <v>599</v>
      </c>
      <c r="I878" s="25">
        <v>26562</v>
      </c>
      <c r="J878" s="8" t="s">
        <v>601</v>
      </c>
      <c r="K878" s="8" t="s">
        <v>10040</v>
      </c>
      <c r="L878" s="15">
        <v>0.39605200000000002</v>
      </c>
      <c r="M878" s="15">
        <v>8.4696199999999999E-2</v>
      </c>
      <c r="N878" s="15">
        <v>0.42819975512528469</v>
      </c>
    </row>
    <row r="879" spans="1:14" x14ac:dyDescent="0.2">
      <c r="A879" s="2" t="s">
        <v>10068</v>
      </c>
      <c r="B879" s="15">
        <v>1497</v>
      </c>
      <c r="C879" s="15">
        <v>10</v>
      </c>
      <c r="D879" s="15">
        <v>10081280</v>
      </c>
      <c r="E879" s="15">
        <v>10969481</v>
      </c>
      <c r="F879" s="15">
        <v>2625</v>
      </c>
      <c r="G879" s="8" t="s">
        <v>12324</v>
      </c>
      <c r="H879" s="24" t="s">
        <v>599</v>
      </c>
      <c r="I879" s="25">
        <v>26562</v>
      </c>
      <c r="J879" s="8" t="s">
        <v>601</v>
      </c>
      <c r="K879" s="8" t="s">
        <v>10040</v>
      </c>
      <c r="L879" s="15">
        <v>0.36343199999999998</v>
      </c>
      <c r="M879" s="15">
        <v>8.4748799999999999E-2</v>
      </c>
      <c r="N879" s="15">
        <v>0.42819975512528469</v>
      </c>
    </row>
    <row r="880" spans="1:14" x14ac:dyDescent="0.2">
      <c r="A880" s="2" t="s">
        <v>10068</v>
      </c>
      <c r="B880" s="15">
        <v>1477</v>
      </c>
      <c r="C880" s="15">
        <v>9</v>
      </c>
      <c r="D880" s="15">
        <v>134141937</v>
      </c>
      <c r="E880" s="15">
        <v>135135887</v>
      </c>
      <c r="F880" s="15">
        <v>2238</v>
      </c>
      <c r="G880" s="8" t="s">
        <v>12324</v>
      </c>
      <c r="H880" s="24" t="s">
        <v>1259</v>
      </c>
      <c r="I880" s="25">
        <v>27096</v>
      </c>
      <c r="J880" s="8" t="s">
        <v>1261</v>
      </c>
      <c r="K880" s="8" t="s">
        <v>10040</v>
      </c>
      <c r="L880" s="15">
        <v>-0.64313200000000004</v>
      </c>
      <c r="M880" s="15">
        <v>8.4770999999999999E-2</v>
      </c>
      <c r="N880" s="15">
        <v>0.42819975512528469</v>
      </c>
    </row>
    <row r="881" spans="1:14" x14ac:dyDescent="0.2">
      <c r="A881" s="2" t="s">
        <v>10068</v>
      </c>
      <c r="B881" s="15">
        <v>603</v>
      </c>
      <c r="C881" s="15">
        <v>4</v>
      </c>
      <c r="D881" s="15">
        <v>5972710</v>
      </c>
      <c r="E881" s="15">
        <v>7135819</v>
      </c>
      <c r="F881" s="15">
        <v>3852</v>
      </c>
      <c r="G881" s="8" t="s">
        <v>12324</v>
      </c>
      <c r="H881" s="24" t="s">
        <v>494</v>
      </c>
      <c r="I881" s="25">
        <v>25920</v>
      </c>
      <c r="J881" s="8" t="s">
        <v>496</v>
      </c>
      <c r="K881" s="8" t="s">
        <v>10040</v>
      </c>
      <c r="L881" s="15">
        <v>0.421186</v>
      </c>
      <c r="M881" s="15">
        <v>8.53545E-2</v>
      </c>
      <c r="N881" s="15">
        <v>0.43031091477272732</v>
      </c>
    </row>
    <row r="882" spans="1:14" x14ac:dyDescent="0.2">
      <c r="A882" s="2" t="s">
        <v>10068</v>
      </c>
      <c r="B882" s="15">
        <v>1441</v>
      </c>
      <c r="C882" s="15">
        <v>9</v>
      </c>
      <c r="D882" s="15">
        <v>95854926</v>
      </c>
      <c r="E882" s="15">
        <v>96670171</v>
      </c>
      <c r="F882" s="15">
        <v>2548</v>
      </c>
      <c r="G882" s="8" t="s">
        <v>12324</v>
      </c>
      <c r="H882" s="24" t="s">
        <v>599</v>
      </c>
      <c r="I882" s="25">
        <v>26562</v>
      </c>
      <c r="J882" s="8" t="s">
        <v>601</v>
      </c>
      <c r="K882" s="8" t="s">
        <v>10040</v>
      </c>
      <c r="L882" s="15">
        <v>-0.45859899999999998</v>
      </c>
      <c r="M882" s="15">
        <v>8.5383000000000001E-2</v>
      </c>
      <c r="N882" s="15">
        <v>0.43031091477272732</v>
      </c>
    </row>
    <row r="883" spans="1:14" x14ac:dyDescent="0.2">
      <c r="A883" s="2" t="s">
        <v>10066</v>
      </c>
      <c r="B883" s="15">
        <v>1855</v>
      </c>
      <c r="C883" s="15">
        <v>12</v>
      </c>
      <c r="D883" s="15">
        <v>127545378</v>
      </c>
      <c r="E883" s="15">
        <v>128372588</v>
      </c>
      <c r="F883" s="15">
        <v>2647</v>
      </c>
      <c r="G883" s="8" t="s">
        <v>12324</v>
      </c>
      <c r="H883" s="24" t="s">
        <v>6008</v>
      </c>
      <c r="I883" s="25" t="s">
        <v>6009</v>
      </c>
      <c r="J883" s="8" t="s">
        <v>6010</v>
      </c>
      <c r="K883" s="8" t="s">
        <v>10051</v>
      </c>
      <c r="L883" s="15">
        <v>0.447992</v>
      </c>
      <c r="M883" s="15">
        <v>8.5838499999999998E-2</v>
      </c>
      <c r="N883" s="15">
        <v>0.43211549091940982</v>
      </c>
    </row>
    <row r="884" spans="1:14" x14ac:dyDescent="0.2">
      <c r="A884" s="2" t="s">
        <v>10068</v>
      </c>
      <c r="B884" s="15">
        <v>2256</v>
      </c>
      <c r="C884" s="15">
        <v>18</v>
      </c>
      <c r="D884" s="15">
        <v>21622717</v>
      </c>
      <c r="E884" s="15">
        <v>22746153</v>
      </c>
      <c r="F884" s="15">
        <v>2882</v>
      </c>
      <c r="G884" s="8" t="s">
        <v>12324</v>
      </c>
      <c r="H884" s="24" t="s">
        <v>6565</v>
      </c>
      <c r="I884" s="25" t="s">
        <v>6475</v>
      </c>
      <c r="J884" s="8" t="s">
        <v>6566</v>
      </c>
      <c r="K884" s="8" t="s">
        <v>10054</v>
      </c>
      <c r="L884" s="15">
        <v>-0.468196</v>
      </c>
      <c r="M884" s="15">
        <v>8.6039299999999999E-2</v>
      </c>
      <c r="N884" s="15">
        <v>0.43263525566893418</v>
      </c>
    </row>
    <row r="885" spans="1:14" x14ac:dyDescent="0.2">
      <c r="A885" s="2" t="s">
        <v>10066</v>
      </c>
      <c r="B885" s="15">
        <v>538</v>
      </c>
      <c r="C885" s="15">
        <v>3</v>
      </c>
      <c r="D885" s="15">
        <v>132925968</v>
      </c>
      <c r="E885" s="15">
        <v>133718493</v>
      </c>
      <c r="F885" s="15">
        <v>2169</v>
      </c>
      <c r="G885" s="8" t="s">
        <v>12324</v>
      </c>
      <c r="H885" s="24" t="s">
        <v>3164</v>
      </c>
      <c r="I885" s="25" t="s">
        <v>3165</v>
      </c>
      <c r="J885" s="8" t="s">
        <v>3166</v>
      </c>
      <c r="K885" s="8" t="s">
        <v>10042</v>
      </c>
      <c r="L885" s="15">
        <v>-0.52054599999999995</v>
      </c>
      <c r="M885" s="15">
        <v>8.6198300000000005E-2</v>
      </c>
      <c r="N885" s="15">
        <v>0.43294389637599101</v>
      </c>
    </row>
    <row r="886" spans="1:14" x14ac:dyDescent="0.2">
      <c r="A886" s="2" t="s">
        <v>10066</v>
      </c>
      <c r="B886" s="15">
        <v>286</v>
      </c>
      <c r="C886" s="15">
        <v>2</v>
      </c>
      <c r="D886" s="15">
        <v>79900056</v>
      </c>
      <c r="E886" s="15">
        <v>80737811</v>
      </c>
      <c r="F886" s="15">
        <v>2127</v>
      </c>
      <c r="G886" s="8" t="s">
        <v>12324</v>
      </c>
      <c r="H886" s="24" t="s">
        <v>6008</v>
      </c>
      <c r="I886" s="25" t="s">
        <v>6009</v>
      </c>
      <c r="J886" s="8" t="s">
        <v>6010</v>
      </c>
      <c r="K886" s="8" t="s">
        <v>10051</v>
      </c>
      <c r="L886" s="15">
        <v>0.43622300000000003</v>
      </c>
      <c r="M886" s="15">
        <v>8.63429E-2</v>
      </c>
      <c r="N886" s="15">
        <v>0.43317959445701359</v>
      </c>
    </row>
    <row r="887" spans="1:14" x14ac:dyDescent="0.2">
      <c r="A887" s="2" t="s">
        <v>10068</v>
      </c>
      <c r="B887" s="15">
        <v>1559</v>
      </c>
      <c r="C887" s="15">
        <v>10</v>
      </c>
      <c r="D887" s="15">
        <v>79952997</v>
      </c>
      <c r="E887" s="15">
        <v>81190573</v>
      </c>
      <c r="F887" s="15">
        <v>3461</v>
      </c>
      <c r="G887" s="8" t="s">
        <v>12324</v>
      </c>
      <c r="H887" s="24" t="s">
        <v>1259</v>
      </c>
      <c r="I887" s="25">
        <v>27096</v>
      </c>
      <c r="J887" s="8" t="s">
        <v>1261</v>
      </c>
      <c r="K887" s="8" t="s">
        <v>10040</v>
      </c>
      <c r="L887" s="15">
        <v>-0.43135899999999999</v>
      </c>
      <c r="M887" s="15">
        <v>8.6456400000000003E-2</v>
      </c>
      <c r="N887" s="15">
        <v>0.43325890847457632</v>
      </c>
    </row>
    <row r="888" spans="1:14" x14ac:dyDescent="0.2">
      <c r="A888" s="2" t="s">
        <v>10066</v>
      </c>
      <c r="B888" s="15">
        <v>1433</v>
      </c>
      <c r="C888" s="15">
        <v>9</v>
      </c>
      <c r="D888" s="15">
        <v>89171797</v>
      </c>
      <c r="E888" s="15">
        <v>90135154</v>
      </c>
      <c r="F888" s="15">
        <v>2759</v>
      </c>
      <c r="G888" s="8" t="s">
        <v>12324</v>
      </c>
      <c r="H888" s="24" t="s">
        <v>6008</v>
      </c>
      <c r="I888" s="25" t="s">
        <v>6009</v>
      </c>
      <c r="J888" s="8" t="s">
        <v>6010</v>
      </c>
      <c r="K888" s="8" t="s">
        <v>10051</v>
      </c>
      <c r="L888" s="15">
        <v>-0.44997900000000002</v>
      </c>
      <c r="M888" s="15">
        <v>8.6678400000000003E-2</v>
      </c>
      <c r="N888" s="15">
        <v>0.43388115575620773</v>
      </c>
    </row>
    <row r="889" spans="1:14" x14ac:dyDescent="0.2">
      <c r="A889" s="2" t="s">
        <v>10068</v>
      </c>
      <c r="B889" s="15">
        <v>1646</v>
      </c>
      <c r="C889" s="15">
        <v>11</v>
      </c>
      <c r="D889" s="15">
        <v>33905328</v>
      </c>
      <c r="E889" s="15">
        <v>34672697</v>
      </c>
      <c r="F889" s="15">
        <v>2131</v>
      </c>
      <c r="G889" s="8" t="s">
        <v>12324</v>
      </c>
      <c r="H889" s="24" t="s">
        <v>1259</v>
      </c>
      <c r="I889" s="25">
        <v>27096</v>
      </c>
      <c r="J889" s="8" t="s">
        <v>1261</v>
      </c>
      <c r="K889" s="8" t="s">
        <v>10040</v>
      </c>
      <c r="L889" s="15">
        <v>0.48704399999999998</v>
      </c>
      <c r="M889" s="15">
        <v>8.7040599999999996E-2</v>
      </c>
      <c r="N889" s="15">
        <v>0.43471290653153161</v>
      </c>
    </row>
    <row r="890" spans="1:14" x14ac:dyDescent="0.2">
      <c r="A890" s="2" t="s">
        <v>10068</v>
      </c>
      <c r="B890" s="15">
        <v>907</v>
      </c>
      <c r="C890" s="15">
        <v>5</v>
      </c>
      <c r="D890" s="15">
        <v>157191082</v>
      </c>
      <c r="E890" s="15">
        <v>158484775</v>
      </c>
      <c r="F890" s="15">
        <v>3215</v>
      </c>
      <c r="G890" s="8" t="s">
        <v>12324</v>
      </c>
      <c r="H890" s="24" t="s">
        <v>6565</v>
      </c>
      <c r="I890" s="25" t="s">
        <v>6475</v>
      </c>
      <c r="J890" s="8" t="s">
        <v>6566</v>
      </c>
      <c r="K890" s="8" t="s">
        <v>10054</v>
      </c>
      <c r="L890" s="15">
        <v>0.46842600000000001</v>
      </c>
      <c r="M890" s="15">
        <v>8.6965299999999995E-2</v>
      </c>
      <c r="N890" s="15">
        <v>0.43471290653153161</v>
      </c>
    </row>
    <row r="891" spans="1:14" x14ac:dyDescent="0.2">
      <c r="A891" s="2" t="s">
        <v>10068</v>
      </c>
      <c r="B891" s="15">
        <v>2413</v>
      </c>
      <c r="C891" s="15">
        <v>20</v>
      </c>
      <c r="D891" s="15">
        <v>49236419</v>
      </c>
      <c r="E891" s="15">
        <v>50653620</v>
      </c>
      <c r="F891" s="15">
        <v>4123</v>
      </c>
      <c r="G891" s="8" t="s">
        <v>12324</v>
      </c>
      <c r="H891" s="24" t="s">
        <v>494</v>
      </c>
      <c r="I891" s="25">
        <v>25920</v>
      </c>
      <c r="J891" s="8" t="s">
        <v>496</v>
      </c>
      <c r="K891" s="8" t="s">
        <v>10040</v>
      </c>
      <c r="L891" s="15">
        <v>-0.32203599999999999</v>
      </c>
      <c r="M891" s="15">
        <v>8.7261500000000006E-2</v>
      </c>
      <c r="N891" s="15">
        <v>0.43496138478747198</v>
      </c>
    </row>
    <row r="892" spans="1:14" x14ac:dyDescent="0.2">
      <c r="A892" s="2" t="s">
        <v>10068</v>
      </c>
      <c r="B892" s="15">
        <v>2293</v>
      </c>
      <c r="C892" s="15">
        <v>18</v>
      </c>
      <c r="D892" s="15">
        <v>65294196</v>
      </c>
      <c r="E892" s="15">
        <v>66407960</v>
      </c>
      <c r="F892" s="15">
        <v>3684</v>
      </c>
      <c r="G892" s="8" t="s">
        <v>12324</v>
      </c>
      <c r="H892" s="24" t="s">
        <v>494</v>
      </c>
      <c r="I892" s="25">
        <v>25920</v>
      </c>
      <c r="J892" s="8" t="s">
        <v>496</v>
      </c>
      <c r="K892" s="8" t="s">
        <v>10040</v>
      </c>
      <c r="L892" s="15">
        <v>-0.31104100000000001</v>
      </c>
      <c r="M892" s="15">
        <v>8.7395100000000003E-2</v>
      </c>
      <c r="N892" s="15">
        <v>0.43496138478747198</v>
      </c>
    </row>
    <row r="893" spans="1:14" x14ac:dyDescent="0.2">
      <c r="A893" s="2" t="s">
        <v>10068</v>
      </c>
      <c r="B893" s="15">
        <v>192</v>
      </c>
      <c r="C893" s="15">
        <v>1</v>
      </c>
      <c r="D893" s="15">
        <v>241033585</v>
      </c>
      <c r="E893" s="15">
        <v>241813534</v>
      </c>
      <c r="F893" s="15">
        <v>2304</v>
      </c>
      <c r="G893" s="8" t="s">
        <v>12324</v>
      </c>
      <c r="H893" s="24" t="s">
        <v>599</v>
      </c>
      <c r="I893" s="25">
        <v>26562</v>
      </c>
      <c r="J893" s="8" t="s">
        <v>601</v>
      </c>
      <c r="K893" s="8" t="s">
        <v>10040</v>
      </c>
      <c r="L893" s="15">
        <v>0.39076899999999998</v>
      </c>
      <c r="M893" s="15">
        <v>8.7678800000000001E-2</v>
      </c>
      <c r="N893" s="15">
        <v>0.43496138478747198</v>
      </c>
    </row>
    <row r="894" spans="1:14" x14ac:dyDescent="0.2">
      <c r="A894" s="2" t="s">
        <v>10068</v>
      </c>
      <c r="B894" s="15">
        <v>2248</v>
      </c>
      <c r="C894" s="15">
        <v>18</v>
      </c>
      <c r="D894" s="15">
        <v>9816165</v>
      </c>
      <c r="E894" s="15">
        <v>10675548</v>
      </c>
      <c r="F894" s="15">
        <v>2860</v>
      </c>
      <c r="G894" s="8" t="s">
        <v>12324</v>
      </c>
      <c r="H894" s="24" t="s">
        <v>1259</v>
      </c>
      <c r="I894" s="25">
        <v>27096</v>
      </c>
      <c r="J894" s="8" t="s">
        <v>1261</v>
      </c>
      <c r="K894" s="8" t="s">
        <v>10040</v>
      </c>
      <c r="L894" s="15">
        <v>0.39830300000000002</v>
      </c>
      <c r="M894" s="15">
        <v>8.7448999999999999E-2</v>
      </c>
      <c r="N894" s="15">
        <v>0.43496138478747198</v>
      </c>
    </row>
    <row r="895" spans="1:14" x14ac:dyDescent="0.2">
      <c r="A895" s="2" t="s">
        <v>10068</v>
      </c>
      <c r="B895" s="15">
        <v>2176</v>
      </c>
      <c r="C895" s="15">
        <v>17</v>
      </c>
      <c r="D895" s="15">
        <v>2699136</v>
      </c>
      <c r="E895" s="15">
        <v>3430440</v>
      </c>
      <c r="F895" s="15">
        <v>2496</v>
      </c>
      <c r="G895" s="8" t="s">
        <v>12324</v>
      </c>
      <c r="H895" s="24" t="s">
        <v>6565</v>
      </c>
      <c r="I895" s="25" t="s">
        <v>6475</v>
      </c>
      <c r="J895" s="8" t="s">
        <v>6566</v>
      </c>
      <c r="K895" s="8" t="s">
        <v>10054</v>
      </c>
      <c r="L895" s="15">
        <v>-0.306479</v>
      </c>
      <c r="M895" s="15">
        <v>8.7527199999999999E-2</v>
      </c>
      <c r="N895" s="15">
        <v>0.43496138478747198</v>
      </c>
    </row>
    <row r="896" spans="1:14" x14ac:dyDescent="0.2">
      <c r="A896" s="2" t="s">
        <v>10068</v>
      </c>
      <c r="B896" s="15">
        <v>1078</v>
      </c>
      <c r="C896" s="15">
        <v>6</v>
      </c>
      <c r="D896" s="15">
        <v>154462011</v>
      </c>
      <c r="E896" s="15">
        <v>155523957</v>
      </c>
      <c r="F896" s="15">
        <v>3234</v>
      </c>
      <c r="G896" s="8" t="s">
        <v>12324</v>
      </c>
      <c r="H896" s="24" t="s">
        <v>6565</v>
      </c>
      <c r="I896" s="25" t="s">
        <v>6475</v>
      </c>
      <c r="J896" s="8" t="s">
        <v>6566</v>
      </c>
      <c r="K896" s="8" t="s">
        <v>10054</v>
      </c>
      <c r="L896" s="15">
        <v>0.34732400000000002</v>
      </c>
      <c r="M896" s="15">
        <v>8.7611700000000001E-2</v>
      </c>
      <c r="N896" s="15">
        <v>0.43496138478747198</v>
      </c>
    </row>
    <row r="897" spans="1:14" x14ac:dyDescent="0.2">
      <c r="A897" s="2" t="s">
        <v>10068</v>
      </c>
      <c r="B897" s="15">
        <v>1945</v>
      </c>
      <c r="C897" s="15">
        <v>13</v>
      </c>
      <c r="D897" s="15">
        <v>107037865</v>
      </c>
      <c r="E897" s="15">
        <v>108521978</v>
      </c>
      <c r="F897" s="15">
        <v>4034</v>
      </c>
      <c r="G897" s="8" t="s">
        <v>12324</v>
      </c>
      <c r="H897" s="24" t="s">
        <v>1259</v>
      </c>
      <c r="I897" s="25">
        <v>27096</v>
      </c>
      <c r="J897" s="8" t="s">
        <v>1261</v>
      </c>
      <c r="K897" s="8" t="s">
        <v>10040</v>
      </c>
      <c r="L897" s="15">
        <v>0.37590200000000001</v>
      </c>
      <c r="M897" s="15">
        <v>8.8030800000000006E-2</v>
      </c>
      <c r="N897" s="15">
        <v>0.43522067483296212</v>
      </c>
    </row>
    <row r="898" spans="1:14" x14ac:dyDescent="0.2">
      <c r="A898" s="2" t="s">
        <v>10066</v>
      </c>
      <c r="B898" s="15">
        <v>1078</v>
      </c>
      <c r="C898" s="15">
        <v>6</v>
      </c>
      <c r="D898" s="15">
        <v>154462011</v>
      </c>
      <c r="E898" s="15">
        <v>155523957</v>
      </c>
      <c r="F898" s="15">
        <v>3233</v>
      </c>
      <c r="G898" s="8" t="s">
        <v>12324</v>
      </c>
      <c r="H898" s="24" t="s">
        <v>3164</v>
      </c>
      <c r="I898" s="25" t="s">
        <v>3165</v>
      </c>
      <c r="J898" s="8" t="s">
        <v>3166</v>
      </c>
      <c r="K898" s="8" t="s">
        <v>10042</v>
      </c>
      <c r="L898" s="15">
        <v>-0.44178299999999998</v>
      </c>
      <c r="M898" s="15">
        <v>8.7988700000000003E-2</v>
      </c>
      <c r="N898" s="15">
        <v>0.43522067483296212</v>
      </c>
    </row>
    <row r="899" spans="1:14" x14ac:dyDescent="0.2">
      <c r="A899" s="2" t="s">
        <v>10066</v>
      </c>
      <c r="B899" s="15">
        <v>2232</v>
      </c>
      <c r="C899" s="15">
        <v>17</v>
      </c>
      <c r="D899" s="15">
        <v>75619257</v>
      </c>
      <c r="E899" s="15">
        <v>76596287</v>
      </c>
      <c r="F899" s="15">
        <v>3431</v>
      </c>
      <c r="G899" s="8" t="s">
        <v>12324</v>
      </c>
      <c r="H899" s="24" t="s">
        <v>6008</v>
      </c>
      <c r="I899" s="25" t="s">
        <v>6009</v>
      </c>
      <c r="J899" s="8" t="s">
        <v>6010</v>
      </c>
      <c r="K899" s="8" t="s">
        <v>10051</v>
      </c>
      <c r="L899" s="15">
        <v>0.50540499999999999</v>
      </c>
      <c r="M899" s="15">
        <v>8.7844699999999998E-2</v>
      </c>
      <c r="N899" s="15">
        <v>0.43522067483296212</v>
      </c>
    </row>
    <row r="900" spans="1:14" x14ac:dyDescent="0.2">
      <c r="A900" s="2" t="s">
        <v>10066</v>
      </c>
      <c r="B900" s="15">
        <v>981</v>
      </c>
      <c r="C900" s="15">
        <v>6</v>
      </c>
      <c r="D900" s="15">
        <v>46430702</v>
      </c>
      <c r="E900" s="15">
        <v>47313443</v>
      </c>
      <c r="F900" s="15">
        <v>2269</v>
      </c>
      <c r="G900" s="8" t="s">
        <v>12324</v>
      </c>
      <c r="H900" s="24" t="s">
        <v>6008</v>
      </c>
      <c r="I900" s="25" t="s">
        <v>6009</v>
      </c>
      <c r="J900" s="8" t="s">
        <v>6010</v>
      </c>
      <c r="K900" s="8" t="s">
        <v>10051</v>
      </c>
      <c r="L900" s="15">
        <v>-0.48588599999999998</v>
      </c>
      <c r="M900" s="15">
        <v>8.8123599999999996E-2</v>
      </c>
      <c r="N900" s="15">
        <v>0.43522067483296212</v>
      </c>
    </row>
    <row r="901" spans="1:14" x14ac:dyDescent="0.2">
      <c r="A901" s="2" t="s">
        <v>10066</v>
      </c>
      <c r="B901" s="15">
        <v>1702</v>
      </c>
      <c r="C901" s="15">
        <v>11</v>
      </c>
      <c r="D901" s="15">
        <v>95327211</v>
      </c>
      <c r="E901" s="15">
        <v>96150134</v>
      </c>
      <c r="F901" s="15">
        <v>2211</v>
      </c>
      <c r="G901" s="8" t="s">
        <v>12324</v>
      </c>
      <c r="H901" s="24" t="s">
        <v>3164</v>
      </c>
      <c r="I901" s="25" t="s">
        <v>3165</v>
      </c>
      <c r="J901" s="8" t="s">
        <v>3166</v>
      </c>
      <c r="K901" s="8" t="s">
        <v>10042</v>
      </c>
      <c r="L901" s="15">
        <v>-0.49422100000000002</v>
      </c>
      <c r="M901" s="15">
        <v>8.8484999999999994E-2</v>
      </c>
      <c r="N901" s="15">
        <v>0.43526673226164081</v>
      </c>
    </row>
    <row r="902" spans="1:14" x14ac:dyDescent="0.2">
      <c r="A902" s="2" t="s">
        <v>10066</v>
      </c>
      <c r="B902" s="15">
        <v>1686</v>
      </c>
      <c r="C902" s="15">
        <v>11</v>
      </c>
      <c r="D902" s="15">
        <v>79802287</v>
      </c>
      <c r="E902" s="15">
        <v>80726012</v>
      </c>
      <c r="F902" s="15">
        <v>2517</v>
      </c>
      <c r="G902" s="8" t="s">
        <v>12324</v>
      </c>
      <c r="H902" s="24" t="s">
        <v>3164</v>
      </c>
      <c r="I902" s="25" t="s">
        <v>3165</v>
      </c>
      <c r="J902" s="8" t="s">
        <v>3166</v>
      </c>
      <c r="K902" s="8" t="s">
        <v>10042</v>
      </c>
      <c r="L902" s="15">
        <v>-0.42647299999999999</v>
      </c>
      <c r="M902" s="15">
        <v>8.8504600000000003E-2</v>
      </c>
      <c r="N902" s="15">
        <v>0.43526673226164081</v>
      </c>
    </row>
    <row r="903" spans="1:14" x14ac:dyDescent="0.2">
      <c r="A903" s="2" t="s">
        <v>10066</v>
      </c>
      <c r="B903" s="15">
        <v>1743</v>
      </c>
      <c r="C903" s="15">
        <v>12</v>
      </c>
      <c r="D903" s="15">
        <v>3069507</v>
      </c>
      <c r="E903" s="15">
        <v>3871114</v>
      </c>
      <c r="F903" s="15">
        <v>2703</v>
      </c>
      <c r="G903" s="8" t="s">
        <v>12324</v>
      </c>
      <c r="H903" s="24" t="s">
        <v>3164</v>
      </c>
      <c r="I903" s="25" t="s">
        <v>3165</v>
      </c>
      <c r="J903" s="8" t="s">
        <v>3166</v>
      </c>
      <c r="K903" s="8" t="s">
        <v>10042</v>
      </c>
      <c r="L903" s="15">
        <v>0.21942300000000001</v>
      </c>
      <c r="M903" s="15">
        <v>8.8525499999999993E-2</v>
      </c>
      <c r="N903" s="15">
        <v>0.43526673226164081</v>
      </c>
    </row>
    <row r="904" spans="1:14" x14ac:dyDescent="0.2">
      <c r="A904" s="2" t="s">
        <v>10068</v>
      </c>
      <c r="B904" s="15">
        <v>2406</v>
      </c>
      <c r="C904" s="15">
        <v>20</v>
      </c>
      <c r="D904" s="15">
        <v>42185672</v>
      </c>
      <c r="E904" s="15">
        <v>43008890</v>
      </c>
      <c r="F904" s="15">
        <v>2081</v>
      </c>
      <c r="G904" s="8" t="s">
        <v>12324</v>
      </c>
      <c r="H904" s="24" t="s">
        <v>6565</v>
      </c>
      <c r="I904" s="25" t="s">
        <v>6475</v>
      </c>
      <c r="J904" s="8" t="s">
        <v>6566</v>
      </c>
      <c r="K904" s="8" t="s">
        <v>10054</v>
      </c>
      <c r="L904" s="15">
        <v>-0.33368199999999998</v>
      </c>
      <c r="M904" s="15">
        <v>8.8444400000000006E-2</v>
      </c>
      <c r="N904" s="15">
        <v>0.43526673226164081</v>
      </c>
    </row>
    <row r="905" spans="1:14" x14ac:dyDescent="0.2">
      <c r="A905" s="2" t="s">
        <v>10069</v>
      </c>
      <c r="B905" s="15">
        <v>538</v>
      </c>
      <c r="C905" s="15">
        <v>3</v>
      </c>
      <c r="D905" s="15">
        <v>132925968</v>
      </c>
      <c r="E905" s="15">
        <v>133718493</v>
      </c>
      <c r="F905" s="15">
        <v>1441</v>
      </c>
      <c r="G905" s="8" t="s">
        <v>12324</v>
      </c>
      <c r="H905" s="24" t="s">
        <v>662</v>
      </c>
      <c r="I905" s="25" t="s">
        <v>663</v>
      </c>
      <c r="J905" s="8" t="s">
        <v>664</v>
      </c>
      <c r="K905" s="8" t="s">
        <v>10040</v>
      </c>
      <c r="L905" s="15">
        <v>0.53180799999999995</v>
      </c>
      <c r="M905" s="15">
        <v>8.8642700000000005E-2</v>
      </c>
      <c r="N905" s="15">
        <v>0.43536032613510522</v>
      </c>
    </row>
    <row r="906" spans="1:14" x14ac:dyDescent="0.2">
      <c r="A906" s="2" t="s">
        <v>10066</v>
      </c>
      <c r="B906" s="15">
        <v>2292</v>
      </c>
      <c r="C906" s="15">
        <v>18</v>
      </c>
      <c r="D906" s="15">
        <v>64253144</v>
      </c>
      <c r="E906" s="15">
        <v>65294195</v>
      </c>
      <c r="F906" s="15">
        <v>3098</v>
      </c>
      <c r="G906" s="8" t="s">
        <v>12324</v>
      </c>
      <c r="H906" s="24" t="s">
        <v>3164</v>
      </c>
      <c r="I906" s="25" t="s">
        <v>3165</v>
      </c>
      <c r="J906" s="8" t="s">
        <v>3166</v>
      </c>
      <c r="K906" s="8" t="s">
        <v>10042</v>
      </c>
      <c r="L906" s="15">
        <v>-0.27427600000000002</v>
      </c>
      <c r="M906" s="15">
        <v>8.8855799999999999E-2</v>
      </c>
      <c r="N906" s="15">
        <v>0.43592419579646019</v>
      </c>
    </row>
    <row r="907" spans="1:14" x14ac:dyDescent="0.2">
      <c r="A907" s="2" t="s">
        <v>10068</v>
      </c>
      <c r="B907" s="15">
        <v>905</v>
      </c>
      <c r="C907" s="15">
        <v>5</v>
      </c>
      <c r="D907" s="15">
        <v>155459557</v>
      </c>
      <c r="E907" s="15">
        <v>156345451</v>
      </c>
      <c r="F907" s="15">
        <v>2355</v>
      </c>
      <c r="G907" s="8" t="s">
        <v>12324</v>
      </c>
      <c r="H907" s="24" t="s">
        <v>494</v>
      </c>
      <c r="I907" s="25">
        <v>25920</v>
      </c>
      <c r="J907" s="8" t="s">
        <v>496</v>
      </c>
      <c r="K907" s="8" t="s">
        <v>10040</v>
      </c>
      <c r="L907" s="15">
        <v>0.50365400000000005</v>
      </c>
      <c r="M907" s="15">
        <v>8.9073899999999998E-2</v>
      </c>
      <c r="N907" s="15">
        <v>0.43596482448537383</v>
      </c>
    </row>
    <row r="908" spans="1:14" x14ac:dyDescent="0.2">
      <c r="A908" s="2" t="s">
        <v>10068</v>
      </c>
      <c r="B908" s="15">
        <v>213</v>
      </c>
      <c r="C908" s="15">
        <v>2</v>
      </c>
      <c r="D908" s="15">
        <v>8978799</v>
      </c>
      <c r="E908" s="15">
        <v>9960670</v>
      </c>
      <c r="F908" s="15">
        <v>2266</v>
      </c>
      <c r="G908" s="8" t="s">
        <v>12324</v>
      </c>
      <c r="H908" s="24" t="s">
        <v>494</v>
      </c>
      <c r="I908" s="25">
        <v>25920</v>
      </c>
      <c r="J908" s="8" t="s">
        <v>496</v>
      </c>
      <c r="K908" s="8" t="s">
        <v>10040</v>
      </c>
      <c r="L908" s="15">
        <v>0.39198499999999997</v>
      </c>
      <c r="M908" s="15">
        <v>8.9750700000000003E-2</v>
      </c>
      <c r="N908" s="15">
        <v>0.43596482448537383</v>
      </c>
    </row>
    <row r="909" spans="1:14" x14ac:dyDescent="0.2">
      <c r="A909" s="2" t="s">
        <v>10068</v>
      </c>
      <c r="B909" s="15">
        <v>2006</v>
      </c>
      <c r="C909" s="15">
        <v>14</v>
      </c>
      <c r="D909" s="15">
        <v>76694202</v>
      </c>
      <c r="E909" s="15">
        <v>77425453</v>
      </c>
      <c r="F909" s="15">
        <v>2149</v>
      </c>
      <c r="G909" s="8" t="s">
        <v>12324</v>
      </c>
      <c r="H909" s="24" t="s">
        <v>599</v>
      </c>
      <c r="I909" s="25">
        <v>26562</v>
      </c>
      <c r="J909" s="8" t="s">
        <v>601</v>
      </c>
      <c r="K909" s="8" t="s">
        <v>10040</v>
      </c>
      <c r="L909" s="15">
        <v>-0.41566799999999998</v>
      </c>
      <c r="M909" s="15">
        <v>8.9350600000000002E-2</v>
      </c>
      <c r="N909" s="15">
        <v>0.43596482448537383</v>
      </c>
    </row>
    <row r="910" spans="1:14" x14ac:dyDescent="0.2">
      <c r="A910" s="2" t="s">
        <v>10069</v>
      </c>
      <c r="B910" s="15">
        <v>778</v>
      </c>
      <c r="C910" s="15">
        <v>5</v>
      </c>
      <c r="D910" s="15">
        <v>2106886</v>
      </c>
      <c r="E910" s="15">
        <v>2960068</v>
      </c>
      <c r="F910" s="15">
        <v>2309</v>
      </c>
      <c r="G910" s="8" t="s">
        <v>12324</v>
      </c>
      <c r="H910" s="24" t="s">
        <v>662</v>
      </c>
      <c r="I910" s="25" t="s">
        <v>663</v>
      </c>
      <c r="J910" s="8" t="s">
        <v>664</v>
      </c>
      <c r="K910" s="8" t="s">
        <v>10040</v>
      </c>
      <c r="L910" s="15">
        <v>0.37452299999999999</v>
      </c>
      <c r="M910" s="15">
        <v>8.9548299999999997E-2</v>
      </c>
      <c r="N910" s="15">
        <v>0.43596482448537383</v>
      </c>
    </row>
    <row r="911" spans="1:14" x14ac:dyDescent="0.2">
      <c r="A911" s="2" t="s">
        <v>10069</v>
      </c>
      <c r="B911" s="15">
        <v>2421</v>
      </c>
      <c r="C911" s="15">
        <v>20</v>
      </c>
      <c r="D911" s="15">
        <v>56172844</v>
      </c>
      <c r="E911" s="15">
        <v>56951773</v>
      </c>
      <c r="F911" s="15">
        <v>1421</v>
      </c>
      <c r="G911" s="8" t="s">
        <v>12324</v>
      </c>
      <c r="H911" s="24" t="s">
        <v>662</v>
      </c>
      <c r="I911" s="25" t="s">
        <v>663</v>
      </c>
      <c r="J911" s="8" t="s">
        <v>664</v>
      </c>
      <c r="K911" s="8" t="s">
        <v>10040</v>
      </c>
      <c r="L911" s="15">
        <v>-0.36284300000000003</v>
      </c>
      <c r="M911" s="15">
        <v>9.0016799999999994E-2</v>
      </c>
      <c r="N911" s="15">
        <v>0.43596482448537383</v>
      </c>
    </row>
    <row r="912" spans="1:14" x14ac:dyDescent="0.2">
      <c r="A912" s="2" t="s">
        <v>10068</v>
      </c>
      <c r="B912" s="15">
        <v>1603</v>
      </c>
      <c r="C912" s="15">
        <v>10</v>
      </c>
      <c r="D912" s="15">
        <v>129831970</v>
      </c>
      <c r="E912" s="15">
        <v>130694008</v>
      </c>
      <c r="F912" s="15">
        <v>2884</v>
      </c>
      <c r="G912" s="8" t="s">
        <v>12324</v>
      </c>
      <c r="H912" s="24" t="s">
        <v>1259</v>
      </c>
      <c r="I912" s="25">
        <v>27096</v>
      </c>
      <c r="J912" s="8" t="s">
        <v>1261</v>
      </c>
      <c r="K912" s="8" t="s">
        <v>10040</v>
      </c>
      <c r="L912" s="15">
        <v>-0.22384200000000001</v>
      </c>
      <c r="M912" s="15">
        <v>9.0320300000000006E-2</v>
      </c>
      <c r="N912" s="15">
        <v>0.43596482448537383</v>
      </c>
    </row>
    <row r="913" spans="1:14" x14ac:dyDescent="0.2">
      <c r="A913" s="2" t="s">
        <v>10068</v>
      </c>
      <c r="B913" s="15">
        <v>624</v>
      </c>
      <c r="C913" s="15">
        <v>4</v>
      </c>
      <c r="D913" s="15">
        <v>25832019</v>
      </c>
      <c r="E913" s="15">
        <v>27385580</v>
      </c>
      <c r="F913" s="15">
        <v>3346</v>
      </c>
      <c r="G913" s="8" t="s">
        <v>12324</v>
      </c>
      <c r="H913" s="24" t="s">
        <v>1259</v>
      </c>
      <c r="I913" s="25">
        <v>27096</v>
      </c>
      <c r="J913" s="8" t="s">
        <v>1261</v>
      </c>
      <c r="K913" s="8" t="s">
        <v>10040</v>
      </c>
      <c r="L913" s="15">
        <v>0.42510599999999998</v>
      </c>
      <c r="M913" s="15">
        <v>9.0624899999999994E-2</v>
      </c>
      <c r="N913" s="15">
        <v>0.43596482448537383</v>
      </c>
    </row>
    <row r="914" spans="1:14" x14ac:dyDescent="0.2">
      <c r="A914" s="2" t="s">
        <v>10066</v>
      </c>
      <c r="B914" s="15">
        <v>1912</v>
      </c>
      <c r="C914" s="15">
        <v>13</v>
      </c>
      <c r="D914" s="15">
        <v>71976863</v>
      </c>
      <c r="E914" s="15">
        <v>73114509</v>
      </c>
      <c r="F914" s="15">
        <v>2734</v>
      </c>
      <c r="G914" s="8" t="s">
        <v>12324</v>
      </c>
      <c r="H914" s="24" t="s">
        <v>3164</v>
      </c>
      <c r="I914" s="25" t="s">
        <v>3165</v>
      </c>
      <c r="J914" s="8" t="s">
        <v>3166</v>
      </c>
      <c r="K914" s="8" t="s">
        <v>10042</v>
      </c>
      <c r="L914" s="15">
        <v>0.232929</v>
      </c>
      <c r="M914" s="15">
        <v>8.9826699999999995E-2</v>
      </c>
      <c r="N914" s="15">
        <v>0.43596482448537383</v>
      </c>
    </row>
    <row r="915" spans="1:14" x14ac:dyDescent="0.2">
      <c r="A915" s="2" t="s">
        <v>10066</v>
      </c>
      <c r="B915" s="15">
        <v>591</v>
      </c>
      <c r="C915" s="15">
        <v>3</v>
      </c>
      <c r="D915" s="15">
        <v>194217141</v>
      </c>
      <c r="E915" s="15">
        <v>195196789</v>
      </c>
      <c r="F915" s="15">
        <v>3900</v>
      </c>
      <c r="G915" s="8" t="s">
        <v>12324</v>
      </c>
      <c r="H915" s="24" t="s">
        <v>3164</v>
      </c>
      <c r="I915" s="25" t="s">
        <v>3165</v>
      </c>
      <c r="J915" s="8" t="s">
        <v>3166</v>
      </c>
      <c r="K915" s="8" t="s">
        <v>10042</v>
      </c>
      <c r="L915" s="15">
        <v>-0.31152000000000002</v>
      </c>
      <c r="M915" s="15">
        <v>8.9904499999999998E-2</v>
      </c>
      <c r="N915" s="15">
        <v>0.43596482448537383</v>
      </c>
    </row>
    <row r="916" spans="1:14" x14ac:dyDescent="0.2">
      <c r="A916" s="2" t="s">
        <v>10066</v>
      </c>
      <c r="B916" s="15">
        <v>212</v>
      </c>
      <c r="C916" s="15">
        <v>2</v>
      </c>
      <c r="D916" s="15">
        <v>7966710</v>
      </c>
      <c r="E916" s="15">
        <v>8978798</v>
      </c>
      <c r="F916" s="15">
        <v>2475</v>
      </c>
      <c r="G916" s="8" t="s">
        <v>12324</v>
      </c>
      <c r="H916" s="24" t="s">
        <v>3164</v>
      </c>
      <c r="I916" s="25" t="s">
        <v>3165</v>
      </c>
      <c r="J916" s="8" t="s">
        <v>3166</v>
      </c>
      <c r="K916" s="8" t="s">
        <v>10042</v>
      </c>
      <c r="L916" s="15">
        <v>0.32044299999999998</v>
      </c>
      <c r="M916" s="15">
        <v>9.0058100000000002E-2</v>
      </c>
      <c r="N916" s="15">
        <v>0.43596482448537383</v>
      </c>
    </row>
    <row r="917" spans="1:14" x14ac:dyDescent="0.2">
      <c r="A917" s="2" t="s">
        <v>10066</v>
      </c>
      <c r="B917" s="15">
        <v>1466</v>
      </c>
      <c r="C917" s="15">
        <v>9</v>
      </c>
      <c r="D917" s="15">
        <v>121008530</v>
      </c>
      <c r="E917" s="15">
        <v>122677719</v>
      </c>
      <c r="F917" s="15">
        <v>3839</v>
      </c>
      <c r="G917" s="8" t="s">
        <v>12324</v>
      </c>
      <c r="H917" s="24" t="s">
        <v>3164</v>
      </c>
      <c r="I917" s="25" t="s">
        <v>3165</v>
      </c>
      <c r="J917" s="8" t="s">
        <v>3166</v>
      </c>
      <c r="K917" s="8" t="s">
        <v>10042</v>
      </c>
      <c r="L917" s="15">
        <v>0.33999099999999999</v>
      </c>
      <c r="M917" s="15">
        <v>9.0721700000000002E-2</v>
      </c>
      <c r="N917" s="15">
        <v>0.43596482448537383</v>
      </c>
    </row>
    <row r="918" spans="1:14" x14ac:dyDescent="0.2">
      <c r="A918" s="2" t="s">
        <v>10066</v>
      </c>
      <c r="B918" s="15">
        <v>2364</v>
      </c>
      <c r="C918" s="15">
        <v>19</v>
      </c>
      <c r="D918" s="15">
        <v>55182974</v>
      </c>
      <c r="E918" s="15">
        <v>55714085</v>
      </c>
      <c r="F918" s="15">
        <v>2134</v>
      </c>
      <c r="G918" s="8" t="s">
        <v>12324</v>
      </c>
      <c r="H918" s="24" t="s">
        <v>3164</v>
      </c>
      <c r="I918" s="25" t="s">
        <v>3165</v>
      </c>
      <c r="J918" s="8" t="s">
        <v>3166</v>
      </c>
      <c r="K918" s="8" t="s">
        <v>10042</v>
      </c>
      <c r="L918" s="15">
        <v>-0.23173199999999999</v>
      </c>
      <c r="M918" s="15">
        <v>9.0731800000000001E-2</v>
      </c>
      <c r="N918" s="15">
        <v>0.43596482448537383</v>
      </c>
    </row>
    <row r="919" spans="1:14" x14ac:dyDescent="0.2">
      <c r="A919" s="2" t="s">
        <v>10066</v>
      </c>
      <c r="B919" s="15">
        <v>1557</v>
      </c>
      <c r="C919" s="15">
        <v>10</v>
      </c>
      <c r="D919" s="15">
        <v>77144962</v>
      </c>
      <c r="E919" s="15">
        <v>78665481</v>
      </c>
      <c r="F919" s="15">
        <v>3047</v>
      </c>
      <c r="G919" s="8" t="s">
        <v>12324</v>
      </c>
      <c r="H919" s="24" t="s">
        <v>6008</v>
      </c>
      <c r="I919" s="25" t="s">
        <v>6009</v>
      </c>
      <c r="J919" s="8" t="s">
        <v>6010</v>
      </c>
      <c r="K919" s="8" t="s">
        <v>10051</v>
      </c>
      <c r="L919" s="15">
        <v>-0.495253</v>
      </c>
      <c r="M919" s="15">
        <v>8.8991899999999999E-2</v>
      </c>
      <c r="N919" s="15">
        <v>0.43596482448537383</v>
      </c>
    </row>
    <row r="920" spans="1:14" x14ac:dyDescent="0.2">
      <c r="A920" s="2" t="s">
        <v>10066</v>
      </c>
      <c r="B920" s="15">
        <v>2266</v>
      </c>
      <c r="C920" s="15">
        <v>18</v>
      </c>
      <c r="D920" s="15">
        <v>36056933</v>
      </c>
      <c r="E920" s="15">
        <v>37679127</v>
      </c>
      <c r="F920" s="15">
        <v>3254</v>
      </c>
      <c r="G920" s="8" t="s">
        <v>12324</v>
      </c>
      <c r="H920" s="24" t="s">
        <v>6008</v>
      </c>
      <c r="I920" s="25" t="s">
        <v>6009</v>
      </c>
      <c r="J920" s="8" t="s">
        <v>6010</v>
      </c>
      <c r="K920" s="8" t="s">
        <v>10051</v>
      </c>
      <c r="L920" s="15">
        <v>0.403007</v>
      </c>
      <c r="M920" s="15">
        <v>8.9863100000000001E-2</v>
      </c>
      <c r="N920" s="15">
        <v>0.43596482448537383</v>
      </c>
    </row>
    <row r="921" spans="1:14" x14ac:dyDescent="0.2">
      <c r="A921" s="2" t="s">
        <v>10066</v>
      </c>
      <c r="B921" s="15">
        <v>838</v>
      </c>
      <c r="C921" s="15">
        <v>5</v>
      </c>
      <c r="D921" s="15">
        <v>75239303</v>
      </c>
      <c r="E921" s="15">
        <v>75959515</v>
      </c>
      <c r="F921" s="15">
        <v>2192</v>
      </c>
      <c r="G921" s="8" t="s">
        <v>12324</v>
      </c>
      <c r="H921" s="24" t="s">
        <v>6008</v>
      </c>
      <c r="I921" s="25" t="s">
        <v>6009</v>
      </c>
      <c r="J921" s="8" t="s">
        <v>6010</v>
      </c>
      <c r="K921" s="8" t="s">
        <v>10051</v>
      </c>
      <c r="L921" s="15">
        <v>-0.28594999999999998</v>
      </c>
      <c r="M921" s="15">
        <v>9.0446899999999997E-2</v>
      </c>
      <c r="N921" s="15">
        <v>0.43596482448537383</v>
      </c>
    </row>
    <row r="922" spans="1:14" x14ac:dyDescent="0.2">
      <c r="A922" s="2" t="s">
        <v>10068</v>
      </c>
      <c r="B922" s="15">
        <v>2220</v>
      </c>
      <c r="C922" s="15">
        <v>17</v>
      </c>
      <c r="D922" s="15">
        <v>62112374</v>
      </c>
      <c r="E922" s="15">
        <v>63548724</v>
      </c>
      <c r="F922" s="15">
        <v>2703</v>
      </c>
      <c r="G922" s="8" t="s">
        <v>12324</v>
      </c>
      <c r="H922" s="24" t="s">
        <v>6565</v>
      </c>
      <c r="I922" s="25" t="s">
        <v>6475</v>
      </c>
      <c r="J922" s="8" t="s">
        <v>6566</v>
      </c>
      <c r="K922" s="8" t="s">
        <v>10054</v>
      </c>
      <c r="L922" s="15">
        <v>-0.41668500000000003</v>
      </c>
      <c r="M922" s="15">
        <v>8.9776499999999995E-2</v>
      </c>
      <c r="N922" s="15">
        <v>0.43596482448537383</v>
      </c>
    </row>
    <row r="923" spans="1:14" x14ac:dyDescent="0.2">
      <c r="A923" s="2" t="s">
        <v>10068</v>
      </c>
      <c r="B923" s="15">
        <v>195</v>
      </c>
      <c r="C923" s="15">
        <v>1</v>
      </c>
      <c r="D923" s="15">
        <v>243048004</v>
      </c>
      <c r="E923" s="15">
        <v>244723196</v>
      </c>
      <c r="F923" s="15">
        <v>3471</v>
      </c>
      <c r="G923" s="8" t="s">
        <v>12324</v>
      </c>
      <c r="H923" s="24" t="s">
        <v>6565</v>
      </c>
      <c r="I923" s="25" t="s">
        <v>6475</v>
      </c>
      <c r="J923" s="8" t="s">
        <v>6566</v>
      </c>
      <c r="K923" s="8" t="s">
        <v>10054</v>
      </c>
      <c r="L923" s="15">
        <v>0.36968200000000001</v>
      </c>
      <c r="M923" s="15">
        <v>9.03167E-2</v>
      </c>
      <c r="N923" s="15">
        <v>0.43596482448537383</v>
      </c>
    </row>
    <row r="924" spans="1:14" x14ac:dyDescent="0.2">
      <c r="A924" s="2" t="s">
        <v>10068</v>
      </c>
      <c r="B924" s="15">
        <v>764</v>
      </c>
      <c r="C924" s="15">
        <v>4</v>
      </c>
      <c r="D924" s="15">
        <v>181122434</v>
      </c>
      <c r="E924" s="15">
        <v>182065646</v>
      </c>
      <c r="F924" s="15">
        <v>3220</v>
      </c>
      <c r="G924" s="8" t="s">
        <v>12324</v>
      </c>
      <c r="H924" s="24" t="s">
        <v>6565</v>
      </c>
      <c r="I924" s="25" t="s">
        <v>6475</v>
      </c>
      <c r="J924" s="8" t="s">
        <v>6566</v>
      </c>
      <c r="K924" s="8" t="s">
        <v>10054</v>
      </c>
      <c r="L924" s="15">
        <v>0.45252700000000001</v>
      </c>
      <c r="M924" s="15">
        <v>9.0326400000000001E-2</v>
      </c>
      <c r="N924" s="15">
        <v>0.43596482448537383</v>
      </c>
    </row>
    <row r="925" spans="1:14" x14ac:dyDescent="0.2">
      <c r="A925" s="2" t="s">
        <v>10068</v>
      </c>
      <c r="B925" s="15">
        <v>1782</v>
      </c>
      <c r="C925" s="15">
        <v>12</v>
      </c>
      <c r="D925" s="15">
        <v>43072680</v>
      </c>
      <c r="E925" s="15">
        <v>43980531</v>
      </c>
      <c r="F925" s="15">
        <v>2713</v>
      </c>
      <c r="G925" s="8" t="s">
        <v>12324</v>
      </c>
      <c r="H925" s="24" t="s">
        <v>6565</v>
      </c>
      <c r="I925" s="25" t="s">
        <v>6475</v>
      </c>
      <c r="J925" s="8" t="s">
        <v>6566</v>
      </c>
      <c r="K925" s="8" t="s">
        <v>10054</v>
      </c>
      <c r="L925" s="15">
        <v>-0.46817300000000001</v>
      </c>
      <c r="M925" s="15">
        <v>9.0412400000000004E-2</v>
      </c>
      <c r="N925" s="15">
        <v>0.43596482448537383</v>
      </c>
    </row>
    <row r="926" spans="1:14" x14ac:dyDescent="0.2">
      <c r="A926" s="2" t="s">
        <v>10066</v>
      </c>
      <c r="B926" s="15">
        <v>2422</v>
      </c>
      <c r="C926" s="15">
        <v>20</v>
      </c>
      <c r="D926" s="15">
        <v>56951774</v>
      </c>
      <c r="E926" s="15">
        <v>57924037</v>
      </c>
      <c r="F926" s="15">
        <v>2293</v>
      </c>
      <c r="G926" s="8" t="s">
        <v>12324</v>
      </c>
      <c r="H926" s="24" t="s">
        <v>3164</v>
      </c>
      <c r="I926" s="25" t="s">
        <v>3165</v>
      </c>
      <c r="J926" s="8" t="s">
        <v>3166</v>
      </c>
      <c r="K926" s="8" t="s">
        <v>10042</v>
      </c>
      <c r="L926" s="15">
        <v>0.23661599999999999</v>
      </c>
      <c r="M926" s="15">
        <v>9.0878899999999999E-2</v>
      </c>
      <c r="N926" s="15">
        <v>0.43619904924242431</v>
      </c>
    </row>
    <row r="927" spans="1:14" x14ac:dyDescent="0.2">
      <c r="A927" s="2" t="s">
        <v>10068</v>
      </c>
      <c r="B927" s="15">
        <v>344</v>
      </c>
      <c r="C927" s="15">
        <v>2</v>
      </c>
      <c r="D927" s="15">
        <v>157556097</v>
      </c>
      <c r="E927" s="15">
        <v>159040979</v>
      </c>
      <c r="F927" s="15">
        <v>2655</v>
      </c>
      <c r="G927" s="8" t="s">
        <v>12324</v>
      </c>
      <c r="H927" s="24" t="s">
        <v>599</v>
      </c>
      <c r="I927" s="25">
        <v>26562</v>
      </c>
      <c r="J927" s="8" t="s">
        <v>601</v>
      </c>
      <c r="K927" s="8" t="s">
        <v>10040</v>
      </c>
      <c r="L927" s="15">
        <v>0.39972999999999997</v>
      </c>
      <c r="M927" s="15">
        <v>9.1031899999999999E-2</v>
      </c>
      <c r="N927" s="15">
        <v>0.43646105567567572</v>
      </c>
    </row>
    <row r="928" spans="1:14" x14ac:dyDescent="0.2">
      <c r="A928" s="2" t="s">
        <v>10068</v>
      </c>
      <c r="B928" s="15">
        <v>1347</v>
      </c>
      <c r="C928" s="15">
        <v>8</v>
      </c>
      <c r="D928" s="15">
        <v>120216588</v>
      </c>
      <c r="E928" s="15">
        <v>121554390</v>
      </c>
      <c r="F928" s="15">
        <v>3417</v>
      </c>
      <c r="G928" s="8" t="s">
        <v>12324</v>
      </c>
      <c r="H928" s="24" t="s">
        <v>599</v>
      </c>
      <c r="I928" s="25">
        <v>26562</v>
      </c>
      <c r="J928" s="8" t="s">
        <v>601</v>
      </c>
      <c r="K928" s="8" t="s">
        <v>10040</v>
      </c>
      <c r="L928" s="15">
        <v>-0.47934599999999999</v>
      </c>
      <c r="M928" s="15">
        <v>9.1325699999999996E-2</v>
      </c>
      <c r="N928" s="15">
        <v>0.43739684611231089</v>
      </c>
    </row>
    <row r="929" spans="1:14" x14ac:dyDescent="0.2">
      <c r="A929" s="2" t="s">
        <v>10066</v>
      </c>
      <c r="B929" s="15">
        <v>780</v>
      </c>
      <c r="C929" s="15">
        <v>5</v>
      </c>
      <c r="D929" s="15">
        <v>3677596</v>
      </c>
      <c r="E929" s="15">
        <v>4636542</v>
      </c>
      <c r="F929" s="15">
        <v>2500</v>
      </c>
      <c r="G929" s="8" t="s">
        <v>12324</v>
      </c>
      <c r="H929" s="24" t="s">
        <v>6008</v>
      </c>
      <c r="I929" s="25" t="s">
        <v>6009</v>
      </c>
      <c r="J929" s="8" t="s">
        <v>6010</v>
      </c>
      <c r="K929" s="8" t="s">
        <v>10051</v>
      </c>
      <c r="L929" s="15">
        <v>-0.26253199999999999</v>
      </c>
      <c r="M929" s="15">
        <v>9.1707999999999998E-2</v>
      </c>
      <c r="N929" s="15">
        <v>0.4387540237324703</v>
      </c>
    </row>
    <row r="930" spans="1:14" x14ac:dyDescent="0.2">
      <c r="A930" s="2" t="s">
        <v>10068</v>
      </c>
      <c r="B930" s="15">
        <v>1725</v>
      </c>
      <c r="C930" s="15">
        <v>11</v>
      </c>
      <c r="D930" s="15">
        <v>120064529</v>
      </c>
      <c r="E930" s="15">
        <v>121208186</v>
      </c>
      <c r="F930" s="15">
        <v>2711</v>
      </c>
      <c r="G930" s="8" t="s">
        <v>12324</v>
      </c>
      <c r="H930" s="24" t="s">
        <v>494</v>
      </c>
      <c r="I930" s="25">
        <v>25920</v>
      </c>
      <c r="J930" s="8" t="s">
        <v>496</v>
      </c>
      <c r="K930" s="8" t="s">
        <v>10040</v>
      </c>
      <c r="L930" s="15">
        <v>-0.30644700000000002</v>
      </c>
      <c r="M930" s="15">
        <v>9.2772499999999994E-2</v>
      </c>
      <c r="N930" s="15">
        <v>0.43954679797441359</v>
      </c>
    </row>
    <row r="931" spans="1:14" x14ac:dyDescent="0.2">
      <c r="A931" s="2" t="s">
        <v>10068</v>
      </c>
      <c r="B931" s="15">
        <v>181</v>
      </c>
      <c r="C931" s="15">
        <v>1</v>
      </c>
      <c r="D931" s="15">
        <v>232177705</v>
      </c>
      <c r="E931" s="15">
        <v>232954942</v>
      </c>
      <c r="F931" s="15">
        <v>2429</v>
      </c>
      <c r="G931" s="8" t="s">
        <v>12324</v>
      </c>
      <c r="H931" s="24" t="s">
        <v>494</v>
      </c>
      <c r="I931" s="25">
        <v>25920</v>
      </c>
      <c r="J931" s="8" t="s">
        <v>496</v>
      </c>
      <c r="K931" s="8" t="s">
        <v>10040</v>
      </c>
      <c r="L931" s="15">
        <v>0.39440399999999998</v>
      </c>
      <c r="M931" s="15">
        <v>9.29368E-2</v>
      </c>
      <c r="N931" s="15">
        <v>0.43954679797441359</v>
      </c>
    </row>
    <row r="932" spans="1:14" x14ac:dyDescent="0.2">
      <c r="A932" s="2" t="s">
        <v>10068</v>
      </c>
      <c r="B932" s="15">
        <v>2026</v>
      </c>
      <c r="C932" s="15">
        <v>14</v>
      </c>
      <c r="D932" s="15">
        <v>99474534</v>
      </c>
      <c r="E932" s="15">
        <v>100786189</v>
      </c>
      <c r="F932" s="15">
        <v>3327</v>
      </c>
      <c r="G932" s="8" t="s">
        <v>12324</v>
      </c>
      <c r="H932" s="24" t="s">
        <v>494</v>
      </c>
      <c r="I932" s="25">
        <v>25920</v>
      </c>
      <c r="J932" s="8" t="s">
        <v>496</v>
      </c>
      <c r="K932" s="8" t="s">
        <v>10040</v>
      </c>
      <c r="L932" s="15">
        <v>-0.420209</v>
      </c>
      <c r="M932" s="15">
        <v>9.2944499999999999E-2</v>
      </c>
      <c r="N932" s="15">
        <v>0.43954679797441359</v>
      </c>
    </row>
    <row r="933" spans="1:14" x14ac:dyDescent="0.2">
      <c r="A933" s="2" t="s">
        <v>10068</v>
      </c>
      <c r="B933" s="15">
        <v>169</v>
      </c>
      <c r="C933" s="15">
        <v>1</v>
      </c>
      <c r="D933" s="15">
        <v>218563961</v>
      </c>
      <c r="E933" s="15">
        <v>220073132</v>
      </c>
      <c r="F933" s="15">
        <v>4151</v>
      </c>
      <c r="G933" s="8" t="s">
        <v>12324</v>
      </c>
      <c r="H933" s="24" t="s">
        <v>599</v>
      </c>
      <c r="I933" s="25">
        <v>26562</v>
      </c>
      <c r="J933" s="8" t="s">
        <v>601</v>
      </c>
      <c r="K933" s="8" t="s">
        <v>10040</v>
      </c>
      <c r="L933" s="15">
        <v>0.33359299999999997</v>
      </c>
      <c r="M933" s="15">
        <v>9.2071700000000006E-2</v>
      </c>
      <c r="N933" s="15">
        <v>0.43954679797441359</v>
      </c>
    </row>
    <row r="934" spans="1:14" x14ac:dyDescent="0.2">
      <c r="A934" s="2" t="s">
        <v>10068</v>
      </c>
      <c r="B934" s="15">
        <v>2114</v>
      </c>
      <c r="C934" s="15">
        <v>16</v>
      </c>
      <c r="D934" s="15">
        <v>10351809</v>
      </c>
      <c r="E934" s="15">
        <v>11022542</v>
      </c>
      <c r="F934" s="15">
        <v>2217</v>
      </c>
      <c r="G934" s="8" t="s">
        <v>12324</v>
      </c>
      <c r="H934" s="24" t="s">
        <v>599</v>
      </c>
      <c r="I934" s="25">
        <v>26562</v>
      </c>
      <c r="J934" s="8" t="s">
        <v>601</v>
      </c>
      <c r="K934" s="8" t="s">
        <v>10040</v>
      </c>
      <c r="L934" s="15">
        <v>0.26271800000000001</v>
      </c>
      <c r="M934" s="15">
        <v>9.2963900000000002E-2</v>
      </c>
      <c r="N934" s="15">
        <v>0.43954679797441359</v>
      </c>
    </row>
    <row r="935" spans="1:14" x14ac:dyDescent="0.2">
      <c r="A935" s="2" t="s">
        <v>10069</v>
      </c>
      <c r="B935" s="15">
        <v>383</v>
      </c>
      <c r="C935" s="15">
        <v>2</v>
      </c>
      <c r="D935" s="15">
        <v>205038120</v>
      </c>
      <c r="E935" s="15">
        <v>206821199</v>
      </c>
      <c r="F935" s="15">
        <v>2412</v>
      </c>
      <c r="G935" s="8" t="s">
        <v>12324</v>
      </c>
      <c r="H935" s="24" t="s">
        <v>662</v>
      </c>
      <c r="I935" s="25" t="s">
        <v>663</v>
      </c>
      <c r="J935" s="8" t="s">
        <v>664</v>
      </c>
      <c r="K935" s="8" t="s">
        <v>10040</v>
      </c>
      <c r="L935" s="15">
        <v>-0.51391200000000004</v>
      </c>
      <c r="M935" s="15">
        <v>9.2195700000000005E-2</v>
      </c>
      <c r="N935" s="15">
        <v>0.43954679797441359</v>
      </c>
    </row>
    <row r="936" spans="1:14" x14ac:dyDescent="0.2">
      <c r="A936" s="2" t="s">
        <v>10068</v>
      </c>
      <c r="B936" s="15">
        <v>1345</v>
      </c>
      <c r="C936" s="15">
        <v>8</v>
      </c>
      <c r="D936" s="15">
        <v>118300069</v>
      </c>
      <c r="E936" s="15">
        <v>119423298</v>
      </c>
      <c r="F936" s="15">
        <v>2523</v>
      </c>
      <c r="G936" s="8" t="s">
        <v>12324</v>
      </c>
      <c r="H936" s="24" t="s">
        <v>1259</v>
      </c>
      <c r="I936" s="25">
        <v>27096</v>
      </c>
      <c r="J936" s="8" t="s">
        <v>1261</v>
      </c>
      <c r="K936" s="8" t="s">
        <v>10040</v>
      </c>
      <c r="L936" s="15">
        <v>0.30990600000000001</v>
      </c>
      <c r="M936" s="15">
        <v>9.2809299999999997E-2</v>
      </c>
      <c r="N936" s="15">
        <v>0.43954679797441359</v>
      </c>
    </row>
    <row r="937" spans="1:14" x14ac:dyDescent="0.2">
      <c r="A937" s="2" t="s">
        <v>10068</v>
      </c>
      <c r="B937" s="15">
        <v>1196</v>
      </c>
      <c r="C937" s="15">
        <v>7</v>
      </c>
      <c r="D937" s="15">
        <v>111795300</v>
      </c>
      <c r="E937" s="15">
        <v>113339386</v>
      </c>
      <c r="F937" s="15">
        <v>3475</v>
      </c>
      <c r="G937" s="8" t="s">
        <v>12324</v>
      </c>
      <c r="H937" s="24" t="s">
        <v>1259</v>
      </c>
      <c r="I937" s="25">
        <v>27096</v>
      </c>
      <c r="J937" s="8" t="s">
        <v>1261</v>
      </c>
      <c r="K937" s="8" t="s">
        <v>10040</v>
      </c>
      <c r="L937" s="15">
        <v>0.471163</v>
      </c>
      <c r="M937" s="15">
        <v>9.2942300000000005E-2</v>
      </c>
      <c r="N937" s="15">
        <v>0.43954679797441359</v>
      </c>
    </row>
    <row r="938" spans="1:14" x14ac:dyDescent="0.2">
      <c r="A938" s="2" t="s">
        <v>10066</v>
      </c>
      <c r="B938" s="15">
        <v>1572</v>
      </c>
      <c r="C938" s="15">
        <v>10</v>
      </c>
      <c r="D938" s="15">
        <v>92911507</v>
      </c>
      <c r="E938" s="15">
        <v>94503299</v>
      </c>
      <c r="F938" s="15">
        <v>3074</v>
      </c>
      <c r="G938" s="8" t="s">
        <v>12324</v>
      </c>
      <c r="H938" s="24" t="s">
        <v>3164</v>
      </c>
      <c r="I938" s="25" t="s">
        <v>3165</v>
      </c>
      <c r="J938" s="8" t="s">
        <v>3166</v>
      </c>
      <c r="K938" s="8" t="s">
        <v>10042</v>
      </c>
      <c r="L938" s="15">
        <v>-0.63760700000000003</v>
      </c>
      <c r="M938" s="15">
        <v>9.2897999999999994E-2</v>
      </c>
      <c r="N938" s="15">
        <v>0.43954679797441359</v>
      </c>
    </row>
    <row r="939" spans="1:14" x14ac:dyDescent="0.2">
      <c r="A939" s="2" t="s">
        <v>10066</v>
      </c>
      <c r="B939" s="15">
        <v>298</v>
      </c>
      <c r="C939" s="15">
        <v>2</v>
      </c>
      <c r="D939" s="15">
        <v>101556800</v>
      </c>
      <c r="E939" s="15">
        <v>102494487</v>
      </c>
      <c r="F939" s="15">
        <v>2202</v>
      </c>
      <c r="G939" s="8" t="s">
        <v>12324</v>
      </c>
      <c r="H939" s="24" t="s">
        <v>6008</v>
      </c>
      <c r="I939" s="25" t="s">
        <v>6009</v>
      </c>
      <c r="J939" s="8" t="s">
        <v>6010</v>
      </c>
      <c r="K939" s="8" t="s">
        <v>10051</v>
      </c>
      <c r="L939" s="15">
        <v>-0.28757199999999999</v>
      </c>
      <c r="M939" s="15">
        <v>9.2690400000000006E-2</v>
      </c>
      <c r="N939" s="15">
        <v>0.43954679797441359</v>
      </c>
    </row>
    <row r="940" spans="1:14" x14ac:dyDescent="0.2">
      <c r="A940" s="2" t="s">
        <v>10068</v>
      </c>
      <c r="B940" s="15">
        <v>872</v>
      </c>
      <c r="C940" s="15">
        <v>5</v>
      </c>
      <c r="D940" s="15">
        <v>115117632</v>
      </c>
      <c r="E940" s="15">
        <v>116208000</v>
      </c>
      <c r="F940" s="15">
        <v>3688</v>
      </c>
      <c r="G940" s="8" t="s">
        <v>12324</v>
      </c>
      <c r="H940" s="24" t="s">
        <v>6565</v>
      </c>
      <c r="I940" s="25" t="s">
        <v>6475</v>
      </c>
      <c r="J940" s="8" t="s">
        <v>6566</v>
      </c>
      <c r="K940" s="8" t="s">
        <v>10054</v>
      </c>
      <c r="L940" s="15">
        <v>0.45164799999999999</v>
      </c>
      <c r="M940" s="15">
        <v>9.2788599999999999E-2</v>
      </c>
      <c r="N940" s="15">
        <v>0.43954679797441359</v>
      </c>
    </row>
    <row r="941" spans="1:14" x14ac:dyDescent="0.2">
      <c r="A941" s="2" t="s">
        <v>10068</v>
      </c>
      <c r="B941" s="15">
        <v>652</v>
      </c>
      <c r="C941" s="15">
        <v>4</v>
      </c>
      <c r="D941" s="15">
        <v>55681702</v>
      </c>
      <c r="E941" s="15">
        <v>57103100</v>
      </c>
      <c r="F941" s="15">
        <v>4191</v>
      </c>
      <c r="G941" s="8" t="s">
        <v>12324</v>
      </c>
      <c r="H941" s="24" t="s">
        <v>599</v>
      </c>
      <c r="I941" s="25">
        <v>26562</v>
      </c>
      <c r="J941" s="8" t="s">
        <v>601</v>
      </c>
      <c r="K941" s="8" t="s">
        <v>10040</v>
      </c>
      <c r="L941" s="15">
        <v>-0.368062</v>
      </c>
      <c r="M941" s="15">
        <v>9.3439599999999998E-2</v>
      </c>
      <c r="N941" s="15">
        <v>0.43991998513800429</v>
      </c>
    </row>
    <row r="942" spans="1:14" x14ac:dyDescent="0.2">
      <c r="A942" s="2" t="s">
        <v>10066</v>
      </c>
      <c r="B942" s="15">
        <v>58</v>
      </c>
      <c r="C942" s="15">
        <v>1</v>
      </c>
      <c r="D942" s="15">
        <v>67761891</v>
      </c>
      <c r="E942" s="15">
        <v>68633860</v>
      </c>
      <c r="F942" s="15">
        <v>2141</v>
      </c>
      <c r="G942" s="8" t="s">
        <v>12324</v>
      </c>
      <c r="H942" s="24" t="s">
        <v>3164</v>
      </c>
      <c r="I942" s="25" t="s">
        <v>3165</v>
      </c>
      <c r="J942" s="8" t="s">
        <v>3166</v>
      </c>
      <c r="K942" s="8" t="s">
        <v>10042</v>
      </c>
      <c r="L942" s="15">
        <v>-0.363761</v>
      </c>
      <c r="M942" s="15">
        <v>9.3296599999999993E-2</v>
      </c>
      <c r="N942" s="15">
        <v>0.43991998513800429</v>
      </c>
    </row>
    <row r="943" spans="1:14" x14ac:dyDescent="0.2">
      <c r="A943" s="2" t="s">
        <v>10066</v>
      </c>
      <c r="B943" s="15">
        <v>895</v>
      </c>
      <c r="C943" s="15">
        <v>5</v>
      </c>
      <c r="D943" s="15">
        <v>143605909</v>
      </c>
      <c r="E943" s="15">
        <v>145319096</v>
      </c>
      <c r="F943" s="15">
        <v>3910</v>
      </c>
      <c r="G943" s="8" t="s">
        <v>12324</v>
      </c>
      <c r="H943" s="24" t="s">
        <v>6008</v>
      </c>
      <c r="I943" s="25" t="s">
        <v>6009</v>
      </c>
      <c r="J943" s="8" t="s">
        <v>6010</v>
      </c>
      <c r="K943" s="8" t="s">
        <v>10051</v>
      </c>
      <c r="L943" s="15">
        <v>-0.41998999999999997</v>
      </c>
      <c r="M943" s="15">
        <v>9.3185000000000004E-2</v>
      </c>
      <c r="N943" s="15">
        <v>0.43991998513800429</v>
      </c>
    </row>
    <row r="944" spans="1:14" x14ac:dyDescent="0.2">
      <c r="A944" s="2" t="s">
        <v>10066</v>
      </c>
      <c r="B944" s="15">
        <v>1426</v>
      </c>
      <c r="C944" s="15">
        <v>9</v>
      </c>
      <c r="D944" s="15">
        <v>80137025</v>
      </c>
      <c r="E944" s="15">
        <v>81161597</v>
      </c>
      <c r="F944" s="15">
        <v>2392</v>
      </c>
      <c r="G944" s="8" t="s">
        <v>12324</v>
      </c>
      <c r="H944" s="24" t="s">
        <v>6008</v>
      </c>
      <c r="I944" s="25" t="s">
        <v>6009</v>
      </c>
      <c r="J944" s="8" t="s">
        <v>6010</v>
      </c>
      <c r="K944" s="8" t="s">
        <v>10051</v>
      </c>
      <c r="L944" s="15">
        <v>-0.39796300000000001</v>
      </c>
      <c r="M944" s="15">
        <v>9.3389399999999997E-2</v>
      </c>
      <c r="N944" s="15">
        <v>0.43991998513800429</v>
      </c>
    </row>
    <row r="945" spans="1:14" x14ac:dyDescent="0.2">
      <c r="A945" s="2" t="s">
        <v>10068</v>
      </c>
      <c r="B945" s="15">
        <v>2276</v>
      </c>
      <c r="C945" s="15">
        <v>18</v>
      </c>
      <c r="D945" s="15">
        <v>47455926</v>
      </c>
      <c r="E945" s="15">
        <v>48228379</v>
      </c>
      <c r="F945" s="15">
        <v>2027</v>
      </c>
      <c r="G945" s="8" t="s">
        <v>12324</v>
      </c>
      <c r="H945" s="24" t="s">
        <v>494</v>
      </c>
      <c r="I945" s="25">
        <v>25920</v>
      </c>
      <c r="J945" s="8" t="s">
        <v>496</v>
      </c>
      <c r="K945" s="8" t="s">
        <v>10040</v>
      </c>
      <c r="L945" s="15">
        <v>0.30506499999999998</v>
      </c>
      <c r="M945" s="15">
        <v>9.3540999999999999E-2</v>
      </c>
      <c r="N945" s="15">
        <v>0.43993036585365858</v>
      </c>
    </row>
    <row r="946" spans="1:14" x14ac:dyDescent="0.2">
      <c r="A946" s="2" t="s">
        <v>10068</v>
      </c>
      <c r="B946" s="15">
        <v>2180</v>
      </c>
      <c r="C946" s="15">
        <v>17</v>
      </c>
      <c r="D946" s="15">
        <v>6305079</v>
      </c>
      <c r="E946" s="15">
        <v>7264458</v>
      </c>
      <c r="F946" s="15">
        <v>2700</v>
      </c>
      <c r="G946" s="8" t="s">
        <v>12324</v>
      </c>
      <c r="H946" s="24" t="s">
        <v>6565</v>
      </c>
      <c r="I946" s="25" t="s">
        <v>6475</v>
      </c>
      <c r="J946" s="8" t="s">
        <v>6566</v>
      </c>
      <c r="K946" s="8" t="s">
        <v>10054</v>
      </c>
      <c r="L946" s="15">
        <v>0.39450299999999999</v>
      </c>
      <c r="M946" s="15">
        <v>9.3761399999999995E-2</v>
      </c>
      <c r="N946" s="15">
        <v>0.44049979766949149</v>
      </c>
    </row>
    <row r="947" spans="1:14" x14ac:dyDescent="0.2">
      <c r="A947" s="2" t="s">
        <v>10066</v>
      </c>
      <c r="B947" s="15">
        <v>804</v>
      </c>
      <c r="C947" s="15">
        <v>5</v>
      </c>
      <c r="D947" s="15">
        <v>31679465</v>
      </c>
      <c r="E947" s="15">
        <v>32727914</v>
      </c>
      <c r="F947" s="15">
        <v>3095</v>
      </c>
      <c r="G947" s="8" t="s">
        <v>12324</v>
      </c>
      <c r="H947" s="24" t="s">
        <v>3164</v>
      </c>
      <c r="I947" s="25" t="s">
        <v>3165</v>
      </c>
      <c r="J947" s="8" t="s">
        <v>3166</v>
      </c>
      <c r="K947" s="8" t="s">
        <v>10042</v>
      </c>
      <c r="L947" s="15">
        <v>0.23238900000000001</v>
      </c>
      <c r="M947" s="15">
        <v>9.4171900000000003E-2</v>
      </c>
      <c r="N947" s="15">
        <v>0.44196018677248677</v>
      </c>
    </row>
    <row r="948" spans="1:14" x14ac:dyDescent="0.2">
      <c r="A948" s="2" t="s">
        <v>10069</v>
      </c>
      <c r="B948" s="15">
        <v>155</v>
      </c>
      <c r="C948" s="15">
        <v>1</v>
      </c>
      <c r="D948" s="15">
        <v>201067953</v>
      </c>
      <c r="E948" s="15">
        <v>202583884</v>
      </c>
      <c r="F948" s="15">
        <v>2620</v>
      </c>
      <c r="G948" s="8" t="s">
        <v>12324</v>
      </c>
      <c r="H948" s="24" t="s">
        <v>662</v>
      </c>
      <c r="I948" s="25" t="s">
        <v>663</v>
      </c>
      <c r="J948" s="8" t="s">
        <v>664</v>
      </c>
      <c r="K948" s="8" t="s">
        <v>10040</v>
      </c>
      <c r="L948" s="15">
        <v>0.37688300000000002</v>
      </c>
      <c r="M948" s="15">
        <v>9.4535900000000006E-2</v>
      </c>
      <c r="N948" s="15">
        <v>0.44305415839493129</v>
      </c>
    </row>
    <row r="949" spans="1:14" x14ac:dyDescent="0.2">
      <c r="A949" s="2" t="s">
        <v>10066</v>
      </c>
      <c r="B949" s="15">
        <v>1240</v>
      </c>
      <c r="C949" s="15">
        <v>8</v>
      </c>
      <c r="D949" s="15">
        <v>3787249</v>
      </c>
      <c r="E949" s="15">
        <v>4273083</v>
      </c>
      <c r="F949" s="15">
        <v>3244</v>
      </c>
      <c r="G949" s="8" t="s">
        <v>12324</v>
      </c>
      <c r="H949" s="24" t="s">
        <v>6008</v>
      </c>
      <c r="I949" s="25" t="s">
        <v>6009</v>
      </c>
      <c r="J949" s="8" t="s">
        <v>6010</v>
      </c>
      <c r="K949" s="8" t="s">
        <v>10051</v>
      </c>
      <c r="L949" s="15">
        <v>-0.53894399999999998</v>
      </c>
      <c r="M949" s="15">
        <v>9.4604800000000003E-2</v>
      </c>
      <c r="N949" s="15">
        <v>0.44305415839493129</v>
      </c>
    </row>
    <row r="950" spans="1:14" x14ac:dyDescent="0.2">
      <c r="A950" s="2" t="s">
        <v>10068</v>
      </c>
      <c r="B950" s="15">
        <v>2232</v>
      </c>
      <c r="C950" s="15">
        <v>17</v>
      </c>
      <c r="D950" s="15">
        <v>75619257</v>
      </c>
      <c r="E950" s="15">
        <v>76596287</v>
      </c>
      <c r="F950" s="15">
        <v>3430</v>
      </c>
      <c r="G950" s="8" t="s">
        <v>12324</v>
      </c>
      <c r="H950" s="24" t="s">
        <v>494</v>
      </c>
      <c r="I950" s="25">
        <v>25920</v>
      </c>
      <c r="J950" s="8" t="s">
        <v>496</v>
      </c>
      <c r="K950" s="8" t="s">
        <v>10040</v>
      </c>
      <c r="L950" s="15">
        <v>0.49889600000000001</v>
      </c>
      <c r="M950" s="15">
        <v>9.5082E-2</v>
      </c>
      <c r="N950" s="15">
        <v>0.44435054794520551</v>
      </c>
    </row>
    <row r="951" spans="1:14" x14ac:dyDescent="0.2">
      <c r="A951" s="2" t="s">
        <v>10066</v>
      </c>
      <c r="B951" s="15">
        <v>118</v>
      </c>
      <c r="C951" s="15">
        <v>1</v>
      </c>
      <c r="D951" s="15">
        <v>161054077</v>
      </c>
      <c r="E951" s="15">
        <v>161945442</v>
      </c>
      <c r="F951" s="15">
        <v>2412</v>
      </c>
      <c r="G951" s="8" t="s">
        <v>12324</v>
      </c>
      <c r="H951" s="24" t="s">
        <v>3164</v>
      </c>
      <c r="I951" s="25" t="s">
        <v>3165</v>
      </c>
      <c r="J951" s="8" t="s">
        <v>3166</v>
      </c>
      <c r="K951" s="8" t="s">
        <v>10042</v>
      </c>
      <c r="L951" s="15">
        <v>-0.63846999999999998</v>
      </c>
      <c r="M951" s="15">
        <v>9.5023700000000003E-2</v>
      </c>
      <c r="N951" s="15">
        <v>0.44435054794520551</v>
      </c>
    </row>
    <row r="952" spans="1:14" x14ac:dyDescent="0.2">
      <c r="A952" s="2" t="s">
        <v>10068</v>
      </c>
      <c r="B952" s="15">
        <v>2491</v>
      </c>
      <c r="C952" s="15">
        <v>22</v>
      </c>
      <c r="D952" s="15">
        <v>47299626</v>
      </c>
      <c r="E952" s="15">
        <v>48269177</v>
      </c>
      <c r="F952" s="15">
        <v>3139</v>
      </c>
      <c r="G952" s="8" t="s">
        <v>12324</v>
      </c>
      <c r="H952" s="24" t="s">
        <v>494</v>
      </c>
      <c r="I952" s="25">
        <v>25920</v>
      </c>
      <c r="J952" s="8" t="s">
        <v>496</v>
      </c>
      <c r="K952" s="8" t="s">
        <v>10040</v>
      </c>
      <c r="L952" s="15">
        <v>-0.26874999999999999</v>
      </c>
      <c r="M952" s="15">
        <v>9.5521200000000001E-2</v>
      </c>
      <c r="N952" s="15">
        <v>0.44499634663865539</v>
      </c>
    </row>
    <row r="953" spans="1:14" x14ac:dyDescent="0.2">
      <c r="A953" s="2" t="s">
        <v>10068</v>
      </c>
      <c r="B953" s="15">
        <v>477</v>
      </c>
      <c r="C953" s="15">
        <v>3</v>
      </c>
      <c r="D953" s="15">
        <v>64662374</v>
      </c>
      <c r="E953" s="15">
        <v>65326751</v>
      </c>
      <c r="F953" s="15">
        <v>2296</v>
      </c>
      <c r="G953" s="8" t="s">
        <v>12324</v>
      </c>
      <c r="H953" s="24" t="s">
        <v>1259</v>
      </c>
      <c r="I953" s="25">
        <v>27096</v>
      </c>
      <c r="J953" s="8" t="s">
        <v>1261</v>
      </c>
      <c r="K953" s="8" t="s">
        <v>10040</v>
      </c>
      <c r="L953" s="15">
        <v>0.51661500000000005</v>
      </c>
      <c r="M953" s="15">
        <v>9.5508399999999993E-2</v>
      </c>
      <c r="N953" s="15">
        <v>0.44499634663865539</v>
      </c>
    </row>
    <row r="954" spans="1:14" x14ac:dyDescent="0.2">
      <c r="A954" s="2" t="s">
        <v>10066</v>
      </c>
      <c r="B954" s="15">
        <v>401</v>
      </c>
      <c r="C954" s="15">
        <v>2</v>
      </c>
      <c r="D954" s="15">
        <v>224123080</v>
      </c>
      <c r="E954" s="15">
        <v>224938731</v>
      </c>
      <c r="F954" s="15">
        <v>2151</v>
      </c>
      <c r="G954" s="8" t="s">
        <v>12324</v>
      </c>
      <c r="H954" s="24" t="s">
        <v>6008</v>
      </c>
      <c r="I954" s="25" t="s">
        <v>6009</v>
      </c>
      <c r="J954" s="8" t="s">
        <v>6010</v>
      </c>
      <c r="K954" s="8" t="s">
        <v>10051</v>
      </c>
      <c r="L954" s="15">
        <v>0.65785000000000005</v>
      </c>
      <c r="M954" s="15">
        <v>9.5419299999999999E-2</v>
      </c>
      <c r="N954" s="15">
        <v>0.44499634663865539</v>
      </c>
    </row>
    <row r="955" spans="1:14" x14ac:dyDescent="0.2">
      <c r="A955" s="2" t="s">
        <v>10068</v>
      </c>
      <c r="B955" s="15">
        <v>921</v>
      </c>
      <c r="C955" s="15">
        <v>5</v>
      </c>
      <c r="D955" s="15">
        <v>174662886</v>
      </c>
      <c r="E955" s="15">
        <v>176180301</v>
      </c>
      <c r="F955" s="15">
        <v>3331</v>
      </c>
      <c r="G955" s="8" t="s">
        <v>12324</v>
      </c>
      <c r="H955" s="24" t="s">
        <v>599</v>
      </c>
      <c r="I955" s="25">
        <v>26562</v>
      </c>
      <c r="J955" s="8" t="s">
        <v>601</v>
      </c>
      <c r="K955" s="8" t="s">
        <v>10040</v>
      </c>
      <c r="L955" s="15">
        <v>0.28666199999999997</v>
      </c>
      <c r="M955" s="15">
        <v>9.60921E-2</v>
      </c>
      <c r="N955" s="15">
        <v>0.44590167311715478</v>
      </c>
    </row>
    <row r="956" spans="1:14" x14ac:dyDescent="0.2">
      <c r="A956" s="2" t="s">
        <v>10068</v>
      </c>
      <c r="B956" s="15">
        <v>1648</v>
      </c>
      <c r="C956" s="15">
        <v>11</v>
      </c>
      <c r="D956" s="15">
        <v>35500368</v>
      </c>
      <c r="E956" s="15">
        <v>36331189</v>
      </c>
      <c r="F956" s="15">
        <v>2153</v>
      </c>
      <c r="G956" s="8" t="s">
        <v>12324</v>
      </c>
      <c r="H956" s="24" t="s">
        <v>599</v>
      </c>
      <c r="I956" s="25">
        <v>26562</v>
      </c>
      <c r="J956" s="8" t="s">
        <v>601</v>
      </c>
      <c r="K956" s="8" t="s">
        <v>10040</v>
      </c>
      <c r="L956" s="15">
        <v>-0.24012500000000001</v>
      </c>
      <c r="M956" s="15">
        <v>9.61177E-2</v>
      </c>
      <c r="N956" s="15">
        <v>0.44590167311715478</v>
      </c>
    </row>
    <row r="957" spans="1:14" x14ac:dyDescent="0.2">
      <c r="A957" s="2" t="s">
        <v>10066</v>
      </c>
      <c r="B957" s="15">
        <v>1580</v>
      </c>
      <c r="C957" s="15">
        <v>10</v>
      </c>
      <c r="D957" s="15">
        <v>102509299</v>
      </c>
      <c r="E957" s="15">
        <v>104206837</v>
      </c>
      <c r="F957" s="15">
        <v>2779</v>
      </c>
      <c r="G957" s="8" t="s">
        <v>12324</v>
      </c>
      <c r="H957" s="24" t="s">
        <v>6008</v>
      </c>
      <c r="I957" s="25" t="s">
        <v>6009</v>
      </c>
      <c r="J957" s="8" t="s">
        <v>6010</v>
      </c>
      <c r="K957" s="8" t="s">
        <v>10051</v>
      </c>
      <c r="L957" s="15">
        <v>-0.217637</v>
      </c>
      <c r="M957" s="15">
        <v>9.6076999999999996E-2</v>
      </c>
      <c r="N957" s="15">
        <v>0.44590167311715478</v>
      </c>
    </row>
    <row r="958" spans="1:14" x14ac:dyDescent="0.2">
      <c r="A958" s="2" t="s">
        <v>10068</v>
      </c>
      <c r="B958" s="15">
        <v>2357</v>
      </c>
      <c r="C958" s="15">
        <v>19</v>
      </c>
      <c r="D958" s="15">
        <v>50451926</v>
      </c>
      <c r="E958" s="15">
        <v>51259178</v>
      </c>
      <c r="F958" s="15">
        <v>2121</v>
      </c>
      <c r="G958" s="8" t="s">
        <v>12324</v>
      </c>
      <c r="H958" s="24" t="s">
        <v>6565</v>
      </c>
      <c r="I958" s="25" t="s">
        <v>6475</v>
      </c>
      <c r="J958" s="8" t="s">
        <v>6566</v>
      </c>
      <c r="K958" s="8" t="s">
        <v>10054</v>
      </c>
      <c r="L958" s="15">
        <v>0.41636699999999999</v>
      </c>
      <c r="M958" s="15">
        <v>9.60429E-2</v>
      </c>
      <c r="N958" s="15">
        <v>0.44590167311715478</v>
      </c>
    </row>
    <row r="959" spans="1:14" x14ac:dyDescent="0.2">
      <c r="A959" s="2" t="s">
        <v>10068</v>
      </c>
      <c r="B959" s="15">
        <v>2107</v>
      </c>
      <c r="C959" s="15">
        <v>16</v>
      </c>
      <c r="D959" s="15">
        <v>5782969</v>
      </c>
      <c r="E959" s="15">
        <v>6446081</v>
      </c>
      <c r="F959" s="15">
        <v>2566</v>
      </c>
      <c r="G959" s="8" t="s">
        <v>12324</v>
      </c>
      <c r="H959" s="24" t="s">
        <v>1259</v>
      </c>
      <c r="I959" s="25">
        <v>27096</v>
      </c>
      <c r="J959" s="8" t="s">
        <v>1261</v>
      </c>
      <c r="K959" s="8" t="s">
        <v>10040</v>
      </c>
      <c r="L959" s="15">
        <v>0.31793900000000003</v>
      </c>
      <c r="M959" s="15">
        <v>9.6503800000000001E-2</v>
      </c>
      <c r="N959" s="15">
        <v>0.44685726722338198</v>
      </c>
    </row>
    <row r="960" spans="1:14" x14ac:dyDescent="0.2">
      <c r="A960" s="2" t="s">
        <v>10068</v>
      </c>
      <c r="B960" s="15">
        <v>2230</v>
      </c>
      <c r="C960" s="15">
        <v>17</v>
      </c>
      <c r="D960" s="15">
        <v>73741322</v>
      </c>
      <c r="E960" s="15">
        <v>74908266</v>
      </c>
      <c r="F960" s="15">
        <v>3167</v>
      </c>
      <c r="G960" s="8" t="s">
        <v>12324</v>
      </c>
      <c r="H960" s="24" t="s">
        <v>1259</v>
      </c>
      <c r="I960" s="25">
        <v>27096</v>
      </c>
      <c r="J960" s="8" t="s">
        <v>1261</v>
      </c>
      <c r="K960" s="8" t="s">
        <v>10040</v>
      </c>
      <c r="L960" s="15">
        <v>0.30504900000000001</v>
      </c>
      <c r="M960" s="15">
        <v>9.6525200000000005E-2</v>
      </c>
      <c r="N960" s="15">
        <v>0.44685726722338198</v>
      </c>
    </row>
    <row r="961" spans="1:14" x14ac:dyDescent="0.2">
      <c r="A961" s="2" t="s">
        <v>10069</v>
      </c>
      <c r="B961" s="15">
        <v>2183</v>
      </c>
      <c r="C961" s="15">
        <v>17</v>
      </c>
      <c r="D961" s="15">
        <v>9619357</v>
      </c>
      <c r="E961" s="15">
        <v>10572617</v>
      </c>
      <c r="F961" s="15">
        <v>2034</v>
      </c>
      <c r="G961" s="8" t="s">
        <v>12324</v>
      </c>
      <c r="H961" s="24" t="s">
        <v>662</v>
      </c>
      <c r="I961" s="25" t="s">
        <v>663</v>
      </c>
      <c r="J961" s="8" t="s">
        <v>664</v>
      </c>
      <c r="K961" s="8" t="s">
        <v>10040</v>
      </c>
      <c r="L961" s="15">
        <v>0.42141600000000001</v>
      </c>
      <c r="M961" s="15">
        <v>9.7456000000000001E-2</v>
      </c>
      <c r="N961" s="15">
        <v>0.45069589155370171</v>
      </c>
    </row>
    <row r="962" spans="1:14" x14ac:dyDescent="0.2">
      <c r="A962" s="2" t="s">
        <v>10068</v>
      </c>
      <c r="B962" s="15">
        <v>1139</v>
      </c>
      <c r="C962" s="15">
        <v>7</v>
      </c>
      <c r="D962" s="15">
        <v>42494807</v>
      </c>
      <c r="E962" s="15">
        <v>43448815</v>
      </c>
      <c r="F962" s="15">
        <v>2672</v>
      </c>
      <c r="G962" s="8" t="s">
        <v>12324</v>
      </c>
      <c r="H962" s="24" t="s">
        <v>494</v>
      </c>
      <c r="I962" s="25">
        <v>25920</v>
      </c>
      <c r="J962" s="8" t="s">
        <v>496</v>
      </c>
      <c r="K962" s="8" t="s">
        <v>10040</v>
      </c>
      <c r="L962" s="15">
        <v>-0.39407500000000001</v>
      </c>
      <c r="M962" s="15">
        <v>9.7594799999999995E-2</v>
      </c>
      <c r="N962" s="15">
        <v>0.45086764374999999</v>
      </c>
    </row>
    <row r="963" spans="1:14" x14ac:dyDescent="0.2">
      <c r="A963" s="2" t="s">
        <v>10068</v>
      </c>
      <c r="B963" s="15">
        <v>173</v>
      </c>
      <c r="C963" s="15">
        <v>1</v>
      </c>
      <c r="D963" s="15">
        <v>222763598</v>
      </c>
      <c r="E963" s="15">
        <v>223654902</v>
      </c>
      <c r="F963" s="15">
        <v>2151</v>
      </c>
      <c r="G963" s="8" t="s">
        <v>12324</v>
      </c>
      <c r="H963" s="24" t="s">
        <v>1259</v>
      </c>
      <c r="I963" s="25">
        <v>27096</v>
      </c>
      <c r="J963" s="8" t="s">
        <v>1261</v>
      </c>
      <c r="K963" s="8" t="s">
        <v>10040</v>
      </c>
      <c r="L963" s="15">
        <v>-0.528007</v>
      </c>
      <c r="M963" s="15">
        <v>9.8003099999999996E-2</v>
      </c>
      <c r="N963" s="15">
        <v>0.45228277679500523</v>
      </c>
    </row>
    <row r="964" spans="1:14" x14ac:dyDescent="0.2">
      <c r="A964" s="2" t="s">
        <v>10068</v>
      </c>
      <c r="B964" s="15">
        <v>538</v>
      </c>
      <c r="C964" s="15">
        <v>3</v>
      </c>
      <c r="D964" s="15">
        <v>132925968</v>
      </c>
      <c r="E964" s="15">
        <v>133718493</v>
      </c>
      <c r="F964" s="15">
        <v>2169</v>
      </c>
      <c r="G964" s="8" t="s">
        <v>12324</v>
      </c>
      <c r="H964" s="24" t="s">
        <v>599</v>
      </c>
      <c r="I964" s="25">
        <v>26562</v>
      </c>
      <c r="J964" s="8" t="s">
        <v>601</v>
      </c>
      <c r="K964" s="8" t="s">
        <v>10040</v>
      </c>
      <c r="L964" s="15">
        <v>-0.26597100000000001</v>
      </c>
      <c r="M964" s="15">
        <v>9.8292699999999997E-2</v>
      </c>
      <c r="N964" s="15">
        <v>0.45272231308411209</v>
      </c>
    </row>
    <row r="965" spans="1:14" x14ac:dyDescent="0.2">
      <c r="A965" s="2" t="s">
        <v>10069</v>
      </c>
      <c r="B965" s="15">
        <v>1640</v>
      </c>
      <c r="C965" s="15">
        <v>11</v>
      </c>
      <c r="D965" s="15">
        <v>27018308</v>
      </c>
      <c r="E965" s="15">
        <v>28577718</v>
      </c>
      <c r="F965" s="15">
        <v>1768</v>
      </c>
      <c r="G965" s="8" t="s">
        <v>12324</v>
      </c>
      <c r="H965" s="24" t="s">
        <v>662</v>
      </c>
      <c r="I965" s="25" t="s">
        <v>663</v>
      </c>
      <c r="J965" s="8" t="s">
        <v>664</v>
      </c>
      <c r="K965" s="8" t="s">
        <v>10040</v>
      </c>
      <c r="L965" s="15">
        <v>-0.55735100000000004</v>
      </c>
      <c r="M965" s="15">
        <v>9.8302500000000001E-2</v>
      </c>
      <c r="N965" s="15">
        <v>0.45272231308411209</v>
      </c>
    </row>
    <row r="966" spans="1:14" x14ac:dyDescent="0.2">
      <c r="A966" s="2" t="s">
        <v>10068</v>
      </c>
      <c r="B966" s="15">
        <v>1388</v>
      </c>
      <c r="C966" s="15">
        <v>9</v>
      </c>
      <c r="D966" s="15">
        <v>13512853</v>
      </c>
      <c r="E966" s="15">
        <v>14244747</v>
      </c>
      <c r="F966" s="15">
        <v>2397</v>
      </c>
      <c r="G966" s="8" t="s">
        <v>12324</v>
      </c>
      <c r="H966" s="24" t="s">
        <v>494</v>
      </c>
      <c r="I966" s="25">
        <v>25920</v>
      </c>
      <c r="J966" s="8" t="s">
        <v>496</v>
      </c>
      <c r="K966" s="8" t="s">
        <v>10040</v>
      </c>
      <c r="L966" s="15">
        <v>-0.37928600000000001</v>
      </c>
      <c r="M966" s="15">
        <v>9.8539600000000005E-2</v>
      </c>
      <c r="N966" s="15">
        <v>0.45287370569948188</v>
      </c>
    </row>
    <row r="967" spans="1:14" x14ac:dyDescent="0.2">
      <c r="A967" s="2" t="s">
        <v>10068</v>
      </c>
      <c r="B967" s="15">
        <v>2433</v>
      </c>
      <c r="C967" s="15">
        <v>21</v>
      </c>
      <c r="D967" s="15">
        <v>16873444</v>
      </c>
      <c r="E967" s="15">
        <v>18222037</v>
      </c>
      <c r="F967" s="15">
        <v>2705</v>
      </c>
      <c r="G967" s="8" t="s">
        <v>12324</v>
      </c>
      <c r="H967" s="24" t="s">
        <v>6565</v>
      </c>
      <c r="I967" s="25" t="s">
        <v>6475</v>
      </c>
      <c r="J967" s="8" t="s">
        <v>6566</v>
      </c>
      <c r="K967" s="8" t="s">
        <v>10054</v>
      </c>
      <c r="L967" s="15">
        <v>0.18451699999999999</v>
      </c>
      <c r="M967" s="15">
        <v>9.8505999999999996E-2</v>
      </c>
      <c r="N967" s="15">
        <v>0.45287370569948188</v>
      </c>
    </row>
    <row r="968" spans="1:14" x14ac:dyDescent="0.2">
      <c r="A968" s="2" t="s">
        <v>10068</v>
      </c>
      <c r="B968" s="15">
        <v>1928</v>
      </c>
      <c r="C968" s="15">
        <v>13</v>
      </c>
      <c r="D968" s="15">
        <v>88029524</v>
      </c>
      <c r="E968" s="15">
        <v>88968400</v>
      </c>
      <c r="F968" s="15">
        <v>2199</v>
      </c>
      <c r="G968" s="8" t="s">
        <v>12324</v>
      </c>
      <c r="H968" s="24" t="s">
        <v>1259</v>
      </c>
      <c r="I968" s="25">
        <v>27096</v>
      </c>
      <c r="J968" s="8" t="s">
        <v>1261</v>
      </c>
      <c r="K968" s="8" t="s">
        <v>10040</v>
      </c>
      <c r="L968" s="15">
        <v>0.397198</v>
      </c>
      <c r="M968" s="15">
        <v>9.9474599999999996E-2</v>
      </c>
      <c r="N968" s="15">
        <v>0.4564555201654602</v>
      </c>
    </row>
    <row r="969" spans="1:14" x14ac:dyDescent="0.2">
      <c r="A969" s="2" t="s">
        <v>10068</v>
      </c>
      <c r="B969" s="15">
        <v>2114</v>
      </c>
      <c r="C969" s="15">
        <v>16</v>
      </c>
      <c r="D969" s="15">
        <v>10351809</v>
      </c>
      <c r="E969" s="15">
        <v>11022542</v>
      </c>
      <c r="F969" s="15">
        <v>2217</v>
      </c>
      <c r="G969" s="8" t="s">
        <v>12324</v>
      </c>
      <c r="H969" s="24" t="s">
        <v>6565</v>
      </c>
      <c r="I969" s="25" t="s">
        <v>6475</v>
      </c>
      <c r="J969" s="8" t="s">
        <v>6566</v>
      </c>
      <c r="K969" s="8" t="s">
        <v>10054</v>
      </c>
      <c r="L969" s="15">
        <v>0.18418100000000001</v>
      </c>
      <c r="M969" s="15">
        <v>9.9524799999999997E-2</v>
      </c>
      <c r="N969" s="15">
        <v>0.4564555201654602</v>
      </c>
    </row>
    <row r="970" spans="1:14" x14ac:dyDescent="0.2">
      <c r="A970" s="2" t="s">
        <v>10068</v>
      </c>
      <c r="B970" s="15">
        <v>1135</v>
      </c>
      <c r="C970" s="15">
        <v>7</v>
      </c>
      <c r="D970" s="15">
        <v>37981937</v>
      </c>
      <c r="E970" s="15">
        <v>38966483</v>
      </c>
      <c r="F970" s="15">
        <v>3513</v>
      </c>
      <c r="G970" s="8" t="s">
        <v>12324</v>
      </c>
      <c r="H970" s="24" t="s">
        <v>494</v>
      </c>
      <c r="I970" s="25">
        <v>25920</v>
      </c>
      <c r="J970" s="8" t="s">
        <v>496</v>
      </c>
      <c r="K970" s="8" t="s">
        <v>10040</v>
      </c>
      <c r="L970" s="15">
        <v>-0.36368499999999998</v>
      </c>
      <c r="M970" s="15">
        <v>0.10005500000000001</v>
      </c>
      <c r="N970" s="15">
        <v>0.45652667181069961</v>
      </c>
    </row>
    <row r="971" spans="1:14" x14ac:dyDescent="0.2">
      <c r="A971" s="2" t="s">
        <v>10068</v>
      </c>
      <c r="B971" s="15">
        <v>347</v>
      </c>
      <c r="C971" s="15">
        <v>2</v>
      </c>
      <c r="D971" s="15">
        <v>161432090</v>
      </c>
      <c r="E971" s="15">
        <v>163607635</v>
      </c>
      <c r="F971" s="15">
        <v>4176</v>
      </c>
      <c r="G971" s="8" t="s">
        <v>12324</v>
      </c>
      <c r="H971" s="24" t="s">
        <v>599</v>
      </c>
      <c r="I971" s="25">
        <v>26562</v>
      </c>
      <c r="J971" s="8" t="s">
        <v>601</v>
      </c>
      <c r="K971" s="8" t="s">
        <v>10040</v>
      </c>
      <c r="L971" s="15">
        <v>-0.29217399999999999</v>
      </c>
      <c r="M971" s="15">
        <v>9.9799399999999996E-2</v>
      </c>
      <c r="N971" s="15">
        <v>0.45652667181069961</v>
      </c>
    </row>
    <row r="972" spans="1:14" x14ac:dyDescent="0.2">
      <c r="A972" s="2" t="s">
        <v>10066</v>
      </c>
      <c r="B972" s="15">
        <v>803</v>
      </c>
      <c r="C972" s="15">
        <v>5</v>
      </c>
      <c r="D972" s="15">
        <v>30416067</v>
      </c>
      <c r="E972" s="15">
        <v>31679464</v>
      </c>
      <c r="F972" s="15">
        <v>3532</v>
      </c>
      <c r="G972" s="8" t="s">
        <v>12324</v>
      </c>
      <c r="H972" s="24" t="s">
        <v>6008</v>
      </c>
      <c r="I972" s="25" t="s">
        <v>6009</v>
      </c>
      <c r="J972" s="8" t="s">
        <v>6010</v>
      </c>
      <c r="K972" s="8" t="s">
        <v>10051</v>
      </c>
      <c r="L972" s="15">
        <v>-0.44928699999999999</v>
      </c>
      <c r="M972" s="15">
        <v>9.9764099999999994E-2</v>
      </c>
      <c r="N972" s="15">
        <v>0.45652667181069961</v>
      </c>
    </row>
    <row r="973" spans="1:14" x14ac:dyDescent="0.2">
      <c r="A973" s="2" t="s">
        <v>10066</v>
      </c>
      <c r="B973" s="15">
        <v>2064</v>
      </c>
      <c r="C973" s="15">
        <v>15</v>
      </c>
      <c r="D973" s="15">
        <v>58712955</v>
      </c>
      <c r="E973" s="15">
        <v>59901116</v>
      </c>
      <c r="F973" s="15">
        <v>2759</v>
      </c>
      <c r="G973" s="8" t="s">
        <v>12324</v>
      </c>
      <c r="H973" s="24" t="s">
        <v>6008</v>
      </c>
      <c r="I973" s="25" t="s">
        <v>6009</v>
      </c>
      <c r="J973" s="8" t="s">
        <v>6010</v>
      </c>
      <c r="K973" s="8" t="s">
        <v>10051</v>
      </c>
      <c r="L973" s="15">
        <v>0.35936400000000002</v>
      </c>
      <c r="M973" s="15">
        <v>9.9984400000000001E-2</v>
      </c>
      <c r="N973" s="15">
        <v>0.45652667181069961</v>
      </c>
    </row>
    <row r="974" spans="1:14" x14ac:dyDescent="0.2">
      <c r="A974" s="2" t="s">
        <v>10068</v>
      </c>
      <c r="B974" s="15">
        <v>1516</v>
      </c>
      <c r="C974" s="15">
        <v>10</v>
      </c>
      <c r="D974" s="15">
        <v>27669567</v>
      </c>
      <c r="E974" s="15">
        <v>28734422</v>
      </c>
      <c r="F974" s="15">
        <v>3205</v>
      </c>
      <c r="G974" s="8" t="s">
        <v>12324</v>
      </c>
      <c r="H974" s="24" t="s">
        <v>6565</v>
      </c>
      <c r="I974" s="25" t="s">
        <v>6475</v>
      </c>
      <c r="J974" s="8" t="s">
        <v>6566</v>
      </c>
      <c r="K974" s="8" t="s">
        <v>10054</v>
      </c>
      <c r="L974" s="15">
        <v>-0.61470400000000003</v>
      </c>
      <c r="M974" s="15">
        <v>9.9953200000000006E-2</v>
      </c>
      <c r="N974" s="15">
        <v>0.45652667181069961</v>
      </c>
    </row>
    <row r="975" spans="1:14" x14ac:dyDescent="0.2">
      <c r="A975" s="2" t="s">
        <v>10068</v>
      </c>
      <c r="B975" s="15">
        <v>2247</v>
      </c>
      <c r="C975" s="15">
        <v>18</v>
      </c>
      <c r="D975" s="15">
        <v>8788525</v>
      </c>
      <c r="E975" s="15">
        <v>9816164</v>
      </c>
      <c r="F975" s="15">
        <v>3463</v>
      </c>
      <c r="G975" s="8" t="s">
        <v>12324</v>
      </c>
      <c r="H975" s="24" t="s">
        <v>1259</v>
      </c>
      <c r="I975" s="25">
        <v>27096</v>
      </c>
      <c r="J975" s="8" t="s">
        <v>1261</v>
      </c>
      <c r="K975" s="8" t="s">
        <v>10040</v>
      </c>
      <c r="L975" s="15">
        <v>0.38061699999999998</v>
      </c>
      <c r="M975" s="15">
        <v>0.10043199999999999</v>
      </c>
      <c r="N975" s="15">
        <v>0.45777586844809859</v>
      </c>
    </row>
    <row r="976" spans="1:14" x14ac:dyDescent="0.2">
      <c r="A976" s="2" t="s">
        <v>10068</v>
      </c>
      <c r="B976" s="15">
        <v>2348</v>
      </c>
      <c r="C976" s="15">
        <v>19</v>
      </c>
      <c r="D976" s="15">
        <v>41733464</v>
      </c>
      <c r="E976" s="15">
        <v>43317282</v>
      </c>
      <c r="F976" s="15">
        <v>2557</v>
      </c>
      <c r="G976" s="8" t="s">
        <v>12324</v>
      </c>
      <c r="H976" s="24" t="s">
        <v>1259</v>
      </c>
      <c r="I976" s="25">
        <v>27096</v>
      </c>
      <c r="J976" s="8" t="s">
        <v>1261</v>
      </c>
      <c r="K976" s="8" t="s">
        <v>10040</v>
      </c>
      <c r="L976" s="15">
        <v>-0.24710599999999999</v>
      </c>
      <c r="M976" s="15">
        <v>0.10090499999999999</v>
      </c>
      <c r="N976" s="15">
        <v>0.45811234902763559</v>
      </c>
    </row>
    <row r="977" spans="1:14" x14ac:dyDescent="0.2">
      <c r="A977" s="2" t="s">
        <v>10066</v>
      </c>
      <c r="B977" s="15">
        <v>1301</v>
      </c>
      <c r="C977" s="15">
        <v>8</v>
      </c>
      <c r="D977" s="15">
        <v>64215359</v>
      </c>
      <c r="E977" s="15">
        <v>66018204</v>
      </c>
      <c r="F977" s="15">
        <v>3290</v>
      </c>
      <c r="G977" s="8" t="s">
        <v>12324</v>
      </c>
      <c r="H977" s="24" t="s">
        <v>3164</v>
      </c>
      <c r="I977" s="25" t="s">
        <v>3165</v>
      </c>
      <c r="J977" s="8" t="s">
        <v>3166</v>
      </c>
      <c r="K977" s="8" t="s">
        <v>10042</v>
      </c>
      <c r="L977" s="15">
        <v>-0.61061799999999999</v>
      </c>
      <c r="M977" s="15">
        <v>0.10091899999999999</v>
      </c>
      <c r="N977" s="15">
        <v>0.45811234902763559</v>
      </c>
    </row>
    <row r="978" spans="1:14" x14ac:dyDescent="0.2">
      <c r="A978" s="2" t="s">
        <v>10066</v>
      </c>
      <c r="B978" s="15">
        <v>342</v>
      </c>
      <c r="C978" s="15">
        <v>2</v>
      </c>
      <c r="D978" s="15">
        <v>155207970</v>
      </c>
      <c r="E978" s="15">
        <v>156130947</v>
      </c>
      <c r="F978" s="15">
        <v>2234</v>
      </c>
      <c r="G978" s="8" t="s">
        <v>12324</v>
      </c>
      <c r="H978" s="24" t="s">
        <v>6008</v>
      </c>
      <c r="I978" s="25" t="s">
        <v>6009</v>
      </c>
      <c r="J978" s="8" t="s">
        <v>6010</v>
      </c>
      <c r="K978" s="8" t="s">
        <v>10051</v>
      </c>
      <c r="L978" s="15">
        <v>0.246947</v>
      </c>
      <c r="M978" s="15">
        <v>0.100844</v>
      </c>
      <c r="N978" s="15">
        <v>0.45811234902763559</v>
      </c>
    </row>
    <row r="979" spans="1:14" x14ac:dyDescent="0.2">
      <c r="A979" s="2" t="s">
        <v>10068</v>
      </c>
      <c r="B979" s="15">
        <v>2236</v>
      </c>
      <c r="C979" s="15">
        <v>17</v>
      </c>
      <c r="D979" s="15">
        <v>79333775</v>
      </c>
      <c r="E979" s="15">
        <v>80459149</v>
      </c>
      <c r="F979" s="15">
        <v>3325</v>
      </c>
      <c r="G979" s="8" t="s">
        <v>12324</v>
      </c>
      <c r="H979" s="24" t="s">
        <v>6565</v>
      </c>
      <c r="I979" s="25" t="s">
        <v>6475</v>
      </c>
      <c r="J979" s="8" t="s">
        <v>6566</v>
      </c>
      <c r="K979" s="8" t="s">
        <v>10054</v>
      </c>
      <c r="L979" s="15">
        <v>-0.3362</v>
      </c>
      <c r="M979" s="15">
        <v>0.100646</v>
      </c>
      <c r="N979" s="15">
        <v>0.45811234902763559</v>
      </c>
    </row>
    <row r="980" spans="1:14" x14ac:dyDescent="0.2">
      <c r="A980" s="2" t="s">
        <v>10068</v>
      </c>
      <c r="B980" s="15">
        <v>2040</v>
      </c>
      <c r="C980" s="15">
        <v>15</v>
      </c>
      <c r="D980" s="15">
        <v>27563173</v>
      </c>
      <c r="E980" s="15">
        <v>29141035</v>
      </c>
      <c r="F980" s="15">
        <v>2746</v>
      </c>
      <c r="G980" s="8" t="s">
        <v>12324</v>
      </c>
      <c r="H980" s="24" t="s">
        <v>494</v>
      </c>
      <c r="I980" s="25">
        <v>25920</v>
      </c>
      <c r="J980" s="8" t="s">
        <v>496</v>
      </c>
      <c r="K980" s="8" t="s">
        <v>10040</v>
      </c>
      <c r="L980" s="15">
        <v>-0.21277199999999999</v>
      </c>
      <c r="M980" s="15">
        <v>0.10111199999999999</v>
      </c>
      <c r="N980" s="15">
        <v>0.45851914110429443</v>
      </c>
    </row>
    <row r="981" spans="1:14" x14ac:dyDescent="0.2">
      <c r="A981" s="2" t="s">
        <v>10068</v>
      </c>
      <c r="B981" s="15">
        <v>2066</v>
      </c>
      <c r="C981" s="15">
        <v>15</v>
      </c>
      <c r="D981" s="15">
        <v>61130596</v>
      </c>
      <c r="E981" s="15">
        <v>62106138</v>
      </c>
      <c r="F981" s="15">
        <v>2682</v>
      </c>
      <c r="G981" s="8" t="s">
        <v>12324</v>
      </c>
      <c r="H981" s="24" t="s">
        <v>6565</v>
      </c>
      <c r="I981" s="25" t="s">
        <v>6475</v>
      </c>
      <c r="J981" s="8" t="s">
        <v>6566</v>
      </c>
      <c r="K981" s="8" t="s">
        <v>10054</v>
      </c>
      <c r="L981" s="15">
        <v>-0.43488100000000002</v>
      </c>
      <c r="M981" s="15">
        <v>0.10161299999999999</v>
      </c>
      <c r="N981" s="15">
        <v>0.46032038304392231</v>
      </c>
    </row>
    <row r="982" spans="1:14" x14ac:dyDescent="0.2">
      <c r="A982" s="2" t="s">
        <v>10068</v>
      </c>
      <c r="B982" s="15">
        <v>1825</v>
      </c>
      <c r="C982" s="15">
        <v>12</v>
      </c>
      <c r="D982" s="15">
        <v>94385885</v>
      </c>
      <c r="E982" s="15">
        <v>95147845</v>
      </c>
      <c r="F982" s="15">
        <v>2353</v>
      </c>
      <c r="G982" s="8" t="s">
        <v>12324</v>
      </c>
      <c r="H982" s="24" t="s">
        <v>1259</v>
      </c>
      <c r="I982" s="25">
        <v>27096</v>
      </c>
      <c r="J982" s="8" t="s">
        <v>1261</v>
      </c>
      <c r="K982" s="8" t="s">
        <v>10040</v>
      </c>
      <c r="L982" s="15">
        <v>-0.35852800000000001</v>
      </c>
      <c r="M982" s="15">
        <v>0.101752</v>
      </c>
      <c r="N982" s="15">
        <v>0.46047971428571433</v>
      </c>
    </row>
    <row r="983" spans="1:14" x14ac:dyDescent="0.2">
      <c r="A983" s="2" t="s">
        <v>10068</v>
      </c>
      <c r="B983" s="15">
        <v>2093</v>
      </c>
      <c r="C983" s="15">
        <v>15</v>
      </c>
      <c r="D983" s="15">
        <v>93707011</v>
      </c>
      <c r="E983" s="15">
        <v>94565521</v>
      </c>
      <c r="F983" s="15">
        <v>3254</v>
      </c>
      <c r="G983" s="8" t="s">
        <v>12324</v>
      </c>
      <c r="H983" s="24" t="s">
        <v>599</v>
      </c>
      <c r="I983" s="25">
        <v>26562</v>
      </c>
      <c r="J983" s="8" t="s">
        <v>601</v>
      </c>
      <c r="K983" s="8" t="s">
        <v>10040</v>
      </c>
      <c r="L983" s="15">
        <v>-0.31925999999999999</v>
      </c>
      <c r="M983" s="15">
        <v>0.10202700000000001</v>
      </c>
      <c r="N983" s="15">
        <v>0.46084256619144609</v>
      </c>
    </row>
    <row r="984" spans="1:14" x14ac:dyDescent="0.2">
      <c r="A984" s="2" t="s">
        <v>10068</v>
      </c>
      <c r="B984" s="15">
        <v>1853</v>
      </c>
      <c r="C984" s="15">
        <v>12</v>
      </c>
      <c r="D984" s="15">
        <v>126079936</v>
      </c>
      <c r="E984" s="15">
        <v>126871452</v>
      </c>
      <c r="F984" s="15">
        <v>2428</v>
      </c>
      <c r="G984" s="8" t="s">
        <v>12324</v>
      </c>
      <c r="H984" s="24" t="s">
        <v>1259</v>
      </c>
      <c r="I984" s="25">
        <v>27096</v>
      </c>
      <c r="J984" s="8" t="s">
        <v>1261</v>
      </c>
      <c r="K984" s="8" t="s">
        <v>10040</v>
      </c>
      <c r="L984" s="15">
        <v>0.43504599999999999</v>
      </c>
      <c r="M984" s="15">
        <v>0.10204000000000001</v>
      </c>
      <c r="N984" s="15">
        <v>0.46084256619144609</v>
      </c>
    </row>
    <row r="985" spans="1:14" x14ac:dyDescent="0.2">
      <c r="A985" s="2" t="s">
        <v>10068</v>
      </c>
      <c r="B985" s="15">
        <v>403</v>
      </c>
      <c r="C985" s="15">
        <v>2</v>
      </c>
      <c r="D985" s="15">
        <v>226242843</v>
      </c>
      <c r="E985" s="15">
        <v>227557841</v>
      </c>
      <c r="F985" s="15">
        <v>2790</v>
      </c>
      <c r="G985" s="8" t="s">
        <v>12324</v>
      </c>
      <c r="H985" s="24" t="s">
        <v>599</v>
      </c>
      <c r="I985" s="25">
        <v>26562</v>
      </c>
      <c r="J985" s="8" t="s">
        <v>601</v>
      </c>
      <c r="K985" s="8" t="s">
        <v>10040</v>
      </c>
      <c r="L985" s="15">
        <v>-0.63138499999999997</v>
      </c>
      <c r="M985" s="15">
        <v>0.102224</v>
      </c>
      <c r="N985" s="15">
        <v>0.46120390640895209</v>
      </c>
    </row>
    <row r="986" spans="1:14" x14ac:dyDescent="0.2">
      <c r="A986" s="2" t="s">
        <v>10068</v>
      </c>
      <c r="B986" s="15">
        <v>2100</v>
      </c>
      <c r="C986" s="15">
        <v>15</v>
      </c>
      <c r="D986" s="15">
        <v>100742118</v>
      </c>
      <c r="E986" s="15">
        <v>101550750</v>
      </c>
      <c r="F986" s="15">
        <v>3026</v>
      </c>
      <c r="G986" s="8" t="s">
        <v>12324</v>
      </c>
      <c r="H986" s="24" t="s">
        <v>494</v>
      </c>
      <c r="I986" s="25">
        <v>25920</v>
      </c>
      <c r="J986" s="8" t="s">
        <v>496</v>
      </c>
      <c r="K986" s="8" t="s">
        <v>10040</v>
      </c>
      <c r="L986" s="15">
        <v>-0.39819599999999999</v>
      </c>
      <c r="M986" s="15">
        <v>0.102867</v>
      </c>
      <c r="N986" s="15">
        <v>0.4625180333670374</v>
      </c>
    </row>
    <row r="987" spans="1:14" x14ac:dyDescent="0.2">
      <c r="A987" s="2" t="s">
        <v>10069</v>
      </c>
      <c r="B987" s="15">
        <v>1078</v>
      </c>
      <c r="C987" s="15">
        <v>6</v>
      </c>
      <c r="D987" s="15">
        <v>154462011</v>
      </c>
      <c r="E987" s="15">
        <v>155523957</v>
      </c>
      <c r="F987" s="15">
        <v>1863</v>
      </c>
      <c r="G987" s="8" t="s">
        <v>12324</v>
      </c>
      <c r="H987" s="24" t="s">
        <v>662</v>
      </c>
      <c r="I987" s="25" t="s">
        <v>663</v>
      </c>
      <c r="J987" s="8" t="s">
        <v>664</v>
      </c>
      <c r="K987" s="8" t="s">
        <v>10040</v>
      </c>
      <c r="L987" s="15">
        <v>0.319575</v>
      </c>
      <c r="M987" s="15">
        <v>0.103141</v>
      </c>
      <c r="N987" s="15">
        <v>0.4625180333670374</v>
      </c>
    </row>
    <row r="988" spans="1:14" x14ac:dyDescent="0.2">
      <c r="A988" s="2" t="s">
        <v>10068</v>
      </c>
      <c r="B988" s="15">
        <v>1067</v>
      </c>
      <c r="C988" s="15">
        <v>6</v>
      </c>
      <c r="D988" s="15">
        <v>143083348</v>
      </c>
      <c r="E988" s="15">
        <v>144791455</v>
      </c>
      <c r="F988" s="15">
        <v>3684</v>
      </c>
      <c r="G988" s="8" t="s">
        <v>12324</v>
      </c>
      <c r="H988" s="24" t="s">
        <v>1259</v>
      </c>
      <c r="I988" s="25">
        <v>27096</v>
      </c>
      <c r="J988" s="8" t="s">
        <v>1261</v>
      </c>
      <c r="K988" s="8" t="s">
        <v>10040</v>
      </c>
      <c r="L988" s="15">
        <v>0.39901500000000001</v>
      </c>
      <c r="M988" s="15">
        <v>0.102814</v>
      </c>
      <c r="N988" s="15">
        <v>0.4625180333670374</v>
      </c>
    </row>
    <row r="989" spans="1:14" x14ac:dyDescent="0.2">
      <c r="A989" s="2" t="s">
        <v>10066</v>
      </c>
      <c r="B989" s="15">
        <v>1443</v>
      </c>
      <c r="C989" s="15">
        <v>9</v>
      </c>
      <c r="D989" s="15">
        <v>97418634</v>
      </c>
      <c r="E989" s="15">
        <v>98885862</v>
      </c>
      <c r="F989" s="15">
        <v>3179</v>
      </c>
      <c r="G989" s="8" t="s">
        <v>12324</v>
      </c>
      <c r="H989" s="24" t="s">
        <v>6008</v>
      </c>
      <c r="I989" s="25" t="s">
        <v>6009</v>
      </c>
      <c r="J989" s="8" t="s">
        <v>6010</v>
      </c>
      <c r="K989" s="8" t="s">
        <v>10051</v>
      </c>
      <c r="L989" s="15">
        <v>-0.40390500000000001</v>
      </c>
      <c r="M989" s="15">
        <v>0.102926</v>
      </c>
      <c r="N989" s="15">
        <v>0.4625180333670374</v>
      </c>
    </row>
    <row r="990" spans="1:14" x14ac:dyDescent="0.2">
      <c r="A990" s="2" t="s">
        <v>10066</v>
      </c>
      <c r="B990" s="15">
        <v>2495</v>
      </c>
      <c r="C990" s="15">
        <v>22</v>
      </c>
      <c r="D990" s="15">
        <v>50347997</v>
      </c>
      <c r="E990" s="15">
        <v>51244236</v>
      </c>
      <c r="F990" s="15">
        <v>2760</v>
      </c>
      <c r="G990" s="8" t="s">
        <v>12324</v>
      </c>
      <c r="H990" s="24" t="s">
        <v>6008</v>
      </c>
      <c r="I990" s="25" t="s">
        <v>6009</v>
      </c>
      <c r="J990" s="8" t="s">
        <v>6010</v>
      </c>
      <c r="K990" s="8" t="s">
        <v>10051</v>
      </c>
      <c r="L990" s="15">
        <v>0.31273699999999999</v>
      </c>
      <c r="M990" s="15">
        <v>0.103018</v>
      </c>
      <c r="N990" s="15">
        <v>0.4625180333670374</v>
      </c>
    </row>
    <row r="991" spans="1:14" x14ac:dyDescent="0.2">
      <c r="A991" s="2" t="s">
        <v>10068</v>
      </c>
      <c r="B991" s="15">
        <v>1497</v>
      </c>
      <c r="C991" s="15">
        <v>10</v>
      </c>
      <c r="D991" s="15">
        <v>10081280</v>
      </c>
      <c r="E991" s="15">
        <v>10969481</v>
      </c>
      <c r="F991" s="15">
        <v>2625</v>
      </c>
      <c r="G991" s="8" t="s">
        <v>12324</v>
      </c>
      <c r="H991" s="24" t="s">
        <v>6565</v>
      </c>
      <c r="I991" s="25" t="s">
        <v>6475</v>
      </c>
      <c r="J991" s="8" t="s">
        <v>6566</v>
      </c>
      <c r="K991" s="8" t="s">
        <v>10054</v>
      </c>
      <c r="L991" s="15">
        <v>0.38206000000000001</v>
      </c>
      <c r="M991" s="15">
        <v>0.1031</v>
      </c>
      <c r="N991" s="15">
        <v>0.4625180333670374</v>
      </c>
    </row>
    <row r="992" spans="1:14" x14ac:dyDescent="0.2">
      <c r="A992" s="2" t="s">
        <v>10068</v>
      </c>
      <c r="B992" s="15">
        <v>1549</v>
      </c>
      <c r="C992" s="15">
        <v>10</v>
      </c>
      <c r="D992" s="15">
        <v>67769823</v>
      </c>
      <c r="E992" s="15">
        <v>68623274</v>
      </c>
      <c r="F992" s="15">
        <v>3615</v>
      </c>
      <c r="G992" s="8" t="s">
        <v>12324</v>
      </c>
      <c r="H992" s="24" t="s">
        <v>494</v>
      </c>
      <c r="I992" s="25">
        <v>25920</v>
      </c>
      <c r="J992" s="8" t="s">
        <v>496</v>
      </c>
      <c r="K992" s="8" t="s">
        <v>10040</v>
      </c>
      <c r="L992" s="15">
        <v>-0.50210600000000005</v>
      </c>
      <c r="M992" s="15">
        <v>0.103315</v>
      </c>
      <c r="N992" s="15">
        <v>0.46283032828282827</v>
      </c>
    </row>
    <row r="993" spans="1:14" x14ac:dyDescent="0.2">
      <c r="A993" s="2" t="s">
        <v>10066</v>
      </c>
      <c r="B993" s="15">
        <v>1023</v>
      </c>
      <c r="C993" s="15">
        <v>6</v>
      </c>
      <c r="D993" s="15">
        <v>91097025</v>
      </c>
      <c r="E993" s="15">
        <v>92015279</v>
      </c>
      <c r="F993" s="15">
        <v>2444</v>
      </c>
      <c r="G993" s="8" t="s">
        <v>12324</v>
      </c>
      <c r="H993" s="24" t="s">
        <v>6008</v>
      </c>
      <c r="I993" s="25" t="s">
        <v>6009</v>
      </c>
      <c r="J993" s="8" t="s">
        <v>6010</v>
      </c>
      <c r="K993" s="8" t="s">
        <v>10051</v>
      </c>
      <c r="L993" s="15">
        <v>-0.37829800000000002</v>
      </c>
      <c r="M993" s="15">
        <v>0.103725</v>
      </c>
      <c r="N993" s="15">
        <v>0.46376151209677419</v>
      </c>
    </row>
    <row r="994" spans="1:14" x14ac:dyDescent="0.2">
      <c r="A994" s="2" t="s">
        <v>10066</v>
      </c>
      <c r="B994" s="15">
        <v>2219</v>
      </c>
      <c r="C994" s="15">
        <v>17</v>
      </c>
      <c r="D994" s="15">
        <v>60453121</v>
      </c>
      <c r="E994" s="15">
        <v>62112373</v>
      </c>
      <c r="F994" s="15">
        <v>2618</v>
      </c>
      <c r="G994" s="8" t="s">
        <v>12324</v>
      </c>
      <c r="H994" s="24" t="s">
        <v>6008</v>
      </c>
      <c r="I994" s="25" t="s">
        <v>6009</v>
      </c>
      <c r="J994" s="8" t="s">
        <v>6010</v>
      </c>
      <c r="K994" s="8" t="s">
        <v>10051</v>
      </c>
      <c r="L994" s="15">
        <v>-0.397455</v>
      </c>
      <c r="M994" s="15">
        <v>0.103732</v>
      </c>
      <c r="N994" s="15">
        <v>0.46376151209677419</v>
      </c>
    </row>
    <row r="995" spans="1:14" x14ac:dyDescent="0.2">
      <c r="A995" s="2" t="s">
        <v>10068</v>
      </c>
      <c r="B995" s="15">
        <v>600</v>
      </c>
      <c r="C995" s="15">
        <v>4</v>
      </c>
      <c r="D995" s="15">
        <v>3549230</v>
      </c>
      <c r="E995" s="15">
        <v>4266178</v>
      </c>
      <c r="F995" s="15">
        <v>3431</v>
      </c>
      <c r="G995" s="8" t="s">
        <v>12324</v>
      </c>
      <c r="H995" s="24" t="s">
        <v>1259</v>
      </c>
      <c r="I995" s="25">
        <v>27096</v>
      </c>
      <c r="J995" s="8" t="s">
        <v>1261</v>
      </c>
      <c r="K995" s="8" t="s">
        <v>10040</v>
      </c>
      <c r="L995" s="15">
        <v>-0.19935700000000001</v>
      </c>
      <c r="M995" s="15">
        <v>0.10391499999999999</v>
      </c>
      <c r="N995" s="15">
        <v>0.46411180765357501</v>
      </c>
    </row>
    <row r="996" spans="1:14" x14ac:dyDescent="0.2">
      <c r="A996" s="2" t="s">
        <v>10068</v>
      </c>
      <c r="B996" s="15">
        <v>18</v>
      </c>
      <c r="C996" s="15">
        <v>1</v>
      </c>
      <c r="D996" s="15">
        <v>16732169</v>
      </c>
      <c r="E996" s="15">
        <v>17557746</v>
      </c>
      <c r="F996" s="15">
        <v>1452</v>
      </c>
      <c r="G996" s="8" t="s">
        <v>12324</v>
      </c>
      <c r="H996" s="24" t="s">
        <v>494</v>
      </c>
      <c r="I996" s="25">
        <v>25920</v>
      </c>
      <c r="J996" s="8" t="s">
        <v>496</v>
      </c>
      <c r="K996" s="8" t="s">
        <v>10040</v>
      </c>
      <c r="L996" s="15">
        <v>0.25660899999999998</v>
      </c>
      <c r="M996" s="15">
        <v>0.10430300000000001</v>
      </c>
      <c r="N996" s="15">
        <v>0.46490834673366838</v>
      </c>
    </row>
    <row r="997" spans="1:14" x14ac:dyDescent="0.2">
      <c r="A997" s="2" t="s">
        <v>10068</v>
      </c>
      <c r="B997" s="15">
        <v>162</v>
      </c>
      <c r="C997" s="15">
        <v>1</v>
      </c>
      <c r="D997" s="15">
        <v>211082893</v>
      </c>
      <c r="E997" s="15">
        <v>212347582</v>
      </c>
      <c r="F997" s="15">
        <v>3792</v>
      </c>
      <c r="G997" s="8" t="s">
        <v>12324</v>
      </c>
      <c r="H997" s="24" t="s">
        <v>1259</v>
      </c>
      <c r="I997" s="25">
        <v>27096</v>
      </c>
      <c r="J997" s="8" t="s">
        <v>1261</v>
      </c>
      <c r="K997" s="8" t="s">
        <v>10040</v>
      </c>
      <c r="L997" s="15">
        <v>0.28260600000000002</v>
      </c>
      <c r="M997" s="15">
        <v>0.10426100000000001</v>
      </c>
      <c r="N997" s="15">
        <v>0.46490834673366838</v>
      </c>
    </row>
    <row r="998" spans="1:14" x14ac:dyDescent="0.2">
      <c r="A998" s="2" t="s">
        <v>10068</v>
      </c>
      <c r="B998" s="15">
        <v>1344</v>
      </c>
      <c r="C998" s="15">
        <v>8</v>
      </c>
      <c r="D998" s="15">
        <v>116094204</v>
      </c>
      <c r="E998" s="15">
        <v>118300068</v>
      </c>
      <c r="F998" s="15">
        <v>3930</v>
      </c>
      <c r="G998" s="8" t="s">
        <v>12324</v>
      </c>
      <c r="H998" s="24" t="s">
        <v>1259</v>
      </c>
      <c r="I998" s="25">
        <v>27096</v>
      </c>
      <c r="J998" s="8" t="s">
        <v>1261</v>
      </c>
      <c r="K998" s="8" t="s">
        <v>10040</v>
      </c>
      <c r="L998" s="15">
        <v>-0.37646000000000002</v>
      </c>
      <c r="M998" s="15">
        <v>0.10445</v>
      </c>
      <c r="N998" s="15">
        <v>0.46509613453815257</v>
      </c>
    </row>
    <row r="999" spans="1:14" x14ac:dyDescent="0.2">
      <c r="A999" s="2" t="s">
        <v>10066</v>
      </c>
      <c r="B999" s="15">
        <v>335</v>
      </c>
      <c r="C999" s="15">
        <v>2</v>
      </c>
      <c r="D999" s="15">
        <v>144503689</v>
      </c>
      <c r="E999" s="15">
        <v>145977920</v>
      </c>
      <c r="F999" s="15">
        <v>2177</v>
      </c>
      <c r="G999" s="8" t="s">
        <v>12324</v>
      </c>
      <c r="H999" s="24" t="s">
        <v>6008</v>
      </c>
      <c r="I999" s="25" t="s">
        <v>6009</v>
      </c>
      <c r="J999" s="8" t="s">
        <v>6010</v>
      </c>
      <c r="K999" s="8" t="s">
        <v>10051</v>
      </c>
      <c r="L999" s="15">
        <v>0.42699999999999999</v>
      </c>
      <c r="M999" s="15">
        <v>0.104591</v>
      </c>
      <c r="N999" s="15">
        <v>0.4652568555667001</v>
      </c>
    </row>
    <row r="1000" spans="1:14" x14ac:dyDescent="0.2">
      <c r="A1000" s="2" t="s">
        <v>10068</v>
      </c>
      <c r="B1000" s="15">
        <v>642</v>
      </c>
      <c r="C1000" s="15">
        <v>4</v>
      </c>
      <c r="D1000" s="15">
        <v>41360938</v>
      </c>
      <c r="E1000" s="15">
        <v>42189251</v>
      </c>
      <c r="F1000" s="15">
        <v>2129</v>
      </c>
      <c r="G1000" s="8" t="s">
        <v>12324</v>
      </c>
      <c r="H1000" s="24" t="s">
        <v>599</v>
      </c>
      <c r="I1000" s="25">
        <v>26562</v>
      </c>
      <c r="J1000" s="8" t="s">
        <v>601</v>
      </c>
      <c r="K1000" s="8" t="s">
        <v>10040</v>
      </c>
      <c r="L1000" s="15">
        <v>0.60476799999999997</v>
      </c>
      <c r="M1000" s="15">
        <v>0.10509599999999999</v>
      </c>
      <c r="N1000" s="15">
        <v>0.46671826826826829</v>
      </c>
    </row>
    <row r="1001" spans="1:14" x14ac:dyDescent="0.2">
      <c r="A1001" s="2" t="s">
        <v>10066</v>
      </c>
      <c r="B1001" s="15">
        <v>175</v>
      </c>
      <c r="C1001" s="15">
        <v>1</v>
      </c>
      <c r="D1001" s="15">
        <v>224943338</v>
      </c>
      <c r="E1001" s="15">
        <v>226534711</v>
      </c>
      <c r="F1001" s="15">
        <v>3838</v>
      </c>
      <c r="G1001" s="8" t="s">
        <v>12324</v>
      </c>
      <c r="H1001" s="24" t="s">
        <v>3164</v>
      </c>
      <c r="I1001" s="25" t="s">
        <v>3165</v>
      </c>
      <c r="J1001" s="8" t="s">
        <v>3166</v>
      </c>
      <c r="K1001" s="8" t="s">
        <v>10042</v>
      </c>
      <c r="L1001" s="15">
        <v>-0.59926999999999997</v>
      </c>
      <c r="M1001" s="15">
        <v>0.10513</v>
      </c>
      <c r="N1001" s="15">
        <v>0.46671826826826829</v>
      </c>
    </row>
    <row r="1002" spans="1:14" x14ac:dyDescent="0.2">
      <c r="A1002" s="2" t="s">
        <v>10068</v>
      </c>
      <c r="B1002" s="15">
        <v>1868</v>
      </c>
      <c r="C1002" s="15">
        <v>13</v>
      </c>
      <c r="D1002" s="15">
        <v>23729050</v>
      </c>
      <c r="E1002" s="15">
        <v>24818333</v>
      </c>
      <c r="F1002" s="15">
        <v>4075</v>
      </c>
      <c r="G1002" s="8" t="s">
        <v>12324</v>
      </c>
      <c r="H1002" s="24" t="s">
        <v>494</v>
      </c>
      <c r="I1002" s="25">
        <v>25920</v>
      </c>
      <c r="J1002" s="8" t="s">
        <v>496</v>
      </c>
      <c r="K1002" s="8" t="s">
        <v>10040</v>
      </c>
      <c r="L1002" s="15">
        <v>-0.29293200000000003</v>
      </c>
      <c r="M1002" s="15">
        <v>0.10592799999999999</v>
      </c>
      <c r="N1002" s="15">
        <v>0.4683855234297109</v>
      </c>
    </row>
    <row r="1003" spans="1:14" x14ac:dyDescent="0.2">
      <c r="A1003" s="2" t="s">
        <v>10068</v>
      </c>
      <c r="B1003" s="15">
        <v>1315</v>
      </c>
      <c r="C1003" s="15">
        <v>8</v>
      </c>
      <c r="D1003" s="15">
        <v>81340232</v>
      </c>
      <c r="E1003" s="15">
        <v>82878769</v>
      </c>
      <c r="F1003" s="15">
        <v>3330</v>
      </c>
      <c r="G1003" s="8" t="s">
        <v>12324</v>
      </c>
      <c r="H1003" s="24" t="s">
        <v>599</v>
      </c>
      <c r="I1003" s="25">
        <v>26562</v>
      </c>
      <c r="J1003" s="8" t="s">
        <v>601</v>
      </c>
      <c r="K1003" s="8" t="s">
        <v>10040</v>
      </c>
      <c r="L1003" s="15">
        <v>0.61634999999999995</v>
      </c>
      <c r="M1003" s="15">
        <v>0.105834</v>
      </c>
      <c r="N1003" s="15">
        <v>0.4683855234297109</v>
      </c>
    </row>
    <row r="1004" spans="1:14" x14ac:dyDescent="0.2">
      <c r="A1004" s="2" t="s">
        <v>10068</v>
      </c>
      <c r="B1004" s="15">
        <v>2432</v>
      </c>
      <c r="C1004" s="15">
        <v>21</v>
      </c>
      <c r="D1004" s="15">
        <v>15840034</v>
      </c>
      <c r="E1004" s="15">
        <v>16873443</v>
      </c>
      <c r="F1004" s="15">
        <v>2649</v>
      </c>
      <c r="G1004" s="8" t="s">
        <v>12324</v>
      </c>
      <c r="H1004" s="24" t="s">
        <v>1259</v>
      </c>
      <c r="I1004" s="25">
        <v>27096</v>
      </c>
      <c r="J1004" s="8" t="s">
        <v>1261</v>
      </c>
      <c r="K1004" s="8" t="s">
        <v>10040</v>
      </c>
      <c r="L1004" s="15">
        <v>0.47713800000000001</v>
      </c>
      <c r="M1004" s="15">
        <v>0.105784</v>
      </c>
      <c r="N1004" s="15">
        <v>0.4683855234297109</v>
      </c>
    </row>
    <row r="1005" spans="1:14" x14ac:dyDescent="0.2">
      <c r="A1005" s="2" t="s">
        <v>10066</v>
      </c>
      <c r="B1005" s="15">
        <v>803</v>
      </c>
      <c r="C1005" s="15">
        <v>5</v>
      </c>
      <c r="D1005" s="15">
        <v>30416067</v>
      </c>
      <c r="E1005" s="15">
        <v>31679464</v>
      </c>
      <c r="F1005" s="15">
        <v>3532</v>
      </c>
      <c r="G1005" s="8" t="s">
        <v>12324</v>
      </c>
      <c r="H1005" s="24" t="s">
        <v>3164</v>
      </c>
      <c r="I1005" s="25" t="s">
        <v>3165</v>
      </c>
      <c r="J1005" s="8" t="s">
        <v>3166</v>
      </c>
      <c r="K1005" s="8" t="s">
        <v>10042</v>
      </c>
      <c r="L1005" s="15">
        <v>-0.43096400000000001</v>
      </c>
      <c r="M1005" s="15">
        <v>0.105738</v>
      </c>
      <c r="N1005" s="15">
        <v>0.4683855234297109</v>
      </c>
    </row>
    <row r="1006" spans="1:14" x14ac:dyDescent="0.2">
      <c r="A1006" s="2" t="s">
        <v>10068</v>
      </c>
      <c r="B1006" s="15">
        <v>898</v>
      </c>
      <c r="C1006" s="15">
        <v>5</v>
      </c>
      <c r="D1006" s="15">
        <v>148662215</v>
      </c>
      <c r="E1006" s="15">
        <v>149850203</v>
      </c>
      <c r="F1006" s="15">
        <v>2858</v>
      </c>
      <c r="G1006" s="8" t="s">
        <v>12324</v>
      </c>
      <c r="H1006" s="24" t="s">
        <v>599</v>
      </c>
      <c r="I1006" s="25">
        <v>26562</v>
      </c>
      <c r="J1006" s="8" t="s">
        <v>601</v>
      </c>
      <c r="K1006" s="8" t="s">
        <v>10040</v>
      </c>
      <c r="L1006" s="15">
        <v>-0.42045700000000003</v>
      </c>
      <c r="M1006" s="15">
        <v>0.10638499999999999</v>
      </c>
      <c r="N1006" s="15">
        <v>0.46947012437810942</v>
      </c>
    </row>
    <row r="1007" spans="1:14" x14ac:dyDescent="0.2">
      <c r="A1007" s="2" t="s">
        <v>10066</v>
      </c>
      <c r="B1007" s="15">
        <v>543</v>
      </c>
      <c r="C1007" s="15">
        <v>3</v>
      </c>
      <c r="D1007" s="15">
        <v>139831268</v>
      </c>
      <c r="E1007" s="15">
        <v>141034637</v>
      </c>
      <c r="F1007" s="15">
        <v>3015</v>
      </c>
      <c r="G1007" s="8" t="s">
        <v>12324</v>
      </c>
      <c r="H1007" s="24" t="s">
        <v>3164</v>
      </c>
      <c r="I1007" s="25" t="s">
        <v>3165</v>
      </c>
      <c r="J1007" s="8" t="s">
        <v>3166</v>
      </c>
      <c r="K1007" s="8" t="s">
        <v>10042</v>
      </c>
      <c r="L1007" s="15">
        <v>0.46912100000000001</v>
      </c>
      <c r="M1007" s="15">
        <v>0.106362</v>
      </c>
      <c r="N1007" s="15">
        <v>0.46947012437810942</v>
      </c>
    </row>
    <row r="1008" spans="1:14" x14ac:dyDescent="0.2">
      <c r="A1008" s="2" t="s">
        <v>10068</v>
      </c>
      <c r="B1008" s="15">
        <v>831</v>
      </c>
      <c r="C1008" s="15">
        <v>5</v>
      </c>
      <c r="D1008" s="15">
        <v>64438519</v>
      </c>
      <c r="E1008" s="15">
        <v>65606870</v>
      </c>
      <c r="F1008" s="15">
        <v>2456</v>
      </c>
      <c r="G1008" s="8" t="s">
        <v>12324</v>
      </c>
      <c r="H1008" s="24" t="s">
        <v>494</v>
      </c>
      <c r="I1008" s="25">
        <v>25920</v>
      </c>
      <c r="J1008" s="8" t="s">
        <v>496</v>
      </c>
      <c r="K1008" s="8" t="s">
        <v>10040</v>
      </c>
      <c r="L1008" s="15">
        <v>0.41179900000000003</v>
      </c>
      <c r="M1008" s="15">
        <v>0.10758</v>
      </c>
      <c r="N1008" s="15">
        <v>0.47164232971372172</v>
      </c>
    </row>
    <row r="1009" spans="1:14" x14ac:dyDescent="0.2">
      <c r="A1009" s="2" t="s">
        <v>10068</v>
      </c>
      <c r="B1009" s="15">
        <v>1768</v>
      </c>
      <c r="C1009" s="15">
        <v>12</v>
      </c>
      <c r="D1009" s="15">
        <v>27797263</v>
      </c>
      <c r="E1009" s="15">
        <v>28753585</v>
      </c>
      <c r="F1009" s="15">
        <v>2396</v>
      </c>
      <c r="G1009" s="8" t="s">
        <v>12324</v>
      </c>
      <c r="H1009" s="24" t="s">
        <v>599</v>
      </c>
      <c r="I1009" s="25">
        <v>26562</v>
      </c>
      <c r="J1009" s="8" t="s">
        <v>601</v>
      </c>
      <c r="K1009" s="8" t="s">
        <v>10040</v>
      </c>
      <c r="L1009" s="15">
        <v>0.33676299999999998</v>
      </c>
      <c r="M1009" s="15">
        <v>0.107728</v>
      </c>
      <c r="N1009" s="15">
        <v>0.47164232971372172</v>
      </c>
    </row>
    <row r="1010" spans="1:14" x14ac:dyDescent="0.2">
      <c r="A1010" s="2" t="s">
        <v>10069</v>
      </c>
      <c r="B1010" s="15">
        <v>1087</v>
      </c>
      <c r="C1010" s="15">
        <v>6</v>
      </c>
      <c r="D1010" s="15">
        <v>163336362</v>
      </c>
      <c r="E1010" s="15">
        <v>164687462</v>
      </c>
      <c r="F1010" s="15">
        <v>2915</v>
      </c>
      <c r="G1010" s="8" t="s">
        <v>12324</v>
      </c>
      <c r="H1010" s="24" t="s">
        <v>662</v>
      </c>
      <c r="I1010" s="25" t="s">
        <v>663</v>
      </c>
      <c r="J1010" s="8" t="s">
        <v>664</v>
      </c>
      <c r="K1010" s="8" t="s">
        <v>10040</v>
      </c>
      <c r="L1010" s="15">
        <v>-0.291711</v>
      </c>
      <c r="M1010" s="15">
        <v>0.107497</v>
      </c>
      <c r="N1010" s="15">
        <v>0.47164232971372172</v>
      </c>
    </row>
    <row r="1011" spans="1:14" x14ac:dyDescent="0.2">
      <c r="A1011" s="2" t="s">
        <v>10066</v>
      </c>
      <c r="B1011" s="15">
        <v>1289</v>
      </c>
      <c r="C1011" s="15">
        <v>8</v>
      </c>
      <c r="D1011" s="15">
        <v>52326237</v>
      </c>
      <c r="E1011" s="15">
        <v>53108910</v>
      </c>
      <c r="F1011" s="15">
        <v>2419</v>
      </c>
      <c r="G1011" s="8" t="s">
        <v>12324</v>
      </c>
      <c r="H1011" s="24" t="s">
        <v>3164</v>
      </c>
      <c r="I1011" s="25" t="s">
        <v>3165</v>
      </c>
      <c r="J1011" s="8" t="s">
        <v>3166</v>
      </c>
      <c r="K1011" s="8" t="s">
        <v>10042</v>
      </c>
      <c r="L1011" s="15">
        <v>0.386548</v>
      </c>
      <c r="M1011" s="15">
        <v>0.10706</v>
      </c>
      <c r="N1011" s="15">
        <v>0.47164232971372172</v>
      </c>
    </row>
    <row r="1012" spans="1:14" x14ac:dyDescent="0.2">
      <c r="A1012" s="2" t="s">
        <v>10066</v>
      </c>
      <c r="B1012" s="15">
        <v>2184</v>
      </c>
      <c r="C1012" s="15">
        <v>17</v>
      </c>
      <c r="D1012" s="15">
        <v>10572618</v>
      </c>
      <c r="E1012" s="15">
        <v>11778164</v>
      </c>
      <c r="F1012" s="15">
        <v>3164</v>
      </c>
      <c r="G1012" s="8" t="s">
        <v>12324</v>
      </c>
      <c r="H1012" s="24" t="s">
        <v>3164</v>
      </c>
      <c r="I1012" s="25" t="s">
        <v>3165</v>
      </c>
      <c r="J1012" s="8" t="s">
        <v>3166</v>
      </c>
      <c r="K1012" s="8" t="s">
        <v>10042</v>
      </c>
      <c r="L1012" s="15">
        <v>-0.27200299999999999</v>
      </c>
      <c r="M1012" s="15">
        <v>0.107728</v>
      </c>
      <c r="N1012" s="15">
        <v>0.47164232971372172</v>
      </c>
    </row>
    <row r="1013" spans="1:14" x14ac:dyDescent="0.2">
      <c r="A1013" s="2" t="s">
        <v>10066</v>
      </c>
      <c r="B1013" s="15">
        <v>2097</v>
      </c>
      <c r="C1013" s="15">
        <v>15</v>
      </c>
      <c r="D1013" s="15">
        <v>98025685</v>
      </c>
      <c r="E1013" s="15">
        <v>98828261</v>
      </c>
      <c r="F1013" s="15">
        <v>3002</v>
      </c>
      <c r="G1013" s="8" t="s">
        <v>12324</v>
      </c>
      <c r="H1013" s="24" t="s">
        <v>6008</v>
      </c>
      <c r="I1013" s="25" t="s">
        <v>6009</v>
      </c>
      <c r="J1013" s="8" t="s">
        <v>6010</v>
      </c>
      <c r="K1013" s="8" t="s">
        <v>10051</v>
      </c>
      <c r="L1013" s="15">
        <v>-0.30801200000000001</v>
      </c>
      <c r="M1013" s="15">
        <v>0.10743999999999999</v>
      </c>
      <c r="N1013" s="15">
        <v>0.47164232971372172</v>
      </c>
    </row>
    <row r="1014" spans="1:14" x14ac:dyDescent="0.2">
      <c r="A1014" s="2" t="s">
        <v>10066</v>
      </c>
      <c r="B1014" s="15">
        <v>17</v>
      </c>
      <c r="C1014" s="15">
        <v>1</v>
      </c>
      <c r="D1014" s="15">
        <v>15755231</v>
      </c>
      <c r="E1014" s="15">
        <v>16732168</v>
      </c>
      <c r="F1014" s="15">
        <v>2637</v>
      </c>
      <c r="G1014" s="8" t="s">
        <v>12324</v>
      </c>
      <c r="H1014" s="24" t="s">
        <v>6008</v>
      </c>
      <c r="I1014" s="25" t="s">
        <v>6009</v>
      </c>
      <c r="J1014" s="8" t="s">
        <v>6010</v>
      </c>
      <c r="K1014" s="8" t="s">
        <v>10051</v>
      </c>
      <c r="L1014" s="15">
        <v>-0.47826800000000003</v>
      </c>
      <c r="M1014" s="15">
        <v>0.10745200000000001</v>
      </c>
      <c r="N1014" s="15">
        <v>0.47164232971372172</v>
      </c>
    </row>
    <row r="1015" spans="1:14" x14ac:dyDescent="0.2">
      <c r="A1015" s="2" t="s">
        <v>10068</v>
      </c>
      <c r="B1015" s="15">
        <v>1726</v>
      </c>
      <c r="C1015" s="15">
        <v>11</v>
      </c>
      <c r="D1015" s="15">
        <v>121208187</v>
      </c>
      <c r="E1015" s="15">
        <v>122589224</v>
      </c>
      <c r="F1015" s="15">
        <v>3110</v>
      </c>
      <c r="G1015" s="8" t="s">
        <v>12324</v>
      </c>
      <c r="H1015" s="24" t="s">
        <v>6565</v>
      </c>
      <c r="I1015" s="25" t="s">
        <v>6475</v>
      </c>
      <c r="J1015" s="8" t="s">
        <v>6566</v>
      </c>
      <c r="K1015" s="8" t="s">
        <v>10054</v>
      </c>
      <c r="L1015" s="15">
        <v>-0.42655199999999999</v>
      </c>
      <c r="M1015" s="15">
        <v>0.10737099999999999</v>
      </c>
      <c r="N1015" s="15">
        <v>0.47164232971372172</v>
      </c>
    </row>
    <row r="1016" spans="1:14" x14ac:dyDescent="0.2">
      <c r="A1016" s="2" t="s">
        <v>10068</v>
      </c>
      <c r="B1016" s="15">
        <v>1553</v>
      </c>
      <c r="C1016" s="15">
        <v>10</v>
      </c>
      <c r="D1016" s="15">
        <v>71672998</v>
      </c>
      <c r="E1016" s="15">
        <v>72659223</v>
      </c>
      <c r="F1016" s="15">
        <v>3215</v>
      </c>
      <c r="G1016" s="8" t="s">
        <v>12324</v>
      </c>
      <c r="H1016" s="24" t="s">
        <v>6565</v>
      </c>
      <c r="I1016" s="25" t="s">
        <v>6475</v>
      </c>
      <c r="J1016" s="8" t="s">
        <v>6566</v>
      </c>
      <c r="K1016" s="8" t="s">
        <v>10054</v>
      </c>
      <c r="L1016" s="15">
        <v>-0.32319100000000001</v>
      </c>
      <c r="M1016" s="15">
        <v>0.108183</v>
      </c>
      <c r="N1016" s="15">
        <v>0.47316726331360948</v>
      </c>
    </row>
    <row r="1017" spans="1:14" x14ac:dyDescent="0.2">
      <c r="A1017" s="2" t="s">
        <v>10068</v>
      </c>
      <c r="B1017" s="15">
        <v>2231</v>
      </c>
      <c r="C1017" s="15">
        <v>17</v>
      </c>
      <c r="D1017" s="15">
        <v>74908267</v>
      </c>
      <c r="E1017" s="15">
        <v>75619256</v>
      </c>
      <c r="F1017" s="15">
        <v>2646</v>
      </c>
      <c r="G1017" s="8" t="s">
        <v>12324</v>
      </c>
      <c r="H1017" s="24" t="s">
        <v>6565</v>
      </c>
      <c r="I1017" s="25" t="s">
        <v>6475</v>
      </c>
      <c r="J1017" s="8" t="s">
        <v>6566</v>
      </c>
      <c r="K1017" s="8" t="s">
        <v>10054</v>
      </c>
      <c r="L1017" s="15">
        <v>0.252025</v>
      </c>
      <c r="M1017" s="15">
        <v>0.108379</v>
      </c>
      <c r="N1017" s="15">
        <v>0.47355750246305423</v>
      </c>
    </row>
    <row r="1018" spans="1:14" x14ac:dyDescent="0.2">
      <c r="A1018" s="2" t="s">
        <v>10066</v>
      </c>
      <c r="B1018" s="15">
        <v>2244</v>
      </c>
      <c r="C1018" s="15">
        <v>18</v>
      </c>
      <c r="D1018" s="15">
        <v>5575813</v>
      </c>
      <c r="E1018" s="15">
        <v>6756496</v>
      </c>
      <c r="F1018" s="15">
        <v>3185</v>
      </c>
      <c r="G1018" s="8" t="s">
        <v>12324</v>
      </c>
      <c r="H1018" s="24" t="s">
        <v>3164</v>
      </c>
      <c r="I1018" s="25" t="s">
        <v>3165</v>
      </c>
      <c r="J1018" s="8" t="s">
        <v>3166</v>
      </c>
      <c r="K1018" s="8" t="s">
        <v>10042</v>
      </c>
      <c r="L1018" s="15">
        <v>-0.29997699999999999</v>
      </c>
      <c r="M1018" s="15">
        <v>0.108654</v>
      </c>
      <c r="N1018" s="15">
        <v>0.47405658308751231</v>
      </c>
    </row>
    <row r="1019" spans="1:14" x14ac:dyDescent="0.2">
      <c r="A1019" s="2" t="s">
        <v>10066</v>
      </c>
      <c r="B1019" s="15">
        <v>976</v>
      </c>
      <c r="C1019" s="15">
        <v>6</v>
      </c>
      <c r="D1019" s="15">
        <v>40778402</v>
      </c>
      <c r="E1019" s="15">
        <v>42103738</v>
      </c>
      <c r="F1019" s="15">
        <v>3557</v>
      </c>
      <c r="G1019" s="8" t="s">
        <v>12324</v>
      </c>
      <c r="H1019" s="24" t="s">
        <v>6008</v>
      </c>
      <c r="I1019" s="25" t="s">
        <v>6009</v>
      </c>
      <c r="J1019" s="8" t="s">
        <v>6010</v>
      </c>
      <c r="K1019" s="8" t="s">
        <v>10051</v>
      </c>
      <c r="L1019" s="15">
        <v>-0.34070099999999998</v>
      </c>
      <c r="M1019" s="15">
        <v>0.108707</v>
      </c>
      <c r="N1019" s="15">
        <v>0.47405658308751231</v>
      </c>
    </row>
    <row r="1020" spans="1:14" x14ac:dyDescent="0.2">
      <c r="A1020" s="2" t="s">
        <v>10069</v>
      </c>
      <c r="B1020" s="15">
        <v>2294</v>
      </c>
      <c r="C1020" s="15">
        <v>18</v>
      </c>
      <c r="D1020" s="15">
        <v>66407961</v>
      </c>
      <c r="E1020" s="15">
        <v>67195980</v>
      </c>
      <c r="F1020" s="15">
        <v>1275</v>
      </c>
      <c r="G1020" s="8" t="s">
        <v>12324</v>
      </c>
      <c r="H1020" s="24" t="s">
        <v>662</v>
      </c>
      <c r="I1020" s="25" t="s">
        <v>663</v>
      </c>
      <c r="J1020" s="8" t="s">
        <v>664</v>
      </c>
      <c r="K1020" s="8" t="s">
        <v>10040</v>
      </c>
      <c r="L1020" s="15">
        <v>0.53109200000000001</v>
      </c>
      <c r="M1020" s="15">
        <v>0.10892300000000001</v>
      </c>
      <c r="N1020" s="15">
        <v>0.4745319302554028</v>
      </c>
    </row>
    <row r="1021" spans="1:14" x14ac:dyDescent="0.2">
      <c r="A1021" s="2" t="s">
        <v>10068</v>
      </c>
      <c r="B1021" s="15">
        <v>1553</v>
      </c>
      <c r="C1021" s="15">
        <v>10</v>
      </c>
      <c r="D1021" s="15">
        <v>71672998</v>
      </c>
      <c r="E1021" s="15">
        <v>72659223</v>
      </c>
      <c r="F1021" s="15">
        <v>3215</v>
      </c>
      <c r="G1021" s="8" t="s">
        <v>12324</v>
      </c>
      <c r="H1021" s="24" t="s">
        <v>599</v>
      </c>
      <c r="I1021" s="25">
        <v>26562</v>
      </c>
      <c r="J1021" s="8" t="s">
        <v>601</v>
      </c>
      <c r="K1021" s="8" t="s">
        <v>10040</v>
      </c>
      <c r="L1021" s="15">
        <v>0.28318900000000002</v>
      </c>
      <c r="M1021" s="15">
        <v>0.109232</v>
      </c>
      <c r="N1021" s="15">
        <v>0.47472222709551659</v>
      </c>
    </row>
    <row r="1022" spans="1:14" x14ac:dyDescent="0.2">
      <c r="A1022" s="2" t="s">
        <v>10069</v>
      </c>
      <c r="B1022" s="15">
        <v>2138</v>
      </c>
      <c r="C1022" s="15">
        <v>16</v>
      </c>
      <c r="D1022" s="15">
        <v>57119890</v>
      </c>
      <c r="E1022" s="15">
        <v>58508978</v>
      </c>
      <c r="F1022" s="15">
        <v>2328</v>
      </c>
      <c r="G1022" s="8" t="s">
        <v>12324</v>
      </c>
      <c r="H1022" s="24" t="s">
        <v>662</v>
      </c>
      <c r="I1022" s="25" t="s">
        <v>663</v>
      </c>
      <c r="J1022" s="8" t="s">
        <v>664</v>
      </c>
      <c r="K1022" s="8" t="s">
        <v>10040</v>
      </c>
      <c r="L1022" s="15">
        <v>-0.53353099999999998</v>
      </c>
      <c r="M1022" s="15">
        <v>0.109528</v>
      </c>
      <c r="N1022" s="15">
        <v>0.47472222709551659</v>
      </c>
    </row>
    <row r="1023" spans="1:14" x14ac:dyDescent="0.2">
      <c r="A1023" s="2" t="s">
        <v>10068</v>
      </c>
      <c r="B1023" s="15">
        <v>204</v>
      </c>
      <c r="C1023" s="15">
        <v>2</v>
      </c>
      <c r="D1023" s="15">
        <v>1875061</v>
      </c>
      <c r="E1023" s="15">
        <v>2680063</v>
      </c>
      <c r="F1023" s="15">
        <v>2327</v>
      </c>
      <c r="G1023" s="8" t="s">
        <v>12324</v>
      </c>
      <c r="H1023" s="24" t="s">
        <v>1259</v>
      </c>
      <c r="I1023" s="25">
        <v>27096</v>
      </c>
      <c r="J1023" s="8" t="s">
        <v>1261</v>
      </c>
      <c r="K1023" s="8" t="s">
        <v>10040</v>
      </c>
      <c r="L1023" s="15">
        <v>0.35618699999999998</v>
      </c>
      <c r="M1023" s="15">
        <v>0.10928</v>
      </c>
      <c r="N1023" s="15">
        <v>0.47472222709551659</v>
      </c>
    </row>
    <row r="1024" spans="1:14" x14ac:dyDescent="0.2">
      <c r="A1024" s="2" t="s">
        <v>10068</v>
      </c>
      <c r="B1024" s="15">
        <v>285</v>
      </c>
      <c r="C1024" s="15">
        <v>2</v>
      </c>
      <c r="D1024" s="15">
        <v>79019677</v>
      </c>
      <c r="E1024" s="15">
        <v>79900055</v>
      </c>
      <c r="F1024" s="15">
        <v>2715</v>
      </c>
      <c r="G1024" s="8" t="s">
        <v>12324</v>
      </c>
      <c r="H1024" s="24" t="s">
        <v>1259</v>
      </c>
      <c r="I1024" s="25">
        <v>27096</v>
      </c>
      <c r="J1024" s="8" t="s">
        <v>1261</v>
      </c>
      <c r="K1024" s="8" t="s">
        <v>10040</v>
      </c>
      <c r="L1024" s="15">
        <v>0.56826299999999996</v>
      </c>
      <c r="M1024" s="15">
        <v>0.10976</v>
      </c>
      <c r="N1024" s="15">
        <v>0.47472222709551659</v>
      </c>
    </row>
    <row r="1025" spans="1:14" x14ac:dyDescent="0.2">
      <c r="A1025" s="2" t="s">
        <v>10066</v>
      </c>
      <c r="B1025" s="15">
        <v>2411</v>
      </c>
      <c r="C1025" s="15">
        <v>20</v>
      </c>
      <c r="D1025" s="15">
        <v>47203837</v>
      </c>
      <c r="E1025" s="15">
        <v>48212975</v>
      </c>
      <c r="F1025" s="15">
        <v>2658</v>
      </c>
      <c r="G1025" s="8" t="s">
        <v>12324</v>
      </c>
      <c r="H1025" s="24" t="s">
        <v>3164</v>
      </c>
      <c r="I1025" s="25" t="s">
        <v>3165</v>
      </c>
      <c r="J1025" s="8" t="s">
        <v>3166</v>
      </c>
      <c r="K1025" s="8" t="s">
        <v>10042</v>
      </c>
      <c r="L1025" s="15">
        <v>-0.59124399999999999</v>
      </c>
      <c r="M1025" s="15">
        <v>0.10981399999999999</v>
      </c>
      <c r="N1025" s="15">
        <v>0.47472222709551659</v>
      </c>
    </row>
    <row r="1026" spans="1:14" x14ac:dyDescent="0.2">
      <c r="A1026" s="2" t="s">
        <v>10066</v>
      </c>
      <c r="B1026" s="15">
        <v>2251</v>
      </c>
      <c r="C1026" s="15">
        <v>18</v>
      </c>
      <c r="D1026" s="15">
        <v>12735559</v>
      </c>
      <c r="E1026" s="15">
        <v>13641479</v>
      </c>
      <c r="F1026" s="15">
        <v>2391</v>
      </c>
      <c r="G1026" s="8" t="s">
        <v>12324</v>
      </c>
      <c r="H1026" s="24" t="s">
        <v>3164</v>
      </c>
      <c r="I1026" s="25" t="s">
        <v>3165</v>
      </c>
      <c r="J1026" s="8" t="s">
        <v>3166</v>
      </c>
      <c r="K1026" s="8" t="s">
        <v>10042</v>
      </c>
      <c r="L1026" s="15">
        <v>0.28698800000000002</v>
      </c>
      <c r="M1026" s="15">
        <v>0.109823</v>
      </c>
      <c r="N1026" s="15">
        <v>0.47472222709551659</v>
      </c>
    </row>
    <row r="1027" spans="1:14" x14ac:dyDescent="0.2">
      <c r="A1027" s="2" t="s">
        <v>10068</v>
      </c>
      <c r="B1027" s="15">
        <v>1759</v>
      </c>
      <c r="C1027" s="15">
        <v>12</v>
      </c>
      <c r="D1027" s="15">
        <v>19532766</v>
      </c>
      <c r="E1027" s="15">
        <v>20074930</v>
      </c>
      <c r="F1027" s="15">
        <v>2365</v>
      </c>
      <c r="G1027" s="8" t="s">
        <v>12324</v>
      </c>
      <c r="H1027" s="24" t="s">
        <v>6565</v>
      </c>
      <c r="I1027" s="25" t="s">
        <v>6475</v>
      </c>
      <c r="J1027" s="8" t="s">
        <v>6566</v>
      </c>
      <c r="K1027" s="8" t="s">
        <v>10054</v>
      </c>
      <c r="L1027" s="15">
        <v>-0.32831100000000002</v>
      </c>
      <c r="M1027" s="15">
        <v>0.109293</v>
      </c>
      <c r="N1027" s="15">
        <v>0.47472222709551659</v>
      </c>
    </row>
    <row r="1028" spans="1:14" x14ac:dyDescent="0.2">
      <c r="A1028" s="2" t="s">
        <v>10068</v>
      </c>
      <c r="B1028" s="15">
        <v>932</v>
      </c>
      <c r="C1028" s="15">
        <v>6</v>
      </c>
      <c r="D1028" s="15">
        <v>6621938</v>
      </c>
      <c r="E1028" s="15">
        <v>7808323</v>
      </c>
      <c r="F1028" s="15">
        <v>3912</v>
      </c>
      <c r="G1028" s="8" t="s">
        <v>12324</v>
      </c>
      <c r="H1028" s="24" t="s">
        <v>6565</v>
      </c>
      <c r="I1028" s="25" t="s">
        <v>6475</v>
      </c>
      <c r="J1028" s="8" t="s">
        <v>6566</v>
      </c>
      <c r="K1028" s="8" t="s">
        <v>10054</v>
      </c>
      <c r="L1028" s="15">
        <v>0.49465999999999999</v>
      </c>
      <c r="M1028" s="15">
        <v>0.109782</v>
      </c>
      <c r="N1028" s="15">
        <v>0.47472222709551659</v>
      </c>
    </row>
    <row r="1029" spans="1:14" x14ac:dyDescent="0.2">
      <c r="A1029" s="2" t="s">
        <v>10068</v>
      </c>
      <c r="B1029" s="15">
        <v>1085</v>
      </c>
      <c r="C1029" s="15">
        <v>6</v>
      </c>
      <c r="D1029" s="15">
        <v>161371015</v>
      </c>
      <c r="E1029" s="15">
        <v>162254229</v>
      </c>
      <c r="F1029" s="15">
        <v>2715</v>
      </c>
      <c r="G1029" s="8" t="s">
        <v>12324</v>
      </c>
      <c r="H1029" s="24" t="s">
        <v>1259</v>
      </c>
      <c r="I1029" s="25">
        <v>27096</v>
      </c>
      <c r="J1029" s="8" t="s">
        <v>1261</v>
      </c>
      <c r="K1029" s="8" t="s">
        <v>10040</v>
      </c>
      <c r="L1029" s="15">
        <v>-0.264046</v>
      </c>
      <c r="M1029" s="15">
        <v>0.110134</v>
      </c>
      <c r="N1029" s="15">
        <v>0.47560300876338851</v>
      </c>
    </row>
    <row r="1030" spans="1:14" x14ac:dyDescent="0.2">
      <c r="A1030" s="2" t="s">
        <v>10066</v>
      </c>
      <c r="B1030" s="15">
        <v>2358</v>
      </c>
      <c r="C1030" s="15">
        <v>19</v>
      </c>
      <c r="D1030" s="15">
        <v>51259179</v>
      </c>
      <c r="E1030" s="15">
        <v>51903804</v>
      </c>
      <c r="F1030" s="15">
        <v>2092</v>
      </c>
      <c r="G1030" s="8" t="s">
        <v>12324</v>
      </c>
      <c r="H1030" s="24" t="s">
        <v>3164</v>
      </c>
      <c r="I1030" s="25" t="s">
        <v>3165</v>
      </c>
      <c r="J1030" s="8" t="s">
        <v>3166</v>
      </c>
      <c r="K1030" s="8" t="s">
        <v>10042</v>
      </c>
      <c r="L1030" s="15">
        <v>-0.20319699999999999</v>
      </c>
      <c r="M1030" s="15">
        <v>0.11053499999999999</v>
      </c>
      <c r="N1030" s="15">
        <v>0.47687035505836572</v>
      </c>
    </row>
    <row r="1031" spans="1:14" x14ac:dyDescent="0.2">
      <c r="A1031" s="2" t="s">
        <v>10068</v>
      </c>
      <c r="B1031" s="15">
        <v>927</v>
      </c>
      <c r="C1031" s="15">
        <v>6</v>
      </c>
      <c r="D1031" s="15">
        <v>1380680</v>
      </c>
      <c r="E1031" s="15">
        <v>2746531</v>
      </c>
      <c r="F1031" s="15">
        <v>4012</v>
      </c>
      <c r="G1031" s="8" t="s">
        <v>12324</v>
      </c>
      <c r="H1031" s="24" t="s">
        <v>494</v>
      </c>
      <c r="I1031" s="25">
        <v>25920</v>
      </c>
      <c r="J1031" s="8" t="s">
        <v>496</v>
      </c>
      <c r="K1031" s="8" t="s">
        <v>10040</v>
      </c>
      <c r="L1031" s="15">
        <v>-0.33720099999999997</v>
      </c>
      <c r="M1031" s="15">
        <v>0.110945</v>
      </c>
      <c r="N1031" s="15">
        <v>0.47724643549951501</v>
      </c>
    </row>
    <row r="1032" spans="1:14" x14ac:dyDescent="0.2">
      <c r="A1032" s="2" t="s">
        <v>10068</v>
      </c>
      <c r="B1032" s="15">
        <v>2214</v>
      </c>
      <c r="C1032" s="15">
        <v>17</v>
      </c>
      <c r="D1032" s="15">
        <v>52102650</v>
      </c>
      <c r="E1032" s="15">
        <v>53468006</v>
      </c>
      <c r="F1032" s="15">
        <v>3313</v>
      </c>
      <c r="G1032" s="8" t="s">
        <v>12324</v>
      </c>
      <c r="H1032" s="24" t="s">
        <v>1259</v>
      </c>
      <c r="I1032" s="25">
        <v>27096</v>
      </c>
      <c r="J1032" s="8" t="s">
        <v>1261</v>
      </c>
      <c r="K1032" s="8" t="s">
        <v>10040</v>
      </c>
      <c r="L1032" s="15">
        <v>-0.40482499999999999</v>
      </c>
      <c r="M1032" s="15">
        <v>0.110943</v>
      </c>
      <c r="N1032" s="15">
        <v>0.47724643549951501</v>
      </c>
    </row>
    <row r="1033" spans="1:14" x14ac:dyDescent="0.2">
      <c r="A1033" s="2" t="s">
        <v>10066</v>
      </c>
      <c r="B1033" s="15">
        <v>404</v>
      </c>
      <c r="C1033" s="15">
        <v>2</v>
      </c>
      <c r="D1033" s="15">
        <v>227557842</v>
      </c>
      <c r="E1033" s="15">
        <v>228812485</v>
      </c>
      <c r="F1033" s="15">
        <v>4234</v>
      </c>
      <c r="G1033" s="8" t="s">
        <v>12324</v>
      </c>
      <c r="H1033" s="24" t="s">
        <v>3164</v>
      </c>
      <c r="I1033" s="25" t="s">
        <v>3165</v>
      </c>
      <c r="J1033" s="8" t="s">
        <v>3166</v>
      </c>
      <c r="K1033" s="8" t="s">
        <v>10042</v>
      </c>
      <c r="L1033" s="15">
        <v>-0.36333399999999999</v>
      </c>
      <c r="M1033" s="15">
        <v>0.110759</v>
      </c>
      <c r="N1033" s="15">
        <v>0.47724643549951501</v>
      </c>
    </row>
    <row r="1034" spans="1:14" x14ac:dyDescent="0.2">
      <c r="A1034" s="2" t="s">
        <v>10068</v>
      </c>
      <c r="B1034" s="15">
        <v>547</v>
      </c>
      <c r="C1034" s="15">
        <v>3</v>
      </c>
      <c r="D1034" s="15">
        <v>144408822</v>
      </c>
      <c r="E1034" s="15">
        <v>145211907</v>
      </c>
      <c r="F1034" s="15">
        <v>2284</v>
      </c>
      <c r="G1034" s="8" t="s">
        <v>12324</v>
      </c>
      <c r="H1034" s="24" t="s">
        <v>494</v>
      </c>
      <c r="I1034" s="25">
        <v>25920</v>
      </c>
      <c r="J1034" s="8" t="s">
        <v>496</v>
      </c>
      <c r="K1034" s="8" t="s">
        <v>10040</v>
      </c>
      <c r="L1034" s="15">
        <v>0.55843799999999999</v>
      </c>
      <c r="M1034" s="15">
        <v>0.11280999999999999</v>
      </c>
      <c r="N1034" s="15">
        <v>0.47773920604914932</v>
      </c>
    </row>
    <row r="1035" spans="1:14" x14ac:dyDescent="0.2">
      <c r="A1035" s="2" t="s">
        <v>10068</v>
      </c>
      <c r="B1035" s="15">
        <v>1596</v>
      </c>
      <c r="C1035" s="15">
        <v>10</v>
      </c>
      <c r="D1035" s="15">
        <v>122803507</v>
      </c>
      <c r="E1035" s="15">
        <v>123856184</v>
      </c>
      <c r="F1035" s="15">
        <v>3005</v>
      </c>
      <c r="G1035" s="8" t="s">
        <v>12324</v>
      </c>
      <c r="H1035" s="24" t="s">
        <v>494</v>
      </c>
      <c r="I1035" s="25">
        <v>25920</v>
      </c>
      <c r="J1035" s="8" t="s">
        <v>496</v>
      </c>
      <c r="K1035" s="8" t="s">
        <v>10040</v>
      </c>
      <c r="L1035" s="15">
        <v>-0.322766</v>
      </c>
      <c r="M1035" s="15">
        <v>0.113081</v>
      </c>
      <c r="N1035" s="15">
        <v>0.47773920604914932</v>
      </c>
    </row>
    <row r="1036" spans="1:14" x14ac:dyDescent="0.2">
      <c r="A1036" s="2" t="s">
        <v>10068</v>
      </c>
      <c r="B1036" s="15">
        <v>2243</v>
      </c>
      <c r="C1036" s="15">
        <v>18</v>
      </c>
      <c r="D1036" s="15">
        <v>4603962</v>
      </c>
      <c r="E1036" s="15">
        <v>5575812</v>
      </c>
      <c r="F1036" s="15">
        <v>3056</v>
      </c>
      <c r="G1036" s="8" t="s">
        <v>12324</v>
      </c>
      <c r="H1036" s="24" t="s">
        <v>494</v>
      </c>
      <c r="I1036" s="25">
        <v>25920</v>
      </c>
      <c r="J1036" s="8" t="s">
        <v>496</v>
      </c>
      <c r="K1036" s="8" t="s">
        <v>10040</v>
      </c>
      <c r="L1036" s="15">
        <v>-0.18154699999999999</v>
      </c>
      <c r="M1036" s="15">
        <v>0.113805</v>
      </c>
      <c r="N1036" s="15">
        <v>0.47773920604914932</v>
      </c>
    </row>
    <row r="1037" spans="1:14" x14ac:dyDescent="0.2">
      <c r="A1037" s="2" t="s">
        <v>10068</v>
      </c>
      <c r="B1037" s="15">
        <v>212</v>
      </c>
      <c r="C1037" s="15">
        <v>2</v>
      </c>
      <c r="D1037" s="15">
        <v>7966710</v>
      </c>
      <c r="E1037" s="15">
        <v>8978798</v>
      </c>
      <c r="F1037" s="15">
        <v>2478</v>
      </c>
      <c r="G1037" s="8" t="s">
        <v>12324</v>
      </c>
      <c r="H1037" s="24" t="s">
        <v>599</v>
      </c>
      <c r="I1037" s="25">
        <v>26562</v>
      </c>
      <c r="J1037" s="8" t="s">
        <v>601</v>
      </c>
      <c r="K1037" s="8" t="s">
        <v>10040</v>
      </c>
      <c r="L1037" s="15">
        <v>0.224491</v>
      </c>
      <c r="M1037" s="15">
        <v>0.11350300000000001</v>
      </c>
      <c r="N1037" s="15">
        <v>0.47773920604914932</v>
      </c>
    </row>
    <row r="1038" spans="1:14" x14ac:dyDescent="0.2">
      <c r="A1038" s="2" t="s">
        <v>10068</v>
      </c>
      <c r="B1038" s="15">
        <v>586</v>
      </c>
      <c r="C1038" s="15">
        <v>3</v>
      </c>
      <c r="D1038" s="15">
        <v>189451806</v>
      </c>
      <c r="E1038" s="15">
        <v>190591293</v>
      </c>
      <c r="F1038" s="15">
        <v>3788</v>
      </c>
      <c r="G1038" s="8" t="s">
        <v>12324</v>
      </c>
      <c r="H1038" s="24" t="s">
        <v>599</v>
      </c>
      <c r="I1038" s="25">
        <v>26562</v>
      </c>
      <c r="J1038" s="8" t="s">
        <v>601</v>
      </c>
      <c r="K1038" s="8" t="s">
        <v>10040</v>
      </c>
      <c r="L1038" s="15">
        <v>0.21975</v>
      </c>
      <c r="M1038" s="15">
        <v>0.113759</v>
      </c>
      <c r="N1038" s="15">
        <v>0.47773920604914932</v>
      </c>
    </row>
    <row r="1039" spans="1:14" x14ac:dyDescent="0.2">
      <c r="A1039" s="2" t="s">
        <v>10069</v>
      </c>
      <c r="B1039" s="15">
        <v>2040</v>
      </c>
      <c r="C1039" s="15">
        <v>15</v>
      </c>
      <c r="D1039" s="15">
        <v>27563173</v>
      </c>
      <c r="E1039" s="15">
        <v>29141035</v>
      </c>
      <c r="F1039" s="15">
        <v>1602</v>
      </c>
      <c r="G1039" s="8" t="s">
        <v>12324</v>
      </c>
      <c r="H1039" s="24" t="s">
        <v>662</v>
      </c>
      <c r="I1039" s="25" t="s">
        <v>663</v>
      </c>
      <c r="J1039" s="8" t="s">
        <v>664</v>
      </c>
      <c r="K1039" s="8" t="s">
        <v>10040</v>
      </c>
      <c r="L1039" s="15">
        <v>-0.58109200000000005</v>
      </c>
      <c r="M1039" s="15">
        <v>0.112536</v>
      </c>
      <c r="N1039" s="15">
        <v>0.47773920604914932</v>
      </c>
    </row>
    <row r="1040" spans="1:14" x14ac:dyDescent="0.2">
      <c r="A1040" s="2" t="s">
        <v>10069</v>
      </c>
      <c r="B1040" s="15">
        <v>702</v>
      </c>
      <c r="C1040" s="15">
        <v>4</v>
      </c>
      <c r="D1040" s="15">
        <v>115306150</v>
      </c>
      <c r="E1040" s="15">
        <v>116204703</v>
      </c>
      <c r="F1040" s="15">
        <v>1426</v>
      </c>
      <c r="G1040" s="8" t="s">
        <v>12324</v>
      </c>
      <c r="H1040" s="24" t="s">
        <v>662</v>
      </c>
      <c r="I1040" s="25" t="s">
        <v>663</v>
      </c>
      <c r="J1040" s="8" t="s">
        <v>664</v>
      </c>
      <c r="K1040" s="8" t="s">
        <v>10040</v>
      </c>
      <c r="L1040" s="15">
        <v>-0.70286300000000002</v>
      </c>
      <c r="M1040" s="15">
        <v>0.112773</v>
      </c>
      <c r="N1040" s="15">
        <v>0.47773920604914932</v>
      </c>
    </row>
    <row r="1041" spans="1:14" x14ac:dyDescent="0.2">
      <c r="A1041" s="2" t="s">
        <v>10069</v>
      </c>
      <c r="B1041" s="15">
        <v>1576</v>
      </c>
      <c r="C1041" s="15">
        <v>10</v>
      </c>
      <c r="D1041" s="15">
        <v>98005995</v>
      </c>
      <c r="E1041" s="15">
        <v>99367800</v>
      </c>
      <c r="F1041" s="15">
        <v>2012</v>
      </c>
      <c r="G1041" s="8" t="s">
        <v>12324</v>
      </c>
      <c r="H1041" s="24" t="s">
        <v>662</v>
      </c>
      <c r="I1041" s="25" t="s">
        <v>663</v>
      </c>
      <c r="J1041" s="8" t="s">
        <v>664</v>
      </c>
      <c r="K1041" s="8" t="s">
        <v>10040</v>
      </c>
      <c r="L1041" s="15">
        <v>-0.53373800000000005</v>
      </c>
      <c r="M1041" s="15">
        <v>0.113126</v>
      </c>
      <c r="N1041" s="15">
        <v>0.47773920604914932</v>
      </c>
    </row>
    <row r="1042" spans="1:14" x14ac:dyDescent="0.2">
      <c r="A1042" s="2" t="s">
        <v>10069</v>
      </c>
      <c r="B1042" s="15">
        <v>394</v>
      </c>
      <c r="C1042" s="15">
        <v>2</v>
      </c>
      <c r="D1042" s="15">
        <v>217566012</v>
      </c>
      <c r="E1042" s="15">
        <v>218396258</v>
      </c>
      <c r="F1042" s="15">
        <v>1462</v>
      </c>
      <c r="G1042" s="8" t="s">
        <v>12324</v>
      </c>
      <c r="H1042" s="24" t="s">
        <v>662</v>
      </c>
      <c r="I1042" s="25" t="s">
        <v>663</v>
      </c>
      <c r="J1042" s="8" t="s">
        <v>664</v>
      </c>
      <c r="K1042" s="8" t="s">
        <v>10040</v>
      </c>
      <c r="L1042" s="15">
        <v>0.68983300000000003</v>
      </c>
      <c r="M1042" s="15">
        <v>0.113223</v>
      </c>
      <c r="N1042" s="15">
        <v>0.47773920604914932</v>
      </c>
    </row>
    <row r="1043" spans="1:14" x14ac:dyDescent="0.2">
      <c r="A1043" s="2" t="s">
        <v>10068</v>
      </c>
      <c r="B1043" s="15">
        <v>2048</v>
      </c>
      <c r="C1043" s="15">
        <v>15</v>
      </c>
      <c r="D1043" s="15">
        <v>37962916</v>
      </c>
      <c r="E1043" s="15">
        <v>39238840</v>
      </c>
      <c r="F1043" s="15">
        <v>3285</v>
      </c>
      <c r="G1043" s="8" t="s">
        <v>12324</v>
      </c>
      <c r="H1043" s="24" t="s">
        <v>1259</v>
      </c>
      <c r="I1043" s="25">
        <v>27096</v>
      </c>
      <c r="J1043" s="8" t="s">
        <v>1261</v>
      </c>
      <c r="K1043" s="8" t="s">
        <v>10040</v>
      </c>
      <c r="L1043" s="15">
        <v>-0.48694999999999999</v>
      </c>
      <c r="M1043" s="15">
        <v>0.11139499999999999</v>
      </c>
      <c r="N1043" s="15">
        <v>0.47773920604914932</v>
      </c>
    </row>
    <row r="1044" spans="1:14" x14ac:dyDescent="0.2">
      <c r="A1044" s="2" t="s">
        <v>10068</v>
      </c>
      <c r="B1044" s="15">
        <v>78</v>
      </c>
      <c r="C1044" s="15">
        <v>1</v>
      </c>
      <c r="D1044" s="15">
        <v>89753965</v>
      </c>
      <c r="E1044" s="15">
        <v>90941549</v>
      </c>
      <c r="F1044" s="15">
        <v>2531</v>
      </c>
      <c r="G1044" s="8" t="s">
        <v>12324</v>
      </c>
      <c r="H1044" s="24" t="s">
        <v>1259</v>
      </c>
      <c r="I1044" s="25">
        <v>27096</v>
      </c>
      <c r="J1044" s="8" t="s">
        <v>1261</v>
      </c>
      <c r="K1044" s="8" t="s">
        <v>10040</v>
      </c>
      <c r="L1044" s="15">
        <v>-0.31030999999999997</v>
      </c>
      <c r="M1044" s="15">
        <v>0.111623</v>
      </c>
      <c r="N1044" s="15">
        <v>0.47773920604914932</v>
      </c>
    </row>
    <row r="1045" spans="1:14" x14ac:dyDescent="0.2">
      <c r="A1045" s="2" t="s">
        <v>10068</v>
      </c>
      <c r="B1045" s="15">
        <v>988</v>
      </c>
      <c r="C1045" s="15">
        <v>6</v>
      </c>
      <c r="D1045" s="15">
        <v>53425493</v>
      </c>
      <c r="E1045" s="15">
        <v>54452767</v>
      </c>
      <c r="F1045" s="15">
        <v>2547</v>
      </c>
      <c r="G1045" s="8" t="s">
        <v>12324</v>
      </c>
      <c r="H1045" s="24" t="s">
        <v>1259</v>
      </c>
      <c r="I1045" s="25">
        <v>27096</v>
      </c>
      <c r="J1045" s="8" t="s">
        <v>1261</v>
      </c>
      <c r="K1045" s="8" t="s">
        <v>10040</v>
      </c>
      <c r="L1045" s="15">
        <v>0.29885699999999998</v>
      </c>
      <c r="M1045" s="15">
        <v>0.112302</v>
      </c>
      <c r="N1045" s="15">
        <v>0.47773920604914932</v>
      </c>
    </row>
    <row r="1046" spans="1:14" x14ac:dyDescent="0.2">
      <c r="A1046" s="2" t="s">
        <v>10068</v>
      </c>
      <c r="B1046" s="15">
        <v>1589</v>
      </c>
      <c r="C1046" s="15">
        <v>10</v>
      </c>
      <c r="D1046" s="15">
        <v>114255955</v>
      </c>
      <c r="E1046" s="15">
        <v>115588903</v>
      </c>
      <c r="F1046" s="15">
        <v>2996</v>
      </c>
      <c r="G1046" s="8" t="s">
        <v>12324</v>
      </c>
      <c r="H1046" s="24" t="s">
        <v>1259</v>
      </c>
      <c r="I1046" s="25">
        <v>27096</v>
      </c>
      <c r="J1046" s="8" t="s">
        <v>1261</v>
      </c>
      <c r="K1046" s="8" t="s">
        <v>10040</v>
      </c>
      <c r="L1046" s="15">
        <v>-0.36452200000000001</v>
      </c>
      <c r="M1046" s="15">
        <v>0.113649</v>
      </c>
      <c r="N1046" s="15">
        <v>0.47773920604914932</v>
      </c>
    </row>
    <row r="1047" spans="1:14" x14ac:dyDescent="0.2">
      <c r="A1047" s="2" t="s">
        <v>10068</v>
      </c>
      <c r="B1047" s="15">
        <v>54</v>
      </c>
      <c r="C1047" s="15">
        <v>1</v>
      </c>
      <c r="D1047" s="15">
        <v>62778734</v>
      </c>
      <c r="E1047" s="15">
        <v>64344226</v>
      </c>
      <c r="F1047" s="15">
        <v>3565</v>
      </c>
      <c r="G1047" s="8" t="s">
        <v>12324</v>
      </c>
      <c r="H1047" s="24" t="s">
        <v>1259</v>
      </c>
      <c r="I1047" s="25">
        <v>27096</v>
      </c>
      <c r="J1047" s="8" t="s">
        <v>1261</v>
      </c>
      <c r="K1047" s="8" t="s">
        <v>10040</v>
      </c>
      <c r="L1047" s="15">
        <v>0.24191299999999999</v>
      </c>
      <c r="M1047" s="15">
        <v>0.113846</v>
      </c>
      <c r="N1047" s="15">
        <v>0.47773920604914932</v>
      </c>
    </row>
    <row r="1048" spans="1:14" x14ac:dyDescent="0.2">
      <c r="A1048" s="2" t="s">
        <v>10066</v>
      </c>
      <c r="B1048" s="15">
        <v>1373</v>
      </c>
      <c r="C1048" s="15">
        <v>9</v>
      </c>
      <c r="D1048" s="15">
        <v>1874962</v>
      </c>
      <c r="E1048" s="15">
        <v>2441120</v>
      </c>
      <c r="F1048" s="15">
        <v>2006</v>
      </c>
      <c r="G1048" s="8" t="s">
        <v>12324</v>
      </c>
      <c r="H1048" s="24" t="s">
        <v>3164</v>
      </c>
      <c r="I1048" s="25" t="s">
        <v>3165</v>
      </c>
      <c r="J1048" s="8" t="s">
        <v>3166</v>
      </c>
      <c r="K1048" s="8" t="s">
        <v>10042</v>
      </c>
      <c r="L1048" s="15">
        <v>0.219776</v>
      </c>
      <c r="M1048" s="15">
        <v>0.111521</v>
      </c>
      <c r="N1048" s="15">
        <v>0.47773920604914932</v>
      </c>
    </row>
    <row r="1049" spans="1:14" x14ac:dyDescent="0.2">
      <c r="A1049" s="2" t="s">
        <v>10066</v>
      </c>
      <c r="B1049" s="15">
        <v>862</v>
      </c>
      <c r="C1049" s="15">
        <v>5</v>
      </c>
      <c r="D1049" s="15">
        <v>103788461</v>
      </c>
      <c r="E1049" s="15">
        <v>104850490</v>
      </c>
      <c r="F1049" s="15">
        <v>2682</v>
      </c>
      <c r="G1049" s="8" t="s">
        <v>12324</v>
      </c>
      <c r="H1049" s="24" t="s">
        <v>3164</v>
      </c>
      <c r="I1049" s="25" t="s">
        <v>3165</v>
      </c>
      <c r="J1049" s="8" t="s">
        <v>3166</v>
      </c>
      <c r="K1049" s="8" t="s">
        <v>10042</v>
      </c>
      <c r="L1049" s="15">
        <v>0.44898700000000002</v>
      </c>
      <c r="M1049" s="15">
        <v>0.112348</v>
      </c>
      <c r="N1049" s="15">
        <v>0.47773920604914932</v>
      </c>
    </row>
    <row r="1050" spans="1:14" x14ac:dyDescent="0.2">
      <c r="A1050" s="2" t="s">
        <v>10066</v>
      </c>
      <c r="B1050" s="15">
        <v>1272</v>
      </c>
      <c r="C1050" s="15">
        <v>8</v>
      </c>
      <c r="D1050" s="15">
        <v>26679136</v>
      </c>
      <c r="E1050" s="15">
        <v>27406511</v>
      </c>
      <c r="F1050" s="15">
        <v>2532</v>
      </c>
      <c r="G1050" s="8" t="s">
        <v>12324</v>
      </c>
      <c r="H1050" s="24" t="s">
        <v>3164</v>
      </c>
      <c r="I1050" s="25" t="s">
        <v>3165</v>
      </c>
      <c r="J1050" s="8" t="s">
        <v>3166</v>
      </c>
      <c r="K1050" s="8" t="s">
        <v>10042</v>
      </c>
      <c r="L1050" s="15">
        <v>0.55082500000000001</v>
      </c>
      <c r="M1050" s="15">
        <v>0.11286</v>
      </c>
      <c r="N1050" s="15">
        <v>0.47773920604914932</v>
      </c>
    </row>
    <row r="1051" spans="1:14" x14ac:dyDescent="0.2">
      <c r="A1051" s="2" t="s">
        <v>10066</v>
      </c>
      <c r="B1051" s="15">
        <v>474</v>
      </c>
      <c r="C1051" s="15">
        <v>3</v>
      </c>
      <c r="D1051" s="15">
        <v>61277588</v>
      </c>
      <c r="E1051" s="15">
        <v>62609818</v>
      </c>
      <c r="F1051" s="15">
        <v>3268</v>
      </c>
      <c r="G1051" s="8" t="s">
        <v>12324</v>
      </c>
      <c r="H1051" s="24" t="s">
        <v>3164</v>
      </c>
      <c r="I1051" s="25" t="s">
        <v>3165</v>
      </c>
      <c r="J1051" s="8" t="s">
        <v>3166</v>
      </c>
      <c r="K1051" s="8" t="s">
        <v>10042</v>
      </c>
      <c r="L1051" s="15">
        <v>-0.47963899999999998</v>
      </c>
      <c r="M1051" s="15">
        <v>0.11289399999999999</v>
      </c>
      <c r="N1051" s="15">
        <v>0.47773920604914932</v>
      </c>
    </row>
    <row r="1052" spans="1:14" x14ac:dyDescent="0.2">
      <c r="A1052" s="2" t="s">
        <v>10066</v>
      </c>
      <c r="B1052" s="15">
        <v>676</v>
      </c>
      <c r="C1052" s="15">
        <v>4</v>
      </c>
      <c r="D1052" s="15">
        <v>84003063</v>
      </c>
      <c r="E1052" s="15">
        <v>85437805</v>
      </c>
      <c r="F1052" s="15">
        <v>3245</v>
      </c>
      <c r="G1052" s="8" t="s">
        <v>12324</v>
      </c>
      <c r="H1052" s="24" t="s">
        <v>3164</v>
      </c>
      <c r="I1052" s="25" t="s">
        <v>3165</v>
      </c>
      <c r="J1052" s="8" t="s">
        <v>3166</v>
      </c>
      <c r="K1052" s="8" t="s">
        <v>10042</v>
      </c>
      <c r="L1052" s="15">
        <v>-0.30142000000000002</v>
      </c>
      <c r="M1052" s="15">
        <v>0.11354499999999999</v>
      </c>
      <c r="N1052" s="15">
        <v>0.47773920604914932</v>
      </c>
    </row>
    <row r="1053" spans="1:14" x14ac:dyDescent="0.2">
      <c r="A1053" s="2" t="s">
        <v>10066</v>
      </c>
      <c r="B1053" s="15">
        <v>1726</v>
      </c>
      <c r="C1053" s="15">
        <v>11</v>
      </c>
      <c r="D1053" s="15">
        <v>121208187</v>
      </c>
      <c r="E1053" s="15">
        <v>122589224</v>
      </c>
      <c r="F1053" s="15">
        <v>3102</v>
      </c>
      <c r="G1053" s="8" t="s">
        <v>12324</v>
      </c>
      <c r="H1053" s="24" t="s">
        <v>3164</v>
      </c>
      <c r="I1053" s="25" t="s">
        <v>3165</v>
      </c>
      <c r="J1053" s="8" t="s">
        <v>3166</v>
      </c>
      <c r="K1053" s="8" t="s">
        <v>10042</v>
      </c>
      <c r="L1053" s="15">
        <v>0.31156400000000001</v>
      </c>
      <c r="M1053" s="15">
        <v>0.113912</v>
      </c>
      <c r="N1053" s="15">
        <v>0.47773920604914932</v>
      </c>
    </row>
    <row r="1054" spans="1:14" x14ac:dyDescent="0.2">
      <c r="A1054" s="2" t="s">
        <v>10066</v>
      </c>
      <c r="B1054" s="15">
        <v>1601</v>
      </c>
      <c r="C1054" s="15">
        <v>10</v>
      </c>
      <c r="D1054" s="15">
        <v>127997709</v>
      </c>
      <c r="E1054" s="15">
        <v>129134738</v>
      </c>
      <c r="F1054" s="15">
        <v>2772</v>
      </c>
      <c r="G1054" s="8" t="s">
        <v>12324</v>
      </c>
      <c r="H1054" s="24" t="s">
        <v>6008</v>
      </c>
      <c r="I1054" s="25" t="s">
        <v>6009</v>
      </c>
      <c r="J1054" s="8" t="s">
        <v>6010</v>
      </c>
      <c r="K1054" s="8" t="s">
        <v>10051</v>
      </c>
      <c r="L1054" s="15">
        <v>0.33036199999999999</v>
      </c>
      <c r="M1054" s="15">
        <v>0.111305</v>
      </c>
      <c r="N1054" s="15">
        <v>0.47773920604914932</v>
      </c>
    </row>
    <row r="1055" spans="1:14" x14ac:dyDescent="0.2">
      <c r="A1055" s="2" t="s">
        <v>10066</v>
      </c>
      <c r="B1055" s="15">
        <v>2403</v>
      </c>
      <c r="C1055" s="15">
        <v>20</v>
      </c>
      <c r="D1055" s="15">
        <v>38427595</v>
      </c>
      <c r="E1055" s="15">
        <v>40272390</v>
      </c>
      <c r="F1055" s="15">
        <v>4070</v>
      </c>
      <c r="G1055" s="8" t="s">
        <v>12324</v>
      </c>
      <c r="H1055" s="24" t="s">
        <v>6008</v>
      </c>
      <c r="I1055" s="25" t="s">
        <v>6009</v>
      </c>
      <c r="J1055" s="8" t="s">
        <v>6010</v>
      </c>
      <c r="K1055" s="8" t="s">
        <v>10051</v>
      </c>
      <c r="L1055" s="15">
        <v>0.46278900000000001</v>
      </c>
      <c r="M1055" s="15">
        <v>0.112486</v>
      </c>
      <c r="N1055" s="15">
        <v>0.47773920604914932</v>
      </c>
    </row>
    <row r="1056" spans="1:14" x14ac:dyDescent="0.2">
      <c r="A1056" s="2" t="s">
        <v>10066</v>
      </c>
      <c r="B1056" s="15">
        <v>1280</v>
      </c>
      <c r="C1056" s="15">
        <v>8</v>
      </c>
      <c r="D1056" s="15">
        <v>36641175</v>
      </c>
      <c r="E1056" s="15">
        <v>38803980</v>
      </c>
      <c r="F1056" s="15">
        <v>3761</v>
      </c>
      <c r="G1056" s="8" t="s">
        <v>12324</v>
      </c>
      <c r="H1056" s="24" t="s">
        <v>6008</v>
      </c>
      <c r="I1056" s="25" t="s">
        <v>6009</v>
      </c>
      <c r="J1056" s="8" t="s">
        <v>6010</v>
      </c>
      <c r="K1056" s="8" t="s">
        <v>10051</v>
      </c>
      <c r="L1056" s="15">
        <v>-0.40276299999999998</v>
      </c>
      <c r="M1056" s="15">
        <v>0.113202</v>
      </c>
      <c r="N1056" s="15">
        <v>0.47773920604914932</v>
      </c>
    </row>
    <row r="1057" spans="1:14" x14ac:dyDescent="0.2">
      <c r="A1057" s="2" t="s">
        <v>10066</v>
      </c>
      <c r="B1057" s="15">
        <v>2225</v>
      </c>
      <c r="C1057" s="15">
        <v>17</v>
      </c>
      <c r="D1057" s="15">
        <v>68176220</v>
      </c>
      <c r="E1057" s="15">
        <v>69245590</v>
      </c>
      <c r="F1057" s="15">
        <v>3012</v>
      </c>
      <c r="G1057" s="8" t="s">
        <v>12324</v>
      </c>
      <c r="H1057" s="24" t="s">
        <v>6008</v>
      </c>
      <c r="I1057" s="25" t="s">
        <v>6009</v>
      </c>
      <c r="J1057" s="8" t="s">
        <v>6010</v>
      </c>
      <c r="K1057" s="8" t="s">
        <v>10051</v>
      </c>
      <c r="L1057" s="15">
        <v>0.43016599999999999</v>
      </c>
      <c r="M1057" s="15">
        <v>0.11323800000000001</v>
      </c>
      <c r="N1057" s="15">
        <v>0.47773920604914932</v>
      </c>
    </row>
    <row r="1058" spans="1:14" x14ac:dyDescent="0.2">
      <c r="A1058" s="2" t="s">
        <v>10066</v>
      </c>
      <c r="B1058" s="15">
        <v>2368</v>
      </c>
      <c r="C1058" s="15">
        <v>19</v>
      </c>
      <c r="D1058" s="15">
        <v>57959953</v>
      </c>
      <c r="E1058" s="15">
        <v>59118811</v>
      </c>
      <c r="F1058" s="15">
        <v>2916</v>
      </c>
      <c r="G1058" s="8" t="s">
        <v>12324</v>
      </c>
      <c r="H1058" s="24" t="s">
        <v>6008</v>
      </c>
      <c r="I1058" s="25" t="s">
        <v>6009</v>
      </c>
      <c r="J1058" s="8" t="s">
        <v>6010</v>
      </c>
      <c r="K1058" s="8" t="s">
        <v>10051</v>
      </c>
      <c r="L1058" s="15">
        <v>0.17483000000000001</v>
      </c>
      <c r="M1058" s="15">
        <v>0.11335099999999999</v>
      </c>
      <c r="N1058" s="15">
        <v>0.47773920604914932</v>
      </c>
    </row>
    <row r="1059" spans="1:14" x14ac:dyDescent="0.2">
      <c r="A1059" s="2" t="s">
        <v>10068</v>
      </c>
      <c r="B1059" s="15">
        <v>723</v>
      </c>
      <c r="C1059" s="15">
        <v>4</v>
      </c>
      <c r="D1059" s="15">
        <v>134109979</v>
      </c>
      <c r="E1059" s="15">
        <v>135809542</v>
      </c>
      <c r="F1059" s="15">
        <v>4000</v>
      </c>
      <c r="G1059" s="8" t="s">
        <v>12324</v>
      </c>
      <c r="H1059" s="24" t="s">
        <v>6565</v>
      </c>
      <c r="I1059" s="25" t="s">
        <v>6475</v>
      </c>
      <c r="J1059" s="8" t="s">
        <v>6566</v>
      </c>
      <c r="K1059" s="8" t="s">
        <v>10054</v>
      </c>
      <c r="L1059" s="15">
        <v>-0.40226600000000001</v>
      </c>
      <c r="M1059" s="15">
        <v>0.113481</v>
      </c>
      <c r="N1059" s="15">
        <v>0.47773920604914932</v>
      </c>
    </row>
    <row r="1060" spans="1:14" x14ac:dyDescent="0.2">
      <c r="A1060" s="2" t="s">
        <v>10068</v>
      </c>
      <c r="B1060" s="15">
        <v>1624</v>
      </c>
      <c r="C1060" s="15">
        <v>11</v>
      </c>
      <c r="D1060" s="15">
        <v>11632651</v>
      </c>
      <c r="E1060" s="15">
        <v>12470449</v>
      </c>
      <c r="F1060" s="15">
        <v>2689</v>
      </c>
      <c r="G1060" s="8" t="s">
        <v>12324</v>
      </c>
      <c r="H1060" s="24" t="s">
        <v>6565</v>
      </c>
      <c r="I1060" s="25" t="s">
        <v>6475</v>
      </c>
      <c r="J1060" s="8" t="s">
        <v>6566</v>
      </c>
      <c r="K1060" s="8" t="s">
        <v>10054</v>
      </c>
      <c r="L1060" s="15">
        <v>-0.59132300000000004</v>
      </c>
      <c r="M1060" s="15">
        <v>0.113968</v>
      </c>
      <c r="N1060" s="15">
        <v>0.47773920604914932</v>
      </c>
    </row>
    <row r="1061" spans="1:14" x14ac:dyDescent="0.2">
      <c r="A1061" s="2" t="s">
        <v>10069</v>
      </c>
      <c r="B1061" s="15">
        <v>114</v>
      </c>
      <c r="C1061" s="15">
        <v>1</v>
      </c>
      <c r="D1061" s="15">
        <v>156813846</v>
      </c>
      <c r="E1061" s="15">
        <v>158081627</v>
      </c>
      <c r="F1061" s="15">
        <v>2237</v>
      </c>
      <c r="G1061" s="8" t="s">
        <v>12324</v>
      </c>
      <c r="H1061" s="24" t="s">
        <v>662</v>
      </c>
      <c r="I1061" s="25" t="s">
        <v>663</v>
      </c>
      <c r="J1061" s="8" t="s">
        <v>664</v>
      </c>
      <c r="K1061" s="8" t="s">
        <v>10040</v>
      </c>
      <c r="L1061" s="15">
        <v>-0.52866100000000005</v>
      </c>
      <c r="M1061" s="15">
        <v>0.114344</v>
      </c>
      <c r="N1061" s="15">
        <v>0.47829865692742701</v>
      </c>
    </row>
    <row r="1062" spans="1:14" x14ac:dyDescent="0.2">
      <c r="A1062" s="2" t="s">
        <v>10068</v>
      </c>
      <c r="B1062" s="15">
        <v>1955</v>
      </c>
      <c r="C1062" s="15">
        <v>14</v>
      </c>
      <c r="D1062" s="15">
        <v>20876081</v>
      </c>
      <c r="E1062" s="15">
        <v>21982654</v>
      </c>
      <c r="F1062" s="15">
        <v>3237</v>
      </c>
      <c r="G1062" s="8" t="s">
        <v>12324</v>
      </c>
      <c r="H1062" s="24" t="s">
        <v>1259</v>
      </c>
      <c r="I1062" s="25">
        <v>27096</v>
      </c>
      <c r="J1062" s="8" t="s">
        <v>1261</v>
      </c>
      <c r="K1062" s="8" t="s">
        <v>10040</v>
      </c>
      <c r="L1062" s="15">
        <v>0.26030799999999998</v>
      </c>
      <c r="M1062" s="15">
        <v>0.114425</v>
      </c>
      <c r="N1062" s="15">
        <v>0.47829865692742701</v>
      </c>
    </row>
    <row r="1063" spans="1:14" x14ac:dyDescent="0.2">
      <c r="A1063" s="2" t="s">
        <v>10066</v>
      </c>
      <c r="B1063" s="15">
        <v>1179</v>
      </c>
      <c r="C1063" s="15">
        <v>7</v>
      </c>
      <c r="D1063" s="15">
        <v>90660832</v>
      </c>
      <c r="E1063" s="15">
        <v>92530165</v>
      </c>
      <c r="F1063" s="15">
        <v>3029</v>
      </c>
      <c r="G1063" s="8" t="s">
        <v>12324</v>
      </c>
      <c r="H1063" s="24" t="s">
        <v>6008</v>
      </c>
      <c r="I1063" s="25" t="s">
        <v>6009</v>
      </c>
      <c r="J1063" s="8" t="s">
        <v>6010</v>
      </c>
      <c r="K1063" s="8" t="s">
        <v>10051</v>
      </c>
      <c r="L1063" s="15">
        <v>0.55280899999999999</v>
      </c>
      <c r="M1063" s="15">
        <v>0.11435099999999999</v>
      </c>
      <c r="N1063" s="15">
        <v>0.47829865692742701</v>
      </c>
    </row>
    <row r="1064" spans="1:14" x14ac:dyDescent="0.2">
      <c r="A1064" s="2" t="s">
        <v>10069</v>
      </c>
      <c r="B1064" s="15">
        <v>1209</v>
      </c>
      <c r="C1064" s="15">
        <v>7</v>
      </c>
      <c r="D1064" s="15">
        <v>130418705</v>
      </c>
      <c r="E1064" s="15">
        <v>131856481</v>
      </c>
      <c r="F1064" s="15">
        <v>2556</v>
      </c>
      <c r="G1064" s="8" t="s">
        <v>12324</v>
      </c>
      <c r="H1064" s="24" t="s">
        <v>662</v>
      </c>
      <c r="I1064" s="25" t="s">
        <v>663</v>
      </c>
      <c r="J1064" s="8" t="s">
        <v>664</v>
      </c>
      <c r="K1064" s="8" t="s">
        <v>10040</v>
      </c>
      <c r="L1064" s="15">
        <v>0.34260000000000002</v>
      </c>
      <c r="M1064" s="15">
        <v>0.114756</v>
      </c>
      <c r="N1064" s="15">
        <v>0.47832975563909769</v>
      </c>
    </row>
    <row r="1065" spans="1:14" x14ac:dyDescent="0.2">
      <c r="A1065" s="2" t="s">
        <v>10066</v>
      </c>
      <c r="B1065" s="15">
        <v>1619</v>
      </c>
      <c r="C1065" s="15">
        <v>11</v>
      </c>
      <c r="D1065" s="15">
        <v>7191231</v>
      </c>
      <c r="E1065" s="15">
        <v>7915071</v>
      </c>
      <c r="F1065" s="15">
        <v>2754</v>
      </c>
      <c r="G1065" s="8" t="s">
        <v>12324</v>
      </c>
      <c r="H1065" s="24" t="s">
        <v>3164</v>
      </c>
      <c r="I1065" s="25" t="s">
        <v>3165</v>
      </c>
      <c r="J1065" s="8" t="s">
        <v>3166</v>
      </c>
      <c r="K1065" s="8" t="s">
        <v>10042</v>
      </c>
      <c r="L1065" s="15">
        <v>0.40698699999999999</v>
      </c>
      <c r="M1065" s="15">
        <v>0.11472</v>
      </c>
      <c r="N1065" s="15">
        <v>0.47832975563909769</v>
      </c>
    </row>
    <row r="1066" spans="1:14" x14ac:dyDescent="0.2">
      <c r="A1066" s="2" t="s">
        <v>10066</v>
      </c>
      <c r="B1066" s="15">
        <v>1464</v>
      </c>
      <c r="C1066" s="15">
        <v>9</v>
      </c>
      <c r="D1066" s="15">
        <v>119001228</v>
      </c>
      <c r="E1066" s="15">
        <v>119890464</v>
      </c>
      <c r="F1066" s="15">
        <v>2348</v>
      </c>
      <c r="G1066" s="8" t="s">
        <v>12324</v>
      </c>
      <c r="H1066" s="24" t="s">
        <v>6008</v>
      </c>
      <c r="I1066" s="25" t="s">
        <v>6009</v>
      </c>
      <c r="J1066" s="8" t="s">
        <v>6010</v>
      </c>
      <c r="K1066" s="8" t="s">
        <v>10051</v>
      </c>
      <c r="L1066" s="15">
        <v>-0.37891000000000002</v>
      </c>
      <c r="M1066" s="15">
        <v>0.11471099999999999</v>
      </c>
      <c r="N1066" s="15">
        <v>0.47832975563909769</v>
      </c>
    </row>
    <row r="1067" spans="1:14" x14ac:dyDescent="0.2">
      <c r="A1067" s="2" t="s">
        <v>10068</v>
      </c>
      <c r="B1067" s="15">
        <v>1690</v>
      </c>
      <c r="C1067" s="15">
        <v>11</v>
      </c>
      <c r="D1067" s="15">
        <v>83677774</v>
      </c>
      <c r="E1067" s="15">
        <v>84613229</v>
      </c>
      <c r="F1067" s="15">
        <v>2219</v>
      </c>
      <c r="G1067" s="8" t="s">
        <v>12324</v>
      </c>
      <c r="H1067" s="24" t="s">
        <v>599</v>
      </c>
      <c r="I1067" s="25">
        <v>26562</v>
      </c>
      <c r="J1067" s="8" t="s">
        <v>601</v>
      </c>
      <c r="K1067" s="8" t="s">
        <v>10040</v>
      </c>
      <c r="L1067" s="15">
        <v>0.48102099999999998</v>
      </c>
      <c r="M1067" s="15">
        <v>0.115152</v>
      </c>
      <c r="N1067" s="15">
        <v>0.47863085285848173</v>
      </c>
    </row>
    <row r="1068" spans="1:14" x14ac:dyDescent="0.2">
      <c r="A1068" s="2" t="s">
        <v>10068</v>
      </c>
      <c r="B1068" s="15">
        <v>534</v>
      </c>
      <c r="C1068" s="15">
        <v>3</v>
      </c>
      <c r="D1068" s="15">
        <v>129091976</v>
      </c>
      <c r="E1068" s="15">
        <v>130242360</v>
      </c>
      <c r="F1068" s="15">
        <v>2760</v>
      </c>
      <c r="G1068" s="8" t="s">
        <v>12324</v>
      </c>
      <c r="H1068" s="24" t="s">
        <v>1259</v>
      </c>
      <c r="I1068" s="25">
        <v>27096</v>
      </c>
      <c r="J1068" s="8" t="s">
        <v>1261</v>
      </c>
      <c r="K1068" s="8" t="s">
        <v>10040</v>
      </c>
      <c r="L1068" s="15">
        <v>0.45641799999999999</v>
      </c>
      <c r="M1068" s="15">
        <v>0.115046</v>
      </c>
      <c r="N1068" s="15">
        <v>0.47863085285848173</v>
      </c>
    </row>
    <row r="1069" spans="1:14" x14ac:dyDescent="0.2">
      <c r="A1069" s="2" t="s">
        <v>10068</v>
      </c>
      <c r="B1069" s="15">
        <v>2045</v>
      </c>
      <c r="C1069" s="15">
        <v>15</v>
      </c>
      <c r="D1069" s="15">
        <v>34410073</v>
      </c>
      <c r="E1069" s="15">
        <v>35118927</v>
      </c>
      <c r="F1069" s="15">
        <v>2172</v>
      </c>
      <c r="G1069" s="8" t="s">
        <v>12324</v>
      </c>
      <c r="H1069" s="24" t="s">
        <v>1259</v>
      </c>
      <c r="I1069" s="25">
        <v>27096</v>
      </c>
      <c r="J1069" s="8" t="s">
        <v>1261</v>
      </c>
      <c r="K1069" s="8" t="s">
        <v>10040</v>
      </c>
      <c r="L1069" s="15">
        <v>0.31726700000000002</v>
      </c>
      <c r="M1069" s="15">
        <v>0.115106</v>
      </c>
      <c r="N1069" s="15">
        <v>0.47863085285848173</v>
      </c>
    </row>
    <row r="1070" spans="1:14" x14ac:dyDescent="0.2">
      <c r="A1070" s="2" t="s">
        <v>10069</v>
      </c>
      <c r="B1070" s="15">
        <v>1744</v>
      </c>
      <c r="C1070" s="15">
        <v>12</v>
      </c>
      <c r="D1070" s="15">
        <v>3871115</v>
      </c>
      <c r="E1070" s="15">
        <v>4967643</v>
      </c>
      <c r="F1070" s="15">
        <v>1893</v>
      </c>
      <c r="G1070" s="8" t="s">
        <v>12324</v>
      </c>
      <c r="H1070" s="24" t="s">
        <v>662</v>
      </c>
      <c r="I1070" s="25" t="s">
        <v>663</v>
      </c>
      <c r="J1070" s="8" t="s">
        <v>664</v>
      </c>
      <c r="K1070" s="8" t="s">
        <v>10040</v>
      </c>
      <c r="L1070" s="15">
        <v>0.38193899999999997</v>
      </c>
      <c r="M1070" s="15">
        <v>0.115524</v>
      </c>
      <c r="N1070" s="15">
        <v>0.47883078504672899</v>
      </c>
    </row>
    <row r="1071" spans="1:14" x14ac:dyDescent="0.2">
      <c r="A1071" s="2" t="s">
        <v>10068</v>
      </c>
      <c r="B1071" s="15">
        <v>2372</v>
      </c>
      <c r="C1071" s="15">
        <v>20</v>
      </c>
      <c r="D1071" s="15">
        <v>2668109</v>
      </c>
      <c r="E1071" s="15">
        <v>3736551</v>
      </c>
      <c r="F1071" s="15">
        <v>2803</v>
      </c>
      <c r="G1071" s="8" t="s">
        <v>12324</v>
      </c>
      <c r="H1071" s="24" t="s">
        <v>1259</v>
      </c>
      <c r="I1071" s="25">
        <v>27096</v>
      </c>
      <c r="J1071" s="8" t="s">
        <v>1261</v>
      </c>
      <c r="K1071" s="8" t="s">
        <v>10040</v>
      </c>
      <c r="L1071" s="15">
        <v>0.27682899999999999</v>
      </c>
      <c r="M1071" s="15">
        <v>0.11547300000000001</v>
      </c>
      <c r="N1071" s="15">
        <v>0.47883078504672899</v>
      </c>
    </row>
    <row r="1072" spans="1:14" x14ac:dyDescent="0.2">
      <c r="A1072" s="2" t="s">
        <v>10068</v>
      </c>
      <c r="B1072" s="15">
        <v>852</v>
      </c>
      <c r="C1072" s="15">
        <v>5</v>
      </c>
      <c r="D1072" s="15">
        <v>91956906</v>
      </c>
      <c r="E1072" s="15">
        <v>93814604</v>
      </c>
      <c r="F1072" s="15">
        <v>2641</v>
      </c>
      <c r="G1072" s="8" t="s">
        <v>12324</v>
      </c>
      <c r="H1072" s="24" t="s">
        <v>1259</v>
      </c>
      <c r="I1072" s="25">
        <v>27096</v>
      </c>
      <c r="J1072" s="8" t="s">
        <v>1261</v>
      </c>
      <c r="K1072" s="8" t="s">
        <v>10040</v>
      </c>
      <c r="L1072" s="15">
        <v>-0.59694199999999997</v>
      </c>
      <c r="M1072" s="15">
        <v>0.115522</v>
      </c>
      <c r="N1072" s="15">
        <v>0.47883078504672899</v>
      </c>
    </row>
    <row r="1073" spans="1:14" x14ac:dyDescent="0.2">
      <c r="A1073" s="2" t="s">
        <v>10068</v>
      </c>
      <c r="B1073" s="15">
        <v>1243</v>
      </c>
      <c r="C1073" s="15">
        <v>8</v>
      </c>
      <c r="D1073" s="15">
        <v>5566270</v>
      </c>
      <c r="E1073" s="15">
        <v>6019163</v>
      </c>
      <c r="F1073" s="15">
        <v>2737</v>
      </c>
      <c r="G1073" s="8" t="s">
        <v>12324</v>
      </c>
      <c r="H1073" s="24" t="s">
        <v>6565</v>
      </c>
      <c r="I1073" s="25" t="s">
        <v>6475</v>
      </c>
      <c r="J1073" s="8" t="s">
        <v>6566</v>
      </c>
      <c r="K1073" s="8" t="s">
        <v>10054</v>
      </c>
      <c r="L1073" s="15">
        <v>0.53136499999999998</v>
      </c>
      <c r="M1073" s="15">
        <v>0.11575100000000001</v>
      </c>
      <c r="N1073" s="15">
        <v>0.47932370214752568</v>
      </c>
    </row>
    <row r="1074" spans="1:14" x14ac:dyDescent="0.2">
      <c r="A1074" s="2" t="s">
        <v>10069</v>
      </c>
      <c r="B1074" s="15">
        <v>619</v>
      </c>
      <c r="C1074" s="15">
        <v>4</v>
      </c>
      <c r="D1074" s="15">
        <v>20086839</v>
      </c>
      <c r="E1074" s="15">
        <v>21416380</v>
      </c>
      <c r="F1074" s="15">
        <v>2503</v>
      </c>
      <c r="G1074" s="8" t="s">
        <v>12324</v>
      </c>
      <c r="H1074" s="24" t="s">
        <v>662</v>
      </c>
      <c r="I1074" s="25" t="s">
        <v>663</v>
      </c>
      <c r="J1074" s="8" t="s">
        <v>664</v>
      </c>
      <c r="K1074" s="8" t="s">
        <v>10040</v>
      </c>
      <c r="L1074" s="15">
        <v>0.36829899999999999</v>
      </c>
      <c r="M1074" s="15">
        <v>0.116077</v>
      </c>
      <c r="N1074" s="15">
        <v>0.48022527518656721</v>
      </c>
    </row>
    <row r="1075" spans="1:14" x14ac:dyDescent="0.2">
      <c r="A1075" s="2" t="s">
        <v>10068</v>
      </c>
      <c r="B1075" s="15">
        <v>933</v>
      </c>
      <c r="C1075" s="15">
        <v>6</v>
      </c>
      <c r="D1075" s="15">
        <v>7808324</v>
      </c>
      <c r="E1075" s="15">
        <v>9020710</v>
      </c>
      <c r="F1075" s="15">
        <v>3670</v>
      </c>
      <c r="G1075" s="8" t="s">
        <v>12324</v>
      </c>
      <c r="H1075" s="24" t="s">
        <v>599</v>
      </c>
      <c r="I1075" s="25">
        <v>26562</v>
      </c>
      <c r="J1075" s="8" t="s">
        <v>601</v>
      </c>
      <c r="K1075" s="8" t="s">
        <v>10040</v>
      </c>
      <c r="L1075" s="15">
        <v>-0.34337200000000001</v>
      </c>
      <c r="M1075" s="15">
        <v>0.11645800000000001</v>
      </c>
      <c r="N1075" s="15">
        <v>0.48135249767008392</v>
      </c>
    </row>
    <row r="1076" spans="1:14" x14ac:dyDescent="0.2">
      <c r="A1076" s="2" t="s">
        <v>10068</v>
      </c>
      <c r="B1076" s="15">
        <v>1849</v>
      </c>
      <c r="C1076" s="15">
        <v>12</v>
      </c>
      <c r="D1076" s="15">
        <v>120567741</v>
      </c>
      <c r="E1076" s="15">
        <v>121817509</v>
      </c>
      <c r="F1076" s="15">
        <v>3403</v>
      </c>
      <c r="G1076" s="8" t="s">
        <v>12324</v>
      </c>
      <c r="H1076" s="24" t="s">
        <v>1259</v>
      </c>
      <c r="I1076" s="25">
        <v>27096</v>
      </c>
      <c r="J1076" s="8" t="s">
        <v>1261</v>
      </c>
      <c r="K1076" s="8" t="s">
        <v>10040</v>
      </c>
      <c r="L1076" s="15">
        <v>-0.547184</v>
      </c>
      <c r="M1076" s="15">
        <v>0.116758</v>
      </c>
      <c r="N1076" s="15">
        <v>0.48214313780260698</v>
      </c>
    </row>
    <row r="1077" spans="1:14" x14ac:dyDescent="0.2">
      <c r="A1077" s="2" t="s">
        <v>10068</v>
      </c>
      <c r="B1077" s="15">
        <v>1438</v>
      </c>
      <c r="C1077" s="15">
        <v>9</v>
      </c>
      <c r="D1077" s="15">
        <v>93441051</v>
      </c>
      <c r="E1077" s="15">
        <v>94175374</v>
      </c>
      <c r="F1077" s="15">
        <v>2260</v>
      </c>
      <c r="G1077" s="8" t="s">
        <v>12324</v>
      </c>
      <c r="H1077" s="24" t="s">
        <v>494</v>
      </c>
      <c r="I1077" s="25">
        <v>25920</v>
      </c>
      <c r="J1077" s="8" t="s">
        <v>496</v>
      </c>
      <c r="K1077" s="8" t="s">
        <v>10040</v>
      </c>
      <c r="L1077" s="15">
        <v>0.386604</v>
      </c>
      <c r="M1077" s="15">
        <v>0.11691</v>
      </c>
      <c r="N1077" s="15">
        <v>0.48232172093023262</v>
      </c>
    </row>
    <row r="1078" spans="1:14" x14ac:dyDescent="0.2">
      <c r="A1078" s="2" t="s">
        <v>10069</v>
      </c>
      <c r="B1078" s="15">
        <v>2488</v>
      </c>
      <c r="C1078" s="15">
        <v>22</v>
      </c>
      <c r="D1078" s="15">
        <v>44409534</v>
      </c>
      <c r="E1078" s="15">
        <v>45170649</v>
      </c>
      <c r="F1078" s="15">
        <v>1958</v>
      </c>
      <c r="G1078" s="8" t="s">
        <v>12324</v>
      </c>
      <c r="H1078" s="24" t="s">
        <v>662</v>
      </c>
      <c r="I1078" s="25" t="s">
        <v>663</v>
      </c>
      <c r="J1078" s="8" t="s">
        <v>664</v>
      </c>
      <c r="K1078" s="8" t="s">
        <v>10040</v>
      </c>
      <c r="L1078" s="15">
        <v>-0.44284400000000002</v>
      </c>
      <c r="M1078" s="15">
        <v>0.117031</v>
      </c>
      <c r="N1078" s="15">
        <v>0.48237219795539032</v>
      </c>
    </row>
    <row r="1079" spans="1:14" x14ac:dyDescent="0.2">
      <c r="A1079" s="2" t="s">
        <v>10068</v>
      </c>
      <c r="B1079" s="15">
        <v>2135</v>
      </c>
      <c r="C1079" s="15">
        <v>16</v>
      </c>
      <c r="D1079" s="15">
        <v>53393883</v>
      </c>
      <c r="E1079" s="15">
        <v>54866095</v>
      </c>
      <c r="F1079" s="15">
        <v>4005</v>
      </c>
      <c r="G1079" s="8" t="s">
        <v>12324</v>
      </c>
      <c r="H1079" s="24" t="s">
        <v>6565</v>
      </c>
      <c r="I1079" s="25" t="s">
        <v>6475</v>
      </c>
      <c r="J1079" s="8" t="s">
        <v>6566</v>
      </c>
      <c r="K1079" s="8" t="s">
        <v>10054</v>
      </c>
      <c r="L1079" s="15">
        <v>0.39085599999999998</v>
      </c>
      <c r="M1079" s="15">
        <v>0.117316</v>
      </c>
      <c r="N1079" s="15">
        <v>0.48309792014856079</v>
      </c>
    </row>
    <row r="1080" spans="1:14" x14ac:dyDescent="0.2">
      <c r="A1080" s="2" t="s">
        <v>10068</v>
      </c>
      <c r="B1080" s="15">
        <v>822</v>
      </c>
      <c r="C1080" s="15">
        <v>5</v>
      </c>
      <c r="D1080" s="15">
        <v>55221399</v>
      </c>
      <c r="E1080" s="15">
        <v>55968966</v>
      </c>
      <c r="F1080" s="15">
        <v>2232</v>
      </c>
      <c r="G1080" s="8" t="s">
        <v>12324</v>
      </c>
      <c r="H1080" s="24" t="s">
        <v>1259</v>
      </c>
      <c r="I1080" s="25">
        <v>27096</v>
      </c>
      <c r="J1080" s="8" t="s">
        <v>1261</v>
      </c>
      <c r="K1080" s="8" t="s">
        <v>10040</v>
      </c>
      <c r="L1080" s="15">
        <v>-0.44098599999999999</v>
      </c>
      <c r="M1080" s="15">
        <v>0.117531</v>
      </c>
      <c r="N1080" s="15">
        <v>0.48353430890538041</v>
      </c>
    </row>
    <row r="1081" spans="1:14" x14ac:dyDescent="0.2">
      <c r="A1081" s="2" t="s">
        <v>10068</v>
      </c>
      <c r="B1081" s="15">
        <v>518</v>
      </c>
      <c r="C1081" s="15">
        <v>3</v>
      </c>
      <c r="D1081" s="15">
        <v>112408514</v>
      </c>
      <c r="E1081" s="15">
        <v>113657665</v>
      </c>
      <c r="F1081" s="15">
        <v>3450</v>
      </c>
      <c r="G1081" s="8" t="s">
        <v>12324</v>
      </c>
      <c r="H1081" s="24" t="s">
        <v>494</v>
      </c>
      <c r="I1081" s="25">
        <v>25920</v>
      </c>
      <c r="J1081" s="8" t="s">
        <v>496</v>
      </c>
      <c r="K1081" s="8" t="s">
        <v>10040</v>
      </c>
      <c r="L1081" s="15">
        <v>0.50522400000000001</v>
      </c>
      <c r="M1081" s="15">
        <v>0.117992</v>
      </c>
      <c r="N1081" s="15">
        <v>0.48452067867036008</v>
      </c>
    </row>
    <row r="1082" spans="1:14" x14ac:dyDescent="0.2">
      <c r="A1082" s="2" t="s">
        <v>10066</v>
      </c>
      <c r="B1082" s="15">
        <v>1030</v>
      </c>
      <c r="C1082" s="15">
        <v>6</v>
      </c>
      <c r="D1082" s="15">
        <v>99678877</v>
      </c>
      <c r="E1082" s="15">
        <v>100878645</v>
      </c>
      <c r="F1082" s="15">
        <v>3106</v>
      </c>
      <c r="G1082" s="8" t="s">
        <v>12324</v>
      </c>
      <c r="H1082" s="24" t="s">
        <v>3164</v>
      </c>
      <c r="I1082" s="25" t="s">
        <v>3165</v>
      </c>
      <c r="J1082" s="8" t="s">
        <v>3166</v>
      </c>
      <c r="K1082" s="8" t="s">
        <v>10042</v>
      </c>
      <c r="L1082" s="15">
        <v>0.50489799999999996</v>
      </c>
      <c r="M1082" s="15">
        <v>0.118316</v>
      </c>
      <c r="N1082" s="15">
        <v>0.48452067867036008</v>
      </c>
    </row>
    <row r="1083" spans="1:14" x14ac:dyDescent="0.2">
      <c r="A1083" s="2" t="s">
        <v>10068</v>
      </c>
      <c r="B1083" s="15">
        <v>2443</v>
      </c>
      <c r="C1083" s="15">
        <v>21</v>
      </c>
      <c r="D1083" s="15">
        <v>27774351</v>
      </c>
      <c r="E1083" s="15">
        <v>28616539</v>
      </c>
      <c r="F1083" s="15">
        <v>2900</v>
      </c>
      <c r="G1083" s="8" t="s">
        <v>12324</v>
      </c>
      <c r="H1083" s="24" t="s">
        <v>6565</v>
      </c>
      <c r="I1083" s="25" t="s">
        <v>6475</v>
      </c>
      <c r="J1083" s="8" t="s">
        <v>6566</v>
      </c>
      <c r="K1083" s="8" t="s">
        <v>10054</v>
      </c>
      <c r="L1083" s="15">
        <v>0.43670100000000001</v>
      </c>
      <c r="M1083" s="15">
        <v>0.117891</v>
      </c>
      <c r="N1083" s="15">
        <v>0.48452067867036008</v>
      </c>
    </row>
    <row r="1084" spans="1:14" x14ac:dyDescent="0.2">
      <c r="A1084" s="2" t="s">
        <v>10068</v>
      </c>
      <c r="B1084" s="15">
        <v>823</v>
      </c>
      <c r="C1084" s="15">
        <v>5</v>
      </c>
      <c r="D1084" s="15">
        <v>55968967</v>
      </c>
      <c r="E1084" s="15">
        <v>56896890</v>
      </c>
      <c r="F1084" s="15">
        <v>2269</v>
      </c>
      <c r="G1084" s="8" t="s">
        <v>12324</v>
      </c>
      <c r="H1084" s="24" t="s">
        <v>6565</v>
      </c>
      <c r="I1084" s="25" t="s">
        <v>6475</v>
      </c>
      <c r="J1084" s="8" t="s">
        <v>6566</v>
      </c>
      <c r="K1084" s="8" t="s">
        <v>10054</v>
      </c>
      <c r="L1084" s="15">
        <v>-0.31328600000000001</v>
      </c>
      <c r="M1084" s="15">
        <v>0.118197</v>
      </c>
      <c r="N1084" s="15">
        <v>0.48452067867036008</v>
      </c>
    </row>
    <row r="1085" spans="1:14" x14ac:dyDescent="0.2">
      <c r="A1085" s="2" t="s">
        <v>10068</v>
      </c>
      <c r="B1085" s="15">
        <v>85</v>
      </c>
      <c r="C1085" s="15">
        <v>1</v>
      </c>
      <c r="D1085" s="15">
        <v>97721187</v>
      </c>
      <c r="E1085" s="15">
        <v>99425000</v>
      </c>
      <c r="F1085" s="15">
        <v>4121</v>
      </c>
      <c r="G1085" s="8" t="s">
        <v>12324</v>
      </c>
      <c r="H1085" s="24" t="s">
        <v>6565</v>
      </c>
      <c r="I1085" s="25" t="s">
        <v>6475</v>
      </c>
      <c r="J1085" s="8" t="s">
        <v>6566</v>
      </c>
      <c r="K1085" s="8" t="s">
        <v>10054</v>
      </c>
      <c r="L1085" s="15">
        <v>-0.499718</v>
      </c>
      <c r="M1085" s="15">
        <v>0.11831700000000001</v>
      </c>
      <c r="N1085" s="15">
        <v>0.48452067867036008</v>
      </c>
    </row>
    <row r="1086" spans="1:14" x14ac:dyDescent="0.2">
      <c r="A1086" s="2" t="s">
        <v>10066</v>
      </c>
      <c r="B1086" s="15">
        <v>1628</v>
      </c>
      <c r="C1086" s="15">
        <v>11</v>
      </c>
      <c r="D1086" s="15">
        <v>16383387</v>
      </c>
      <c r="E1086" s="15">
        <v>17583948</v>
      </c>
      <c r="F1086" s="15">
        <v>2724</v>
      </c>
      <c r="G1086" s="8" t="s">
        <v>12324</v>
      </c>
      <c r="H1086" s="24" t="s">
        <v>6008</v>
      </c>
      <c r="I1086" s="25" t="s">
        <v>6009</v>
      </c>
      <c r="J1086" s="8" t="s">
        <v>6010</v>
      </c>
      <c r="K1086" s="8" t="s">
        <v>10051</v>
      </c>
      <c r="L1086" s="15">
        <v>0.39302399999999998</v>
      </c>
      <c r="M1086" s="15">
        <v>0.118577</v>
      </c>
      <c r="N1086" s="15">
        <v>0.48469031797235018</v>
      </c>
    </row>
    <row r="1087" spans="1:14" x14ac:dyDescent="0.2">
      <c r="A1087" s="2" t="s">
        <v>10068</v>
      </c>
      <c r="B1087" s="15">
        <v>978</v>
      </c>
      <c r="C1087" s="15">
        <v>6</v>
      </c>
      <c r="D1087" s="15">
        <v>43770627</v>
      </c>
      <c r="E1087" s="15">
        <v>44596897</v>
      </c>
      <c r="F1087" s="15">
        <v>2313</v>
      </c>
      <c r="G1087" s="8" t="s">
        <v>12324</v>
      </c>
      <c r="H1087" s="24" t="s">
        <v>6565</v>
      </c>
      <c r="I1087" s="25" t="s">
        <v>6475</v>
      </c>
      <c r="J1087" s="8" t="s">
        <v>6566</v>
      </c>
      <c r="K1087" s="8" t="s">
        <v>10054</v>
      </c>
      <c r="L1087" s="15">
        <v>0.244423</v>
      </c>
      <c r="M1087" s="15">
        <v>0.11856800000000001</v>
      </c>
      <c r="N1087" s="15">
        <v>0.48469031797235018</v>
      </c>
    </row>
    <row r="1088" spans="1:14" x14ac:dyDescent="0.2">
      <c r="A1088" s="2" t="s">
        <v>10068</v>
      </c>
      <c r="B1088" s="15">
        <v>2026</v>
      </c>
      <c r="C1088" s="15">
        <v>14</v>
      </c>
      <c r="D1088" s="15">
        <v>99474534</v>
      </c>
      <c r="E1088" s="15">
        <v>100786189</v>
      </c>
      <c r="F1088" s="15">
        <v>3327</v>
      </c>
      <c r="G1088" s="8" t="s">
        <v>12324</v>
      </c>
      <c r="H1088" s="24" t="s">
        <v>599</v>
      </c>
      <c r="I1088" s="25">
        <v>26562</v>
      </c>
      <c r="J1088" s="8" t="s">
        <v>601</v>
      </c>
      <c r="K1088" s="8" t="s">
        <v>10040</v>
      </c>
      <c r="L1088" s="15">
        <v>0.443942</v>
      </c>
      <c r="M1088" s="15">
        <v>0.1187</v>
      </c>
      <c r="N1088" s="15">
        <v>0.48474631675874769</v>
      </c>
    </row>
    <row r="1089" spans="1:14" x14ac:dyDescent="0.2">
      <c r="A1089" s="2" t="s">
        <v>10069</v>
      </c>
      <c r="B1089" s="15">
        <v>899</v>
      </c>
      <c r="C1089" s="15">
        <v>5</v>
      </c>
      <c r="D1089" s="15">
        <v>149850204</v>
      </c>
      <c r="E1089" s="15">
        <v>150981934</v>
      </c>
      <c r="F1089" s="15">
        <v>2146</v>
      </c>
      <c r="G1089" s="8" t="s">
        <v>12324</v>
      </c>
      <c r="H1089" s="24" t="s">
        <v>662</v>
      </c>
      <c r="I1089" s="25" t="s">
        <v>663</v>
      </c>
      <c r="J1089" s="8" t="s">
        <v>664</v>
      </c>
      <c r="K1089" s="8" t="s">
        <v>10040</v>
      </c>
      <c r="L1089" s="15">
        <v>0.391872</v>
      </c>
      <c r="M1089" s="15">
        <v>0.119269</v>
      </c>
      <c r="N1089" s="15">
        <v>0.48612324150596881</v>
      </c>
    </row>
    <row r="1090" spans="1:14" x14ac:dyDescent="0.2">
      <c r="A1090" s="2" t="s">
        <v>10066</v>
      </c>
      <c r="B1090" s="15">
        <v>2173</v>
      </c>
      <c r="C1090" s="15">
        <v>17</v>
      </c>
      <c r="D1090" s="15">
        <v>52</v>
      </c>
      <c r="E1090" s="15">
        <v>815653</v>
      </c>
      <c r="F1090" s="15">
        <v>2951</v>
      </c>
      <c r="G1090" s="8" t="s">
        <v>12324</v>
      </c>
      <c r="H1090" s="24" t="s">
        <v>3164</v>
      </c>
      <c r="I1090" s="25" t="s">
        <v>3165</v>
      </c>
      <c r="J1090" s="8" t="s">
        <v>3166</v>
      </c>
      <c r="K1090" s="8" t="s">
        <v>10042</v>
      </c>
      <c r="L1090" s="15">
        <v>-0.29770999999999997</v>
      </c>
      <c r="M1090" s="15">
        <v>0.119366</v>
      </c>
      <c r="N1090" s="15">
        <v>0.48612324150596881</v>
      </c>
    </row>
    <row r="1091" spans="1:14" x14ac:dyDescent="0.2">
      <c r="A1091" s="2" t="s">
        <v>10068</v>
      </c>
      <c r="B1091" s="15">
        <v>167</v>
      </c>
      <c r="C1091" s="15">
        <v>1</v>
      </c>
      <c r="D1091" s="15">
        <v>216658127</v>
      </c>
      <c r="E1091" s="15">
        <v>217352165</v>
      </c>
      <c r="F1091" s="15">
        <v>2071</v>
      </c>
      <c r="G1091" s="8" t="s">
        <v>12324</v>
      </c>
      <c r="H1091" s="24" t="s">
        <v>6565</v>
      </c>
      <c r="I1091" s="25" t="s">
        <v>6475</v>
      </c>
      <c r="J1091" s="8" t="s">
        <v>6566</v>
      </c>
      <c r="K1091" s="8" t="s">
        <v>10054</v>
      </c>
      <c r="L1091" s="15">
        <v>0.40721400000000002</v>
      </c>
      <c r="M1091" s="15">
        <v>0.119329</v>
      </c>
      <c r="N1091" s="15">
        <v>0.48612324150596881</v>
      </c>
    </row>
    <row r="1092" spans="1:14" x14ac:dyDescent="0.2">
      <c r="A1092" s="2" t="s">
        <v>10068</v>
      </c>
      <c r="B1092" s="15">
        <v>162</v>
      </c>
      <c r="C1092" s="15">
        <v>1</v>
      </c>
      <c r="D1092" s="15">
        <v>211082893</v>
      </c>
      <c r="E1092" s="15">
        <v>212347582</v>
      </c>
      <c r="F1092" s="15">
        <v>3792</v>
      </c>
      <c r="G1092" s="8" t="s">
        <v>12324</v>
      </c>
      <c r="H1092" s="24" t="s">
        <v>599</v>
      </c>
      <c r="I1092" s="25">
        <v>26562</v>
      </c>
      <c r="J1092" s="8" t="s">
        <v>601</v>
      </c>
      <c r="K1092" s="8" t="s">
        <v>10040</v>
      </c>
      <c r="L1092" s="15">
        <v>0.35469800000000001</v>
      </c>
      <c r="M1092" s="15">
        <v>0.12005200000000001</v>
      </c>
      <c r="N1092" s="15">
        <v>0.48619496806569329</v>
      </c>
    </row>
    <row r="1093" spans="1:14" x14ac:dyDescent="0.2">
      <c r="A1093" s="2" t="s">
        <v>10068</v>
      </c>
      <c r="B1093" s="15">
        <v>210</v>
      </c>
      <c r="C1093" s="15">
        <v>2</v>
      </c>
      <c r="D1093" s="15">
        <v>6306607</v>
      </c>
      <c r="E1093" s="15">
        <v>7108208</v>
      </c>
      <c r="F1093" s="15">
        <v>2265</v>
      </c>
      <c r="G1093" s="8" t="s">
        <v>12324</v>
      </c>
      <c r="H1093" s="24" t="s">
        <v>1259</v>
      </c>
      <c r="I1093" s="25">
        <v>27096</v>
      </c>
      <c r="J1093" s="8" t="s">
        <v>1261</v>
      </c>
      <c r="K1093" s="8" t="s">
        <v>10040</v>
      </c>
      <c r="L1093" s="15">
        <v>0.65006200000000003</v>
      </c>
      <c r="M1093" s="15">
        <v>0.120016</v>
      </c>
      <c r="N1093" s="15">
        <v>0.48619496806569329</v>
      </c>
    </row>
    <row r="1094" spans="1:14" x14ac:dyDescent="0.2">
      <c r="A1094" s="2" t="s">
        <v>10068</v>
      </c>
      <c r="B1094" s="15">
        <v>1373</v>
      </c>
      <c r="C1094" s="15">
        <v>9</v>
      </c>
      <c r="D1094" s="15">
        <v>1874962</v>
      </c>
      <c r="E1094" s="15">
        <v>2441120</v>
      </c>
      <c r="F1094" s="15">
        <v>2006</v>
      </c>
      <c r="G1094" s="8" t="s">
        <v>12324</v>
      </c>
      <c r="H1094" s="24" t="s">
        <v>1259</v>
      </c>
      <c r="I1094" s="25">
        <v>27096</v>
      </c>
      <c r="J1094" s="8" t="s">
        <v>1261</v>
      </c>
      <c r="K1094" s="8" t="s">
        <v>10040</v>
      </c>
      <c r="L1094" s="15">
        <v>-0.25789099999999998</v>
      </c>
      <c r="M1094" s="15">
        <v>0.12015099999999999</v>
      </c>
      <c r="N1094" s="15">
        <v>0.48619496806569329</v>
      </c>
    </row>
    <row r="1095" spans="1:14" x14ac:dyDescent="0.2">
      <c r="A1095" s="2" t="s">
        <v>10068</v>
      </c>
      <c r="B1095" s="15">
        <v>2472</v>
      </c>
      <c r="C1095" s="15">
        <v>22</v>
      </c>
      <c r="D1095" s="15">
        <v>27192924</v>
      </c>
      <c r="E1095" s="15">
        <v>27952441</v>
      </c>
      <c r="F1095" s="15">
        <v>2882</v>
      </c>
      <c r="G1095" s="8" t="s">
        <v>12324</v>
      </c>
      <c r="H1095" s="24" t="s">
        <v>6565</v>
      </c>
      <c r="I1095" s="25" t="s">
        <v>6475</v>
      </c>
      <c r="J1095" s="8" t="s">
        <v>6566</v>
      </c>
      <c r="K1095" s="8" t="s">
        <v>10054</v>
      </c>
      <c r="L1095" s="15">
        <v>0.24154700000000001</v>
      </c>
      <c r="M1095" s="15">
        <v>0.119827</v>
      </c>
      <c r="N1095" s="15">
        <v>0.48619496806569329</v>
      </c>
    </row>
    <row r="1096" spans="1:14" x14ac:dyDescent="0.2">
      <c r="A1096" s="2" t="s">
        <v>10068</v>
      </c>
      <c r="B1096" s="15">
        <v>2363</v>
      </c>
      <c r="C1096" s="15">
        <v>19</v>
      </c>
      <c r="D1096" s="15">
        <v>54602371</v>
      </c>
      <c r="E1096" s="15">
        <v>55182973</v>
      </c>
      <c r="F1096" s="15">
        <v>2310</v>
      </c>
      <c r="G1096" s="8" t="s">
        <v>12324</v>
      </c>
      <c r="H1096" s="24" t="s">
        <v>6565</v>
      </c>
      <c r="I1096" s="25" t="s">
        <v>6475</v>
      </c>
      <c r="J1096" s="8" t="s">
        <v>6566</v>
      </c>
      <c r="K1096" s="8" t="s">
        <v>10054</v>
      </c>
      <c r="L1096" s="15">
        <v>0.29929600000000001</v>
      </c>
      <c r="M1096" s="15">
        <v>0.120045</v>
      </c>
      <c r="N1096" s="15">
        <v>0.48619496806569329</v>
      </c>
    </row>
    <row r="1097" spans="1:14" x14ac:dyDescent="0.2">
      <c r="A1097" s="2" t="s">
        <v>10068</v>
      </c>
      <c r="B1097" s="15">
        <v>357</v>
      </c>
      <c r="C1097" s="15">
        <v>2</v>
      </c>
      <c r="D1097" s="15">
        <v>172501316</v>
      </c>
      <c r="E1097" s="15">
        <v>173287857</v>
      </c>
      <c r="F1097" s="15">
        <v>2070</v>
      </c>
      <c r="G1097" s="8" t="s">
        <v>12324</v>
      </c>
      <c r="H1097" s="24" t="s">
        <v>6565</v>
      </c>
      <c r="I1097" s="25" t="s">
        <v>6475</v>
      </c>
      <c r="J1097" s="8" t="s">
        <v>6566</v>
      </c>
      <c r="K1097" s="8" t="s">
        <v>10054</v>
      </c>
      <c r="L1097" s="15">
        <v>-0.58650100000000005</v>
      </c>
      <c r="M1097" s="15">
        <v>0.120072</v>
      </c>
      <c r="N1097" s="15">
        <v>0.48619496806569329</v>
      </c>
    </row>
    <row r="1098" spans="1:14" x14ac:dyDescent="0.2">
      <c r="A1098" s="2" t="s">
        <v>10068</v>
      </c>
      <c r="B1098" s="15">
        <v>2239</v>
      </c>
      <c r="C1098" s="15">
        <v>18</v>
      </c>
      <c r="D1098" s="15">
        <v>848351</v>
      </c>
      <c r="E1098" s="15">
        <v>1940211</v>
      </c>
      <c r="F1098" s="15">
        <v>3191</v>
      </c>
      <c r="G1098" s="8" t="s">
        <v>12324</v>
      </c>
      <c r="H1098" s="24" t="s">
        <v>6565</v>
      </c>
      <c r="I1098" s="25" t="s">
        <v>6475</v>
      </c>
      <c r="J1098" s="8" t="s">
        <v>6566</v>
      </c>
      <c r="K1098" s="8" t="s">
        <v>10054</v>
      </c>
      <c r="L1098" s="15">
        <v>0.353099</v>
      </c>
      <c r="M1098" s="15">
        <v>0.120145</v>
      </c>
      <c r="N1098" s="15">
        <v>0.48619496806569329</v>
      </c>
    </row>
    <row r="1099" spans="1:14" x14ac:dyDescent="0.2">
      <c r="A1099" s="2" t="s">
        <v>10068</v>
      </c>
      <c r="B1099" s="15">
        <v>1834</v>
      </c>
      <c r="C1099" s="15">
        <v>12</v>
      </c>
      <c r="D1099" s="15">
        <v>104140832</v>
      </c>
      <c r="E1099" s="15">
        <v>105079100</v>
      </c>
      <c r="F1099" s="15">
        <v>3069</v>
      </c>
      <c r="G1099" s="8" t="s">
        <v>12324</v>
      </c>
      <c r="H1099" s="24" t="s">
        <v>599</v>
      </c>
      <c r="I1099" s="25">
        <v>26562</v>
      </c>
      <c r="J1099" s="8" t="s">
        <v>601</v>
      </c>
      <c r="K1099" s="8" t="s">
        <v>10040</v>
      </c>
      <c r="L1099" s="15">
        <v>0.32586100000000001</v>
      </c>
      <c r="M1099" s="15">
        <v>0.12083099999999999</v>
      </c>
      <c r="N1099" s="15">
        <v>0.48719743869209797</v>
      </c>
    </row>
    <row r="1100" spans="1:14" x14ac:dyDescent="0.2">
      <c r="A1100" s="2" t="s">
        <v>10068</v>
      </c>
      <c r="B1100" s="15">
        <v>2310</v>
      </c>
      <c r="C1100" s="15">
        <v>19</v>
      </c>
      <c r="D1100" s="15">
        <v>3085447</v>
      </c>
      <c r="E1100" s="15">
        <v>3893909</v>
      </c>
      <c r="F1100" s="15">
        <v>2669</v>
      </c>
      <c r="G1100" s="8" t="s">
        <v>12324</v>
      </c>
      <c r="H1100" s="24" t="s">
        <v>1259</v>
      </c>
      <c r="I1100" s="25">
        <v>27096</v>
      </c>
      <c r="J1100" s="8" t="s">
        <v>1261</v>
      </c>
      <c r="K1100" s="8" t="s">
        <v>10040</v>
      </c>
      <c r="L1100" s="15">
        <v>0.20710799999999999</v>
      </c>
      <c r="M1100" s="15">
        <v>0.120881</v>
      </c>
      <c r="N1100" s="15">
        <v>0.48719743869209797</v>
      </c>
    </row>
    <row r="1101" spans="1:14" x14ac:dyDescent="0.2">
      <c r="A1101" s="2" t="s">
        <v>10066</v>
      </c>
      <c r="B1101" s="15">
        <v>2432</v>
      </c>
      <c r="C1101" s="15">
        <v>21</v>
      </c>
      <c r="D1101" s="15">
        <v>15840034</v>
      </c>
      <c r="E1101" s="15">
        <v>16873443</v>
      </c>
      <c r="F1101" s="15">
        <v>2646</v>
      </c>
      <c r="G1101" s="8" t="s">
        <v>12324</v>
      </c>
      <c r="H1101" s="24" t="s">
        <v>3164</v>
      </c>
      <c r="I1101" s="25" t="s">
        <v>3165</v>
      </c>
      <c r="J1101" s="8" t="s">
        <v>3166</v>
      </c>
      <c r="K1101" s="8" t="s">
        <v>10042</v>
      </c>
      <c r="L1101" s="15">
        <v>-0.53420400000000001</v>
      </c>
      <c r="M1101" s="15">
        <v>0.120514</v>
      </c>
      <c r="N1101" s="15">
        <v>0.48719743869209797</v>
      </c>
    </row>
    <row r="1102" spans="1:14" x14ac:dyDescent="0.2">
      <c r="A1102" s="2" t="s">
        <v>10066</v>
      </c>
      <c r="B1102" s="15">
        <v>1112</v>
      </c>
      <c r="C1102" s="15">
        <v>7</v>
      </c>
      <c r="D1102" s="15">
        <v>13213542</v>
      </c>
      <c r="E1102" s="15">
        <v>13676747</v>
      </c>
      <c r="F1102" s="15">
        <v>1897</v>
      </c>
      <c r="G1102" s="8" t="s">
        <v>12324</v>
      </c>
      <c r="H1102" s="24" t="s">
        <v>6008</v>
      </c>
      <c r="I1102" s="25" t="s">
        <v>6009</v>
      </c>
      <c r="J1102" s="8" t="s">
        <v>6010</v>
      </c>
      <c r="K1102" s="8" t="s">
        <v>10051</v>
      </c>
      <c r="L1102" s="15">
        <v>0.27939399999999998</v>
      </c>
      <c r="M1102" s="15">
        <v>0.120948</v>
      </c>
      <c r="N1102" s="15">
        <v>0.48719743869209797</v>
      </c>
    </row>
    <row r="1103" spans="1:14" x14ac:dyDescent="0.2">
      <c r="A1103" s="2" t="s">
        <v>10068</v>
      </c>
      <c r="B1103" s="15">
        <v>1209</v>
      </c>
      <c r="C1103" s="15">
        <v>7</v>
      </c>
      <c r="D1103" s="15">
        <v>130418705</v>
      </c>
      <c r="E1103" s="15">
        <v>131856481</v>
      </c>
      <c r="F1103" s="15">
        <v>3655</v>
      </c>
      <c r="G1103" s="8" t="s">
        <v>12324</v>
      </c>
      <c r="H1103" s="24" t="s">
        <v>6565</v>
      </c>
      <c r="I1103" s="25" t="s">
        <v>6475</v>
      </c>
      <c r="J1103" s="8" t="s">
        <v>6566</v>
      </c>
      <c r="K1103" s="8" t="s">
        <v>10054</v>
      </c>
      <c r="L1103" s="15">
        <v>0.28476299999999999</v>
      </c>
      <c r="M1103" s="15">
        <v>0.12087299999999999</v>
      </c>
      <c r="N1103" s="15">
        <v>0.48719743869209797</v>
      </c>
    </row>
    <row r="1104" spans="1:14" x14ac:dyDescent="0.2">
      <c r="A1104" s="2" t="s">
        <v>10066</v>
      </c>
      <c r="B1104" s="15">
        <v>1829</v>
      </c>
      <c r="C1104" s="15">
        <v>12</v>
      </c>
      <c r="D1104" s="15">
        <v>97814022</v>
      </c>
      <c r="E1104" s="15">
        <v>99244337</v>
      </c>
      <c r="F1104" s="15">
        <v>3320</v>
      </c>
      <c r="G1104" s="8" t="s">
        <v>12324</v>
      </c>
      <c r="H1104" s="24" t="s">
        <v>6008</v>
      </c>
      <c r="I1104" s="25" t="s">
        <v>6009</v>
      </c>
      <c r="J1104" s="8" t="s">
        <v>6010</v>
      </c>
      <c r="K1104" s="8" t="s">
        <v>10051</v>
      </c>
      <c r="L1104" s="15">
        <v>0.31620500000000001</v>
      </c>
      <c r="M1104" s="15">
        <v>0.12115099999999999</v>
      </c>
      <c r="N1104" s="15">
        <v>0.48757230943738661</v>
      </c>
    </row>
    <row r="1105" spans="1:14" x14ac:dyDescent="0.2">
      <c r="A1105" s="2" t="s">
        <v>10069</v>
      </c>
      <c r="B1105" s="15">
        <v>901</v>
      </c>
      <c r="C1105" s="15">
        <v>5</v>
      </c>
      <c r="D1105" s="15">
        <v>151892618</v>
      </c>
      <c r="E1105" s="15">
        <v>152878627</v>
      </c>
      <c r="F1105" s="15">
        <v>1542</v>
      </c>
      <c r="G1105" s="8" t="s">
        <v>12324</v>
      </c>
      <c r="H1105" s="24" t="s">
        <v>662</v>
      </c>
      <c r="I1105" s="25" t="s">
        <v>663</v>
      </c>
      <c r="J1105" s="8" t="s">
        <v>664</v>
      </c>
      <c r="K1105" s="8" t="s">
        <v>10040</v>
      </c>
      <c r="L1105" s="15">
        <v>0.77688599999999997</v>
      </c>
      <c r="M1105" s="15">
        <v>0.121443</v>
      </c>
      <c r="N1105" s="15">
        <v>0.48786205163043478</v>
      </c>
    </row>
    <row r="1106" spans="1:14" x14ac:dyDescent="0.2">
      <c r="A1106" s="2" t="s">
        <v>10066</v>
      </c>
      <c r="B1106" s="15">
        <v>406</v>
      </c>
      <c r="C1106" s="15">
        <v>2</v>
      </c>
      <c r="D1106" s="15">
        <v>229764919</v>
      </c>
      <c r="E1106" s="15">
        <v>230541092</v>
      </c>
      <c r="F1106" s="15">
        <v>2365</v>
      </c>
      <c r="G1106" s="8" t="s">
        <v>12324</v>
      </c>
      <c r="H1106" s="24" t="s">
        <v>3164</v>
      </c>
      <c r="I1106" s="25" t="s">
        <v>3165</v>
      </c>
      <c r="J1106" s="8" t="s">
        <v>3166</v>
      </c>
      <c r="K1106" s="8" t="s">
        <v>10042</v>
      </c>
      <c r="L1106" s="15">
        <v>-0.38940999999999998</v>
      </c>
      <c r="M1106" s="15">
        <v>0.12139999999999999</v>
      </c>
      <c r="N1106" s="15">
        <v>0.48786205163043478</v>
      </c>
    </row>
    <row r="1107" spans="1:14" x14ac:dyDescent="0.2">
      <c r="A1107" s="2" t="s">
        <v>10068</v>
      </c>
      <c r="B1107" s="15">
        <v>1147</v>
      </c>
      <c r="C1107" s="15">
        <v>7</v>
      </c>
      <c r="D1107" s="15">
        <v>50894509</v>
      </c>
      <c r="E1107" s="15">
        <v>51951647</v>
      </c>
      <c r="F1107" s="15">
        <v>2765</v>
      </c>
      <c r="G1107" s="8" t="s">
        <v>12324</v>
      </c>
      <c r="H1107" s="24" t="s">
        <v>494</v>
      </c>
      <c r="I1107" s="25">
        <v>25920</v>
      </c>
      <c r="J1107" s="8" t="s">
        <v>496</v>
      </c>
      <c r="K1107" s="8" t="s">
        <v>10040</v>
      </c>
      <c r="L1107" s="15">
        <v>-0.228717</v>
      </c>
      <c r="M1107" s="15">
        <v>0.121726</v>
      </c>
      <c r="N1107" s="15">
        <v>0.4885563891402715</v>
      </c>
    </row>
    <row r="1108" spans="1:14" x14ac:dyDescent="0.2">
      <c r="A1108" s="2" t="s">
        <v>10066</v>
      </c>
      <c r="B1108" s="15">
        <v>1209</v>
      </c>
      <c r="C1108" s="15">
        <v>7</v>
      </c>
      <c r="D1108" s="15">
        <v>130418705</v>
      </c>
      <c r="E1108" s="15">
        <v>131856481</v>
      </c>
      <c r="F1108" s="15">
        <v>3647</v>
      </c>
      <c r="G1108" s="8" t="s">
        <v>12324</v>
      </c>
      <c r="H1108" s="24" t="s">
        <v>3164</v>
      </c>
      <c r="I1108" s="25" t="s">
        <v>3165</v>
      </c>
      <c r="J1108" s="8" t="s">
        <v>3166</v>
      </c>
      <c r="K1108" s="8" t="s">
        <v>10042</v>
      </c>
      <c r="L1108" s="15">
        <v>0.26744299999999999</v>
      </c>
      <c r="M1108" s="15">
        <v>0.121976</v>
      </c>
      <c r="N1108" s="15">
        <v>0.48911714285714281</v>
      </c>
    </row>
    <row r="1109" spans="1:14" x14ac:dyDescent="0.2">
      <c r="A1109" s="2" t="s">
        <v>10068</v>
      </c>
      <c r="B1109" s="15">
        <v>2047</v>
      </c>
      <c r="C1109" s="15">
        <v>15</v>
      </c>
      <c r="D1109" s="15">
        <v>36583328</v>
      </c>
      <c r="E1109" s="15">
        <v>37962915</v>
      </c>
      <c r="F1109" s="15">
        <v>3562</v>
      </c>
      <c r="G1109" s="8" t="s">
        <v>12324</v>
      </c>
      <c r="H1109" s="24" t="s">
        <v>1259</v>
      </c>
      <c r="I1109" s="25">
        <v>27096</v>
      </c>
      <c r="J1109" s="8" t="s">
        <v>1261</v>
      </c>
      <c r="K1109" s="8" t="s">
        <v>10040</v>
      </c>
      <c r="L1109" s="15">
        <v>-0.33654000000000001</v>
      </c>
      <c r="M1109" s="15">
        <v>0.122293</v>
      </c>
      <c r="N1109" s="15">
        <v>0.48994530713640472</v>
      </c>
    </row>
    <row r="1110" spans="1:14" x14ac:dyDescent="0.2">
      <c r="A1110" s="2" t="s">
        <v>10068</v>
      </c>
      <c r="B1110" s="15">
        <v>2139</v>
      </c>
      <c r="C1110" s="15">
        <v>16</v>
      </c>
      <c r="D1110" s="15">
        <v>58508979</v>
      </c>
      <c r="E1110" s="15">
        <v>59885499</v>
      </c>
      <c r="F1110" s="15">
        <v>4099</v>
      </c>
      <c r="G1110" s="8" t="s">
        <v>12324</v>
      </c>
      <c r="H1110" s="24" t="s">
        <v>494</v>
      </c>
      <c r="I1110" s="25">
        <v>25920</v>
      </c>
      <c r="J1110" s="8" t="s">
        <v>496</v>
      </c>
      <c r="K1110" s="8" t="s">
        <v>10040</v>
      </c>
      <c r="L1110" s="15">
        <v>0.28584100000000001</v>
      </c>
      <c r="M1110" s="15">
        <v>0.122639</v>
      </c>
      <c r="N1110" s="15">
        <v>0.49088805505415162</v>
      </c>
    </row>
    <row r="1111" spans="1:14" x14ac:dyDescent="0.2">
      <c r="A1111" s="2" t="s">
        <v>10069</v>
      </c>
      <c r="B1111" s="15">
        <v>2482</v>
      </c>
      <c r="C1111" s="15">
        <v>22</v>
      </c>
      <c r="D1111" s="15">
        <v>37364005</v>
      </c>
      <c r="E1111" s="15">
        <v>38718589</v>
      </c>
      <c r="F1111" s="15">
        <v>2306</v>
      </c>
      <c r="G1111" s="8" t="s">
        <v>12324</v>
      </c>
      <c r="H1111" s="24" t="s">
        <v>662</v>
      </c>
      <c r="I1111" s="25" t="s">
        <v>663</v>
      </c>
      <c r="J1111" s="8" t="s">
        <v>664</v>
      </c>
      <c r="K1111" s="8" t="s">
        <v>10040</v>
      </c>
      <c r="L1111" s="15">
        <v>0.30134699999999998</v>
      </c>
      <c r="M1111" s="15">
        <v>0.12285699999999999</v>
      </c>
      <c r="N1111" s="15">
        <v>0.49131721821460772</v>
      </c>
    </row>
    <row r="1112" spans="1:14" x14ac:dyDescent="0.2">
      <c r="A1112" s="2" t="s">
        <v>10068</v>
      </c>
      <c r="B1112" s="15">
        <v>2449</v>
      </c>
      <c r="C1112" s="15">
        <v>21</v>
      </c>
      <c r="D1112" s="15">
        <v>34383795</v>
      </c>
      <c r="E1112" s="15">
        <v>35729261</v>
      </c>
      <c r="F1112" s="15">
        <v>3023</v>
      </c>
      <c r="G1112" s="8" t="s">
        <v>12324</v>
      </c>
      <c r="H1112" s="24" t="s">
        <v>494</v>
      </c>
      <c r="I1112" s="25">
        <v>25920</v>
      </c>
      <c r="J1112" s="8" t="s">
        <v>496</v>
      </c>
      <c r="K1112" s="8" t="s">
        <v>10040</v>
      </c>
      <c r="L1112" s="15">
        <v>-0.56248799999999999</v>
      </c>
      <c r="M1112" s="15">
        <v>0.12307</v>
      </c>
      <c r="N1112" s="15">
        <v>0.49172563063063057</v>
      </c>
    </row>
    <row r="1113" spans="1:14" x14ac:dyDescent="0.2">
      <c r="A1113" s="2" t="s">
        <v>10068</v>
      </c>
      <c r="B1113" s="15">
        <v>7</v>
      </c>
      <c r="C1113" s="15">
        <v>1</v>
      </c>
      <c r="D1113" s="15">
        <v>4773404</v>
      </c>
      <c r="E1113" s="15">
        <v>5362404</v>
      </c>
      <c r="F1113" s="15">
        <v>2212</v>
      </c>
      <c r="G1113" s="8" t="s">
        <v>12324</v>
      </c>
      <c r="H1113" s="24" t="s">
        <v>6565</v>
      </c>
      <c r="I1113" s="25" t="s">
        <v>6475</v>
      </c>
      <c r="J1113" s="8" t="s">
        <v>6566</v>
      </c>
      <c r="K1113" s="8" t="s">
        <v>10054</v>
      </c>
      <c r="L1113" s="15">
        <v>-0.39170500000000003</v>
      </c>
      <c r="M1113" s="15">
        <v>0.123408</v>
      </c>
      <c r="N1113" s="15">
        <v>0.49263229522952301</v>
      </c>
    </row>
    <row r="1114" spans="1:14" x14ac:dyDescent="0.2">
      <c r="A1114" s="2" t="s">
        <v>10068</v>
      </c>
      <c r="B1114" s="15">
        <v>577</v>
      </c>
      <c r="C1114" s="15">
        <v>3</v>
      </c>
      <c r="D1114" s="15">
        <v>176931164</v>
      </c>
      <c r="E1114" s="15">
        <v>178110322</v>
      </c>
      <c r="F1114" s="15">
        <v>2812</v>
      </c>
      <c r="G1114" s="8" t="s">
        <v>12324</v>
      </c>
      <c r="H1114" s="24" t="s">
        <v>1259</v>
      </c>
      <c r="I1114" s="25">
        <v>27096</v>
      </c>
      <c r="J1114" s="8" t="s">
        <v>1261</v>
      </c>
      <c r="K1114" s="8" t="s">
        <v>10040</v>
      </c>
      <c r="L1114" s="15">
        <v>0.37830399999999997</v>
      </c>
      <c r="M1114" s="15">
        <v>0.12363200000000001</v>
      </c>
      <c r="N1114" s="15">
        <v>0.49263964061096138</v>
      </c>
    </row>
    <row r="1115" spans="1:14" x14ac:dyDescent="0.2">
      <c r="A1115" s="2" t="s">
        <v>10066</v>
      </c>
      <c r="B1115" s="15">
        <v>1519</v>
      </c>
      <c r="C1115" s="15">
        <v>10</v>
      </c>
      <c r="D1115" s="15">
        <v>30000224</v>
      </c>
      <c r="E1115" s="15">
        <v>30919469</v>
      </c>
      <c r="F1115" s="15">
        <v>2888</v>
      </c>
      <c r="G1115" s="8" t="s">
        <v>12324</v>
      </c>
      <c r="H1115" s="24" t="s">
        <v>3164</v>
      </c>
      <c r="I1115" s="25" t="s">
        <v>3165</v>
      </c>
      <c r="J1115" s="8" t="s">
        <v>3166</v>
      </c>
      <c r="K1115" s="8" t="s">
        <v>10042</v>
      </c>
      <c r="L1115" s="15">
        <v>0.20363500000000001</v>
      </c>
      <c r="M1115" s="15">
        <v>0.12360699999999999</v>
      </c>
      <c r="N1115" s="15">
        <v>0.49263964061096138</v>
      </c>
    </row>
    <row r="1116" spans="1:14" x14ac:dyDescent="0.2">
      <c r="A1116" s="2" t="s">
        <v>10068</v>
      </c>
      <c r="B1116" s="15">
        <v>1846</v>
      </c>
      <c r="C1116" s="15">
        <v>12</v>
      </c>
      <c r="D1116" s="15">
        <v>117091844</v>
      </c>
      <c r="E1116" s="15">
        <v>118256124</v>
      </c>
      <c r="F1116" s="15">
        <v>3188</v>
      </c>
      <c r="G1116" s="8" t="s">
        <v>12324</v>
      </c>
      <c r="H1116" s="24" t="s">
        <v>1259</v>
      </c>
      <c r="I1116" s="25">
        <v>27096</v>
      </c>
      <c r="J1116" s="8" t="s">
        <v>1261</v>
      </c>
      <c r="K1116" s="8" t="s">
        <v>10040</v>
      </c>
      <c r="L1116" s="15">
        <v>-0.31617200000000001</v>
      </c>
      <c r="M1116" s="15">
        <v>0.124</v>
      </c>
      <c r="N1116" s="15">
        <v>0.49366247755834819</v>
      </c>
    </row>
    <row r="1117" spans="1:14" x14ac:dyDescent="0.2">
      <c r="A1117" s="2" t="s">
        <v>10068</v>
      </c>
      <c r="B1117" s="15">
        <v>766</v>
      </c>
      <c r="C1117" s="15">
        <v>4</v>
      </c>
      <c r="D1117" s="15">
        <v>182946259</v>
      </c>
      <c r="E1117" s="15">
        <v>183603892</v>
      </c>
      <c r="F1117" s="15">
        <v>2151</v>
      </c>
      <c r="G1117" s="8" t="s">
        <v>12324</v>
      </c>
      <c r="H1117" s="24" t="s">
        <v>494</v>
      </c>
      <c r="I1117" s="25">
        <v>25920</v>
      </c>
      <c r="J1117" s="8" t="s">
        <v>496</v>
      </c>
      <c r="K1117" s="8" t="s">
        <v>10040</v>
      </c>
      <c r="L1117" s="15">
        <v>0.23913200000000001</v>
      </c>
      <c r="M1117" s="15">
        <v>0.12428400000000001</v>
      </c>
      <c r="N1117" s="15">
        <v>0.4943493632286996</v>
      </c>
    </row>
    <row r="1118" spans="1:14" x14ac:dyDescent="0.2">
      <c r="A1118" s="2" t="s">
        <v>10068</v>
      </c>
      <c r="B1118" s="15">
        <v>1474</v>
      </c>
      <c r="C1118" s="15">
        <v>9</v>
      </c>
      <c r="D1118" s="15">
        <v>130902728</v>
      </c>
      <c r="E1118" s="15">
        <v>132193798</v>
      </c>
      <c r="F1118" s="15">
        <v>2367</v>
      </c>
      <c r="G1118" s="8" t="s">
        <v>12324</v>
      </c>
      <c r="H1118" s="24" t="s">
        <v>599</v>
      </c>
      <c r="I1118" s="25">
        <v>26562</v>
      </c>
      <c r="J1118" s="8" t="s">
        <v>601</v>
      </c>
      <c r="K1118" s="8" t="s">
        <v>10040</v>
      </c>
      <c r="L1118" s="15">
        <v>-0.40131499999999998</v>
      </c>
      <c r="M1118" s="15">
        <v>0.12474300000000001</v>
      </c>
      <c r="N1118" s="15">
        <v>0.49573047043010748</v>
      </c>
    </row>
    <row r="1119" spans="1:14" x14ac:dyDescent="0.2">
      <c r="A1119" s="2" t="s">
        <v>10068</v>
      </c>
      <c r="B1119" s="15">
        <v>919</v>
      </c>
      <c r="C1119" s="15">
        <v>5</v>
      </c>
      <c r="D1119" s="15">
        <v>172285683</v>
      </c>
      <c r="E1119" s="15">
        <v>173606995</v>
      </c>
      <c r="F1119" s="15">
        <v>3780</v>
      </c>
      <c r="G1119" s="8" t="s">
        <v>12324</v>
      </c>
      <c r="H1119" s="24" t="s">
        <v>494</v>
      </c>
      <c r="I1119" s="25">
        <v>25920</v>
      </c>
      <c r="J1119" s="8" t="s">
        <v>496</v>
      </c>
      <c r="K1119" s="8" t="s">
        <v>10040</v>
      </c>
      <c r="L1119" s="15">
        <v>-0.275252</v>
      </c>
      <c r="M1119" s="15">
        <v>0.12545999999999999</v>
      </c>
      <c r="N1119" s="15">
        <v>0.49688105845881309</v>
      </c>
    </row>
    <row r="1120" spans="1:14" x14ac:dyDescent="0.2">
      <c r="A1120" s="2" t="s">
        <v>10068</v>
      </c>
      <c r="B1120" s="15">
        <v>1241</v>
      </c>
      <c r="C1120" s="15">
        <v>8</v>
      </c>
      <c r="D1120" s="15">
        <v>4273084</v>
      </c>
      <c r="E1120" s="15">
        <v>4893120</v>
      </c>
      <c r="F1120" s="15">
        <v>3189</v>
      </c>
      <c r="G1120" s="8" t="s">
        <v>12324</v>
      </c>
      <c r="H1120" s="24" t="s">
        <v>599</v>
      </c>
      <c r="I1120" s="25">
        <v>26562</v>
      </c>
      <c r="J1120" s="8" t="s">
        <v>601</v>
      </c>
      <c r="K1120" s="8" t="s">
        <v>10040</v>
      </c>
      <c r="L1120" s="15">
        <v>0.33023799999999998</v>
      </c>
      <c r="M1120" s="15">
        <v>0.12639800000000001</v>
      </c>
      <c r="N1120" s="15">
        <v>0.49688105845881309</v>
      </c>
    </row>
    <row r="1121" spans="1:14" x14ac:dyDescent="0.2">
      <c r="A1121" s="2" t="s">
        <v>10069</v>
      </c>
      <c r="B1121" s="15">
        <v>435</v>
      </c>
      <c r="C1121" s="15">
        <v>3</v>
      </c>
      <c r="D1121" s="15">
        <v>12859210</v>
      </c>
      <c r="E1121" s="15">
        <v>14312007</v>
      </c>
      <c r="F1121" s="15">
        <v>2853</v>
      </c>
      <c r="G1121" s="8" t="s">
        <v>12324</v>
      </c>
      <c r="H1121" s="24" t="s">
        <v>662</v>
      </c>
      <c r="I1121" s="25" t="s">
        <v>663</v>
      </c>
      <c r="J1121" s="8" t="s">
        <v>664</v>
      </c>
      <c r="K1121" s="8" t="s">
        <v>10040</v>
      </c>
      <c r="L1121" s="15">
        <v>-0.27798099999999998</v>
      </c>
      <c r="M1121" s="15">
        <v>0.125973</v>
      </c>
      <c r="N1121" s="15">
        <v>0.49688105845881309</v>
      </c>
    </row>
    <row r="1122" spans="1:14" x14ac:dyDescent="0.2">
      <c r="A1122" s="2" t="s">
        <v>10068</v>
      </c>
      <c r="B1122" s="15">
        <v>1360</v>
      </c>
      <c r="C1122" s="15">
        <v>8</v>
      </c>
      <c r="D1122" s="15">
        <v>135313674</v>
      </c>
      <c r="E1122" s="15">
        <v>136220342</v>
      </c>
      <c r="F1122" s="15">
        <v>2636</v>
      </c>
      <c r="G1122" s="8" t="s">
        <v>12324</v>
      </c>
      <c r="H1122" s="24" t="s">
        <v>1259</v>
      </c>
      <c r="I1122" s="25">
        <v>27096</v>
      </c>
      <c r="J1122" s="8" t="s">
        <v>1261</v>
      </c>
      <c r="K1122" s="8" t="s">
        <v>10040</v>
      </c>
      <c r="L1122" s="15">
        <v>-0.29328599999999999</v>
      </c>
      <c r="M1122" s="15">
        <v>0.12579399999999999</v>
      </c>
      <c r="N1122" s="15">
        <v>0.49688105845881309</v>
      </c>
    </row>
    <row r="1123" spans="1:14" x14ac:dyDescent="0.2">
      <c r="A1123" s="2" t="s">
        <v>10068</v>
      </c>
      <c r="B1123" s="15">
        <v>766</v>
      </c>
      <c r="C1123" s="15">
        <v>4</v>
      </c>
      <c r="D1123" s="15">
        <v>182946259</v>
      </c>
      <c r="E1123" s="15">
        <v>183603892</v>
      </c>
      <c r="F1123" s="15">
        <v>2151</v>
      </c>
      <c r="G1123" s="8" t="s">
        <v>12324</v>
      </c>
      <c r="H1123" s="24" t="s">
        <v>1259</v>
      </c>
      <c r="I1123" s="25">
        <v>27096</v>
      </c>
      <c r="J1123" s="8" t="s">
        <v>1261</v>
      </c>
      <c r="K1123" s="8" t="s">
        <v>10040</v>
      </c>
      <c r="L1123" s="15">
        <v>0.30230400000000002</v>
      </c>
      <c r="M1123" s="15">
        <v>0.12587000000000001</v>
      </c>
      <c r="N1123" s="15">
        <v>0.49688105845881309</v>
      </c>
    </row>
    <row r="1124" spans="1:14" x14ac:dyDescent="0.2">
      <c r="A1124" s="2" t="s">
        <v>10068</v>
      </c>
      <c r="B1124" s="15">
        <v>1335</v>
      </c>
      <c r="C1124" s="15">
        <v>8</v>
      </c>
      <c r="D1124" s="15">
        <v>106500951</v>
      </c>
      <c r="E1124" s="15">
        <v>107787163</v>
      </c>
      <c r="F1124" s="15">
        <v>2944</v>
      </c>
      <c r="G1124" s="8" t="s">
        <v>12324</v>
      </c>
      <c r="H1124" s="24" t="s">
        <v>1259</v>
      </c>
      <c r="I1124" s="25">
        <v>27096</v>
      </c>
      <c r="J1124" s="8" t="s">
        <v>1261</v>
      </c>
      <c r="K1124" s="8" t="s">
        <v>10040</v>
      </c>
      <c r="L1124" s="15">
        <v>0.51194099999999998</v>
      </c>
      <c r="M1124" s="15">
        <v>0.12607099999999999</v>
      </c>
      <c r="N1124" s="15">
        <v>0.49688105845881309</v>
      </c>
    </row>
    <row r="1125" spans="1:14" x14ac:dyDescent="0.2">
      <c r="A1125" s="2" t="s">
        <v>10068</v>
      </c>
      <c r="B1125" s="15">
        <v>785</v>
      </c>
      <c r="C1125" s="15">
        <v>5</v>
      </c>
      <c r="D1125" s="15">
        <v>9203856</v>
      </c>
      <c r="E1125" s="15">
        <v>10549029</v>
      </c>
      <c r="F1125" s="15">
        <v>3798</v>
      </c>
      <c r="G1125" s="8" t="s">
        <v>12324</v>
      </c>
      <c r="H1125" s="24" t="s">
        <v>1259</v>
      </c>
      <c r="I1125" s="25">
        <v>27096</v>
      </c>
      <c r="J1125" s="8" t="s">
        <v>1261</v>
      </c>
      <c r="K1125" s="8" t="s">
        <v>10040</v>
      </c>
      <c r="L1125" s="15">
        <v>0.26259700000000002</v>
      </c>
      <c r="M1125" s="15">
        <v>0.126251</v>
      </c>
      <c r="N1125" s="15">
        <v>0.49688105845881309</v>
      </c>
    </row>
    <row r="1126" spans="1:14" x14ac:dyDescent="0.2">
      <c r="A1126" s="2" t="s">
        <v>10066</v>
      </c>
      <c r="B1126" s="15">
        <v>1259</v>
      </c>
      <c r="C1126" s="15">
        <v>8</v>
      </c>
      <c r="D1126" s="15">
        <v>15999329</v>
      </c>
      <c r="E1126" s="15">
        <v>16988030</v>
      </c>
      <c r="F1126" s="15">
        <v>3446</v>
      </c>
      <c r="G1126" s="8" t="s">
        <v>12324</v>
      </c>
      <c r="H1126" s="24" t="s">
        <v>3164</v>
      </c>
      <c r="I1126" s="25" t="s">
        <v>3165</v>
      </c>
      <c r="J1126" s="8" t="s">
        <v>3166</v>
      </c>
      <c r="K1126" s="8" t="s">
        <v>10042</v>
      </c>
      <c r="L1126" s="15">
        <v>-0.30130400000000002</v>
      </c>
      <c r="M1126" s="15">
        <v>0.12519</v>
      </c>
      <c r="N1126" s="15">
        <v>0.49688105845881309</v>
      </c>
    </row>
    <row r="1127" spans="1:14" x14ac:dyDescent="0.2">
      <c r="A1127" s="2" t="s">
        <v>10066</v>
      </c>
      <c r="B1127" s="15">
        <v>251</v>
      </c>
      <c r="C1127" s="15">
        <v>2</v>
      </c>
      <c r="D1127" s="15">
        <v>45850048</v>
      </c>
      <c r="E1127" s="15">
        <v>46499326</v>
      </c>
      <c r="F1127" s="15">
        <v>2136</v>
      </c>
      <c r="G1127" s="8" t="s">
        <v>12324</v>
      </c>
      <c r="H1127" s="24" t="s">
        <v>3164</v>
      </c>
      <c r="I1127" s="25" t="s">
        <v>3165</v>
      </c>
      <c r="J1127" s="8" t="s">
        <v>3166</v>
      </c>
      <c r="K1127" s="8" t="s">
        <v>10042</v>
      </c>
      <c r="L1127" s="15">
        <v>0.36944700000000003</v>
      </c>
      <c r="M1127" s="15">
        <v>0.12617500000000001</v>
      </c>
      <c r="N1127" s="15">
        <v>0.49688105845881309</v>
      </c>
    </row>
    <row r="1128" spans="1:14" x14ac:dyDescent="0.2">
      <c r="A1128" s="2" t="s">
        <v>10066</v>
      </c>
      <c r="B1128" s="15">
        <v>2434</v>
      </c>
      <c r="C1128" s="15">
        <v>21</v>
      </c>
      <c r="D1128" s="15">
        <v>18222038</v>
      </c>
      <c r="E1128" s="15">
        <v>19479024</v>
      </c>
      <c r="F1128" s="15">
        <v>3640</v>
      </c>
      <c r="G1128" s="8" t="s">
        <v>12324</v>
      </c>
      <c r="H1128" s="24" t="s">
        <v>6008</v>
      </c>
      <c r="I1128" s="25" t="s">
        <v>6009</v>
      </c>
      <c r="J1128" s="8" t="s">
        <v>6010</v>
      </c>
      <c r="K1128" s="8" t="s">
        <v>10051</v>
      </c>
      <c r="L1128" s="15">
        <v>0.32249699999999998</v>
      </c>
      <c r="M1128" s="15">
        <v>0.125361</v>
      </c>
      <c r="N1128" s="15">
        <v>0.49688105845881309</v>
      </c>
    </row>
    <row r="1129" spans="1:14" x14ac:dyDescent="0.2">
      <c r="A1129" s="2" t="s">
        <v>10066</v>
      </c>
      <c r="B1129" s="15">
        <v>1053</v>
      </c>
      <c r="C1129" s="15">
        <v>6</v>
      </c>
      <c r="D1129" s="15">
        <v>123854858</v>
      </c>
      <c r="E1129" s="15">
        <v>125365054</v>
      </c>
      <c r="F1129" s="15">
        <v>3843</v>
      </c>
      <c r="G1129" s="8" t="s">
        <v>12324</v>
      </c>
      <c r="H1129" s="24" t="s">
        <v>6008</v>
      </c>
      <c r="I1129" s="25" t="s">
        <v>6009</v>
      </c>
      <c r="J1129" s="8" t="s">
        <v>6010</v>
      </c>
      <c r="K1129" s="8" t="s">
        <v>10051</v>
      </c>
      <c r="L1129" s="15">
        <v>-0.35174499999999997</v>
      </c>
      <c r="M1129" s="15">
        <v>0.125524</v>
      </c>
      <c r="N1129" s="15">
        <v>0.49688105845881309</v>
      </c>
    </row>
    <row r="1130" spans="1:14" x14ac:dyDescent="0.2">
      <c r="A1130" s="2" t="s">
        <v>10066</v>
      </c>
      <c r="B1130" s="15">
        <v>1523</v>
      </c>
      <c r="C1130" s="15">
        <v>10</v>
      </c>
      <c r="D1130" s="15">
        <v>35178225</v>
      </c>
      <c r="E1130" s="15">
        <v>36475838</v>
      </c>
      <c r="F1130" s="15">
        <v>2915</v>
      </c>
      <c r="G1130" s="8" t="s">
        <v>12324</v>
      </c>
      <c r="H1130" s="24" t="s">
        <v>6008</v>
      </c>
      <c r="I1130" s="25" t="s">
        <v>6009</v>
      </c>
      <c r="J1130" s="8" t="s">
        <v>6010</v>
      </c>
      <c r="K1130" s="8" t="s">
        <v>10051</v>
      </c>
      <c r="L1130" s="15">
        <v>-0.24065400000000001</v>
      </c>
      <c r="M1130" s="15">
        <v>0.12628900000000001</v>
      </c>
      <c r="N1130" s="15">
        <v>0.49688105845881309</v>
      </c>
    </row>
    <row r="1131" spans="1:14" x14ac:dyDescent="0.2">
      <c r="A1131" s="2" t="s">
        <v>10066</v>
      </c>
      <c r="B1131" s="15">
        <v>2156</v>
      </c>
      <c r="C1131" s="15">
        <v>16</v>
      </c>
      <c r="D1131" s="15">
        <v>77270666</v>
      </c>
      <c r="E1131" s="15">
        <v>77739132</v>
      </c>
      <c r="F1131" s="15">
        <v>2032</v>
      </c>
      <c r="G1131" s="8" t="s">
        <v>12324</v>
      </c>
      <c r="H1131" s="24" t="s">
        <v>6008</v>
      </c>
      <c r="I1131" s="25" t="s">
        <v>6009</v>
      </c>
      <c r="J1131" s="8" t="s">
        <v>6010</v>
      </c>
      <c r="K1131" s="8" t="s">
        <v>10051</v>
      </c>
      <c r="L1131" s="15">
        <v>-0.38231700000000002</v>
      </c>
      <c r="M1131" s="15">
        <v>0.12648899999999999</v>
      </c>
      <c r="N1131" s="15">
        <v>0.49688105845881309</v>
      </c>
    </row>
    <row r="1132" spans="1:14" x14ac:dyDescent="0.2">
      <c r="A1132" s="2" t="s">
        <v>10066</v>
      </c>
      <c r="B1132" s="15">
        <v>31</v>
      </c>
      <c r="C1132" s="15">
        <v>1</v>
      </c>
      <c r="D1132" s="15">
        <v>31639218</v>
      </c>
      <c r="E1132" s="15">
        <v>33066846</v>
      </c>
      <c r="F1132" s="15">
        <v>2484</v>
      </c>
      <c r="G1132" s="8" t="s">
        <v>12324</v>
      </c>
      <c r="H1132" s="24" t="s">
        <v>3164</v>
      </c>
      <c r="I1132" s="25" t="s">
        <v>3165</v>
      </c>
      <c r="J1132" s="8" t="s">
        <v>3166</v>
      </c>
      <c r="K1132" s="8" t="s">
        <v>10042</v>
      </c>
      <c r="L1132" s="15">
        <v>0.50596699999999994</v>
      </c>
      <c r="M1132" s="15">
        <v>0.12681700000000001</v>
      </c>
      <c r="N1132" s="15">
        <v>0.4974062290008841</v>
      </c>
    </row>
    <row r="1133" spans="1:14" x14ac:dyDescent="0.2">
      <c r="A1133" s="2" t="s">
        <v>10068</v>
      </c>
      <c r="B1133" s="15">
        <v>1760</v>
      </c>
      <c r="C1133" s="15">
        <v>12</v>
      </c>
      <c r="D1133" s="15">
        <v>20074931</v>
      </c>
      <c r="E1133" s="15">
        <v>20866285</v>
      </c>
      <c r="F1133" s="15">
        <v>2330</v>
      </c>
      <c r="G1133" s="8" t="s">
        <v>12324</v>
      </c>
      <c r="H1133" s="24" t="s">
        <v>6565</v>
      </c>
      <c r="I1133" s="25" t="s">
        <v>6475</v>
      </c>
      <c r="J1133" s="8" t="s">
        <v>6566</v>
      </c>
      <c r="K1133" s="8" t="s">
        <v>10054</v>
      </c>
      <c r="L1133" s="15">
        <v>0.45547900000000002</v>
      </c>
      <c r="M1133" s="15">
        <v>0.12684699999999999</v>
      </c>
      <c r="N1133" s="15">
        <v>0.4974062290008841</v>
      </c>
    </row>
    <row r="1134" spans="1:14" x14ac:dyDescent="0.2">
      <c r="A1134" s="2" t="s">
        <v>10068</v>
      </c>
      <c r="B1134" s="15">
        <v>2050</v>
      </c>
      <c r="C1134" s="15">
        <v>15</v>
      </c>
      <c r="D1134" s="15">
        <v>40604781</v>
      </c>
      <c r="E1134" s="15">
        <v>42332685</v>
      </c>
      <c r="F1134" s="15">
        <v>3548</v>
      </c>
      <c r="G1134" s="8" t="s">
        <v>12324</v>
      </c>
      <c r="H1134" s="24" t="s">
        <v>1259</v>
      </c>
      <c r="I1134" s="25">
        <v>27096</v>
      </c>
      <c r="J1134" s="8" t="s">
        <v>1261</v>
      </c>
      <c r="K1134" s="8" t="s">
        <v>10040</v>
      </c>
      <c r="L1134" s="15">
        <v>0.60263</v>
      </c>
      <c r="M1134" s="15">
        <v>0.12704599999999999</v>
      </c>
      <c r="N1134" s="15">
        <v>0.49774647526501758</v>
      </c>
    </row>
    <row r="1135" spans="1:14" x14ac:dyDescent="0.2">
      <c r="A1135" s="2" t="s">
        <v>10069</v>
      </c>
      <c r="B1135" s="15">
        <v>1995</v>
      </c>
      <c r="C1135" s="15">
        <v>14</v>
      </c>
      <c r="D1135" s="15">
        <v>64033238</v>
      </c>
      <c r="E1135" s="15">
        <v>65229391</v>
      </c>
      <c r="F1135" s="15">
        <v>1491</v>
      </c>
      <c r="G1135" s="8" t="s">
        <v>12324</v>
      </c>
      <c r="H1135" s="24" t="s">
        <v>662</v>
      </c>
      <c r="I1135" s="25" t="s">
        <v>663</v>
      </c>
      <c r="J1135" s="8" t="s">
        <v>664</v>
      </c>
      <c r="K1135" s="8" t="s">
        <v>10040</v>
      </c>
      <c r="L1135" s="15">
        <v>-0.46850199999999997</v>
      </c>
      <c r="M1135" s="15">
        <v>0.127299</v>
      </c>
      <c r="N1135" s="15">
        <v>0.49793238977072302</v>
      </c>
    </row>
    <row r="1136" spans="1:14" x14ac:dyDescent="0.2">
      <c r="A1136" s="2" t="s">
        <v>10068</v>
      </c>
      <c r="B1136" s="15">
        <v>2297</v>
      </c>
      <c r="C1136" s="15">
        <v>18</v>
      </c>
      <c r="D1136" s="15">
        <v>69311743</v>
      </c>
      <c r="E1136" s="15">
        <v>70540349</v>
      </c>
      <c r="F1136" s="15">
        <v>4031</v>
      </c>
      <c r="G1136" s="8" t="s">
        <v>12324</v>
      </c>
      <c r="H1136" s="24" t="s">
        <v>6565</v>
      </c>
      <c r="I1136" s="25" t="s">
        <v>6475</v>
      </c>
      <c r="J1136" s="8" t="s">
        <v>6566</v>
      </c>
      <c r="K1136" s="8" t="s">
        <v>10054</v>
      </c>
      <c r="L1136" s="15">
        <v>0.33735999999999999</v>
      </c>
      <c r="M1136" s="15">
        <v>0.12731799999999999</v>
      </c>
      <c r="N1136" s="15">
        <v>0.49793238977072302</v>
      </c>
    </row>
    <row r="1137" spans="1:14" x14ac:dyDescent="0.2">
      <c r="A1137" s="2" t="s">
        <v>10068</v>
      </c>
      <c r="B1137" s="15">
        <v>1788</v>
      </c>
      <c r="C1137" s="15">
        <v>12</v>
      </c>
      <c r="D1137" s="15">
        <v>48960266</v>
      </c>
      <c r="E1137" s="15">
        <v>50344346</v>
      </c>
      <c r="F1137" s="15">
        <v>2657</v>
      </c>
      <c r="G1137" s="8" t="s">
        <v>12324</v>
      </c>
      <c r="H1137" s="24" t="s">
        <v>494</v>
      </c>
      <c r="I1137" s="25">
        <v>25920</v>
      </c>
      <c r="J1137" s="8" t="s">
        <v>496</v>
      </c>
      <c r="K1137" s="8" t="s">
        <v>10040</v>
      </c>
      <c r="L1137" s="15">
        <v>0.30041099999999998</v>
      </c>
      <c r="M1137" s="15">
        <v>0.12745200000000001</v>
      </c>
      <c r="N1137" s="15">
        <v>0.49801728634361242</v>
      </c>
    </row>
    <row r="1138" spans="1:14" x14ac:dyDescent="0.2">
      <c r="A1138" s="2" t="s">
        <v>10066</v>
      </c>
      <c r="B1138" s="15">
        <v>1801</v>
      </c>
      <c r="C1138" s="15">
        <v>12</v>
      </c>
      <c r="D1138" s="15">
        <v>66114644</v>
      </c>
      <c r="E1138" s="15">
        <v>67183620</v>
      </c>
      <c r="F1138" s="15">
        <v>2574</v>
      </c>
      <c r="G1138" s="8" t="s">
        <v>12324</v>
      </c>
      <c r="H1138" s="24" t="s">
        <v>3164</v>
      </c>
      <c r="I1138" s="25" t="s">
        <v>3165</v>
      </c>
      <c r="J1138" s="8" t="s">
        <v>3166</v>
      </c>
      <c r="K1138" s="8" t="s">
        <v>10042</v>
      </c>
      <c r="L1138" s="15">
        <v>0.33008500000000002</v>
      </c>
      <c r="M1138" s="15">
        <v>0.127605</v>
      </c>
      <c r="N1138" s="15">
        <v>0.49817621038732401</v>
      </c>
    </row>
    <row r="1139" spans="1:14" x14ac:dyDescent="0.2">
      <c r="A1139" s="2" t="s">
        <v>10066</v>
      </c>
      <c r="B1139" s="15">
        <v>584</v>
      </c>
      <c r="C1139" s="15">
        <v>3</v>
      </c>
      <c r="D1139" s="15">
        <v>186602046</v>
      </c>
      <c r="E1139" s="15">
        <v>187939199</v>
      </c>
      <c r="F1139" s="15">
        <v>3979</v>
      </c>
      <c r="G1139" s="8" t="s">
        <v>12324</v>
      </c>
      <c r="H1139" s="24" t="s">
        <v>6008</v>
      </c>
      <c r="I1139" s="25" t="s">
        <v>6009</v>
      </c>
      <c r="J1139" s="8" t="s">
        <v>6010</v>
      </c>
      <c r="K1139" s="8" t="s">
        <v>10051</v>
      </c>
      <c r="L1139" s="15">
        <v>-0.44232100000000002</v>
      </c>
      <c r="M1139" s="15">
        <v>0.12772500000000001</v>
      </c>
      <c r="N1139" s="15">
        <v>0.4982061345646438</v>
      </c>
    </row>
    <row r="1140" spans="1:14" x14ac:dyDescent="0.2">
      <c r="A1140" s="2" t="s">
        <v>10068</v>
      </c>
      <c r="B1140" s="15">
        <v>1600</v>
      </c>
      <c r="C1140" s="15">
        <v>10</v>
      </c>
      <c r="D1140" s="15">
        <v>126875817</v>
      </c>
      <c r="E1140" s="15">
        <v>127997708</v>
      </c>
      <c r="F1140" s="15">
        <v>3046</v>
      </c>
      <c r="G1140" s="8" t="s">
        <v>12324</v>
      </c>
      <c r="H1140" s="24" t="s">
        <v>494</v>
      </c>
      <c r="I1140" s="25">
        <v>25920</v>
      </c>
      <c r="J1140" s="8" t="s">
        <v>496</v>
      </c>
      <c r="K1140" s="8" t="s">
        <v>10040</v>
      </c>
      <c r="L1140" s="15">
        <v>-0.43099599999999999</v>
      </c>
      <c r="M1140" s="15">
        <v>0.12787200000000001</v>
      </c>
      <c r="N1140" s="15">
        <v>0.49826971905179979</v>
      </c>
    </row>
    <row r="1141" spans="1:14" x14ac:dyDescent="0.2">
      <c r="A1141" s="2" t="s">
        <v>10068</v>
      </c>
      <c r="B1141" s="15">
        <v>88</v>
      </c>
      <c r="C1141" s="15">
        <v>1</v>
      </c>
      <c r="D1141" s="15">
        <v>101188316</v>
      </c>
      <c r="E1141" s="15">
        <v>102424611</v>
      </c>
      <c r="F1141" s="15">
        <v>3350</v>
      </c>
      <c r="G1141" s="8" t="s">
        <v>12324</v>
      </c>
      <c r="H1141" s="24" t="s">
        <v>599</v>
      </c>
      <c r="I1141" s="25">
        <v>26562</v>
      </c>
      <c r="J1141" s="8" t="s">
        <v>601</v>
      </c>
      <c r="K1141" s="8" t="s">
        <v>10040</v>
      </c>
      <c r="L1141" s="15">
        <v>0.25048999999999999</v>
      </c>
      <c r="M1141" s="15">
        <v>0.127966</v>
      </c>
      <c r="N1141" s="15">
        <v>0.49826971905179979</v>
      </c>
    </row>
    <row r="1142" spans="1:14" x14ac:dyDescent="0.2">
      <c r="A1142" s="2" t="s">
        <v>10068</v>
      </c>
      <c r="B1142" s="15">
        <v>690</v>
      </c>
      <c r="C1142" s="15">
        <v>4</v>
      </c>
      <c r="D1142" s="15">
        <v>100333335</v>
      </c>
      <c r="E1142" s="15">
        <v>101132995</v>
      </c>
      <c r="F1142" s="15">
        <v>2147</v>
      </c>
      <c r="G1142" s="8" t="s">
        <v>12324</v>
      </c>
      <c r="H1142" s="24" t="s">
        <v>494</v>
      </c>
      <c r="I1142" s="25">
        <v>25920</v>
      </c>
      <c r="J1142" s="8" t="s">
        <v>496</v>
      </c>
      <c r="K1142" s="8" t="s">
        <v>10040</v>
      </c>
      <c r="L1142" s="15">
        <v>-0.43345299999999998</v>
      </c>
      <c r="M1142" s="15">
        <v>0.12809200000000001</v>
      </c>
      <c r="N1142" s="15">
        <v>0.49832282456140348</v>
      </c>
    </row>
    <row r="1143" spans="1:14" x14ac:dyDescent="0.2">
      <c r="A1143" s="2" t="s">
        <v>10068</v>
      </c>
      <c r="B1143" s="15">
        <v>76</v>
      </c>
      <c r="C1143" s="15">
        <v>1</v>
      </c>
      <c r="D1143" s="15">
        <v>87667573</v>
      </c>
      <c r="E1143" s="15">
        <v>88656689</v>
      </c>
      <c r="F1143" s="15">
        <v>2207</v>
      </c>
      <c r="G1143" s="8" t="s">
        <v>12324</v>
      </c>
      <c r="H1143" s="24" t="s">
        <v>1259</v>
      </c>
      <c r="I1143" s="25">
        <v>27096</v>
      </c>
      <c r="J1143" s="8" t="s">
        <v>1261</v>
      </c>
      <c r="K1143" s="8" t="s">
        <v>10040</v>
      </c>
      <c r="L1143" s="15">
        <v>-0.212173</v>
      </c>
      <c r="M1143" s="15">
        <v>0.12832399999999999</v>
      </c>
      <c r="N1143" s="15">
        <v>0.49846759194395801</v>
      </c>
    </row>
    <row r="1144" spans="1:14" x14ac:dyDescent="0.2">
      <c r="A1144" s="2" t="s">
        <v>10068</v>
      </c>
      <c r="B1144" s="15">
        <v>305</v>
      </c>
      <c r="C1144" s="15">
        <v>2</v>
      </c>
      <c r="D1144" s="15">
        <v>110097869</v>
      </c>
      <c r="E1144" s="15">
        <v>112644828</v>
      </c>
      <c r="F1144" s="15">
        <v>3421</v>
      </c>
      <c r="G1144" s="8" t="s">
        <v>12324</v>
      </c>
      <c r="H1144" s="24" t="s">
        <v>1259</v>
      </c>
      <c r="I1144" s="25">
        <v>27096</v>
      </c>
      <c r="J1144" s="8" t="s">
        <v>1261</v>
      </c>
      <c r="K1144" s="8" t="s">
        <v>10040</v>
      </c>
      <c r="L1144" s="15">
        <v>-0.26454499999999997</v>
      </c>
      <c r="M1144" s="15">
        <v>0.128354</v>
      </c>
      <c r="N1144" s="15">
        <v>0.49846759194395801</v>
      </c>
    </row>
    <row r="1145" spans="1:14" x14ac:dyDescent="0.2">
      <c r="A1145" s="2" t="s">
        <v>10068</v>
      </c>
      <c r="B1145" s="15">
        <v>1792</v>
      </c>
      <c r="C1145" s="15">
        <v>12</v>
      </c>
      <c r="D1145" s="15">
        <v>54371449</v>
      </c>
      <c r="E1145" s="15">
        <v>55416802</v>
      </c>
      <c r="F1145" s="15">
        <v>2521</v>
      </c>
      <c r="G1145" s="8" t="s">
        <v>12324</v>
      </c>
      <c r="H1145" s="24" t="s">
        <v>494</v>
      </c>
      <c r="I1145" s="25">
        <v>25920</v>
      </c>
      <c r="J1145" s="8" t="s">
        <v>496</v>
      </c>
      <c r="K1145" s="8" t="s">
        <v>10040</v>
      </c>
      <c r="L1145" s="15">
        <v>-0.36505500000000002</v>
      </c>
      <c r="M1145" s="15">
        <v>0.12851799999999999</v>
      </c>
      <c r="N1145" s="15">
        <v>0.49858859265734268</v>
      </c>
    </row>
    <row r="1146" spans="1:14" x14ac:dyDescent="0.2">
      <c r="A1146" s="2" t="s">
        <v>10069</v>
      </c>
      <c r="B1146" s="15">
        <v>2351</v>
      </c>
      <c r="C1146" s="15">
        <v>19</v>
      </c>
      <c r="D1146" s="15">
        <v>45040933</v>
      </c>
      <c r="E1146" s="15">
        <v>45893307</v>
      </c>
      <c r="F1146" s="15">
        <v>1254</v>
      </c>
      <c r="G1146" s="8" t="s">
        <v>12324</v>
      </c>
      <c r="H1146" s="24" t="s">
        <v>662</v>
      </c>
      <c r="I1146" s="25" t="s">
        <v>663</v>
      </c>
      <c r="J1146" s="8" t="s">
        <v>664</v>
      </c>
      <c r="K1146" s="8" t="s">
        <v>10040</v>
      </c>
      <c r="L1146" s="15">
        <v>0.36163000000000001</v>
      </c>
      <c r="M1146" s="15">
        <v>0.12861</v>
      </c>
      <c r="N1146" s="15">
        <v>0.49858859265734268</v>
      </c>
    </row>
    <row r="1147" spans="1:14" x14ac:dyDescent="0.2">
      <c r="A1147" s="2" t="s">
        <v>10068</v>
      </c>
      <c r="B1147" s="15">
        <v>1078</v>
      </c>
      <c r="C1147" s="15">
        <v>6</v>
      </c>
      <c r="D1147" s="15">
        <v>154462011</v>
      </c>
      <c r="E1147" s="15">
        <v>155523957</v>
      </c>
      <c r="F1147" s="15">
        <v>3234</v>
      </c>
      <c r="G1147" s="8" t="s">
        <v>12324</v>
      </c>
      <c r="H1147" s="24" t="s">
        <v>494</v>
      </c>
      <c r="I1147" s="25">
        <v>25920</v>
      </c>
      <c r="J1147" s="8" t="s">
        <v>496</v>
      </c>
      <c r="K1147" s="8" t="s">
        <v>10040</v>
      </c>
      <c r="L1147" s="15">
        <v>0.23993800000000001</v>
      </c>
      <c r="M1147" s="15">
        <v>0.12886600000000001</v>
      </c>
      <c r="N1147" s="15">
        <v>0.49914472489082973</v>
      </c>
    </row>
    <row r="1148" spans="1:14" x14ac:dyDescent="0.2">
      <c r="A1148" s="2" t="s">
        <v>10068</v>
      </c>
      <c r="B1148" s="15">
        <v>2039</v>
      </c>
      <c r="C1148" s="15">
        <v>15</v>
      </c>
      <c r="D1148" s="15">
        <v>26392948</v>
      </c>
      <c r="E1148" s="15">
        <v>27563172</v>
      </c>
      <c r="F1148" s="15">
        <v>3051</v>
      </c>
      <c r="G1148" s="8" t="s">
        <v>12324</v>
      </c>
      <c r="H1148" s="24" t="s">
        <v>6565</v>
      </c>
      <c r="I1148" s="25" t="s">
        <v>6475</v>
      </c>
      <c r="J1148" s="8" t="s">
        <v>6566</v>
      </c>
      <c r="K1148" s="8" t="s">
        <v>10054</v>
      </c>
      <c r="L1148" s="15">
        <v>0.41876099999999999</v>
      </c>
      <c r="M1148" s="15">
        <v>0.12899099999999999</v>
      </c>
      <c r="N1148" s="15">
        <v>0.49919291884816752</v>
      </c>
    </row>
    <row r="1149" spans="1:14" x14ac:dyDescent="0.2">
      <c r="A1149" s="2" t="s">
        <v>10068</v>
      </c>
      <c r="B1149" s="15">
        <v>2018</v>
      </c>
      <c r="C1149" s="15">
        <v>14</v>
      </c>
      <c r="D1149" s="15">
        <v>90662837</v>
      </c>
      <c r="E1149" s="15">
        <v>92101228</v>
      </c>
      <c r="F1149" s="15">
        <v>3695</v>
      </c>
      <c r="G1149" s="8" t="s">
        <v>12324</v>
      </c>
      <c r="H1149" s="24" t="s">
        <v>6565</v>
      </c>
      <c r="I1149" s="25" t="s">
        <v>6475</v>
      </c>
      <c r="J1149" s="8" t="s">
        <v>6566</v>
      </c>
      <c r="K1149" s="8" t="s">
        <v>10054</v>
      </c>
      <c r="L1149" s="15">
        <v>-0.56581700000000001</v>
      </c>
      <c r="M1149" s="15">
        <v>0.12920000000000001</v>
      </c>
      <c r="N1149" s="15">
        <v>0.49956582388840459</v>
      </c>
    </row>
    <row r="1150" spans="1:14" x14ac:dyDescent="0.2">
      <c r="A1150" s="2" t="s">
        <v>10066</v>
      </c>
      <c r="B1150" s="15">
        <v>2481</v>
      </c>
      <c r="C1150" s="15">
        <v>22</v>
      </c>
      <c r="D1150" s="15">
        <v>36135969</v>
      </c>
      <c r="E1150" s="15">
        <v>37364004</v>
      </c>
      <c r="F1150" s="15">
        <v>3366</v>
      </c>
      <c r="G1150" s="8" t="s">
        <v>12324</v>
      </c>
      <c r="H1150" s="24" t="s">
        <v>6008</v>
      </c>
      <c r="I1150" s="25" t="s">
        <v>6009</v>
      </c>
      <c r="J1150" s="8" t="s">
        <v>6010</v>
      </c>
      <c r="K1150" s="8" t="s">
        <v>10051</v>
      </c>
      <c r="L1150" s="15">
        <v>-0.34025300000000003</v>
      </c>
      <c r="M1150" s="15">
        <v>0.12961300000000001</v>
      </c>
      <c r="N1150" s="15">
        <v>0.50072618031358884</v>
      </c>
    </row>
    <row r="1151" spans="1:14" x14ac:dyDescent="0.2">
      <c r="A1151" s="2" t="s">
        <v>10069</v>
      </c>
      <c r="B1151" s="15">
        <v>1499</v>
      </c>
      <c r="C1151" s="15">
        <v>10</v>
      </c>
      <c r="D1151" s="15">
        <v>11856925</v>
      </c>
      <c r="E1151" s="15">
        <v>12581571</v>
      </c>
      <c r="F1151" s="15">
        <v>1591</v>
      </c>
      <c r="G1151" s="8" t="s">
        <v>12324</v>
      </c>
      <c r="H1151" s="24" t="s">
        <v>662</v>
      </c>
      <c r="I1151" s="25" t="s">
        <v>663</v>
      </c>
      <c r="J1151" s="8" t="s">
        <v>664</v>
      </c>
      <c r="K1151" s="8" t="s">
        <v>10040</v>
      </c>
      <c r="L1151" s="15">
        <v>-0.56164999999999998</v>
      </c>
      <c r="M1151" s="15">
        <v>0.12989600000000001</v>
      </c>
      <c r="N1151" s="15">
        <v>0.50138273281114021</v>
      </c>
    </row>
    <row r="1152" spans="1:14" x14ac:dyDescent="0.2">
      <c r="A1152" s="2" t="s">
        <v>10066</v>
      </c>
      <c r="B1152" s="15">
        <v>106</v>
      </c>
      <c r="C1152" s="15">
        <v>1</v>
      </c>
      <c r="D1152" s="15">
        <v>120345067</v>
      </c>
      <c r="E1152" s="15">
        <v>145803848</v>
      </c>
      <c r="F1152" s="15">
        <v>1103</v>
      </c>
      <c r="G1152" s="8" t="s">
        <v>12324</v>
      </c>
      <c r="H1152" s="24" t="s">
        <v>3164</v>
      </c>
      <c r="I1152" s="25" t="s">
        <v>3165</v>
      </c>
      <c r="J1152" s="8" t="s">
        <v>3166</v>
      </c>
      <c r="K1152" s="8" t="s">
        <v>10042</v>
      </c>
      <c r="L1152" s="15">
        <v>-0.233874</v>
      </c>
      <c r="M1152" s="15">
        <v>0.130021</v>
      </c>
      <c r="N1152" s="15">
        <v>0.50142881304347831</v>
      </c>
    </row>
    <row r="1153" spans="1:14" x14ac:dyDescent="0.2">
      <c r="A1153" s="2" t="s">
        <v>10068</v>
      </c>
      <c r="B1153" s="15">
        <v>2306</v>
      </c>
      <c r="C1153" s="15">
        <v>19</v>
      </c>
      <c r="D1153" s="15">
        <v>64705</v>
      </c>
      <c r="E1153" s="15">
        <v>762046</v>
      </c>
      <c r="F1153" s="15">
        <v>2459</v>
      </c>
      <c r="G1153" s="8" t="s">
        <v>12324</v>
      </c>
      <c r="H1153" s="24" t="s">
        <v>599</v>
      </c>
      <c r="I1153" s="25">
        <v>26562</v>
      </c>
      <c r="J1153" s="8" t="s">
        <v>601</v>
      </c>
      <c r="K1153" s="8" t="s">
        <v>10040</v>
      </c>
      <c r="L1153" s="15">
        <v>0.25252799999999997</v>
      </c>
      <c r="M1153" s="15">
        <v>0.13068199999999999</v>
      </c>
      <c r="N1153" s="15">
        <v>0.5033994487847222</v>
      </c>
    </row>
    <row r="1154" spans="1:14" x14ac:dyDescent="0.2">
      <c r="A1154" s="2" t="s">
        <v>10066</v>
      </c>
      <c r="B1154" s="15">
        <v>675</v>
      </c>
      <c r="C1154" s="15">
        <v>4</v>
      </c>
      <c r="D1154" s="15">
        <v>82655624</v>
      </c>
      <c r="E1154" s="15">
        <v>84003062</v>
      </c>
      <c r="F1154" s="15">
        <v>3636</v>
      </c>
      <c r="G1154" s="8" t="s">
        <v>12324</v>
      </c>
      <c r="H1154" s="24" t="s">
        <v>3164</v>
      </c>
      <c r="I1154" s="25" t="s">
        <v>3165</v>
      </c>
      <c r="J1154" s="8" t="s">
        <v>3166</v>
      </c>
      <c r="K1154" s="8" t="s">
        <v>10042</v>
      </c>
      <c r="L1154" s="15">
        <v>0.44983499999999998</v>
      </c>
      <c r="M1154" s="15">
        <v>0.13075899999999999</v>
      </c>
      <c r="N1154" s="15">
        <v>0.5033994487847222</v>
      </c>
    </row>
    <row r="1155" spans="1:14" x14ac:dyDescent="0.2">
      <c r="A1155" s="2" t="s">
        <v>10068</v>
      </c>
      <c r="B1155" s="15">
        <v>899</v>
      </c>
      <c r="C1155" s="15">
        <v>5</v>
      </c>
      <c r="D1155" s="15">
        <v>149850204</v>
      </c>
      <c r="E1155" s="15">
        <v>150981934</v>
      </c>
      <c r="F1155" s="15">
        <v>3202</v>
      </c>
      <c r="G1155" s="8" t="s">
        <v>12324</v>
      </c>
      <c r="H1155" s="24" t="s">
        <v>599</v>
      </c>
      <c r="I1155" s="25">
        <v>26562</v>
      </c>
      <c r="J1155" s="8" t="s">
        <v>601</v>
      </c>
      <c r="K1155" s="8" t="s">
        <v>10040</v>
      </c>
      <c r="L1155" s="15">
        <v>-0.25342999999999999</v>
      </c>
      <c r="M1155" s="15">
        <v>0.13112399999999999</v>
      </c>
      <c r="N1155" s="15">
        <v>0.50371011245674746</v>
      </c>
    </row>
    <row r="1156" spans="1:14" x14ac:dyDescent="0.2">
      <c r="A1156" s="2" t="s">
        <v>10068</v>
      </c>
      <c r="B1156" s="15">
        <v>1983</v>
      </c>
      <c r="C1156" s="15">
        <v>14</v>
      </c>
      <c r="D1156" s="15">
        <v>51418372</v>
      </c>
      <c r="E1156" s="15">
        <v>52206122</v>
      </c>
      <c r="F1156" s="15">
        <v>2329</v>
      </c>
      <c r="G1156" s="8" t="s">
        <v>12324</v>
      </c>
      <c r="H1156" s="24" t="s">
        <v>599</v>
      </c>
      <c r="I1156" s="25">
        <v>26562</v>
      </c>
      <c r="J1156" s="8" t="s">
        <v>601</v>
      </c>
      <c r="K1156" s="8" t="s">
        <v>10040</v>
      </c>
      <c r="L1156" s="15">
        <v>0.48459999999999998</v>
      </c>
      <c r="M1156" s="15">
        <v>0.13123599999999999</v>
      </c>
      <c r="N1156" s="15">
        <v>0.50371011245674746</v>
      </c>
    </row>
    <row r="1157" spans="1:14" x14ac:dyDescent="0.2">
      <c r="A1157" s="2" t="s">
        <v>10066</v>
      </c>
      <c r="B1157" s="15">
        <v>449</v>
      </c>
      <c r="C1157" s="15">
        <v>3</v>
      </c>
      <c r="D1157" s="15">
        <v>28649811</v>
      </c>
      <c r="E1157" s="15">
        <v>29877022</v>
      </c>
      <c r="F1157" s="15">
        <v>4044</v>
      </c>
      <c r="G1157" s="8" t="s">
        <v>12324</v>
      </c>
      <c r="H1157" s="24" t="s">
        <v>3164</v>
      </c>
      <c r="I1157" s="25" t="s">
        <v>3165</v>
      </c>
      <c r="J1157" s="8" t="s">
        <v>3166</v>
      </c>
      <c r="K1157" s="8" t="s">
        <v>10042</v>
      </c>
      <c r="L1157" s="15">
        <v>-0.62962099999999999</v>
      </c>
      <c r="M1157" s="15">
        <v>0.13100600000000001</v>
      </c>
      <c r="N1157" s="15">
        <v>0.50371011245674746</v>
      </c>
    </row>
    <row r="1158" spans="1:14" x14ac:dyDescent="0.2">
      <c r="A1158" s="2" t="s">
        <v>10066</v>
      </c>
      <c r="B1158" s="15">
        <v>589</v>
      </c>
      <c r="C1158" s="15">
        <v>3</v>
      </c>
      <c r="D1158" s="15">
        <v>192049689</v>
      </c>
      <c r="E1158" s="15">
        <v>193122090</v>
      </c>
      <c r="F1158" s="15">
        <v>2938</v>
      </c>
      <c r="G1158" s="8" t="s">
        <v>12324</v>
      </c>
      <c r="H1158" s="24" t="s">
        <v>6008</v>
      </c>
      <c r="I1158" s="25" t="s">
        <v>6009</v>
      </c>
      <c r="J1158" s="8" t="s">
        <v>6010</v>
      </c>
      <c r="K1158" s="8" t="s">
        <v>10051</v>
      </c>
      <c r="L1158" s="15">
        <v>0.22162899999999999</v>
      </c>
      <c r="M1158" s="15">
        <v>0.13129399999999999</v>
      </c>
      <c r="N1158" s="15">
        <v>0.50371011245674746</v>
      </c>
    </row>
    <row r="1159" spans="1:14" x14ac:dyDescent="0.2">
      <c r="A1159" s="2" t="s">
        <v>10068</v>
      </c>
      <c r="B1159" s="15">
        <v>2250</v>
      </c>
      <c r="C1159" s="15">
        <v>18</v>
      </c>
      <c r="D1159" s="15">
        <v>11872227</v>
      </c>
      <c r="E1159" s="15">
        <v>12735558</v>
      </c>
      <c r="F1159" s="15">
        <v>2755</v>
      </c>
      <c r="G1159" s="8" t="s">
        <v>12324</v>
      </c>
      <c r="H1159" s="24" t="s">
        <v>494</v>
      </c>
      <c r="I1159" s="25">
        <v>25920</v>
      </c>
      <c r="J1159" s="8" t="s">
        <v>496</v>
      </c>
      <c r="K1159" s="8" t="s">
        <v>10040</v>
      </c>
      <c r="L1159" s="15">
        <v>0.20638799999999999</v>
      </c>
      <c r="M1159" s="15">
        <v>0.13181799999999999</v>
      </c>
      <c r="N1159" s="15">
        <v>0.50384013605442179</v>
      </c>
    </row>
    <row r="1160" spans="1:14" x14ac:dyDescent="0.2">
      <c r="A1160" s="2" t="s">
        <v>10068</v>
      </c>
      <c r="B1160" s="15">
        <v>2242</v>
      </c>
      <c r="C1160" s="15">
        <v>18</v>
      </c>
      <c r="D1160" s="15">
        <v>3722829</v>
      </c>
      <c r="E1160" s="15">
        <v>4603961</v>
      </c>
      <c r="F1160" s="15">
        <v>2690</v>
      </c>
      <c r="G1160" s="8" t="s">
        <v>12324</v>
      </c>
      <c r="H1160" s="24" t="s">
        <v>494</v>
      </c>
      <c r="I1160" s="25">
        <v>25920</v>
      </c>
      <c r="J1160" s="8" t="s">
        <v>496</v>
      </c>
      <c r="K1160" s="8" t="s">
        <v>10040</v>
      </c>
      <c r="L1160" s="15">
        <v>-0.26725599999999999</v>
      </c>
      <c r="M1160" s="15">
        <v>0.13193099999999999</v>
      </c>
      <c r="N1160" s="15">
        <v>0.50384013605442179</v>
      </c>
    </row>
    <row r="1161" spans="1:14" x14ac:dyDescent="0.2">
      <c r="A1161" s="2" t="s">
        <v>10068</v>
      </c>
      <c r="B1161" s="15">
        <v>938</v>
      </c>
      <c r="C1161" s="15">
        <v>6</v>
      </c>
      <c r="D1161" s="15">
        <v>15069422</v>
      </c>
      <c r="E1161" s="15">
        <v>16566882</v>
      </c>
      <c r="F1161" s="15">
        <v>4116</v>
      </c>
      <c r="G1161" s="8" t="s">
        <v>12324</v>
      </c>
      <c r="H1161" s="24" t="s">
        <v>599</v>
      </c>
      <c r="I1161" s="25">
        <v>26562</v>
      </c>
      <c r="J1161" s="8" t="s">
        <v>601</v>
      </c>
      <c r="K1161" s="8" t="s">
        <v>10040</v>
      </c>
      <c r="L1161" s="15">
        <v>-0.45421899999999998</v>
      </c>
      <c r="M1161" s="15">
        <v>0.13170100000000001</v>
      </c>
      <c r="N1161" s="15">
        <v>0.50384013605442179</v>
      </c>
    </row>
    <row r="1162" spans="1:14" x14ac:dyDescent="0.2">
      <c r="A1162" s="2" t="s">
        <v>10068</v>
      </c>
      <c r="B1162" s="15">
        <v>934</v>
      </c>
      <c r="C1162" s="15">
        <v>6</v>
      </c>
      <c r="D1162" s="15">
        <v>9020711</v>
      </c>
      <c r="E1162" s="15">
        <v>10416550</v>
      </c>
      <c r="F1162" s="15">
        <v>3978</v>
      </c>
      <c r="G1162" s="8" t="s">
        <v>12324</v>
      </c>
      <c r="H1162" s="24" t="s">
        <v>599</v>
      </c>
      <c r="I1162" s="25">
        <v>26562</v>
      </c>
      <c r="J1162" s="8" t="s">
        <v>601</v>
      </c>
      <c r="K1162" s="8" t="s">
        <v>10040</v>
      </c>
      <c r="L1162" s="15">
        <v>-0.25031300000000001</v>
      </c>
      <c r="M1162" s="15">
        <v>0.13251599999999999</v>
      </c>
      <c r="N1162" s="15">
        <v>0.50384013605442179</v>
      </c>
    </row>
    <row r="1163" spans="1:14" x14ac:dyDescent="0.2">
      <c r="A1163" s="2" t="s">
        <v>10068</v>
      </c>
      <c r="B1163" s="15">
        <v>508</v>
      </c>
      <c r="C1163" s="15">
        <v>3</v>
      </c>
      <c r="D1163" s="15">
        <v>101906990</v>
      </c>
      <c r="E1163" s="15">
        <v>103450271</v>
      </c>
      <c r="F1163" s="15">
        <v>4094</v>
      </c>
      <c r="G1163" s="8" t="s">
        <v>12324</v>
      </c>
      <c r="H1163" s="24" t="s">
        <v>599</v>
      </c>
      <c r="I1163" s="25">
        <v>26562</v>
      </c>
      <c r="J1163" s="8" t="s">
        <v>601</v>
      </c>
      <c r="K1163" s="8" t="s">
        <v>10040</v>
      </c>
      <c r="L1163" s="15">
        <v>0.46068599999999998</v>
      </c>
      <c r="M1163" s="15">
        <v>0.13293199999999999</v>
      </c>
      <c r="N1163" s="15">
        <v>0.50384013605442179</v>
      </c>
    </row>
    <row r="1164" spans="1:14" x14ac:dyDescent="0.2">
      <c r="A1164" s="2" t="s">
        <v>10068</v>
      </c>
      <c r="B1164" s="15">
        <v>2089</v>
      </c>
      <c r="C1164" s="15">
        <v>15</v>
      </c>
      <c r="D1164" s="15">
        <v>89385188</v>
      </c>
      <c r="E1164" s="15">
        <v>90632718</v>
      </c>
      <c r="F1164" s="15">
        <v>3023</v>
      </c>
      <c r="G1164" s="8" t="s">
        <v>12324</v>
      </c>
      <c r="H1164" s="24" t="s">
        <v>599</v>
      </c>
      <c r="I1164" s="25">
        <v>26562</v>
      </c>
      <c r="J1164" s="8" t="s">
        <v>601</v>
      </c>
      <c r="K1164" s="8" t="s">
        <v>10040</v>
      </c>
      <c r="L1164" s="15">
        <v>0.43054700000000001</v>
      </c>
      <c r="M1164" s="15">
        <v>0.13339599999999999</v>
      </c>
      <c r="N1164" s="15">
        <v>0.50384013605442179</v>
      </c>
    </row>
    <row r="1165" spans="1:14" x14ac:dyDescent="0.2">
      <c r="A1165" s="2" t="s">
        <v>10069</v>
      </c>
      <c r="B1165" s="15">
        <v>2072</v>
      </c>
      <c r="C1165" s="15">
        <v>15</v>
      </c>
      <c r="D1165" s="15">
        <v>69089816</v>
      </c>
      <c r="E1165" s="15">
        <v>70767983</v>
      </c>
      <c r="F1165" s="15">
        <v>2192</v>
      </c>
      <c r="G1165" s="8" t="s">
        <v>12324</v>
      </c>
      <c r="H1165" s="24" t="s">
        <v>662</v>
      </c>
      <c r="I1165" s="25" t="s">
        <v>663</v>
      </c>
      <c r="J1165" s="8" t="s">
        <v>664</v>
      </c>
      <c r="K1165" s="8" t="s">
        <v>10040</v>
      </c>
      <c r="L1165" s="15">
        <v>-0.462258</v>
      </c>
      <c r="M1165" s="15">
        <v>0.13173499999999999</v>
      </c>
      <c r="N1165" s="15">
        <v>0.50384013605442179</v>
      </c>
    </row>
    <row r="1166" spans="1:14" x14ac:dyDescent="0.2">
      <c r="A1166" s="2" t="s">
        <v>10069</v>
      </c>
      <c r="B1166" s="15">
        <v>2415</v>
      </c>
      <c r="C1166" s="15">
        <v>20</v>
      </c>
      <c r="D1166" s="15">
        <v>51533751</v>
      </c>
      <c r="E1166" s="15">
        <v>52411532</v>
      </c>
      <c r="F1166" s="15">
        <v>1453</v>
      </c>
      <c r="G1166" s="8" t="s">
        <v>12324</v>
      </c>
      <c r="H1166" s="24" t="s">
        <v>662</v>
      </c>
      <c r="I1166" s="25" t="s">
        <v>663</v>
      </c>
      <c r="J1166" s="8" t="s">
        <v>664</v>
      </c>
      <c r="K1166" s="8" t="s">
        <v>10040</v>
      </c>
      <c r="L1166" s="15">
        <v>-0.47744300000000001</v>
      </c>
      <c r="M1166" s="15">
        <v>0.133133</v>
      </c>
      <c r="N1166" s="15">
        <v>0.50384013605442179</v>
      </c>
    </row>
    <row r="1167" spans="1:14" x14ac:dyDescent="0.2">
      <c r="A1167" s="2" t="s">
        <v>10069</v>
      </c>
      <c r="B1167" s="15">
        <v>2231</v>
      </c>
      <c r="C1167" s="15">
        <v>17</v>
      </c>
      <c r="D1167" s="15">
        <v>74908267</v>
      </c>
      <c r="E1167" s="15">
        <v>75619256</v>
      </c>
      <c r="F1167" s="15">
        <v>1709</v>
      </c>
      <c r="G1167" s="8" t="s">
        <v>12324</v>
      </c>
      <c r="H1167" s="24" t="s">
        <v>662</v>
      </c>
      <c r="I1167" s="25" t="s">
        <v>663</v>
      </c>
      <c r="J1167" s="8" t="s">
        <v>664</v>
      </c>
      <c r="K1167" s="8" t="s">
        <v>10040</v>
      </c>
      <c r="L1167" s="15">
        <v>-0.33573199999999997</v>
      </c>
      <c r="M1167" s="15">
        <v>0.13348699999999999</v>
      </c>
      <c r="N1167" s="15">
        <v>0.50384013605442179</v>
      </c>
    </row>
    <row r="1168" spans="1:14" x14ac:dyDescent="0.2">
      <c r="A1168" s="2" t="s">
        <v>10068</v>
      </c>
      <c r="B1168" s="15">
        <v>1126</v>
      </c>
      <c r="C1168" s="15">
        <v>7</v>
      </c>
      <c r="D1168" s="15">
        <v>27351287</v>
      </c>
      <c r="E1168" s="15">
        <v>28890886</v>
      </c>
      <c r="F1168" s="15">
        <v>3962</v>
      </c>
      <c r="G1168" s="8" t="s">
        <v>12324</v>
      </c>
      <c r="H1168" s="24" t="s">
        <v>1259</v>
      </c>
      <c r="I1168" s="25">
        <v>27096</v>
      </c>
      <c r="J1168" s="8" t="s">
        <v>1261</v>
      </c>
      <c r="K1168" s="8" t="s">
        <v>10040</v>
      </c>
      <c r="L1168" s="15">
        <v>-0.29203600000000002</v>
      </c>
      <c r="M1168" s="15">
        <v>0.13208500000000001</v>
      </c>
      <c r="N1168" s="15">
        <v>0.50384013605442179</v>
      </c>
    </row>
    <row r="1169" spans="1:14" x14ac:dyDescent="0.2">
      <c r="A1169" s="2" t="s">
        <v>10068</v>
      </c>
      <c r="B1169" s="15">
        <v>2209</v>
      </c>
      <c r="C1169" s="15">
        <v>17</v>
      </c>
      <c r="D1169" s="15">
        <v>45883902</v>
      </c>
      <c r="E1169" s="15">
        <v>47516224</v>
      </c>
      <c r="F1169" s="15">
        <v>3821</v>
      </c>
      <c r="G1169" s="8" t="s">
        <v>12324</v>
      </c>
      <c r="H1169" s="24" t="s">
        <v>1259</v>
      </c>
      <c r="I1169" s="25">
        <v>27096</v>
      </c>
      <c r="J1169" s="8" t="s">
        <v>1261</v>
      </c>
      <c r="K1169" s="8" t="s">
        <v>10040</v>
      </c>
      <c r="L1169" s="15">
        <v>0.68438100000000002</v>
      </c>
      <c r="M1169" s="15">
        <v>0.13239799999999999</v>
      </c>
      <c r="N1169" s="15">
        <v>0.50384013605442179</v>
      </c>
    </row>
    <row r="1170" spans="1:14" x14ac:dyDescent="0.2">
      <c r="A1170" s="2" t="s">
        <v>10068</v>
      </c>
      <c r="B1170" s="15">
        <v>978</v>
      </c>
      <c r="C1170" s="15">
        <v>6</v>
      </c>
      <c r="D1170" s="15">
        <v>43770627</v>
      </c>
      <c r="E1170" s="15">
        <v>44596897</v>
      </c>
      <c r="F1170" s="15">
        <v>2313</v>
      </c>
      <c r="G1170" s="8" t="s">
        <v>12324</v>
      </c>
      <c r="H1170" s="24" t="s">
        <v>1259</v>
      </c>
      <c r="I1170" s="25">
        <v>27096</v>
      </c>
      <c r="J1170" s="8" t="s">
        <v>1261</v>
      </c>
      <c r="K1170" s="8" t="s">
        <v>10040</v>
      </c>
      <c r="L1170" s="15">
        <v>0.215972</v>
      </c>
      <c r="M1170" s="15">
        <v>0.13250300000000001</v>
      </c>
      <c r="N1170" s="15">
        <v>0.50384013605442179</v>
      </c>
    </row>
    <row r="1171" spans="1:14" x14ac:dyDescent="0.2">
      <c r="A1171" s="2" t="s">
        <v>10066</v>
      </c>
      <c r="B1171" s="15">
        <v>2283</v>
      </c>
      <c r="C1171" s="15">
        <v>18</v>
      </c>
      <c r="D1171" s="15">
        <v>54957868</v>
      </c>
      <c r="E1171" s="15">
        <v>55809315</v>
      </c>
      <c r="F1171" s="15">
        <v>2737</v>
      </c>
      <c r="G1171" s="8" t="s">
        <v>12324</v>
      </c>
      <c r="H1171" s="24" t="s">
        <v>3164</v>
      </c>
      <c r="I1171" s="25" t="s">
        <v>3165</v>
      </c>
      <c r="J1171" s="8" t="s">
        <v>3166</v>
      </c>
      <c r="K1171" s="8" t="s">
        <v>10042</v>
      </c>
      <c r="L1171" s="15">
        <v>-0.21362400000000001</v>
      </c>
      <c r="M1171" s="15">
        <v>0.131826</v>
      </c>
      <c r="N1171" s="15">
        <v>0.50384013605442179</v>
      </c>
    </row>
    <row r="1172" spans="1:14" x14ac:dyDescent="0.2">
      <c r="A1172" s="2" t="s">
        <v>10066</v>
      </c>
      <c r="B1172" s="15">
        <v>2000</v>
      </c>
      <c r="C1172" s="15">
        <v>14</v>
      </c>
      <c r="D1172" s="15">
        <v>69794543</v>
      </c>
      <c r="E1172" s="15">
        <v>71140426</v>
      </c>
      <c r="F1172" s="15">
        <v>3690</v>
      </c>
      <c r="G1172" s="8" t="s">
        <v>12324</v>
      </c>
      <c r="H1172" s="24" t="s">
        <v>3164</v>
      </c>
      <c r="I1172" s="25" t="s">
        <v>3165</v>
      </c>
      <c r="J1172" s="8" t="s">
        <v>3166</v>
      </c>
      <c r="K1172" s="8" t="s">
        <v>10042</v>
      </c>
      <c r="L1172" s="15">
        <v>0.42941200000000002</v>
      </c>
      <c r="M1172" s="15">
        <v>0.13278499999999999</v>
      </c>
      <c r="N1172" s="15">
        <v>0.50384013605442179</v>
      </c>
    </row>
    <row r="1173" spans="1:14" x14ac:dyDescent="0.2">
      <c r="A1173" s="2" t="s">
        <v>10066</v>
      </c>
      <c r="B1173" s="15">
        <v>34</v>
      </c>
      <c r="C1173" s="15">
        <v>1</v>
      </c>
      <c r="D1173" s="15">
        <v>35201627</v>
      </c>
      <c r="E1173" s="15">
        <v>36855139</v>
      </c>
      <c r="F1173" s="15">
        <v>2250</v>
      </c>
      <c r="G1173" s="8" t="s">
        <v>12324</v>
      </c>
      <c r="H1173" s="24" t="s">
        <v>6008</v>
      </c>
      <c r="I1173" s="25" t="s">
        <v>6009</v>
      </c>
      <c r="J1173" s="8" t="s">
        <v>6010</v>
      </c>
      <c r="K1173" s="8" t="s">
        <v>10051</v>
      </c>
      <c r="L1173" s="15">
        <v>-0.504386</v>
      </c>
      <c r="M1173" s="15">
        <v>0.13314000000000001</v>
      </c>
      <c r="N1173" s="15">
        <v>0.50384013605442179</v>
      </c>
    </row>
    <row r="1174" spans="1:14" x14ac:dyDescent="0.2">
      <c r="A1174" s="2" t="s">
        <v>10066</v>
      </c>
      <c r="B1174" s="15">
        <v>116</v>
      </c>
      <c r="C1174" s="15">
        <v>1</v>
      </c>
      <c r="D1174" s="15">
        <v>158900370</v>
      </c>
      <c r="E1174" s="15">
        <v>159882515</v>
      </c>
      <c r="F1174" s="15">
        <v>2599</v>
      </c>
      <c r="G1174" s="8" t="s">
        <v>12324</v>
      </c>
      <c r="H1174" s="24" t="s">
        <v>6008</v>
      </c>
      <c r="I1174" s="25" t="s">
        <v>6009</v>
      </c>
      <c r="J1174" s="8" t="s">
        <v>6010</v>
      </c>
      <c r="K1174" s="8" t="s">
        <v>10051</v>
      </c>
      <c r="L1174" s="15">
        <v>-0.29519299999999998</v>
      </c>
      <c r="M1174" s="15">
        <v>0.133215</v>
      </c>
      <c r="N1174" s="15">
        <v>0.50384013605442179</v>
      </c>
    </row>
    <row r="1175" spans="1:14" x14ac:dyDescent="0.2">
      <c r="A1175" s="2" t="s">
        <v>10066</v>
      </c>
      <c r="B1175" s="15">
        <v>2371</v>
      </c>
      <c r="C1175" s="15">
        <v>20</v>
      </c>
      <c r="D1175" s="15">
        <v>1771286</v>
      </c>
      <c r="E1175" s="15">
        <v>2668108</v>
      </c>
      <c r="F1175" s="15">
        <v>2787</v>
      </c>
      <c r="G1175" s="8" t="s">
        <v>12324</v>
      </c>
      <c r="H1175" s="24" t="s">
        <v>6008</v>
      </c>
      <c r="I1175" s="25" t="s">
        <v>6009</v>
      </c>
      <c r="J1175" s="8" t="s">
        <v>6010</v>
      </c>
      <c r="K1175" s="8" t="s">
        <v>10051</v>
      </c>
      <c r="L1175" s="15">
        <v>0.31996999999999998</v>
      </c>
      <c r="M1175" s="15">
        <v>0.1336</v>
      </c>
      <c r="N1175" s="15">
        <v>0.50384013605442179</v>
      </c>
    </row>
    <row r="1176" spans="1:14" x14ac:dyDescent="0.2">
      <c r="A1176" s="2" t="s">
        <v>10068</v>
      </c>
      <c r="B1176" s="15">
        <v>2387</v>
      </c>
      <c r="C1176" s="15">
        <v>20</v>
      </c>
      <c r="D1176" s="15">
        <v>16661517</v>
      </c>
      <c r="E1176" s="15">
        <v>17359290</v>
      </c>
      <c r="F1176" s="15">
        <v>2176</v>
      </c>
      <c r="G1176" s="8" t="s">
        <v>12324</v>
      </c>
      <c r="H1176" s="24" t="s">
        <v>6565</v>
      </c>
      <c r="I1176" s="25" t="s">
        <v>6475</v>
      </c>
      <c r="J1176" s="8" t="s">
        <v>6566</v>
      </c>
      <c r="K1176" s="8" t="s">
        <v>10054</v>
      </c>
      <c r="L1176" s="15">
        <v>-0.365954</v>
      </c>
      <c r="M1176" s="15">
        <v>0.13242799999999999</v>
      </c>
      <c r="N1176" s="15">
        <v>0.50384013605442179</v>
      </c>
    </row>
    <row r="1177" spans="1:14" x14ac:dyDescent="0.2">
      <c r="A1177" s="2" t="s">
        <v>10068</v>
      </c>
      <c r="B1177" s="15">
        <v>1470</v>
      </c>
      <c r="C1177" s="15">
        <v>9</v>
      </c>
      <c r="D1177" s="15">
        <v>126092932</v>
      </c>
      <c r="E1177" s="15">
        <v>127184582</v>
      </c>
      <c r="F1177" s="15">
        <v>2671</v>
      </c>
      <c r="G1177" s="8" t="s">
        <v>12324</v>
      </c>
      <c r="H1177" s="24" t="s">
        <v>6565</v>
      </c>
      <c r="I1177" s="25" t="s">
        <v>6475</v>
      </c>
      <c r="J1177" s="8" t="s">
        <v>6566</v>
      </c>
      <c r="K1177" s="8" t="s">
        <v>10054</v>
      </c>
      <c r="L1177" s="15">
        <v>0.42734</v>
      </c>
      <c r="M1177" s="15">
        <v>0.13280600000000001</v>
      </c>
      <c r="N1177" s="15">
        <v>0.50384013605442179</v>
      </c>
    </row>
    <row r="1178" spans="1:14" x14ac:dyDescent="0.2">
      <c r="A1178" s="2" t="s">
        <v>10068</v>
      </c>
      <c r="B1178" s="15">
        <v>24</v>
      </c>
      <c r="C1178" s="15">
        <v>1</v>
      </c>
      <c r="D1178" s="15">
        <v>22145630</v>
      </c>
      <c r="E1178" s="15">
        <v>22740287</v>
      </c>
      <c r="F1178" s="15">
        <v>2190</v>
      </c>
      <c r="G1178" s="8" t="s">
        <v>12324</v>
      </c>
      <c r="H1178" s="24" t="s">
        <v>6565</v>
      </c>
      <c r="I1178" s="25" t="s">
        <v>6475</v>
      </c>
      <c r="J1178" s="8" t="s">
        <v>6566</v>
      </c>
      <c r="K1178" s="8" t="s">
        <v>10054</v>
      </c>
      <c r="L1178" s="15">
        <v>-0.28455599999999998</v>
      </c>
      <c r="M1178" s="15">
        <v>0.13328100000000001</v>
      </c>
      <c r="N1178" s="15">
        <v>0.50384013605442179</v>
      </c>
    </row>
    <row r="1179" spans="1:14" x14ac:dyDescent="0.2">
      <c r="A1179" s="2" t="s">
        <v>10068</v>
      </c>
      <c r="B1179" s="15">
        <v>2298</v>
      </c>
      <c r="C1179" s="15">
        <v>18</v>
      </c>
      <c r="D1179" s="15">
        <v>70540350</v>
      </c>
      <c r="E1179" s="15">
        <v>71491860</v>
      </c>
      <c r="F1179" s="15">
        <v>3353</v>
      </c>
      <c r="G1179" s="8" t="s">
        <v>12324</v>
      </c>
      <c r="H1179" s="24" t="s">
        <v>494</v>
      </c>
      <c r="I1179" s="25">
        <v>25920</v>
      </c>
      <c r="J1179" s="8" t="s">
        <v>496</v>
      </c>
      <c r="K1179" s="8" t="s">
        <v>10040</v>
      </c>
      <c r="L1179" s="15">
        <v>-0.34131</v>
      </c>
      <c r="M1179" s="15">
        <v>0.13389599999999999</v>
      </c>
      <c r="N1179" s="15">
        <v>0.50410664685908313</v>
      </c>
    </row>
    <row r="1180" spans="1:14" x14ac:dyDescent="0.2">
      <c r="A1180" s="2" t="s">
        <v>10068</v>
      </c>
      <c r="B1180" s="15">
        <v>2438</v>
      </c>
      <c r="C1180" s="15">
        <v>21</v>
      </c>
      <c r="D1180" s="15">
        <v>22201891</v>
      </c>
      <c r="E1180" s="15">
        <v>23266941</v>
      </c>
      <c r="F1180" s="15">
        <v>3267</v>
      </c>
      <c r="G1180" s="8" t="s">
        <v>12324</v>
      </c>
      <c r="H1180" s="24" t="s">
        <v>6565</v>
      </c>
      <c r="I1180" s="25" t="s">
        <v>6475</v>
      </c>
      <c r="J1180" s="8" t="s">
        <v>6566</v>
      </c>
      <c r="K1180" s="8" t="s">
        <v>10054</v>
      </c>
      <c r="L1180" s="15">
        <v>0.33666499999999999</v>
      </c>
      <c r="M1180" s="15">
        <v>0.13389799999999999</v>
      </c>
      <c r="N1180" s="15">
        <v>0.50410664685908313</v>
      </c>
    </row>
    <row r="1181" spans="1:14" x14ac:dyDescent="0.2">
      <c r="A1181" s="2" t="s">
        <v>10068</v>
      </c>
      <c r="B1181" s="15">
        <v>1364</v>
      </c>
      <c r="C1181" s="15">
        <v>8</v>
      </c>
      <c r="D1181" s="15">
        <v>139404632</v>
      </c>
      <c r="E1181" s="15">
        <v>140355988</v>
      </c>
      <c r="F1181" s="15">
        <v>2876</v>
      </c>
      <c r="G1181" s="8" t="s">
        <v>12324</v>
      </c>
      <c r="H1181" s="24" t="s">
        <v>494</v>
      </c>
      <c r="I1181" s="25">
        <v>25920</v>
      </c>
      <c r="J1181" s="8" t="s">
        <v>496</v>
      </c>
      <c r="K1181" s="8" t="s">
        <v>10040</v>
      </c>
      <c r="L1181" s="15">
        <v>-0.26053700000000002</v>
      </c>
      <c r="M1181" s="15">
        <v>0.134378</v>
      </c>
      <c r="N1181" s="15">
        <v>0.50420171742808795</v>
      </c>
    </row>
    <row r="1182" spans="1:14" x14ac:dyDescent="0.2">
      <c r="A1182" s="2" t="s">
        <v>10066</v>
      </c>
      <c r="B1182" s="15">
        <v>2257</v>
      </c>
      <c r="C1182" s="15">
        <v>18</v>
      </c>
      <c r="D1182" s="15">
        <v>22746154</v>
      </c>
      <c r="E1182" s="15">
        <v>24088163</v>
      </c>
      <c r="F1182" s="15">
        <v>3066</v>
      </c>
      <c r="G1182" s="8" t="s">
        <v>12324</v>
      </c>
      <c r="H1182" s="24" t="s">
        <v>3164</v>
      </c>
      <c r="I1182" s="25" t="s">
        <v>3165</v>
      </c>
      <c r="J1182" s="8" t="s">
        <v>3166</v>
      </c>
      <c r="K1182" s="8" t="s">
        <v>10042</v>
      </c>
      <c r="L1182" s="15">
        <v>0.35918899999999998</v>
      </c>
      <c r="M1182" s="15">
        <v>0.13425799999999999</v>
      </c>
      <c r="N1182" s="15">
        <v>0.50420171742808795</v>
      </c>
    </row>
    <row r="1183" spans="1:14" x14ac:dyDescent="0.2">
      <c r="A1183" s="2" t="s">
        <v>10066</v>
      </c>
      <c r="B1183" s="15">
        <v>431</v>
      </c>
      <c r="C1183" s="15">
        <v>3</v>
      </c>
      <c r="D1183" s="15">
        <v>8664893</v>
      </c>
      <c r="E1183" s="15">
        <v>9970731</v>
      </c>
      <c r="F1183" s="15">
        <v>3534</v>
      </c>
      <c r="G1183" s="8" t="s">
        <v>12324</v>
      </c>
      <c r="H1183" s="24" t="s">
        <v>6008</v>
      </c>
      <c r="I1183" s="25" t="s">
        <v>6009</v>
      </c>
      <c r="J1183" s="8" t="s">
        <v>6010</v>
      </c>
      <c r="K1183" s="8" t="s">
        <v>10051</v>
      </c>
      <c r="L1183" s="15">
        <v>-0.38531399999999999</v>
      </c>
      <c r="M1183" s="15">
        <v>0.13433400000000001</v>
      </c>
      <c r="N1183" s="15">
        <v>0.50420171742808795</v>
      </c>
    </row>
    <row r="1184" spans="1:14" x14ac:dyDescent="0.2">
      <c r="A1184" s="2" t="s">
        <v>10068</v>
      </c>
      <c r="B1184" s="15">
        <v>1125</v>
      </c>
      <c r="C1184" s="15">
        <v>7</v>
      </c>
      <c r="D1184" s="15">
        <v>25671576</v>
      </c>
      <c r="E1184" s="15">
        <v>27351286</v>
      </c>
      <c r="F1184" s="15">
        <v>4044</v>
      </c>
      <c r="G1184" s="8" t="s">
        <v>12324</v>
      </c>
      <c r="H1184" s="24" t="s">
        <v>6565</v>
      </c>
      <c r="I1184" s="25" t="s">
        <v>6475</v>
      </c>
      <c r="J1184" s="8" t="s">
        <v>6566</v>
      </c>
      <c r="K1184" s="8" t="s">
        <v>10054</v>
      </c>
      <c r="L1184" s="15">
        <v>-0.40685700000000002</v>
      </c>
      <c r="M1184" s="15">
        <v>0.134161</v>
      </c>
      <c r="N1184" s="15">
        <v>0.50420171742808795</v>
      </c>
    </row>
    <row r="1185" spans="1:14" x14ac:dyDescent="0.2">
      <c r="A1185" s="2" t="s">
        <v>10068</v>
      </c>
      <c r="B1185" s="15">
        <v>1371</v>
      </c>
      <c r="C1185" s="15">
        <v>9</v>
      </c>
      <c r="D1185" s="15">
        <v>653662</v>
      </c>
      <c r="E1185" s="15">
        <v>1103598</v>
      </c>
      <c r="F1185" s="15">
        <v>1992</v>
      </c>
      <c r="G1185" s="8" t="s">
        <v>12324</v>
      </c>
      <c r="H1185" s="24" t="s">
        <v>1259</v>
      </c>
      <c r="I1185" s="25">
        <v>27096</v>
      </c>
      <c r="J1185" s="8" t="s">
        <v>1261</v>
      </c>
      <c r="K1185" s="8" t="s">
        <v>10040</v>
      </c>
      <c r="L1185" s="15">
        <v>-0.302759</v>
      </c>
      <c r="M1185" s="15">
        <v>0.13461100000000001</v>
      </c>
      <c r="N1185" s="15">
        <v>0.50422279138513515</v>
      </c>
    </row>
    <row r="1186" spans="1:14" x14ac:dyDescent="0.2">
      <c r="A1186" s="2" t="s">
        <v>10068</v>
      </c>
      <c r="B1186" s="15">
        <v>1580</v>
      </c>
      <c r="C1186" s="15">
        <v>10</v>
      </c>
      <c r="D1186" s="15">
        <v>102509299</v>
      </c>
      <c r="E1186" s="15">
        <v>104206837</v>
      </c>
      <c r="F1186" s="15">
        <v>2777</v>
      </c>
      <c r="G1186" s="8" t="s">
        <v>12324</v>
      </c>
      <c r="H1186" s="24" t="s">
        <v>6565</v>
      </c>
      <c r="I1186" s="25" t="s">
        <v>6475</v>
      </c>
      <c r="J1186" s="8" t="s">
        <v>6566</v>
      </c>
      <c r="K1186" s="8" t="s">
        <v>10054</v>
      </c>
      <c r="L1186" s="15">
        <v>0.33952100000000002</v>
      </c>
      <c r="M1186" s="15">
        <v>0.134517</v>
      </c>
      <c r="N1186" s="15">
        <v>0.50422279138513515</v>
      </c>
    </row>
    <row r="1187" spans="1:14" x14ac:dyDescent="0.2">
      <c r="A1187" s="2" t="s">
        <v>10068</v>
      </c>
      <c r="B1187" s="15">
        <v>492</v>
      </c>
      <c r="C1187" s="15">
        <v>3</v>
      </c>
      <c r="D1187" s="15">
        <v>81431497</v>
      </c>
      <c r="E1187" s="15">
        <v>82532742</v>
      </c>
      <c r="F1187" s="15">
        <v>2079</v>
      </c>
      <c r="G1187" s="8" t="s">
        <v>12324</v>
      </c>
      <c r="H1187" s="24" t="s">
        <v>494</v>
      </c>
      <c r="I1187" s="25">
        <v>25920</v>
      </c>
      <c r="J1187" s="8" t="s">
        <v>496</v>
      </c>
      <c r="K1187" s="8" t="s">
        <v>10040</v>
      </c>
      <c r="L1187" s="15">
        <v>-0.47625899999999999</v>
      </c>
      <c r="M1187" s="15">
        <v>0.13575499999999999</v>
      </c>
      <c r="N1187" s="15">
        <v>0.50611788767812238</v>
      </c>
    </row>
    <row r="1188" spans="1:14" x14ac:dyDescent="0.2">
      <c r="A1188" s="2" t="s">
        <v>10068</v>
      </c>
      <c r="B1188" s="15">
        <v>241</v>
      </c>
      <c r="C1188" s="15">
        <v>2</v>
      </c>
      <c r="D1188" s="15">
        <v>36867390</v>
      </c>
      <c r="E1188" s="15">
        <v>37603360</v>
      </c>
      <c r="F1188" s="15">
        <v>2233</v>
      </c>
      <c r="G1188" s="8" t="s">
        <v>12324</v>
      </c>
      <c r="H1188" s="24" t="s">
        <v>494</v>
      </c>
      <c r="I1188" s="25">
        <v>25920</v>
      </c>
      <c r="J1188" s="8" t="s">
        <v>496</v>
      </c>
      <c r="K1188" s="8" t="s">
        <v>10040</v>
      </c>
      <c r="L1188" s="15">
        <v>0.49216700000000002</v>
      </c>
      <c r="M1188" s="15">
        <v>0.13608899999999999</v>
      </c>
      <c r="N1188" s="15">
        <v>0.50611788767812238</v>
      </c>
    </row>
    <row r="1189" spans="1:14" x14ac:dyDescent="0.2">
      <c r="A1189" s="2" t="s">
        <v>10068</v>
      </c>
      <c r="B1189" s="15">
        <v>1499</v>
      </c>
      <c r="C1189" s="15">
        <v>10</v>
      </c>
      <c r="D1189" s="15">
        <v>11856925</v>
      </c>
      <c r="E1189" s="15">
        <v>12581571</v>
      </c>
      <c r="F1189" s="15">
        <v>2297</v>
      </c>
      <c r="G1189" s="8" t="s">
        <v>12324</v>
      </c>
      <c r="H1189" s="24" t="s">
        <v>599</v>
      </c>
      <c r="I1189" s="25">
        <v>26562</v>
      </c>
      <c r="J1189" s="8" t="s">
        <v>601</v>
      </c>
      <c r="K1189" s="8" t="s">
        <v>10040</v>
      </c>
      <c r="L1189" s="15">
        <v>-0.291246</v>
      </c>
      <c r="M1189" s="15">
        <v>0.13614399999999999</v>
      </c>
      <c r="N1189" s="15">
        <v>0.50611788767812238</v>
      </c>
    </row>
    <row r="1190" spans="1:14" x14ac:dyDescent="0.2">
      <c r="A1190" s="2" t="s">
        <v>10069</v>
      </c>
      <c r="B1190" s="15">
        <v>2228</v>
      </c>
      <c r="C1190" s="15">
        <v>17</v>
      </c>
      <c r="D1190" s="15">
        <v>71466954</v>
      </c>
      <c r="E1190" s="15">
        <v>72383472</v>
      </c>
      <c r="F1190" s="15">
        <v>1898</v>
      </c>
      <c r="G1190" s="8" t="s">
        <v>12324</v>
      </c>
      <c r="H1190" s="24" t="s">
        <v>662</v>
      </c>
      <c r="I1190" s="25" t="s">
        <v>663</v>
      </c>
      <c r="J1190" s="8" t="s">
        <v>664</v>
      </c>
      <c r="K1190" s="8" t="s">
        <v>10040</v>
      </c>
      <c r="L1190" s="15">
        <v>-0.41476299999999999</v>
      </c>
      <c r="M1190" s="15">
        <v>0.13578000000000001</v>
      </c>
      <c r="N1190" s="15">
        <v>0.50611788767812238</v>
      </c>
    </row>
    <row r="1191" spans="1:14" x14ac:dyDescent="0.2">
      <c r="A1191" s="2" t="s">
        <v>10069</v>
      </c>
      <c r="B1191" s="15">
        <v>2202</v>
      </c>
      <c r="C1191" s="15">
        <v>17</v>
      </c>
      <c r="D1191" s="15">
        <v>36116885</v>
      </c>
      <c r="E1191" s="15">
        <v>37361178</v>
      </c>
      <c r="F1191" s="15">
        <v>1615</v>
      </c>
      <c r="G1191" s="8" t="s">
        <v>12324</v>
      </c>
      <c r="H1191" s="24" t="s">
        <v>662</v>
      </c>
      <c r="I1191" s="25" t="s">
        <v>663</v>
      </c>
      <c r="J1191" s="8" t="s">
        <v>664</v>
      </c>
      <c r="K1191" s="8" t="s">
        <v>10040</v>
      </c>
      <c r="L1191" s="15">
        <v>0.49582700000000002</v>
      </c>
      <c r="M1191" s="15">
        <v>0.135856</v>
      </c>
      <c r="N1191" s="15">
        <v>0.50611788767812238</v>
      </c>
    </row>
    <row r="1192" spans="1:14" x14ac:dyDescent="0.2">
      <c r="A1192" s="2" t="s">
        <v>10069</v>
      </c>
      <c r="B1192" s="15">
        <v>1845</v>
      </c>
      <c r="C1192" s="15">
        <v>12</v>
      </c>
      <c r="D1192" s="15">
        <v>116197676</v>
      </c>
      <c r="E1192" s="15">
        <v>117091843</v>
      </c>
      <c r="F1192" s="15">
        <v>1446</v>
      </c>
      <c r="G1192" s="8" t="s">
        <v>12324</v>
      </c>
      <c r="H1192" s="24" t="s">
        <v>662</v>
      </c>
      <c r="I1192" s="25" t="s">
        <v>663</v>
      </c>
      <c r="J1192" s="8" t="s">
        <v>664</v>
      </c>
      <c r="K1192" s="8" t="s">
        <v>10040</v>
      </c>
      <c r="L1192" s="15">
        <v>-0.45350299999999999</v>
      </c>
      <c r="M1192" s="15">
        <v>0.13597999999999999</v>
      </c>
      <c r="N1192" s="15">
        <v>0.50611788767812238</v>
      </c>
    </row>
    <row r="1193" spans="1:14" x14ac:dyDescent="0.2">
      <c r="A1193" s="2" t="s">
        <v>10068</v>
      </c>
      <c r="B1193" s="15">
        <v>483</v>
      </c>
      <c r="C1193" s="15">
        <v>3</v>
      </c>
      <c r="D1193" s="15">
        <v>71223282</v>
      </c>
      <c r="E1193" s="15">
        <v>72334704</v>
      </c>
      <c r="F1193" s="15">
        <v>2929</v>
      </c>
      <c r="G1193" s="8" t="s">
        <v>12324</v>
      </c>
      <c r="H1193" s="24" t="s">
        <v>1259</v>
      </c>
      <c r="I1193" s="25">
        <v>27096</v>
      </c>
      <c r="J1193" s="8" t="s">
        <v>1261</v>
      </c>
      <c r="K1193" s="8" t="s">
        <v>10040</v>
      </c>
      <c r="L1193" s="15">
        <v>-0.51441899999999996</v>
      </c>
      <c r="M1193" s="15">
        <v>0.136046</v>
      </c>
      <c r="N1193" s="15">
        <v>0.50611788767812238</v>
      </c>
    </row>
    <row r="1194" spans="1:14" x14ac:dyDescent="0.2">
      <c r="A1194" s="2" t="s">
        <v>10066</v>
      </c>
      <c r="B1194" s="15">
        <v>533</v>
      </c>
      <c r="C1194" s="15">
        <v>3</v>
      </c>
      <c r="D1194" s="15">
        <v>127495174</v>
      </c>
      <c r="E1194" s="15">
        <v>129091975</v>
      </c>
      <c r="F1194" s="15">
        <v>3604</v>
      </c>
      <c r="G1194" s="8" t="s">
        <v>12324</v>
      </c>
      <c r="H1194" s="24" t="s">
        <v>3164</v>
      </c>
      <c r="I1194" s="25" t="s">
        <v>3165</v>
      </c>
      <c r="J1194" s="8" t="s">
        <v>3166</v>
      </c>
      <c r="K1194" s="8" t="s">
        <v>10042</v>
      </c>
      <c r="L1194" s="15">
        <v>0.41479700000000003</v>
      </c>
      <c r="M1194" s="15">
        <v>0.13524800000000001</v>
      </c>
      <c r="N1194" s="15">
        <v>0.50611788767812238</v>
      </c>
    </row>
    <row r="1195" spans="1:14" x14ac:dyDescent="0.2">
      <c r="A1195" s="2" t="s">
        <v>10068</v>
      </c>
      <c r="B1195" s="15">
        <v>336</v>
      </c>
      <c r="C1195" s="15">
        <v>2</v>
      </c>
      <c r="D1195" s="15">
        <v>145977921</v>
      </c>
      <c r="E1195" s="15">
        <v>147252196</v>
      </c>
      <c r="F1195" s="15">
        <v>2477</v>
      </c>
      <c r="G1195" s="8" t="s">
        <v>12324</v>
      </c>
      <c r="H1195" s="24" t="s">
        <v>6565</v>
      </c>
      <c r="I1195" s="25" t="s">
        <v>6475</v>
      </c>
      <c r="J1195" s="8" t="s">
        <v>6566</v>
      </c>
      <c r="K1195" s="8" t="s">
        <v>10054</v>
      </c>
      <c r="L1195" s="15">
        <v>0.32077</v>
      </c>
      <c r="M1195" s="15">
        <v>0.135349</v>
      </c>
      <c r="N1195" s="15">
        <v>0.50611788767812238</v>
      </c>
    </row>
    <row r="1196" spans="1:14" x14ac:dyDescent="0.2">
      <c r="A1196" s="2" t="s">
        <v>10068</v>
      </c>
      <c r="B1196" s="15">
        <v>192</v>
      </c>
      <c r="C1196" s="15">
        <v>1</v>
      </c>
      <c r="D1196" s="15">
        <v>241033585</v>
      </c>
      <c r="E1196" s="15">
        <v>241813534</v>
      </c>
      <c r="F1196" s="15">
        <v>2304</v>
      </c>
      <c r="G1196" s="8" t="s">
        <v>12324</v>
      </c>
      <c r="H1196" s="24" t="s">
        <v>494</v>
      </c>
      <c r="I1196" s="25">
        <v>25920</v>
      </c>
      <c r="J1196" s="8" t="s">
        <v>496</v>
      </c>
      <c r="K1196" s="8" t="s">
        <v>10040</v>
      </c>
      <c r="L1196" s="15">
        <v>-0.361956</v>
      </c>
      <c r="M1196" s="15">
        <v>0.137657</v>
      </c>
      <c r="N1196" s="15">
        <v>0.50698647520661155</v>
      </c>
    </row>
    <row r="1197" spans="1:14" x14ac:dyDescent="0.2">
      <c r="A1197" s="2" t="s">
        <v>10068</v>
      </c>
      <c r="B1197" s="15">
        <v>1735</v>
      </c>
      <c r="C1197" s="15">
        <v>11</v>
      </c>
      <c r="D1197" s="15">
        <v>130500784</v>
      </c>
      <c r="E1197" s="15">
        <v>131424361</v>
      </c>
      <c r="F1197" s="15">
        <v>2790</v>
      </c>
      <c r="G1197" s="8" t="s">
        <v>12324</v>
      </c>
      <c r="H1197" s="24" t="s">
        <v>494</v>
      </c>
      <c r="I1197" s="25">
        <v>25920</v>
      </c>
      <c r="J1197" s="8" t="s">
        <v>496</v>
      </c>
      <c r="K1197" s="8" t="s">
        <v>10040</v>
      </c>
      <c r="L1197" s="15">
        <v>-0.19914399999999999</v>
      </c>
      <c r="M1197" s="15">
        <v>0.13799700000000001</v>
      </c>
      <c r="N1197" s="15">
        <v>0.50698647520661155</v>
      </c>
    </row>
    <row r="1198" spans="1:14" x14ac:dyDescent="0.2">
      <c r="A1198" s="2" t="s">
        <v>10068</v>
      </c>
      <c r="B1198" s="15">
        <v>478</v>
      </c>
      <c r="C1198" s="15">
        <v>3</v>
      </c>
      <c r="D1198" s="15">
        <v>65326752</v>
      </c>
      <c r="E1198" s="15">
        <v>66702084</v>
      </c>
      <c r="F1198" s="15">
        <v>3392</v>
      </c>
      <c r="G1198" s="8" t="s">
        <v>12324</v>
      </c>
      <c r="H1198" s="24" t="s">
        <v>494</v>
      </c>
      <c r="I1198" s="25">
        <v>25920</v>
      </c>
      <c r="J1198" s="8" t="s">
        <v>496</v>
      </c>
      <c r="K1198" s="8" t="s">
        <v>10040</v>
      </c>
      <c r="L1198" s="15">
        <v>-0.31422800000000001</v>
      </c>
      <c r="M1198" s="15">
        <v>0.138321</v>
      </c>
      <c r="N1198" s="15">
        <v>0.50698647520661155</v>
      </c>
    </row>
    <row r="1199" spans="1:14" x14ac:dyDescent="0.2">
      <c r="A1199" s="2" t="s">
        <v>10068</v>
      </c>
      <c r="B1199" s="15">
        <v>1376</v>
      </c>
      <c r="C1199" s="15">
        <v>9</v>
      </c>
      <c r="D1199" s="15">
        <v>4025356</v>
      </c>
      <c r="E1199" s="15">
        <v>4596614</v>
      </c>
      <c r="F1199" s="15">
        <v>2102</v>
      </c>
      <c r="G1199" s="8" t="s">
        <v>12324</v>
      </c>
      <c r="H1199" s="24" t="s">
        <v>599</v>
      </c>
      <c r="I1199" s="25">
        <v>26562</v>
      </c>
      <c r="J1199" s="8" t="s">
        <v>601</v>
      </c>
      <c r="K1199" s="8" t="s">
        <v>10040</v>
      </c>
      <c r="L1199" s="15">
        <v>0.28631499999999999</v>
      </c>
      <c r="M1199" s="15">
        <v>0.13658000000000001</v>
      </c>
      <c r="N1199" s="15">
        <v>0.50698647520661155</v>
      </c>
    </row>
    <row r="1200" spans="1:14" x14ac:dyDescent="0.2">
      <c r="A1200" s="2" t="s">
        <v>10068</v>
      </c>
      <c r="B1200" s="15">
        <v>405</v>
      </c>
      <c r="C1200" s="15">
        <v>2</v>
      </c>
      <c r="D1200" s="15">
        <v>228812486</v>
      </c>
      <c r="E1200" s="15">
        <v>229764918</v>
      </c>
      <c r="F1200" s="15">
        <v>2491</v>
      </c>
      <c r="G1200" s="8" t="s">
        <v>12324</v>
      </c>
      <c r="H1200" s="24" t="s">
        <v>599</v>
      </c>
      <c r="I1200" s="25">
        <v>26562</v>
      </c>
      <c r="J1200" s="8" t="s">
        <v>601</v>
      </c>
      <c r="K1200" s="8" t="s">
        <v>10040</v>
      </c>
      <c r="L1200" s="15">
        <v>0.40534599999999998</v>
      </c>
      <c r="M1200" s="15">
        <v>0.136965</v>
      </c>
      <c r="N1200" s="15">
        <v>0.50698647520661155</v>
      </c>
    </row>
    <row r="1201" spans="1:14" x14ac:dyDescent="0.2">
      <c r="A1201" s="2" t="s">
        <v>10068</v>
      </c>
      <c r="B1201" s="15">
        <v>669</v>
      </c>
      <c r="C1201" s="15">
        <v>4</v>
      </c>
      <c r="D1201" s="15">
        <v>74885901</v>
      </c>
      <c r="E1201" s="15">
        <v>76497358</v>
      </c>
      <c r="F1201" s="15">
        <v>4111</v>
      </c>
      <c r="G1201" s="8" t="s">
        <v>12324</v>
      </c>
      <c r="H1201" s="24" t="s">
        <v>599</v>
      </c>
      <c r="I1201" s="25">
        <v>26562</v>
      </c>
      <c r="J1201" s="8" t="s">
        <v>601</v>
      </c>
      <c r="K1201" s="8" t="s">
        <v>10040</v>
      </c>
      <c r="L1201" s="15">
        <v>0.33926699999999999</v>
      </c>
      <c r="M1201" s="15">
        <v>0.137014</v>
      </c>
      <c r="N1201" s="15">
        <v>0.50698647520661155</v>
      </c>
    </row>
    <row r="1202" spans="1:14" x14ac:dyDescent="0.2">
      <c r="A1202" s="2" t="s">
        <v>10068</v>
      </c>
      <c r="B1202" s="15">
        <v>4</v>
      </c>
      <c r="C1202" s="15">
        <v>1</v>
      </c>
      <c r="D1202" s="15">
        <v>2983520</v>
      </c>
      <c r="E1202" s="15">
        <v>3582047</v>
      </c>
      <c r="F1202" s="15">
        <v>2078</v>
      </c>
      <c r="G1202" s="8" t="s">
        <v>12324</v>
      </c>
      <c r="H1202" s="24" t="s">
        <v>599</v>
      </c>
      <c r="I1202" s="25">
        <v>26562</v>
      </c>
      <c r="J1202" s="8" t="s">
        <v>601</v>
      </c>
      <c r="K1202" s="8" t="s">
        <v>10040</v>
      </c>
      <c r="L1202" s="15">
        <v>0.23999599999999999</v>
      </c>
      <c r="M1202" s="15">
        <v>0.13750299999999999</v>
      </c>
      <c r="N1202" s="15">
        <v>0.50698647520661155</v>
      </c>
    </row>
    <row r="1203" spans="1:14" x14ac:dyDescent="0.2">
      <c r="A1203" s="2" t="s">
        <v>10068</v>
      </c>
      <c r="B1203" s="15">
        <v>337</v>
      </c>
      <c r="C1203" s="15">
        <v>2</v>
      </c>
      <c r="D1203" s="15">
        <v>147252197</v>
      </c>
      <c r="E1203" s="15">
        <v>149568875</v>
      </c>
      <c r="F1203" s="15">
        <v>4204</v>
      </c>
      <c r="G1203" s="8" t="s">
        <v>12324</v>
      </c>
      <c r="H1203" s="24" t="s">
        <v>599</v>
      </c>
      <c r="I1203" s="25">
        <v>26562</v>
      </c>
      <c r="J1203" s="8" t="s">
        <v>601</v>
      </c>
      <c r="K1203" s="8" t="s">
        <v>10040</v>
      </c>
      <c r="L1203" s="15">
        <v>-0.47659299999999999</v>
      </c>
      <c r="M1203" s="15">
        <v>0.13822799999999999</v>
      </c>
      <c r="N1203" s="15">
        <v>0.50698647520661155</v>
      </c>
    </row>
    <row r="1204" spans="1:14" x14ac:dyDescent="0.2">
      <c r="A1204" s="2" t="s">
        <v>10069</v>
      </c>
      <c r="B1204" s="15">
        <v>581</v>
      </c>
      <c r="C1204" s="15">
        <v>3</v>
      </c>
      <c r="D1204" s="15">
        <v>183203156</v>
      </c>
      <c r="E1204" s="15">
        <v>184524268</v>
      </c>
      <c r="F1204" s="15">
        <v>2430</v>
      </c>
      <c r="G1204" s="8" t="s">
        <v>12324</v>
      </c>
      <c r="H1204" s="24" t="s">
        <v>662</v>
      </c>
      <c r="I1204" s="25" t="s">
        <v>663</v>
      </c>
      <c r="J1204" s="8" t="s">
        <v>664</v>
      </c>
      <c r="K1204" s="8" t="s">
        <v>10040</v>
      </c>
      <c r="L1204" s="15">
        <v>0.40546900000000002</v>
      </c>
      <c r="M1204" s="15">
        <v>0.13805600000000001</v>
      </c>
      <c r="N1204" s="15">
        <v>0.50698647520661155</v>
      </c>
    </row>
    <row r="1205" spans="1:14" x14ac:dyDescent="0.2">
      <c r="A1205" s="2" t="s">
        <v>10069</v>
      </c>
      <c r="B1205" s="15">
        <v>1763</v>
      </c>
      <c r="C1205" s="15">
        <v>12</v>
      </c>
      <c r="D1205" s="15">
        <v>22928056</v>
      </c>
      <c r="E1205" s="15">
        <v>23923798</v>
      </c>
      <c r="F1205" s="15">
        <v>1310</v>
      </c>
      <c r="G1205" s="8" t="s">
        <v>12324</v>
      </c>
      <c r="H1205" s="24" t="s">
        <v>662</v>
      </c>
      <c r="I1205" s="25" t="s">
        <v>663</v>
      </c>
      <c r="J1205" s="8" t="s">
        <v>664</v>
      </c>
      <c r="K1205" s="8" t="s">
        <v>10040</v>
      </c>
      <c r="L1205" s="15">
        <v>-0.45427600000000001</v>
      </c>
      <c r="M1205" s="15">
        <v>0.13822799999999999</v>
      </c>
      <c r="N1205" s="15">
        <v>0.50698647520661155</v>
      </c>
    </row>
    <row r="1206" spans="1:14" x14ac:dyDescent="0.2">
      <c r="A1206" s="2" t="s">
        <v>10068</v>
      </c>
      <c r="B1206" s="15">
        <v>1667</v>
      </c>
      <c r="C1206" s="15">
        <v>11</v>
      </c>
      <c r="D1206" s="15">
        <v>56623495</v>
      </c>
      <c r="E1206" s="15">
        <v>57675986</v>
      </c>
      <c r="F1206" s="15">
        <v>2153</v>
      </c>
      <c r="G1206" s="8" t="s">
        <v>12324</v>
      </c>
      <c r="H1206" s="24" t="s">
        <v>1259</v>
      </c>
      <c r="I1206" s="25">
        <v>27096</v>
      </c>
      <c r="J1206" s="8" t="s">
        <v>1261</v>
      </c>
      <c r="K1206" s="8" t="s">
        <v>10040</v>
      </c>
      <c r="L1206" s="15">
        <v>-0.59835899999999997</v>
      </c>
      <c r="M1206" s="15">
        <v>0.137546</v>
      </c>
      <c r="N1206" s="15">
        <v>0.50698647520661155</v>
      </c>
    </row>
    <row r="1207" spans="1:14" x14ac:dyDescent="0.2">
      <c r="A1207" s="2" t="s">
        <v>10068</v>
      </c>
      <c r="B1207" s="15">
        <v>1737</v>
      </c>
      <c r="C1207" s="15">
        <v>11</v>
      </c>
      <c r="D1207" s="15">
        <v>132584402</v>
      </c>
      <c r="E1207" s="15">
        <v>133521642</v>
      </c>
      <c r="F1207" s="15">
        <v>2749</v>
      </c>
      <c r="G1207" s="8" t="s">
        <v>12324</v>
      </c>
      <c r="H1207" s="24" t="s">
        <v>1259</v>
      </c>
      <c r="I1207" s="25">
        <v>27096</v>
      </c>
      <c r="J1207" s="8" t="s">
        <v>1261</v>
      </c>
      <c r="K1207" s="8" t="s">
        <v>10040</v>
      </c>
      <c r="L1207" s="15">
        <v>0.247222</v>
      </c>
      <c r="M1207" s="15">
        <v>0.13824</v>
      </c>
      <c r="N1207" s="15">
        <v>0.50698647520661155</v>
      </c>
    </row>
    <row r="1208" spans="1:14" x14ac:dyDescent="0.2">
      <c r="A1208" s="2" t="s">
        <v>10066</v>
      </c>
      <c r="B1208" s="15">
        <v>1656</v>
      </c>
      <c r="C1208" s="15">
        <v>11</v>
      </c>
      <c r="D1208" s="15">
        <v>43949378</v>
      </c>
      <c r="E1208" s="15">
        <v>45019559</v>
      </c>
      <c r="F1208" s="15">
        <v>3078</v>
      </c>
      <c r="G1208" s="8" t="s">
        <v>12324</v>
      </c>
      <c r="H1208" s="24" t="s">
        <v>6008</v>
      </c>
      <c r="I1208" s="25" t="s">
        <v>6009</v>
      </c>
      <c r="J1208" s="8" t="s">
        <v>6010</v>
      </c>
      <c r="K1208" s="8" t="s">
        <v>10051</v>
      </c>
      <c r="L1208" s="15">
        <v>-0.33032</v>
      </c>
      <c r="M1208" s="15">
        <v>0.13764100000000001</v>
      </c>
      <c r="N1208" s="15">
        <v>0.50698647520661155</v>
      </c>
    </row>
    <row r="1209" spans="1:14" x14ac:dyDescent="0.2">
      <c r="A1209" s="2" t="s">
        <v>10066</v>
      </c>
      <c r="B1209" s="15">
        <v>1592</v>
      </c>
      <c r="C1209" s="15">
        <v>10</v>
      </c>
      <c r="D1209" s="15">
        <v>118416050</v>
      </c>
      <c r="E1209" s="15">
        <v>119528730</v>
      </c>
      <c r="F1209" s="15">
        <v>2459</v>
      </c>
      <c r="G1209" s="8" t="s">
        <v>12324</v>
      </c>
      <c r="H1209" s="24" t="s">
        <v>6008</v>
      </c>
      <c r="I1209" s="25" t="s">
        <v>6009</v>
      </c>
      <c r="J1209" s="8" t="s">
        <v>6010</v>
      </c>
      <c r="K1209" s="8" t="s">
        <v>10051</v>
      </c>
      <c r="L1209" s="15">
        <v>-0.26211499999999999</v>
      </c>
      <c r="M1209" s="15">
        <v>0.13786899999999999</v>
      </c>
      <c r="N1209" s="15">
        <v>0.50698647520661155</v>
      </c>
    </row>
    <row r="1210" spans="1:14" x14ac:dyDescent="0.2">
      <c r="A1210" s="2" t="s">
        <v>10068</v>
      </c>
      <c r="B1210" s="15">
        <v>1963</v>
      </c>
      <c r="C1210" s="15">
        <v>14</v>
      </c>
      <c r="D1210" s="15">
        <v>29029225</v>
      </c>
      <c r="E1210" s="15">
        <v>30831154</v>
      </c>
      <c r="F1210" s="15">
        <v>3385</v>
      </c>
      <c r="G1210" s="8" t="s">
        <v>12324</v>
      </c>
      <c r="H1210" s="24" t="s">
        <v>6565</v>
      </c>
      <c r="I1210" s="25" t="s">
        <v>6475</v>
      </c>
      <c r="J1210" s="8" t="s">
        <v>6566</v>
      </c>
      <c r="K1210" s="8" t="s">
        <v>10054</v>
      </c>
      <c r="L1210" s="15">
        <v>0.302039</v>
      </c>
      <c r="M1210" s="15">
        <v>0.137993</v>
      </c>
      <c r="N1210" s="15">
        <v>0.50698647520661155</v>
      </c>
    </row>
    <row r="1211" spans="1:14" x14ac:dyDescent="0.2">
      <c r="A1211" s="2" t="s">
        <v>10068</v>
      </c>
      <c r="B1211" s="15">
        <v>1647</v>
      </c>
      <c r="C1211" s="15">
        <v>11</v>
      </c>
      <c r="D1211" s="15">
        <v>34672698</v>
      </c>
      <c r="E1211" s="15">
        <v>35500367</v>
      </c>
      <c r="F1211" s="15">
        <v>2523</v>
      </c>
      <c r="G1211" s="8" t="s">
        <v>12324</v>
      </c>
      <c r="H1211" s="24" t="s">
        <v>6565</v>
      </c>
      <c r="I1211" s="25" t="s">
        <v>6475</v>
      </c>
      <c r="J1211" s="8" t="s">
        <v>6566</v>
      </c>
      <c r="K1211" s="8" t="s">
        <v>10054</v>
      </c>
      <c r="L1211" s="15">
        <v>0.58772899999999995</v>
      </c>
      <c r="M1211" s="15">
        <v>0.13799400000000001</v>
      </c>
      <c r="N1211" s="15">
        <v>0.50698647520661155</v>
      </c>
    </row>
    <row r="1212" spans="1:14" x14ac:dyDescent="0.2">
      <c r="A1212" s="2" t="s">
        <v>10068</v>
      </c>
      <c r="B1212" s="15">
        <v>786</v>
      </c>
      <c r="C1212" s="15">
        <v>5</v>
      </c>
      <c r="D1212" s="15">
        <v>10549030</v>
      </c>
      <c r="E1212" s="15">
        <v>11850850</v>
      </c>
      <c r="F1212" s="15">
        <v>3694</v>
      </c>
      <c r="G1212" s="8" t="s">
        <v>12324</v>
      </c>
      <c r="H1212" s="24" t="s">
        <v>6565</v>
      </c>
      <c r="I1212" s="25" t="s">
        <v>6475</v>
      </c>
      <c r="J1212" s="8" t="s">
        <v>6566</v>
      </c>
      <c r="K1212" s="8" t="s">
        <v>10054</v>
      </c>
      <c r="L1212" s="15">
        <v>0.31127100000000002</v>
      </c>
      <c r="M1212" s="15">
        <v>0.13830600000000001</v>
      </c>
      <c r="N1212" s="15">
        <v>0.50698647520661155</v>
      </c>
    </row>
    <row r="1213" spans="1:14" x14ac:dyDescent="0.2">
      <c r="A1213" s="2" t="s">
        <v>10068</v>
      </c>
      <c r="B1213" s="15">
        <v>2092</v>
      </c>
      <c r="C1213" s="15">
        <v>15</v>
      </c>
      <c r="D1213" s="15">
        <v>92675406</v>
      </c>
      <c r="E1213" s="15">
        <v>93707010</v>
      </c>
      <c r="F1213" s="15">
        <v>3490</v>
      </c>
      <c r="G1213" s="8" t="s">
        <v>12324</v>
      </c>
      <c r="H1213" s="24" t="s">
        <v>6565</v>
      </c>
      <c r="I1213" s="25" t="s">
        <v>6475</v>
      </c>
      <c r="J1213" s="8" t="s">
        <v>6566</v>
      </c>
      <c r="K1213" s="8" t="s">
        <v>10054</v>
      </c>
      <c r="L1213" s="15">
        <v>-0.51012900000000005</v>
      </c>
      <c r="M1213" s="15">
        <v>0.138575</v>
      </c>
      <c r="N1213" s="15">
        <v>0.50749803881090005</v>
      </c>
    </row>
    <row r="1214" spans="1:14" x14ac:dyDescent="0.2">
      <c r="A1214" s="2" t="s">
        <v>10068</v>
      </c>
      <c r="B1214" s="15">
        <v>2362</v>
      </c>
      <c r="C1214" s="15">
        <v>19</v>
      </c>
      <c r="D1214" s="15">
        <v>54042241</v>
      </c>
      <c r="E1214" s="15">
        <v>54602370</v>
      </c>
      <c r="F1214" s="15">
        <v>2047</v>
      </c>
      <c r="G1214" s="8" t="s">
        <v>12324</v>
      </c>
      <c r="H1214" s="24" t="s">
        <v>494</v>
      </c>
      <c r="I1214" s="25">
        <v>25920</v>
      </c>
      <c r="J1214" s="8" t="s">
        <v>496</v>
      </c>
      <c r="K1214" s="8" t="s">
        <v>10040</v>
      </c>
      <c r="L1214" s="15">
        <v>0.194856</v>
      </c>
      <c r="M1214" s="15">
        <v>0.13908699999999999</v>
      </c>
      <c r="N1214" s="15">
        <v>0.50895284240924088</v>
      </c>
    </row>
    <row r="1215" spans="1:14" x14ac:dyDescent="0.2">
      <c r="A1215" s="2" t="s">
        <v>10068</v>
      </c>
      <c r="B1215" s="15">
        <v>1462</v>
      </c>
      <c r="C1215" s="15">
        <v>9</v>
      </c>
      <c r="D1215" s="15">
        <v>117054910</v>
      </c>
      <c r="E1215" s="15">
        <v>117989017</v>
      </c>
      <c r="F1215" s="15">
        <v>2568</v>
      </c>
      <c r="G1215" s="8" t="s">
        <v>12324</v>
      </c>
      <c r="H1215" s="24" t="s">
        <v>6565</v>
      </c>
      <c r="I1215" s="25" t="s">
        <v>6475</v>
      </c>
      <c r="J1215" s="8" t="s">
        <v>6566</v>
      </c>
      <c r="K1215" s="8" t="s">
        <v>10054</v>
      </c>
      <c r="L1215" s="15">
        <v>0.352246</v>
      </c>
      <c r="M1215" s="15">
        <v>0.13941300000000001</v>
      </c>
      <c r="N1215" s="15">
        <v>0.5096487191103789</v>
      </c>
    </row>
    <row r="1216" spans="1:14" x14ac:dyDescent="0.2">
      <c r="A1216" s="2" t="s">
        <v>10068</v>
      </c>
      <c r="B1216" s="15">
        <v>765</v>
      </c>
      <c r="C1216" s="15">
        <v>4</v>
      </c>
      <c r="D1216" s="15">
        <v>182065647</v>
      </c>
      <c r="E1216" s="15">
        <v>182946258</v>
      </c>
      <c r="F1216" s="15">
        <v>3352</v>
      </c>
      <c r="G1216" s="8" t="s">
        <v>12324</v>
      </c>
      <c r="H1216" s="24" t="s">
        <v>6565</v>
      </c>
      <c r="I1216" s="25" t="s">
        <v>6475</v>
      </c>
      <c r="J1216" s="8" t="s">
        <v>6566</v>
      </c>
      <c r="K1216" s="8" t="s">
        <v>10054</v>
      </c>
      <c r="L1216" s="15">
        <v>-0.49869400000000003</v>
      </c>
      <c r="M1216" s="15">
        <v>0.13950699999999999</v>
      </c>
      <c r="N1216" s="15">
        <v>0.5096487191103789</v>
      </c>
    </row>
    <row r="1217" spans="1:14" x14ac:dyDescent="0.2">
      <c r="A1217" s="2" t="s">
        <v>10066</v>
      </c>
      <c r="B1217" s="15">
        <v>1076</v>
      </c>
      <c r="C1217" s="15">
        <v>6</v>
      </c>
      <c r="D1217" s="15">
        <v>153082362</v>
      </c>
      <c r="E1217" s="15">
        <v>153791461</v>
      </c>
      <c r="F1217" s="15">
        <v>2095</v>
      </c>
      <c r="G1217" s="8" t="s">
        <v>12324</v>
      </c>
      <c r="H1217" s="24" t="s">
        <v>3164</v>
      </c>
      <c r="I1217" s="25" t="s">
        <v>3165</v>
      </c>
      <c r="J1217" s="8" t="s">
        <v>3166</v>
      </c>
      <c r="K1217" s="8" t="s">
        <v>10042</v>
      </c>
      <c r="L1217" s="15">
        <v>-0.23765900000000001</v>
      </c>
      <c r="M1217" s="15">
        <v>0.139653</v>
      </c>
      <c r="N1217" s="15">
        <v>0.50976218518518512</v>
      </c>
    </row>
    <row r="1218" spans="1:14" x14ac:dyDescent="0.2">
      <c r="A1218" s="2" t="s">
        <v>10068</v>
      </c>
      <c r="B1218" s="15">
        <v>476</v>
      </c>
      <c r="C1218" s="15">
        <v>3</v>
      </c>
      <c r="D1218" s="15">
        <v>63670804</v>
      </c>
      <c r="E1218" s="15">
        <v>64662373</v>
      </c>
      <c r="F1218" s="15">
        <v>2265</v>
      </c>
      <c r="G1218" s="8" t="s">
        <v>12324</v>
      </c>
      <c r="H1218" s="24" t="s">
        <v>494</v>
      </c>
      <c r="I1218" s="25">
        <v>25920</v>
      </c>
      <c r="J1218" s="8" t="s">
        <v>496</v>
      </c>
      <c r="K1218" s="8" t="s">
        <v>10040</v>
      </c>
      <c r="L1218" s="15">
        <v>-0.31897500000000001</v>
      </c>
      <c r="M1218" s="15">
        <v>0.139824</v>
      </c>
      <c r="N1218" s="15">
        <v>0.50991940476190478</v>
      </c>
    </row>
    <row r="1219" spans="1:14" x14ac:dyDescent="0.2">
      <c r="A1219" s="2" t="s">
        <v>10068</v>
      </c>
      <c r="B1219" s="15">
        <v>586</v>
      </c>
      <c r="C1219" s="15">
        <v>3</v>
      </c>
      <c r="D1219" s="15">
        <v>189451806</v>
      </c>
      <c r="E1219" s="15">
        <v>190591293</v>
      </c>
      <c r="F1219" s="15">
        <v>3788</v>
      </c>
      <c r="G1219" s="8" t="s">
        <v>12324</v>
      </c>
      <c r="H1219" s="24" t="s">
        <v>494</v>
      </c>
      <c r="I1219" s="25">
        <v>25920</v>
      </c>
      <c r="J1219" s="8" t="s">
        <v>496</v>
      </c>
      <c r="K1219" s="8" t="s">
        <v>10040</v>
      </c>
      <c r="L1219" s="15">
        <v>0.28609299999999999</v>
      </c>
      <c r="M1219" s="15">
        <v>0.14000000000000001</v>
      </c>
      <c r="N1219" s="15">
        <v>0.50991940476190478</v>
      </c>
    </row>
    <row r="1220" spans="1:14" x14ac:dyDescent="0.2">
      <c r="A1220" s="2" t="s">
        <v>10068</v>
      </c>
      <c r="B1220" s="15">
        <v>1126</v>
      </c>
      <c r="C1220" s="15">
        <v>7</v>
      </c>
      <c r="D1220" s="15">
        <v>27351287</v>
      </c>
      <c r="E1220" s="15">
        <v>28890886</v>
      </c>
      <c r="F1220" s="15">
        <v>3962</v>
      </c>
      <c r="G1220" s="8" t="s">
        <v>12324</v>
      </c>
      <c r="H1220" s="24" t="s">
        <v>6565</v>
      </c>
      <c r="I1220" s="25" t="s">
        <v>6475</v>
      </c>
      <c r="J1220" s="8" t="s">
        <v>6566</v>
      </c>
      <c r="K1220" s="8" t="s">
        <v>10054</v>
      </c>
      <c r="L1220" s="15">
        <v>-0.41414000000000001</v>
      </c>
      <c r="M1220" s="15">
        <v>0.140041</v>
      </c>
      <c r="N1220" s="15">
        <v>0.50991940476190478</v>
      </c>
    </row>
    <row r="1221" spans="1:14" x14ac:dyDescent="0.2">
      <c r="A1221" s="2" t="s">
        <v>10066</v>
      </c>
      <c r="B1221" s="15">
        <v>1191</v>
      </c>
      <c r="C1221" s="15">
        <v>7</v>
      </c>
      <c r="D1221" s="15">
        <v>105312564</v>
      </c>
      <c r="E1221" s="15">
        <v>106399739</v>
      </c>
      <c r="F1221" s="15">
        <v>3033</v>
      </c>
      <c r="G1221" s="8" t="s">
        <v>12324</v>
      </c>
      <c r="H1221" s="24" t="s">
        <v>6008</v>
      </c>
      <c r="I1221" s="25" t="s">
        <v>6009</v>
      </c>
      <c r="J1221" s="8" t="s">
        <v>6010</v>
      </c>
      <c r="K1221" s="8" t="s">
        <v>10051</v>
      </c>
      <c r="L1221" s="15">
        <v>-0.29758800000000002</v>
      </c>
      <c r="M1221" s="15">
        <v>0.14025399999999999</v>
      </c>
      <c r="N1221" s="15">
        <v>0.51027603773584906</v>
      </c>
    </row>
    <row r="1222" spans="1:14" x14ac:dyDescent="0.2">
      <c r="A1222" s="2" t="s">
        <v>10068</v>
      </c>
      <c r="B1222" s="15">
        <v>2125</v>
      </c>
      <c r="C1222" s="15">
        <v>16</v>
      </c>
      <c r="D1222" s="15">
        <v>25235252</v>
      </c>
      <c r="E1222" s="15">
        <v>26154122</v>
      </c>
      <c r="F1222" s="15">
        <v>3002</v>
      </c>
      <c r="G1222" s="8" t="s">
        <v>12324</v>
      </c>
      <c r="H1222" s="24" t="s">
        <v>1259</v>
      </c>
      <c r="I1222" s="25">
        <v>27096</v>
      </c>
      <c r="J1222" s="8" t="s">
        <v>1261</v>
      </c>
      <c r="K1222" s="8" t="s">
        <v>10040</v>
      </c>
      <c r="L1222" s="15">
        <v>0.217112</v>
      </c>
      <c r="M1222" s="15">
        <v>0.140398</v>
      </c>
      <c r="N1222" s="15">
        <v>0.51038125409836066</v>
      </c>
    </row>
    <row r="1223" spans="1:14" x14ac:dyDescent="0.2">
      <c r="A1223" s="2" t="s">
        <v>10066</v>
      </c>
      <c r="B1223" s="15">
        <v>1500</v>
      </c>
      <c r="C1223" s="15">
        <v>10</v>
      </c>
      <c r="D1223" s="15">
        <v>12581572</v>
      </c>
      <c r="E1223" s="15">
        <v>13208061</v>
      </c>
      <c r="F1223" s="15">
        <v>2187</v>
      </c>
      <c r="G1223" s="8" t="s">
        <v>12324</v>
      </c>
      <c r="H1223" s="24" t="s">
        <v>6008</v>
      </c>
      <c r="I1223" s="25" t="s">
        <v>6009</v>
      </c>
      <c r="J1223" s="8" t="s">
        <v>6010</v>
      </c>
      <c r="K1223" s="8" t="s">
        <v>10051</v>
      </c>
      <c r="L1223" s="15">
        <v>0.43845800000000001</v>
      </c>
      <c r="M1223" s="15">
        <v>0.140654</v>
      </c>
      <c r="N1223" s="15">
        <v>0.51089311220311218</v>
      </c>
    </row>
    <row r="1224" spans="1:14" x14ac:dyDescent="0.2">
      <c r="A1224" s="2" t="s">
        <v>10068</v>
      </c>
      <c r="B1224" s="15">
        <v>398</v>
      </c>
      <c r="C1224" s="15">
        <v>2</v>
      </c>
      <c r="D1224" s="15">
        <v>221445192</v>
      </c>
      <c r="E1224" s="15">
        <v>222327713</v>
      </c>
      <c r="F1224" s="15">
        <v>2149</v>
      </c>
      <c r="G1224" s="8" t="s">
        <v>12324</v>
      </c>
      <c r="H1224" s="24" t="s">
        <v>6565</v>
      </c>
      <c r="I1224" s="25" t="s">
        <v>6475</v>
      </c>
      <c r="J1224" s="8" t="s">
        <v>6566</v>
      </c>
      <c r="K1224" s="8" t="s">
        <v>10054</v>
      </c>
      <c r="L1224" s="15">
        <v>-0.53311699999999995</v>
      </c>
      <c r="M1224" s="15">
        <v>0.14092499999999999</v>
      </c>
      <c r="N1224" s="15">
        <v>0.5114585720130933</v>
      </c>
    </row>
    <row r="1225" spans="1:14" x14ac:dyDescent="0.2">
      <c r="A1225" s="2" t="s">
        <v>10068</v>
      </c>
      <c r="B1225" s="15">
        <v>532</v>
      </c>
      <c r="C1225" s="15">
        <v>3</v>
      </c>
      <c r="D1225" s="15">
        <v>125992651</v>
      </c>
      <c r="E1225" s="15">
        <v>127495173</v>
      </c>
      <c r="F1225" s="15">
        <v>4052</v>
      </c>
      <c r="G1225" s="8" t="s">
        <v>12324</v>
      </c>
      <c r="H1225" s="24" t="s">
        <v>599</v>
      </c>
      <c r="I1225" s="25">
        <v>26562</v>
      </c>
      <c r="J1225" s="8" t="s">
        <v>601</v>
      </c>
      <c r="K1225" s="8" t="s">
        <v>10040</v>
      </c>
      <c r="L1225" s="15">
        <v>0.43834699999999999</v>
      </c>
      <c r="M1225" s="15">
        <v>0.141071</v>
      </c>
      <c r="N1225" s="15">
        <v>0.51156981602616525</v>
      </c>
    </row>
    <row r="1226" spans="1:14" x14ac:dyDescent="0.2">
      <c r="A1226" s="2" t="s">
        <v>10068</v>
      </c>
      <c r="B1226" s="15">
        <v>701</v>
      </c>
      <c r="C1226" s="15">
        <v>4</v>
      </c>
      <c r="D1226" s="15">
        <v>113916003</v>
      </c>
      <c r="E1226" s="15">
        <v>115306149</v>
      </c>
      <c r="F1226" s="15">
        <v>3433</v>
      </c>
      <c r="G1226" s="8" t="s">
        <v>12324</v>
      </c>
      <c r="H1226" s="24" t="s">
        <v>1259</v>
      </c>
      <c r="I1226" s="25">
        <v>27096</v>
      </c>
      <c r="J1226" s="8" t="s">
        <v>1261</v>
      </c>
      <c r="K1226" s="8" t="s">
        <v>10040</v>
      </c>
      <c r="L1226" s="15">
        <v>0.41256900000000002</v>
      </c>
      <c r="M1226" s="15">
        <v>0.141401</v>
      </c>
      <c r="N1226" s="15">
        <v>0.51192933469387758</v>
      </c>
    </row>
    <row r="1227" spans="1:14" x14ac:dyDescent="0.2">
      <c r="A1227" s="2" t="s">
        <v>10066</v>
      </c>
      <c r="B1227" s="15">
        <v>911</v>
      </c>
      <c r="C1227" s="15">
        <v>5</v>
      </c>
      <c r="D1227" s="15">
        <v>161478178</v>
      </c>
      <c r="E1227" s="15">
        <v>162386027</v>
      </c>
      <c r="F1227" s="15">
        <v>2127</v>
      </c>
      <c r="G1227" s="8" t="s">
        <v>12324</v>
      </c>
      <c r="H1227" s="24" t="s">
        <v>3164</v>
      </c>
      <c r="I1227" s="25" t="s">
        <v>3165</v>
      </c>
      <c r="J1227" s="8" t="s">
        <v>3166</v>
      </c>
      <c r="K1227" s="8" t="s">
        <v>10042</v>
      </c>
      <c r="L1227" s="15">
        <v>-0.41438399999999997</v>
      </c>
      <c r="M1227" s="15">
        <v>0.141351</v>
      </c>
      <c r="N1227" s="15">
        <v>0.51192933469387758</v>
      </c>
    </row>
    <row r="1228" spans="1:14" x14ac:dyDescent="0.2">
      <c r="A1228" s="2" t="s">
        <v>10068</v>
      </c>
      <c r="B1228" s="15">
        <v>945</v>
      </c>
      <c r="C1228" s="15">
        <v>6</v>
      </c>
      <c r="D1228" s="15">
        <v>21295865</v>
      </c>
      <c r="E1228" s="15">
        <v>22199713</v>
      </c>
      <c r="F1228" s="15">
        <v>2312</v>
      </c>
      <c r="G1228" s="8" t="s">
        <v>12324</v>
      </c>
      <c r="H1228" s="24" t="s">
        <v>6565</v>
      </c>
      <c r="I1228" s="25" t="s">
        <v>6475</v>
      </c>
      <c r="J1228" s="8" t="s">
        <v>6566</v>
      </c>
      <c r="K1228" s="8" t="s">
        <v>10054</v>
      </c>
      <c r="L1228" s="15">
        <v>-0.23171</v>
      </c>
      <c r="M1228" s="15">
        <v>0.141517</v>
      </c>
      <c r="N1228" s="15">
        <v>0.51193139885807504</v>
      </c>
    </row>
    <row r="1229" spans="1:14" x14ac:dyDescent="0.2">
      <c r="A1229" s="2" t="s">
        <v>10068</v>
      </c>
      <c r="B1229" s="15">
        <v>574</v>
      </c>
      <c r="C1229" s="15">
        <v>3</v>
      </c>
      <c r="D1229" s="15">
        <v>173415592</v>
      </c>
      <c r="E1229" s="15">
        <v>174684707</v>
      </c>
      <c r="F1229" s="15">
        <v>3224</v>
      </c>
      <c r="G1229" s="8" t="s">
        <v>12324</v>
      </c>
      <c r="H1229" s="24" t="s">
        <v>599</v>
      </c>
      <c r="I1229" s="25">
        <v>26562</v>
      </c>
      <c r="J1229" s="8" t="s">
        <v>601</v>
      </c>
      <c r="K1229" s="8" t="s">
        <v>10040</v>
      </c>
      <c r="L1229" s="15">
        <v>0.47347099999999998</v>
      </c>
      <c r="M1229" s="15">
        <v>0.14215900000000001</v>
      </c>
      <c r="N1229" s="15">
        <v>0.51323767073170723</v>
      </c>
    </row>
    <row r="1230" spans="1:14" x14ac:dyDescent="0.2">
      <c r="A1230" s="2" t="s">
        <v>10069</v>
      </c>
      <c r="B1230" s="15">
        <v>2374</v>
      </c>
      <c r="C1230" s="15">
        <v>20</v>
      </c>
      <c r="D1230" s="15">
        <v>4591848</v>
      </c>
      <c r="E1230" s="15">
        <v>5379450</v>
      </c>
      <c r="F1230" s="15">
        <v>1723</v>
      </c>
      <c r="G1230" s="8" t="s">
        <v>12324</v>
      </c>
      <c r="H1230" s="24" t="s">
        <v>662</v>
      </c>
      <c r="I1230" s="25" t="s">
        <v>663</v>
      </c>
      <c r="J1230" s="8" t="s">
        <v>664</v>
      </c>
      <c r="K1230" s="8" t="s">
        <v>10040</v>
      </c>
      <c r="L1230" s="15">
        <v>-0.47225800000000001</v>
      </c>
      <c r="M1230" s="15">
        <v>0.142341</v>
      </c>
      <c r="N1230" s="15">
        <v>0.51323767073170723</v>
      </c>
    </row>
    <row r="1231" spans="1:14" x14ac:dyDescent="0.2">
      <c r="A1231" s="2" t="s">
        <v>10066</v>
      </c>
      <c r="B1231" s="15">
        <v>2466</v>
      </c>
      <c r="C1231" s="15">
        <v>22</v>
      </c>
      <c r="D1231" s="15">
        <v>20969185</v>
      </c>
      <c r="E1231" s="15">
        <v>22404422</v>
      </c>
      <c r="F1231" s="15">
        <v>2628</v>
      </c>
      <c r="G1231" s="8" t="s">
        <v>12324</v>
      </c>
      <c r="H1231" s="24" t="s">
        <v>6008</v>
      </c>
      <c r="I1231" s="25" t="s">
        <v>6009</v>
      </c>
      <c r="J1231" s="8" t="s">
        <v>6010</v>
      </c>
      <c r="K1231" s="8" t="s">
        <v>10051</v>
      </c>
      <c r="L1231" s="15">
        <v>-0.23571</v>
      </c>
      <c r="M1231" s="15">
        <v>0.142261</v>
      </c>
      <c r="N1231" s="15">
        <v>0.51323767073170723</v>
      </c>
    </row>
    <row r="1232" spans="1:14" x14ac:dyDescent="0.2">
      <c r="A1232" s="2" t="s">
        <v>10068</v>
      </c>
      <c r="B1232" s="15">
        <v>212</v>
      </c>
      <c r="C1232" s="15">
        <v>2</v>
      </c>
      <c r="D1232" s="15">
        <v>7966710</v>
      </c>
      <c r="E1232" s="15">
        <v>8978798</v>
      </c>
      <c r="F1232" s="15">
        <v>2478</v>
      </c>
      <c r="G1232" s="8" t="s">
        <v>12324</v>
      </c>
      <c r="H1232" s="24" t="s">
        <v>6565</v>
      </c>
      <c r="I1232" s="25" t="s">
        <v>6475</v>
      </c>
      <c r="J1232" s="8" t="s">
        <v>6566</v>
      </c>
      <c r="K1232" s="8" t="s">
        <v>10054</v>
      </c>
      <c r="L1232" s="15">
        <v>0.194413</v>
      </c>
      <c r="M1232" s="15">
        <v>0.142261</v>
      </c>
      <c r="N1232" s="15">
        <v>0.51323767073170723</v>
      </c>
    </row>
    <row r="1233" spans="1:14" x14ac:dyDescent="0.2">
      <c r="A1233" s="2" t="s">
        <v>10068</v>
      </c>
      <c r="B1233" s="15">
        <v>2308</v>
      </c>
      <c r="C1233" s="15">
        <v>19</v>
      </c>
      <c r="D1233" s="15">
        <v>1515921</v>
      </c>
      <c r="E1233" s="15">
        <v>2253174</v>
      </c>
      <c r="F1233" s="15">
        <v>2181</v>
      </c>
      <c r="G1233" s="8" t="s">
        <v>12324</v>
      </c>
      <c r="H1233" s="24" t="s">
        <v>6565</v>
      </c>
      <c r="I1233" s="25" t="s">
        <v>6475</v>
      </c>
      <c r="J1233" s="8" t="s">
        <v>6566</v>
      </c>
      <c r="K1233" s="8" t="s">
        <v>10054</v>
      </c>
      <c r="L1233" s="15">
        <v>0.24094199999999999</v>
      </c>
      <c r="M1233" s="15">
        <v>0.14249200000000001</v>
      </c>
      <c r="N1233" s="15">
        <v>0.51336476035743295</v>
      </c>
    </row>
    <row r="1234" spans="1:14" x14ac:dyDescent="0.2">
      <c r="A1234" s="2" t="s">
        <v>10069</v>
      </c>
      <c r="B1234" s="15">
        <v>1017</v>
      </c>
      <c r="C1234" s="15">
        <v>6</v>
      </c>
      <c r="D1234" s="15">
        <v>85038135</v>
      </c>
      <c r="E1234" s="15">
        <v>85837203</v>
      </c>
      <c r="F1234" s="15">
        <v>1665</v>
      </c>
      <c r="G1234" s="8" t="s">
        <v>12324</v>
      </c>
      <c r="H1234" s="24" t="s">
        <v>662</v>
      </c>
      <c r="I1234" s="25" t="s">
        <v>663</v>
      </c>
      <c r="J1234" s="8" t="s">
        <v>664</v>
      </c>
      <c r="K1234" s="8" t="s">
        <v>10040</v>
      </c>
      <c r="L1234" s="15">
        <v>0.69225099999999995</v>
      </c>
      <c r="M1234" s="15">
        <v>0.14319599999999999</v>
      </c>
      <c r="N1234" s="15">
        <v>0.51548235389610386</v>
      </c>
    </row>
    <row r="1235" spans="1:14" x14ac:dyDescent="0.2">
      <c r="A1235" s="2" t="s">
        <v>10068</v>
      </c>
      <c r="B1235" s="15">
        <v>1681</v>
      </c>
      <c r="C1235" s="15">
        <v>11</v>
      </c>
      <c r="D1235" s="15">
        <v>74399332</v>
      </c>
      <c r="E1235" s="15">
        <v>75445253</v>
      </c>
      <c r="F1235" s="15">
        <v>2128</v>
      </c>
      <c r="G1235" s="8" t="s">
        <v>12324</v>
      </c>
      <c r="H1235" s="24" t="s">
        <v>599</v>
      </c>
      <c r="I1235" s="25">
        <v>26562</v>
      </c>
      <c r="J1235" s="8" t="s">
        <v>601</v>
      </c>
      <c r="K1235" s="8" t="s">
        <v>10040</v>
      </c>
      <c r="L1235" s="15">
        <v>0.37192399999999998</v>
      </c>
      <c r="M1235" s="15">
        <v>0.143315</v>
      </c>
      <c r="N1235" s="15">
        <v>0.51549231549067309</v>
      </c>
    </row>
    <row r="1236" spans="1:14" x14ac:dyDescent="0.2">
      <c r="A1236" s="2" t="s">
        <v>10068</v>
      </c>
      <c r="B1236" s="15">
        <v>1937</v>
      </c>
      <c r="C1236" s="15">
        <v>13</v>
      </c>
      <c r="D1236" s="15">
        <v>98527336</v>
      </c>
      <c r="E1236" s="15">
        <v>99402294</v>
      </c>
      <c r="F1236" s="15">
        <v>2673</v>
      </c>
      <c r="G1236" s="8" t="s">
        <v>12324</v>
      </c>
      <c r="H1236" s="24" t="s">
        <v>599</v>
      </c>
      <c r="I1236" s="25">
        <v>26562</v>
      </c>
      <c r="J1236" s="8" t="s">
        <v>601</v>
      </c>
      <c r="K1236" s="8" t="s">
        <v>10040</v>
      </c>
      <c r="L1236" s="15">
        <v>-0.20905499999999999</v>
      </c>
      <c r="M1236" s="15">
        <v>0.14409</v>
      </c>
      <c r="N1236" s="15">
        <v>0.51612312500000002</v>
      </c>
    </row>
    <row r="1237" spans="1:14" x14ac:dyDescent="0.2">
      <c r="A1237" s="2" t="s">
        <v>10068</v>
      </c>
      <c r="B1237" s="15">
        <v>2112</v>
      </c>
      <c r="C1237" s="15">
        <v>16</v>
      </c>
      <c r="D1237" s="15">
        <v>9104470</v>
      </c>
      <c r="E1237" s="15">
        <v>9754796</v>
      </c>
      <c r="F1237" s="15">
        <v>2412</v>
      </c>
      <c r="G1237" s="8" t="s">
        <v>12324</v>
      </c>
      <c r="H1237" s="24" t="s">
        <v>599</v>
      </c>
      <c r="I1237" s="25">
        <v>26562</v>
      </c>
      <c r="J1237" s="8" t="s">
        <v>601</v>
      </c>
      <c r="K1237" s="8" t="s">
        <v>10040</v>
      </c>
      <c r="L1237" s="15">
        <v>0.55141799999999996</v>
      </c>
      <c r="M1237" s="15">
        <v>0.14429600000000001</v>
      </c>
      <c r="N1237" s="15">
        <v>0.51612312500000002</v>
      </c>
    </row>
    <row r="1238" spans="1:14" x14ac:dyDescent="0.2">
      <c r="A1238" s="2" t="s">
        <v>10069</v>
      </c>
      <c r="B1238" s="15">
        <v>1368</v>
      </c>
      <c r="C1238" s="15">
        <v>8</v>
      </c>
      <c r="D1238" s="15">
        <v>143611462</v>
      </c>
      <c r="E1238" s="15">
        <v>144934288</v>
      </c>
      <c r="F1238" s="15">
        <v>2815</v>
      </c>
      <c r="G1238" s="8" t="s">
        <v>12324</v>
      </c>
      <c r="H1238" s="24" t="s">
        <v>662</v>
      </c>
      <c r="I1238" s="25" t="s">
        <v>663</v>
      </c>
      <c r="J1238" s="8" t="s">
        <v>664</v>
      </c>
      <c r="K1238" s="8" t="s">
        <v>10040</v>
      </c>
      <c r="L1238" s="15">
        <v>-0.57033800000000001</v>
      </c>
      <c r="M1238" s="15">
        <v>0.14430399999999999</v>
      </c>
      <c r="N1238" s="15">
        <v>0.51612312500000002</v>
      </c>
    </row>
    <row r="1239" spans="1:14" x14ac:dyDescent="0.2">
      <c r="A1239" s="2" t="s">
        <v>10066</v>
      </c>
      <c r="B1239" s="15">
        <v>1810</v>
      </c>
      <c r="C1239" s="15">
        <v>12</v>
      </c>
      <c r="D1239" s="15">
        <v>75563969</v>
      </c>
      <c r="E1239" s="15">
        <v>76524573</v>
      </c>
      <c r="F1239" s="15">
        <v>2266</v>
      </c>
      <c r="G1239" s="8" t="s">
        <v>12324</v>
      </c>
      <c r="H1239" s="24" t="s">
        <v>6008</v>
      </c>
      <c r="I1239" s="25" t="s">
        <v>6009</v>
      </c>
      <c r="J1239" s="8" t="s">
        <v>6010</v>
      </c>
      <c r="K1239" s="8" t="s">
        <v>10051</v>
      </c>
      <c r="L1239" s="15">
        <v>-0.182559</v>
      </c>
      <c r="M1239" s="15">
        <v>0.14404500000000001</v>
      </c>
      <c r="N1239" s="15">
        <v>0.51612312500000002</v>
      </c>
    </row>
    <row r="1240" spans="1:14" x14ac:dyDescent="0.2">
      <c r="A1240" s="2" t="s">
        <v>10068</v>
      </c>
      <c r="B1240" s="15">
        <v>916</v>
      </c>
      <c r="C1240" s="15">
        <v>5</v>
      </c>
      <c r="D1240" s="15">
        <v>168342744</v>
      </c>
      <c r="E1240" s="15">
        <v>169506966</v>
      </c>
      <c r="F1240" s="15">
        <v>3439</v>
      </c>
      <c r="G1240" s="8" t="s">
        <v>12324</v>
      </c>
      <c r="H1240" s="24" t="s">
        <v>6565</v>
      </c>
      <c r="I1240" s="25" t="s">
        <v>6475</v>
      </c>
      <c r="J1240" s="8" t="s">
        <v>6566</v>
      </c>
      <c r="K1240" s="8" t="s">
        <v>10054</v>
      </c>
      <c r="L1240" s="15">
        <v>-0.28989799999999999</v>
      </c>
      <c r="M1240" s="15">
        <v>0.143681</v>
      </c>
      <c r="N1240" s="15">
        <v>0.51612312500000002</v>
      </c>
    </row>
    <row r="1241" spans="1:14" x14ac:dyDescent="0.2">
      <c r="A1241" s="2" t="s">
        <v>10068</v>
      </c>
      <c r="B1241" s="15">
        <v>1326</v>
      </c>
      <c r="C1241" s="15">
        <v>8</v>
      </c>
      <c r="D1241" s="15">
        <v>96175631</v>
      </c>
      <c r="E1241" s="15">
        <v>96900513</v>
      </c>
      <c r="F1241" s="15">
        <v>2303</v>
      </c>
      <c r="G1241" s="8" t="s">
        <v>12324</v>
      </c>
      <c r="H1241" s="24" t="s">
        <v>6565</v>
      </c>
      <c r="I1241" s="25" t="s">
        <v>6475</v>
      </c>
      <c r="J1241" s="8" t="s">
        <v>6566</v>
      </c>
      <c r="K1241" s="8" t="s">
        <v>10054</v>
      </c>
      <c r="L1241" s="15">
        <v>0.33803100000000003</v>
      </c>
      <c r="M1241" s="15">
        <v>0.14380000000000001</v>
      </c>
      <c r="N1241" s="15">
        <v>0.51612312500000002</v>
      </c>
    </row>
    <row r="1242" spans="1:14" x14ac:dyDescent="0.2">
      <c r="A1242" s="2" t="s">
        <v>10068</v>
      </c>
      <c r="B1242" s="15">
        <v>1389</v>
      </c>
      <c r="C1242" s="15">
        <v>9</v>
      </c>
      <c r="D1242" s="15">
        <v>14244748</v>
      </c>
      <c r="E1242" s="15">
        <v>14902924</v>
      </c>
      <c r="F1242" s="15">
        <v>2096</v>
      </c>
      <c r="G1242" s="8" t="s">
        <v>12324</v>
      </c>
      <c r="H1242" s="24" t="s">
        <v>6565</v>
      </c>
      <c r="I1242" s="25" t="s">
        <v>6475</v>
      </c>
      <c r="J1242" s="8" t="s">
        <v>6566</v>
      </c>
      <c r="K1242" s="8" t="s">
        <v>10054</v>
      </c>
      <c r="L1242" s="15">
        <v>0.23486099999999999</v>
      </c>
      <c r="M1242" s="15">
        <v>0.14430499999999999</v>
      </c>
      <c r="N1242" s="15">
        <v>0.51612312500000002</v>
      </c>
    </row>
    <row r="1243" spans="1:14" x14ac:dyDescent="0.2">
      <c r="A1243" s="2" t="s">
        <v>10068</v>
      </c>
      <c r="B1243" s="15">
        <v>2321</v>
      </c>
      <c r="C1243" s="15">
        <v>19</v>
      </c>
      <c r="D1243" s="15">
        <v>13968320</v>
      </c>
      <c r="E1243" s="15">
        <v>14891100</v>
      </c>
      <c r="F1243" s="15">
        <v>2342</v>
      </c>
      <c r="G1243" s="8" t="s">
        <v>12324</v>
      </c>
      <c r="H1243" s="24" t="s">
        <v>6565</v>
      </c>
      <c r="I1243" s="25" t="s">
        <v>6475</v>
      </c>
      <c r="J1243" s="8" t="s">
        <v>6566</v>
      </c>
      <c r="K1243" s="8" t="s">
        <v>10054</v>
      </c>
      <c r="L1243" s="15">
        <v>-0.31458599999999998</v>
      </c>
      <c r="M1243" s="15">
        <v>0.144506</v>
      </c>
      <c r="N1243" s="15">
        <v>0.51642555197421436</v>
      </c>
    </row>
    <row r="1244" spans="1:14" x14ac:dyDescent="0.2">
      <c r="A1244" s="2" t="s">
        <v>10069</v>
      </c>
      <c r="B1244" s="15">
        <v>1226</v>
      </c>
      <c r="C1244" s="15">
        <v>7</v>
      </c>
      <c r="D1244" s="15">
        <v>153241229</v>
      </c>
      <c r="E1244" s="15">
        <v>154407487</v>
      </c>
      <c r="F1244" s="15">
        <v>1858</v>
      </c>
      <c r="G1244" s="8" t="s">
        <v>12324</v>
      </c>
      <c r="H1244" s="24" t="s">
        <v>662</v>
      </c>
      <c r="I1244" s="25" t="s">
        <v>663</v>
      </c>
      <c r="J1244" s="8" t="s">
        <v>664</v>
      </c>
      <c r="K1244" s="8" t="s">
        <v>10040</v>
      </c>
      <c r="L1244" s="15">
        <v>0.41251500000000002</v>
      </c>
      <c r="M1244" s="15">
        <v>0.14482</v>
      </c>
      <c r="N1244" s="15">
        <v>0.51713099838969401</v>
      </c>
    </row>
    <row r="1245" spans="1:14" x14ac:dyDescent="0.2">
      <c r="A1245" s="2" t="s">
        <v>10068</v>
      </c>
      <c r="B1245" s="15">
        <v>2424</v>
      </c>
      <c r="C1245" s="15">
        <v>20</v>
      </c>
      <c r="D1245" s="15">
        <v>58780895</v>
      </c>
      <c r="E1245" s="15">
        <v>59560457</v>
      </c>
      <c r="F1245" s="15">
        <v>2310</v>
      </c>
      <c r="G1245" s="8" t="s">
        <v>12324</v>
      </c>
      <c r="H1245" s="24" t="s">
        <v>494</v>
      </c>
      <c r="I1245" s="25">
        <v>25920</v>
      </c>
      <c r="J1245" s="8" t="s">
        <v>496</v>
      </c>
      <c r="K1245" s="8" t="s">
        <v>10040</v>
      </c>
      <c r="L1245" s="15">
        <v>-0.23167699999999999</v>
      </c>
      <c r="M1245" s="15">
        <v>0.145177</v>
      </c>
      <c r="N1245" s="15">
        <v>0.51715662248995986</v>
      </c>
    </row>
    <row r="1246" spans="1:14" x14ac:dyDescent="0.2">
      <c r="A1246" s="2" t="s">
        <v>10068</v>
      </c>
      <c r="B1246" s="15">
        <v>1831</v>
      </c>
      <c r="C1246" s="15">
        <v>12</v>
      </c>
      <c r="D1246" s="15">
        <v>100931424</v>
      </c>
      <c r="E1246" s="15">
        <v>101825061</v>
      </c>
      <c r="F1246" s="15">
        <v>2331</v>
      </c>
      <c r="G1246" s="8" t="s">
        <v>12324</v>
      </c>
      <c r="H1246" s="24" t="s">
        <v>599</v>
      </c>
      <c r="I1246" s="25">
        <v>26562</v>
      </c>
      <c r="J1246" s="8" t="s">
        <v>601</v>
      </c>
      <c r="K1246" s="8" t="s">
        <v>10040</v>
      </c>
      <c r="L1246" s="15">
        <v>0.44372899999999998</v>
      </c>
      <c r="M1246" s="15">
        <v>0.145063</v>
      </c>
      <c r="N1246" s="15">
        <v>0.51715662248995986</v>
      </c>
    </row>
    <row r="1247" spans="1:14" x14ac:dyDescent="0.2">
      <c r="A1247" s="2" t="s">
        <v>10066</v>
      </c>
      <c r="B1247" s="15">
        <v>2299</v>
      </c>
      <c r="C1247" s="15">
        <v>18</v>
      </c>
      <c r="D1247" s="15">
        <v>71491861</v>
      </c>
      <c r="E1247" s="15">
        <v>72785206</v>
      </c>
      <c r="F1247" s="15">
        <v>3356</v>
      </c>
      <c r="G1247" s="8" t="s">
        <v>12324</v>
      </c>
      <c r="H1247" s="24" t="s">
        <v>3164</v>
      </c>
      <c r="I1247" s="25" t="s">
        <v>3165</v>
      </c>
      <c r="J1247" s="8" t="s">
        <v>3166</v>
      </c>
      <c r="K1247" s="8" t="s">
        <v>10042</v>
      </c>
      <c r="L1247" s="15">
        <v>-0.32401200000000002</v>
      </c>
      <c r="M1247" s="15">
        <v>0.14512</v>
      </c>
      <c r="N1247" s="15">
        <v>0.51715662248995986</v>
      </c>
    </row>
    <row r="1248" spans="1:14" x14ac:dyDescent="0.2">
      <c r="A1248" s="2" t="s">
        <v>10068</v>
      </c>
      <c r="B1248" s="15">
        <v>2196</v>
      </c>
      <c r="C1248" s="15">
        <v>17</v>
      </c>
      <c r="D1248" s="15">
        <v>27344402</v>
      </c>
      <c r="E1248" s="15">
        <v>29783141</v>
      </c>
      <c r="F1248" s="15">
        <v>3778</v>
      </c>
      <c r="G1248" s="8" t="s">
        <v>12324</v>
      </c>
      <c r="H1248" s="24" t="s">
        <v>494</v>
      </c>
      <c r="I1248" s="25">
        <v>25920</v>
      </c>
      <c r="J1248" s="8" t="s">
        <v>496</v>
      </c>
      <c r="K1248" s="8" t="s">
        <v>10040</v>
      </c>
      <c r="L1248" s="15">
        <v>-0.51728399999999997</v>
      </c>
      <c r="M1248" s="15">
        <v>0.145451</v>
      </c>
      <c r="N1248" s="15">
        <v>0.51764665597433845</v>
      </c>
    </row>
    <row r="1249" spans="1:14" x14ac:dyDescent="0.2">
      <c r="A1249" s="2" t="s">
        <v>10068</v>
      </c>
      <c r="B1249" s="15">
        <v>844</v>
      </c>
      <c r="C1249" s="15">
        <v>5</v>
      </c>
      <c r="D1249" s="15">
        <v>82720249</v>
      </c>
      <c r="E1249" s="15">
        <v>84094797</v>
      </c>
      <c r="F1249" s="15">
        <v>2830</v>
      </c>
      <c r="G1249" s="8" t="s">
        <v>12324</v>
      </c>
      <c r="H1249" s="24" t="s">
        <v>1259</v>
      </c>
      <c r="I1249" s="25">
        <v>27096</v>
      </c>
      <c r="J1249" s="8" t="s">
        <v>1261</v>
      </c>
      <c r="K1249" s="8" t="s">
        <v>10040</v>
      </c>
      <c r="L1249" s="15">
        <v>0.26212800000000003</v>
      </c>
      <c r="M1249" s="15">
        <v>0.14554800000000001</v>
      </c>
      <c r="N1249" s="15">
        <v>0.51764665597433845</v>
      </c>
    </row>
    <row r="1250" spans="1:14" x14ac:dyDescent="0.2">
      <c r="A1250" s="2" t="s">
        <v>10069</v>
      </c>
      <c r="B1250" s="15">
        <v>2397</v>
      </c>
      <c r="C1250" s="15">
        <v>20</v>
      </c>
      <c r="D1250" s="15">
        <v>26318859</v>
      </c>
      <c r="E1250" s="15">
        <v>30569659</v>
      </c>
      <c r="F1250" s="15">
        <v>1160</v>
      </c>
      <c r="G1250" s="8" t="s">
        <v>12324</v>
      </c>
      <c r="H1250" s="24" t="s">
        <v>662</v>
      </c>
      <c r="I1250" s="25" t="s">
        <v>663</v>
      </c>
      <c r="J1250" s="8" t="s">
        <v>664</v>
      </c>
      <c r="K1250" s="8" t="s">
        <v>10040</v>
      </c>
      <c r="L1250" s="15">
        <v>-0.63117299999999998</v>
      </c>
      <c r="M1250" s="15">
        <v>0.14572099999999999</v>
      </c>
      <c r="N1250" s="15">
        <v>0.51784666266025636</v>
      </c>
    </row>
    <row r="1251" spans="1:14" x14ac:dyDescent="0.2">
      <c r="A1251" s="2" t="s">
        <v>10069</v>
      </c>
      <c r="B1251" s="15">
        <v>223</v>
      </c>
      <c r="C1251" s="15">
        <v>2</v>
      </c>
      <c r="D1251" s="15">
        <v>18656326</v>
      </c>
      <c r="E1251" s="15">
        <v>20064517</v>
      </c>
      <c r="F1251" s="15">
        <v>2645</v>
      </c>
      <c r="G1251" s="8" t="s">
        <v>12324</v>
      </c>
      <c r="H1251" s="24" t="s">
        <v>662</v>
      </c>
      <c r="I1251" s="25" t="s">
        <v>663</v>
      </c>
      <c r="J1251" s="8" t="s">
        <v>664</v>
      </c>
      <c r="K1251" s="8" t="s">
        <v>10040</v>
      </c>
      <c r="L1251" s="15">
        <v>0.53891800000000001</v>
      </c>
      <c r="M1251" s="15">
        <v>0.14591899999999999</v>
      </c>
      <c r="N1251" s="15">
        <v>0.51813512009607687</v>
      </c>
    </row>
    <row r="1252" spans="1:14" x14ac:dyDescent="0.2">
      <c r="A1252" s="2" t="s">
        <v>10068</v>
      </c>
      <c r="B1252" s="15">
        <v>1476</v>
      </c>
      <c r="C1252" s="15">
        <v>9</v>
      </c>
      <c r="D1252" s="15">
        <v>132999453</v>
      </c>
      <c r="E1252" s="15">
        <v>134141936</v>
      </c>
      <c r="F1252" s="15">
        <v>2775</v>
      </c>
      <c r="G1252" s="8" t="s">
        <v>12324</v>
      </c>
      <c r="H1252" s="24" t="s">
        <v>599</v>
      </c>
      <c r="I1252" s="25">
        <v>26562</v>
      </c>
      <c r="J1252" s="8" t="s">
        <v>601</v>
      </c>
      <c r="K1252" s="8" t="s">
        <v>10040</v>
      </c>
      <c r="L1252" s="15">
        <v>-0.28642000000000001</v>
      </c>
      <c r="M1252" s="15">
        <v>0.146511</v>
      </c>
      <c r="N1252" s="15">
        <v>0.51911090981644048</v>
      </c>
    </row>
    <row r="1253" spans="1:14" x14ac:dyDescent="0.2">
      <c r="A1253" s="2" t="s">
        <v>10068</v>
      </c>
      <c r="B1253" s="15">
        <v>1225</v>
      </c>
      <c r="C1253" s="15">
        <v>7</v>
      </c>
      <c r="D1253" s="15">
        <v>152253295</v>
      </c>
      <c r="E1253" s="15">
        <v>153241228</v>
      </c>
      <c r="F1253" s="15">
        <v>3855</v>
      </c>
      <c r="G1253" s="8" t="s">
        <v>12324</v>
      </c>
      <c r="H1253" s="24" t="s">
        <v>1259</v>
      </c>
      <c r="I1253" s="25">
        <v>27096</v>
      </c>
      <c r="J1253" s="8" t="s">
        <v>1261</v>
      </c>
      <c r="K1253" s="8" t="s">
        <v>10040</v>
      </c>
      <c r="L1253" s="15">
        <v>-0.29965000000000003</v>
      </c>
      <c r="M1253" s="15">
        <v>0.14651800000000001</v>
      </c>
      <c r="N1253" s="15">
        <v>0.51911090981644048</v>
      </c>
    </row>
    <row r="1254" spans="1:14" x14ac:dyDescent="0.2">
      <c r="A1254" s="2" t="s">
        <v>10066</v>
      </c>
      <c r="B1254" s="15">
        <v>2380</v>
      </c>
      <c r="C1254" s="15">
        <v>20</v>
      </c>
      <c r="D1254" s="15">
        <v>10279604</v>
      </c>
      <c r="E1254" s="15">
        <v>11257012</v>
      </c>
      <c r="F1254" s="15">
        <v>2706</v>
      </c>
      <c r="G1254" s="8" t="s">
        <v>12324</v>
      </c>
      <c r="H1254" s="24" t="s">
        <v>3164</v>
      </c>
      <c r="I1254" s="25" t="s">
        <v>3165</v>
      </c>
      <c r="J1254" s="8" t="s">
        <v>3166</v>
      </c>
      <c r="K1254" s="8" t="s">
        <v>10042</v>
      </c>
      <c r="L1254" s="15">
        <v>-0.225157</v>
      </c>
      <c r="M1254" s="15">
        <v>0.146616</v>
      </c>
      <c r="N1254" s="15">
        <v>0.51911090981644048</v>
      </c>
    </row>
    <row r="1255" spans="1:14" x14ac:dyDescent="0.2">
      <c r="A1255" s="2" t="s">
        <v>10066</v>
      </c>
      <c r="B1255" s="15">
        <v>1857</v>
      </c>
      <c r="C1255" s="15">
        <v>12</v>
      </c>
      <c r="D1255" s="15">
        <v>129170297</v>
      </c>
      <c r="E1255" s="15">
        <v>129887418</v>
      </c>
      <c r="F1255" s="15">
        <v>2776</v>
      </c>
      <c r="G1255" s="8" t="s">
        <v>12324</v>
      </c>
      <c r="H1255" s="24" t="s">
        <v>3164</v>
      </c>
      <c r="I1255" s="25" t="s">
        <v>3165</v>
      </c>
      <c r="J1255" s="8" t="s">
        <v>3166</v>
      </c>
      <c r="K1255" s="8" t="s">
        <v>10042</v>
      </c>
      <c r="L1255" s="15">
        <v>-0.25942799999999999</v>
      </c>
      <c r="M1255" s="15">
        <v>0.14666199999999999</v>
      </c>
      <c r="N1255" s="15">
        <v>0.51911090981644048</v>
      </c>
    </row>
    <row r="1256" spans="1:14" x14ac:dyDescent="0.2">
      <c r="A1256" s="2" t="s">
        <v>10068</v>
      </c>
      <c r="B1256" s="15">
        <v>1441</v>
      </c>
      <c r="C1256" s="15">
        <v>9</v>
      </c>
      <c r="D1256" s="15">
        <v>95854926</v>
      </c>
      <c r="E1256" s="15">
        <v>96670171</v>
      </c>
      <c r="F1256" s="15">
        <v>2548</v>
      </c>
      <c r="G1256" s="8" t="s">
        <v>12324</v>
      </c>
      <c r="H1256" s="24" t="s">
        <v>494</v>
      </c>
      <c r="I1256" s="25">
        <v>25920</v>
      </c>
      <c r="J1256" s="8" t="s">
        <v>496</v>
      </c>
      <c r="K1256" s="8" t="s">
        <v>10040</v>
      </c>
      <c r="L1256" s="15">
        <v>0.40796900000000003</v>
      </c>
      <c r="M1256" s="15">
        <v>0.146788</v>
      </c>
      <c r="N1256" s="15">
        <v>0.51914256778309409</v>
      </c>
    </row>
    <row r="1257" spans="1:14" x14ac:dyDescent="0.2">
      <c r="A1257" s="2" t="s">
        <v>10068</v>
      </c>
      <c r="B1257" s="15">
        <v>780</v>
      </c>
      <c r="C1257" s="15">
        <v>5</v>
      </c>
      <c r="D1257" s="15">
        <v>3677596</v>
      </c>
      <c r="E1257" s="15">
        <v>4636542</v>
      </c>
      <c r="F1257" s="15">
        <v>2500</v>
      </c>
      <c r="G1257" s="8" t="s">
        <v>12324</v>
      </c>
      <c r="H1257" s="24" t="s">
        <v>494</v>
      </c>
      <c r="I1257" s="25">
        <v>25920</v>
      </c>
      <c r="J1257" s="8" t="s">
        <v>496</v>
      </c>
      <c r="K1257" s="8" t="s">
        <v>10040</v>
      </c>
      <c r="L1257" s="15">
        <v>-0.21262900000000001</v>
      </c>
      <c r="M1257" s="15">
        <v>0.14754100000000001</v>
      </c>
      <c r="N1257" s="15">
        <v>0.52026286963434032</v>
      </c>
    </row>
    <row r="1258" spans="1:14" x14ac:dyDescent="0.2">
      <c r="A1258" s="2" t="s">
        <v>10068</v>
      </c>
      <c r="B1258" s="15">
        <v>903</v>
      </c>
      <c r="C1258" s="15">
        <v>5</v>
      </c>
      <c r="D1258" s="15">
        <v>153734495</v>
      </c>
      <c r="E1258" s="15">
        <v>154599750</v>
      </c>
      <c r="F1258" s="15">
        <v>2176</v>
      </c>
      <c r="G1258" s="8" t="s">
        <v>12324</v>
      </c>
      <c r="H1258" s="24" t="s">
        <v>599</v>
      </c>
      <c r="I1258" s="25">
        <v>26562</v>
      </c>
      <c r="J1258" s="8" t="s">
        <v>601</v>
      </c>
      <c r="K1258" s="8" t="s">
        <v>10040</v>
      </c>
      <c r="L1258" s="15">
        <v>0.33129500000000001</v>
      </c>
      <c r="M1258" s="15">
        <v>0.14757400000000001</v>
      </c>
      <c r="N1258" s="15">
        <v>0.52026286963434032</v>
      </c>
    </row>
    <row r="1259" spans="1:14" x14ac:dyDescent="0.2">
      <c r="A1259" s="2" t="s">
        <v>10069</v>
      </c>
      <c r="B1259" s="15">
        <v>2159</v>
      </c>
      <c r="C1259" s="15">
        <v>16</v>
      </c>
      <c r="D1259" s="15">
        <v>78973581</v>
      </c>
      <c r="E1259" s="15">
        <v>79662634</v>
      </c>
      <c r="F1259" s="15">
        <v>1781</v>
      </c>
      <c r="G1259" s="8" t="s">
        <v>12324</v>
      </c>
      <c r="H1259" s="24" t="s">
        <v>662</v>
      </c>
      <c r="I1259" s="25" t="s">
        <v>663</v>
      </c>
      <c r="J1259" s="8" t="s">
        <v>664</v>
      </c>
      <c r="K1259" s="8" t="s">
        <v>10040</v>
      </c>
      <c r="L1259" s="15">
        <v>0.34352100000000002</v>
      </c>
      <c r="M1259" s="15">
        <v>0.14743500000000001</v>
      </c>
      <c r="N1259" s="15">
        <v>0.52026286963434032</v>
      </c>
    </row>
    <row r="1260" spans="1:14" x14ac:dyDescent="0.2">
      <c r="A1260" s="2" t="s">
        <v>10066</v>
      </c>
      <c r="B1260" s="15">
        <v>1573</v>
      </c>
      <c r="C1260" s="15">
        <v>10</v>
      </c>
      <c r="D1260" s="15">
        <v>94503300</v>
      </c>
      <c r="E1260" s="15">
        <v>95528160</v>
      </c>
      <c r="F1260" s="15">
        <v>3131</v>
      </c>
      <c r="G1260" s="8" t="s">
        <v>12324</v>
      </c>
      <c r="H1260" s="24" t="s">
        <v>6008</v>
      </c>
      <c r="I1260" s="25" t="s">
        <v>6009</v>
      </c>
      <c r="J1260" s="8" t="s">
        <v>6010</v>
      </c>
      <c r="K1260" s="8" t="s">
        <v>10051</v>
      </c>
      <c r="L1260" s="15">
        <v>0.34923599999999999</v>
      </c>
      <c r="M1260" s="15">
        <v>0.147233</v>
      </c>
      <c r="N1260" s="15">
        <v>0.52026286963434032</v>
      </c>
    </row>
    <row r="1261" spans="1:14" x14ac:dyDescent="0.2">
      <c r="A1261" s="2" t="s">
        <v>10068</v>
      </c>
      <c r="B1261" s="15">
        <v>204</v>
      </c>
      <c r="C1261" s="15">
        <v>2</v>
      </c>
      <c r="D1261" s="15">
        <v>1875061</v>
      </c>
      <c r="E1261" s="15">
        <v>2680063</v>
      </c>
      <c r="F1261" s="15">
        <v>2327</v>
      </c>
      <c r="G1261" s="8" t="s">
        <v>12324</v>
      </c>
      <c r="H1261" s="24" t="s">
        <v>494</v>
      </c>
      <c r="I1261" s="25">
        <v>25920</v>
      </c>
      <c r="J1261" s="8" t="s">
        <v>496</v>
      </c>
      <c r="K1261" s="8" t="s">
        <v>10040</v>
      </c>
      <c r="L1261" s="15">
        <v>0.25677499999999998</v>
      </c>
      <c r="M1261" s="15">
        <v>0.14773700000000001</v>
      </c>
      <c r="N1261" s="15">
        <v>0.52028533730158733</v>
      </c>
    </row>
    <row r="1262" spans="1:14" x14ac:dyDescent="0.2">
      <c r="A1262" s="2" t="s">
        <v>10066</v>
      </c>
      <c r="B1262" s="15">
        <v>55</v>
      </c>
      <c r="C1262" s="15">
        <v>1</v>
      </c>
      <c r="D1262" s="15">
        <v>64344227</v>
      </c>
      <c r="E1262" s="15">
        <v>65894184</v>
      </c>
      <c r="F1262" s="15">
        <v>3658</v>
      </c>
      <c r="G1262" s="8" t="s">
        <v>12324</v>
      </c>
      <c r="H1262" s="24" t="s">
        <v>3164</v>
      </c>
      <c r="I1262" s="25" t="s">
        <v>3165</v>
      </c>
      <c r="J1262" s="8" t="s">
        <v>3166</v>
      </c>
      <c r="K1262" s="8" t="s">
        <v>10042</v>
      </c>
      <c r="L1262" s="15">
        <v>-0.45606999999999998</v>
      </c>
      <c r="M1262" s="15">
        <v>0.147815</v>
      </c>
      <c r="N1262" s="15">
        <v>0.52028533730158733</v>
      </c>
    </row>
    <row r="1263" spans="1:14" x14ac:dyDescent="0.2">
      <c r="A1263" s="2" t="s">
        <v>10068</v>
      </c>
      <c r="B1263" s="15">
        <v>551</v>
      </c>
      <c r="C1263" s="15">
        <v>3</v>
      </c>
      <c r="D1263" s="15">
        <v>148638309</v>
      </c>
      <c r="E1263" s="15">
        <v>149998411</v>
      </c>
      <c r="F1263" s="15">
        <v>3667</v>
      </c>
      <c r="G1263" s="8" t="s">
        <v>12324</v>
      </c>
      <c r="H1263" s="24" t="s">
        <v>494</v>
      </c>
      <c r="I1263" s="25">
        <v>25920</v>
      </c>
      <c r="J1263" s="8" t="s">
        <v>496</v>
      </c>
      <c r="K1263" s="8" t="s">
        <v>10040</v>
      </c>
      <c r="L1263" s="15">
        <v>-0.32583200000000001</v>
      </c>
      <c r="M1263" s="15">
        <v>0.14799300000000001</v>
      </c>
      <c r="N1263" s="15">
        <v>0.52049877478191919</v>
      </c>
    </row>
    <row r="1264" spans="1:14" x14ac:dyDescent="0.2">
      <c r="A1264" s="2" t="s">
        <v>10068</v>
      </c>
      <c r="B1264" s="15">
        <v>1870</v>
      </c>
      <c r="C1264" s="15">
        <v>13</v>
      </c>
      <c r="D1264" s="15">
        <v>25977141</v>
      </c>
      <c r="E1264" s="15">
        <v>26681709</v>
      </c>
      <c r="F1264" s="15">
        <v>2166</v>
      </c>
      <c r="G1264" s="8" t="s">
        <v>12324</v>
      </c>
      <c r="H1264" s="24" t="s">
        <v>599</v>
      </c>
      <c r="I1264" s="25">
        <v>26562</v>
      </c>
      <c r="J1264" s="8" t="s">
        <v>601</v>
      </c>
      <c r="K1264" s="8" t="s">
        <v>10040</v>
      </c>
      <c r="L1264" s="15">
        <v>0.29657499999999998</v>
      </c>
      <c r="M1264" s="15">
        <v>0.14816099999999999</v>
      </c>
      <c r="N1264" s="15">
        <v>0.5206767313787638</v>
      </c>
    </row>
    <row r="1265" spans="1:14" x14ac:dyDescent="0.2">
      <c r="A1265" s="2" t="s">
        <v>10068</v>
      </c>
      <c r="B1265" s="15">
        <v>1542</v>
      </c>
      <c r="C1265" s="15">
        <v>10</v>
      </c>
      <c r="D1265" s="15">
        <v>59822947</v>
      </c>
      <c r="E1265" s="15">
        <v>61470383</v>
      </c>
      <c r="F1265" s="15">
        <v>3738</v>
      </c>
      <c r="G1265" s="8" t="s">
        <v>12324</v>
      </c>
      <c r="H1265" s="24" t="s">
        <v>494</v>
      </c>
      <c r="I1265" s="25">
        <v>25920</v>
      </c>
      <c r="J1265" s="8" t="s">
        <v>496</v>
      </c>
      <c r="K1265" s="8" t="s">
        <v>10040</v>
      </c>
      <c r="L1265" s="15">
        <v>0.38899</v>
      </c>
      <c r="M1265" s="15">
        <v>0.14830099999999999</v>
      </c>
      <c r="N1265" s="15">
        <v>0.5207426245059289</v>
      </c>
    </row>
    <row r="1266" spans="1:14" x14ac:dyDescent="0.2">
      <c r="A1266" s="2" t="s">
        <v>10069</v>
      </c>
      <c r="B1266" s="15">
        <v>2437</v>
      </c>
      <c r="C1266" s="15">
        <v>21</v>
      </c>
      <c r="D1266" s="15">
        <v>21632917</v>
      </c>
      <c r="E1266" s="15">
        <v>22201890</v>
      </c>
      <c r="F1266" s="15">
        <v>1597</v>
      </c>
      <c r="G1266" s="8" t="s">
        <v>12324</v>
      </c>
      <c r="H1266" s="24" t="s">
        <v>662</v>
      </c>
      <c r="I1266" s="25" t="s">
        <v>663</v>
      </c>
      <c r="J1266" s="8" t="s">
        <v>664</v>
      </c>
      <c r="K1266" s="8" t="s">
        <v>10040</v>
      </c>
      <c r="L1266" s="15">
        <v>-0.424815</v>
      </c>
      <c r="M1266" s="15">
        <v>0.148532</v>
      </c>
      <c r="N1266" s="15">
        <v>0.5207426245059289</v>
      </c>
    </row>
    <row r="1267" spans="1:14" x14ac:dyDescent="0.2">
      <c r="A1267" s="2" t="s">
        <v>10066</v>
      </c>
      <c r="B1267" s="15">
        <v>2301</v>
      </c>
      <c r="C1267" s="15">
        <v>18</v>
      </c>
      <c r="D1267" s="15">
        <v>73568261</v>
      </c>
      <c r="E1267" s="15">
        <v>74471745</v>
      </c>
      <c r="F1267" s="15">
        <v>3290</v>
      </c>
      <c r="G1267" s="8" t="s">
        <v>12324</v>
      </c>
      <c r="H1267" s="24" t="s">
        <v>3164</v>
      </c>
      <c r="I1267" s="25" t="s">
        <v>3165</v>
      </c>
      <c r="J1267" s="8" t="s">
        <v>3166</v>
      </c>
      <c r="K1267" s="8" t="s">
        <v>10042</v>
      </c>
      <c r="L1267" s="15">
        <v>0.27228000000000002</v>
      </c>
      <c r="M1267" s="15">
        <v>0.14847199999999999</v>
      </c>
      <c r="N1267" s="15">
        <v>0.5207426245059289</v>
      </c>
    </row>
    <row r="1268" spans="1:14" x14ac:dyDescent="0.2">
      <c r="A1268" s="2" t="s">
        <v>10068</v>
      </c>
      <c r="B1268" s="15">
        <v>749</v>
      </c>
      <c r="C1268" s="15">
        <v>4</v>
      </c>
      <c r="D1268" s="15">
        <v>166702856</v>
      </c>
      <c r="E1268" s="15">
        <v>167643768</v>
      </c>
      <c r="F1268" s="15">
        <v>2801</v>
      </c>
      <c r="G1268" s="8" t="s">
        <v>12324</v>
      </c>
      <c r="H1268" s="24" t="s">
        <v>1259</v>
      </c>
      <c r="I1268" s="25">
        <v>27096</v>
      </c>
      <c r="J1268" s="8" t="s">
        <v>1261</v>
      </c>
      <c r="K1268" s="8" t="s">
        <v>10040</v>
      </c>
      <c r="L1268" s="15">
        <v>0.41544799999999998</v>
      </c>
      <c r="M1268" s="15">
        <v>0.148839</v>
      </c>
      <c r="N1268" s="15">
        <v>0.52133984621451102</v>
      </c>
    </row>
    <row r="1269" spans="1:14" x14ac:dyDescent="0.2">
      <c r="A1269" s="2" t="s">
        <v>10066</v>
      </c>
      <c r="B1269" s="15">
        <v>4</v>
      </c>
      <c r="C1269" s="15">
        <v>1</v>
      </c>
      <c r="D1269" s="15">
        <v>2983520</v>
      </c>
      <c r="E1269" s="15">
        <v>3582047</v>
      </c>
      <c r="F1269" s="15">
        <v>2064</v>
      </c>
      <c r="G1269" s="8" t="s">
        <v>12324</v>
      </c>
      <c r="H1269" s="24" t="s">
        <v>6008</v>
      </c>
      <c r="I1269" s="25" t="s">
        <v>6009</v>
      </c>
      <c r="J1269" s="8" t="s">
        <v>6010</v>
      </c>
      <c r="K1269" s="8" t="s">
        <v>10051</v>
      </c>
      <c r="L1269" s="15">
        <v>0.290211</v>
      </c>
      <c r="M1269" s="15">
        <v>0.14905499999999999</v>
      </c>
      <c r="N1269" s="15">
        <v>0.52133984621451102</v>
      </c>
    </row>
    <row r="1270" spans="1:14" x14ac:dyDescent="0.2">
      <c r="A1270" s="2" t="s">
        <v>10068</v>
      </c>
      <c r="B1270" s="15">
        <v>836</v>
      </c>
      <c r="C1270" s="15">
        <v>5</v>
      </c>
      <c r="D1270" s="15">
        <v>73314062</v>
      </c>
      <c r="E1270" s="15">
        <v>74245354</v>
      </c>
      <c r="F1270" s="15">
        <v>2403</v>
      </c>
      <c r="G1270" s="8" t="s">
        <v>12324</v>
      </c>
      <c r="H1270" s="24" t="s">
        <v>6565</v>
      </c>
      <c r="I1270" s="25" t="s">
        <v>6475</v>
      </c>
      <c r="J1270" s="8" t="s">
        <v>6566</v>
      </c>
      <c r="K1270" s="8" t="s">
        <v>10054</v>
      </c>
      <c r="L1270" s="15">
        <v>-0.223911</v>
      </c>
      <c r="M1270" s="15">
        <v>0.149006</v>
      </c>
      <c r="N1270" s="15">
        <v>0.52133984621451102</v>
      </c>
    </row>
    <row r="1271" spans="1:14" x14ac:dyDescent="0.2">
      <c r="A1271" s="2" t="s">
        <v>10068</v>
      </c>
      <c r="B1271" s="15">
        <v>2216</v>
      </c>
      <c r="C1271" s="15">
        <v>17</v>
      </c>
      <c r="D1271" s="15">
        <v>54950108</v>
      </c>
      <c r="E1271" s="15">
        <v>56245227</v>
      </c>
      <c r="F1271" s="15">
        <v>3156</v>
      </c>
      <c r="G1271" s="8" t="s">
        <v>12324</v>
      </c>
      <c r="H1271" s="24" t="s">
        <v>494</v>
      </c>
      <c r="I1271" s="25">
        <v>25920</v>
      </c>
      <c r="J1271" s="8" t="s">
        <v>496</v>
      </c>
      <c r="K1271" s="8" t="s">
        <v>10040</v>
      </c>
      <c r="L1271" s="15">
        <v>0.28957699999999997</v>
      </c>
      <c r="M1271" s="15">
        <v>0.149732</v>
      </c>
      <c r="N1271" s="15">
        <v>0.52138817044566066</v>
      </c>
    </row>
    <row r="1272" spans="1:14" x14ac:dyDescent="0.2">
      <c r="A1272" s="2" t="s">
        <v>10068</v>
      </c>
      <c r="B1272" s="15">
        <v>191</v>
      </c>
      <c r="C1272" s="15">
        <v>1</v>
      </c>
      <c r="D1272" s="15">
        <v>240248509</v>
      </c>
      <c r="E1272" s="15">
        <v>241033584</v>
      </c>
      <c r="F1272" s="15">
        <v>2219</v>
      </c>
      <c r="G1272" s="8" t="s">
        <v>12324</v>
      </c>
      <c r="H1272" s="24" t="s">
        <v>494</v>
      </c>
      <c r="I1272" s="25">
        <v>25920</v>
      </c>
      <c r="J1272" s="8" t="s">
        <v>496</v>
      </c>
      <c r="K1272" s="8" t="s">
        <v>10040</v>
      </c>
      <c r="L1272" s="15">
        <v>-0.224855</v>
      </c>
      <c r="M1272" s="15">
        <v>0.15002399999999999</v>
      </c>
      <c r="N1272" s="15">
        <v>0.52138817044566066</v>
      </c>
    </row>
    <row r="1273" spans="1:14" x14ac:dyDescent="0.2">
      <c r="A1273" s="2" t="s">
        <v>10068</v>
      </c>
      <c r="B1273" s="15">
        <v>1432</v>
      </c>
      <c r="C1273" s="15">
        <v>9</v>
      </c>
      <c r="D1273" s="15">
        <v>87815450</v>
      </c>
      <c r="E1273" s="15">
        <v>89171796</v>
      </c>
      <c r="F1273" s="15">
        <v>3129</v>
      </c>
      <c r="G1273" s="8" t="s">
        <v>12324</v>
      </c>
      <c r="H1273" s="24" t="s">
        <v>599</v>
      </c>
      <c r="I1273" s="25">
        <v>26562</v>
      </c>
      <c r="J1273" s="8" t="s">
        <v>601</v>
      </c>
      <c r="K1273" s="8" t="s">
        <v>10040</v>
      </c>
      <c r="L1273" s="15">
        <v>-0.50666900000000004</v>
      </c>
      <c r="M1273" s="15">
        <v>0.150201</v>
      </c>
      <c r="N1273" s="15">
        <v>0.52138817044566066</v>
      </c>
    </row>
    <row r="1274" spans="1:14" x14ac:dyDescent="0.2">
      <c r="A1274" s="2" t="s">
        <v>10068</v>
      </c>
      <c r="B1274" s="15">
        <v>747</v>
      </c>
      <c r="C1274" s="15">
        <v>4</v>
      </c>
      <c r="D1274" s="15">
        <v>164781848</v>
      </c>
      <c r="E1274" s="15">
        <v>165824650</v>
      </c>
      <c r="F1274" s="15">
        <v>3690</v>
      </c>
      <c r="G1274" s="8" t="s">
        <v>12324</v>
      </c>
      <c r="H1274" s="24" t="s">
        <v>1259</v>
      </c>
      <c r="I1274" s="25">
        <v>27096</v>
      </c>
      <c r="J1274" s="8" t="s">
        <v>1261</v>
      </c>
      <c r="K1274" s="8" t="s">
        <v>10040</v>
      </c>
      <c r="L1274" s="15">
        <v>0.35684100000000002</v>
      </c>
      <c r="M1274" s="15">
        <v>0.150362</v>
      </c>
      <c r="N1274" s="15">
        <v>0.52138817044566066</v>
      </c>
    </row>
    <row r="1275" spans="1:14" x14ac:dyDescent="0.2">
      <c r="A1275" s="2" t="s">
        <v>10066</v>
      </c>
      <c r="B1275" s="15">
        <v>196</v>
      </c>
      <c r="C1275" s="15">
        <v>1</v>
      </c>
      <c r="D1275" s="15">
        <v>244723197</v>
      </c>
      <c r="E1275" s="15">
        <v>245970505</v>
      </c>
      <c r="F1275" s="15">
        <v>3684</v>
      </c>
      <c r="G1275" s="8" t="s">
        <v>12324</v>
      </c>
      <c r="H1275" s="24" t="s">
        <v>3164</v>
      </c>
      <c r="I1275" s="25" t="s">
        <v>3165</v>
      </c>
      <c r="J1275" s="8" t="s">
        <v>3166</v>
      </c>
      <c r="K1275" s="8" t="s">
        <v>10042</v>
      </c>
      <c r="L1275" s="15">
        <v>-0.30801099999999998</v>
      </c>
      <c r="M1275" s="15">
        <v>0.14966499999999999</v>
      </c>
      <c r="N1275" s="15">
        <v>0.52138817044566066</v>
      </c>
    </row>
    <row r="1276" spans="1:14" x14ac:dyDescent="0.2">
      <c r="A1276" s="2" t="s">
        <v>10066</v>
      </c>
      <c r="B1276" s="15">
        <v>1948</v>
      </c>
      <c r="C1276" s="15">
        <v>13</v>
      </c>
      <c r="D1276" s="15">
        <v>109813577</v>
      </c>
      <c r="E1276" s="15">
        <v>110995432</v>
      </c>
      <c r="F1276" s="15">
        <v>3996</v>
      </c>
      <c r="G1276" s="8" t="s">
        <v>12324</v>
      </c>
      <c r="H1276" s="24" t="s">
        <v>3164</v>
      </c>
      <c r="I1276" s="25" t="s">
        <v>3165</v>
      </c>
      <c r="J1276" s="8" t="s">
        <v>3166</v>
      </c>
      <c r="K1276" s="8" t="s">
        <v>10042</v>
      </c>
      <c r="L1276" s="15">
        <v>0.20155000000000001</v>
      </c>
      <c r="M1276" s="15">
        <v>0.149892</v>
      </c>
      <c r="N1276" s="15">
        <v>0.52138817044566066</v>
      </c>
    </row>
    <row r="1277" spans="1:14" x14ac:dyDescent="0.2">
      <c r="A1277" s="2" t="s">
        <v>10066</v>
      </c>
      <c r="B1277" s="15">
        <v>2187</v>
      </c>
      <c r="C1277" s="15">
        <v>17</v>
      </c>
      <c r="D1277" s="15">
        <v>13648447</v>
      </c>
      <c r="E1277" s="15">
        <v>14508610</v>
      </c>
      <c r="F1277" s="15">
        <v>2922</v>
      </c>
      <c r="G1277" s="8" t="s">
        <v>12324</v>
      </c>
      <c r="H1277" s="24" t="s">
        <v>3164</v>
      </c>
      <c r="I1277" s="25" t="s">
        <v>3165</v>
      </c>
      <c r="J1277" s="8" t="s">
        <v>3166</v>
      </c>
      <c r="K1277" s="8" t="s">
        <v>10042</v>
      </c>
      <c r="L1277" s="15">
        <v>-0.239228</v>
      </c>
      <c r="M1277" s="15">
        <v>0.15026100000000001</v>
      </c>
      <c r="N1277" s="15">
        <v>0.52138817044566066</v>
      </c>
    </row>
    <row r="1278" spans="1:14" x14ac:dyDescent="0.2">
      <c r="A1278" s="2" t="s">
        <v>10066</v>
      </c>
      <c r="B1278" s="15">
        <v>2492</v>
      </c>
      <c r="C1278" s="15">
        <v>22</v>
      </c>
      <c r="D1278" s="15">
        <v>48269178</v>
      </c>
      <c r="E1278" s="15">
        <v>48977538</v>
      </c>
      <c r="F1278" s="15">
        <v>2634</v>
      </c>
      <c r="G1278" s="8" t="s">
        <v>12324</v>
      </c>
      <c r="H1278" s="24" t="s">
        <v>6008</v>
      </c>
      <c r="I1278" s="25" t="s">
        <v>6009</v>
      </c>
      <c r="J1278" s="8" t="s">
        <v>6010</v>
      </c>
      <c r="K1278" s="8" t="s">
        <v>10051</v>
      </c>
      <c r="L1278" s="15">
        <v>0.18341099999999999</v>
      </c>
      <c r="M1278" s="15">
        <v>0.14998500000000001</v>
      </c>
      <c r="N1278" s="15">
        <v>0.52138817044566066</v>
      </c>
    </row>
    <row r="1279" spans="1:14" x14ac:dyDescent="0.2">
      <c r="A1279" s="2" t="s">
        <v>10068</v>
      </c>
      <c r="B1279" s="15">
        <v>157</v>
      </c>
      <c r="C1279" s="15">
        <v>1</v>
      </c>
      <c r="D1279" s="15">
        <v>204092538</v>
      </c>
      <c r="E1279" s="15">
        <v>205009623</v>
      </c>
      <c r="F1279" s="15">
        <v>2263</v>
      </c>
      <c r="G1279" s="8" t="s">
        <v>12324</v>
      </c>
      <c r="H1279" s="24" t="s">
        <v>6565</v>
      </c>
      <c r="I1279" s="25" t="s">
        <v>6475</v>
      </c>
      <c r="J1279" s="8" t="s">
        <v>6566</v>
      </c>
      <c r="K1279" s="8" t="s">
        <v>10054</v>
      </c>
      <c r="L1279" s="15">
        <v>0.36797999999999997</v>
      </c>
      <c r="M1279" s="15">
        <v>0.149307</v>
      </c>
      <c r="N1279" s="15">
        <v>0.52138817044566066</v>
      </c>
    </row>
    <row r="1280" spans="1:14" x14ac:dyDescent="0.2">
      <c r="A1280" s="2" t="s">
        <v>10068</v>
      </c>
      <c r="B1280" s="15">
        <v>1037</v>
      </c>
      <c r="C1280" s="15">
        <v>6</v>
      </c>
      <c r="D1280" s="15">
        <v>106053916</v>
      </c>
      <c r="E1280" s="15">
        <v>107309327</v>
      </c>
      <c r="F1280" s="15">
        <v>3679</v>
      </c>
      <c r="G1280" s="8" t="s">
        <v>12324</v>
      </c>
      <c r="H1280" s="24" t="s">
        <v>6565</v>
      </c>
      <c r="I1280" s="25" t="s">
        <v>6475</v>
      </c>
      <c r="J1280" s="8" t="s">
        <v>6566</v>
      </c>
      <c r="K1280" s="8" t="s">
        <v>10054</v>
      </c>
      <c r="L1280" s="15">
        <v>0.24351100000000001</v>
      </c>
      <c r="M1280" s="15">
        <v>0.14938100000000001</v>
      </c>
      <c r="N1280" s="15">
        <v>0.52138817044566066</v>
      </c>
    </row>
    <row r="1281" spans="1:14" x14ac:dyDescent="0.2">
      <c r="A1281" s="2" t="s">
        <v>10068</v>
      </c>
      <c r="B1281" s="15">
        <v>1264</v>
      </c>
      <c r="C1281" s="15">
        <v>8</v>
      </c>
      <c r="D1281" s="15">
        <v>19488889</v>
      </c>
      <c r="E1281" s="15">
        <v>20135628</v>
      </c>
      <c r="F1281" s="15">
        <v>2235</v>
      </c>
      <c r="G1281" s="8" t="s">
        <v>12324</v>
      </c>
      <c r="H1281" s="24" t="s">
        <v>6565</v>
      </c>
      <c r="I1281" s="25" t="s">
        <v>6475</v>
      </c>
      <c r="J1281" s="8" t="s">
        <v>6566</v>
      </c>
      <c r="K1281" s="8" t="s">
        <v>10054</v>
      </c>
      <c r="L1281" s="15">
        <v>-0.389768</v>
      </c>
      <c r="M1281" s="15">
        <v>0.15019199999999999</v>
      </c>
      <c r="N1281" s="15">
        <v>0.52138817044566066</v>
      </c>
    </row>
    <row r="1282" spans="1:14" x14ac:dyDescent="0.2">
      <c r="A1282" s="2" t="s">
        <v>10069</v>
      </c>
      <c r="B1282" s="15">
        <v>2375</v>
      </c>
      <c r="C1282" s="15">
        <v>20</v>
      </c>
      <c r="D1282" s="15">
        <v>5379451</v>
      </c>
      <c r="E1282" s="15">
        <v>6128358</v>
      </c>
      <c r="F1282" s="15">
        <v>1645</v>
      </c>
      <c r="G1282" s="8" t="s">
        <v>12324</v>
      </c>
      <c r="H1282" s="24" t="s">
        <v>662</v>
      </c>
      <c r="I1282" s="25" t="s">
        <v>663</v>
      </c>
      <c r="J1282" s="8" t="s">
        <v>664</v>
      </c>
      <c r="K1282" s="8" t="s">
        <v>10040</v>
      </c>
      <c r="L1282" s="15">
        <v>-0.37982900000000003</v>
      </c>
      <c r="M1282" s="15">
        <v>0.151086</v>
      </c>
      <c r="N1282" s="15">
        <v>0.52316061964146532</v>
      </c>
    </row>
    <row r="1283" spans="1:14" x14ac:dyDescent="0.2">
      <c r="A1283" s="2" t="s">
        <v>10069</v>
      </c>
      <c r="B1283" s="15">
        <v>2133</v>
      </c>
      <c r="C1283" s="15">
        <v>16</v>
      </c>
      <c r="D1283" s="15">
        <v>50467034</v>
      </c>
      <c r="E1283" s="15">
        <v>52041336</v>
      </c>
      <c r="F1283" s="15">
        <v>2125</v>
      </c>
      <c r="G1283" s="8" t="s">
        <v>12324</v>
      </c>
      <c r="H1283" s="24" t="s">
        <v>662</v>
      </c>
      <c r="I1283" s="25" t="s">
        <v>663</v>
      </c>
      <c r="J1283" s="8" t="s">
        <v>664</v>
      </c>
      <c r="K1283" s="8" t="s">
        <v>10040</v>
      </c>
      <c r="L1283" s="15">
        <v>0.25855</v>
      </c>
      <c r="M1283" s="15">
        <v>0.151257</v>
      </c>
      <c r="N1283" s="15">
        <v>0.52316061964146532</v>
      </c>
    </row>
    <row r="1284" spans="1:14" x14ac:dyDescent="0.2">
      <c r="A1284" s="2" t="s">
        <v>10068</v>
      </c>
      <c r="B1284" s="15">
        <v>640</v>
      </c>
      <c r="C1284" s="15">
        <v>4</v>
      </c>
      <c r="D1284" s="15">
        <v>39820062</v>
      </c>
      <c r="E1284" s="15">
        <v>40590541</v>
      </c>
      <c r="F1284" s="15">
        <v>2209</v>
      </c>
      <c r="G1284" s="8" t="s">
        <v>12324</v>
      </c>
      <c r="H1284" s="24" t="s">
        <v>1259</v>
      </c>
      <c r="I1284" s="25">
        <v>27096</v>
      </c>
      <c r="J1284" s="8" t="s">
        <v>1261</v>
      </c>
      <c r="K1284" s="8" t="s">
        <v>10040</v>
      </c>
      <c r="L1284" s="15">
        <v>0.43054300000000001</v>
      </c>
      <c r="M1284" s="15">
        <v>0.15134500000000001</v>
      </c>
      <c r="N1284" s="15">
        <v>0.52316061964146532</v>
      </c>
    </row>
    <row r="1285" spans="1:14" x14ac:dyDescent="0.2">
      <c r="A1285" s="2" t="s">
        <v>10068</v>
      </c>
      <c r="B1285" s="15">
        <v>1587</v>
      </c>
      <c r="C1285" s="15">
        <v>10</v>
      </c>
      <c r="D1285" s="15">
        <v>112164982</v>
      </c>
      <c r="E1285" s="15">
        <v>113117615</v>
      </c>
      <c r="F1285" s="15">
        <v>2397</v>
      </c>
      <c r="G1285" s="8" t="s">
        <v>12324</v>
      </c>
      <c r="H1285" s="24" t="s">
        <v>6565</v>
      </c>
      <c r="I1285" s="25" t="s">
        <v>6475</v>
      </c>
      <c r="J1285" s="8" t="s">
        <v>6566</v>
      </c>
      <c r="K1285" s="8" t="s">
        <v>10054</v>
      </c>
      <c r="L1285" s="15">
        <v>-0.32878299999999999</v>
      </c>
      <c r="M1285" s="15">
        <v>0.15112300000000001</v>
      </c>
      <c r="N1285" s="15">
        <v>0.52316061964146532</v>
      </c>
    </row>
    <row r="1286" spans="1:14" x14ac:dyDescent="0.2">
      <c r="A1286" s="2" t="s">
        <v>10068</v>
      </c>
      <c r="B1286" s="15">
        <v>1845</v>
      </c>
      <c r="C1286" s="15">
        <v>12</v>
      </c>
      <c r="D1286" s="15">
        <v>116197676</v>
      </c>
      <c r="E1286" s="15">
        <v>117091843</v>
      </c>
      <c r="F1286" s="15">
        <v>2352</v>
      </c>
      <c r="G1286" s="8" t="s">
        <v>12324</v>
      </c>
      <c r="H1286" s="24" t="s">
        <v>1259</v>
      </c>
      <c r="I1286" s="25">
        <v>27096</v>
      </c>
      <c r="J1286" s="8" t="s">
        <v>1261</v>
      </c>
      <c r="K1286" s="8" t="s">
        <v>10040</v>
      </c>
      <c r="L1286" s="15">
        <v>-0.34307599999999999</v>
      </c>
      <c r="M1286" s="15">
        <v>0.15159400000000001</v>
      </c>
      <c r="N1286" s="15">
        <v>0.52320575097276267</v>
      </c>
    </row>
    <row r="1287" spans="1:14" x14ac:dyDescent="0.2">
      <c r="A1287" s="2" t="s">
        <v>10066</v>
      </c>
      <c r="B1287" s="15">
        <v>1478</v>
      </c>
      <c r="C1287" s="15">
        <v>9</v>
      </c>
      <c r="D1287" s="15">
        <v>135135888</v>
      </c>
      <c r="E1287" s="15">
        <v>136042490</v>
      </c>
      <c r="F1287" s="15">
        <v>2368</v>
      </c>
      <c r="G1287" s="8" t="s">
        <v>12324</v>
      </c>
      <c r="H1287" s="24" t="s">
        <v>3164</v>
      </c>
      <c r="I1287" s="25" t="s">
        <v>3165</v>
      </c>
      <c r="J1287" s="8" t="s">
        <v>3166</v>
      </c>
      <c r="K1287" s="8" t="s">
        <v>10042</v>
      </c>
      <c r="L1287" s="15">
        <v>0.34098299999999998</v>
      </c>
      <c r="M1287" s="15">
        <v>0.15149099999999999</v>
      </c>
      <c r="N1287" s="15">
        <v>0.52320575097276267</v>
      </c>
    </row>
    <row r="1288" spans="1:14" x14ac:dyDescent="0.2">
      <c r="A1288" s="2" t="s">
        <v>10068</v>
      </c>
      <c r="B1288" s="15">
        <v>1847</v>
      </c>
      <c r="C1288" s="15">
        <v>12</v>
      </c>
      <c r="D1288" s="15">
        <v>118256125</v>
      </c>
      <c r="E1288" s="15">
        <v>119301061</v>
      </c>
      <c r="F1288" s="15">
        <v>2767</v>
      </c>
      <c r="G1288" s="8" t="s">
        <v>12324</v>
      </c>
      <c r="H1288" s="24" t="s">
        <v>494</v>
      </c>
      <c r="I1288" s="25">
        <v>25920</v>
      </c>
      <c r="J1288" s="8" t="s">
        <v>496</v>
      </c>
      <c r="K1288" s="8" t="s">
        <v>10040</v>
      </c>
      <c r="L1288" s="15">
        <v>-0.35381099999999999</v>
      </c>
      <c r="M1288" s="15">
        <v>0.15196499999999999</v>
      </c>
      <c r="N1288" s="15">
        <v>0.52390548174048179</v>
      </c>
    </row>
    <row r="1289" spans="1:14" x14ac:dyDescent="0.2">
      <c r="A1289" s="2" t="s">
        <v>10068</v>
      </c>
      <c r="B1289" s="15">
        <v>2448</v>
      </c>
      <c r="C1289" s="15">
        <v>21</v>
      </c>
      <c r="D1289" s="15">
        <v>33270273</v>
      </c>
      <c r="E1289" s="15">
        <v>34383794</v>
      </c>
      <c r="F1289" s="15">
        <v>2789</v>
      </c>
      <c r="G1289" s="8" t="s">
        <v>12324</v>
      </c>
      <c r="H1289" s="24" t="s">
        <v>1259</v>
      </c>
      <c r="I1289" s="25">
        <v>27096</v>
      </c>
      <c r="J1289" s="8" t="s">
        <v>1261</v>
      </c>
      <c r="K1289" s="8" t="s">
        <v>10040</v>
      </c>
      <c r="L1289" s="15">
        <v>0.34666400000000003</v>
      </c>
      <c r="M1289" s="15">
        <v>0.152033</v>
      </c>
      <c r="N1289" s="15">
        <v>0.52390548174048179</v>
      </c>
    </row>
    <row r="1290" spans="1:14" x14ac:dyDescent="0.2">
      <c r="A1290" s="2" t="s">
        <v>10069</v>
      </c>
      <c r="B1290" s="15">
        <v>1577</v>
      </c>
      <c r="C1290" s="15">
        <v>10</v>
      </c>
      <c r="D1290" s="15">
        <v>99367801</v>
      </c>
      <c r="E1290" s="15">
        <v>100337830</v>
      </c>
      <c r="F1290" s="15">
        <v>1541</v>
      </c>
      <c r="G1290" s="8" t="s">
        <v>12324</v>
      </c>
      <c r="H1290" s="24" t="s">
        <v>662</v>
      </c>
      <c r="I1290" s="25" t="s">
        <v>663</v>
      </c>
      <c r="J1290" s="8" t="s">
        <v>664</v>
      </c>
      <c r="K1290" s="8" t="s">
        <v>10040</v>
      </c>
      <c r="L1290" s="15">
        <v>-0.53571000000000002</v>
      </c>
      <c r="M1290" s="15">
        <v>0.15227599999999999</v>
      </c>
      <c r="N1290" s="15">
        <v>0.52404909619860351</v>
      </c>
    </row>
    <row r="1291" spans="1:14" x14ac:dyDescent="0.2">
      <c r="A1291" s="2" t="s">
        <v>10068</v>
      </c>
      <c r="B1291" s="15">
        <v>806</v>
      </c>
      <c r="C1291" s="15">
        <v>5</v>
      </c>
      <c r="D1291" s="15">
        <v>33971057</v>
      </c>
      <c r="E1291" s="15">
        <v>35157146</v>
      </c>
      <c r="F1291" s="15">
        <v>3581</v>
      </c>
      <c r="G1291" s="8" t="s">
        <v>12324</v>
      </c>
      <c r="H1291" s="24" t="s">
        <v>1259</v>
      </c>
      <c r="I1291" s="25">
        <v>27096</v>
      </c>
      <c r="J1291" s="8" t="s">
        <v>1261</v>
      </c>
      <c r="K1291" s="8" t="s">
        <v>10040</v>
      </c>
      <c r="L1291" s="15">
        <v>-0.31459799999999999</v>
      </c>
      <c r="M1291" s="15">
        <v>0.152311</v>
      </c>
      <c r="N1291" s="15">
        <v>0.52404909619860351</v>
      </c>
    </row>
    <row r="1292" spans="1:14" x14ac:dyDescent="0.2">
      <c r="A1292" s="2" t="s">
        <v>10066</v>
      </c>
      <c r="B1292" s="15">
        <v>9</v>
      </c>
      <c r="C1292" s="15">
        <v>1</v>
      </c>
      <c r="D1292" s="15">
        <v>6136815</v>
      </c>
      <c r="E1292" s="15">
        <v>7711794</v>
      </c>
      <c r="F1292" s="15">
        <v>4043</v>
      </c>
      <c r="G1292" s="8" t="s">
        <v>12324</v>
      </c>
      <c r="H1292" s="24" t="s">
        <v>6008</v>
      </c>
      <c r="I1292" s="25" t="s">
        <v>6009</v>
      </c>
      <c r="J1292" s="8" t="s">
        <v>6010</v>
      </c>
      <c r="K1292" s="8" t="s">
        <v>10051</v>
      </c>
      <c r="L1292" s="15">
        <v>-0.27289799999999997</v>
      </c>
      <c r="M1292" s="15">
        <v>0.15282499999999999</v>
      </c>
      <c r="N1292" s="15">
        <v>0.52540998062015498</v>
      </c>
    </row>
    <row r="1293" spans="1:14" x14ac:dyDescent="0.2">
      <c r="A1293" s="2" t="s">
        <v>10069</v>
      </c>
      <c r="B1293" s="15">
        <v>785</v>
      </c>
      <c r="C1293" s="15">
        <v>5</v>
      </c>
      <c r="D1293" s="15">
        <v>9203856</v>
      </c>
      <c r="E1293" s="15">
        <v>10549029</v>
      </c>
      <c r="F1293" s="15">
        <v>2451</v>
      </c>
      <c r="G1293" s="8" t="s">
        <v>12324</v>
      </c>
      <c r="H1293" s="24" t="s">
        <v>662</v>
      </c>
      <c r="I1293" s="25" t="s">
        <v>663</v>
      </c>
      <c r="J1293" s="8" t="s">
        <v>664</v>
      </c>
      <c r="K1293" s="8" t="s">
        <v>10040</v>
      </c>
      <c r="L1293" s="15">
        <v>-0.53956800000000005</v>
      </c>
      <c r="M1293" s="15">
        <v>0.153112</v>
      </c>
      <c r="N1293" s="15">
        <v>0.52598893880712627</v>
      </c>
    </row>
    <row r="1294" spans="1:14" x14ac:dyDescent="0.2">
      <c r="A1294" s="2" t="s">
        <v>10066</v>
      </c>
      <c r="B1294" s="15">
        <v>253</v>
      </c>
      <c r="C1294" s="15">
        <v>2</v>
      </c>
      <c r="D1294" s="15">
        <v>47320115</v>
      </c>
      <c r="E1294" s="15">
        <v>48171058</v>
      </c>
      <c r="F1294" s="15">
        <v>2304</v>
      </c>
      <c r="G1294" s="8" t="s">
        <v>12324</v>
      </c>
      <c r="H1294" s="24" t="s">
        <v>3164</v>
      </c>
      <c r="I1294" s="25" t="s">
        <v>3165</v>
      </c>
      <c r="J1294" s="8" t="s">
        <v>3166</v>
      </c>
      <c r="K1294" s="8" t="s">
        <v>10042</v>
      </c>
      <c r="L1294" s="15">
        <v>0.26227499999999998</v>
      </c>
      <c r="M1294" s="15">
        <v>0.15343399999999999</v>
      </c>
      <c r="N1294" s="15">
        <v>0.52668714396284821</v>
      </c>
    </row>
    <row r="1295" spans="1:14" x14ac:dyDescent="0.2">
      <c r="A1295" s="2" t="s">
        <v>10066</v>
      </c>
      <c r="B1295" s="15">
        <v>32</v>
      </c>
      <c r="C1295" s="15">
        <v>1</v>
      </c>
      <c r="D1295" s="15">
        <v>33066847</v>
      </c>
      <c r="E1295" s="15">
        <v>34371022</v>
      </c>
      <c r="F1295" s="15">
        <v>2537</v>
      </c>
      <c r="G1295" s="8" t="s">
        <v>12324</v>
      </c>
      <c r="H1295" s="24" t="s">
        <v>6008</v>
      </c>
      <c r="I1295" s="25" t="s">
        <v>6009</v>
      </c>
      <c r="J1295" s="8" t="s">
        <v>6010</v>
      </c>
      <c r="K1295" s="8" t="s">
        <v>10051</v>
      </c>
      <c r="L1295" s="15">
        <v>-0.318357</v>
      </c>
      <c r="M1295" s="15">
        <v>0.15357899999999999</v>
      </c>
      <c r="N1295" s="15">
        <v>0.5267771577726218</v>
      </c>
    </row>
    <row r="1296" spans="1:14" x14ac:dyDescent="0.2">
      <c r="A1296" s="2" t="s">
        <v>10068</v>
      </c>
      <c r="B1296" s="15">
        <v>232</v>
      </c>
      <c r="C1296" s="15">
        <v>2</v>
      </c>
      <c r="D1296" s="15">
        <v>29627933</v>
      </c>
      <c r="E1296" s="15">
        <v>30575619</v>
      </c>
      <c r="F1296" s="15">
        <v>2538</v>
      </c>
      <c r="G1296" s="8" t="s">
        <v>12324</v>
      </c>
      <c r="H1296" s="24" t="s">
        <v>494</v>
      </c>
      <c r="I1296" s="25">
        <v>25920</v>
      </c>
      <c r="J1296" s="8" t="s">
        <v>496</v>
      </c>
      <c r="K1296" s="8" t="s">
        <v>10040</v>
      </c>
      <c r="L1296" s="15">
        <v>0.310222</v>
      </c>
      <c r="M1296" s="15">
        <v>0.154947</v>
      </c>
      <c r="N1296" s="15">
        <v>0.52708138420245398</v>
      </c>
    </row>
    <row r="1297" spans="1:14" x14ac:dyDescent="0.2">
      <c r="A1297" s="2" t="s">
        <v>10068</v>
      </c>
      <c r="B1297" s="15">
        <v>1172</v>
      </c>
      <c r="C1297" s="15">
        <v>7</v>
      </c>
      <c r="D1297" s="15">
        <v>81533567</v>
      </c>
      <c r="E1297" s="15">
        <v>82759283</v>
      </c>
      <c r="F1297" s="15">
        <v>3241</v>
      </c>
      <c r="G1297" s="8" t="s">
        <v>12324</v>
      </c>
      <c r="H1297" s="24" t="s">
        <v>599</v>
      </c>
      <c r="I1297" s="25">
        <v>26562</v>
      </c>
      <c r="J1297" s="8" t="s">
        <v>601</v>
      </c>
      <c r="K1297" s="8" t="s">
        <v>10040</v>
      </c>
      <c r="L1297" s="15">
        <v>0.39049600000000001</v>
      </c>
      <c r="M1297" s="15">
        <v>0.15417400000000001</v>
      </c>
      <c r="N1297" s="15">
        <v>0.52708138420245398</v>
      </c>
    </row>
    <row r="1298" spans="1:14" x14ac:dyDescent="0.2">
      <c r="A1298" s="2" t="s">
        <v>10068</v>
      </c>
      <c r="B1298" s="15">
        <v>1623</v>
      </c>
      <c r="C1298" s="15">
        <v>11</v>
      </c>
      <c r="D1298" s="15">
        <v>11081300</v>
      </c>
      <c r="E1298" s="15">
        <v>11632650</v>
      </c>
      <c r="F1298" s="15">
        <v>2230</v>
      </c>
      <c r="G1298" s="8" t="s">
        <v>12324</v>
      </c>
      <c r="H1298" s="24" t="s">
        <v>599</v>
      </c>
      <c r="I1298" s="25">
        <v>26562</v>
      </c>
      <c r="J1298" s="8" t="s">
        <v>601</v>
      </c>
      <c r="K1298" s="8" t="s">
        <v>10040</v>
      </c>
      <c r="L1298" s="15">
        <v>0.31286900000000001</v>
      </c>
      <c r="M1298" s="15">
        <v>0.154304</v>
      </c>
      <c r="N1298" s="15">
        <v>0.52708138420245398</v>
      </c>
    </row>
    <row r="1299" spans="1:14" x14ac:dyDescent="0.2">
      <c r="A1299" s="2" t="s">
        <v>10068</v>
      </c>
      <c r="B1299" s="15">
        <v>657</v>
      </c>
      <c r="C1299" s="15">
        <v>4</v>
      </c>
      <c r="D1299" s="15">
        <v>60746710</v>
      </c>
      <c r="E1299" s="15">
        <v>61971161</v>
      </c>
      <c r="F1299" s="15">
        <v>4220</v>
      </c>
      <c r="G1299" s="8" t="s">
        <v>12324</v>
      </c>
      <c r="H1299" s="24" t="s">
        <v>599</v>
      </c>
      <c r="I1299" s="25">
        <v>26562</v>
      </c>
      <c r="J1299" s="8" t="s">
        <v>601</v>
      </c>
      <c r="K1299" s="8" t="s">
        <v>10040</v>
      </c>
      <c r="L1299" s="15">
        <v>-0.50977399999999995</v>
      </c>
      <c r="M1299" s="15">
        <v>0.154423</v>
      </c>
      <c r="N1299" s="15">
        <v>0.52708138420245398</v>
      </c>
    </row>
    <row r="1300" spans="1:14" x14ac:dyDescent="0.2">
      <c r="A1300" s="2" t="s">
        <v>10068</v>
      </c>
      <c r="B1300" s="15">
        <v>2243</v>
      </c>
      <c r="C1300" s="15">
        <v>18</v>
      </c>
      <c r="D1300" s="15">
        <v>4603962</v>
      </c>
      <c r="E1300" s="15">
        <v>5575812</v>
      </c>
      <c r="F1300" s="15">
        <v>3056</v>
      </c>
      <c r="G1300" s="8" t="s">
        <v>12324</v>
      </c>
      <c r="H1300" s="24" t="s">
        <v>599</v>
      </c>
      <c r="I1300" s="25">
        <v>26562</v>
      </c>
      <c r="J1300" s="8" t="s">
        <v>601</v>
      </c>
      <c r="K1300" s="8" t="s">
        <v>10040</v>
      </c>
      <c r="L1300" s="15">
        <v>0.15557699999999999</v>
      </c>
      <c r="M1300" s="15">
        <v>0.15468699999999999</v>
      </c>
      <c r="N1300" s="15">
        <v>0.52708138420245398</v>
      </c>
    </row>
    <row r="1301" spans="1:14" x14ac:dyDescent="0.2">
      <c r="A1301" s="2" t="s">
        <v>10069</v>
      </c>
      <c r="B1301" s="15">
        <v>180</v>
      </c>
      <c r="C1301" s="15">
        <v>1</v>
      </c>
      <c r="D1301" s="15">
        <v>231287765</v>
      </c>
      <c r="E1301" s="15">
        <v>232177704</v>
      </c>
      <c r="F1301" s="15">
        <v>1246</v>
      </c>
      <c r="G1301" s="8" t="s">
        <v>12324</v>
      </c>
      <c r="H1301" s="24" t="s">
        <v>662</v>
      </c>
      <c r="I1301" s="25" t="s">
        <v>663</v>
      </c>
      <c r="J1301" s="8" t="s">
        <v>664</v>
      </c>
      <c r="K1301" s="8" t="s">
        <v>10040</v>
      </c>
      <c r="L1301" s="15">
        <v>0.61898600000000004</v>
      </c>
      <c r="M1301" s="15">
        <v>0.15412100000000001</v>
      </c>
      <c r="N1301" s="15">
        <v>0.52708138420245398</v>
      </c>
    </row>
    <row r="1302" spans="1:14" x14ac:dyDescent="0.2">
      <c r="A1302" s="2" t="s">
        <v>10068</v>
      </c>
      <c r="B1302" s="15">
        <v>769</v>
      </c>
      <c r="C1302" s="15">
        <v>4</v>
      </c>
      <c r="D1302" s="15">
        <v>185483263</v>
      </c>
      <c r="E1302" s="15">
        <v>186232882</v>
      </c>
      <c r="F1302" s="15">
        <v>2654</v>
      </c>
      <c r="G1302" s="8" t="s">
        <v>12324</v>
      </c>
      <c r="H1302" s="24" t="s">
        <v>1259</v>
      </c>
      <c r="I1302" s="25">
        <v>27096</v>
      </c>
      <c r="J1302" s="8" t="s">
        <v>1261</v>
      </c>
      <c r="K1302" s="8" t="s">
        <v>10040</v>
      </c>
      <c r="L1302" s="15">
        <v>0.30392999999999998</v>
      </c>
      <c r="M1302" s="15">
        <v>0.15455099999999999</v>
      </c>
      <c r="N1302" s="15">
        <v>0.52708138420245398</v>
      </c>
    </row>
    <row r="1303" spans="1:14" x14ac:dyDescent="0.2">
      <c r="A1303" s="2" t="s">
        <v>10066</v>
      </c>
      <c r="B1303" s="15">
        <v>2416</v>
      </c>
      <c r="C1303" s="15">
        <v>20</v>
      </c>
      <c r="D1303" s="15">
        <v>52411533</v>
      </c>
      <c r="E1303" s="15">
        <v>53120334</v>
      </c>
      <c r="F1303" s="15">
        <v>2348</v>
      </c>
      <c r="G1303" s="8" t="s">
        <v>12324</v>
      </c>
      <c r="H1303" s="24" t="s">
        <v>6008</v>
      </c>
      <c r="I1303" s="25" t="s">
        <v>6009</v>
      </c>
      <c r="J1303" s="8" t="s">
        <v>6010</v>
      </c>
      <c r="K1303" s="8" t="s">
        <v>10051</v>
      </c>
      <c r="L1303" s="15">
        <v>-0.37645699999999999</v>
      </c>
      <c r="M1303" s="15">
        <v>0.154115</v>
      </c>
      <c r="N1303" s="15">
        <v>0.52708138420245398</v>
      </c>
    </row>
    <row r="1304" spans="1:14" x14ac:dyDescent="0.2">
      <c r="A1304" s="2" t="s">
        <v>10066</v>
      </c>
      <c r="B1304" s="15">
        <v>33</v>
      </c>
      <c r="C1304" s="15">
        <v>1</v>
      </c>
      <c r="D1304" s="15">
        <v>34371023</v>
      </c>
      <c r="E1304" s="15">
        <v>35201626</v>
      </c>
      <c r="F1304" s="15">
        <v>2402</v>
      </c>
      <c r="G1304" s="8" t="s">
        <v>12324</v>
      </c>
      <c r="H1304" s="24" t="s">
        <v>6008</v>
      </c>
      <c r="I1304" s="25" t="s">
        <v>6009</v>
      </c>
      <c r="J1304" s="8" t="s">
        <v>6010</v>
      </c>
      <c r="K1304" s="8" t="s">
        <v>10051</v>
      </c>
      <c r="L1304" s="15">
        <v>-0.34730299999999997</v>
      </c>
      <c r="M1304" s="15">
        <v>0.154942</v>
      </c>
      <c r="N1304" s="15">
        <v>0.52708138420245398</v>
      </c>
    </row>
    <row r="1305" spans="1:14" x14ac:dyDescent="0.2">
      <c r="A1305" s="2" t="s">
        <v>10068</v>
      </c>
      <c r="B1305" s="15">
        <v>205</v>
      </c>
      <c r="C1305" s="15">
        <v>2</v>
      </c>
      <c r="D1305" s="15">
        <v>2680064</v>
      </c>
      <c r="E1305" s="15">
        <v>3314202</v>
      </c>
      <c r="F1305" s="15">
        <v>2197</v>
      </c>
      <c r="G1305" s="8" t="s">
        <v>12324</v>
      </c>
      <c r="H1305" s="24" t="s">
        <v>6565</v>
      </c>
      <c r="I1305" s="25" t="s">
        <v>6475</v>
      </c>
      <c r="J1305" s="8" t="s">
        <v>6566</v>
      </c>
      <c r="K1305" s="8" t="s">
        <v>10054</v>
      </c>
      <c r="L1305" s="15">
        <v>0.30204300000000001</v>
      </c>
      <c r="M1305" s="15">
        <v>0.15441299999999999</v>
      </c>
      <c r="N1305" s="15">
        <v>0.52708138420245398</v>
      </c>
    </row>
    <row r="1306" spans="1:14" x14ac:dyDescent="0.2">
      <c r="A1306" s="2" t="s">
        <v>10068</v>
      </c>
      <c r="B1306" s="15">
        <v>275</v>
      </c>
      <c r="C1306" s="15">
        <v>2</v>
      </c>
      <c r="D1306" s="15">
        <v>68877775</v>
      </c>
      <c r="E1306" s="15">
        <v>70756283</v>
      </c>
      <c r="F1306" s="15">
        <v>4060</v>
      </c>
      <c r="G1306" s="8" t="s">
        <v>12324</v>
      </c>
      <c r="H1306" s="24" t="s">
        <v>6565</v>
      </c>
      <c r="I1306" s="25" t="s">
        <v>6475</v>
      </c>
      <c r="J1306" s="8" t="s">
        <v>6566</v>
      </c>
      <c r="K1306" s="8" t="s">
        <v>10054</v>
      </c>
      <c r="L1306" s="15">
        <v>-0.35128399999999999</v>
      </c>
      <c r="M1306" s="15">
        <v>0.154975</v>
      </c>
      <c r="N1306" s="15">
        <v>0.52708138420245398</v>
      </c>
    </row>
    <row r="1307" spans="1:14" x14ac:dyDescent="0.2">
      <c r="A1307" s="2" t="s">
        <v>10068</v>
      </c>
      <c r="B1307" s="15">
        <v>1463</v>
      </c>
      <c r="C1307" s="15">
        <v>9</v>
      </c>
      <c r="D1307" s="15">
        <v>117989018</v>
      </c>
      <c r="E1307" s="15">
        <v>119001227</v>
      </c>
      <c r="F1307" s="15">
        <v>2627</v>
      </c>
      <c r="G1307" s="8" t="s">
        <v>12324</v>
      </c>
      <c r="H1307" s="24" t="s">
        <v>494</v>
      </c>
      <c r="I1307" s="25">
        <v>25920</v>
      </c>
      <c r="J1307" s="8" t="s">
        <v>496</v>
      </c>
      <c r="K1307" s="8" t="s">
        <v>10040</v>
      </c>
      <c r="L1307" s="15">
        <v>0.39951199999999998</v>
      </c>
      <c r="M1307" s="15">
        <v>0.15583</v>
      </c>
      <c r="N1307" s="15">
        <v>0.5283685397553517</v>
      </c>
    </row>
    <row r="1308" spans="1:14" x14ac:dyDescent="0.2">
      <c r="A1308" s="2" t="s">
        <v>10069</v>
      </c>
      <c r="B1308" s="15">
        <v>1395</v>
      </c>
      <c r="C1308" s="15">
        <v>9</v>
      </c>
      <c r="D1308" s="15">
        <v>18754197</v>
      </c>
      <c r="E1308" s="15">
        <v>19463292</v>
      </c>
      <c r="F1308" s="15">
        <v>1599</v>
      </c>
      <c r="G1308" s="8" t="s">
        <v>12324</v>
      </c>
      <c r="H1308" s="24" t="s">
        <v>662</v>
      </c>
      <c r="I1308" s="25" t="s">
        <v>663</v>
      </c>
      <c r="J1308" s="8" t="s">
        <v>664</v>
      </c>
      <c r="K1308" s="8" t="s">
        <v>10040</v>
      </c>
      <c r="L1308" s="15">
        <v>-0.55143900000000001</v>
      </c>
      <c r="M1308" s="15">
        <v>0.15548799999999999</v>
      </c>
      <c r="N1308" s="15">
        <v>0.5283685397553517</v>
      </c>
    </row>
    <row r="1309" spans="1:14" x14ac:dyDescent="0.2">
      <c r="A1309" s="2" t="s">
        <v>10068</v>
      </c>
      <c r="B1309" s="15">
        <v>1593</v>
      </c>
      <c r="C1309" s="15">
        <v>10</v>
      </c>
      <c r="D1309" s="15">
        <v>119528731</v>
      </c>
      <c r="E1309" s="15">
        <v>120592839</v>
      </c>
      <c r="F1309" s="15">
        <v>2840</v>
      </c>
      <c r="G1309" s="8" t="s">
        <v>12324</v>
      </c>
      <c r="H1309" s="24" t="s">
        <v>6565</v>
      </c>
      <c r="I1309" s="25" t="s">
        <v>6475</v>
      </c>
      <c r="J1309" s="8" t="s">
        <v>6566</v>
      </c>
      <c r="K1309" s="8" t="s">
        <v>10054</v>
      </c>
      <c r="L1309" s="15">
        <v>-0.324826</v>
      </c>
      <c r="M1309" s="15">
        <v>0.155727</v>
      </c>
      <c r="N1309" s="15">
        <v>0.5283685397553517</v>
      </c>
    </row>
    <row r="1310" spans="1:14" x14ac:dyDescent="0.2">
      <c r="A1310" s="2" t="s">
        <v>10068</v>
      </c>
      <c r="B1310" s="15">
        <v>2026</v>
      </c>
      <c r="C1310" s="15">
        <v>14</v>
      </c>
      <c r="D1310" s="15">
        <v>99474534</v>
      </c>
      <c r="E1310" s="15">
        <v>100786189</v>
      </c>
      <c r="F1310" s="15">
        <v>3327</v>
      </c>
      <c r="G1310" s="8" t="s">
        <v>12324</v>
      </c>
      <c r="H1310" s="24" t="s">
        <v>6565</v>
      </c>
      <c r="I1310" s="25" t="s">
        <v>6475</v>
      </c>
      <c r="J1310" s="8" t="s">
        <v>6566</v>
      </c>
      <c r="K1310" s="8" t="s">
        <v>10054</v>
      </c>
      <c r="L1310" s="15">
        <v>0.34570000000000001</v>
      </c>
      <c r="M1310" s="15">
        <v>0.15581400000000001</v>
      </c>
      <c r="N1310" s="15">
        <v>0.5283685397553517</v>
      </c>
    </row>
    <row r="1311" spans="1:14" x14ac:dyDescent="0.2">
      <c r="A1311" s="2" t="s">
        <v>10068</v>
      </c>
      <c r="B1311" s="15">
        <v>2030</v>
      </c>
      <c r="C1311" s="15">
        <v>14</v>
      </c>
      <c r="D1311" s="15">
        <v>104439107</v>
      </c>
      <c r="E1311" s="15">
        <v>105091340</v>
      </c>
      <c r="F1311" s="15">
        <v>2130</v>
      </c>
      <c r="G1311" s="8" t="s">
        <v>12324</v>
      </c>
      <c r="H1311" s="24" t="s">
        <v>6565</v>
      </c>
      <c r="I1311" s="25" t="s">
        <v>6475</v>
      </c>
      <c r="J1311" s="8" t="s">
        <v>6566</v>
      </c>
      <c r="K1311" s="8" t="s">
        <v>10054</v>
      </c>
      <c r="L1311" s="15">
        <v>0.20192399999999999</v>
      </c>
      <c r="M1311" s="15">
        <v>0.15629599999999999</v>
      </c>
      <c r="N1311" s="15">
        <v>0.52954374331550802</v>
      </c>
    </row>
    <row r="1312" spans="1:14" x14ac:dyDescent="0.2">
      <c r="A1312" s="2" t="s">
        <v>10068</v>
      </c>
      <c r="B1312" s="15">
        <v>2308</v>
      </c>
      <c r="C1312" s="15">
        <v>19</v>
      </c>
      <c r="D1312" s="15">
        <v>1515921</v>
      </c>
      <c r="E1312" s="15">
        <v>2253174</v>
      </c>
      <c r="F1312" s="15">
        <v>2181</v>
      </c>
      <c r="G1312" s="8" t="s">
        <v>12324</v>
      </c>
      <c r="H1312" s="24" t="s">
        <v>494</v>
      </c>
      <c r="I1312" s="25">
        <v>25920</v>
      </c>
      <c r="J1312" s="8" t="s">
        <v>496</v>
      </c>
      <c r="K1312" s="8" t="s">
        <v>10040</v>
      </c>
      <c r="L1312" s="15">
        <v>0.23980299999999999</v>
      </c>
      <c r="M1312" s="15">
        <v>0.15648200000000001</v>
      </c>
      <c r="N1312" s="15">
        <v>0.52967296338672765</v>
      </c>
    </row>
    <row r="1313" spans="1:14" x14ac:dyDescent="0.2">
      <c r="A1313" s="2" t="s">
        <v>10068</v>
      </c>
      <c r="B1313" s="15">
        <v>2006</v>
      </c>
      <c r="C1313" s="15">
        <v>14</v>
      </c>
      <c r="D1313" s="15">
        <v>76694202</v>
      </c>
      <c r="E1313" s="15">
        <v>77425453</v>
      </c>
      <c r="F1313" s="15">
        <v>2149</v>
      </c>
      <c r="G1313" s="8" t="s">
        <v>12324</v>
      </c>
      <c r="H1313" s="24" t="s">
        <v>6565</v>
      </c>
      <c r="I1313" s="25" t="s">
        <v>6475</v>
      </c>
      <c r="J1313" s="8" t="s">
        <v>6566</v>
      </c>
      <c r="K1313" s="8" t="s">
        <v>10054</v>
      </c>
      <c r="L1313" s="15">
        <v>0.40885100000000002</v>
      </c>
      <c r="M1313" s="15">
        <v>0.15657299999999999</v>
      </c>
      <c r="N1313" s="15">
        <v>0.52967296338672765</v>
      </c>
    </row>
    <row r="1314" spans="1:14" x14ac:dyDescent="0.2">
      <c r="A1314" s="2" t="s">
        <v>10068</v>
      </c>
      <c r="B1314" s="15">
        <v>2462</v>
      </c>
      <c r="C1314" s="15">
        <v>22</v>
      </c>
      <c r="D1314" s="15">
        <v>16050213</v>
      </c>
      <c r="E1314" s="15">
        <v>17587474</v>
      </c>
      <c r="F1314" s="15">
        <v>1608</v>
      </c>
      <c r="G1314" s="8" t="s">
        <v>12324</v>
      </c>
      <c r="H1314" s="24" t="s">
        <v>494</v>
      </c>
      <c r="I1314" s="25">
        <v>25920</v>
      </c>
      <c r="J1314" s="8" t="s">
        <v>496</v>
      </c>
      <c r="K1314" s="8" t="s">
        <v>10040</v>
      </c>
      <c r="L1314" s="15">
        <v>-0.17386699999999999</v>
      </c>
      <c r="M1314" s="15">
        <v>0.15742600000000001</v>
      </c>
      <c r="N1314" s="15">
        <v>0.53093863878326997</v>
      </c>
    </row>
    <row r="1315" spans="1:14" x14ac:dyDescent="0.2">
      <c r="A1315" s="2" t="s">
        <v>10066</v>
      </c>
      <c r="B1315" s="15">
        <v>451</v>
      </c>
      <c r="C1315" s="15">
        <v>3</v>
      </c>
      <c r="D1315" s="15">
        <v>31269698</v>
      </c>
      <c r="E1315" s="15">
        <v>32378805</v>
      </c>
      <c r="F1315" s="15">
        <v>3012</v>
      </c>
      <c r="G1315" s="8" t="s">
        <v>12324</v>
      </c>
      <c r="H1315" s="24" t="s">
        <v>3164</v>
      </c>
      <c r="I1315" s="25" t="s">
        <v>3165</v>
      </c>
      <c r="J1315" s="8" t="s">
        <v>3166</v>
      </c>
      <c r="K1315" s="8" t="s">
        <v>10042</v>
      </c>
      <c r="L1315" s="15">
        <v>-0.27288099999999998</v>
      </c>
      <c r="M1315" s="15">
        <v>0.157139</v>
      </c>
      <c r="N1315" s="15">
        <v>0.53093863878326997</v>
      </c>
    </row>
    <row r="1316" spans="1:14" x14ac:dyDescent="0.2">
      <c r="A1316" s="2" t="s">
        <v>10066</v>
      </c>
      <c r="B1316" s="15">
        <v>252</v>
      </c>
      <c r="C1316" s="15">
        <v>2</v>
      </c>
      <c r="D1316" s="15">
        <v>46499327</v>
      </c>
      <c r="E1316" s="15">
        <v>47320114</v>
      </c>
      <c r="F1316" s="15">
        <v>2530</v>
      </c>
      <c r="G1316" s="8" t="s">
        <v>12324</v>
      </c>
      <c r="H1316" s="24" t="s">
        <v>6008</v>
      </c>
      <c r="I1316" s="25" t="s">
        <v>6009</v>
      </c>
      <c r="J1316" s="8" t="s">
        <v>6010</v>
      </c>
      <c r="K1316" s="8" t="s">
        <v>10051</v>
      </c>
      <c r="L1316" s="15">
        <v>0.47290700000000002</v>
      </c>
      <c r="M1316" s="15">
        <v>0.15742300000000001</v>
      </c>
      <c r="N1316" s="15">
        <v>0.53093863878326997</v>
      </c>
    </row>
    <row r="1317" spans="1:14" x14ac:dyDescent="0.2">
      <c r="A1317" s="2" t="s">
        <v>10068</v>
      </c>
      <c r="B1317" s="15">
        <v>1425</v>
      </c>
      <c r="C1317" s="15">
        <v>9</v>
      </c>
      <c r="D1317" s="15">
        <v>79451036</v>
      </c>
      <c r="E1317" s="15">
        <v>80137024</v>
      </c>
      <c r="F1317" s="15">
        <v>2261</v>
      </c>
      <c r="G1317" s="8" t="s">
        <v>12324</v>
      </c>
      <c r="H1317" s="24" t="s">
        <v>6565</v>
      </c>
      <c r="I1317" s="25" t="s">
        <v>6475</v>
      </c>
      <c r="J1317" s="8" t="s">
        <v>6566</v>
      </c>
      <c r="K1317" s="8" t="s">
        <v>10054</v>
      </c>
      <c r="L1317" s="15">
        <v>0.22466800000000001</v>
      </c>
      <c r="M1317" s="15">
        <v>0.15733900000000001</v>
      </c>
      <c r="N1317" s="15">
        <v>0.53093863878326997</v>
      </c>
    </row>
    <row r="1318" spans="1:14" x14ac:dyDescent="0.2">
      <c r="A1318" s="2" t="s">
        <v>10069</v>
      </c>
      <c r="B1318" s="15">
        <v>2353</v>
      </c>
      <c r="C1318" s="15">
        <v>19</v>
      </c>
      <c r="D1318" s="15">
        <v>46765061</v>
      </c>
      <c r="E1318" s="15">
        <v>47752727</v>
      </c>
      <c r="F1318" s="15">
        <v>1382</v>
      </c>
      <c r="G1318" s="8" t="s">
        <v>12324</v>
      </c>
      <c r="H1318" s="24" t="s">
        <v>662</v>
      </c>
      <c r="I1318" s="25" t="s">
        <v>663</v>
      </c>
      <c r="J1318" s="8" t="s">
        <v>664</v>
      </c>
      <c r="K1318" s="8" t="s">
        <v>10040</v>
      </c>
      <c r="L1318" s="15">
        <v>-0.39844600000000002</v>
      </c>
      <c r="M1318" s="15">
        <v>0.157773</v>
      </c>
      <c r="N1318" s="15">
        <v>0.53170460106382977</v>
      </c>
    </row>
    <row r="1319" spans="1:14" x14ac:dyDescent="0.2">
      <c r="A1319" s="2" t="s">
        <v>10068</v>
      </c>
      <c r="B1319" s="15">
        <v>2120</v>
      </c>
      <c r="C1319" s="15">
        <v>16</v>
      </c>
      <c r="D1319" s="15">
        <v>17343278</v>
      </c>
      <c r="E1319" s="15">
        <v>19104257</v>
      </c>
      <c r="F1319" s="15">
        <v>3349</v>
      </c>
      <c r="G1319" s="8" t="s">
        <v>12324</v>
      </c>
      <c r="H1319" s="24" t="s">
        <v>1259</v>
      </c>
      <c r="I1319" s="25">
        <v>27096</v>
      </c>
      <c r="J1319" s="8" t="s">
        <v>1261</v>
      </c>
      <c r="K1319" s="8" t="s">
        <v>10040</v>
      </c>
      <c r="L1319" s="15">
        <v>-0.20979200000000001</v>
      </c>
      <c r="M1319" s="15">
        <v>0.15809699999999999</v>
      </c>
      <c r="N1319" s="15">
        <v>0.53230759666413952</v>
      </c>
    </row>
    <row r="1320" spans="1:14" x14ac:dyDescent="0.2">
      <c r="A1320" s="2" t="s">
        <v>10068</v>
      </c>
      <c r="B1320" s="15">
        <v>1564</v>
      </c>
      <c r="C1320" s="15">
        <v>10</v>
      </c>
      <c r="D1320" s="15">
        <v>84679430</v>
      </c>
      <c r="E1320" s="15">
        <v>85463484</v>
      </c>
      <c r="F1320" s="15">
        <v>2901</v>
      </c>
      <c r="G1320" s="8" t="s">
        <v>12324</v>
      </c>
      <c r="H1320" s="24" t="s">
        <v>1259</v>
      </c>
      <c r="I1320" s="25">
        <v>27096</v>
      </c>
      <c r="J1320" s="8" t="s">
        <v>1261</v>
      </c>
      <c r="K1320" s="8" t="s">
        <v>10040</v>
      </c>
      <c r="L1320" s="15">
        <v>-0.40437899999999999</v>
      </c>
      <c r="M1320" s="15">
        <v>0.158272</v>
      </c>
      <c r="N1320" s="15">
        <v>0.53230759666413952</v>
      </c>
    </row>
    <row r="1321" spans="1:14" x14ac:dyDescent="0.2">
      <c r="A1321" s="2" t="s">
        <v>10068</v>
      </c>
      <c r="B1321" s="15">
        <v>1479</v>
      </c>
      <c r="C1321" s="15">
        <v>9</v>
      </c>
      <c r="D1321" s="15">
        <v>136042491</v>
      </c>
      <c r="E1321" s="15">
        <v>136770926</v>
      </c>
      <c r="F1321" s="15">
        <v>2770</v>
      </c>
      <c r="G1321" s="8" t="s">
        <v>12324</v>
      </c>
      <c r="H1321" s="24" t="s">
        <v>6565</v>
      </c>
      <c r="I1321" s="25" t="s">
        <v>6475</v>
      </c>
      <c r="J1321" s="8" t="s">
        <v>6566</v>
      </c>
      <c r="K1321" s="8" t="s">
        <v>10054</v>
      </c>
      <c r="L1321" s="15">
        <v>-0.31516899999999998</v>
      </c>
      <c r="M1321" s="15">
        <v>0.15831200000000001</v>
      </c>
      <c r="N1321" s="15">
        <v>0.53230759666413952</v>
      </c>
    </row>
    <row r="1322" spans="1:14" x14ac:dyDescent="0.2">
      <c r="A1322" s="2" t="s">
        <v>10068</v>
      </c>
      <c r="B1322" s="15">
        <v>418</v>
      </c>
      <c r="C1322" s="15">
        <v>2</v>
      </c>
      <c r="D1322" s="15">
        <v>240325601</v>
      </c>
      <c r="E1322" s="15">
        <v>241113279</v>
      </c>
      <c r="F1322" s="15">
        <v>2937</v>
      </c>
      <c r="G1322" s="8" t="s">
        <v>12324</v>
      </c>
      <c r="H1322" s="24" t="s">
        <v>494</v>
      </c>
      <c r="I1322" s="25">
        <v>25920</v>
      </c>
      <c r="J1322" s="8" t="s">
        <v>496</v>
      </c>
      <c r="K1322" s="8" t="s">
        <v>10040</v>
      </c>
      <c r="L1322" s="15">
        <v>0.197217</v>
      </c>
      <c r="M1322" s="15">
        <v>0.15867600000000001</v>
      </c>
      <c r="N1322" s="15">
        <v>0.53312731818181824</v>
      </c>
    </row>
    <row r="1323" spans="1:14" x14ac:dyDescent="0.2">
      <c r="A1323" s="2" t="s">
        <v>10068</v>
      </c>
      <c r="B1323" s="15">
        <v>1868</v>
      </c>
      <c r="C1323" s="15">
        <v>13</v>
      </c>
      <c r="D1323" s="15">
        <v>23729050</v>
      </c>
      <c r="E1323" s="15">
        <v>24818333</v>
      </c>
      <c r="F1323" s="15">
        <v>4075</v>
      </c>
      <c r="G1323" s="8" t="s">
        <v>12324</v>
      </c>
      <c r="H1323" s="24" t="s">
        <v>1259</v>
      </c>
      <c r="I1323" s="25">
        <v>27096</v>
      </c>
      <c r="J1323" s="8" t="s">
        <v>1261</v>
      </c>
      <c r="K1323" s="8" t="s">
        <v>10040</v>
      </c>
      <c r="L1323" s="15">
        <v>0.24010899999999999</v>
      </c>
      <c r="M1323" s="15">
        <v>0.15900400000000001</v>
      </c>
      <c r="N1323" s="15">
        <v>0.53382493565480704</v>
      </c>
    </row>
    <row r="1324" spans="1:14" x14ac:dyDescent="0.2">
      <c r="A1324" s="2" t="s">
        <v>10068</v>
      </c>
      <c r="B1324" s="15">
        <v>2021</v>
      </c>
      <c r="C1324" s="15">
        <v>14</v>
      </c>
      <c r="D1324" s="15">
        <v>94892241</v>
      </c>
      <c r="E1324" s="15">
        <v>95946792</v>
      </c>
      <c r="F1324" s="15">
        <v>3907</v>
      </c>
      <c r="G1324" s="8" t="s">
        <v>12324</v>
      </c>
      <c r="H1324" s="24" t="s">
        <v>1259</v>
      </c>
      <c r="I1324" s="25">
        <v>27096</v>
      </c>
      <c r="J1324" s="8" t="s">
        <v>1261</v>
      </c>
      <c r="K1324" s="8" t="s">
        <v>10040</v>
      </c>
      <c r="L1324" s="15">
        <v>-0.33263300000000001</v>
      </c>
      <c r="M1324" s="15">
        <v>0.159637</v>
      </c>
      <c r="N1324" s="15">
        <v>0.53554470121028741</v>
      </c>
    </row>
    <row r="1325" spans="1:14" x14ac:dyDescent="0.2">
      <c r="A1325" s="2" t="s">
        <v>10068</v>
      </c>
      <c r="B1325" s="15">
        <v>880</v>
      </c>
      <c r="C1325" s="15">
        <v>5</v>
      </c>
      <c r="D1325" s="15">
        <v>123191942</v>
      </c>
      <c r="E1325" s="15">
        <v>124109485</v>
      </c>
      <c r="F1325" s="15">
        <v>2328</v>
      </c>
      <c r="G1325" s="8" t="s">
        <v>12324</v>
      </c>
      <c r="H1325" s="24" t="s">
        <v>6565</v>
      </c>
      <c r="I1325" s="25" t="s">
        <v>6475</v>
      </c>
      <c r="J1325" s="8" t="s">
        <v>6566</v>
      </c>
      <c r="K1325" s="8" t="s">
        <v>10054</v>
      </c>
      <c r="L1325" s="15">
        <v>-0.42145899999999997</v>
      </c>
      <c r="M1325" s="15">
        <v>0.160052</v>
      </c>
      <c r="N1325" s="15">
        <v>0.53653108087679513</v>
      </c>
    </row>
    <row r="1326" spans="1:14" x14ac:dyDescent="0.2">
      <c r="A1326" s="2" t="s">
        <v>10069</v>
      </c>
      <c r="B1326" s="15">
        <v>1596</v>
      </c>
      <c r="C1326" s="15">
        <v>10</v>
      </c>
      <c r="D1326" s="15">
        <v>122803507</v>
      </c>
      <c r="E1326" s="15">
        <v>123856184</v>
      </c>
      <c r="F1326" s="15">
        <v>1975</v>
      </c>
      <c r="G1326" s="8" t="s">
        <v>12324</v>
      </c>
      <c r="H1326" s="24" t="s">
        <v>662</v>
      </c>
      <c r="I1326" s="25" t="s">
        <v>663</v>
      </c>
      <c r="J1326" s="8" t="s">
        <v>664</v>
      </c>
      <c r="K1326" s="8" t="s">
        <v>10040</v>
      </c>
      <c r="L1326" s="15">
        <v>0.31601600000000002</v>
      </c>
      <c r="M1326" s="15">
        <v>0.160663</v>
      </c>
      <c r="N1326" s="15">
        <v>0.53716639788997744</v>
      </c>
    </row>
    <row r="1327" spans="1:14" x14ac:dyDescent="0.2">
      <c r="A1327" s="2" t="s">
        <v>10066</v>
      </c>
      <c r="B1327" s="15">
        <v>750</v>
      </c>
      <c r="C1327" s="15">
        <v>4</v>
      </c>
      <c r="D1327" s="15">
        <v>167643769</v>
      </c>
      <c r="E1327" s="15">
        <v>168623790</v>
      </c>
      <c r="F1327" s="15">
        <v>2986</v>
      </c>
      <c r="G1327" s="8" t="s">
        <v>12324</v>
      </c>
      <c r="H1327" s="24" t="s">
        <v>3164</v>
      </c>
      <c r="I1327" s="25" t="s">
        <v>3165</v>
      </c>
      <c r="J1327" s="8" t="s">
        <v>3166</v>
      </c>
      <c r="K1327" s="8" t="s">
        <v>10042</v>
      </c>
      <c r="L1327" s="15">
        <v>0.241812</v>
      </c>
      <c r="M1327" s="15">
        <v>0.16064500000000001</v>
      </c>
      <c r="N1327" s="15">
        <v>0.53716639788997744</v>
      </c>
    </row>
    <row r="1328" spans="1:14" x14ac:dyDescent="0.2">
      <c r="A1328" s="2" t="s">
        <v>10066</v>
      </c>
      <c r="B1328" s="15">
        <v>167</v>
      </c>
      <c r="C1328" s="15">
        <v>1</v>
      </c>
      <c r="D1328" s="15">
        <v>216658127</v>
      </c>
      <c r="E1328" s="15">
        <v>217352165</v>
      </c>
      <c r="F1328" s="15">
        <v>2072</v>
      </c>
      <c r="G1328" s="8" t="s">
        <v>12324</v>
      </c>
      <c r="H1328" s="24" t="s">
        <v>3164</v>
      </c>
      <c r="I1328" s="25" t="s">
        <v>3165</v>
      </c>
      <c r="J1328" s="8" t="s">
        <v>3166</v>
      </c>
      <c r="K1328" s="8" t="s">
        <v>10042</v>
      </c>
      <c r="L1328" s="15">
        <v>0.35299799999999998</v>
      </c>
      <c r="M1328" s="15">
        <v>0.16072600000000001</v>
      </c>
      <c r="N1328" s="15">
        <v>0.53716639788997744</v>
      </c>
    </row>
    <row r="1329" spans="1:14" x14ac:dyDescent="0.2">
      <c r="A1329" s="2" t="s">
        <v>10068</v>
      </c>
      <c r="B1329" s="15">
        <v>1913</v>
      </c>
      <c r="C1329" s="15">
        <v>13</v>
      </c>
      <c r="D1329" s="15">
        <v>73114510</v>
      </c>
      <c r="E1329" s="15">
        <v>74437635</v>
      </c>
      <c r="F1329" s="15">
        <v>3725</v>
      </c>
      <c r="G1329" s="8" t="s">
        <v>12324</v>
      </c>
      <c r="H1329" s="24" t="s">
        <v>6565</v>
      </c>
      <c r="I1329" s="25" t="s">
        <v>6475</v>
      </c>
      <c r="J1329" s="8" t="s">
        <v>6566</v>
      </c>
      <c r="K1329" s="8" t="s">
        <v>10054</v>
      </c>
      <c r="L1329" s="15">
        <v>0.322077</v>
      </c>
      <c r="M1329" s="15">
        <v>0.160417</v>
      </c>
      <c r="N1329" s="15">
        <v>0.53716639788997744</v>
      </c>
    </row>
    <row r="1330" spans="1:14" x14ac:dyDescent="0.2">
      <c r="A1330" s="2" t="s">
        <v>10068</v>
      </c>
      <c r="B1330" s="15">
        <v>1396</v>
      </c>
      <c r="C1330" s="15">
        <v>9</v>
      </c>
      <c r="D1330" s="15">
        <v>19463293</v>
      </c>
      <c r="E1330" s="15">
        <v>20483880</v>
      </c>
      <c r="F1330" s="15">
        <v>2661</v>
      </c>
      <c r="G1330" s="8" t="s">
        <v>12324</v>
      </c>
      <c r="H1330" s="24" t="s">
        <v>599</v>
      </c>
      <c r="I1330" s="25">
        <v>26562</v>
      </c>
      <c r="J1330" s="8" t="s">
        <v>601</v>
      </c>
      <c r="K1330" s="8" t="s">
        <v>10040</v>
      </c>
      <c r="L1330" s="15">
        <v>0.34409299999999998</v>
      </c>
      <c r="M1330" s="15">
        <v>0.160909</v>
      </c>
      <c r="N1330" s="15">
        <v>0.53737305346385544</v>
      </c>
    </row>
    <row r="1331" spans="1:14" x14ac:dyDescent="0.2">
      <c r="A1331" s="2" t="s">
        <v>10068</v>
      </c>
      <c r="B1331" s="15">
        <v>1219</v>
      </c>
      <c r="C1331" s="15">
        <v>7</v>
      </c>
      <c r="D1331" s="15">
        <v>145415776</v>
      </c>
      <c r="E1331" s="15">
        <v>146574327</v>
      </c>
      <c r="F1331" s="15">
        <v>3168</v>
      </c>
      <c r="G1331" s="8" t="s">
        <v>12324</v>
      </c>
      <c r="H1331" s="24" t="s">
        <v>599</v>
      </c>
      <c r="I1331" s="25">
        <v>26562</v>
      </c>
      <c r="J1331" s="8" t="s">
        <v>601</v>
      </c>
      <c r="K1331" s="8" t="s">
        <v>10040</v>
      </c>
      <c r="L1331" s="15">
        <v>-0.372695</v>
      </c>
      <c r="M1331" s="15">
        <v>0.16103600000000001</v>
      </c>
      <c r="N1331" s="15">
        <v>0.53739252069224985</v>
      </c>
    </row>
    <row r="1332" spans="1:14" x14ac:dyDescent="0.2">
      <c r="A1332" s="2" t="s">
        <v>10066</v>
      </c>
      <c r="B1332" s="15">
        <v>1949</v>
      </c>
      <c r="C1332" s="15">
        <v>13</v>
      </c>
      <c r="D1332" s="15">
        <v>110995433</v>
      </c>
      <c r="E1332" s="15">
        <v>111621244</v>
      </c>
      <c r="F1332" s="15">
        <v>2248</v>
      </c>
      <c r="G1332" s="8" t="s">
        <v>12324</v>
      </c>
      <c r="H1332" s="24" t="s">
        <v>3164</v>
      </c>
      <c r="I1332" s="25" t="s">
        <v>3165</v>
      </c>
      <c r="J1332" s="8" t="s">
        <v>3166</v>
      </c>
      <c r="K1332" s="8" t="s">
        <v>10042</v>
      </c>
      <c r="L1332" s="15">
        <v>-0.46036300000000002</v>
      </c>
      <c r="M1332" s="15">
        <v>0.161274</v>
      </c>
      <c r="N1332" s="15">
        <v>0.53778209774436092</v>
      </c>
    </row>
    <row r="1333" spans="1:14" x14ac:dyDescent="0.2">
      <c r="A1333" s="2" t="s">
        <v>10068</v>
      </c>
      <c r="B1333" s="15">
        <v>489</v>
      </c>
      <c r="C1333" s="15">
        <v>3</v>
      </c>
      <c r="D1333" s="15">
        <v>77507833</v>
      </c>
      <c r="E1333" s="15">
        <v>79023360</v>
      </c>
      <c r="F1333" s="15">
        <v>3255</v>
      </c>
      <c r="G1333" s="8" t="s">
        <v>12324</v>
      </c>
      <c r="H1333" s="24" t="s">
        <v>6565</v>
      </c>
      <c r="I1333" s="25" t="s">
        <v>6475</v>
      </c>
      <c r="J1333" s="8" t="s">
        <v>6566</v>
      </c>
      <c r="K1333" s="8" t="s">
        <v>10054</v>
      </c>
      <c r="L1333" s="15">
        <v>0.53637199999999996</v>
      </c>
      <c r="M1333" s="15">
        <v>0.16180700000000001</v>
      </c>
      <c r="N1333" s="15">
        <v>0.53915405334335087</v>
      </c>
    </row>
    <row r="1334" spans="1:14" x14ac:dyDescent="0.2">
      <c r="A1334" s="2" t="s">
        <v>10069</v>
      </c>
      <c r="B1334" s="15">
        <v>445</v>
      </c>
      <c r="C1334" s="15">
        <v>3</v>
      </c>
      <c r="D1334" s="15">
        <v>24270190</v>
      </c>
      <c r="E1334" s="15">
        <v>25516193</v>
      </c>
      <c r="F1334" s="15">
        <v>2653</v>
      </c>
      <c r="G1334" s="8" t="s">
        <v>12324</v>
      </c>
      <c r="H1334" s="24" t="s">
        <v>662</v>
      </c>
      <c r="I1334" s="25" t="s">
        <v>663</v>
      </c>
      <c r="J1334" s="8" t="s">
        <v>664</v>
      </c>
      <c r="K1334" s="8" t="s">
        <v>10040</v>
      </c>
      <c r="L1334" s="15">
        <v>0.42552699999999999</v>
      </c>
      <c r="M1334" s="15">
        <v>0.161965</v>
      </c>
      <c r="N1334" s="15">
        <v>0.53927535660660664</v>
      </c>
    </row>
    <row r="1335" spans="1:14" x14ac:dyDescent="0.2">
      <c r="A1335" s="2" t="s">
        <v>10066</v>
      </c>
      <c r="B1335" s="15">
        <v>1012</v>
      </c>
      <c r="C1335" s="15">
        <v>6</v>
      </c>
      <c r="D1335" s="15">
        <v>79859904</v>
      </c>
      <c r="E1335" s="15">
        <v>80693927</v>
      </c>
      <c r="F1335" s="15">
        <v>2326</v>
      </c>
      <c r="G1335" s="8" t="s">
        <v>12324</v>
      </c>
      <c r="H1335" s="24" t="s">
        <v>3164</v>
      </c>
      <c r="I1335" s="25" t="s">
        <v>3165</v>
      </c>
      <c r="J1335" s="8" t="s">
        <v>3166</v>
      </c>
      <c r="K1335" s="8" t="s">
        <v>10042</v>
      </c>
      <c r="L1335" s="15">
        <v>0.35850300000000002</v>
      </c>
      <c r="M1335" s="15">
        <v>0.16211400000000001</v>
      </c>
      <c r="N1335" s="15">
        <v>0.53936653413353342</v>
      </c>
    </row>
    <row r="1336" spans="1:14" x14ac:dyDescent="0.2">
      <c r="A1336" s="2" t="s">
        <v>10068</v>
      </c>
      <c r="B1336" s="15">
        <v>1730</v>
      </c>
      <c r="C1336" s="15">
        <v>11</v>
      </c>
      <c r="D1336" s="15">
        <v>125266685</v>
      </c>
      <c r="E1336" s="15">
        <v>126304240</v>
      </c>
      <c r="F1336" s="15">
        <v>2906</v>
      </c>
      <c r="G1336" s="8" t="s">
        <v>12324</v>
      </c>
      <c r="H1336" s="24" t="s">
        <v>494</v>
      </c>
      <c r="I1336" s="25">
        <v>25920</v>
      </c>
      <c r="J1336" s="8" t="s">
        <v>496</v>
      </c>
      <c r="K1336" s="8" t="s">
        <v>10040</v>
      </c>
      <c r="L1336" s="15">
        <v>0.49291499999999999</v>
      </c>
      <c r="M1336" s="15">
        <v>0.162412</v>
      </c>
      <c r="N1336" s="15">
        <v>0.53975310022438294</v>
      </c>
    </row>
    <row r="1337" spans="1:14" x14ac:dyDescent="0.2">
      <c r="A1337" s="2" t="s">
        <v>10066</v>
      </c>
      <c r="B1337" s="15">
        <v>1210</v>
      </c>
      <c r="C1337" s="15">
        <v>7</v>
      </c>
      <c r="D1337" s="15">
        <v>131856482</v>
      </c>
      <c r="E1337" s="15">
        <v>133807216</v>
      </c>
      <c r="F1337" s="15">
        <v>3766</v>
      </c>
      <c r="G1337" s="8" t="s">
        <v>12324</v>
      </c>
      <c r="H1337" s="24" t="s">
        <v>3164</v>
      </c>
      <c r="I1337" s="25" t="s">
        <v>3165</v>
      </c>
      <c r="J1337" s="8" t="s">
        <v>3166</v>
      </c>
      <c r="K1337" s="8" t="s">
        <v>10042</v>
      </c>
      <c r="L1337" s="15">
        <v>-0.30916900000000003</v>
      </c>
      <c r="M1337" s="15">
        <v>0.162631</v>
      </c>
      <c r="N1337" s="15">
        <v>0.53975310022438294</v>
      </c>
    </row>
    <row r="1338" spans="1:14" x14ac:dyDescent="0.2">
      <c r="A1338" s="2" t="s">
        <v>10066</v>
      </c>
      <c r="B1338" s="15">
        <v>807</v>
      </c>
      <c r="C1338" s="15">
        <v>5</v>
      </c>
      <c r="D1338" s="15">
        <v>35157147</v>
      </c>
      <c r="E1338" s="15">
        <v>36431967</v>
      </c>
      <c r="F1338" s="15">
        <v>3364</v>
      </c>
      <c r="G1338" s="8" t="s">
        <v>12324</v>
      </c>
      <c r="H1338" s="24" t="s">
        <v>3164</v>
      </c>
      <c r="I1338" s="25" t="s">
        <v>3165</v>
      </c>
      <c r="J1338" s="8" t="s">
        <v>3166</v>
      </c>
      <c r="K1338" s="8" t="s">
        <v>10042</v>
      </c>
      <c r="L1338" s="15">
        <v>-0.34407900000000002</v>
      </c>
      <c r="M1338" s="15">
        <v>0.162717</v>
      </c>
      <c r="N1338" s="15">
        <v>0.53975310022438294</v>
      </c>
    </row>
    <row r="1339" spans="1:14" x14ac:dyDescent="0.2">
      <c r="A1339" s="2" t="s">
        <v>10066</v>
      </c>
      <c r="B1339" s="15">
        <v>494</v>
      </c>
      <c r="C1339" s="15">
        <v>3</v>
      </c>
      <c r="D1339" s="15">
        <v>83529395</v>
      </c>
      <c r="E1339" s="15">
        <v>84698480</v>
      </c>
      <c r="F1339" s="15">
        <v>2975</v>
      </c>
      <c r="G1339" s="8" t="s">
        <v>12324</v>
      </c>
      <c r="H1339" s="24" t="s">
        <v>6008</v>
      </c>
      <c r="I1339" s="25" t="s">
        <v>6009</v>
      </c>
      <c r="J1339" s="8" t="s">
        <v>6010</v>
      </c>
      <c r="K1339" s="8" t="s">
        <v>10051</v>
      </c>
      <c r="L1339" s="15">
        <v>-0.31698399999999999</v>
      </c>
      <c r="M1339" s="15">
        <v>0.16262799999999999</v>
      </c>
      <c r="N1339" s="15">
        <v>0.53975310022438294</v>
      </c>
    </row>
    <row r="1340" spans="1:14" x14ac:dyDescent="0.2">
      <c r="A1340" s="2" t="s">
        <v>10068</v>
      </c>
      <c r="B1340" s="15">
        <v>469</v>
      </c>
      <c r="C1340" s="15">
        <v>3</v>
      </c>
      <c r="D1340" s="15">
        <v>55616626</v>
      </c>
      <c r="E1340" s="15">
        <v>56954878</v>
      </c>
      <c r="F1340" s="15">
        <v>3683</v>
      </c>
      <c r="G1340" s="8" t="s">
        <v>12324</v>
      </c>
      <c r="H1340" s="24" t="s">
        <v>1259</v>
      </c>
      <c r="I1340" s="25">
        <v>27096</v>
      </c>
      <c r="J1340" s="8" t="s">
        <v>1261</v>
      </c>
      <c r="K1340" s="8" t="s">
        <v>10040</v>
      </c>
      <c r="L1340" s="15">
        <v>0.55903099999999994</v>
      </c>
      <c r="M1340" s="15">
        <v>0.16306399999999999</v>
      </c>
      <c r="N1340" s="15">
        <v>0.54009622106049282</v>
      </c>
    </row>
    <row r="1341" spans="1:14" x14ac:dyDescent="0.2">
      <c r="A1341" s="2" t="s">
        <v>10066</v>
      </c>
      <c r="B1341" s="15">
        <v>1250</v>
      </c>
      <c r="C1341" s="15">
        <v>8</v>
      </c>
      <c r="D1341" s="15">
        <v>10478852</v>
      </c>
      <c r="E1341" s="15">
        <v>11466761</v>
      </c>
      <c r="F1341" s="15">
        <v>3178</v>
      </c>
      <c r="G1341" s="8" t="s">
        <v>12324</v>
      </c>
      <c r="H1341" s="24" t="s">
        <v>3164</v>
      </c>
      <c r="I1341" s="25" t="s">
        <v>3165</v>
      </c>
      <c r="J1341" s="8" t="s">
        <v>3166</v>
      </c>
      <c r="K1341" s="8" t="s">
        <v>10042</v>
      </c>
      <c r="L1341" s="15">
        <v>0.49224299999999999</v>
      </c>
      <c r="M1341" s="15">
        <v>0.16297</v>
      </c>
      <c r="N1341" s="15">
        <v>0.54009622106049282</v>
      </c>
    </row>
    <row r="1342" spans="1:14" x14ac:dyDescent="0.2">
      <c r="A1342" s="2" t="s">
        <v>10066</v>
      </c>
      <c r="B1342" s="15">
        <v>1714</v>
      </c>
      <c r="C1342" s="15">
        <v>11</v>
      </c>
      <c r="D1342" s="15">
        <v>105932283</v>
      </c>
      <c r="E1342" s="15">
        <v>107054024</v>
      </c>
      <c r="F1342" s="15">
        <v>2709</v>
      </c>
      <c r="G1342" s="8" t="s">
        <v>12324</v>
      </c>
      <c r="H1342" s="24" t="s">
        <v>6008</v>
      </c>
      <c r="I1342" s="25" t="s">
        <v>6009</v>
      </c>
      <c r="J1342" s="8" t="s">
        <v>6010</v>
      </c>
      <c r="K1342" s="8" t="s">
        <v>10051</v>
      </c>
      <c r="L1342" s="15">
        <v>-0.39293</v>
      </c>
      <c r="M1342" s="15">
        <v>0.16337499999999999</v>
      </c>
      <c r="N1342" s="15">
        <v>0.5407224813432836</v>
      </c>
    </row>
    <row r="1343" spans="1:14" x14ac:dyDescent="0.2">
      <c r="A1343" s="2" t="s">
        <v>10068</v>
      </c>
      <c r="B1343" s="15">
        <v>1717</v>
      </c>
      <c r="C1343" s="15">
        <v>11</v>
      </c>
      <c r="D1343" s="15">
        <v>109891838</v>
      </c>
      <c r="E1343" s="15">
        <v>111117780</v>
      </c>
      <c r="F1343" s="15">
        <v>3005</v>
      </c>
      <c r="G1343" s="8" t="s">
        <v>12324</v>
      </c>
      <c r="H1343" s="24" t="s">
        <v>6565</v>
      </c>
      <c r="I1343" s="25" t="s">
        <v>6475</v>
      </c>
      <c r="J1343" s="8" t="s">
        <v>6566</v>
      </c>
      <c r="K1343" s="8" t="s">
        <v>10054</v>
      </c>
      <c r="L1343" s="15">
        <v>0.51728700000000005</v>
      </c>
      <c r="M1343" s="15">
        <v>0.163636</v>
      </c>
      <c r="N1343" s="15">
        <v>0.54118244593586873</v>
      </c>
    </row>
    <row r="1344" spans="1:14" x14ac:dyDescent="0.2">
      <c r="A1344" s="2" t="s">
        <v>10068</v>
      </c>
      <c r="B1344" s="15">
        <v>411</v>
      </c>
      <c r="C1344" s="15">
        <v>2</v>
      </c>
      <c r="D1344" s="15">
        <v>234945578</v>
      </c>
      <c r="E1344" s="15">
        <v>235625789</v>
      </c>
      <c r="F1344" s="15">
        <v>2575</v>
      </c>
      <c r="G1344" s="8" t="s">
        <v>12324</v>
      </c>
      <c r="H1344" s="24" t="s">
        <v>6565</v>
      </c>
      <c r="I1344" s="25" t="s">
        <v>6475</v>
      </c>
      <c r="J1344" s="8" t="s">
        <v>6566</v>
      </c>
      <c r="K1344" s="8" t="s">
        <v>10054</v>
      </c>
      <c r="L1344" s="15">
        <v>-0.37148100000000001</v>
      </c>
      <c r="M1344" s="15">
        <v>0.16381200000000001</v>
      </c>
      <c r="N1344" s="15">
        <v>0.54136081967213123</v>
      </c>
    </row>
    <row r="1345" spans="1:14" x14ac:dyDescent="0.2">
      <c r="A1345" s="2" t="s">
        <v>10066</v>
      </c>
      <c r="B1345" s="15">
        <v>137</v>
      </c>
      <c r="C1345" s="15">
        <v>1</v>
      </c>
      <c r="D1345" s="15">
        <v>181324206</v>
      </c>
      <c r="E1345" s="15">
        <v>182420540</v>
      </c>
      <c r="F1345" s="15">
        <v>2690</v>
      </c>
      <c r="G1345" s="8" t="s">
        <v>12324</v>
      </c>
      <c r="H1345" s="24" t="s">
        <v>6008</v>
      </c>
      <c r="I1345" s="25" t="s">
        <v>6009</v>
      </c>
      <c r="J1345" s="8" t="s">
        <v>6010</v>
      </c>
      <c r="K1345" s="8" t="s">
        <v>10051</v>
      </c>
      <c r="L1345" s="15">
        <v>-0.53827000000000003</v>
      </c>
      <c r="M1345" s="15">
        <v>0.164022</v>
      </c>
      <c r="N1345" s="15">
        <v>0.54165120625465368</v>
      </c>
    </row>
    <row r="1346" spans="1:14" x14ac:dyDescent="0.2">
      <c r="A1346" s="2" t="s">
        <v>10066</v>
      </c>
      <c r="B1346" s="15">
        <v>475</v>
      </c>
      <c r="C1346" s="15">
        <v>3</v>
      </c>
      <c r="D1346" s="15">
        <v>62609819</v>
      </c>
      <c r="E1346" s="15">
        <v>63670803</v>
      </c>
      <c r="F1346" s="15">
        <v>3557</v>
      </c>
      <c r="G1346" s="8" t="s">
        <v>12324</v>
      </c>
      <c r="H1346" s="24" t="s">
        <v>3164</v>
      </c>
      <c r="I1346" s="25" t="s">
        <v>3165</v>
      </c>
      <c r="J1346" s="8" t="s">
        <v>3166</v>
      </c>
      <c r="K1346" s="8" t="s">
        <v>10042</v>
      </c>
      <c r="L1346" s="15">
        <v>-0.259131</v>
      </c>
      <c r="M1346" s="15">
        <v>0.16445899999999999</v>
      </c>
      <c r="N1346" s="15">
        <v>0.54170874536005942</v>
      </c>
    </row>
    <row r="1347" spans="1:14" x14ac:dyDescent="0.2">
      <c r="A1347" s="2" t="s">
        <v>10066</v>
      </c>
      <c r="B1347" s="15">
        <v>1824</v>
      </c>
      <c r="C1347" s="15">
        <v>12</v>
      </c>
      <c r="D1347" s="15">
        <v>93487548</v>
      </c>
      <c r="E1347" s="15">
        <v>94385884</v>
      </c>
      <c r="F1347" s="15">
        <v>2238</v>
      </c>
      <c r="G1347" s="8" t="s">
        <v>12324</v>
      </c>
      <c r="H1347" s="24" t="s">
        <v>3164</v>
      </c>
      <c r="I1347" s="25" t="s">
        <v>3165</v>
      </c>
      <c r="J1347" s="8" t="s">
        <v>3166</v>
      </c>
      <c r="K1347" s="8" t="s">
        <v>10042</v>
      </c>
      <c r="L1347" s="15">
        <v>-0.43276300000000001</v>
      </c>
      <c r="M1347" s="15">
        <v>0.16452800000000001</v>
      </c>
      <c r="N1347" s="15">
        <v>0.54170874536005942</v>
      </c>
    </row>
    <row r="1348" spans="1:14" x14ac:dyDescent="0.2">
      <c r="A1348" s="2" t="s">
        <v>10068</v>
      </c>
      <c r="B1348" s="15">
        <v>2310</v>
      </c>
      <c r="C1348" s="15">
        <v>19</v>
      </c>
      <c r="D1348" s="15">
        <v>3085447</v>
      </c>
      <c r="E1348" s="15">
        <v>3893909</v>
      </c>
      <c r="F1348" s="15">
        <v>2669</v>
      </c>
      <c r="G1348" s="8" t="s">
        <v>12324</v>
      </c>
      <c r="H1348" s="24" t="s">
        <v>6565</v>
      </c>
      <c r="I1348" s="25" t="s">
        <v>6475</v>
      </c>
      <c r="J1348" s="8" t="s">
        <v>6566</v>
      </c>
      <c r="K1348" s="8" t="s">
        <v>10054</v>
      </c>
      <c r="L1348" s="15">
        <v>-0.16730700000000001</v>
      </c>
      <c r="M1348" s="15">
        <v>0.16439200000000001</v>
      </c>
      <c r="N1348" s="15">
        <v>0.54170874536005942</v>
      </c>
    </row>
    <row r="1349" spans="1:14" x14ac:dyDescent="0.2">
      <c r="A1349" s="2" t="s">
        <v>10068</v>
      </c>
      <c r="B1349" s="15">
        <v>711</v>
      </c>
      <c r="C1349" s="15">
        <v>4</v>
      </c>
      <c r="D1349" s="15">
        <v>122655435</v>
      </c>
      <c r="E1349" s="15">
        <v>123768693</v>
      </c>
      <c r="F1349" s="15">
        <v>2306</v>
      </c>
      <c r="G1349" s="8" t="s">
        <v>12324</v>
      </c>
      <c r="H1349" s="24" t="s">
        <v>6565</v>
      </c>
      <c r="I1349" s="25" t="s">
        <v>6475</v>
      </c>
      <c r="J1349" s="8" t="s">
        <v>6566</v>
      </c>
      <c r="K1349" s="8" t="s">
        <v>10054</v>
      </c>
      <c r="L1349" s="15">
        <v>-0.35122999999999999</v>
      </c>
      <c r="M1349" s="15">
        <v>0.164467</v>
      </c>
      <c r="N1349" s="15">
        <v>0.54170874536005942</v>
      </c>
    </row>
    <row r="1350" spans="1:14" x14ac:dyDescent="0.2">
      <c r="A1350" s="2" t="s">
        <v>10068</v>
      </c>
      <c r="B1350" s="15">
        <v>266</v>
      </c>
      <c r="C1350" s="15">
        <v>2</v>
      </c>
      <c r="D1350" s="15">
        <v>57952946</v>
      </c>
      <c r="E1350" s="15">
        <v>59251996</v>
      </c>
      <c r="F1350" s="15">
        <v>2322</v>
      </c>
      <c r="G1350" s="8" t="s">
        <v>12324</v>
      </c>
      <c r="H1350" s="24" t="s">
        <v>494</v>
      </c>
      <c r="I1350" s="25">
        <v>25920</v>
      </c>
      <c r="J1350" s="8" t="s">
        <v>496</v>
      </c>
      <c r="K1350" s="8" t="s">
        <v>10040</v>
      </c>
      <c r="L1350" s="15">
        <v>-0.379994</v>
      </c>
      <c r="M1350" s="15">
        <v>0.165494</v>
      </c>
      <c r="N1350" s="15">
        <v>0.54255051698670609</v>
      </c>
    </row>
    <row r="1351" spans="1:14" x14ac:dyDescent="0.2">
      <c r="A1351" s="2" t="s">
        <v>10068</v>
      </c>
      <c r="B1351" s="15">
        <v>2415</v>
      </c>
      <c r="C1351" s="15">
        <v>20</v>
      </c>
      <c r="D1351" s="15">
        <v>51533751</v>
      </c>
      <c r="E1351" s="15">
        <v>52411532</v>
      </c>
      <c r="F1351" s="15">
        <v>2241</v>
      </c>
      <c r="G1351" s="8" t="s">
        <v>12324</v>
      </c>
      <c r="H1351" s="24" t="s">
        <v>599</v>
      </c>
      <c r="I1351" s="25">
        <v>26562</v>
      </c>
      <c r="J1351" s="8" t="s">
        <v>601</v>
      </c>
      <c r="K1351" s="8" t="s">
        <v>10040</v>
      </c>
      <c r="L1351" s="15">
        <v>0.51397499999999996</v>
      </c>
      <c r="M1351" s="15">
        <v>0.165491</v>
      </c>
      <c r="N1351" s="15">
        <v>0.54255051698670609</v>
      </c>
    </row>
    <row r="1352" spans="1:14" x14ac:dyDescent="0.2">
      <c r="A1352" s="2" t="s">
        <v>10068</v>
      </c>
      <c r="B1352" s="15">
        <v>1601</v>
      </c>
      <c r="C1352" s="15">
        <v>10</v>
      </c>
      <c r="D1352" s="15">
        <v>127997709</v>
      </c>
      <c r="E1352" s="15">
        <v>129134738</v>
      </c>
      <c r="F1352" s="15">
        <v>2774</v>
      </c>
      <c r="G1352" s="8" t="s">
        <v>12324</v>
      </c>
      <c r="H1352" s="24" t="s">
        <v>1259</v>
      </c>
      <c r="I1352" s="25">
        <v>27096</v>
      </c>
      <c r="J1352" s="8" t="s">
        <v>1261</v>
      </c>
      <c r="K1352" s="8" t="s">
        <v>10040</v>
      </c>
      <c r="L1352" s="15">
        <v>-0.57015000000000005</v>
      </c>
      <c r="M1352" s="15">
        <v>0.16550500000000001</v>
      </c>
      <c r="N1352" s="15">
        <v>0.54255051698670609</v>
      </c>
    </row>
    <row r="1353" spans="1:14" x14ac:dyDescent="0.2">
      <c r="A1353" s="2" t="s">
        <v>10066</v>
      </c>
      <c r="B1353" s="15">
        <v>719</v>
      </c>
      <c r="C1353" s="15">
        <v>4</v>
      </c>
      <c r="D1353" s="15">
        <v>131098951</v>
      </c>
      <c r="E1353" s="15">
        <v>131873453</v>
      </c>
      <c r="F1353" s="15">
        <v>2199</v>
      </c>
      <c r="G1353" s="8" t="s">
        <v>12324</v>
      </c>
      <c r="H1353" s="24" t="s">
        <v>3164</v>
      </c>
      <c r="I1353" s="25" t="s">
        <v>3165</v>
      </c>
      <c r="J1353" s="8" t="s">
        <v>3166</v>
      </c>
      <c r="K1353" s="8" t="s">
        <v>10042</v>
      </c>
      <c r="L1353" s="15">
        <v>-0.25935399999999997</v>
      </c>
      <c r="M1353" s="15">
        <v>0.16552800000000001</v>
      </c>
      <c r="N1353" s="15">
        <v>0.54255051698670609</v>
      </c>
    </row>
    <row r="1354" spans="1:14" x14ac:dyDescent="0.2">
      <c r="A1354" s="2" t="s">
        <v>10066</v>
      </c>
      <c r="B1354" s="15">
        <v>2264</v>
      </c>
      <c r="C1354" s="15">
        <v>18</v>
      </c>
      <c r="D1354" s="15">
        <v>32458908</v>
      </c>
      <c r="E1354" s="15">
        <v>34153297</v>
      </c>
      <c r="F1354" s="15">
        <v>3653</v>
      </c>
      <c r="G1354" s="8" t="s">
        <v>12324</v>
      </c>
      <c r="H1354" s="24" t="s">
        <v>3164</v>
      </c>
      <c r="I1354" s="25" t="s">
        <v>3165</v>
      </c>
      <c r="J1354" s="8" t="s">
        <v>3166</v>
      </c>
      <c r="K1354" s="8" t="s">
        <v>10042</v>
      </c>
      <c r="L1354" s="15">
        <v>0.47092899999999999</v>
      </c>
      <c r="M1354" s="15">
        <v>0.16562099999999999</v>
      </c>
      <c r="N1354" s="15">
        <v>0.54255051698670609</v>
      </c>
    </row>
    <row r="1355" spans="1:14" x14ac:dyDescent="0.2">
      <c r="A1355" s="2" t="s">
        <v>10066</v>
      </c>
      <c r="B1355" s="15">
        <v>2281</v>
      </c>
      <c r="C1355" s="15">
        <v>18</v>
      </c>
      <c r="D1355" s="15">
        <v>52512524</v>
      </c>
      <c r="E1355" s="15">
        <v>53762996</v>
      </c>
      <c r="F1355" s="15">
        <v>2315</v>
      </c>
      <c r="G1355" s="8" t="s">
        <v>12324</v>
      </c>
      <c r="H1355" s="24" t="s">
        <v>3164</v>
      </c>
      <c r="I1355" s="25" t="s">
        <v>3165</v>
      </c>
      <c r="J1355" s="8" t="s">
        <v>3166</v>
      </c>
      <c r="K1355" s="8" t="s">
        <v>10042</v>
      </c>
      <c r="L1355" s="15">
        <v>-0.42399999999999999</v>
      </c>
      <c r="M1355" s="15">
        <v>0.16564000000000001</v>
      </c>
      <c r="N1355" s="15">
        <v>0.54255051698670609</v>
      </c>
    </row>
    <row r="1356" spans="1:14" x14ac:dyDescent="0.2">
      <c r="A1356" s="2" t="s">
        <v>10068</v>
      </c>
      <c r="B1356" s="15">
        <v>679</v>
      </c>
      <c r="C1356" s="15">
        <v>4</v>
      </c>
      <c r="D1356" s="15">
        <v>88502718</v>
      </c>
      <c r="E1356" s="15">
        <v>89244554</v>
      </c>
      <c r="F1356" s="15">
        <v>2361</v>
      </c>
      <c r="G1356" s="8" t="s">
        <v>12324</v>
      </c>
      <c r="H1356" s="24" t="s">
        <v>6565</v>
      </c>
      <c r="I1356" s="25" t="s">
        <v>6475</v>
      </c>
      <c r="J1356" s="8" t="s">
        <v>6566</v>
      </c>
      <c r="K1356" s="8" t="s">
        <v>10054</v>
      </c>
      <c r="L1356" s="15">
        <v>0.39585999999999999</v>
      </c>
      <c r="M1356" s="15">
        <v>0.16498699999999999</v>
      </c>
      <c r="N1356" s="15">
        <v>0.54255051698670609</v>
      </c>
    </row>
    <row r="1357" spans="1:14" x14ac:dyDescent="0.2">
      <c r="A1357" s="2" t="s">
        <v>10068</v>
      </c>
      <c r="B1357" s="15">
        <v>771</v>
      </c>
      <c r="C1357" s="15">
        <v>4</v>
      </c>
      <c r="D1357" s="15">
        <v>186881569</v>
      </c>
      <c r="E1357" s="15">
        <v>187985393</v>
      </c>
      <c r="F1357" s="15">
        <v>3932</v>
      </c>
      <c r="G1357" s="8" t="s">
        <v>12324</v>
      </c>
      <c r="H1357" s="24" t="s">
        <v>599</v>
      </c>
      <c r="I1357" s="25">
        <v>26562</v>
      </c>
      <c r="J1357" s="8" t="s">
        <v>601</v>
      </c>
      <c r="K1357" s="8" t="s">
        <v>10040</v>
      </c>
      <c r="L1357" s="15">
        <v>0.35635600000000001</v>
      </c>
      <c r="M1357" s="15">
        <v>0.166019</v>
      </c>
      <c r="N1357" s="15">
        <v>0.5433906014760147</v>
      </c>
    </row>
    <row r="1358" spans="1:14" x14ac:dyDescent="0.2">
      <c r="A1358" s="2" t="s">
        <v>10066</v>
      </c>
      <c r="B1358" s="15">
        <v>2121</v>
      </c>
      <c r="C1358" s="15">
        <v>16</v>
      </c>
      <c r="D1358" s="15">
        <v>19104258</v>
      </c>
      <c r="E1358" s="15">
        <v>20351261</v>
      </c>
      <c r="F1358" s="15">
        <v>3433</v>
      </c>
      <c r="G1358" s="8" t="s">
        <v>12324</v>
      </c>
      <c r="H1358" s="24" t="s">
        <v>6008</v>
      </c>
      <c r="I1358" s="25" t="s">
        <v>6009</v>
      </c>
      <c r="J1358" s="8" t="s">
        <v>6010</v>
      </c>
      <c r="K1358" s="8" t="s">
        <v>10051</v>
      </c>
      <c r="L1358" s="15">
        <v>0.22228100000000001</v>
      </c>
      <c r="M1358" s="15">
        <v>0.166272</v>
      </c>
      <c r="N1358" s="15">
        <v>0.54381734513274338</v>
      </c>
    </row>
    <row r="1359" spans="1:14" x14ac:dyDescent="0.2">
      <c r="A1359" s="2" t="s">
        <v>10068</v>
      </c>
      <c r="B1359" s="15">
        <v>2336</v>
      </c>
      <c r="C1359" s="15">
        <v>19</v>
      </c>
      <c r="D1359" s="15">
        <v>29389091</v>
      </c>
      <c r="E1359" s="15">
        <v>30375792</v>
      </c>
      <c r="F1359" s="15">
        <v>3159</v>
      </c>
      <c r="G1359" s="8" t="s">
        <v>12324</v>
      </c>
      <c r="H1359" s="24" t="s">
        <v>494</v>
      </c>
      <c r="I1359" s="25">
        <v>25920</v>
      </c>
      <c r="J1359" s="8" t="s">
        <v>496</v>
      </c>
      <c r="K1359" s="8" t="s">
        <v>10040</v>
      </c>
      <c r="L1359" s="15">
        <v>0.33644499999999999</v>
      </c>
      <c r="M1359" s="15">
        <v>0.16722600000000001</v>
      </c>
      <c r="N1359" s="15">
        <v>0.54501366837857668</v>
      </c>
    </row>
    <row r="1360" spans="1:14" x14ac:dyDescent="0.2">
      <c r="A1360" s="2" t="s">
        <v>10069</v>
      </c>
      <c r="B1360" s="15">
        <v>1461</v>
      </c>
      <c r="C1360" s="15">
        <v>9</v>
      </c>
      <c r="D1360" s="15">
        <v>116159541</v>
      </c>
      <c r="E1360" s="15">
        <v>117054909</v>
      </c>
      <c r="F1360" s="15">
        <v>1675</v>
      </c>
      <c r="G1360" s="8" t="s">
        <v>12324</v>
      </c>
      <c r="H1360" s="24" t="s">
        <v>662</v>
      </c>
      <c r="I1360" s="25" t="s">
        <v>663</v>
      </c>
      <c r="J1360" s="8" t="s">
        <v>664</v>
      </c>
      <c r="K1360" s="8" t="s">
        <v>10040</v>
      </c>
      <c r="L1360" s="15">
        <v>0.42754500000000001</v>
      </c>
      <c r="M1360" s="15">
        <v>0.167181</v>
      </c>
      <c r="N1360" s="15">
        <v>0.54501366837857668</v>
      </c>
    </row>
    <row r="1361" spans="1:14" x14ac:dyDescent="0.2">
      <c r="A1361" s="2" t="s">
        <v>10068</v>
      </c>
      <c r="B1361" s="15">
        <v>415</v>
      </c>
      <c r="C1361" s="15">
        <v>2</v>
      </c>
      <c r="D1361" s="15">
        <v>238185483</v>
      </c>
      <c r="E1361" s="15">
        <v>238814630</v>
      </c>
      <c r="F1361" s="15">
        <v>2163</v>
      </c>
      <c r="G1361" s="8" t="s">
        <v>12324</v>
      </c>
      <c r="H1361" s="24" t="s">
        <v>1259</v>
      </c>
      <c r="I1361" s="25">
        <v>27096</v>
      </c>
      <c r="J1361" s="8" t="s">
        <v>1261</v>
      </c>
      <c r="K1361" s="8" t="s">
        <v>10040</v>
      </c>
      <c r="L1361" s="15">
        <v>0.300904</v>
      </c>
      <c r="M1361" s="15">
        <v>0.16692499999999999</v>
      </c>
      <c r="N1361" s="15">
        <v>0.54501366837857668</v>
      </c>
    </row>
    <row r="1362" spans="1:14" x14ac:dyDescent="0.2">
      <c r="A1362" s="2" t="s">
        <v>10066</v>
      </c>
      <c r="B1362" s="15">
        <v>1699</v>
      </c>
      <c r="C1362" s="15">
        <v>11</v>
      </c>
      <c r="D1362" s="15">
        <v>92209169</v>
      </c>
      <c r="E1362" s="15">
        <v>93576641</v>
      </c>
      <c r="F1362" s="15">
        <v>3120</v>
      </c>
      <c r="G1362" s="8" t="s">
        <v>12324</v>
      </c>
      <c r="H1362" s="24" t="s">
        <v>6008</v>
      </c>
      <c r="I1362" s="25" t="s">
        <v>6009</v>
      </c>
      <c r="J1362" s="8" t="s">
        <v>6010</v>
      </c>
      <c r="K1362" s="8" t="s">
        <v>10051</v>
      </c>
      <c r="L1362" s="15">
        <v>0.40600900000000001</v>
      </c>
      <c r="M1362" s="15">
        <v>0.16749800000000001</v>
      </c>
      <c r="N1362" s="15">
        <v>0.54501366837857668</v>
      </c>
    </row>
    <row r="1363" spans="1:14" x14ac:dyDescent="0.2">
      <c r="A1363" s="2" t="s">
        <v>10068</v>
      </c>
      <c r="B1363" s="15">
        <v>1270</v>
      </c>
      <c r="C1363" s="15">
        <v>8</v>
      </c>
      <c r="D1363" s="15">
        <v>24863244</v>
      </c>
      <c r="E1363" s="15">
        <v>25859277</v>
      </c>
      <c r="F1363" s="15">
        <v>2704</v>
      </c>
      <c r="G1363" s="8" t="s">
        <v>12324</v>
      </c>
      <c r="H1363" s="24" t="s">
        <v>6565</v>
      </c>
      <c r="I1363" s="25" t="s">
        <v>6475</v>
      </c>
      <c r="J1363" s="8" t="s">
        <v>6566</v>
      </c>
      <c r="K1363" s="8" t="s">
        <v>10054</v>
      </c>
      <c r="L1363" s="15">
        <v>0.38682499999999997</v>
      </c>
      <c r="M1363" s="15">
        <v>0.166825</v>
      </c>
      <c r="N1363" s="15">
        <v>0.54501366837857668</v>
      </c>
    </row>
    <row r="1364" spans="1:14" x14ac:dyDescent="0.2">
      <c r="A1364" s="2" t="s">
        <v>10068</v>
      </c>
      <c r="B1364" s="15">
        <v>471</v>
      </c>
      <c r="C1364" s="15">
        <v>3</v>
      </c>
      <c r="D1364" s="15">
        <v>58557719</v>
      </c>
      <c r="E1364" s="15">
        <v>59998583</v>
      </c>
      <c r="F1364" s="15">
        <v>3731</v>
      </c>
      <c r="G1364" s="8" t="s">
        <v>12324</v>
      </c>
      <c r="H1364" s="24" t="s">
        <v>6565</v>
      </c>
      <c r="I1364" s="25" t="s">
        <v>6475</v>
      </c>
      <c r="J1364" s="8" t="s">
        <v>6566</v>
      </c>
      <c r="K1364" s="8" t="s">
        <v>10054</v>
      </c>
      <c r="L1364" s="15">
        <v>0.29528199999999999</v>
      </c>
      <c r="M1364" s="15">
        <v>0.16733400000000001</v>
      </c>
      <c r="N1364" s="15">
        <v>0.54501366837857668</v>
      </c>
    </row>
    <row r="1365" spans="1:14" x14ac:dyDescent="0.2">
      <c r="A1365" s="2" t="s">
        <v>10068</v>
      </c>
      <c r="B1365" s="15">
        <v>1260</v>
      </c>
      <c r="C1365" s="15">
        <v>8</v>
      </c>
      <c r="D1365" s="15">
        <v>16988031</v>
      </c>
      <c r="E1365" s="15">
        <v>17492672</v>
      </c>
      <c r="F1365" s="15">
        <v>2056</v>
      </c>
      <c r="G1365" s="8" t="s">
        <v>12324</v>
      </c>
      <c r="H1365" s="24" t="s">
        <v>6565</v>
      </c>
      <c r="I1365" s="25" t="s">
        <v>6475</v>
      </c>
      <c r="J1365" s="8" t="s">
        <v>6566</v>
      </c>
      <c r="K1365" s="8" t="s">
        <v>10054</v>
      </c>
      <c r="L1365" s="15">
        <v>-0.31568600000000002</v>
      </c>
      <c r="M1365" s="15">
        <v>0.167409</v>
      </c>
      <c r="N1365" s="15">
        <v>0.54501366837857668</v>
      </c>
    </row>
    <row r="1366" spans="1:14" x14ac:dyDescent="0.2">
      <c r="A1366" s="2" t="s">
        <v>10068</v>
      </c>
      <c r="B1366" s="15">
        <v>2375</v>
      </c>
      <c r="C1366" s="15">
        <v>20</v>
      </c>
      <c r="D1366" s="15">
        <v>5379451</v>
      </c>
      <c r="E1366" s="15">
        <v>6128358</v>
      </c>
      <c r="F1366" s="15">
        <v>2575</v>
      </c>
      <c r="G1366" s="8" t="s">
        <v>12324</v>
      </c>
      <c r="H1366" s="24" t="s">
        <v>494</v>
      </c>
      <c r="I1366" s="25">
        <v>25920</v>
      </c>
      <c r="J1366" s="8" t="s">
        <v>496</v>
      </c>
      <c r="K1366" s="8" t="s">
        <v>10040</v>
      </c>
      <c r="L1366" s="15">
        <v>0.29145599999999999</v>
      </c>
      <c r="M1366" s="15">
        <v>0.168549</v>
      </c>
      <c r="N1366" s="15">
        <v>0.54803138929618767</v>
      </c>
    </row>
    <row r="1367" spans="1:14" x14ac:dyDescent="0.2">
      <c r="A1367" s="2" t="s">
        <v>10066</v>
      </c>
      <c r="B1367" s="15">
        <v>2448</v>
      </c>
      <c r="C1367" s="15">
        <v>21</v>
      </c>
      <c r="D1367" s="15">
        <v>33270273</v>
      </c>
      <c r="E1367" s="15">
        <v>34383794</v>
      </c>
      <c r="F1367" s="15">
        <v>2785</v>
      </c>
      <c r="G1367" s="8" t="s">
        <v>12324</v>
      </c>
      <c r="H1367" s="24" t="s">
        <v>6008</v>
      </c>
      <c r="I1367" s="25" t="s">
        <v>6009</v>
      </c>
      <c r="J1367" s="8" t="s">
        <v>6010</v>
      </c>
      <c r="K1367" s="8" t="s">
        <v>10051</v>
      </c>
      <c r="L1367" s="15">
        <v>-0.19892499999999999</v>
      </c>
      <c r="M1367" s="15">
        <v>0.16900499999999999</v>
      </c>
      <c r="N1367" s="15">
        <v>0.54911148351648353</v>
      </c>
    </row>
    <row r="1368" spans="1:14" x14ac:dyDescent="0.2">
      <c r="A1368" s="2" t="s">
        <v>10066</v>
      </c>
      <c r="B1368" s="15">
        <v>806</v>
      </c>
      <c r="C1368" s="15">
        <v>5</v>
      </c>
      <c r="D1368" s="15">
        <v>33971057</v>
      </c>
      <c r="E1368" s="15">
        <v>35157146</v>
      </c>
      <c r="F1368" s="15">
        <v>3580</v>
      </c>
      <c r="G1368" s="8" t="s">
        <v>12324</v>
      </c>
      <c r="H1368" s="24" t="s">
        <v>3164</v>
      </c>
      <c r="I1368" s="25" t="s">
        <v>3165</v>
      </c>
      <c r="J1368" s="8" t="s">
        <v>3166</v>
      </c>
      <c r="K1368" s="8" t="s">
        <v>10042</v>
      </c>
      <c r="L1368" s="15">
        <v>0.39311200000000002</v>
      </c>
      <c r="M1368" s="15">
        <v>0.16917099999999999</v>
      </c>
      <c r="N1368" s="15">
        <v>0.54924845168374814</v>
      </c>
    </row>
    <row r="1369" spans="1:14" x14ac:dyDescent="0.2">
      <c r="A1369" s="2" t="s">
        <v>10068</v>
      </c>
      <c r="B1369" s="15">
        <v>52</v>
      </c>
      <c r="C1369" s="15">
        <v>1</v>
      </c>
      <c r="D1369" s="15">
        <v>59889046</v>
      </c>
      <c r="E1369" s="15">
        <v>61377615</v>
      </c>
      <c r="F1369" s="15">
        <v>3283</v>
      </c>
      <c r="G1369" s="8" t="s">
        <v>12324</v>
      </c>
      <c r="H1369" s="24" t="s">
        <v>6565</v>
      </c>
      <c r="I1369" s="25" t="s">
        <v>6475</v>
      </c>
      <c r="J1369" s="8" t="s">
        <v>6566</v>
      </c>
      <c r="K1369" s="8" t="s">
        <v>10054</v>
      </c>
      <c r="L1369" s="15">
        <v>0.34934799999999999</v>
      </c>
      <c r="M1369" s="15">
        <v>0.16978099999999999</v>
      </c>
      <c r="N1369" s="15">
        <v>0.55082570226773953</v>
      </c>
    </row>
    <row r="1370" spans="1:14" x14ac:dyDescent="0.2">
      <c r="A1370" s="2" t="s">
        <v>10068</v>
      </c>
      <c r="B1370" s="15">
        <v>692</v>
      </c>
      <c r="C1370" s="15">
        <v>4</v>
      </c>
      <c r="D1370" s="15">
        <v>102544804</v>
      </c>
      <c r="E1370" s="15">
        <v>104384534</v>
      </c>
      <c r="F1370" s="15">
        <v>4088</v>
      </c>
      <c r="G1370" s="8" t="s">
        <v>12324</v>
      </c>
      <c r="H1370" s="24" t="s">
        <v>494</v>
      </c>
      <c r="I1370" s="25">
        <v>25920</v>
      </c>
      <c r="J1370" s="8" t="s">
        <v>496</v>
      </c>
      <c r="K1370" s="8" t="s">
        <v>10040</v>
      </c>
      <c r="L1370" s="15">
        <v>-0.450824</v>
      </c>
      <c r="M1370" s="15">
        <v>0.17021</v>
      </c>
      <c r="N1370" s="15">
        <v>0.55133200729927001</v>
      </c>
    </row>
    <row r="1371" spans="1:14" x14ac:dyDescent="0.2">
      <c r="A1371" s="2" t="s">
        <v>10066</v>
      </c>
      <c r="B1371" s="15">
        <v>2337</v>
      </c>
      <c r="C1371" s="15">
        <v>19</v>
      </c>
      <c r="D1371" s="15">
        <v>30375793</v>
      </c>
      <c r="E1371" s="15">
        <v>31763008</v>
      </c>
      <c r="F1371" s="15">
        <v>2937</v>
      </c>
      <c r="G1371" s="8" t="s">
        <v>12324</v>
      </c>
      <c r="H1371" s="24" t="s">
        <v>6008</v>
      </c>
      <c r="I1371" s="25" t="s">
        <v>6009</v>
      </c>
      <c r="J1371" s="8" t="s">
        <v>6010</v>
      </c>
      <c r="K1371" s="8" t="s">
        <v>10051</v>
      </c>
      <c r="L1371" s="15">
        <v>0.413601</v>
      </c>
      <c r="M1371" s="15">
        <v>0.17025699999999999</v>
      </c>
      <c r="N1371" s="15">
        <v>0.55133200729927001</v>
      </c>
    </row>
    <row r="1372" spans="1:14" x14ac:dyDescent="0.2">
      <c r="A1372" s="2" t="s">
        <v>10068</v>
      </c>
      <c r="B1372" s="15">
        <v>2251</v>
      </c>
      <c r="C1372" s="15">
        <v>18</v>
      </c>
      <c r="D1372" s="15">
        <v>12735559</v>
      </c>
      <c r="E1372" s="15">
        <v>13641479</v>
      </c>
      <c r="F1372" s="15">
        <v>2392</v>
      </c>
      <c r="G1372" s="8" t="s">
        <v>12324</v>
      </c>
      <c r="H1372" s="24" t="s">
        <v>6565</v>
      </c>
      <c r="I1372" s="25" t="s">
        <v>6475</v>
      </c>
      <c r="J1372" s="8" t="s">
        <v>6566</v>
      </c>
      <c r="K1372" s="8" t="s">
        <v>10054</v>
      </c>
      <c r="L1372" s="15">
        <v>-0.58545199999999997</v>
      </c>
      <c r="M1372" s="15">
        <v>0.17030999999999999</v>
      </c>
      <c r="N1372" s="15">
        <v>0.55133200729927001</v>
      </c>
    </row>
    <row r="1373" spans="1:14" x14ac:dyDescent="0.2">
      <c r="A1373" s="2" t="s">
        <v>10068</v>
      </c>
      <c r="B1373" s="15">
        <v>1843</v>
      </c>
      <c r="C1373" s="15">
        <v>12</v>
      </c>
      <c r="D1373" s="15">
        <v>114685671</v>
      </c>
      <c r="E1373" s="15">
        <v>115439451</v>
      </c>
      <c r="F1373" s="15">
        <v>2286</v>
      </c>
      <c r="G1373" s="8" t="s">
        <v>12324</v>
      </c>
      <c r="H1373" s="24" t="s">
        <v>494</v>
      </c>
      <c r="I1373" s="25">
        <v>25920</v>
      </c>
      <c r="J1373" s="8" t="s">
        <v>496</v>
      </c>
      <c r="K1373" s="8" t="s">
        <v>10040</v>
      </c>
      <c r="L1373" s="15">
        <v>-0.33028299999999999</v>
      </c>
      <c r="M1373" s="15">
        <v>0.170709</v>
      </c>
      <c r="N1373" s="15">
        <v>0.55156476693372181</v>
      </c>
    </row>
    <row r="1374" spans="1:14" x14ac:dyDescent="0.2">
      <c r="A1374" s="2" t="s">
        <v>10069</v>
      </c>
      <c r="B1374" s="15">
        <v>1603</v>
      </c>
      <c r="C1374" s="15">
        <v>10</v>
      </c>
      <c r="D1374" s="15">
        <v>129831970</v>
      </c>
      <c r="E1374" s="15">
        <v>130694008</v>
      </c>
      <c r="F1374" s="15">
        <v>1924</v>
      </c>
      <c r="G1374" s="8" t="s">
        <v>12324</v>
      </c>
      <c r="H1374" s="24" t="s">
        <v>662</v>
      </c>
      <c r="I1374" s="25" t="s">
        <v>663</v>
      </c>
      <c r="J1374" s="8" t="s">
        <v>664</v>
      </c>
      <c r="K1374" s="8" t="s">
        <v>10040</v>
      </c>
      <c r="L1374" s="15">
        <v>0.35647299999999998</v>
      </c>
      <c r="M1374" s="15">
        <v>0.17053599999999999</v>
      </c>
      <c r="N1374" s="15">
        <v>0.55156476693372181</v>
      </c>
    </row>
    <row r="1375" spans="1:14" x14ac:dyDescent="0.2">
      <c r="A1375" s="2" t="s">
        <v>10068</v>
      </c>
      <c r="B1375" s="15">
        <v>2351</v>
      </c>
      <c r="C1375" s="15">
        <v>19</v>
      </c>
      <c r="D1375" s="15">
        <v>45040933</v>
      </c>
      <c r="E1375" s="15">
        <v>45893307</v>
      </c>
      <c r="F1375" s="15">
        <v>2371</v>
      </c>
      <c r="G1375" s="8" t="s">
        <v>12324</v>
      </c>
      <c r="H1375" s="24" t="s">
        <v>1259</v>
      </c>
      <c r="I1375" s="25">
        <v>27096</v>
      </c>
      <c r="J1375" s="8" t="s">
        <v>1261</v>
      </c>
      <c r="K1375" s="8" t="s">
        <v>10040</v>
      </c>
      <c r="L1375" s="15">
        <v>-0.25200899999999998</v>
      </c>
      <c r="M1375" s="15">
        <v>0.17075499999999999</v>
      </c>
      <c r="N1375" s="15">
        <v>0.55156476693372181</v>
      </c>
    </row>
    <row r="1376" spans="1:14" x14ac:dyDescent="0.2">
      <c r="A1376" s="2" t="s">
        <v>10069</v>
      </c>
      <c r="B1376" s="15">
        <v>1727</v>
      </c>
      <c r="C1376" s="15">
        <v>11</v>
      </c>
      <c r="D1376" s="15">
        <v>122589225</v>
      </c>
      <c r="E1376" s="15">
        <v>123398882</v>
      </c>
      <c r="F1376" s="15">
        <v>1504</v>
      </c>
      <c r="G1376" s="8" t="s">
        <v>12324</v>
      </c>
      <c r="H1376" s="24" t="s">
        <v>662</v>
      </c>
      <c r="I1376" s="25" t="s">
        <v>663</v>
      </c>
      <c r="J1376" s="8" t="s">
        <v>664</v>
      </c>
      <c r="K1376" s="8" t="s">
        <v>10040</v>
      </c>
      <c r="L1376" s="15">
        <v>0.32761000000000001</v>
      </c>
      <c r="M1376" s="15">
        <v>0.171236</v>
      </c>
      <c r="N1376" s="15">
        <v>0.55271590975254736</v>
      </c>
    </row>
    <row r="1377" spans="1:14" x14ac:dyDescent="0.2">
      <c r="A1377" s="2" t="s">
        <v>10068</v>
      </c>
      <c r="B1377" s="15">
        <v>946</v>
      </c>
      <c r="C1377" s="15">
        <v>6</v>
      </c>
      <c r="D1377" s="15">
        <v>22199714</v>
      </c>
      <c r="E1377" s="15">
        <v>23192337</v>
      </c>
      <c r="F1377" s="15">
        <v>3080</v>
      </c>
      <c r="G1377" s="8" t="s">
        <v>12324</v>
      </c>
      <c r="H1377" s="24" t="s">
        <v>494</v>
      </c>
      <c r="I1377" s="25">
        <v>25920</v>
      </c>
      <c r="J1377" s="8" t="s">
        <v>496</v>
      </c>
      <c r="K1377" s="8" t="s">
        <v>10040</v>
      </c>
      <c r="L1377" s="15">
        <v>-0.37414900000000001</v>
      </c>
      <c r="M1377" s="15">
        <v>0.171455</v>
      </c>
      <c r="N1377" s="15">
        <v>0.55302030909090905</v>
      </c>
    </row>
    <row r="1378" spans="1:14" x14ac:dyDescent="0.2">
      <c r="A1378" s="2" t="s">
        <v>10068</v>
      </c>
      <c r="B1378" s="15">
        <v>1209</v>
      </c>
      <c r="C1378" s="15">
        <v>7</v>
      </c>
      <c r="D1378" s="15">
        <v>130418705</v>
      </c>
      <c r="E1378" s="15">
        <v>131856481</v>
      </c>
      <c r="F1378" s="15">
        <v>3655</v>
      </c>
      <c r="G1378" s="8" t="s">
        <v>12324</v>
      </c>
      <c r="H1378" s="24" t="s">
        <v>599</v>
      </c>
      <c r="I1378" s="25">
        <v>26562</v>
      </c>
      <c r="J1378" s="8" t="s">
        <v>601</v>
      </c>
      <c r="K1378" s="8" t="s">
        <v>10040</v>
      </c>
      <c r="L1378" s="15">
        <v>-0.29966500000000001</v>
      </c>
      <c r="M1378" s="15">
        <v>0.17175599999999999</v>
      </c>
      <c r="N1378" s="15">
        <v>0.55310142494561265</v>
      </c>
    </row>
    <row r="1379" spans="1:14" x14ac:dyDescent="0.2">
      <c r="A1379" s="2" t="s">
        <v>10069</v>
      </c>
      <c r="B1379" s="15">
        <v>2182</v>
      </c>
      <c r="C1379" s="15">
        <v>17</v>
      </c>
      <c r="D1379" s="15">
        <v>8554764</v>
      </c>
      <c r="E1379" s="15">
        <v>9619356</v>
      </c>
      <c r="F1379" s="15">
        <v>1939</v>
      </c>
      <c r="G1379" s="8" t="s">
        <v>12324</v>
      </c>
      <c r="H1379" s="24" t="s">
        <v>662</v>
      </c>
      <c r="I1379" s="25" t="s">
        <v>663</v>
      </c>
      <c r="J1379" s="8" t="s">
        <v>664</v>
      </c>
      <c r="K1379" s="8" t="s">
        <v>10040</v>
      </c>
      <c r="L1379" s="15">
        <v>-0.43113000000000001</v>
      </c>
      <c r="M1379" s="15">
        <v>0.17183100000000001</v>
      </c>
      <c r="N1379" s="15">
        <v>0.55310142494561265</v>
      </c>
    </row>
    <row r="1380" spans="1:14" x14ac:dyDescent="0.2">
      <c r="A1380" s="2" t="s">
        <v>10069</v>
      </c>
      <c r="B1380" s="15">
        <v>393</v>
      </c>
      <c r="C1380" s="15">
        <v>2</v>
      </c>
      <c r="D1380" s="15">
        <v>215899571</v>
      </c>
      <c r="E1380" s="15">
        <v>217566011</v>
      </c>
      <c r="F1380" s="15">
        <v>2516</v>
      </c>
      <c r="G1380" s="8" t="s">
        <v>12324</v>
      </c>
      <c r="H1380" s="24" t="s">
        <v>662</v>
      </c>
      <c r="I1380" s="25" t="s">
        <v>663</v>
      </c>
      <c r="J1380" s="8" t="s">
        <v>664</v>
      </c>
      <c r="K1380" s="8" t="s">
        <v>10040</v>
      </c>
      <c r="L1380" s="15">
        <v>-0.34204400000000001</v>
      </c>
      <c r="M1380" s="15">
        <v>0.17197899999999999</v>
      </c>
      <c r="N1380" s="15">
        <v>0.55310142494561265</v>
      </c>
    </row>
    <row r="1381" spans="1:14" x14ac:dyDescent="0.2">
      <c r="A1381" s="2" t="s">
        <v>10068</v>
      </c>
      <c r="B1381" s="15">
        <v>365</v>
      </c>
      <c r="C1381" s="15">
        <v>2</v>
      </c>
      <c r="D1381" s="15">
        <v>181309940</v>
      </c>
      <c r="E1381" s="15">
        <v>182307877</v>
      </c>
      <c r="F1381" s="15">
        <v>2538</v>
      </c>
      <c r="G1381" s="8" t="s">
        <v>12324</v>
      </c>
      <c r="H1381" s="24" t="s">
        <v>6565</v>
      </c>
      <c r="I1381" s="25" t="s">
        <v>6475</v>
      </c>
      <c r="J1381" s="8" t="s">
        <v>6566</v>
      </c>
      <c r="K1381" s="8" t="s">
        <v>10054</v>
      </c>
      <c r="L1381" s="15">
        <v>-0.57095200000000002</v>
      </c>
      <c r="M1381" s="15">
        <v>0.171876</v>
      </c>
      <c r="N1381" s="15">
        <v>0.55310142494561265</v>
      </c>
    </row>
    <row r="1382" spans="1:14" x14ac:dyDescent="0.2">
      <c r="A1382" s="2" t="s">
        <v>10069</v>
      </c>
      <c r="B1382" s="15">
        <v>1724</v>
      </c>
      <c r="C1382" s="15">
        <v>11</v>
      </c>
      <c r="D1382" s="15">
        <v>118901214</v>
      </c>
      <c r="E1382" s="15">
        <v>120064528</v>
      </c>
      <c r="F1382" s="15">
        <v>2010</v>
      </c>
      <c r="G1382" s="8" t="s">
        <v>12324</v>
      </c>
      <c r="H1382" s="24" t="s">
        <v>662</v>
      </c>
      <c r="I1382" s="25" t="s">
        <v>663</v>
      </c>
      <c r="J1382" s="8" t="s">
        <v>664</v>
      </c>
      <c r="K1382" s="8" t="s">
        <v>10040</v>
      </c>
      <c r="L1382" s="15">
        <v>-0.37201699999999999</v>
      </c>
      <c r="M1382" s="15">
        <v>0.17224300000000001</v>
      </c>
      <c r="N1382" s="15">
        <v>0.55314822954380882</v>
      </c>
    </row>
    <row r="1383" spans="1:14" x14ac:dyDescent="0.2">
      <c r="A1383" s="2" t="s">
        <v>10066</v>
      </c>
      <c r="B1383" s="15">
        <v>543</v>
      </c>
      <c r="C1383" s="15">
        <v>3</v>
      </c>
      <c r="D1383" s="15">
        <v>139831268</v>
      </c>
      <c r="E1383" s="15">
        <v>141034637</v>
      </c>
      <c r="F1383" s="15">
        <v>3015</v>
      </c>
      <c r="G1383" s="8" t="s">
        <v>12324</v>
      </c>
      <c r="H1383" s="24" t="s">
        <v>6008</v>
      </c>
      <c r="I1383" s="25" t="s">
        <v>6009</v>
      </c>
      <c r="J1383" s="8" t="s">
        <v>6010</v>
      </c>
      <c r="K1383" s="8" t="s">
        <v>10051</v>
      </c>
      <c r="L1383" s="15">
        <v>0.37549199999999999</v>
      </c>
      <c r="M1383" s="15">
        <v>0.17217199999999999</v>
      </c>
      <c r="N1383" s="15">
        <v>0.55314822954380882</v>
      </c>
    </row>
    <row r="1384" spans="1:14" x14ac:dyDescent="0.2">
      <c r="A1384" s="2" t="s">
        <v>10068</v>
      </c>
      <c r="B1384" s="15">
        <v>136</v>
      </c>
      <c r="C1384" s="15">
        <v>1</v>
      </c>
      <c r="D1384" s="15">
        <v>180221609</v>
      </c>
      <c r="E1384" s="15">
        <v>181324205</v>
      </c>
      <c r="F1384" s="15">
        <v>2655</v>
      </c>
      <c r="G1384" s="8" t="s">
        <v>12324</v>
      </c>
      <c r="H1384" s="24" t="s">
        <v>494</v>
      </c>
      <c r="I1384" s="25">
        <v>25920</v>
      </c>
      <c r="J1384" s="8" t="s">
        <v>496</v>
      </c>
      <c r="K1384" s="8" t="s">
        <v>10040</v>
      </c>
      <c r="L1384" s="15">
        <v>-0.30124299999999998</v>
      </c>
      <c r="M1384" s="15">
        <v>0.17297100000000001</v>
      </c>
      <c r="N1384" s="15">
        <v>0.55428207008670527</v>
      </c>
    </row>
    <row r="1385" spans="1:14" x14ac:dyDescent="0.2">
      <c r="A1385" s="2" t="s">
        <v>10068</v>
      </c>
      <c r="B1385" s="15">
        <v>1434</v>
      </c>
      <c r="C1385" s="15">
        <v>9</v>
      </c>
      <c r="D1385" s="15">
        <v>90135155</v>
      </c>
      <c r="E1385" s="15">
        <v>90890979</v>
      </c>
      <c r="F1385" s="15">
        <v>2376</v>
      </c>
      <c r="G1385" s="8" t="s">
        <v>12324</v>
      </c>
      <c r="H1385" s="24" t="s">
        <v>599</v>
      </c>
      <c r="I1385" s="25">
        <v>26562</v>
      </c>
      <c r="J1385" s="8" t="s">
        <v>601</v>
      </c>
      <c r="K1385" s="8" t="s">
        <v>10040</v>
      </c>
      <c r="L1385" s="15">
        <v>0.41058299999999998</v>
      </c>
      <c r="M1385" s="15">
        <v>0.17290900000000001</v>
      </c>
      <c r="N1385" s="15">
        <v>0.55428207008670527</v>
      </c>
    </row>
    <row r="1386" spans="1:14" x14ac:dyDescent="0.2">
      <c r="A1386" s="2" t="s">
        <v>10066</v>
      </c>
      <c r="B1386" s="15">
        <v>224</v>
      </c>
      <c r="C1386" s="15">
        <v>2</v>
      </c>
      <c r="D1386" s="15">
        <v>20064518</v>
      </c>
      <c r="E1386" s="15">
        <v>21084898</v>
      </c>
      <c r="F1386" s="15">
        <v>2702</v>
      </c>
      <c r="G1386" s="8" t="s">
        <v>12324</v>
      </c>
      <c r="H1386" s="24" t="s">
        <v>3164</v>
      </c>
      <c r="I1386" s="25" t="s">
        <v>3165</v>
      </c>
      <c r="J1386" s="8" t="s">
        <v>3166</v>
      </c>
      <c r="K1386" s="8" t="s">
        <v>10042</v>
      </c>
      <c r="L1386" s="15">
        <v>-0.28631499999999999</v>
      </c>
      <c r="M1386" s="15">
        <v>0.17275199999999999</v>
      </c>
      <c r="N1386" s="15">
        <v>0.55428207008670527</v>
      </c>
    </row>
    <row r="1387" spans="1:14" x14ac:dyDescent="0.2">
      <c r="A1387" s="2" t="s">
        <v>10068</v>
      </c>
      <c r="B1387" s="15">
        <v>394</v>
      </c>
      <c r="C1387" s="15">
        <v>2</v>
      </c>
      <c r="D1387" s="15">
        <v>217566012</v>
      </c>
      <c r="E1387" s="15">
        <v>218396258</v>
      </c>
      <c r="F1387" s="15">
        <v>2381</v>
      </c>
      <c r="G1387" s="8" t="s">
        <v>12324</v>
      </c>
      <c r="H1387" s="24" t="s">
        <v>599</v>
      </c>
      <c r="I1387" s="25">
        <v>26562</v>
      </c>
      <c r="J1387" s="8" t="s">
        <v>601</v>
      </c>
      <c r="K1387" s="8" t="s">
        <v>10040</v>
      </c>
      <c r="L1387" s="15">
        <v>-0.37309100000000001</v>
      </c>
      <c r="M1387" s="15">
        <v>0.17319399999999999</v>
      </c>
      <c r="N1387" s="15">
        <v>0.55454139249639256</v>
      </c>
    </row>
    <row r="1388" spans="1:14" x14ac:dyDescent="0.2">
      <c r="A1388" s="2" t="s">
        <v>10068</v>
      </c>
      <c r="B1388" s="15">
        <v>2255</v>
      </c>
      <c r="C1388" s="15">
        <v>18</v>
      </c>
      <c r="D1388" s="15">
        <v>20009697</v>
      </c>
      <c r="E1388" s="15">
        <v>21622716</v>
      </c>
      <c r="F1388" s="15">
        <v>3235</v>
      </c>
      <c r="G1388" s="8" t="s">
        <v>12324</v>
      </c>
      <c r="H1388" s="24" t="s">
        <v>1259</v>
      </c>
      <c r="I1388" s="25">
        <v>27096</v>
      </c>
      <c r="J1388" s="8" t="s">
        <v>1261</v>
      </c>
      <c r="K1388" s="8" t="s">
        <v>10040</v>
      </c>
      <c r="L1388" s="15">
        <v>0.38108199999999998</v>
      </c>
      <c r="M1388" s="15">
        <v>0.17330200000000001</v>
      </c>
      <c r="N1388" s="15">
        <v>0.55454139249639256</v>
      </c>
    </row>
    <row r="1389" spans="1:14" x14ac:dyDescent="0.2">
      <c r="A1389" s="2" t="s">
        <v>10068</v>
      </c>
      <c r="B1389" s="15">
        <v>982</v>
      </c>
      <c r="C1389" s="15">
        <v>6</v>
      </c>
      <c r="D1389" s="15">
        <v>47313444</v>
      </c>
      <c r="E1389" s="15">
        <v>48393981</v>
      </c>
      <c r="F1389" s="15">
        <v>2758</v>
      </c>
      <c r="G1389" s="8" t="s">
        <v>12324</v>
      </c>
      <c r="H1389" s="24" t="s">
        <v>6565</v>
      </c>
      <c r="I1389" s="25" t="s">
        <v>6475</v>
      </c>
      <c r="J1389" s="8" t="s">
        <v>6566</v>
      </c>
      <c r="K1389" s="8" t="s">
        <v>10054</v>
      </c>
      <c r="L1389" s="15">
        <v>-0.41289199999999998</v>
      </c>
      <c r="M1389" s="15">
        <v>0.173932</v>
      </c>
      <c r="N1389" s="15">
        <v>0.55615603460706564</v>
      </c>
    </row>
    <row r="1390" spans="1:14" x14ac:dyDescent="0.2">
      <c r="A1390" s="2" t="s">
        <v>10066</v>
      </c>
      <c r="B1390" s="15">
        <v>2183</v>
      </c>
      <c r="C1390" s="15">
        <v>17</v>
      </c>
      <c r="D1390" s="15">
        <v>9619357</v>
      </c>
      <c r="E1390" s="15">
        <v>10572617</v>
      </c>
      <c r="F1390" s="15">
        <v>3056</v>
      </c>
      <c r="G1390" s="8" t="s">
        <v>12324</v>
      </c>
      <c r="H1390" s="24" t="s">
        <v>3164</v>
      </c>
      <c r="I1390" s="25" t="s">
        <v>3165</v>
      </c>
      <c r="J1390" s="8" t="s">
        <v>3166</v>
      </c>
      <c r="K1390" s="8" t="s">
        <v>10042</v>
      </c>
      <c r="L1390" s="15">
        <v>-0.192938</v>
      </c>
      <c r="M1390" s="15">
        <v>0.17432</v>
      </c>
      <c r="N1390" s="15">
        <v>0.55699510086455339</v>
      </c>
    </row>
    <row r="1391" spans="1:14" x14ac:dyDescent="0.2">
      <c r="A1391" s="2" t="s">
        <v>10068</v>
      </c>
      <c r="B1391" s="15">
        <v>1576</v>
      </c>
      <c r="C1391" s="15">
        <v>10</v>
      </c>
      <c r="D1391" s="15">
        <v>98005995</v>
      </c>
      <c r="E1391" s="15">
        <v>99367800</v>
      </c>
      <c r="F1391" s="15">
        <v>3054</v>
      </c>
      <c r="G1391" s="8" t="s">
        <v>12324</v>
      </c>
      <c r="H1391" s="24" t="s">
        <v>599</v>
      </c>
      <c r="I1391" s="25">
        <v>26562</v>
      </c>
      <c r="J1391" s="8" t="s">
        <v>601</v>
      </c>
      <c r="K1391" s="8" t="s">
        <v>10040</v>
      </c>
      <c r="L1391" s="15">
        <v>-0.24487200000000001</v>
      </c>
      <c r="M1391" s="15">
        <v>0.17524799999999999</v>
      </c>
      <c r="N1391" s="15">
        <v>0.55955714902807774</v>
      </c>
    </row>
    <row r="1392" spans="1:14" x14ac:dyDescent="0.2">
      <c r="A1392" s="2" t="s">
        <v>10069</v>
      </c>
      <c r="B1392" s="15">
        <v>283</v>
      </c>
      <c r="C1392" s="15">
        <v>2</v>
      </c>
      <c r="D1392" s="15">
        <v>77372831</v>
      </c>
      <c r="E1392" s="15">
        <v>78080057</v>
      </c>
      <c r="F1392" s="15">
        <v>1331</v>
      </c>
      <c r="G1392" s="8" t="s">
        <v>12324</v>
      </c>
      <c r="H1392" s="24" t="s">
        <v>662</v>
      </c>
      <c r="I1392" s="25" t="s">
        <v>663</v>
      </c>
      <c r="J1392" s="8" t="s">
        <v>664</v>
      </c>
      <c r="K1392" s="8" t="s">
        <v>10040</v>
      </c>
      <c r="L1392" s="15">
        <v>-0.45878600000000003</v>
      </c>
      <c r="M1392" s="15">
        <v>0.17555499999999999</v>
      </c>
      <c r="N1392" s="15">
        <v>0.56013411870503593</v>
      </c>
    </row>
    <row r="1393" spans="1:14" x14ac:dyDescent="0.2">
      <c r="A1393" s="2" t="s">
        <v>10068</v>
      </c>
      <c r="B1393" s="15">
        <v>1852</v>
      </c>
      <c r="C1393" s="15">
        <v>12</v>
      </c>
      <c r="D1393" s="15">
        <v>124843769</v>
      </c>
      <c r="E1393" s="15">
        <v>126079935</v>
      </c>
      <c r="F1393" s="15">
        <v>3831</v>
      </c>
      <c r="G1393" s="8" t="s">
        <v>12324</v>
      </c>
      <c r="H1393" s="24" t="s">
        <v>494</v>
      </c>
      <c r="I1393" s="25">
        <v>25920</v>
      </c>
      <c r="J1393" s="8" t="s">
        <v>496</v>
      </c>
      <c r="K1393" s="8" t="s">
        <v>10040</v>
      </c>
      <c r="L1393" s="15">
        <v>0.277285</v>
      </c>
      <c r="M1393" s="15">
        <v>0.17580000000000001</v>
      </c>
      <c r="N1393" s="15">
        <v>0.5605125808770669</v>
      </c>
    </row>
    <row r="1394" spans="1:14" x14ac:dyDescent="0.2">
      <c r="A1394" s="2" t="s">
        <v>10066</v>
      </c>
      <c r="B1394" s="15">
        <v>1825</v>
      </c>
      <c r="C1394" s="15">
        <v>12</v>
      </c>
      <c r="D1394" s="15">
        <v>94385885</v>
      </c>
      <c r="E1394" s="15">
        <v>95147845</v>
      </c>
      <c r="F1394" s="15">
        <v>2354</v>
      </c>
      <c r="G1394" s="8" t="s">
        <v>12324</v>
      </c>
      <c r="H1394" s="24" t="s">
        <v>6008</v>
      </c>
      <c r="I1394" s="25" t="s">
        <v>6009</v>
      </c>
      <c r="J1394" s="8" t="s">
        <v>6010</v>
      </c>
      <c r="K1394" s="8" t="s">
        <v>10051</v>
      </c>
      <c r="L1394" s="15">
        <v>0.31019400000000003</v>
      </c>
      <c r="M1394" s="15">
        <v>0.17610200000000001</v>
      </c>
      <c r="N1394" s="15">
        <v>0.56107210488505743</v>
      </c>
    </row>
    <row r="1395" spans="1:14" x14ac:dyDescent="0.2">
      <c r="A1395" s="2" t="s">
        <v>10066</v>
      </c>
      <c r="B1395" s="15">
        <v>1947</v>
      </c>
      <c r="C1395" s="15">
        <v>13</v>
      </c>
      <c r="D1395" s="15">
        <v>109156766</v>
      </c>
      <c r="E1395" s="15">
        <v>109813576</v>
      </c>
      <c r="F1395" s="15">
        <v>2219</v>
      </c>
      <c r="G1395" s="8" t="s">
        <v>12324</v>
      </c>
      <c r="H1395" s="24" t="s">
        <v>3164</v>
      </c>
      <c r="I1395" s="25" t="s">
        <v>3165</v>
      </c>
      <c r="J1395" s="8" t="s">
        <v>3166</v>
      </c>
      <c r="K1395" s="8" t="s">
        <v>10042</v>
      </c>
      <c r="L1395" s="15">
        <v>0.41457500000000003</v>
      </c>
      <c r="M1395" s="15">
        <v>0.17643300000000001</v>
      </c>
      <c r="N1395" s="15">
        <v>0.56172315506101944</v>
      </c>
    </row>
    <row r="1396" spans="1:14" x14ac:dyDescent="0.2">
      <c r="A1396" s="2" t="s">
        <v>10068</v>
      </c>
      <c r="B1396" s="15">
        <v>1746</v>
      </c>
      <c r="C1396" s="15">
        <v>12</v>
      </c>
      <c r="D1396" s="15">
        <v>6023701</v>
      </c>
      <c r="E1396" s="15">
        <v>6948954</v>
      </c>
      <c r="F1396" s="15">
        <v>2607</v>
      </c>
      <c r="G1396" s="8" t="s">
        <v>12324</v>
      </c>
      <c r="H1396" s="24" t="s">
        <v>6565</v>
      </c>
      <c r="I1396" s="25" t="s">
        <v>6475</v>
      </c>
      <c r="J1396" s="8" t="s">
        <v>6566</v>
      </c>
      <c r="K1396" s="8" t="s">
        <v>10054</v>
      </c>
      <c r="L1396" s="15">
        <v>-0.183587</v>
      </c>
      <c r="M1396" s="15">
        <v>0.17684800000000001</v>
      </c>
      <c r="N1396" s="15">
        <v>0.56264051649928271</v>
      </c>
    </row>
    <row r="1397" spans="1:14" x14ac:dyDescent="0.2">
      <c r="A1397" s="2" t="s">
        <v>10066</v>
      </c>
      <c r="B1397" s="15">
        <v>1945</v>
      </c>
      <c r="C1397" s="15">
        <v>13</v>
      </c>
      <c r="D1397" s="15">
        <v>107037865</v>
      </c>
      <c r="E1397" s="15">
        <v>108521978</v>
      </c>
      <c r="F1397" s="15">
        <v>4029</v>
      </c>
      <c r="G1397" s="8" t="s">
        <v>12324</v>
      </c>
      <c r="H1397" s="24" t="s">
        <v>6008</v>
      </c>
      <c r="I1397" s="25" t="s">
        <v>6009</v>
      </c>
      <c r="J1397" s="8" t="s">
        <v>6010</v>
      </c>
      <c r="K1397" s="8" t="s">
        <v>10051</v>
      </c>
      <c r="L1397" s="15">
        <v>-0.40904800000000002</v>
      </c>
      <c r="M1397" s="15">
        <v>0.176986</v>
      </c>
      <c r="N1397" s="15">
        <v>0.56267592114695342</v>
      </c>
    </row>
    <row r="1398" spans="1:14" x14ac:dyDescent="0.2">
      <c r="A1398" s="2" t="s">
        <v>10066</v>
      </c>
      <c r="B1398" s="15">
        <v>1583</v>
      </c>
      <c r="C1398" s="15">
        <v>10</v>
      </c>
      <c r="D1398" s="15">
        <v>107877788</v>
      </c>
      <c r="E1398" s="15">
        <v>108725997</v>
      </c>
      <c r="F1398" s="15">
        <v>2445</v>
      </c>
      <c r="G1398" s="8" t="s">
        <v>12324</v>
      </c>
      <c r="H1398" s="24" t="s">
        <v>3164</v>
      </c>
      <c r="I1398" s="25" t="s">
        <v>3165</v>
      </c>
      <c r="J1398" s="8" t="s">
        <v>3166</v>
      </c>
      <c r="K1398" s="8" t="s">
        <v>10042</v>
      </c>
      <c r="L1398" s="15">
        <v>0.40956999999999999</v>
      </c>
      <c r="M1398" s="15">
        <v>0.17724599999999999</v>
      </c>
      <c r="N1398" s="15">
        <v>0.56309886103151852</v>
      </c>
    </row>
    <row r="1399" spans="1:14" x14ac:dyDescent="0.2">
      <c r="A1399" s="2" t="s">
        <v>10068</v>
      </c>
      <c r="B1399" s="15">
        <v>2481</v>
      </c>
      <c r="C1399" s="15">
        <v>22</v>
      </c>
      <c r="D1399" s="15">
        <v>36135969</v>
      </c>
      <c r="E1399" s="15">
        <v>37364004</v>
      </c>
      <c r="F1399" s="15">
        <v>3367</v>
      </c>
      <c r="G1399" s="8" t="s">
        <v>12324</v>
      </c>
      <c r="H1399" s="24" t="s">
        <v>494</v>
      </c>
      <c r="I1399" s="25">
        <v>25920</v>
      </c>
      <c r="J1399" s="8" t="s">
        <v>496</v>
      </c>
      <c r="K1399" s="8" t="s">
        <v>10040</v>
      </c>
      <c r="L1399" s="15">
        <v>-0.27895599999999998</v>
      </c>
      <c r="M1399" s="15">
        <v>0.17793999999999999</v>
      </c>
      <c r="N1399" s="15">
        <v>0.56402874474053288</v>
      </c>
    </row>
    <row r="1400" spans="1:14" x14ac:dyDescent="0.2">
      <c r="A1400" s="2" t="s">
        <v>10068</v>
      </c>
      <c r="B1400" s="15">
        <v>2177</v>
      </c>
      <c r="C1400" s="15">
        <v>17</v>
      </c>
      <c r="D1400" s="15">
        <v>3430441</v>
      </c>
      <c r="E1400" s="15">
        <v>4463971</v>
      </c>
      <c r="F1400" s="15">
        <v>3173</v>
      </c>
      <c r="G1400" s="8" t="s">
        <v>12324</v>
      </c>
      <c r="H1400" s="24" t="s">
        <v>494</v>
      </c>
      <c r="I1400" s="25">
        <v>25920</v>
      </c>
      <c r="J1400" s="8" t="s">
        <v>496</v>
      </c>
      <c r="K1400" s="8" t="s">
        <v>10040</v>
      </c>
      <c r="L1400" s="15">
        <v>-0.209095</v>
      </c>
      <c r="M1400" s="15">
        <v>0.17905299999999999</v>
      </c>
      <c r="N1400" s="15">
        <v>0.56402874474053288</v>
      </c>
    </row>
    <row r="1401" spans="1:14" x14ac:dyDescent="0.2">
      <c r="A1401" s="2" t="s">
        <v>10068</v>
      </c>
      <c r="B1401" s="15">
        <v>1941</v>
      </c>
      <c r="C1401" s="15">
        <v>13</v>
      </c>
      <c r="D1401" s="15">
        <v>103050418</v>
      </c>
      <c r="E1401" s="15">
        <v>104378435</v>
      </c>
      <c r="F1401" s="15">
        <v>4065</v>
      </c>
      <c r="G1401" s="8" t="s">
        <v>12324</v>
      </c>
      <c r="H1401" s="24" t="s">
        <v>494</v>
      </c>
      <c r="I1401" s="25">
        <v>25920</v>
      </c>
      <c r="J1401" s="8" t="s">
        <v>496</v>
      </c>
      <c r="K1401" s="8" t="s">
        <v>10040</v>
      </c>
      <c r="L1401" s="15">
        <v>-0.35762899999999997</v>
      </c>
      <c r="M1401" s="15">
        <v>0.18041099999999999</v>
      </c>
      <c r="N1401" s="15">
        <v>0.56402874474053288</v>
      </c>
    </row>
    <row r="1402" spans="1:14" x14ac:dyDescent="0.2">
      <c r="A1402" s="2" t="s">
        <v>10068</v>
      </c>
      <c r="B1402" s="15">
        <v>1594</v>
      </c>
      <c r="C1402" s="15">
        <v>10</v>
      </c>
      <c r="D1402" s="15">
        <v>120592840</v>
      </c>
      <c r="E1402" s="15">
        <v>121874445</v>
      </c>
      <c r="F1402" s="15">
        <v>3514</v>
      </c>
      <c r="G1402" s="8" t="s">
        <v>12324</v>
      </c>
      <c r="H1402" s="24" t="s">
        <v>494</v>
      </c>
      <c r="I1402" s="25">
        <v>25920</v>
      </c>
      <c r="J1402" s="8" t="s">
        <v>496</v>
      </c>
      <c r="K1402" s="8" t="s">
        <v>10040</v>
      </c>
      <c r="L1402" s="15">
        <v>0.39442899999999997</v>
      </c>
      <c r="M1402" s="15">
        <v>0.18048</v>
      </c>
      <c r="N1402" s="15">
        <v>0.56402874474053288</v>
      </c>
    </row>
    <row r="1403" spans="1:14" x14ac:dyDescent="0.2">
      <c r="A1403" s="2" t="s">
        <v>10068</v>
      </c>
      <c r="B1403" s="15">
        <v>1116</v>
      </c>
      <c r="C1403" s="15">
        <v>7</v>
      </c>
      <c r="D1403" s="15">
        <v>16739014</v>
      </c>
      <c r="E1403" s="15">
        <v>17596578</v>
      </c>
      <c r="F1403" s="15">
        <v>2484</v>
      </c>
      <c r="G1403" s="8" t="s">
        <v>12324</v>
      </c>
      <c r="H1403" s="24" t="s">
        <v>494</v>
      </c>
      <c r="I1403" s="25">
        <v>25920</v>
      </c>
      <c r="J1403" s="8" t="s">
        <v>496</v>
      </c>
      <c r="K1403" s="8" t="s">
        <v>10040</v>
      </c>
      <c r="L1403" s="15">
        <v>-0.46189999999999998</v>
      </c>
      <c r="M1403" s="15">
        <v>0.180868</v>
      </c>
      <c r="N1403" s="15">
        <v>0.56402874474053288</v>
      </c>
    </row>
    <row r="1404" spans="1:14" x14ac:dyDescent="0.2">
      <c r="A1404" s="2" t="s">
        <v>10068</v>
      </c>
      <c r="B1404" s="15">
        <v>2476</v>
      </c>
      <c r="C1404" s="15">
        <v>22</v>
      </c>
      <c r="D1404" s="15">
        <v>31904550</v>
      </c>
      <c r="E1404" s="15">
        <v>32662293</v>
      </c>
      <c r="F1404" s="15">
        <v>2141</v>
      </c>
      <c r="G1404" s="8" t="s">
        <v>12324</v>
      </c>
      <c r="H1404" s="24" t="s">
        <v>494</v>
      </c>
      <c r="I1404" s="25">
        <v>25920</v>
      </c>
      <c r="J1404" s="8" t="s">
        <v>496</v>
      </c>
      <c r="K1404" s="8" t="s">
        <v>10040</v>
      </c>
      <c r="L1404" s="15">
        <v>0.33569399999999999</v>
      </c>
      <c r="M1404" s="15">
        <v>0.18135399999999999</v>
      </c>
      <c r="N1404" s="15">
        <v>0.56402874474053288</v>
      </c>
    </row>
    <row r="1405" spans="1:14" x14ac:dyDescent="0.2">
      <c r="A1405" s="2" t="s">
        <v>10068</v>
      </c>
      <c r="B1405" s="15">
        <v>97</v>
      </c>
      <c r="C1405" s="15">
        <v>1</v>
      </c>
      <c r="D1405" s="15">
        <v>110224231</v>
      </c>
      <c r="E1405" s="15">
        <v>111134062</v>
      </c>
      <c r="F1405" s="15">
        <v>2128</v>
      </c>
      <c r="G1405" s="8" t="s">
        <v>12324</v>
      </c>
      <c r="H1405" s="24" t="s">
        <v>599</v>
      </c>
      <c r="I1405" s="25">
        <v>26562</v>
      </c>
      <c r="J1405" s="8" t="s">
        <v>601</v>
      </c>
      <c r="K1405" s="8" t="s">
        <v>10040</v>
      </c>
      <c r="L1405" s="15">
        <v>0.26625100000000002</v>
      </c>
      <c r="M1405" s="15">
        <v>0.179892</v>
      </c>
      <c r="N1405" s="15">
        <v>0.56402874474053288</v>
      </c>
    </row>
    <row r="1406" spans="1:14" x14ac:dyDescent="0.2">
      <c r="A1406" s="2" t="s">
        <v>10069</v>
      </c>
      <c r="B1406" s="15">
        <v>2490</v>
      </c>
      <c r="C1406" s="15">
        <v>22</v>
      </c>
      <c r="D1406" s="15">
        <v>46351049</v>
      </c>
      <c r="E1406" s="15">
        <v>47299625</v>
      </c>
      <c r="F1406" s="15">
        <v>1910</v>
      </c>
      <c r="G1406" s="8" t="s">
        <v>12324</v>
      </c>
      <c r="H1406" s="24" t="s">
        <v>662</v>
      </c>
      <c r="I1406" s="25" t="s">
        <v>663</v>
      </c>
      <c r="J1406" s="8" t="s">
        <v>664</v>
      </c>
      <c r="K1406" s="8" t="s">
        <v>10040</v>
      </c>
      <c r="L1406" s="15">
        <v>0.55027999999999999</v>
      </c>
      <c r="M1406" s="15">
        <v>0.17852100000000001</v>
      </c>
      <c r="N1406" s="15">
        <v>0.56402874474053288</v>
      </c>
    </row>
    <row r="1407" spans="1:14" x14ac:dyDescent="0.2">
      <c r="A1407" s="2" t="s">
        <v>10069</v>
      </c>
      <c r="B1407" s="15">
        <v>1821</v>
      </c>
      <c r="C1407" s="15">
        <v>12</v>
      </c>
      <c r="D1407" s="15">
        <v>88344765</v>
      </c>
      <c r="E1407" s="15">
        <v>90567001</v>
      </c>
      <c r="F1407" s="15">
        <v>2176</v>
      </c>
      <c r="G1407" s="8" t="s">
        <v>12324</v>
      </c>
      <c r="H1407" s="24" t="s">
        <v>662</v>
      </c>
      <c r="I1407" s="25" t="s">
        <v>663</v>
      </c>
      <c r="J1407" s="8" t="s">
        <v>664</v>
      </c>
      <c r="K1407" s="8" t="s">
        <v>10040</v>
      </c>
      <c r="L1407" s="15">
        <v>-0.521895</v>
      </c>
      <c r="M1407" s="15">
        <v>0.17960699999999999</v>
      </c>
      <c r="N1407" s="15">
        <v>0.56402874474053288</v>
      </c>
    </row>
    <row r="1408" spans="1:14" x14ac:dyDescent="0.2">
      <c r="A1408" s="2" t="s">
        <v>10069</v>
      </c>
      <c r="B1408" s="15">
        <v>768</v>
      </c>
      <c r="C1408" s="15">
        <v>4</v>
      </c>
      <c r="D1408" s="15">
        <v>184338585</v>
      </c>
      <c r="E1408" s="15">
        <v>185483262</v>
      </c>
      <c r="F1408" s="15">
        <v>2566</v>
      </c>
      <c r="G1408" s="8" t="s">
        <v>12324</v>
      </c>
      <c r="H1408" s="24" t="s">
        <v>662</v>
      </c>
      <c r="I1408" s="25" t="s">
        <v>663</v>
      </c>
      <c r="J1408" s="8" t="s">
        <v>664</v>
      </c>
      <c r="K1408" s="8" t="s">
        <v>10040</v>
      </c>
      <c r="L1408" s="15">
        <v>-0.329349</v>
      </c>
      <c r="M1408" s="15">
        <v>0.17968000000000001</v>
      </c>
      <c r="N1408" s="15">
        <v>0.56402874474053288</v>
      </c>
    </row>
    <row r="1409" spans="1:14" x14ac:dyDescent="0.2">
      <c r="A1409" s="2" t="s">
        <v>10069</v>
      </c>
      <c r="B1409" s="15">
        <v>1937</v>
      </c>
      <c r="C1409" s="15">
        <v>13</v>
      </c>
      <c r="D1409" s="15">
        <v>98527336</v>
      </c>
      <c r="E1409" s="15">
        <v>99402294</v>
      </c>
      <c r="F1409" s="15">
        <v>1606</v>
      </c>
      <c r="G1409" s="8" t="s">
        <v>12324</v>
      </c>
      <c r="H1409" s="24" t="s">
        <v>662</v>
      </c>
      <c r="I1409" s="25" t="s">
        <v>663</v>
      </c>
      <c r="J1409" s="8" t="s">
        <v>664</v>
      </c>
      <c r="K1409" s="8" t="s">
        <v>10040</v>
      </c>
      <c r="L1409" s="15">
        <v>-0.387409</v>
      </c>
      <c r="M1409" s="15">
        <v>0.180172</v>
      </c>
      <c r="N1409" s="15">
        <v>0.56402874474053288</v>
      </c>
    </row>
    <row r="1410" spans="1:14" x14ac:dyDescent="0.2">
      <c r="A1410" s="2" t="s">
        <v>10069</v>
      </c>
      <c r="B1410" s="15">
        <v>535</v>
      </c>
      <c r="C1410" s="15">
        <v>3</v>
      </c>
      <c r="D1410" s="15">
        <v>130242361</v>
      </c>
      <c r="E1410" s="15">
        <v>131373470</v>
      </c>
      <c r="F1410" s="15">
        <v>1360</v>
      </c>
      <c r="G1410" s="8" t="s">
        <v>12324</v>
      </c>
      <c r="H1410" s="24" t="s">
        <v>662</v>
      </c>
      <c r="I1410" s="25" t="s">
        <v>663</v>
      </c>
      <c r="J1410" s="8" t="s">
        <v>664</v>
      </c>
      <c r="K1410" s="8" t="s">
        <v>10040</v>
      </c>
      <c r="L1410" s="15">
        <v>0.604603</v>
      </c>
      <c r="M1410" s="15">
        <v>0.18114</v>
      </c>
      <c r="N1410" s="15">
        <v>0.56402874474053288</v>
      </c>
    </row>
    <row r="1411" spans="1:14" x14ac:dyDescent="0.2">
      <c r="A1411" s="2" t="s">
        <v>10069</v>
      </c>
      <c r="B1411" s="15">
        <v>2272</v>
      </c>
      <c r="C1411" s="15">
        <v>18</v>
      </c>
      <c r="D1411" s="15">
        <v>42974166</v>
      </c>
      <c r="E1411" s="15">
        <v>44300145</v>
      </c>
      <c r="F1411" s="15">
        <v>2481</v>
      </c>
      <c r="G1411" s="8" t="s">
        <v>12324</v>
      </c>
      <c r="H1411" s="24" t="s">
        <v>662</v>
      </c>
      <c r="I1411" s="25" t="s">
        <v>663</v>
      </c>
      <c r="J1411" s="8" t="s">
        <v>664</v>
      </c>
      <c r="K1411" s="8" t="s">
        <v>10040</v>
      </c>
      <c r="L1411" s="15">
        <v>-0.34564899999999998</v>
      </c>
      <c r="M1411" s="15">
        <v>0.18129500000000001</v>
      </c>
      <c r="N1411" s="15">
        <v>0.56402874474053288</v>
      </c>
    </row>
    <row r="1412" spans="1:14" x14ac:dyDescent="0.2">
      <c r="A1412" s="2" t="s">
        <v>10068</v>
      </c>
      <c r="B1412" s="15">
        <v>1604</v>
      </c>
      <c r="C1412" s="15">
        <v>10</v>
      </c>
      <c r="D1412" s="15">
        <v>130694009</v>
      </c>
      <c r="E1412" s="15">
        <v>131694738</v>
      </c>
      <c r="F1412" s="15">
        <v>3232</v>
      </c>
      <c r="G1412" s="8" t="s">
        <v>12324</v>
      </c>
      <c r="H1412" s="24" t="s">
        <v>1259</v>
      </c>
      <c r="I1412" s="25">
        <v>27096</v>
      </c>
      <c r="J1412" s="8" t="s">
        <v>1261</v>
      </c>
      <c r="K1412" s="8" t="s">
        <v>10040</v>
      </c>
      <c r="L1412" s="15">
        <v>-0.27004800000000001</v>
      </c>
      <c r="M1412" s="15">
        <v>0.180004</v>
      </c>
      <c r="N1412" s="15">
        <v>0.56402874474053288</v>
      </c>
    </row>
    <row r="1413" spans="1:14" x14ac:dyDescent="0.2">
      <c r="A1413" s="2" t="s">
        <v>10068</v>
      </c>
      <c r="B1413" s="15">
        <v>823</v>
      </c>
      <c r="C1413" s="15">
        <v>5</v>
      </c>
      <c r="D1413" s="15">
        <v>55968967</v>
      </c>
      <c r="E1413" s="15">
        <v>56896890</v>
      </c>
      <c r="F1413" s="15">
        <v>2269</v>
      </c>
      <c r="G1413" s="8" t="s">
        <v>12324</v>
      </c>
      <c r="H1413" s="24" t="s">
        <v>1259</v>
      </c>
      <c r="I1413" s="25">
        <v>27096</v>
      </c>
      <c r="J1413" s="8" t="s">
        <v>1261</v>
      </c>
      <c r="K1413" s="8" t="s">
        <v>10040</v>
      </c>
      <c r="L1413" s="15">
        <v>0.296462</v>
      </c>
      <c r="M1413" s="15">
        <v>0.18063499999999999</v>
      </c>
      <c r="N1413" s="15">
        <v>0.56402874474053288</v>
      </c>
    </row>
    <row r="1414" spans="1:14" x14ac:dyDescent="0.2">
      <c r="A1414" s="2" t="s">
        <v>10066</v>
      </c>
      <c r="B1414" s="15">
        <v>1754</v>
      </c>
      <c r="C1414" s="15">
        <v>12</v>
      </c>
      <c r="D1414" s="15">
        <v>13559528</v>
      </c>
      <c r="E1414" s="15">
        <v>14656849</v>
      </c>
      <c r="F1414" s="15">
        <v>3108</v>
      </c>
      <c r="G1414" s="8" t="s">
        <v>12324</v>
      </c>
      <c r="H1414" s="24" t="s">
        <v>3164</v>
      </c>
      <c r="I1414" s="25" t="s">
        <v>3165</v>
      </c>
      <c r="J1414" s="8" t="s">
        <v>3166</v>
      </c>
      <c r="K1414" s="8" t="s">
        <v>10042</v>
      </c>
      <c r="L1414" s="15">
        <v>0.33954800000000002</v>
      </c>
      <c r="M1414" s="15">
        <v>0.17821899999999999</v>
      </c>
      <c r="N1414" s="15">
        <v>0.56402874474053288</v>
      </c>
    </row>
    <row r="1415" spans="1:14" x14ac:dyDescent="0.2">
      <c r="A1415" s="2" t="s">
        <v>10066</v>
      </c>
      <c r="B1415" s="15">
        <v>89</v>
      </c>
      <c r="C1415" s="15">
        <v>1</v>
      </c>
      <c r="D1415" s="15">
        <v>102424612</v>
      </c>
      <c r="E1415" s="15">
        <v>103148412</v>
      </c>
      <c r="F1415" s="15">
        <v>2343</v>
      </c>
      <c r="G1415" s="8" t="s">
        <v>12324</v>
      </c>
      <c r="H1415" s="24" t="s">
        <v>3164</v>
      </c>
      <c r="I1415" s="25" t="s">
        <v>3165</v>
      </c>
      <c r="J1415" s="8" t="s">
        <v>3166</v>
      </c>
      <c r="K1415" s="8" t="s">
        <v>10042</v>
      </c>
      <c r="L1415" s="15">
        <v>-0.51027800000000001</v>
      </c>
      <c r="M1415" s="15">
        <v>0.17845900000000001</v>
      </c>
      <c r="N1415" s="15">
        <v>0.56402874474053288</v>
      </c>
    </row>
    <row r="1416" spans="1:14" x14ac:dyDescent="0.2">
      <c r="A1416" s="2" t="s">
        <v>10066</v>
      </c>
      <c r="B1416" s="15">
        <v>398</v>
      </c>
      <c r="C1416" s="15">
        <v>2</v>
      </c>
      <c r="D1416" s="15">
        <v>221445192</v>
      </c>
      <c r="E1416" s="15">
        <v>222327713</v>
      </c>
      <c r="F1416" s="15">
        <v>2149</v>
      </c>
      <c r="G1416" s="8" t="s">
        <v>12324</v>
      </c>
      <c r="H1416" s="24" t="s">
        <v>3164</v>
      </c>
      <c r="I1416" s="25" t="s">
        <v>3165</v>
      </c>
      <c r="J1416" s="8" t="s">
        <v>3166</v>
      </c>
      <c r="K1416" s="8" t="s">
        <v>10042</v>
      </c>
      <c r="L1416" s="15">
        <v>0.28645500000000002</v>
      </c>
      <c r="M1416" s="15">
        <v>0.17935100000000001</v>
      </c>
      <c r="N1416" s="15">
        <v>0.56402874474053288</v>
      </c>
    </row>
    <row r="1417" spans="1:14" x14ac:dyDescent="0.2">
      <c r="A1417" s="2" t="s">
        <v>10066</v>
      </c>
      <c r="B1417" s="15">
        <v>1429</v>
      </c>
      <c r="C1417" s="15">
        <v>9</v>
      </c>
      <c r="D1417" s="15">
        <v>83455503</v>
      </c>
      <c r="E1417" s="15">
        <v>85135751</v>
      </c>
      <c r="F1417" s="15">
        <v>3684</v>
      </c>
      <c r="G1417" s="8" t="s">
        <v>12324</v>
      </c>
      <c r="H1417" s="24" t="s">
        <v>3164</v>
      </c>
      <c r="I1417" s="25" t="s">
        <v>3165</v>
      </c>
      <c r="J1417" s="8" t="s">
        <v>3166</v>
      </c>
      <c r="K1417" s="8" t="s">
        <v>10042</v>
      </c>
      <c r="L1417" s="15">
        <v>-0.40714</v>
      </c>
      <c r="M1417" s="15">
        <v>0.17984</v>
      </c>
      <c r="N1417" s="15">
        <v>0.56402874474053288</v>
      </c>
    </row>
    <row r="1418" spans="1:14" x14ac:dyDescent="0.2">
      <c r="A1418" s="2" t="s">
        <v>10066</v>
      </c>
      <c r="B1418" s="15">
        <v>752</v>
      </c>
      <c r="C1418" s="15">
        <v>4</v>
      </c>
      <c r="D1418" s="15">
        <v>169555115</v>
      </c>
      <c r="E1418" s="15">
        <v>170682809</v>
      </c>
      <c r="F1418" s="15">
        <v>2448</v>
      </c>
      <c r="G1418" s="8" t="s">
        <v>12324</v>
      </c>
      <c r="H1418" s="24" t="s">
        <v>3164</v>
      </c>
      <c r="I1418" s="25" t="s">
        <v>3165</v>
      </c>
      <c r="J1418" s="8" t="s">
        <v>3166</v>
      </c>
      <c r="K1418" s="8" t="s">
        <v>10042</v>
      </c>
      <c r="L1418" s="15">
        <v>0.306616</v>
      </c>
      <c r="M1418" s="15">
        <v>0.180336</v>
      </c>
      <c r="N1418" s="15">
        <v>0.56402874474053288</v>
      </c>
    </row>
    <row r="1419" spans="1:14" x14ac:dyDescent="0.2">
      <c r="A1419" s="2" t="s">
        <v>10066</v>
      </c>
      <c r="B1419" s="15">
        <v>638</v>
      </c>
      <c r="C1419" s="15">
        <v>4</v>
      </c>
      <c r="D1419" s="15">
        <v>37880861</v>
      </c>
      <c r="E1419" s="15">
        <v>38984838</v>
      </c>
      <c r="F1419" s="15">
        <v>3592</v>
      </c>
      <c r="G1419" s="8" t="s">
        <v>12324</v>
      </c>
      <c r="H1419" s="24" t="s">
        <v>3164</v>
      </c>
      <c r="I1419" s="25" t="s">
        <v>3165</v>
      </c>
      <c r="J1419" s="8" t="s">
        <v>3166</v>
      </c>
      <c r="K1419" s="8" t="s">
        <v>10042</v>
      </c>
      <c r="L1419" s="15">
        <v>0.28601900000000002</v>
      </c>
      <c r="M1419" s="15">
        <v>0.18038399999999999</v>
      </c>
      <c r="N1419" s="15">
        <v>0.56402874474053288</v>
      </c>
    </row>
    <row r="1420" spans="1:14" x14ac:dyDescent="0.2">
      <c r="A1420" s="2" t="s">
        <v>10066</v>
      </c>
      <c r="B1420" s="15">
        <v>758</v>
      </c>
      <c r="C1420" s="15">
        <v>4</v>
      </c>
      <c r="D1420" s="15">
        <v>175959698</v>
      </c>
      <c r="E1420" s="15">
        <v>177129678</v>
      </c>
      <c r="F1420" s="15">
        <v>3045</v>
      </c>
      <c r="G1420" s="8" t="s">
        <v>12324</v>
      </c>
      <c r="H1420" s="24" t="s">
        <v>3164</v>
      </c>
      <c r="I1420" s="25" t="s">
        <v>3165</v>
      </c>
      <c r="J1420" s="8" t="s">
        <v>3166</v>
      </c>
      <c r="K1420" s="8" t="s">
        <v>10042</v>
      </c>
      <c r="L1420" s="15">
        <v>0.34487499999999999</v>
      </c>
      <c r="M1420" s="15">
        <v>0.18041399999999999</v>
      </c>
      <c r="N1420" s="15">
        <v>0.56402874474053288</v>
      </c>
    </row>
    <row r="1421" spans="1:14" x14ac:dyDescent="0.2">
      <c r="A1421" s="2" t="s">
        <v>10066</v>
      </c>
      <c r="B1421" s="15">
        <v>1260</v>
      </c>
      <c r="C1421" s="15">
        <v>8</v>
      </c>
      <c r="D1421" s="15">
        <v>16988031</v>
      </c>
      <c r="E1421" s="15">
        <v>17492672</v>
      </c>
      <c r="F1421" s="15">
        <v>2052</v>
      </c>
      <c r="G1421" s="8" t="s">
        <v>12324</v>
      </c>
      <c r="H1421" s="24" t="s">
        <v>6008</v>
      </c>
      <c r="I1421" s="25" t="s">
        <v>6009</v>
      </c>
      <c r="J1421" s="8" t="s">
        <v>6010</v>
      </c>
      <c r="K1421" s="8" t="s">
        <v>10051</v>
      </c>
      <c r="L1421" s="15">
        <v>-0.22891400000000001</v>
      </c>
      <c r="M1421" s="15">
        <v>0.1779</v>
      </c>
      <c r="N1421" s="15">
        <v>0.56402874474053288</v>
      </c>
    </row>
    <row r="1422" spans="1:14" x14ac:dyDescent="0.2">
      <c r="A1422" s="2" t="s">
        <v>10066</v>
      </c>
      <c r="B1422" s="15">
        <v>2244</v>
      </c>
      <c r="C1422" s="15">
        <v>18</v>
      </c>
      <c r="D1422" s="15">
        <v>5575813</v>
      </c>
      <c r="E1422" s="15">
        <v>6756496</v>
      </c>
      <c r="F1422" s="15">
        <v>3185</v>
      </c>
      <c r="G1422" s="8" t="s">
        <v>12324</v>
      </c>
      <c r="H1422" s="24" t="s">
        <v>6008</v>
      </c>
      <c r="I1422" s="25" t="s">
        <v>6009</v>
      </c>
      <c r="J1422" s="8" t="s">
        <v>6010</v>
      </c>
      <c r="K1422" s="8" t="s">
        <v>10051</v>
      </c>
      <c r="L1422" s="15">
        <v>-0.25876100000000002</v>
      </c>
      <c r="M1422" s="15">
        <v>0.17911299999999999</v>
      </c>
      <c r="N1422" s="15">
        <v>0.56402874474053288</v>
      </c>
    </row>
    <row r="1423" spans="1:14" x14ac:dyDescent="0.2">
      <c r="A1423" s="2" t="s">
        <v>10068</v>
      </c>
      <c r="B1423" s="15">
        <v>1241</v>
      </c>
      <c r="C1423" s="15">
        <v>8</v>
      </c>
      <c r="D1423" s="15">
        <v>4273084</v>
      </c>
      <c r="E1423" s="15">
        <v>4893120</v>
      </c>
      <c r="F1423" s="15">
        <v>3189</v>
      </c>
      <c r="G1423" s="8" t="s">
        <v>12324</v>
      </c>
      <c r="H1423" s="24" t="s">
        <v>6565</v>
      </c>
      <c r="I1423" s="25" t="s">
        <v>6475</v>
      </c>
      <c r="J1423" s="8" t="s">
        <v>6566</v>
      </c>
      <c r="K1423" s="8" t="s">
        <v>10054</v>
      </c>
      <c r="L1423" s="15">
        <v>-0.42410900000000001</v>
      </c>
      <c r="M1423" s="15">
        <v>0.179484</v>
      </c>
      <c r="N1423" s="15">
        <v>0.56402874474053288</v>
      </c>
    </row>
    <row r="1424" spans="1:14" x14ac:dyDescent="0.2">
      <c r="A1424" s="2" t="s">
        <v>10068</v>
      </c>
      <c r="B1424" s="15">
        <v>66</v>
      </c>
      <c r="C1424" s="15">
        <v>1</v>
      </c>
      <c r="D1424" s="15">
        <v>76977916</v>
      </c>
      <c r="E1424" s="15">
        <v>77895394</v>
      </c>
      <c r="F1424" s="15">
        <v>2480</v>
      </c>
      <c r="G1424" s="8" t="s">
        <v>12324</v>
      </c>
      <c r="H1424" s="24" t="s">
        <v>6565</v>
      </c>
      <c r="I1424" s="25" t="s">
        <v>6475</v>
      </c>
      <c r="J1424" s="8" t="s">
        <v>6566</v>
      </c>
      <c r="K1424" s="8" t="s">
        <v>10054</v>
      </c>
      <c r="L1424" s="15">
        <v>0.292543</v>
      </c>
      <c r="M1424" s="15">
        <v>0.179561</v>
      </c>
      <c r="N1424" s="15">
        <v>0.56402874474053288</v>
      </c>
    </row>
    <row r="1425" spans="1:14" x14ac:dyDescent="0.2">
      <c r="A1425" s="2" t="s">
        <v>10068</v>
      </c>
      <c r="B1425" s="15">
        <v>1766</v>
      </c>
      <c r="C1425" s="15">
        <v>12</v>
      </c>
      <c r="D1425" s="15">
        <v>25990814</v>
      </c>
      <c r="E1425" s="15">
        <v>26958056</v>
      </c>
      <c r="F1425" s="15">
        <v>2959</v>
      </c>
      <c r="G1425" s="8" t="s">
        <v>12324</v>
      </c>
      <c r="H1425" s="24" t="s">
        <v>6565</v>
      </c>
      <c r="I1425" s="25" t="s">
        <v>6475</v>
      </c>
      <c r="J1425" s="8" t="s">
        <v>6566</v>
      </c>
      <c r="K1425" s="8" t="s">
        <v>10054</v>
      </c>
      <c r="L1425" s="15">
        <v>-0.46515499999999999</v>
      </c>
      <c r="M1425" s="15">
        <v>0.18018999999999999</v>
      </c>
      <c r="N1425" s="15">
        <v>0.56402874474053288</v>
      </c>
    </row>
    <row r="1426" spans="1:14" x14ac:dyDescent="0.2">
      <c r="A1426" s="2" t="s">
        <v>10068</v>
      </c>
      <c r="B1426" s="15">
        <v>1310</v>
      </c>
      <c r="C1426" s="15">
        <v>8</v>
      </c>
      <c r="D1426" s="15">
        <v>75011700</v>
      </c>
      <c r="E1426" s="15">
        <v>76295483</v>
      </c>
      <c r="F1426" s="15">
        <v>3411</v>
      </c>
      <c r="G1426" s="8" t="s">
        <v>12324</v>
      </c>
      <c r="H1426" s="24" t="s">
        <v>6565</v>
      </c>
      <c r="I1426" s="25" t="s">
        <v>6475</v>
      </c>
      <c r="J1426" s="8" t="s">
        <v>6566</v>
      </c>
      <c r="K1426" s="8" t="s">
        <v>10054</v>
      </c>
      <c r="L1426" s="15">
        <v>-0.42500399999999999</v>
      </c>
      <c r="M1426" s="15">
        <v>0.180924</v>
      </c>
      <c r="N1426" s="15">
        <v>0.56402874474053288</v>
      </c>
    </row>
    <row r="1427" spans="1:14" x14ac:dyDescent="0.2">
      <c r="A1427" s="2" t="s">
        <v>10068</v>
      </c>
      <c r="B1427" s="15">
        <v>803</v>
      </c>
      <c r="C1427" s="15">
        <v>5</v>
      </c>
      <c r="D1427" s="15">
        <v>30416067</v>
      </c>
      <c r="E1427" s="15">
        <v>31679464</v>
      </c>
      <c r="F1427" s="15">
        <v>3532</v>
      </c>
      <c r="G1427" s="8" t="s">
        <v>12324</v>
      </c>
      <c r="H1427" s="24" t="s">
        <v>6565</v>
      </c>
      <c r="I1427" s="25" t="s">
        <v>6475</v>
      </c>
      <c r="J1427" s="8" t="s">
        <v>6566</v>
      </c>
      <c r="K1427" s="8" t="s">
        <v>10054</v>
      </c>
      <c r="L1427" s="15">
        <v>0.281358</v>
      </c>
      <c r="M1427" s="15">
        <v>0.18102699999999999</v>
      </c>
      <c r="N1427" s="15">
        <v>0.56402874474053288</v>
      </c>
    </row>
    <row r="1428" spans="1:14" x14ac:dyDescent="0.2">
      <c r="A1428" s="2" t="s">
        <v>10068</v>
      </c>
      <c r="B1428" s="15">
        <v>2043</v>
      </c>
      <c r="C1428" s="15">
        <v>15</v>
      </c>
      <c r="D1428" s="15">
        <v>32177321</v>
      </c>
      <c r="E1428" s="15">
        <v>33484267</v>
      </c>
      <c r="F1428" s="15">
        <v>2760</v>
      </c>
      <c r="G1428" s="8" t="s">
        <v>12324</v>
      </c>
      <c r="H1428" s="24" t="s">
        <v>6565</v>
      </c>
      <c r="I1428" s="25" t="s">
        <v>6475</v>
      </c>
      <c r="J1428" s="8" t="s">
        <v>6566</v>
      </c>
      <c r="K1428" s="8" t="s">
        <v>10054</v>
      </c>
      <c r="L1428" s="15">
        <v>0.211752</v>
      </c>
      <c r="M1428" s="15">
        <v>0.181065</v>
      </c>
      <c r="N1428" s="15">
        <v>0.56402874474053288</v>
      </c>
    </row>
    <row r="1429" spans="1:14" x14ac:dyDescent="0.2">
      <c r="A1429" s="2" t="s">
        <v>10068</v>
      </c>
      <c r="B1429" s="15">
        <v>785</v>
      </c>
      <c r="C1429" s="15">
        <v>5</v>
      </c>
      <c r="D1429" s="15">
        <v>9203856</v>
      </c>
      <c r="E1429" s="15">
        <v>10549029</v>
      </c>
      <c r="F1429" s="15">
        <v>3798</v>
      </c>
      <c r="G1429" s="8" t="s">
        <v>12324</v>
      </c>
      <c r="H1429" s="24" t="s">
        <v>494</v>
      </c>
      <c r="I1429" s="25">
        <v>25920</v>
      </c>
      <c r="J1429" s="8" t="s">
        <v>496</v>
      </c>
      <c r="K1429" s="8" t="s">
        <v>10040</v>
      </c>
      <c r="L1429" s="15">
        <v>0.218031</v>
      </c>
      <c r="M1429" s="15">
        <v>0.181616</v>
      </c>
      <c r="N1429" s="15">
        <v>0.56418472377622375</v>
      </c>
    </row>
    <row r="1430" spans="1:14" x14ac:dyDescent="0.2">
      <c r="A1430" s="2" t="s">
        <v>10068</v>
      </c>
      <c r="B1430" s="15">
        <v>1326</v>
      </c>
      <c r="C1430" s="15">
        <v>8</v>
      </c>
      <c r="D1430" s="15">
        <v>96175631</v>
      </c>
      <c r="E1430" s="15">
        <v>96900513</v>
      </c>
      <c r="F1430" s="15">
        <v>2303</v>
      </c>
      <c r="G1430" s="8" t="s">
        <v>12324</v>
      </c>
      <c r="H1430" s="24" t="s">
        <v>599</v>
      </c>
      <c r="I1430" s="25">
        <v>26562</v>
      </c>
      <c r="J1430" s="8" t="s">
        <v>601</v>
      </c>
      <c r="K1430" s="8" t="s">
        <v>10040</v>
      </c>
      <c r="L1430" s="15">
        <v>0.42013800000000001</v>
      </c>
      <c r="M1430" s="15">
        <v>0.18185200000000001</v>
      </c>
      <c r="N1430" s="15">
        <v>0.56418472377622375</v>
      </c>
    </row>
    <row r="1431" spans="1:14" x14ac:dyDescent="0.2">
      <c r="A1431" s="2" t="s">
        <v>10069</v>
      </c>
      <c r="B1431" s="15">
        <v>1125</v>
      </c>
      <c r="C1431" s="15">
        <v>7</v>
      </c>
      <c r="D1431" s="15">
        <v>25671576</v>
      </c>
      <c r="E1431" s="15">
        <v>27351286</v>
      </c>
      <c r="F1431" s="15">
        <v>2626</v>
      </c>
      <c r="G1431" s="8" t="s">
        <v>12324</v>
      </c>
      <c r="H1431" s="24" t="s">
        <v>662</v>
      </c>
      <c r="I1431" s="25" t="s">
        <v>663</v>
      </c>
      <c r="J1431" s="8" t="s">
        <v>664</v>
      </c>
      <c r="K1431" s="8" t="s">
        <v>10040</v>
      </c>
      <c r="L1431" s="15">
        <v>0.474157</v>
      </c>
      <c r="M1431" s="15">
        <v>0.18191299999999999</v>
      </c>
      <c r="N1431" s="15">
        <v>0.56418472377622375</v>
      </c>
    </row>
    <row r="1432" spans="1:14" x14ac:dyDescent="0.2">
      <c r="A1432" s="2" t="s">
        <v>10066</v>
      </c>
      <c r="B1432" s="15">
        <v>611</v>
      </c>
      <c r="C1432" s="15">
        <v>4</v>
      </c>
      <c r="D1432" s="15">
        <v>11050120</v>
      </c>
      <c r="E1432" s="15">
        <v>12209028</v>
      </c>
      <c r="F1432" s="15">
        <v>3957</v>
      </c>
      <c r="G1432" s="8" t="s">
        <v>12324</v>
      </c>
      <c r="H1432" s="24" t="s">
        <v>6008</v>
      </c>
      <c r="I1432" s="25" t="s">
        <v>6009</v>
      </c>
      <c r="J1432" s="8" t="s">
        <v>6010</v>
      </c>
      <c r="K1432" s="8" t="s">
        <v>10051</v>
      </c>
      <c r="L1432" s="15">
        <v>0.32972600000000002</v>
      </c>
      <c r="M1432" s="15">
        <v>0.181759</v>
      </c>
      <c r="N1432" s="15">
        <v>0.56418472377622375</v>
      </c>
    </row>
    <row r="1433" spans="1:14" x14ac:dyDescent="0.2">
      <c r="A1433" s="2" t="s">
        <v>10068</v>
      </c>
      <c r="B1433" s="15">
        <v>19</v>
      </c>
      <c r="C1433" s="15">
        <v>1</v>
      </c>
      <c r="D1433" s="15">
        <v>17557747</v>
      </c>
      <c r="E1433" s="15">
        <v>18427820</v>
      </c>
      <c r="F1433" s="15">
        <v>2581</v>
      </c>
      <c r="G1433" s="8" t="s">
        <v>12324</v>
      </c>
      <c r="H1433" s="24" t="s">
        <v>6565</v>
      </c>
      <c r="I1433" s="25" t="s">
        <v>6475</v>
      </c>
      <c r="J1433" s="8" t="s">
        <v>6566</v>
      </c>
      <c r="K1433" s="8" t="s">
        <v>10054</v>
      </c>
      <c r="L1433" s="15">
        <v>0.50921700000000003</v>
      </c>
      <c r="M1433" s="15">
        <v>0.18218699999999999</v>
      </c>
      <c r="N1433" s="15">
        <v>0.56461390363128494</v>
      </c>
    </row>
    <row r="1434" spans="1:14" x14ac:dyDescent="0.2">
      <c r="A1434" s="2" t="s">
        <v>10068</v>
      </c>
      <c r="B1434" s="15">
        <v>18</v>
      </c>
      <c r="C1434" s="15">
        <v>1</v>
      </c>
      <c r="D1434" s="15">
        <v>16732169</v>
      </c>
      <c r="E1434" s="15">
        <v>17557746</v>
      </c>
      <c r="F1434" s="15">
        <v>1452</v>
      </c>
      <c r="G1434" s="8" t="s">
        <v>12324</v>
      </c>
      <c r="H1434" s="24" t="s">
        <v>6565</v>
      </c>
      <c r="I1434" s="25" t="s">
        <v>6475</v>
      </c>
      <c r="J1434" s="8" t="s">
        <v>6566</v>
      </c>
      <c r="K1434" s="8" t="s">
        <v>10054</v>
      </c>
      <c r="L1434" s="15">
        <v>0.15274599999999999</v>
      </c>
      <c r="M1434" s="15">
        <v>0.182306</v>
      </c>
      <c r="N1434" s="15">
        <v>0.56461390363128494</v>
      </c>
    </row>
    <row r="1435" spans="1:14" x14ac:dyDescent="0.2">
      <c r="A1435" s="2" t="s">
        <v>10068</v>
      </c>
      <c r="B1435" s="15">
        <v>1309</v>
      </c>
      <c r="C1435" s="15">
        <v>8</v>
      </c>
      <c r="D1435" s="15">
        <v>73838028</v>
      </c>
      <c r="E1435" s="15">
        <v>75011699</v>
      </c>
      <c r="F1435" s="15">
        <v>2861</v>
      </c>
      <c r="G1435" s="8" t="s">
        <v>12324</v>
      </c>
      <c r="H1435" s="24" t="s">
        <v>599</v>
      </c>
      <c r="I1435" s="25">
        <v>26562</v>
      </c>
      <c r="J1435" s="8" t="s">
        <v>601</v>
      </c>
      <c r="K1435" s="8" t="s">
        <v>10040</v>
      </c>
      <c r="L1435" s="15">
        <v>0.36939</v>
      </c>
      <c r="M1435" s="15">
        <v>0.183061</v>
      </c>
      <c r="N1435" s="15">
        <v>0.56655654919748777</v>
      </c>
    </row>
    <row r="1436" spans="1:14" x14ac:dyDescent="0.2">
      <c r="A1436" s="2" t="s">
        <v>10066</v>
      </c>
      <c r="B1436" s="15">
        <v>761</v>
      </c>
      <c r="C1436" s="15">
        <v>4</v>
      </c>
      <c r="D1436" s="15">
        <v>179233906</v>
      </c>
      <c r="E1436" s="15">
        <v>179932391</v>
      </c>
      <c r="F1436" s="15">
        <v>2240</v>
      </c>
      <c r="G1436" s="8" t="s">
        <v>12324</v>
      </c>
      <c r="H1436" s="24" t="s">
        <v>6008</v>
      </c>
      <c r="I1436" s="25" t="s">
        <v>6009</v>
      </c>
      <c r="J1436" s="8" t="s">
        <v>6010</v>
      </c>
      <c r="K1436" s="8" t="s">
        <v>10051</v>
      </c>
      <c r="L1436" s="15">
        <v>0.20083100000000001</v>
      </c>
      <c r="M1436" s="15">
        <v>0.18329100000000001</v>
      </c>
      <c r="N1436" s="15">
        <v>0.5668727928870293</v>
      </c>
    </row>
    <row r="1437" spans="1:14" x14ac:dyDescent="0.2">
      <c r="A1437" s="2" t="s">
        <v>10068</v>
      </c>
      <c r="B1437" s="15">
        <v>33</v>
      </c>
      <c r="C1437" s="15">
        <v>1</v>
      </c>
      <c r="D1437" s="15">
        <v>34371023</v>
      </c>
      <c r="E1437" s="15">
        <v>35201626</v>
      </c>
      <c r="F1437" s="15">
        <v>2404</v>
      </c>
      <c r="G1437" s="8" t="s">
        <v>12324</v>
      </c>
      <c r="H1437" s="24" t="s">
        <v>494</v>
      </c>
      <c r="I1437" s="25">
        <v>25920</v>
      </c>
      <c r="J1437" s="8" t="s">
        <v>496</v>
      </c>
      <c r="K1437" s="8" t="s">
        <v>10040</v>
      </c>
      <c r="L1437" s="15">
        <v>0.27362399999999998</v>
      </c>
      <c r="M1437" s="15">
        <v>0.18343200000000001</v>
      </c>
      <c r="N1437" s="15">
        <v>0.56691353310104531</v>
      </c>
    </row>
    <row r="1438" spans="1:14" x14ac:dyDescent="0.2">
      <c r="A1438" s="2" t="s">
        <v>10068</v>
      </c>
      <c r="B1438" s="15">
        <v>2358</v>
      </c>
      <c r="C1438" s="15">
        <v>19</v>
      </c>
      <c r="D1438" s="15">
        <v>51259179</v>
      </c>
      <c r="E1438" s="15">
        <v>51903804</v>
      </c>
      <c r="F1438" s="15">
        <v>2095</v>
      </c>
      <c r="G1438" s="8" t="s">
        <v>12324</v>
      </c>
      <c r="H1438" s="24" t="s">
        <v>599</v>
      </c>
      <c r="I1438" s="25">
        <v>26562</v>
      </c>
      <c r="J1438" s="8" t="s">
        <v>601</v>
      </c>
      <c r="K1438" s="8" t="s">
        <v>10040</v>
      </c>
      <c r="L1438" s="15">
        <v>-0.18572</v>
      </c>
      <c r="M1438" s="15">
        <v>0.18359600000000001</v>
      </c>
      <c r="N1438" s="15">
        <v>0.56702525069637888</v>
      </c>
    </row>
    <row r="1439" spans="1:14" x14ac:dyDescent="0.2">
      <c r="A1439" s="2" t="s">
        <v>10066</v>
      </c>
      <c r="B1439" s="15">
        <v>482</v>
      </c>
      <c r="C1439" s="15">
        <v>3</v>
      </c>
      <c r="D1439" s="15">
        <v>69784970</v>
      </c>
      <c r="E1439" s="15">
        <v>71223281</v>
      </c>
      <c r="F1439" s="15">
        <v>2764</v>
      </c>
      <c r="G1439" s="8" t="s">
        <v>12324</v>
      </c>
      <c r="H1439" s="24" t="s">
        <v>6008</v>
      </c>
      <c r="I1439" s="25" t="s">
        <v>6009</v>
      </c>
      <c r="J1439" s="8" t="s">
        <v>6010</v>
      </c>
      <c r="K1439" s="8" t="s">
        <v>10051</v>
      </c>
      <c r="L1439" s="15">
        <v>-0.26207399999999997</v>
      </c>
      <c r="M1439" s="15">
        <v>0.18373700000000001</v>
      </c>
      <c r="N1439" s="15">
        <v>0.56706582811412665</v>
      </c>
    </row>
    <row r="1440" spans="1:14" x14ac:dyDescent="0.2">
      <c r="A1440" s="2" t="s">
        <v>10068</v>
      </c>
      <c r="B1440" s="15">
        <v>656</v>
      </c>
      <c r="C1440" s="15">
        <v>4</v>
      </c>
      <c r="D1440" s="15">
        <v>59692949</v>
      </c>
      <c r="E1440" s="15">
        <v>60746709</v>
      </c>
      <c r="F1440" s="15">
        <v>3319</v>
      </c>
      <c r="G1440" s="8" t="s">
        <v>12324</v>
      </c>
      <c r="H1440" s="24" t="s">
        <v>1259</v>
      </c>
      <c r="I1440" s="25">
        <v>27096</v>
      </c>
      <c r="J1440" s="8" t="s">
        <v>1261</v>
      </c>
      <c r="K1440" s="8" t="s">
        <v>10040</v>
      </c>
      <c r="L1440" s="15">
        <v>-0.39401399999999998</v>
      </c>
      <c r="M1440" s="15">
        <v>0.18412500000000001</v>
      </c>
      <c r="N1440" s="15">
        <v>0.56786813282336579</v>
      </c>
    </row>
    <row r="1441" spans="1:14" x14ac:dyDescent="0.2">
      <c r="A1441" s="2" t="s">
        <v>10068</v>
      </c>
      <c r="B1441" s="15">
        <v>2059</v>
      </c>
      <c r="C1441" s="15">
        <v>15</v>
      </c>
      <c r="D1441" s="15">
        <v>53263127</v>
      </c>
      <c r="E1441" s="15">
        <v>54332799</v>
      </c>
      <c r="F1441" s="15">
        <v>3444</v>
      </c>
      <c r="G1441" s="8" t="s">
        <v>12324</v>
      </c>
      <c r="H1441" s="24" t="s">
        <v>494</v>
      </c>
      <c r="I1441" s="25">
        <v>25920</v>
      </c>
      <c r="J1441" s="8" t="s">
        <v>496</v>
      </c>
      <c r="K1441" s="8" t="s">
        <v>10040</v>
      </c>
      <c r="L1441" s="15">
        <v>0.31978699999999999</v>
      </c>
      <c r="M1441" s="15">
        <v>0.18487500000000001</v>
      </c>
      <c r="N1441" s="15">
        <v>0.56965486495844875</v>
      </c>
    </row>
    <row r="1442" spans="1:14" x14ac:dyDescent="0.2">
      <c r="A1442" s="2" t="s">
        <v>10068</v>
      </c>
      <c r="B1442" s="15">
        <v>2046</v>
      </c>
      <c r="C1442" s="15">
        <v>15</v>
      </c>
      <c r="D1442" s="15">
        <v>35118928</v>
      </c>
      <c r="E1442" s="15">
        <v>36583327</v>
      </c>
      <c r="F1442" s="15">
        <v>3543</v>
      </c>
      <c r="G1442" s="8" t="s">
        <v>12324</v>
      </c>
      <c r="H1442" s="24" t="s">
        <v>599</v>
      </c>
      <c r="I1442" s="25">
        <v>26562</v>
      </c>
      <c r="J1442" s="8" t="s">
        <v>601</v>
      </c>
      <c r="K1442" s="8" t="s">
        <v>10040</v>
      </c>
      <c r="L1442" s="15">
        <v>-0.29772999999999999</v>
      </c>
      <c r="M1442" s="15">
        <v>0.18521499999999999</v>
      </c>
      <c r="N1442" s="15">
        <v>0.56965486495844875</v>
      </c>
    </row>
    <row r="1443" spans="1:14" x14ac:dyDescent="0.2">
      <c r="A1443" s="2" t="s">
        <v>10069</v>
      </c>
      <c r="B1443" s="15">
        <v>2362</v>
      </c>
      <c r="C1443" s="15">
        <v>19</v>
      </c>
      <c r="D1443" s="15">
        <v>54042241</v>
      </c>
      <c r="E1443" s="15">
        <v>54602370</v>
      </c>
      <c r="F1443" s="15">
        <v>1028</v>
      </c>
      <c r="G1443" s="8" t="s">
        <v>12324</v>
      </c>
      <c r="H1443" s="24" t="s">
        <v>662</v>
      </c>
      <c r="I1443" s="25" t="s">
        <v>663</v>
      </c>
      <c r="J1443" s="8" t="s">
        <v>664</v>
      </c>
      <c r="K1443" s="8" t="s">
        <v>10040</v>
      </c>
      <c r="L1443" s="15">
        <v>-0.32186999999999999</v>
      </c>
      <c r="M1443" s="15">
        <v>0.18535699999999999</v>
      </c>
      <c r="N1443" s="15">
        <v>0.56965486495844875</v>
      </c>
    </row>
    <row r="1444" spans="1:14" x14ac:dyDescent="0.2">
      <c r="A1444" s="2" t="s">
        <v>10066</v>
      </c>
      <c r="B1444" s="15">
        <v>2470</v>
      </c>
      <c r="C1444" s="15">
        <v>22</v>
      </c>
      <c r="D1444" s="15">
        <v>25282437</v>
      </c>
      <c r="E1444" s="15">
        <v>26166934</v>
      </c>
      <c r="F1444" s="15">
        <v>2756</v>
      </c>
      <c r="G1444" s="8" t="s">
        <v>12324</v>
      </c>
      <c r="H1444" s="24" t="s">
        <v>3164</v>
      </c>
      <c r="I1444" s="25" t="s">
        <v>3165</v>
      </c>
      <c r="J1444" s="8" t="s">
        <v>3166</v>
      </c>
      <c r="K1444" s="8" t="s">
        <v>10042</v>
      </c>
      <c r="L1444" s="15">
        <v>-0.23350299999999999</v>
      </c>
      <c r="M1444" s="15">
        <v>0.185003</v>
      </c>
      <c r="N1444" s="15">
        <v>0.56965486495844875</v>
      </c>
    </row>
    <row r="1445" spans="1:14" x14ac:dyDescent="0.2">
      <c r="A1445" s="2" t="s">
        <v>10066</v>
      </c>
      <c r="B1445" s="15">
        <v>2491</v>
      </c>
      <c r="C1445" s="15">
        <v>22</v>
      </c>
      <c r="D1445" s="15">
        <v>47299626</v>
      </c>
      <c r="E1445" s="15">
        <v>48269177</v>
      </c>
      <c r="F1445" s="15">
        <v>3132</v>
      </c>
      <c r="G1445" s="8" t="s">
        <v>12324</v>
      </c>
      <c r="H1445" s="24" t="s">
        <v>3164</v>
      </c>
      <c r="I1445" s="25" t="s">
        <v>3165</v>
      </c>
      <c r="J1445" s="8" t="s">
        <v>3166</v>
      </c>
      <c r="K1445" s="8" t="s">
        <v>10042</v>
      </c>
      <c r="L1445" s="15">
        <v>0.35000399999999998</v>
      </c>
      <c r="M1445" s="15">
        <v>0.18542</v>
      </c>
      <c r="N1445" s="15">
        <v>0.56965486495844875</v>
      </c>
    </row>
    <row r="1446" spans="1:14" x14ac:dyDescent="0.2">
      <c r="A1446" s="2" t="s">
        <v>10066</v>
      </c>
      <c r="B1446" s="15">
        <v>2373</v>
      </c>
      <c r="C1446" s="15">
        <v>20</v>
      </c>
      <c r="D1446" s="15">
        <v>3736552</v>
      </c>
      <c r="E1446" s="15">
        <v>4591847</v>
      </c>
      <c r="F1446" s="15">
        <v>2781</v>
      </c>
      <c r="G1446" s="8" t="s">
        <v>12324</v>
      </c>
      <c r="H1446" s="24" t="s">
        <v>6008</v>
      </c>
      <c r="I1446" s="25" t="s">
        <v>6009</v>
      </c>
      <c r="J1446" s="8" t="s">
        <v>6010</v>
      </c>
      <c r="K1446" s="8" t="s">
        <v>10051</v>
      </c>
      <c r="L1446" s="15">
        <v>-0.34732000000000002</v>
      </c>
      <c r="M1446" s="15">
        <v>0.185475</v>
      </c>
      <c r="N1446" s="15">
        <v>0.56965486495844875</v>
      </c>
    </row>
    <row r="1447" spans="1:14" x14ac:dyDescent="0.2">
      <c r="A1447" s="2" t="s">
        <v>10068</v>
      </c>
      <c r="B1447" s="15">
        <v>241</v>
      </c>
      <c r="C1447" s="15">
        <v>2</v>
      </c>
      <c r="D1447" s="15">
        <v>36867390</v>
      </c>
      <c r="E1447" s="15">
        <v>37603360</v>
      </c>
      <c r="F1447" s="15">
        <v>2233</v>
      </c>
      <c r="G1447" s="8" t="s">
        <v>12324</v>
      </c>
      <c r="H1447" s="24" t="s">
        <v>599</v>
      </c>
      <c r="I1447" s="25">
        <v>26562</v>
      </c>
      <c r="J1447" s="8" t="s">
        <v>601</v>
      </c>
      <c r="K1447" s="8" t="s">
        <v>10040</v>
      </c>
      <c r="L1447" s="15">
        <v>0.50400299999999998</v>
      </c>
      <c r="M1447" s="15">
        <v>0.185922</v>
      </c>
      <c r="N1447" s="15">
        <v>0.57015035936420178</v>
      </c>
    </row>
    <row r="1448" spans="1:14" x14ac:dyDescent="0.2">
      <c r="A1448" s="2" t="s">
        <v>10066</v>
      </c>
      <c r="B1448" s="15">
        <v>1495</v>
      </c>
      <c r="C1448" s="15">
        <v>10</v>
      </c>
      <c r="D1448" s="15">
        <v>7659873</v>
      </c>
      <c r="E1448" s="15">
        <v>8771920</v>
      </c>
      <c r="F1448" s="15">
        <v>3818</v>
      </c>
      <c r="G1448" s="8" t="s">
        <v>12324</v>
      </c>
      <c r="H1448" s="24" t="s">
        <v>3164</v>
      </c>
      <c r="I1448" s="25" t="s">
        <v>3165</v>
      </c>
      <c r="J1448" s="8" t="s">
        <v>3166</v>
      </c>
      <c r="K1448" s="8" t="s">
        <v>10042</v>
      </c>
      <c r="L1448" s="15">
        <v>-0.36904999999999999</v>
      </c>
      <c r="M1448" s="15">
        <v>0.18584200000000001</v>
      </c>
      <c r="N1448" s="15">
        <v>0.57015035936420178</v>
      </c>
    </row>
    <row r="1449" spans="1:14" x14ac:dyDescent="0.2">
      <c r="A1449" s="2" t="s">
        <v>10066</v>
      </c>
      <c r="B1449" s="15">
        <v>1802</v>
      </c>
      <c r="C1449" s="15">
        <v>12</v>
      </c>
      <c r="D1449" s="15">
        <v>67183621</v>
      </c>
      <c r="E1449" s="15">
        <v>68006682</v>
      </c>
      <c r="F1449" s="15">
        <v>2247</v>
      </c>
      <c r="G1449" s="8" t="s">
        <v>12324</v>
      </c>
      <c r="H1449" s="24" t="s">
        <v>3164</v>
      </c>
      <c r="I1449" s="25" t="s">
        <v>3165</v>
      </c>
      <c r="J1449" s="8" t="s">
        <v>3166</v>
      </c>
      <c r="K1449" s="8" t="s">
        <v>10042</v>
      </c>
      <c r="L1449" s="15">
        <v>0.49779299999999999</v>
      </c>
      <c r="M1449" s="15">
        <v>0.18602199999999999</v>
      </c>
      <c r="N1449" s="15">
        <v>0.57015035936420178</v>
      </c>
    </row>
    <row r="1450" spans="1:14" x14ac:dyDescent="0.2">
      <c r="A1450" s="2" t="s">
        <v>10068</v>
      </c>
      <c r="B1450" s="15">
        <v>489</v>
      </c>
      <c r="C1450" s="15">
        <v>3</v>
      </c>
      <c r="D1450" s="15">
        <v>77507833</v>
      </c>
      <c r="E1450" s="15">
        <v>79023360</v>
      </c>
      <c r="F1450" s="15">
        <v>3255</v>
      </c>
      <c r="G1450" s="8" t="s">
        <v>12324</v>
      </c>
      <c r="H1450" s="24" t="s">
        <v>599</v>
      </c>
      <c r="I1450" s="25">
        <v>26562</v>
      </c>
      <c r="J1450" s="8" t="s">
        <v>601</v>
      </c>
      <c r="K1450" s="8" t="s">
        <v>10040</v>
      </c>
      <c r="L1450" s="15">
        <v>0.37581999999999999</v>
      </c>
      <c r="M1450" s="15">
        <v>0.18621099999999999</v>
      </c>
      <c r="N1450" s="15">
        <v>0.5702247724137931</v>
      </c>
    </row>
    <row r="1451" spans="1:14" x14ac:dyDescent="0.2">
      <c r="A1451" s="2" t="s">
        <v>10069</v>
      </c>
      <c r="B1451" s="15">
        <v>1215</v>
      </c>
      <c r="C1451" s="15">
        <v>7</v>
      </c>
      <c r="D1451" s="15">
        <v>138755108</v>
      </c>
      <c r="E1451" s="15">
        <v>140217630</v>
      </c>
      <c r="F1451" s="15">
        <v>2060</v>
      </c>
      <c r="G1451" s="8" t="s">
        <v>12324</v>
      </c>
      <c r="H1451" s="24" t="s">
        <v>662</v>
      </c>
      <c r="I1451" s="25" t="s">
        <v>663</v>
      </c>
      <c r="J1451" s="8" t="s">
        <v>664</v>
      </c>
      <c r="K1451" s="8" t="s">
        <v>10040</v>
      </c>
      <c r="L1451" s="15">
        <v>0.56110800000000005</v>
      </c>
      <c r="M1451" s="15">
        <v>0.18643199999999999</v>
      </c>
      <c r="N1451" s="15">
        <v>0.5702247724137931</v>
      </c>
    </row>
    <row r="1452" spans="1:14" x14ac:dyDescent="0.2">
      <c r="A1452" s="2" t="s">
        <v>10066</v>
      </c>
      <c r="B1452" s="15">
        <v>1963</v>
      </c>
      <c r="C1452" s="15">
        <v>14</v>
      </c>
      <c r="D1452" s="15">
        <v>29029225</v>
      </c>
      <c r="E1452" s="15">
        <v>30831154</v>
      </c>
      <c r="F1452" s="15">
        <v>3385</v>
      </c>
      <c r="G1452" s="8" t="s">
        <v>12324</v>
      </c>
      <c r="H1452" s="24" t="s">
        <v>3164</v>
      </c>
      <c r="I1452" s="25" t="s">
        <v>3165</v>
      </c>
      <c r="J1452" s="8" t="s">
        <v>3166</v>
      </c>
      <c r="K1452" s="8" t="s">
        <v>10042</v>
      </c>
      <c r="L1452" s="15">
        <v>-0.30524299999999999</v>
      </c>
      <c r="M1452" s="15">
        <v>0.186359</v>
      </c>
      <c r="N1452" s="15">
        <v>0.5702247724137931</v>
      </c>
    </row>
    <row r="1453" spans="1:14" x14ac:dyDescent="0.2">
      <c r="A1453" s="2" t="s">
        <v>10068</v>
      </c>
      <c r="B1453" s="15">
        <v>271</v>
      </c>
      <c r="C1453" s="15">
        <v>2</v>
      </c>
      <c r="D1453" s="15">
        <v>64696090</v>
      </c>
      <c r="E1453" s="15">
        <v>65938002</v>
      </c>
      <c r="F1453" s="15">
        <v>3152</v>
      </c>
      <c r="G1453" s="8" t="s">
        <v>12324</v>
      </c>
      <c r="H1453" s="24" t="s">
        <v>494</v>
      </c>
      <c r="I1453" s="25">
        <v>25920</v>
      </c>
      <c r="J1453" s="8" t="s">
        <v>496</v>
      </c>
      <c r="K1453" s="8" t="s">
        <v>10040</v>
      </c>
      <c r="L1453" s="15">
        <v>-0.21329400000000001</v>
      </c>
      <c r="M1453" s="15">
        <v>0.18689</v>
      </c>
      <c r="N1453" s="15">
        <v>0.57083825757575757</v>
      </c>
    </row>
    <row r="1454" spans="1:14" x14ac:dyDescent="0.2">
      <c r="A1454" s="2" t="s">
        <v>10068</v>
      </c>
      <c r="B1454" s="15">
        <v>1736</v>
      </c>
      <c r="C1454" s="15">
        <v>11</v>
      </c>
      <c r="D1454" s="15">
        <v>131424362</v>
      </c>
      <c r="E1454" s="15">
        <v>132584401</v>
      </c>
      <c r="F1454" s="15">
        <v>3235</v>
      </c>
      <c r="G1454" s="8" t="s">
        <v>12324</v>
      </c>
      <c r="H1454" s="24" t="s">
        <v>599</v>
      </c>
      <c r="I1454" s="25">
        <v>26562</v>
      </c>
      <c r="J1454" s="8" t="s">
        <v>601</v>
      </c>
      <c r="K1454" s="8" t="s">
        <v>10040</v>
      </c>
      <c r="L1454" s="15">
        <v>0.48268</v>
      </c>
      <c r="M1454" s="15">
        <v>0.18688399999999999</v>
      </c>
      <c r="N1454" s="15">
        <v>0.57083825757575757</v>
      </c>
    </row>
    <row r="1455" spans="1:14" x14ac:dyDescent="0.2">
      <c r="A1455" s="2" t="s">
        <v>10068</v>
      </c>
      <c r="B1455" s="15">
        <v>467</v>
      </c>
      <c r="C1455" s="15">
        <v>3</v>
      </c>
      <c r="D1455" s="15">
        <v>54074845</v>
      </c>
      <c r="E1455" s="15">
        <v>54892586</v>
      </c>
      <c r="F1455" s="15">
        <v>2141</v>
      </c>
      <c r="G1455" s="8" t="s">
        <v>12324</v>
      </c>
      <c r="H1455" s="24" t="s">
        <v>6565</v>
      </c>
      <c r="I1455" s="25" t="s">
        <v>6475</v>
      </c>
      <c r="J1455" s="8" t="s">
        <v>6566</v>
      </c>
      <c r="K1455" s="8" t="s">
        <v>10054</v>
      </c>
      <c r="L1455" s="15">
        <v>-0.44712499999999999</v>
      </c>
      <c r="M1455" s="15">
        <v>0.187025</v>
      </c>
      <c r="N1455" s="15">
        <v>0.57085745010323463</v>
      </c>
    </row>
    <row r="1456" spans="1:14" x14ac:dyDescent="0.2">
      <c r="A1456" s="2" t="s">
        <v>10068</v>
      </c>
      <c r="B1456" s="15">
        <v>1729</v>
      </c>
      <c r="C1456" s="15">
        <v>11</v>
      </c>
      <c r="D1456" s="15">
        <v>124403478</v>
      </c>
      <c r="E1456" s="15">
        <v>125266684</v>
      </c>
      <c r="F1456" s="15">
        <v>2219</v>
      </c>
      <c r="G1456" s="8" t="s">
        <v>12324</v>
      </c>
      <c r="H1456" s="24" t="s">
        <v>494</v>
      </c>
      <c r="I1456" s="25">
        <v>25920</v>
      </c>
      <c r="J1456" s="8" t="s">
        <v>496</v>
      </c>
      <c r="K1456" s="8" t="s">
        <v>10040</v>
      </c>
      <c r="L1456" s="15">
        <v>0.239258</v>
      </c>
      <c r="M1456" s="15">
        <v>0.187227</v>
      </c>
      <c r="N1456" s="15">
        <v>0.57108098005502062</v>
      </c>
    </row>
    <row r="1457" spans="1:14" x14ac:dyDescent="0.2">
      <c r="A1457" s="2" t="s">
        <v>10068</v>
      </c>
      <c r="B1457" s="15">
        <v>1950</v>
      </c>
      <c r="C1457" s="15">
        <v>13</v>
      </c>
      <c r="D1457" s="15">
        <v>111621245</v>
      </c>
      <c r="E1457" s="15">
        <v>112319064</v>
      </c>
      <c r="F1457" s="15">
        <v>2442</v>
      </c>
      <c r="G1457" s="8" t="s">
        <v>12324</v>
      </c>
      <c r="H1457" s="24" t="s">
        <v>1259</v>
      </c>
      <c r="I1457" s="25">
        <v>27096</v>
      </c>
      <c r="J1457" s="8" t="s">
        <v>1261</v>
      </c>
      <c r="K1457" s="8" t="s">
        <v>10040</v>
      </c>
      <c r="L1457" s="15">
        <v>-0.38304500000000002</v>
      </c>
      <c r="M1457" s="15">
        <v>0.18737999999999999</v>
      </c>
      <c r="N1457" s="15">
        <v>0.57115484536082473</v>
      </c>
    </row>
    <row r="1458" spans="1:14" x14ac:dyDescent="0.2">
      <c r="A1458" s="2" t="s">
        <v>10068</v>
      </c>
      <c r="B1458" s="15">
        <v>1956</v>
      </c>
      <c r="C1458" s="15">
        <v>14</v>
      </c>
      <c r="D1458" s="15">
        <v>21982655</v>
      </c>
      <c r="E1458" s="15">
        <v>22760700</v>
      </c>
      <c r="F1458" s="15">
        <v>3310</v>
      </c>
      <c r="G1458" s="8" t="s">
        <v>12324</v>
      </c>
      <c r="H1458" s="24" t="s">
        <v>494</v>
      </c>
      <c r="I1458" s="25">
        <v>25920</v>
      </c>
      <c r="J1458" s="8" t="s">
        <v>496</v>
      </c>
      <c r="K1458" s="8" t="s">
        <v>10040</v>
      </c>
      <c r="L1458" s="15">
        <v>-0.24779399999999999</v>
      </c>
      <c r="M1458" s="15">
        <v>0.18758900000000001</v>
      </c>
      <c r="N1458" s="15">
        <v>0.57139918612637364</v>
      </c>
    </row>
    <row r="1459" spans="1:14" x14ac:dyDescent="0.2">
      <c r="A1459" s="2" t="s">
        <v>10068</v>
      </c>
      <c r="B1459" s="15">
        <v>1563</v>
      </c>
      <c r="C1459" s="15">
        <v>10</v>
      </c>
      <c r="D1459" s="15">
        <v>83596351</v>
      </c>
      <c r="E1459" s="15">
        <v>84679429</v>
      </c>
      <c r="F1459" s="15">
        <v>2733</v>
      </c>
      <c r="G1459" s="8" t="s">
        <v>12324</v>
      </c>
      <c r="H1459" s="24" t="s">
        <v>494</v>
      </c>
      <c r="I1459" s="25">
        <v>25920</v>
      </c>
      <c r="J1459" s="8" t="s">
        <v>496</v>
      </c>
      <c r="K1459" s="8" t="s">
        <v>10040</v>
      </c>
      <c r="L1459" s="15">
        <v>-0.60448100000000005</v>
      </c>
      <c r="M1459" s="15">
        <v>0.188309</v>
      </c>
      <c r="N1459" s="15">
        <v>0.57202083219178079</v>
      </c>
    </row>
    <row r="1460" spans="1:14" x14ac:dyDescent="0.2">
      <c r="A1460" s="2" t="s">
        <v>10068</v>
      </c>
      <c r="B1460" s="15">
        <v>1361</v>
      </c>
      <c r="C1460" s="15">
        <v>8</v>
      </c>
      <c r="D1460" s="15">
        <v>136220343</v>
      </c>
      <c r="E1460" s="15">
        <v>137527617</v>
      </c>
      <c r="F1460" s="15">
        <v>3549</v>
      </c>
      <c r="G1460" s="8" t="s">
        <v>12324</v>
      </c>
      <c r="H1460" s="24" t="s">
        <v>1259</v>
      </c>
      <c r="I1460" s="25">
        <v>27096</v>
      </c>
      <c r="J1460" s="8" t="s">
        <v>1261</v>
      </c>
      <c r="K1460" s="8" t="s">
        <v>10040</v>
      </c>
      <c r="L1460" s="15">
        <v>0.32862200000000003</v>
      </c>
      <c r="M1460" s="15">
        <v>0.188305</v>
      </c>
      <c r="N1460" s="15">
        <v>0.57202083219178079</v>
      </c>
    </row>
    <row r="1461" spans="1:14" x14ac:dyDescent="0.2">
      <c r="A1461" s="2" t="s">
        <v>10066</v>
      </c>
      <c r="B1461" s="15">
        <v>1542</v>
      </c>
      <c r="C1461" s="15">
        <v>10</v>
      </c>
      <c r="D1461" s="15">
        <v>59822947</v>
      </c>
      <c r="E1461" s="15">
        <v>61470383</v>
      </c>
      <c r="F1461" s="15">
        <v>3721</v>
      </c>
      <c r="G1461" s="8" t="s">
        <v>12324</v>
      </c>
      <c r="H1461" s="24" t="s">
        <v>6008</v>
      </c>
      <c r="I1461" s="25" t="s">
        <v>6009</v>
      </c>
      <c r="J1461" s="8" t="s">
        <v>6010</v>
      </c>
      <c r="K1461" s="8" t="s">
        <v>10051</v>
      </c>
      <c r="L1461" s="15">
        <v>-0.27690799999999999</v>
      </c>
      <c r="M1461" s="15">
        <v>0.188087</v>
      </c>
      <c r="N1461" s="15">
        <v>0.57202083219178079</v>
      </c>
    </row>
    <row r="1462" spans="1:14" x14ac:dyDescent="0.2">
      <c r="A1462" s="2" t="s">
        <v>10068</v>
      </c>
      <c r="B1462" s="15">
        <v>2216</v>
      </c>
      <c r="C1462" s="15">
        <v>17</v>
      </c>
      <c r="D1462" s="15">
        <v>54950108</v>
      </c>
      <c r="E1462" s="15">
        <v>56245227</v>
      </c>
      <c r="F1462" s="15">
        <v>3156</v>
      </c>
      <c r="G1462" s="8" t="s">
        <v>12324</v>
      </c>
      <c r="H1462" s="24" t="s">
        <v>6565</v>
      </c>
      <c r="I1462" s="25" t="s">
        <v>6475</v>
      </c>
      <c r="J1462" s="8" t="s">
        <v>6566</v>
      </c>
      <c r="K1462" s="8" t="s">
        <v>10054</v>
      </c>
      <c r="L1462" s="15">
        <v>-0.25492100000000001</v>
      </c>
      <c r="M1462" s="15">
        <v>0.188058</v>
      </c>
      <c r="N1462" s="15">
        <v>0.57202083219178079</v>
      </c>
    </row>
    <row r="1463" spans="1:14" x14ac:dyDescent="0.2">
      <c r="A1463" s="2" t="s">
        <v>10068</v>
      </c>
      <c r="B1463" s="15">
        <v>2141</v>
      </c>
      <c r="C1463" s="15">
        <v>16</v>
      </c>
      <c r="D1463" s="15">
        <v>61092845</v>
      </c>
      <c r="E1463" s="15">
        <v>62607090</v>
      </c>
      <c r="F1463" s="15">
        <v>3127</v>
      </c>
      <c r="G1463" s="8" t="s">
        <v>12324</v>
      </c>
      <c r="H1463" s="24" t="s">
        <v>494</v>
      </c>
      <c r="I1463" s="25">
        <v>25920</v>
      </c>
      <c r="J1463" s="8" t="s">
        <v>496</v>
      </c>
      <c r="K1463" s="8" t="s">
        <v>10040</v>
      </c>
      <c r="L1463" s="15">
        <v>0.27369399999999999</v>
      </c>
      <c r="M1463" s="15">
        <v>0.18889600000000001</v>
      </c>
      <c r="N1463" s="15">
        <v>0.57249789938817131</v>
      </c>
    </row>
    <row r="1464" spans="1:14" x14ac:dyDescent="0.2">
      <c r="A1464" s="2" t="s">
        <v>10068</v>
      </c>
      <c r="B1464" s="15">
        <v>1855</v>
      </c>
      <c r="C1464" s="15">
        <v>12</v>
      </c>
      <c r="D1464" s="15">
        <v>127545378</v>
      </c>
      <c r="E1464" s="15">
        <v>128372588</v>
      </c>
      <c r="F1464" s="15">
        <v>2649</v>
      </c>
      <c r="G1464" s="8" t="s">
        <v>12324</v>
      </c>
      <c r="H1464" s="24" t="s">
        <v>599</v>
      </c>
      <c r="I1464" s="25">
        <v>26562</v>
      </c>
      <c r="J1464" s="8" t="s">
        <v>601</v>
      </c>
      <c r="K1464" s="8" t="s">
        <v>10040</v>
      </c>
      <c r="L1464" s="15">
        <v>-0.21224100000000001</v>
      </c>
      <c r="M1464" s="15">
        <v>0.18896499999999999</v>
      </c>
      <c r="N1464" s="15">
        <v>0.57249789938817131</v>
      </c>
    </row>
    <row r="1465" spans="1:14" x14ac:dyDescent="0.2">
      <c r="A1465" s="2" t="s">
        <v>10068</v>
      </c>
      <c r="B1465" s="15">
        <v>2336</v>
      </c>
      <c r="C1465" s="15">
        <v>19</v>
      </c>
      <c r="D1465" s="15">
        <v>29389091</v>
      </c>
      <c r="E1465" s="15">
        <v>30375792</v>
      </c>
      <c r="F1465" s="15">
        <v>3159</v>
      </c>
      <c r="G1465" s="8" t="s">
        <v>12324</v>
      </c>
      <c r="H1465" s="24" t="s">
        <v>599</v>
      </c>
      <c r="I1465" s="25">
        <v>26562</v>
      </c>
      <c r="J1465" s="8" t="s">
        <v>601</v>
      </c>
      <c r="K1465" s="8" t="s">
        <v>10040</v>
      </c>
      <c r="L1465" s="15">
        <v>0.40140700000000001</v>
      </c>
      <c r="M1465" s="15">
        <v>0.189471</v>
      </c>
      <c r="N1465" s="15">
        <v>0.57249789938817131</v>
      </c>
    </row>
    <row r="1466" spans="1:14" x14ac:dyDescent="0.2">
      <c r="A1466" s="2" t="s">
        <v>10069</v>
      </c>
      <c r="B1466" s="15">
        <v>2407</v>
      </c>
      <c r="C1466" s="15">
        <v>20</v>
      </c>
      <c r="D1466" s="15">
        <v>43008891</v>
      </c>
      <c r="E1466" s="15">
        <v>44072210</v>
      </c>
      <c r="F1466" s="15">
        <v>1427</v>
      </c>
      <c r="G1466" s="8" t="s">
        <v>12324</v>
      </c>
      <c r="H1466" s="24" t="s">
        <v>662</v>
      </c>
      <c r="I1466" s="25" t="s">
        <v>663</v>
      </c>
      <c r="J1466" s="8" t="s">
        <v>664</v>
      </c>
      <c r="K1466" s="8" t="s">
        <v>10040</v>
      </c>
      <c r="L1466" s="15">
        <v>-0.52012499999999995</v>
      </c>
      <c r="M1466" s="15">
        <v>0.18940899999999999</v>
      </c>
      <c r="N1466" s="15">
        <v>0.57249789938817131</v>
      </c>
    </row>
    <row r="1467" spans="1:14" x14ac:dyDescent="0.2">
      <c r="A1467" s="2" t="s">
        <v>10068</v>
      </c>
      <c r="B1467" s="15">
        <v>1719</v>
      </c>
      <c r="C1467" s="15">
        <v>11</v>
      </c>
      <c r="D1467" s="15">
        <v>112755447</v>
      </c>
      <c r="E1467" s="15">
        <v>113889019</v>
      </c>
      <c r="F1467" s="15">
        <v>2815</v>
      </c>
      <c r="G1467" s="8" t="s">
        <v>12324</v>
      </c>
      <c r="H1467" s="24" t="s">
        <v>1259</v>
      </c>
      <c r="I1467" s="25">
        <v>27096</v>
      </c>
      <c r="J1467" s="8" t="s">
        <v>1261</v>
      </c>
      <c r="K1467" s="8" t="s">
        <v>10040</v>
      </c>
      <c r="L1467" s="15">
        <v>0.37507800000000002</v>
      </c>
      <c r="M1467" s="15">
        <v>0.18936500000000001</v>
      </c>
      <c r="N1467" s="15">
        <v>0.57249789938817131</v>
      </c>
    </row>
    <row r="1468" spans="1:14" x14ac:dyDescent="0.2">
      <c r="A1468" s="2" t="s">
        <v>10068</v>
      </c>
      <c r="B1468" s="15">
        <v>2352</v>
      </c>
      <c r="C1468" s="15">
        <v>19</v>
      </c>
      <c r="D1468" s="15">
        <v>45893308</v>
      </c>
      <c r="E1468" s="15">
        <v>46765060</v>
      </c>
      <c r="F1468" s="15">
        <v>2343</v>
      </c>
      <c r="G1468" s="8" t="s">
        <v>12324</v>
      </c>
      <c r="H1468" s="24" t="s">
        <v>1259</v>
      </c>
      <c r="I1468" s="25">
        <v>27096</v>
      </c>
      <c r="J1468" s="8" t="s">
        <v>1261</v>
      </c>
      <c r="K1468" s="8" t="s">
        <v>10040</v>
      </c>
      <c r="L1468" s="15">
        <v>0.28228999999999999</v>
      </c>
      <c r="M1468" s="15">
        <v>0.18943699999999999</v>
      </c>
      <c r="N1468" s="15">
        <v>0.57249789938817131</v>
      </c>
    </row>
    <row r="1469" spans="1:14" x14ac:dyDescent="0.2">
      <c r="A1469" s="2" t="s">
        <v>10066</v>
      </c>
      <c r="B1469" s="15">
        <v>787</v>
      </c>
      <c r="C1469" s="15">
        <v>5</v>
      </c>
      <c r="D1469" s="15">
        <v>11850851</v>
      </c>
      <c r="E1469" s="15">
        <v>12867189</v>
      </c>
      <c r="F1469" s="15">
        <v>2174</v>
      </c>
      <c r="G1469" s="8" t="s">
        <v>12324</v>
      </c>
      <c r="H1469" s="24" t="s">
        <v>3164</v>
      </c>
      <c r="I1469" s="25" t="s">
        <v>3165</v>
      </c>
      <c r="J1469" s="8" t="s">
        <v>3166</v>
      </c>
      <c r="K1469" s="8" t="s">
        <v>10042</v>
      </c>
      <c r="L1469" s="15">
        <v>-0.32362299999999999</v>
      </c>
      <c r="M1469" s="15">
        <v>0.189808</v>
      </c>
      <c r="N1469" s="15">
        <v>0.57249789938817131</v>
      </c>
    </row>
    <row r="1470" spans="1:14" x14ac:dyDescent="0.2">
      <c r="A1470" s="2" t="s">
        <v>10066</v>
      </c>
      <c r="B1470" s="15">
        <v>2000</v>
      </c>
      <c r="C1470" s="15">
        <v>14</v>
      </c>
      <c r="D1470" s="15">
        <v>69794543</v>
      </c>
      <c r="E1470" s="15">
        <v>71140426</v>
      </c>
      <c r="F1470" s="15">
        <v>3690</v>
      </c>
      <c r="G1470" s="8" t="s">
        <v>12324</v>
      </c>
      <c r="H1470" s="24" t="s">
        <v>6008</v>
      </c>
      <c r="I1470" s="25" t="s">
        <v>6009</v>
      </c>
      <c r="J1470" s="8" t="s">
        <v>6010</v>
      </c>
      <c r="K1470" s="8" t="s">
        <v>10051</v>
      </c>
      <c r="L1470" s="15">
        <v>0.350327</v>
      </c>
      <c r="M1470" s="15">
        <v>0.18865499999999999</v>
      </c>
      <c r="N1470" s="15">
        <v>0.57249789938817131</v>
      </c>
    </row>
    <row r="1471" spans="1:14" x14ac:dyDescent="0.2">
      <c r="A1471" s="2" t="s">
        <v>10066</v>
      </c>
      <c r="B1471" s="15">
        <v>1075</v>
      </c>
      <c r="C1471" s="15">
        <v>6</v>
      </c>
      <c r="D1471" s="15">
        <v>152376500</v>
      </c>
      <c r="E1471" s="15">
        <v>153082361</v>
      </c>
      <c r="F1471" s="15">
        <v>2143</v>
      </c>
      <c r="G1471" s="8" t="s">
        <v>12324</v>
      </c>
      <c r="H1471" s="24" t="s">
        <v>6008</v>
      </c>
      <c r="I1471" s="25" t="s">
        <v>6009</v>
      </c>
      <c r="J1471" s="8" t="s">
        <v>6010</v>
      </c>
      <c r="K1471" s="8" t="s">
        <v>10051</v>
      </c>
      <c r="L1471" s="15">
        <v>-0.27643600000000002</v>
      </c>
      <c r="M1471" s="15">
        <v>0.189607</v>
      </c>
      <c r="N1471" s="15">
        <v>0.57249789938817131</v>
      </c>
    </row>
    <row r="1472" spans="1:14" x14ac:dyDescent="0.2">
      <c r="A1472" s="2" t="s">
        <v>10068</v>
      </c>
      <c r="B1472" s="15">
        <v>1134</v>
      </c>
      <c r="C1472" s="15">
        <v>7</v>
      </c>
      <c r="D1472" s="15">
        <v>36507691</v>
      </c>
      <c r="E1472" s="15">
        <v>37981936</v>
      </c>
      <c r="F1472" s="15">
        <v>4168</v>
      </c>
      <c r="G1472" s="8" t="s">
        <v>12324</v>
      </c>
      <c r="H1472" s="24" t="s">
        <v>6565</v>
      </c>
      <c r="I1472" s="25" t="s">
        <v>6475</v>
      </c>
      <c r="J1472" s="8" t="s">
        <v>6566</v>
      </c>
      <c r="K1472" s="8" t="s">
        <v>10054</v>
      </c>
      <c r="L1472" s="15">
        <v>0.240366</v>
      </c>
      <c r="M1472" s="15">
        <v>0.18964700000000001</v>
      </c>
      <c r="N1472" s="15">
        <v>0.57249789938817131</v>
      </c>
    </row>
    <row r="1473" spans="1:14" x14ac:dyDescent="0.2">
      <c r="A1473" s="2" t="s">
        <v>10068</v>
      </c>
      <c r="B1473" s="15">
        <v>1072</v>
      </c>
      <c r="C1473" s="15">
        <v>6</v>
      </c>
      <c r="D1473" s="15">
        <v>149278799</v>
      </c>
      <c r="E1473" s="15">
        <v>150635315</v>
      </c>
      <c r="F1473" s="15">
        <v>3727</v>
      </c>
      <c r="G1473" s="8" t="s">
        <v>12324</v>
      </c>
      <c r="H1473" s="24" t="s">
        <v>6565</v>
      </c>
      <c r="I1473" s="25" t="s">
        <v>6475</v>
      </c>
      <c r="J1473" s="8" t="s">
        <v>6566</v>
      </c>
      <c r="K1473" s="8" t="s">
        <v>10054</v>
      </c>
      <c r="L1473" s="15">
        <v>0.20837800000000001</v>
      </c>
      <c r="M1473" s="15">
        <v>0.189886</v>
      </c>
      <c r="N1473" s="15">
        <v>0.57249789938817131</v>
      </c>
    </row>
    <row r="1474" spans="1:14" x14ac:dyDescent="0.2">
      <c r="A1474" s="2" t="s">
        <v>10066</v>
      </c>
      <c r="B1474" s="15">
        <v>890</v>
      </c>
      <c r="C1474" s="15">
        <v>5</v>
      </c>
      <c r="D1474" s="15">
        <v>135344944</v>
      </c>
      <c r="E1474" s="15">
        <v>136949853</v>
      </c>
      <c r="F1474" s="15">
        <v>3566</v>
      </c>
      <c r="G1474" s="8" t="s">
        <v>12324</v>
      </c>
      <c r="H1474" s="24" t="s">
        <v>6008</v>
      </c>
      <c r="I1474" s="25" t="s">
        <v>6009</v>
      </c>
      <c r="J1474" s="8" t="s">
        <v>6010</v>
      </c>
      <c r="K1474" s="8" t="s">
        <v>10051</v>
      </c>
      <c r="L1474" s="15">
        <v>-0.292794</v>
      </c>
      <c r="M1474" s="15">
        <v>0.19009200000000001</v>
      </c>
      <c r="N1474" s="15">
        <v>0.57272963315217396</v>
      </c>
    </row>
    <row r="1475" spans="1:14" x14ac:dyDescent="0.2">
      <c r="A1475" s="2" t="s">
        <v>10069</v>
      </c>
      <c r="B1475" s="15">
        <v>2005</v>
      </c>
      <c r="C1475" s="15">
        <v>14</v>
      </c>
      <c r="D1475" s="15">
        <v>75699502</v>
      </c>
      <c r="E1475" s="15">
        <v>76694201</v>
      </c>
      <c r="F1475" s="15">
        <v>1453</v>
      </c>
      <c r="G1475" s="8" t="s">
        <v>12324</v>
      </c>
      <c r="H1475" s="24" t="s">
        <v>662</v>
      </c>
      <c r="I1475" s="25" t="s">
        <v>663</v>
      </c>
      <c r="J1475" s="8" t="s">
        <v>664</v>
      </c>
      <c r="K1475" s="8" t="s">
        <v>10040</v>
      </c>
      <c r="L1475" s="15">
        <v>-0.349215</v>
      </c>
      <c r="M1475" s="15">
        <v>0.19028700000000001</v>
      </c>
      <c r="N1475" s="15">
        <v>0.57292738127544096</v>
      </c>
    </row>
    <row r="1476" spans="1:14" x14ac:dyDescent="0.2">
      <c r="A1476" s="2" t="s">
        <v>10066</v>
      </c>
      <c r="B1476" s="15">
        <v>119</v>
      </c>
      <c r="C1476" s="15">
        <v>1</v>
      </c>
      <c r="D1476" s="15">
        <v>161945443</v>
      </c>
      <c r="E1476" s="15">
        <v>163141862</v>
      </c>
      <c r="F1476" s="15">
        <v>3429</v>
      </c>
      <c r="G1476" s="8" t="s">
        <v>12324</v>
      </c>
      <c r="H1476" s="24" t="s">
        <v>3164</v>
      </c>
      <c r="I1476" s="25" t="s">
        <v>3165</v>
      </c>
      <c r="J1476" s="8" t="s">
        <v>3166</v>
      </c>
      <c r="K1476" s="8" t="s">
        <v>10042</v>
      </c>
      <c r="L1476" s="15">
        <v>-0.30177500000000002</v>
      </c>
      <c r="M1476" s="15">
        <v>0.190416</v>
      </c>
      <c r="N1476" s="15">
        <v>0.57292738127544096</v>
      </c>
    </row>
    <row r="1477" spans="1:14" x14ac:dyDescent="0.2">
      <c r="A1477" s="2" t="s">
        <v>10068</v>
      </c>
      <c r="B1477" s="15">
        <v>929</v>
      </c>
      <c r="C1477" s="15">
        <v>6</v>
      </c>
      <c r="D1477" s="15">
        <v>3964073</v>
      </c>
      <c r="E1477" s="15">
        <v>4657086</v>
      </c>
      <c r="F1477" s="15">
        <v>2266</v>
      </c>
      <c r="G1477" s="8" t="s">
        <v>12324</v>
      </c>
      <c r="H1477" s="24" t="s">
        <v>494</v>
      </c>
      <c r="I1477" s="25">
        <v>25920</v>
      </c>
      <c r="J1477" s="8" t="s">
        <v>496</v>
      </c>
      <c r="K1477" s="8" t="s">
        <v>10040</v>
      </c>
      <c r="L1477" s="15">
        <v>-0.31472299999999997</v>
      </c>
      <c r="M1477" s="15">
        <v>0.19062799999999999</v>
      </c>
      <c r="N1477" s="15">
        <v>0.57317639322033898</v>
      </c>
    </row>
    <row r="1478" spans="1:14" x14ac:dyDescent="0.2">
      <c r="A1478" s="2" t="s">
        <v>10066</v>
      </c>
      <c r="B1478" s="15">
        <v>2295</v>
      </c>
      <c r="C1478" s="15">
        <v>18</v>
      </c>
      <c r="D1478" s="15">
        <v>67195981</v>
      </c>
      <c r="E1478" s="15">
        <v>68051035</v>
      </c>
      <c r="F1478" s="15">
        <v>2474</v>
      </c>
      <c r="G1478" s="8" t="s">
        <v>12324</v>
      </c>
      <c r="H1478" s="24" t="s">
        <v>6008</v>
      </c>
      <c r="I1478" s="25" t="s">
        <v>6009</v>
      </c>
      <c r="J1478" s="8" t="s">
        <v>6010</v>
      </c>
      <c r="K1478" s="8" t="s">
        <v>10051</v>
      </c>
      <c r="L1478" s="15">
        <v>-0.25806899999999999</v>
      </c>
      <c r="M1478" s="15">
        <v>0.191</v>
      </c>
      <c r="N1478" s="15">
        <v>0.57390582655826561</v>
      </c>
    </row>
    <row r="1479" spans="1:14" x14ac:dyDescent="0.2">
      <c r="A1479" s="2" t="s">
        <v>10068</v>
      </c>
      <c r="B1479" s="15">
        <v>410</v>
      </c>
      <c r="C1479" s="15">
        <v>2</v>
      </c>
      <c r="D1479" s="15">
        <v>234115093</v>
      </c>
      <c r="E1479" s="15">
        <v>234945577</v>
      </c>
      <c r="F1479" s="15">
        <v>2135</v>
      </c>
      <c r="G1479" s="8" t="s">
        <v>12324</v>
      </c>
      <c r="H1479" s="24" t="s">
        <v>6565</v>
      </c>
      <c r="I1479" s="25" t="s">
        <v>6475</v>
      </c>
      <c r="J1479" s="8" t="s">
        <v>6566</v>
      </c>
      <c r="K1479" s="8" t="s">
        <v>10054</v>
      </c>
      <c r="L1479" s="15">
        <v>-0.22354399999999999</v>
      </c>
      <c r="M1479" s="15">
        <v>0.19120999999999999</v>
      </c>
      <c r="N1479" s="15">
        <v>0.5741478334461747</v>
      </c>
    </row>
    <row r="1480" spans="1:14" x14ac:dyDescent="0.2">
      <c r="A1480" s="2" t="s">
        <v>10066</v>
      </c>
      <c r="B1480" s="15">
        <v>1140</v>
      </c>
      <c r="C1480" s="15">
        <v>7</v>
      </c>
      <c r="D1480" s="15">
        <v>43448816</v>
      </c>
      <c r="E1480" s="15">
        <v>44989571</v>
      </c>
      <c r="F1480" s="15">
        <v>3467</v>
      </c>
      <c r="G1480" s="8" t="s">
        <v>12324</v>
      </c>
      <c r="H1480" s="24" t="s">
        <v>3164</v>
      </c>
      <c r="I1480" s="25" t="s">
        <v>3165</v>
      </c>
      <c r="J1480" s="8" t="s">
        <v>3166</v>
      </c>
      <c r="K1480" s="8" t="s">
        <v>10042</v>
      </c>
      <c r="L1480" s="15">
        <v>-0.49192200000000003</v>
      </c>
      <c r="M1480" s="15">
        <v>0.19139700000000001</v>
      </c>
      <c r="N1480" s="15">
        <v>0.5743204972936401</v>
      </c>
    </row>
    <row r="1481" spans="1:14" x14ac:dyDescent="0.2">
      <c r="A1481" s="2" t="s">
        <v>10068</v>
      </c>
      <c r="B1481" s="15">
        <v>1326</v>
      </c>
      <c r="C1481" s="15">
        <v>8</v>
      </c>
      <c r="D1481" s="15">
        <v>96175631</v>
      </c>
      <c r="E1481" s="15">
        <v>96900513</v>
      </c>
      <c r="F1481" s="15">
        <v>2303</v>
      </c>
      <c r="G1481" s="8" t="s">
        <v>12324</v>
      </c>
      <c r="H1481" s="24" t="s">
        <v>1259</v>
      </c>
      <c r="I1481" s="25">
        <v>27096</v>
      </c>
      <c r="J1481" s="8" t="s">
        <v>1261</v>
      </c>
      <c r="K1481" s="8" t="s">
        <v>10040</v>
      </c>
      <c r="L1481" s="15">
        <v>-0.362958</v>
      </c>
      <c r="M1481" s="15">
        <v>0.19167100000000001</v>
      </c>
      <c r="N1481" s="15">
        <v>0.57448832432432428</v>
      </c>
    </row>
    <row r="1482" spans="1:14" x14ac:dyDescent="0.2">
      <c r="A1482" s="2" t="s">
        <v>10066</v>
      </c>
      <c r="B1482" s="15">
        <v>2372</v>
      </c>
      <c r="C1482" s="15">
        <v>20</v>
      </c>
      <c r="D1482" s="15">
        <v>2668109</v>
      </c>
      <c r="E1482" s="15">
        <v>3736551</v>
      </c>
      <c r="F1482" s="15">
        <v>2804</v>
      </c>
      <c r="G1482" s="8" t="s">
        <v>12324</v>
      </c>
      <c r="H1482" s="24" t="s">
        <v>6008</v>
      </c>
      <c r="I1482" s="25" t="s">
        <v>6009</v>
      </c>
      <c r="J1482" s="8" t="s">
        <v>6010</v>
      </c>
      <c r="K1482" s="8" t="s">
        <v>10051</v>
      </c>
      <c r="L1482" s="15">
        <v>-0.215945</v>
      </c>
      <c r="M1482" s="15">
        <v>0.19171199999999999</v>
      </c>
      <c r="N1482" s="15">
        <v>0.57448832432432428</v>
      </c>
    </row>
    <row r="1483" spans="1:14" x14ac:dyDescent="0.2">
      <c r="A1483" s="2" t="s">
        <v>10068</v>
      </c>
      <c r="B1483" s="15">
        <v>1213</v>
      </c>
      <c r="C1483" s="15">
        <v>7</v>
      </c>
      <c r="D1483" s="15">
        <v>136113468</v>
      </c>
      <c r="E1483" s="15">
        <v>137657459</v>
      </c>
      <c r="F1483" s="15">
        <v>3553</v>
      </c>
      <c r="G1483" s="8" t="s">
        <v>12324</v>
      </c>
      <c r="H1483" s="24" t="s">
        <v>1259</v>
      </c>
      <c r="I1483" s="25">
        <v>27096</v>
      </c>
      <c r="J1483" s="8" t="s">
        <v>1261</v>
      </c>
      <c r="K1483" s="8" t="s">
        <v>10040</v>
      </c>
      <c r="L1483" s="15">
        <v>-0.40825299999999998</v>
      </c>
      <c r="M1483" s="15">
        <v>0.19187199999999999</v>
      </c>
      <c r="N1483" s="15">
        <v>0.57457955435516539</v>
      </c>
    </row>
    <row r="1484" spans="1:14" x14ac:dyDescent="0.2">
      <c r="A1484" s="2" t="s">
        <v>10068</v>
      </c>
      <c r="B1484" s="15">
        <v>2274</v>
      </c>
      <c r="C1484" s="15">
        <v>18</v>
      </c>
      <c r="D1484" s="15">
        <v>45718493</v>
      </c>
      <c r="E1484" s="15">
        <v>46558306</v>
      </c>
      <c r="F1484" s="15">
        <v>2471</v>
      </c>
      <c r="G1484" s="8" t="s">
        <v>12324</v>
      </c>
      <c r="H1484" s="24" t="s">
        <v>6565</v>
      </c>
      <c r="I1484" s="25" t="s">
        <v>6475</v>
      </c>
      <c r="J1484" s="8" t="s">
        <v>6566</v>
      </c>
      <c r="K1484" s="8" t="s">
        <v>10054</v>
      </c>
      <c r="L1484" s="15">
        <v>0.363145</v>
      </c>
      <c r="M1484" s="15">
        <v>0.19217699999999999</v>
      </c>
      <c r="N1484" s="15">
        <v>0.57510458502024286</v>
      </c>
    </row>
    <row r="1485" spans="1:14" x14ac:dyDescent="0.2">
      <c r="A1485" s="2" t="s">
        <v>10068</v>
      </c>
      <c r="B1485" s="15">
        <v>1351</v>
      </c>
      <c r="C1485" s="15">
        <v>8</v>
      </c>
      <c r="D1485" s="15">
        <v>125453323</v>
      </c>
      <c r="E1485" s="15">
        <v>126766827</v>
      </c>
      <c r="F1485" s="15">
        <v>3453</v>
      </c>
      <c r="G1485" s="8" t="s">
        <v>12324</v>
      </c>
      <c r="H1485" s="24" t="s">
        <v>494</v>
      </c>
      <c r="I1485" s="25">
        <v>25920</v>
      </c>
      <c r="J1485" s="8" t="s">
        <v>496</v>
      </c>
      <c r="K1485" s="8" t="s">
        <v>10040</v>
      </c>
      <c r="L1485" s="15">
        <v>-0.38839499999999999</v>
      </c>
      <c r="M1485" s="15">
        <v>0.192525</v>
      </c>
      <c r="N1485" s="15">
        <v>0.57575750168577211</v>
      </c>
    </row>
    <row r="1486" spans="1:14" x14ac:dyDescent="0.2">
      <c r="A1486" s="2" t="s">
        <v>10068</v>
      </c>
      <c r="B1486" s="15">
        <v>2352</v>
      </c>
      <c r="C1486" s="15">
        <v>19</v>
      </c>
      <c r="D1486" s="15">
        <v>45893308</v>
      </c>
      <c r="E1486" s="15">
        <v>46765060</v>
      </c>
      <c r="F1486" s="15">
        <v>2343</v>
      </c>
      <c r="G1486" s="8" t="s">
        <v>12324</v>
      </c>
      <c r="H1486" s="24" t="s">
        <v>599</v>
      </c>
      <c r="I1486" s="25">
        <v>26562</v>
      </c>
      <c r="J1486" s="8" t="s">
        <v>601</v>
      </c>
      <c r="K1486" s="8" t="s">
        <v>10040</v>
      </c>
      <c r="L1486" s="15">
        <v>0.25342300000000001</v>
      </c>
      <c r="M1486" s="15">
        <v>0.193137</v>
      </c>
      <c r="N1486" s="15">
        <v>0.57635017148621381</v>
      </c>
    </row>
    <row r="1487" spans="1:14" x14ac:dyDescent="0.2">
      <c r="A1487" s="2" t="s">
        <v>10069</v>
      </c>
      <c r="B1487" s="15">
        <v>1373</v>
      </c>
      <c r="C1487" s="15">
        <v>9</v>
      </c>
      <c r="D1487" s="15">
        <v>1874962</v>
      </c>
      <c r="E1487" s="15">
        <v>2441120</v>
      </c>
      <c r="F1487" s="15">
        <v>1350</v>
      </c>
      <c r="G1487" s="8" t="s">
        <v>12324</v>
      </c>
      <c r="H1487" s="24" t="s">
        <v>662</v>
      </c>
      <c r="I1487" s="25" t="s">
        <v>663</v>
      </c>
      <c r="J1487" s="8" t="s">
        <v>664</v>
      </c>
      <c r="K1487" s="8" t="s">
        <v>10040</v>
      </c>
      <c r="L1487" s="15">
        <v>0.45509699999999997</v>
      </c>
      <c r="M1487" s="15">
        <v>0.19286900000000001</v>
      </c>
      <c r="N1487" s="15">
        <v>0.57635017148621381</v>
      </c>
    </row>
    <row r="1488" spans="1:14" x14ac:dyDescent="0.2">
      <c r="A1488" s="2" t="s">
        <v>10068</v>
      </c>
      <c r="B1488" s="15">
        <v>103</v>
      </c>
      <c r="C1488" s="15">
        <v>1</v>
      </c>
      <c r="D1488" s="15">
        <v>117046312</v>
      </c>
      <c r="E1488" s="15">
        <v>118118667</v>
      </c>
      <c r="F1488" s="15">
        <v>2200</v>
      </c>
      <c r="G1488" s="8" t="s">
        <v>12324</v>
      </c>
      <c r="H1488" s="24" t="s">
        <v>1259</v>
      </c>
      <c r="I1488" s="25">
        <v>27096</v>
      </c>
      <c r="J1488" s="8" t="s">
        <v>1261</v>
      </c>
      <c r="K1488" s="8" t="s">
        <v>10040</v>
      </c>
      <c r="L1488" s="15">
        <v>0.29578599999999999</v>
      </c>
      <c r="M1488" s="15">
        <v>0.193243</v>
      </c>
      <c r="N1488" s="15">
        <v>0.57635017148621381</v>
      </c>
    </row>
    <row r="1489" spans="1:14" x14ac:dyDescent="0.2">
      <c r="A1489" s="2" t="s">
        <v>10068</v>
      </c>
      <c r="B1489" s="15">
        <v>2446</v>
      </c>
      <c r="C1489" s="15">
        <v>21</v>
      </c>
      <c r="D1489" s="15">
        <v>30847297</v>
      </c>
      <c r="E1489" s="15">
        <v>32202239</v>
      </c>
      <c r="F1489" s="15">
        <v>3633</v>
      </c>
      <c r="G1489" s="8" t="s">
        <v>12324</v>
      </c>
      <c r="H1489" s="24" t="s">
        <v>6565</v>
      </c>
      <c r="I1489" s="25" t="s">
        <v>6475</v>
      </c>
      <c r="J1489" s="8" t="s">
        <v>6566</v>
      </c>
      <c r="K1489" s="8" t="s">
        <v>10054</v>
      </c>
      <c r="L1489" s="15">
        <v>0.28520299999999998</v>
      </c>
      <c r="M1489" s="15">
        <v>0.19323100000000001</v>
      </c>
      <c r="N1489" s="15">
        <v>0.57635017148621381</v>
      </c>
    </row>
    <row r="1490" spans="1:14" x14ac:dyDescent="0.2">
      <c r="A1490" s="2" t="s">
        <v>10068</v>
      </c>
      <c r="B1490" s="15">
        <v>2410</v>
      </c>
      <c r="C1490" s="15">
        <v>20</v>
      </c>
      <c r="D1490" s="15">
        <v>46486133</v>
      </c>
      <c r="E1490" s="15">
        <v>47203836</v>
      </c>
      <c r="F1490" s="15">
        <v>2088</v>
      </c>
      <c r="G1490" s="8" t="s">
        <v>12324</v>
      </c>
      <c r="H1490" s="24" t="s">
        <v>6565</v>
      </c>
      <c r="I1490" s="25" t="s">
        <v>6475</v>
      </c>
      <c r="J1490" s="8" t="s">
        <v>6566</v>
      </c>
      <c r="K1490" s="8" t="s">
        <v>10054</v>
      </c>
      <c r="L1490" s="15">
        <v>-0.20429</v>
      </c>
      <c r="M1490" s="15">
        <v>0.193409</v>
      </c>
      <c r="N1490" s="15">
        <v>0.57645760416666669</v>
      </c>
    </row>
    <row r="1491" spans="1:14" x14ac:dyDescent="0.2">
      <c r="A1491" s="2" t="s">
        <v>10068</v>
      </c>
      <c r="B1491" s="15">
        <v>1172</v>
      </c>
      <c r="C1491" s="15">
        <v>7</v>
      </c>
      <c r="D1491" s="15">
        <v>81533567</v>
      </c>
      <c r="E1491" s="15">
        <v>82759283</v>
      </c>
      <c r="F1491" s="15">
        <v>3241</v>
      </c>
      <c r="G1491" s="8" t="s">
        <v>12324</v>
      </c>
      <c r="H1491" s="24" t="s">
        <v>1259</v>
      </c>
      <c r="I1491" s="25">
        <v>27096</v>
      </c>
      <c r="J1491" s="8" t="s">
        <v>1261</v>
      </c>
      <c r="K1491" s="8" t="s">
        <v>10040</v>
      </c>
      <c r="L1491" s="15">
        <v>-0.30443399999999998</v>
      </c>
      <c r="M1491" s="15">
        <v>0.19397700000000001</v>
      </c>
      <c r="N1491" s="15">
        <v>0.57776225319006047</v>
      </c>
    </row>
    <row r="1492" spans="1:14" x14ac:dyDescent="0.2">
      <c r="A1492" s="2" t="s">
        <v>10068</v>
      </c>
      <c r="B1492" s="15">
        <v>1358</v>
      </c>
      <c r="C1492" s="15">
        <v>8</v>
      </c>
      <c r="D1492" s="15">
        <v>133461552</v>
      </c>
      <c r="E1492" s="15">
        <v>134509448</v>
      </c>
      <c r="F1492" s="15">
        <v>2997</v>
      </c>
      <c r="G1492" s="8" t="s">
        <v>12324</v>
      </c>
      <c r="H1492" s="24" t="s">
        <v>599</v>
      </c>
      <c r="I1492" s="25">
        <v>26562</v>
      </c>
      <c r="J1492" s="8" t="s">
        <v>601</v>
      </c>
      <c r="K1492" s="8" t="s">
        <v>10040</v>
      </c>
      <c r="L1492" s="15">
        <v>-0.32920899999999997</v>
      </c>
      <c r="M1492" s="15">
        <v>0.19450300000000001</v>
      </c>
      <c r="N1492" s="15">
        <v>0.57837215482573723</v>
      </c>
    </row>
    <row r="1493" spans="1:14" x14ac:dyDescent="0.2">
      <c r="A1493" s="2" t="s">
        <v>10068</v>
      </c>
      <c r="B1493" s="15">
        <v>155</v>
      </c>
      <c r="C1493" s="15">
        <v>1</v>
      </c>
      <c r="D1493" s="15">
        <v>201067953</v>
      </c>
      <c r="E1493" s="15">
        <v>202583884</v>
      </c>
      <c r="F1493" s="15">
        <v>3793</v>
      </c>
      <c r="G1493" s="8" t="s">
        <v>12324</v>
      </c>
      <c r="H1493" s="24" t="s">
        <v>599</v>
      </c>
      <c r="I1493" s="25">
        <v>26562</v>
      </c>
      <c r="J1493" s="8" t="s">
        <v>601</v>
      </c>
      <c r="K1493" s="8" t="s">
        <v>10040</v>
      </c>
      <c r="L1493" s="15">
        <v>-0.30282500000000001</v>
      </c>
      <c r="M1493" s="15">
        <v>0.194573</v>
      </c>
      <c r="N1493" s="15">
        <v>0.57837215482573723</v>
      </c>
    </row>
    <row r="1494" spans="1:14" x14ac:dyDescent="0.2">
      <c r="A1494" s="2" t="s">
        <v>10066</v>
      </c>
      <c r="B1494" s="15">
        <v>1292</v>
      </c>
      <c r="C1494" s="15">
        <v>8</v>
      </c>
      <c r="D1494" s="15">
        <v>55275355</v>
      </c>
      <c r="E1494" s="15">
        <v>56346878</v>
      </c>
      <c r="F1494" s="15">
        <v>2644</v>
      </c>
      <c r="G1494" s="8" t="s">
        <v>12324</v>
      </c>
      <c r="H1494" s="24" t="s">
        <v>6008</v>
      </c>
      <c r="I1494" s="25" t="s">
        <v>6009</v>
      </c>
      <c r="J1494" s="8" t="s">
        <v>6010</v>
      </c>
      <c r="K1494" s="8" t="s">
        <v>10051</v>
      </c>
      <c r="L1494" s="15">
        <v>0.32591100000000001</v>
      </c>
      <c r="M1494" s="15">
        <v>0.19455600000000001</v>
      </c>
      <c r="N1494" s="15">
        <v>0.57837215482573723</v>
      </c>
    </row>
    <row r="1495" spans="1:14" x14ac:dyDescent="0.2">
      <c r="A1495" s="2" t="s">
        <v>10066</v>
      </c>
      <c r="B1495" s="15">
        <v>610</v>
      </c>
      <c r="C1495" s="15">
        <v>4</v>
      </c>
      <c r="D1495" s="15">
        <v>10370667</v>
      </c>
      <c r="E1495" s="15">
        <v>11050119</v>
      </c>
      <c r="F1495" s="15">
        <v>2126</v>
      </c>
      <c r="G1495" s="8" t="s">
        <v>12324</v>
      </c>
      <c r="H1495" s="24" t="s">
        <v>6008</v>
      </c>
      <c r="I1495" s="25" t="s">
        <v>6009</v>
      </c>
      <c r="J1495" s="8" t="s">
        <v>6010</v>
      </c>
      <c r="K1495" s="8" t="s">
        <v>10051</v>
      </c>
      <c r="L1495" s="15">
        <v>0.42164499999999999</v>
      </c>
      <c r="M1495" s="15">
        <v>0.19501299999999999</v>
      </c>
      <c r="N1495" s="15">
        <v>0.57926621485943774</v>
      </c>
    </row>
    <row r="1496" spans="1:14" x14ac:dyDescent="0.2">
      <c r="A1496" s="2" t="s">
        <v>10066</v>
      </c>
      <c r="B1496" s="15">
        <v>1668</v>
      </c>
      <c r="C1496" s="15">
        <v>11</v>
      </c>
      <c r="D1496" s="15">
        <v>57675987</v>
      </c>
      <c r="E1496" s="15">
        <v>58452708</v>
      </c>
      <c r="F1496" s="15">
        <v>2124</v>
      </c>
      <c r="G1496" s="8" t="s">
        <v>12324</v>
      </c>
      <c r="H1496" s="24" t="s">
        <v>6008</v>
      </c>
      <c r="I1496" s="25" t="s">
        <v>6009</v>
      </c>
      <c r="J1496" s="8" t="s">
        <v>6010</v>
      </c>
      <c r="K1496" s="8" t="s">
        <v>10051</v>
      </c>
      <c r="L1496" s="15">
        <v>0.579044</v>
      </c>
      <c r="M1496" s="15">
        <v>0.195135</v>
      </c>
      <c r="N1496" s="15">
        <v>0.57926621485943774</v>
      </c>
    </row>
    <row r="1497" spans="1:14" x14ac:dyDescent="0.2">
      <c r="A1497" s="2" t="s">
        <v>10068</v>
      </c>
      <c r="B1497" s="15">
        <v>2134</v>
      </c>
      <c r="C1497" s="15">
        <v>16</v>
      </c>
      <c r="D1497" s="15">
        <v>52041337</v>
      </c>
      <c r="E1497" s="15">
        <v>53393882</v>
      </c>
      <c r="F1497" s="15">
        <v>3284</v>
      </c>
      <c r="G1497" s="8" t="s">
        <v>12324</v>
      </c>
      <c r="H1497" s="24" t="s">
        <v>494</v>
      </c>
      <c r="I1497" s="25">
        <v>25920</v>
      </c>
      <c r="J1497" s="8" t="s">
        <v>496</v>
      </c>
      <c r="K1497" s="8" t="s">
        <v>10040</v>
      </c>
      <c r="L1497" s="15">
        <v>-0.232071</v>
      </c>
      <c r="M1497" s="15">
        <v>0.19543099999999999</v>
      </c>
      <c r="N1497" s="15">
        <v>0.57936930815508014</v>
      </c>
    </row>
    <row r="1498" spans="1:14" x14ac:dyDescent="0.2">
      <c r="A1498" s="2" t="s">
        <v>10068</v>
      </c>
      <c r="B1498" s="15">
        <v>2245</v>
      </c>
      <c r="C1498" s="15">
        <v>18</v>
      </c>
      <c r="D1498" s="15">
        <v>6756497</v>
      </c>
      <c r="E1498" s="15">
        <v>7862479</v>
      </c>
      <c r="F1498" s="15">
        <v>3072</v>
      </c>
      <c r="G1498" s="8" t="s">
        <v>12324</v>
      </c>
      <c r="H1498" s="24" t="s">
        <v>599</v>
      </c>
      <c r="I1498" s="25">
        <v>26562</v>
      </c>
      <c r="J1498" s="8" t="s">
        <v>601</v>
      </c>
      <c r="K1498" s="8" t="s">
        <v>10040</v>
      </c>
      <c r="L1498" s="15">
        <v>0.18809699999999999</v>
      </c>
      <c r="M1498" s="15">
        <v>0.19533800000000001</v>
      </c>
      <c r="N1498" s="15">
        <v>0.57936930815508014</v>
      </c>
    </row>
    <row r="1499" spans="1:14" x14ac:dyDescent="0.2">
      <c r="A1499" s="2" t="s">
        <v>10068</v>
      </c>
      <c r="B1499" s="15">
        <v>191</v>
      </c>
      <c r="C1499" s="15">
        <v>1</v>
      </c>
      <c r="D1499" s="15">
        <v>240248509</v>
      </c>
      <c r="E1499" s="15">
        <v>241033584</v>
      </c>
      <c r="F1499" s="15">
        <v>2219</v>
      </c>
      <c r="G1499" s="8" t="s">
        <v>12324</v>
      </c>
      <c r="H1499" s="24" t="s">
        <v>1259</v>
      </c>
      <c r="I1499" s="25">
        <v>27096</v>
      </c>
      <c r="J1499" s="8" t="s">
        <v>1261</v>
      </c>
      <c r="K1499" s="8" t="s">
        <v>10040</v>
      </c>
      <c r="L1499" s="15">
        <v>0.198381</v>
      </c>
      <c r="M1499" s="15">
        <v>0.19559299999999999</v>
      </c>
      <c r="N1499" s="15">
        <v>0.5794622277889111</v>
      </c>
    </row>
    <row r="1500" spans="1:14" x14ac:dyDescent="0.2">
      <c r="A1500" s="2" t="s">
        <v>10066</v>
      </c>
      <c r="B1500" s="15">
        <v>1545</v>
      </c>
      <c r="C1500" s="15">
        <v>10</v>
      </c>
      <c r="D1500" s="15">
        <v>64069688</v>
      </c>
      <c r="E1500" s="15">
        <v>65400431</v>
      </c>
      <c r="F1500" s="15">
        <v>3243</v>
      </c>
      <c r="G1500" s="8" t="s">
        <v>12324</v>
      </c>
      <c r="H1500" s="24" t="s">
        <v>3164</v>
      </c>
      <c r="I1500" s="25" t="s">
        <v>3165</v>
      </c>
      <c r="J1500" s="8" t="s">
        <v>3166</v>
      </c>
      <c r="K1500" s="8" t="s">
        <v>10042</v>
      </c>
      <c r="L1500" s="15">
        <v>-0.30487799999999998</v>
      </c>
      <c r="M1500" s="15">
        <v>0.19572600000000001</v>
      </c>
      <c r="N1500" s="15">
        <v>0.57946916555407213</v>
      </c>
    </row>
    <row r="1501" spans="1:14" x14ac:dyDescent="0.2">
      <c r="A1501" s="2" t="s">
        <v>10069</v>
      </c>
      <c r="B1501" s="15">
        <v>475</v>
      </c>
      <c r="C1501" s="15">
        <v>3</v>
      </c>
      <c r="D1501" s="15">
        <v>62609819</v>
      </c>
      <c r="E1501" s="15">
        <v>63670803</v>
      </c>
      <c r="F1501" s="15">
        <v>2430</v>
      </c>
      <c r="G1501" s="8" t="s">
        <v>12324</v>
      </c>
      <c r="H1501" s="24" t="s">
        <v>662</v>
      </c>
      <c r="I1501" s="25" t="s">
        <v>663</v>
      </c>
      <c r="J1501" s="8" t="s">
        <v>664</v>
      </c>
      <c r="K1501" s="8" t="s">
        <v>10040</v>
      </c>
      <c r="L1501" s="15">
        <v>-0.44105800000000001</v>
      </c>
      <c r="M1501" s="15">
        <v>0.19598499999999999</v>
      </c>
      <c r="N1501" s="15">
        <v>0.57984888258839218</v>
      </c>
    </row>
    <row r="1502" spans="1:14" x14ac:dyDescent="0.2">
      <c r="A1502" s="2" t="s">
        <v>10066</v>
      </c>
      <c r="B1502" s="15">
        <v>1546</v>
      </c>
      <c r="C1502" s="15">
        <v>10</v>
      </c>
      <c r="D1502" s="15">
        <v>65400432</v>
      </c>
      <c r="E1502" s="15">
        <v>66510387</v>
      </c>
      <c r="F1502" s="15">
        <v>2448</v>
      </c>
      <c r="G1502" s="8" t="s">
        <v>12324</v>
      </c>
      <c r="H1502" s="24" t="s">
        <v>6008</v>
      </c>
      <c r="I1502" s="25" t="s">
        <v>6009</v>
      </c>
      <c r="J1502" s="8" t="s">
        <v>6010</v>
      </c>
      <c r="K1502" s="8" t="s">
        <v>10051</v>
      </c>
      <c r="L1502" s="15">
        <v>-0.47745900000000002</v>
      </c>
      <c r="M1502" s="15">
        <v>0.19620499999999999</v>
      </c>
      <c r="N1502" s="15">
        <v>0.58001881412391743</v>
      </c>
    </row>
    <row r="1503" spans="1:14" x14ac:dyDescent="0.2">
      <c r="A1503" s="2" t="s">
        <v>10066</v>
      </c>
      <c r="B1503" s="15">
        <v>1263</v>
      </c>
      <c r="C1503" s="15">
        <v>8</v>
      </c>
      <c r="D1503" s="15">
        <v>18668610</v>
      </c>
      <c r="E1503" s="15">
        <v>19488888</v>
      </c>
      <c r="F1503" s="15">
        <v>2970</v>
      </c>
      <c r="G1503" s="8" t="s">
        <v>12324</v>
      </c>
      <c r="H1503" s="24" t="s">
        <v>6008</v>
      </c>
      <c r="I1503" s="25" t="s">
        <v>6009</v>
      </c>
      <c r="J1503" s="8" t="s">
        <v>6010</v>
      </c>
      <c r="K1503" s="8" t="s">
        <v>10051</v>
      </c>
      <c r="L1503" s="15">
        <v>-0.500278</v>
      </c>
      <c r="M1503" s="15">
        <v>0.19630400000000001</v>
      </c>
      <c r="N1503" s="15">
        <v>0.58001881412391743</v>
      </c>
    </row>
    <row r="1504" spans="1:14" x14ac:dyDescent="0.2">
      <c r="A1504" s="2" t="s">
        <v>10068</v>
      </c>
      <c r="B1504" s="15">
        <v>158</v>
      </c>
      <c r="C1504" s="15">
        <v>1</v>
      </c>
      <c r="D1504" s="15">
        <v>205009624</v>
      </c>
      <c r="E1504" s="15">
        <v>205917548</v>
      </c>
      <c r="F1504" s="15">
        <v>2532</v>
      </c>
      <c r="G1504" s="8" t="s">
        <v>12324</v>
      </c>
      <c r="H1504" s="24" t="s">
        <v>599</v>
      </c>
      <c r="I1504" s="25">
        <v>26562</v>
      </c>
      <c r="J1504" s="8" t="s">
        <v>601</v>
      </c>
      <c r="K1504" s="8" t="s">
        <v>10040</v>
      </c>
      <c r="L1504" s="15">
        <v>-0.37017499999999998</v>
      </c>
      <c r="M1504" s="15">
        <v>0.19706000000000001</v>
      </c>
      <c r="N1504" s="15">
        <v>0.58074678050397877</v>
      </c>
    </row>
    <row r="1505" spans="1:14" x14ac:dyDescent="0.2">
      <c r="A1505" s="2" t="s">
        <v>10069</v>
      </c>
      <c r="B1505" s="15">
        <v>2292</v>
      </c>
      <c r="C1505" s="15">
        <v>18</v>
      </c>
      <c r="D1505" s="15">
        <v>64253144</v>
      </c>
      <c r="E1505" s="15">
        <v>65294195</v>
      </c>
      <c r="F1505" s="15">
        <v>1967</v>
      </c>
      <c r="G1505" s="8" t="s">
        <v>12324</v>
      </c>
      <c r="H1505" s="24" t="s">
        <v>662</v>
      </c>
      <c r="I1505" s="25" t="s">
        <v>663</v>
      </c>
      <c r="J1505" s="8" t="s">
        <v>664</v>
      </c>
      <c r="K1505" s="8" t="s">
        <v>10040</v>
      </c>
      <c r="L1505" s="15">
        <v>0.468144</v>
      </c>
      <c r="M1505" s="15">
        <v>0.196718</v>
      </c>
      <c r="N1505" s="15">
        <v>0.58074678050397877</v>
      </c>
    </row>
    <row r="1506" spans="1:14" x14ac:dyDescent="0.2">
      <c r="A1506" s="2" t="s">
        <v>10068</v>
      </c>
      <c r="B1506" s="15">
        <v>642</v>
      </c>
      <c r="C1506" s="15">
        <v>4</v>
      </c>
      <c r="D1506" s="15">
        <v>41360938</v>
      </c>
      <c r="E1506" s="15">
        <v>42189251</v>
      </c>
      <c r="F1506" s="15">
        <v>2129</v>
      </c>
      <c r="G1506" s="8" t="s">
        <v>12324</v>
      </c>
      <c r="H1506" s="24" t="s">
        <v>1259</v>
      </c>
      <c r="I1506" s="25">
        <v>27096</v>
      </c>
      <c r="J1506" s="8" t="s">
        <v>1261</v>
      </c>
      <c r="K1506" s="8" t="s">
        <v>10040</v>
      </c>
      <c r="L1506" s="15">
        <v>-0.43380600000000002</v>
      </c>
      <c r="M1506" s="15">
        <v>0.197376</v>
      </c>
      <c r="N1506" s="15">
        <v>0.58074678050397877</v>
      </c>
    </row>
    <row r="1507" spans="1:14" x14ac:dyDescent="0.2">
      <c r="A1507" s="2" t="s">
        <v>10068</v>
      </c>
      <c r="B1507" s="15">
        <v>1989</v>
      </c>
      <c r="C1507" s="15">
        <v>14</v>
      </c>
      <c r="D1507" s="15">
        <v>57460782</v>
      </c>
      <c r="E1507" s="15">
        <v>58447798</v>
      </c>
      <c r="F1507" s="15">
        <v>2725</v>
      </c>
      <c r="G1507" s="8" t="s">
        <v>12324</v>
      </c>
      <c r="H1507" s="24" t="s">
        <v>1259</v>
      </c>
      <c r="I1507" s="25">
        <v>27096</v>
      </c>
      <c r="J1507" s="8" t="s">
        <v>1261</v>
      </c>
      <c r="K1507" s="8" t="s">
        <v>10040</v>
      </c>
      <c r="L1507" s="15">
        <v>0.36659000000000003</v>
      </c>
      <c r="M1507" s="15">
        <v>0.197467</v>
      </c>
      <c r="N1507" s="15">
        <v>0.58074678050397877</v>
      </c>
    </row>
    <row r="1508" spans="1:14" x14ac:dyDescent="0.2">
      <c r="A1508" s="2" t="s">
        <v>10066</v>
      </c>
      <c r="B1508" s="15">
        <v>1224</v>
      </c>
      <c r="C1508" s="15">
        <v>7</v>
      </c>
      <c r="D1508" s="15">
        <v>150897819</v>
      </c>
      <c r="E1508" s="15">
        <v>152253294</v>
      </c>
      <c r="F1508" s="15">
        <v>3159</v>
      </c>
      <c r="G1508" s="8" t="s">
        <v>12324</v>
      </c>
      <c r="H1508" s="24" t="s">
        <v>3164</v>
      </c>
      <c r="I1508" s="25" t="s">
        <v>3165</v>
      </c>
      <c r="J1508" s="8" t="s">
        <v>3166</v>
      </c>
      <c r="K1508" s="8" t="s">
        <v>10042</v>
      </c>
      <c r="L1508" s="15">
        <v>-0.173405</v>
      </c>
      <c r="M1508" s="15">
        <v>0.19733000000000001</v>
      </c>
      <c r="N1508" s="15">
        <v>0.58074678050397877</v>
      </c>
    </row>
    <row r="1509" spans="1:14" x14ac:dyDescent="0.2">
      <c r="A1509" s="2" t="s">
        <v>10068</v>
      </c>
      <c r="B1509" s="15">
        <v>903</v>
      </c>
      <c r="C1509" s="15">
        <v>5</v>
      </c>
      <c r="D1509" s="15">
        <v>153734495</v>
      </c>
      <c r="E1509" s="15">
        <v>154599750</v>
      </c>
      <c r="F1509" s="15">
        <v>2176</v>
      </c>
      <c r="G1509" s="8" t="s">
        <v>12324</v>
      </c>
      <c r="H1509" s="24" t="s">
        <v>6565</v>
      </c>
      <c r="I1509" s="25" t="s">
        <v>6475</v>
      </c>
      <c r="J1509" s="8" t="s">
        <v>6566</v>
      </c>
      <c r="K1509" s="8" t="s">
        <v>10054</v>
      </c>
      <c r="L1509" s="15">
        <v>0.34150999999999998</v>
      </c>
      <c r="M1509" s="15">
        <v>0.19708899999999999</v>
      </c>
      <c r="N1509" s="15">
        <v>0.58074678050397877</v>
      </c>
    </row>
    <row r="1510" spans="1:14" x14ac:dyDescent="0.2">
      <c r="A1510" s="2" t="s">
        <v>10068</v>
      </c>
      <c r="B1510" s="15">
        <v>2025</v>
      </c>
      <c r="C1510" s="15">
        <v>14</v>
      </c>
      <c r="D1510" s="15">
        <v>98885323</v>
      </c>
      <c r="E1510" s="15">
        <v>99474533</v>
      </c>
      <c r="F1510" s="15">
        <v>2231</v>
      </c>
      <c r="G1510" s="8" t="s">
        <v>12324</v>
      </c>
      <c r="H1510" s="24" t="s">
        <v>6565</v>
      </c>
      <c r="I1510" s="25" t="s">
        <v>6475</v>
      </c>
      <c r="J1510" s="8" t="s">
        <v>6566</v>
      </c>
      <c r="K1510" s="8" t="s">
        <v>10054</v>
      </c>
      <c r="L1510" s="15">
        <v>-0.21887100000000001</v>
      </c>
      <c r="M1510" s="15">
        <v>0.19714899999999999</v>
      </c>
      <c r="N1510" s="15">
        <v>0.58074678050397877</v>
      </c>
    </row>
    <row r="1511" spans="1:14" x14ac:dyDescent="0.2">
      <c r="A1511" s="2" t="s">
        <v>10068</v>
      </c>
      <c r="B1511" s="15">
        <v>209</v>
      </c>
      <c r="C1511" s="15">
        <v>2</v>
      </c>
      <c r="D1511" s="15">
        <v>5568654</v>
      </c>
      <c r="E1511" s="15">
        <v>6306606</v>
      </c>
      <c r="F1511" s="15">
        <v>2472</v>
      </c>
      <c r="G1511" s="8" t="s">
        <v>12324</v>
      </c>
      <c r="H1511" s="24" t="s">
        <v>494</v>
      </c>
      <c r="I1511" s="25">
        <v>25920</v>
      </c>
      <c r="J1511" s="8" t="s">
        <v>496</v>
      </c>
      <c r="K1511" s="8" t="s">
        <v>10040</v>
      </c>
      <c r="L1511" s="15">
        <v>-0.38725500000000002</v>
      </c>
      <c r="M1511" s="15">
        <v>0.197911</v>
      </c>
      <c r="N1511" s="15">
        <v>0.58110502310231016</v>
      </c>
    </row>
    <row r="1512" spans="1:14" x14ac:dyDescent="0.2">
      <c r="A1512" s="2" t="s">
        <v>10068</v>
      </c>
      <c r="B1512" s="15">
        <v>2133</v>
      </c>
      <c r="C1512" s="15">
        <v>16</v>
      </c>
      <c r="D1512" s="15">
        <v>50467034</v>
      </c>
      <c r="E1512" s="15">
        <v>52041336</v>
      </c>
      <c r="F1512" s="15">
        <v>3554</v>
      </c>
      <c r="G1512" s="8" t="s">
        <v>12324</v>
      </c>
      <c r="H1512" s="24" t="s">
        <v>599</v>
      </c>
      <c r="I1512" s="25">
        <v>26562</v>
      </c>
      <c r="J1512" s="8" t="s">
        <v>601</v>
      </c>
      <c r="K1512" s="8" t="s">
        <v>10040</v>
      </c>
      <c r="L1512" s="15">
        <v>0.30499900000000002</v>
      </c>
      <c r="M1512" s="15">
        <v>0.19831599999999999</v>
      </c>
      <c r="N1512" s="15">
        <v>0.58110502310231016</v>
      </c>
    </row>
    <row r="1513" spans="1:14" x14ac:dyDescent="0.2">
      <c r="A1513" s="2" t="s">
        <v>10069</v>
      </c>
      <c r="B1513" s="15">
        <v>2457</v>
      </c>
      <c r="C1513" s="15">
        <v>21</v>
      </c>
      <c r="D1513" s="15">
        <v>43081435</v>
      </c>
      <c r="E1513" s="15">
        <v>43812791</v>
      </c>
      <c r="F1513" s="15">
        <v>2003</v>
      </c>
      <c r="G1513" s="8" t="s">
        <v>12324</v>
      </c>
      <c r="H1513" s="24" t="s">
        <v>662</v>
      </c>
      <c r="I1513" s="25" t="s">
        <v>663</v>
      </c>
      <c r="J1513" s="8" t="s">
        <v>664</v>
      </c>
      <c r="K1513" s="8" t="s">
        <v>10040</v>
      </c>
      <c r="L1513" s="15">
        <v>-0.22501599999999999</v>
      </c>
      <c r="M1513" s="15">
        <v>0.198184</v>
      </c>
      <c r="N1513" s="15">
        <v>0.58110502310231016</v>
      </c>
    </row>
    <row r="1514" spans="1:14" x14ac:dyDescent="0.2">
      <c r="A1514" s="2" t="s">
        <v>10069</v>
      </c>
      <c r="B1514" s="15">
        <v>2046</v>
      </c>
      <c r="C1514" s="15">
        <v>15</v>
      </c>
      <c r="D1514" s="15">
        <v>35118928</v>
      </c>
      <c r="E1514" s="15">
        <v>36583327</v>
      </c>
      <c r="F1514" s="15">
        <v>2302</v>
      </c>
      <c r="G1514" s="8" t="s">
        <v>12324</v>
      </c>
      <c r="H1514" s="24" t="s">
        <v>662</v>
      </c>
      <c r="I1514" s="25" t="s">
        <v>663</v>
      </c>
      <c r="J1514" s="8" t="s">
        <v>664</v>
      </c>
      <c r="K1514" s="8" t="s">
        <v>10040</v>
      </c>
      <c r="L1514" s="15">
        <v>-0.48277500000000001</v>
      </c>
      <c r="M1514" s="15">
        <v>0.19847699999999999</v>
      </c>
      <c r="N1514" s="15">
        <v>0.58110502310231016</v>
      </c>
    </row>
    <row r="1515" spans="1:14" x14ac:dyDescent="0.2">
      <c r="A1515" s="2" t="s">
        <v>10066</v>
      </c>
      <c r="B1515" s="15">
        <v>774</v>
      </c>
      <c r="C1515" s="15">
        <v>4</v>
      </c>
      <c r="D1515" s="15">
        <v>189899574</v>
      </c>
      <c r="E1515" s="15">
        <v>191043880</v>
      </c>
      <c r="F1515" s="15">
        <v>3383</v>
      </c>
      <c r="G1515" s="8" t="s">
        <v>12324</v>
      </c>
      <c r="H1515" s="24" t="s">
        <v>3164</v>
      </c>
      <c r="I1515" s="25" t="s">
        <v>3165</v>
      </c>
      <c r="J1515" s="8" t="s">
        <v>3166</v>
      </c>
      <c r="K1515" s="8" t="s">
        <v>10042</v>
      </c>
      <c r="L1515" s="15">
        <v>0.225606</v>
      </c>
      <c r="M1515" s="15">
        <v>0.19825300000000001</v>
      </c>
      <c r="N1515" s="15">
        <v>0.58110502310231016</v>
      </c>
    </row>
    <row r="1516" spans="1:14" x14ac:dyDescent="0.2">
      <c r="A1516" s="2" t="s">
        <v>10066</v>
      </c>
      <c r="B1516" s="15">
        <v>1630</v>
      </c>
      <c r="C1516" s="15">
        <v>11</v>
      </c>
      <c r="D1516" s="15">
        <v>18740268</v>
      </c>
      <c r="E1516" s="15">
        <v>19780784</v>
      </c>
      <c r="F1516" s="15">
        <v>2779</v>
      </c>
      <c r="G1516" s="8" t="s">
        <v>12324</v>
      </c>
      <c r="H1516" s="24" t="s">
        <v>3164</v>
      </c>
      <c r="I1516" s="25" t="s">
        <v>3165</v>
      </c>
      <c r="J1516" s="8" t="s">
        <v>3166</v>
      </c>
      <c r="K1516" s="8" t="s">
        <v>10042</v>
      </c>
      <c r="L1516" s="15">
        <v>0.49136400000000002</v>
      </c>
      <c r="M1516" s="15">
        <v>0.19850599999999999</v>
      </c>
      <c r="N1516" s="15">
        <v>0.58110502310231016</v>
      </c>
    </row>
    <row r="1517" spans="1:14" x14ac:dyDescent="0.2">
      <c r="A1517" s="2" t="s">
        <v>10066</v>
      </c>
      <c r="B1517" s="15">
        <v>972</v>
      </c>
      <c r="C1517" s="15">
        <v>6</v>
      </c>
      <c r="D1517" s="15">
        <v>36346354</v>
      </c>
      <c r="E1517" s="15">
        <v>37570051</v>
      </c>
      <c r="F1517" s="15">
        <v>3390</v>
      </c>
      <c r="G1517" s="8" t="s">
        <v>12324</v>
      </c>
      <c r="H1517" s="24" t="s">
        <v>6008</v>
      </c>
      <c r="I1517" s="25" t="s">
        <v>6009</v>
      </c>
      <c r="J1517" s="8" t="s">
        <v>6010</v>
      </c>
      <c r="K1517" s="8" t="s">
        <v>10051</v>
      </c>
      <c r="L1517" s="15">
        <v>0.28906700000000002</v>
      </c>
      <c r="M1517" s="15">
        <v>0.19838800000000001</v>
      </c>
      <c r="N1517" s="15">
        <v>0.58110502310231016</v>
      </c>
    </row>
    <row r="1518" spans="1:14" x14ac:dyDescent="0.2">
      <c r="A1518" s="2" t="s">
        <v>10066</v>
      </c>
      <c r="B1518" s="15">
        <v>738</v>
      </c>
      <c r="C1518" s="15">
        <v>4</v>
      </c>
      <c r="D1518" s="15">
        <v>155044410</v>
      </c>
      <c r="E1518" s="15">
        <v>156520288</v>
      </c>
      <c r="F1518" s="15">
        <v>3585</v>
      </c>
      <c r="G1518" s="8" t="s">
        <v>12324</v>
      </c>
      <c r="H1518" s="24" t="s">
        <v>6008</v>
      </c>
      <c r="I1518" s="25" t="s">
        <v>6009</v>
      </c>
      <c r="J1518" s="8" t="s">
        <v>6010</v>
      </c>
      <c r="K1518" s="8" t="s">
        <v>10051</v>
      </c>
      <c r="L1518" s="15">
        <v>-0.24235000000000001</v>
      </c>
      <c r="M1518" s="15">
        <v>0.19873399999999999</v>
      </c>
      <c r="N1518" s="15">
        <v>0.58138871372031664</v>
      </c>
    </row>
    <row r="1519" spans="1:14" x14ac:dyDescent="0.2">
      <c r="A1519" s="2" t="s">
        <v>10068</v>
      </c>
      <c r="B1519" s="15">
        <v>1948</v>
      </c>
      <c r="C1519" s="15">
        <v>13</v>
      </c>
      <c r="D1519" s="15">
        <v>109813577</v>
      </c>
      <c r="E1519" s="15">
        <v>110995432</v>
      </c>
      <c r="F1519" s="15">
        <v>3993</v>
      </c>
      <c r="G1519" s="8" t="s">
        <v>12324</v>
      </c>
      <c r="H1519" s="24" t="s">
        <v>494</v>
      </c>
      <c r="I1519" s="25">
        <v>25920</v>
      </c>
      <c r="J1519" s="8" t="s">
        <v>496</v>
      </c>
      <c r="K1519" s="8" t="s">
        <v>10040</v>
      </c>
      <c r="L1519" s="15">
        <v>0.22733600000000001</v>
      </c>
      <c r="M1519" s="15">
        <v>0.19919100000000001</v>
      </c>
      <c r="N1519" s="15">
        <v>0.58195789525691699</v>
      </c>
    </row>
    <row r="1520" spans="1:14" x14ac:dyDescent="0.2">
      <c r="A1520" s="2" t="s">
        <v>10066</v>
      </c>
      <c r="B1520" s="15">
        <v>204</v>
      </c>
      <c r="C1520" s="15">
        <v>2</v>
      </c>
      <c r="D1520" s="15">
        <v>1875061</v>
      </c>
      <c r="E1520" s="15">
        <v>2680063</v>
      </c>
      <c r="F1520" s="15">
        <v>2295</v>
      </c>
      <c r="G1520" s="8" t="s">
        <v>12324</v>
      </c>
      <c r="H1520" s="24" t="s">
        <v>3164</v>
      </c>
      <c r="I1520" s="25" t="s">
        <v>3165</v>
      </c>
      <c r="J1520" s="8" t="s">
        <v>3166</v>
      </c>
      <c r="K1520" s="8" t="s">
        <v>10042</v>
      </c>
      <c r="L1520" s="15">
        <v>-0.23024700000000001</v>
      </c>
      <c r="M1520" s="15">
        <v>0.19911999999999999</v>
      </c>
      <c r="N1520" s="15">
        <v>0.58195789525691699</v>
      </c>
    </row>
    <row r="1521" spans="1:14" x14ac:dyDescent="0.2">
      <c r="A1521" s="2" t="s">
        <v>10069</v>
      </c>
      <c r="B1521" s="15">
        <v>1380</v>
      </c>
      <c r="C1521" s="15">
        <v>9</v>
      </c>
      <c r="D1521" s="15">
        <v>7388203</v>
      </c>
      <c r="E1521" s="15">
        <v>8262303</v>
      </c>
      <c r="F1521" s="15">
        <v>2000</v>
      </c>
      <c r="G1521" s="8" t="s">
        <v>12324</v>
      </c>
      <c r="H1521" s="24" t="s">
        <v>662</v>
      </c>
      <c r="I1521" s="25" t="s">
        <v>663</v>
      </c>
      <c r="J1521" s="8" t="s">
        <v>664</v>
      </c>
      <c r="K1521" s="8" t="s">
        <v>10040</v>
      </c>
      <c r="L1521" s="15">
        <v>0.41403600000000002</v>
      </c>
      <c r="M1521" s="15">
        <v>0.19944200000000001</v>
      </c>
      <c r="N1521" s="15">
        <v>0.58200644685039371</v>
      </c>
    </row>
    <row r="1522" spans="1:14" x14ac:dyDescent="0.2">
      <c r="A1522" s="2" t="s">
        <v>10068</v>
      </c>
      <c r="B1522" s="15">
        <v>445</v>
      </c>
      <c r="C1522" s="15">
        <v>3</v>
      </c>
      <c r="D1522" s="15">
        <v>24270190</v>
      </c>
      <c r="E1522" s="15">
        <v>25516193</v>
      </c>
      <c r="F1522" s="15">
        <v>3994</v>
      </c>
      <c r="G1522" s="8" t="s">
        <v>12324</v>
      </c>
      <c r="H1522" s="24" t="s">
        <v>1259</v>
      </c>
      <c r="I1522" s="25">
        <v>27096</v>
      </c>
      <c r="J1522" s="8" t="s">
        <v>1261</v>
      </c>
      <c r="K1522" s="8" t="s">
        <v>10040</v>
      </c>
      <c r="L1522" s="15">
        <v>0.33205699999999999</v>
      </c>
      <c r="M1522" s="15">
        <v>0.19953199999999999</v>
      </c>
      <c r="N1522" s="15">
        <v>0.58200644685039371</v>
      </c>
    </row>
    <row r="1523" spans="1:14" x14ac:dyDescent="0.2">
      <c r="A1523" s="2" t="s">
        <v>10068</v>
      </c>
      <c r="B1523" s="15">
        <v>2456</v>
      </c>
      <c r="C1523" s="15">
        <v>21</v>
      </c>
      <c r="D1523" s="15">
        <v>42187153</v>
      </c>
      <c r="E1523" s="15">
        <v>43081434</v>
      </c>
      <c r="F1523" s="15">
        <v>2820</v>
      </c>
      <c r="G1523" s="8" t="s">
        <v>12324</v>
      </c>
      <c r="H1523" s="24" t="s">
        <v>1259</v>
      </c>
      <c r="I1523" s="25">
        <v>27096</v>
      </c>
      <c r="J1523" s="8" t="s">
        <v>1261</v>
      </c>
      <c r="K1523" s="8" t="s">
        <v>10040</v>
      </c>
      <c r="L1523" s="15">
        <v>0.262183</v>
      </c>
      <c r="M1523" s="15">
        <v>0.19999500000000001</v>
      </c>
      <c r="N1523" s="15">
        <v>0.58200644685039371</v>
      </c>
    </row>
    <row r="1524" spans="1:14" x14ac:dyDescent="0.2">
      <c r="A1524" s="2" t="s">
        <v>10066</v>
      </c>
      <c r="B1524" s="15">
        <v>56</v>
      </c>
      <c r="C1524" s="15">
        <v>1</v>
      </c>
      <c r="D1524" s="15">
        <v>65894185</v>
      </c>
      <c r="E1524" s="15">
        <v>66778015</v>
      </c>
      <c r="F1524" s="15">
        <v>2294</v>
      </c>
      <c r="G1524" s="8" t="s">
        <v>12324</v>
      </c>
      <c r="H1524" s="24" t="s">
        <v>3164</v>
      </c>
      <c r="I1524" s="25" t="s">
        <v>3165</v>
      </c>
      <c r="J1524" s="8" t="s">
        <v>3166</v>
      </c>
      <c r="K1524" s="8" t="s">
        <v>10042</v>
      </c>
      <c r="L1524" s="15">
        <v>0.48089900000000002</v>
      </c>
      <c r="M1524" s="15">
        <v>0.19988900000000001</v>
      </c>
      <c r="N1524" s="15">
        <v>0.58200644685039371</v>
      </c>
    </row>
    <row r="1525" spans="1:14" x14ac:dyDescent="0.2">
      <c r="A1525" s="2" t="s">
        <v>10066</v>
      </c>
      <c r="B1525" s="15">
        <v>99</v>
      </c>
      <c r="C1525" s="15">
        <v>1</v>
      </c>
      <c r="D1525" s="15">
        <v>112489249</v>
      </c>
      <c r="E1525" s="15">
        <v>113418037</v>
      </c>
      <c r="F1525" s="15">
        <v>2144</v>
      </c>
      <c r="G1525" s="8" t="s">
        <v>12324</v>
      </c>
      <c r="H1525" s="24" t="s">
        <v>6008</v>
      </c>
      <c r="I1525" s="25" t="s">
        <v>6009</v>
      </c>
      <c r="J1525" s="8" t="s">
        <v>6010</v>
      </c>
      <c r="K1525" s="8" t="s">
        <v>10051</v>
      </c>
      <c r="L1525" s="15">
        <v>0.38823000000000002</v>
      </c>
      <c r="M1525" s="15">
        <v>0.19972999999999999</v>
      </c>
      <c r="N1525" s="15">
        <v>0.58200644685039371</v>
      </c>
    </row>
    <row r="1526" spans="1:14" x14ac:dyDescent="0.2">
      <c r="A1526" s="2" t="s">
        <v>10068</v>
      </c>
      <c r="B1526" s="15">
        <v>1073</v>
      </c>
      <c r="C1526" s="15">
        <v>6</v>
      </c>
      <c r="D1526" s="15">
        <v>150635316</v>
      </c>
      <c r="E1526" s="15">
        <v>151629954</v>
      </c>
      <c r="F1526" s="15">
        <v>3615</v>
      </c>
      <c r="G1526" s="8" t="s">
        <v>12324</v>
      </c>
      <c r="H1526" s="24" t="s">
        <v>6565</v>
      </c>
      <c r="I1526" s="25" t="s">
        <v>6475</v>
      </c>
      <c r="J1526" s="8" t="s">
        <v>6566</v>
      </c>
      <c r="K1526" s="8" t="s">
        <v>10054</v>
      </c>
      <c r="L1526" s="15">
        <v>0.40707599999999999</v>
      </c>
      <c r="M1526" s="15">
        <v>0.19991700000000001</v>
      </c>
      <c r="N1526" s="15">
        <v>0.58200644685039371</v>
      </c>
    </row>
    <row r="1527" spans="1:14" x14ac:dyDescent="0.2">
      <c r="A1527" s="2" t="s">
        <v>10066</v>
      </c>
      <c r="B1527" s="15">
        <v>1085</v>
      </c>
      <c r="C1527" s="15">
        <v>6</v>
      </c>
      <c r="D1527" s="15">
        <v>161371015</v>
      </c>
      <c r="E1527" s="15">
        <v>162254229</v>
      </c>
      <c r="F1527" s="15">
        <v>2712</v>
      </c>
      <c r="G1527" s="8" t="s">
        <v>12324</v>
      </c>
      <c r="H1527" s="24" t="s">
        <v>6008</v>
      </c>
      <c r="I1527" s="25" t="s">
        <v>6009</v>
      </c>
      <c r="J1527" s="8" t="s">
        <v>6010</v>
      </c>
      <c r="K1527" s="8" t="s">
        <v>10051</v>
      </c>
      <c r="L1527" s="15">
        <v>-0.214615</v>
      </c>
      <c r="M1527" s="15">
        <v>0.20021600000000001</v>
      </c>
      <c r="N1527" s="15">
        <v>0.58226751475409833</v>
      </c>
    </row>
    <row r="1528" spans="1:14" x14ac:dyDescent="0.2">
      <c r="A1528" s="2" t="s">
        <v>10066</v>
      </c>
      <c r="B1528" s="15">
        <v>180</v>
      </c>
      <c r="C1528" s="15">
        <v>1</v>
      </c>
      <c r="D1528" s="15">
        <v>231287765</v>
      </c>
      <c r="E1528" s="15">
        <v>232177704</v>
      </c>
      <c r="F1528" s="15">
        <v>2144</v>
      </c>
      <c r="G1528" s="8" t="s">
        <v>12324</v>
      </c>
      <c r="H1528" s="24" t="s">
        <v>6008</v>
      </c>
      <c r="I1528" s="25" t="s">
        <v>6009</v>
      </c>
      <c r="J1528" s="8" t="s">
        <v>6010</v>
      </c>
      <c r="K1528" s="8" t="s">
        <v>10051</v>
      </c>
      <c r="L1528" s="15">
        <v>0.270347</v>
      </c>
      <c r="M1528" s="15">
        <v>0.20105600000000001</v>
      </c>
      <c r="N1528" s="15">
        <v>0.58423500982318266</v>
      </c>
    </row>
    <row r="1529" spans="1:14" x14ac:dyDescent="0.2">
      <c r="A1529" s="2" t="s">
        <v>10068</v>
      </c>
      <c r="B1529" s="15">
        <v>900</v>
      </c>
      <c r="C1529" s="15">
        <v>5</v>
      </c>
      <c r="D1529" s="15">
        <v>150981935</v>
      </c>
      <c r="E1529" s="15">
        <v>151892617</v>
      </c>
      <c r="F1529" s="15">
        <v>2328</v>
      </c>
      <c r="G1529" s="8" t="s">
        <v>12324</v>
      </c>
      <c r="H1529" s="24" t="s">
        <v>6565</v>
      </c>
      <c r="I1529" s="25" t="s">
        <v>6475</v>
      </c>
      <c r="J1529" s="8" t="s">
        <v>6566</v>
      </c>
      <c r="K1529" s="8" t="s">
        <v>10054</v>
      </c>
      <c r="L1529" s="15">
        <v>0.423101</v>
      </c>
      <c r="M1529" s="15">
        <v>0.201156</v>
      </c>
      <c r="N1529" s="15">
        <v>0.58423500982318266</v>
      </c>
    </row>
    <row r="1530" spans="1:14" x14ac:dyDescent="0.2">
      <c r="A1530" s="2" t="s">
        <v>10068</v>
      </c>
      <c r="B1530" s="15">
        <v>427</v>
      </c>
      <c r="C1530" s="15">
        <v>3</v>
      </c>
      <c r="D1530" s="15">
        <v>4835084</v>
      </c>
      <c r="E1530" s="15">
        <v>5496182</v>
      </c>
      <c r="F1530" s="15">
        <v>2045</v>
      </c>
      <c r="G1530" s="8" t="s">
        <v>12324</v>
      </c>
      <c r="H1530" s="24" t="s">
        <v>494</v>
      </c>
      <c r="I1530" s="25">
        <v>25920</v>
      </c>
      <c r="J1530" s="8" t="s">
        <v>496</v>
      </c>
      <c r="K1530" s="8" t="s">
        <v>10040</v>
      </c>
      <c r="L1530" s="15">
        <v>0.38073000000000001</v>
      </c>
      <c r="M1530" s="15">
        <v>0.20155200000000001</v>
      </c>
      <c r="N1530" s="15">
        <v>0.5848456834532374</v>
      </c>
    </row>
    <row r="1531" spans="1:14" x14ac:dyDescent="0.2">
      <c r="A1531" s="2" t="s">
        <v>10068</v>
      </c>
      <c r="B1531" s="15">
        <v>2096</v>
      </c>
      <c r="C1531" s="15">
        <v>15</v>
      </c>
      <c r="D1531" s="15">
        <v>96864279</v>
      </c>
      <c r="E1531" s="15">
        <v>98025684</v>
      </c>
      <c r="F1531" s="15">
        <v>2988</v>
      </c>
      <c r="G1531" s="8" t="s">
        <v>12324</v>
      </c>
      <c r="H1531" s="24" t="s">
        <v>599</v>
      </c>
      <c r="I1531" s="25">
        <v>26562</v>
      </c>
      <c r="J1531" s="8" t="s">
        <v>601</v>
      </c>
      <c r="K1531" s="8" t="s">
        <v>10040</v>
      </c>
      <c r="L1531" s="15">
        <v>0.27832899999999999</v>
      </c>
      <c r="M1531" s="15">
        <v>0.20163</v>
      </c>
      <c r="N1531" s="15">
        <v>0.5848456834532374</v>
      </c>
    </row>
    <row r="1532" spans="1:14" x14ac:dyDescent="0.2">
      <c r="A1532" s="2" t="s">
        <v>10069</v>
      </c>
      <c r="B1532" s="15">
        <v>573</v>
      </c>
      <c r="C1532" s="15">
        <v>3</v>
      </c>
      <c r="D1532" s="15">
        <v>172004761</v>
      </c>
      <c r="E1532" s="15">
        <v>173415591</v>
      </c>
      <c r="F1532" s="15">
        <v>2112</v>
      </c>
      <c r="G1532" s="8" t="s">
        <v>12324</v>
      </c>
      <c r="H1532" s="24" t="s">
        <v>662</v>
      </c>
      <c r="I1532" s="25" t="s">
        <v>663</v>
      </c>
      <c r="J1532" s="8" t="s">
        <v>664</v>
      </c>
      <c r="K1532" s="8" t="s">
        <v>10040</v>
      </c>
      <c r="L1532" s="15">
        <v>0.47381000000000001</v>
      </c>
      <c r="M1532" s="15">
        <v>0.20184199999999999</v>
      </c>
      <c r="N1532" s="15">
        <v>0.58507795424836595</v>
      </c>
    </row>
    <row r="1533" spans="1:14" x14ac:dyDescent="0.2">
      <c r="A1533" s="2" t="s">
        <v>10068</v>
      </c>
      <c r="B1533" s="15">
        <v>1438</v>
      </c>
      <c r="C1533" s="15">
        <v>9</v>
      </c>
      <c r="D1533" s="15">
        <v>93441051</v>
      </c>
      <c r="E1533" s="15">
        <v>94175374</v>
      </c>
      <c r="F1533" s="15">
        <v>2260</v>
      </c>
      <c r="G1533" s="8" t="s">
        <v>12324</v>
      </c>
      <c r="H1533" s="24" t="s">
        <v>6565</v>
      </c>
      <c r="I1533" s="25" t="s">
        <v>6475</v>
      </c>
      <c r="J1533" s="8" t="s">
        <v>6566</v>
      </c>
      <c r="K1533" s="8" t="s">
        <v>10054</v>
      </c>
      <c r="L1533" s="15">
        <v>0.358678</v>
      </c>
      <c r="M1533" s="15">
        <v>0.20213200000000001</v>
      </c>
      <c r="N1533" s="15">
        <v>0.58553587197909873</v>
      </c>
    </row>
    <row r="1534" spans="1:14" x14ac:dyDescent="0.2">
      <c r="A1534" s="2" t="s">
        <v>10069</v>
      </c>
      <c r="B1534" s="15">
        <v>967</v>
      </c>
      <c r="C1534" s="15">
        <v>6</v>
      </c>
      <c r="D1534" s="15">
        <v>32682214</v>
      </c>
      <c r="E1534" s="15">
        <v>32897998</v>
      </c>
      <c r="F1534" s="15">
        <v>1466</v>
      </c>
      <c r="G1534" s="8" t="s">
        <v>12324</v>
      </c>
      <c r="H1534" s="24" t="s">
        <v>662</v>
      </c>
      <c r="I1534" s="25" t="s">
        <v>663</v>
      </c>
      <c r="J1534" s="8" t="s">
        <v>664</v>
      </c>
      <c r="K1534" s="8" t="s">
        <v>10040</v>
      </c>
      <c r="L1534" s="15">
        <v>0.42669600000000002</v>
      </c>
      <c r="M1534" s="15">
        <v>0.20257</v>
      </c>
      <c r="N1534" s="15">
        <v>0.58565707301173409</v>
      </c>
    </row>
    <row r="1535" spans="1:14" x14ac:dyDescent="0.2">
      <c r="A1535" s="2" t="s">
        <v>10068</v>
      </c>
      <c r="B1535" s="15">
        <v>1063</v>
      </c>
      <c r="C1535" s="15">
        <v>6</v>
      </c>
      <c r="D1535" s="15">
        <v>137553213</v>
      </c>
      <c r="E1535" s="15">
        <v>138825721</v>
      </c>
      <c r="F1535" s="15">
        <v>3520</v>
      </c>
      <c r="G1535" s="8" t="s">
        <v>12324</v>
      </c>
      <c r="H1535" s="24" t="s">
        <v>1259</v>
      </c>
      <c r="I1535" s="25">
        <v>27096</v>
      </c>
      <c r="J1535" s="8" t="s">
        <v>1261</v>
      </c>
      <c r="K1535" s="8" t="s">
        <v>10040</v>
      </c>
      <c r="L1535" s="15">
        <v>0.395785</v>
      </c>
      <c r="M1535" s="15">
        <v>0.20252000000000001</v>
      </c>
      <c r="N1535" s="15">
        <v>0.58565707301173409</v>
      </c>
    </row>
    <row r="1536" spans="1:14" x14ac:dyDescent="0.2">
      <c r="A1536" s="2" t="s">
        <v>10066</v>
      </c>
      <c r="B1536" s="15">
        <v>182</v>
      </c>
      <c r="C1536" s="15">
        <v>1</v>
      </c>
      <c r="D1536" s="15">
        <v>232954943</v>
      </c>
      <c r="E1536" s="15">
        <v>233639473</v>
      </c>
      <c r="F1536" s="15">
        <v>2127</v>
      </c>
      <c r="G1536" s="8" t="s">
        <v>12324</v>
      </c>
      <c r="H1536" s="24" t="s">
        <v>6008</v>
      </c>
      <c r="I1536" s="25" t="s">
        <v>6009</v>
      </c>
      <c r="J1536" s="8" t="s">
        <v>6010</v>
      </c>
      <c r="K1536" s="8" t="s">
        <v>10051</v>
      </c>
      <c r="L1536" s="15">
        <v>-0.31048100000000001</v>
      </c>
      <c r="M1536" s="15">
        <v>0.20250699999999999</v>
      </c>
      <c r="N1536" s="15">
        <v>0.58565707301173409</v>
      </c>
    </row>
    <row r="1537" spans="1:14" x14ac:dyDescent="0.2">
      <c r="A1537" s="2" t="s">
        <v>10068</v>
      </c>
      <c r="B1537" s="15">
        <v>1224</v>
      </c>
      <c r="C1537" s="15">
        <v>7</v>
      </c>
      <c r="D1537" s="15">
        <v>150897819</v>
      </c>
      <c r="E1537" s="15">
        <v>152253294</v>
      </c>
      <c r="F1537" s="15">
        <v>3162</v>
      </c>
      <c r="G1537" s="8" t="s">
        <v>12324</v>
      </c>
      <c r="H1537" s="24" t="s">
        <v>6565</v>
      </c>
      <c r="I1537" s="25" t="s">
        <v>6475</v>
      </c>
      <c r="J1537" s="8" t="s">
        <v>6566</v>
      </c>
      <c r="K1537" s="8" t="s">
        <v>10054</v>
      </c>
      <c r="L1537" s="15">
        <v>-0.22162799999999999</v>
      </c>
      <c r="M1537" s="15">
        <v>0.20303399999999999</v>
      </c>
      <c r="N1537" s="15">
        <v>0.5866161498371335</v>
      </c>
    </row>
    <row r="1538" spans="1:14" x14ac:dyDescent="0.2">
      <c r="A1538" s="2" t="s">
        <v>10068</v>
      </c>
      <c r="B1538" s="15">
        <v>1096</v>
      </c>
      <c r="C1538" s="15">
        <v>7</v>
      </c>
      <c r="D1538" s="15">
        <v>1366973</v>
      </c>
      <c r="E1538" s="15">
        <v>2473749</v>
      </c>
      <c r="F1538" s="15">
        <v>3722</v>
      </c>
      <c r="G1538" s="8" t="s">
        <v>12324</v>
      </c>
      <c r="H1538" s="24" t="s">
        <v>599</v>
      </c>
      <c r="I1538" s="25">
        <v>26562</v>
      </c>
      <c r="J1538" s="8" t="s">
        <v>601</v>
      </c>
      <c r="K1538" s="8" t="s">
        <v>10040</v>
      </c>
      <c r="L1538" s="15">
        <v>-0.29323399999999999</v>
      </c>
      <c r="M1538" s="15">
        <v>0.20375299999999999</v>
      </c>
      <c r="N1538" s="15">
        <v>0.58703246597537262</v>
      </c>
    </row>
    <row r="1539" spans="1:14" x14ac:dyDescent="0.2">
      <c r="A1539" s="2" t="s">
        <v>10068</v>
      </c>
      <c r="B1539" s="15">
        <v>360</v>
      </c>
      <c r="C1539" s="15">
        <v>2</v>
      </c>
      <c r="D1539" s="15">
        <v>174927564</v>
      </c>
      <c r="E1539" s="15">
        <v>176734750</v>
      </c>
      <c r="F1539" s="15">
        <v>4020</v>
      </c>
      <c r="G1539" s="8" t="s">
        <v>12324</v>
      </c>
      <c r="H1539" s="24" t="s">
        <v>599</v>
      </c>
      <c r="I1539" s="25">
        <v>26562</v>
      </c>
      <c r="J1539" s="8" t="s">
        <v>601</v>
      </c>
      <c r="K1539" s="8" t="s">
        <v>10040</v>
      </c>
      <c r="L1539" s="15">
        <v>-0.37643799999999999</v>
      </c>
      <c r="M1539" s="15">
        <v>0.20404600000000001</v>
      </c>
      <c r="N1539" s="15">
        <v>0.58703246597537262</v>
      </c>
    </row>
    <row r="1540" spans="1:14" x14ac:dyDescent="0.2">
      <c r="A1540" s="2" t="s">
        <v>10068</v>
      </c>
      <c r="B1540" s="15">
        <v>1124</v>
      </c>
      <c r="C1540" s="15">
        <v>7</v>
      </c>
      <c r="D1540" s="15">
        <v>24894120</v>
      </c>
      <c r="E1540" s="15">
        <v>25671575</v>
      </c>
      <c r="F1540" s="15">
        <v>2376</v>
      </c>
      <c r="G1540" s="8" t="s">
        <v>12324</v>
      </c>
      <c r="H1540" s="24" t="s">
        <v>1259</v>
      </c>
      <c r="I1540" s="25">
        <v>27096</v>
      </c>
      <c r="J1540" s="8" t="s">
        <v>1261</v>
      </c>
      <c r="K1540" s="8" t="s">
        <v>10040</v>
      </c>
      <c r="L1540" s="15">
        <v>-0.34140199999999998</v>
      </c>
      <c r="M1540" s="15">
        <v>0.20346600000000001</v>
      </c>
      <c r="N1540" s="15">
        <v>0.58703246597537262</v>
      </c>
    </row>
    <row r="1541" spans="1:14" x14ac:dyDescent="0.2">
      <c r="A1541" s="2" t="s">
        <v>10066</v>
      </c>
      <c r="B1541" s="15">
        <v>1251</v>
      </c>
      <c r="C1541" s="15">
        <v>8</v>
      </c>
      <c r="D1541" s="15">
        <v>11466762</v>
      </c>
      <c r="E1541" s="15">
        <v>12296849</v>
      </c>
      <c r="F1541" s="15">
        <v>1915</v>
      </c>
      <c r="G1541" s="8" t="s">
        <v>12324</v>
      </c>
      <c r="H1541" s="24" t="s">
        <v>3164</v>
      </c>
      <c r="I1541" s="25" t="s">
        <v>3165</v>
      </c>
      <c r="J1541" s="8" t="s">
        <v>3166</v>
      </c>
      <c r="K1541" s="8" t="s">
        <v>10042</v>
      </c>
      <c r="L1541" s="15">
        <v>-0.19583900000000001</v>
      </c>
      <c r="M1541" s="15">
        <v>0.20360600000000001</v>
      </c>
      <c r="N1541" s="15">
        <v>0.58703246597537262</v>
      </c>
    </row>
    <row r="1542" spans="1:14" x14ac:dyDescent="0.2">
      <c r="A1542" s="2" t="s">
        <v>10066</v>
      </c>
      <c r="B1542" s="15">
        <v>2005</v>
      </c>
      <c r="C1542" s="15">
        <v>14</v>
      </c>
      <c r="D1542" s="15">
        <v>75699502</v>
      </c>
      <c r="E1542" s="15">
        <v>76694201</v>
      </c>
      <c r="F1542" s="15">
        <v>2373</v>
      </c>
      <c r="G1542" s="8" t="s">
        <v>12324</v>
      </c>
      <c r="H1542" s="24" t="s">
        <v>3164</v>
      </c>
      <c r="I1542" s="25" t="s">
        <v>3165</v>
      </c>
      <c r="J1542" s="8" t="s">
        <v>3166</v>
      </c>
      <c r="K1542" s="8" t="s">
        <v>10042</v>
      </c>
      <c r="L1542" s="15">
        <v>-0.33024599999999998</v>
      </c>
      <c r="M1542" s="15">
        <v>0.20386399999999999</v>
      </c>
      <c r="N1542" s="15">
        <v>0.58703246597537262</v>
      </c>
    </row>
    <row r="1543" spans="1:14" x14ac:dyDescent="0.2">
      <c r="A1543" s="2" t="s">
        <v>10066</v>
      </c>
      <c r="B1543" s="15">
        <v>945</v>
      </c>
      <c r="C1543" s="15">
        <v>6</v>
      </c>
      <c r="D1543" s="15">
        <v>21295865</v>
      </c>
      <c r="E1543" s="15">
        <v>22199713</v>
      </c>
      <c r="F1543" s="15">
        <v>2312</v>
      </c>
      <c r="G1543" s="8" t="s">
        <v>12324</v>
      </c>
      <c r="H1543" s="24" t="s">
        <v>3164</v>
      </c>
      <c r="I1543" s="25" t="s">
        <v>3165</v>
      </c>
      <c r="J1543" s="8" t="s">
        <v>3166</v>
      </c>
      <c r="K1543" s="8" t="s">
        <v>10042</v>
      </c>
      <c r="L1543" s="15">
        <v>0.225854</v>
      </c>
      <c r="M1543" s="15">
        <v>0.20416100000000001</v>
      </c>
      <c r="N1543" s="15">
        <v>0.58703246597537262</v>
      </c>
    </row>
    <row r="1544" spans="1:14" x14ac:dyDescent="0.2">
      <c r="A1544" s="2" t="s">
        <v>10068</v>
      </c>
      <c r="B1544" s="15">
        <v>1109</v>
      </c>
      <c r="C1544" s="15">
        <v>7</v>
      </c>
      <c r="D1544" s="15">
        <v>11232448</v>
      </c>
      <c r="E1544" s="15">
        <v>11855413</v>
      </c>
      <c r="F1544" s="15">
        <v>2249</v>
      </c>
      <c r="G1544" s="8" t="s">
        <v>12324</v>
      </c>
      <c r="H1544" s="24" t="s">
        <v>6565</v>
      </c>
      <c r="I1544" s="25" t="s">
        <v>6475</v>
      </c>
      <c r="J1544" s="8" t="s">
        <v>6566</v>
      </c>
      <c r="K1544" s="8" t="s">
        <v>10054</v>
      </c>
      <c r="L1544" s="15">
        <v>-0.208564</v>
      </c>
      <c r="M1544" s="15">
        <v>0.20402600000000001</v>
      </c>
      <c r="N1544" s="15">
        <v>0.58703246597537262</v>
      </c>
    </row>
    <row r="1545" spans="1:14" x14ac:dyDescent="0.2">
      <c r="A1545" s="2" t="s">
        <v>10068</v>
      </c>
      <c r="B1545" s="15">
        <v>532</v>
      </c>
      <c r="C1545" s="15">
        <v>3</v>
      </c>
      <c r="D1545" s="15">
        <v>125992651</v>
      </c>
      <c r="E1545" s="15">
        <v>127495173</v>
      </c>
      <c r="F1545" s="15">
        <v>4052</v>
      </c>
      <c r="G1545" s="8" t="s">
        <v>12324</v>
      </c>
      <c r="H1545" s="24" t="s">
        <v>6565</v>
      </c>
      <c r="I1545" s="25" t="s">
        <v>6475</v>
      </c>
      <c r="J1545" s="8" t="s">
        <v>6566</v>
      </c>
      <c r="K1545" s="8" t="s">
        <v>10054</v>
      </c>
      <c r="L1545" s="15">
        <v>-0.34845900000000002</v>
      </c>
      <c r="M1545" s="15">
        <v>0.204237</v>
      </c>
      <c r="N1545" s="15">
        <v>0.58703246597537262</v>
      </c>
    </row>
    <row r="1546" spans="1:14" x14ac:dyDescent="0.2">
      <c r="A1546" s="2" t="s">
        <v>10068</v>
      </c>
      <c r="B1546" s="15">
        <v>1223</v>
      </c>
      <c r="C1546" s="15">
        <v>7</v>
      </c>
      <c r="D1546" s="15">
        <v>149843000</v>
      </c>
      <c r="E1546" s="15">
        <v>150897818</v>
      </c>
      <c r="F1546" s="15">
        <v>3162</v>
      </c>
      <c r="G1546" s="8" t="s">
        <v>12324</v>
      </c>
      <c r="H1546" s="24" t="s">
        <v>599</v>
      </c>
      <c r="I1546" s="25">
        <v>26562</v>
      </c>
      <c r="J1546" s="8" t="s">
        <v>601</v>
      </c>
      <c r="K1546" s="8" t="s">
        <v>10040</v>
      </c>
      <c r="L1546" s="15">
        <v>-0.15082599999999999</v>
      </c>
      <c r="M1546" s="15">
        <v>0.205652</v>
      </c>
      <c r="N1546" s="15">
        <v>0.59040040453074438</v>
      </c>
    </row>
    <row r="1547" spans="1:14" x14ac:dyDescent="0.2">
      <c r="A1547" s="2" t="s">
        <v>10068</v>
      </c>
      <c r="B1547" s="15">
        <v>1028</v>
      </c>
      <c r="C1547" s="15">
        <v>6</v>
      </c>
      <c r="D1547" s="15">
        <v>96480154</v>
      </c>
      <c r="E1547" s="15">
        <v>98173003</v>
      </c>
      <c r="F1547" s="15">
        <v>4071</v>
      </c>
      <c r="G1547" s="8" t="s">
        <v>12324</v>
      </c>
      <c r="H1547" s="24" t="s">
        <v>6565</v>
      </c>
      <c r="I1547" s="25" t="s">
        <v>6475</v>
      </c>
      <c r="J1547" s="8" t="s">
        <v>6566</v>
      </c>
      <c r="K1547" s="8" t="s">
        <v>10054</v>
      </c>
      <c r="L1547" s="15">
        <v>0.37814199999999998</v>
      </c>
      <c r="M1547" s="15">
        <v>0.205675</v>
      </c>
      <c r="N1547" s="15">
        <v>0.59040040453074438</v>
      </c>
    </row>
    <row r="1548" spans="1:14" x14ac:dyDescent="0.2">
      <c r="A1548" s="2" t="s">
        <v>10066</v>
      </c>
      <c r="B1548" s="15">
        <v>30</v>
      </c>
      <c r="C1548" s="15">
        <v>1</v>
      </c>
      <c r="D1548" s="15">
        <v>30405183</v>
      </c>
      <c r="E1548" s="15">
        <v>31639217</v>
      </c>
      <c r="F1548" s="15">
        <v>3663</v>
      </c>
      <c r="G1548" s="8" t="s">
        <v>12324</v>
      </c>
      <c r="H1548" s="24" t="s">
        <v>3164</v>
      </c>
      <c r="I1548" s="25" t="s">
        <v>3165</v>
      </c>
      <c r="J1548" s="8" t="s">
        <v>3166</v>
      </c>
      <c r="K1548" s="8" t="s">
        <v>10042</v>
      </c>
      <c r="L1548" s="15">
        <v>0.31400099999999997</v>
      </c>
      <c r="M1548" s="15">
        <v>0.205813</v>
      </c>
      <c r="N1548" s="15">
        <v>0.59041439521345407</v>
      </c>
    </row>
    <row r="1549" spans="1:14" x14ac:dyDescent="0.2">
      <c r="A1549" s="2" t="s">
        <v>10068</v>
      </c>
      <c r="B1549" s="15">
        <v>1535</v>
      </c>
      <c r="C1549" s="15">
        <v>10</v>
      </c>
      <c r="D1549" s="15">
        <v>53129610</v>
      </c>
      <c r="E1549" s="15">
        <v>53919161</v>
      </c>
      <c r="F1549" s="15">
        <v>2603</v>
      </c>
      <c r="G1549" s="8" t="s">
        <v>12324</v>
      </c>
      <c r="H1549" s="24" t="s">
        <v>494</v>
      </c>
      <c r="I1549" s="25">
        <v>25920</v>
      </c>
      <c r="J1549" s="8" t="s">
        <v>496</v>
      </c>
      <c r="K1549" s="8" t="s">
        <v>10040</v>
      </c>
      <c r="L1549" s="15">
        <v>0.41051900000000002</v>
      </c>
      <c r="M1549" s="15">
        <v>0.206008</v>
      </c>
      <c r="N1549" s="15">
        <v>0.59055646868947709</v>
      </c>
    </row>
    <row r="1550" spans="1:14" x14ac:dyDescent="0.2">
      <c r="A1550" s="2" t="s">
        <v>10066</v>
      </c>
      <c r="B1550" s="15">
        <v>1110</v>
      </c>
      <c r="C1550" s="15">
        <v>7</v>
      </c>
      <c r="D1550" s="15">
        <v>11855414</v>
      </c>
      <c r="E1550" s="15">
        <v>12694915</v>
      </c>
      <c r="F1550" s="15">
        <v>3523</v>
      </c>
      <c r="G1550" s="8" t="s">
        <v>12324</v>
      </c>
      <c r="H1550" s="24" t="s">
        <v>3164</v>
      </c>
      <c r="I1550" s="25" t="s">
        <v>3165</v>
      </c>
      <c r="J1550" s="8" t="s">
        <v>3166</v>
      </c>
      <c r="K1550" s="8" t="s">
        <v>10042</v>
      </c>
      <c r="L1550" s="15">
        <v>0.39779599999999998</v>
      </c>
      <c r="M1550" s="15">
        <v>0.20623900000000001</v>
      </c>
      <c r="N1550" s="15">
        <v>0.59055646868947709</v>
      </c>
    </row>
    <row r="1551" spans="1:14" x14ac:dyDescent="0.2">
      <c r="A1551" s="2" t="s">
        <v>10066</v>
      </c>
      <c r="B1551" s="15">
        <v>2180</v>
      </c>
      <c r="C1551" s="15">
        <v>17</v>
      </c>
      <c r="D1551" s="15">
        <v>6305079</v>
      </c>
      <c r="E1551" s="15">
        <v>7264458</v>
      </c>
      <c r="F1551" s="15">
        <v>2693</v>
      </c>
      <c r="G1551" s="8" t="s">
        <v>12324</v>
      </c>
      <c r="H1551" s="24" t="s">
        <v>6008</v>
      </c>
      <c r="I1551" s="25" t="s">
        <v>6009</v>
      </c>
      <c r="J1551" s="8" t="s">
        <v>6010</v>
      </c>
      <c r="K1551" s="8" t="s">
        <v>10051</v>
      </c>
      <c r="L1551" s="15">
        <v>-0.20454800000000001</v>
      </c>
      <c r="M1551" s="15">
        <v>0.206262</v>
      </c>
      <c r="N1551" s="15">
        <v>0.59055646868947709</v>
      </c>
    </row>
    <row r="1552" spans="1:14" x14ac:dyDescent="0.2">
      <c r="A1552" s="2" t="s">
        <v>10068</v>
      </c>
      <c r="B1552" s="15">
        <v>844</v>
      </c>
      <c r="C1552" s="15">
        <v>5</v>
      </c>
      <c r="D1552" s="15">
        <v>82720249</v>
      </c>
      <c r="E1552" s="15">
        <v>84094797</v>
      </c>
      <c r="F1552" s="15">
        <v>2830</v>
      </c>
      <c r="G1552" s="8" t="s">
        <v>12324</v>
      </c>
      <c r="H1552" s="24" t="s">
        <v>599</v>
      </c>
      <c r="I1552" s="25">
        <v>26562</v>
      </c>
      <c r="J1552" s="8" t="s">
        <v>601</v>
      </c>
      <c r="K1552" s="8" t="s">
        <v>10040</v>
      </c>
      <c r="L1552" s="15">
        <v>0.229023</v>
      </c>
      <c r="M1552" s="15">
        <v>0.20666100000000001</v>
      </c>
      <c r="N1552" s="15">
        <v>0.59131711935483877</v>
      </c>
    </row>
    <row r="1553" spans="1:14" x14ac:dyDescent="0.2">
      <c r="A1553" s="2" t="s">
        <v>10068</v>
      </c>
      <c r="B1553" s="15">
        <v>2246</v>
      </c>
      <c r="C1553" s="15">
        <v>18</v>
      </c>
      <c r="D1553" s="15">
        <v>7862480</v>
      </c>
      <c r="E1553" s="15">
        <v>8788524</v>
      </c>
      <c r="F1553" s="15">
        <v>3052</v>
      </c>
      <c r="G1553" s="8" t="s">
        <v>12324</v>
      </c>
      <c r="H1553" s="24" t="s">
        <v>1259</v>
      </c>
      <c r="I1553" s="25">
        <v>27096</v>
      </c>
      <c r="J1553" s="8" t="s">
        <v>1261</v>
      </c>
      <c r="K1553" s="8" t="s">
        <v>10040</v>
      </c>
      <c r="L1553" s="15">
        <v>0.36320400000000003</v>
      </c>
      <c r="M1553" s="15">
        <v>0.206844</v>
      </c>
      <c r="N1553" s="15">
        <v>0.59145914893617024</v>
      </c>
    </row>
    <row r="1554" spans="1:14" x14ac:dyDescent="0.2">
      <c r="A1554" s="2" t="s">
        <v>10068</v>
      </c>
      <c r="B1554" s="15">
        <v>1688</v>
      </c>
      <c r="C1554" s="15">
        <v>11</v>
      </c>
      <c r="D1554" s="15">
        <v>81658299</v>
      </c>
      <c r="E1554" s="15">
        <v>82833181</v>
      </c>
      <c r="F1554" s="15">
        <v>3414</v>
      </c>
      <c r="G1554" s="8" t="s">
        <v>12324</v>
      </c>
      <c r="H1554" s="24" t="s">
        <v>599</v>
      </c>
      <c r="I1554" s="25">
        <v>26562</v>
      </c>
      <c r="J1554" s="8" t="s">
        <v>601</v>
      </c>
      <c r="K1554" s="8" t="s">
        <v>10040</v>
      </c>
      <c r="L1554" s="15">
        <v>0.45057599999999998</v>
      </c>
      <c r="M1554" s="15">
        <v>0.207313</v>
      </c>
      <c r="N1554" s="15">
        <v>0.59166944765574825</v>
      </c>
    </row>
    <row r="1555" spans="1:14" x14ac:dyDescent="0.2">
      <c r="A1555" s="2" t="s">
        <v>10066</v>
      </c>
      <c r="B1555" s="15">
        <v>976</v>
      </c>
      <c r="C1555" s="15">
        <v>6</v>
      </c>
      <c r="D1555" s="15">
        <v>40778402</v>
      </c>
      <c r="E1555" s="15">
        <v>42103738</v>
      </c>
      <c r="F1555" s="15">
        <v>3557</v>
      </c>
      <c r="G1555" s="8" t="s">
        <v>12324</v>
      </c>
      <c r="H1555" s="24" t="s">
        <v>3164</v>
      </c>
      <c r="I1555" s="25" t="s">
        <v>3165</v>
      </c>
      <c r="J1555" s="8" t="s">
        <v>3166</v>
      </c>
      <c r="K1555" s="8" t="s">
        <v>10042</v>
      </c>
      <c r="L1555" s="15">
        <v>0.27623900000000001</v>
      </c>
      <c r="M1555" s="15">
        <v>0.20733399999999999</v>
      </c>
      <c r="N1555" s="15">
        <v>0.59166944765574825</v>
      </c>
    </row>
    <row r="1556" spans="1:14" x14ac:dyDescent="0.2">
      <c r="A1556" s="2" t="s">
        <v>10066</v>
      </c>
      <c r="B1556" s="15">
        <v>36</v>
      </c>
      <c r="C1556" s="15">
        <v>1</v>
      </c>
      <c r="D1556" s="15">
        <v>38474037</v>
      </c>
      <c r="E1556" s="15">
        <v>40200950</v>
      </c>
      <c r="F1556" s="15">
        <v>3988</v>
      </c>
      <c r="G1556" s="8" t="s">
        <v>12324</v>
      </c>
      <c r="H1556" s="24" t="s">
        <v>3164</v>
      </c>
      <c r="I1556" s="25" t="s">
        <v>3165</v>
      </c>
      <c r="J1556" s="8" t="s">
        <v>3166</v>
      </c>
      <c r="K1556" s="8" t="s">
        <v>10042</v>
      </c>
      <c r="L1556" s="15">
        <v>0.32186300000000001</v>
      </c>
      <c r="M1556" s="15">
        <v>0.20764299999999999</v>
      </c>
      <c r="N1556" s="15">
        <v>0.59166944765574825</v>
      </c>
    </row>
    <row r="1557" spans="1:14" x14ac:dyDescent="0.2">
      <c r="A1557" s="2" t="s">
        <v>10068</v>
      </c>
      <c r="B1557" s="15">
        <v>1099</v>
      </c>
      <c r="C1557" s="15">
        <v>7</v>
      </c>
      <c r="D1557" s="15">
        <v>4139432</v>
      </c>
      <c r="E1557" s="15">
        <v>4938442</v>
      </c>
      <c r="F1557" s="15">
        <v>3080</v>
      </c>
      <c r="G1557" s="8" t="s">
        <v>12324</v>
      </c>
      <c r="H1557" s="24" t="s">
        <v>6565</v>
      </c>
      <c r="I1557" s="25" t="s">
        <v>6475</v>
      </c>
      <c r="J1557" s="8" t="s">
        <v>6566</v>
      </c>
      <c r="K1557" s="8" t="s">
        <v>10054</v>
      </c>
      <c r="L1557" s="15">
        <v>0.25561699999999998</v>
      </c>
      <c r="M1557" s="15">
        <v>0.20755599999999999</v>
      </c>
      <c r="N1557" s="15">
        <v>0.59166944765574825</v>
      </c>
    </row>
    <row r="1558" spans="1:14" x14ac:dyDescent="0.2">
      <c r="A1558" s="2" t="s">
        <v>10068</v>
      </c>
      <c r="B1558" s="15">
        <v>728</v>
      </c>
      <c r="C1558" s="15">
        <v>4</v>
      </c>
      <c r="D1558" s="15">
        <v>141087048</v>
      </c>
      <c r="E1558" s="15">
        <v>142807914</v>
      </c>
      <c r="F1558" s="15">
        <v>3987</v>
      </c>
      <c r="G1558" s="8" t="s">
        <v>12324</v>
      </c>
      <c r="H1558" s="24" t="s">
        <v>6565</v>
      </c>
      <c r="I1558" s="25" t="s">
        <v>6475</v>
      </c>
      <c r="J1558" s="8" t="s">
        <v>6566</v>
      </c>
      <c r="K1558" s="8" t="s">
        <v>10054</v>
      </c>
      <c r="L1558" s="15">
        <v>0.35458600000000001</v>
      </c>
      <c r="M1558" s="15">
        <v>0.20763699999999999</v>
      </c>
      <c r="N1558" s="15">
        <v>0.59166944765574825</v>
      </c>
    </row>
    <row r="1559" spans="1:14" x14ac:dyDescent="0.2">
      <c r="A1559" s="2" t="s">
        <v>10068</v>
      </c>
      <c r="B1559" s="15">
        <v>670</v>
      </c>
      <c r="C1559" s="15">
        <v>4</v>
      </c>
      <c r="D1559" s="15">
        <v>76497359</v>
      </c>
      <c r="E1559" s="15">
        <v>78045637</v>
      </c>
      <c r="F1559" s="15">
        <v>4213</v>
      </c>
      <c r="G1559" s="8" t="s">
        <v>12324</v>
      </c>
      <c r="H1559" s="24" t="s">
        <v>6565</v>
      </c>
      <c r="I1559" s="25" t="s">
        <v>6475</v>
      </c>
      <c r="J1559" s="8" t="s">
        <v>6566</v>
      </c>
      <c r="K1559" s="8" t="s">
        <v>10054</v>
      </c>
      <c r="L1559" s="15">
        <v>0.290182</v>
      </c>
      <c r="M1559" s="15">
        <v>0.20771800000000001</v>
      </c>
      <c r="N1559" s="15">
        <v>0.59166944765574825</v>
      </c>
    </row>
    <row r="1560" spans="1:14" x14ac:dyDescent="0.2">
      <c r="A1560" s="2" t="s">
        <v>10068</v>
      </c>
      <c r="B1560" s="15">
        <v>2370</v>
      </c>
      <c r="C1560" s="15">
        <v>20</v>
      </c>
      <c r="D1560" s="15">
        <v>884242</v>
      </c>
      <c r="E1560" s="15">
        <v>1771285</v>
      </c>
      <c r="F1560" s="15">
        <v>2583</v>
      </c>
      <c r="G1560" s="8" t="s">
        <v>12324</v>
      </c>
      <c r="H1560" s="24" t="s">
        <v>6565</v>
      </c>
      <c r="I1560" s="25" t="s">
        <v>6475</v>
      </c>
      <c r="J1560" s="8" t="s">
        <v>6566</v>
      </c>
      <c r="K1560" s="8" t="s">
        <v>10054</v>
      </c>
      <c r="L1560" s="15">
        <v>0.19432199999999999</v>
      </c>
      <c r="M1560" s="15">
        <v>0.208283</v>
      </c>
      <c r="N1560" s="15">
        <v>0.59289801347881899</v>
      </c>
    </row>
    <row r="1561" spans="1:14" x14ac:dyDescent="0.2">
      <c r="A1561" s="2" t="s">
        <v>10068</v>
      </c>
      <c r="B1561" s="15">
        <v>171</v>
      </c>
      <c r="C1561" s="15">
        <v>1</v>
      </c>
      <c r="D1561" s="15">
        <v>220978152</v>
      </c>
      <c r="E1561" s="15">
        <v>221856864</v>
      </c>
      <c r="F1561" s="15">
        <v>2280</v>
      </c>
      <c r="G1561" s="8" t="s">
        <v>12324</v>
      </c>
      <c r="H1561" s="24" t="s">
        <v>1259</v>
      </c>
      <c r="I1561" s="25">
        <v>27096</v>
      </c>
      <c r="J1561" s="8" t="s">
        <v>1261</v>
      </c>
      <c r="K1561" s="8" t="s">
        <v>10040</v>
      </c>
      <c r="L1561" s="15">
        <v>-0.36392600000000003</v>
      </c>
      <c r="M1561" s="15">
        <v>0.208483</v>
      </c>
      <c r="N1561" s="15">
        <v>0.5930866613213599</v>
      </c>
    </row>
    <row r="1562" spans="1:14" x14ac:dyDescent="0.2">
      <c r="A1562" s="2" t="s">
        <v>10068</v>
      </c>
      <c r="B1562" s="15">
        <v>544</v>
      </c>
      <c r="C1562" s="15">
        <v>3</v>
      </c>
      <c r="D1562" s="15">
        <v>141034638</v>
      </c>
      <c r="E1562" s="15">
        <v>141898978</v>
      </c>
      <c r="F1562" s="15">
        <v>2227</v>
      </c>
      <c r="G1562" s="8" t="s">
        <v>12324</v>
      </c>
      <c r="H1562" s="24" t="s">
        <v>1259</v>
      </c>
      <c r="I1562" s="25">
        <v>27096</v>
      </c>
      <c r="J1562" s="8" t="s">
        <v>1261</v>
      </c>
      <c r="K1562" s="8" t="s">
        <v>10040</v>
      </c>
      <c r="L1562" s="15">
        <v>-0.34126800000000002</v>
      </c>
      <c r="M1562" s="15">
        <v>0.20918800000000001</v>
      </c>
      <c r="N1562" s="15">
        <v>0.5947107564102565</v>
      </c>
    </row>
    <row r="1563" spans="1:14" x14ac:dyDescent="0.2">
      <c r="A1563" s="2" t="s">
        <v>10068</v>
      </c>
      <c r="B1563" s="15">
        <v>2066</v>
      </c>
      <c r="C1563" s="15">
        <v>15</v>
      </c>
      <c r="D1563" s="15">
        <v>61130596</v>
      </c>
      <c r="E1563" s="15">
        <v>62106138</v>
      </c>
      <c r="F1563" s="15">
        <v>2682</v>
      </c>
      <c r="G1563" s="8" t="s">
        <v>12324</v>
      </c>
      <c r="H1563" s="24" t="s">
        <v>599</v>
      </c>
      <c r="I1563" s="25">
        <v>26562</v>
      </c>
      <c r="J1563" s="8" t="s">
        <v>601</v>
      </c>
      <c r="K1563" s="8" t="s">
        <v>10040</v>
      </c>
      <c r="L1563" s="15">
        <v>-0.36281400000000003</v>
      </c>
      <c r="M1563" s="15">
        <v>0.20957999999999999</v>
      </c>
      <c r="N1563" s="15">
        <v>0.5948114313099041</v>
      </c>
    </row>
    <row r="1564" spans="1:14" x14ac:dyDescent="0.2">
      <c r="A1564" s="2" t="s">
        <v>10068</v>
      </c>
      <c r="B1564" s="15">
        <v>1173</v>
      </c>
      <c r="C1564" s="15">
        <v>7</v>
      </c>
      <c r="D1564" s="15">
        <v>82759284</v>
      </c>
      <c r="E1564" s="15">
        <v>83953009</v>
      </c>
      <c r="F1564" s="15">
        <v>3500</v>
      </c>
      <c r="G1564" s="8" t="s">
        <v>12324</v>
      </c>
      <c r="H1564" s="24" t="s">
        <v>599</v>
      </c>
      <c r="I1564" s="25">
        <v>26562</v>
      </c>
      <c r="J1564" s="8" t="s">
        <v>601</v>
      </c>
      <c r="K1564" s="8" t="s">
        <v>10040</v>
      </c>
      <c r="L1564" s="15">
        <v>-0.453235</v>
      </c>
      <c r="M1564" s="15">
        <v>0.20982400000000001</v>
      </c>
      <c r="N1564" s="15">
        <v>0.5948114313099041</v>
      </c>
    </row>
    <row r="1565" spans="1:14" x14ac:dyDescent="0.2">
      <c r="A1565" s="2" t="s">
        <v>10068</v>
      </c>
      <c r="B1565" s="15">
        <v>550</v>
      </c>
      <c r="C1565" s="15">
        <v>3</v>
      </c>
      <c r="D1565" s="15">
        <v>147358244</v>
      </c>
      <c r="E1565" s="15">
        <v>148638308</v>
      </c>
      <c r="F1565" s="15">
        <v>3356</v>
      </c>
      <c r="G1565" s="8" t="s">
        <v>12324</v>
      </c>
      <c r="H1565" s="24" t="s">
        <v>1259</v>
      </c>
      <c r="I1565" s="25">
        <v>27096</v>
      </c>
      <c r="J1565" s="8" t="s">
        <v>1261</v>
      </c>
      <c r="K1565" s="8" t="s">
        <v>10040</v>
      </c>
      <c r="L1565" s="15">
        <v>0.33460400000000001</v>
      </c>
      <c r="M1565" s="15">
        <v>0.209704</v>
      </c>
      <c r="N1565" s="15">
        <v>0.5948114313099041</v>
      </c>
    </row>
    <row r="1566" spans="1:14" x14ac:dyDescent="0.2">
      <c r="A1566" s="2" t="s">
        <v>10066</v>
      </c>
      <c r="B1566" s="15">
        <v>1581</v>
      </c>
      <c r="C1566" s="15">
        <v>10</v>
      </c>
      <c r="D1566" s="15">
        <v>104206838</v>
      </c>
      <c r="E1566" s="15">
        <v>106142283</v>
      </c>
      <c r="F1566" s="15">
        <v>3884</v>
      </c>
      <c r="G1566" s="8" t="s">
        <v>12324</v>
      </c>
      <c r="H1566" s="24" t="s">
        <v>6008</v>
      </c>
      <c r="I1566" s="25" t="s">
        <v>6009</v>
      </c>
      <c r="J1566" s="8" t="s">
        <v>6010</v>
      </c>
      <c r="K1566" s="8" t="s">
        <v>10051</v>
      </c>
      <c r="L1566" s="15">
        <v>-0.44680399999999998</v>
      </c>
      <c r="M1566" s="15">
        <v>0.209757</v>
      </c>
      <c r="N1566" s="15">
        <v>0.5948114313099041</v>
      </c>
    </row>
    <row r="1567" spans="1:14" x14ac:dyDescent="0.2">
      <c r="A1567" s="2" t="s">
        <v>10068</v>
      </c>
      <c r="B1567" s="15">
        <v>1038</v>
      </c>
      <c r="C1567" s="15">
        <v>6</v>
      </c>
      <c r="D1567" s="15">
        <v>107309328</v>
      </c>
      <c r="E1567" s="15">
        <v>109043244</v>
      </c>
      <c r="F1567" s="15">
        <v>3641</v>
      </c>
      <c r="G1567" s="8" t="s">
        <v>12324</v>
      </c>
      <c r="H1567" s="24" t="s">
        <v>6565</v>
      </c>
      <c r="I1567" s="25" t="s">
        <v>6475</v>
      </c>
      <c r="J1567" s="8" t="s">
        <v>6566</v>
      </c>
      <c r="K1567" s="8" t="s">
        <v>10054</v>
      </c>
      <c r="L1567" s="15">
        <v>-0.29225400000000001</v>
      </c>
      <c r="M1567" s="15">
        <v>0.209894</v>
      </c>
      <c r="N1567" s="15">
        <v>0.5948114313099041</v>
      </c>
    </row>
    <row r="1568" spans="1:14" x14ac:dyDescent="0.2">
      <c r="A1568" s="2" t="s">
        <v>10069</v>
      </c>
      <c r="B1568" s="15">
        <v>1028</v>
      </c>
      <c r="C1568" s="15">
        <v>6</v>
      </c>
      <c r="D1568" s="15">
        <v>96480154</v>
      </c>
      <c r="E1568" s="15">
        <v>98173003</v>
      </c>
      <c r="F1568" s="15">
        <v>2609</v>
      </c>
      <c r="G1568" s="8" t="s">
        <v>12324</v>
      </c>
      <c r="H1568" s="24" t="s">
        <v>662</v>
      </c>
      <c r="I1568" s="25" t="s">
        <v>663</v>
      </c>
      <c r="J1568" s="8" t="s">
        <v>664</v>
      </c>
      <c r="K1568" s="8" t="s">
        <v>10040</v>
      </c>
      <c r="L1568" s="15">
        <v>0.40699600000000002</v>
      </c>
      <c r="M1568" s="15">
        <v>0.21019399999999999</v>
      </c>
      <c r="N1568" s="15">
        <v>0.59528121966794378</v>
      </c>
    </row>
    <row r="1569" spans="1:14" x14ac:dyDescent="0.2">
      <c r="A1569" s="2" t="s">
        <v>10066</v>
      </c>
      <c r="B1569" s="15">
        <v>1142</v>
      </c>
      <c r="C1569" s="15">
        <v>7</v>
      </c>
      <c r="D1569" s="15">
        <v>46247336</v>
      </c>
      <c r="E1569" s="15">
        <v>47253454</v>
      </c>
      <c r="F1569" s="15">
        <v>3287</v>
      </c>
      <c r="G1569" s="8" t="s">
        <v>12324</v>
      </c>
      <c r="H1569" s="24" t="s">
        <v>6008</v>
      </c>
      <c r="I1569" s="25" t="s">
        <v>6009</v>
      </c>
      <c r="J1569" s="8" t="s">
        <v>6010</v>
      </c>
      <c r="K1569" s="8" t="s">
        <v>10051</v>
      </c>
      <c r="L1569" s="15">
        <v>0.370253</v>
      </c>
      <c r="M1569" s="15">
        <v>0.21046100000000001</v>
      </c>
      <c r="N1569" s="15">
        <v>0.59565701021059358</v>
      </c>
    </row>
    <row r="1570" spans="1:14" x14ac:dyDescent="0.2">
      <c r="A1570" s="2" t="s">
        <v>10068</v>
      </c>
      <c r="B1570" s="15">
        <v>1517</v>
      </c>
      <c r="C1570" s="15">
        <v>10</v>
      </c>
      <c r="D1570" s="15">
        <v>28734423</v>
      </c>
      <c r="E1570" s="15">
        <v>29393749</v>
      </c>
      <c r="F1570" s="15">
        <v>2145</v>
      </c>
      <c r="G1570" s="8" t="s">
        <v>12324</v>
      </c>
      <c r="H1570" s="24" t="s">
        <v>494</v>
      </c>
      <c r="I1570" s="25">
        <v>25920</v>
      </c>
      <c r="J1570" s="8" t="s">
        <v>496</v>
      </c>
      <c r="K1570" s="8" t="s">
        <v>10040</v>
      </c>
      <c r="L1570" s="15">
        <v>-0.299651</v>
      </c>
      <c r="M1570" s="15">
        <v>0.211483</v>
      </c>
      <c r="N1570" s="15">
        <v>0.5957429904761905</v>
      </c>
    </row>
    <row r="1571" spans="1:14" x14ac:dyDescent="0.2">
      <c r="A1571" s="2" t="s">
        <v>10068</v>
      </c>
      <c r="B1571" s="15">
        <v>1437</v>
      </c>
      <c r="C1571" s="15">
        <v>9</v>
      </c>
      <c r="D1571" s="15">
        <v>92500278</v>
      </c>
      <c r="E1571" s="15">
        <v>93441050</v>
      </c>
      <c r="F1571" s="15">
        <v>2550</v>
      </c>
      <c r="G1571" s="8" t="s">
        <v>12324</v>
      </c>
      <c r="H1571" s="24" t="s">
        <v>599</v>
      </c>
      <c r="I1571" s="25">
        <v>26562</v>
      </c>
      <c r="J1571" s="8" t="s">
        <v>601</v>
      </c>
      <c r="K1571" s="8" t="s">
        <v>10040</v>
      </c>
      <c r="L1571" s="15">
        <v>-0.27860499999999999</v>
      </c>
      <c r="M1571" s="15">
        <v>0.21079899999999999</v>
      </c>
      <c r="N1571" s="15">
        <v>0.5957429904761905</v>
      </c>
    </row>
    <row r="1572" spans="1:14" x14ac:dyDescent="0.2">
      <c r="A1572" s="2" t="s">
        <v>10068</v>
      </c>
      <c r="B1572" s="15">
        <v>1744</v>
      </c>
      <c r="C1572" s="15">
        <v>12</v>
      </c>
      <c r="D1572" s="15">
        <v>3871115</v>
      </c>
      <c r="E1572" s="15">
        <v>4967643</v>
      </c>
      <c r="F1572" s="15">
        <v>2833</v>
      </c>
      <c r="G1572" s="8" t="s">
        <v>12324</v>
      </c>
      <c r="H1572" s="24" t="s">
        <v>599</v>
      </c>
      <c r="I1572" s="25">
        <v>26562</v>
      </c>
      <c r="J1572" s="8" t="s">
        <v>601</v>
      </c>
      <c r="K1572" s="8" t="s">
        <v>10040</v>
      </c>
      <c r="L1572" s="15">
        <v>-0.240262</v>
      </c>
      <c r="M1572" s="15">
        <v>0.210897</v>
      </c>
      <c r="N1572" s="15">
        <v>0.5957429904761905</v>
      </c>
    </row>
    <row r="1573" spans="1:14" x14ac:dyDescent="0.2">
      <c r="A1573" s="2" t="s">
        <v>10068</v>
      </c>
      <c r="B1573" s="15">
        <v>2035</v>
      </c>
      <c r="C1573" s="15">
        <v>15</v>
      </c>
      <c r="D1573" s="15">
        <v>22799927</v>
      </c>
      <c r="E1573" s="15">
        <v>24099946</v>
      </c>
      <c r="F1573" s="15">
        <v>2425</v>
      </c>
      <c r="G1573" s="8" t="s">
        <v>12324</v>
      </c>
      <c r="H1573" s="24" t="s">
        <v>599</v>
      </c>
      <c r="I1573" s="25">
        <v>26562</v>
      </c>
      <c r="J1573" s="8" t="s">
        <v>601</v>
      </c>
      <c r="K1573" s="8" t="s">
        <v>10040</v>
      </c>
      <c r="L1573" s="15">
        <v>0.14265</v>
      </c>
      <c r="M1573" s="15">
        <v>0.21121500000000001</v>
      </c>
      <c r="N1573" s="15">
        <v>0.5957429904761905</v>
      </c>
    </row>
    <row r="1574" spans="1:14" x14ac:dyDescent="0.2">
      <c r="A1574" s="2" t="s">
        <v>10068</v>
      </c>
      <c r="B1574" s="15">
        <v>943</v>
      </c>
      <c r="C1574" s="15">
        <v>6</v>
      </c>
      <c r="D1574" s="15">
        <v>19449153</v>
      </c>
      <c r="E1574" s="15">
        <v>20418020</v>
      </c>
      <c r="F1574" s="15">
        <v>2743</v>
      </c>
      <c r="G1574" s="8" t="s">
        <v>12324</v>
      </c>
      <c r="H1574" s="24" t="s">
        <v>1259</v>
      </c>
      <c r="I1574" s="25">
        <v>27096</v>
      </c>
      <c r="J1574" s="8" t="s">
        <v>1261</v>
      </c>
      <c r="K1574" s="8" t="s">
        <v>10040</v>
      </c>
      <c r="L1574" s="15">
        <v>-0.29859200000000002</v>
      </c>
      <c r="M1574" s="15">
        <v>0.21149399999999999</v>
      </c>
      <c r="N1574" s="15">
        <v>0.5957429904761905</v>
      </c>
    </row>
    <row r="1575" spans="1:14" x14ac:dyDescent="0.2">
      <c r="A1575" s="2" t="s">
        <v>10066</v>
      </c>
      <c r="B1575" s="15">
        <v>215</v>
      </c>
      <c r="C1575" s="15">
        <v>2</v>
      </c>
      <c r="D1575" s="15">
        <v>10611655</v>
      </c>
      <c r="E1575" s="15">
        <v>11230349</v>
      </c>
      <c r="F1575" s="15">
        <v>2258</v>
      </c>
      <c r="G1575" s="8" t="s">
        <v>12324</v>
      </c>
      <c r="H1575" s="24" t="s">
        <v>3164</v>
      </c>
      <c r="I1575" s="25" t="s">
        <v>3165</v>
      </c>
      <c r="J1575" s="8" t="s">
        <v>3166</v>
      </c>
      <c r="K1575" s="8" t="s">
        <v>10042</v>
      </c>
      <c r="L1575" s="15">
        <v>0.237867</v>
      </c>
      <c r="M1575" s="15">
        <v>0.21146899999999999</v>
      </c>
      <c r="N1575" s="15">
        <v>0.5957429904761905</v>
      </c>
    </row>
    <row r="1576" spans="1:14" x14ac:dyDescent="0.2">
      <c r="A1576" s="2" t="s">
        <v>10066</v>
      </c>
      <c r="B1576" s="15">
        <v>157</v>
      </c>
      <c r="C1576" s="15">
        <v>1</v>
      </c>
      <c r="D1576" s="15">
        <v>204092538</v>
      </c>
      <c r="E1576" s="15">
        <v>205009623</v>
      </c>
      <c r="F1576" s="15">
        <v>2253</v>
      </c>
      <c r="G1576" s="8" t="s">
        <v>12324</v>
      </c>
      <c r="H1576" s="24" t="s">
        <v>3164</v>
      </c>
      <c r="I1576" s="25" t="s">
        <v>3165</v>
      </c>
      <c r="J1576" s="8" t="s">
        <v>3166</v>
      </c>
      <c r="K1576" s="8" t="s">
        <v>10042</v>
      </c>
      <c r="L1576" s="15">
        <v>-0.31703799999999999</v>
      </c>
      <c r="M1576" s="15">
        <v>0.211566</v>
      </c>
      <c r="N1576" s="15">
        <v>0.5957429904761905</v>
      </c>
    </row>
    <row r="1577" spans="1:14" x14ac:dyDescent="0.2">
      <c r="A1577" s="2" t="s">
        <v>10068</v>
      </c>
      <c r="B1577" s="15">
        <v>219</v>
      </c>
      <c r="C1577" s="15">
        <v>2</v>
      </c>
      <c r="D1577" s="15">
        <v>13625451</v>
      </c>
      <c r="E1577" s="15">
        <v>14692120</v>
      </c>
      <c r="F1577" s="15">
        <v>3205</v>
      </c>
      <c r="G1577" s="8" t="s">
        <v>12324</v>
      </c>
      <c r="H1577" s="24" t="s">
        <v>6565</v>
      </c>
      <c r="I1577" s="25" t="s">
        <v>6475</v>
      </c>
      <c r="J1577" s="8" t="s">
        <v>6566</v>
      </c>
      <c r="K1577" s="8" t="s">
        <v>10054</v>
      </c>
      <c r="L1577" s="15">
        <v>0.31299399999999999</v>
      </c>
      <c r="M1577" s="15">
        <v>0.21107899999999999</v>
      </c>
      <c r="N1577" s="15">
        <v>0.5957429904761905</v>
      </c>
    </row>
    <row r="1578" spans="1:14" x14ac:dyDescent="0.2">
      <c r="A1578" s="2" t="s">
        <v>10068</v>
      </c>
      <c r="B1578" s="15">
        <v>1823</v>
      </c>
      <c r="C1578" s="15">
        <v>12</v>
      </c>
      <c r="D1578" s="15">
        <v>92061180</v>
      </c>
      <c r="E1578" s="15">
        <v>93487547</v>
      </c>
      <c r="F1578" s="15">
        <v>3594</v>
      </c>
      <c r="G1578" s="8" t="s">
        <v>12324</v>
      </c>
      <c r="H1578" s="24" t="s">
        <v>494</v>
      </c>
      <c r="I1578" s="25">
        <v>25920</v>
      </c>
      <c r="J1578" s="8" t="s">
        <v>496</v>
      </c>
      <c r="K1578" s="8" t="s">
        <v>10040</v>
      </c>
      <c r="L1578" s="15">
        <v>-0.33366800000000002</v>
      </c>
      <c r="M1578" s="15">
        <v>0.212286</v>
      </c>
      <c r="N1578" s="15">
        <v>0.59615943670886073</v>
      </c>
    </row>
    <row r="1579" spans="1:14" x14ac:dyDescent="0.2">
      <c r="A1579" s="2" t="s">
        <v>10068</v>
      </c>
      <c r="B1579" s="15">
        <v>1918</v>
      </c>
      <c r="C1579" s="15">
        <v>13</v>
      </c>
      <c r="D1579" s="15">
        <v>78693311</v>
      </c>
      <c r="E1579" s="15">
        <v>79489045</v>
      </c>
      <c r="F1579" s="15">
        <v>2174</v>
      </c>
      <c r="G1579" s="8" t="s">
        <v>12324</v>
      </c>
      <c r="H1579" s="24" t="s">
        <v>1259</v>
      </c>
      <c r="I1579" s="25">
        <v>27096</v>
      </c>
      <c r="J1579" s="8" t="s">
        <v>1261</v>
      </c>
      <c r="K1579" s="8" t="s">
        <v>10040</v>
      </c>
      <c r="L1579" s="15">
        <v>0.39465699999999998</v>
      </c>
      <c r="M1579" s="15">
        <v>0.21203900000000001</v>
      </c>
      <c r="N1579" s="15">
        <v>0.59615943670886073</v>
      </c>
    </row>
    <row r="1580" spans="1:14" x14ac:dyDescent="0.2">
      <c r="A1580" s="2" t="s">
        <v>10066</v>
      </c>
      <c r="B1580" s="15">
        <v>1576</v>
      </c>
      <c r="C1580" s="15">
        <v>10</v>
      </c>
      <c r="D1580" s="15">
        <v>98005995</v>
      </c>
      <c r="E1580" s="15">
        <v>99367800</v>
      </c>
      <c r="F1580" s="15">
        <v>3050</v>
      </c>
      <c r="G1580" s="8" t="s">
        <v>12324</v>
      </c>
      <c r="H1580" s="24" t="s">
        <v>3164</v>
      </c>
      <c r="I1580" s="25" t="s">
        <v>3165</v>
      </c>
      <c r="J1580" s="8" t="s">
        <v>3166</v>
      </c>
      <c r="K1580" s="8" t="s">
        <v>10042</v>
      </c>
      <c r="L1580" s="15">
        <v>-0.29368100000000003</v>
      </c>
      <c r="M1580" s="15">
        <v>0.21238599999999999</v>
      </c>
      <c r="N1580" s="15">
        <v>0.59615943670886073</v>
      </c>
    </row>
    <row r="1581" spans="1:14" x14ac:dyDescent="0.2">
      <c r="A1581" s="2" t="s">
        <v>10066</v>
      </c>
      <c r="B1581" s="15">
        <v>1493</v>
      </c>
      <c r="C1581" s="15">
        <v>10</v>
      </c>
      <c r="D1581" s="15">
        <v>6234719</v>
      </c>
      <c r="E1581" s="15">
        <v>6897037</v>
      </c>
      <c r="F1581" s="15">
        <v>2338</v>
      </c>
      <c r="G1581" s="8" t="s">
        <v>12324</v>
      </c>
      <c r="H1581" s="24" t="s">
        <v>6008</v>
      </c>
      <c r="I1581" s="25" t="s">
        <v>6009</v>
      </c>
      <c r="J1581" s="8" t="s">
        <v>6010</v>
      </c>
      <c r="K1581" s="8" t="s">
        <v>10051</v>
      </c>
      <c r="L1581" s="15">
        <v>-0.15510299999999999</v>
      </c>
      <c r="M1581" s="15">
        <v>0.212253</v>
      </c>
      <c r="N1581" s="15">
        <v>0.59615943670886073</v>
      </c>
    </row>
    <row r="1582" spans="1:14" x14ac:dyDescent="0.2">
      <c r="A1582" s="2" t="s">
        <v>10066</v>
      </c>
      <c r="B1582" s="15">
        <v>2398</v>
      </c>
      <c r="C1582" s="15">
        <v>20</v>
      </c>
      <c r="D1582" s="15">
        <v>30569660</v>
      </c>
      <c r="E1582" s="15">
        <v>32484506</v>
      </c>
      <c r="F1582" s="15">
        <v>3342</v>
      </c>
      <c r="G1582" s="8" t="s">
        <v>12324</v>
      </c>
      <c r="H1582" s="24" t="s">
        <v>6008</v>
      </c>
      <c r="I1582" s="25" t="s">
        <v>6009</v>
      </c>
      <c r="J1582" s="8" t="s">
        <v>6010</v>
      </c>
      <c r="K1582" s="8" t="s">
        <v>10051</v>
      </c>
      <c r="L1582" s="15">
        <v>-0.24149999999999999</v>
      </c>
      <c r="M1582" s="15">
        <v>0.21238499999999999</v>
      </c>
      <c r="N1582" s="15">
        <v>0.59615943670886073</v>
      </c>
    </row>
    <row r="1583" spans="1:14" x14ac:dyDescent="0.2">
      <c r="A1583" s="2" t="s">
        <v>10068</v>
      </c>
      <c r="B1583" s="15">
        <v>1282</v>
      </c>
      <c r="C1583" s="15">
        <v>8</v>
      </c>
      <c r="D1583" s="15">
        <v>40179578</v>
      </c>
      <c r="E1583" s="15">
        <v>40974254</v>
      </c>
      <c r="F1583" s="15">
        <v>2694</v>
      </c>
      <c r="G1583" s="8" t="s">
        <v>12324</v>
      </c>
      <c r="H1583" s="24" t="s">
        <v>6565</v>
      </c>
      <c r="I1583" s="25" t="s">
        <v>6475</v>
      </c>
      <c r="J1583" s="8" t="s">
        <v>6566</v>
      </c>
      <c r="K1583" s="8" t="s">
        <v>10054</v>
      </c>
      <c r="L1583" s="15">
        <v>0.36751400000000001</v>
      </c>
      <c r="M1583" s="15">
        <v>0.212787</v>
      </c>
      <c r="N1583" s="15">
        <v>0.59690723908918408</v>
      </c>
    </row>
    <row r="1584" spans="1:14" x14ac:dyDescent="0.2">
      <c r="A1584" s="2" t="s">
        <v>10068</v>
      </c>
      <c r="B1584" s="15">
        <v>2419</v>
      </c>
      <c r="C1584" s="15">
        <v>20</v>
      </c>
      <c r="D1584" s="15">
        <v>54743695</v>
      </c>
      <c r="E1584" s="15">
        <v>55448075</v>
      </c>
      <c r="F1584" s="15">
        <v>2232</v>
      </c>
      <c r="G1584" s="8" t="s">
        <v>12324</v>
      </c>
      <c r="H1584" s="24" t="s">
        <v>1259</v>
      </c>
      <c r="I1584" s="25">
        <v>27096</v>
      </c>
      <c r="J1584" s="8" t="s">
        <v>1261</v>
      </c>
      <c r="K1584" s="8" t="s">
        <v>10040</v>
      </c>
      <c r="L1584" s="15">
        <v>0.242807</v>
      </c>
      <c r="M1584" s="15">
        <v>0.212976</v>
      </c>
      <c r="N1584" s="15">
        <v>0.59705977243994945</v>
      </c>
    </row>
    <row r="1585" spans="1:14" x14ac:dyDescent="0.2">
      <c r="A1585" s="2" t="s">
        <v>10069</v>
      </c>
      <c r="B1585" s="15">
        <v>1604</v>
      </c>
      <c r="C1585" s="15">
        <v>10</v>
      </c>
      <c r="D1585" s="15">
        <v>130694009</v>
      </c>
      <c r="E1585" s="15">
        <v>131694738</v>
      </c>
      <c r="F1585" s="15">
        <v>1927</v>
      </c>
      <c r="G1585" s="8" t="s">
        <v>12324</v>
      </c>
      <c r="H1585" s="24" t="s">
        <v>662</v>
      </c>
      <c r="I1585" s="25" t="s">
        <v>663</v>
      </c>
      <c r="J1585" s="8" t="s">
        <v>664</v>
      </c>
      <c r="K1585" s="8" t="s">
        <v>10040</v>
      </c>
      <c r="L1585" s="15">
        <v>0.27308900000000003</v>
      </c>
      <c r="M1585" s="15">
        <v>0.21326100000000001</v>
      </c>
      <c r="N1585" s="15">
        <v>0.59734466224747484</v>
      </c>
    </row>
    <row r="1586" spans="1:14" x14ac:dyDescent="0.2">
      <c r="A1586" s="2" t="s">
        <v>10066</v>
      </c>
      <c r="B1586" s="15">
        <v>1633</v>
      </c>
      <c r="C1586" s="15">
        <v>11</v>
      </c>
      <c r="D1586" s="15">
        <v>21442723</v>
      </c>
      <c r="E1586" s="15">
        <v>22368743</v>
      </c>
      <c r="F1586" s="15">
        <v>2637</v>
      </c>
      <c r="G1586" s="8" t="s">
        <v>12324</v>
      </c>
      <c r="H1586" s="24" t="s">
        <v>6008</v>
      </c>
      <c r="I1586" s="25" t="s">
        <v>6009</v>
      </c>
      <c r="J1586" s="8" t="s">
        <v>6010</v>
      </c>
      <c r="K1586" s="8" t="s">
        <v>10051</v>
      </c>
      <c r="L1586" s="15">
        <v>-0.441971</v>
      </c>
      <c r="M1586" s="15">
        <v>0.21334700000000001</v>
      </c>
      <c r="N1586" s="15">
        <v>0.59734466224747484</v>
      </c>
    </row>
    <row r="1587" spans="1:14" x14ac:dyDescent="0.2">
      <c r="A1587" s="2" t="s">
        <v>10066</v>
      </c>
      <c r="B1587" s="15">
        <v>1425</v>
      </c>
      <c r="C1587" s="15">
        <v>9</v>
      </c>
      <c r="D1587" s="15">
        <v>79451036</v>
      </c>
      <c r="E1587" s="15">
        <v>80137024</v>
      </c>
      <c r="F1587" s="15">
        <v>2260</v>
      </c>
      <c r="G1587" s="8" t="s">
        <v>12324</v>
      </c>
      <c r="H1587" s="24" t="s">
        <v>3164</v>
      </c>
      <c r="I1587" s="25" t="s">
        <v>3165</v>
      </c>
      <c r="J1587" s="8" t="s">
        <v>3166</v>
      </c>
      <c r="K1587" s="8" t="s">
        <v>10042</v>
      </c>
      <c r="L1587" s="15">
        <v>0.228023</v>
      </c>
      <c r="M1587" s="15">
        <v>0.213639</v>
      </c>
      <c r="N1587" s="15">
        <v>0.59778483596214504</v>
      </c>
    </row>
    <row r="1588" spans="1:14" x14ac:dyDescent="0.2">
      <c r="A1588" s="2" t="s">
        <v>10068</v>
      </c>
      <c r="B1588" s="15">
        <v>1414</v>
      </c>
      <c r="C1588" s="15">
        <v>9</v>
      </c>
      <c r="D1588" s="15">
        <v>37687113</v>
      </c>
      <c r="E1588" s="15">
        <v>38822977</v>
      </c>
      <c r="F1588" s="15">
        <v>2973</v>
      </c>
      <c r="G1588" s="8" t="s">
        <v>12324</v>
      </c>
      <c r="H1588" s="24" t="s">
        <v>1259</v>
      </c>
      <c r="I1588" s="25">
        <v>27096</v>
      </c>
      <c r="J1588" s="8" t="s">
        <v>1261</v>
      </c>
      <c r="K1588" s="8" t="s">
        <v>10040</v>
      </c>
      <c r="L1588" s="15">
        <v>-0.19697200000000001</v>
      </c>
      <c r="M1588" s="15">
        <v>0.214083</v>
      </c>
      <c r="N1588" s="15">
        <v>0.59864675173282922</v>
      </c>
    </row>
    <row r="1589" spans="1:14" x14ac:dyDescent="0.2">
      <c r="A1589" s="2" t="s">
        <v>10068</v>
      </c>
      <c r="B1589" s="15">
        <v>2216</v>
      </c>
      <c r="C1589" s="15">
        <v>17</v>
      </c>
      <c r="D1589" s="15">
        <v>54950108</v>
      </c>
      <c r="E1589" s="15">
        <v>56245227</v>
      </c>
      <c r="F1589" s="15">
        <v>3156</v>
      </c>
      <c r="G1589" s="8" t="s">
        <v>12324</v>
      </c>
      <c r="H1589" s="24" t="s">
        <v>1259</v>
      </c>
      <c r="I1589" s="25">
        <v>27096</v>
      </c>
      <c r="J1589" s="8" t="s">
        <v>1261</v>
      </c>
      <c r="K1589" s="8" t="s">
        <v>10040</v>
      </c>
      <c r="L1589" s="15">
        <v>0.25411499999999998</v>
      </c>
      <c r="M1589" s="15">
        <v>0.21421699999999999</v>
      </c>
      <c r="N1589" s="15">
        <v>0.59864675173282922</v>
      </c>
    </row>
    <row r="1590" spans="1:14" x14ac:dyDescent="0.2">
      <c r="A1590" s="2" t="s">
        <v>10068</v>
      </c>
      <c r="B1590" s="15">
        <v>1517</v>
      </c>
      <c r="C1590" s="15">
        <v>10</v>
      </c>
      <c r="D1590" s="15">
        <v>28734423</v>
      </c>
      <c r="E1590" s="15">
        <v>29393749</v>
      </c>
      <c r="F1590" s="15">
        <v>2145</v>
      </c>
      <c r="G1590" s="8" t="s">
        <v>12324</v>
      </c>
      <c r="H1590" s="24" t="s">
        <v>6565</v>
      </c>
      <c r="I1590" s="25" t="s">
        <v>6475</v>
      </c>
      <c r="J1590" s="8" t="s">
        <v>6566</v>
      </c>
      <c r="K1590" s="8" t="s">
        <v>10054</v>
      </c>
      <c r="L1590" s="15">
        <v>-0.41697299999999998</v>
      </c>
      <c r="M1590" s="15">
        <v>0.214366</v>
      </c>
      <c r="N1590" s="15">
        <v>0.59868590050377835</v>
      </c>
    </row>
    <row r="1591" spans="1:14" x14ac:dyDescent="0.2">
      <c r="A1591" s="2" t="s">
        <v>10069</v>
      </c>
      <c r="B1591" s="15">
        <v>1542</v>
      </c>
      <c r="C1591" s="15">
        <v>10</v>
      </c>
      <c r="D1591" s="15">
        <v>59822947</v>
      </c>
      <c r="E1591" s="15">
        <v>61470383</v>
      </c>
      <c r="F1591" s="15">
        <v>2344</v>
      </c>
      <c r="G1591" s="8" t="s">
        <v>12324</v>
      </c>
      <c r="H1591" s="24" t="s">
        <v>662</v>
      </c>
      <c r="I1591" s="25" t="s">
        <v>663</v>
      </c>
      <c r="J1591" s="8" t="s">
        <v>664</v>
      </c>
      <c r="K1591" s="8" t="s">
        <v>10040</v>
      </c>
      <c r="L1591" s="15">
        <v>-0.441218</v>
      </c>
      <c r="M1591" s="15">
        <v>0.21459900000000001</v>
      </c>
      <c r="N1591" s="15">
        <v>0.59895944933920708</v>
      </c>
    </row>
    <row r="1592" spans="1:14" x14ac:dyDescent="0.2">
      <c r="A1592" s="2" t="s">
        <v>10068</v>
      </c>
      <c r="B1592" s="15">
        <v>122</v>
      </c>
      <c r="C1592" s="15">
        <v>1</v>
      </c>
      <c r="D1592" s="15">
        <v>164726580</v>
      </c>
      <c r="E1592" s="15">
        <v>165553812</v>
      </c>
      <c r="F1592" s="15">
        <v>2324</v>
      </c>
      <c r="G1592" s="8" t="s">
        <v>12324</v>
      </c>
      <c r="H1592" s="24" t="s">
        <v>1259</v>
      </c>
      <c r="I1592" s="25">
        <v>27096</v>
      </c>
      <c r="J1592" s="8" t="s">
        <v>1261</v>
      </c>
      <c r="K1592" s="8" t="s">
        <v>10040</v>
      </c>
      <c r="L1592" s="15">
        <v>0.26499899999999998</v>
      </c>
      <c r="M1592" s="15">
        <v>0.214888</v>
      </c>
      <c r="N1592" s="15">
        <v>0.59937450031426776</v>
      </c>
    </row>
    <row r="1593" spans="1:14" x14ac:dyDescent="0.2">
      <c r="A1593" s="2" t="s">
        <v>10066</v>
      </c>
      <c r="B1593" s="15">
        <v>1363</v>
      </c>
      <c r="C1593" s="15">
        <v>8</v>
      </c>
      <c r="D1593" s="15">
        <v>138564844</v>
      </c>
      <c r="E1593" s="15">
        <v>139404631</v>
      </c>
      <c r="F1593" s="15">
        <v>2823</v>
      </c>
      <c r="G1593" s="8" t="s">
        <v>12324</v>
      </c>
      <c r="H1593" s="24" t="s">
        <v>6008</v>
      </c>
      <c r="I1593" s="25" t="s">
        <v>6009</v>
      </c>
      <c r="J1593" s="8" t="s">
        <v>6010</v>
      </c>
      <c r="K1593" s="8" t="s">
        <v>10051</v>
      </c>
      <c r="L1593" s="15">
        <v>-0.18971099999999999</v>
      </c>
      <c r="M1593" s="15">
        <v>0.21501799999999999</v>
      </c>
      <c r="N1593" s="15">
        <v>0.59937450031426776</v>
      </c>
    </row>
    <row r="1594" spans="1:14" x14ac:dyDescent="0.2">
      <c r="A1594" s="2" t="s">
        <v>10068</v>
      </c>
      <c r="B1594" s="15">
        <v>2134</v>
      </c>
      <c r="C1594" s="15">
        <v>16</v>
      </c>
      <c r="D1594" s="15">
        <v>52041337</v>
      </c>
      <c r="E1594" s="15">
        <v>53393882</v>
      </c>
      <c r="F1594" s="15">
        <v>3284</v>
      </c>
      <c r="G1594" s="8" t="s">
        <v>12324</v>
      </c>
      <c r="H1594" s="24" t="s">
        <v>1259</v>
      </c>
      <c r="I1594" s="25">
        <v>27096</v>
      </c>
      <c r="J1594" s="8" t="s">
        <v>1261</v>
      </c>
      <c r="K1594" s="8" t="s">
        <v>10040</v>
      </c>
      <c r="L1594" s="15">
        <v>-0.23388700000000001</v>
      </c>
      <c r="M1594" s="15">
        <v>0.21537200000000001</v>
      </c>
      <c r="N1594" s="15">
        <v>0.59979686126804765</v>
      </c>
    </row>
    <row r="1595" spans="1:14" x14ac:dyDescent="0.2">
      <c r="A1595" s="2" t="s">
        <v>10068</v>
      </c>
      <c r="B1595" s="15">
        <v>1089</v>
      </c>
      <c r="C1595" s="15">
        <v>6</v>
      </c>
      <c r="D1595" s="15">
        <v>165835954</v>
      </c>
      <c r="E1595" s="15">
        <v>166853325</v>
      </c>
      <c r="F1595" s="15">
        <v>3414</v>
      </c>
      <c r="G1595" s="8" t="s">
        <v>12324</v>
      </c>
      <c r="H1595" s="24" t="s">
        <v>6565</v>
      </c>
      <c r="I1595" s="25" t="s">
        <v>6475</v>
      </c>
      <c r="J1595" s="8" t="s">
        <v>6566</v>
      </c>
      <c r="K1595" s="8" t="s">
        <v>10054</v>
      </c>
      <c r="L1595" s="15">
        <v>-0.28358299999999997</v>
      </c>
      <c r="M1595" s="15">
        <v>0.21543999999999999</v>
      </c>
      <c r="N1595" s="15">
        <v>0.59979686126804765</v>
      </c>
    </row>
    <row r="1596" spans="1:14" x14ac:dyDescent="0.2">
      <c r="A1596" s="2" t="s">
        <v>10068</v>
      </c>
      <c r="B1596" s="15">
        <v>1445</v>
      </c>
      <c r="C1596" s="15">
        <v>9</v>
      </c>
      <c r="D1596" s="15">
        <v>100310518</v>
      </c>
      <c r="E1596" s="15">
        <v>101596750</v>
      </c>
      <c r="F1596" s="15">
        <v>3409</v>
      </c>
      <c r="G1596" s="8" t="s">
        <v>12324</v>
      </c>
      <c r="H1596" s="24" t="s">
        <v>599</v>
      </c>
      <c r="I1596" s="25">
        <v>26562</v>
      </c>
      <c r="J1596" s="8" t="s">
        <v>601</v>
      </c>
      <c r="K1596" s="8" t="s">
        <v>10040</v>
      </c>
      <c r="L1596" s="15">
        <v>-0.150806</v>
      </c>
      <c r="M1596" s="15">
        <v>0.21585399999999999</v>
      </c>
      <c r="N1596" s="15">
        <v>0.60053514733542324</v>
      </c>
    </row>
    <row r="1597" spans="1:14" x14ac:dyDescent="0.2">
      <c r="A1597" s="2" t="s">
        <v>10066</v>
      </c>
      <c r="B1597" s="15">
        <v>1295</v>
      </c>
      <c r="C1597" s="15">
        <v>8</v>
      </c>
      <c r="D1597" s="15">
        <v>58675118</v>
      </c>
      <c r="E1597" s="15">
        <v>59555977</v>
      </c>
      <c r="F1597" s="15">
        <v>2493</v>
      </c>
      <c r="G1597" s="8" t="s">
        <v>12324</v>
      </c>
      <c r="H1597" s="24" t="s">
        <v>3164</v>
      </c>
      <c r="I1597" s="25" t="s">
        <v>3165</v>
      </c>
      <c r="J1597" s="8" t="s">
        <v>3166</v>
      </c>
      <c r="K1597" s="8" t="s">
        <v>10042</v>
      </c>
      <c r="L1597" s="15">
        <v>0.40040900000000001</v>
      </c>
      <c r="M1597" s="15">
        <v>0.215976</v>
      </c>
      <c r="N1597" s="15">
        <v>0.60053514733542324</v>
      </c>
    </row>
    <row r="1598" spans="1:14" x14ac:dyDescent="0.2">
      <c r="A1598" s="2" t="s">
        <v>10068</v>
      </c>
      <c r="B1598" s="15">
        <v>1847</v>
      </c>
      <c r="C1598" s="15">
        <v>12</v>
      </c>
      <c r="D1598" s="15">
        <v>118256125</v>
      </c>
      <c r="E1598" s="15">
        <v>119301061</v>
      </c>
      <c r="F1598" s="15">
        <v>2767</v>
      </c>
      <c r="G1598" s="8" t="s">
        <v>12324</v>
      </c>
      <c r="H1598" s="24" t="s">
        <v>599</v>
      </c>
      <c r="I1598" s="25">
        <v>26562</v>
      </c>
      <c r="J1598" s="8" t="s">
        <v>601</v>
      </c>
      <c r="K1598" s="8" t="s">
        <v>10040</v>
      </c>
      <c r="L1598" s="15">
        <v>0.29653600000000002</v>
      </c>
      <c r="M1598" s="15">
        <v>0.21651799999999999</v>
      </c>
      <c r="N1598" s="15">
        <v>0.60153818409517845</v>
      </c>
    </row>
    <row r="1599" spans="1:14" x14ac:dyDescent="0.2">
      <c r="A1599" s="2" t="s">
        <v>10066</v>
      </c>
      <c r="B1599" s="15">
        <v>399</v>
      </c>
      <c r="C1599" s="15">
        <v>2</v>
      </c>
      <c r="D1599" s="15">
        <v>222327714</v>
      </c>
      <c r="E1599" s="15">
        <v>223353965</v>
      </c>
      <c r="F1599" s="15">
        <v>2140</v>
      </c>
      <c r="G1599" s="8" t="s">
        <v>12324</v>
      </c>
      <c r="H1599" s="24" t="s">
        <v>3164</v>
      </c>
      <c r="I1599" s="25" t="s">
        <v>3165</v>
      </c>
      <c r="J1599" s="8" t="s">
        <v>3166</v>
      </c>
      <c r="K1599" s="8" t="s">
        <v>10042</v>
      </c>
      <c r="L1599" s="15">
        <v>0.28549600000000003</v>
      </c>
      <c r="M1599" s="15">
        <v>0.21660799999999999</v>
      </c>
      <c r="N1599" s="15">
        <v>0.60153818409517845</v>
      </c>
    </row>
    <row r="1600" spans="1:14" x14ac:dyDescent="0.2">
      <c r="A1600" s="2" t="s">
        <v>10066</v>
      </c>
      <c r="B1600" s="15">
        <v>2059</v>
      </c>
      <c r="C1600" s="15">
        <v>15</v>
      </c>
      <c r="D1600" s="15">
        <v>53263127</v>
      </c>
      <c r="E1600" s="15">
        <v>54332799</v>
      </c>
      <c r="F1600" s="15">
        <v>3443</v>
      </c>
      <c r="G1600" s="8" t="s">
        <v>12324</v>
      </c>
      <c r="H1600" s="24" t="s">
        <v>3164</v>
      </c>
      <c r="I1600" s="25" t="s">
        <v>3165</v>
      </c>
      <c r="J1600" s="8" t="s">
        <v>3166</v>
      </c>
      <c r="K1600" s="8" t="s">
        <v>10042</v>
      </c>
      <c r="L1600" s="15">
        <v>-0.43216199999999999</v>
      </c>
      <c r="M1600" s="15">
        <v>0.21687200000000001</v>
      </c>
      <c r="N1600" s="15">
        <v>0.60189444305381723</v>
      </c>
    </row>
    <row r="1601" spans="1:14" x14ac:dyDescent="0.2">
      <c r="A1601" s="2" t="s">
        <v>10066</v>
      </c>
      <c r="B1601" s="15">
        <v>78</v>
      </c>
      <c r="C1601" s="15">
        <v>1</v>
      </c>
      <c r="D1601" s="15">
        <v>89753965</v>
      </c>
      <c r="E1601" s="15">
        <v>90941549</v>
      </c>
      <c r="F1601" s="15">
        <v>2531</v>
      </c>
      <c r="G1601" s="8" t="s">
        <v>12324</v>
      </c>
      <c r="H1601" s="24" t="s">
        <v>6008</v>
      </c>
      <c r="I1601" s="25" t="s">
        <v>6009</v>
      </c>
      <c r="J1601" s="8" t="s">
        <v>6010</v>
      </c>
      <c r="K1601" s="8" t="s">
        <v>10051</v>
      </c>
      <c r="L1601" s="15">
        <v>0.23158799999999999</v>
      </c>
      <c r="M1601" s="15">
        <v>0.217028</v>
      </c>
      <c r="N1601" s="15">
        <v>0.60195070669168227</v>
      </c>
    </row>
    <row r="1602" spans="1:14" x14ac:dyDescent="0.2">
      <c r="A1602" s="2" t="s">
        <v>10068</v>
      </c>
      <c r="B1602" s="15">
        <v>2488</v>
      </c>
      <c r="C1602" s="15">
        <v>22</v>
      </c>
      <c r="D1602" s="15">
        <v>44409534</v>
      </c>
      <c r="E1602" s="15">
        <v>45170649</v>
      </c>
      <c r="F1602" s="15">
        <v>3023</v>
      </c>
      <c r="G1602" s="8" t="s">
        <v>12324</v>
      </c>
      <c r="H1602" s="24" t="s">
        <v>599</v>
      </c>
      <c r="I1602" s="25">
        <v>26562</v>
      </c>
      <c r="J1602" s="8" t="s">
        <v>601</v>
      </c>
      <c r="K1602" s="8" t="s">
        <v>10040</v>
      </c>
      <c r="L1602" s="15">
        <v>0.31187700000000002</v>
      </c>
      <c r="M1602" s="15">
        <v>0.217306</v>
      </c>
      <c r="N1602" s="15">
        <v>0.60198083125778334</v>
      </c>
    </row>
    <row r="1603" spans="1:14" x14ac:dyDescent="0.2">
      <c r="A1603" s="2" t="s">
        <v>10068</v>
      </c>
      <c r="B1603" s="15">
        <v>191</v>
      </c>
      <c r="C1603" s="15">
        <v>1</v>
      </c>
      <c r="D1603" s="15">
        <v>240248509</v>
      </c>
      <c r="E1603" s="15">
        <v>241033584</v>
      </c>
      <c r="F1603" s="15">
        <v>2219</v>
      </c>
      <c r="G1603" s="8" t="s">
        <v>12324</v>
      </c>
      <c r="H1603" s="24" t="s">
        <v>599</v>
      </c>
      <c r="I1603" s="25">
        <v>26562</v>
      </c>
      <c r="J1603" s="8" t="s">
        <v>601</v>
      </c>
      <c r="K1603" s="8" t="s">
        <v>10040</v>
      </c>
      <c r="L1603" s="15">
        <v>0.20102300000000001</v>
      </c>
      <c r="M1603" s="15">
        <v>0.21767700000000001</v>
      </c>
      <c r="N1603" s="15">
        <v>0.60198083125778334</v>
      </c>
    </row>
    <row r="1604" spans="1:14" x14ac:dyDescent="0.2">
      <c r="A1604" s="2" t="s">
        <v>10069</v>
      </c>
      <c r="B1604" s="15">
        <v>2092</v>
      </c>
      <c r="C1604" s="15">
        <v>15</v>
      </c>
      <c r="D1604" s="15">
        <v>92675406</v>
      </c>
      <c r="E1604" s="15">
        <v>93707010</v>
      </c>
      <c r="F1604" s="15">
        <v>2405</v>
      </c>
      <c r="G1604" s="8" t="s">
        <v>12324</v>
      </c>
      <c r="H1604" s="24" t="s">
        <v>662</v>
      </c>
      <c r="I1604" s="25" t="s">
        <v>663</v>
      </c>
      <c r="J1604" s="8" t="s">
        <v>664</v>
      </c>
      <c r="K1604" s="8" t="s">
        <v>10040</v>
      </c>
      <c r="L1604" s="15">
        <v>-0.39479500000000001</v>
      </c>
      <c r="M1604" s="15">
        <v>0.21781300000000001</v>
      </c>
      <c r="N1604" s="15">
        <v>0.60198083125778334</v>
      </c>
    </row>
    <row r="1605" spans="1:14" x14ac:dyDescent="0.2">
      <c r="A1605" s="2" t="s">
        <v>10068</v>
      </c>
      <c r="B1605" s="15">
        <v>2041</v>
      </c>
      <c r="C1605" s="15">
        <v>15</v>
      </c>
      <c r="D1605" s="15">
        <v>29141036</v>
      </c>
      <c r="E1605" s="15">
        <v>30604119</v>
      </c>
      <c r="F1605" s="15">
        <v>3082</v>
      </c>
      <c r="G1605" s="8" t="s">
        <v>12324</v>
      </c>
      <c r="H1605" s="24" t="s">
        <v>1259</v>
      </c>
      <c r="I1605" s="25">
        <v>27096</v>
      </c>
      <c r="J1605" s="8" t="s">
        <v>1261</v>
      </c>
      <c r="K1605" s="8" t="s">
        <v>10040</v>
      </c>
      <c r="L1605" s="15">
        <v>-0.20174600000000001</v>
      </c>
      <c r="M1605" s="15">
        <v>0.21798899999999999</v>
      </c>
      <c r="N1605" s="15">
        <v>0.60198083125778334</v>
      </c>
    </row>
    <row r="1606" spans="1:14" x14ac:dyDescent="0.2">
      <c r="A1606" s="2" t="s">
        <v>10066</v>
      </c>
      <c r="B1606" s="15">
        <v>2293</v>
      </c>
      <c r="C1606" s="15">
        <v>18</v>
      </c>
      <c r="D1606" s="15">
        <v>65294196</v>
      </c>
      <c r="E1606" s="15">
        <v>66407960</v>
      </c>
      <c r="F1606" s="15">
        <v>3663</v>
      </c>
      <c r="G1606" s="8" t="s">
        <v>12324</v>
      </c>
      <c r="H1606" s="24" t="s">
        <v>3164</v>
      </c>
      <c r="I1606" s="25" t="s">
        <v>3165</v>
      </c>
      <c r="J1606" s="8" t="s">
        <v>3166</v>
      </c>
      <c r="K1606" s="8" t="s">
        <v>10042</v>
      </c>
      <c r="L1606" s="15">
        <v>-0.23508299999999999</v>
      </c>
      <c r="M1606" s="15">
        <v>0.217386</v>
      </c>
      <c r="N1606" s="15">
        <v>0.60198083125778334</v>
      </c>
    </row>
    <row r="1607" spans="1:14" x14ac:dyDescent="0.2">
      <c r="A1607" s="2" t="s">
        <v>10066</v>
      </c>
      <c r="B1607" s="15">
        <v>1844</v>
      </c>
      <c r="C1607" s="15">
        <v>12</v>
      </c>
      <c r="D1607" s="15">
        <v>115439452</v>
      </c>
      <c r="E1607" s="15">
        <v>116197675</v>
      </c>
      <c r="F1607" s="15">
        <v>2296</v>
      </c>
      <c r="G1607" s="8" t="s">
        <v>12324</v>
      </c>
      <c r="H1607" s="24" t="s">
        <v>3164</v>
      </c>
      <c r="I1607" s="25" t="s">
        <v>3165</v>
      </c>
      <c r="J1607" s="8" t="s">
        <v>3166</v>
      </c>
      <c r="K1607" s="8" t="s">
        <v>10042</v>
      </c>
      <c r="L1607" s="15">
        <v>-0.242448</v>
      </c>
      <c r="M1607" s="15">
        <v>0.21746499999999999</v>
      </c>
      <c r="N1607" s="15">
        <v>0.60198083125778334</v>
      </c>
    </row>
    <row r="1608" spans="1:14" x14ac:dyDescent="0.2">
      <c r="A1608" s="2" t="s">
        <v>10066</v>
      </c>
      <c r="B1608" s="15">
        <v>2277</v>
      </c>
      <c r="C1608" s="15">
        <v>18</v>
      </c>
      <c r="D1608" s="15">
        <v>48228380</v>
      </c>
      <c r="E1608" s="15">
        <v>49790996</v>
      </c>
      <c r="F1608" s="15">
        <v>3707</v>
      </c>
      <c r="G1608" s="8" t="s">
        <v>12324</v>
      </c>
      <c r="H1608" s="24" t="s">
        <v>6008</v>
      </c>
      <c r="I1608" s="25" t="s">
        <v>6009</v>
      </c>
      <c r="J1608" s="8" t="s">
        <v>6010</v>
      </c>
      <c r="K1608" s="8" t="s">
        <v>10051</v>
      </c>
      <c r="L1608" s="15">
        <v>0.27646399999999999</v>
      </c>
      <c r="M1608" s="15">
        <v>0.217913</v>
      </c>
      <c r="N1608" s="15">
        <v>0.60198083125778334</v>
      </c>
    </row>
    <row r="1609" spans="1:14" x14ac:dyDescent="0.2">
      <c r="A1609" s="2" t="s">
        <v>10066</v>
      </c>
      <c r="B1609" s="15">
        <v>2270</v>
      </c>
      <c r="C1609" s="15">
        <v>18</v>
      </c>
      <c r="D1609" s="15">
        <v>40471408</v>
      </c>
      <c r="E1609" s="15">
        <v>41425454</v>
      </c>
      <c r="F1609" s="15">
        <v>2268</v>
      </c>
      <c r="G1609" s="8" t="s">
        <v>12324</v>
      </c>
      <c r="H1609" s="24" t="s">
        <v>6008</v>
      </c>
      <c r="I1609" s="25" t="s">
        <v>6009</v>
      </c>
      <c r="J1609" s="8" t="s">
        <v>6010</v>
      </c>
      <c r="K1609" s="8" t="s">
        <v>10051</v>
      </c>
      <c r="L1609" s="15">
        <v>0.38208500000000001</v>
      </c>
      <c r="M1609" s="15">
        <v>0.21820600000000001</v>
      </c>
      <c r="N1609" s="15">
        <v>0.60220510889856882</v>
      </c>
    </row>
    <row r="1610" spans="1:14" x14ac:dyDescent="0.2">
      <c r="A1610" s="2" t="s">
        <v>10066</v>
      </c>
      <c r="B1610" s="15">
        <v>1590</v>
      </c>
      <c r="C1610" s="15">
        <v>10</v>
      </c>
      <c r="D1610" s="15">
        <v>115588904</v>
      </c>
      <c r="E1610" s="15">
        <v>116845213</v>
      </c>
      <c r="F1610" s="15">
        <v>2885</v>
      </c>
      <c r="G1610" s="8" t="s">
        <v>12324</v>
      </c>
      <c r="H1610" s="24" t="s">
        <v>3164</v>
      </c>
      <c r="I1610" s="25" t="s">
        <v>3165</v>
      </c>
      <c r="J1610" s="8" t="s">
        <v>3166</v>
      </c>
      <c r="K1610" s="8" t="s">
        <v>10042</v>
      </c>
      <c r="L1610" s="15">
        <v>-0.33046700000000001</v>
      </c>
      <c r="M1610" s="15">
        <v>0.21851300000000001</v>
      </c>
      <c r="N1610" s="15">
        <v>0.60267733519900502</v>
      </c>
    </row>
    <row r="1611" spans="1:14" x14ac:dyDescent="0.2">
      <c r="A1611" s="2" t="s">
        <v>10069</v>
      </c>
      <c r="B1611" s="15">
        <v>1091</v>
      </c>
      <c r="C1611" s="15">
        <v>6</v>
      </c>
      <c r="D1611" s="15">
        <v>167714866</v>
      </c>
      <c r="E1611" s="15">
        <v>168707338</v>
      </c>
      <c r="F1611" s="15">
        <v>1956</v>
      </c>
      <c r="G1611" s="8" t="s">
        <v>12324</v>
      </c>
      <c r="H1611" s="24" t="s">
        <v>662</v>
      </c>
      <c r="I1611" s="25" t="s">
        <v>663</v>
      </c>
      <c r="J1611" s="8" t="s">
        <v>664</v>
      </c>
      <c r="K1611" s="8" t="s">
        <v>10040</v>
      </c>
      <c r="L1611" s="15">
        <v>-0.35448499999999999</v>
      </c>
      <c r="M1611" s="15">
        <v>0.21924299999999999</v>
      </c>
      <c r="N1611" s="15">
        <v>0.60431491920447478</v>
      </c>
    </row>
    <row r="1612" spans="1:14" x14ac:dyDescent="0.2">
      <c r="A1612" s="2" t="s">
        <v>10068</v>
      </c>
      <c r="B1612" s="15">
        <v>2180</v>
      </c>
      <c r="C1612" s="15">
        <v>17</v>
      </c>
      <c r="D1612" s="15">
        <v>6305079</v>
      </c>
      <c r="E1612" s="15">
        <v>7264458</v>
      </c>
      <c r="F1612" s="15">
        <v>2700</v>
      </c>
      <c r="G1612" s="8" t="s">
        <v>12324</v>
      </c>
      <c r="H1612" s="24" t="s">
        <v>1259</v>
      </c>
      <c r="I1612" s="25">
        <v>27096</v>
      </c>
      <c r="J1612" s="8" t="s">
        <v>1261</v>
      </c>
      <c r="K1612" s="8" t="s">
        <v>10040</v>
      </c>
      <c r="L1612" s="15">
        <v>-0.22892000000000001</v>
      </c>
      <c r="M1612" s="15">
        <v>0.21940899999999999</v>
      </c>
      <c r="N1612" s="15">
        <v>0.60439684161490681</v>
      </c>
    </row>
    <row r="1613" spans="1:14" x14ac:dyDescent="0.2">
      <c r="A1613" s="2" t="s">
        <v>10068</v>
      </c>
      <c r="B1613" s="15">
        <v>2110</v>
      </c>
      <c r="C1613" s="15">
        <v>16</v>
      </c>
      <c r="D1613" s="15">
        <v>7704355</v>
      </c>
      <c r="E1613" s="15">
        <v>8341012</v>
      </c>
      <c r="F1613" s="15">
        <v>3199</v>
      </c>
      <c r="G1613" s="8" t="s">
        <v>12324</v>
      </c>
      <c r="H1613" s="24" t="s">
        <v>1259</v>
      </c>
      <c r="I1613" s="25">
        <v>27096</v>
      </c>
      <c r="J1613" s="8" t="s">
        <v>1261</v>
      </c>
      <c r="K1613" s="8" t="s">
        <v>10040</v>
      </c>
      <c r="L1613" s="15">
        <v>0.25567699999999999</v>
      </c>
      <c r="M1613" s="15">
        <v>0.21986600000000001</v>
      </c>
      <c r="N1613" s="15">
        <v>0.60527977032898816</v>
      </c>
    </row>
    <row r="1614" spans="1:14" x14ac:dyDescent="0.2">
      <c r="A1614" s="2" t="s">
        <v>10068</v>
      </c>
      <c r="B1614" s="15">
        <v>1451</v>
      </c>
      <c r="C1614" s="15">
        <v>9</v>
      </c>
      <c r="D1614" s="15">
        <v>107061020</v>
      </c>
      <c r="E1614" s="15">
        <v>108203095</v>
      </c>
      <c r="F1614" s="15">
        <v>3591</v>
      </c>
      <c r="G1614" s="8" t="s">
        <v>12324</v>
      </c>
      <c r="H1614" s="24" t="s">
        <v>1259</v>
      </c>
      <c r="I1614" s="25">
        <v>27096</v>
      </c>
      <c r="J1614" s="8" t="s">
        <v>1261</v>
      </c>
      <c r="K1614" s="8" t="s">
        <v>10040</v>
      </c>
      <c r="L1614" s="15">
        <v>0.223437</v>
      </c>
      <c r="M1614" s="15">
        <v>0.220579</v>
      </c>
      <c r="N1614" s="15">
        <v>0.60619635377943004</v>
      </c>
    </row>
    <row r="1615" spans="1:14" x14ac:dyDescent="0.2">
      <c r="A1615" s="2" t="s">
        <v>10066</v>
      </c>
      <c r="B1615" s="15">
        <v>1612</v>
      </c>
      <c r="C1615" s="15">
        <v>11</v>
      </c>
      <c r="D1615" s="15">
        <v>1857846</v>
      </c>
      <c r="E1615" s="15">
        <v>2477449</v>
      </c>
      <c r="F1615" s="15">
        <v>2201</v>
      </c>
      <c r="G1615" s="8" t="s">
        <v>12324</v>
      </c>
      <c r="H1615" s="24" t="s">
        <v>3164</v>
      </c>
      <c r="I1615" s="25" t="s">
        <v>3165</v>
      </c>
      <c r="J1615" s="8" t="s">
        <v>3166</v>
      </c>
      <c r="K1615" s="8" t="s">
        <v>10042</v>
      </c>
      <c r="L1615" s="15">
        <v>-0.214425</v>
      </c>
      <c r="M1615" s="15">
        <v>0.22042900000000001</v>
      </c>
      <c r="N1615" s="15">
        <v>0.60619635377943004</v>
      </c>
    </row>
    <row r="1616" spans="1:14" x14ac:dyDescent="0.2">
      <c r="A1616" s="2" t="s">
        <v>10066</v>
      </c>
      <c r="B1616" s="15">
        <v>399</v>
      </c>
      <c r="C1616" s="15">
        <v>2</v>
      </c>
      <c r="D1616" s="15">
        <v>222327714</v>
      </c>
      <c r="E1616" s="15">
        <v>223353965</v>
      </c>
      <c r="F1616" s="15">
        <v>2140</v>
      </c>
      <c r="G1616" s="8" t="s">
        <v>12324</v>
      </c>
      <c r="H1616" s="24" t="s">
        <v>6008</v>
      </c>
      <c r="I1616" s="25" t="s">
        <v>6009</v>
      </c>
      <c r="J1616" s="8" t="s">
        <v>6010</v>
      </c>
      <c r="K1616" s="8" t="s">
        <v>10051</v>
      </c>
      <c r="L1616" s="15">
        <v>-0.240674</v>
      </c>
      <c r="M1616" s="15">
        <v>0.220609</v>
      </c>
      <c r="N1616" s="15">
        <v>0.60619635377943004</v>
      </c>
    </row>
    <row r="1617" spans="1:14" x14ac:dyDescent="0.2">
      <c r="A1617" s="2" t="s">
        <v>10068</v>
      </c>
      <c r="B1617" s="15">
        <v>2083</v>
      </c>
      <c r="C1617" s="15">
        <v>15</v>
      </c>
      <c r="D1617" s="15">
        <v>82191078</v>
      </c>
      <c r="E1617" s="15">
        <v>84209760</v>
      </c>
      <c r="F1617" s="15">
        <v>2845</v>
      </c>
      <c r="G1617" s="8" t="s">
        <v>12324</v>
      </c>
      <c r="H1617" s="24" t="s">
        <v>6565</v>
      </c>
      <c r="I1617" s="25" t="s">
        <v>6475</v>
      </c>
      <c r="J1617" s="8" t="s">
        <v>6566</v>
      </c>
      <c r="K1617" s="8" t="s">
        <v>10054</v>
      </c>
      <c r="L1617" s="15">
        <v>-0.38411600000000001</v>
      </c>
      <c r="M1617" s="15">
        <v>0.22110299999999999</v>
      </c>
      <c r="N1617" s="15">
        <v>0.60717758823529411</v>
      </c>
    </row>
    <row r="1618" spans="1:14" x14ac:dyDescent="0.2">
      <c r="A1618" s="2" t="s">
        <v>10069</v>
      </c>
      <c r="B1618" s="15">
        <v>643</v>
      </c>
      <c r="C1618" s="15">
        <v>4</v>
      </c>
      <c r="D1618" s="15">
        <v>42189252</v>
      </c>
      <c r="E1618" s="15">
        <v>43192424</v>
      </c>
      <c r="F1618" s="15">
        <v>2170</v>
      </c>
      <c r="G1618" s="8" t="s">
        <v>12324</v>
      </c>
      <c r="H1618" s="24" t="s">
        <v>662</v>
      </c>
      <c r="I1618" s="25" t="s">
        <v>663</v>
      </c>
      <c r="J1618" s="8" t="s">
        <v>664</v>
      </c>
      <c r="K1618" s="8" t="s">
        <v>10040</v>
      </c>
      <c r="L1618" s="15">
        <v>-0.38350899999999999</v>
      </c>
      <c r="M1618" s="15">
        <v>0.22137699999999999</v>
      </c>
      <c r="N1618" s="15">
        <v>0.60738380952380955</v>
      </c>
    </row>
    <row r="1619" spans="1:14" x14ac:dyDescent="0.2">
      <c r="A1619" s="2" t="s">
        <v>10069</v>
      </c>
      <c r="B1619" s="15">
        <v>591</v>
      </c>
      <c r="C1619" s="15">
        <v>3</v>
      </c>
      <c r="D1619" s="15">
        <v>194217141</v>
      </c>
      <c r="E1619" s="15">
        <v>195196789</v>
      </c>
      <c r="F1619" s="15">
        <v>2256</v>
      </c>
      <c r="G1619" s="8" t="s">
        <v>12324</v>
      </c>
      <c r="H1619" s="24" t="s">
        <v>662</v>
      </c>
      <c r="I1619" s="25" t="s">
        <v>663</v>
      </c>
      <c r="J1619" s="8" t="s">
        <v>664</v>
      </c>
      <c r="K1619" s="8" t="s">
        <v>10040</v>
      </c>
      <c r="L1619" s="15">
        <v>0.365147</v>
      </c>
      <c r="M1619" s="15">
        <v>0.22145200000000001</v>
      </c>
      <c r="N1619" s="15">
        <v>0.60738380952380955</v>
      </c>
    </row>
    <row r="1620" spans="1:14" x14ac:dyDescent="0.2">
      <c r="A1620" s="2" t="s">
        <v>10068</v>
      </c>
      <c r="B1620" s="15">
        <v>1305</v>
      </c>
      <c r="C1620" s="15">
        <v>8</v>
      </c>
      <c r="D1620" s="15">
        <v>70004666</v>
      </c>
      <c r="E1620" s="15">
        <v>70872088</v>
      </c>
      <c r="F1620" s="15">
        <v>2207</v>
      </c>
      <c r="G1620" s="8" t="s">
        <v>12324</v>
      </c>
      <c r="H1620" s="24" t="s">
        <v>599</v>
      </c>
      <c r="I1620" s="25">
        <v>26562</v>
      </c>
      <c r="J1620" s="8" t="s">
        <v>601</v>
      </c>
      <c r="K1620" s="8" t="s">
        <v>10040</v>
      </c>
      <c r="L1620" s="15">
        <v>0.21931300000000001</v>
      </c>
      <c r="M1620" s="15">
        <v>0.22167899999999999</v>
      </c>
      <c r="N1620" s="15">
        <v>0.60763063349814583</v>
      </c>
    </row>
    <row r="1621" spans="1:14" x14ac:dyDescent="0.2">
      <c r="A1621" s="2" t="s">
        <v>10068</v>
      </c>
      <c r="B1621" s="15">
        <v>458</v>
      </c>
      <c r="C1621" s="15">
        <v>3</v>
      </c>
      <c r="D1621" s="15">
        <v>38729768</v>
      </c>
      <c r="E1621" s="15">
        <v>39605996</v>
      </c>
      <c r="F1621" s="15">
        <v>2550</v>
      </c>
      <c r="G1621" s="8" t="s">
        <v>12324</v>
      </c>
      <c r="H1621" s="24" t="s">
        <v>494</v>
      </c>
      <c r="I1621" s="25">
        <v>25920</v>
      </c>
      <c r="J1621" s="8" t="s">
        <v>496</v>
      </c>
      <c r="K1621" s="8" t="s">
        <v>10040</v>
      </c>
      <c r="L1621" s="15">
        <v>-0.39585900000000002</v>
      </c>
      <c r="M1621" s="15">
        <v>0.222221</v>
      </c>
      <c r="N1621" s="15">
        <v>0.60853285758323061</v>
      </c>
    </row>
    <row r="1622" spans="1:14" x14ac:dyDescent="0.2">
      <c r="A1622" s="2" t="s">
        <v>10068</v>
      </c>
      <c r="B1622" s="15">
        <v>671</v>
      </c>
      <c r="C1622" s="15">
        <v>4</v>
      </c>
      <c r="D1622" s="15">
        <v>78045638</v>
      </c>
      <c r="E1622" s="15">
        <v>78967715</v>
      </c>
      <c r="F1622" s="15">
        <v>2588</v>
      </c>
      <c r="G1622" s="8" t="s">
        <v>12324</v>
      </c>
      <c r="H1622" s="24" t="s">
        <v>6565</v>
      </c>
      <c r="I1622" s="25" t="s">
        <v>6475</v>
      </c>
      <c r="J1622" s="8" t="s">
        <v>6566</v>
      </c>
      <c r="K1622" s="8" t="s">
        <v>10054</v>
      </c>
      <c r="L1622" s="15">
        <v>0.23394300000000001</v>
      </c>
      <c r="M1622" s="15">
        <v>0.222413</v>
      </c>
      <c r="N1622" s="15">
        <v>0.60853285758323061</v>
      </c>
    </row>
    <row r="1623" spans="1:14" x14ac:dyDescent="0.2">
      <c r="A1623" s="2" t="s">
        <v>10068</v>
      </c>
      <c r="B1623" s="15">
        <v>474</v>
      </c>
      <c r="C1623" s="15">
        <v>3</v>
      </c>
      <c r="D1623" s="15">
        <v>61277588</v>
      </c>
      <c r="E1623" s="15">
        <v>62609818</v>
      </c>
      <c r="F1623" s="15">
        <v>3265</v>
      </c>
      <c r="G1623" s="8" t="s">
        <v>12324</v>
      </c>
      <c r="H1623" s="24" t="s">
        <v>6565</v>
      </c>
      <c r="I1623" s="25" t="s">
        <v>6475</v>
      </c>
      <c r="J1623" s="8" t="s">
        <v>6566</v>
      </c>
      <c r="K1623" s="8" t="s">
        <v>10054</v>
      </c>
      <c r="L1623" s="15">
        <v>0.35277799999999998</v>
      </c>
      <c r="M1623" s="15">
        <v>0.22251199999999999</v>
      </c>
      <c r="N1623" s="15">
        <v>0.60853285758323061</v>
      </c>
    </row>
    <row r="1624" spans="1:14" x14ac:dyDescent="0.2">
      <c r="A1624" s="2" t="s">
        <v>10068</v>
      </c>
      <c r="B1624" s="15">
        <v>1552</v>
      </c>
      <c r="C1624" s="15">
        <v>10</v>
      </c>
      <c r="D1624" s="15">
        <v>71050505</v>
      </c>
      <c r="E1624" s="15">
        <v>71672997</v>
      </c>
      <c r="F1624" s="15">
        <v>2329</v>
      </c>
      <c r="G1624" s="8" t="s">
        <v>12324</v>
      </c>
      <c r="H1624" s="24" t="s">
        <v>6565</v>
      </c>
      <c r="I1624" s="25" t="s">
        <v>6475</v>
      </c>
      <c r="J1624" s="8" t="s">
        <v>6566</v>
      </c>
      <c r="K1624" s="8" t="s">
        <v>10054</v>
      </c>
      <c r="L1624" s="15">
        <v>-0.552477</v>
      </c>
      <c r="M1624" s="15">
        <v>0.222557</v>
      </c>
      <c r="N1624" s="15">
        <v>0.60853285758323061</v>
      </c>
    </row>
    <row r="1625" spans="1:14" x14ac:dyDescent="0.2">
      <c r="A1625" s="2" t="s">
        <v>10068</v>
      </c>
      <c r="B1625" s="15">
        <v>156</v>
      </c>
      <c r="C1625" s="15">
        <v>1</v>
      </c>
      <c r="D1625" s="15">
        <v>202583885</v>
      </c>
      <c r="E1625" s="15">
        <v>204092537</v>
      </c>
      <c r="F1625" s="15">
        <v>3717</v>
      </c>
      <c r="G1625" s="8" t="s">
        <v>12324</v>
      </c>
      <c r="H1625" s="24" t="s">
        <v>494</v>
      </c>
      <c r="I1625" s="25">
        <v>25920</v>
      </c>
      <c r="J1625" s="8" t="s">
        <v>496</v>
      </c>
      <c r="K1625" s="8" t="s">
        <v>10040</v>
      </c>
      <c r="L1625" s="15">
        <v>0.350161</v>
      </c>
      <c r="M1625" s="15">
        <v>0.223861</v>
      </c>
      <c r="N1625" s="15">
        <v>0.60935867340686267</v>
      </c>
    </row>
    <row r="1626" spans="1:14" x14ac:dyDescent="0.2">
      <c r="A1626" s="2" t="s">
        <v>10068</v>
      </c>
      <c r="B1626" s="15">
        <v>1426</v>
      </c>
      <c r="C1626" s="15">
        <v>9</v>
      </c>
      <c r="D1626" s="15">
        <v>80137025</v>
      </c>
      <c r="E1626" s="15">
        <v>81161597</v>
      </c>
      <c r="F1626" s="15">
        <v>2394</v>
      </c>
      <c r="G1626" s="8" t="s">
        <v>12324</v>
      </c>
      <c r="H1626" s="24" t="s">
        <v>599</v>
      </c>
      <c r="I1626" s="25">
        <v>26562</v>
      </c>
      <c r="J1626" s="8" t="s">
        <v>601</v>
      </c>
      <c r="K1626" s="8" t="s">
        <v>10040</v>
      </c>
      <c r="L1626" s="15">
        <v>-0.48100900000000002</v>
      </c>
      <c r="M1626" s="15">
        <v>0.223471</v>
      </c>
      <c r="N1626" s="15">
        <v>0.60935867340686267</v>
      </c>
    </row>
    <row r="1627" spans="1:14" x14ac:dyDescent="0.2">
      <c r="A1627" s="2" t="s">
        <v>10068</v>
      </c>
      <c r="B1627" s="15">
        <v>546</v>
      </c>
      <c r="C1627" s="15">
        <v>3</v>
      </c>
      <c r="D1627" s="15">
        <v>142976708</v>
      </c>
      <c r="E1627" s="15">
        <v>144408821</v>
      </c>
      <c r="F1627" s="15">
        <v>3668</v>
      </c>
      <c r="G1627" s="8" t="s">
        <v>12324</v>
      </c>
      <c r="H1627" s="24" t="s">
        <v>599</v>
      </c>
      <c r="I1627" s="25">
        <v>26562</v>
      </c>
      <c r="J1627" s="8" t="s">
        <v>601</v>
      </c>
      <c r="K1627" s="8" t="s">
        <v>10040</v>
      </c>
      <c r="L1627" s="15">
        <v>0.33402199999999999</v>
      </c>
      <c r="M1627" s="15">
        <v>0.22381000000000001</v>
      </c>
      <c r="N1627" s="15">
        <v>0.60935867340686267</v>
      </c>
    </row>
    <row r="1628" spans="1:14" x14ac:dyDescent="0.2">
      <c r="A1628" s="2" t="s">
        <v>10069</v>
      </c>
      <c r="B1628" s="15">
        <v>1731</v>
      </c>
      <c r="C1628" s="15">
        <v>11</v>
      </c>
      <c r="D1628" s="15">
        <v>126304241</v>
      </c>
      <c r="E1628" s="15">
        <v>127306871</v>
      </c>
      <c r="F1628" s="15">
        <v>2098</v>
      </c>
      <c r="G1628" s="8" t="s">
        <v>12324</v>
      </c>
      <c r="H1628" s="24" t="s">
        <v>662</v>
      </c>
      <c r="I1628" s="25" t="s">
        <v>663</v>
      </c>
      <c r="J1628" s="8" t="s">
        <v>664</v>
      </c>
      <c r="K1628" s="8" t="s">
        <v>10040</v>
      </c>
      <c r="L1628" s="15">
        <v>-0.30303400000000003</v>
      </c>
      <c r="M1628" s="15">
        <v>0.22322800000000001</v>
      </c>
      <c r="N1628" s="15">
        <v>0.60935867340686267</v>
      </c>
    </row>
    <row r="1629" spans="1:14" x14ac:dyDescent="0.2">
      <c r="A1629" s="2" t="s">
        <v>10069</v>
      </c>
      <c r="B1629" s="15">
        <v>782</v>
      </c>
      <c r="C1629" s="15">
        <v>5</v>
      </c>
      <c r="D1629" s="15">
        <v>5828695</v>
      </c>
      <c r="E1629" s="15">
        <v>6936733</v>
      </c>
      <c r="F1629" s="15">
        <v>2607</v>
      </c>
      <c r="G1629" s="8" t="s">
        <v>12324</v>
      </c>
      <c r="H1629" s="24" t="s">
        <v>662</v>
      </c>
      <c r="I1629" s="25" t="s">
        <v>663</v>
      </c>
      <c r="J1629" s="8" t="s">
        <v>664</v>
      </c>
      <c r="K1629" s="8" t="s">
        <v>10040</v>
      </c>
      <c r="L1629" s="15">
        <v>-0.31831900000000002</v>
      </c>
      <c r="M1629" s="15">
        <v>0.22406400000000001</v>
      </c>
      <c r="N1629" s="15">
        <v>0.60935867340686267</v>
      </c>
    </row>
    <row r="1630" spans="1:14" x14ac:dyDescent="0.2">
      <c r="A1630" s="2" t="s">
        <v>10068</v>
      </c>
      <c r="B1630" s="15">
        <v>981</v>
      </c>
      <c r="C1630" s="15">
        <v>6</v>
      </c>
      <c r="D1630" s="15">
        <v>46430702</v>
      </c>
      <c r="E1630" s="15">
        <v>47313443</v>
      </c>
      <c r="F1630" s="15">
        <v>2270</v>
      </c>
      <c r="G1630" s="8" t="s">
        <v>12324</v>
      </c>
      <c r="H1630" s="24" t="s">
        <v>1259</v>
      </c>
      <c r="I1630" s="25">
        <v>27096</v>
      </c>
      <c r="J1630" s="8" t="s">
        <v>1261</v>
      </c>
      <c r="K1630" s="8" t="s">
        <v>10040</v>
      </c>
      <c r="L1630" s="15">
        <v>0.42471900000000001</v>
      </c>
      <c r="M1630" s="15">
        <v>0.22423299999999999</v>
      </c>
      <c r="N1630" s="15">
        <v>0.60935867340686267</v>
      </c>
    </row>
    <row r="1631" spans="1:14" x14ac:dyDescent="0.2">
      <c r="A1631" s="2" t="s">
        <v>10066</v>
      </c>
      <c r="B1631" s="15">
        <v>433</v>
      </c>
      <c r="C1631" s="15">
        <v>3</v>
      </c>
      <c r="D1631" s="15">
        <v>11226368</v>
      </c>
      <c r="E1631" s="15">
        <v>11997658</v>
      </c>
      <c r="F1631" s="15">
        <v>2126</v>
      </c>
      <c r="G1631" s="8" t="s">
        <v>12324</v>
      </c>
      <c r="H1631" s="24" t="s">
        <v>3164</v>
      </c>
      <c r="I1631" s="25" t="s">
        <v>3165</v>
      </c>
      <c r="J1631" s="8" t="s">
        <v>3166</v>
      </c>
      <c r="K1631" s="8" t="s">
        <v>10042</v>
      </c>
      <c r="L1631" s="15">
        <v>-0.41184100000000001</v>
      </c>
      <c r="M1631" s="15">
        <v>0.22384899999999999</v>
      </c>
      <c r="N1631" s="15">
        <v>0.60935867340686267</v>
      </c>
    </row>
    <row r="1632" spans="1:14" x14ac:dyDescent="0.2">
      <c r="A1632" s="2" t="s">
        <v>10066</v>
      </c>
      <c r="B1632" s="15">
        <v>363</v>
      </c>
      <c r="C1632" s="15">
        <v>2</v>
      </c>
      <c r="D1632" s="15">
        <v>179224871</v>
      </c>
      <c r="E1632" s="15">
        <v>180336045</v>
      </c>
      <c r="F1632" s="15">
        <v>2512</v>
      </c>
      <c r="G1632" s="8" t="s">
        <v>12324</v>
      </c>
      <c r="H1632" s="24" t="s">
        <v>3164</v>
      </c>
      <c r="I1632" s="25" t="s">
        <v>3165</v>
      </c>
      <c r="J1632" s="8" t="s">
        <v>3166</v>
      </c>
      <c r="K1632" s="8" t="s">
        <v>10042</v>
      </c>
      <c r="L1632" s="15">
        <v>0.27821400000000002</v>
      </c>
      <c r="M1632" s="15">
        <v>0.22421099999999999</v>
      </c>
      <c r="N1632" s="15">
        <v>0.60935867340686267</v>
      </c>
    </row>
    <row r="1633" spans="1:14" x14ac:dyDescent="0.2">
      <c r="A1633" s="2" t="s">
        <v>10068</v>
      </c>
      <c r="B1633" s="15">
        <v>1591</v>
      </c>
      <c r="C1633" s="15">
        <v>10</v>
      </c>
      <c r="D1633" s="15">
        <v>116845214</v>
      </c>
      <c r="E1633" s="15">
        <v>118416049</v>
      </c>
      <c r="F1633" s="15">
        <v>3506</v>
      </c>
      <c r="G1633" s="8" t="s">
        <v>12324</v>
      </c>
      <c r="H1633" s="24" t="s">
        <v>6565</v>
      </c>
      <c r="I1633" s="25" t="s">
        <v>6475</v>
      </c>
      <c r="J1633" s="8" t="s">
        <v>6566</v>
      </c>
      <c r="K1633" s="8" t="s">
        <v>10054</v>
      </c>
      <c r="L1633" s="15">
        <v>-0.240203</v>
      </c>
      <c r="M1633" s="15">
        <v>0.223251</v>
      </c>
      <c r="N1633" s="15">
        <v>0.60935867340686267</v>
      </c>
    </row>
    <row r="1634" spans="1:14" x14ac:dyDescent="0.2">
      <c r="A1634" s="2" t="s">
        <v>10068</v>
      </c>
      <c r="B1634" s="15">
        <v>778</v>
      </c>
      <c r="C1634" s="15">
        <v>5</v>
      </c>
      <c r="D1634" s="15">
        <v>2106886</v>
      </c>
      <c r="E1634" s="15">
        <v>2960068</v>
      </c>
      <c r="F1634" s="15">
        <v>3324</v>
      </c>
      <c r="G1634" s="8" t="s">
        <v>12324</v>
      </c>
      <c r="H1634" s="24" t="s">
        <v>6565</v>
      </c>
      <c r="I1634" s="25" t="s">
        <v>6475</v>
      </c>
      <c r="J1634" s="8" t="s">
        <v>6566</v>
      </c>
      <c r="K1634" s="8" t="s">
        <v>10054</v>
      </c>
      <c r="L1634" s="15">
        <v>-0.3125</v>
      </c>
      <c r="M1634" s="15">
        <v>0.22347600000000001</v>
      </c>
      <c r="N1634" s="15">
        <v>0.60935867340686267</v>
      </c>
    </row>
    <row r="1635" spans="1:14" x14ac:dyDescent="0.2">
      <c r="A1635" s="2" t="s">
        <v>10066</v>
      </c>
      <c r="B1635" s="15">
        <v>1701</v>
      </c>
      <c r="C1635" s="15">
        <v>11</v>
      </c>
      <c r="D1635" s="15">
        <v>94384536</v>
      </c>
      <c r="E1635" s="15">
        <v>95327210</v>
      </c>
      <c r="F1635" s="15">
        <v>2181</v>
      </c>
      <c r="G1635" s="8" t="s">
        <v>12324</v>
      </c>
      <c r="H1635" s="24" t="s">
        <v>6008</v>
      </c>
      <c r="I1635" s="25" t="s">
        <v>6009</v>
      </c>
      <c r="J1635" s="8" t="s">
        <v>6010</v>
      </c>
      <c r="K1635" s="8" t="s">
        <v>10051</v>
      </c>
      <c r="L1635" s="15">
        <v>0.39149800000000001</v>
      </c>
      <c r="M1635" s="15">
        <v>0.22452900000000001</v>
      </c>
      <c r="N1635" s="15">
        <v>0.60978941518677277</v>
      </c>
    </row>
    <row r="1636" spans="1:14" x14ac:dyDescent="0.2">
      <c r="A1636" s="2" t="s">
        <v>10068</v>
      </c>
      <c r="B1636" s="15">
        <v>1947</v>
      </c>
      <c r="C1636" s="15">
        <v>13</v>
      </c>
      <c r="D1636" s="15">
        <v>109156766</v>
      </c>
      <c r="E1636" s="15">
        <v>109813576</v>
      </c>
      <c r="F1636" s="15">
        <v>2222</v>
      </c>
      <c r="G1636" s="8" t="s">
        <v>12324</v>
      </c>
      <c r="H1636" s="24" t="s">
        <v>494</v>
      </c>
      <c r="I1636" s="25">
        <v>25920</v>
      </c>
      <c r="J1636" s="8" t="s">
        <v>496</v>
      </c>
      <c r="K1636" s="8" t="s">
        <v>10040</v>
      </c>
      <c r="L1636" s="15">
        <v>-0.50634000000000001</v>
      </c>
      <c r="M1636" s="15">
        <v>0.225303</v>
      </c>
      <c r="N1636" s="15">
        <v>0.61151493276283619</v>
      </c>
    </row>
    <row r="1637" spans="1:14" x14ac:dyDescent="0.2">
      <c r="A1637" s="2" t="s">
        <v>10068</v>
      </c>
      <c r="B1637" s="15">
        <v>2082</v>
      </c>
      <c r="C1637" s="15">
        <v>15</v>
      </c>
      <c r="D1637" s="15">
        <v>81077026</v>
      </c>
      <c r="E1637" s="15">
        <v>82191077</v>
      </c>
      <c r="F1637" s="15">
        <v>2247</v>
      </c>
      <c r="G1637" s="8" t="s">
        <v>12324</v>
      </c>
      <c r="H1637" s="24" t="s">
        <v>599</v>
      </c>
      <c r="I1637" s="25">
        <v>26562</v>
      </c>
      <c r="J1637" s="8" t="s">
        <v>601</v>
      </c>
      <c r="K1637" s="8" t="s">
        <v>10040</v>
      </c>
      <c r="L1637" s="15">
        <v>0.24365100000000001</v>
      </c>
      <c r="M1637" s="15">
        <v>0.225578</v>
      </c>
      <c r="N1637" s="15">
        <v>0.61151493276283619</v>
      </c>
    </row>
    <row r="1638" spans="1:14" x14ac:dyDescent="0.2">
      <c r="A1638" s="2" t="s">
        <v>10066</v>
      </c>
      <c r="B1638" s="15">
        <v>2134</v>
      </c>
      <c r="C1638" s="15">
        <v>16</v>
      </c>
      <c r="D1638" s="15">
        <v>52041337</v>
      </c>
      <c r="E1638" s="15">
        <v>53393882</v>
      </c>
      <c r="F1638" s="15">
        <v>3279</v>
      </c>
      <c r="G1638" s="8" t="s">
        <v>12324</v>
      </c>
      <c r="H1638" s="24" t="s">
        <v>3164</v>
      </c>
      <c r="I1638" s="25" t="s">
        <v>3165</v>
      </c>
      <c r="J1638" s="8" t="s">
        <v>3166</v>
      </c>
      <c r="K1638" s="8" t="s">
        <v>10042</v>
      </c>
      <c r="L1638" s="15">
        <v>0.26119500000000001</v>
      </c>
      <c r="M1638" s="15">
        <v>0.225546</v>
      </c>
      <c r="N1638" s="15">
        <v>0.61151493276283619</v>
      </c>
    </row>
    <row r="1639" spans="1:14" x14ac:dyDescent="0.2">
      <c r="A1639" s="2" t="s">
        <v>10068</v>
      </c>
      <c r="B1639" s="15">
        <v>2199</v>
      </c>
      <c r="C1639" s="15">
        <v>17</v>
      </c>
      <c r="D1639" s="15">
        <v>32356062</v>
      </c>
      <c r="E1639" s="15">
        <v>33614189</v>
      </c>
      <c r="F1639" s="15">
        <v>3183</v>
      </c>
      <c r="G1639" s="8" t="s">
        <v>12324</v>
      </c>
      <c r="H1639" s="24" t="s">
        <v>494</v>
      </c>
      <c r="I1639" s="25">
        <v>25920</v>
      </c>
      <c r="J1639" s="8" t="s">
        <v>496</v>
      </c>
      <c r="K1639" s="8" t="s">
        <v>10040</v>
      </c>
      <c r="L1639" s="15">
        <v>-0.23847699999999999</v>
      </c>
      <c r="M1639" s="15">
        <v>0.22597300000000001</v>
      </c>
      <c r="N1639" s="15">
        <v>0.61221151802076967</v>
      </c>
    </row>
    <row r="1640" spans="1:14" x14ac:dyDescent="0.2">
      <c r="A1640" s="2" t="s">
        <v>10068</v>
      </c>
      <c r="B1640" s="15">
        <v>2404</v>
      </c>
      <c r="C1640" s="15">
        <v>20</v>
      </c>
      <c r="D1640" s="15">
        <v>40272391</v>
      </c>
      <c r="E1640" s="15">
        <v>41351514</v>
      </c>
      <c r="F1640" s="15">
        <v>3113</v>
      </c>
      <c r="G1640" s="8" t="s">
        <v>12324</v>
      </c>
      <c r="H1640" s="24" t="s">
        <v>494</v>
      </c>
      <c r="I1640" s="25">
        <v>25920</v>
      </c>
      <c r="J1640" s="8" t="s">
        <v>496</v>
      </c>
      <c r="K1640" s="8" t="s">
        <v>10040</v>
      </c>
      <c r="L1640" s="15">
        <v>0.32022400000000001</v>
      </c>
      <c r="M1640" s="15">
        <v>0.22625500000000001</v>
      </c>
      <c r="N1640" s="15">
        <v>0.61222753203172664</v>
      </c>
    </row>
    <row r="1641" spans="1:14" x14ac:dyDescent="0.2">
      <c r="A1641" s="2" t="s">
        <v>10068</v>
      </c>
      <c r="B1641" s="15">
        <v>21</v>
      </c>
      <c r="C1641" s="15">
        <v>1</v>
      </c>
      <c r="D1641" s="15">
        <v>19238925</v>
      </c>
      <c r="E1641" s="15">
        <v>20556202</v>
      </c>
      <c r="F1641" s="15">
        <v>3799</v>
      </c>
      <c r="G1641" s="8" t="s">
        <v>12324</v>
      </c>
      <c r="H1641" s="24" t="s">
        <v>1259</v>
      </c>
      <c r="I1641" s="25">
        <v>27096</v>
      </c>
      <c r="J1641" s="8" t="s">
        <v>1261</v>
      </c>
      <c r="K1641" s="8" t="s">
        <v>10040</v>
      </c>
      <c r="L1641" s="15">
        <v>0.221694</v>
      </c>
      <c r="M1641" s="15">
        <v>0.226185</v>
      </c>
      <c r="N1641" s="15">
        <v>0.61222753203172664</v>
      </c>
    </row>
    <row r="1642" spans="1:14" x14ac:dyDescent="0.2">
      <c r="A1642" s="2" t="s">
        <v>10068</v>
      </c>
      <c r="B1642" s="15">
        <v>2452</v>
      </c>
      <c r="C1642" s="15">
        <v>21</v>
      </c>
      <c r="D1642" s="15">
        <v>38046450</v>
      </c>
      <c r="E1642" s="15">
        <v>39252059</v>
      </c>
      <c r="F1642" s="15">
        <v>3382</v>
      </c>
      <c r="G1642" s="8" t="s">
        <v>12324</v>
      </c>
      <c r="H1642" s="24" t="s">
        <v>1259</v>
      </c>
      <c r="I1642" s="25">
        <v>27096</v>
      </c>
      <c r="J1642" s="8" t="s">
        <v>1261</v>
      </c>
      <c r="K1642" s="8" t="s">
        <v>10040</v>
      </c>
      <c r="L1642" s="15">
        <v>0.32360499999999998</v>
      </c>
      <c r="M1642" s="15">
        <v>0.22683700000000001</v>
      </c>
      <c r="N1642" s="15">
        <v>0.6126809348355664</v>
      </c>
    </row>
    <row r="1643" spans="1:14" x14ac:dyDescent="0.2">
      <c r="A1643" s="2" t="s">
        <v>10066</v>
      </c>
      <c r="B1643" s="15">
        <v>2447</v>
      </c>
      <c r="C1643" s="15">
        <v>21</v>
      </c>
      <c r="D1643" s="15">
        <v>32202240</v>
      </c>
      <c r="E1643" s="15">
        <v>33270272</v>
      </c>
      <c r="F1643" s="15">
        <v>2907</v>
      </c>
      <c r="G1643" s="8" t="s">
        <v>12324</v>
      </c>
      <c r="H1643" s="24" t="s">
        <v>6008</v>
      </c>
      <c r="I1643" s="25" t="s">
        <v>6009</v>
      </c>
      <c r="J1643" s="8" t="s">
        <v>6010</v>
      </c>
      <c r="K1643" s="8" t="s">
        <v>10051</v>
      </c>
      <c r="L1643" s="15">
        <v>-0.26011899999999999</v>
      </c>
      <c r="M1643" s="15">
        <v>0.22672200000000001</v>
      </c>
      <c r="N1643" s="15">
        <v>0.6126809348355664</v>
      </c>
    </row>
    <row r="1644" spans="1:14" x14ac:dyDescent="0.2">
      <c r="A1644" s="2" t="s">
        <v>10068</v>
      </c>
      <c r="B1644" s="15">
        <v>298</v>
      </c>
      <c r="C1644" s="15">
        <v>2</v>
      </c>
      <c r="D1644" s="15">
        <v>101556800</v>
      </c>
      <c r="E1644" s="15">
        <v>102494487</v>
      </c>
      <c r="F1644" s="15">
        <v>2201</v>
      </c>
      <c r="G1644" s="8" t="s">
        <v>12324</v>
      </c>
      <c r="H1644" s="24" t="s">
        <v>6565</v>
      </c>
      <c r="I1644" s="25" t="s">
        <v>6475</v>
      </c>
      <c r="J1644" s="8" t="s">
        <v>6566</v>
      </c>
      <c r="K1644" s="8" t="s">
        <v>10054</v>
      </c>
      <c r="L1644" s="15">
        <v>0.47619099999999998</v>
      </c>
      <c r="M1644" s="15">
        <v>0.22661600000000001</v>
      </c>
      <c r="N1644" s="15">
        <v>0.6126809348355664</v>
      </c>
    </row>
    <row r="1645" spans="1:14" x14ac:dyDescent="0.2">
      <c r="A1645" s="2" t="s">
        <v>10068</v>
      </c>
      <c r="B1645" s="15">
        <v>47</v>
      </c>
      <c r="C1645" s="15">
        <v>1</v>
      </c>
      <c r="D1645" s="15">
        <v>54771294</v>
      </c>
      <c r="E1645" s="15">
        <v>55727134</v>
      </c>
      <c r="F1645" s="15">
        <v>2916</v>
      </c>
      <c r="G1645" s="8" t="s">
        <v>12324</v>
      </c>
      <c r="H1645" s="24" t="s">
        <v>599</v>
      </c>
      <c r="I1645" s="25">
        <v>26562</v>
      </c>
      <c r="J1645" s="8" t="s">
        <v>601</v>
      </c>
      <c r="K1645" s="8" t="s">
        <v>10040</v>
      </c>
      <c r="L1645" s="15">
        <v>-0.49374899999999999</v>
      </c>
      <c r="M1645" s="15">
        <v>0.22766</v>
      </c>
      <c r="N1645" s="15">
        <v>0.61373286755771561</v>
      </c>
    </row>
    <row r="1646" spans="1:14" x14ac:dyDescent="0.2">
      <c r="A1646" s="2" t="s">
        <v>10068</v>
      </c>
      <c r="B1646" s="15">
        <v>1197</v>
      </c>
      <c r="C1646" s="15">
        <v>7</v>
      </c>
      <c r="D1646" s="15">
        <v>113339387</v>
      </c>
      <c r="E1646" s="15">
        <v>115321301</v>
      </c>
      <c r="F1646" s="15">
        <v>3408</v>
      </c>
      <c r="G1646" s="8" t="s">
        <v>12324</v>
      </c>
      <c r="H1646" s="24" t="s">
        <v>599</v>
      </c>
      <c r="I1646" s="25">
        <v>26562</v>
      </c>
      <c r="J1646" s="8" t="s">
        <v>601</v>
      </c>
      <c r="K1646" s="8" t="s">
        <v>10040</v>
      </c>
      <c r="L1646" s="15">
        <v>-0.232875</v>
      </c>
      <c r="M1646" s="15">
        <v>0.22766700000000001</v>
      </c>
      <c r="N1646" s="15">
        <v>0.61373286755771561</v>
      </c>
    </row>
    <row r="1647" spans="1:14" x14ac:dyDescent="0.2">
      <c r="A1647" s="2" t="s">
        <v>10066</v>
      </c>
      <c r="B1647" s="15">
        <v>1404</v>
      </c>
      <c r="C1647" s="15">
        <v>9</v>
      </c>
      <c r="D1647" s="15">
        <v>27366480</v>
      </c>
      <c r="E1647" s="15">
        <v>28067454</v>
      </c>
      <c r="F1647" s="15">
        <v>2076</v>
      </c>
      <c r="G1647" s="8" t="s">
        <v>12324</v>
      </c>
      <c r="H1647" s="24" t="s">
        <v>6008</v>
      </c>
      <c r="I1647" s="25" t="s">
        <v>6009</v>
      </c>
      <c r="J1647" s="8" t="s">
        <v>6010</v>
      </c>
      <c r="K1647" s="8" t="s">
        <v>10051</v>
      </c>
      <c r="L1647" s="15">
        <v>-0.33076</v>
      </c>
      <c r="M1647" s="15">
        <v>0.227464</v>
      </c>
      <c r="N1647" s="15">
        <v>0.61373286755771561</v>
      </c>
    </row>
    <row r="1648" spans="1:14" x14ac:dyDescent="0.2">
      <c r="A1648" s="2" t="s">
        <v>10068</v>
      </c>
      <c r="B1648" s="15">
        <v>842</v>
      </c>
      <c r="C1648" s="15">
        <v>5</v>
      </c>
      <c r="D1648" s="15">
        <v>80448226</v>
      </c>
      <c r="E1648" s="15">
        <v>81710194</v>
      </c>
      <c r="F1648" s="15">
        <v>2427</v>
      </c>
      <c r="G1648" s="8" t="s">
        <v>12324</v>
      </c>
      <c r="H1648" s="24" t="s">
        <v>6565</v>
      </c>
      <c r="I1648" s="25" t="s">
        <v>6475</v>
      </c>
      <c r="J1648" s="8" t="s">
        <v>6566</v>
      </c>
      <c r="K1648" s="8" t="s">
        <v>10054</v>
      </c>
      <c r="L1648" s="15">
        <v>0.33269700000000002</v>
      </c>
      <c r="M1648" s="15">
        <v>0.22778000000000001</v>
      </c>
      <c r="N1648" s="15">
        <v>0.61373286755771561</v>
      </c>
    </row>
    <row r="1649" spans="1:14" x14ac:dyDescent="0.2">
      <c r="A1649" s="2" t="s">
        <v>10066</v>
      </c>
      <c r="B1649" s="15">
        <v>2070</v>
      </c>
      <c r="C1649" s="15">
        <v>15</v>
      </c>
      <c r="D1649" s="15">
        <v>66355635</v>
      </c>
      <c r="E1649" s="15">
        <v>67396520</v>
      </c>
      <c r="F1649" s="15">
        <v>3222</v>
      </c>
      <c r="G1649" s="8" t="s">
        <v>12324</v>
      </c>
      <c r="H1649" s="24" t="s">
        <v>6008</v>
      </c>
      <c r="I1649" s="25" t="s">
        <v>6009</v>
      </c>
      <c r="J1649" s="8" t="s">
        <v>6010</v>
      </c>
      <c r="K1649" s="8" t="s">
        <v>10051</v>
      </c>
      <c r="L1649" s="15">
        <v>0.36938100000000001</v>
      </c>
      <c r="M1649" s="15">
        <v>0.22804099999999999</v>
      </c>
      <c r="N1649" s="15">
        <v>0.61406304493017605</v>
      </c>
    </row>
    <row r="1650" spans="1:14" x14ac:dyDescent="0.2">
      <c r="A1650" s="2" t="s">
        <v>10066</v>
      </c>
      <c r="B1650" s="15">
        <v>617</v>
      </c>
      <c r="C1650" s="15">
        <v>4</v>
      </c>
      <c r="D1650" s="15">
        <v>17290237</v>
      </c>
      <c r="E1650" s="15">
        <v>18753263</v>
      </c>
      <c r="F1650" s="15">
        <v>3895</v>
      </c>
      <c r="G1650" s="8" t="s">
        <v>12324</v>
      </c>
      <c r="H1650" s="24" t="s">
        <v>6008</v>
      </c>
      <c r="I1650" s="25" t="s">
        <v>6009</v>
      </c>
      <c r="J1650" s="8" t="s">
        <v>6010</v>
      </c>
      <c r="K1650" s="8" t="s">
        <v>10051</v>
      </c>
      <c r="L1650" s="15">
        <v>0.35385</v>
      </c>
      <c r="M1650" s="15">
        <v>0.22839000000000001</v>
      </c>
      <c r="N1650" s="15">
        <v>0.61425691328077625</v>
      </c>
    </row>
    <row r="1651" spans="1:14" x14ac:dyDescent="0.2">
      <c r="A1651" s="2" t="s">
        <v>10068</v>
      </c>
      <c r="B1651" s="15">
        <v>1677</v>
      </c>
      <c r="C1651" s="15">
        <v>11</v>
      </c>
      <c r="D1651" s="15">
        <v>68887345</v>
      </c>
      <c r="E1651" s="15">
        <v>69713996</v>
      </c>
      <c r="F1651" s="15">
        <v>2319</v>
      </c>
      <c r="G1651" s="8" t="s">
        <v>12324</v>
      </c>
      <c r="H1651" s="24" t="s">
        <v>6565</v>
      </c>
      <c r="I1651" s="25" t="s">
        <v>6475</v>
      </c>
      <c r="J1651" s="8" t="s">
        <v>6566</v>
      </c>
      <c r="K1651" s="8" t="s">
        <v>10054</v>
      </c>
      <c r="L1651" s="15">
        <v>-0.19941500000000001</v>
      </c>
      <c r="M1651" s="15">
        <v>0.228299</v>
      </c>
      <c r="N1651" s="15">
        <v>0.61425691328077625</v>
      </c>
    </row>
    <row r="1652" spans="1:14" x14ac:dyDescent="0.2">
      <c r="A1652" s="2" t="s">
        <v>10068</v>
      </c>
      <c r="B1652" s="15">
        <v>2356</v>
      </c>
      <c r="C1652" s="15">
        <v>19</v>
      </c>
      <c r="D1652" s="15">
        <v>49415190</v>
      </c>
      <c r="E1652" s="15">
        <v>50451925</v>
      </c>
      <c r="F1652" s="15">
        <v>2627</v>
      </c>
      <c r="G1652" s="8" t="s">
        <v>12324</v>
      </c>
      <c r="H1652" s="24" t="s">
        <v>494</v>
      </c>
      <c r="I1652" s="25">
        <v>25920</v>
      </c>
      <c r="J1652" s="8" t="s">
        <v>496</v>
      </c>
      <c r="K1652" s="8" t="s">
        <v>10040</v>
      </c>
      <c r="L1652" s="15">
        <v>0.279117</v>
      </c>
      <c r="M1652" s="15">
        <v>0.22889100000000001</v>
      </c>
      <c r="N1652" s="15">
        <v>0.61485862204724406</v>
      </c>
    </row>
    <row r="1653" spans="1:14" x14ac:dyDescent="0.2">
      <c r="A1653" s="2" t="s">
        <v>10069</v>
      </c>
      <c r="B1653" s="15">
        <v>1296</v>
      </c>
      <c r="C1653" s="15">
        <v>8</v>
      </c>
      <c r="D1653" s="15">
        <v>59555978</v>
      </c>
      <c r="E1653" s="15">
        <v>60476248</v>
      </c>
      <c r="F1653" s="15">
        <v>1371</v>
      </c>
      <c r="G1653" s="8" t="s">
        <v>12324</v>
      </c>
      <c r="H1653" s="24" t="s">
        <v>662</v>
      </c>
      <c r="I1653" s="25" t="s">
        <v>663</v>
      </c>
      <c r="J1653" s="8" t="s">
        <v>664</v>
      </c>
      <c r="K1653" s="8" t="s">
        <v>10040</v>
      </c>
      <c r="L1653" s="15">
        <v>-0.40332699999999999</v>
      </c>
      <c r="M1653" s="15">
        <v>0.22881899999999999</v>
      </c>
      <c r="N1653" s="15">
        <v>0.61485862204724406</v>
      </c>
    </row>
    <row r="1654" spans="1:14" x14ac:dyDescent="0.2">
      <c r="A1654" s="2" t="s">
        <v>10066</v>
      </c>
      <c r="B1654" s="15">
        <v>2208</v>
      </c>
      <c r="C1654" s="15">
        <v>17</v>
      </c>
      <c r="D1654" s="15">
        <v>44865833</v>
      </c>
      <c r="E1654" s="15">
        <v>45883901</v>
      </c>
      <c r="F1654" s="15">
        <v>2381</v>
      </c>
      <c r="G1654" s="8" t="s">
        <v>12324</v>
      </c>
      <c r="H1654" s="24" t="s">
        <v>3164</v>
      </c>
      <c r="I1654" s="25" t="s">
        <v>3165</v>
      </c>
      <c r="J1654" s="8" t="s">
        <v>3166</v>
      </c>
      <c r="K1654" s="8" t="s">
        <v>10042</v>
      </c>
      <c r="L1654" s="15">
        <v>0.24817700000000001</v>
      </c>
      <c r="M1654" s="15">
        <v>0.22905</v>
      </c>
      <c r="N1654" s="15">
        <v>0.61491328692493952</v>
      </c>
    </row>
    <row r="1655" spans="1:14" x14ac:dyDescent="0.2">
      <c r="A1655" s="2" t="s">
        <v>10068</v>
      </c>
      <c r="B1655" s="15">
        <v>419</v>
      </c>
      <c r="C1655" s="15">
        <v>2</v>
      </c>
      <c r="D1655" s="15">
        <v>241113280</v>
      </c>
      <c r="E1655" s="15">
        <v>241910366</v>
      </c>
      <c r="F1655" s="15">
        <v>2997</v>
      </c>
      <c r="G1655" s="8" t="s">
        <v>12324</v>
      </c>
      <c r="H1655" s="24" t="s">
        <v>494</v>
      </c>
      <c r="I1655" s="25">
        <v>25920</v>
      </c>
      <c r="J1655" s="8" t="s">
        <v>496</v>
      </c>
      <c r="K1655" s="8" t="s">
        <v>10040</v>
      </c>
      <c r="L1655" s="15">
        <v>0.27921499999999999</v>
      </c>
      <c r="M1655" s="15">
        <v>0.231904</v>
      </c>
      <c r="N1655" s="15">
        <v>0.61579616696588868</v>
      </c>
    </row>
    <row r="1656" spans="1:14" x14ac:dyDescent="0.2">
      <c r="A1656" s="2" t="s">
        <v>10068</v>
      </c>
      <c r="B1656" s="15">
        <v>658</v>
      </c>
      <c r="C1656" s="15">
        <v>4</v>
      </c>
      <c r="D1656" s="15">
        <v>61971162</v>
      </c>
      <c r="E1656" s="15">
        <v>63337954</v>
      </c>
      <c r="F1656" s="15">
        <v>3110</v>
      </c>
      <c r="G1656" s="8" t="s">
        <v>12324</v>
      </c>
      <c r="H1656" s="24" t="s">
        <v>599</v>
      </c>
      <c r="I1656" s="25">
        <v>26562</v>
      </c>
      <c r="J1656" s="8" t="s">
        <v>601</v>
      </c>
      <c r="K1656" s="8" t="s">
        <v>10040</v>
      </c>
      <c r="L1656" s="15">
        <v>-0.45407500000000001</v>
      </c>
      <c r="M1656" s="15">
        <v>0.23016700000000001</v>
      </c>
      <c r="N1656" s="15">
        <v>0.61579616696588868</v>
      </c>
    </row>
    <row r="1657" spans="1:14" x14ac:dyDescent="0.2">
      <c r="A1657" s="2" t="s">
        <v>10068</v>
      </c>
      <c r="B1657" s="15">
        <v>915</v>
      </c>
      <c r="C1657" s="15">
        <v>5</v>
      </c>
      <c r="D1657" s="15">
        <v>166863414</v>
      </c>
      <c r="E1657" s="15">
        <v>168342743</v>
      </c>
      <c r="F1657" s="15">
        <v>3469</v>
      </c>
      <c r="G1657" s="8" t="s">
        <v>12324</v>
      </c>
      <c r="H1657" s="24" t="s">
        <v>599</v>
      </c>
      <c r="I1657" s="25">
        <v>26562</v>
      </c>
      <c r="J1657" s="8" t="s">
        <v>601</v>
      </c>
      <c r="K1657" s="8" t="s">
        <v>10040</v>
      </c>
      <c r="L1657" s="15">
        <v>0.286354</v>
      </c>
      <c r="M1657" s="15">
        <v>0.23089399999999999</v>
      </c>
      <c r="N1657" s="15">
        <v>0.61579616696588868</v>
      </c>
    </row>
    <row r="1658" spans="1:14" x14ac:dyDescent="0.2">
      <c r="A1658" s="2" t="s">
        <v>10068</v>
      </c>
      <c r="B1658" s="15">
        <v>590</v>
      </c>
      <c r="C1658" s="15">
        <v>3</v>
      </c>
      <c r="D1658" s="15">
        <v>193122091</v>
      </c>
      <c r="E1658" s="15">
        <v>194217140</v>
      </c>
      <c r="F1658" s="15">
        <v>3265</v>
      </c>
      <c r="G1658" s="8" t="s">
        <v>12324</v>
      </c>
      <c r="H1658" s="24" t="s">
        <v>599</v>
      </c>
      <c r="I1658" s="25">
        <v>26562</v>
      </c>
      <c r="J1658" s="8" t="s">
        <v>601</v>
      </c>
      <c r="K1658" s="8" t="s">
        <v>10040</v>
      </c>
      <c r="L1658" s="15">
        <v>0.289688</v>
      </c>
      <c r="M1658" s="15">
        <v>0.231492</v>
      </c>
      <c r="N1658" s="15">
        <v>0.61579616696588868</v>
      </c>
    </row>
    <row r="1659" spans="1:14" x14ac:dyDescent="0.2">
      <c r="A1659" s="2" t="s">
        <v>10069</v>
      </c>
      <c r="B1659" s="15">
        <v>2359</v>
      </c>
      <c r="C1659" s="15">
        <v>19</v>
      </c>
      <c r="D1659" s="15">
        <v>51903805</v>
      </c>
      <c r="E1659" s="15">
        <v>52678748</v>
      </c>
      <c r="F1659" s="15">
        <v>1877</v>
      </c>
      <c r="G1659" s="8" t="s">
        <v>12324</v>
      </c>
      <c r="H1659" s="24" t="s">
        <v>662</v>
      </c>
      <c r="I1659" s="25" t="s">
        <v>663</v>
      </c>
      <c r="J1659" s="8" t="s">
        <v>664</v>
      </c>
      <c r="K1659" s="8" t="s">
        <v>10040</v>
      </c>
      <c r="L1659" s="15">
        <v>0.42106199999999999</v>
      </c>
      <c r="M1659" s="15">
        <v>0.22983700000000001</v>
      </c>
      <c r="N1659" s="15">
        <v>0.61579616696588868</v>
      </c>
    </row>
    <row r="1660" spans="1:14" x14ac:dyDescent="0.2">
      <c r="A1660" s="2" t="s">
        <v>10069</v>
      </c>
      <c r="B1660" s="15">
        <v>1074</v>
      </c>
      <c r="C1660" s="15">
        <v>6</v>
      </c>
      <c r="D1660" s="15">
        <v>151629955</v>
      </c>
      <c r="E1660" s="15">
        <v>152376499</v>
      </c>
      <c r="F1660" s="15">
        <v>1356</v>
      </c>
      <c r="G1660" s="8" t="s">
        <v>12324</v>
      </c>
      <c r="H1660" s="24" t="s">
        <v>662</v>
      </c>
      <c r="I1660" s="25" t="s">
        <v>663</v>
      </c>
      <c r="J1660" s="8" t="s">
        <v>664</v>
      </c>
      <c r="K1660" s="8" t="s">
        <v>10040</v>
      </c>
      <c r="L1660" s="15">
        <v>-0.53443600000000002</v>
      </c>
      <c r="M1660" s="15">
        <v>0.23102300000000001</v>
      </c>
      <c r="N1660" s="15">
        <v>0.61579616696588868</v>
      </c>
    </row>
    <row r="1661" spans="1:14" x14ac:dyDescent="0.2">
      <c r="A1661" s="2" t="s">
        <v>10069</v>
      </c>
      <c r="B1661" s="15">
        <v>2338</v>
      </c>
      <c r="C1661" s="15">
        <v>19</v>
      </c>
      <c r="D1661" s="15">
        <v>31763009</v>
      </c>
      <c r="E1661" s="15">
        <v>33028099</v>
      </c>
      <c r="F1661" s="15">
        <v>1657</v>
      </c>
      <c r="G1661" s="8" t="s">
        <v>12324</v>
      </c>
      <c r="H1661" s="24" t="s">
        <v>662</v>
      </c>
      <c r="I1661" s="25" t="s">
        <v>663</v>
      </c>
      <c r="J1661" s="8" t="s">
        <v>664</v>
      </c>
      <c r="K1661" s="8" t="s">
        <v>10040</v>
      </c>
      <c r="L1661" s="15">
        <v>0.38923799999999997</v>
      </c>
      <c r="M1661" s="15">
        <v>0.23125200000000001</v>
      </c>
      <c r="N1661" s="15">
        <v>0.61579616696588868</v>
      </c>
    </row>
    <row r="1662" spans="1:14" x14ac:dyDescent="0.2">
      <c r="A1662" s="2" t="s">
        <v>10069</v>
      </c>
      <c r="B1662" s="15">
        <v>1759</v>
      </c>
      <c r="C1662" s="15">
        <v>12</v>
      </c>
      <c r="D1662" s="15">
        <v>19532766</v>
      </c>
      <c r="E1662" s="15">
        <v>20074930</v>
      </c>
      <c r="F1662" s="15">
        <v>1432</v>
      </c>
      <c r="G1662" s="8" t="s">
        <v>12324</v>
      </c>
      <c r="H1662" s="24" t="s">
        <v>662</v>
      </c>
      <c r="I1662" s="25" t="s">
        <v>663</v>
      </c>
      <c r="J1662" s="8" t="s">
        <v>664</v>
      </c>
      <c r="K1662" s="8" t="s">
        <v>10040</v>
      </c>
      <c r="L1662" s="15">
        <v>0.45943800000000001</v>
      </c>
      <c r="M1662" s="15">
        <v>0.23167499999999999</v>
      </c>
      <c r="N1662" s="15">
        <v>0.61579616696588868</v>
      </c>
    </row>
    <row r="1663" spans="1:14" x14ac:dyDescent="0.2">
      <c r="A1663" s="2" t="s">
        <v>10068</v>
      </c>
      <c r="B1663" s="15">
        <v>2462</v>
      </c>
      <c r="C1663" s="15">
        <v>22</v>
      </c>
      <c r="D1663" s="15">
        <v>16050213</v>
      </c>
      <c r="E1663" s="15">
        <v>17587474</v>
      </c>
      <c r="F1663" s="15">
        <v>1608</v>
      </c>
      <c r="G1663" s="8" t="s">
        <v>12324</v>
      </c>
      <c r="H1663" s="24" t="s">
        <v>1259</v>
      </c>
      <c r="I1663" s="25">
        <v>27096</v>
      </c>
      <c r="J1663" s="8" t="s">
        <v>1261</v>
      </c>
      <c r="K1663" s="8" t="s">
        <v>10040</v>
      </c>
      <c r="L1663" s="15">
        <v>-0.15868499999999999</v>
      </c>
      <c r="M1663" s="15">
        <v>0.22988400000000001</v>
      </c>
      <c r="N1663" s="15">
        <v>0.61579616696588868</v>
      </c>
    </row>
    <row r="1664" spans="1:14" x14ac:dyDescent="0.2">
      <c r="A1664" s="2" t="s">
        <v>10068</v>
      </c>
      <c r="B1664" s="15">
        <v>1557</v>
      </c>
      <c r="C1664" s="15">
        <v>10</v>
      </c>
      <c r="D1664" s="15">
        <v>77144962</v>
      </c>
      <c r="E1664" s="15">
        <v>78665481</v>
      </c>
      <c r="F1664" s="15">
        <v>3061</v>
      </c>
      <c r="G1664" s="8" t="s">
        <v>12324</v>
      </c>
      <c r="H1664" s="24" t="s">
        <v>1259</v>
      </c>
      <c r="I1664" s="25">
        <v>27096</v>
      </c>
      <c r="J1664" s="8" t="s">
        <v>1261</v>
      </c>
      <c r="K1664" s="8" t="s">
        <v>10040</v>
      </c>
      <c r="L1664" s="15">
        <v>-0.20153099999999999</v>
      </c>
      <c r="M1664" s="15">
        <v>0.23141500000000001</v>
      </c>
      <c r="N1664" s="15">
        <v>0.61579616696588868</v>
      </c>
    </row>
    <row r="1665" spans="1:14" x14ac:dyDescent="0.2">
      <c r="A1665" s="2" t="s">
        <v>10068</v>
      </c>
      <c r="B1665" s="15">
        <v>570</v>
      </c>
      <c r="C1665" s="15">
        <v>3</v>
      </c>
      <c r="D1665" s="15">
        <v>168972663</v>
      </c>
      <c r="E1665" s="15">
        <v>170174578</v>
      </c>
      <c r="F1665" s="15">
        <v>2770</v>
      </c>
      <c r="G1665" s="8" t="s">
        <v>12324</v>
      </c>
      <c r="H1665" s="24" t="s">
        <v>1259</v>
      </c>
      <c r="I1665" s="25">
        <v>27096</v>
      </c>
      <c r="J1665" s="8" t="s">
        <v>1261</v>
      </c>
      <c r="K1665" s="8" t="s">
        <v>10040</v>
      </c>
      <c r="L1665" s="15">
        <v>-0.30088199999999998</v>
      </c>
      <c r="M1665" s="15">
        <v>0.23200299999999999</v>
      </c>
      <c r="N1665" s="15">
        <v>0.61579616696588868</v>
      </c>
    </row>
    <row r="1666" spans="1:14" x14ac:dyDescent="0.2">
      <c r="A1666" s="2" t="s">
        <v>10068</v>
      </c>
      <c r="B1666" s="15">
        <v>2089</v>
      </c>
      <c r="C1666" s="15">
        <v>15</v>
      </c>
      <c r="D1666" s="15">
        <v>89385188</v>
      </c>
      <c r="E1666" s="15">
        <v>90632718</v>
      </c>
      <c r="F1666" s="15">
        <v>3023</v>
      </c>
      <c r="G1666" s="8" t="s">
        <v>12324</v>
      </c>
      <c r="H1666" s="24" t="s">
        <v>1259</v>
      </c>
      <c r="I1666" s="25">
        <v>27096</v>
      </c>
      <c r="J1666" s="8" t="s">
        <v>1261</v>
      </c>
      <c r="K1666" s="8" t="s">
        <v>10040</v>
      </c>
      <c r="L1666" s="15">
        <v>0.29495399999999999</v>
      </c>
      <c r="M1666" s="15">
        <v>0.232017</v>
      </c>
      <c r="N1666" s="15">
        <v>0.61579616696588868</v>
      </c>
    </row>
    <row r="1667" spans="1:14" x14ac:dyDescent="0.2">
      <c r="A1667" s="2" t="s">
        <v>10066</v>
      </c>
      <c r="B1667" s="15">
        <v>216</v>
      </c>
      <c r="C1667" s="15">
        <v>2</v>
      </c>
      <c r="D1667" s="15">
        <v>11230350</v>
      </c>
      <c r="E1667" s="15">
        <v>11995765</v>
      </c>
      <c r="F1667" s="15">
        <v>2216</v>
      </c>
      <c r="G1667" s="8" t="s">
        <v>12324</v>
      </c>
      <c r="H1667" s="24" t="s">
        <v>3164</v>
      </c>
      <c r="I1667" s="25" t="s">
        <v>3165</v>
      </c>
      <c r="J1667" s="8" t="s">
        <v>3166</v>
      </c>
      <c r="K1667" s="8" t="s">
        <v>10042</v>
      </c>
      <c r="L1667" s="15">
        <v>0.19935900000000001</v>
      </c>
      <c r="M1667" s="15">
        <v>0.23163400000000001</v>
      </c>
      <c r="N1667" s="15">
        <v>0.61579616696588868</v>
      </c>
    </row>
    <row r="1668" spans="1:14" x14ac:dyDescent="0.2">
      <c r="A1668" s="2" t="s">
        <v>10066</v>
      </c>
      <c r="B1668" s="15">
        <v>777</v>
      </c>
      <c r="C1668" s="15">
        <v>5</v>
      </c>
      <c r="D1668" s="15">
        <v>1206610</v>
      </c>
      <c r="E1668" s="15">
        <v>2106885</v>
      </c>
      <c r="F1668" s="15">
        <v>3617</v>
      </c>
      <c r="G1668" s="8" t="s">
        <v>12324</v>
      </c>
      <c r="H1668" s="24" t="s">
        <v>6008</v>
      </c>
      <c r="I1668" s="25" t="s">
        <v>6009</v>
      </c>
      <c r="J1668" s="8" t="s">
        <v>6010</v>
      </c>
      <c r="K1668" s="8" t="s">
        <v>10051</v>
      </c>
      <c r="L1668" s="15">
        <v>-0.32707599999999998</v>
      </c>
      <c r="M1668" s="15">
        <v>0.22980100000000001</v>
      </c>
      <c r="N1668" s="15">
        <v>0.61579616696588868</v>
      </c>
    </row>
    <row r="1669" spans="1:14" x14ac:dyDescent="0.2">
      <c r="A1669" s="2" t="s">
        <v>10066</v>
      </c>
      <c r="B1669" s="15">
        <v>427</v>
      </c>
      <c r="C1669" s="15">
        <v>3</v>
      </c>
      <c r="D1669" s="15">
        <v>4835084</v>
      </c>
      <c r="E1669" s="15">
        <v>5496182</v>
      </c>
      <c r="F1669" s="15">
        <v>2049</v>
      </c>
      <c r="G1669" s="8" t="s">
        <v>12324</v>
      </c>
      <c r="H1669" s="24" t="s">
        <v>6008</v>
      </c>
      <c r="I1669" s="25" t="s">
        <v>6009</v>
      </c>
      <c r="J1669" s="8" t="s">
        <v>6010</v>
      </c>
      <c r="K1669" s="8" t="s">
        <v>10051</v>
      </c>
      <c r="L1669" s="15">
        <v>0.26801599999999998</v>
      </c>
      <c r="M1669" s="15">
        <v>0.22997500000000001</v>
      </c>
      <c r="N1669" s="15">
        <v>0.61579616696588868</v>
      </c>
    </row>
    <row r="1670" spans="1:14" x14ac:dyDescent="0.2">
      <c r="A1670" s="2" t="s">
        <v>10066</v>
      </c>
      <c r="B1670" s="15">
        <v>1552</v>
      </c>
      <c r="C1670" s="15">
        <v>10</v>
      </c>
      <c r="D1670" s="15">
        <v>71050505</v>
      </c>
      <c r="E1670" s="15">
        <v>71672997</v>
      </c>
      <c r="F1670" s="15">
        <v>2328</v>
      </c>
      <c r="G1670" s="8" t="s">
        <v>12324</v>
      </c>
      <c r="H1670" s="24" t="s">
        <v>6008</v>
      </c>
      <c r="I1670" s="25" t="s">
        <v>6009</v>
      </c>
      <c r="J1670" s="8" t="s">
        <v>6010</v>
      </c>
      <c r="K1670" s="8" t="s">
        <v>10051</v>
      </c>
      <c r="L1670" s="15">
        <v>-0.26712999999999998</v>
      </c>
      <c r="M1670" s="15">
        <v>0.23038900000000001</v>
      </c>
      <c r="N1670" s="15">
        <v>0.61579616696588868</v>
      </c>
    </row>
    <row r="1671" spans="1:14" x14ac:dyDescent="0.2">
      <c r="A1671" s="2" t="s">
        <v>10066</v>
      </c>
      <c r="B1671" s="15">
        <v>2235</v>
      </c>
      <c r="C1671" s="15">
        <v>17</v>
      </c>
      <c r="D1671" s="15">
        <v>78438333</v>
      </c>
      <c r="E1671" s="15">
        <v>79333774</v>
      </c>
      <c r="F1671" s="15">
        <v>3280</v>
      </c>
      <c r="G1671" s="8" t="s">
        <v>12324</v>
      </c>
      <c r="H1671" s="24" t="s">
        <v>6008</v>
      </c>
      <c r="I1671" s="25" t="s">
        <v>6009</v>
      </c>
      <c r="J1671" s="8" t="s">
        <v>6010</v>
      </c>
      <c r="K1671" s="8" t="s">
        <v>10051</v>
      </c>
      <c r="L1671" s="15">
        <v>-0.226942</v>
      </c>
      <c r="M1671" s="15">
        <v>0.230548</v>
      </c>
      <c r="N1671" s="15">
        <v>0.61579616696588868</v>
      </c>
    </row>
    <row r="1672" spans="1:14" x14ac:dyDescent="0.2">
      <c r="A1672" s="2" t="s">
        <v>10068</v>
      </c>
      <c r="B1672" s="15">
        <v>1386</v>
      </c>
      <c r="C1672" s="15">
        <v>9</v>
      </c>
      <c r="D1672" s="15">
        <v>12044916</v>
      </c>
      <c r="E1672" s="15">
        <v>12664858</v>
      </c>
      <c r="F1672" s="15">
        <v>2046</v>
      </c>
      <c r="G1672" s="8" t="s">
        <v>12324</v>
      </c>
      <c r="H1672" s="24" t="s">
        <v>6565</v>
      </c>
      <c r="I1672" s="25" t="s">
        <v>6475</v>
      </c>
      <c r="J1672" s="8" t="s">
        <v>6566</v>
      </c>
      <c r="K1672" s="8" t="s">
        <v>10054</v>
      </c>
      <c r="L1672" s="15">
        <v>0.308533</v>
      </c>
      <c r="M1672" s="15">
        <v>0.23108600000000001</v>
      </c>
      <c r="N1672" s="15">
        <v>0.61579616696588868</v>
      </c>
    </row>
    <row r="1673" spans="1:14" x14ac:dyDescent="0.2">
      <c r="A1673" s="2" t="s">
        <v>10068</v>
      </c>
      <c r="B1673" s="15">
        <v>1588</v>
      </c>
      <c r="C1673" s="15">
        <v>10</v>
      </c>
      <c r="D1673" s="15">
        <v>113117616</v>
      </c>
      <c r="E1673" s="15">
        <v>114255954</v>
      </c>
      <c r="F1673" s="15">
        <v>3044</v>
      </c>
      <c r="G1673" s="8" t="s">
        <v>12324</v>
      </c>
      <c r="H1673" s="24" t="s">
        <v>6565</v>
      </c>
      <c r="I1673" s="25" t="s">
        <v>6475</v>
      </c>
      <c r="J1673" s="8" t="s">
        <v>6566</v>
      </c>
      <c r="K1673" s="8" t="s">
        <v>10054</v>
      </c>
      <c r="L1673" s="15">
        <v>0.44430199999999997</v>
      </c>
      <c r="M1673" s="15">
        <v>0.231877</v>
      </c>
      <c r="N1673" s="15">
        <v>0.61579616696588868</v>
      </c>
    </row>
    <row r="1674" spans="1:14" x14ac:dyDescent="0.2">
      <c r="A1674" s="2" t="s">
        <v>10069</v>
      </c>
      <c r="B1674" s="15">
        <v>1351</v>
      </c>
      <c r="C1674" s="15">
        <v>8</v>
      </c>
      <c r="D1674" s="15">
        <v>125453323</v>
      </c>
      <c r="E1674" s="15">
        <v>126766827</v>
      </c>
      <c r="F1674" s="15">
        <v>2210</v>
      </c>
      <c r="G1674" s="8" t="s">
        <v>12324</v>
      </c>
      <c r="H1674" s="24" t="s">
        <v>662</v>
      </c>
      <c r="I1674" s="25" t="s">
        <v>663</v>
      </c>
      <c r="J1674" s="8" t="s">
        <v>664</v>
      </c>
      <c r="K1674" s="8" t="s">
        <v>10040</v>
      </c>
      <c r="L1674" s="15">
        <v>-0.32873999999999998</v>
      </c>
      <c r="M1674" s="15">
        <v>0.23255799999999999</v>
      </c>
      <c r="N1674" s="15">
        <v>0.61649416019127312</v>
      </c>
    </row>
    <row r="1675" spans="1:14" x14ac:dyDescent="0.2">
      <c r="A1675" s="2" t="s">
        <v>10066</v>
      </c>
      <c r="B1675" s="15">
        <v>2133</v>
      </c>
      <c r="C1675" s="15">
        <v>16</v>
      </c>
      <c r="D1675" s="15">
        <v>50467034</v>
      </c>
      <c r="E1675" s="15">
        <v>52041336</v>
      </c>
      <c r="F1675" s="15">
        <v>3553</v>
      </c>
      <c r="G1675" s="8" t="s">
        <v>12324</v>
      </c>
      <c r="H1675" s="24" t="s">
        <v>3164</v>
      </c>
      <c r="I1675" s="25" t="s">
        <v>3165</v>
      </c>
      <c r="J1675" s="8" t="s">
        <v>3166</v>
      </c>
      <c r="K1675" s="8" t="s">
        <v>10042</v>
      </c>
      <c r="L1675" s="15">
        <v>0.30591400000000002</v>
      </c>
      <c r="M1675" s="15">
        <v>0.23246</v>
      </c>
      <c r="N1675" s="15">
        <v>0.61649416019127312</v>
      </c>
    </row>
    <row r="1676" spans="1:14" x14ac:dyDescent="0.2">
      <c r="A1676" s="2" t="s">
        <v>10068</v>
      </c>
      <c r="B1676" s="15">
        <v>2421</v>
      </c>
      <c r="C1676" s="15">
        <v>20</v>
      </c>
      <c r="D1676" s="15">
        <v>56172844</v>
      </c>
      <c r="E1676" s="15">
        <v>56951773</v>
      </c>
      <c r="F1676" s="15">
        <v>2406</v>
      </c>
      <c r="G1676" s="8" t="s">
        <v>12324</v>
      </c>
      <c r="H1676" s="24" t="s">
        <v>1259</v>
      </c>
      <c r="I1676" s="25">
        <v>27096</v>
      </c>
      <c r="J1676" s="8" t="s">
        <v>1261</v>
      </c>
      <c r="K1676" s="8" t="s">
        <v>10040</v>
      </c>
      <c r="L1676" s="15">
        <v>-0.25069399999999997</v>
      </c>
      <c r="M1676" s="15">
        <v>0.23277</v>
      </c>
      <c r="N1676" s="15">
        <v>0.61668754480286736</v>
      </c>
    </row>
    <row r="1677" spans="1:14" x14ac:dyDescent="0.2">
      <c r="A1677" s="2" t="s">
        <v>10069</v>
      </c>
      <c r="B1677" s="15">
        <v>2301</v>
      </c>
      <c r="C1677" s="15">
        <v>18</v>
      </c>
      <c r="D1677" s="15">
        <v>73568261</v>
      </c>
      <c r="E1677" s="15">
        <v>74471745</v>
      </c>
      <c r="F1677" s="15">
        <v>1882</v>
      </c>
      <c r="G1677" s="8" t="s">
        <v>12324</v>
      </c>
      <c r="H1677" s="24" t="s">
        <v>662</v>
      </c>
      <c r="I1677" s="25" t="s">
        <v>663</v>
      </c>
      <c r="J1677" s="8" t="s">
        <v>664</v>
      </c>
      <c r="K1677" s="8" t="s">
        <v>10040</v>
      </c>
      <c r="L1677" s="15">
        <v>0.35569299999999998</v>
      </c>
      <c r="M1677" s="15">
        <v>0.23343700000000001</v>
      </c>
      <c r="N1677" s="15">
        <v>0.61763586114421931</v>
      </c>
    </row>
    <row r="1678" spans="1:14" x14ac:dyDescent="0.2">
      <c r="A1678" s="2" t="s">
        <v>10069</v>
      </c>
      <c r="B1678" s="15">
        <v>2150</v>
      </c>
      <c r="C1678" s="15">
        <v>16</v>
      </c>
      <c r="D1678" s="15">
        <v>72089512</v>
      </c>
      <c r="E1678" s="15">
        <v>73140781</v>
      </c>
      <c r="F1678" s="15">
        <v>1051</v>
      </c>
      <c r="G1678" s="8" t="s">
        <v>12324</v>
      </c>
      <c r="H1678" s="24" t="s">
        <v>662</v>
      </c>
      <c r="I1678" s="25" t="s">
        <v>663</v>
      </c>
      <c r="J1678" s="8" t="s">
        <v>664</v>
      </c>
      <c r="K1678" s="8" t="s">
        <v>10040</v>
      </c>
      <c r="L1678" s="15">
        <v>0.30386099999999999</v>
      </c>
      <c r="M1678" s="15">
        <v>0.23361999999999999</v>
      </c>
      <c r="N1678" s="15">
        <v>0.61763586114421931</v>
      </c>
    </row>
    <row r="1679" spans="1:14" x14ac:dyDescent="0.2">
      <c r="A1679" s="2" t="s">
        <v>10066</v>
      </c>
      <c r="B1679" s="15">
        <v>724</v>
      </c>
      <c r="C1679" s="15">
        <v>4</v>
      </c>
      <c r="D1679" s="15">
        <v>135809543</v>
      </c>
      <c r="E1679" s="15">
        <v>137400031</v>
      </c>
      <c r="F1679" s="15">
        <v>3954</v>
      </c>
      <c r="G1679" s="8" t="s">
        <v>12324</v>
      </c>
      <c r="H1679" s="24" t="s">
        <v>3164</v>
      </c>
      <c r="I1679" s="25" t="s">
        <v>3165</v>
      </c>
      <c r="J1679" s="8" t="s">
        <v>3166</v>
      </c>
      <c r="K1679" s="8" t="s">
        <v>10042</v>
      </c>
      <c r="L1679" s="15">
        <v>0.38850299999999999</v>
      </c>
      <c r="M1679" s="15">
        <v>0.233685</v>
      </c>
      <c r="N1679" s="15">
        <v>0.61763586114421931</v>
      </c>
    </row>
    <row r="1680" spans="1:14" x14ac:dyDescent="0.2">
      <c r="A1680" s="2" t="s">
        <v>10066</v>
      </c>
      <c r="B1680" s="15">
        <v>1868</v>
      </c>
      <c r="C1680" s="15">
        <v>13</v>
      </c>
      <c r="D1680" s="15">
        <v>23729050</v>
      </c>
      <c r="E1680" s="15">
        <v>24818333</v>
      </c>
      <c r="F1680" s="15">
        <v>4067</v>
      </c>
      <c r="G1680" s="8" t="s">
        <v>12324</v>
      </c>
      <c r="H1680" s="24" t="s">
        <v>6008</v>
      </c>
      <c r="I1680" s="25" t="s">
        <v>6009</v>
      </c>
      <c r="J1680" s="8" t="s">
        <v>6010</v>
      </c>
      <c r="K1680" s="8" t="s">
        <v>10051</v>
      </c>
      <c r="L1680" s="15">
        <v>0.21019499999999999</v>
      </c>
      <c r="M1680" s="15">
        <v>0.23334099999999999</v>
      </c>
      <c r="N1680" s="15">
        <v>0.61763586114421931</v>
      </c>
    </row>
    <row r="1681" spans="1:14" x14ac:dyDescent="0.2">
      <c r="A1681" s="2" t="s">
        <v>10068</v>
      </c>
      <c r="B1681" s="15">
        <v>1541</v>
      </c>
      <c r="C1681" s="15">
        <v>10</v>
      </c>
      <c r="D1681" s="15">
        <v>58809134</v>
      </c>
      <c r="E1681" s="15">
        <v>59822946</v>
      </c>
      <c r="F1681" s="15">
        <v>3586</v>
      </c>
      <c r="G1681" s="8" t="s">
        <v>12324</v>
      </c>
      <c r="H1681" s="24" t="s">
        <v>494</v>
      </c>
      <c r="I1681" s="25">
        <v>25920</v>
      </c>
      <c r="J1681" s="8" t="s">
        <v>496</v>
      </c>
      <c r="K1681" s="8" t="s">
        <v>10040</v>
      </c>
      <c r="L1681" s="15">
        <v>0.52065600000000001</v>
      </c>
      <c r="M1681" s="15">
        <v>0.234406</v>
      </c>
      <c r="N1681" s="15">
        <v>0.61806813912009506</v>
      </c>
    </row>
    <row r="1682" spans="1:14" x14ac:dyDescent="0.2">
      <c r="A1682" s="2" t="s">
        <v>10068</v>
      </c>
      <c r="B1682" s="15">
        <v>46</v>
      </c>
      <c r="C1682" s="15">
        <v>1</v>
      </c>
      <c r="D1682" s="15">
        <v>53114187</v>
      </c>
      <c r="E1682" s="15">
        <v>54771293</v>
      </c>
      <c r="F1682" s="15">
        <v>4133</v>
      </c>
      <c r="G1682" s="8" t="s">
        <v>12324</v>
      </c>
      <c r="H1682" s="24" t="s">
        <v>599</v>
      </c>
      <c r="I1682" s="25">
        <v>26562</v>
      </c>
      <c r="J1682" s="8" t="s">
        <v>601</v>
      </c>
      <c r="K1682" s="8" t="s">
        <v>10040</v>
      </c>
      <c r="L1682" s="15">
        <v>0.27893299999999999</v>
      </c>
      <c r="M1682" s="15">
        <v>0.23415900000000001</v>
      </c>
      <c r="N1682" s="15">
        <v>0.61806813912009506</v>
      </c>
    </row>
    <row r="1683" spans="1:14" x14ac:dyDescent="0.2">
      <c r="A1683" s="2" t="s">
        <v>10068</v>
      </c>
      <c r="B1683" s="15">
        <v>1421</v>
      </c>
      <c r="C1683" s="15">
        <v>9</v>
      </c>
      <c r="D1683" s="15">
        <v>74950319</v>
      </c>
      <c r="E1683" s="15">
        <v>76197744</v>
      </c>
      <c r="F1683" s="15">
        <v>2721</v>
      </c>
      <c r="G1683" s="8" t="s">
        <v>12324</v>
      </c>
      <c r="H1683" s="24" t="s">
        <v>599</v>
      </c>
      <c r="I1683" s="25">
        <v>26562</v>
      </c>
      <c r="J1683" s="8" t="s">
        <v>601</v>
      </c>
      <c r="K1683" s="8" t="s">
        <v>10040</v>
      </c>
      <c r="L1683" s="15">
        <v>0.35518300000000003</v>
      </c>
      <c r="M1683" s="15">
        <v>0.23435800000000001</v>
      </c>
      <c r="N1683" s="15">
        <v>0.61806813912009506</v>
      </c>
    </row>
    <row r="1684" spans="1:14" x14ac:dyDescent="0.2">
      <c r="A1684" s="2" t="s">
        <v>10066</v>
      </c>
      <c r="B1684" s="15">
        <v>774</v>
      </c>
      <c r="C1684" s="15">
        <v>4</v>
      </c>
      <c r="D1684" s="15">
        <v>189899574</v>
      </c>
      <c r="E1684" s="15">
        <v>191043880</v>
      </c>
      <c r="F1684" s="15">
        <v>3383</v>
      </c>
      <c r="G1684" s="8" t="s">
        <v>12324</v>
      </c>
      <c r="H1684" s="24" t="s">
        <v>6008</v>
      </c>
      <c r="I1684" s="25" t="s">
        <v>6009</v>
      </c>
      <c r="J1684" s="8" t="s">
        <v>6010</v>
      </c>
      <c r="K1684" s="8" t="s">
        <v>10051</v>
      </c>
      <c r="L1684" s="15">
        <v>0.21931300000000001</v>
      </c>
      <c r="M1684" s="15">
        <v>0.23433899999999999</v>
      </c>
      <c r="N1684" s="15">
        <v>0.61806813912009506</v>
      </c>
    </row>
    <row r="1685" spans="1:14" x14ac:dyDescent="0.2">
      <c r="A1685" s="2" t="s">
        <v>10068</v>
      </c>
      <c r="B1685" s="15">
        <v>297</v>
      </c>
      <c r="C1685" s="15">
        <v>2</v>
      </c>
      <c r="D1685" s="15">
        <v>100202437</v>
      </c>
      <c r="E1685" s="15">
        <v>101556799</v>
      </c>
      <c r="F1685" s="15">
        <v>3610</v>
      </c>
      <c r="G1685" s="8" t="s">
        <v>12324</v>
      </c>
      <c r="H1685" s="24" t="s">
        <v>6565</v>
      </c>
      <c r="I1685" s="25" t="s">
        <v>6475</v>
      </c>
      <c r="J1685" s="8" t="s">
        <v>6566</v>
      </c>
      <c r="K1685" s="8" t="s">
        <v>10054</v>
      </c>
      <c r="L1685" s="15">
        <v>0.431066</v>
      </c>
      <c r="M1685" s="15">
        <v>0.23514699999999999</v>
      </c>
      <c r="N1685" s="15">
        <v>0.61965356209150324</v>
      </c>
    </row>
    <row r="1686" spans="1:14" x14ac:dyDescent="0.2">
      <c r="A1686" s="2" t="s">
        <v>10068</v>
      </c>
      <c r="B1686" s="15">
        <v>2406</v>
      </c>
      <c r="C1686" s="15">
        <v>20</v>
      </c>
      <c r="D1686" s="15">
        <v>42185672</v>
      </c>
      <c r="E1686" s="15">
        <v>43008890</v>
      </c>
      <c r="F1686" s="15">
        <v>2081</v>
      </c>
      <c r="G1686" s="8" t="s">
        <v>12324</v>
      </c>
      <c r="H1686" s="24" t="s">
        <v>494</v>
      </c>
      <c r="I1686" s="25">
        <v>25920</v>
      </c>
      <c r="J1686" s="8" t="s">
        <v>496</v>
      </c>
      <c r="K1686" s="8" t="s">
        <v>10040</v>
      </c>
      <c r="L1686" s="15">
        <v>-0.234485</v>
      </c>
      <c r="M1686" s="15">
        <v>0.23605699999999999</v>
      </c>
      <c r="N1686" s="15">
        <v>0.62089737884160767</v>
      </c>
    </row>
    <row r="1687" spans="1:14" x14ac:dyDescent="0.2">
      <c r="A1687" s="2" t="s">
        <v>10068</v>
      </c>
      <c r="B1687" s="15">
        <v>35</v>
      </c>
      <c r="C1687" s="15">
        <v>1</v>
      </c>
      <c r="D1687" s="15">
        <v>36855140</v>
      </c>
      <c r="E1687" s="15">
        <v>38474036</v>
      </c>
      <c r="F1687" s="15">
        <v>3897</v>
      </c>
      <c r="G1687" s="8" t="s">
        <v>12324</v>
      </c>
      <c r="H1687" s="24" t="s">
        <v>494</v>
      </c>
      <c r="I1687" s="25">
        <v>25920</v>
      </c>
      <c r="J1687" s="8" t="s">
        <v>496</v>
      </c>
      <c r="K1687" s="8" t="s">
        <v>10040</v>
      </c>
      <c r="L1687" s="15">
        <v>0.27487499999999998</v>
      </c>
      <c r="M1687" s="15">
        <v>0.23653199999999999</v>
      </c>
      <c r="N1687" s="15">
        <v>0.62089737884160767</v>
      </c>
    </row>
    <row r="1688" spans="1:14" x14ac:dyDescent="0.2">
      <c r="A1688" s="2" t="s">
        <v>10068</v>
      </c>
      <c r="B1688" s="15">
        <v>2472</v>
      </c>
      <c r="C1688" s="15">
        <v>22</v>
      </c>
      <c r="D1688" s="15">
        <v>27192924</v>
      </c>
      <c r="E1688" s="15">
        <v>27952441</v>
      </c>
      <c r="F1688" s="15">
        <v>2882</v>
      </c>
      <c r="G1688" s="8" t="s">
        <v>12324</v>
      </c>
      <c r="H1688" s="24" t="s">
        <v>494</v>
      </c>
      <c r="I1688" s="25">
        <v>25920</v>
      </c>
      <c r="J1688" s="8" t="s">
        <v>496</v>
      </c>
      <c r="K1688" s="8" t="s">
        <v>10040</v>
      </c>
      <c r="L1688" s="15">
        <v>0.205342</v>
      </c>
      <c r="M1688" s="15">
        <v>0.236794</v>
      </c>
      <c r="N1688" s="15">
        <v>0.62089737884160767</v>
      </c>
    </row>
    <row r="1689" spans="1:14" x14ac:dyDescent="0.2">
      <c r="A1689" s="2" t="s">
        <v>10069</v>
      </c>
      <c r="B1689" s="15">
        <v>1602</v>
      </c>
      <c r="C1689" s="15">
        <v>10</v>
      </c>
      <c r="D1689" s="15">
        <v>129134739</v>
      </c>
      <c r="E1689" s="15">
        <v>129831969</v>
      </c>
      <c r="F1689" s="15">
        <v>2067</v>
      </c>
      <c r="G1689" s="8" t="s">
        <v>12324</v>
      </c>
      <c r="H1689" s="24" t="s">
        <v>662</v>
      </c>
      <c r="I1689" s="25" t="s">
        <v>663</v>
      </c>
      <c r="J1689" s="8" t="s">
        <v>664</v>
      </c>
      <c r="K1689" s="8" t="s">
        <v>10040</v>
      </c>
      <c r="L1689" s="15">
        <v>0.50417500000000004</v>
      </c>
      <c r="M1689" s="15">
        <v>0.23687900000000001</v>
      </c>
      <c r="N1689" s="15">
        <v>0.62089737884160767</v>
      </c>
    </row>
    <row r="1690" spans="1:14" x14ac:dyDescent="0.2">
      <c r="A1690" s="2" t="s">
        <v>10068</v>
      </c>
      <c r="B1690" s="15">
        <v>2388</v>
      </c>
      <c r="C1690" s="15">
        <v>20</v>
      </c>
      <c r="D1690" s="15">
        <v>17359291</v>
      </c>
      <c r="E1690" s="15">
        <v>18058524</v>
      </c>
      <c r="F1690" s="15">
        <v>2248</v>
      </c>
      <c r="G1690" s="8" t="s">
        <v>12324</v>
      </c>
      <c r="H1690" s="24" t="s">
        <v>1259</v>
      </c>
      <c r="I1690" s="25">
        <v>27096</v>
      </c>
      <c r="J1690" s="8" t="s">
        <v>1261</v>
      </c>
      <c r="K1690" s="8" t="s">
        <v>10040</v>
      </c>
      <c r="L1690" s="15">
        <v>0.255409</v>
      </c>
      <c r="M1690" s="15">
        <v>0.236009</v>
      </c>
      <c r="N1690" s="15">
        <v>0.62089737884160767</v>
      </c>
    </row>
    <row r="1691" spans="1:14" x14ac:dyDescent="0.2">
      <c r="A1691" s="2" t="s">
        <v>10066</v>
      </c>
      <c r="B1691" s="15">
        <v>2389</v>
      </c>
      <c r="C1691" s="15">
        <v>20</v>
      </c>
      <c r="D1691" s="15">
        <v>18058525</v>
      </c>
      <c r="E1691" s="15">
        <v>18959419</v>
      </c>
      <c r="F1691" s="15">
        <v>2847</v>
      </c>
      <c r="G1691" s="8" t="s">
        <v>12324</v>
      </c>
      <c r="H1691" s="24" t="s">
        <v>3164</v>
      </c>
      <c r="I1691" s="25" t="s">
        <v>3165</v>
      </c>
      <c r="J1691" s="8" t="s">
        <v>3166</v>
      </c>
      <c r="K1691" s="8" t="s">
        <v>10042</v>
      </c>
      <c r="L1691" s="15">
        <v>0.339536</v>
      </c>
      <c r="M1691" s="15">
        <v>0.23683100000000001</v>
      </c>
      <c r="N1691" s="15">
        <v>0.62089737884160767</v>
      </c>
    </row>
    <row r="1692" spans="1:14" x14ac:dyDescent="0.2">
      <c r="A1692" s="2" t="s">
        <v>10066</v>
      </c>
      <c r="B1692" s="15">
        <v>442</v>
      </c>
      <c r="C1692" s="15">
        <v>3</v>
      </c>
      <c r="D1692" s="15">
        <v>21790868</v>
      </c>
      <c r="E1692" s="15">
        <v>22648001</v>
      </c>
      <c r="F1692" s="15">
        <v>3541</v>
      </c>
      <c r="G1692" s="8" t="s">
        <v>12324</v>
      </c>
      <c r="H1692" s="24" t="s">
        <v>6008</v>
      </c>
      <c r="I1692" s="25" t="s">
        <v>6009</v>
      </c>
      <c r="J1692" s="8" t="s">
        <v>6010</v>
      </c>
      <c r="K1692" s="8" t="s">
        <v>10051</v>
      </c>
      <c r="L1692" s="15">
        <v>-0.230516</v>
      </c>
      <c r="M1692" s="15">
        <v>0.23672199999999999</v>
      </c>
      <c r="N1692" s="15">
        <v>0.62089737884160767</v>
      </c>
    </row>
    <row r="1693" spans="1:14" x14ac:dyDescent="0.2">
      <c r="A1693" s="2" t="s">
        <v>10066</v>
      </c>
      <c r="B1693" s="15">
        <v>2058</v>
      </c>
      <c r="C1693" s="15">
        <v>15</v>
      </c>
      <c r="D1693" s="15">
        <v>51605478</v>
      </c>
      <c r="E1693" s="15">
        <v>53263126</v>
      </c>
      <c r="F1693" s="15">
        <v>3818</v>
      </c>
      <c r="G1693" s="8" t="s">
        <v>12324</v>
      </c>
      <c r="H1693" s="24" t="s">
        <v>6008</v>
      </c>
      <c r="I1693" s="25" t="s">
        <v>6009</v>
      </c>
      <c r="J1693" s="8" t="s">
        <v>6010</v>
      </c>
      <c r="K1693" s="8" t="s">
        <v>10051</v>
      </c>
      <c r="L1693" s="15">
        <v>0.247615</v>
      </c>
      <c r="M1693" s="15">
        <v>0.23683999999999999</v>
      </c>
      <c r="N1693" s="15">
        <v>0.62089737884160767</v>
      </c>
    </row>
    <row r="1694" spans="1:14" x14ac:dyDescent="0.2">
      <c r="A1694" s="2" t="s">
        <v>10068</v>
      </c>
      <c r="B1694" s="15">
        <v>756</v>
      </c>
      <c r="C1694" s="15">
        <v>4</v>
      </c>
      <c r="D1694" s="15">
        <v>174470207</v>
      </c>
      <c r="E1694" s="15">
        <v>175295842</v>
      </c>
      <c r="F1694" s="15">
        <v>2079</v>
      </c>
      <c r="G1694" s="8" t="s">
        <v>12324</v>
      </c>
      <c r="H1694" s="24" t="s">
        <v>6565</v>
      </c>
      <c r="I1694" s="25" t="s">
        <v>6475</v>
      </c>
      <c r="J1694" s="8" t="s">
        <v>6566</v>
      </c>
      <c r="K1694" s="8" t="s">
        <v>10054</v>
      </c>
      <c r="L1694" s="15">
        <v>0.33813799999999999</v>
      </c>
      <c r="M1694" s="15">
        <v>0.236738</v>
      </c>
      <c r="N1694" s="15">
        <v>0.62089737884160767</v>
      </c>
    </row>
    <row r="1695" spans="1:14" x14ac:dyDescent="0.2">
      <c r="A1695" s="2" t="s">
        <v>10068</v>
      </c>
      <c r="B1695" s="15">
        <v>1142</v>
      </c>
      <c r="C1695" s="15">
        <v>7</v>
      </c>
      <c r="D1695" s="15">
        <v>46247336</v>
      </c>
      <c r="E1695" s="15">
        <v>47253454</v>
      </c>
      <c r="F1695" s="15">
        <v>3298</v>
      </c>
      <c r="G1695" s="8" t="s">
        <v>12324</v>
      </c>
      <c r="H1695" s="24" t="s">
        <v>494</v>
      </c>
      <c r="I1695" s="25">
        <v>25920</v>
      </c>
      <c r="J1695" s="8" t="s">
        <v>496</v>
      </c>
      <c r="K1695" s="8" t="s">
        <v>10040</v>
      </c>
      <c r="L1695" s="15">
        <v>0.43181999999999998</v>
      </c>
      <c r="M1695" s="15">
        <v>0.23777899999999999</v>
      </c>
      <c r="N1695" s="15">
        <v>0.62193387844979442</v>
      </c>
    </row>
    <row r="1696" spans="1:14" x14ac:dyDescent="0.2">
      <c r="A1696" s="2" t="s">
        <v>10068</v>
      </c>
      <c r="B1696" s="15">
        <v>1087</v>
      </c>
      <c r="C1696" s="15">
        <v>6</v>
      </c>
      <c r="D1696" s="15">
        <v>163336362</v>
      </c>
      <c r="E1696" s="15">
        <v>164687462</v>
      </c>
      <c r="F1696" s="15">
        <v>4131</v>
      </c>
      <c r="G1696" s="8" t="s">
        <v>12324</v>
      </c>
      <c r="H1696" s="24" t="s">
        <v>494</v>
      </c>
      <c r="I1696" s="25">
        <v>25920</v>
      </c>
      <c r="J1696" s="8" t="s">
        <v>496</v>
      </c>
      <c r="K1696" s="8" t="s">
        <v>10040</v>
      </c>
      <c r="L1696" s="15">
        <v>0.21224599999999999</v>
      </c>
      <c r="M1696" s="15">
        <v>0.238265</v>
      </c>
      <c r="N1696" s="15">
        <v>0.62193387844979442</v>
      </c>
    </row>
    <row r="1697" spans="1:14" x14ac:dyDescent="0.2">
      <c r="A1697" s="2" t="s">
        <v>10068</v>
      </c>
      <c r="B1697" s="15">
        <v>2361</v>
      </c>
      <c r="C1697" s="15">
        <v>19</v>
      </c>
      <c r="D1697" s="15">
        <v>53431218</v>
      </c>
      <c r="E1697" s="15">
        <v>54042240</v>
      </c>
      <c r="F1697" s="15">
        <v>2842</v>
      </c>
      <c r="G1697" s="8" t="s">
        <v>12324</v>
      </c>
      <c r="H1697" s="24" t="s">
        <v>599</v>
      </c>
      <c r="I1697" s="25">
        <v>26562</v>
      </c>
      <c r="J1697" s="8" t="s">
        <v>601</v>
      </c>
      <c r="K1697" s="8" t="s">
        <v>10040</v>
      </c>
      <c r="L1697" s="15">
        <v>0.24552099999999999</v>
      </c>
      <c r="M1697" s="15">
        <v>0.238009</v>
      </c>
      <c r="N1697" s="15">
        <v>0.62193387844979442</v>
      </c>
    </row>
    <row r="1698" spans="1:14" x14ac:dyDescent="0.2">
      <c r="A1698" s="2" t="s">
        <v>10068</v>
      </c>
      <c r="B1698" s="15">
        <v>154</v>
      </c>
      <c r="C1698" s="15">
        <v>1</v>
      </c>
      <c r="D1698" s="15">
        <v>200134006</v>
      </c>
      <c r="E1698" s="15">
        <v>201067952</v>
      </c>
      <c r="F1698" s="15">
        <v>2432</v>
      </c>
      <c r="G1698" s="8" t="s">
        <v>12324</v>
      </c>
      <c r="H1698" s="24" t="s">
        <v>599</v>
      </c>
      <c r="I1698" s="25">
        <v>26562</v>
      </c>
      <c r="J1698" s="8" t="s">
        <v>601</v>
      </c>
      <c r="K1698" s="8" t="s">
        <v>10040</v>
      </c>
      <c r="L1698" s="15">
        <v>0.24177799999999999</v>
      </c>
      <c r="M1698" s="15">
        <v>0.238287</v>
      </c>
      <c r="N1698" s="15">
        <v>0.62193387844979442</v>
      </c>
    </row>
    <row r="1699" spans="1:14" x14ac:dyDescent="0.2">
      <c r="A1699" s="2" t="s">
        <v>10069</v>
      </c>
      <c r="B1699" s="15">
        <v>903</v>
      </c>
      <c r="C1699" s="15">
        <v>5</v>
      </c>
      <c r="D1699" s="15">
        <v>153734495</v>
      </c>
      <c r="E1699" s="15">
        <v>154599750</v>
      </c>
      <c r="F1699" s="15">
        <v>1327</v>
      </c>
      <c r="G1699" s="8" t="s">
        <v>12324</v>
      </c>
      <c r="H1699" s="24" t="s">
        <v>662</v>
      </c>
      <c r="I1699" s="25" t="s">
        <v>663</v>
      </c>
      <c r="J1699" s="8" t="s">
        <v>664</v>
      </c>
      <c r="K1699" s="8" t="s">
        <v>10040</v>
      </c>
      <c r="L1699" s="15">
        <v>-0.39782299999999998</v>
      </c>
      <c r="M1699" s="15">
        <v>0.238091</v>
      </c>
      <c r="N1699" s="15">
        <v>0.62193387844979442</v>
      </c>
    </row>
    <row r="1700" spans="1:14" x14ac:dyDescent="0.2">
      <c r="A1700" s="2" t="s">
        <v>10068</v>
      </c>
      <c r="B1700" s="15">
        <v>1457</v>
      </c>
      <c r="C1700" s="15">
        <v>9</v>
      </c>
      <c r="D1700" s="15">
        <v>112865521</v>
      </c>
      <c r="E1700" s="15">
        <v>113646149</v>
      </c>
      <c r="F1700" s="15">
        <v>2561</v>
      </c>
      <c r="G1700" s="8" t="s">
        <v>12324</v>
      </c>
      <c r="H1700" s="24" t="s">
        <v>1259</v>
      </c>
      <c r="I1700" s="25">
        <v>27096</v>
      </c>
      <c r="J1700" s="8" t="s">
        <v>1261</v>
      </c>
      <c r="K1700" s="8" t="s">
        <v>10040</v>
      </c>
      <c r="L1700" s="15">
        <v>-0.31800699999999998</v>
      </c>
      <c r="M1700" s="15">
        <v>0.238817</v>
      </c>
      <c r="N1700" s="15">
        <v>0.62193387844979442</v>
      </c>
    </row>
    <row r="1701" spans="1:14" x14ac:dyDescent="0.2">
      <c r="A1701" s="2" t="s">
        <v>10066</v>
      </c>
      <c r="B1701" s="15">
        <v>407</v>
      </c>
      <c r="C1701" s="15">
        <v>2</v>
      </c>
      <c r="D1701" s="15">
        <v>230541093</v>
      </c>
      <c r="E1701" s="15">
        <v>231847386</v>
      </c>
      <c r="F1701" s="15">
        <v>3644</v>
      </c>
      <c r="G1701" s="8" t="s">
        <v>12324</v>
      </c>
      <c r="H1701" s="24" t="s">
        <v>3164</v>
      </c>
      <c r="I1701" s="25" t="s">
        <v>3165</v>
      </c>
      <c r="J1701" s="8" t="s">
        <v>3166</v>
      </c>
      <c r="K1701" s="8" t="s">
        <v>10042</v>
      </c>
      <c r="L1701" s="15">
        <v>-0.24812699999999999</v>
      </c>
      <c r="M1701" s="15">
        <v>0.23852799999999999</v>
      </c>
      <c r="N1701" s="15">
        <v>0.62193387844979442</v>
      </c>
    </row>
    <row r="1702" spans="1:14" x14ac:dyDescent="0.2">
      <c r="A1702" s="2" t="s">
        <v>10066</v>
      </c>
      <c r="B1702" s="15">
        <v>1759</v>
      </c>
      <c r="C1702" s="15">
        <v>12</v>
      </c>
      <c r="D1702" s="15">
        <v>19532766</v>
      </c>
      <c r="E1702" s="15">
        <v>20074930</v>
      </c>
      <c r="F1702" s="15">
        <v>2362</v>
      </c>
      <c r="G1702" s="8" t="s">
        <v>12324</v>
      </c>
      <c r="H1702" s="24" t="s">
        <v>3164</v>
      </c>
      <c r="I1702" s="25" t="s">
        <v>3165</v>
      </c>
      <c r="J1702" s="8" t="s">
        <v>3166</v>
      </c>
      <c r="K1702" s="8" t="s">
        <v>10042</v>
      </c>
      <c r="L1702" s="15">
        <v>0.43959799999999999</v>
      </c>
      <c r="M1702" s="15">
        <v>0.23857700000000001</v>
      </c>
      <c r="N1702" s="15">
        <v>0.62193387844979442</v>
      </c>
    </row>
    <row r="1703" spans="1:14" x14ac:dyDescent="0.2">
      <c r="A1703" s="2" t="s">
        <v>10066</v>
      </c>
      <c r="B1703" s="15">
        <v>1910</v>
      </c>
      <c r="C1703" s="15">
        <v>13</v>
      </c>
      <c r="D1703" s="15">
        <v>70427881</v>
      </c>
      <c r="E1703" s="15">
        <v>71010208</v>
      </c>
      <c r="F1703" s="15">
        <v>2112</v>
      </c>
      <c r="G1703" s="8" t="s">
        <v>12324</v>
      </c>
      <c r="H1703" s="24" t="s">
        <v>3164</v>
      </c>
      <c r="I1703" s="25" t="s">
        <v>3165</v>
      </c>
      <c r="J1703" s="8" t="s">
        <v>3166</v>
      </c>
      <c r="K1703" s="8" t="s">
        <v>10042</v>
      </c>
      <c r="L1703" s="15">
        <v>-0.39550999999999997</v>
      </c>
      <c r="M1703" s="15">
        <v>0.23866000000000001</v>
      </c>
      <c r="N1703" s="15">
        <v>0.62193387844979442</v>
      </c>
    </row>
    <row r="1704" spans="1:14" x14ac:dyDescent="0.2">
      <c r="A1704" s="2" t="s">
        <v>10068</v>
      </c>
      <c r="B1704" s="15">
        <v>1026</v>
      </c>
      <c r="C1704" s="15">
        <v>6</v>
      </c>
      <c r="D1704" s="15">
        <v>93696826</v>
      </c>
      <c r="E1704" s="15">
        <v>95176337</v>
      </c>
      <c r="F1704" s="15">
        <v>3878</v>
      </c>
      <c r="G1704" s="8" t="s">
        <v>12324</v>
      </c>
      <c r="H1704" s="24" t="s">
        <v>6565</v>
      </c>
      <c r="I1704" s="25" t="s">
        <v>6475</v>
      </c>
      <c r="J1704" s="8" t="s">
        <v>6566</v>
      </c>
      <c r="K1704" s="8" t="s">
        <v>10054</v>
      </c>
      <c r="L1704" s="15">
        <v>-0.27715099999999998</v>
      </c>
      <c r="M1704" s="15">
        <v>0.238371</v>
      </c>
      <c r="N1704" s="15">
        <v>0.62193387844979442</v>
      </c>
    </row>
    <row r="1705" spans="1:14" x14ac:dyDescent="0.2">
      <c r="A1705" s="2" t="s">
        <v>10068</v>
      </c>
      <c r="B1705" s="15">
        <v>25</v>
      </c>
      <c r="C1705" s="15">
        <v>1</v>
      </c>
      <c r="D1705" s="15">
        <v>22740288</v>
      </c>
      <c r="E1705" s="15">
        <v>23907045</v>
      </c>
      <c r="F1705" s="15">
        <v>2339</v>
      </c>
      <c r="G1705" s="8" t="s">
        <v>12324</v>
      </c>
      <c r="H1705" s="24" t="s">
        <v>6565</v>
      </c>
      <c r="I1705" s="25" t="s">
        <v>6475</v>
      </c>
      <c r="J1705" s="8" t="s">
        <v>6566</v>
      </c>
      <c r="K1705" s="8" t="s">
        <v>10054</v>
      </c>
      <c r="L1705" s="15">
        <v>-0.29068300000000002</v>
      </c>
      <c r="M1705" s="15">
        <v>0.23879</v>
      </c>
      <c r="N1705" s="15">
        <v>0.62193387844979442</v>
      </c>
    </row>
    <row r="1706" spans="1:14" x14ac:dyDescent="0.2">
      <c r="A1706" s="2" t="s">
        <v>10068</v>
      </c>
      <c r="B1706" s="15">
        <v>1824</v>
      </c>
      <c r="C1706" s="15">
        <v>12</v>
      </c>
      <c r="D1706" s="15">
        <v>93487548</v>
      </c>
      <c r="E1706" s="15">
        <v>94385884</v>
      </c>
      <c r="F1706" s="15">
        <v>2239</v>
      </c>
      <c r="G1706" s="8" t="s">
        <v>12324</v>
      </c>
      <c r="H1706" s="24" t="s">
        <v>494</v>
      </c>
      <c r="I1706" s="25">
        <v>25920</v>
      </c>
      <c r="J1706" s="8" t="s">
        <v>496</v>
      </c>
      <c r="K1706" s="8" t="s">
        <v>10040</v>
      </c>
      <c r="L1706" s="15">
        <v>0.27904000000000001</v>
      </c>
      <c r="M1706" s="15">
        <v>0.23916599999999999</v>
      </c>
      <c r="N1706" s="15">
        <v>0.62247723591549298</v>
      </c>
    </row>
    <row r="1707" spans="1:14" x14ac:dyDescent="0.2">
      <c r="A1707" s="2" t="s">
        <v>10068</v>
      </c>
      <c r="B1707" s="15">
        <v>1191</v>
      </c>
      <c r="C1707" s="15">
        <v>7</v>
      </c>
      <c r="D1707" s="15">
        <v>105312564</v>
      </c>
      <c r="E1707" s="15">
        <v>106399739</v>
      </c>
      <c r="F1707" s="15">
        <v>3039</v>
      </c>
      <c r="G1707" s="8" t="s">
        <v>12324</v>
      </c>
      <c r="H1707" s="24" t="s">
        <v>1259</v>
      </c>
      <c r="I1707" s="25">
        <v>27096</v>
      </c>
      <c r="J1707" s="8" t="s">
        <v>1261</v>
      </c>
      <c r="K1707" s="8" t="s">
        <v>10040</v>
      </c>
      <c r="L1707" s="15">
        <v>-0.191999</v>
      </c>
      <c r="M1707" s="15">
        <v>0.239339</v>
      </c>
      <c r="N1707" s="15">
        <v>0.62256214956011724</v>
      </c>
    </row>
    <row r="1708" spans="1:14" x14ac:dyDescent="0.2">
      <c r="A1708" s="2" t="s">
        <v>10069</v>
      </c>
      <c r="B1708" s="15">
        <v>2413</v>
      </c>
      <c r="C1708" s="15">
        <v>20</v>
      </c>
      <c r="D1708" s="15">
        <v>49236419</v>
      </c>
      <c r="E1708" s="15">
        <v>50653620</v>
      </c>
      <c r="F1708" s="15">
        <v>2706</v>
      </c>
      <c r="G1708" s="8" t="s">
        <v>12324</v>
      </c>
      <c r="H1708" s="24" t="s">
        <v>662</v>
      </c>
      <c r="I1708" s="25" t="s">
        <v>663</v>
      </c>
      <c r="J1708" s="8" t="s">
        <v>664</v>
      </c>
      <c r="K1708" s="8" t="s">
        <v>10040</v>
      </c>
      <c r="L1708" s="15">
        <v>0.26637899999999998</v>
      </c>
      <c r="M1708" s="15">
        <v>0.240067</v>
      </c>
      <c r="N1708" s="15">
        <v>0.6236751169590643</v>
      </c>
    </row>
    <row r="1709" spans="1:14" x14ac:dyDescent="0.2">
      <c r="A1709" s="2" t="s">
        <v>10069</v>
      </c>
      <c r="B1709" s="15">
        <v>727</v>
      </c>
      <c r="C1709" s="15">
        <v>4</v>
      </c>
      <c r="D1709" s="15">
        <v>139553761</v>
      </c>
      <c r="E1709" s="15">
        <v>141087047</v>
      </c>
      <c r="F1709" s="15">
        <v>2355</v>
      </c>
      <c r="G1709" s="8" t="s">
        <v>12324</v>
      </c>
      <c r="H1709" s="24" t="s">
        <v>662</v>
      </c>
      <c r="I1709" s="25" t="s">
        <v>663</v>
      </c>
      <c r="J1709" s="8" t="s">
        <v>664</v>
      </c>
      <c r="K1709" s="8" t="s">
        <v>10040</v>
      </c>
      <c r="L1709" s="15">
        <v>0.32046400000000003</v>
      </c>
      <c r="M1709" s="15">
        <v>0.24033399999999999</v>
      </c>
      <c r="N1709" s="15">
        <v>0.6236751169590643</v>
      </c>
    </row>
    <row r="1710" spans="1:14" x14ac:dyDescent="0.2">
      <c r="A1710" s="2" t="s">
        <v>10069</v>
      </c>
      <c r="B1710" s="15">
        <v>2284</v>
      </c>
      <c r="C1710" s="15">
        <v>18</v>
      </c>
      <c r="D1710" s="15">
        <v>55809316</v>
      </c>
      <c r="E1710" s="15">
        <v>56832312</v>
      </c>
      <c r="F1710" s="15">
        <v>2020</v>
      </c>
      <c r="G1710" s="8" t="s">
        <v>12324</v>
      </c>
      <c r="H1710" s="24" t="s">
        <v>662</v>
      </c>
      <c r="I1710" s="25" t="s">
        <v>663</v>
      </c>
      <c r="J1710" s="8" t="s">
        <v>664</v>
      </c>
      <c r="K1710" s="8" t="s">
        <v>10040</v>
      </c>
      <c r="L1710" s="15">
        <v>-0.38111699999999998</v>
      </c>
      <c r="M1710" s="15">
        <v>0.24046999999999999</v>
      </c>
      <c r="N1710" s="15">
        <v>0.6236751169590643</v>
      </c>
    </row>
    <row r="1711" spans="1:14" x14ac:dyDescent="0.2">
      <c r="A1711" s="2" t="s">
        <v>10066</v>
      </c>
      <c r="B1711" s="15">
        <v>1461</v>
      </c>
      <c r="C1711" s="15">
        <v>9</v>
      </c>
      <c r="D1711" s="15">
        <v>116159541</v>
      </c>
      <c r="E1711" s="15">
        <v>117054909</v>
      </c>
      <c r="F1711" s="15">
        <v>2413</v>
      </c>
      <c r="G1711" s="8" t="s">
        <v>12324</v>
      </c>
      <c r="H1711" s="24" t="s">
        <v>6008</v>
      </c>
      <c r="I1711" s="25" t="s">
        <v>6009</v>
      </c>
      <c r="J1711" s="8" t="s">
        <v>6010</v>
      </c>
      <c r="K1711" s="8" t="s">
        <v>10051</v>
      </c>
      <c r="L1711" s="15">
        <v>-0.15790000000000001</v>
      </c>
      <c r="M1711" s="15">
        <v>0.240061</v>
      </c>
      <c r="N1711" s="15">
        <v>0.6236751169590643</v>
      </c>
    </row>
    <row r="1712" spans="1:14" x14ac:dyDescent="0.2">
      <c r="A1712" s="2" t="s">
        <v>10068</v>
      </c>
      <c r="B1712" s="15">
        <v>1841</v>
      </c>
      <c r="C1712" s="15">
        <v>12</v>
      </c>
      <c r="D1712" s="15">
        <v>111592382</v>
      </c>
      <c r="E1712" s="15">
        <v>113947983</v>
      </c>
      <c r="F1712" s="15">
        <v>3573</v>
      </c>
      <c r="G1712" s="8" t="s">
        <v>12324</v>
      </c>
      <c r="H1712" s="24" t="s">
        <v>6565</v>
      </c>
      <c r="I1712" s="25" t="s">
        <v>6475</v>
      </c>
      <c r="J1712" s="8" t="s">
        <v>6566</v>
      </c>
      <c r="K1712" s="8" t="s">
        <v>10054</v>
      </c>
      <c r="L1712" s="15">
        <v>-0.221912</v>
      </c>
      <c r="M1712" s="15">
        <v>0.24043999999999999</v>
      </c>
      <c r="N1712" s="15">
        <v>0.6236751169590643</v>
      </c>
    </row>
    <row r="1713" spans="1:14" x14ac:dyDescent="0.2">
      <c r="A1713" s="2" t="s">
        <v>10068</v>
      </c>
      <c r="B1713" s="15">
        <v>2466</v>
      </c>
      <c r="C1713" s="15">
        <v>22</v>
      </c>
      <c r="D1713" s="15">
        <v>20969185</v>
      </c>
      <c r="E1713" s="15">
        <v>22404422</v>
      </c>
      <c r="F1713" s="15">
        <v>2630</v>
      </c>
      <c r="G1713" s="8" t="s">
        <v>12324</v>
      </c>
      <c r="H1713" s="24" t="s">
        <v>6565</v>
      </c>
      <c r="I1713" s="25" t="s">
        <v>6475</v>
      </c>
      <c r="J1713" s="8" t="s">
        <v>6566</v>
      </c>
      <c r="K1713" s="8" t="s">
        <v>10054</v>
      </c>
      <c r="L1713" s="15">
        <v>-0.20729</v>
      </c>
      <c r="M1713" s="15">
        <v>0.24121699999999999</v>
      </c>
      <c r="N1713" s="15">
        <v>0.62524687025131498</v>
      </c>
    </row>
    <row r="1714" spans="1:14" x14ac:dyDescent="0.2">
      <c r="A1714" s="2" t="s">
        <v>10068</v>
      </c>
      <c r="B1714" s="15">
        <v>616</v>
      </c>
      <c r="C1714" s="15">
        <v>4</v>
      </c>
      <c r="D1714" s="15">
        <v>15910802</v>
      </c>
      <c r="E1714" s="15">
        <v>17290236</v>
      </c>
      <c r="F1714" s="15">
        <v>3817</v>
      </c>
      <c r="G1714" s="8" t="s">
        <v>12324</v>
      </c>
      <c r="H1714" s="24" t="s">
        <v>494</v>
      </c>
      <c r="I1714" s="25">
        <v>25920</v>
      </c>
      <c r="J1714" s="8" t="s">
        <v>496</v>
      </c>
      <c r="K1714" s="8" t="s">
        <v>10040</v>
      </c>
      <c r="L1714" s="15">
        <v>-0.259606</v>
      </c>
      <c r="M1714" s="15">
        <v>0.24149999999999999</v>
      </c>
      <c r="N1714" s="15">
        <v>0.62561477803738308</v>
      </c>
    </row>
    <row r="1715" spans="1:14" x14ac:dyDescent="0.2">
      <c r="A1715" s="2" t="s">
        <v>10066</v>
      </c>
      <c r="B1715" s="15">
        <v>1682</v>
      </c>
      <c r="C1715" s="15">
        <v>11</v>
      </c>
      <c r="D1715" s="15">
        <v>75445254</v>
      </c>
      <c r="E1715" s="15">
        <v>76518906</v>
      </c>
      <c r="F1715" s="15">
        <v>2473</v>
      </c>
      <c r="G1715" s="8" t="s">
        <v>12324</v>
      </c>
      <c r="H1715" s="24" t="s">
        <v>6008</v>
      </c>
      <c r="I1715" s="25" t="s">
        <v>6009</v>
      </c>
      <c r="J1715" s="8" t="s">
        <v>6010</v>
      </c>
      <c r="K1715" s="8" t="s">
        <v>10051</v>
      </c>
      <c r="L1715" s="15">
        <v>-0.16264500000000001</v>
      </c>
      <c r="M1715" s="15">
        <v>0.241754</v>
      </c>
      <c r="N1715" s="15">
        <v>0.62590717454757738</v>
      </c>
    </row>
    <row r="1716" spans="1:14" x14ac:dyDescent="0.2">
      <c r="A1716" s="2" t="s">
        <v>10068</v>
      </c>
      <c r="B1716" s="15">
        <v>1969</v>
      </c>
      <c r="C1716" s="15">
        <v>14</v>
      </c>
      <c r="D1716" s="15">
        <v>36422078</v>
      </c>
      <c r="E1716" s="15">
        <v>37282012</v>
      </c>
      <c r="F1716" s="15">
        <v>2211</v>
      </c>
      <c r="G1716" s="8" t="s">
        <v>12324</v>
      </c>
      <c r="H1716" s="24" t="s">
        <v>599</v>
      </c>
      <c r="I1716" s="25">
        <v>26562</v>
      </c>
      <c r="J1716" s="8" t="s">
        <v>601</v>
      </c>
      <c r="K1716" s="8" t="s">
        <v>10040</v>
      </c>
      <c r="L1716" s="15">
        <v>0.26407799999999998</v>
      </c>
      <c r="M1716" s="15">
        <v>0.242232</v>
      </c>
      <c r="N1716" s="15">
        <v>0.62641336443148687</v>
      </c>
    </row>
    <row r="1717" spans="1:14" x14ac:dyDescent="0.2">
      <c r="A1717" s="2" t="s">
        <v>10068</v>
      </c>
      <c r="B1717" s="15">
        <v>2118</v>
      </c>
      <c r="C1717" s="15">
        <v>16</v>
      </c>
      <c r="D1717" s="15">
        <v>13893408</v>
      </c>
      <c r="E1717" s="15">
        <v>15921108</v>
      </c>
      <c r="F1717" s="15">
        <v>3361</v>
      </c>
      <c r="G1717" s="8" t="s">
        <v>12324</v>
      </c>
      <c r="H1717" s="24" t="s">
        <v>1259</v>
      </c>
      <c r="I1717" s="25">
        <v>27096</v>
      </c>
      <c r="J1717" s="8" t="s">
        <v>1261</v>
      </c>
      <c r="K1717" s="8" t="s">
        <v>10040</v>
      </c>
      <c r="L1717" s="15">
        <v>0.25285200000000002</v>
      </c>
      <c r="M1717" s="15">
        <v>0.242172</v>
      </c>
      <c r="N1717" s="15">
        <v>0.62641336443148687</v>
      </c>
    </row>
    <row r="1718" spans="1:14" x14ac:dyDescent="0.2">
      <c r="A1718" s="2" t="s">
        <v>10066</v>
      </c>
      <c r="B1718" s="15">
        <v>2362</v>
      </c>
      <c r="C1718" s="15">
        <v>19</v>
      </c>
      <c r="D1718" s="15">
        <v>54042241</v>
      </c>
      <c r="E1718" s="15">
        <v>54602370</v>
      </c>
      <c r="F1718" s="15">
        <v>2050</v>
      </c>
      <c r="G1718" s="8" t="s">
        <v>12324</v>
      </c>
      <c r="H1718" s="24" t="s">
        <v>6008</v>
      </c>
      <c r="I1718" s="25" t="s">
        <v>6009</v>
      </c>
      <c r="J1718" s="8" t="s">
        <v>6010</v>
      </c>
      <c r="K1718" s="8" t="s">
        <v>10051</v>
      </c>
      <c r="L1718" s="15">
        <v>-0.12776699999999999</v>
      </c>
      <c r="M1718" s="15">
        <v>0.24244199999999999</v>
      </c>
      <c r="N1718" s="15">
        <v>0.62659106643356643</v>
      </c>
    </row>
    <row r="1719" spans="1:14" x14ac:dyDescent="0.2">
      <c r="A1719" s="2" t="s">
        <v>10068</v>
      </c>
      <c r="B1719" s="15">
        <v>1613</v>
      </c>
      <c r="C1719" s="15">
        <v>11</v>
      </c>
      <c r="D1719" s="15">
        <v>2477450</v>
      </c>
      <c r="E1719" s="15">
        <v>3362508</v>
      </c>
      <c r="F1719" s="15">
        <v>2442</v>
      </c>
      <c r="G1719" s="8" t="s">
        <v>12324</v>
      </c>
      <c r="H1719" s="24" t="s">
        <v>599</v>
      </c>
      <c r="I1719" s="25">
        <v>26562</v>
      </c>
      <c r="J1719" s="8" t="s">
        <v>601</v>
      </c>
      <c r="K1719" s="8" t="s">
        <v>10040</v>
      </c>
      <c r="L1719" s="15">
        <v>-0.21290500000000001</v>
      </c>
      <c r="M1719" s="15">
        <v>0.24282999999999999</v>
      </c>
      <c r="N1719" s="15">
        <v>0.62722833430401859</v>
      </c>
    </row>
    <row r="1720" spans="1:14" x14ac:dyDescent="0.2">
      <c r="A1720" s="2" t="s">
        <v>10068</v>
      </c>
      <c r="B1720" s="15">
        <v>1879</v>
      </c>
      <c r="C1720" s="15">
        <v>13</v>
      </c>
      <c r="D1720" s="15">
        <v>36579414</v>
      </c>
      <c r="E1720" s="15">
        <v>37499810</v>
      </c>
      <c r="F1720" s="15">
        <v>2202</v>
      </c>
      <c r="G1720" s="8" t="s">
        <v>12324</v>
      </c>
      <c r="H1720" s="24" t="s">
        <v>494</v>
      </c>
      <c r="I1720" s="25">
        <v>25920</v>
      </c>
      <c r="J1720" s="8" t="s">
        <v>496</v>
      </c>
      <c r="K1720" s="8" t="s">
        <v>10040</v>
      </c>
      <c r="L1720" s="15">
        <v>-0.37009199999999998</v>
      </c>
      <c r="M1720" s="15">
        <v>0.24309700000000001</v>
      </c>
      <c r="N1720" s="15">
        <v>0.62755249999999996</v>
      </c>
    </row>
    <row r="1721" spans="1:14" x14ac:dyDescent="0.2">
      <c r="A1721" s="2" t="s">
        <v>10066</v>
      </c>
      <c r="B1721" s="15">
        <v>2220</v>
      </c>
      <c r="C1721" s="15">
        <v>17</v>
      </c>
      <c r="D1721" s="15">
        <v>62112374</v>
      </c>
      <c r="E1721" s="15">
        <v>63548724</v>
      </c>
      <c r="F1721" s="15">
        <v>2705</v>
      </c>
      <c r="G1721" s="8" t="s">
        <v>12324</v>
      </c>
      <c r="H1721" s="24" t="s">
        <v>3164</v>
      </c>
      <c r="I1721" s="25" t="s">
        <v>3165</v>
      </c>
      <c r="J1721" s="8" t="s">
        <v>3166</v>
      </c>
      <c r="K1721" s="8" t="s">
        <v>10042</v>
      </c>
      <c r="L1721" s="15">
        <v>0.253834</v>
      </c>
      <c r="M1721" s="15">
        <v>0.24337400000000001</v>
      </c>
      <c r="N1721" s="15">
        <v>0.62790208842350204</v>
      </c>
    </row>
    <row r="1722" spans="1:14" x14ac:dyDescent="0.2">
      <c r="A1722" s="2" t="s">
        <v>10068</v>
      </c>
      <c r="B1722" s="15">
        <v>320</v>
      </c>
      <c r="C1722" s="15">
        <v>2</v>
      </c>
      <c r="D1722" s="15">
        <v>127895645</v>
      </c>
      <c r="E1722" s="15">
        <v>129486897</v>
      </c>
      <c r="F1722" s="15">
        <v>4205</v>
      </c>
      <c r="G1722" s="8" t="s">
        <v>12324</v>
      </c>
      <c r="H1722" s="24" t="s">
        <v>599</v>
      </c>
      <c r="I1722" s="25">
        <v>26562</v>
      </c>
      <c r="J1722" s="8" t="s">
        <v>601</v>
      </c>
      <c r="K1722" s="8" t="s">
        <v>10040</v>
      </c>
      <c r="L1722" s="15">
        <v>-0.33445399999999997</v>
      </c>
      <c r="M1722" s="15">
        <v>0.24390200000000001</v>
      </c>
      <c r="N1722" s="15">
        <v>0.62796562681369705</v>
      </c>
    </row>
    <row r="1723" spans="1:14" x14ac:dyDescent="0.2">
      <c r="A1723" s="2" t="s">
        <v>10066</v>
      </c>
      <c r="B1723" s="15">
        <v>1225</v>
      </c>
      <c r="C1723" s="15">
        <v>7</v>
      </c>
      <c r="D1723" s="15">
        <v>152253295</v>
      </c>
      <c r="E1723" s="15">
        <v>153241228</v>
      </c>
      <c r="F1723" s="15">
        <v>3849</v>
      </c>
      <c r="G1723" s="8" t="s">
        <v>12324</v>
      </c>
      <c r="H1723" s="24" t="s">
        <v>3164</v>
      </c>
      <c r="I1723" s="25" t="s">
        <v>3165</v>
      </c>
      <c r="J1723" s="8" t="s">
        <v>3166</v>
      </c>
      <c r="K1723" s="8" t="s">
        <v>10042</v>
      </c>
      <c r="L1723" s="15">
        <v>-0.16313900000000001</v>
      </c>
      <c r="M1723" s="15">
        <v>0.243612</v>
      </c>
      <c r="N1723" s="15">
        <v>0.62796562681369705</v>
      </c>
    </row>
    <row r="1724" spans="1:14" x14ac:dyDescent="0.2">
      <c r="A1724" s="2" t="s">
        <v>10066</v>
      </c>
      <c r="B1724" s="15">
        <v>1414</v>
      </c>
      <c r="C1724" s="15">
        <v>9</v>
      </c>
      <c r="D1724" s="15">
        <v>37687113</v>
      </c>
      <c r="E1724" s="15">
        <v>38822977</v>
      </c>
      <c r="F1724" s="15">
        <v>2968</v>
      </c>
      <c r="G1724" s="8" t="s">
        <v>12324</v>
      </c>
      <c r="H1724" s="24" t="s">
        <v>6008</v>
      </c>
      <c r="I1724" s="25" t="s">
        <v>6009</v>
      </c>
      <c r="J1724" s="8" t="s">
        <v>6010</v>
      </c>
      <c r="K1724" s="8" t="s">
        <v>10051</v>
      </c>
      <c r="L1724" s="15">
        <v>0.182173</v>
      </c>
      <c r="M1724" s="15">
        <v>0.24382200000000001</v>
      </c>
      <c r="N1724" s="15">
        <v>0.62796562681369705</v>
      </c>
    </row>
    <row r="1725" spans="1:14" x14ac:dyDescent="0.2">
      <c r="A1725" s="2" t="s">
        <v>10068</v>
      </c>
      <c r="B1725" s="15">
        <v>1439</v>
      </c>
      <c r="C1725" s="15">
        <v>9</v>
      </c>
      <c r="D1725" s="15">
        <v>94175375</v>
      </c>
      <c r="E1725" s="15">
        <v>94924482</v>
      </c>
      <c r="F1725" s="15">
        <v>2493</v>
      </c>
      <c r="G1725" s="8" t="s">
        <v>12324</v>
      </c>
      <c r="H1725" s="24" t="s">
        <v>6565</v>
      </c>
      <c r="I1725" s="25" t="s">
        <v>6475</v>
      </c>
      <c r="J1725" s="8" t="s">
        <v>6566</v>
      </c>
      <c r="K1725" s="8" t="s">
        <v>10054</v>
      </c>
      <c r="L1725" s="15">
        <v>0.49249500000000002</v>
      </c>
      <c r="M1725" s="15">
        <v>0.24396499999999999</v>
      </c>
      <c r="N1725" s="15">
        <v>0.62796562681369705</v>
      </c>
    </row>
    <row r="1726" spans="1:14" x14ac:dyDescent="0.2">
      <c r="A1726" s="2" t="s">
        <v>10066</v>
      </c>
      <c r="B1726" s="15">
        <v>1648</v>
      </c>
      <c r="C1726" s="15">
        <v>11</v>
      </c>
      <c r="D1726" s="15">
        <v>35500368</v>
      </c>
      <c r="E1726" s="15">
        <v>36331189</v>
      </c>
      <c r="F1726" s="15">
        <v>2152</v>
      </c>
      <c r="G1726" s="8" t="s">
        <v>12324</v>
      </c>
      <c r="H1726" s="24" t="s">
        <v>6008</v>
      </c>
      <c r="I1726" s="25" t="s">
        <v>6009</v>
      </c>
      <c r="J1726" s="8" t="s">
        <v>6010</v>
      </c>
      <c r="K1726" s="8" t="s">
        <v>10051</v>
      </c>
      <c r="L1726" s="15">
        <v>0.16447899999999999</v>
      </c>
      <c r="M1726" s="15">
        <v>0.244285</v>
      </c>
      <c r="N1726" s="15">
        <v>0.62842457946635732</v>
      </c>
    </row>
    <row r="1727" spans="1:14" x14ac:dyDescent="0.2">
      <c r="A1727" s="2" t="s">
        <v>10066</v>
      </c>
      <c r="B1727" s="15">
        <v>2163</v>
      </c>
      <c r="C1727" s="15">
        <v>16</v>
      </c>
      <c r="D1727" s="15">
        <v>82310205</v>
      </c>
      <c r="E1727" s="15">
        <v>83077869</v>
      </c>
      <c r="F1727" s="15">
        <v>3286</v>
      </c>
      <c r="G1727" s="8" t="s">
        <v>12324</v>
      </c>
      <c r="H1727" s="24" t="s">
        <v>3164</v>
      </c>
      <c r="I1727" s="25" t="s">
        <v>3165</v>
      </c>
      <c r="J1727" s="8" t="s">
        <v>3166</v>
      </c>
      <c r="K1727" s="8" t="s">
        <v>10042</v>
      </c>
      <c r="L1727" s="15">
        <v>0.231046</v>
      </c>
      <c r="M1727" s="15">
        <v>0.24493899999999999</v>
      </c>
      <c r="N1727" s="15">
        <v>0.62974171884057972</v>
      </c>
    </row>
    <row r="1728" spans="1:14" x14ac:dyDescent="0.2">
      <c r="A1728" s="2" t="s">
        <v>10068</v>
      </c>
      <c r="B1728" s="15">
        <v>433</v>
      </c>
      <c r="C1728" s="15">
        <v>3</v>
      </c>
      <c r="D1728" s="15">
        <v>11226368</v>
      </c>
      <c r="E1728" s="15">
        <v>11997658</v>
      </c>
      <c r="F1728" s="15">
        <v>2129</v>
      </c>
      <c r="G1728" s="8" t="s">
        <v>12324</v>
      </c>
      <c r="H1728" s="24" t="s">
        <v>599</v>
      </c>
      <c r="I1728" s="25">
        <v>26562</v>
      </c>
      <c r="J1728" s="8" t="s">
        <v>601</v>
      </c>
      <c r="K1728" s="8" t="s">
        <v>10040</v>
      </c>
      <c r="L1728" s="15">
        <v>0.422462</v>
      </c>
      <c r="M1728" s="15">
        <v>0.245115</v>
      </c>
      <c r="N1728" s="15">
        <v>0.62982909907300122</v>
      </c>
    </row>
    <row r="1729" spans="1:14" x14ac:dyDescent="0.2">
      <c r="A1729" s="2" t="s">
        <v>10068</v>
      </c>
      <c r="B1729" s="15">
        <v>487</v>
      </c>
      <c r="C1729" s="15">
        <v>3</v>
      </c>
      <c r="D1729" s="15">
        <v>75374968</v>
      </c>
      <c r="E1729" s="15">
        <v>76157470</v>
      </c>
      <c r="F1729" s="15">
        <v>1358</v>
      </c>
      <c r="G1729" s="8" t="s">
        <v>12324</v>
      </c>
      <c r="H1729" s="24" t="s">
        <v>599</v>
      </c>
      <c r="I1729" s="25">
        <v>26562</v>
      </c>
      <c r="J1729" s="8" t="s">
        <v>601</v>
      </c>
      <c r="K1729" s="8" t="s">
        <v>10040</v>
      </c>
      <c r="L1729" s="15">
        <v>-0.16672200000000001</v>
      </c>
      <c r="M1729" s="15">
        <v>0.24526200000000001</v>
      </c>
      <c r="N1729" s="15">
        <v>0.62984190503763759</v>
      </c>
    </row>
    <row r="1730" spans="1:14" x14ac:dyDescent="0.2">
      <c r="A1730" s="2" t="s">
        <v>10068</v>
      </c>
      <c r="B1730" s="15">
        <v>1718</v>
      </c>
      <c r="C1730" s="15">
        <v>11</v>
      </c>
      <c r="D1730" s="15">
        <v>111117781</v>
      </c>
      <c r="E1730" s="15">
        <v>112755446</v>
      </c>
      <c r="F1730" s="15">
        <v>3295</v>
      </c>
      <c r="G1730" s="8" t="s">
        <v>12324</v>
      </c>
      <c r="H1730" s="24" t="s">
        <v>494</v>
      </c>
      <c r="I1730" s="25">
        <v>25920</v>
      </c>
      <c r="J1730" s="8" t="s">
        <v>496</v>
      </c>
      <c r="K1730" s="8" t="s">
        <v>10040</v>
      </c>
      <c r="L1730" s="15">
        <v>0.30579699999999999</v>
      </c>
      <c r="M1730" s="15">
        <v>0.24546899999999999</v>
      </c>
      <c r="N1730" s="15">
        <v>0.63000868923611109</v>
      </c>
    </row>
    <row r="1731" spans="1:14" x14ac:dyDescent="0.2">
      <c r="A1731" s="2" t="s">
        <v>10068</v>
      </c>
      <c r="B1731" s="15">
        <v>1094</v>
      </c>
      <c r="C1731" s="15">
        <v>7</v>
      </c>
      <c r="D1731" s="15">
        <v>15064</v>
      </c>
      <c r="E1731" s="15">
        <v>617319</v>
      </c>
      <c r="F1731" s="15">
        <v>2201</v>
      </c>
      <c r="G1731" s="8" t="s">
        <v>12324</v>
      </c>
      <c r="H1731" s="24" t="s">
        <v>494</v>
      </c>
      <c r="I1731" s="25">
        <v>25920</v>
      </c>
      <c r="J1731" s="8" t="s">
        <v>496</v>
      </c>
      <c r="K1731" s="8" t="s">
        <v>10040</v>
      </c>
      <c r="L1731" s="15">
        <v>0.181117</v>
      </c>
      <c r="M1731" s="15">
        <v>0.246229</v>
      </c>
      <c r="N1731" s="15">
        <v>0.63053774379688399</v>
      </c>
    </row>
    <row r="1732" spans="1:14" x14ac:dyDescent="0.2">
      <c r="A1732" s="2" t="s">
        <v>10068</v>
      </c>
      <c r="B1732" s="15">
        <v>54</v>
      </c>
      <c r="C1732" s="15">
        <v>1</v>
      </c>
      <c r="D1732" s="15">
        <v>62778734</v>
      </c>
      <c r="E1732" s="15">
        <v>64344226</v>
      </c>
      <c r="F1732" s="15">
        <v>3565</v>
      </c>
      <c r="G1732" s="8" t="s">
        <v>12324</v>
      </c>
      <c r="H1732" s="24" t="s">
        <v>494</v>
      </c>
      <c r="I1732" s="25">
        <v>25920</v>
      </c>
      <c r="J1732" s="8" t="s">
        <v>496</v>
      </c>
      <c r="K1732" s="8" t="s">
        <v>10040</v>
      </c>
      <c r="L1732" s="15">
        <v>0.19997100000000001</v>
      </c>
      <c r="M1732" s="15">
        <v>0.24626000000000001</v>
      </c>
      <c r="N1732" s="15">
        <v>0.63053774379688399</v>
      </c>
    </row>
    <row r="1733" spans="1:14" x14ac:dyDescent="0.2">
      <c r="A1733" s="2" t="s">
        <v>10068</v>
      </c>
      <c r="B1733" s="15">
        <v>2000</v>
      </c>
      <c r="C1733" s="15">
        <v>14</v>
      </c>
      <c r="D1733" s="15">
        <v>69794543</v>
      </c>
      <c r="E1733" s="15">
        <v>71140426</v>
      </c>
      <c r="F1733" s="15">
        <v>3694</v>
      </c>
      <c r="G1733" s="8" t="s">
        <v>12324</v>
      </c>
      <c r="H1733" s="24" t="s">
        <v>1259</v>
      </c>
      <c r="I1733" s="25">
        <v>27096</v>
      </c>
      <c r="J1733" s="8" t="s">
        <v>1261</v>
      </c>
      <c r="K1733" s="8" t="s">
        <v>10040</v>
      </c>
      <c r="L1733" s="15">
        <v>-0.27892299999999998</v>
      </c>
      <c r="M1733" s="15">
        <v>0.24635000000000001</v>
      </c>
      <c r="N1733" s="15">
        <v>0.63053774379688399</v>
      </c>
    </row>
    <row r="1734" spans="1:14" x14ac:dyDescent="0.2">
      <c r="A1734" s="2" t="s">
        <v>10068</v>
      </c>
      <c r="B1734" s="15">
        <v>211</v>
      </c>
      <c r="C1734" s="15">
        <v>2</v>
      </c>
      <c r="D1734" s="15">
        <v>7108209</v>
      </c>
      <c r="E1734" s="15">
        <v>7966709</v>
      </c>
      <c r="F1734" s="15">
        <v>2340</v>
      </c>
      <c r="G1734" s="8" t="s">
        <v>12324</v>
      </c>
      <c r="H1734" s="24" t="s">
        <v>1259</v>
      </c>
      <c r="I1734" s="25">
        <v>27096</v>
      </c>
      <c r="J1734" s="8" t="s">
        <v>1261</v>
      </c>
      <c r="K1734" s="8" t="s">
        <v>10040</v>
      </c>
      <c r="L1734" s="15">
        <v>-0.19073200000000001</v>
      </c>
      <c r="M1734" s="15">
        <v>0.24638599999999999</v>
      </c>
      <c r="N1734" s="15">
        <v>0.63053774379688399</v>
      </c>
    </row>
    <row r="1735" spans="1:14" x14ac:dyDescent="0.2">
      <c r="A1735" s="2" t="s">
        <v>10068</v>
      </c>
      <c r="B1735" s="15">
        <v>1589</v>
      </c>
      <c r="C1735" s="15">
        <v>10</v>
      </c>
      <c r="D1735" s="15">
        <v>114255955</v>
      </c>
      <c r="E1735" s="15">
        <v>115588903</v>
      </c>
      <c r="F1735" s="15">
        <v>2996</v>
      </c>
      <c r="G1735" s="8" t="s">
        <v>12324</v>
      </c>
      <c r="H1735" s="24" t="s">
        <v>6565</v>
      </c>
      <c r="I1735" s="25" t="s">
        <v>6475</v>
      </c>
      <c r="J1735" s="8" t="s">
        <v>6566</v>
      </c>
      <c r="K1735" s="8" t="s">
        <v>10054</v>
      </c>
      <c r="L1735" s="15">
        <v>-0.26228299999999999</v>
      </c>
      <c r="M1735" s="15">
        <v>0.246034</v>
      </c>
      <c r="N1735" s="15">
        <v>0.63053774379688399</v>
      </c>
    </row>
    <row r="1736" spans="1:14" x14ac:dyDescent="0.2">
      <c r="A1736" s="2" t="s">
        <v>10068</v>
      </c>
      <c r="B1736" s="15">
        <v>1825</v>
      </c>
      <c r="C1736" s="15">
        <v>12</v>
      </c>
      <c r="D1736" s="15">
        <v>94385885</v>
      </c>
      <c r="E1736" s="15">
        <v>95147845</v>
      </c>
      <c r="F1736" s="15">
        <v>2353</v>
      </c>
      <c r="G1736" s="8" t="s">
        <v>12324</v>
      </c>
      <c r="H1736" s="24" t="s">
        <v>599</v>
      </c>
      <c r="I1736" s="25">
        <v>26562</v>
      </c>
      <c r="J1736" s="8" t="s">
        <v>601</v>
      </c>
      <c r="K1736" s="8" t="s">
        <v>10040</v>
      </c>
      <c r="L1736" s="15">
        <v>-0.26257399999999997</v>
      </c>
      <c r="M1736" s="15">
        <v>0.24663199999999999</v>
      </c>
      <c r="N1736" s="15">
        <v>0.63066670794930879</v>
      </c>
    </row>
    <row r="1737" spans="1:14" x14ac:dyDescent="0.2">
      <c r="A1737" s="2" t="s">
        <v>10068</v>
      </c>
      <c r="B1737" s="15">
        <v>1569</v>
      </c>
      <c r="C1737" s="15">
        <v>10</v>
      </c>
      <c r="D1737" s="15">
        <v>89971629</v>
      </c>
      <c r="E1737" s="15">
        <v>91021321</v>
      </c>
      <c r="F1737" s="15">
        <v>2539</v>
      </c>
      <c r="G1737" s="8" t="s">
        <v>12324</v>
      </c>
      <c r="H1737" s="24" t="s">
        <v>599</v>
      </c>
      <c r="I1737" s="25">
        <v>26562</v>
      </c>
      <c r="J1737" s="8" t="s">
        <v>601</v>
      </c>
      <c r="K1737" s="8" t="s">
        <v>10040</v>
      </c>
      <c r="L1737" s="15">
        <v>0.29961199999999999</v>
      </c>
      <c r="M1737" s="15">
        <v>0.246729</v>
      </c>
      <c r="N1737" s="15">
        <v>0.63066670794930879</v>
      </c>
    </row>
    <row r="1738" spans="1:14" x14ac:dyDescent="0.2">
      <c r="A1738" s="2" t="s">
        <v>10068</v>
      </c>
      <c r="B1738" s="15">
        <v>2047</v>
      </c>
      <c r="C1738" s="15">
        <v>15</v>
      </c>
      <c r="D1738" s="15">
        <v>36583328</v>
      </c>
      <c r="E1738" s="15">
        <v>37962915</v>
      </c>
      <c r="F1738" s="15">
        <v>3562</v>
      </c>
      <c r="G1738" s="8" t="s">
        <v>12324</v>
      </c>
      <c r="H1738" s="24" t="s">
        <v>599</v>
      </c>
      <c r="I1738" s="25">
        <v>26562</v>
      </c>
      <c r="J1738" s="8" t="s">
        <v>601</v>
      </c>
      <c r="K1738" s="8" t="s">
        <v>10040</v>
      </c>
      <c r="L1738" s="15">
        <v>-0.33055899999999999</v>
      </c>
      <c r="M1738" s="15">
        <v>0.246863</v>
      </c>
      <c r="N1738" s="15">
        <v>0.63066670794930879</v>
      </c>
    </row>
    <row r="1739" spans="1:14" x14ac:dyDescent="0.2">
      <c r="A1739" s="2" t="s">
        <v>10068</v>
      </c>
      <c r="B1739" s="15">
        <v>452</v>
      </c>
      <c r="C1739" s="15">
        <v>3</v>
      </c>
      <c r="D1739" s="15">
        <v>32378806</v>
      </c>
      <c r="E1739" s="15">
        <v>33020868</v>
      </c>
      <c r="F1739" s="15">
        <v>2003</v>
      </c>
      <c r="G1739" s="8" t="s">
        <v>12324</v>
      </c>
      <c r="H1739" s="24" t="s">
        <v>494</v>
      </c>
      <c r="I1739" s="25">
        <v>25920</v>
      </c>
      <c r="J1739" s="8" t="s">
        <v>496</v>
      </c>
      <c r="K1739" s="8" t="s">
        <v>10040</v>
      </c>
      <c r="L1739" s="15">
        <v>-0.40152599999999999</v>
      </c>
      <c r="M1739" s="15">
        <v>0.247807</v>
      </c>
      <c r="N1739" s="15">
        <v>0.63126022113727742</v>
      </c>
    </row>
    <row r="1740" spans="1:14" x14ac:dyDescent="0.2">
      <c r="A1740" s="2" t="s">
        <v>10068</v>
      </c>
      <c r="B1740" s="15">
        <v>1764</v>
      </c>
      <c r="C1740" s="15">
        <v>12</v>
      </c>
      <c r="D1740" s="15">
        <v>23923799</v>
      </c>
      <c r="E1740" s="15">
        <v>25058714</v>
      </c>
      <c r="F1740" s="15">
        <v>3120</v>
      </c>
      <c r="G1740" s="8" t="s">
        <v>12324</v>
      </c>
      <c r="H1740" s="24" t="s">
        <v>599</v>
      </c>
      <c r="I1740" s="25">
        <v>26562</v>
      </c>
      <c r="J1740" s="8" t="s">
        <v>601</v>
      </c>
      <c r="K1740" s="8" t="s">
        <v>10040</v>
      </c>
      <c r="L1740" s="15">
        <v>-0.244065</v>
      </c>
      <c r="M1740" s="15">
        <v>0.24770400000000001</v>
      </c>
      <c r="N1740" s="15">
        <v>0.63126022113727742</v>
      </c>
    </row>
    <row r="1741" spans="1:14" x14ac:dyDescent="0.2">
      <c r="A1741" s="2" t="s">
        <v>10069</v>
      </c>
      <c r="B1741" s="15">
        <v>2021</v>
      </c>
      <c r="C1741" s="15">
        <v>14</v>
      </c>
      <c r="D1741" s="15">
        <v>94892241</v>
      </c>
      <c r="E1741" s="15">
        <v>95946792</v>
      </c>
      <c r="F1741" s="15">
        <v>2852</v>
      </c>
      <c r="G1741" s="8" t="s">
        <v>12324</v>
      </c>
      <c r="H1741" s="24" t="s">
        <v>662</v>
      </c>
      <c r="I1741" s="25" t="s">
        <v>663</v>
      </c>
      <c r="J1741" s="8" t="s">
        <v>664</v>
      </c>
      <c r="K1741" s="8" t="s">
        <v>10040</v>
      </c>
      <c r="L1741" s="15">
        <v>0.31396299999999999</v>
      </c>
      <c r="M1741" s="15">
        <v>0.247503</v>
      </c>
      <c r="N1741" s="15">
        <v>0.63126022113727742</v>
      </c>
    </row>
    <row r="1742" spans="1:14" x14ac:dyDescent="0.2">
      <c r="A1742" s="2" t="s">
        <v>10068</v>
      </c>
      <c r="B1742" s="15">
        <v>1093</v>
      </c>
      <c r="C1742" s="15">
        <v>6</v>
      </c>
      <c r="D1742" s="15">
        <v>169667887</v>
      </c>
      <c r="E1742" s="15">
        <v>171053405</v>
      </c>
      <c r="F1742" s="15">
        <v>3867</v>
      </c>
      <c r="G1742" s="8" t="s">
        <v>12324</v>
      </c>
      <c r="H1742" s="24" t="s">
        <v>1259</v>
      </c>
      <c r="I1742" s="25">
        <v>27096</v>
      </c>
      <c r="J1742" s="8" t="s">
        <v>1261</v>
      </c>
      <c r="K1742" s="8" t="s">
        <v>10040</v>
      </c>
      <c r="L1742" s="15">
        <v>-0.338283</v>
      </c>
      <c r="M1742" s="15">
        <v>0.24773300000000001</v>
      </c>
      <c r="N1742" s="15">
        <v>0.63126022113727742</v>
      </c>
    </row>
    <row r="1743" spans="1:14" x14ac:dyDescent="0.2">
      <c r="A1743" s="2" t="s">
        <v>10068</v>
      </c>
      <c r="B1743" s="15">
        <v>1725</v>
      </c>
      <c r="C1743" s="15">
        <v>11</v>
      </c>
      <c r="D1743" s="15">
        <v>120064529</v>
      </c>
      <c r="E1743" s="15">
        <v>121208186</v>
      </c>
      <c r="F1743" s="15">
        <v>2711</v>
      </c>
      <c r="G1743" s="8" t="s">
        <v>12324</v>
      </c>
      <c r="H1743" s="24" t="s">
        <v>6565</v>
      </c>
      <c r="I1743" s="25" t="s">
        <v>6475</v>
      </c>
      <c r="J1743" s="8" t="s">
        <v>6566</v>
      </c>
      <c r="K1743" s="8" t="s">
        <v>10054</v>
      </c>
      <c r="L1743" s="15">
        <v>-0.25744899999999998</v>
      </c>
      <c r="M1743" s="15">
        <v>0.247478</v>
      </c>
      <c r="N1743" s="15">
        <v>0.63126022113727742</v>
      </c>
    </row>
    <row r="1744" spans="1:14" x14ac:dyDescent="0.2">
      <c r="A1744" s="2" t="s">
        <v>10069</v>
      </c>
      <c r="B1744" s="15">
        <v>1327</v>
      </c>
      <c r="C1744" s="15">
        <v>8</v>
      </c>
      <c r="D1744" s="15">
        <v>96900514</v>
      </c>
      <c r="E1744" s="15">
        <v>98132519</v>
      </c>
      <c r="F1744" s="15">
        <v>1629</v>
      </c>
      <c r="G1744" s="8" t="s">
        <v>12324</v>
      </c>
      <c r="H1744" s="24" t="s">
        <v>662</v>
      </c>
      <c r="I1744" s="25" t="s">
        <v>663</v>
      </c>
      <c r="J1744" s="8" t="s">
        <v>664</v>
      </c>
      <c r="K1744" s="8" t="s">
        <v>10040</v>
      </c>
      <c r="L1744" s="15">
        <v>0.30527500000000002</v>
      </c>
      <c r="M1744" s="15">
        <v>0.24837999999999999</v>
      </c>
      <c r="N1744" s="15">
        <v>0.63217197360872057</v>
      </c>
    </row>
    <row r="1745" spans="1:14" x14ac:dyDescent="0.2">
      <c r="A1745" s="2" t="s">
        <v>10068</v>
      </c>
      <c r="B1745" s="15">
        <v>1468</v>
      </c>
      <c r="C1745" s="15">
        <v>9</v>
      </c>
      <c r="D1745" s="15">
        <v>124119884</v>
      </c>
      <c r="E1745" s="15">
        <v>125137578</v>
      </c>
      <c r="F1745" s="15">
        <v>2547</v>
      </c>
      <c r="G1745" s="8" t="s">
        <v>12324</v>
      </c>
      <c r="H1745" s="24" t="s">
        <v>6565</v>
      </c>
      <c r="I1745" s="25" t="s">
        <v>6475</v>
      </c>
      <c r="J1745" s="8" t="s">
        <v>6566</v>
      </c>
      <c r="K1745" s="8" t="s">
        <v>10054</v>
      </c>
      <c r="L1745" s="15">
        <v>-0.30100500000000002</v>
      </c>
      <c r="M1745" s="15">
        <v>0.24845</v>
      </c>
      <c r="N1745" s="15">
        <v>0.63217197360872057</v>
      </c>
    </row>
    <row r="1746" spans="1:14" x14ac:dyDescent="0.2">
      <c r="A1746" s="2" t="s">
        <v>10068</v>
      </c>
      <c r="B1746" s="15">
        <v>1942</v>
      </c>
      <c r="C1746" s="15">
        <v>13</v>
      </c>
      <c r="D1746" s="15">
        <v>104378436</v>
      </c>
      <c r="E1746" s="15">
        <v>105672500</v>
      </c>
      <c r="F1746" s="15">
        <v>3731</v>
      </c>
      <c r="G1746" s="8" t="s">
        <v>12324</v>
      </c>
      <c r="H1746" s="24" t="s">
        <v>494</v>
      </c>
      <c r="I1746" s="25">
        <v>25920</v>
      </c>
      <c r="J1746" s="8" t="s">
        <v>496</v>
      </c>
      <c r="K1746" s="8" t="s">
        <v>10040</v>
      </c>
      <c r="L1746" s="15">
        <v>0.20811199999999999</v>
      </c>
      <c r="M1746" s="15">
        <v>0.249142</v>
      </c>
      <c r="N1746" s="15">
        <v>0.63356924885321098</v>
      </c>
    </row>
    <row r="1747" spans="1:14" x14ac:dyDescent="0.2">
      <c r="A1747" s="2" t="s">
        <v>10066</v>
      </c>
      <c r="B1747" s="15">
        <v>1837</v>
      </c>
      <c r="C1747" s="15">
        <v>12</v>
      </c>
      <c r="D1747" s="15">
        <v>106964978</v>
      </c>
      <c r="E1747" s="15">
        <v>108183188</v>
      </c>
      <c r="F1747" s="15">
        <v>2708</v>
      </c>
      <c r="G1747" s="8" t="s">
        <v>12324</v>
      </c>
      <c r="H1747" s="24" t="s">
        <v>6008</v>
      </c>
      <c r="I1747" s="25" t="s">
        <v>6009</v>
      </c>
      <c r="J1747" s="8" t="s">
        <v>6010</v>
      </c>
      <c r="K1747" s="8" t="s">
        <v>10051</v>
      </c>
      <c r="L1747" s="15">
        <v>-0.27025300000000002</v>
      </c>
      <c r="M1747" s="15">
        <v>0.249441</v>
      </c>
      <c r="N1747" s="15">
        <v>0.63396609455587394</v>
      </c>
    </row>
    <row r="1748" spans="1:14" x14ac:dyDescent="0.2">
      <c r="A1748" s="2" t="s">
        <v>10068</v>
      </c>
      <c r="B1748" s="15">
        <v>106</v>
      </c>
      <c r="C1748" s="15">
        <v>1</v>
      </c>
      <c r="D1748" s="15">
        <v>120345067</v>
      </c>
      <c r="E1748" s="15">
        <v>145803848</v>
      </c>
      <c r="F1748" s="15">
        <v>1104</v>
      </c>
      <c r="G1748" s="8" t="s">
        <v>12324</v>
      </c>
      <c r="H1748" s="24" t="s">
        <v>599</v>
      </c>
      <c r="I1748" s="25">
        <v>26562</v>
      </c>
      <c r="J1748" s="8" t="s">
        <v>601</v>
      </c>
      <c r="K1748" s="8" t="s">
        <v>10040</v>
      </c>
      <c r="L1748" s="15">
        <v>0.17035700000000001</v>
      </c>
      <c r="M1748" s="15">
        <v>0.249612</v>
      </c>
      <c r="N1748" s="15">
        <v>0.63403735395188998</v>
      </c>
    </row>
    <row r="1749" spans="1:14" x14ac:dyDescent="0.2">
      <c r="A1749" s="2" t="s">
        <v>10068</v>
      </c>
      <c r="B1749" s="15">
        <v>1352</v>
      </c>
      <c r="C1749" s="15">
        <v>8</v>
      </c>
      <c r="D1749" s="15">
        <v>126766828</v>
      </c>
      <c r="E1749" s="15">
        <v>128073654</v>
      </c>
      <c r="F1749" s="15">
        <v>3626</v>
      </c>
      <c r="G1749" s="8" t="s">
        <v>12324</v>
      </c>
      <c r="H1749" s="24" t="s">
        <v>1259</v>
      </c>
      <c r="I1749" s="25">
        <v>27096</v>
      </c>
      <c r="J1749" s="8" t="s">
        <v>1261</v>
      </c>
      <c r="K1749" s="8" t="s">
        <v>10040</v>
      </c>
      <c r="L1749" s="15">
        <v>-0.31352600000000003</v>
      </c>
      <c r="M1749" s="15">
        <v>0.24987899999999999</v>
      </c>
      <c r="N1749" s="15">
        <v>0.6343522409845449</v>
      </c>
    </row>
    <row r="1750" spans="1:14" x14ac:dyDescent="0.2">
      <c r="A1750" s="2" t="s">
        <v>10068</v>
      </c>
      <c r="B1750" s="15">
        <v>582</v>
      </c>
      <c r="C1750" s="15">
        <v>3</v>
      </c>
      <c r="D1750" s="15">
        <v>184524269</v>
      </c>
      <c r="E1750" s="15">
        <v>185709996</v>
      </c>
      <c r="F1750" s="15">
        <v>2416</v>
      </c>
      <c r="G1750" s="8" t="s">
        <v>12324</v>
      </c>
      <c r="H1750" s="24" t="s">
        <v>1259</v>
      </c>
      <c r="I1750" s="25">
        <v>27096</v>
      </c>
      <c r="J1750" s="8" t="s">
        <v>1261</v>
      </c>
      <c r="K1750" s="8" t="s">
        <v>10040</v>
      </c>
      <c r="L1750" s="15">
        <v>0.37120500000000001</v>
      </c>
      <c r="M1750" s="15">
        <v>0.250141</v>
      </c>
      <c r="N1750" s="15">
        <v>0.63465408180778038</v>
      </c>
    </row>
    <row r="1751" spans="1:14" x14ac:dyDescent="0.2">
      <c r="A1751" s="2" t="s">
        <v>10068</v>
      </c>
      <c r="B1751" s="15">
        <v>1398</v>
      </c>
      <c r="C1751" s="15">
        <v>9</v>
      </c>
      <c r="D1751" s="15">
        <v>21674033</v>
      </c>
      <c r="E1751" s="15">
        <v>23091193</v>
      </c>
      <c r="F1751" s="15">
        <v>3599</v>
      </c>
      <c r="G1751" s="8" t="s">
        <v>12324</v>
      </c>
      <c r="H1751" s="24" t="s">
        <v>494</v>
      </c>
      <c r="I1751" s="25">
        <v>25920</v>
      </c>
      <c r="J1751" s="8" t="s">
        <v>496</v>
      </c>
      <c r="K1751" s="8" t="s">
        <v>10040</v>
      </c>
      <c r="L1751" s="15">
        <v>0.26255699999999998</v>
      </c>
      <c r="M1751" s="15">
        <v>0.25081799999999999</v>
      </c>
      <c r="N1751" s="15">
        <v>0.63556182648401838</v>
      </c>
    </row>
    <row r="1752" spans="1:14" x14ac:dyDescent="0.2">
      <c r="A1752" s="2" t="s">
        <v>10068</v>
      </c>
      <c r="B1752" s="15">
        <v>578</v>
      </c>
      <c r="C1752" s="15">
        <v>3</v>
      </c>
      <c r="D1752" s="15">
        <v>178110323</v>
      </c>
      <c r="E1752" s="15">
        <v>179372165</v>
      </c>
      <c r="F1752" s="15">
        <v>3022</v>
      </c>
      <c r="G1752" s="8" t="s">
        <v>12324</v>
      </c>
      <c r="H1752" s="24" t="s">
        <v>599</v>
      </c>
      <c r="I1752" s="25">
        <v>26562</v>
      </c>
      <c r="J1752" s="8" t="s">
        <v>601</v>
      </c>
      <c r="K1752" s="8" t="s">
        <v>10040</v>
      </c>
      <c r="L1752" s="15">
        <v>0.31413099999999999</v>
      </c>
      <c r="M1752" s="15">
        <v>0.25105899999999998</v>
      </c>
      <c r="N1752" s="15">
        <v>0.63556182648401838</v>
      </c>
    </row>
    <row r="1753" spans="1:14" x14ac:dyDescent="0.2">
      <c r="A1753" s="2" t="s">
        <v>10066</v>
      </c>
      <c r="B1753" s="15">
        <v>1805</v>
      </c>
      <c r="C1753" s="15">
        <v>12</v>
      </c>
      <c r="D1753" s="15">
        <v>70097806</v>
      </c>
      <c r="E1753" s="15">
        <v>71177961</v>
      </c>
      <c r="F1753" s="15">
        <v>3361</v>
      </c>
      <c r="G1753" s="8" t="s">
        <v>12324</v>
      </c>
      <c r="H1753" s="24" t="s">
        <v>6008</v>
      </c>
      <c r="I1753" s="25" t="s">
        <v>6009</v>
      </c>
      <c r="J1753" s="8" t="s">
        <v>6010</v>
      </c>
      <c r="K1753" s="8" t="s">
        <v>10051</v>
      </c>
      <c r="L1753" s="15">
        <v>0.33637</v>
      </c>
      <c r="M1753" s="15">
        <v>0.250915</v>
      </c>
      <c r="N1753" s="15">
        <v>0.63556182648401838</v>
      </c>
    </row>
    <row r="1754" spans="1:14" x14ac:dyDescent="0.2">
      <c r="A1754" s="2" t="s">
        <v>10066</v>
      </c>
      <c r="B1754" s="15">
        <v>2423</v>
      </c>
      <c r="C1754" s="15">
        <v>20</v>
      </c>
      <c r="D1754" s="15">
        <v>57924038</v>
      </c>
      <c r="E1754" s="15">
        <v>58780894</v>
      </c>
      <c r="F1754" s="15">
        <v>2369</v>
      </c>
      <c r="G1754" s="8" t="s">
        <v>12324</v>
      </c>
      <c r="H1754" s="24" t="s">
        <v>6008</v>
      </c>
      <c r="I1754" s="25" t="s">
        <v>6009</v>
      </c>
      <c r="J1754" s="8" t="s">
        <v>6010</v>
      </c>
      <c r="K1754" s="8" t="s">
        <v>10051</v>
      </c>
      <c r="L1754" s="15">
        <v>0.184279</v>
      </c>
      <c r="M1754" s="15">
        <v>0.25107200000000002</v>
      </c>
      <c r="N1754" s="15">
        <v>0.63556182648401838</v>
      </c>
    </row>
    <row r="1755" spans="1:14" x14ac:dyDescent="0.2">
      <c r="A1755" s="2" t="s">
        <v>10068</v>
      </c>
      <c r="B1755" s="15">
        <v>1852</v>
      </c>
      <c r="C1755" s="15">
        <v>12</v>
      </c>
      <c r="D1755" s="15">
        <v>124843769</v>
      </c>
      <c r="E1755" s="15">
        <v>126079935</v>
      </c>
      <c r="F1755" s="15">
        <v>3831</v>
      </c>
      <c r="G1755" s="8" t="s">
        <v>12324</v>
      </c>
      <c r="H1755" s="24" t="s">
        <v>599</v>
      </c>
      <c r="I1755" s="25">
        <v>26562</v>
      </c>
      <c r="J1755" s="8" t="s">
        <v>601</v>
      </c>
      <c r="K1755" s="8" t="s">
        <v>10040</v>
      </c>
      <c r="L1755" s="15">
        <v>0.191135</v>
      </c>
      <c r="M1755" s="15">
        <v>0.25125599999999998</v>
      </c>
      <c r="N1755" s="15">
        <v>0.63566478037649743</v>
      </c>
    </row>
    <row r="1756" spans="1:14" x14ac:dyDescent="0.2">
      <c r="A1756" s="2" t="s">
        <v>10068</v>
      </c>
      <c r="B1756" s="15">
        <v>1026</v>
      </c>
      <c r="C1756" s="15">
        <v>6</v>
      </c>
      <c r="D1756" s="15">
        <v>93696826</v>
      </c>
      <c r="E1756" s="15">
        <v>95176337</v>
      </c>
      <c r="F1756" s="15">
        <v>3878</v>
      </c>
      <c r="G1756" s="8" t="s">
        <v>12324</v>
      </c>
      <c r="H1756" s="24" t="s">
        <v>494</v>
      </c>
      <c r="I1756" s="25">
        <v>25920</v>
      </c>
      <c r="J1756" s="8" t="s">
        <v>496</v>
      </c>
      <c r="K1756" s="8" t="s">
        <v>10040</v>
      </c>
      <c r="L1756" s="15">
        <v>0.34403600000000001</v>
      </c>
      <c r="M1756" s="15">
        <v>0.25242500000000001</v>
      </c>
      <c r="N1756" s="15">
        <v>0.63597999999999999</v>
      </c>
    </row>
    <row r="1757" spans="1:14" x14ac:dyDescent="0.2">
      <c r="A1757" s="2" t="s">
        <v>10068</v>
      </c>
      <c r="B1757" s="15">
        <v>789</v>
      </c>
      <c r="C1757" s="15">
        <v>5</v>
      </c>
      <c r="D1757" s="15">
        <v>13608148</v>
      </c>
      <c r="E1757" s="15">
        <v>14910295</v>
      </c>
      <c r="F1757" s="15">
        <v>3247</v>
      </c>
      <c r="G1757" s="8" t="s">
        <v>12324</v>
      </c>
      <c r="H1757" s="24" t="s">
        <v>494</v>
      </c>
      <c r="I1757" s="25">
        <v>25920</v>
      </c>
      <c r="J1757" s="8" t="s">
        <v>496</v>
      </c>
      <c r="K1757" s="8" t="s">
        <v>10040</v>
      </c>
      <c r="L1757" s="15">
        <v>0.27948099999999998</v>
      </c>
      <c r="M1757" s="15">
        <v>0.25419399999999998</v>
      </c>
      <c r="N1757" s="15">
        <v>0.63597999999999999</v>
      </c>
    </row>
    <row r="1758" spans="1:14" x14ac:dyDescent="0.2">
      <c r="A1758" s="2" t="s">
        <v>10068</v>
      </c>
      <c r="B1758" s="15">
        <v>40</v>
      </c>
      <c r="C1758" s="15">
        <v>1</v>
      </c>
      <c r="D1758" s="15">
        <v>43512670</v>
      </c>
      <c r="E1758" s="15">
        <v>45167235</v>
      </c>
      <c r="F1758" s="15">
        <v>3432</v>
      </c>
      <c r="G1758" s="8" t="s">
        <v>12324</v>
      </c>
      <c r="H1758" s="24" t="s">
        <v>599</v>
      </c>
      <c r="I1758" s="25">
        <v>26562</v>
      </c>
      <c r="J1758" s="8" t="s">
        <v>601</v>
      </c>
      <c r="K1758" s="8" t="s">
        <v>10040</v>
      </c>
      <c r="L1758" s="15">
        <v>-0.16062699999999999</v>
      </c>
      <c r="M1758" s="15">
        <v>0.253718</v>
      </c>
      <c r="N1758" s="15">
        <v>0.63597999999999999</v>
      </c>
    </row>
    <row r="1759" spans="1:14" x14ac:dyDescent="0.2">
      <c r="A1759" s="2" t="s">
        <v>10068</v>
      </c>
      <c r="B1759" s="15">
        <v>1788</v>
      </c>
      <c r="C1759" s="15">
        <v>12</v>
      </c>
      <c r="D1759" s="15">
        <v>48960266</v>
      </c>
      <c r="E1759" s="15">
        <v>50344346</v>
      </c>
      <c r="F1759" s="15">
        <v>2657</v>
      </c>
      <c r="G1759" s="8" t="s">
        <v>12324</v>
      </c>
      <c r="H1759" s="24" t="s">
        <v>599</v>
      </c>
      <c r="I1759" s="25">
        <v>26562</v>
      </c>
      <c r="J1759" s="8" t="s">
        <v>601</v>
      </c>
      <c r="K1759" s="8" t="s">
        <v>10040</v>
      </c>
      <c r="L1759" s="15">
        <v>-0.18740699999999999</v>
      </c>
      <c r="M1759" s="15">
        <v>0.25425500000000001</v>
      </c>
      <c r="N1759" s="15">
        <v>0.63597999999999999</v>
      </c>
    </row>
    <row r="1760" spans="1:14" x14ac:dyDescent="0.2">
      <c r="A1760" s="2" t="s">
        <v>10069</v>
      </c>
      <c r="B1760" s="15">
        <v>1782</v>
      </c>
      <c r="C1760" s="15">
        <v>12</v>
      </c>
      <c r="D1760" s="15">
        <v>43072680</v>
      </c>
      <c r="E1760" s="15">
        <v>43980531</v>
      </c>
      <c r="F1760" s="15">
        <v>1897</v>
      </c>
      <c r="G1760" s="8" t="s">
        <v>12324</v>
      </c>
      <c r="H1760" s="24" t="s">
        <v>662</v>
      </c>
      <c r="I1760" s="25" t="s">
        <v>663</v>
      </c>
      <c r="J1760" s="8" t="s">
        <v>664</v>
      </c>
      <c r="K1760" s="8" t="s">
        <v>10040</v>
      </c>
      <c r="L1760" s="15">
        <v>-0.41547899999999999</v>
      </c>
      <c r="M1760" s="15">
        <v>0.25371199999999999</v>
      </c>
      <c r="N1760" s="15">
        <v>0.63597999999999999</v>
      </c>
    </row>
    <row r="1761" spans="1:14" x14ac:dyDescent="0.2">
      <c r="A1761" s="2" t="s">
        <v>10069</v>
      </c>
      <c r="B1761" s="15">
        <v>1295</v>
      </c>
      <c r="C1761" s="15">
        <v>8</v>
      </c>
      <c r="D1761" s="15">
        <v>58675118</v>
      </c>
      <c r="E1761" s="15">
        <v>59555977</v>
      </c>
      <c r="F1761" s="15">
        <v>1562</v>
      </c>
      <c r="G1761" s="8" t="s">
        <v>12324</v>
      </c>
      <c r="H1761" s="24" t="s">
        <v>662</v>
      </c>
      <c r="I1761" s="25" t="s">
        <v>663</v>
      </c>
      <c r="J1761" s="8" t="s">
        <v>664</v>
      </c>
      <c r="K1761" s="8" t="s">
        <v>10040</v>
      </c>
      <c r="L1761" s="15">
        <v>0.40434999999999999</v>
      </c>
      <c r="M1761" s="15">
        <v>0.25430700000000001</v>
      </c>
      <c r="N1761" s="15">
        <v>0.63597999999999999</v>
      </c>
    </row>
    <row r="1762" spans="1:14" x14ac:dyDescent="0.2">
      <c r="A1762" s="2" t="s">
        <v>10068</v>
      </c>
      <c r="B1762" s="15">
        <v>2237</v>
      </c>
      <c r="C1762" s="15">
        <v>17</v>
      </c>
      <c r="D1762" s="15">
        <v>80459150</v>
      </c>
      <c r="E1762" s="15">
        <v>81192460</v>
      </c>
      <c r="F1762" s="15">
        <v>2443</v>
      </c>
      <c r="G1762" s="8" t="s">
        <v>12324</v>
      </c>
      <c r="H1762" s="24" t="s">
        <v>1259</v>
      </c>
      <c r="I1762" s="25">
        <v>27096</v>
      </c>
      <c r="J1762" s="8" t="s">
        <v>1261</v>
      </c>
      <c r="K1762" s="8" t="s">
        <v>10040</v>
      </c>
      <c r="L1762" s="15">
        <v>-0.17043700000000001</v>
      </c>
      <c r="M1762" s="15">
        <v>0.25279099999999999</v>
      </c>
      <c r="N1762" s="15">
        <v>0.63597999999999999</v>
      </c>
    </row>
    <row r="1763" spans="1:14" x14ac:dyDescent="0.2">
      <c r="A1763" s="2" t="s">
        <v>10068</v>
      </c>
      <c r="B1763" s="15">
        <v>1821</v>
      </c>
      <c r="C1763" s="15">
        <v>12</v>
      </c>
      <c r="D1763" s="15">
        <v>88344765</v>
      </c>
      <c r="E1763" s="15">
        <v>90567001</v>
      </c>
      <c r="F1763" s="15">
        <v>3692</v>
      </c>
      <c r="G1763" s="8" t="s">
        <v>12324</v>
      </c>
      <c r="H1763" s="24" t="s">
        <v>1259</v>
      </c>
      <c r="I1763" s="25">
        <v>27096</v>
      </c>
      <c r="J1763" s="8" t="s">
        <v>1261</v>
      </c>
      <c r="K1763" s="8" t="s">
        <v>10040</v>
      </c>
      <c r="L1763" s="15">
        <v>-0.31064599999999998</v>
      </c>
      <c r="M1763" s="15">
        <v>0.25359900000000002</v>
      </c>
      <c r="N1763" s="15">
        <v>0.63597999999999999</v>
      </c>
    </row>
    <row r="1764" spans="1:14" x14ac:dyDescent="0.2">
      <c r="A1764" s="2" t="s">
        <v>10068</v>
      </c>
      <c r="B1764" s="15">
        <v>511</v>
      </c>
      <c r="C1764" s="15">
        <v>3</v>
      </c>
      <c r="D1764" s="15">
        <v>104878978</v>
      </c>
      <c r="E1764" s="15">
        <v>106174685</v>
      </c>
      <c r="F1764" s="15">
        <v>3544</v>
      </c>
      <c r="G1764" s="8" t="s">
        <v>12324</v>
      </c>
      <c r="H1764" s="24" t="s">
        <v>1259</v>
      </c>
      <c r="I1764" s="25">
        <v>27096</v>
      </c>
      <c r="J1764" s="8" t="s">
        <v>1261</v>
      </c>
      <c r="K1764" s="8" t="s">
        <v>10040</v>
      </c>
      <c r="L1764" s="15">
        <v>-0.37687300000000001</v>
      </c>
      <c r="M1764" s="15">
        <v>0.25378800000000001</v>
      </c>
      <c r="N1764" s="15">
        <v>0.63597999999999999</v>
      </c>
    </row>
    <row r="1765" spans="1:14" x14ac:dyDescent="0.2">
      <c r="A1765" s="2" t="s">
        <v>10068</v>
      </c>
      <c r="B1765" s="15">
        <v>1469</v>
      </c>
      <c r="C1765" s="15">
        <v>9</v>
      </c>
      <c r="D1765" s="15">
        <v>125137579</v>
      </c>
      <c r="E1765" s="15">
        <v>126092931</v>
      </c>
      <c r="F1765" s="15">
        <v>2150</v>
      </c>
      <c r="G1765" s="8" t="s">
        <v>12324</v>
      </c>
      <c r="H1765" s="24" t="s">
        <v>1259</v>
      </c>
      <c r="I1765" s="25">
        <v>27096</v>
      </c>
      <c r="J1765" s="8" t="s">
        <v>1261</v>
      </c>
      <c r="K1765" s="8" t="s">
        <v>10040</v>
      </c>
      <c r="L1765" s="15">
        <v>0.43962499999999999</v>
      </c>
      <c r="M1765" s="15">
        <v>0.25395200000000001</v>
      </c>
      <c r="N1765" s="15">
        <v>0.63597999999999999</v>
      </c>
    </row>
    <row r="1766" spans="1:14" x14ac:dyDescent="0.2">
      <c r="A1766" s="2" t="s">
        <v>10068</v>
      </c>
      <c r="B1766" s="15">
        <v>1012</v>
      </c>
      <c r="C1766" s="15">
        <v>6</v>
      </c>
      <c r="D1766" s="15">
        <v>79859904</v>
      </c>
      <c r="E1766" s="15">
        <v>80693927</v>
      </c>
      <c r="F1766" s="15">
        <v>2323</v>
      </c>
      <c r="G1766" s="8" t="s">
        <v>12324</v>
      </c>
      <c r="H1766" s="24" t="s">
        <v>1259</v>
      </c>
      <c r="I1766" s="25">
        <v>27096</v>
      </c>
      <c r="J1766" s="8" t="s">
        <v>1261</v>
      </c>
      <c r="K1766" s="8" t="s">
        <v>10040</v>
      </c>
      <c r="L1766" s="15">
        <v>-0.21931899999999999</v>
      </c>
      <c r="M1766" s="15">
        <v>0.25438699999999997</v>
      </c>
      <c r="N1766" s="15">
        <v>0.63597999999999999</v>
      </c>
    </row>
    <row r="1767" spans="1:14" x14ac:dyDescent="0.2">
      <c r="A1767" s="2" t="s">
        <v>10068</v>
      </c>
      <c r="B1767" s="15">
        <v>2478</v>
      </c>
      <c r="C1767" s="15">
        <v>22</v>
      </c>
      <c r="D1767" s="15">
        <v>33501726</v>
      </c>
      <c r="E1767" s="15">
        <v>34361897</v>
      </c>
      <c r="F1767" s="15">
        <v>2651</v>
      </c>
      <c r="G1767" s="8" t="s">
        <v>12324</v>
      </c>
      <c r="H1767" s="24" t="s">
        <v>1259</v>
      </c>
      <c r="I1767" s="25">
        <v>27096</v>
      </c>
      <c r="J1767" s="8" t="s">
        <v>1261</v>
      </c>
      <c r="K1767" s="8" t="s">
        <v>10040</v>
      </c>
      <c r="L1767" s="15">
        <v>0.30429400000000001</v>
      </c>
      <c r="M1767" s="15">
        <v>0.25439200000000001</v>
      </c>
      <c r="N1767" s="15">
        <v>0.63597999999999999</v>
      </c>
    </row>
    <row r="1768" spans="1:14" x14ac:dyDescent="0.2">
      <c r="A1768" s="2" t="s">
        <v>10066</v>
      </c>
      <c r="B1768" s="15">
        <v>1137</v>
      </c>
      <c r="C1768" s="15">
        <v>7</v>
      </c>
      <c r="D1768" s="15">
        <v>40261241</v>
      </c>
      <c r="E1768" s="15">
        <v>41415925</v>
      </c>
      <c r="F1768" s="15">
        <v>2335</v>
      </c>
      <c r="G1768" s="8" t="s">
        <v>12324</v>
      </c>
      <c r="H1768" s="24" t="s">
        <v>3164</v>
      </c>
      <c r="I1768" s="25" t="s">
        <v>3165</v>
      </c>
      <c r="J1768" s="8" t="s">
        <v>3166</v>
      </c>
      <c r="K1768" s="8" t="s">
        <v>10042</v>
      </c>
      <c r="L1768" s="15">
        <v>-0.29729299999999997</v>
      </c>
      <c r="M1768" s="15">
        <v>0.25276900000000002</v>
      </c>
      <c r="N1768" s="15">
        <v>0.63597999999999999</v>
      </c>
    </row>
    <row r="1769" spans="1:14" x14ac:dyDescent="0.2">
      <c r="A1769" s="2" t="s">
        <v>10066</v>
      </c>
      <c r="B1769" s="15">
        <v>1983</v>
      </c>
      <c r="C1769" s="15">
        <v>14</v>
      </c>
      <c r="D1769" s="15">
        <v>51418372</v>
      </c>
      <c r="E1769" s="15">
        <v>52206122</v>
      </c>
      <c r="F1769" s="15">
        <v>2329</v>
      </c>
      <c r="G1769" s="8" t="s">
        <v>12324</v>
      </c>
      <c r="H1769" s="24" t="s">
        <v>3164</v>
      </c>
      <c r="I1769" s="25" t="s">
        <v>3165</v>
      </c>
      <c r="J1769" s="8" t="s">
        <v>3166</v>
      </c>
      <c r="K1769" s="8" t="s">
        <v>10042</v>
      </c>
      <c r="L1769" s="15">
        <v>0.43998300000000001</v>
      </c>
      <c r="M1769" s="15">
        <v>0.25302999999999998</v>
      </c>
      <c r="N1769" s="15">
        <v>0.63597999999999999</v>
      </c>
    </row>
    <row r="1770" spans="1:14" x14ac:dyDescent="0.2">
      <c r="A1770" s="2" t="s">
        <v>10066</v>
      </c>
      <c r="B1770" s="15">
        <v>1237</v>
      </c>
      <c r="C1770" s="15">
        <v>8</v>
      </c>
      <c r="D1770" s="15">
        <v>2396123</v>
      </c>
      <c r="E1770" s="15">
        <v>2970491</v>
      </c>
      <c r="F1770" s="15">
        <v>2593</v>
      </c>
      <c r="G1770" s="8" t="s">
        <v>12324</v>
      </c>
      <c r="H1770" s="24" t="s">
        <v>3164</v>
      </c>
      <c r="I1770" s="25" t="s">
        <v>3165</v>
      </c>
      <c r="J1770" s="8" t="s">
        <v>3166</v>
      </c>
      <c r="K1770" s="8" t="s">
        <v>10042</v>
      </c>
      <c r="L1770" s="15">
        <v>-0.22067800000000001</v>
      </c>
      <c r="M1770" s="15">
        <v>0.254081</v>
      </c>
      <c r="N1770" s="15">
        <v>0.63597999999999999</v>
      </c>
    </row>
    <row r="1771" spans="1:14" x14ac:dyDescent="0.2">
      <c r="A1771" s="2" t="s">
        <v>10066</v>
      </c>
      <c r="B1771" s="15">
        <v>1351</v>
      </c>
      <c r="C1771" s="15">
        <v>8</v>
      </c>
      <c r="D1771" s="15">
        <v>125453323</v>
      </c>
      <c r="E1771" s="15">
        <v>126766827</v>
      </c>
      <c r="F1771" s="15">
        <v>3453</v>
      </c>
      <c r="G1771" s="8" t="s">
        <v>12324</v>
      </c>
      <c r="H1771" s="24" t="s">
        <v>6008</v>
      </c>
      <c r="I1771" s="25" t="s">
        <v>6009</v>
      </c>
      <c r="J1771" s="8" t="s">
        <v>6010</v>
      </c>
      <c r="K1771" s="8" t="s">
        <v>10051</v>
      </c>
      <c r="L1771" s="15">
        <v>0.26170500000000002</v>
      </c>
      <c r="M1771" s="15">
        <v>0.25355899999999998</v>
      </c>
      <c r="N1771" s="15">
        <v>0.63597999999999999</v>
      </c>
    </row>
    <row r="1772" spans="1:14" x14ac:dyDescent="0.2">
      <c r="A1772" s="2" t="s">
        <v>10066</v>
      </c>
      <c r="B1772" s="15">
        <v>308</v>
      </c>
      <c r="C1772" s="15">
        <v>2</v>
      </c>
      <c r="D1772" s="15">
        <v>115203836</v>
      </c>
      <c r="E1772" s="15">
        <v>116415816</v>
      </c>
      <c r="F1772" s="15">
        <v>2622</v>
      </c>
      <c r="G1772" s="8" t="s">
        <v>12324</v>
      </c>
      <c r="H1772" s="24" t="s">
        <v>6008</v>
      </c>
      <c r="I1772" s="25" t="s">
        <v>6009</v>
      </c>
      <c r="J1772" s="8" t="s">
        <v>6010</v>
      </c>
      <c r="K1772" s="8" t="s">
        <v>10051</v>
      </c>
      <c r="L1772" s="15">
        <v>-0.46552100000000002</v>
      </c>
      <c r="M1772" s="15">
        <v>0.25362699999999999</v>
      </c>
      <c r="N1772" s="15">
        <v>0.63597999999999999</v>
      </c>
    </row>
    <row r="1773" spans="1:14" x14ac:dyDescent="0.2">
      <c r="A1773" s="2" t="s">
        <v>10066</v>
      </c>
      <c r="B1773" s="15">
        <v>822</v>
      </c>
      <c r="C1773" s="15">
        <v>5</v>
      </c>
      <c r="D1773" s="15">
        <v>55221399</v>
      </c>
      <c r="E1773" s="15">
        <v>55968966</v>
      </c>
      <c r="F1773" s="15">
        <v>2229</v>
      </c>
      <c r="G1773" s="8" t="s">
        <v>12324</v>
      </c>
      <c r="H1773" s="24" t="s">
        <v>6008</v>
      </c>
      <c r="I1773" s="25" t="s">
        <v>6009</v>
      </c>
      <c r="J1773" s="8" t="s">
        <v>6010</v>
      </c>
      <c r="K1773" s="8" t="s">
        <v>10051</v>
      </c>
      <c r="L1773" s="15">
        <v>0.445716</v>
      </c>
      <c r="M1773" s="15">
        <v>0.25366499999999997</v>
      </c>
      <c r="N1773" s="15">
        <v>0.63597999999999999</v>
      </c>
    </row>
    <row r="1774" spans="1:14" x14ac:dyDescent="0.2">
      <c r="A1774" s="2" t="s">
        <v>10068</v>
      </c>
      <c r="B1774" s="15">
        <v>2391</v>
      </c>
      <c r="C1774" s="15">
        <v>20</v>
      </c>
      <c r="D1774" s="15">
        <v>19957929</v>
      </c>
      <c r="E1774" s="15">
        <v>21682377</v>
      </c>
      <c r="F1774" s="15">
        <v>3358</v>
      </c>
      <c r="G1774" s="8" t="s">
        <v>12324</v>
      </c>
      <c r="H1774" s="24" t="s">
        <v>6565</v>
      </c>
      <c r="I1774" s="25" t="s">
        <v>6475</v>
      </c>
      <c r="J1774" s="8" t="s">
        <v>6566</v>
      </c>
      <c r="K1774" s="8" t="s">
        <v>10054</v>
      </c>
      <c r="L1774" s="15">
        <v>0.31809300000000001</v>
      </c>
      <c r="M1774" s="15">
        <v>0.25179299999999999</v>
      </c>
      <c r="N1774" s="15">
        <v>0.63597999999999999</v>
      </c>
    </row>
    <row r="1775" spans="1:14" x14ac:dyDescent="0.2">
      <c r="A1775" s="2" t="s">
        <v>10068</v>
      </c>
      <c r="B1775" s="15">
        <v>840</v>
      </c>
      <c r="C1775" s="15">
        <v>5</v>
      </c>
      <c r="D1775" s="15">
        <v>77290256</v>
      </c>
      <c r="E1775" s="15">
        <v>79005158</v>
      </c>
      <c r="F1775" s="15">
        <v>3874</v>
      </c>
      <c r="G1775" s="8" t="s">
        <v>12324</v>
      </c>
      <c r="H1775" s="24" t="s">
        <v>6565</v>
      </c>
      <c r="I1775" s="25" t="s">
        <v>6475</v>
      </c>
      <c r="J1775" s="8" t="s">
        <v>6566</v>
      </c>
      <c r="K1775" s="8" t="s">
        <v>10054</v>
      </c>
      <c r="L1775" s="15">
        <v>0.32272499999999998</v>
      </c>
      <c r="M1775" s="15">
        <v>0.25222099999999997</v>
      </c>
      <c r="N1775" s="15">
        <v>0.63597999999999999</v>
      </c>
    </row>
    <row r="1776" spans="1:14" x14ac:dyDescent="0.2">
      <c r="A1776" s="2" t="s">
        <v>10068</v>
      </c>
      <c r="B1776" s="15">
        <v>936</v>
      </c>
      <c r="C1776" s="15">
        <v>6</v>
      </c>
      <c r="D1776" s="15">
        <v>11790672</v>
      </c>
      <c r="E1776" s="15">
        <v>13352326</v>
      </c>
      <c r="F1776" s="15">
        <v>4132</v>
      </c>
      <c r="G1776" s="8" t="s">
        <v>12324</v>
      </c>
      <c r="H1776" s="24" t="s">
        <v>6565</v>
      </c>
      <c r="I1776" s="25" t="s">
        <v>6475</v>
      </c>
      <c r="J1776" s="8" t="s">
        <v>6566</v>
      </c>
      <c r="K1776" s="8" t="s">
        <v>10054</v>
      </c>
      <c r="L1776" s="15">
        <v>-0.34240599999999999</v>
      </c>
      <c r="M1776" s="15">
        <v>0.25312899999999999</v>
      </c>
      <c r="N1776" s="15">
        <v>0.63597999999999999</v>
      </c>
    </row>
    <row r="1777" spans="1:14" x14ac:dyDescent="0.2">
      <c r="A1777" s="2" t="s">
        <v>10069</v>
      </c>
      <c r="B1777" s="15">
        <v>1252</v>
      </c>
      <c r="C1777" s="15">
        <v>8</v>
      </c>
      <c r="D1777" s="15">
        <v>12296850</v>
      </c>
      <c r="E1777" s="15">
        <v>12947935</v>
      </c>
      <c r="F1777" s="15">
        <v>1090</v>
      </c>
      <c r="G1777" s="8" t="s">
        <v>12324</v>
      </c>
      <c r="H1777" s="24" t="s">
        <v>662</v>
      </c>
      <c r="I1777" s="25" t="s">
        <v>663</v>
      </c>
      <c r="J1777" s="8" t="s">
        <v>664</v>
      </c>
      <c r="K1777" s="8" t="s">
        <v>10040</v>
      </c>
      <c r="L1777" s="15">
        <v>0.40939900000000001</v>
      </c>
      <c r="M1777" s="15">
        <v>0.254994</v>
      </c>
      <c r="N1777" s="15">
        <v>0.63640877321328082</v>
      </c>
    </row>
    <row r="1778" spans="1:14" x14ac:dyDescent="0.2">
      <c r="A1778" s="2" t="s">
        <v>10068</v>
      </c>
      <c r="B1778" s="15">
        <v>1089</v>
      </c>
      <c r="C1778" s="15">
        <v>6</v>
      </c>
      <c r="D1778" s="15">
        <v>165835954</v>
      </c>
      <c r="E1778" s="15">
        <v>166853325</v>
      </c>
      <c r="F1778" s="15">
        <v>3414</v>
      </c>
      <c r="G1778" s="8" t="s">
        <v>12324</v>
      </c>
      <c r="H1778" s="24" t="s">
        <v>1259</v>
      </c>
      <c r="I1778" s="25">
        <v>27096</v>
      </c>
      <c r="J1778" s="8" t="s">
        <v>1261</v>
      </c>
      <c r="K1778" s="8" t="s">
        <v>10040</v>
      </c>
      <c r="L1778" s="15">
        <v>0.242169</v>
      </c>
      <c r="M1778" s="15">
        <v>0.25472099999999998</v>
      </c>
      <c r="N1778" s="15">
        <v>0.63640877321328082</v>
      </c>
    </row>
    <row r="1779" spans="1:14" x14ac:dyDescent="0.2">
      <c r="A1779" s="2" t="s">
        <v>10068</v>
      </c>
      <c r="B1779" s="15">
        <v>36</v>
      </c>
      <c r="C1779" s="15">
        <v>1</v>
      </c>
      <c r="D1779" s="15">
        <v>38474037</v>
      </c>
      <c r="E1779" s="15">
        <v>40200950</v>
      </c>
      <c r="F1779" s="15">
        <v>3990</v>
      </c>
      <c r="G1779" s="8" t="s">
        <v>12324</v>
      </c>
      <c r="H1779" s="24" t="s">
        <v>6565</v>
      </c>
      <c r="I1779" s="25" t="s">
        <v>6475</v>
      </c>
      <c r="J1779" s="8" t="s">
        <v>6566</v>
      </c>
      <c r="K1779" s="8" t="s">
        <v>10054</v>
      </c>
      <c r="L1779" s="15">
        <v>-0.29414000000000001</v>
      </c>
      <c r="M1779" s="15">
        <v>0.25490600000000002</v>
      </c>
      <c r="N1779" s="15">
        <v>0.63640877321328082</v>
      </c>
    </row>
    <row r="1780" spans="1:14" x14ac:dyDescent="0.2">
      <c r="A1780" s="2" t="s">
        <v>10068</v>
      </c>
      <c r="B1780" s="15">
        <v>673</v>
      </c>
      <c r="C1780" s="15">
        <v>4</v>
      </c>
      <c r="D1780" s="15">
        <v>79880102</v>
      </c>
      <c r="E1780" s="15">
        <v>81206182</v>
      </c>
      <c r="F1780" s="15">
        <v>3146</v>
      </c>
      <c r="G1780" s="8" t="s">
        <v>12324</v>
      </c>
      <c r="H1780" s="24" t="s">
        <v>494</v>
      </c>
      <c r="I1780" s="25">
        <v>25920</v>
      </c>
      <c r="J1780" s="8" t="s">
        <v>496</v>
      </c>
      <c r="K1780" s="8" t="s">
        <v>10040</v>
      </c>
      <c r="L1780" s="15">
        <v>0.315052</v>
      </c>
      <c r="M1780" s="15">
        <v>0.25572099999999998</v>
      </c>
      <c r="N1780" s="15">
        <v>0.63749516273849605</v>
      </c>
    </row>
    <row r="1781" spans="1:14" x14ac:dyDescent="0.2">
      <c r="A1781" s="2" t="s">
        <v>10068</v>
      </c>
      <c r="B1781" s="15">
        <v>1381</v>
      </c>
      <c r="C1781" s="15">
        <v>9</v>
      </c>
      <c r="D1781" s="15">
        <v>8262304</v>
      </c>
      <c r="E1781" s="15">
        <v>9170120</v>
      </c>
      <c r="F1781" s="15">
        <v>3518</v>
      </c>
      <c r="G1781" s="8" t="s">
        <v>12324</v>
      </c>
      <c r="H1781" s="24" t="s">
        <v>599</v>
      </c>
      <c r="I1781" s="25">
        <v>26562</v>
      </c>
      <c r="J1781" s="8" t="s">
        <v>601</v>
      </c>
      <c r="K1781" s="8" t="s">
        <v>10040</v>
      </c>
      <c r="L1781" s="15">
        <v>-0.26899899999999999</v>
      </c>
      <c r="M1781" s="15">
        <v>0.25575100000000001</v>
      </c>
      <c r="N1781" s="15">
        <v>0.63749516273849605</v>
      </c>
    </row>
    <row r="1782" spans="1:14" x14ac:dyDescent="0.2">
      <c r="A1782" s="2" t="s">
        <v>10069</v>
      </c>
      <c r="B1782" s="15">
        <v>622</v>
      </c>
      <c r="C1782" s="15">
        <v>4</v>
      </c>
      <c r="D1782" s="15">
        <v>23858351</v>
      </c>
      <c r="E1782" s="15">
        <v>24764724</v>
      </c>
      <c r="F1782" s="15">
        <v>1435</v>
      </c>
      <c r="G1782" s="8" t="s">
        <v>12324</v>
      </c>
      <c r="H1782" s="24" t="s">
        <v>662</v>
      </c>
      <c r="I1782" s="25" t="s">
        <v>663</v>
      </c>
      <c r="J1782" s="8" t="s">
        <v>664</v>
      </c>
      <c r="K1782" s="8" t="s">
        <v>10040</v>
      </c>
      <c r="L1782" s="15">
        <v>0.37108999999999998</v>
      </c>
      <c r="M1782" s="15">
        <v>0.25605299999999998</v>
      </c>
      <c r="N1782" s="15">
        <v>0.63749516273849605</v>
      </c>
    </row>
    <row r="1783" spans="1:14" x14ac:dyDescent="0.2">
      <c r="A1783" s="2" t="s">
        <v>10068</v>
      </c>
      <c r="B1783" s="15">
        <v>1979</v>
      </c>
      <c r="C1783" s="15">
        <v>14</v>
      </c>
      <c r="D1783" s="15">
        <v>46748239</v>
      </c>
      <c r="E1783" s="15">
        <v>48177483</v>
      </c>
      <c r="F1783" s="15">
        <v>3561</v>
      </c>
      <c r="G1783" s="8" t="s">
        <v>12324</v>
      </c>
      <c r="H1783" s="24" t="s">
        <v>1259</v>
      </c>
      <c r="I1783" s="25">
        <v>27096</v>
      </c>
      <c r="J1783" s="8" t="s">
        <v>1261</v>
      </c>
      <c r="K1783" s="8" t="s">
        <v>10040</v>
      </c>
      <c r="L1783" s="15">
        <v>0.37436900000000001</v>
      </c>
      <c r="M1783" s="15">
        <v>0.25614799999999999</v>
      </c>
      <c r="N1783" s="15">
        <v>0.63749516273849605</v>
      </c>
    </row>
    <row r="1784" spans="1:14" x14ac:dyDescent="0.2">
      <c r="A1784" s="2" t="s">
        <v>10066</v>
      </c>
      <c r="B1784" s="15">
        <v>214</v>
      </c>
      <c r="C1784" s="15">
        <v>2</v>
      </c>
      <c r="D1784" s="15">
        <v>9960671</v>
      </c>
      <c r="E1784" s="15">
        <v>10611654</v>
      </c>
      <c r="F1784" s="15">
        <v>2463</v>
      </c>
      <c r="G1784" s="8" t="s">
        <v>12324</v>
      </c>
      <c r="H1784" s="24" t="s">
        <v>6008</v>
      </c>
      <c r="I1784" s="25" t="s">
        <v>6009</v>
      </c>
      <c r="J1784" s="8" t="s">
        <v>6010</v>
      </c>
      <c r="K1784" s="8" t="s">
        <v>10051</v>
      </c>
      <c r="L1784" s="15">
        <v>-0.39890599999999998</v>
      </c>
      <c r="M1784" s="15">
        <v>0.256106</v>
      </c>
      <c r="N1784" s="15">
        <v>0.63749516273849605</v>
      </c>
    </row>
    <row r="1785" spans="1:14" x14ac:dyDescent="0.2">
      <c r="A1785" s="2" t="s">
        <v>10068</v>
      </c>
      <c r="B1785" s="15">
        <v>2201</v>
      </c>
      <c r="C1785" s="15">
        <v>17</v>
      </c>
      <c r="D1785" s="15">
        <v>34474612</v>
      </c>
      <c r="E1785" s="15">
        <v>36116884</v>
      </c>
      <c r="F1785" s="15">
        <v>2615</v>
      </c>
      <c r="G1785" s="8" t="s">
        <v>12324</v>
      </c>
      <c r="H1785" s="24" t="s">
        <v>494</v>
      </c>
      <c r="I1785" s="25">
        <v>25920</v>
      </c>
      <c r="J1785" s="8" t="s">
        <v>496</v>
      </c>
      <c r="K1785" s="8" t="s">
        <v>10040</v>
      </c>
      <c r="L1785" s="15">
        <v>0.23285</v>
      </c>
      <c r="M1785" s="15">
        <v>0.25653399999999998</v>
      </c>
      <c r="N1785" s="15">
        <v>0.63758085850111856</v>
      </c>
    </row>
    <row r="1786" spans="1:14" x14ac:dyDescent="0.2">
      <c r="A1786" s="2" t="s">
        <v>10068</v>
      </c>
      <c r="B1786" s="15">
        <v>1916</v>
      </c>
      <c r="C1786" s="15">
        <v>13</v>
      </c>
      <c r="D1786" s="15">
        <v>76671494</v>
      </c>
      <c r="E1786" s="15">
        <v>77460044</v>
      </c>
      <c r="F1786" s="15">
        <v>2221</v>
      </c>
      <c r="G1786" s="8" t="s">
        <v>12324</v>
      </c>
      <c r="H1786" s="24" t="s">
        <v>1259</v>
      </c>
      <c r="I1786" s="25">
        <v>27096</v>
      </c>
      <c r="J1786" s="8" t="s">
        <v>1261</v>
      </c>
      <c r="K1786" s="8" t="s">
        <v>10040</v>
      </c>
      <c r="L1786" s="15">
        <v>0.30010500000000001</v>
      </c>
      <c r="M1786" s="15">
        <v>0.25668800000000003</v>
      </c>
      <c r="N1786" s="15">
        <v>0.63758085850111856</v>
      </c>
    </row>
    <row r="1787" spans="1:14" x14ac:dyDescent="0.2">
      <c r="A1787" s="2" t="s">
        <v>10068</v>
      </c>
      <c r="B1787" s="15">
        <v>1993</v>
      </c>
      <c r="C1787" s="15">
        <v>14</v>
      </c>
      <c r="D1787" s="15">
        <v>61652817</v>
      </c>
      <c r="E1787" s="15">
        <v>62717985</v>
      </c>
      <c r="F1787" s="15">
        <v>2776</v>
      </c>
      <c r="G1787" s="8" t="s">
        <v>12324</v>
      </c>
      <c r="H1787" s="24" t="s">
        <v>1259</v>
      </c>
      <c r="I1787" s="25">
        <v>27096</v>
      </c>
      <c r="J1787" s="8" t="s">
        <v>1261</v>
      </c>
      <c r="K1787" s="8" t="s">
        <v>10040</v>
      </c>
      <c r="L1787" s="15">
        <v>0.19972799999999999</v>
      </c>
      <c r="M1787" s="15">
        <v>0.257025</v>
      </c>
      <c r="N1787" s="15">
        <v>0.63758085850111856</v>
      </c>
    </row>
    <row r="1788" spans="1:14" x14ac:dyDescent="0.2">
      <c r="A1788" s="2" t="s">
        <v>10066</v>
      </c>
      <c r="B1788" s="15">
        <v>301</v>
      </c>
      <c r="C1788" s="15">
        <v>2</v>
      </c>
      <c r="D1788" s="15">
        <v>105120579</v>
      </c>
      <c r="E1788" s="15">
        <v>106546524</v>
      </c>
      <c r="F1788" s="15">
        <v>3916</v>
      </c>
      <c r="G1788" s="8" t="s">
        <v>12324</v>
      </c>
      <c r="H1788" s="24" t="s">
        <v>6008</v>
      </c>
      <c r="I1788" s="25" t="s">
        <v>6009</v>
      </c>
      <c r="J1788" s="8" t="s">
        <v>6010</v>
      </c>
      <c r="K1788" s="8" t="s">
        <v>10051</v>
      </c>
      <c r="L1788" s="15">
        <v>0.24168999999999999</v>
      </c>
      <c r="M1788" s="15">
        <v>0.25659599999999999</v>
      </c>
      <c r="N1788" s="15">
        <v>0.63758085850111856</v>
      </c>
    </row>
    <row r="1789" spans="1:14" x14ac:dyDescent="0.2">
      <c r="A1789" s="2" t="s">
        <v>10066</v>
      </c>
      <c r="B1789" s="15">
        <v>1770</v>
      </c>
      <c r="C1789" s="15">
        <v>12</v>
      </c>
      <c r="D1789" s="15">
        <v>29647194</v>
      </c>
      <c r="E1789" s="15">
        <v>30358377</v>
      </c>
      <c r="F1789" s="15">
        <v>2566</v>
      </c>
      <c r="G1789" s="8" t="s">
        <v>12324</v>
      </c>
      <c r="H1789" s="24" t="s">
        <v>6008</v>
      </c>
      <c r="I1789" s="25" t="s">
        <v>6009</v>
      </c>
      <c r="J1789" s="8" t="s">
        <v>6010</v>
      </c>
      <c r="K1789" s="8" t="s">
        <v>10051</v>
      </c>
      <c r="L1789" s="15">
        <v>-0.3473</v>
      </c>
      <c r="M1789" s="15">
        <v>0.25676599999999999</v>
      </c>
      <c r="N1789" s="15">
        <v>0.63758085850111856</v>
      </c>
    </row>
    <row r="1790" spans="1:14" x14ac:dyDescent="0.2">
      <c r="A1790" s="2" t="s">
        <v>10066</v>
      </c>
      <c r="B1790" s="15">
        <v>1821</v>
      </c>
      <c r="C1790" s="15">
        <v>12</v>
      </c>
      <c r="D1790" s="15">
        <v>88344765</v>
      </c>
      <c r="E1790" s="15">
        <v>90567001</v>
      </c>
      <c r="F1790" s="15">
        <v>3688</v>
      </c>
      <c r="G1790" s="8" t="s">
        <v>12324</v>
      </c>
      <c r="H1790" s="24" t="s">
        <v>6008</v>
      </c>
      <c r="I1790" s="25" t="s">
        <v>6009</v>
      </c>
      <c r="J1790" s="8" t="s">
        <v>6010</v>
      </c>
      <c r="K1790" s="8" t="s">
        <v>10051</v>
      </c>
      <c r="L1790" s="15">
        <v>0.30679400000000001</v>
      </c>
      <c r="M1790" s="15">
        <v>0.25704500000000002</v>
      </c>
      <c r="N1790" s="15">
        <v>0.63758085850111856</v>
      </c>
    </row>
    <row r="1791" spans="1:14" x14ac:dyDescent="0.2">
      <c r="A1791" s="2" t="s">
        <v>10068</v>
      </c>
      <c r="B1791" s="15">
        <v>2435</v>
      </c>
      <c r="C1791" s="15">
        <v>21</v>
      </c>
      <c r="D1791" s="15">
        <v>19479025</v>
      </c>
      <c r="E1791" s="15">
        <v>20407307</v>
      </c>
      <c r="F1791" s="15">
        <v>3161</v>
      </c>
      <c r="G1791" s="8" t="s">
        <v>12324</v>
      </c>
      <c r="H1791" s="24" t="s">
        <v>494</v>
      </c>
      <c r="I1791" s="25">
        <v>25920</v>
      </c>
      <c r="J1791" s="8" t="s">
        <v>496</v>
      </c>
      <c r="K1791" s="8" t="s">
        <v>10040</v>
      </c>
      <c r="L1791" s="15">
        <v>0.31620399999999999</v>
      </c>
      <c r="M1791" s="15">
        <v>0.25737500000000002</v>
      </c>
      <c r="N1791" s="15">
        <v>0.63789505859374995</v>
      </c>
    </row>
    <row r="1792" spans="1:14" x14ac:dyDescent="0.2">
      <c r="A1792" s="2" t="s">
        <v>10068</v>
      </c>
      <c r="B1792" s="15">
        <v>2321</v>
      </c>
      <c r="C1792" s="15">
        <v>19</v>
      </c>
      <c r="D1792" s="15">
        <v>13968320</v>
      </c>
      <c r="E1792" s="15">
        <v>14891100</v>
      </c>
      <c r="F1792" s="15">
        <v>2342</v>
      </c>
      <c r="G1792" s="8" t="s">
        <v>12324</v>
      </c>
      <c r="H1792" s="24" t="s">
        <v>494</v>
      </c>
      <c r="I1792" s="25">
        <v>25920</v>
      </c>
      <c r="J1792" s="8" t="s">
        <v>496</v>
      </c>
      <c r="K1792" s="8" t="s">
        <v>10040</v>
      </c>
      <c r="L1792" s="15">
        <v>-0.27491599999999999</v>
      </c>
      <c r="M1792" s="15">
        <v>0.25761499999999998</v>
      </c>
      <c r="N1792" s="15">
        <v>0.63789505859374995</v>
      </c>
    </row>
    <row r="1793" spans="1:14" x14ac:dyDescent="0.2">
      <c r="A1793" s="2" t="s">
        <v>10066</v>
      </c>
      <c r="B1793" s="15">
        <v>1893</v>
      </c>
      <c r="C1793" s="15">
        <v>13</v>
      </c>
      <c r="D1793" s="15">
        <v>50419897</v>
      </c>
      <c r="E1793" s="15">
        <v>51554236</v>
      </c>
      <c r="F1793" s="15">
        <v>2477</v>
      </c>
      <c r="G1793" s="8" t="s">
        <v>12324</v>
      </c>
      <c r="H1793" s="24" t="s">
        <v>3164</v>
      </c>
      <c r="I1793" s="25" t="s">
        <v>3165</v>
      </c>
      <c r="J1793" s="8" t="s">
        <v>3166</v>
      </c>
      <c r="K1793" s="8" t="s">
        <v>10042</v>
      </c>
      <c r="L1793" s="15">
        <v>0.39508900000000002</v>
      </c>
      <c r="M1793" s="15">
        <v>0.25773499999999999</v>
      </c>
      <c r="N1793" s="15">
        <v>0.63789505859374995</v>
      </c>
    </row>
    <row r="1794" spans="1:14" x14ac:dyDescent="0.2">
      <c r="A1794" s="2" t="s">
        <v>10066</v>
      </c>
      <c r="B1794" s="15">
        <v>2217</v>
      </c>
      <c r="C1794" s="15">
        <v>17</v>
      </c>
      <c r="D1794" s="15">
        <v>56245228</v>
      </c>
      <c r="E1794" s="15">
        <v>58652809</v>
      </c>
      <c r="F1794" s="15">
        <v>3413</v>
      </c>
      <c r="G1794" s="8" t="s">
        <v>12324</v>
      </c>
      <c r="H1794" s="24" t="s">
        <v>6008</v>
      </c>
      <c r="I1794" s="25" t="s">
        <v>6009</v>
      </c>
      <c r="J1794" s="8" t="s">
        <v>6010</v>
      </c>
      <c r="K1794" s="8" t="s">
        <v>10051</v>
      </c>
      <c r="L1794" s="15">
        <v>0.241318</v>
      </c>
      <c r="M1794" s="15">
        <v>0.257747</v>
      </c>
      <c r="N1794" s="15">
        <v>0.63789505859374995</v>
      </c>
    </row>
    <row r="1795" spans="1:14" x14ac:dyDescent="0.2">
      <c r="A1795" s="2" t="s">
        <v>10066</v>
      </c>
      <c r="B1795" s="15">
        <v>1404</v>
      </c>
      <c r="C1795" s="15">
        <v>9</v>
      </c>
      <c r="D1795" s="15">
        <v>27366480</v>
      </c>
      <c r="E1795" s="15">
        <v>28067454</v>
      </c>
      <c r="F1795" s="15">
        <v>2076</v>
      </c>
      <c r="G1795" s="8" t="s">
        <v>12324</v>
      </c>
      <c r="H1795" s="24" t="s">
        <v>3164</v>
      </c>
      <c r="I1795" s="25" t="s">
        <v>3165</v>
      </c>
      <c r="J1795" s="8" t="s">
        <v>3166</v>
      </c>
      <c r="K1795" s="8" t="s">
        <v>10042</v>
      </c>
      <c r="L1795" s="15">
        <v>0.24171300000000001</v>
      </c>
      <c r="M1795" s="15">
        <v>0.25822800000000001</v>
      </c>
      <c r="N1795" s="15">
        <v>0.63872904629113214</v>
      </c>
    </row>
    <row r="1796" spans="1:14" x14ac:dyDescent="0.2">
      <c r="A1796" s="2" t="s">
        <v>10068</v>
      </c>
      <c r="B1796" s="15">
        <v>734</v>
      </c>
      <c r="C1796" s="15">
        <v>4</v>
      </c>
      <c r="D1796" s="15">
        <v>149998529</v>
      </c>
      <c r="E1796" s="15">
        <v>151014322</v>
      </c>
      <c r="F1796" s="15">
        <v>2104</v>
      </c>
      <c r="G1796" s="8" t="s">
        <v>12324</v>
      </c>
      <c r="H1796" s="24" t="s">
        <v>494</v>
      </c>
      <c r="I1796" s="25">
        <v>25920</v>
      </c>
      <c r="J1796" s="8" t="s">
        <v>496</v>
      </c>
      <c r="K1796" s="8" t="s">
        <v>10040</v>
      </c>
      <c r="L1796" s="15">
        <v>0.38421</v>
      </c>
      <c r="M1796" s="15">
        <v>0.26041399999999998</v>
      </c>
      <c r="N1796" s="15">
        <v>0.63986962645268408</v>
      </c>
    </row>
    <row r="1797" spans="1:14" x14ac:dyDescent="0.2">
      <c r="A1797" s="2" t="s">
        <v>10068</v>
      </c>
      <c r="B1797" s="15">
        <v>2231</v>
      </c>
      <c r="C1797" s="15">
        <v>17</v>
      </c>
      <c r="D1797" s="15">
        <v>74908267</v>
      </c>
      <c r="E1797" s="15">
        <v>75619256</v>
      </c>
      <c r="F1797" s="15">
        <v>2646</v>
      </c>
      <c r="G1797" s="8" t="s">
        <v>12324</v>
      </c>
      <c r="H1797" s="24" t="s">
        <v>494</v>
      </c>
      <c r="I1797" s="25">
        <v>25920</v>
      </c>
      <c r="J1797" s="8" t="s">
        <v>496</v>
      </c>
      <c r="K1797" s="8" t="s">
        <v>10040</v>
      </c>
      <c r="L1797" s="15">
        <v>0.20319599999999999</v>
      </c>
      <c r="M1797" s="15">
        <v>0.26070900000000002</v>
      </c>
      <c r="N1797" s="15">
        <v>0.63986962645268408</v>
      </c>
    </row>
    <row r="1798" spans="1:14" x14ac:dyDescent="0.2">
      <c r="A1798" s="2" t="s">
        <v>10068</v>
      </c>
      <c r="B1798" s="15">
        <v>2353</v>
      </c>
      <c r="C1798" s="15">
        <v>19</v>
      </c>
      <c r="D1798" s="15">
        <v>46765061</v>
      </c>
      <c r="E1798" s="15">
        <v>47752727</v>
      </c>
      <c r="F1798" s="15">
        <v>2450</v>
      </c>
      <c r="G1798" s="8" t="s">
        <v>12324</v>
      </c>
      <c r="H1798" s="24" t="s">
        <v>599</v>
      </c>
      <c r="I1798" s="25">
        <v>26562</v>
      </c>
      <c r="J1798" s="8" t="s">
        <v>601</v>
      </c>
      <c r="K1798" s="8" t="s">
        <v>10040</v>
      </c>
      <c r="L1798" s="15">
        <v>-0.17927499999999999</v>
      </c>
      <c r="M1798" s="15">
        <v>0.25904300000000002</v>
      </c>
      <c r="N1798" s="15">
        <v>0.63986962645268408</v>
      </c>
    </row>
    <row r="1799" spans="1:14" x14ac:dyDescent="0.2">
      <c r="A1799" s="2" t="s">
        <v>10068</v>
      </c>
      <c r="B1799" s="15">
        <v>1756</v>
      </c>
      <c r="C1799" s="15">
        <v>12</v>
      </c>
      <c r="D1799" s="15">
        <v>16136743</v>
      </c>
      <c r="E1799" s="15">
        <v>17374895</v>
      </c>
      <c r="F1799" s="15">
        <v>2289</v>
      </c>
      <c r="G1799" s="8" t="s">
        <v>12324</v>
      </c>
      <c r="H1799" s="24" t="s">
        <v>599</v>
      </c>
      <c r="I1799" s="25">
        <v>26562</v>
      </c>
      <c r="J1799" s="8" t="s">
        <v>601</v>
      </c>
      <c r="K1799" s="8" t="s">
        <v>10040</v>
      </c>
      <c r="L1799" s="15">
        <v>0.21073700000000001</v>
      </c>
      <c r="M1799" s="15">
        <v>0.25956400000000002</v>
      </c>
      <c r="N1799" s="15">
        <v>0.63986962645268408</v>
      </c>
    </row>
    <row r="1800" spans="1:14" x14ac:dyDescent="0.2">
      <c r="A1800" s="2" t="s">
        <v>10068</v>
      </c>
      <c r="B1800" s="15">
        <v>1143</v>
      </c>
      <c r="C1800" s="15">
        <v>7</v>
      </c>
      <c r="D1800" s="15">
        <v>47253455</v>
      </c>
      <c r="E1800" s="15">
        <v>48363585</v>
      </c>
      <c r="F1800" s="15">
        <v>3192</v>
      </c>
      <c r="G1800" s="8" t="s">
        <v>12324</v>
      </c>
      <c r="H1800" s="24" t="s">
        <v>599</v>
      </c>
      <c r="I1800" s="25">
        <v>26562</v>
      </c>
      <c r="J1800" s="8" t="s">
        <v>601</v>
      </c>
      <c r="K1800" s="8" t="s">
        <v>10040</v>
      </c>
      <c r="L1800" s="15">
        <v>0.28435300000000002</v>
      </c>
      <c r="M1800" s="15">
        <v>0.26048300000000002</v>
      </c>
      <c r="N1800" s="15">
        <v>0.63986962645268408</v>
      </c>
    </row>
    <row r="1801" spans="1:14" x14ac:dyDescent="0.2">
      <c r="A1801" s="2" t="s">
        <v>10068</v>
      </c>
      <c r="B1801" s="15">
        <v>1467</v>
      </c>
      <c r="C1801" s="15">
        <v>9</v>
      </c>
      <c r="D1801" s="15">
        <v>122677720</v>
      </c>
      <c r="E1801" s="15">
        <v>124119883</v>
      </c>
      <c r="F1801" s="15">
        <v>2421</v>
      </c>
      <c r="G1801" s="8" t="s">
        <v>12324</v>
      </c>
      <c r="H1801" s="24" t="s">
        <v>599</v>
      </c>
      <c r="I1801" s="25">
        <v>26562</v>
      </c>
      <c r="J1801" s="8" t="s">
        <v>601</v>
      </c>
      <c r="K1801" s="8" t="s">
        <v>10040</v>
      </c>
      <c r="L1801" s="15">
        <v>-0.36063899999999999</v>
      </c>
      <c r="M1801" s="15">
        <v>0.26050200000000001</v>
      </c>
      <c r="N1801" s="15">
        <v>0.63986962645268408</v>
      </c>
    </row>
    <row r="1802" spans="1:14" x14ac:dyDescent="0.2">
      <c r="A1802" s="2" t="s">
        <v>10068</v>
      </c>
      <c r="B1802" s="15">
        <v>547</v>
      </c>
      <c r="C1802" s="15">
        <v>3</v>
      </c>
      <c r="D1802" s="15">
        <v>144408822</v>
      </c>
      <c r="E1802" s="15">
        <v>145211907</v>
      </c>
      <c r="F1802" s="15">
        <v>2284</v>
      </c>
      <c r="G1802" s="8" t="s">
        <v>12324</v>
      </c>
      <c r="H1802" s="24" t="s">
        <v>599</v>
      </c>
      <c r="I1802" s="25">
        <v>26562</v>
      </c>
      <c r="J1802" s="8" t="s">
        <v>601</v>
      </c>
      <c r="K1802" s="8" t="s">
        <v>10040</v>
      </c>
      <c r="L1802" s="15">
        <v>-0.30646499999999999</v>
      </c>
      <c r="M1802" s="15">
        <v>0.26060899999999998</v>
      </c>
      <c r="N1802" s="15">
        <v>0.63986962645268408</v>
      </c>
    </row>
    <row r="1803" spans="1:14" x14ac:dyDescent="0.2">
      <c r="A1803" s="2" t="s">
        <v>10069</v>
      </c>
      <c r="B1803" s="15">
        <v>676</v>
      </c>
      <c r="C1803" s="15">
        <v>4</v>
      </c>
      <c r="D1803" s="15">
        <v>84003063</v>
      </c>
      <c r="E1803" s="15">
        <v>85437805</v>
      </c>
      <c r="F1803" s="15">
        <v>2310</v>
      </c>
      <c r="G1803" s="8" t="s">
        <v>12324</v>
      </c>
      <c r="H1803" s="24" t="s">
        <v>662</v>
      </c>
      <c r="I1803" s="25" t="s">
        <v>663</v>
      </c>
      <c r="J1803" s="8" t="s">
        <v>664</v>
      </c>
      <c r="K1803" s="8" t="s">
        <v>10040</v>
      </c>
      <c r="L1803" s="15">
        <v>0.31680799999999998</v>
      </c>
      <c r="M1803" s="15">
        <v>0.25991999999999998</v>
      </c>
      <c r="N1803" s="15">
        <v>0.63986962645268408</v>
      </c>
    </row>
    <row r="1804" spans="1:14" x14ac:dyDescent="0.2">
      <c r="A1804" s="2" t="s">
        <v>10066</v>
      </c>
      <c r="B1804" s="15">
        <v>2328</v>
      </c>
      <c r="C1804" s="15">
        <v>19</v>
      </c>
      <c r="D1804" s="15">
        <v>19749167</v>
      </c>
      <c r="E1804" s="15">
        <v>20485499</v>
      </c>
      <c r="F1804" s="15">
        <v>2397</v>
      </c>
      <c r="G1804" s="8" t="s">
        <v>12324</v>
      </c>
      <c r="H1804" s="24" t="s">
        <v>3164</v>
      </c>
      <c r="I1804" s="25" t="s">
        <v>3165</v>
      </c>
      <c r="J1804" s="8" t="s">
        <v>3166</v>
      </c>
      <c r="K1804" s="8" t="s">
        <v>10042</v>
      </c>
      <c r="L1804" s="15">
        <v>0.38478899999999999</v>
      </c>
      <c r="M1804" s="15">
        <v>0.25964799999999999</v>
      </c>
      <c r="N1804" s="15">
        <v>0.63986962645268408</v>
      </c>
    </row>
    <row r="1805" spans="1:14" x14ac:dyDescent="0.2">
      <c r="A1805" s="2" t="s">
        <v>10066</v>
      </c>
      <c r="B1805" s="15">
        <v>122</v>
      </c>
      <c r="C1805" s="15">
        <v>1</v>
      </c>
      <c r="D1805" s="15">
        <v>164726580</v>
      </c>
      <c r="E1805" s="15">
        <v>165553812</v>
      </c>
      <c r="F1805" s="15">
        <v>2328</v>
      </c>
      <c r="G1805" s="8" t="s">
        <v>12324</v>
      </c>
      <c r="H1805" s="24" t="s">
        <v>3164</v>
      </c>
      <c r="I1805" s="25" t="s">
        <v>3165</v>
      </c>
      <c r="J1805" s="8" t="s">
        <v>3166</v>
      </c>
      <c r="K1805" s="8" t="s">
        <v>10042</v>
      </c>
      <c r="L1805" s="15">
        <v>-0.36716300000000002</v>
      </c>
      <c r="M1805" s="15">
        <v>0.26027299999999998</v>
      </c>
      <c r="N1805" s="15">
        <v>0.63986962645268408</v>
      </c>
    </row>
    <row r="1806" spans="1:14" x14ac:dyDescent="0.2">
      <c r="A1806" s="2" t="s">
        <v>10066</v>
      </c>
      <c r="B1806" s="15">
        <v>795</v>
      </c>
      <c r="C1806" s="15">
        <v>5</v>
      </c>
      <c r="D1806" s="15">
        <v>21211400</v>
      </c>
      <c r="E1806" s="15">
        <v>22149042</v>
      </c>
      <c r="F1806" s="15">
        <v>2101</v>
      </c>
      <c r="G1806" s="8" t="s">
        <v>12324</v>
      </c>
      <c r="H1806" s="24" t="s">
        <v>3164</v>
      </c>
      <c r="I1806" s="25" t="s">
        <v>3165</v>
      </c>
      <c r="J1806" s="8" t="s">
        <v>3166</v>
      </c>
      <c r="K1806" s="8" t="s">
        <v>10042</v>
      </c>
      <c r="L1806" s="15">
        <v>-0.44562499999999999</v>
      </c>
      <c r="M1806" s="15">
        <v>0.26041500000000001</v>
      </c>
      <c r="N1806" s="15">
        <v>0.63986962645268408</v>
      </c>
    </row>
    <row r="1807" spans="1:14" x14ac:dyDescent="0.2">
      <c r="A1807" s="2" t="s">
        <v>10066</v>
      </c>
      <c r="B1807" s="15">
        <v>2320</v>
      </c>
      <c r="C1807" s="15">
        <v>19</v>
      </c>
      <c r="D1807" s="15">
        <v>13213187</v>
      </c>
      <c r="E1807" s="15">
        <v>13968319</v>
      </c>
      <c r="F1807" s="15">
        <v>2123</v>
      </c>
      <c r="G1807" s="8" t="s">
        <v>12324</v>
      </c>
      <c r="H1807" s="24" t="s">
        <v>6008</v>
      </c>
      <c r="I1807" s="25" t="s">
        <v>6009</v>
      </c>
      <c r="J1807" s="8" t="s">
        <v>6010</v>
      </c>
      <c r="K1807" s="8" t="s">
        <v>10051</v>
      </c>
      <c r="L1807" s="15">
        <v>0.24920600000000001</v>
      </c>
      <c r="M1807" s="15">
        <v>0.25884099999999999</v>
      </c>
      <c r="N1807" s="15">
        <v>0.63986962645268408</v>
      </c>
    </row>
    <row r="1808" spans="1:14" x14ac:dyDescent="0.2">
      <c r="A1808" s="2" t="s">
        <v>10066</v>
      </c>
      <c r="B1808" s="15">
        <v>852</v>
      </c>
      <c r="C1808" s="15">
        <v>5</v>
      </c>
      <c r="D1808" s="15">
        <v>91956906</v>
      </c>
      <c r="E1808" s="15">
        <v>93814604</v>
      </c>
      <c r="F1808" s="15">
        <v>2637</v>
      </c>
      <c r="G1808" s="8" t="s">
        <v>12324</v>
      </c>
      <c r="H1808" s="24" t="s">
        <v>6008</v>
      </c>
      <c r="I1808" s="25" t="s">
        <v>6009</v>
      </c>
      <c r="J1808" s="8" t="s">
        <v>6010</v>
      </c>
      <c r="K1808" s="8" t="s">
        <v>10051</v>
      </c>
      <c r="L1808" s="15">
        <v>-0.26861600000000002</v>
      </c>
      <c r="M1808" s="15">
        <v>0.25957999999999998</v>
      </c>
      <c r="N1808" s="15">
        <v>0.63986962645268408</v>
      </c>
    </row>
    <row r="1809" spans="1:14" x14ac:dyDescent="0.2">
      <c r="A1809" s="2" t="s">
        <v>10066</v>
      </c>
      <c r="B1809" s="15">
        <v>1952</v>
      </c>
      <c r="C1809" s="15">
        <v>13</v>
      </c>
      <c r="D1809" s="15">
        <v>113573119</v>
      </c>
      <c r="E1809" s="15">
        <v>114302561</v>
      </c>
      <c r="F1809" s="15">
        <v>2203</v>
      </c>
      <c r="G1809" s="8" t="s">
        <v>12324</v>
      </c>
      <c r="H1809" s="24" t="s">
        <v>6008</v>
      </c>
      <c r="I1809" s="25" t="s">
        <v>6009</v>
      </c>
      <c r="J1809" s="8" t="s">
        <v>6010</v>
      </c>
      <c r="K1809" s="8" t="s">
        <v>10051</v>
      </c>
      <c r="L1809" s="15">
        <v>0.204073</v>
      </c>
      <c r="M1809" s="15">
        <v>0.26024700000000001</v>
      </c>
      <c r="N1809" s="15">
        <v>0.63986962645268408</v>
      </c>
    </row>
    <row r="1810" spans="1:14" x14ac:dyDescent="0.2">
      <c r="A1810" s="2" t="s">
        <v>10068</v>
      </c>
      <c r="B1810" s="15">
        <v>2324</v>
      </c>
      <c r="C1810" s="15">
        <v>19</v>
      </c>
      <c r="D1810" s="15">
        <v>16079007</v>
      </c>
      <c r="E1810" s="15">
        <v>17045963</v>
      </c>
      <c r="F1810" s="15">
        <v>2508</v>
      </c>
      <c r="G1810" s="8" t="s">
        <v>12324</v>
      </c>
      <c r="H1810" s="24" t="s">
        <v>1259</v>
      </c>
      <c r="I1810" s="25">
        <v>27096</v>
      </c>
      <c r="J1810" s="8" t="s">
        <v>1261</v>
      </c>
      <c r="K1810" s="8" t="s">
        <v>10040</v>
      </c>
      <c r="L1810" s="15">
        <v>0.29252299999999998</v>
      </c>
      <c r="M1810" s="15">
        <v>0.26113799999999998</v>
      </c>
      <c r="N1810" s="15">
        <v>0.64027768933112217</v>
      </c>
    </row>
    <row r="1811" spans="1:14" x14ac:dyDescent="0.2">
      <c r="A1811" s="2" t="s">
        <v>10066</v>
      </c>
      <c r="B1811" s="15">
        <v>779</v>
      </c>
      <c r="C1811" s="15">
        <v>5</v>
      </c>
      <c r="D1811" s="15">
        <v>2960069</v>
      </c>
      <c r="E1811" s="15">
        <v>3677595</v>
      </c>
      <c r="F1811" s="15">
        <v>3308</v>
      </c>
      <c r="G1811" s="8" t="s">
        <v>12324</v>
      </c>
      <c r="H1811" s="24" t="s">
        <v>3164</v>
      </c>
      <c r="I1811" s="25" t="s">
        <v>3165</v>
      </c>
      <c r="J1811" s="8" t="s">
        <v>3166</v>
      </c>
      <c r="K1811" s="8" t="s">
        <v>10042</v>
      </c>
      <c r="L1811" s="15">
        <v>-0.155914</v>
      </c>
      <c r="M1811" s="15">
        <v>0.26116400000000001</v>
      </c>
      <c r="N1811" s="15">
        <v>0.64027768933112217</v>
      </c>
    </row>
    <row r="1812" spans="1:14" x14ac:dyDescent="0.2">
      <c r="A1812" s="2" t="s">
        <v>10068</v>
      </c>
      <c r="B1812" s="15">
        <v>2412</v>
      </c>
      <c r="C1812" s="15">
        <v>20</v>
      </c>
      <c r="D1812" s="15">
        <v>48212976</v>
      </c>
      <c r="E1812" s="15">
        <v>49236418</v>
      </c>
      <c r="F1812" s="15">
        <v>2745</v>
      </c>
      <c r="G1812" s="8" t="s">
        <v>12324</v>
      </c>
      <c r="H1812" s="24" t="s">
        <v>1259</v>
      </c>
      <c r="I1812" s="25">
        <v>27096</v>
      </c>
      <c r="J1812" s="8" t="s">
        <v>1261</v>
      </c>
      <c r="K1812" s="8" t="s">
        <v>10040</v>
      </c>
      <c r="L1812" s="15">
        <v>0.33126800000000001</v>
      </c>
      <c r="M1812" s="15">
        <v>0.26134000000000002</v>
      </c>
      <c r="N1812" s="15">
        <v>0.64035519337016578</v>
      </c>
    </row>
    <row r="1813" spans="1:14" x14ac:dyDescent="0.2">
      <c r="A1813" s="2" t="s">
        <v>10068</v>
      </c>
      <c r="B1813" s="15">
        <v>2326</v>
      </c>
      <c r="C1813" s="15">
        <v>19</v>
      </c>
      <c r="D1813" s="15">
        <v>17750519</v>
      </c>
      <c r="E1813" s="15">
        <v>18504867</v>
      </c>
      <c r="F1813" s="15">
        <v>2318</v>
      </c>
      <c r="G1813" s="8" t="s">
        <v>12324</v>
      </c>
      <c r="H1813" s="24" t="s">
        <v>1259</v>
      </c>
      <c r="I1813" s="25">
        <v>27096</v>
      </c>
      <c r="J1813" s="8" t="s">
        <v>1261</v>
      </c>
      <c r="K1813" s="8" t="s">
        <v>10040</v>
      </c>
      <c r="L1813" s="15">
        <v>0.256934</v>
      </c>
      <c r="M1813" s="15">
        <v>0.26161200000000001</v>
      </c>
      <c r="N1813" s="15">
        <v>0.64060295253863142</v>
      </c>
    </row>
    <row r="1814" spans="1:14" x14ac:dyDescent="0.2">
      <c r="A1814" s="2" t="s">
        <v>10066</v>
      </c>
      <c r="B1814" s="15">
        <v>521</v>
      </c>
      <c r="C1814" s="15">
        <v>3</v>
      </c>
      <c r="D1814" s="15">
        <v>116498571</v>
      </c>
      <c r="E1814" s="15">
        <v>117241644</v>
      </c>
      <c r="F1814" s="15">
        <v>2118</v>
      </c>
      <c r="G1814" s="8" t="s">
        <v>12324</v>
      </c>
      <c r="H1814" s="24" t="s">
        <v>3164</v>
      </c>
      <c r="I1814" s="25" t="s">
        <v>3165</v>
      </c>
      <c r="J1814" s="8" t="s">
        <v>3166</v>
      </c>
      <c r="K1814" s="8" t="s">
        <v>10042</v>
      </c>
      <c r="L1814" s="15">
        <v>-0.21382499999999999</v>
      </c>
      <c r="M1814" s="15">
        <v>0.26173000000000002</v>
      </c>
      <c r="N1814" s="15">
        <v>0.64060295253863142</v>
      </c>
    </row>
    <row r="1815" spans="1:14" x14ac:dyDescent="0.2">
      <c r="A1815" s="2" t="s">
        <v>10068</v>
      </c>
      <c r="B1815" s="15">
        <v>2365</v>
      </c>
      <c r="C1815" s="15">
        <v>19</v>
      </c>
      <c r="D1815" s="15">
        <v>55714086</v>
      </c>
      <c r="E1815" s="15">
        <v>56411086</v>
      </c>
      <c r="F1815" s="15">
        <v>2285</v>
      </c>
      <c r="G1815" s="8" t="s">
        <v>12324</v>
      </c>
      <c r="H1815" s="24" t="s">
        <v>599</v>
      </c>
      <c r="I1815" s="25">
        <v>26562</v>
      </c>
      <c r="J1815" s="8" t="s">
        <v>601</v>
      </c>
      <c r="K1815" s="8" t="s">
        <v>10040</v>
      </c>
      <c r="L1815" s="15">
        <v>-0.286972</v>
      </c>
      <c r="M1815" s="15">
        <v>0.26270399999999999</v>
      </c>
      <c r="N1815" s="15">
        <v>0.64132928257284227</v>
      </c>
    </row>
    <row r="1816" spans="1:14" x14ac:dyDescent="0.2">
      <c r="A1816" s="2" t="s">
        <v>10069</v>
      </c>
      <c r="B1816" s="15">
        <v>556</v>
      </c>
      <c r="C1816" s="15">
        <v>3</v>
      </c>
      <c r="D1816" s="15">
        <v>155046424</v>
      </c>
      <c r="E1816" s="15">
        <v>155928190</v>
      </c>
      <c r="F1816" s="15">
        <v>1282</v>
      </c>
      <c r="G1816" s="8" t="s">
        <v>12324</v>
      </c>
      <c r="H1816" s="24" t="s">
        <v>662</v>
      </c>
      <c r="I1816" s="25" t="s">
        <v>663</v>
      </c>
      <c r="J1816" s="8" t="s">
        <v>664</v>
      </c>
      <c r="K1816" s="8" t="s">
        <v>10040</v>
      </c>
      <c r="L1816" s="15">
        <v>-0.42056399999999999</v>
      </c>
      <c r="M1816" s="15">
        <v>0.26247399999999999</v>
      </c>
      <c r="N1816" s="15">
        <v>0.64132928257284227</v>
      </c>
    </row>
    <row r="1817" spans="1:14" x14ac:dyDescent="0.2">
      <c r="A1817" s="2" t="s">
        <v>10068</v>
      </c>
      <c r="B1817" s="15">
        <v>1314</v>
      </c>
      <c r="C1817" s="15">
        <v>8</v>
      </c>
      <c r="D1817" s="15">
        <v>79756170</v>
      </c>
      <c r="E1817" s="15">
        <v>81340231</v>
      </c>
      <c r="F1817" s="15">
        <v>3871</v>
      </c>
      <c r="G1817" s="8" t="s">
        <v>12324</v>
      </c>
      <c r="H1817" s="24" t="s">
        <v>1259</v>
      </c>
      <c r="I1817" s="25">
        <v>27096</v>
      </c>
      <c r="J1817" s="8" t="s">
        <v>1261</v>
      </c>
      <c r="K1817" s="8" t="s">
        <v>10040</v>
      </c>
      <c r="L1817" s="15">
        <v>0.30319600000000002</v>
      </c>
      <c r="M1817" s="15">
        <v>0.26303900000000002</v>
      </c>
      <c r="N1817" s="15">
        <v>0.64132928257284227</v>
      </c>
    </row>
    <row r="1818" spans="1:14" x14ac:dyDescent="0.2">
      <c r="A1818" s="2" t="s">
        <v>10066</v>
      </c>
      <c r="B1818" s="15">
        <v>2333</v>
      </c>
      <c r="C1818" s="15">
        <v>19</v>
      </c>
      <c r="D1818" s="15">
        <v>23468993</v>
      </c>
      <c r="E1818" s="15">
        <v>24567341</v>
      </c>
      <c r="F1818" s="15">
        <v>3187</v>
      </c>
      <c r="G1818" s="8" t="s">
        <v>12324</v>
      </c>
      <c r="H1818" s="24" t="s">
        <v>3164</v>
      </c>
      <c r="I1818" s="25" t="s">
        <v>3165</v>
      </c>
      <c r="J1818" s="8" t="s">
        <v>3166</v>
      </c>
      <c r="K1818" s="8" t="s">
        <v>10042</v>
      </c>
      <c r="L1818" s="15">
        <v>-0.441577</v>
      </c>
      <c r="M1818" s="15">
        <v>0.26230100000000001</v>
      </c>
      <c r="N1818" s="15">
        <v>0.64132928257284227</v>
      </c>
    </row>
    <row r="1819" spans="1:14" x14ac:dyDescent="0.2">
      <c r="A1819" s="2" t="s">
        <v>10066</v>
      </c>
      <c r="B1819" s="15">
        <v>1652</v>
      </c>
      <c r="C1819" s="15">
        <v>11</v>
      </c>
      <c r="D1819" s="15">
        <v>39329141</v>
      </c>
      <c r="E1819" s="15">
        <v>40362940</v>
      </c>
      <c r="F1819" s="15">
        <v>2572</v>
      </c>
      <c r="G1819" s="8" t="s">
        <v>12324</v>
      </c>
      <c r="H1819" s="24" t="s">
        <v>6008</v>
      </c>
      <c r="I1819" s="25" t="s">
        <v>6009</v>
      </c>
      <c r="J1819" s="8" t="s">
        <v>6010</v>
      </c>
      <c r="K1819" s="8" t="s">
        <v>10051</v>
      </c>
      <c r="L1819" s="15">
        <v>0.326822</v>
      </c>
      <c r="M1819" s="15">
        <v>0.26277800000000001</v>
      </c>
      <c r="N1819" s="15">
        <v>0.64132928257284227</v>
      </c>
    </row>
    <row r="1820" spans="1:14" x14ac:dyDescent="0.2">
      <c r="A1820" s="2" t="s">
        <v>10066</v>
      </c>
      <c r="B1820" s="15">
        <v>2083</v>
      </c>
      <c r="C1820" s="15">
        <v>15</v>
      </c>
      <c r="D1820" s="15">
        <v>82191078</v>
      </c>
      <c r="E1820" s="15">
        <v>84209760</v>
      </c>
      <c r="F1820" s="15">
        <v>2841</v>
      </c>
      <c r="G1820" s="8" t="s">
        <v>12324</v>
      </c>
      <c r="H1820" s="24" t="s">
        <v>6008</v>
      </c>
      <c r="I1820" s="25" t="s">
        <v>6009</v>
      </c>
      <c r="J1820" s="8" t="s">
        <v>6010</v>
      </c>
      <c r="K1820" s="8" t="s">
        <v>10051</v>
      </c>
      <c r="L1820" s="15">
        <v>0.43482999999999999</v>
      </c>
      <c r="M1820" s="15">
        <v>0.26303300000000002</v>
      </c>
      <c r="N1820" s="15">
        <v>0.64132928257284227</v>
      </c>
    </row>
    <row r="1821" spans="1:14" x14ac:dyDescent="0.2">
      <c r="A1821" s="2" t="s">
        <v>10068</v>
      </c>
      <c r="B1821" s="15">
        <v>1064</v>
      </c>
      <c r="C1821" s="15">
        <v>6</v>
      </c>
      <c r="D1821" s="15">
        <v>138825722</v>
      </c>
      <c r="E1821" s="15">
        <v>139716713</v>
      </c>
      <c r="F1821" s="15">
        <v>2452</v>
      </c>
      <c r="G1821" s="8" t="s">
        <v>12324</v>
      </c>
      <c r="H1821" s="24" t="s">
        <v>6565</v>
      </c>
      <c r="I1821" s="25" t="s">
        <v>6475</v>
      </c>
      <c r="J1821" s="8" t="s">
        <v>6566</v>
      </c>
      <c r="K1821" s="8" t="s">
        <v>10054</v>
      </c>
      <c r="L1821" s="15">
        <v>-0.19172900000000001</v>
      </c>
      <c r="M1821" s="15">
        <v>0.262627</v>
      </c>
      <c r="N1821" s="15">
        <v>0.64132928257284227</v>
      </c>
    </row>
    <row r="1822" spans="1:14" x14ac:dyDescent="0.2">
      <c r="A1822" s="2" t="s">
        <v>10068</v>
      </c>
      <c r="B1822" s="15">
        <v>1328</v>
      </c>
      <c r="C1822" s="15">
        <v>8</v>
      </c>
      <c r="D1822" s="15">
        <v>98132520</v>
      </c>
      <c r="E1822" s="15">
        <v>99388944</v>
      </c>
      <c r="F1822" s="15">
        <v>3229</v>
      </c>
      <c r="G1822" s="8" t="s">
        <v>12324</v>
      </c>
      <c r="H1822" s="24" t="s">
        <v>1259</v>
      </c>
      <c r="I1822" s="25">
        <v>27096</v>
      </c>
      <c r="J1822" s="8" t="s">
        <v>1261</v>
      </c>
      <c r="K1822" s="8" t="s">
        <v>10040</v>
      </c>
      <c r="L1822" s="15">
        <v>0.26976600000000001</v>
      </c>
      <c r="M1822" s="15">
        <v>0.26346399999999998</v>
      </c>
      <c r="N1822" s="15">
        <v>0.64201254945054931</v>
      </c>
    </row>
    <row r="1823" spans="1:14" x14ac:dyDescent="0.2">
      <c r="A1823" s="2" t="s">
        <v>10066</v>
      </c>
      <c r="B1823" s="15">
        <v>1412</v>
      </c>
      <c r="C1823" s="15">
        <v>9</v>
      </c>
      <c r="D1823" s="15">
        <v>34704545</v>
      </c>
      <c r="E1823" s="15">
        <v>36749273</v>
      </c>
      <c r="F1823" s="15">
        <v>3969</v>
      </c>
      <c r="G1823" s="8" t="s">
        <v>12324</v>
      </c>
      <c r="H1823" s="24" t="s">
        <v>6008</v>
      </c>
      <c r="I1823" s="25" t="s">
        <v>6009</v>
      </c>
      <c r="J1823" s="8" t="s">
        <v>6010</v>
      </c>
      <c r="K1823" s="8" t="s">
        <v>10051</v>
      </c>
      <c r="L1823" s="15">
        <v>-0.31781399999999999</v>
      </c>
      <c r="M1823" s="15">
        <v>0.264376</v>
      </c>
      <c r="N1823" s="15">
        <v>0.64371517837541159</v>
      </c>
    </row>
    <row r="1824" spans="1:14" x14ac:dyDescent="0.2">
      <c r="A1824" s="2" t="s">
        <v>10066</v>
      </c>
      <c r="B1824" s="15">
        <v>1502</v>
      </c>
      <c r="C1824" s="15">
        <v>10</v>
      </c>
      <c r="D1824" s="15">
        <v>14008136</v>
      </c>
      <c r="E1824" s="15">
        <v>14820755</v>
      </c>
      <c r="F1824" s="15">
        <v>2923</v>
      </c>
      <c r="G1824" s="8" t="s">
        <v>12324</v>
      </c>
      <c r="H1824" s="24" t="s">
        <v>6008</v>
      </c>
      <c r="I1824" s="25" t="s">
        <v>6009</v>
      </c>
      <c r="J1824" s="8" t="s">
        <v>6010</v>
      </c>
      <c r="K1824" s="8" t="s">
        <v>10051</v>
      </c>
      <c r="L1824" s="15">
        <v>0.25258900000000001</v>
      </c>
      <c r="M1824" s="15">
        <v>0.26445299999999999</v>
      </c>
      <c r="N1824" s="15">
        <v>0.64371517837541159</v>
      </c>
    </row>
    <row r="1825" spans="1:14" x14ac:dyDescent="0.2">
      <c r="A1825" s="2" t="s">
        <v>10066</v>
      </c>
      <c r="B1825" s="15">
        <v>1474</v>
      </c>
      <c r="C1825" s="15">
        <v>9</v>
      </c>
      <c r="D1825" s="15">
        <v>130902728</v>
      </c>
      <c r="E1825" s="15">
        <v>132193798</v>
      </c>
      <c r="F1825" s="15">
        <v>2362</v>
      </c>
      <c r="G1825" s="8" t="s">
        <v>12324</v>
      </c>
      <c r="H1825" s="24" t="s">
        <v>6008</v>
      </c>
      <c r="I1825" s="25" t="s">
        <v>6009</v>
      </c>
      <c r="J1825" s="8" t="s">
        <v>6010</v>
      </c>
      <c r="K1825" s="8" t="s">
        <v>10051</v>
      </c>
      <c r="L1825" s="15">
        <v>0.14568300000000001</v>
      </c>
      <c r="M1825" s="15">
        <v>0.26545299999999999</v>
      </c>
      <c r="N1825" s="15">
        <v>0.64579487383433909</v>
      </c>
    </row>
    <row r="1826" spans="1:14" x14ac:dyDescent="0.2">
      <c r="A1826" s="2" t="s">
        <v>10068</v>
      </c>
      <c r="B1826" s="15">
        <v>55</v>
      </c>
      <c r="C1826" s="15">
        <v>1</v>
      </c>
      <c r="D1826" s="15">
        <v>64344227</v>
      </c>
      <c r="E1826" s="15">
        <v>65894184</v>
      </c>
      <c r="F1826" s="15">
        <v>3659</v>
      </c>
      <c r="G1826" s="8" t="s">
        <v>12324</v>
      </c>
      <c r="H1826" s="24" t="s">
        <v>599</v>
      </c>
      <c r="I1826" s="25">
        <v>26562</v>
      </c>
      <c r="J1826" s="8" t="s">
        <v>601</v>
      </c>
      <c r="K1826" s="8" t="s">
        <v>10040</v>
      </c>
      <c r="L1826" s="15">
        <v>-0.26847599999999999</v>
      </c>
      <c r="M1826" s="15">
        <v>0.26622299999999999</v>
      </c>
      <c r="N1826" s="15">
        <v>0.64589661105032825</v>
      </c>
    </row>
    <row r="1827" spans="1:14" x14ac:dyDescent="0.2">
      <c r="A1827" s="2" t="s">
        <v>10069</v>
      </c>
      <c r="B1827" s="15">
        <v>1433</v>
      </c>
      <c r="C1827" s="15">
        <v>9</v>
      </c>
      <c r="D1827" s="15">
        <v>89171797</v>
      </c>
      <c r="E1827" s="15">
        <v>90135154</v>
      </c>
      <c r="F1827" s="15">
        <v>1682</v>
      </c>
      <c r="G1827" s="8" t="s">
        <v>12324</v>
      </c>
      <c r="H1827" s="24" t="s">
        <v>662</v>
      </c>
      <c r="I1827" s="25" t="s">
        <v>663</v>
      </c>
      <c r="J1827" s="8" t="s">
        <v>664</v>
      </c>
      <c r="K1827" s="8" t="s">
        <v>10040</v>
      </c>
      <c r="L1827" s="15">
        <v>0.28734799999999999</v>
      </c>
      <c r="M1827" s="15">
        <v>0.26611099999999999</v>
      </c>
      <c r="N1827" s="15">
        <v>0.64589661105032825</v>
      </c>
    </row>
    <row r="1828" spans="1:14" x14ac:dyDescent="0.2">
      <c r="A1828" s="2" t="s">
        <v>10066</v>
      </c>
      <c r="B1828" s="15">
        <v>68</v>
      </c>
      <c r="C1828" s="15">
        <v>1</v>
      </c>
      <c r="D1828" s="15">
        <v>79065287</v>
      </c>
      <c r="E1828" s="15">
        <v>80099353</v>
      </c>
      <c r="F1828" s="15">
        <v>3068</v>
      </c>
      <c r="G1828" s="8" t="s">
        <v>12324</v>
      </c>
      <c r="H1828" s="24" t="s">
        <v>3164</v>
      </c>
      <c r="I1828" s="25" t="s">
        <v>3165</v>
      </c>
      <c r="J1828" s="8" t="s">
        <v>3166</v>
      </c>
      <c r="K1828" s="8" t="s">
        <v>10042</v>
      </c>
      <c r="L1828" s="15">
        <v>0.31492100000000001</v>
      </c>
      <c r="M1828" s="15">
        <v>0.265677</v>
      </c>
      <c r="N1828" s="15">
        <v>0.64589661105032825</v>
      </c>
    </row>
    <row r="1829" spans="1:14" x14ac:dyDescent="0.2">
      <c r="A1829" s="2" t="s">
        <v>10066</v>
      </c>
      <c r="B1829" s="15">
        <v>1450</v>
      </c>
      <c r="C1829" s="15">
        <v>9</v>
      </c>
      <c r="D1829" s="15">
        <v>105846546</v>
      </c>
      <c r="E1829" s="15">
        <v>107061019</v>
      </c>
      <c r="F1829" s="15">
        <v>3968</v>
      </c>
      <c r="G1829" s="8" t="s">
        <v>12324</v>
      </c>
      <c r="H1829" s="24" t="s">
        <v>6008</v>
      </c>
      <c r="I1829" s="25" t="s">
        <v>6009</v>
      </c>
      <c r="J1829" s="8" t="s">
        <v>6010</v>
      </c>
      <c r="K1829" s="8" t="s">
        <v>10051</v>
      </c>
      <c r="L1829" s="15">
        <v>-0.50041100000000005</v>
      </c>
      <c r="M1829" s="15">
        <v>0.266094</v>
      </c>
      <c r="N1829" s="15">
        <v>0.64589661105032825</v>
      </c>
    </row>
    <row r="1830" spans="1:14" x14ac:dyDescent="0.2">
      <c r="A1830" s="2" t="s">
        <v>10068</v>
      </c>
      <c r="B1830" s="15">
        <v>1604</v>
      </c>
      <c r="C1830" s="15">
        <v>10</v>
      </c>
      <c r="D1830" s="15">
        <v>130694009</v>
      </c>
      <c r="E1830" s="15">
        <v>131694738</v>
      </c>
      <c r="F1830" s="15">
        <v>3232</v>
      </c>
      <c r="G1830" s="8" t="s">
        <v>12324</v>
      </c>
      <c r="H1830" s="24" t="s">
        <v>6565</v>
      </c>
      <c r="I1830" s="25" t="s">
        <v>6475</v>
      </c>
      <c r="J1830" s="8" t="s">
        <v>6566</v>
      </c>
      <c r="K1830" s="8" t="s">
        <v>10054</v>
      </c>
      <c r="L1830" s="15">
        <v>-0.15335699999999999</v>
      </c>
      <c r="M1830" s="15">
        <v>0.26583200000000001</v>
      </c>
      <c r="N1830" s="15">
        <v>0.64589661105032825</v>
      </c>
    </row>
    <row r="1831" spans="1:14" x14ac:dyDescent="0.2">
      <c r="A1831" s="2" t="s">
        <v>10066</v>
      </c>
      <c r="B1831" s="15">
        <v>751</v>
      </c>
      <c r="C1831" s="15">
        <v>4</v>
      </c>
      <c r="D1831" s="15">
        <v>168623791</v>
      </c>
      <c r="E1831" s="15">
        <v>169555114</v>
      </c>
      <c r="F1831" s="15">
        <v>2757</v>
      </c>
      <c r="G1831" s="8" t="s">
        <v>12324</v>
      </c>
      <c r="H1831" s="24" t="s">
        <v>6008</v>
      </c>
      <c r="I1831" s="25" t="s">
        <v>6009</v>
      </c>
      <c r="J1831" s="8" t="s">
        <v>6010</v>
      </c>
      <c r="K1831" s="8" t="s">
        <v>10051</v>
      </c>
      <c r="L1831" s="15">
        <v>-0.26922800000000002</v>
      </c>
      <c r="M1831" s="15">
        <v>0.26671899999999998</v>
      </c>
      <c r="N1831" s="15">
        <v>0.64655029508196726</v>
      </c>
    </row>
    <row r="1832" spans="1:14" x14ac:dyDescent="0.2">
      <c r="A1832" s="2" t="s">
        <v>10068</v>
      </c>
      <c r="B1832" s="15">
        <v>417</v>
      </c>
      <c r="C1832" s="15">
        <v>2</v>
      </c>
      <c r="D1832" s="15">
        <v>239634351</v>
      </c>
      <c r="E1832" s="15">
        <v>240325600</v>
      </c>
      <c r="F1832" s="15">
        <v>2175</v>
      </c>
      <c r="G1832" s="8" t="s">
        <v>12324</v>
      </c>
      <c r="H1832" s="24" t="s">
        <v>6565</v>
      </c>
      <c r="I1832" s="25" t="s">
        <v>6475</v>
      </c>
      <c r="J1832" s="8" t="s">
        <v>6566</v>
      </c>
      <c r="K1832" s="8" t="s">
        <v>10054</v>
      </c>
      <c r="L1832" s="15">
        <v>0.180476</v>
      </c>
      <c r="M1832" s="15">
        <v>0.26678400000000002</v>
      </c>
      <c r="N1832" s="15">
        <v>0.64655029508196726</v>
      </c>
    </row>
    <row r="1833" spans="1:14" x14ac:dyDescent="0.2">
      <c r="A1833" s="2" t="s">
        <v>10068</v>
      </c>
      <c r="B1833" s="15">
        <v>2123</v>
      </c>
      <c r="C1833" s="15">
        <v>16</v>
      </c>
      <c r="D1833" s="15">
        <v>22667049</v>
      </c>
      <c r="E1833" s="15">
        <v>24014705</v>
      </c>
      <c r="F1833" s="15">
        <v>3438</v>
      </c>
      <c r="G1833" s="8" t="s">
        <v>12324</v>
      </c>
      <c r="H1833" s="24" t="s">
        <v>599</v>
      </c>
      <c r="I1833" s="25">
        <v>26562</v>
      </c>
      <c r="J1833" s="8" t="s">
        <v>601</v>
      </c>
      <c r="K1833" s="8" t="s">
        <v>10040</v>
      </c>
      <c r="L1833" s="15">
        <v>0.17421600000000001</v>
      </c>
      <c r="M1833" s="15">
        <v>0.26700699999999999</v>
      </c>
      <c r="N1833" s="15">
        <v>0.64673732659748773</v>
      </c>
    </row>
    <row r="1834" spans="1:14" x14ac:dyDescent="0.2">
      <c r="A1834" s="2" t="s">
        <v>10068</v>
      </c>
      <c r="B1834" s="15">
        <v>1954</v>
      </c>
      <c r="C1834" s="15">
        <v>14</v>
      </c>
      <c r="D1834" s="15">
        <v>19000059</v>
      </c>
      <c r="E1834" s="15">
        <v>20876080</v>
      </c>
      <c r="F1834" s="15">
        <v>2269</v>
      </c>
      <c r="G1834" s="8" t="s">
        <v>12324</v>
      </c>
      <c r="H1834" s="24" t="s">
        <v>494</v>
      </c>
      <c r="I1834" s="25">
        <v>25920</v>
      </c>
      <c r="J1834" s="8" t="s">
        <v>496</v>
      </c>
      <c r="K1834" s="8" t="s">
        <v>10040</v>
      </c>
      <c r="L1834" s="15">
        <v>0.15934000000000001</v>
      </c>
      <c r="M1834" s="15">
        <v>0.26754899999999998</v>
      </c>
      <c r="N1834" s="15">
        <v>0.64769640556768548</v>
      </c>
    </row>
    <row r="1835" spans="1:14" x14ac:dyDescent="0.2">
      <c r="A1835" s="2" t="s">
        <v>10068</v>
      </c>
      <c r="B1835" s="15">
        <v>1743</v>
      </c>
      <c r="C1835" s="15">
        <v>12</v>
      </c>
      <c r="D1835" s="15">
        <v>3069507</v>
      </c>
      <c r="E1835" s="15">
        <v>3871114</v>
      </c>
      <c r="F1835" s="15">
        <v>2708</v>
      </c>
      <c r="G1835" s="8" t="s">
        <v>12324</v>
      </c>
      <c r="H1835" s="24" t="s">
        <v>1259</v>
      </c>
      <c r="I1835" s="25">
        <v>27096</v>
      </c>
      <c r="J1835" s="8" t="s">
        <v>1261</v>
      </c>
      <c r="K1835" s="8" t="s">
        <v>10040</v>
      </c>
      <c r="L1835" s="15">
        <v>-0.215249</v>
      </c>
      <c r="M1835" s="15">
        <v>0.26807799999999998</v>
      </c>
      <c r="N1835" s="15">
        <v>0.64802721525885554</v>
      </c>
    </row>
    <row r="1836" spans="1:14" x14ac:dyDescent="0.2">
      <c r="A1836" s="2" t="s">
        <v>10066</v>
      </c>
      <c r="B1836" s="15">
        <v>822</v>
      </c>
      <c r="C1836" s="15">
        <v>5</v>
      </c>
      <c r="D1836" s="15">
        <v>55221399</v>
      </c>
      <c r="E1836" s="15">
        <v>55968966</v>
      </c>
      <c r="F1836" s="15">
        <v>2229</v>
      </c>
      <c r="G1836" s="8" t="s">
        <v>12324</v>
      </c>
      <c r="H1836" s="24" t="s">
        <v>3164</v>
      </c>
      <c r="I1836" s="25" t="s">
        <v>3165</v>
      </c>
      <c r="J1836" s="8" t="s">
        <v>3166</v>
      </c>
      <c r="K1836" s="8" t="s">
        <v>10042</v>
      </c>
      <c r="L1836" s="15">
        <v>0.28856300000000001</v>
      </c>
      <c r="M1836" s="15">
        <v>0.26804899999999998</v>
      </c>
      <c r="N1836" s="15">
        <v>0.64802721525885554</v>
      </c>
    </row>
    <row r="1837" spans="1:14" x14ac:dyDescent="0.2">
      <c r="A1837" s="2" t="s">
        <v>10066</v>
      </c>
      <c r="B1837" s="15">
        <v>1854</v>
      </c>
      <c r="C1837" s="15">
        <v>12</v>
      </c>
      <c r="D1837" s="15">
        <v>126871453</v>
      </c>
      <c r="E1837" s="15">
        <v>127545377</v>
      </c>
      <c r="F1837" s="15">
        <v>2228</v>
      </c>
      <c r="G1837" s="8" t="s">
        <v>12324</v>
      </c>
      <c r="H1837" s="24" t="s">
        <v>3164</v>
      </c>
      <c r="I1837" s="25" t="s">
        <v>3165</v>
      </c>
      <c r="J1837" s="8" t="s">
        <v>3166</v>
      </c>
      <c r="K1837" s="8" t="s">
        <v>10042</v>
      </c>
      <c r="L1837" s="15">
        <v>-0.21579899999999999</v>
      </c>
      <c r="M1837" s="15">
        <v>0.26812399999999997</v>
      </c>
      <c r="N1837" s="15">
        <v>0.64802721525885554</v>
      </c>
    </row>
    <row r="1838" spans="1:14" x14ac:dyDescent="0.2">
      <c r="A1838" s="2" t="s">
        <v>10069</v>
      </c>
      <c r="B1838" s="15">
        <v>2293</v>
      </c>
      <c r="C1838" s="15">
        <v>18</v>
      </c>
      <c r="D1838" s="15">
        <v>65294196</v>
      </c>
      <c r="E1838" s="15">
        <v>66407960</v>
      </c>
      <c r="F1838" s="15">
        <v>2335</v>
      </c>
      <c r="G1838" s="8" t="s">
        <v>12324</v>
      </c>
      <c r="H1838" s="24" t="s">
        <v>662</v>
      </c>
      <c r="I1838" s="25" t="s">
        <v>663</v>
      </c>
      <c r="J1838" s="8" t="s">
        <v>664</v>
      </c>
      <c r="K1838" s="8" t="s">
        <v>10040</v>
      </c>
      <c r="L1838" s="15">
        <v>0.29028500000000002</v>
      </c>
      <c r="M1838" s="15">
        <v>0.26866299999999999</v>
      </c>
      <c r="N1838" s="15">
        <v>0.6486271953210011</v>
      </c>
    </row>
    <row r="1839" spans="1:14" x14ac:dyDescent="0.2">
      <c r="A1839" s="2" t="s">
        <v>10068</v>
      </c>
      <c r="B1839" s="15">
        <v>1735</v>
      </c>
      <c r="C1839" s="15">
        <v>11</v>
      </c>
      <c r="D1839" s="15">
        <v>130500784</v>
      </c>
      <c r="E1839" s="15">
        <v>131424361</v>
      </c>
      <c r="F1839" s="15">
        <v>2790</v>
      </c>
      <c r="G1839" s="8" t="s">
        <v>12324</v>
      </c>
      <c r="H1839" s="24" t="s">
        <v>1259</v>
      </c>
      <c r="I1839" s="25">
        <v>27096</v>
      </c>
      <c r="J1839" s="8" t="s">
        <v>1261</v>
      </c>
      <c r="K1839" s="8" t="s">
        <v>10040</v>
      </c>
      <c r="L1839" s="15">
        <v>0.231543</v>
      </c>
      <c r="M1839" s="15">
        <v>0.268679</v>
      </c>
      <c r="N1839" s="15">
        <v>0.6486271953210011</v>
      </c>
    </row>
    <row r="1840" spans="1:14" x14ac:dyDescent="0.2">
      <c r="A1840" s="2" t="s">
        <v>10068</v>
      </c>
      <c r="B1840" s="15">
        <v>1623</v>
      </c>
      <c r="C1840" s="15">
        <v>11</v>
      </c>
      <c r="D1840" s="15">
        <v>11081300</v>
      </c>
      <c r="E1840" s="15">
        <v>11632650</v>
      </c>
      <c r="F1840" s="15">
        <v>2230</v>
      </c>
      <c r="G1840" s="8" t="s">
        <v>12324</v>
      </c>
      <c r="H1840" s="24" t="s">
        <v>1259</v>
      </c>
      <c r="I1840" s="25">
        <v>27096</v>
      </c>
      <c r="J1840" s="8" t="s">
        <v>1261</v>
      </c>
      <c r="K1840" s="8" t="s">
        <v>10040</v>
      </c>
      <c r="L1840" s="15">
        <v>-0.22312899999999999</v>
      </c>
      <c r="M1840" s="15">
        <v>0.26881100000000002</v>
      </c>
      <c r="N1840" s="15">
        <v>0.6486271953210011</v>
      </c>
    </row>
    <row r="1841" spans="1:14" x14ac:dyDescent="0.2">
      <c r="A1841" s="2" t="s">
        <v>10068</v>
      </c>
      <c r="B1841" s="15">
        <v>842</v>
      </c>
      <c r="C1841" s="15">
        <v>5</v>
      </c>
      <c r="D1841" s="15">
        <v>80448226</v>
      </c>
      <c r="E1841" s="15">
        <v>81710194</v>
      </c>
      <c r="F1841" s="15">
        <v>2427</v>
      </c>
      <c r="G1841" s="8" t="s">
        <v>12324</v>
      </c>
      <c r="H1841" s="24" t="s">
        <v>494</v>
      </c>
      <c r="I1841" s="25">
        <v>25920</v>
      </c>
      <c r="J1841" s="8" t="s">
        <v>496</v>
      </c>
      <c r="K1841" s="8" t="s">
        <v>10040</v>
      </c>
      <c r="L1841" s="15">
        <v>0.264795</v>
      </c>
      <c r="M1841" s="15">
        <v>0.269069</v>
      </c>
      <c r="N1841" s="15">
        <v>0.64889669113648729</v>
      </c>
    </row>
    <row r="1842" spans="1:14" x14ac:dyDescent="0.2">
      <c r="A1842" s="2" t="s">
        <v>10068</v>
      </c>
      <c r="B1842" s="15">
        <v>2453</v>
      </c>
      <c r="C1842" s="15">
        <v>21</v>
      </c>
      <c r="D1842" s="15">
        <v>39252060</v>
      </c>
      <c r="E1842" s="15">
        <v>40480831</v>
      </c>
      <c r="F1842" s="15">
        <v>3347</v>
      </c>
      <c r="G1842" s="8" t="s">
        <v>12324</v>
      </c>
      <c r="H1842" s="24" t="s">
        <v>494</v>
      </c>
      <c r="I1842" s="25">
        <v>25920</v>
      </c>
      <c r="J1842" s="8" t="s">
        <v>496</v>
      </c>
      <c r="K1842" s="8" t="s">
        <v>10040</v>
      </c>
      <c r="L1842" s="15">
        <v>-0.25036999999999998</v>
      </c>
      <c r="M1842" s="15">
        <v>0.269237</v>
      </c>
      <c r="N1842" s="15">
        <v>0.64894896467391316</v>
      </c>
    </row>
    <row r="1843" spans="1:14" x14ac:dyDescent="0.2">
      <c r="A1843" s="2" t="s">
        <v>10068</v>
      </c>
      <c r="B1843" s="15">
        <v>2355</v>
      </c>
      <c r="C1843" s="15">
        <v>19</v>
      </c>
      <c r="D1843" s="15">
        <v>48573066</v>
      </c>
      <c r="E1843" s="15">
        <v>49415189</v>
      </c>
      <c r="F1843" s="15">
        <v>2780</v>
      </c>
      <c r="G1843" s="8" t="s">
        <v>12324</v>
      </c>
      <c r="H1843" s="24" t="s">
        <v>494</v>
      </c>
      <c r="I1843" s="25">
        <v>25920</v>
      </c>
      <c r="J1843" s="8" t="s">
        <v>496</v>
      </c>
      <c r="K1843" s="8" t="s">
        <v>10040</v>
      </c>
      <c r="L1843" s="15">
        <v>-0.20233000000000001</v>
      </c>
      <c r="M1843" s="15">
        <v>0.26999899999999999</v>
      </c>
      <c r="N1843" s="15">
        <v>0.6493739506507592</v>
      </c>
    </row>
    <row r="1844" spans="1:14" x14ac:dyDescent="0.2">
      <c r="A1844" s="2" t="s">
        <v>10068</v>
      </c>
      <c r="B1844" s="15">
        <v>2251</v>
      </c>
      <c r="C1844" s="15">
        <v>18</v>
      </c>
      <c r="D1844" s="15">
        <v>12735559</v>
      </c>
      <c r="E1844" s="15">
        <v>13641479</v>
      </c>
      <c r="F1844" s="15">
        <v>2392</v>
      </c>
      <c r="G1844" s="8" t="s">
        <v>12324</v>
      </c>
      <c r="H1844" s="24" t="s">
        <v>1259</v>
      </c>
      <c r="I1844" s="25">
        <v>27096</v>
      </c>
      <c r="J1844" s="8" t="s">
        <v>1261</v>
      </c>
      <c r="K1844" s="8" t="s">
        <v>10040</v>
      </c>
      <c r="L1844" s="15">
        <v>-0.36615399999999998</v>
      </c>
      <c r="M1844" s="15">
        <v>0.26988899999999999</v>
      </c>
      <c r="N1844" s="15">
        <v>0.6493739506507592</v>
      </c>
    </row>
    <row r="1845" spans="1:14" x14ac:dyDescent="0.2">
      <c r="A1845" s="2" t="s">
        <v>10066</v>
      </c>
      <c r="B1845" s="15">
        <v>215</v>
      </c>
      <c r="C1845" s="15">
        <v>2</v>
      </c>
      <c r="D1845" s="15">
        <v>10611655</v>
      </c>
      <c r="E1845" s="15">
        <v>11230349</v>
      </c>
      <c r="F1845" s="15">
        <v>2258</v>
      </c>
      <c r="G1845" s="8" t="s">
        <v>12324</v>
      </c>
      <c r="H1845" s="24" t="s">
        <v>6008</v>
      </c>
      <c r="I1845" s="25" t="s">
        <v>6009</v>
      </c>
      <c r="J1845" s="8" t="s">
        <v>6010</v>
      </c>
      <c r="K1845" s="8" t="s">
        <v>10051</v>
      </c>
      <c r="L1845" s="15">
        <v>0.27255499999999999</v>
      </c>
      <c r="M1845" s="15">
        <v>0.26974500000000001</v>
      </c>
      <c r="N1845" s="15">
        <v>0.6493739506507592</v>
      </c>
    </row>
    <row r="1846" spans="1:14" x14ac:dyDescent="0.2">
      <c r="A1846" s="2" t="s">
        <v>10068</v>
      </c>
      <c r="B1846" s="15">
        <v>1472</v>
      </c>
      <c r="C1846" s="15">
        <v>9</v>
      </c>
      <c r="D1846" s="15">
        <v>128785783</v>
      </c>
      <c r="E1846" s="15">
        <v>129617771</v>
      </c>
      <c r="F1846" s="15">
        <v>2235</v>
      </c>
      <c r="G1846" s="8" t="s">
        <v>12324</v>
      </c>
      <c r="H1846" s="24" t="s">
        <v>6565</v>
      </c>
      <c r="I1846" s="25" t="s">
        <v>6475</v>
      </c>
      <c r="J1846" s="8" t="s">
        <v>6566</v>
      </c>
      <c r="K1846" s="8" t="s">
        <v>10054</v>
      </c>
      <c r="L1846" s="15">
        <v>0.28450700000000001</v>
      </c>
      <c r="M1846" s="15">
        <v>0.269704</v>
      </c>
      <c r="N1846" s="15">
        <v>0.6493739506507592</v>
      </c>
    </row>
    <row r="1847" spans="1:14" x14ac:dyDescent="0.2">
      <c r="A1847" s="2" t="s">
        <v>10068</v>
      </c>
      <c r="B1847" s="15">
        <v>1873</v>
      </c>
      <c r="C1847" s="15">
        <v>13</v>
      </c>
      <c r="D1847" s="15">
        <v>28587126</v>
      </c>
      <c r="E1847" s="15">
        <v>30068525</v>
      </c>
      <c r="F1847" s="15">
        <v>3868</v>
      </c>
      <c r="G1847" s="8" t="s">
        <v>12324</v>
      </c>
      <c r="H1847" s="24" t="s">
        <v>494</v>
      </c>
      <c r="I1847" s="25">
        <v>25920</v>
      </c>
      <c r="J1847" s="8" t="s">
        <v>496</v>
      </c>
      <c r="K1847" s="8" t="s">
        <v>10040</v>
      </c>
      <c r="L1847" s="15">
        <v>-0.39664300000000002</v>
      </c>
      <c r="M1847" s="15">
        <v>0.27060400000000001</v>
      </c>
      <c r="N1847" s="15">
        <v>0.64954990800865808</v>
      </c>
    </row>
    <row r="1848" spans="1:14" x14ac:dyDescent="0.2">
      <c r="A1848" s="2" t="s">
        <v>10068</v>
      </c>
      <c r="B1848" s="15">
        <v>2241</v>
      </c>
      <c r="C1848" s="15">
        <v>18</v>
      </c>
      <c r="D1848" s="15">
        <v>2839843</v>
      </c>
      <c r="E1848" s="15">
        <v>3722828</v>
      </c>
      <c r="F1848" s="15">
        <v>2853</v>
      </c>
      <c r="G1848" s="8" t="s">
        <v>12324</v>
      </c>
      <c r="H1848" s="24" t="s">
        <v>599</v>
      </c>
      <c r="I1848" s="25">
        <v>26562</v>
      </c>
      <c r="J1848" s="8" t="s">
        <v>601</v>
      </c>
      <c r="K1848" s="8" t="s">
        <v>10040</v>
      </c>
      <c r="L1848" s="15">
        <v>-0.23222100000000001</v>
      </c>
      <c r="M1848" s="15">
        <v>0.27065800000000001</v>
      </c>
      <c r="N1848" s="15">
        <v>0.64954990800865808</v>
      </c>
    </row>
    <row r="1849" spans="1:14" x14ac:dyDescent="0.2">
      <c r="A1849" s="2" t="s">
        <v>10068</v>
      </c>
      <c r="B1849" s="15">
        <v>963</v>
      </c>
      <c r="C1849" s="15">
        <v>6</v>
      </c>
      <c r="D1849" s="15">
        <v>32454578</v>
      </c>
      <c r="E1849" s="15">
        <v>32539567</v>
      </c>
      <c r="F1849" s="15">
        <v>788</v>
      </c>
      <c r="G1849" s="8" t="s">
        <v>12324</v>
      </c>
      <c r="H1849" s="24" t="s">
        <v>1259</v>
      </c>
      <c r="I1849" s="25">
        <v>27096</v>
      </c>
      <c r="J1849" s="8" t="s">
        <v>1261</v>
      </c>
      <c r="K1849" s="8" t="s">
        <v>10040</v>
      </c>
      <c r="L1849" s="15">
        <v>0.110766</v>
      </c>
      <c r="M1849" s="15">
        <v>0.27029700000000001</v>
      </c>
      <c r="N1849" s="15">
        <v>0.64954990800865808</v>
      </c>
    </row>
    <row r="1850" spans="1:14" x14ac:dyDescent="0.2">
      <c r="A1850" s="2" t="s">
        <v>10068</v>
      </c>
      <c r="B1850" s="15">
        <v>1855</v>
      </c>
      <c r="C1850" s="15">
        <v>12</v>
      </c>
      <c r="D1850" s="15">
        <v>127545378</v>
      </c>
      <c r="E1850" s="15">
        <v>128372588</v>
      </c>
      <c r="F1850" s="15">
        <v>2649</v>
      </c>
      <c r="G1850" s="8" t="s">
        <v>12324</v>
      </c>
      <c r="H1850" s="24" t="s">
        <v>1259</v>
      </c>
      <c r="I1850" s="25">
        <v>27096</v>
      </c>
      <c r="J1850" s="8" t="s">
        <v>1261</v>
      </c>
      <c r="K1850" s="8" t="s">
        <v>10040</v>
      </c>
      <c r="L1850" s="15">
        <v>-0.18953100000000001</v>
      </c>
      <c r="M1850" s="15">
        <v>0.27051500000000001</v>
      </c>
      <c r="N1850" s="15">
        <v>0.64954990800865808</v>
      </c>
    </row>
    <row r="1851" spans="1:14" x14ac:dyDescent="0.2">
      <c r="A1851" s="2" t="s">
        <v>10068</v>
      </c>
      <c r="B1851" s="15">
        <v>2038</v>
      </c>
      <c r="C1851" s="15">
        <v>15</v>
      </c>
      <c r="D1851" s="15">
        <v>25384328</v>
      </c>
      <c r="E1851" s="15">
        <v>26392947</v>
      </c>
      <c r="F1851" s="15">
        <v>3383</v>
      </c>
      <c r="G1851" s="8" t="s">
        <v>12324</v>
      </c>
      <c r="H1851" s="24" t="s">
        <v>494</v>
      </c>
      <c r="I1851" s="25">
        <v>25920</v>
      </c>
      <c r="J1851" s="8" t="s">
        <v>496</v>
      </c>
      <c r="K1851" s="8" t="s">
        <v>10040</v>
      </c>
      <c r="L1851" s="15">
        <v>-0.225937</v>
      </c>
      <c r="M1851" s="15">
        <v>0.27148699999999998</v>
      </c>
      <c r="N1851" s="15">
        <v>0.65099087567567571</v>
      </c>
    </row>
    <row r="1852" spans="1:14" x14ac:dyDescent="0.2">
      <c r="A1852" s="2" t="s">
        <v>10068</v>
      </c>
      <c r="B1852" s="15">
        <v>704</v>
      </c>
      <c r="C1852" s="15">
        <v>4</v>
      </c>
      <c r="D1852" s="15">
        <v>117313637</v>
      </c>
      <c r="E1852" s="15">
        <v>118395262</v>
      </c>
      <c r="F1852" s="15">
        <v>3199</v>
      </c>
      <c r="G1852" s="8" t="s">
        <v>12324</v>
      </c>
      <c r="H1852" s="24" t="s">
        <v>1259</v>
      </c>
      <c r="I1852" s="25">
        <v>27096</v>
      </c>
      <c r="J1852" s="8" t="s">
        <v>1261</v>
      </c>
      <c r="K1852" s="8" t="s">
        <v>10040</v>
      </c>
      <c r="L1852" s="15">
        <v>0.25857799999999997</v>
      </c>
      <c r="M1852" s="15">
        <v>0.27155200000000002</v>
      </c>
      <c r="N1852" s="15">
        <v>0.65099087567567571</v>
      </c>
    </row>
    <row r="1853" spans="1:14" x14ac:dyDescent="0.2">
      <c r="A1853" s="2" t="s">
        <v>10068</v>
      </c>
      <c r="B1853" s="15">
        <v>1057</v>
      </c>
      <c r="C1853" s="15">
        <v>6</v>
      </c>
      <c r="D1853" s="15">
        <v>129850179</v>
      </c>
      <c r="E1853" s="15">
        <v>130550137</v>
      </c>
      <c r="F1853" s="15">
        <v>2133</v>
      </c>
      <c r="G1853" s="8" t="s">
        <v>12324</v>
      </c>
      <c r="H1853" s="24" t="s">
        <v>599</v>
      </c>
      <c r="I1853" s="25">
        <v>26562</v>
      </c>
      <c r="J1853" s="8" t="s">
        <v>601</v>
      </c>
      <c r="K1853" s="8" t="s">
        <v>10040</v>
      </c>
      <c r="L1853" s="15">
        <v>-0.405503</v>
      </c>
      <c r="M1853" s="15">
        <v>0.272175</v>
      </c>
      <c r="N1853" s="15">
        <v>0.65209107721382287</v>
      </c>
    </row>
    <row r="1854" spans="1:14" x14ac:dyDescent="0.2">
      <c r="A1854" s="2" t="s">
        <v>10068</v>
      </c>
      <c r="B1854" s="15">
        <v>253</v>
      </c>
      <c r="C1854" s="15">
        <v>2</v>
      </c>
      <c r="D1854" s="15">
        <v>47320115</v>
      </c>
      <c r="E1854" s="15">
        <v>48171058</v>
      </c>
      <c r="F1854" s="15">
        <v>2311</v>
      </c>
      <c r="G1854" s="8" t="s">
        <v>12324</v>
      </c>
      <c r="H1854" s="24" t="s">
        <v>1259</v>
      </c>
      <c r="I1854" s="25">
        <v>27096</v>
      </c>
      <c r="J1854" s="8" t="s">
        <v>1261</v>
      </c>
      <c r="K1854" s="8" t="s">
        <v>10040</v>
      </c>
      <c r="L1854" s="15">
        <v>-0.27433299999999999</v>
      </c>
      <c r="M1854" s="15">
        <v>0.27230500000000002</v>
      </c>
      <c r="N1854" s="15">
        <v>0.65209107721382287</v>
      </c>
    </row>
    <row r="1855" spans="1:14" x14ac:dyDescent="0.2">
      <c r="A1855" s="2" t="s">
        <v>10068</v>
      </c>
      <c r="B1855" s="15">
        <v>550</v>
      </c>
      <c r="C1855" s="15">
        <v>3</v>
      </c>
      <c r="D1855" s="15">
        <v>147358244</v>
      </c>
      <c r="E1855" s="15">
        <v>148638308</v>
      </c>
      <c r="F1855" s="15">
        <v>3356</v>
      </c>
      <c r="G1855" s="8" t="s">
        <v>12324</v>
      </c>
      <c r="H1855" s="24" t="s">
        <v>599</v>
      </c>
      <c r="I1855" s="25">
        <v>26562</v>
      </c>
      <c r="J1855" s="8" t="s">
        <v>601</v>
      </c>
      <c r="K1855" s="8" t="s">
        <v>10040</v>
      </c>
      <c r="L1855" s="15">
        <v>0.20301</v>
      </c>
      <c r="M1855" s="15">
        <v>0.27263900000000002</v>
      </c>
      <c r="N1855" s="15">
        <v>0.65218660463861922</v>
      </c>
    </row>
    <row r="1856" spans="1:14" x14ac:dyDescent="0.2">
      <c r="A1856" s="2" t="s">
        <v>10066</v>
      </c>
      <c r="B1856" s="15">
        <v>2469</v>
      </c>
      <c r="C1856" s="15">
        <v>22</v>
      </c>
      <c r="D1856" s="15">
        <v>23950733</v>
      </c>
      <c r="E1856" s="15">
        <v>25282436</v>
      </c>
      <c r="F1856" s="15">
        <v>3495</v>
      </c>
      <c r="G1856" s="8" t="s">
        <v>12324</v>
      </c>
      <c r="H1856" s="24" t="s">
        <v>6008</v>
      </c>
      <c r="I1856" s="25" t="s">
        <v>6009</v>
      </c>
      <c r="J1856" s="8" t="s">
        <v>6010</v>
      </c>
      <c r="K1856" s="8" t="s">
        <v>10051</v>
      </c>
      <c r="L1856" s="15">
        <v>0.20680999999999999</v>
      </c>
      <c r="M1856" s="15">
        <v>0.27252300000000002</v>
      </c>
      <c r="N1856" s="15">
        <v>0.65218660463861922</v>
      </c>
    </row>
    <row r="1857" spans="1:14" x14ac:dyDescent="0.2">
      <c r="A1857" s="2" t="s">
        <v>10068</v>
      </c>
      <c r="B1857" s="15">
        <v>630</v>
      </c>
      <c r="C1857" s="15">
        <v>4</v>
      </c>
      <c r="D1857" s="15">
        <v>31395093</v>
      </c>
      <c r="E1857" s="15">
        <v>32260117</v>
      </c>
      <c r="F1857" s="15">
        <v>2723</v>
      </c>
      <c r="G1857" s="8" t="s">
        <v>12324</v>
      </c>
      <c r="H1857" s="24" t="s">
        <v>1259</v>
      </c>
      <c r="I1857" s="25">
        <v>27096</v>
      </c>
      <c r="J1857" s="8" t="s">
        <v>1261</v>
      </c>
      <c r="K1857" s="8" t="s">
        <v>10040</v>
      </c>
      <c r="L1857" s="15">
        <v>0.34318199999999999</v>
      </c>
      <c r="M1857" s="15">
        <v>0.272841</v>
      </c>
      <c r="N1857" s="15">
        <v>0.65231797035040429</v>
      </c>
    </row>
    <row r="1858" spans="1:14" x14ac:dyDescent="0.2">
      <c r="A1858" s="2" t="s">
        <v>10068</v>
      </c>
      <c r="B1858" s="15">
        <v>1717</v>
      </c>
      <c r="C1858" s="15">
        <v>11</v>
      </c>
      <c r="D1858" s="15">
        <v>109891838</v>
      </c>
      <c r="E1858" s="15">
        <v>111117780</v>
      </c>
      <c r="F1858" s="15">
        <v>3005</v>
      </c>
      <c r="G1858" s="8" t="s">
        <v>12324</v>
      </c>
      <c r="H1858" s="24" t="s">
        <v>599</v>
      </c>
      <c r="I1858" s="25">
        <v>26562</v>
      </c>
      <c r="J1858" s="8" t="s">
        <v>601</v>
      </c>
      <c r="K1858" s="8" t="s">
        <v>10040</v>
      </c>
      <c r="L1858" s="15">
        <v>0.39569900000000002</v>
      </c>
      <c r="M1858" s="15">
        <v>0.27314899999999998</v>
      </c>
      <c r="N1858" s="15">
        <v>0.65270248653017238</v>
      </c>
    </row>
    <row r="1859" spans="1:14" x14ac:dyDescent="0.2">
      <c r="A1859" s="2" t="s">
        <v>10068</v>
      </c>
      <c r="B1859" s="15">
        <v>208</v>
      </c>
      <c r="C1859" s="15">
        <v>2</v>
      </c>
      <c r="D1859" s="15">
        <v>4766970</v>
      </c>
      <c r="E1859" s="15">
        <v>5568653</v>
      </c>
      <c r="F1859" s="15">
        <v>2072</v>
      </c>
      <c r="G1859" s="8" t="s">
        <v>12324</v>
      </c>
      <c r="H1859" s="24" t="s">
        <v>494</v>
      </c>
      <c r="I1859" s="25">
        <v>25920</v>
      </c>
      <c r="J1859" s="8" t="s">
        <v>496</v>
      </c>
      <c r="K1859" s="8" t="s">
        <v>10040</v>
      </c>
      <c r="L1859" s="15">
        <v>-0.267374</v>
      </c>
      <c r="M1859" s="15">
        <v>0.27364300000000003</v>
      </c>
      <c r="N1859" s="15">
        <v>0.6528444055944056</v>
      </c>
    </row>
    <row r="1860" spans="1:14" x14ac:dyDescent="0.2">
      <c r="A1860" s="2" t="s">
        <v>10066</v>
      </c>
      <c r="B1860" s="15">
        <v>1470</v>
      </c>
      <c r="C1860" s="15">
        <v>9</v>
      </c>
      <c r="D1860" s="15">
        <v>126092932</v>
      </c>
      <c r="E1860" s="15">
        <v>127184582</v>
      </c>
      <c r="F1860" s="15">
        <v>2671</v>
      </c>
      <c r="G1860" s="8" t="s">
        <v>12324</v>
      </c>
      <c r="H1860" s="24" t="s">
        <v>3164</v>
      </c>
      <c r="I1860" s="25" t="s">
        <v>3165</v>
      </c>
      <c r="J1860" s="8" t="s">
        <v>3166</v>
      </c>
      <c r="K1860" s="8" t="s">
        <v>10042</v>
      </c>
      <c r="L1860" s="15">
        <v>0.41633599999999998</v>
      </c>
      <c r="M1860" s="15">
        <v>0.27365</v>
      </c>
      <c r="N1860" s="15">
        <v>0.6528444055944056</v>
      </c>
    </row>
    <row r="1861" spans="1:14" x14ac:dyDescent="0.2">
      <c r="A1861" s="2" t="s">
        <v>10068</v>
      </c>
      <c r="B1861" s="15">
        <v>917</v>
      </c>
      <c r="C1861" s="15">
        <v>5</v>
      </c>
      <c r="D1861" s="15">
        <v>169506967</v>
      </c>
      <c r="E1861" s="15">
        <v>170898340</v>
      </c>
      <c r="F1861" s="15">
        <v>3576</v>
      </c>
      <c r="G1861" s="8" t="s">
        <v>12324</v>
      </c>
      <c r="H1861" s="24" t="s">
        <v>6565</v>
      </c>
      <c r="I1861" s="25" t="s">
        <v>6475</v>
      </c>
      <c r="J1861" s="8" t="s">
        <v>6566</v>
      </c>
      <c r="K1861" s="8" t="s">
        <v>10054</v>
      </c>
      <c r="L1861" s="15">
        <v>0.24695</v>
      </c>
      <c r="M1861" s="15">
        <v>0.27353899999999998</v>
      </c>
      <c r="N1861" s="15">
        <v>0.6528444055944056</v>
      </c>
    </row>
    <row r="1862" spans="1:14" x14ac:dyDescent="0.2">
      <c r="A1862" s="2" t="s">
        <v>10069</v>
      </c>
      <c r="B1862" s="15">
        <v>552</v>
      </c>
      <c r="C1862" s="15">
        <v>3</v>
      </c>
      <c r="D1862" s="15">
        <v>149998412</v>
      </c>
      <c r="E1862" s="15">
        <v>151131307</v>
      </c>
      <c r="F1862" s="15">
        <v>1646</v>
      </c>
      <c r="G1862" s="8" t="s">
        <v>12324</v>
      </c>
      <c r="H1862" s="24" t="s">
        <v>662</v>
      </c>
      <c r="I1862" s="25" t="s">
        <v>663</v>
      </c>
      <c r="J1862" s="8" t="s">
        <v>664</v>
      </c>
      <c r="K1862" s="8" t="s">
        <v>10040</v>
      </c>
      <c r="L1862" s="15">
        <v>-0.41922300000000001</v>
      </c>
      <c r="M1862" s="15">
        <v>0.27514899999999998</v>
      </c>
      <c r="N1862" s="15">
        <v>0.65571510746910255</v>
      </c>
    </row>
    <row r="1863" spans="1:14" x14ac:dyDescent="0.2">
      <c r="A1863" s="2" t="s">
        <v>10068</v>
      </c>
      <c r="B1863" s="15">
        <v>1412</v>
      </c>
      <c r="C1863" s="15">
        <v>9</v>
      </c>
      <c r="D1863" s="15">
        <v>34704545</v>
      </c>
      <c r="E1863" s="15">
        <v>36749273</v>
      </c>
      <c r="F1863" s="15">
        <v>3971</v>
      </c>
      <c r="G1863" s="8" t="s">
        <v>12324</v>
      </c>
      <c r="H1863" s="24" t="s">
        <v>1259</v>
      </c>
      <c r="I1863" s="25">
        <v>27096</v>
      </c>
      <c r="J1863" s="8" t="s">
        <v>1261</v>
      </c>
      <c r="K1863" s="8" t="s">
        <v>10040</v>
      </c>
      <c r="L1863" s="15">
        <v>-0.21943299999999999</v>
      </c>
      <c r="M1863" s="15">
        <v>0.27505499999999999</v>
      </c>
      <c r="N1863" s="15">
        <v>0.65571510746910255</v>
      </c>
    </row>
    <row r="1864" spans="1:14" x14ac:dyDescent="0.2">
      <c r="A1864" s="2" t="s">
        <v>10068</v>
      </c>
      <c r="B1864" s="15">
        <v>1108</v>
      </c>
      <c r="C1864" s="15">
        <v>7</v>
      </c>
      <c r="D1864" s="15">
        <v>10481678</v>
      </c>
      <c r="E1864" s="15">
        <v>11232447</v>
      </c>
      <c r="F1864" s="15">
        <v>2403</v>
      </c>
      <c r="G1864" s="8" t="s">
        <v>12324</v>
      </c>
      <c r="H1864" s="24" t="s">
        <v>494</v>
      </c>
      <c r="I1864" s="25">
        <v>25920</v>
      </c>
      <c r="J1864" s="8" t="s">
        <v>496</v>
      </c>
      <c r="K1864" s="8" t="s">
        <v>10040</v>
      </c>
      <c r="L1864" s="15">
        <v>-0.342922</v>
      </c>
      <c r="M1864" s="15">
        <v>0.27576600000000001</v>
      </c>
      <c r="N1864" s="15">
        <v>0.65683255102040827</v>
      </c>
    </row>
    <row r="1865" spans="1:14" x14ac:dyDescent="0.2">
      <c r="A1865" s="2" t="s">
        <v>10066</v>
      </c>
      <c r="B1865" s="15">
        <v>652</v>
      </c>
      <c r="C1865" s="15">
        <v>4</v>
      </c>
      <c r="D1865" s="15">
        <v>55681702</v>
      </c>
      <c r="E1865" s="15">
        <v>57103100</v>
      </c>
      <c r="F1865" s="15">
        <v>4184</v>
      </c>
      <c r="G1865" s="8" t="s">
        <v>12324</v>
      </c>
      <c r="H1865" s="24" t="s">
        <v>6008</v>
      </c>
      <c r="I1865" s="25" t="s">
        <v>6009</v>
      </c>
      <c r="J1865" s="8" t="s">
        <v>6010</v>
      </c>
      <c r="K1865" s="8" t="s">
        <v>10051</v>
      </c>
      <c r="L1865" s="15">
        <v>-0.29253099999999999</v>
      </c>
      <c r="M1865" s="15">
        <v>0.27607500000000001</v>
      </c>
      <c r="N1865" s="15">
        <v>0.65721557971014499</v>
      </c>
    </row>
    <row r="1866" spans="1:14" x14ac:dyDescent="0.2">
      <c r="A1866" s="2" t="s">
        <v>10069</v>
      </c>
      <c r="B1866" s="15">
        <v>2001</v>
      </c>
      <c r="C1866" s="15">
        <v>14</v>
      </c>
      <c r="D1866" s="15">
        <v>71140427</v>
      </c>
      <c r="E1866" s="15">
        <v>72665319</v>
      </c>
      <c r="F1866" s="15">
        <v>2301</v>
      </c>
      <c r="G1866" s="8" t="s">
        <v>12324</v>
      </c>
      <c r="H1866" s="24" t="s">
        <v>662</v>
      </c>
      <c r="I1866" s="25" t="s">
        <v>663</v>
      </c>
      <c r="J1866" s="8" t="s">
        <v>664</v>
      </c>
      <c r="K1866" s="8" t="s">
        <v>10040</v>
      </c>
      <c r="L1866" s="15">
        <v>0.33768199999999998</v>
      </c>
      <c r="M1866" s="15">
        <v>0.27670299999999998</v>
      </c>
      <c r="N1866" s="15">
        <v>0.65832521715817693</v>
      </c>
    </row>
    <row r="1867" spans="1:14" x14ac:dyDescent="0.2">
      <c r="A1867" s="2" t="s">
        <v>10066</v>
      </c>
      <c r="B1867" s="15">
        <v>1304</v>
      </c>
      <c r="C1867" s="15">
        <v>8</v>
      </c>
      <c r="D1867" s="15">
        <v>68683824</v>
      </c>
      <c r="E1867" s="15">
        <v>70004665</v>
      </c>
      <c r="F1867" s="15">
        <v>3527</v>
      </c>
      <c r="G1867" s="8" t="s">
        <v>12324</v>
      </c>
      <c r="H1867" s="24" t="s">
        <v>6008</v>
      </c>
      <c r="I1867" s="25" t="s">
        <v>6009</v>
      </c>
      <c r="J1867" s="8" t="s">
        <v>6010</v>
      </c>
      <c r="K1867" s="8" t="s">
        <v>10051</v>
      </c>
      <c r="L1867" s="15">
        <v>0.32349800000000001</v>
      </c>
      <c r="M1867" s="15">
        <v>0.27683799999999997</v>
      </c>
      <c r="N1867" s="15">
        <v>0.65832521715817693</v>
      </c>
    </row>
    <row r="1868" spans="1:14" x14ac:dyDescent="0.2">
      <c r="A1868" s="2" t="s">
        <v>10068</v>
      </c>
      <c r="B1868" s="15">
        <v>781</v>
      </c>
      <c r="C1868" s="15">
        <v>5</v>
      </c>
      <c r="D1868" s="15">
        <v>4636543</v>
      </c>
      <c r="E1868" s="15">
        <v>5828694</v>
      </c>
      <c r="F1868" s="15">
        <v>3827</v>
      </c>
      <c r="G1868" s="8" t="s">
        <v>12324</v>
      </c>
      <c r="H1868" s="24" t="s">
        <v>599</v>
      </c>
      <c r="I1868" s="25">
        <v>26562</v>
      </c>
      <c r="J1868" s="8" t="s">
        <v>601</v>
      </c>
      <c r="K1868" s="8" t="s">
        <v>10040</v>
      </c>
      <c r="L1868" s="15">
        <v>0.28157300000000002</v>
      </c>
      <c r="M1868" s="15">
        <v>0.27701900000000002</v>
      </c>
      <c r="N1868" s="15">
        <v>0.6583278843063739</v>
      </c>
    </row>
    <row r="1869" spans="1:14" x14ac:dyDescent="0.2">
      <c r="A1869" s="2" t="s">
        <v>10068</v>
      </c>
      <c r="B1869" s="15">
        <v>1656</v>
      </c>
      <c r="C1869" s="15">
        <v>11</v>
      </c>
      <c r="D1869" s="15">
        <v>43949378</v>
      </c>
      <c r="E1869" s="15">
        <v>45019559</v>
      </c>
      <c r="F1869" s="15">
        <v>3085</v>
      </c>
      <c r="G1869" s="8" t="s">
        <v>12324</v>
      </c>
      <c r="H1869" s="24" t="s">
        <v>6565</v>
      </c>
      <c r="I1869" s="25" t="s">
        <v>6475</v>
      </c>
      <c r="J1869" s="8" t="s">
        <v>6566</v>
      </c>
      <c r="K1869" s="8" t="s">
        <v>10054</v>
      </c>
      <c r="L1869" s="15">
        <v>0.210094</v>
      </c>
      <c r="M1869" s="15">
        <v>0.27713599999999999</v>
      </c>
      <c r="N1869" s="15">
        <v>0.6583278843063739</v>
      </c>
    </row>
    <row r="1870" spans="1:14" x14ac:dyDescent="0.2">
      <c r="A1870" s="2" t="s">
        <v>10068</v>
      </c>
      <c r="B1870" s="15">
        <v>405</v>
      </c>
      <c r="C1870" s="15">
        <v>2</v>
      </c>
      <c r="D1870" s="15">
        <v>228812486</v>
      </c>
      <c r="E1870" s="15">
        <v>229764918</v>
      </c>
      <c r="F1870" s="15">
        <v>2491</v>
      </c>
      <c r="G1870" s="8" t="s">
        <v>12324</v>
      </c>
      <c r="H1870" s="24" t="s">
        <v>1259</v>
      </c>
      <c r="I1870" s="25">
        <v>27096</v>
      </c>
      <c r="J1870" s="8" t="s">
        <v>1261</v>
      </c>
      <c r="K1870" s="8" t="s">
        <v>10040</v>
      </c>
      <c r="L1870" s="15">
        <v>0.40106199999999997</v>
      </c>
      <c r="M1870" s="15">
        <v>0.27784700000000001</v>
      </c>
      <c r="N1870" s="15">
        <v>0.65957633226324242</v>
      </c>
    </row>
    <row r="1871" spans="1:14" x14ac:dyDescent="0.2">
      <c r="A1871" s="2" t="s">
        <v>10066</v>
      </c>
      <c r="B1871" s="15">
        <v>1965</v>
      </c>
      <c r="C1871" s="15">
        <v>14</v>
      </c>
      <c r="D1871" s="15">
        <v>32382246</v>
      </c>
      <c r="E1871" s="15">
        <v>33591113</v>
      </c>
      <c r="F1871" s="15">
        <v>3267</v>
      </c>
      <c r="G1871" s="8" t="s">
        <v>12324</v>
      </c>
      <c r="H1871" s="24" t="s">
        <v>6008</v>
      </c>
      <c r="I1871" s="25" t="s">
        <v>6009</v>
      </c>
      <c r="J1871" s="8" t="s">
        <v>6010</v>
      </c>
      <c r="K1871" s="8" t="s">
        <v>10051</v>
      </c>
      <c r="L1871" s="15">
        <v>-9.4217200000000001E-2</v>
      </c>
      <c r="M1871" s="15">
        <v>0.27795900000000001</v>
      </c>
      <c r="N1871" s="15">
        <v>0.65957633226324242</v>
      </c>
    </row>
    <row r="1872" spans="1:14" x14ac:dyDescent="0.2">
      <c r="A1872" s="2" t="s">
        <v>10066</v>
      </c>
      <c r="B1872" s="15">
        <v>1872</v>
      </c>
      <c r="C1872" s="15">
        <v>13</v>
      </c>
      <c r="D1872" s="15">
        <v>27392006</v>
      </c>
      <c r="E1872" s="15">
        <v>28587125</v>
      </c>
      <c r="F1872" s="15">
        <v>3923</v>
      </c>
      <c r="G1872" s="8" t="s">
        <v>12324</v>
      </c>
      <c r="H1872" s="24" t="s">
        <v>3164</v>
      </c>
      <c r="I1872" s="25" t="s">
        <v>3165</v>
      </c>
      <c r="J1872" s="8" t="s">
        <v>3166</v>
      </c>
      <c r="K1872" s="8" t="s">
        <v>10042</v>
      </c>
      <c r="L1872" s="15">
        <v>0.25794899999999998</v>
      </c>
      <c r="M1872" s="15">
        <v>0.27850900000000001</v>
      </c>
      <c r="N1872" s="15">
        <v>0.66052802941176469</v>
      </c>
    </row>
    <row r="1873" spans="1:14" x14ac:dyDescent="0.2">
      <c r="A1873" s="2" t="s">
        <v>10068</v>
      </c>
      <c r="B1873" s="15">
        <v>1365</v>
      </c>
      <c r="C1873" s="15">
        <v>8</v>
      </c>
      <c r="D1873" s="15">
        <v>140355989</v>
      </c>
      <c r="E1873" s="15">
        <v>141527881</v>
      </c>
      <c r="F1873" s="15">
        <v>3260</v>
      </c>
      <c r="G1873" s="8" t="s">
        <v>12324</v>
      </c>
      <c r="H1873" s="24" t="s">
        <v>599</v>
      </c>
      <c r="I1873" s="25">
        <v>26562</v>
      </c>
      <c r="J1873" s="8" t="s">
        <v>601</v>
      </c>
      <c r="K1873" s="8" t="s">
        <v>10040</v>
      </c>
      <c r="L1873" s="15">
        <v>-0.217227</v>
      </c>
      <c r="M1873" s="15">
        <v>0.27895599999999998</v>
      </c>
      <c r="N1873" s="15">
        <v>0.66088607371794861</v>
      </c>
    </row>
    <row r="1874" spans="1:14" x14ac:dyDescent="0.2">
      <c r="A1874" s="2" t="s">
        <v>10068</v>
      </c>
      <c r="B1874" s="15">
        <v>594</v>
      </c>
      <c r="C1874" s="15">
        <v>3</v>
      </c>
      <c r="D1874" s="15">
        <v>196383153</v>
      </c>
      <c r="E1874" s="15">
        <v>197147990</v>
      </c>
      <c r="F1874" s="15">
        <v>2173</v>
      </c>
      <c r="G1874" s="8" t="s">
        <v>12324</v>
      </c>
      <c r="H1874" s="24" t="s">
        <v>6565</v>
      </c>
      <c r="I1874" s="25" t="s">
        <v>6475</v>
      </c>
      <c r="J1874" s="8" t="s">
        <v>6566</v>
      </c>
      <c r="K1874" s="8" t="s">
        <v>10054</v>
      </c>
      <c r="L1874" s="15">
        <v>0.36853799999999998</v>
      </c>
      <c r="M1874" s="15">
        <v>0.27895799999999998</v>
      </c>
      <c r="N1874" s="15">
        <v>0.66088607371794861</v>
      </c>
    </row>
    <row r="1875" spans="1:14" x14ac:dyDescent="0.2">
      <c r="A1875" s="2" t="s">
        <v>10066</v>
      </c>
      <c r="B1875" s="15">
        <v>1389</v>
      </c>
      <c r="C1875" s="15">
        <v>9</v>
      </c>
      <c r="D1875" s="15">
        <v>14244748</v>
      </c>
      <c r="E1875" s="15">
        <v>14902924</v>
      </c>
      <c r="F1875" s="15">
        <v>2090</v>
      </c>
      <c r="G1875" s="8" t="s">
        <v>12324</v>
      </c>
      <c r="H1875" s="24" t="s">
        <v>3164</v>
      </c>
      <c r="I1875" s="25" t="s">
        <v>3165</v>
      </c>
      <c r="J1875" s="8" t="s">
        <v>3166</v>
      </c>
      <c r="K1875" s="8" t="s">
        <v>10042</v>
      </c>
      <c r="L1875" s="15">
        <v>0.18568100000000001</v>
      </c>
      <c r="M1875" s="15">
        <v>0.27926200000000001</v>
      </c>
      <c r="N1875" s="15">
        <v>0.66125305392418587</v>
      </c>
    </row>
    <row r="1876" spans="1:14" x14ac:dyDescent="0.2">
      <c r="A1876" s="2" t="s">
        <v>10066</v>
      </c>
      <c r="B1876" s="15">
        <v>1589</v>
      </c>
      <c r="C1876" s="15">
        <v>10</v>
      </c>
      <c r="D1876" s="15">
        <v>114255955</v>
      </c>
      <c r="E1876" s="15">
        <v>115588903</v>
      </c>
      <c r="F1876" s="15">
        <v>2988</v>
      </c>
      <c r="G1876" s="8" t="s">
        <v>12324</v>
      </c>
      <c r="H1876" s="24" t="s">
        <v>6008</v>
      </c>
      <c r="I1876" s="25" t="s">
        <v>6009</v>
      </c>
      <c r="J1876" s="8" t="s">
        <v>6010</v>
      </c>
      <c r="K1876" s="8" t="s">
        <v>10051</v>
      </c>
      <c r="L1876" s="15">
        <v>-0.28866000000000003</v>
      </c>
      <c r="M1876" s="15">
        <v>0.27946900000000002</v>
      </c>
      <c r="N1876" s="15">
        <v>0.66139008271077915</v>
      </c>
    </row>
    <row r="1877" spans="1:14" x14ac:dyDescent="0.2">
      <c r="A1877" s="2" t="s">
        <v>10068</v>
      </c>
      <c r="B1877" s="15">
        <v>1065</v>
      </c>
      <c r="C1877" s="15">
        <v>6</v>
      </c>
      <c r="D1877" s="15">
        <v>139716714</v>
      </c>
      <c r="E1877" s="15">
        <v>141449453</v>
      </c>
      <c r="F1877" s="15">
        <v>3411</v>
      </c>
      <c r="G1877" s="8" t="s">
        <v>12324</v>
      </c>
      <c r="H1877" s="24" t="s">
        <v>494</v>
      </c>
      <c r="I1877" s="25">
        <v>25920</v>
      </c>
      <c r="J1877" s="8" t="s">
        <v>496</v>
      </c>
      <c r="K1877" s="8" t="s">
        <v>10040</v>
      </c>
      <c r="L1877" s="15">
        <v>-0.32518900000000001</v>
      </c>
      <c r="M1877" s="15">
        <v>0.27989700000000001</v>
      </c>
      <c r="N1877" s="15">
        <v>0.66169679904051171</v>
      </c>
    </row>
    <row r="1878" spans="1:14" x14ac:dyDescent="0.2">
      <c r="A1878" s="2" t="s">
        <v>10068</v>
      </c>
      <c r="B1878" s="15">
        <v>2470</v>
      </c>
      <c r="C1878" s="15">
        <v>22</v>
      </c>
      <c r="D1878" s="15">
        <v>25282437</v>
      </c>
      <c r="E1878" s="15">
        <v>26166934</v>
      </c>
      <c r="F1878" s="15">
        <v>2758</v>
      </c>
      <c r="G1878" s="8" t="s">
        <v>12324</v>
      </c>
      <c r="H1878" s="24" t="s">
        <v>6565</v>
      </c>
      <c r="I1878" s="25" t="s">
        <v>6475</v>
      </c>
      <c r="J1878" s="8" t="s">
        <v>6566</v>
      </c>
      <c r="K1878" s="8" t="s">
        <v>10054</v>
      </c>
      <c r="L1878" s="15">
        <v>0.192242</v>
      </c>
      <c r="M1878" s="15">
        <v>0.27978500000000001</v>
      </c>
      <c r="N1878" s="15">
        <v>0.66169679904051171</v>
      </c>
    </row>
    <row r="1879" spans="1:14" x14ac:dyDescent="0.2">
      <c r="A1879" s="2" t="s">
        <v>10069</v>
      </c>
      <c r="B1879" s="15">
        <v>1957</v>
      </c>
      <c r="C1879" s="15">
        <v>14</v>
      </c>
      <c r="D1879" s="15">
        <v>22760701</v>
      </c>
      <c r="E1879" s="15">
        <v>23985936</v>
      </c>
      <c r="F1879" s="15">
        <v>2204</v>
      </c>
      <c r="G1879" s="8" t="s">
        <v>12324</v>
      </c>
      <c r="H1879" s="24" t="s">
        <v>662</v>
      </c>
      <c r="I1879" s="25" t="s">
        <v>663</v>
      </c>
      <c r="J1879" s="8" t="s">
        <v>664</v>
      </c>
      <c r="K1879" s="8" t="s">
        <v>10040</v>
      </c>
      <c r="L1879" s="15">
        <v>0.31605100000000003</v>
      </c>
      <c r="M1879" s="15">
        <v>0.28030699999999997</v>
      </c>
      <c r="N1879" s="15">
        <v>0.66224610223642177</v>
      </c>
    </row>
    <row r="1880" spans="1:14" x14ac:dyDescent="0.2">
      <c r="A1880" s="2" t="s">
        <v>10066</v>
      </c>
      <c r="B1880" s="15">
        <v>1352</v>
      </c>
      <c r="C1880" s="15">
        <v>8</v>
      </c>
      <c r="D1880" s="15">
        <v>126766828</v>
      </c>
      <c r="E1880" s="15">
        <v>128073654</v>
      </c>
      <c r="F1880" s="15">
        <v>3627</v>
      </c>
      <c r="G1880" s="8" t="s">
        <v>12324</v>
      </c>
      <c r="H1880" s="24" t="s">
        <v>3164</v>
      </c>
      <c r="I1880" s="25" t="s">
        <v>3165</v>
      </c>
      <c r="J1880" s="8" t="s">
        <v>3166</v>
      </c>
      <c r="K1880" s="8" t="s">
        <v>10042</v>
      </c>
      <c r="L1880" s="15">
        <v>0.35905599999999999</v>
      </c>
      <c r="M1880" s="15">
        <v>0.28042800000000001</v>
      </c>
      <c r="N1880" s="15">
        <v>0.66224610223642177</v>
      </c>
    </row>
    <row r="1881" spans="1:14" x14ac:dyDescent="0.2">
      <c r="A1881" s="2" t="s">
        <v>10068</v>
      </c>
      <c r="B1881" s="15">
        <v>2363</v>
      </c>
      <c r="C1881" s="15">
        <v>19</v>
      </c>
      <c r="D1881" s="15">
        <v>54602371</v>
      </c>
      <c r="E1881" s="15">
        <v>55182973</v>
      </c>
      <c r="F1881" s="15">
        <v>2310</v>
      </c>
      <c r="G1881" s="8" t="s">
        <v>12324</v>
      </c>
      <c r="H1881" s="24" t="s">
        <v>599</v>
      </c>
      <c r="I1881" s="25">
        <v>26562</v>
      </c>
      <c r="J1881" s="8" t="s">
        <v>601</v>
      </c>
      <c r="K1881" s="8" t="s">
        <v>10040</v>
      </c>
      <c r="L1881" s="15">
        <v>0.21604999999999999</v>
      </c>
      <c r="M1881" s="15">
        <v>0.28066999999999998</v>
      </c>
      <c r="N1881" s="15">
        <v>0.66246484832357633</v>
      </c>
    </row>
    <row r="1882" spans="1:14" x14ac:dyDescent="0.2">
      <c r="A1882" s="2" t="s">
        <v>10069</v>
      </c>
      <c r="B1882" s="15">
        <v>23</v>
      </c>
      <c r="C1882" s="15">
        <v>1</v>
      </c>
      <c r="D1882" s="15">
        <v>21416122</v>
      </c>
      <c r="E1882" s="15">
        <v>22145629</v>
      </c>
      <c r="F1882" s="15">
        <v>1387</v>
      </c>
      <c r="G1882" s="8" t="s">
        <v>12324</v>
      </c>
      <c r="H1882" s="24" t="s">
        <v>662</v>
      </c>
      <c r="I1882" s="25" t="s">
        <v>663</v>
      </c>
      <c r="J1882" s="8" t="s">
        <v>664</v>
      </c>
      <c r="K1882" s="8" t="s">
        <v>10040</v>
      </c>
      <c r="L1882" s="15">
        <v>-0.42961899999999997</v>
      </c>
      <c r="M1882" s="15">
        <v>0.281468</v>
      </c>
      <c r="N1882" s="15">
        <v>0.66292892250530788</v>
      </c>
    </row>
    <row r="1883" spans="1:14" x14ac:dyDescent="0.2">
      <c r="A1883" s="2" t="s">
        <v>10069</v>
      </c>
      <c r="B1883" s="15">
        <v>1267</v>
      </c>
      <c r="C1883" s="15">
        <v>8</v>
      </c>
      <c r="D1883" s="15">
        <v>21650454</v>
      </c>
      <c r="E1883" s="15">
        <v>22895018</v>
      </c>
      <c r="F1883" s="15">
        <v>1969</v>
      </c>
      <c r="G1883" s="8" t="s">
        <v>12324</v>
      </c>
      <c r="H1883" s="24" t="s">
        <v>662</v>
      </c>
      <c r="I1883" s="25" t="s">
        <v>663</v>
      </c>
      <c r="J1883" s="8" t="s">
        <v>664</v>
      </c>
      <c r="K1883" s="8" t="s">
        <v>10040</v>
      </c>
      <c r="L1883" s="15">
        <v>-0.33650799999999997</v>
      </c>
      <c r="M1883" s="15">
        <v>0.28161399999999998</v>
      </c>
      <c r="N1883" s="15">
        <v>0.66292892250530788</v>
      </c>
    </row>
    <row r="1884" spans="1:14" x14ac:dyDescent="0.2">
      <c r="A1884" s="2" t="s">
        <v>10066</v>
      </c>
      <c r="B1884" s="15">
        <v>1572</v>
      </c>
      <c r="C1884" s="15">
        <v>10</v>
      </c>
      <c r="D1884" s="15">
        <v>92911507</v>
      </c>
      <c r="E1884" s="15">
        <v>94503299</v>
      </c>
      <c r="F1884" s="15">
        <v>3074</v>
      </c>
      <c r="G1884" s="8" t="s">
        <v>12324</v>
      </c>
      <c r="H1884" s="24" t="s">
        <v>6008</v>
      </c>
      <c r="I1884" s="25" t="s">
        <v>6009</v>
      </c>
      <c r="J1884" s="8" t="s">
        <v>6010</v>
      </c>
      <c r="K1884" s="8" t="s">
        <v>10051</v>
      </c>
      <c r="L1884" s="15">
        <v>-0.38020300000000001</v>
      </c>
      <c r="M1884" s="15">
        <v>0.28133399999999997</v>
      </c>
      <c r="N1884" s="15">
        <v>0.66292892250530788</v>
      </c>
    </row>
    <row r="1885" spans="1:14" x14ac:dyDescent="0.2">
      <c r="A1885" s="2" t="s">
        <v>10066</v>
      </c>
      <c r="B1885" s="15">
        <v>223</v>
      </c>
      <c r="C1885" s="15">
        <v>2</v>
      </c>
      <c r="D1885" s="15">
        <v>18656326</v>
      </c>
      <c r="E1885" s="15">
        <v>20064517</v>
      </c>
      <c r="F1885" s="15">
        <v>3983</v>
      </c>
      <c r="G1885" s="8" t="s">
        <v>12324</v>
      </c>
      <c r="H1885" s="24" t="s">
        <v>6008</v>
      </c>
      <c r="I1885" s="25" t="s">
        <v>6009</v>
      </c>
      <c r="J1885" s="8" t="s">
        <v>6010</v>
      </c>
      <c r="K1885" s="8" t="s">
        <v>10051</v>
      </c>
      <c r="L1885" s="15">
        <v>-0.23943</v>
      </c>
      <c r="M1885" s="15">
        <v>0.28150599999999998</v>
      </c>
      <c r="N1885" s="15">
        <v>0.66292892250530788</v>
      </c>
    </row>
    <row r="1886" spans="1:14" x14ac:dyDescent="0.2">
      <c r="A1886" s="2" t="s">
        <v>10068</v>
      </c>
      <c r="B1886" s="15">
        <v>30</v>
      </c>
      <c r="C1886" s="15">
        <v>1</v>
      </c>
      <c r="D1886" s="15">
        <v>30405183</v>
      </c>
      <c r="E1886" s="15">
        <v>31639217</v>
      </c>
      <c r="F1886" s="15">
        <v>3669</v>
      </c>
      <c r="G1886" s="8" t="s">
        <v>12324</v>
      </c>
      <c r="H1886" s="24" t="s">
        <v>6565</v>
      </c>
      <c r="I1886" s="25" t="s">
        <v>6475</v>
      </c>
      <c r="J1886" s="8" t="s">
        <v>6566</v>
      </c>
      <c r="K1886" s="8" t="s">
        <v>10054</v>
      </c>
      <c r="L1886" s="15">
        <v>-0.222245</v>
      </c>
      <c r="M1886" s="15">
        <v>0.28125899999999998</v>
      </c>
      <c r="N1886" s="15">
        <v>0.66292892250530788</v>
      </c>
    </row>
    <row r="1887" spans="1:14" x14ac:dyDescent="0.2">
      <c r="A1887" s="2" t="s">
        <v>10068</v>
      </c>
      <c r="B1887" s="15">
        <v>212</v>
      </c>
      <c r="C1887" s="15">
        <v>2</v>
      </c>
      <c r="D1887" s="15">
        <v>7966710</v>
      </c>
      <c r="E1887" s="15">
        <v>8978798</v>
      </c>
      <c r="F1887" s="15">
        <v>2478</v>
      </c>
      <c r="G1887" s="8" t="s">
        <v>12324</v>
      </c>
      <c r="H1887" s="24" t="s">
        <v>1259</v>
      </c>
      <c r="I1887" s="25">
        <v>27096</v>
      </c>
      <c r="J1887" s="8" t="s">
        <v>1261</v>
      </c>
      <c r="K1887" s="8" t="s">
        <v>10040</v>
      </c>
      <c r="L1887" s="15">
        <v>-0.184665</v>
      </c>
      <c r="M1887" s="15">
        <v>0.281889</v>
      </c>
      <c r="N1887" s="15">
        <v>0.66322425198938983</v>
      </c>
    </row>
    <row r="1888" spans="1:14" x14ac:dyDescent="0.2">
      <c r="A1888" s="2" t="s">
        <v>10068</v>
      </c>
      <c r="B1888" s="15">
        <v>2365</v>
      </c>
      <c r="C1888" s="15">
        <v>19</v>
      </c>
      <c r="D1888" s="15">
        <v>55714086</v>
      </c>
      <c r="E1888" s="15">
        <v>56411086</v>
      </c>
      <c r="F1888" s="15">
        <v>2285</v>
      </c>
      <c r="G1888" s="8" t="s">
        <v>12324</v>
      </c>
      <c r="H1888" s="24" t="s">
        <v>1259</v>
      </c>
      <c r="I1888" s="25">
        <v>27096</v>
      </c>
      <c r="J1888" s="8" t="s">
        <v>1261</v>
      </c>
      <c r="K1888" s="8" t="s">
        <v>10040</v>
      </c>
      <c r="L1888" s="15">
        <v>0.26996100000000001</v>
      </c>
      <c r="M1888" s="15">
        <v>0.28223599999999999</v>
      </c>
      <c r="N1888" s="15">
        <v>0.66327445180084743</v>
      </c>
    </row>
    <row r="1889" spans="1:14" x14ac:dyDescent="0.2">
      <c r="A1889" s="2" t="s">
        <v>10068</v>
      </c>
      <c r="B1889" s="15">
        <v>575</v>
      </c>
      <c r="C1889" s="15">
        <v>3</v>
      </c>
      <c r="D1889" s="15">
        <v>174684708</v>
      </c>
      <c r="E1889" s="15">
        <v>175671424</v>
      </c>
      <c r="F1889" s="15">
        <v>2984</v>
      </c>
      <c r="G1889" s="8" t="s">
        <v>12324</v>
      </c>
      <c r="H1889" s="24" t="s">
        <v>1259</v>
      </c>
      <c r="I1889" s="25">
        <v>27096</v>
      </c>
      <c r="J1889" s="8" t="s">
        <v>1261</v>
      </c>
      <c r="K1889" s="8" t="s">
        <v>10040</v>
      </c>
      <c r="L1889" s="15">
        <v>0.288128</v>
      </c>
      <c r="M1889" s="15">
        <v>0.28235900000000003</v>
      </c>
      <c r="N1889" s="15">
        <v>0.66327445180084743</v>
      </c>
    </row>
    <row r="1890" spans="1:14" x14ac:dyDescent="0.2">
      <c r="A1890" s="2" t="s">
        <v>10066</v>
      </c>
      <c r="B1890" s="15">
        <v>2086</v>
      </c>
      <c r="C1890" s="15">
        <v>15</v>
      </c>
      <c r="D1890" s="15">
        <v>86341599</v>
      </c>
      <c r="E1890" s="15">
        <v>87158587</v>
      </c>
      <c r="F1890" s="15">
        <v>2898</v>
      </c>
      <c r="G1890" s="8" t="s">
        <v>12324</v>
      </c>
      <c r="H1890" s="24" t="s">
        <v>3164</v>
      </c>
      <c r="I1890" s="25" t="s">
        <v>3165</v>
      </c>
      <c r="J1890" s="8" t="s">
        <v>3166</v>
      </c>
      <c r="K1890" s="8" t="s">
        <v>10042</v>
      </c>
      <c r="L1890" s="15">
        <v>0.39093099999999997</v>
      </c>
      <c r="M1890" s="15">
        <v>0.28221499999999999</v>
      </c>
      <c r="N1890" s="15">
        <v>0.66327445180084743</v>
      </c>
    </row>
    <row r="1891" spans="1:14" x14ac:dyDescent="0.2">
      <c r="A1891" s="2" t="s">
        <v>10068</v>
      </c>
      <c r="B1891" s="15">
        <v>1531</v>
      </c>
      <c r="C1891" s="15">
        <v>10</v>
      </c>
      <c r="D1891" s="15">
        <v>46327145</v>
      </c>
      <c r="E1891" s="15">
        <v>49197320</v>
      </c>
      <c r="F1891" s="15">
        <v>1404</v>
      </c>
      <c r="G1891" s="8" t="s">
        <v>12324</v>
      </c>
      <c r="H1891" s="24" t="s">
        <v>599</v>
      </c>
      <c r="I1891" s="25">
        <v>26562</v>
      </c>
      <c r="J1891" s="8" t="s">
        <v>601</v>
      </c>
      <c r="K1891" s="8" t="s">
        <v>10040</v>
      </c>
      <c r="L1891" s="15">
        <v>0.15682699999999999</v>
      </c>
      <c r="M1891" s="15">
        <v>0.283049</v>
      </c>
      <c r="N1891" s="15">
        <v>0.66386464852008453</v>
      </c>
    </row>
    <row r="1892" spans="1:14" x14ac:dyDescent="0.2">
      <c r="A1892" s="2" t="s">
        <v>10068</v>
      </c>
      <c r="B1892" s="15">
        <v>1241</v>
      </c>
      <c r="C1892" s="15">
        <v>8</v>
      </c>
      <c r="D1892" s="15">
        <v>4273084</v>
      </c>
      <c r="E1892" s="15">
        <v>4893120</v>
      </c>
      <c r="F1892" s="15">
        <v>3189</v>
      </c>
      <c r="G1892" s="8" t="s">
        <v>12324</v>
      </c>
      <c r="H1892" s="24" t="s">
        <v>1259</v>
      </c>
      <c r="I1892" s="25">
        <v>27096</v>
      </c>
      <c r="J1892" s="8" t="s">
        <v>1261</v>
      </c>
      <c r="K1892" s="8" t="s">
        <v>10040</v>
      </c>
      <c r="L1892" s="15">
        <v>0.30207000000000001</v>
      </c>
      <c r="M1892" s="15">
        <v>0.28320899999999999</v>
      </c>
      <c r="N1892" s="15">
        <v>0.66386464852008453</v>
      </c>
    </row>
    <row r="1893" spans="1:14" x14ac:dyDescent="0.2">
      <c r="A1893" s="2" t="s">
        <v>10066</v>
      </c>
      <c r="B1893" s="15">
        <v>1845</v>
      </c>
      <c r="C1893" s="15">
        <v>12</v>
      </c>
      <c r="D1893" s="15">
        <v>116197676</v>
      </c>
      <c r="E1893" s="15">
        <v>117091843</v>
      </c>
      <c r="F1893" s="15">
        <v>2352</v>
      </c>
      <c r="G1893" s="8" t="s">
        <v>12324</v>
      </c>
      <c r="H1893" s="24" t="s">
        <v>6008</v>
      </c>
      <c r="I1893" s="25" t="s">
        <v>6009</v>
      </c>
      <c r="J1893" s="8" t="s">
        <v>6010</v>
      </c>
      <c r="K1893" s="8" t="s">
        <v>10051</v>
      </c>
      <c r="L1893" s="15">
        <v>0.15417</v>
      </c>
      <c r="M1893" s="15">
        <v>0.28318399999999999</v>
      </c>
      <c r="N1893" s="15">
        <v>0.66386464852008453</v>
      </c>
    </row>
    <row r="1894" spans="1:14" x14ac:dyDescent="0.2">
      <c r="A1894" s="2" t="s">
        <v>10068</v>
      </c>
      <c r="B1894" s="15">
        <v>924</v>
      </c>
      <c r="C1894" s="15">
        <v>5</v>
      </c>
      <c r="D1894" s="15">
        <v>178595253</v>
      </c>
      <c r="E1894" s="15">
        <v>179794710</v>
      </c>
      <c r="F1894" s="15">
        <v>3844</v>
      </c>
      <c r="G1894" s="8" t="s">
        <v>12324</v>
      </c>
      <c r="H1894" s="24" t="s">
        <v>6565</v>
      </c>
      <c r="I1894" s="25" t="s">
        <v>6475</v>
      </c>
      <c r="J1894" s="8" t="s">
        <v>6566</v>
      </c>
      <c r="K1894" s="8" t="s">
        <v>10054</v>
      </c>
      <c r="L1894" s="15">
        <v>-0.301958</v>
      </c>
      <c r="M1894" s="15">
        <v>0.28304800000000002</v>
      </c>
      <c r="N1894" s="15">
        <v>0.66386464852008453</v>
      </c>
    </row>
    <row r="1895" spans="1:14" x14ac:dyDescent="0.2">
      <c r="A1895" s="2" t="s">
        <v>10066</v>
      </c>
      <c r="B1895" s="15">
        <v>839</v>
      </c>
      <c r="C1895" s="15">
        <v>5</v>
      </c>
      <c r="D1895" s="15">
        <v>75959516</v>
      </c>
      <c r="E1895" s="15">
        <v>77290255</v>
      </c>
      <c r="F1895" s="15">
        <v>3691</v>
      </c>
      <c r="G1895" s="8" t="s">
        <v>12324</v>
      </c>
      <c r="H1895" s="24" t="s">
        <v>6008</v>
      </c>
      <c r="I1895" s="25" t="s">
        <v>6009</v>
      </c>
      <c r="J1895" s="8" t="s">
        <v>6010</v>
      </c>
      <c r="K1895" s="8" t="s">
        <v>10051</v>
      </c>
      <c r="L1895" s="15">
        <v>-0.31082199999999999</v>
      </c>
      <c r="M1895" s="15">
        <v>0.28348600000000002</v>
      </c>
      <c r="N1895" s="15">
        <v>0.66416292128895937</v>
      </c>
    </row>
    <row r="1896" spans="1:14" x14ac:dyDescent="0.2">
      <c r="A1896" s="2" t="s">
        <v>10068</v>
      </c>
      <c r="B1896" s="15">
        <v>1546</v>
      </c>
      <c r="C1896" s="15">
        <v>10</v>
      </c>
      <c r="D1896" s="15">
        <v>65400432</v>
      </c>
      <c r="E1896" s="15">
        <v>66510387</v>
      </c>
      <c r="F1896" s="15">
        <v>2457</v>
      </c>
      <c r="G1896" s="8" t="s">
        <v>12324</v>
      </c>
      <c r="H1896" s="24" t="s">
        <v>1259</v>
      </c>
      <c r="I1896" s="25">
        <v>27096</v>
      </c>
      <c r="J1896" s="8" t="s">
        <v>1261</v>
      </c>
      <c r="K1896" s="8" t="s">
        <v>10040</v>
      </c>
      <c r="L1896" s="15">
        <v>0.28960000000000002</v>
      </c>
      <c r="M1896" s="15">
        <v>0.28364800000000001</v>
      </c>
      <c r="N1896" s="15">
        <v>0.66419159450897569</v>
      </c>
    </row>
    <row r="1897" spans="1:14" x14ac:dyDescent="0.2">
      <c r="A1897" s="2" t="s">
        <v>10068</v>
      </c>
      <c r="B1897" s="15">
        <v>2433</v>
      </c>
      <c r="C1897" s="15">
        <v>21</v>
      </c>
      <c r="D1897" s="15">
        <v>16873444</v>
      </c>
      <c r="E1897" s="15">
        <v>18222037</v>
      </c>
      <c r="F1897" s="15">
        <v>2705</v>
      </c>
      <c r="G1897" s="8" t="s">
        <v>12324</v>
      </c>
      <c r="H1897" s="24" t="s">
        <v>1259</v>
      </c>
      <c r="I1897" s="25">
        <v>27096</v>
      </c>
      <c r="J1897" s="8" t="s">
        <v>1261</v>
      </c>
      <c r="K1897" s="8" t="s">
        <v>10040</v>
      </c>
      <c r="L1897" s="15">
        <v>0.13355600000000001</v>
      </c>
      <c r="M1897" s="15">
        <v>0.28386299999999998</v>
      </c>
      <c r="N1897" s="15">
        <v>0.66434427704485477</v>
      </c>
    </row>
    <row r="1898" spans="1:14" x14ac:dyDescent="0.2">
      <c r="A1898" s="2" t="s">
        <v>10068</v>
      </c>
      <c r="B1898" s="15">
        <v>2306</v>
      </c>
      <c r="C1898" s="15">
        <v>19</v>
      </c>
      <c r="D1898" s="15">
        <v>64705</v>
      </c>
      <c r="E1898" s="15">
        <v>762046</v>
      </c>
      <c r="F1898" s="15">
        <v>2459</v>
      </c>
      <c r="G1898" s="8" t="s">
        <v>12324</v>
      </c>
      <c r="H1898" s="24" t="s">
        <v>6565</v>
      </c>
      <c r="I1898" s="25" t="s">
        <v>6475</v>
      </c>
      <c r="J1898" s="8" t="s">
        <v>6566</v>
      </c>
      <c r="K1898" s="8" t="s">
        <v>10054</v>
      </c>
      <c r="L1898" s="15">
        <v>-0.177762</v>
      </c>
      <c r="M1898" s="15">
        <v>0.28402899999999998</v>
      </c>
      <c r="N1898" s="15">
        <v>0.66438218090717294</v>
      </c>
    </row>
    <row r="1899" spans="1:14" x14ac:dyDescent="0.2">
      <c r="A1899" s="2" t="s">
        <v>10068</v>
      </c>
      <c r="B1899" s="15">
        <v>655</v>
      </c>
      <c r="C1899" s="15">
        <v>4</v>
      </c>
      <c r="D1899" s="15">
        <v>58940257</v>
      </c>
      <c r="E1899" s="15">
        <v>59692948</v>
      </c>
      <c r="F1899" s="15">
        <v>2420</v>
      </c>
      <c r="G1899" s="8" t="s">
        <v>12324</v>
      </c>
      <c r="H1899" s="24" t="s">
        <v>494</v>
      </c>
      <c r="I1899" s="25">
        <v>25920</v>
      </c>
      <c r="J1899" s="8" t="s">
        <v>496</v>
      </c>
      <c r="K1899" s="8" t="s">
        <v>10040</v>
      </c>
      <c r="L1899" s="15">
        <v>-0.43714900000000001</v>
      </c>
      <c r="M1899" s="15">
        <v>0.28582600000000002</v>
      </c>
      <c r="N1899" s="15">
        <v>0.6652987873232058</v>
      </c>
    </row>
    <row r="1900" spans="1:14" x14ac:dyDescent="0.2">
      <c r="A1900" s="2" t="s">
        <v>10068</v>
      </c>
      <c r="B1900" s="15">
        <v>764</v>
      </c>
      <c r="C1900" s="15">
        <v>4</v>
      </c>
      <c r="D1900" s="15">
        <v>181122434</v>
      </c>
      <c r="E1900" s="15">
        <v>182065646</v>
      </c>
      <c r="F1900" s="15">
        <v>3220</v>
      </c>
      <c r="G1900" s="8" t="s">
        <v>12324</v>
      </c>
      <c r="H1900" s="24" t="s">
        <v>494</v>
      </c>
      <c r="I1900" s="25">
        <v>25920</v>
      </c>
      <c r="J1900" s="8" t="s">
        <v>496</v>
      </c>
      <c r="K1900" s="8" t="s">
        <v>10040</v>
      </c>
      <c r="L1900" s="15">
        <v>-0.369979</v>
      </c>
      <c r="M1900" s="15">
        <v>0.28604499999999999</v>
      </c>
      <c r="N1900" s="15">
        <v>0.6652987873232058</v>
      </c>
    </row>
    <row r="1901" spans="1:14" x14ac:dyDescent="0.2">
      <c r="A1901" s="2" t="s">
        <v>10068</v>
      </c>
      <c r="B1901" s="15">
        <v>1986</v>
      </c>
      <c r="C1901" s="15">
        <v>14</v>
      </c>
      <c r="D1901" s="15">
        <v>54359599</v>
      </c>
      <c r="E1901" s="15">
        <v>55292832</v>
      </c>
      <c r="F1901" s="15">
        <v>2088</v>
      </c>
      <c r="G1901" s="8" t="s">
        <v>12324</v>
      </c>
      <c r="H1901" s="24" t="s">
        <v>599</v>
      </c>
      <c r="I1901" s="25">
        <v>26562</v>
      </c>
      <c r="J1901" s="8" t="s">
        <v>601</v>
      </c>
      <c r="K1901" s="8" t="s">
        <v>10040</v>
      </c>
      <c r="L1901" s="15">
        <v>0.26960600000000001</v>
      </c>
      <c r="M1901" s="15">
        <v>0.28514800000000001</v>
      </c>
      <c r="N1901" s="15">
        <v>0.6652987873232058</v>
      </c>
    </row>
    <row r="1902" spans="1:14" x14ac:dyDescent="0.2">
      <c r="A1902" s="2" t="s">
        <v>10069</v>
      </c>
      <c r="B1902" s="15">
        <v>1733</v>
      </c>
      <c r="C1902" s="15">
        <v>11</v>
      </c>
      <c r="D1902" s="15">
        <v>128262551</v>
      </c>
      <c r="E1902" s="15">
        <v>129451784</v>
      </c>
      <c r="F1902" s="15">
        <v>2011</v>
      </c>
      <c r="G1902" s="8" t="s">
        <v>12324</v>
      </c>
      <c r="H1902" s="24" t="s">
        <v>662</v>
      </c>
      <c r="I1902" s="25" t="s">
        <v>663</v>
      </c>
      <c r="J1902" s="8" t="s">
        <v>664</v>
      </c>
      <c r="K1902" s="8" t="s">
        <v>10040</v>
      </c>
      <c r="L1902" s="15">
        <v>-0.32271699999999998</v>
      </c>
      <c r="M1902" s="15">
        <v>0.28575499999999998</v>
      </c>
      <c r="N1902" s="15">
        <v>0.6652987873232058</v>
      </c>
    </row>
    <row r="1903" spans="1:14" x14ac:dyDescent="0.2">
      <c r="A1903" s="2" t="s">
        <v>10069</v>
      </c>
      <c r="B1903" s="15">
        <v>1678</v>
      </c>
      <c r="C1903" s="15">
        <v>11</v>
      </c>
      <c r="D1903" s="15">
        <v>69713997</v>
      </c>
      <c r="E1903" s="15">
        <v>71242834</v>
      </c>
      <c r="F1903" s="15">
        <v>2734</v>
      </c>
      <c r="G1903" s="8" t="s">
        <v>12324</v>
      </c>
      <c r="H1903" s="24" t="s">
        <v>662</v>
      </c>
      <c r="I1903" s="25" t="s">
        <v>663</v>
      </c>
      <c r="J1903" s="8" t="s">
        <v>664</v>
      </c>
      <c r="K1903" s="8" t="s">
        <v>10040</v>
      </c>
      <c r="L1903" s="15">
        <v>-0.36758200000000002</v>
      </c>
      <c r="M1903" s="15">
        <v>0.28615299999999999</v>
      </c>
      <c r="N1903" s="15">
        <v>0.6652987873232058</v>
      </c>
    </row>
    <row r="1904" spans="1:14" x14ac:dyDescent="0.2">
      <c r="A1904" s="2" t="s">
        <v>10068</v>
      </c>
      <c r="B1904" s="15">
        <v>366</v>
      </c>
      <c r="C1904" s="15">
        <v>2</v>
      </c>
      <c r="D1904" s="15">
        <v>182307878</v>
      </c>
      <c r="E1904" s="15">
        <v>183352290</v>
      </c>
      <c r="F1904" s="15">
        <v>2381</v>
      </c>
      <c r="G1904" s="8" t="s">
        <v>12324</v>
      </c>
      <c r="H1904" s="24" t="s">
        <v>1259</v>
      </c>
      <c r="I1904" s="25">
        <v>27096</v>
      </c>
      <c r="J1904" s="8" t="s">
        <v>1261</v>
      </c>
      <c r="K1904" s="8" t="s">
        <v>10040</v>
      </c>
      <c r="L1904" s="15">
        <v>-0.41256300000000001</v>
      </c>
      <c r="M1904" s="15">
        <v>0.28578399999999998</v>
      </c>
      <c r="N1904" s="15">
        <v>0.6652987873232058</v>
      </c>
    </row>
    <row r="1905" spans="1:14" x14ac:dyDescent="0.2">
      <c r="A1905" s="2" t="s">
        <v>10066</v>
      </c>
      <c r="B1905" s="15">
        <v>1263</v>
      </c>
      <c r="C1905" s="15">
        <v>8</v>
      </c>
      <c r="D1905" s="15">
        <v>18668610</v>
      </c>
      <c r="E1905" s="15">
        <v>19488888</v>
      </c>
      <c r="F1905" s="15">
        <v>2970</v>
      </c>
      <c r="G1905" s="8" t="s">
        <v>12324</v>
      </c>
      <c r="H1905" s="24" t="s">
        <v>3164</v>
      </c>
      <c r="I1905" s="25" t="s">
        <v>3165</v>
      </c>
      <c r="J1905" s="8" t="s">
        <v>3166</v>
      </c>
      <c r="K1905" s="8" t="s">
        <v>10042</v>
      </c>
      <c r="L1905" s="15">
        <v>-0.26047599999999999</v>
      </c>
      <c r="M1905" s="15">
        <v>0.28555900000000001</v>
      </c>
      <c r="N1905" s="15">
        <v>0.6652987873232058</v>
      </c>
    </row>
    <row r="1906" spans="1:14" x14ac:dyDescent="0.2">
      <c r="A1906" s="2" t="s">
        <v>10066</v>
      </c>
      <c r="B1906" s="15">
        <v>772</v>
      </c>
      <c r="C1906" s="15">
        <v>4</v>
      </c>
      <c r="D1906" s="15">
        <v>187985394</v>
      </c>
      <c r="E1906" s="15">
        <v>189153279</v>
      </c>
      <c r="F1906" s="15">
        <v>4101</v>
      </c>
      <c r="G1906" s="8" t="s">
        <v>12324</v>
      </c>
      <c r="H1906" s="24" t="s">
        <v>3164</v>
      </c>
      <c r="I1906" s="25" t="s">
        <v>3165</v>
      </c>
      <c r="J1906" s="8" t="s">
        <v>3166</v>
      </c>
      <c r="K1906" s="8" t="s">
        <v>10042</v>
      </c>
      <c r="L1906" s="15">
        <v>-0.226685</v>
      </c>
      <c r="M1906" s="15">
        <v>0.28556300000000001</v>
      </c>
      <c r="N1906" s="15">
        <v>0.6652987873232058</v>
      </c>
    </row>
    <row r="1907" spans="1:14" x14ac:dyDescent="0.2">
      <c r="A1907" s="2" t="s">
        <v>10066</v>
      </c>
      <c r="B1907" s="15">
        <v>185</v>
      </c>
      <c r="C1907" s="15">
        <v>1</v>
      </c>
      <c r="D1907" s="15">
        <v>235097114</v>
      </c>
      <c r="E1907" s="15">
        <v>236199671</v>
      </c>
      <c r="F1907" s="15">
        <v>2344</v>
      </c>
      <c r="G1907" s="8" t="s">
        <v>12324</v>
      </c>
      <c r="H1907" s="24" t="s">
        <v>3164</v>
      </c>
      <c r="I1907" s="25" t="s">
        <v>3165</v>
      </c>
      <c r="J1907" s="8" t="s">
        <v>3166</v>
      </c>
      <c r="K1907" s="8" t="s">
        <v>10042</v>
      </c>
      <c r="L1907" s="15">
        <v>-0.185775</v>
      </c>
      <c r="M1907" s="15">
        <v>0.286192</v>
      </c>
      <c r="N1907" s="15">
        <v>0.6652987873232058</v>
      </c>
    </row>
    <row r="1908" spans="1:14" x14ac:dyDescent="0.2">
      <c r="A1908" s="2" t="s">
        <v>10066</v>
      </c>
      <c r="B1908" s="15">
        <v>1089</v>
      </c>
      <c r="C1908" s="15">
        <v>6</v>
      </c>
      <c r="D1908" s="15">
        <v>165835954</v>
      </c>
      <c r="E1908" s="15">
        <v>166853325</v>
      </c>
      <c r="F1908" s="15">
        <v>3412</v>
      </c>
      <c r="G1908" s="8" t="s">
        <v>12324</v>
      </c>
      <c r="H1908" s="24" t="s">
        <v>3164</v>
      </c>
      <c r="I1908" s="25" t="s">
        <v>3165</v>
      </c>
      <c r="J1908" s="8" t="s">
        <v>3166</v>
      </c>
      <c r="K1908" s="8" t="s">
        <v>10042</v>
      </c>
      <c r="L1908" s="15">
        <v>0.20832600000000001</v>
      </c>
      <c r="M1908" s="15">
        <v>0.28637099999999999</v>
      </c>
      <c r="N1908" s="15">
        <v>0.6652987873232058</v>
      </c>
    </row>
    <row r="1909" spans="1:14" x14ac:dyDescent="0.2">
      <c r="A1909" s="2" t="s">
        <v>10066</v>
      </c>
      <c r="B1909" s="15">
        <v>550</v>
      </c>
      <c r="C1909" s="15">
        <v>3</v>
      </c>
      <c r="D1909" s="15">
        <v>147358244</v>
      </c>
      <c r="E1909" s="15">
        <v>148638308</v>
      </c>
      <c r="F1909" s="15">
        <v>3340</v>
      </c>
      <c r="G1909" s="8" t="s">
        <v>12324</v>
      </c>
      <c r="H1909" s="24" t="s">
        <v>6008</v>
      </c>
      <c r="I1909" s="25" t="s">
        <v>6009</v>
      </c>
      <c r="J1909" s="8" t="s">
        <v>6010</v>
      </c>
      <c r="K1909" s="8" t="s">
        <v>10051</v>
      </c>
      <c r="L1909" s="15">
        <v>-0.27708199999999999</v>
      </c>
      <c r="M1909" s="15">
        <v>0.28636699999999998</v>
      </c>
      <c r="N1909" s="15">
        <v>0.6652987873232058</v>
      </c>
    </row>
    <row r="1910" spans="1:14" x14ac:dyDescent="0.2">
      <c r="A1910" s="2" t="s">
        <v>10068</v>
      </c>
      <c r="B1910" s="15">
        <v>2094</v>
      </c>
      <c r="C1910" s="15">
        <v>15</v>
      </c>
      <c r="D1910" s="15">
        <v>94565522</v>
      </c>
      <c r="E1910" s="15">
        <v>95662425</v>
      </c>
      <c r="F1910" s="15">
        <v>3167</v>
      </c>
      <c r="G1910" s="8" t="s">
        <v>12324</v>
      </c>
      <c r="H1910" s="24" t="s">
        <v>6565</v>
      </c>
      <c r="I1910" s="25" t="s">
        <v>6475</v>
      </c>
      <c r="J1910" s="8" t="s">
        <v>6566</v>
      </c>
      <c r="K1910" s="8" t="s">
        <v>10054</v>
      </c>
      <c r="L1910" s="15">
        <v>-0.13193299999999999</v>
      </c>
      <c r="M1910" s="15">
        <v>0.28578599999999998</v>
      </c>
      <c r="N1910" s="15">
        <v>0.6652987873232058</v>
      </c>
    </row>
    <row r="1911" spans="1:14" x14ac:dyDescent="0.2">
      <c r="A1911" s="2" t="s">
        <v>10068</v>
      </c>
      <c r="B1911" s="15">
        <v>2223</v>
      </c>
      <c r="C1911" s="15">
        <v>17</v>
      </c>
      <c r="D1911" s="15">
        <v>65582328</v>
      </c>
      <c r="E1911" s="15">
        <v>66757556</v>
      </c>
      <c r="F1911" s="15">
        <v>2936</v>
      </c>
      <c r="G1911" s="8" t="s">
        <v>12324</v>
      </c>
      <c r="H1911" s="24" t="s">
        <v>6565</v>
      </c>
      <c r="I1911" s="25" t="s">
        <v>6475</v>
      </c>
      <c r="J1911" s="8" t="s">
        <v>6566</v>
      </c>
      <c r="K1911" s="8" t="s">
        <v>10054</v>
      </c>
      <c r="L1911" s="15">
        <v>-0.310309</v>
      </c>
      <c r="M1911" s="15">
        <v>0.28598800000000002</v>
      </c>
      <c r="N1911" s="15">
        <v>0.6652987873232058</v>
      </c>
    </row>
    <row r="1912" spans="1:14" x14ac:dyDescent="0.2">
      <c r="A1912" s="2" t="s">
        <v>10069</v>
      </c>
      <c r="B1912" s="15">
        <v>2170</v>
      </c>
      <c r="C1912" s="15">
        <v>16</v>
      </c>
      <c r="D1912" s="15">
        <v>87669169</v>
      </c>
      <c r="E1912" s="15">
        <v>88387228</v>
      </c>
      <c r="F1912" s="15">
        <v>1802</v>
      </c>
      <c r="G1912" s="8" t="s">
        <v>12324</v>
      </c>
      <c r="H1912" s="24" t="s">
        <v>662</v>
      </c>
      <c r="I1912" s="25" t="s">
        <v>663</v>
      </c>
      <c r="J1912" s="8" t="s">
        <v>664</v>
      </c>
      <c r="K1912" s="8" t="s">
        <v>10040</v>
      </c>
      <c r="L1912" s="15">
        <v>0.38281300000000001</v>
      </c>
      <c r="M1912" s="15">
        <v>0.28713</v>
      </c>
      <c r="N1912" s="15">
        <v>0.66586436225823309</v>
      </c>
    </row>
    <row r="1913" spans="1:14" x14ac:dyDescent="0.2">
      <c r="A1913" s="2" t="s">
        <v>10068</v>
      </c>
      <c r="B1913" s="15">
        <v>922</v>
      </c>
      <c r="C1913" s="15">
        <v>5</v>
      </c>
      <c r="D1913" s="15">
        <v>176180302</v>
      </c>
      <c r="E1913" s="15">
        <v>177659902</v>
      </c>
      <c r="F1913" s="15">
        <v>3201</v>
      </c>
      <c r="G1913" s="8" t="s">
        <v>12324</v>
      </c>
      <c r="H1913" s="24" t="s">
        <v>1259</v>
      </c>
      <c r="I1913" s="25">
        <v>27096</v>
      </c>
      <c r="J1913" s="8" t="s">
        <v>1261</v>
      </c>
      <c r="K1913" s="8" t="s">
        <v>10040</v>
      </c>
      <c r="L1913" s="15">
        <v>0.28269699999999998</v>
      </c>
      <c r="M1913" s="15">
        <v>0.28704200000000002</v>
      </c>
      <c r="N1913" s="15">
        <v>0.66586436225823309</v>
      </c>
    </row>
    <row r="1914" spans="1:14" x14ac:dyDescent="0.2">
      <c r="A1914" s="2" t="s">
        <v>10066</v>
      </c>
      <c r="B1914" s="15">
        <v>193</v>
      </c>
      <c r="C1914" s="15">
        <v>1</v>
      </c>
      <c r="D1914" s="15">
        <v>241813535</v>
      </c>
      <c r="E1914" s="15">
        <v>242417923</v>
      </c>
      <c r="F1914" s="15">
        <v>2177</v>
      </c>
      <c r="G1914" s="8" t="s">
        <v>12324</v>
      </c>
      <c r="H1914" s="24" t="s">
        <v>3164</v>
      </c>
      <c r="I1914" s="25" t="s">
        <v>3165</v>
      </c>
      <c r="J1914" s="8" t="s">
        <v>3166</v>
      </c>
      <c r="K1914" s="8" t="s">
        <v>10042</v>
      </c>
      <c r="L1914" s="15">
        <v>-0.22071299999999999</v>
      </c>
      <c r="M1914" s="15">
        <v>0.28698499999999999</v>
      </c>
      <c r="N1914" s="15">
        <v>0.66586436225823309</v>
      </c>
    </row>
    <row r="1915" spans="1:14" x14ac:dyDescent="0.2">
      <c r="A1915" s="2" t="s">
        <v>10066</v>
      </c>
      <c r="B1915" s="15">
        <v>2345</v>
      </c>
      <c r="C1915" s="15">
        <v>19</v>
      </c>
      <c r="D1915" s="15">
        <v>39370420</v>
      </c>
      <c r="E1915" s="15">
        <v>40171413</v>
      </c>
      <c r="F1915" s="15">
        <v>2194</v>
      </c>
      <c r="G1915" s="8" t="s">
        <v>12324</v>
      </c>
      <c r="H1915" s="24" t="s">
        <v>6008</v>
      </c>
      <c r="I1915" s="25" t="s">
        <v>6009</v>
      </c>
      <c r="J1915" s="8" t="s">
        <v>6010</v>
      </c>
      <c r="K1915" s="8" t="s">
        <v>10051</v>
      </c>
      <c r="L1915" s="15">
        <v>0.36958099999999999</v>
      </c>
      <c r="M1915" s="15">
        <v>0.287215</v>
      </c>
      <c r="N1915" s="15">
        <v>0.66586436225823309</v>
      </c>
    </row>
    <row r="1916" spans="1:14" x14ac:dyDescent="0.2">
      <c r="A1916" s="2" t="s">
        <v>10068</v>
      </c>
      <c r="B1916" s="15">
        <v>413</v>
      </c>
      <c r="C1916" s="15">
        <v>2</v>
      </c>
      <c r="D1916" s="15">
        <v>236276288</v>
      </c>
      <c r="E1916" s="15">
        <v>237194297</v>
      </c>
      <c r="F1916" s="15">
        <v>2280</v>
      </c>
      <c r="G1916" s="8" t="s">
        <v>12324</v>
      </c>
      <c r="H1916" s="24" t="s">
        <v>494</v>
      </c>
      <c r="I1916" s="25">
        <v>25920</v>
      </c>
      <c r="J1916" s="8" t="s">
        <v>496</v>
      </c>
      <c r="K1916" s="8" t="s">
        <v>10040</v>
      </c>
      <c r="L1916" s="15">
        <v>-0.32611699999999999</v>
      </c>
      <c r="M1916" s="15">
        <v>0.287634</v>
      </c>
      <c r="N1916" s="15">
        <v>0.66592358298538612</v>
      </c>
    </row>
    <row r="1917" spans="1:14" x14ac:dyDescent="0.2">
      <c r="A1917" s="2" t="s">
        <v>10069</v>
      </c>
      <c r="B1917" s="15">
        <v>276</v>
      </c>
      <c r="C1917" s="15">
        <v>2</v>
      </c>
      <c r="D1917" s="15">
        <v>70756284</v>
      </c>
      <c r="E1917" s="15">
        <v>71385813</v>
      </c>
      <c r="F1917" s="15">
        <v>1430</v>
      </c>
      <c r="G1917" s="8" t="s">
        <v>12324</v>
      </c>
      <c r="H1917" s="24" t="s">
        <v>662</v>
      </c>
      <c r="I1917" s="25" t="s">
        <v>663</v>
      </c>
      <c r="J1917" s="8" t="s">
        <v>664</v>
      </c>
      <c r="K1917" s="8" t="s">
        <v>10040</v>
      </c>
      <c r="L1917" s="15">
        <v>0.32600299999999999</v>
      </c>
      <c r="M1917" s="15">
        <v>0.28755399999999998</v>
      </c>
      <c r="N1917" s="15">
        <v>0.66592358298538612</v>
      </c>
    </row>
    <row r="1918" spans="1:14" x14ac:dyDescent="0.2">
      <c r="A1918" s="2" t="s">
        <v>10068</v>
      </c>
      <c r="B1918" s="15">
        <v>54</v>
      </c>
      <c r="C1918" s="15">
        <v>1</v>
      </c>
      <c r="D1918" s="15">
        <v>62778734</v>
      </c>
      <c r="E1918" s="15">
        <v>64344226</v>
      </c>
      <c r="F1918" s="15">
        <v>3565</v>
      </c>
      <c r="G1918" s="8" t="s">
        <v>12324</v>
      </c>
      <c r="H1918" s="24" t="s">
        <v>6565</v>
      </c>
      <c r="I1918" s="25" t="s">
        <v>6475</v>
      </c>
      <c r="J1918" s="8" t="s">
        <v>6566</v>
      </c>
      <c r="K1918" s="8" t="s">
        <v>10054</v>
      </c>
      <c r="L1918" s="15">
        <v>-0.239957</v>
      </c>
      <c r="M1918" s="15">
        <v>0.28769099999999997</v>
      </c>
      <c r="N1918" s="15">
        <v>0.66592358298538612</v>
      </c>
    </row>
    <row r="1919" spans="1:14" x14ac:dyDescent="0.2">
      <c r="A1919" s="2" t="s">
        <v>10068</v>
      </c>
      <c r="B1919" s="15">
        <v>1460</v>
      </c>
      <c r="C1919" s="15">
        <v>9</v>
      </c>
      <c r="D1919" s="15">
        <v>115390113</v>
      </c>
      <c r="E1919" s="15">
        <v>116159540</v>
      </c>
      <c r="F1919" s="15">
        <v>2188</v>
      </c>
      <c r="G1919" s="8" t="s">
        <v>12324</v>
      </c>
      <c r="H1919" s="24" t="s">
        <v>1259</v>
      </c>
      <c r="I1919" s="25">
        <v>27096</v>
      </c>
      <c r="J1919" s="8" t="s">
        <v>1261</v>
      </c>
      <c r="K1919" s="8" t="s">
        <v>10040</v>
      </c>
      <c r="L1919" s="15">
        <v>0.25508199999999998</v>
      </c>
      <c r="M1919" s="15">
        <v>0.28821600000000003</v>
      </c>
      <c r="N1919" s="15">
        <v>0.66629230588848354</v>
      </c>
    </row>
    <row r="1920" spans="1:14" x14ac:dyDescent="0.2">
      <c r="A1920" s="2" t="s">
        <v>10066</v>
      </c>
      <c r="B1920" s="15">
        <v>300</v>
      </c>
      <c r="C1920" s="15">
        <v>2</v>
      </c>
      <c r="D1920" s="15">
        <v>103305258</v>
      </c>
      <c r="E1920" s="15">
        <v>105120578</v>
      </c>
      <c r="F1920" s="15">
        <v>3606</v>
      </c>
      <c r="G1920" s="8" t="s">
        <v>12324</v>
      </c>
      <c r="H1920" s="24" t="s">
        <v>3164</v>
      </c>
      <c r="I1920" s="25" t="s">
        <v>3165</v>
      </c>
      <c r="J1920" s="8" t="s">
        <v>3166</v>
      </c>
      <c r="K1920" s="8" t="s">
        <v>10042</v>
      </c>
      <c r="L1920" s="15">
        <v>0.26094600000000001</v>
      </c>
      <c r="M1920" s="15">
        <v>0.28828100000000001</v>
      </c>
      <c r="N1920" s="15">
        <v>0.66629230588848354</v>
      </c>
    </row>
    <row r="1921" spans="1:14" x14ac:dyDescent="0.2">
      <c r="A1921" s="2" t="s">
        <v>10066</v>
      </c>
      <c r="B1921" s="15">
        <v>19</v>
      </c>
      <c r="C1921" s="15">
        <v>1</v>
      </c>
      <c r="D1921" s="15">
        <v>17557747</v>
      </c>
      <c r="E1921" s="15">
        <v>18427820</v>
      </c>
      <c r="F1921" s="15">
        <v>2582</v>
      </c>
      <c r="G1921" s="8" t="s">
        <v>12324</v>
      </c>
      <c r="H1921" s="24" t="s">
        <v>3164</v>
      </c>
      <c r="I1921" s="25" t="s">
        <v>3165</v>
      </c>
      <c r="J1921" s="8" t="s">
        <v>3166</v>
      </c>
      <c r="K1921" s="8" t="s">
        <v>10042</v>
      </c>
      <c r="L1921" s="15">
        <v>-0.23096</v>
      </c>
      <c r="M1921" s="15">
        <v>0.28830099999999997</v>
      </c>
      <c r="N1921" s="15">
        <v>0.66629230588848354</v>
      </c>
    </row>
    <row r="1922" spans="1:14" x14ac:dyDescent="0.2">
      <c r="A1922" s="2" t="s">
        <v>10068</v>
      </c>
      <c r="B1922" s="15">
        <v>1181</v>
      </c>
      <c r="C1922" s="15">
        <v>7</v>
      </c>
      <c r="D1922" s="15">
        <v>93691726</v>
      </c>
      <c r="E1922" s="15">
        <v>95174847</v>
      </c>
      <c r="F1922" s="15">
        <v>2660</v>
      </c>
      <c r="G1922" s="8" t="s">
        <v>12324</v>
      </c>
      <c r="H1922" s="24" t="s">
        <v>599</v>
      </c>
      <c r="I1922" s="25">
        <v>26562</v>
      </c>
      <c r="J1922" s="8" t="s">
        <v>601</v>
      </c>
      <c r="K1922" s="8" t="s">
        <v>10040</v>
      </c>
      <c r="L1922" s="15">
        <v>-0.36182399999999998</v>
      </c>
      <c r="M1922" s="15">
        <v>0.28951300000000002</v>
      </c>
      <c r="N1922" s="15">
        <v>0.66666155503634472</v>
      </c>
    </row>
    <row r="1923" spans="1:14" x14ac:dyDescent="0.2">
      <c r="A1923" s="2" t="s">
        <v>10068</v>
      </c>
      <c r="B1923" s="15">
        <v>528</v>
      </c>
      <c r="C1923" s="15">
        <v>3</v>
      </c>
      <c r="D1923" s="15">
        <v>122340833</v>
      </c>
      <c r="E1923" s="15">
        <v>123518507</v>
      </c>
      <c r="F1923" s="15">
        <v>2842</v>
      </c>
      <c r="G1923" s="8" t="s">
        <v>12324</v>
      </c>
      <c r="H1923" s="24" t="s">
        <v>1259</v>
      </c>
      <c r="I1923" s="25">
        <v>27096</v>
      </c>
      <c r="J1923" s="8" t="s">
        <v>1261</v>
      </c>
      <c r="K1923" s="8" t="s">
        <v>10040</v>
      </c>
      <c r="L1923" s="15">
        <v>-0.310255</v>
      </c>
      <c r="M1923" s="15">
        <v>0.28912900000000002</v>
      </c>
      <c r="N1923" s="15">
        <v>0.66666155503634472</v>
      </c>
    </row>
    <row r="1924" spans="1:14" x14ac:dyDescent="0.2">
      <c r="A1924" s="2" t="s">
        <v>10068</v>
      </c>
      <c r="B1924" s="15">
        <v>1379</v>
      </c>
      <c r="C1924" s="15">
        <v>9</v>
      </c>
      <c r="D1924" s="15">
        <v>6859792</v>
      </c>
      <c r="E1924" s="15">
        <v>7388202</v>
      </c>
      <c r="F1924" s="15">
        <v>2250</v>
      </c>
      <c r="G1924" s="8" t="s">
        <v>12324</v>
      </c>
      <c r="H1924" s="24" t="s">
        <v>1259</v>
      </c>
      <c r="I1924" s="25">
        <v>27096</v>
      </c>
      <c r="J1924" s="8" t="s">
        <v>1261</v>
      </c>
      <c r="K1924" s="8" t="s">
        <v>10040</v>
      </c>
      <c r="L1924" s="15">
        <v>0.19767599999999999</v>
      </c>
      <c r="M1924" s="15">
        <v>0.28950100000000001</v>
      </c>
      <c r="N1924" s="15">
        <v>0.66666155503634472</v>
      </c>
    </row>
    <row r="1925" spans="1:14" x14ac:dyDescent="0.2">
      <c r="A1925" s="2" t="s">
        <v>10066</v>
      </c>
      <c r="B1925" s="15">
        <v>605</v>
      </c>
      <c r="C1925" s="15">
        <v>4</v>
      </c>
      <c r="D1925" s="15">
        <v>7726035</v>
      </c>
      <c r="E1925" s="15">
        <v>8309826</v>
      </c>
      <c r="F1925" s="15">
        <v>2218</v>
      </c>
      <c r="G1925" s="8" t="s">
        <v>12324</v>
      </c>
      <c r="H1925" s="24" t="s">
        <v>3164</v>
      </c>
      <c r="I1925" s="25" t="s">
        <v>3165</v>
      </c>
      <c r="J1925" s="8" t="s">
        <v>3166</v>
      </c>
      <c r="K1925" s="8" t="s">
        <v>10042</v>
      </c>
      <c r="L1925" s="15">
        <v>0.167661</v>
      </c>
      <c r="M1925" s="15">
        <v>0.28905399999999998</v>
      </c>
      <c r="N1925" s="15">
        <v>0.66666155503634472</v>
      </c>
    </row>
    <row r="1926" spans="1:14" x14ac:dyDescent="0.2">
      <c r="A1926" s="2" t="s">
        <v>10066</v>
      </c>
      <c r="B1926" s="15">
        <v>1346</v>
      </c>
      <c r="C1926" s="15">
        <v>8</v>
      </c>
      <c r="D1926" s="15">
        <v>119423299</v>
      </c>
      <c r="E1926" s="15">
        <v>120216587</v>
      </c>
      <c r="F1926" s="15">
        <v>2310</v>
      </c>
      <c r="G1926" s="8" t="s">
        <v>12324</v>
      </c>
      <c r="H1926" s="24" t="s">
        <v>6008</v>
      </c>
      <c r="I1926" s="25" t="s">
        <v>6009</v>
      </c>
      <c r="J1926" s="8" t="s">
        <v>6010</v>
      </c>
      <c r="K1926" s="8" t="s">
        <v>10051</v>
      </c>
      <c r="L1926" s="15">
        <v>0.26530700000000002</v>
      </c>
      <c r="M1926" s="15">
        <v>0.28876299999999999</v>
      </c>
      <c r="N1926" s="15">
        <v>0.66666155503634472</v>
      </c>
    </row>
    <row r="1927" spans="1:14" x14ac:dyDescent="0.2">
      <c r="A1927" s="2" t="s">
        <v>10066</v>
      </c>
      <c r="B1927" s="15">
        <v>1812</v>
      </c>
      <c r="C1927" s="15">
        <v>12</v>
      </c>
      <c r="D1927" s="15">
        <v>77800464</v>
      </c>
      <c r="E1927" s="15">
        <v>79315178</v>
      </c>
      <c r="F1927" s="15">
        <v>3861</v>
      </c>
      <c r="G1927" s="8" t="s">
        <v>12324</v>
      </c>
      <c r="H1927" s="24" t="s">
        <v>6008</v>
      </c>
      <c r="I1927" s="25" t="s">
        <v>6009</v>
      </c>
      <c r="J1927" s="8" t="s">
        <v>6010</v>
      </c>
      <c r="K1927" s="8" t="s">
        <v>10051</v>
      </c>
      <c r="L1927" s="15">
        <v>-0.22564699999999999</v>
      </c>
      <c r="M1927" s="15">
        <v>0.28926800000000003</v>
      </c>
      <c r="N1927" s="15">
        <v>0.66666155503634472</v>
      </c>
    </row>
    <row r="1928" spans="1:14" x14ac:dyDescent="0.2">
      <c r="A1928" s="2" t="s">
        <v>10068</v>
      </c>
      <c r="B1928" s="15">
        <v>2214</v>
      </c>
      <c r="C1928" s="15">
        <v>17</v>
      </c>
      <c r="D1928" s="15">
        <v>52102650</v>
      </c>
      <c r="E1928" s="15">
        <v>53468006</v>
      </c>
      <c r="F1928" s="15">
        <v>3313</v>
      </c>
      <c r="G1928" s="8" t="s">
        <v>12324</v>
      </c>
      <c r="H1928" s="24" t="s">
        <v>6565</v>
      </c>
      <c r="I1928" s="25" t="s">
        <v>6475</v>
      </c>
      <c r="J1928" s="8" t="s">
        <v>6566</v>
      </c>
      <c r="K1928" s="8" t="s">
        <v>10054</v>
      </c>
      <c r="L1928" s="15">
        <v>0.248922</v>
      </c>
      <c r="M1928" s="15">
        <v>0.28865499999999999</v>
      </c>
      <c r="N1928" s="15">
        <v>0.66666155503634472</v>
      </c>
    </row>
    <row r="1929" spans="1:14" x14ac:dyDescent="0.2">
      <c r="A1929" s="2" t="s">
        <v>10069</v>
      </c>
      <c r="B1929" s="15">
        <v>1823</v>
      </c>
      <c r="C1929" s="15">
        <v>12</v>
      </c>
      <c r="D1929" s="15">
        <v>92061180</v>
      </c>
      <c r="E1929" s="15">
        <v>93487547</v>
      </c>
      <c r="F1929" s="15">
        <v>2302</v>
      </c>
      <c r="G1929" s="8" t="s">
        <v>12324</v>
      </c>
      <c r="H1929" s="24" t="s">
        <v>662</v>
      </c>
      <c r="I1929" s="25" t="s">
        <v>663</v>
      </c>
      <c r="J1929" s="8" t="s">
        <v>664</v>
      </c>
      <c r="K1929" s="8" t="s">
        <v>10040</v>
      </c>
      <c r="L1929" s="15">
        <v>-0.23575299999999999</v>
      </c>
      <c r="M1929" s="15">
        <v>0.28995599999999999</v>
      </c>
      <c r="N1929" s="15">
        <v>0.66716615923236511</v>
      </c>
    </row>
    <row r="1930" spans="1:14" x14ac:dyDescent="0.2">
      <c r="A1930" s="2" t="s">
        <v>10066</v>
      </c>
      <c r="B1930" s="15">
        <v>40</v>
      </c>
      <c r="C1930" s="15">
        <v>1</v>
      </c>
      <c r="D1930" s="15">
        <v>43512670</v>
      </c>
      <c r="E1930" s="15">
        <v>45167235</v>
      </c>
      <c r="F1930" s="15">
        <v>3431</v>
      </c>
      <c r="G1930" s="8" t="s">
        <v>12324</v>
      </c>
      <c r="H1930" s="24" t="s">
        <v>6008</v>
      </c>
      <c r="I1930" s="25" t="s">
        <v>6009</v>
      </c>
      <c r="J1930" s="8" t="s">
        <v>6010</v>
      </c>
      <c r="K1930" s="8" t="s">
        <v>10051</v>
      </c>
      <c r="L1930" s="15">
        <v>-0.160386</v>
      </c>
      <c r="M1930" s="15">
        <v>0.29003299999999999</v>
      </c>
      <c r="N1930" s="15">
        <v>0.66716615923236511</v>
      </c>
    </row>
    <row r="1931" spans="1:14" x14ac:dyDescent="0.2">
      <c r="A1931" s="2" t="s">
        <v>10066</v>
      </c>
      <c r="B1931" s="15">
        <v>1089</v>
      </c>
      <c r="C1931" s="15">
        <v>6</v>
      </c>
      <c r="D1931" s="15">
        <v>165835954</v>
      </c>
      <c r="E1931" s="15">
        <v>166853325</v>
      </c>
      <c r="F1931" s="15">
        <v>3412</v>
      </c>
      <c r="G1931" s="8" t="s">
        <v>12324</v>
      </c>
      <c r="H1931" s="24" t="s">
        <v>6008</v>
      </c>
      <c r="I1931" s="25" t="s">
        <v>6009</v>
      </c>
      <c r="J1931" s="8" t="s">
        <v>6010</v>
      </c>
      <c r="K1931" s="8" t="s">
        <v>10051</v>
      </c>
      <c r="L1931" s="15">
        <v>0.23744100000000001</v>
      </c>
      <c r="M1931" s="15">
        <v>0.290516</v>
      </c>
      <c r="N1931" s="15">
        <v>0.66793077242094345</v>
      </c>
    </row>
    <row r="1932" spans="1:14" x14ac:dyDescent="0.2">
      <c r="A1932" s="2" t="s">
        <v>10066</v>
      </c>
      <c r="B1932" s="15">
        <v>58</v>
      </c>
      <c r="C1932" s="15">
        <v>1</v>
      </c>
      <c r="D1932" s="15">
        <v>67761891</v>
      </c>
      <c r="E1932" s="15">
        <v>68633860</v>
      </c>
      <c r="F1932" s="15">
        <v>2141</v>
      </c>
      <c r="G1932" s="8" t="s">
        <v>12324</v>
      </c>
      <c r="H1932" s="24" t="s">
        <v>6008</v>
      </c>
      <c r="I1932" s="25" t="s">
        <v>6009</v>
      </c>
      <c r="J1932" s="8" t="s">
        <v>6010</v>
      </c>
      <c r="K1932" s="8" t="s">
        <v>10051</v>
      </c>
      <c r="L1932" s="15">
        <v>0.21623700000000001</v>
      </c>
      <c r="M1932" s="15">
        <v>0.29116599999999998</v>
      </c>
      <c r="N1932" s="15">
        <v>0.66907834715025905</v>
      </c>
    </row>
    <row r="1933" spans="1:14" x14ac:dyDescent="0.2">
      <c r="A1933" s="2" t="s">
        <v>10068</v>
      </c>
      <c r="B1933" s="15">
        <v>2400</v>
      </c>
      <c r="C1933" s="15">
        <v>20</v>
      </c>
      <c r="D1933" s="15">
        <v>33890061</v>
      </c>
      <c r="E1933" s="15">
        <v>35990261</v>
      </c>
      <c r="F1933" s="15">
        <v>3231</v>
      </c>
      <c r="G1933" s="8" t="s">
        <v>12324</v>
      </c>
      <c r="H1933" s="24" t="s">
        <v>494</v>
      </c>
      <c r="I1933" s="25">
        <v>25920</v>
      </c>
      <c r="J1933" s="8" t="s">
        <v>496</v>
      </c>
      <c r="K1933" s="8" t="s">
        <v>10040</v>
      </c>
      <c r="L1933" s="15">
        <v>-0.30901200000000001</v>
      </c>
      <c r="M1933" s="15">
        <v>0.29327399999999998</v>
      </c>
      <c r="N1933" s="15">
        <v>0.66948072671443193</v>
      </c>
    </row>
    <row r="1934" spans="1:14" x14ac:dyDescent="0.2">
      <c r="A1934" s="2" t="s">
        <v>10068</v>
      </c>
      <c r="B1934" s="15">
        <v>2145</v>
      </c>
      <c r="C1934" s="15">
        <v>16</v>
      </c>
      <c r="D1934" s="15">
        <v>65882821</v>
      </c>
      <c r="E1934" s="15">
        <v>66738843</v>
      </c>
      <c r="F1934" s="15">
        <v>2161</v>
      </c>
      <c r="G1934" s="8" t="s">
        <v>12324</v>
      </c>
      <c r="H1934" s="24" t="s">
        <v>494</v>
      </c>
      <c r="I1934" s="25">
        <v>25920</v>
      </c>
      <c r="J1934" s="8" t="s">
        <v>496</v>
      </c>
      <c r="K1934" s="8" t="s">
        <v>10040</v>
      </c>
      <c r="L1934" s="15">
        <v>0.29990899999999998</v>
      </c>
      <c r="M1934" s="15">
        <v>0.29367900000000002</v>
      </c>
      <c r="N1934" s="15">
        <v>0.66948072671443193</v>
      </c>
    </row>
    <row r="1935" spans="1:14" x14ac:dyDescent="0.2">
      <c r="A1935" s="2" t="s">
        <v>10068</v>
      </c>
      <c r="B1935" s="15">
        <v>2205</v>
      </c>
      <c r="C1935" s="15">
        <v>17</v>
      </c>
      <c r="D1935" s="15">
        <v>40233546</v>
      </c>
      <c r="E1935" s="15">
        <v>42348003</v>
      </c>
      <c r="F1935" s="15">
        <v>3564</v>
      </c>
      <c r="G1935" s="8" t="s">
        <v>12324</v>
      </c>
      <c r="H1935" s="24" t="s">
        <v>494</v>
      </c>
      <c r="I1935" s="25">
        <v>25920</v>
      </c>
      <c r="J1935" s="8" t="s">
        <v>496</v>
      </c>
      <c r="K1935" s="8" t="s">
        <v>10040</v>
      </c>
      <c r="L1935" s="15">
        <v>-0.27392</v>
      </c>
      <c r="M1935" s="15">
        <v>0.29394399999999998</v>
      </c>
      <c r="N1935" s="15">
        <v>0.66948072671443193</v>
      </c>
    </row>
    <row r="1936" spans="1:14" x14ac:dyDescent="0.2">
      <c r="A1936" s="2" t="s">
        <v>10068</v>
      </c>
      <c r="B1936" s="15">
        <v>1630</v>
      </c>
      <c r="C1936" s="15">
        <v>11</v>
      </c>
      <c r="D1936" s="15">
        <v>18740268</v>
      </c>
      <c r="E1936" s="15">
        <v>19780784</v>
      </c>
      <c r="F1936" s="15">
        <v>2781</v>
      </c>
      <c r="G1936" s="8" t="s">
        <v>12324</v>
      </c>
      <c r="H1936" s="24" t="s">
        <v>494</v>
      </c>
      <c r="I1936" s="25">
        <v>25920</v>
      </c>
      <c r="J1936" s="8" t="s">
        <v>496</v>
      </c>
      <c r="K1936" s="8" t="s">
        <v>10040</v>
      </c>
      <c r="L1936" s="15">
        <v>-0.30302099999999998</v>
      </c>
      <c r="M1936" s="15">
        <v>0.29430699999999999</v>
      </c>
      <c r="N1936" s="15">
        <v>0.66948072671443193</v>
      </c>
    </row>
    <row r="1937" spans="1:14" x14ac:dyDescent="0.2">
      <c r="A1937" s="2" t="s">
        <v>10068</v>
      </c>
      <c r="B1937" s="15">
        <v>1137</v>
      </c>
      <c r="C1937" s="15">
        <v>7</v>
      </c>
      <c r="D1937" s="15">
        <v>40261241</v>
      </c>
      <c r="E1937" s="15">
        <v>41415925</v>
      </c>
      <c r="F1937" s="15">
        <v>2334</v>
      </c>
      <c r="G1937" s="8" t="s">
        <v>12324</v>
      </c>
      <c r="H1937" s="24" t="s">
        <v>494</v>
      </c>
      <c r="I1937" s="25">
        <v>25920</v>
      </c>
      <c r="J1937" s="8" t="s">
        <v>496</v>
      </c>
      <c r="K1937" s="8" t="s">
        <v>10040</v>
      </c>
      <c r="L1937" s="15">
        <v>-0.220253</v>
      </c>
      <c r="M1937" s="15">
        <v>0.29451899999999998</v>
      </c>
      <c r="N1937" s="15">
        <v>0.66948072671443193</v>
      </c>
    </row>
    <row r="1938" spans="1:14" x14ac:dyDescent="0.2">
      <c r="A1938" s="2" t="s">
        <v>10068</v>
      </c>
      <c r="B1938" s="15">
        <v>2094</v>
      </c>
      <c r="C1938" s="15">
        <v>15</v>
      </c>
      <c r="D1938" s="15">
        <v>94565522</v>
      </c>
      <c r="E1938" s="15">
        <v>95662425</v>
      </c>
      <c r="F1938" s="15">
        <v>3167</v>
      </c>
      <c r="G1938" s="8" t="s">
        <v>12324</v>
      </c>
      <c r="H1938" s="24" t="s">
        <v>494</v>
      </c>
      <c r="I1938" s="25">
        <v>25920</v>
      </c>
      <c r="J1938" s="8" t="s">
        <v>496</v>
      </c>
      <c r="K1938" s="8" t="s">
        <v>10040</v>
      </c>
      <c r="L1938" s="15">
        <v>0.15194299999999999</v>
      </c>
      <c r="M1938" s="15">
        <v>0.29453299999999999</v>
      </c>
      <c r="N1938" s="15">
        <v>0.66948072671443193</v>
      </c>
    </row>
    <row r="1939" spans="1:14" x14ac:dyDescent="0.2">
      <c r="A1939" s="2" t="s">
        <v>10068</v>
      </c>
      <c r="B1939" s="15">
        <v>1237</v>
      </c>
      <c r="C1939" s="15">
        <v>8</v>
      </c>
      <c r="D1939" s="15">
        <v>2396123</v>
      </c>
      <c r="E1939" s="15">
        <v>2970491</v>
      </c>
      <c r="F1939" s="15">
        <v>2595</v>
      </c>
      <c r="G1939" s="8" t="s">
        <v>12324</v>
      </c>
      <c r="H1939" s="24" t="s">
        <v>599</v>
      </c>
      <c r="I1939" s="25">
        <v>26562</v>
      </c>
      <c r="J1939" s="8" t="s">
        <v>601</v>
      </c>
      <c r="K1939" s="8" t="s">
        <v>10040</v>
      </c>
      <c r="L1939" s="15">
        <v>0.24884300000000001</v>
      </c>
      <c r="M1939" s="15">
        <v>0.29369299999999998</v>
      </c>
      <c r="N1939" s="15">
        <v>0.66948072671443193</v>
      </c>
    </row>
    <row r="1940" spans="1:14" x14ac:dyDescent="0.2">
      <c r="A1940" s="2" t="s">
        <v>10068</v>
      </c>
      <c r="B1940" s="15">
        <v>215</v>
      </c>
      <c r="C1940" s="15">
        <v>2</v>
      </c>
      <c r="D1940" s="15">
        <v>10611655</v>
      </c>
      <c r="E1940" s="15">
        <v>11230349</v>
      </c>
      <c r="F1940" s="15">
        <v>2257</v>
      </c>
      <c r="G1940" s="8" t="s">
        <v>12324</v>
      </c>
      <c r="H1940" s="24" t="s">
        <v>599</v>
      </c>
      <c r="I1940" s="25">
        <v>26562</v>
      </c>
      <c r="J1940" s="8" t="s">
        <v>601</v>
      </c>
      <c r="K1940" s="8" t="s">
        <v>10040</v>
      </c>
      <c r="L1940" s="15">
        <v>-0.225185</v>
      </c>
      <c r="M1940" s="15">
        <v>0.294242</v>
      </c>
      <c r="N1940" s="15">
        <v>0.66948072671443193</v>
      </c>
    </row>
    <row r="1941" spans="1:14" x14ac:dyDescent="0.2">
      <c r="A1941" s="2" t="s">
        <v>10068</v>
      </c>
      <c r="B1941" s="15">
        <v>1500</v>
      </c>
      <c r="C1941" s="15">
        <v>10</v>
      </c>
      <c r="D1941" s="15">
        <v>12581572</v>
      </c>
      <c r="E1941" s="15">
        <v>13208061</v>
      </c>
      <c r="F1941" s="15">
        <v>2181</v>
      </c>
      <c r="G1941" s="8" t="s">
        <v>12324</v>
      </c>
      <c r="H1941" s="24" t="s">
        <v>599</v>
      </c>
      <c r="I1941" s="25">
        <v>26562</v>
      </c>
      <c r="J1941" s="8" t="s">
        <v>601</v>
      </c>
      <c r="K1941" s="8" t="s">
        <v>10040</v>
      </c>
      <c r="L1941" s="15">
        <v>-0.22422600000000001</v>
      </c>
      <c r="M1941" s="15">
        <v>0.29447000000000001</v>
      </c>
      <c r="N1941" s="15">
        <v>0.66948072671443193</v>
      </c>
    </row>
    <row r="1942" spans="1:14" x14ac:dyDescent="0.2">
      <c r="A1942" s="2" t="s">
        <v>10068</v>
      </c>
      <c r="B1942" s="15">
        <v>2121</v>
      </c>
      <c r="C1942" s="15">
        <v>16</v>
      </c>
      <c r="D1942" s="15">
        <v>19104258</v>
      </c>
      <c r="E1942" s="15">
        <v>20351261</v>
      </c>
      <c r="F1942" s="15">
        <v>3437</v>
      </c>
      <c r="G1942" s="8" t="s">
        <v>12324</v>
      </c>
      <c r="H1942" s="24" t="s">
        <v>599</v>
      </c>
      <c r="I1942" s="25">
        <v>26562</v>
      </c>
      <c r="J1942" s="8" t="s">
        <v>601</v>
      </c>
      <c r="K1942" s="8" t="s">
        <v>10040</v>
      </c>
      <c r="L1942" s="15">
        <v>0.21188000000000001</v>
      </c>
      <c r="M1942" s="15">
        <v>0.29458600000000001</v>
      </c>
      <c r="N1942" s="15">
        <v>0.66948072671443193</v>
      </c>
    </row>
    <row r="1943" spans="1:14" x14ac:dyDescent="0.2">
      <c r="A1943" s="2" t="s">
        <v>10069</v>
      </c>
      <c r="B1943" s="15">
        <v>1118</v>
      </c>
      <c r="C1943" s="15">
        <v>7</v>
      </c>
      <c r="D1943" s="15">
        <v>19131027</v>
      </c>
      <c r="E1943" s="15">
        <v>20122179</v>
      </c>
      <c r="F1943" s="15">
        <v>1926</v>
      </c>
      <c r="G1943" s="8" t="s">
        <v>12324</v>
      </c>
      <c r="H1943" s="24" t="s">
        <v>662</v>
      </c>
      <c r="I1943" s="25" t="s">
        <v>663</v>
      </c>
      <c r="J1943" s="8" t="s">
        <v>664</v>
      </c>
      <c r="K1943" s="8" t="s">
        <v>10040</v>
      </c>
      <c r="L1943" s="15">
        <v>-0.37930599999999998</v>
      </c>
      <c r="M1943" s="15">
        <v>0.293516</v>
      </c>
      <c r="N1943" s="15">
        <v>0.66948072671443193</v>
      </c>
    </row>
    <row r="1944" spans="1:14" x14ac:dyDescent="0.2">
      <c r="A1944" s="2" t="s">
        <v>10068</v>
      </c>
      <c r="B1944" s="15">
        <v>1816</v>
      </c>
      <c r="C1944" s="15">
        <v>12</v>
      </c>
      <c r="D1944" s="15">
        <v>82576130</v>
      </c>
      <c r="E1944" s="15">
        <v>83551125</v>
      </c>
      <c r="F1944" s="15">
        <v>2261</v>
      </c>
      <c r="G1944" s="8" t="s">
        <v>12324</v>
      </c>
      <c r="H1944" s="24" t="s">
        <v>1259</v>
      </c>
      <c r="I1944" s="25">
        <v>27096</v>
      </c>
      <c r="J1944" s="8" t="s">
        <v>1261</v>
      </c>
      <c r="K1944" s="8" t="s">
        <v>10040</v>
      </c>
      <c r="L1944" s="15">
        <v>0.41584900000000002</v>
      </c>
      <c r="M1944" s="15">
        <v>0.29313800000000001</v>
      </c>
      <c r="N1944" s="15">
        <v>0.66948072671443193</v>
      </c>
    </row>
    <row r="1945" spans="1:14" x14ac:dyDescent="0.2">
      <c r="A1945" s="2" t="s">
        <v>10068</v>
      </c>
      <c r="B1945" s="15">
        <v>2126</v>
      </c>
      <c r="C1945" s="15">
        <v>16</v>
      </c>
      <c r="D1945" s="15">
        <v>26154123</v>
      </c>
      <c r="E1945" s="15">
        <v>27443061</v>
      </c>
      <c r="F1945" s="15">
        <v>4084</v>
      </c>
      <c r="G1945" s="8" t="s">
        <v>12324</v>
      </c>
      <c r="H1945" s="24" t="s">
        <v>1259</v>
      </c>
      <c r="I1945" s="25">
        <v>27096</v>
      </c>
      <c r="J1945" s="8" t="s">
        <v>1261</v>
      </c>
      <c r="K1945" s="8" t="s">
        <v>10040</v>
      </c>
      <c r="L1945" s="15">
        <v>0.30243799999999998</v>
      </c>
      <c r="M1945" s="15">
        <v>0.29322399999999998</v>
      </c>
      <c r="N1945" s="15">
        <v>0.66948072671443193</v>
      </c>
    </row>
    <row r="1946" spans="1:14" x14ac:dyDescent="0.2">
      <c r="A1946" s="2" t="s">
        <v>10066</v>
      </c>
      <c r="B1946" s="15">
        <v>680</v>
      </c>
      <c r="C1946" s="15">
        <v>4</v>
      </c>
      <c r="D1946" s="15">
        <v>89244555</v>
      </c>
      <c r="E1946" s="15">
        <v>90236971</v>
      </c>
      <c r="F1946" s="15">
        <v>2398</v>
      </c>
      <c r="G1946" s="8" t="s">
        <v>12324</v>
      </c>
      <c r="H1946" s="24" t="s">
        <v>3164</v>
      </c>
      <c r="I1946" s="25" t="s">
        <v>3165</v>
      </c>
      <c r="J1946" s="8" t="s">
        <v>3166</v>
      </c>
      <c r="K1946" s="8" t="s">
        <v>10042</v>
      </c>
      <c r="L1946" s="15">
        <v>0.17902599999999999</v>
      </c>
      <c r="M1946" s="15">
        <v>0.291798</v>
      </c>
      <c r="N1946" s="15">
        <v>0.66948072671443193</v>
      </c>
    </row>
    <row r="1947" spans="1:14" x14ac:dyDescent="0.2">
      <c r="A1947" s="2" t="s">
        <v>10066</v>
      </c>
      <c r="B1947" s="15">
        <v>1029</v>
      </c>
      <c r="C1947" s="15">
        <v>6</v>
      </c>
      <c r="D1947" s="15">
        <v>98173004</v>
      </c>
      <c r="E1947" s="15">
        <v>99678876</v>
      </c>
      <c r="F1947" s="15">
        <v>2936</v>
      </c>
      <c r="G1947" s="8" t="s">
        <v>12324</v>
      </c>
      <c r="H1947" s="24" t="s">
        <v>3164</v>
      </c>
      <c r="I1947" s="25" t="s">
        <v>3165</v>
      </c>
      <c r="J1947" s="8" t="s">
        <v>3166</v>
      </c>
      <c r="K1947" s="8" t="s">
        <v>10042</v>
      </c>
      <c r="L1947" s="15">
        <v>0.252917</v>
      </c>
      <c r="M1947" s="15">
        <v>0.29278100000000001</v>
      </c>
      <c r="N1947" s="15">
        <v>0.66948072671443193</v>
      </c>
    </row>
    <row r="1948" spans="1:14" x14ac:dyDescent="0.2">
      <c r="A1948" s="2" t="s">
        <v>10066</v>
      </c>
      <c r="B1948" s="15">
        <v>2222</v>
      </c>
      <c r="C1948" s="15">
        <v>17</v>
      </c>
      <c r="D1948" s="15">
        <v>64438388</v>
      </c>
      <c r="E1948" s="15">
        <v>65582327</v>
      </c>
      <c r="F1948" s="15">
        <v>3031</v>
      </c>
      <c r="G1948" s="8" t="s">
        <v>12324</v>
      </c>
      <c r="H1948" s="24" t="s">
        <v>3164</v>
      </c>
      <c r="I1948" s="25" t="s">
        <v>3165</v>
      </c>
      <c r="J1948" s="8" t="s">
        <v>3166</v>
      </c>
      <c r="K1948" s="8" t="s">
        <v>10042</v>
      </c>
      <c r="L1948" s="15">
        <v>0.42463400000000001</v>
      </c>
      <c r="M1948" s="15">
        <v>0.29299399999999998</v>
      </c>
      <c r="N1948" s="15">
        <v>0.66948072671443193</v>
      </c>
    </row>
    <row r="1949" spans="1:14" x14ac:dyDescent="0.2">
      <c r="A1949" s="2" t="s">
        <v>10066</v>
      </c>
      <c r="B1949" s="15">
        <v>2379</v>
      </c>
      <c r="C1949" s="15">
        <v>20</v>
      </c>
      <c r="D1949" s="15">
        <v>9279551</v>
      </c>
      <c r="E1949" s="15">
        <v>10279603</v>
      </c>
      <c r="F1949" s="15">
        <v>2700</v>
      </c>
      <c r="G1949" s="8" t="s">
        <v>12324</v>
      </c>
      <c r="H1949" s="24" t="s">
        <v>3164</v>
      </c>
      <c r="I1949" s="25" t="s">
        <v>3165</v>
      </c>
      <c r="J1949" s="8" t="s">
        <v>3166</v>
      </c>
      <c r="K1949" s="8" t="s">
        <v>10042</v>
      </c>
      <c r="L1949" s="15">
        <v>0.163634</v>
      </c>
      <c r="M1949" s="15">
        <v>0.294964</v>
      </c>
      <c r="N1949" s="15">
        <v>0.66948072671443193</v>
      </c>
    </row>
    <row r="1950" spans="1:14" x14ac:dyDescent="0.2">
      <c r="A1950" s="2" t="s">
        <v>10066</v>
      </c>
      <c r="B1950" s="15">
        <v>549</v>
      </c>
      <c r="C1950" s="15">
        <v>3</v>
      </c>
      <c r="D1950" s="15">
        <v>145903839</v>
      </c>
      <c r="E1950" s="15">
        <v>147358243</v>
      </c>
      <c r="F1950" s="15">
        <v>3825</v>
      </c>
      <c r="G1950" s="8" t="s">
        <v>12324</v>
      </c>
      <c r="H1950" s="24" t="s">
        <v>6008</v>
      </c>
      <c r="I1950" s="25" t="s">
        <v>6009</v>
      </c>
      <c r="J1950" s="8" t="s">
        <v>6010</v>
      </c>
      <c r="K1950" s="8" t="s">
        <v>10051</v>
      </c>
      <c r="L1950" s="15">
        <v>-0.29442200000000002</v>
      </c>
      <c r="M1950" s="15">
        <v>0.293016</v>
      </c>
      <c r="N1950" s="15">
        <v>0.66948072671443193</v>
      </c>
    </row>
    <row r="1951" spans="1:14" x14ac:dyDescent="0.2">
      <c r="A1951" s="2" t="s">
        <v>10066</v>
      </c>
      <c r="B1951" s="15">
        <v>1791</v>
      </c>
      <c r="C1951" s="15">
        <v>12</v>
      </c>
      <c r="D1951" s="15">
        <v>53039988</v>
      </c>
      <c r="E1951" s="15">
        <v>54371448</v>
      </c>
      <c r="F1951" s="15">
        <v>3290</v>
      </c>
      <c r="G1951" s="8" t="s">
        <v>12324</v>
      </c>
      <c r="H1951" s="24" t="s">
        <v>6008</v>
      </c>
      <c r="I1951" s="25" t="s">
        <v>6009</v>
      </c>
      <c r="J1951" s="8" t="s">
        <v>6010</v>
      </c>
      <c r="K1951" s="8" t="s">
        <v>10051</v>
      </c>
      <c r="L1951" s="15">
        <v>-0.253442</v>
      </c>
      <c r="M1951" s="15">
        <v>0.29391600000000001</v>
      </c>
      <c r="N1951" s="15">
        <v>0.66948072671443193</v>
      </c>
    </row>
    <row r="1952" spans="1:14" x14ac:dyDescent="0.2">
      <c r="A1952" s="2" t="s">
        <v>10066</v>
      </c>
      <c r="B1952" s="15">
        <v>1696</v>
      </c>
      <c r="C1952" s="15">
        <v>11</v>
      </c>
      <c r="D1952" s="15">
        <v>89209739</v>
      </c>
      <c r="E1952" s="15">
        <v>90199932</v>
      </c>
      <c r="F1952" s="15">
        <v>1971</v>
      </c>
      <c r="G1952" s="8" t="s">
        <v>12324</v>
      </c>
      <c r="H1952" s="24" t="s">
        <v>6008</v>
      </c>
      <c r="I1952" s="25" t="s">
        <v>6009</v>
      </c>
      <c r="J1952" s="8" t="s">
        <v>6010</v>
      </c>
      <c r="K1952" s="8" t="s">
        <v>10051</v>
      </c>
      <c r="L1952" s="15">
        <v>-0.25841700000000001</v>
      </c>
      <c r="M1952" s="15">
        <v>0.29482700000000001</v>
      </c>
      <c r="N1952" s="15">
        <v>0.66948072671443193</v>
      </c>
    </row>
    <row r="1953" spans="1:14" x14ac:dyDescent="0.2">
      <c r="A1953" s="2" t="s">
        <v>10066</v>
      </c>
      <c r="B1953" s="15">
        <v>928</v>
      </c>
      <c r="C1953" s="15">
        <v>6</v>
      </c>
      <c r="D1953" s="15">
        <v>2746532</v>
      </c>
      <c r="E1953" s="15">
        <v>3964072</v>
      </c>
      <c r="F1953" s="15">
        <v>3923</v>
      </c>
      <c r="G1953" s="8" t="s">
        <v>12324</v>
      </c>
      <c r="H1953" s="24" t="s">
        <v>6008</v>
      </c>
      <c r="I1953" s="25" t="s">
        <v>6009</v>
      </c>
      <c r="J1953" s="8" t="s">
        <v>6010</v>
      </c>
      <c r="K1953" s="8" t="s">
        <v>10051</v>
      </c>
      <c r="L1953" s="15">
        <v>0.22884099999999999</v>
      </c>
      <c r="M1953" s="15">
        <v>0.29486600000000002</v>
      </c>
      <c r="N1953" s="15">
        <v>0.66948072671443193</v>
      </c>
    </row>
    <row r="1954" spans="1:14" x14ac:dyDescent="0.2">
      <c r="A1954" s="2" t="s">
        <v>10068</v>
      </c>
      <c r="B1954" s="15">
        <v>473</v>
      </c>
      <c r="C1954" s="15">
        <v>3</v>
      </c>
      <c r="D1954" s="15">
        <v>60571140</v>
      </c>
      <c r="E1954" s="15">
        <v>61277587</v>
      </c>
      <c r="F1954" s="15">
        <v>2237</v>
      </c>
      <c r="G1954" s="8" t="s">
        <v>12324</v>
      </c>
      <c r="H1954" s="24" t="s">
        <v>6565</v>
      </c>
      <c r="I1954" s="25" t="s">
        <v>6475</v>
      </c>
      <c r="J1954" s="8" t="s">
        <v>6566</v>
      </c>
      <c r="K1954" s="8" t="s">
        <v>10054</v>
      </c>
      <c r="L1954" s="15">
        <v>0.20300000000000001</v>
      </c>
      <c r="M1954" s="15">
        <v>0.292688</v>
      </c>
      <c r="N1954" s="15">
        <v>0.66948072671443193</v>
      </c>
    </row>
    <row r="1955" spans="1:14" x14ac:dyDescent="0.2">
      <c r="A1955" s="2" t="s">
        <v>10068</v>
      </c>
      <c r="B1955" s="15">
        <v>63</v>
      </c>
      <c r="C1955" s="15">
        <v>1</v>
      </c>
      <c r="D1955" s="15">
        <v>73992171</v>
      </c>
      <c r="E1955" s="15">
        <v>75132092</v>
      </c>
      <c r="F1955" s="15">
        <v>2155</v>
      </c>
      <c r="G1955" s="8" t="s">
        <v>12324</v>
      </c>
      <c r="H1955" s="24" t="s">
        <v>6565</v>
      </c>
      <c r="I1955" s="25" t="s">
        <v>6475</v>
      </c>
      <c r="J1955" s="8" t="s">
        <v>6566</v>
      </c>
      <c r="K1955" s="8" t="s">
        <v>10054</v>
      </c>
      <c r="L1955" s="15">
        <v>0.31551200000000001</v>
      </c>
      <c r="M1955" s="15">
        <v>0.29347000000000001</v>
      </c>
      <c r="N1955" s="15">
        <v>0.66948072671443193</v>
      </c>
    </row>
    <row r="1956" spans="1:14" x14ac:dyDescent="0.2">
      <c r="A1956" s="2" t="s">
        <v>10068</v>
      </c>
      <c r="B1956" s="15">
        <v>1418</v>
      </c>
      <c r="C1956" s="15">
        <v>9</v>
      </c>
      <c r="D1956" s="15">
        <v>70939678</v>
      </c>
      <c r="E1956" s="15">
        <v>72288878</v>
      </c>
      <c r="F1956" s="15">
        <v>3507</v>
      </c>
      <c r="G1956" s="8" t="s">
        <v>12324</v>
      </c>
      <c r="H1956" s="24" t="s">
        <v>6565</v>
      </c>
      <c r="I1956" s="25" t="s">
        <v>6475</v>
      </c>
      <c r="J1956" s="8" t="s">
        <v>6566</v>
      </c>
      <c r="K1956" s="8" t="s">
        <v>10054</v>
      </c>
      <c r="L1956" s="15">
        <v>-0.26578600000000002</v>
      </c>
      <c r="M1956" s="15">
        <v>0.29366500000000001</v>
      </c>
      <c r="N1956" s="15">
        <v>0.66948072671443193</v>
      </c>
    </row>
    <row r="1957" spans="1:14" x14ac:dyDescent="0.2">
      <c r="A1957" s="2" t="s">
        <v>10068</v>
      </c>
      <c r="B1957" s="15">
        <v>1346</v>
      </c>
      <c r="C1957" s="15">
        <v>8</v>
      </c>
      <c r="D1957" s="15">
        <v>119423299</v>
      </c>
      <c r="E1957" s="15">
        <v>120216587</v>
      </c>
      <c r="F1957" s="15">
        <v>2311</v>
      </c>
      <c r="G1957" s="8" t="s">
        <v>12324</v>
      </c>
      <c r="H1957" s="24" t="s">
        <v>6565</v>
      </c>
      <c r="I1957" s="25" t="s">
        <v>6475</v>
      </c>
      <c r="J1957" s="8" t="s">
        <v>6566</v>
      </c>
      <c r="K1957" s="8" t="s">
        <v>10054</v>
      </c>
      <c r="L1957" s="15">
        <v>0.26093300000000003</v>
      </c>
      <c r="M1957" s="15">
        <v>0.295321</v>
      </c>
      <c r="N1957" s="15">
        <v>0.6699481508951407</v>
      </c>
    </row>
    <row r="1958" spans="1:14" x14ac:dyDescent="0.2">
      <c r="A1958" s="2" t="s">
        <v>10066</v>
      </c>
      <c r="B1958" s="15">
        <v>1244</v>
      </c>
      <c r="C1958" s="15">
        <v>8</v>
      </c>
      <c r="D1958" s="15">
        <v>6019164</v>
      </c>
      <c r="E1958" s="15">
        <v>6663427</v>
      </c>
      <c r="F1958" s="15">
        <v>3364</v>
      </c>
      <c r="G1958" s="8" t="s">
        <v>12324</v>
      </c>
      <c r="H1958" s="24" t="s">
        <v>3164</v>
      </c>
      <c r="I1958" s="25" t="s">
        <v>3165</v>
      </c>
      <c r="J1958" s="8" t="s">
        <v>3166</v>
      </c>
      <c r="K1958" s="8" t="s">
        <v>10042</v>
      </c>
      <c r="L1958" s="15">
        <v>0.21842400000000001</v>
      </c>
      <c r="M1958" s="15">
        <v>0.29568800000000001</v>
      </c>
      <c r="N1958" s="15">
        <v>0.67043777096114521</v>
      </c>
    </row>
    <row r="1959" spans="1:14" x14ac:dyDescent="0.2">
      <c r="A1959" s="2" t="s">
        <v>10068</v>
      </c>
      <c r="B1959" s="15">
        <v>201</v>
      </c>
      <c r="C1959" s="15">
        <v>2</v>
      </c>
      <c r="D1959" s="15">
        <v>10181</v>
      </c>
      <c r="E1959" s="15">
        <v>789195</v>
      </c>
      <c r="F1959" s="15">
        <v>2170</v>
      </c>
      <c r="G1959" s="8" t="s">
        <v>12324</v>
      </c>
      <c r="H1959" s="24" t="s">
        <v>494</v>
      </c>
      <c r="I1959" s="25">
        <v>25920</v>
      </c>
      <c r="J1959" s="8" t="s">
        <v>496</v>
      </c>
      <c r="K1959" s="8" t="s">
        <v>10040</v>
      </c>
      <c r="L1959" s="15">
        <v>0.33898499999999998</v>
      </c>
      <c r="M1959" s="15">
        <v>0.29646</v>
      </c>
      <c r="N1959" s="15">
        <v>0.67165686574783046</v>
      </c>
    </row>
    <row r="1960" spans="1:14" x14ac:dyDescent="0.2">
      <c r="A1960" s="2" t="s">
        <v>10068</v>
      </c>
      <c r="B1960" s="15">
        <v>1249</v>
      </c>
      <c r="C1960" s="15">
        <v>8</v>
      </c>
      <c r="D1960" s="15">
        <v>9835864</v>
      </c>
      <c r="E1960" s="15">
        <v>10478851</v>
      </c>
      <c r="F1960" s="15">
        <v>2295</v>
      </c>
      <c r="G1960" s="8" t="s">
        <v>12324</v>
      </c>
      <c r="H1960" s="24" t="s">
        <v>494</v>
      </c>
      <c r="I1960" s="25">
        <v>25920</v>
      </c>
      <c r="J1960" s="8" t="s">
        <v>496</v>
      </c>
      <c r="K1960" s="8" t="s">
        <v>10040</v>
      </c>
      <c r="L1960" s="15">
        <v>0.313504</v>
      </c>
      <c r="M1960" s="15">
        <v>0.29664600000000002</v>
      </c>
      <c r="N1960" s="15">
        <v>0.67165686574783046</v>
      </c>
    </row>
    <row r="1961" spans="1:14" x14ac:dyDescent="0.2">
      <c r="A1961" s="2" t="s">
        <v>10068</v>
      </c>
      <c r="B1961" s="15">
        <v>980</v>
      </c>
      <c r="C1961" s="15">
        <v>6</v>
      </c>
      <c r="D1961" s="15">
        <v>45408422</v>
      </c>
      <c r="E1961" s="15">
        <v>46430701</v>
      </c>
      <c r="F1961" s="15">
        <v>2376</v>
      </c>
      <c r="G1961" s="8" t="s">
        <v>12324</v>
      </c>
      <c r="H1961" s="24" t="s">
        <v>599</v>
      </c>
      <c r="I1961" s="25">
        <v>26562</v>
      </c>
      <c r="J1961" s="8" t="s">
        <v>601</v>
      </c>
      <c r="K1961" s="8" t="s">
        <v>10040</v>
      </c>
      <c r="L1961" s="15">
        <v>0.211476</v>
      </c>
      <c r="M1961" s="15">
        <v>0.29668</v>
      </c>
      <c r="N1961" s="15">
        <v>0.67165686574783046</v>
      </c>
    </row>
    <row r="1962" spans="1:14" x14ac:dyDescent="0.2">
      <c r="A1962" s="2" t="s">
        <v>10068</v>
      </c>
      <c r="B1962" s="15">
        <v>1959</v>
      </c>
      <c r="C1962" s="15">
        <v>14</v>
      </c>
      <c r="D1962" s="15">
        <v>24906057</v>
      </c>
      <c r="E1962" s="15">
        <v>25585041</v>
      </c>
      <c r="F1962" s="15">
        <v>2120</v>
      </c>
      <c r="G1962" s="8" t="s">
        <v>12324</v>
      </c>
      <c r="H1962" s="24" t="s">
        <v>599</v>
      </c>
      <c r="I1962" s="25">
        <v>26562</v>
      </c>
      <c r="J1962" s="8" t="s">
        <v>601</v>
      </c>
      <c r="K1962" s="8" t="s">
        <v>10040</v>
      </c>
      <c r="L1962" s="15">
        <v>0.30272300000000002</v>
      </c>
      <c r="M1962" s="15">
        <v>0.29740499999999997</v>
      </c>
      <c r="N1962" s="15">
        <v>0.67261151198368174</v>
      </c>
    </row>
    <row r="1963" spans="1:14" x14ac:dyDescent="0.2">
      <c r="A1963" s="2" t="s">
        <v>10068</v>
      </c>
      <c r="B1963" s="15">
        <v>439</v>
      </c>
      <c r="C1963" s="15">
        <v>3</v>
      </c>
      <c r="D1963" s="15">
        <v>17182495</v>
      </c>
      <c r="E1963" s="15">
        <v>19030988</v>
      </c>
      <c r="F1963" s="15">
        <v>3971</v>
      </c>
      <c r="G1963" s="8" t="s">
        <v>12324</v>
      </c>
      <c r="H1963" s="24" t="s">
        <v>6565</v>
      </c>
      <c r="I1963" s="25" t="s">
        <v>6475</v>
      </c>
      <c r="J1963" s="8" t="s">
        <v>6566</v>
      </c>
      <c r="K1963" s="8" t="s">
        <v>10054</v>
      </c>
      <c r="L1963" s="15">
        <v>0.34327600000000003</v>
      </c>
      <c r="M1963" s="15">
        <v>0.29740499999999997</v>
      </c>
      <c r="N1963" s="15">
        <v>0.67261151198368174</v>
      </c>
    </row>
    <row r="1964" spans="1:14" x14ac:dyDescent="0.2">
      <c r="A1964" s="2" t="s">
        <v>10068</v>
      </c>
      <c r="B1964" s="15">
        <v>2455</v>
      </c>
      <c r="C1964" s="15">
        <v>21</v>
      </c>
      <c r="D1964" s="15">
        <v>41344743</v>
      </c>
      <c r="E1964" s="15">
        <v>42187152</v>
      </c>
      <c r="F1964" s="15">
        <v>2876</v>
      </c>
      <c r="G1964" s="8" t="s">
        <v>12324</v>
      </c>
      <c r="H1964" s="24" t="s">
        <v>599</v>
      </c>
      <c r="I1964" s="25">
        <v>26562</v>
      </c>
      <c r="J1964" s="8" t="s">
        <v>601</v>
      </c>
      <c r="K1964" s="8" t="s">
        <v>10040</v>
      </c>
      <c r="L1964" s="15">
        <v>-0.16383300000000001</v>
      </c>
      <c r="M1964" s="15">
        <v>0.297902</v>
      </c>
      <c r="N1964" s="15">
        <v>0.67270640020366601</v>
      </c>
    </row>
    <row r="1965" spans="1:14" x14ac:dyDescent="0.2">
      <c r="A1965" s="2" t="s">
        <v>10066</v>
      </c>
      <c r="B1965" s="15">
        <v>1683</v>
      </c>
      <c r="C1965" s="15">
        <v>11</v>
      </c>
      <c r="D1965" s="15">
        <v>76518907</v>
      </c>
      <c r="E1965" s="15">
        <v>77719870</v>
      </c>
      <c r="F1965" s="15">
        <v>2744</v>
      </c>
      <c r="G1965" s="8" t="s">
        <v>12324</v>
      </c>
      <c r="H1965" s="24" t="s">
        <v>6008</v>
      </c>
      <c r="I1965" s="25" t="s">
        <v>6009</v>
      </c>
      <c r="J1965" s="8" t="s">
        <v>6010</v>
      </c>
      <c r="K1965" s="8" t="s">
        <v>10051</v>
      </c>
      <c r="L1965" s="15">
        <v>0.19167100000000001</v>
      </c>
      <c r="M1965" s="15">
        <v>0.297788</v>
      </c>
      <c r="N1965" s="15">
        <v>0.67270640020366601</v>
      </c>
    </row>
    <row r="1966" spans="1:14" x14ac:dyDescent="0.2">
      <c r="A1966" s="2" t="s">
        <v>10068</v>
      </c>
      <c r="B1966" s="15">
        <v>2312</v>
      </c>
      <c r="C1966" s="15">
        <v>19</v>
      </c>
      <c r="D1966" s="15">
        <v>4741719</v>
      </c>
      <c r="E1966" s="15">
        <v>5478684</v>
      </c>
      <c r="F1966" s="15">
        <v>2416</v>
      </c>
      <c r="G1966" s="8" t="s">
        <v>12324</v>
      </c>
      <c r="H1966" s="24" t="s">
        <v>6565</v>
      </c>
      <c r="I1966" s="25" t="s">
        <v>6475</v>
      </c>
      <c r="J1966" s="8" t="s">
        <v>6566</v>
      </c>
      <c r="K1966" s="8" t="s">
        <v>10054</v>
      </c>
      <c r="L1966" s="15">
        <v>-0.29827100000000001</v>
      </c>
      <c r="M1966" s="15">
        <v>0.297788</v>
      </c>
      <c r="N1966" s="15">
        <v>0.67270640020366601</v>
      </c>
    </row>
    <row r="1967" spans="1:14" x14ac:dyDescent="0.2">
      <c r="A1967" s="2" t="s">
        <v>10068</v>
      </c>
      <c r="B1967" s="15">
        <v>1094</v>
      </c>
      <c r="C1967" s="15">
        <v>7</v>
      </c>
      <c r="D1967" s="15">
        <v>15064</v>
      </c>
      <c r="E1967" s="15">
        <v>617319</v>
      </c>
      <c r="F1967" s="15">
        <v>2201</v>
      </c>
      <c r="G1967" s="8" t="s">
        <v>12324</v>
      </c>
      <c r="H1967" s="24" t="s">
        <v>599</v>
      </c>
      <c r="I1967" s="25">
        <v>26562</v>
      </c>
      <c r="J1967" s="8" t="s">
        <v>601</v>
      </c>
      <c r="K1967" s="8" t="s">
        <v>10040</v>
      </c>
      <c r="L1967" s="15">
        <v>0.154776</v>
      </c>
      <c r="M1967" s="15">
        <v>0.298342</v>
      </c>
      <c r="N1967" s="15">
        <v>0.67300899644308942</v>
      </c>
    </row>
    <row r="1968" spans="1:14" x14ac:dyDescent="0.2">
      <c r="A1968" s="2" t="s">
        <v>10066</v>
      </c>
      <c r="B1968" s="15">
        <v>13</v>
      </c>
      <c r="C1968" s="15">
        <v>1</v>
      </c>
      <c r="D1968" s="15">
        <v>10753428</v>
      </c>
      <c r="E1968" s="15">
        <v>11709173</v>
      </c>
      <c r="F1968" s="15">
        <v>2451</v>
      </c>
      <c r="G1968" s="8" t="s">
        <v>12324</v>
      </c>
      <c r="H1968" s="24" t="s">
        <v>3164</v>
      </c>
      <c r="I1968" s="25" t="s">
        <v>3165</v>
      </c>
      <c r="J1968" s="8" t="s">
        <v>3166</v>
      </c>
      <c r="K1968" s="8" t="s">
        <v>10042</v>
      </c>
      <c r="L1968" s="15">
        <v>0.109433</v>
      </c>
      <c r="M1968" s="15">
        <v>0.29854199999999997</v>
      </c>
      <c r="N1968" s="15">
        <v>0.67300899644308942</v>
      </c>
    </row>
    <row r="1969" spans="1:14" x14ac:dyDescent="0.2">
      <c r="A1969" s="2" t="s">
        <v>10066</v>
      </c>
      <c r="B1969" s="15">
        <v>2021</v>
      </c>
      <c r="C1969" s="15">
        <v>14</v>
      </c>
      <c r="D1969" s="15">
        <v>94892241</v>
      </c>
      <c r="E1969" s="15">
        <v>95946792</v>
      </c>
      <c r="F1969" s="15">
        <v>3905</v>
      </c>
      <c r="G1969" s="8" t="s">
        <v>12324</v>
      </c>
      <c r="H1969" s="24" t="s">
        <v>6008</v>
      </c>
      <c r="I1969" s="25" t="s">
        <v>6009</v>
      </c>
      <c r="J1969" s="8" t="s">
        <v>6010</v>
      </c>
      <c r="K1969" s="8" t="s">
        <v>10051</v>
      </c>
      <c r="L1969" s="15">
        <v>0.36759599999999998</v>
      </c>
      <c r="M1969" s="15">
        <v>0.29845899999999997</v>
      </c>
      <c r="N1969" s="15">
        <v>0.67300899644308942</v>
      </c>
    </row>
    <row r="1970" spans="1:14" x14ac:dyDescent="0.2">
      <c r="A1970" s="2" t="s">
        <v>10066</v>
      </c>
      <c r="B1970" s="15">
        <v>1320</v>
      </c>
      <c r="C1970" s="15">
        <v>8</v>
      </c>
      <c r="D1970" s="15">
        <v>87563146</v>
      </c>
      <c r="E1970" s="15">
        <v>89081177</v>
      </c>
      <c r="F1970" s="15">
        <v>3710</v>
      </c>
      <c r="G1970" s="8" t="s">
        <v>12324</v>
      </c>
      <c r="H1970" s="24" t="s">
        <v>6008</v>
      </c>
      <c r="I1970" s="25" t="s">
        <v>6009</v>
      </c>
      <c r="J1970" s="8" t="s">
        <v>6010</v>
      </c>
      <c r="K1970" s="8" t="s">
        <v>10051</v>
      </c>
      <c r="L1970" s="15">
        <v>-0.22805700000000001</v>
      </c>
      <c r="M1970" s="15">
        <v>0.29864299999999999</v>
      </c>
      <c r="N1970" s="15">
        <v>0.67300899644308942</v>
      </c>
    </row>
    <row r="1971" spans="1:14" x14ac:dyDescent="0.2">
      <c r="A1971" s="2" t="s">
        <v>10066</v>
      </c>
      <c r="B1971" s="15">
        <v>277</v>
      </c>
      <c r="C1971" s="15">
        <v>2</v>
      </c>
      <c r="D1971" s="15">
        <v>71385814</v>
      </c>
      <c r="E1971" s="15">
        <v>72160302</v>
      </c>
      <c r="F1971" s="15">
        <v>2222</v>
      </c>
      <c r="G1971" s="8" t="s">
        <v>12324</v>
      </c>
      <c r="H1971" s="24" t="s">
        <v>6008</v>
      </c>
      <c r="I1971" s="25" t="s">
        <v>6009</v>
      </c>
      <c r="J1971" s="8" t="s">
        <v>6010</v>
      </c>
      <c r="K1971" s="8" t="s">
        <v>10051</v>
      </c>
      <c r="L1971" s="15">
        <v>-0.46100400000000002</v>
      </c>
      <c r="M1971" s="15">
        <v>0.299313</v>
      </c>
      <c r="N1971" s="15">
        <v>0.6738340888324873</v>
      </c>
    </row>
    <row r="1972" spans="1:14" x14ac:dyDescent="0.2">
      <c r="A1972" s="2" t="s">
        <v>10068</v>
      </c>
      <c r="B1972" s="15">
        <v>150</v>
      </c>
      <c r="C1972" s="15">
        <v>1</v>
      </c>
      <c r="D1972" s="15">
        <v>195161236</v>
      </c>
      <c r="E1972" s="15">
        <v>196179110</v>
      </c>
      <c r="F1972" s="15">
        <v>2534</v>
      </c>
      <c r="G1972" s="8" t="s">
        <v>12324</v>
      </c>
      <c r="H1972" s="24" t="s">
        <v>6565</v>
      </c>
      <c r="I1972" s="25" t="s">
        <v>6475</v>
      </c>
      <c r="J1972" s="8" t="s">
        <v>6566</v>
      </c>
      <c r="K1972" s="8" t="s">
        <v>10054</v>
      </c>
      <c r="L1972" s="15">
        <v>0.26085700000000001</v>
      </c>
      <c r="M1972" s="15">
        <v>0.299238</v>
      </c>
      <c r="N1972" s="15">
        <v>0.6738340888324873</v>
      </c>
    </row>
    <row r="1973" spans="1:14" x14ac:dyDescent="0.2">
      <c r="A1973" s="2" t="s">
        <v>10068</v>
      </c>
      <c r="B1973" s="15">
        <v>1498</v>
      </c>
      <c r="C1973" s="15">
        <v>10</v>
      </c>
      <c r="D1973" s="15">
        <v>10969482</v>
      </c>
      <c r="E1973" s="15">
        <v>11856924</v>
      </c>
      <c r="F1973" s="15">
        <v>2550</v>
      </c>
      <c r="G1973" s="8" t="s">
        <v>12324</v>
      </c>
      <c r="H1973" s="24" t="s">
        <v>494</v>
      </c>
      <c r="I1973" s="25">
        <v>25920</v>
      </c>
      <c r="J1973" s="8" t="s">
        <v>496</v>
      </c>
      <c r="K1973" s="8" t="s">
        <v>10040</v>
      </c>
      <c r="L1973" s="15">
        <v>0.44309399999999999</v>
      </c>
      <c r="M1973" s="15">
        <v>0.29995899999999998</v>
      </c>
      <c r="N1973" s="15">
        <v>0.67398811239919365</v>
      </c>
    </row>
    <row r="1974" spans="1:14" x14ac:dyDescent="0.2">
      <c r="A1974" s="2" t="s">
        <v>10068</v>
      </c>
      <c r="B1974" s="15">
        <v>2388</v>
      </c>
      <c r="C1974" s="15">
        <v>20</v>
      </c>
      <c r="D1974" s="15">
        <v>17359291</v>
      </c>
      <c r="E1974" s="15">
        <v>18058524</v>
      </c>
      <c r="F1974" s="15">
        <v>2248</v>
      </c>
      <c r="G1974" s="8" t="s">
        <v>12324</v>
      </c>
      <c r="H1974" s="24" t="s">
        <v>494</v>
      </c>
      <c r="I1974" s="25">
        <v>25920</v>
      </c>
      <c r="J1974" s="8" t="s">
        <v>496</v>
      </c>
      <c r="K1974" s="8" t="s">
        <v>10040</v>
      </c>
      <c r="L1974" s="15">
        <v>-0.17124400000000001</v>
      </c>
      <c r="M1974" s="15">
        <v>0.300259</v>
      </c>
      <c r="N1974" s="15">
        <v>0.67398811239919365</v>
      </c>
    </row>
    <row r="1975" spans="1:14" x14ac:dyDescent="0.2">
      <c r="A1975" s="2" t="s">
        <v>10068</v>
      </c>
      <c r="B1975" s="15">
        <v>1887</v>
      </c>
      <c r="C1975" s="15">
        <v>13</v>
      </c>
      <c r="D1975" s="15">
        <v>43931932</v>
      </c>
      <c r="E1975" s="15">
        <v>45476446</v>
      </c>
      <c r="F1975" s="15">
        <v>3516</v>
      </c>
      <c r="G1975" s="8" t="s">
        <v>12324</v>
      </c>
      <c r="H1975" s="24" t="s">
        <v>494</v>
      </c>
      <c r="I1975" s="25">
        <v>25920</v>
      </c>
      <c r="J1975" s="8" t="s">
        <v>496</v>
      </c>
      <c r="K1975" s="8" t="s">
        <v>10040</v>
      </c>
      <c r="L1975" s="15">
        <v>-0.25162000000000001</v>
      </c>
      <c r="M1975" s="15">
        <v>0.30028899999999997</v>
      </c>
      <c r="N1975" s="15">
        <v>0.67398811239919365</v>
      </c>
    </row>
    <row r="1976" spans="1:14" x14ac:dyDescent="0.2">
      <c r="A1976" s="2" t="s">
        <v>10068</v>
      </c>
      <c r="B1976" s="15">
        <v>1201</v>
      </c>
      <c r="C1976" s="15">
        <v>7</v>
      </c>
      <c r="D1976" s="15">
        <v>119568237</v>
      </c>
      <c r="E1976" s="15">
        <v>121042050</v>
      </c>
      <c r="F1976" s="15">
        <v>2946</v>
      </c>
      <c r="G1976" s="8" t="s">
        <v>12324</v>
      </c>
      <c r="H1976" s="24" t="s">
        <v>494</v>
      </c>
      <c r="I1976" s="25">
        <v>25920</v>
      </c>
      <c r="J1976" s="8" t="s">
        <v>496</v>
      </c>
      <c r="K1976" s="8" t="s">
        <v>10040</v>
      </c>
      <c r="L1976" s="15">
        <v>-0.27199299999999998</v>
      </c>
      <c r="M1976" s="15">
        <v>0.30132399999999998</v>
      </c>
      <c r="N1976" s="15">
        <v>0.67398811239919365</v>
      </c>
    </row>
    <row r="1977" spans="1:14" x14ac:dyDescent="0.2">
      <c r="A1977" s="2" t="s">
        <v>10068</v>
      </c>
      <c r="B1977" s="15">
        <v>1191</v>
      </c>
      <c r="C1977" s="15">
        <v>7</v>
      </c>
      <c r="D1977" s="15">
        <v>105312564</v>
      </c>
      <c r="E1977" s="15">
        <v>106399739</v>
      </c>
      <c r="F1977" s="15">
        <v>3039</v>
      </c>
      <c r="G1977" s="8" t="s">
        <v>12324</v>
      </c>
      <c r="H1977" s="24" t="s">
        <v>599</v>
      </c>
      <c r="I1977" s="25">
        <v>26562</v>
      </c>
      <c r="J1977" s="8" t="s">
        <v>601</v>
      </c>
      <c r="K1977" s="8" t="s">
        <v>10040</v>
      </c>
      <c r="L1977" s="15">
        <v>0.22828200000000001</v>
      </c>
      <c r="M1977" s="15">
        <v>0.30086299999999999</v>
      </c>
      <c r="N1977" s="15">
        <v>0.67398811239919365</v>
      </c>
    </row>
    <row r="1978" spans="1:14" x14ac:dyDescent="0.2">
      <c r="A1978" s="2" t="s">
        <v>10068</v>
      </c>
      <c r="B1978" s="15">
        <v>2043</v>
      </c>
      <c r="C1978" s="15">
        <v>15</v>
      </c>
      <c r="D1978" s="15">
        <v>32177321</v>
      </c>
      <c r="E1978" s="15">
        <v>33484267</v>
      </c>
      <c r="F1978" s="15">
        <v>2760</v>
      </c>
      <c r="G1978" s="8" t="s">
        <v>12324</v>
      </c>
      <c r="H1978" s="24" t="s">
        <v>599</v>
      </c>
      <c r="I1978" s="25">
        <v>26562</v>
      </c>
      <c r="J1978" s="8" t="s">
        <v>601</v>
      </c>
      <c r="K1978" s="8" t="s">
        <v>10040</v>
      </c>
      <c r="L1978" s="15">
        <v>-0.211788</v>
      </c>
      <c r="M1978" s="15">
        <v>0.30104599999999998</v>
      </c>
      <c r="N1978" s="15">
        <v>0.67398811239919365</v>
      </c>
    </row>
    <row r="1979" spans="1:14" x14ac:dyDescent="0.2">
      <c r="A1979" s="2" t="s">
        <v>10068</v>
      </c>
      <c r="B1979" s="15">
        <v>206</v>
      </c>
      <c r="C1979" s="15">
        <v>2</v>
      </c>
      <c r="D1979" s="15">
        <v>3314203</v>
      </c>
      <c r="E1979" s="15">
        <v>4016104</v>
      </c>
      <c r="F1979" s="15">
        <v>2402</v>
      </c>
      <c r="G1979" s="8" t="s">
        <v>12324</v>
      </c>
      <c r="H1979" s="24" t="s">
        <v>599</v>
      </c>
      <c r="I1979" s="25">
        <v>26562</v>
      </c>
      <c r="J1979" s="8" t="s">
        <v>601</v>
      </c>
      <c r="K1979" s="8" t="s">
        <v>10040</v>
      </c>
      <c r="L1979" s="15">
        <v>0.24704400000000001</v>
      </c>
      <c r="M1979" s="15">
        <v>0.30119699999999999</v>
      </c>
      <c r="N1979" s="15">
        <v>0.67398811239919365</v>
      </c>
    </row>
    <row r="1980" spans="1:14" x14ac:dyDescent="0.2">
      <c r="A1980" s="2" t="s">
        <v>10068</v>
      </c>
      <c r="B1980" s="15">
        <v>2355</v>
      </c>
      <c r="C1980" s="15">
        <v>19</v>
      </c>
      <c r="D1980" s="15">
        <v>48573066</v>
      </c>
      <c r="E1980" s="15">
        <v>49415189</v>
      </c>
      <c r="F1980" s="15">
        <v>2780</v>
      </c>
      <c r="G1980" s="8" t="s">
        <v>12324</v>
      </c>
      <c r="H1980" s="24" t="s">
        <v>599</v>
      </c>
      <c r="I1980" s="25">
        <v>26562</v>
      </c>
      <c r="J1980" s="8" t="s">
        <v>601</v>
      </c>
      <c r="K1980" s="8" t="s">
        <v>10040</v>
      </c>
      <c r="L1980" s="15">
        <v>-0.228189</v>
      </c>
      <c r="M1980" s="15">
        <v>0.30143900000000001</v>
      </c>
      <c r="N1980" s="15">
        <v>0.67398811239919365</v>
      </c>
    </row>
    <row r="1981" spans="1:14" x14ac:dyDescent="0.2">
      <c r="A1981" s="2" t="s">
        <v>10068</v>
      </c>
      <c r="B1981" s="15">
        <v>809</v>
      </c>
      <c r="C1981" s="15">
        <v>5</v>
      </c>
      <c r="D1981" s="15">
        <v>37925488</v>
      </c>
      <c r="E1981" s="15">
        <v>39438985</v>
      </c>
      <c r="F1981" s="15">
        <v>3803</v>
      </c>
      <c r="G1981" s="8" t="s">
        <v>12324</v>
      </c>
      <c r="H1981" s="24" t="s">
        <v>599</v>
      </c>
      <c r="I1981" s="25">
        <v>26562</v>
      </c>
      <c r="J1981" s="8" t="s">
        <v>601</v>
      </c>
      <c r="K1981" s="8" t="s">
        <v>10040</v>
      </c>
      <c r="L1981" s="15">
        <v>-0.29876900000000001</v>
      </c>
      <c r="M1981" s="15">
        <v>0.30150900000000003</v>
      </c>
      <c r="N1981" s="15">
        <v>0.67398811239919365</v>
      </c>
    </row>
    <row r="1982" spans="1:14" x14ac:dyDescent="0.2">
      <c r="A1982" s="2" t="s">
        <v>10069</v>
      </c>
      <c r="B1982" s="15">
        <v>638</v>
      </c>
      <c r="C1982" s="15">
        <v>4</v>
      </c>
      <c r="D1982" s="15">
        <v>37880861</v>
      </c>
      <c r="E1982" s="15">
        <v>38984838</v>
      </c>
      <c r="F1982" s="15">
        <v>2330</v>
      </c>
      <c r="G1982" s="8" t="s">
        <v>12324</v>
      </c>
      <c r="H1982" s="24" t="s">
        <v>662</v>
      </c>
      <c r="I1982" s="25" t="s">
        <v>663</v>
      </c>
      <c r="J1982" s="8" t="s">
        <v>664</v>
      </c>
      <c r="K1982" s="8" t="s">
        <v>10040</v>
      </c>
      <c r="L1982" s="15">
        <v>-0.33549200000000001</v>
      </c>
      <c r="M1982" s="15">
        <v>0.30104599999999998</v>
      </c>
      <c r="N1982" s="15">
        <v>0.67398811239919365</v>
      </c>
    </row>
    <row r="1983" spans="1:14" x14ac:dyDescent="0.2">
      <c r="A1983" s="2" t="s">
        <v>10068</v>
      </c>
      <c r="B1983" s="15">
        <v>836</v>
      </c>
      <c r="C1983" s="15">
        <v>5</v>
      </c>
      <c r="D1983" s="15">
        <v>73314062</v>
      </c>
      <c r="E1983" s="15">
        <v>74245354</v>
      </c>
      <c r="F1983" s="15">
        <v>2403</v>
      </c>
      <c r="G1983" s="8" t="s">
        <v>12324</v>
      </c>
      <c r="H1983" s="24" t="s">
        <v>1259</v>
      </c>
      <c r="I1983" s="25">
        <v>27096</v>
      </c>
      <c r="J1983" s="8" t="s">
        <v>1261</v>
      </c>
      <c r="K1983" s="8" t="s">
        <v>10040</v>
      </c>
      <c r="L1983" s="15">
        <v>0.120592</v>
      </c>
      <c r="M1983" s="15">
        <v>0.30057299999999998</v>
      </c>
      <c r="N1983" s="15">
        <v>0.67398811239919365</v>
      </c>
    </row>
    <row r="1984" spans="1:14" x14ac:dyDescent="0.2">
      <c r="A1984" s="2" t="s">
        <v>10068</v>
      </c>
      <c r="B1984" s="15">
        <v>1593</v>
      </c>
      <c r="C1984" s="15">
        <v>10</v>
      </c>
      <c r="D1984" s="15">
        <v>119528731</v>
      </c>
      <c r="E1984" s="15">
        <v>120592839</v>
      </c>
      <c r="F1984" s="15">
        <v>2840</v>
      </c>
      <c r="G1984" s="8" t="s">
        <v>12324</v>
      </c>
      <c r="H1984" s="24" t="s">
        <v>1259</v>
      </c>
      <c r="I1984" s="25">
        <v>27096</v>
      </c>
      <c r="J1984" s="8" t="s">
        <v>1261</v>
      </c>
      <c r="K1984" s="8" t="s">
        <v>10040</v>
      </c>
      <c r="L1984" s="15">
        <v>0.21956000000000001</v>
      </c>
      <c r="M1984" s="15">
        <v>0.30085299999999998</v>
      </c>
      <c r="N1984" s="15">
        <v>0.67398811239919365</v>
      </c>
    </row>
    <row r="1985" spans="1:14" x14ac:dyDescent="0.2">
      <c r="A1985" s="2" t="s">
        <v>10066</v>
      </c>
      <c r="B1985" s="15">
        <v>413</v>
      </c>
      <c r="C1985" s="15">
        <v>2</v>
      </c>
      <c r="D1985" s="15">
        <v>236276288</v>
      </c>
      <c r="E1985" s="15">
        <v>237194297</v>
      </c>
      <c r="F1985" s="15">
        <v>2275</v>
      </c>
      <c r="G1985" s="8" t="s">
        <v>12324</v>
      </c>
      <c r="H1985" s="24" t="s">
        <v>3164</v>
      </c>
      <c r="I1985" s="25" t="s">
        <v>3165</v>
      </c>
      <c r="J1985" s="8" t="s">
        <v>3166</v>
      </c>
      <c r="K1985" s="8" t="s">
        <v>10042</v>
      </c>
      <c r="L1985" s="15">
        <v>0.13661899999999999</v>
      </c>
      <c r="M1985" s="15">
        <v>0.30063699999999999</v>
      </c>
      <c r="N1985" s="15">
        <v>0.67398811239919365</v>
      </c>
    </row>
    <row r="1986" spans="1:14" x14ac:dyDescent="0.2">
      <c r="A1986" s="2" t="s">
        <v>10066</v>
      </c>
      <c r="B1986" s="15">
        <v>1598</v>
      </c>
      <c r="C1986" s="15">
        <v>10</v>
      </c>
      <c r="D1986" s="15">
        <v>124894143</v>
      </c>
      <c r="E1986" s="15">
        <v>125798319</v>
      </c>
      <c r="F1986" s="15">
        <v>3167</v>
      </c>
      <c r="G1986" s="8" t="s">
        <v>12324</v>
      </c>
      <c r="H1986" s="24" t="s">
        <v>3164</v>
      </c>
      <c r="I1986" s="25" t="s">
        <v>3165</v>
      </c>
      <c r="J1986" s="8" t="s">
        <v>3166</v>
      </c>
      <c r="K1986" s="8" t="s">
        <v>10042</v>
      </c>
      <c r="L1986" s="15">
        <v>-0.31966800000000001</v>
      </c>
      <c r="M1986" s="15">
        <v>0.30122599999999999</v>
      </c>
      <c r="N1986" s="15">
        <v>0.67398811239919365</v>
      </c>
    </row>
    <row r="1987" spans="1:14" x14ac:dyDescent="0.2">
      <c r="A1987" s="2" t="s">
        <v>10068</v>
      </c>
      <c r="B1987" s="15">
        <v>672</v>
      </c>
      <c r="C1987" s="15">
        <v>4</v>
      </c>
      <c r="D1987" s="15">
        <v>78967716</v>
      </c>
      <c r="E1987" s="15">
        <v>79880101</v>
      </c>
      <c r="F1987" s="15">
        <v>2268</v>
      </c>
      <c r="G1987" s="8" t="s">
        <v>12324</v>
      </c>
      <c r="H1987" s="24" t="s">
        <v>6565</v>
      </c>
      <c r="I1987" s="25" t="s">
        <v>6475</v>
      </c>
      <c r="J1987" s="8" t="s">
        <v>6566</v>
      </c>
      <c r="K1987" s="8" t="s">
        <v>10054</v>
      </c>
      <c r="L1987" s="15">
        <v>0.41264899999999999</v>
      </c>
      <c r="M1987" s="15">
        <v>0.30176500000000001</v>
      </c>
      <c r="N1987" s="15">
        <v>0.67422054156171285</v>
      </c>
    </row>
    <row r="1988" spans="1:14" x14ac:dyDescent="0.2">
      <c r="A1988" s="2" t="s">
        <v>10068</v>
      </c>
      <c r="B1988" s="15">
        <v>1166</v>
      </c>
      <c r="C1988" s="15">
        <v>7</v>
      </c>
      <c r="D1988" s="15">
        <v>73128831</v>
      </c>
      <c r="E1988" s="15">
        <v>75243899</v>
      </c>
      <c r="F1988" s="15">
        <v>2520</v>
      </c>
      <c r="G1988" s="8" t="s">
        <v>12324</v>
      </c>
      <c r="H1988" s="24" t="s">
        <v>494</v>
      </c>
      <c r="I1988" s="25">
        <v>25920</v>
      </c>
      <c r="J1988" s="8" t="s">
        <v>496</v>
      </c>
      <c r="K1988" s="8" t="s">
        <v>10040</v>
      </c>
      <c r="L1988" s="15">
        <v>-0.19561000000000001</v>
      </c>
      <c r="M1988" s="15">
        <v>0.302819</v>
      </c>
      <c r="N1988" s="15">
        <v>0.67452965863453818</v>
      </c>
    </row>
    <row r="1989" spans="1:14" x14ac:dyDescent="0.2">
      <c r="A1989" s="2" t="s">
        <v>10068</v>
      </c>
      <c r="B1989" s="15">
        <v>1472</v>
      </c>
      <c r="C1989" s="15">
        <v>9</v>
      </c>
      <c r="D1989" s="15">
        <v>128785783</v>
      </c>
      <c r="E1989" s="15">
        <v>129617771</v>
      </c>
      <c r="F1989" s="15">
        <v>2235</v>
      </c>
      <c r="G1989" s="8" t="s">
        <v>12324</v>
      </c>
      <c r="H1989" s="24" t="s">
        <v>494</v>
      </c>
      <c r="I1989" s="25">
        <v>25920</v>
      </c>
      <c r="J1989" s="8" t="s">
        <v>496</v>
      </c>
      <c r="K1989" s="8" t="s">
        <v>10040</v>
      </c>
      <c r="L1989" s="15">
        <v>0.32044600000000001</v>
      </c>
      <c r="M1989" s="15">
        <v>0.30284299999999997</v>
      </c>
      <c r="N1989" s="15">
        <v>0.67452965863453818</v>
      </c>
    </row>
    <row r="1990" spans="1:14" x14ac:dyDescent="0.2">
      <c r="A1990" s="2" t="s">
        <v>10068</v>
      </c>
      <c r="B1990" s="15">
        <v>2224</v>
      </c>
      <c r="C1990" s="15">
        <v>17</v>
      </c>
      <c r="D1990" s="15">
        <v>66757557</v>
      </c>
      <c r="E1990" s="15">
        <v>68176219</v>
      </c>
      <c r="F1990" s="15">
        <v>3008</v>
      </c>
      <c r="G1990" s="8" t="s">
        <v>12324</v>
      </c>
      <c r="H1990" s="24" t="s">
        <v>599</v>
      </c>
      <c r="I1990" s="25">
        <v>26562</v>
      </c>
      <c r="J1990" s="8" t="s">
        <v>601</v>
      </c>
      <c r="K1990" s="8" t="s">
        <v>10040</v>
      </c>
      <c r="L1990" s="15">
        <v>-0.22926099999999999</v>
      </c>
      <c r="M1990" s="15">
        <v>0.30293100000000001</v>
      </c>
      <c r="N1990" s="15">
        <v>0.67452965863453818</v>
      </c>
    </row>
    <row r="1991" spans="1:14" x14ac:dyDescent="0.2">
      <c r="A1991" s="2" t="s">
        <v>10069</v>
      </c>
      <c r="B1991" s="15">
        <v>835</v>
      </c>
      <c r="C1991" s="15">
        <v>5</v>
      </c>
      <c r="D1991" s="15">
        <v>71468652</v>
      </c>
      <c r="E1991" s="15">
        <v>73314061</v>
      </c>
      <c r="F1991" s="15">
        <v>2652</v>
      </c>
      <c r="G1991" s="8" t="s">
        <v>12324</v>
      </c>
      <c r="H1991" s="24" t="s">
        <v>662</v>
      </c>
      <c r="I1991" s="25" t="s">
        <v>663</v>
      </c>
      <c r="J1991" s="8" t="s">
        <v>664</v>
      </c>
      <c r="K1991" s="8" t="s">
        <v>10040</v>
      </c>
      <c r="L1991" s="15">
        <v>-0.193691</v>
      </c>
      <c r="M1991" s="15">
        <v>0.30231799999999998</v>
      </c>
      <c r="N1991" s="15">
        <v>0.67452965863453818</v>
      </c>
    </row>
    <row r="1992" spans="1:14" x14ac:dyDescent="0.2">
      <c r="A1992" s="2" t="s">
        <v>10068</v>
      </c>
      <c r="B1992" s="15">
        <v>800</v>
      </c>
      <c r="C1992" s="15">
        <v>5</v>
      </c>
      <c r="D1992" s="15">
        <v>26938179</v>
      </c>
      <c r="E1992" s="15">
        <v>28315653</v>
      </c>
      <c r="F1992" s="15">
        <v>3030</v>
      </c>
      <c r="G1992" s="8" t="s">
        <v>12324</v>
      </c>
      <c r="H1992" s="24" t="s">
        <v>1259</v>
      </c>
      <c r="I1992" s="25">
        <v>27096</v>
      </c>
      <c r="J1992" s="8" t="s">
        <v>1261</v>
      </c>
      <c r="K1992" s="8" t="s">
        <v>10040</v>
      </c>
      <c r="L1992" s="15">
        <v>-0.33985900000000002</v>
      </c>
      <c r="M1992" s="15">
        <v>0.30245100000000003</v>
      </c>
      <c r="N1992" s="15">
        <v>0.67452965863453818</v>
      </c>
    </row>
    <row r="1993" spans="1:14" x14ac:dyDescent="0.2">
      <c r="A1993" s="2" t="s">
        <v>10068</v>
      </c>
      <c r="B1993" s="15">
        <v>444</v>
      </c>
      <c r="C1993" s="15">
        <v>3</v>
      </c>
      <c r="D1993" s="15">
        <v>23426045</v>
      </c>
      <c r="E1993" s="15">
        <v>24270189</v>
      </c>
      <c r="F1993" s="15">
        <v>2193</v>
      </c>
      <c r="G1993" s="8" t="s">
        <v>12324</v>
      </c>
      <c r="H1993" s="24" t="s">
        <v>1259</v>
      </c>
      <c r="I1993" s="25">
        <v>27096</v>
      </c>
      <c r="J1993" s="8" t="s">
        <v>1261</v>
      </c>
      <c r="K1993" s="8" t="s">
        <v>10040</v>
      </c>
      <c r="L1993" s="15">
        <v>-0.28289399999999998</v>
      </c>
      <c r="M1993" s="15">
        <v>0.30296800000000002</v>
      </c>
      <c r="N1993" s="15">
        <v>0.67452965863453818</v>
      </c>
    </row>
    <row r="1994" spans="1:14" x14ac:dyDescent="0.2">
      <c r="A1994" s="2" t="s">
        <v>10066</v>
      </c>
      <c r="B1994" s="15">
        <v>1826</v>
      </c>
      <c r="C1994" s="15">
        <v>12</v>
      </c>
      <c r="D1994" s="15">
        <v>95147846</v>
      </c>
      <c r="E1994" s="15">
        <v>96017782</v>
      </c>
      <c r="F1994" s="15">
        <v>3083</v>
      </c>
      <c r="G1994" s="8" t="s">
        <v>12324</v>
      </c>
      <c r="H1994" s="24" t="s">
        <v>3164</v>
      </c>
      <c r="I1994" s="25" t="s">
        <v>3165</v>
      </c>
      <c r="J1994" s="8" t="s">
        <v>3166</v>
      </c>
      <c r="K1994" s="8" t="s">
        <v>10042</v>
      </c>
      <c r="L1994" s="15">
        <v>-0.44953599999999999</v>
      </c>
      <c r="M1994" s="15">
        <v>0.30249900000000002</v>
      </c>
      <c r="N1994" s="15">
        <v>0.67452965863453818</v>
      </c>
    </row>
    <row r="1995" spans="1:14" x14ac:dyDescent="0.2">
      <c r="A1995" s="2" t="s">
        <v>10068</v>
      </c>
      <c r="B1995" s="15">
        <v>156</v>
      </c>
      <c r="C1995" s="15">
        <v>1</v>
      </c>
      <c r="D1995" s="15">
        <v>202583885</v>
      </c>
      <c r="E1995" s="15">
        <v>204092537</v>
      </c>
      <c r="F1995" s="15">
        <v>3717</v>
      </c>
      <c r="G1995" s="8" t="s">
        <v>12324</v>
      </c>
      <c r="H1995" s="24" t="s">
        <v>599</v>
      </c>
      <c r="I1995" s="25">
        <v>26562</v>
      </c>
      <c r="J1995" s="8" t="s">
        <v>601</v>
      </c>
      <c r="K1995" s="8" t="s">
        <v>10040</v>
      </c>
      <c r="L1995" s="15">
        <v>0.40733399999999997</v>
      </c>
      <c r="M1995" s="15">
        <v>0.30312299999999998</v>
      </c>
      <c r="N1995" s="15">
        <v>0.67453612895132964</v>
      </c>
    </row>
    <row r="1996" spans="1:14" x14ac:dyDescent="0.2">
      <c r="A1996" s="2" t="s">
        <v>10068</v>
      </c>
      <c r="B1996" s="15">
        <v>1335</v>
      </c>
      <c r="C1996" s="15">
        <v>8</v>
      </c>
      <c r="D1996" s="15">
        <v>106500951</v>
      </c>
      <c r="E1996" s="15">
        <v>107787163</v>
      </c>
      <c r="F1996" s="15">
        <v>2944</v>
      </c>
      <c r="G1996" s="8" t="s">
        <v>12324</v>
      </c>
      <c r="H1996" s="24" t="s">
        <v>6565</v>
      </c>
      <c r="I1996" s="25" t="s">
        <v>6475</v>
      </c>
      <c r="J1996" s="8" t="s">
        <v>6566</v>
      </c>
      <c r="K1996" s="8" t="s">
        <v>10054</v>
      </c>
      <c r="L1996" s="15">
        <v>0.29910300000000001</v>
      </c>
      <c r="M1996" s="15">
        <v>0.30347800000000003</v>
      </c>
      <c r="N1996" s="15">
        <v>0.67498742728184558</v>
      </c>
    </row>
    <row r="1997" spans="1:14" x14ac:dyDescent="0.2">
      <c r="A1997" s="2" t="s">
        <v>10068</v>
      </c>
      <c r="B1997" s="15">
        <v>1867</v>
      </c>
      <c r="C1997" s="15">
        <v>13</v>
      </c>
      <c r="D1997" s="15">
        <v>22795189</v>
      </c>
      <c r="E1997" s="15">
        <v>23729049</v>
      </c>
      <c r="F1997" s="15">
        <v>3683</v>
      </c>
      <c r="G1997" s="8" t="s">
        <v>12324</v>
      </c>
      <c r="H1997" s="24" t="s">
        <v>494</v>
      </c>
      <c r="I1997" s="25">
        <v>25920</v>
      </c>
      <c r="J1997" s="8" t="s">
        <v>496</v>
      </c>
      <c r="K1997" s="8" t="s">
        <v>10040</v>
      </c>
      <c r="L1997" s="15">
        <v>0.21105699999999999</v>
      </c>
      <c r="M1997" s="15">
        <v>0.30368800000000001</v>
      </c>
      <c r="N1997" s="15">
        <v>0.67511592982456137</v>
      </c>
    </row>
    <row r="1998" spans="1:14" x14ac:dyDescent="0.2">
      <c r="A1998" s="2" t="s">
        <v>10066</v>
      </c>
      <c r="B1998" s="15">
        <v>1752</v>
      </c>
      <c r="C1998" s="15">
        <v>12</v>
      </c>
      <c r="D1998" s="15">
        <v>11742150</v>
      </c>
      <c r="E1998" s="15">
        <v>12721874</v>
      </c>
      <c r="F1998" s="15">
        <v>2782</v>
      </c>
      <c r="G1998" s="8" t="s">
        <v>12324</v>
      </c>
      <c r="H1998" s="24" t="s">
        <v>6008</v>
      </c>
      <c r="I1998" s="25" t="s">
        <v>6009</v>
      </c>
      <c r="J1998" s="8" t="s">
        <v>6010</v>
      </c>
      <c r="K1998" s="8" t="s">
        <v>10051</v>
      </c>
      <c r="L1998" s="15">
        <v>0.20699999999999999</v>
      </c>
      <c r="M1998" s="15">
        <v>0.30388100000000001</v>
      </c>
      <c r="N1998" s="15">
        <v>0.67520653056112234</v>
      </c>
    </row>
    <row r="1999" spans="1:14" x14ac:dyDescent="0.2">
      <c r="A1999" s="2" t="s">
        <v>10068</v>
      </c>
      <c r="B1999" s="15">
        <v>1528</v>
      </c>
      <c r="C1999" s="15">
        <v>10</v>
      </c>
      <c r="D1999" s="15">
        <v>42984428</v>
      </c>
      <c r="E1999" s="15">
        <v>43769842</v>
      </c>
      <c r="F1999" s="15">
        <v>2397</v>
      </c>
      <c r="G1999" s="8" t="s">
        <v>12324</v>
      </c>
      <c r="H1999" s="24" t="s">
        <v>494</v>
      </c>
      <c r="I1999" s="25">
        <v>25920</v>
      </c>
      <c r="J1999" s="8" t="s">
        <v>496</v>
      </c>
      <c r="K1999" s="8" t="s">
        <v>10040</v>
      </c>
      <c r="L1999" s="15">
        <v>-0.29043000000000002</v>
      </c>
      <c r="M1999" s="15">
        <v>0.30462600000000001</v>
      </c>
      <c r="N1999" s="15">
        <v>0.67552168993020945</v>
      </c>
    </row>
    <row r="2000" spans="1:14" x14ac:dyDescent="0.2">
      <c r="A2000" s="2" t="s">
        <v>10068</v>
      </c>
      <c r="B2000" s="15">
        <v>891</v>
      </c>
      <c r="C2000" s="15">
        <v>5</v>
      </c>
      <c r="D2000" s="15">
        <v>136949854</v>
      </c>
      <c r="E2000" s="15">
        <v>139408116</v>
      </c>
      <c r="F2000" s="15">
        <v>3566</v>
      </c>
      <c r="G2000" s="8" t="s">
        <v>12324</v>
      </c>
      <c r="H2000" s="24" t="s">
        <v>494</v>
      </c>
      <c r="I2000" s="25">
        <v>25920</v>
      </c>
      <c r="J2000" s="8" t="s">
        <v>496</v>
      </c>
      <c r="K2000" s="8" t="s">
        <v>10040</v>
      </c>
      <c r="L2000" s="15">
        <v>-0.19453799999999999</v>
      </c>
      <c r="M2000" s="15">
        <v>0.30554599999999998</v>
      </c>
      <c r="N2000" s="15">
        <v>0.67552168993020945</v>
      </c>
    </row>
    <row r="2001" spans="1:14" x14ac:dyDescent="0.2">
      <c r="A2001" s="2" t="s">
        <v>10068</v>
      </c>
      <c r="B2001" s="15">
        <v>451</v>
      </c>
      <c r="C2001" s="15">
        <v>3</v>
      </c>
      <c r="D2001" s="15">
        <v>31269698</v>
      </c>
      <c r="E2001" s="15">
        <v>32378805</v>
      </c>
      <c r="F2001" s="15">
        <v>3015</v>
      </c>
      <c r="G2001" s="8" t="s">
        <v>12324</v>
      </c>
      <c r="H2001" s="24" t="s">
        <v>599</v>
      </c>
      <c r="I2001" s="25">
        <v>26562</v>
      </c>
      <c r="J2001" s="8" t="s">
        <v>601</v>
      </c>
      <c r="K2001" s="8" t="s">
        <v>10040</v>
      </c>
      <c r="L2001" s="15">
        <v>0.18951200000000001</v>
      </c>
      <c r="M2001" s="15">
        <v>0.30449199999999998</v>
      </c>
      <c r="N2001" s="15">
        <v>0.67552168993020945</v>
      </c>
    </row>
    <row r="2002" spans="1:14" x14ac:dyDescent="0.2">
      <c r="A2002" s="2" t="s">
        <v>10068</v>
      </c>
      <c r="B2002" s="15">
        <v>2209</v>
      </c>
      <c r="C2002" s="15">
        <v>17</v>
      </c>
      <c r="D2002" s="15">
        <v>45883902</v>
      </c>
      <c r="E2002" s="15">
        <v>47516224</v>
      </c>
      <c r="F2002" s="15">
        <v>3821</v>
      </c>
      <c r="G2002" s="8" t="s">
        <v>12324</v>
      </c>
      <c r="H2002" s="24" t="s">
        <v>599</v>
      </c>
      <c r="I2002" s="25">
        <v>26562</v>
      </c>
      <c r="J2002" s="8" t="s">
        <v>601</v>
      </c>
      <c r="K2002" s="8" t="s">
        <v>10040</v>
      </c>
      <c r="L2002" s="15">
        <v>0.37248399999999998</v>
      </c>
      <c r="M2002" s="15">
        <v>0.30456100000000003</v>
      </c>
      <c r="N2002" s="15">
        <v>0.67552168993020945</v>
      </c>
    </row>
    <row r="2003" spans="1:14" x14ac:dyDescent="0.2">
      <c r="A2003" s="2" t="s">
        <v>10068</v>
      </c>
      <c r="B2003" s="15">
        <v>1213</v>
      </c>
      <c r="C2003" s="15">
        <v>7</v>
      </c>
      <c r="D2003" s="15">
        <v>136113468</v>
      </c>
      <c r="E2003" s="15">
        <v>137657459</v>
      </c>
      <c r="F2003" s="15">
        <v>3553</v>
      </c>
      <c r="G2003" s="8" t="s">
        <v>12324</v>
      </c>
      <c r="H2003" s="24" t="s">
        <v>599</v>
      </c>
      <c r="I2003" s="25">
        <v>26562</v>
      </c>
      <c r="J2003" s="8" t="s">
        <v>601</v>
      </c>
      <c r="K2003" s="8" t="s">
        <v>10040</v>
      </c>
      <c r="L2003" s="15">
        <v>0.31838699999999998</v>
      </c>
      <c r="M2003" s="15">
        <v>0.30535899999999999</v>
      </c>
      <c r="N2003" s="15">
        <v>0.67552168993020945</v>
      </c>
    </row>
    <row r="2004" spans="1:14" x14ac:dyDescent="0.2">
      <c r="A2004" s="2" t="s">
        <v>10066</v>
      </c>
      <c r="B2004" s="15">
        <v>650</v>
      </c>
      <c r="C2004" s="15">
        <v>4</v>
      </c>
      <c r="D2004" s="15">
        <v>53879572</v>
      </c>
      <c r="E2004" s="15">
        <v>54659778</v>
      </c>
      <c r="F2004" s="15">
        <v>2053</v>
      </c>
      <c r="G2004" s="8" t="s">
        <v>12324</v>
      </c>
      <c r="H2004" s="24" t="s">
        <v>3164</v>
      </c>
      <c r="I2004" s="25" t="s">
        <v>3165</v>
      </c>
      <c r="J2004" s="8" t="s">
        <v>3166</v>
      </c>
      <c r="K2004" s="8" t="s">
        <v>10042</v>
      </c>
      <c r="L2004" s="15">
        <v>0.31561699999999998</v>
      </c>
      <c r="M2004" s="15">
        <v>0.30504900000000001</v>
      </c>
      <c r="N2004" s="15">
        <v>0.67552168993020945</v>
      </c>
    </row>
    <row r="2005" spans="1:14" x14ac:dyDescent="0.2">
      <c r="A2005" s="2" t="s">
        <v>10066</v>
      </c>
      <c r="B2005" s="15">
        <v>972</v>
      </c>
      <c r="C2005" s="15">
        <v>6</v>
      </c>
      <c r="D2005" s="15">
        <v>36346354</v>
      </c>
      <c r="E2005" s="15">
        <v>37570051</v>
      </c>
      <c r="F2005" s="15">
        <v>3390</v>
      </c>
      <c r="G2005" s="8" t="s">
        <v>12324</v>
      </c>
      <c r="H2005" s="24" t="s">
        <v>3164</v>
      </c>
      <c r="I2005" s="25" t="s">
        <v>3165</v>
      </c>
      <c r="J2005" s="8" t="s">
        <v>3166</v>
      </c>
      <c r="K2005" s="8" t="s">
        <v>10042</v>
      </c>
      <c r="L2005" s="15">
        <v>-0.143396</v>
      </c>
      <c r="M2005" s="15">
        <v>0.30546600000000002</v>
      </c>
      <c r="N2005" s="15">
        <v>0.67552168993020945</v>
      </c>
    </row>
    <row r="2006" spans="1:14" x14ac:dyDescent="0.2">
      <c r="A2006" s="2" t="s">
        <v>10066</v>
      </c>
      <c r="B2006" s="15">
        <v>701</v>
      </c>
      <c r="C2006" s="15">
        <v>4</v>
      </c>
      <c r="D2006" s="15">
        <v>113916003</v>
      </c>
      <c r="E2006" s="15">
        <v>115306149</v>
      </c>
      <c r="F2006" s="15">
        <v>3429</v>
      </c>
      <c r="G2006" s="8" t="s">
        <v>12324</v>
      </c>
      <c r="H2006" s="24" t="s">
        <v>3164</v>
      </c>
      <c r="I2006" s="25" t="s">
        <v>3165</v>
      </c>
      <c r="J2006" s="8" t="s">
        <v>3166</v>
      </c>
      <c r="K2006" s="8" t="s">
        <v>10042</v>
      </c>
      <c r="L2006" s="15">
        <v>-0.21849199999999999</v>
      </c>
      <c r="M2006" s="15">
        <v>0.30549500000000002</v>
      </c>
      <c r="N2006" s="15">
        <v>0.67552168993020945</v>
      </c>
    </row>
    <row r="2007" spans="1:14" x14ac:dyDescent="0.2">
      <c r="A2007" s="2" t="s">
        <v>10066</v>
      </c>
      <c r="B2007" s="15">
        <v>1342</v>
      </c>
      <c r="C2007" s="15">
        <v>8</v>
      </c>
      <c r="D2007" s="15">
        <v>114781575</v>
      </c>
      <c r="E2007" s="15">
        <v>115334858</v>
      </c>
      <c r="F2007" s="15">
        <v>1825</v>
      </c>
      <c r="G2007" s="8" t="s">
        <v>12324</v>
      </c>
      <c r="H2007" s="24" t="s">
        <v>6008</v>
      </c>
      <c r="I2007" s="25" t="s">
        <v>6009</v>
      </c>
      <c r="J2007" s="8" t="s">
        <v>6010</v>
      </c>
      <c r="K2007" s="8" t="s">
        <v>10051</v>
      </c>
      <c r="L2007" s="15">
        <v>-0.29293999999999998</v>
      </c>
      <c r="M2007" s="15">
        <v>0.30491699999999999</v>
      </c>
      <c r="N2007" s="15">
        <v>0.67552168993020945</v>
      </c>
    </row>
    <row r="2008" spans="1:14" x14ac:dyDescent="0.2">
      <c r="A2008" s="2" t="s">
        <v>10066</v>
      </c>
      <c r="B2008" s="15">
        <v>1127</v>
      </c>
      <c r="C2008" s="15">
        <v>7</v>
      </c>
      <c r="D2008" s="15">
        <v>28890887</v>
      </c>
      <c r="E2008" s="15">
        <v>30175113</v>
      </c>
      <c r="F2008" s="15">
        <v>4027</v>
      </c>
      <c r="G2008" s="8" t="s">
        <v>12324</v>
      </c>
      <c r="H2008" s="24" t="s">
        <v>6008</v>
      </c>
      <c r="I2008" s="25" t="s">
        <v>6009</v>
      </c>
      <c r="J2008" s="8" t="s">
        <v>6010</v>
      </c>
      <c r="K2008" s="8" t="s">
        <v>10051</v>
      </c>
      <c r="L2008" s="15">
        <v>-0.249752</v>
      </c>
      <c r="M2008" s="15">
        <v>0.30499199999999999</v>
      </c>
      <c r="N2008" s="15">
        <v>0.67552168993020945</v>
      </c>
    </row>
    <row r="2009" spans="1:14" x14ac:dyDescent="0.2">
      <c r="A2009" s="2" t="s">
        <v>10068</v>
      </c>
      <c r="B2009" s="15">
        <v>8</v>
      </c>
      <c r="C2009" s="15">
        <v>1</v>
      </c>
      <c r="D2009" s="15">
        <v>5362405</v>
      </c>
      <c r="E2009" s="15">
        <v>6136814</v>
      </c>
      <c r="F2009" s="15">
        <v>2338</v>
      </c>
      <c r="G2009" s="8" t="s">
        <v>12324</v>
      </c>
      <c r="H2009" s="24" t="s">
        <v>599</v>
      </c>
      <c r="I2009" s="25">
        <v>26562</v>
      </c>
      <c r="J2009" s="8" t="s">
        <v>601</v>
      </c>
      <c r="K2009" s="8" t="s">
        <v>10040</v>
      </c>
      <c r="L2009" s="15">
        <v>-0.22590099999999999</v>
      </c>
      <c r="M2009" s="15">
        <v>0.30662600000000001</v>
      </c>
      <c r="N2009" s="15">
        <v>0.67757165421026411</v>
      </c>
    </row>
    <row r="2010" spans="1:14" x14ac:dyDescent="0.2">
      <c r="A2010" s="2" t="s">
        <v>10066</v>
      </c>
      <c r="B2010" s="15">
        <v>511</v>
      </c>
      <c r="C2010" s="15">
        <v>3</v>
      </c>
      <c r="D2010" s="15">
        <v>104878978</v>
      </c>
      <c r="E2010" s="15">
        <v>106174685</v>
      </c>
      <c r="F2010" s="15">
        <v>3542</v>
      </c>
      <c r="G2010" s="8" t="s">
        <v>12324</v>
      </c>
      <c r="H2010" s="24" t="s">
        <v>3164</v>
      </c>
      <c r="I2010" s="25" t="s">
        <v>3165</v>
      </c>
      <c r="J2010" s="8" t="s">
        <v>3166</v>
      </c>
      <c r="K2010" s="8" t="s">
        <v>10042</v>
      </c>
      <c r="L2010" s="15">
        <v>-0.33486500000000002</v>
      </c>
      <c r="M2010" s="15">
        <v>0.307145</v>
      </c>
      <c r="N2010" s="15">
        <v>0.67838051543824696</v>
      </c>
    </row>
    <row r="2011" spans="1:14" x14ac:dyDescent="0.2">
      <c r="A2011" s="2" t="s">
        <v>10068</v>
      </c>
      <c r="B2011" s="15">
        <v>2451</v>
      </c>
      <c r="C2011" s="15">
        <v>21</v>
      </c>
      <c r="D2011" s="15">
        <v>37303549</v>
      </c>
      <c r="E2011" s="15">
        <v>38046449</v>
      </c>
      <c r="F2011" s="15">
        <v>2567</v>
      </c>
      <c r="G2011" s="8" t="s">
        <v>12324</v>
      </c>
      <c r="H2011" s="24" t="s">
        <v>494</v>
      </c>
      <c r="I2011" s="25">
        <v>25920</v>
      </c>
      <c r="J2011" s="8" t="s">
        <v>496</v>
      </c>
      <c r="K2011" s="8" t="s">
        <v>10040</v>
      </c>
      <c r="L2011" s="15">
        <v>0.17412</v>
      </c>
      <c r="M2011" s="15">
        <v>0.307309</v>
      </c>
      <c r="N2011" s="15">
        <v>0.67840488551518163</v>
      </c>
    </row>
    <row r="2012" spans="1:14" x14ac:dyDescent="0.2">
      <c r="A2012" s="2" t="s">
        <v>10066</v>
      </c>
      <c r="B2012" s="15">
        <v>920</v>
      </c>
      <c r="C2012" s="15">
        <v>5</v>
      </c>
      <c r="D2012" s="15">
        <v>173606996</v>
      </c>
      <c r="E2012" s="15">
        <v>174662885</v>
      </c>
      <c r="F2012" s="15">
        <v>3360</v>
      </c>
      <c r="G2012" s="8" t="s">
        <v>12324</v>
      </c>
      <c r="H2012" s="24" t="s">
        <v>6008</v>
      </c>
      <c r="I2012" s="25" t="s">
        <v>6009</v>
      </c>
      <c r="J2012" s="8" t="s">
        <v>6010</v>
      </c>
      <c r="K2012" s="8" t="s">
        <v>10051</v>
      </c>
      <c r="L2012" s="15">
        <v>-0.223028</v>
      </c>
      <c r="M2012" s="15">
        <v>0.30787100000000001</v>
      </c>
      <c r="N2012" s="15">
        <v>0.6793074054726369</v>
      </c>
    </row>
    <row r="2013" spans="1:14" x14ac:dyDescent="0.2">
      <c r="A2013" s="2" t="s">
        <v>10068</v>
      </c>
      <c r="B2013" s="15">
        <v>482</v>
      </c>
      <c r="C2013" s="15">
        <v>3</v>
      </c>
      <c r="D2013" s="15">
        <v>69784970</v>
      </c>
      <c r="E2013" s="15">
        <v>71223281</v>
      </c>
      <c r="F2013" s="15">
        <v>2770</v>
      </c>
      <c r="G2013" s="8" t="s">
        <v>12324</v>
      </c>
      <c r="H2013" s="24" t="s">
        <v>1259</v>
      </c>
      <c r="I2013" s="25">
        <v>27096</v>
      </c>
      <c r="J2013" s="8" t="s">
        <v>1261</v>
      </c>
      <c r="K2013" s="8" t="s">
        <v>10040</v>
      </c>
      <c r="L2013" s="15">
        <v>0.230433</v>
      </c>
      <c r="M2013" s="15">
        <v>0.308342</v>
      </c>
      <c r="N2013" s="15">
        <v>0.67970563121272376</v>
      </c>
    </row>
    <row r="2014" spans="1:14" x14ac:dyDescent="0.2">
      <c r="A2014" s="2" t="s">
        <v>10066</v>
      </c>
      <c r="B2014" s="15">
        <v>1701</v>
      </c>
      <c r="C2014" s="15">
        <v>11</v>
      </c>
      <c r="D2014" s="15">
        <v>94384536</v>
      </c>
      <c r="E2014" s="15">
        <v>95327210</v>
      </c>
      <c r="F2014" s="15">
        <v>2181</v>
      </c>
      <c r="G2014" s="8" t="s">
        <v>12324</v>
      </c>
      <c r="H2014" s="24" t="s">
        <v>3164</v>
      </c>
      <c r="I2014" s="25" t="s">
        <v>3165</v>
      </c>
      <c r="J2014" s="8" t="s">
        <v>3166</v>
      </c>
      <c r="K2014" s="8" t="s">
        <v>10042</v>
      </c>
      <c r="L2014" s="15">
        <v>-0.38853500000000002</v>
      </c>
      <c r="M2014" s="15">
        <v>0.30835800000000002</v>
      </c>
      <c r="N2014" s="15">
        <v>0.67970563121272376</v>
      </c>
    </row>
    <row r="2015" spans="1:14" x14ac:dyDescent="0.2">
      <c r="A2015" s="2" t="s">
        <v>10068</v>
      </c>
      <c r="B2015" s="15">
        <v>1367</v>
      </c>
      <c r="C2015" s="15">
        <v>8</v>
      </c>
      <c r="D2015" s="15">
        <v>142611890</v>
      </c>
      <c r="E2015" s="15">
        <v>143611461</v>
      </c>
      <c r="F2015" s="15">
        <v>3051</v>
      </c>
      <c r="G2015" s="8" t="s">
        <v>12324</v>
      </c>
      <c r="H2015" s="24" t="s">
        <v>494</v>
      </c>
      <c r="I2015" s="25">
        <v>25920</v>
      </c>
      <c r="J2015" s="8" t="s">
        <v>496</v>
      </c>
      <c r="K2015" s="8" t="s">
        <v>10040</v>
      </c>
      <c r="L2015" s="15">
        <v>-0.19680600000000001</v>
      </c>
      <c r="M2015" s="15">
        <v>0.30917800000000001</v>
      </c>
      <c r="N2015" s="15">
        <v>0.67982622029702966</v>
      </c>
    </row>
    <row r="2016" spans="1:14" x14ac:dyDescent="0.2">
      <c r="A2016" s="2" t="s">
        <v>10068</v>
      </c>
      <c r="B2016" s="15">
        <v>167</v>
      </c>
      <c r="C2016" s="15">
        <v>1</v>
      </c>
      <c r="D2016" s="15">
        <v>216658127</v>
      </c>
      <c r="E2016" s="15">
        <v>217352165</v>
      </c>
      <c r="F2016" s="15">
        <v>2071</v>
      </c>
      <c r="G2016" s="8" t="s">
        <v>12324</v>
      </c>
      <c r="H2016" s="24" t="s">
        <v>494</v>
      </c>
      <c r="I2016" s="25">
        <v>25920</v>
      </c>
      <c r="J2016" s="8" t="s">
        <v>496</v>
      </c>
      <c r="K2016" s="8" t="s">
        <v>10040</v>
      </c>
      <c r="L2016" s="15">
        <v>0.202713</v>
      </c>
      <c r="M2016" s="15">
        <v>0.30930800000000003</v>
      </c>
      <c r="N2016" s="15">
        <v>0.67982622029702966</v>
      </c>
    </row>
    <row r="2017" spans="1:14" x14ac:dyDescent="0.2">
      <c r="A2017" s="2" t="s">
        <v>10068</v>
      </c>
      <c r="B2017" s="15">
        <v>154</v>
      </c>
      <c r="C2017" s="15">
        <v>1</v>
      </c>
      <c r="D2017" s="15">
        <v>200134006</v>
      </c>
      <c r="E2017" s="15">
        <v>201067952</v>
      </c>
      <c r="F2017" s="15">
        <v>2432</v>
      </c>
      <c r="G2017" s="8" t="s">
        <v>12324</v>
      </c>
      <c r="H2017" s="24" t="s">
        <v>1259</v>
      </c>
      <c r="I2017" s="25">
        <v>27096</v>
      </c>
      <c r="J2017" s="8" t="s">
        <v>1261</v>
      </c>
      <c r="K2017" s="8" t="s">
        <v>10040</v>
      </c>
      <c r="L2017" s="15">
        <v>-0.23257800000000001</v>
      </c>
      <c r="M2017" s="15">
        <v>0.30895899999999998</v>
      </c>
      <c r="N2017" s="15">
        <v>0.67982622029702966</v>
      </c>
    </row>
    <row r="2018" spans="1:14" x14ac:dyDescent="0.2">
      <c r="A2018" s="2" t="s">
        <v>10068</v>
      </c>
      <c r="B2018" s="15">
        <v>1792</v>
      </c>
      <c r="C2018" s="15">
        <v>12</v>
      </c>
      <c r="D2018" s="15">
        <v>54371449</v>
      </c>
      <c r="E2018" s="15">
        <v>55416802</v>
      </c>
      <c r="F2018" s="15">
        <v>2521</v>
      </c>
      <c r="G2018" s="8" t="s">
        <v>12324</v>
      </c>
      <c r="H2018" s="24" t="s">
        <v>1259</v>
      </c>
      <c r="I2018" s="25">
        <v>27096</v>
      </c>
      <c r="J2018" s="8" t="s">
        <v>1261</v>
      </c>
      <c r="K2018" s="8" t="s">
        <v>10040</v>
      </c>
      <c r="L2018" s="15">
        <v>-0.21180299999999999</v>
      </c>
      <c r="M2018" s="15">
        <v>0.309284</v>
      </c>
      <c r="N2018" s="15">
        <v>0.67982622029702966</v>
      </c>
    </row>
    <row r="2019" spans="1:14" x14ac:dyDescent="0.2">
      <c r="A2019" s="2" t="s">
        <v>10068</v>
      </c>
      <c r="B2019" s="15">
        <v>2121</v>
      </c>
      <c r="C2019" s="15">
        <v>16</v>
      </c>
      <c r="D2019" s="15">
        <v>19104258</v>
      </c>
      <c r="E2019" s="15">
        <v>20351261</v>
      </c>
      <c r="F2019" s="15">
        <v>3437</v>
      </c>
      <c r="G2019" s="8" t="s">
        <v>12324</v>
      </c>
      <c r="H2019" s="24" t="s">
        <v>1259</v>
      </c>
      <c r="I2019" s="25">
        <v>27096</v>
      </c>
      <c r="J2019" s="8" t="s">
        <v>1261</v>
      </c>
      <c r="K2019" s="8" t="s">
        <v>10040</v>
      </c>
      <c r="L2019" s="15">
        <v>0.15531600000000001</v>
      </c>
      <c r="M2019" s="15">
        <v>0.309639</v>
      </c>
      <c r="N2019" s="15">
        <v>0.67982622029702966</v>
      </c>
    </row>
    <row r="2020" spans="1:14" x14ac:dyDescent="0.2">
      <c r="A2020" s="2" t="s">
        <v>10066</v>
      </c>
      <c r="B2020" s="15">
        <v>1738</v>
      </c>
      <c r="C2020" s="15">
        <v>11</v>
      </c>
      <c r="D2020" s="15">
        <v>133521643</v>
      </c>
      <c r="E2020" s="15">
        <v>134351064</v>
      </c>
      <c r="F2020" s="15">
        <v>2235</v>
      </c>
      <c r="G2020" s="8" t="s">
        <v>12324</v>
      </c>
      <c r="H2020" s="24" t="s">
        <v>6008</v>
      </c>
      <c r="I2020" s="25" t="s">
        <v>6009</v>
      </c>
      <c r="J2020" s="8" t="s">
        <v>6010</v>
      </c>
      <c r="K2020" s="8" t="s">
        <v>10051</v>
      </c>
      <c r="L2020" s="15">
        <v>-0.20627000000000001</v>
      </c>
      <c r="M2020" s="15">
        <v>0.30937900000000002</v>
      </c>
      <c r="N2020" s="15">
        <v>0.67982622029702966</v>
      </c>
    </row>
    <row r="2021" spans="1:14" x14ac:dyDescent="0.2">
      <c r="A2021" s="2" t="s">
        <v>10066</v>
      </c>
      <c r="B2021" s="15">
        <v>1432</v>
      </c>
      <c r="C2021" s="15">
        <v>9</v>
      </c>
      <c r="D2021" s="15">
        <v>87815450</v>
      </c>
      <c r="E2021" s="15">
        <v>89171796</v>
      </c>
      <c r="F2021" s="15">
        <v>3125</v>
      </c>
      <c r="G2021" s="8" t="s">
        <v>12324</v>
      </c>
      <c r="H2021" s="24" t="s">
        <v>6008</v>
      </c>
      <c r="I2021" s="25" t="s">
        <v>6009</v>
      </c>
      <c r="J2021" s="8" t="s">
        <v>6010</v>
      </c>
      <c r="K2021" s="8" t="s">
        <v>10051</v>
      </c>
      <c r="L2021" s="15">
        <v>-0.34534999999999999</v>
      </c>
      <c r="M2021" s="15">
        <v>0.30959799999999998</v>
      </c>
      <c r="N2021" s="15">
        <v>0.67982622029702966</v>
      </c>
    </row>
    <row r="2022" spans="1:14" x14ac:dyDescent="0.2">
      <c r="A2022" s="2" t="s">
        <v>10068</v>
      </c>
      <c r="B2022" s="15">
        <v>2136</v>
      </c>
      <c r="C2022" s="15">
        <v>16</v>
      </c>
      <c r="D2022" s="15">
        <v>54866096</v>
      </c>
      <c r="E2022" s="15">
        <v>55907389</v>
      </c>
      <c r="F2022" s="15">
        <v>3403</v>
      </c>
      <c r="G2022" s="8" t="s">
        <v>12324</v>
      </c>
      <c r="H2022" s="24" t="s">
        <v>6565</v>
      </c>
      <c r="I2022" s="25" t="s">
        <v>6475</v>
      </c>
      <c r="J2022" s="8" t="s">
        <v>6566</v>
      </c>
      <c r="K2022" s="8" t="s">
        <v>10054</v>
      </c>
      <c r="L2022" s="15">
        <v>-0.207152</v>
      </c>
      <c r="M2022" s="15">
        <v>0.308944</v>
      </c>
      <c r="N2022" s="15">
        <v>0.67982622029702966</v>
      </c>
    </row>
    <row r="2023" spans="1:14" x14ac:dyDescent="0.2">
      <c r="A2023" s="2" t="s">
        <v>10068</v>
      </c>
      <c r="B2023" s="15">
        <v>2005</v>
      </c>
      <c r="C2023" s="15">
        <v>14</v>
      </c>
      <c r="D2023" s="15">
        <v>75699502</v>
      </c>
      <c r="E2023" s="15">
        <v>76694201</v>
      </c>
      <c r="F2023" s="15">
        <v>2376</v>
      </c>
      <c r="G2023" s="8" t="s">
        <v>12324</v>
      </c>
      <c r="H2023" s="24" t="s">
        <v>494</v>
      </c>
      <c r="I2023" s="25">
        <v>25920</v>
      </c>
      <c r="J2023" s="8" t="s">
        <v>496</v>
      </c>
      <c r="K2023" s="8" t="s">
        <v>10040</v>
      </c>
      <c r="L2023" s="15">
        <v>-0.18360599999999999</v>
      </c>
      <c r="M2023" s="15">
        <v>0.310585</v>
      </c>
      <c r="N2023" s="15">
        <v>0.68130329624134511</v>
      </c>
    </row>
    <row r="2024" spans="1:14" x14ac:dyDescent="0.2">
      <c r="A2024" s="2" t="s">
        <v>10068</v>
      </c>
      <c r="B2024" s="15">
        <v>1932</v>
      </c>
      <c r="C2024" s="15">
        <v>13</v>
      </c>
      <c r="D2024" s="15">
        <v>91764205</v>
      </c>
      <c r="E2024" s="15">
        <v>93285142</v>
      </c>
      <c r="F2024" s="15">
        <v>3873</v>
      </c>
      <c r="G2024" s="8" t="s">
        <v>12324</v>
      </c>
      <c r="H2024" s="24" t="s">
        <v>494</v>
      </c>
      <c r="I2024" s="25">
        <v>25920</v>
      </c>
      <c r="J2024" s="8" t="s">
        <v>496</v>
      </c>
      <c r="K2024" s="8" t="s">
        <v>10040</v>
      </c>
      <c r="L2024" s="15">
        <v>0.22792399999999999</v>
      </c>
      <c r="M2024" s="15">
        <v>0.31061899999999998</v>
      </c>
      <c r="N2024" s="15">
        <v>0.68130329624134511</v>
      </c>
    </row>
    <row r="2025" spans="1:14" x14ac:dyDescent="0.2">
      <c r="A2025" s="2" t="s">
        <v>10068</v>
      </c>
      <c r="B2025" s="15">
        <v>1464</v>
      </c>
      <c r="C2025" s="15">
        <v>9</v>
      </c>
      <c r="D2025" s="15">
        <v>119001228</v>
      </c>
      <c r="E2025" s="15">
        <v>119890464</v>
      </c>
      <c r="F2025" s="15">
        <v>2351</v>
      </c>
      <c r="G2025" s="8" t="s">
        <v>12324</v>
      </c>
      <c r="H2025" s="24" t="s">
        <v>494</v>
      </c>
      <c r="I2025" s="25">
        <v>25920</v>
      </c>
      <c r="J2025" s="8" t="s">
        <v>496</v>
      </c>
      <c r="K2025" s="8" t="s">
        <v>10040</v>
      </c>
      <c r="L2025" s="15">
        <v>-0.371419</v>
      </c>
      <c r="M2025" s="15">
        <v>0.31079499999999999</v>
      </c>
      <c r="N2025" s="15">
        <v>0.68135236035590707</v>
      </c>
    </row>
    <row r="2026" spans="1:14" x14ac:dyDescent="0.2">
      <c r="A2026" s="2" t="s">
        <v>10068</v>
      </c>
      <c r="B2026" s="15">
        <v>463</v>
      </c>
      <c r="C2026" s="15">
        <v>3</v>
      </c>
      <c r="D2026" s="15">
        <v>45844192</v>
      </c>
      <c r="E2026" s="15">
        <v>47588461</v>
      </c>
      <c r="F2026" s="15">
        <v>3746</v>
      </c>
      <c r="G2026" s="8" t="s">
        <v>12324</v>
      </c>
      <c r="H2026" s="24" t="s">
        <v>1259</v>
      </c>
      <c r="I2026" s="25">
        <v>27096</v>
      </c>
      <c r="J2026" s="8" t="s">
        <v>1261</v>
      </c>
      <c r="K2026" s="8" t="s">
        <v>10040</v>
      </c>
      <c r="L2026" s="15">
        <v>0.31630000000000003</v>
      </c>
      <c r="M2026" s="15">
        <v>0.311141</v>
      </c>
      <c r="N2026" s="15">
        <v>0.68177388092885371</v>
      </c>
    </row>
    <row r="2027" spans="1:14" x14ac:dyDescent="0.2">
      <c r="A2027" s="2" t="s">
        <v>10069</v>
      </c>
      <c r="B2027" s="15">
        <v>168</v>
      </c>
      <c r="C2027" s="15">
        <v>1</v>
      </c>
      <c r="D2027" s="15">
        <v>217352166</v>
      </c>
      <c r="E2027" s="15">
        <v>218563960</v>
      </c>
      <c r="F2027" s="15">
        <v>2312</v>
      </c>
      <c r="G2027" s="8" t="s">
        <v>12324</v>
      </c>
      <c r="H2027" s="24" t="s">
        <v>662</v>
      </c>
      <c r="I2027" s="25" t="s">
        <v>663</v>
      </c>
      <c r="J2027" s="8" t="s">
        <v>664</v>
      </c>
      <c r="K2027" s="8" t="s">
        <v>10040</v>
      </c>
      <c r="L2027" s="15">
        <v>0.32880700000000002</v>
      </c>
      <c r="M2027" s="15">
        <v>0.31175799999999998</v>
      </c>
      <c r="N2027" s="15">
        <v>0.68211481499753324</v>
      </c>
    </row>
    <row r="2028" spans="1:14" x14ac:dyDescent="0.2">
      <c r="A2028" s="2" t="s">
        <v>10066</v>
      </c>
      <c r="B2028" s="15">
        <v>833</v>
      </c>
      <c r="C2028" s="15">
        <v>5</v>
      </c>
      <c r="D2028" s="15">
        <v>67096192</v>
      </c>
      <c r="E2028" s="15">
        <v>68006993</v>
      </c>
      <c r="F2028" s="15">
        <v>2422</v>
      </c>
      <c r="G2028" s="8" t="s">
        <v>12324</v>
      </c>
      <c r="H2028" s="24" t="s">
        <v>3164</v>
      </c>
      <c r="I2028" s="25" t="s">
        <v>3165</v>
      </c>
      <c r="J2028" s="8" t="s">
        <v>3166</v>
      </c>
      <c r="K2028" s="8" t="s">
        <v>10042</v>
      </c>
      <c r="L2028" s="15">
        <v>-0.20688699999999999</v>
      </c>
      <c r="M2028" s="15">
        <v>0.31167600000000001</v>
      </c>
      <c r="N2028" s="15">
        <v>0.68211481499753324</v>
      </c>
    </row>
    <row r="2029" spans="1:14" x14ac:dyDescent="0.2">
      <c r="A2029" s="2" t="s">
        <v>10068</v>
      </c>
      <c r="B2029" s="15">
        <v>1453</v>
      </c>
      <c r="C2029" s="15">
        <v>9</v>
      </c>
      <c r="D2029" s="15">
        <v>109150718</v>
      </c>
      <c r="E2029" s="15">
        <v>110630150</v>
      </c>
      <c r="F2029" s="15">
        <v>3963</v>
      </c>
      <c r="G2029" s="8" t="s">
        <v>12324</v>
      </c>
      <c r="H2029" s="24" t="s">
        <v>6565</v>
      </c>
      <c r="I2029" s="25" t="s">
        <v>6475</v>
      </c>
      <c r="J2029" s="8" t="s">
        <v>6566</v>
      </c>
      <c r="K2029" s="8" t="s">
        <v>10054</v>
      </c>
      <c r="L2029" s="15">
        <v>0.23632</v>
      </c>
      <c r="M2029" s="15">
        <v>0.31162200000000001</v>
      </c>
      <c r="N2029" s="15">
        <v>0.68211481499753324</v>
      </c>
    </row>
    <row r="2030" spans="1:14" x14ac:dyDescent="0.2">
      <c r="A2030" s="2" t="s">
        <v>10066</v>
      </c>
      <c r="B2030" s="15">
        <v>963</v>
      </c>
      <c r="C2030" s="15">
        <v>6</v>
      </c>
      <c r="D2030" s="15">
        <v>32454578</v>
      </c>
      <c r="E2030" s="15">
        <v>32539567</v>
      </c>
      <c r="F2030" s="15">
        <v>789</v>
      </c>
      <c r="G2030" s="8" t="s">
        <v>12324</v>
      </c>
      <c r="H2030" s="24" t="s">
        <v>6008</v>
      </c>
      <c r="I2030" s="25" t="s">
        <v>6009</v>
      </c>
      <c r="J2030" s="8" t="s">
        <v>6010</v>
      </c>
      <c r="K2030" s="8" t="s">
        <v>10051</v>
      </c>
      <c r="L2030" s="15">
        <v>9.4639799999999996E-2</v>
      </c>
      <c r="M2030" s="15">
        <v>0.31200600000000001</v>
      </c>
      <c r="N2030" s="15">
        <v>0.6823208136094675</v>
      </c>
    </row>
    <row r="2031" spans="1:14" x14ac:dyDescent="0.2">
      <c r="A2031" s="2" t="s">
        <v>10068</v>
      </c>
      <c r="B2031" s="15">
        <v>2124</v>
      </c>
      <c r="C2031" s="15">
        <v>16</v>
      </c>
      <c r="D2031" s="15">
        <v>24014706</v>
      </c>
      <c r="E2031" s="15">
        <v>25235251</v>
      </c>
      <c r="F2031" s="15">
        <v>3246</v>
      </c>
      <c r="G2031" s="8" t="s">
        <v>12324</v>
      </c>
      <c r="H2031" s="24" t="s">
        <v>494</v>
      </c>
      <c r="I2031" s="25">
        <v>25920</v>
      </c>
      <c r="J2031" s="8" t="s">
        <v>496</v>
      </c>
      <c r="K2031" s="8" t="s">
        <v>10040</v>
      </c>
      <c r="L2031" s="15">
        <v>-0.28887600000000002</v>
      </c>
      <c r="M2031" s="15">
        <v>0.31332500000000002</v>
      </c>
      <c r="N2031" s="15">
        <v>0.68261879805352799</v>
      </c>
    </row>
    <row r="2032" spans="1:14" x14ac:dyDescent="0.2">
      <c r="A2032" s="2" t="s">
        <v>10068</v>
      </c>
      <c r="B2032" s="15">
        <v>1320</v>
      </c>
      <c r="C2032" s="15">
        <v>8</v>
      </c>
      <c r="D2032" s="15">
        <v>87563146</v>
      </c>
      <c r="E2032" s="15">
        <v>89081177</v>
      </c>
      <c r="F2032" s="15">
        <v>3714</v>
      </c>
      <c r="G2032" s="8" t="s">
        <v>12324</v>
      </c>
      <c r="H2032" s="24" t="s">
        <v>494</v>
      </c>
      <c r="I2032" s="25">
        <v>25920</v>
      </c>
      <c r="J2032" s="8" t="s">
        <v>496</v>
      </c>
      <c r="K2032" s="8" t="s">
        <v>10040</v>
      </c>
      <c r="L2032" s="15">
        <v>-0.39078499999999999</v>
      </c>
      <c r="M2032" s="15">
        <v>0.31505899999999998</v>
      </c>
      <c r="N2032" s="15">
        <v>0.68261879805352799</v>
      </c>
    </row>
    <row r="2033" spans="1:14" x14ac:dyDescent="0.2">
      <c r="A2033" s="2" t="s">
        <v>10068</v>
      </c>
      <c r="B2033" s="15">
        <v>1748</v>
      </c>
      <c r="C2033" s="15">
        <v>12</v>
      </c>
      <c r="D2033" s="15">
        <v>8123318</v>
      </c>
      <c r="E2033" s="15">
        <v>8760628</v>
      </c>
      <c r="F2033" s="15">
        <v>1915</v>
      </c>
      <c r="G2033" s="8" t="s">
        <v>12324</v>
      </c>
      <c r="H2033" s="24" t="s">
        <v>494</v>
      </c>
      <c r="I2033" s="25">
        <v>25920</v>
      </c>
      <c r="J2033" s="8" t="s">
        <v>496</v>
      </c>
      <c r="K2033" s="8" t="s">
        <v>10040</v>
      </c>
      <c r="L2033" s="15">
        <v>-0.165741</v>
      </c>
      <c r="M2033" s="15">
        <v>0.31522899999999998</v>
      </c>
      <c r="N2033" s="15">
        <v>0.68261879805352799</v>
      </c>
    </row>
    <row r="2034" spans="1:14" x14ac:dyDescent="0.2">
      <c r="A2034" s="2" t="s">
        <v>10068</v>
      </c>
      <c r="B2034" s="15">
        <v>1209</v>
      </c>
      <c r="C2034" s="15">
        <v>7</v>
      </c>
      <c r="D2034" s="15">
        <v>130418705</v>
      </c>
      <c r="E2034" s="15">
        <v>131856481</v>
      </c>
      <c r="F2034" s="15">
        <v>3655</v>
      </c>
      <c r="G2034" s="8" t="s">
        <v>12324</v>
      </c>
      <c r="H2034" s="24" t="s">
        <v>494</v>
      </c>
      <c r="I2034" s="25">
        <v>25920</v>
      </c>
      <c r="J2034" s="8" t="s">
        <v>496</v>
      </c>
      <c r="K2034" s="8" t="s">
        <v>10040</v>
      </c>
      <c r="L2034" s="15">
        <v>0.17927999999999999</v>
      </c>
      <c r="M2034" s="15">
        <v>0.31548199999999998</v>
      </c>
      <c r="N2034" s="15">
        <v>0.68261879805352799</v>
      </c>
    </row>
    <row r="2035" spans="1:14" x14ac:dyDescent="0.2">
      <c r="A2035" s="2" t="s">
        <v>10068</v>
      </c>
      <c r="B2035" s="15">
        <v>1561</v>
      </c>
      <c r="C2035" s="15">
        <v>10</v>
      </c>
      <c r="D2035" s="15">
        <v>81763231</v>
      </c>
      <c r="E2035" s="15">
        <v>82378048</v>
      </c>
      <c r="F2035" s="15">
        <v>2248</v>
      </c>
      <c r="G2035" s="8" t="s">
        <v>12324</v>
      </c>
      <c r="H2035" s="24" t="s">
        <v>494</v>
      </c>
      <c r="I2035" s="25">
        <v>25920</v>
      </c>
      <c r="J2035" s="8" t="s">
        <v>496</v>
      </c>
      <c r="K2035" s="8" t="s">
        <v>10040</v>
      </c>
      <c r="L2035" s="15">
        <v>-0.30718499999999999</v>
      </c>
      <c r="M2035" s="15">
        <v>0.31611800000000001</v>
      </c>
      <c r="N2035" s="15">
        <v>0.68261879805352799</v>
      </c>
    </row>
    <row r="2036" spans="1:14" x14ac:dyDescent="0.2">
      <c r="A2036" s="2" t="s">
        <v>10068</v>
      </c>
      <c r="B2036" s="15">
        <v>1315</v>
      </c>
      <c r="C2036" s="15">
        <v>8</v>
      </c>
      <c r="D2036" s="15">
        <v>81340232</v>
      </c>
      <c r="E2036" s="15">
        <v>82878769</v>
      </c>
      <c r="F2036" s="15">
        <v>3330</v>
      </c>
      <c r="G2036" s="8" t="s">
        <v>12324</v>
      </c>
      <c r="H2036" s="24" t="s">
        <v>494</v>
      </c>
      <c r="I2036" s="25">
        <v>25920</v>
      </c>
      <c r="J2036" s="8" t="s">
        <v>496</v>
      </c>
      <c r="K2036" s="8" t="s">
        <v>10040</v>
      </c>
      <c r="L2036" s="15">
        <v>0.38834099999999999</v>
      </c>
      <c r="M2036" s="15">
        <v>0.31629800000000002</v>
      </c>
      <c r="N2036" s="15">
        <v>0.68261879805352799</v>
      </c>
    </row>
    <row r="2037" spans="1:14" x14ac:dyDescent="0.2">
      <c r="A2037" s="2" t="s">
        <v>10068</v>
      </c>
      <c r="B2037" s="15">
        <v>29</v>
      </c>
      <c r="C2037" s="15">
        <v>1</v>
      </c>
      <c r="D2037" s="15">
        <v>29188427</v>
      </c>
      <c r="E2037" s="15">
        <v>30405182</v>
      </c>
      <c r="F2037" s="15">
        <v>2675</v>
      </c>
      <c r="G2037" s="8" t="s">
        <v>12324</v>
      </c>
      <c r="H2037" s="24" t="s">
        <v>599</v>
      </c>
      <c r="I2037" s="25">
        <v>26562</v>
      </c>
      <c r="J2037" s="8" t="s">
        <v>601</v>
      </c>
      <c r="K2037" s="8" t="s">
        <v>10040</v>
      </c>
      <c r="L2037" s="15">
        <v>-0.34648499999999999</v>
      </c>
      <c r="M2037" s="15">
        <v>0.31235800000000002</v>
      </c>
      <c r="N2037" s="15">
        <v>0.68261879805352799</v>
      </c>
    </row>
    <row r="2038" spans="1:14" x14ac:dyDescent="0.2">
      <c r="A2038" s="2" t="s">
        <v>10068</v>
      </c>
      <c r="B2038" s="15">
        <v>335</v>
      </c>
      <c r="C2038" s="15">
        <v>2</v>
      </c>
      <c r="D2038" s="15">
        <v>144503689</v>
      </c>
      <c r="E2038" s="15">
        <v>145977920</v>
      </c>
      <c r="F2038" s="15">
        <v>2176</v>
      </c>
      <c r="G2038" s="8" t="s">
        <v>12324</v>
      </c>
      <c r="H2038" s="24" t="s">
        <v>599</v>
      </c>
      <c r="I2038" s="25">
        <v>26562</v>
      </c>
      <c r="J2038" s="8" t="s">
        <v>601</v>
      </c>
      <c r="K2038" s="8" t="s">
        <v>10040</v>
      </c>
      <c r="L2038" s="15">
        <v>0.220003</v>
      </c>
      <c r="M2038" s="15">
        <v>0.31450800000000001</v>
      </c>
      <c r="N2038" s="15">
        <v>0.68261879805352799</v>
      </c>
    </row>
    <row r="2039" spans="1:14" x14ac:dyDescent="0.2">
      <c r="A2039" s="2" t="s">
        <v>10068</v>
      </c>
      <c r="B2039" s="15">
        <v>2374</v>
      </c>
      <c r="C2039" s="15">
        <v>20</v>
      </c>
      <c r="D2039" s="15">
        <v>4591848</v>
      </c>
      <c r="E2039" s="15">
        <v>5379450</v>
      </c>
      <c r="F2039" s="15">
        <v>2623</v>
      </c>
      <c r="G2039" s="8" t="s">
        <v>12324</v>
      </c>
      <c r="H2039" s="24" t="s">
        <v>599</v>
      </c>
      <c r="I2039" s="25">
        <v>26562</v>
      </c>
      <c r="J2039" s="8" t="s">
        <v>601</v>
      </c>
      <c r="K2039" s="8" t="s">
        <v>10040</v>
      </c>
      <c r="L2039" s="15">
        <v>0.11626499999999999</v>
      </c>
      <c r="M2039" s="15">
        <v>0.31556800000000002</v>
      </c>
      <c r="N2039" s="15">
        <v>0.68261879805352799</v>
      </c>
    </row>
    <row r="2040" spans="1:14" x14ac:dyDescent="0.2">
      <c r="A2040" s="2" t="s">
        <v>10069</v>
      </c>
      <c r="B2040" s="15">
        <v>560</v>
      </c>
      <c r="C2040" s="15">
        <v>3</v>
      </c>
      <c r="D2040" s="15">
        <v>158460059</v>
      </c>
      <c r="E2040" s="15">
        <v>159478751</v>
      </c>
      <c r="F2040" s="15">
        <v>1394</v>
      </c>
      <c r="G2040" s="8" t="s">
        <v>12324</v>
      </c>
      <c r="H2040" s="24" t="s">
        <v>662</v>
      </c>
      <c r="I2040" s="25" t="s">
        <v>663</v>
      </c>
      <c r="J2040" s="8" t="s">
        <v>664</v>
      </c>
      <c r="K2040" s="8" t="s">
        <v>10040</v>
      </c>
      <c r="L2040" s="15">
        <v>-0.39789999999999998</v>
      </c>
      <c r="M2040" s="15">
        <v>0.31443399999999999</v>
      </c>
      <c r="N2040" s="15">
        <v>0.68261879805352799</v>
      </c>
    </row>
    <row r="2041" spans="1:14" x14ac:dyDescent="0.2">
      <c r="A2041" s="2" t="s">
        <v>10069</v>
      </c>
      <c r="B2041" s="15">
        <v>209</v>
      </c>
      <c r="C2041" s="15">
        <v>2</v>
      </c>
      <c r="D2041" s="15">
        <v>5568654</v>
      </c>
      <c r="E2041" s="15">
        <v>6306606</v>
      </c>
      <c r="F2041" s="15">
        <v>1488</v>
      </c>
      <c r="G2041" s="8" t="s">
        <v>12324</v>
      </c>
      <c r="H2041" s="24" t="s">
        <v>662</v>
      </c>
      <c r="I2041" s="25" t="s">
        <v>663</v>
      </c>
      <c r="J2041" s="8" t="s">
        <v>664</v>
      </c>
      <c r="K2041" s="8" t="s">
        <v>10040</v>
      </c>
      <c r="L2041" s="15">
        <v>-0.29622999999999999</v>
      </c>
      <c r="M2041" s="15">
        <v>0.31623499999999999</v>
      </c>
      <c r="N2041" s="15">
        <v>0.68261879805352799</v>
      </c>
    </row>
    <row r="2042" spans="1:14" x14ac:dyDescent="0.2">
      <c r="A2042" s="2" t="s">
        <v>10068</v>
      </c>
      <c r="B2042" s="15">
        <v>15</v>
      </c>
      <c r="C2042" s="15">
        <v>1</v>
      </c>
      <c r="D2042" s="15">
        <v>13481026</v>
      </c>
      <c r="E2042" s="15">
        <v>14720131</v>
      </c>
      <c r="F2042" s="15">
        <v>3288</v>
      </c>
      <c r="G2042" s="8" t="s">
        <v>12324</v>
      </c>
      <c r="H2042" s="24" t="s">
        <v>1259</v>
      </c>
      <c r="I2042" s="25">
        <v>27096</v>
      </c>
      <c r="J2042" s="8" t="s">
        <v>1261</v>
      </c>
      <c r="K2042" s="8" t="s">
        <v>10040</v>
      </c>
      <c r="L2042" s="15">
        <v>0.166827</v>
      </c>
      <c r="M2042" s="15">
        <v>0.312477</v>
      </c>
      <c r="N2042" s="15">
        <v>0.68261879805352799</v>
      </c>
    </row>
    <row r="2043" spans="1:14" x14ac:dyDescent="0.2">
      <c r="A2043" s="2" t="s">
        <v>10068</v>
      </c>
      <c r="B2043" s="15">
        <v>1995</v>
      </c>
      <c r="C2043" s="15">
        <v>14</v>
      </c>
      <c r="D2043" s="15">
        <v>64033238</v>
      </c>
      <c r="E2043" s="15">
        <v>65229391</v>
      </c>
      <c r="F2043" s="15">
        <v>2615</v>
      </c>
      <c r="G2043" s="8" t="s">
        <v>12324</v>
      </c>
      <c r="H2043" s="24" t="s">
        <v>1259</v>
      </c>
      <c r="I2043" s="25">
        <v>27096</v>
      </c>
      <c r="J2043" s="8" t="s">
        <v>1261</v>
      </c>
      <c r="K2043" s="8" t="s">
        <v>10040</v>
      </c>
      <c r="L2043" s="15">
        <v>0.19934099999999999</v>
      </c>
      <c r="M2043" s="15">
        <v>0.313834</v>
      </c>
      <c r="N2043" s="15">
        <v>0.68261879805352799</v>
      </c>
    </row>
    <row r="2044" spans="1:14" x14ac:dyDescent="0.2">
      <c r="A2044" s="2" t="s">
        <v>10068</v>
      </c>
      <c r="B2044" s="15">
        <v>1244</v>
      </c>
      <c r="C2044" s="15">
        <v>8</v>
      </c>
      <c r="D2044" s="15">
        <v>6019164</v>
      </c>
      <c r="E2044" s="15">
        <v>6663427</v>
      </c>
      <c r="F2044" s="15">
        <v>3366</v>
      </c>
      <c r="G2044" s="8" t="s">
        <v>12324</v>
      </c>
      <c r="H2044" s="24" t="s">
        <v>1259</v>
      </c>
      <c r="I2044" s="25">
        <v>27096</v>
      </c>
      <c r="J2044" s="8" t="s">
        <v>1261</v>
      </c>
      <c r="K2044" s="8" t="s">
        <v>10040</v>
      </c>
      <c r="L2044" s="15">
        <v>0.18926000000000001</v>
      </c>
      <c r="M2044" s="15">
        <v>0.315162</v>
      </c>
      <c r="N2044" s="15">
        <v>0.68261879805352799</v>
      </c>
    </row>
    <row r="2045" spans="1:14" x14ac:dyDescent="0.2">
      <c r="A2045" s="2" t="s">
        <v>10068</v>
      </c>
      <c r="B2045" s="15">
        <v>472</v>
      </c>
      <c r="C2045" s="15">
        <v>3</v>
      </c>
      <c r="D2045" s="15">
        <v>59998584</v>
      </c>
      <c r="E2045" s="15">
        <v>60571139</v>
      </c>
      <c r="F2045" s="15">
        <v>2332</v>
      </c>
      <c r="G2045" s="8" t="s">
        <v>12324</v>
      </c>
      <c r="H2045" s="24" t="s">
        <v>1259</v>
      </c>
      <c r="I2045" s="25">
        <v>27096</v>
      </c>
      <c r="J2045" s="8" t="s">
        <v>1261</v>
      </c>
      <c r="K2045" s="8" t="s">
        <v>10040</v>
      </c>
      <c r="L2045" s="15">
        <v>-0.13641400000000001</v>
      </c>
      <c r="M2045" s="15">
        <v>0.31521900000000003</v>
      </c>
      <c r="N2045" s="15">
        <v>0.68261879805352799</v>
      </c>
    </row>
    <row r="2046" spans="1:14" x14ac:dyDescent="0.2">
      <c r="A2046" s="2" t="s">
        <v>10068</v>
      </c>
      <c r="B2046" s="15">
        <v>1957</v>
      </c>
      <c r="C2046" s="15">
        <v>14</v>
      </c>
      <c r="D2046" s="15">
        <v>22760701</v>
      </c>
      <c r="E2046" s="15">
        <v>23985936</v>
      </c>
      <c r="F2046" s="15">
        <v>3277</v>
      </c>
      <c r="G2046" s="8" t="s">
        <v>12324</v>
      </c>
      <c r="H2046" s="24" t="s">
        <v>1259</v>
      </c>
      <c r="I2046" s="25">
        <v>27096</v>
      </c>
      <c r="J2046" s="8" t="s">
        <v>1261</v>
      </c>
      <c r="K2046" s="8" t="s">
        <v>10040</v>
      </c>
      <c r="L2046" s="15">
        <v>-0.21202499999999999</v>
      </c>
      <c r="M2046" s="15">
        <v>0.31548399999999999</v>
      </c>
      <c r="N2046" s="15">
        <v>0.68261879805352799</v>
      </c>
    </row>
    <row r="2047" spans="1:14" x14ac:dyDescent="0.2">
      <c r="A2047" s="2" t="s">
        <v>10068</v>
      </c>
      <c r="B2047" s="15">
        <v>1723</v>
      </c>
      <c r="C2047" s="15">
        <v>11</v>
      </c>
      <c r="D2047" s="15">
        <v>117295642</v>
      </c>
      <c r="E2047" s="15">
        <v>118901213</v>
      </c>
      <c r="F2047" s="15">
        <v>4279</v>
      </c>
      <c r="G2047" s="8" t="s">
        <v>12324</v>
      </c>
      <c r="H2047" s="24" t="s">
        <v>1259</v>
      </c>
      <c r="I2047" s="25">
        <v>27096</v>
      </c>
      <c r="J2047" s="8" t="s">
        <v>1261</v>
      </c>
      <c r="K2047" s="8" t="s">
        <v>10040</v>
      </c>
      <c r="L2047" s="15">
        <v>0.303118</v>
      </c>
      <c r="M2047" s="15">
        <v>0.31616499999999997</v>
      </c>
      <c r="N2047" s="15">
        <v>0.68261879805352799</v>
      </c>
    </row>
    <row r="2048" spans="1:14" x14ac:dyDescent="0.2">
      <c r="A2048" s="2" t="s">
        <v>10066</v>
      </c>
      <c r="B2048" s="15">
        <v>353</v>
      </c>
      <c r="C2048" s="15">
        <v>2</v>
      </c>
      <c r="D2048" s="15">
        <v>169224446</v>
      </c>
      <c r="E2048" s="15">
        <v>170155561</v>
      </c>
      <c r="F2048" s="15">
        <v>2291</v>
      </c>
      <c r="G2048" s="8" t="s">
        <v>12324</v>
      </c>
      <c r="H2048" s="24" t="s">
        <v>3164</v>
      </c>
      <c r="I2048" s="25" t="s">
        <v>3165</v>
      </c>
      <c r="J2048" s="8" t="s">
        <v>3166</v>
      </c>
      <c r="K2048" s="8" t="s">
        <v>10042</v>
      </c>
      <c r="L2048" s="15">
        <v>0.35838100000000001</v>
      </c>
      <c r="M2048" s="15">
        <v>0.31357099999999999</v>
      </c>
      <c r="N2048" s="15">
        <v>0.68261879805352799</v>
      </c>
    </row>
    <row r="2049" spans="1:14" x14ac:dyDescent="0.2">
      <c r="A2049" s="2" t="s">
        <v>10066</v>
      </c>
      <c r="B2049" s="15">
        <v>1493</v>
      </c>
      <c r="C2049" s="15">
        <v>10</v>
      </c>
      <c r="D2049" s="15">
        <v>6234719</v>
      </c>
      <c r="E2049" s="15">
        <v>6897037</v>
      </c>
      <c r="F2049" s="15">
        <v>2338</v>
      </c>
      <c r="G2049" s="8" t="s">
        <v>12324</v>
      </c>
      <c r="H2049" s="24" t="s">
        <v>3164</v>
      </c>
      <c r="I2049" s="25" t="s">
        <v>3165</v>
      </c>
      <c r="J2049" s="8" t="s">
        <v>3166</v>
      </c>
      <c r="K2049" s="8" t="s">
        <v>10042</v>
      </c>
      <c r="L2049" s="15">
        <v>0.21599099999999999</v>
      </c>
      <c r="M2049" s="15">
        <v>0.31525300000000001</v>
      </c>
      <c r="N2049" s="15">
        <v>0.68261879805352799</v>
      </c>
    </row>
    <row r="2050" spans="1:14" x14ac:dyDescent="0.2">
      <c r="A2050" s="2" t="s">
        <v>10066</v>
      </c>
      <c r="B2050" s="15">
        <v>2351</v>
      </c>
      <c r="C2050" s="15">
        <v>19</v>
      </c>
      <c r="D2050" s="15">
        <v>45040933</v>
      </c>
      <c r="E2050" s="15">
        <v>45893307</v>
      </c>
      <c r="F2050" s="15">
        <v>2371</v>
      </c>
      <c r="G2050" s="8" t="s">
        <v>12324</v>
      </c>
      <c r="H2050" s="24" t="s">
        <v>6008</v>
      </c>
      <c r="I2050" s="25" t="s">
        <v>6009</v>
      </c>
      <c r="J2050" s="8" t="s">
        <v>6010</v>
      </c>
      <c r="K2050" s="8" t="s">
        <v>10051</v>
      </c>
      <c r="L2050" s="15">
        <v>0.18984300000000001</v>
      </c>
      <c r="M2050" s="15">
        <v>0.31262899999999999</v>
      </c>
      <c r="N2050" s="15">
        <v>0.68261879805352799</v>
      </c>
    </row>
    <row r="2051" spans="1:14" x14ac:dyDescent="0.2">
      <c r="A2051" s="2" t="s">
        <v>10066</v>
      </c>
      <c r="B2051" s="15">
        <v>2238</v>
      </c>
      <c r="C2051" s="15">
        <v>18</v>
      </c>
      <c r="D2051" s="15">
        <v>10719</v>
      </c>
      <c r="E2051" s="15">
        <v>848350</v>
      </c>
      <c r="F2051" s="15">
        <v>2793</v>
      </c>
      <c r="G2051" s="8" t="s">
        <v>12324</v>
      </c>
      <c r="H2051" s="24" t="s">
        <v>6008</v>
      </c>
      <c r="I2051" s="25" t="s">
        <v>6009</v>
      </c>
      <c r="J2051" s="8" t="s">
        <v>6010</v>
      </c>
      <c r="K2051" s="8" t="s">
        <v>10051</v>
      </c>
      <c r="L2051" s="15">
        <v>0.224688</v>
      </c>
      <c r="M2051" s="15">
        <v>0.31473499999999999</v>
      </c>
      <c r="N2051" s="15">
        <v>0.68261879805352799</v>
      </c>
    </row>
    <row r="2052" spans="1:14" x14ac:dyDescent="0.2">
      <c r="A2052" s="2" t="s">
        <v>10066</v>
      </c>
      <c r="B2052" s="15">
        <v>1734</v>
      </c>
      <c r="C2052" s="15">
        <v>11</v>
      </c>
      <c r="D2052" s="15">
        <v>129451785</v>
      </c>
      <c r="E2052" s="15">
        <v>130500783</v>
      </c>
      <c r="F2052" s="15">
        <v>2936</v>
      </c>
      <c r="G2052" s="8" t="s">
        <v>12324</v>
      </c>
      <c r="H2052" s="24" t="s">
        <v>6008</v>
      </c>
      <c r="I2052" s="25" t="s">
        <v>6009</v>
      </c>
      <c r="J2052" s="8" t="s">
        <v>6010</v>
      </c>
      <c r="K2052" s="8" t="s">
        <v>10051</v>
      </c>
      <c r="L2052" s="15">
        <v>-0.38419999999999999</v>
      </c>
      <c r="M2052" s="15">
        <v>0.31600499999999998</v>
      </c>
      <c r="N2052" s="15">
        <v>0.68261879805352799</v>
      </c>
    </row>
    <row r="2053" spans="1:14" x14ac:dyDescent="0.2">
      <c r="A2053" s="2" t="s">
        <v>10068</v>
      </c>
      <c r="B2053" s="15">
        <v>1562</v>
      </c>
      <c r="C2053" s="15">
        <v>10</v>
      </c>
      <c r="D2053" s="15">
        <v>82378049</v>
      </c>
      <c r="E2053" s="15">
        <v>83596350</v>
      </c>
      <c r="F2053" s="15">
        <v>3828</v>
      </c>
      <c r="G2053" s="8" t="s">
        <v>12324</v>
      </c>
      <c r="H2053" s="24" t="s">
        <v>6565</v>
      </c>
      <c r="I2053" s="25" t="s">
        <v>6475</v>
      </c>
      <c r="J2053" s="8" t="s">
        <v>6566</v>
      </c>
      <c r="K2053" s="8" t="s">
        <v>10054</v>
      </c>
      <c r="L2053" s="15">
        <v>0.26802199999999998</v>
      </c>
      <c r="M2053" s="15">
        <v>0.313498</v>
      </c>
      <c r="N2053" s="15">
        <v>0.68261879805352799</v>
      </c>
    </row>
    <row r="2054" spans="1:14" x14ac:dyDescent="0.2">
      <c r="A2054" s="2" t="s">
        <v>10068</v>
      </c>
      <c r="B2054" s="15">
        <v>1822</v>
      </c>
      <c r="C2054" s="15">
        <v>12</v>
      </c>
      <c r="D2054" s="15">
        <v>90567002</v>
      </c>
      <c r="E2054" s="15">
        <v>92061179</v>
      </c>
      <c r="F2054" s="15">
        <v>3443</v>
      </c>
      <c r="G2054" s="8" t="s">
        <v>12324</v>
      </c>
      <c r="H2054" s="24" t="s">
        <v>6565</v>
      </c>
      <c r="I2054" s="25" t="s">
        <v>6475</v>
      </c>
      <c r="J2054" s="8" t="s">
        <v>6566</v>
      </c>
      <c r="K2054" s="8" t="s">
        <v>10054</v>
      </c>
      <c r="L2054" s="15">
        <v>0.22987299999999999</v>
      </c>
      <c r="M2054" s="15">
        <v>0.31456800000000001</v>
      </c>
      <c r="N2054" s="15">
        <v>0.68261879805352799</v>
      </c>
    </row>
    <row r="2055" spans="1:14" x14ac:dyDescent="0.2">
      <c r="A2055" s="2" t="s">
        <v>10068</v>
      </c>
      <c r="B2055" s="15">
        <v>1235</v>
      </c>
      <c r="C2055" s="15">
        <v>8</v>
      </c>
      <c r="D2055" s="15">
        <v>1628040</v>
      </c>
      <c r="E2055" s="15">
        <v>2070902</v>
      </c>
      <c r="F2055" s="15">
        <v>1984</v>
      </c>
      <c r="G2055" s="8" t="s">
        <v>12324</v>
      </c>
      <c r="H2055" s="24" t="s">
        <v>6565</v>
      </c>
      <c r="I2055" s="25" t="s">
        <v>6475</v>
      </c>
      <c r="J2055" s="8" t="s">
        <v>6566</v>
      </c>
      <c r="K2055" s="8" t="s">
        <v>10054</v>
      </c>
      <c r="L2055" s="15">
        <v>-0.28130100000000002</v>
      </c>
      <c r="M2055" s="15">
        <v>0.31487999999999999</v>
      </c>
      <c r="N2055" s="15">
        <v>0.68261879805352799</v>
      </c>
    </row>
    <row r="2056" spans="1:14" x14ac:dyDescent="0.2">
      <c r="A2056" s="2" t="s">
        <v>10068</v>
      </c>
      <c r="B2056" s="15">
        <v>204</v>
      </c>
      <c r="C2056" s="15">
        <v>2</v>
      </c>
      <c r="D2056" s="15">
        <v>1875061</v>
      </c>
      <c r="E2056" s="15">
        <v>2680063</v>
      </c>
      <c r="F2056" s="15">
        <v>2327</v>
      </c>
      <c r="G2056" s="8" t="s">
        <v>12324</v>
      </c>
      <c r="H2056" s="24" t="s">
        <v>6565</v>
      </c>
      <c r="I2056" s="25" t="s">
        <v>6475</v>
      </c>
      <c r="J2056" s="8" t="s">
        <v>6566</v>
      </c>
      <c r="K2056" s="8" t="s">
        <v>10054</v>
      </c>
      <c r="L2056" s="15">
        <v>0.19236800000000001</v>
      </c>
      <c r="M2056" s="15">
        <v>0.31516499999999997</v>
      </c>
      <c r="N2056" s="15">
        <v>0.68261879805352799</v>
      </c>
    </row>
    <row r="2057" spans="1:14" x14ac:dyDescent="0.2">
      <c r="A2057" s="2" t="s">
        <v>10068</v>
      </c>
      <c r="B2057" s="15">
        <v>1765</v>
      </c>
      <c r="C2057" s="15">
        <v>12</v>
      </c>
      <c r="D2057" s="15">
        <v>25058715</v>
      </c>
      <c r="E2057" s="15">
        <v>25990813</v>
      </c>
      <c r="F2057" s="15">
        <v>2855</v>
      </c>
      <c r="G2057" s="8" t="s">
        <v>12324</v>
      </c>
      <c r="H2057" s="24" t="s">
        <v>6565</v>
      </c>
      <c r="I2057" s="25" t="s">
        <v>6475</v>
      </c>
      <c r="J2057" s="8" t="s">
        <v>6566</v>
      </c>
      <c r="K2057" s="8" t="s">
        <v>10054</v>
      </c>
      <c r="L2057" s="15">
        <v>-0.25948199999999999</v>
      </c>
      <c r="M2057" s="15">
        <v>0.31525300000000001</v>
      </c>
      <c r="N2057" s="15">
        <v>0.68261879805352799</v>
      </c>
    </row>
    <row r="2058" spans="1:14" x14ac:dyDescent="0.2">
      <c r="A2058" s="2" t="s">
        <v>10068</v>
      </c>
      <c r="B2058" s="15">
        <v>740</v>
      </c>
      <c r="C2058" s="15">
        <v>4</v>
      </c>
      <c r="D2058" s="15">
        <v>157597310</v>
      </c>
      <c r="E2058" s="15">
        <v>159176073</v>
      </c>
      <c r="F2058" s="15">
        <v>3748</v>
      </c>
      <c r="G2058" s="8" t="s">
        <v>12324</v>
      </c>
      <c r="H2058" s="24" t="s">
        <v>599</v>
      </c>
      <c r="I2058" s="25">
        <v>26562</v>
      </c>
      <c r="J2058" s="8" t="s">
        <v>601</v>
      </c>
      <c r="K2058" s="8" t="s">
        <v>10040</v>
      </c>
      <c r="L2058" s="15">
        <v>-0.25536199999999998</v>
      </c>
      <c r="M2058" s="15">
        <v>0.31653799999999999</v>
      </c>
      <c r="N2058" s="15">
        <v>0.6828044892996108</v>
      </c>
    </row>
    <row r="2059" spans="1:14" x14ac:dyDescent="0.2">
      <c r="A2059" s="2" t="s">
        <v>10069</v>
      </c>
      <c r="B2059" s="15">
        <v>1628</v>
      </c>
      <c r="C2059" s="15">
        <v>11</v>
      </c>
      <c r="D2059" s="15">
        <v>16383387</v>
      </c>
      <c r="E2059" s="15">
        <v>17583948</v>
      </c>
      <c r="F2059" s="15">
        <v>1892</v>
      </c>
      <c r="G2059" s="8" t="s">
        <v>12324</v>
      </c>
      <c r="H2059" s="24" t="s">
        <v>662</v>
      </c>
      <c r="I2059" s="25" t="s">
        <v>663</v>
      </c>
      <c r="J2059" s="8" t="s">
        <v>664</v>
      </c>
      <c r="K2059" s="8" t="s">
        <v>10040</v>
      </c>
      <c r="L2059" s="15">
        <v>-0.28125</v>
      </c>
      <c r="M2059" s="15">
        <v>0.31714900000000001</v>
      </c>
      <c r="N2059" s="15">
        <v>0.68378989547885272</v>
      </c>
    </row>
    <row r="2060" spans="1:14" x14ac:dyDescent="0.2">
      <c r="A2060" s="2" t="s">
        <v>10068</v>
      </c>
      <c r="B2060" s="15">
        <v>212</v>
      </c>
      <c r="C2060" s="15">
        <v>2</v>
      </c>
      <c r="D2060" s="15">
        <v>7966710</v>
      </c>
      <c r="E2060" s="15">
        <v>8978798</v>
      </c>
      <c r="F2060" s="15">
        <v>2478</v>
      </c>
      <c r="G2060" s="8" t="s">
        <v>12324</v>
      </c>
      <c r="H2060" s="24" t="s">
        <v>494</v>
      </c>
      <c r="I2060" s="25">
        <v>25920</v>
      </c>
      <c r="J2060" s="8" t="s">
        <v>496</v>
      </c>
      <c r="K2060" s="8" t="s">
        <v>10040</v>
      </c>
      <c r="L2060" s="15">
        <v>0.17932000000000001</v>
      </c>
      <c r="M2060" s="15">
        <v>0.31784899999999999</v>
      </c>
      <c r="N2060" s="15">
        <v>0.68470024283632824</v>
      </c>
    </row>
    <row r="2061" spans="1:14" x14ac:dyDescent="0.2">
      <c r="A2061" s="2" t="s">
        <v>10066</v>
      </c>
      <c r="B2061" s="15">
        <v>2252</v>
      </c>
      <c r="C2061" s="15">
        <v>18</v>
      </c>
      <c r="D2061" s="15">
        <v>13641480</v>
      </c>
      <c r="E2061" s="15">
        <v>14439251</v>
      </c>
      <c r="F2061" s="15">
        <v>2596</v>
      </c>
      <c r="G2061" s="8" t="s">
        <v>12324</v>
      </c>
      <c r="H2061" s="24" t="s">
        <v>3164</v>
      </c>
      <c r="I2061" s="25" t="s">
        <v>3165</v>
      </c>
      <c r="J2061" s="8" t="s">
        <v>3166</v>
      </c>
      <c r="K2061" s="8" t="s">
        <v>10042</v>
      </c>
      <c r="L2061" s="15">
        <v>0.22137000000000001</v>
      </c>
      <c r="M2061" s="15">
        <v>0.31788</v>
      </c>
      <c r="N2061" s="15">
        <v>0.68470024283632824</v>
      </c>
    </row>
    <row r="2062" spans="1:14" x14ac:dyDescent="0.2">
      <c r="A2062" s="2" t="s">
        <v>10068</v>
      </c>
      <c r="B2062" s="15">
        <v>1753</v>
      </c>
      <c r="C2062" s="15">
        <v>12</v>
      </c>
      <c r="D2062" s="15">
        <v>12721875</v>
      </c>
      <c r="E2062" s="15">
        <v>13559527</v>
      </c>
      <c r="F2062" s="15">
        <v>2039</v>
      </c>
      <c r="G2062" s="8" t="s">
        <v>12324</v>
      </c>
      <c r="H2062" s="24" t="s">
        <v>494</v>
      </c>
      <c r="I2062" s="25">
        <v>25920</v>
      </c>
      <c r="J2062" s="8" t="s">
        <v>496</v>
      </c>
      <c r="K2062" s="8" t="s">
        <v>10040</v>
      </c>
      <c r="L2062" s="15">
        <v>-0.154974</v>
      </c>
      <c r="M2062" s="15">
        <v>0.31930399999999998</v>
      </c>
      <c r="N2062" s="15">
        <v>0.68617470744680842</v>
      </c>
    </row>
    <row r="2063" spans="1:14" x14ac:dyDescent="0.2">
      <c r="A2063" s="2" t="s">
        <v>10068</v>
      </c>
      <c r="B2063" s="15">
        <v>1723</v>
      </c>
      <c r="C2063" s="15">
        <v>11</v>
      </c>
      <c r="D2063" s="15">
        <v>117295642</v>
      </c>
      <c r="E2063" s="15">
        <v>118901213</v>
      </c>
      <c r="F2063" s="15">
        <v>4279</v>
      </c>
      <c r="G2063" s="8" t="s">
        <v>12324</v>
      </c>
      <c r="H2063" s="24" t="s">
        <v>494</v>
      </c>
      <c r="I2063" s="25">
        <v>25920</v>
      </c>
      <c r="J2063" s="8" t="s">
        <v>496</v>
      </c>
      <c r="K2063" s="8" t="s">
        <v>10040</v>
      </c>
      <c r="L2063" s="15">
        <v>0.23457500000000001</v>
      </c>
      <c r="M2063" s="15">
        <v>0.319407</v>
      </c>
      <c r="N2063" s="15">
        <v>0.68617470744680842</v>
      </c>
    </row>
    <row r="2064" spans="1:14" x14ac:dyDescent="0.2">
      <c r="A2064" s="2" t="s">
        <v>10068</v>
      </c>
      <c r="B2064" s="15">
        <v>2290</v>
      </c>
      <c r="C2064" s="15">
        <v>18</v>
      </c>
      <c r="D2064" s="15">
        <v>62074994</v>
      </c>
      <c r="E2064" s="15">
        <v>63109755</v>
      </c>
      <c r="F2064" s="15">
        <v>2999</v>
      </c>
      <c r="G2064" s="8" t="s">
        <v>12324</v>
      </c>
      <c r="H2064" s="24" t="s">
        <v>494</v>
      </c>
      <c r="I2064" s="25">
        <v>25920</v>
      </c>
      <c r="J2064" s="8" t="s">
        <v>496</v>
      </c>
      <c r="K2064" s="8" t="s">
        <v>10040</v>
      </c>
      <c r="L2064" s="15">
        <v>0.15502299999999999</v>
      </c>
      <c r="M2064" s="15">
        <v>0.31991199999999997</v>
      </c>
      <c r="N2064" s="15">
        <v>0.68617470744680842</v>
      </c>
    </row>
    <row r="2065" spans="1:14" x14ac:dyDescent="0.2">
      <c r="A2065" s="2" t="s">
        <v>10068</v>
      </c>
      <c r="B2065" s="15">
        <v>1738</v>
      </c>
      <c r="C2065" s="15">
        <v>11</v>
      </c>
      <c r="D2065" s="15">
        <v>133521643</v>
      </c>
      <c r="E2065" s="15">
        <v>134351064</v>
      </c>
      <c r="F2065" s="15">
        <v>2238</v>
      </c>
      <c r="G2065" s="8" t="s">
        <v>12324</v>
      </c>
      <c r="H2065" s="24" t="s">
        <v>599</v>
      </c>
      <c r="I2065" s="25">
        <v>26562</v>
      </c>
      <c r="J2065" s="8" t="s">
        <v>601</v>
      </c>
      <c r="K2065" s="8" t="s">
        <v>10040</v>
      </c>
      <c r="L2065" s="15">
        <v>-0.17394899999999999</v>
      </c>
      <c r="M2065" s="15">
        <v>0.31934000000000001</v>
      </c>
      <c r="N2065" s="15">
        <v>0.68617470744680842</v>
      </c>
    </row>
    <row r="2066" spans="1:14" x14ac:dyDescent="0.2">
      <c r="A2066" s="2" t="s">
        <v>10068</v>
      </c>
      <c r="B2066" s="15">
        <v>805</v>
      </c>
      <c r="C2066" s="15">
        <v>5</v>
      </c>
      <c r="D2066" s="15">
        <v>32727915</v>
      </c>
      <c r="E2066" s="15">
        <v>33971056</v>
      </c>
      <c r="F2066" s="15">
        <v>3476</v>
      </c>
      <c r="G2066" s="8" t="s">
        <v>12324</v>
      </c>
      <c r="H2066" s="24" t="s">
        <v>599</v>
      </c>
      <c r="I2066" s="25">
        <v>26562</v>
      </c>
      <c r="J2066" s="8" t="s">
        <v>601</v>
      </c>
      <c r="K2066" s="8" t="s">
        <v>10040</v>
      </c>
      <c r="L2066" s="15">
        <v>-0.18489900000000001</v>
      </c>
      <c r="M2066" s="15">
        <v>0.31990000000000002</v>
      </c>
      <c r="N2066" s="15">
        <v>0.68617470744680842</v>
      </c>
    </row>
    <row r="2067" spans="1:14" x14ac:dyDescent="0.2">
      <c r="A2067" s="2" t="s">
        <v>10069</v>
      </c>
      <c r="B2067" s="15">
        <v>427</v>
      </c>
      <c r="C2067" s="15">
        <v>3</v>
      </c>
      <c r="D2067" s="15">
        <v>4835084</v>
      </c>
      <c r="E2067" s="15">
        <v>5496182</v>
      </c>
      <c r="F2067" s="15">
        <v>1330</v>
      </c>
      <c r="G2067" s="8" t="s">
        <v>12324</v>
      </c>
      <c r="H2067" s="24" t="s">
        <v>662</v>
      </c>
      <c r="I2067" s="25" t="s">
        <v>663</v>
      </c>
      <c r="J2067" s="8" t="s">
        <v>664</v>
      </c>
      <c r="K2067" s="8" t="s">
        <v>10040</v>
      </c>
      <c r="L2067" s="15">
        <v>0.38226300000000002</v>
      </c>
      <c r="M2067" s="15">
        <v>0.31995699999999999</v>
      </c>
      <c r="N2067" s="15">
        <v>0.68617470744680842</v>
      </c>
    </row>
    <row r="2068" spans="1:14" x14ac:dyDescent="0.2">
      <c r="A2068" s="2" t="s">
        <v>10066</v>
      </c>
      <c r="B2068" s="15">
        <v>2169</v>
      </c>
      <c r="C2068" s="15">
        <v>16</v>
      </c>
      <c r="D2068" s="15">
        <v>86748868</v>
      </c>
      <c r="E2068" s="15">
        <v>87669168</v>
      </c>
      <c r="F2068" s="15">
        <v>3346</v>
      </c>
      <c r="G2068" s="8" t="s">
        <v>12324</v>
      </c>
      <c r="H2068" s="24" t="s">
        <v>6008</v>
      </c>
      <c r="I2068" s="25" t="s">
        <v>6009</v>
      </c>
      <c r="J2068" s="8" t="s">
        <v>6010</v>
      </c>
      <c r="K2068" s="8" t="s">
        <v>10051</v>
      </c>
      <c r="L2068" s="15">
        <v>0.27565200000000001</v>
      </c>
      <c r="M2068" s="15">
        <v>0.31994800000000001</v>
      </c>
      <c r="N2068" s="15">
        <v>0.68617470744680842</v>
      </c>
    </row>
    <row r="2069" spans="1:14" x14ac:dyDescent="0.2">
      <c r="A2069" s="2" t="s">
        <v>10068</v>
      </c>
      <c r="B2069" s="15">
        <v>988</v>
      </c>
      <c r="C2069" s="15">
        <v>6</v>
      </c>
      <c r="D2069" s="15">
        <v>53425493</v>
      </c>
      <c r="E2069" s="15">
        <v>54452767</v>
      </c>
      <c r="F2069" s="15">
        <v>2547</v>
      </c>
      <c r="G2069" s="8" t="s">
        <v>12324</v>
      </c>
      <c r="H2069" s="24" t="s">
        <v>6565</v>
      </c>
      <c r="I2069" s="25" t="s">
        <v>6475</v>
      </c>
      <c r="J2069" s="8" t="s">
        <v>6566</v>
      </c>
      <c r="K2069" s="8" t="s">
        <v>10054</v>
      </c>
      <c r="L2069" s="15">
        <v>0.19513</v>
      </c>
      <c r="M2069" s="15">
        <v>0.31922899999999998</v>
      </c>
      <c r="N2069" s="15">
        <v>0.68617470744680842</v>
      </c>
    </row>
    <row r="2070" spans="1:14" x14ac:dyDescent="0.2">
      <c r="A2070" s="2" t="s">
        <v>10068</v>
      </c>
      <c r="B2070" s="15">
        <v>1423</v>
      </c>
      <c r="C2070" s="15">
        <v>9</v>
      </c>
      <c r="D2070" s="15">
        <v>77862309</v>
      </c>
      <c r="E2070" s="15">
        <v>78630915</v>
      </c>
      <c r="F2070" s="15">
        <v>2593</v>
      </c>
      <c r="G2070" s="8" t="s">
        <v>12324</v>
      </c>
      <c r="H2070" s="24" t="s">
        <v>6565</v>
      </c>
      <c r="I2070" s="25" t="s">
        <v>6475</v>
      </c>
      <c r="J2070" s="8" t="s">
        <v>6566</v>
      </c>
      <c r="K2070" s="8" t="s">
        <v>10054</v>
      </c>
      <c r="L2070" s="15">
        <v>0.31978400000000001</v>
      </c>
      <c r="M2070" s="15">
        <v>0.31971899999999998</v>
      </c>
      <c r="N2070" s="15">
        <v>0.68617470744680842</v>
      </c>
    </row>
    <row r="2071" spans="1:14" x14ac:dyDescent="0.2">
      <c r="A2071" s="2" t="s">
        <v>10069</v>
      </c>
      <c r="B2071" s="15">
        <v>113</v>
      </c>
      <c r="C2071" s="15">
        <v>1</v>
      </c>
      <c r="D2071" s="15">
        <v>154685546</v>
      </c>
      <c r="E2071" s="15">
        <v>156813845</v>
      </c>
      <c r="F2071" s="15">
        <v>1913</v>
      </c>
      <c r="G2071" s="8" t="s">
        <v>12324</v>
      </c>
      <c r="H2071" s="24" t="s">
        <v>662</v>
      </c>
      <c r="I2071" s="25" t="s">
        <v>663</v>
      </c>
      <c r="J2071" s="8" t="s">
        <v>664</v>
      </c>
      <c r="K2071" s="8" t="s">
        <v>10040</v>
      </c>
      <c r="L2071" s="15">
        <v>0.20852399999999999</v>
      </c>
      <c r="M2071" s="15">
        <v>0.32021100000000002</v>
      </c>
      <c r="N2071" s="15">
        <v>0.68638752295795069</v>
      </c>
    </row>
    <row r="2072" spans="1:14" x14ac:dyDescent="0.2">
      <c r="A2072" s="2" t="s">
        <v>10068</v>
      </c>
      <c r="B2072" s="15">
        <v>1447</v>
      </c>
      <c r="C2072" s="15">
        <v>9</v>
      </c>
      <c r="D2072" s="15">
        <v>103165726</v>
      </c>
      <c r="E2072" s="15">
        <v>104222848</v>
      </c>
      <c r="F2072" s="15">
        <v>2767</v>
      </c>
      <c r="G2072" s="8" t="s">
        <v>12324</v>
      </c>
      <c r="H2072" s="24" t="s">
        <v>494</v>
      </c>
      <c r="I2072" s="25">
        <v>25920</v>
      </c>
      <c r="J2072" s="8" t="s">
        <v>496</v>
      </c>
      <c r="K2072" s="8" t="s">
        <v>10040</v>
      </c>
      <c r="L2072" s="15">
        <v>-0.36233700000000002</v>
      </c>
      <c r="M2072" s="15">
        <v>0.32045800000000002</v>
      </c>
      <c r="N2072" s="15">
        <v>0.68658513526570064</v>
      </c>
    </row>
    <row r="2073" spans="1:14" x14ac:dyDescent="0.2">
      <c r="A2073" s="2" t="s">
        <v>10068</v>
      </c>
      <c r="B2073" s="15">
        <v>542</v>
      </c>
      <c r="C2073" s="15">
        <v>3</v>
      </c>
      <c r="D2073" s="15">
        <v>138693847</v>
      </c>
      <c r="E2073" s="15">
        <v>139831267</v>
      </c>
      <c r="F2073" s="15">
        <v>2635</v>
      </c>
      <c r="G2073" s="8" t="s">
        <v>12324</v>
      </c>
      <c r="H2073" s="24" t="s">
        <v>599</v>
      </c>
      <c r="I2073" s="25">
        <v>26562</v>
      </c>
      <c r="J2073" s="8" t="s">
        <v>601</v>
      </c>
      <c r="K2073" s="8" t="s">
        <v>10040</v>
      </c>
      <c r="L2073" s="15">
        <v>-0.23852499999999999</v>
      </c>
      <c r="M2073" s="15">
        <v>0.32076100000000002</v>
      </c>
      <c r="N2073" s="15">
        <v>0.6869024794785128</v>
      </c>
    </row>
    <row r="2074" spans="1:14" x14ac:dyDescent="0.2">
      <c r="A2074" s="2" t="s">
        <v>10068</v>
      </c>
      <c r="B2074" s="15">
        <v>2231</v>
      </c>
      <c r="C2074" s="15">
        <v>17</v>
      </c>
      <c r="D2074" s="15">
        <v>74908267</v>
      </c>
      <c r="E2074" s="15">
        <v>75619256</v>
      </c>
      <c r="F2074" s="15">
        <v>2646</v>
      </c>
      <c r="G2074" s="8" t="s">
        <v>12324</v>
      </c>
      <c r="H2074" s="24" t="s">
        <v>599</v>
      </c>
      <c r="I2074" s="25">
        <v>26562</v>
      </c>
      <c r="J2074" s="8" t="s">
        <v>601</v>
      </c>
      <c r="K2074" s="8" t="s">
        <v>10040</v>
      </c>
      <c r="L2074" s="15">
        <v>-0.14627000000000001</v>
      </c>
      <c r="M2074" s="15">
        <v>0.32183</v>
      </c>
      <c r="N2074" s="15">
        <v>0.68755958815028906</v>
      </c>
    </row>
    <row r="2075" spans="1:14" x14ac:dyDescent="0.2">
      <c r="A2075" s="2" t="s">
        <v>10068</v>
      </c>
      <c r="B2075" s="15">
        <v>395</v>
      </c>
      <c r="C2075" s="15">
        <v>2</v>
      </c>
      <c r="D2075" s="15">
        <v>218396259</v>
      </c>
      <c r="E2075" s="15">
        <v>219678783</v>
      </c>
      <c r="F2075" s="15">
        <v>2592</v>
      </c>
      <c r="G2075" s="8" t="s">
        <v>12324</v>
      </c>
      <c r="H2075" s="24" t="s">
        <v>1259</v>
      </c>
      <c r="I2075" s="25">
        <v>27096</v>
      </c>
      <c r="J2075" s="8" t="s">
        <v>1261</v>
      </c>
      <c r="K2075" s="8" t="s">
        <v>10040</v>
      </c>
      <c r="L2075" s="15">
        <v>-0.294846</v>
      </c>
      <c r="M2075" s="15">
        <v>0.321801</v>
      </c>
      <c r="N2075" s="15">
        <v>0.68755958815028906</v>
      </c>
    </row>
    <row r="2076" spans="1:14" x14ac:dyDescent="0.2">
      <c r="A2076" s="2" t="s">
        <v>10066</v>
      </c>
      <c r="B2076" s="15">
        <v>155</v>
      </c>
      <c r="C2076" s="15">
        <v>1</v>
      </c>
      <c r="D2076" s="15">
        <v>201067953</v>
      </c>
      <c r="E2076" s="15">
        <v>202583884</v>
      </c>
      <c r="F2076" s="15">
        <v>3795</v>
      </c>
      <c r="G2076" s="8" t="s">
        <v>12324</v>
      </c>
      <c r="H2076" s="24" t="s">
        <v>3164</v>
      </c>
      <c r="I2076" s="25" t="s">
        <v>3165</v>
      </c>
      <c r="J2076" s="8" t="s">
        <v>3166</v>
      </c>
      <c r="K2076" s="8" t="s">
        <v>10042</v>
      </c>
      <c r="L2076" s="15">
        <v>0.34613899999999997</v>
      </c>
      <c r="M2076" s="15">
        <v>0.32157000000000002</v>
      </c>
      <c r="N2076" s="15">
        <v>0.68755958815028906</v>
      </c>
    </row>
    <row r="2077" spans="1:14" x14ac:dyDescent="0.2">
      <c r="A2077" s="2" t="s">
        <v>10068</v>
      </c>
      <c r="B2077" s="15">
        <v>583</v>
      </c>
      <c r="C2077" s="15">
        <v>3</v>
      </c>
      <c r="D2077" s="15">
        <v>185709997</v>
      </c>
      <c r="E2077" s="15">
        <v>186602045</v>
      </c>
      <c r="F2077" s="15">
        <v>2253</v>
      </c>
      <c r="G2077" s="8" t="s">
        <v>12324</v>
      </c>
      <c r="H2077" s="24" t="s">
        <v>6565</v>
      </c>
      <c r="I2077" s="25" t="s">
        <v>6475</v>
      </c>
      <c r="J2077" s="8" t="s">
        <v>6566</v>
      </c>
      <c r="K2077" s="8" t="s">
        <v>10054</v>
      </c>
      <c r="L2077" s="15">
        <v>-0.28719299999999998</v>
      </c>
      <c r="M2077" s="15">
        <v>0.32163199999999997</v>
      </c>
      <c r="N2077" s="15">
        <v>0.68755958815028906</v>
      </c>
    </row>
    <row r="2078" spans="1:14" x14ac:dyDescent="0.2">
      <c r="A2078" s="2" t="s">
        <v>10068</v>
      </c>
      <c r="B2078" s="15">
        <v>1097</v>
      </c>
      <c r="C2078" s="15">
        <v>7</v>
      </c>
      <c r="D2078" s="15">
        <v>2473750</v>
      </c>
      <c r="E2078" s="15">
        <v>3100211</v>
      </c>
      <c r="F2078" s="15">
        <v>2257</v>
      </c>
      <c r="G2078" s="8" t="s">
        <v>12324</v>
      </c>
      <c r="H2078" s="24" t="s">
        <v>6565</v>
      </c>
      <c r="I2078" s="25" t="s">
        <v>6475</v>
      </c>
      <c r="J2078" s="8" t="s">
        <v>6566</v>
      </c>
      <c r="K2078" s="8" t="s">
        <v>10054</v>
      </c>
      <c r="L2078" s="15">
        <v>0.28674699999999997</v>
      </c>
      <c r="M2078" s="15">
        <v>0.32184299999999999</v>
      </c>
      <c r="N2078" s="15">
        <v>0.68755958815028906</v>
      </c>
    </row>
    <row r="2079" spans="1:14" x14ac:dyDescent="0.2">
      <c r="A2079" s="2" t="s">
        <v>10068</v>
      </c>
      <c r="B2079" s="15">
        <v>926</v>
      </c>
      <c r="C2079" s="15">
        <v>6</v>
      </c>
      <c r="D2079" s="15">
        <v>63979</v>
      </c>
      <c r="E2079" s="15">
        <v>1380679</v>
      </c>
      <c r="F2079" s="15">
        <v>3933</v>
      </c>
      <c r="G2079" s="8" t="s">
        <v>12324</v>
      </c>
      <c r="H2079" s="24" t="s">
        <v>599</v>
      </c>
      <c r="I2079" s="25">
        <v>26562</v>
      </c>
      <c r="J2079" s="8" t="s">
        <v>601</v>
      </c>
      <c r="K2079" s="8" t="s">
        <v>10040</v>
      </c>
      <c r="L2079" s="15">
        <v>-0.20488600000000001</v>
      </c>
      <c r="M2079" s="15">
        <v>0.32204300000000002</v>
      </c>
      <c r="N2079" s="15">
        <v>0.68765561145883491</v>
      </c>
    </row>
    <row r="2080" spans="1:14" x14ac:dyDescent="0.2">
      <c r="A2080" s="2" t="s">
        <v>10066</v>
      </c>
      <c r="B2080" s="15">
        <v>1381</v>
      </c>
      <c r="C2080" s="15">
        <v>9</v>
      </c>
      <c r="D2080" s="15">
        <v>8262304</v>
      </c>
      <c r="E2080" s="15">
        <v>9170120</v>
      </c>
      <c r="F2080" s="15">
        <v>3495</v>
      </c>
      <c r="G2080" s="8" t="s">
        <v>12324</v>
      </c>
      <c r="H2080" s="24" t="s">
        <v>3164</v>
      </c>
      <c r="I2080" s="25" t="s">
        <v>3165</v>
      </c>
      <c r="J2080" s="8" t="s">
        <v>3166</v>
      </c>
      <c r="K2080" s="8" t="s">
        <v>10042</v>
      </c>
      <c r="L2080" s="15">
        <v>-0.15712799999999999</v>
      </c>
      <c r="M2080" s="15">
        <v>0.322403</v>
      </c>
      <c r="N2080" s="15">
        <v>0.68809302454282961</v>
      </c>
    </row>
    <row r="2081" spans="1:14" x14ac:dyDescent="0.2">
      <c r="A2081" s="2" t="s">
        <v>10068</v>
      </c>
      <c r="B2081" s="15">
        <v>943</v>
      </c>
      <c r="C2081" s="15">
        <v>6</v>
      </c>
      <c r="D2081" s="15">
        <v>19449153</v>
      </c>
      <c r="E2081" s="15">
        <v>20418020</v>
      </c>
      <c r="F2081" s="15">
        <v>2743</v>
      </c>
      <c r="G2081" s="8" t="s">
        <v>12324</v>
      </c>
      <c r="H2081" s="24" t="s">
        <v>494</v>
      </c>
      <c r="I2081" s="25">
        <v>25920</v>
      </c>
      <c r="J2081" s="8" t="s">
        <v>496</v>
      </c>
      <c r="K2081" s="8" t="s">
        <v>10040</v>
      </c>
      <c r="L2081" s="15">
        <v>-0.17491999999999999</v>
      </c>
      <c r="M2081" s="15">
        <v>0.32271899999999998</v>
      </c>
      <c r="N2081" s="15">
        <v>0.68818406730769222</v>
      </c>
    </row>
    <row r="2082" spans="1:14" x14ac:dyDescent="0.2">
      <c r="A2082" s="2" t="s">
        <v>10068</v>
      </c>
      <c r="B2082" s="15">
        <v>1018</v>
      </c>
      <c r="C2082" s="15">
        <v>6</v>
      </c>
      <c r="D2082" s="15">
        <v>85837204</v>
      </c>
      <c r="E2082" s="15">
        <v>86818669</v>
      </c>
      <c r="F2082" s="15">
        <v>2420</v>
      </c>
      <c r="G2082" s="8" t="s">
        <v>12324</v>
      </c>
      <c r="H2082" s="24" t="s">
        <v>599</v>
      </c>
      <c r="I2082" s="25">
        <v>26562</v>
      </c>
      <c r="J2082" s="8" t="s">
        <v>601</v>
      </c>
      <c r="K2082" s="8" t="s">
        <v>10040</v>
      </c>
      <c r="L2082" s="15">
        <v>-0.27652500000000002</v>
      </c>
      <c r="M2082" s="15">
        <v>0.32275599999999999</v>
      </c>
      <c r="N2082" s="15">
        <v>0.68818406730769222</v>
      </c>
    </row>
    <row r="2083" spans="1:14" x14ac:dyDescent="0.2">
      <c r="A2083" s="2" t="s">
        <v>10066</v>
      </c>
      <c r="B2083" s="15">
        <v>1613</v>
      </c>
      <c r="C2083" s="15">
        <v>11</v>
      </c>
      <c r="D2083" s="15">
        <v>2477450</v>
      </c>
      <c r="E2083" s="15">
        <v>3362508</v>
      </c>
      <c r="F2083" s="15">
        <v>2444</v>
      </c>
      <c r="G2083" s="8" t="s">
        <v>12324</v>
      </c>
      <c r="H2083" s="24" t="s">
        <v>6008</v>
      </c>
      <c r="I2083" s="25" t="s">
        <v>6009</v>
      </c>
      <c r="J2083" s="8" t="s">
        <v>6010</v>
      </c>
      <c r="K2083" s="8" t="s">
        <v>10051</v>
      </c>
      <c r="L2083" s="15">
        <v>-0.16891700000000001</v>
      </c>
      <c r="M2083" s="15">
        <v>0.32359399999999999</v>
      </c>
      <c r="N2083" s="15">
        <v>0.68963930321960598</v>
      </c>
    </row>
    <row r="2084" spans="1:14" x14ac:dyDescent="0.2">
      <c r="A2084" s="2" t="s">
        <v>10066</v>
      </c>
      <c r="B2084" s="15">
        <v>1344</v>
      </c>
      <c r="C2084" s="15">
        <v>8</v>
      </c>
      <c r="D2084" s="15">
        <v>116094204</v>
      </c>
      <c r="E2084" s="15">
        <v>118300068</v>
      </c>
      <c r="F2084" s="15">
        <v>3931</v>
      </c>
      <c r="G2084" s="8" t="s">
        <v>12324</v>
      </c>
      <c r="H2084" s="24" t="s">
        <v>6008</v>
      </c>
      <c r="I2084" s="25" t="s">
        <v>6009</v>
      </c>
      <c r="J2084" s="8" t="s">
        <v>6010</v>
      </c>
      <c r="K2084" s="8" t="s">
        <v>10051</v>
      </c>
      <c r="L2084" s="15">
        <v>0.20124900000000001</v>
      </c>
      <c r="M2084" s="15">
        <v>0.32411800000000002</v>
      </c>
      <c r="N2084" s="15">
        <v>0.69042426993275696</v>
      </c>
    </row>
    <row r="2085" spans="1:14" x14ac:dyDescent="0.2">
      <c r="A2085" s="2" t="s">
        <v>10068</v>
      </c>
      <c r="B2085" s="15">
        <v>1410</v>
      </c>
      <c r="C2085" s="15">
        <v>9</v>
      </c>
      <c r="D2085" s="15">
        <v>32253284</v>
      </c>
      <c r="E2085" s="15">
        <v>33194892</v>
      </c>
      <c r="F2085" s="15">
        <v>2687</v>
      </c>
      <c r="G2085" s="8" t="s">
        <v>12324</v>
      </c>
      <c r="H2085" s="24" t="s">
        <v>599</v>
      </c>
      <c r="I2085" s="25">
        <v>26562</v>
      </c>
      <c r="J2085" s="8" t="s">
        <v>601</v>
      </c>
      <c r="K2085" s="8" t="s">
        <v>10040</v>
      </c>
      <c r="L2085" s="15">
        <v>0.29108099999999998</v>
      </c>
      <c r="M2085" s="15">
        <v>0.32520300000000002</v>
      </c>
      <c r="N2085" s="15">
        <v>0.69107585289889795</v>
      </c>
    </row>
    <row r="2086" spans="1:14" x14ac:dyDescent="0.2">
      <c r="A2086" s="2" t="s">
        <v>10068</v>
      </c>
      <c r="B2086" s="15">
        <v>2026</v>
      </c>
      <c r="C2086" s="15">
        <v>14</v>
      </c>
      <c r="D2086" s="15">
        <v>99474534</v>
      </c>
      <c r="E2086" s="15">
        <v>100786189</v>
      </c>
      <c r="F2086" s="15">
        <v>3327</v>
      </c>
      <c r="G2086" s="8" t="s">
        <v>12324</v>
      </c>
      <c r="H2086" s="24" t="s">
        <v>1259</v>
      </c>
      <c r="I2086" s="25">
        <v>27096</v>
      </c>
      <c r="J2086" s="8" t="s">
        <v>1261</v>
      </c>
      <c r="K2086" s="8" t="s">
        <v>10040</v>
      </c>
      <c r="L2086" s="15">
        <v>0.218191</v>
      </c>
      <c r="M2086" s="15">
        <v>0.32518799999999998</v>
      </c>
      <c r="N2086" s="15">
        <v>0.69107585289889795</v>
      </c>
    </row>
    <row r="2087" spans="1:14" x14ac:dyDescent="0.2">
      <c r="A2087" s="2" t="s">
        <v>10066</v>
      </c>
      <c r="B2087" s="15">
        <v>687</v>
      </c>
      <c r="C2087" s="15">
        <v>4</v>
      </c>
      <c r="D2087" s="15">
        <v>97540788</v>
      </c>
      <c r="E2087" s="15">
        <v>98445515</v>
      </c>
      <c r="F2087" s="15">
        <v>2157</v>
      </c>
      <c r="G2087" s="8" t="s">
        <v>12324</v>
      </c>
      <c r="H2087" s="24" t="s">
        <v>3164</v>
      </c>
      <c r="I2087" s="25" t="s">
        <v>3165</v>
      </c>
      <c r="J2087" s="8" t="s">
        <v>3166</v>
      </c>
      <c r="K2087" s="8" t="s">
        <v>10042</v>
      </c>
      <c r="L2087" s="15">
        <v>0.275451</v>
      </c>
      <c r="M2087" s="15">
        <v>0.324986</v>
      </c>
      <c r="N2087" s="15">
        <v>0.69107585289889795</v>
      </c>
    </row>
    <row r="2088" spans="1:14" x14ac:dyDescent="0.2">
      <c r="A2088" s="2" t="s">
        <v>10066</v>
      </c>
      <c r="B2088" s="15">
        <v>125</v>
      </c>
      <c r="C2088" s="15">
        <v>1</v>
      </c>
      <c r="D2088" s="15">
        <v>167163955</v>
      </c>
      <c r="E2088" s="15">
        <v>168179086</v>
      </c>
      <c r="F2088" s="15">
        <v>2402</v>
      </c>
      <c r="G2088" s="8" t="s">
        <v>12324</v>
      </c>
      <c r="H2088" s="24" t="s">
        <v>6008</v>
      </c>
      <c r="I2088" s="25" t="s">
        <v>6009</v>
      </c>
      <c r="J2088" s="8" t="s">
        <v>6010</v>
      </c>
      <c r="K2088" s="8" t="s">
        <v>10051</v>
      </c>
      <c r="L2088" s="15">
        <v>0.20347999999999999</v>
      </c>
      <c r="M2088" s="15">
        <v>0.32469900000000002</v>
      </c>
      <c r="N2088" s="15">
        <v>0.69107585289889795</v>
      </c>
    </row>
    <row r="2089" spans="1:14" x14ac:dyDescent="0.2">
      <c r="A2089" s="2" t="s">
        <v>10066</v>
      </c>
      <c r="B2089" s="15">
        <v>86</v>
      </c>
      <c r="C2089" s="15">
        <v>1</v>
      </c>
      <c r="D2089" s="15">
        <v>99425001</v>
      </c>
      <c r="E2089" s="15">
        <v>100269207</v>
      </c>
      <c r="F2089" s="15">
        <v>2320</v>
      </c>
      <c r="G2089" s="8" t="s">
        <v>12324</v>
      </c>
      <c r="H2089" s="24" t="s">
        <v>6008</v>
      </c>
      <c r="I2089" s="25" t="s">
        <v>6009</v>
      </c>
      <c r="J2089" s="8" t="s">
        <v>6010</v>
      </c>
      <c r="K2089" s="8" t="s">
        <v>10051</v>
      </c>
      <c r="L2089" s="15">
        <v>-0.281472</v>
      </c>
      <c r="M2089" s="15">
        <v>0.32519799999999999</v>
      </c>
      <c r="N2089" s="15">
        <v>0.69107585289889795</v>
      </c>
    </row>
    <row r="2090" spans="1:14" x14ac:dyDescent="0.2">
      <c r="A2090" s="2" t="s">
        <v>10068</v>
      </c>
      <c r="B2090" s="15">
        <v>422</v>
      </c>
      <c r="C2090" s="15">
        <v>3</v>
      </c>
      <c r="D2090" s="15">
        <v>795747</v>
      </c>
      <c r="E2090" s="15">
        <v>1440048</v>
      </c>
      <c r="F2090" s="15">
        <v>2295</v>
      </c>
      <c r="G2090" s="8" t="s">
        <v>12324</v>
      </c>
      <c r="H2090" s="24" t="s">
        <v>494</v>
      </c>
      <c r="I2090" s="25">
        <v>25920</v>
      </c>
      <c r="J2090" s="8" t="s">
        <v>496</v>
      </c>
      <c r="K2090" s="8" t="s">
        <v>10040</v>
      </c>
      <c r="L2090" s="15">
        <v>0.251859</v>
      </c>
      <c r="M2090" s="15">
        <v>0.32613700000000001</v>
      </c>
      <c r="N2090" s="15">
        <v>0.692320476076555</v>
      </c>
    </row>
    <row r="2091" spans="1:14" x14ac:dyDescent="0.2">
      <c r="A2091" s="2" t="s">
        <v>10068</v>
      </c>
      <c r="B2091" s="15">
        <v>1088</v>
      </c>
      <c r="C2091" s="15">
        <v>6</v>
      </c>
      <c r="D2091" s="15">
        <v>164687463</v>
      </c>
      <c r="E2091" s="15">
        <v>165835953</v>
      </c>
      <c r="F2091" s="15">
        <v>3985</v>
      </c>
      <c r="G2091" s="8" t="s">
        <v>12324</v>
      </c>
      <c r="H2091" s="24" t="s">
        <v>599</v>
      </c>
      <c r="I2091" s="25">
        <v>26562</v>
      </c>
      <c r="J2091" s="8" t="s">
        <v>601</v>
      </c>
      <c r="K2091" s="8" t="s">
        <v>10040</v>
      </c>
      <c r="L2091" s="15">
        <v>-0.222944</v>
      </c>
      <c r="M2091" s="15">
        <v>0.32611800000000002</v>
      </c>
      <c r="N2091" s="15">
        <v>0.692320476076555</v>
      </c>
    </row>
    <row r="2092" spans="1:14" x14ac:dyDescent="0.2">
      <c r="A2092" s="2" t="s">
        <v>10066</v>
      </c>
      <c r="B2092" s="15">
        <v>355</v>
      </c>
      <c r="C2092" s="15">
        <v>2</v>
      </c>
      <c r="D2092" s="15">
        <v>170865766</v>
      </c>
      <c r="E2092" s="15">
        <v>171566482</v>
      </c>
      <c r="F2092" s="15">
        <v>2230</v>
      </c>
      <c r="G2092" s="8" t="s">
        <v>12324</v>
      </c>
      <c r="H2092" s="24" t="s">
        <v>3164</v>
      </c>
      <c r="I2092" s="25" t="s">
        <v>3165</v>
      </c>
      <c r="J2092" s="8" t="s">
        <v>3166</v>
      </c>
      <c r="K2092" s="8" t="s">
        <v>10042</v>
      </c>
      <c r="L2092" s="15">
        <v>-0.23766100000000001</v>
      </c>
      <c r="M2092" s="15">
        <v>0.32625700000000002</v>
      </c>
      <c r="N2092" s="15">
        <v>0.692320476076555</v>
      </c>
    </row>
    <row r="2093" spans="1:14" x14ac:dyDescent="0.2">
      <c r="A2093" s="2" t="s">
        <v>10066</v>
      </c>
      <c r="B2093" s="15">
        <v>1739</v>
      </c>
      <c r="C2093" s="15">
        <v>11</v>
      </c>
      <c r="D2093" s="15">
        <v>134351065</v>
      </c>
      <c r="E2093" s="15">
        <v>134946450</v>
      </c>
      <c r="F2093" s="15">
        <v>2798</v>
      </c>
      <c r="G2093" s="8" t="s">
        <v>12324</v>
      </c>
      <c r="H2093" s="24" t="s">
        <v>3164</v>
      </c>
      <c r="I2093" s="25" t="s">
        <v>3165</v>
      </c>
      <c r="J2093" s="8" t="s">
        <v>3166</v>
      </c>
      <c r="K2093" s="8" t="s">
        <v>10042</v>
      </c>
      <c r="L2093" s="15">
        <v>-0.357045</v>
      </c>
      <c r="M2093" s="15">
        <v>0.327324</v>
      </c>
      <c r="N2093" s="15">
        <v>0.69425248206599721</v>
      </c>
    </row>
    <row r="2094" spans="1:14" x14ac:dyDescent="0.2">
      <c r="A2094" s="2" t="s">
        <v>10068</v>
      </c>
      <c r="B2094" s="15">
        <v>1593</v>
      </c>
      <c r="C2094" s="15">
        <v>10</v>
      </c>
      <c r="D2094" s="15">
        <v>119528731</v>
      </c>
      <c r="E2094" s="15">
        <v>120592839</v>
      </c>
      <c r="F2094" s="15">
        <v>2840</v>
      </c>
      <c r="G2094" s="8" t="s">
        <v>12324</v>
      </c>
      <c r="H2094" s="24" t="s">
        <v>599</v>
      </c>
      <c r="I2094" s="25">
        <v>26562</v>
      </c>
      <c r="J2094" s="8" t="s">
        <v>601</v>
      </c>
      <c r="K2094" s="8" t="s">
        <v>10040</v>
      </c>
      <c r="L2094" s="15">
        <v>-0.15843299999999999</v>
      </c>
      <c r="M2094" s="15">
        <v>0.32832</v>
      </c>
      <c r="N2094" s="15">
        <v>0.69592223973256928</v>
      </c>
    </row>
    <row r="2095" spans="1:14" x14ac:dyDescent="0.2">
      <c r="A2095" s="2" t="s">
        <v>10066</v>
      </c>
      <c r="B2095" s="15">
        <v>1479</v>
      </c>
      <c r="C2095" s="15">
        <v>9</v>
      </c>
      <c r="D2095" s="15">
        <v>136042491</v>
      </c>
      <c r="E2095" s="15">
        <v>136770926</v>
      </c>
      <c r="F2095" s="15">
        <v>2767</v>
      </c>
      <c r="G2095" s="8" t="s">
        <v>12324</v>
      </c>
      <c r="H2095" s="24" t="s">
        <v>6008</v>
      </c>
      <c r="I2095" s="25" t="s">
        <v>6009</v>
      </c>
      <c r="J2095" s="8" t="s">
        <v>6010</v>
      </c>
      <c r="K2095" s="8" t="s">
        <v>10051</v>
      </c>
      <c r="L2095" s="15">
        <v>0.223993</v>
      </c>
      <c r="M2095" s="15">
        <v>0.32843899999999998</v>
      </c>
      <c r="N2095" s="15">
        <v>0.69592223973256928</v>
      </c>
    </row>
    <row r="2096" spans="1:14" x14ac:dyDescent="0.2">
      <c r="A2096" s="2" t="s">
        <v>10068</v>
      </c>
      <c r="B2096" s="15">
        <v>1959</v>
      </c>
      <c r="C2096" s="15">
        <v>14</v>
      </c>
      <c r="D2096" s="15">
        <v>24906057</v>
      </c>
      <c r="E2096" s="15">
        <v>25585041</v>
      </c>
      <c r="F2096" s="15">
        <v>2120</v>
      </c>
      <c r="G2096" s="8" t="s">
        <v>12324</v>
      </c>
      <c r="H2096" s="24" t="s">
        <v>6565</v>
      </c>
      <c r="I2096" s="25" t="s">
        <v>6475</v>
      </c>
      <c r="J2096" s="8" t="s">
        <v>6566</v>
      </c>
      <c r="K2096" s="8" t="s">
        <v>10054</v>
      </c>
      <c r="L2096" s="15">
        <v>-0.385382</v>
      </c>
      <c r="M2096" s="15">
        <v>0.32858199999999999</v>
      </c>
      <c r="N2096" s="15">
        <v>0.69592223973256928</v>
      </c>
    </row>
    <row r="2097" spans="1:14" x14ac:dyDescent="0.2">
      <c r="A2097" s="2" t="s">
        <v>10066</v>
      </c>
      <c r="B2097" s="15">
        <v>1490</v>
      </c>
      <c r="C2097" s="15">
        <v>10</v>
      </c>
      <c r="D2097" s="15">
        <v>3880323</v>
      </c>
      <c r="E2097" s="15">
        <v>4813182</v>
      </c>
      <c r="F2097" s="15">
        <v>2827</v>
      </c>
      <c r="G2097" s="8" t="s">
        <v>12324</v>
      </c>
      <c r="H2097" s="24" t="s">
        <v>3164</v>
      </c>
      <c r="I2097" s="25" t="s">
        <v>3165</v>
      </c>
      <c r="J2097" s="8" t="s">
        <v>3166</v>
      </c>
      <c r="K2097" s="8" t="s">
        <v>10042</v>
      </c>
      <c r="L2097" s="15">
        <v>0.25529499999999999</v>
      </c>
      <c r="M2097" s="15">
        <v>0.32933000000000001</v>
      </c>
      <c r="N2097" s="15">
        <v>0.69717353221957046</v>
      </c>
    </row>
    <row r="2098" spans="1:14" x14ac:dyDescent="0.2">
      <c r="A2098" s="2" t="s">
        <v>10068</v>
      </c>
      <c r="B2098" s="15">
        <v>795</v>
      </c>
      <c r="C2098" s="15">
        <v>5</v>
      </c>
      <c r="D2098" s="15">
        <v>21211400</v>
      </c>
      <c r="E2098" s="15">
        <v>22149042</v>
      </c>
      <c r="F2098" s="15">
        <v>2105</v>
      </c>
      <c r="G2098" s="8" t="s">
        <v>12324</v>
      </c>
      <c r="H2098" s="24" t="s">
        <v>6565</v>
      </c>
      <c r="I2098" s="25" t="s">
        <v>6475</v>
      </c>
      <c r="J2098" s="8" t="s">
        <v>6566</v>
      </c>
      <c r="K2098" s="8" t="s">
        <v>10054</v>
      </c>
      <c r="L2098" s="15">
        <v>0.35944900000000002</v>
      </c>
      <c r="M2098" s="15">
        <v>0.32966400000000001</v>
      </c>
      <c r="N2098" s="15">
        <v>0.69754763358778638</v>
      </c>
    </row>
    <row r="2099" spans="1:14" x14ac:dyDescent="0.2">
      <c r="A2099" s="2" t="s">
        <v>10068</v>
      </c>
      <c r="B2099" s="15">
        <v>1714</v>
      </c>
      <c r="C2099" s="15">
        <v>11</v>
      </c>
      <c r="D2099" s="15">
        <v>105932283</v>
      </c>
      <c r="E2099" s="15">
        <v>107054024</v>
      </c>
      <c r="F2099" s="15">
        <v>2711</v>
      </c>
      <c r="G2099" s="8" t="s">
        <v>12324</v>
      </c>
      <c r="H2099" s="24" t="s">
        <v>599</v>
      </c>
      <c r="I2099" s="25">
        <v>26562</v>
      </c>
      <c r="J2099" s="8" t="s">
        <v>601</v>
      </c>
      <c r="K2099" s="8" t="s">
        <v>10040</v>
      </c>
      <c r="L2099" s="15">
        <v>-0.32610499999999998</v>
      </c>
      <c r="M2099" s="15">
        <v>0.33007300000000001</v>
      </c>
      <c r="N2099" s="15">
        <v>0.69807999761564143</v>
      </c>
    </row>
    <row r="2100" spans="1:14" x14ac:dyDescent="0.2">
      <c r="A2100" s="2" t="s">
        <v>10068</v>
      </c>
      <c r="B2100" s="15">
        <v>1679</v>
      </c>
      <c r="C2100" s="15">
        <v>11</v>
      </c>
      <c r="D2100" s="15">
        <v>71242835</v>
      </c>
      <c r="E2100" s="15">
        <v>72875068</v>
      </c>
      <c r="F2100" s="15">
        <v>3985</v>
      </c>
      <c r="G2100" s="8" t="s">
        <v>12324</v>
      </c>
      <c r="H2100" s="24" t="s">
        <v>494</v>
      </c>
      <c r="I2100" s="25">
        <v>25920</v>
      </c>
      <c r="J2100" s="8" t="s">
        <v>496</v>
      </c>
      <c r="K2100" s="8" t="s">
        <v>10040</v>
      </c>
      <c r="L2100" s="15">
        <v>-0.30796499999999999</v>
      </c>
      <c r="M2100" s="15">
        <v>0.33230799999999999</v>
      </c>
      <c r="N2100" s="15">
        <v>0.69814799384178117</v>
      </c>
    </row>
    <row r="2101" spans="1:14" x14ac:dyDescent="0.2">
      <c r="A2101" s="2" t="s">
        <v>10068</v>
      </c>
      <c r="B2101" s="15">
        <v>1988</v>
      </c>
      <c r="C2101" s="15">
        <v>14</v>
      </c>
      <c r="D2101" s="15">
        <v>56206431</v>
      </c>
      <c r="E2101" s="15">
        <v>57460781</v>
      </c>
      <c r="F2101" s="15">
        <v>3754</v>
      </c>
      <c r="G2101" s="8" t="s">
        <v>12324</v>
      </c>
      <c r="H2101" s="24" t="s">
        <v>599</v>
      </c>
      <c r="I2101" s="25">
        <v>26562</v>
      </c>
      <c r="J2101" s="8" t="s">
        <v>601</v>
      </c>
      <c r="K2101" s="8" t="s">
        <v>10040</v>
      </c>
      <c r="L2101" s="15">
        <v>-0.26483200000000001</v>
      </c>
      <c r="M2101" s="15">
        <v>0.33098699999999998</v>
      </c>
      <c r="N2101" s="15">
        <v>0.69814799384178117</v>
      </c>
    </row>
    <row r="2102" spans="1:14" x14ac:dyDescent="0.2">
      <c r="A2102" s="2" t="s">
        <v>10068</v>
      </c>
      <c r="B2102" s="15">
        <v>1023</v>
      </c>
      <c r="C2102" s="15">
        <v>6</v>
      </c>
      <c r="D2102" s="15">
        <v>91097025</v>
      </c>
      <c r="E2102" s="15">
        <v>92015279</v>
      </c>
      <c r="F2102" s="15">
        <v>2444</v>
      </c>
      <c r="G2102" s="8" t="s">
        <v>12324</v>
      </c>
      <c r="H2102" s="24" t="s">
        <v>599</v>
      </c>
      <c r="I2102" s="25">
        <v>26562</v>
      </c>
      <c r="J2102" s="8" t="s">
        <v>601</v>
      </c>
      <c r="K2102" s="8" t="s">
        <v>10040</v>
      </c>
      <c r="L2102" s="15">
        <v>-0.20336699999999999</v>
      </c>
      <c r="M2102" s="15">
        <v>0.33190999999999998</v>
      </c>
      <c r="N2102" s="15">
        <v>0.69814799384178117</v>
      </c>
    </row>
    <row r="2103" spans="1:14" x14ac:dyDescent="0.2">
      <c r="A2103" s="2" t="s">
        <v>10068</v>
      </c>
      <c r="B2103" s="15">
        <v>786</v>
      </c>
      <c r="C2103" s="15">
        <v>5</v>
      </c>
      <c r="D2103" s="15">
        <v>10549030</v>
      </c>
      <c r="E2103" s="15">
        <v>11850850</v>
      </c>
      <c r="F2103" s="15">
        <v>3694</v>
      </c>
      <c r="G2103" s="8" t="s">
        <v>12324</v>
      </c>
      <c r="H2103" s="24" t="s">
        <v>599</v>
      </c>
      <c r="I2103" s="25">
        <v>26562</v>
      </c>
      <c r="J2103" s="8" t="s">
        <v>601</v>
      </c>
      <c r="K2103" s="8" t="s">
        <v>10040</v>
      </c>
      <c r="L2103" s="15">
        <v>0.23494699999999999</v>
      </c>
      <c r="M2103" s="15">
        <v>0.33197500000000002</v>
      </c>
      <c r="N2103" s="15">
        <v>0.69814799384178117</v>
      </c>
    </row>
    <row r="2104" spans="1:14" x14ac:dyDescent="0.2">
      <c r="A2104" s="2" t="s">
        <v>10068</v>
      </c>
      <c r="B2104" s="15">
        <v>1602</v>
      </c>
      <c r="C2104" s="15">
        <v>10</v>
      </c>
      <c r="D2104" s="15">
        <v>129134739</v>
      </c>
      <c r="E2104" s="15">
        <v>129831969</v>
      </c>
      <c r="F2104" s="15">
        <v>3060</v>
      </c>
      <c r="G2104" s="8" t="s">
        <v>12324</v>
      </c>
      <c r="H2104" s="24" t="s">
        <v>599</v>
      </c>
      <c r="I2104" s="25">
        <v>26562</v>
      </c>
      <c r="J2104" s="8" t="s">
        <v>601</v>
      </c>
      <c r="K2104" s="8" t="s">
        <v>10040</v>
      </c>
      <c r="L2104" s="15">
        <v>0.21562999999999999</v>
      </c>
      <c r="M2104" s="15">
        <v>0.33206200000000002</v>
      </c>
      <c r="N2104" s="15">
        <v>0.69814799384178117</v>
      </c>
    </row>
    <row r="2105" spans="1:14" x14ac:dyDescent="0.2">
      <c r="A2105" s="2" t="s">
        <v>10069</v>
      </c>
      <c r="B2105" s="15">
        <v>1152</v>
      </c>
      <c r="C2105" s="15">
        <v>7</v>
      </c>
      <c r="D2105" s="15">
        <v>54550501</v>
      </c>
      <c r="E2105" s="15">
        <v>55161394</v>
      </c>
      <c r="F2105" s="15">
        <v>1375</v>
      </c>
      <c r="G2105" s="8" t="s">
        <v>12324</v>
      </c>
      <c r="H2105" s="24" t="s">
        <v>662</v>
      </c>
      <c r="I2105" s="25" t="s">
        <v>663</v>
      </c>
      <c r="J2105" s="8" t="s">
        <v>664</v>
      </c>
      <c r="K2105" s="8" t="s">
        <v>10040</v>
      </c>
      <c r="L2105" s="15">
        <v>-0.38674700000000001</v>
      </c>
      <c r="M2105" s="15">
        <v>0.33036199999999999</v>
      </c>
      <c r="N2105" s="15">
        <v>0.69814799384178117</v>
      </c>
    </row>
    <row r="2106" spans="1:14" x14ac:dyDescent="0.2">
      <c r="A2106" s="2" t="s">
        <v>10069</v>
      </c>
      <c r="B2106" s="15">
        <v>527</v>
      </c>
      <c r="C2106" s="15">
        <v>3</v>
      </c>
      <c r="D2106" s="15">
        <v>121362443</v>
      </c>
      <c r="E2106" s="15">
        <v>122340832</v>
      </c>
      <c r="F2106" s="15">
        <v>1748</v>
      </c>
      <c r="G2106" s="8" t="s">
        <v>12324</v>
      </c>
      <c r="H2106" s="24" t="s">
        <v>662</v>
      </c>
      <c r="I2106" s="25" t="s">
        <v>663</v>
      </c>
      <c r="J2106" s="8" t="s">
        <v>664</v>
      </c>
      <c r="K2106" s="8" t="s">
        <v>10040</v>
      </c>
      <c r="L2106" s="15">
        <v>0.27760800000000002</v>
      </c>
      <c r="M2106" s="15">
        <v>0.33135799999999999</v>
      </c>
      <c r="N2106" s="15">
        <v>0.69814799384178117</v>
      </c>
    </row>
    <row r="2107" spans="1:14" x14ac:dyDescent="0.2">
      <c r="A2107" s="2" t="s">
        <v>10068</v>
      </c>
      <c r="B2107" s="15">
        <v>2369</v>
      </c>
      <c r="C2107" s="15">
        <v>20</v>
      </c>
      <c r="D2107" s="15">
        <v>60795</v>
      </c>
      <c r="E2107" s="15">
        <v>884241</v>
      </c>
      <c r="F2107" s="15">
        <v>2902</v>
      </c>
      <c r="G2107" s="8" t="s">
        <v>12324</v>
      </c>
      <c r="H2107" s="24" t="s">
        <v>1259</v>
      </c>
      <c r="I2107" s="25">
        <v>27096</v>
      </c>
      <c r="J2107" s="8" t="s">
        <v>1261</v>
      </c>
      <c r="K2107" s="8" t="s">
        <v>10040</v>
      </c>
      <c r="L2107" s="15">
        <v>-0.15209900000000001</v>
      </c>
      <c r="M2107" s="15">
        <v>0.331341</v>
      </c>
      <c r="N2107" s="15">
        <v>0.69814799384178117</v>
      </c>
    </row>
    <row r="2108" spans="1:14" x14ac:dyDescent="0.2">
      <c r="A2108" s="2" t="s">
        <v>10068</v>
      </c>
      <c r="B2108" s="15">
        <v>1516</v>
      </c>
      <c r="C2108" s="15">
        <v>10</v>
      </c>
      <c r="D2108" s="15">
        <v>27669567</v>
      </c>
      <c r="E2108" s="15">
        <v>28734422</v>
      </c>
      <c r="F2108" s="15">
        <v>3205</v>
      </c>
      <c r="G2108" s="8" t="s">
        <v>12324</v>
      </c>
      <c r="H2108" s="24" t="s">
        <v>1259</v>
      </c>
      <c r="I2108" s="25">
        <v>27096</v>
      </c>
      <c r="J2108" s="8" t="s">
        <v>1261</v>
      </c>
      <c r="K2108" s="8" t="s">
        <v>10040</v>
      </c>
      <c r="L2108" s="15">
        <v>0.281615</v>
      </c>
      <c r="M2108" s="15">
        <v>0.33185599999999998</v>
      </c>
      <c r="N2108" s="15">
        <v>0.69814799384178117</v>
      </c>
    </row>
    <row r="2109" spans="1:14" x14ac:dyDescent="0.2">
      <c r="A2109" s="2" t="s">
        <v>10068</v>
      </c>
      <c r="B2109" s="15">
        <v>622</v>
      </c>
      <c r="C2109" s="15">
        <v>4</v>
      </c>
      <c r="D2109" s="15">
        <v>23858351</v>
      </c>
      <c r="E2109" s="15">
        <v>24764724</v>
      </c>
      <c r="F2109" s="15">
        <v>2263</v>
      </c>
      <c r="G2109" s="8" t="s">
        <v>12324</v>
      </c>
      <c r="H2109" s="24" t="s">
        <v>1259</v>
      </c>
      <c r="I2109" s="25">
        <v>27096</v>
      </c>
      <c r="J2109" s="8" t="s">
        <v>1261</v>
      </c>
      <c r="K2109" s="8" t="s">
        <v>10040</v>
      </c>
      <c r="L2109" s="15">
        <v>0.15265799999999999</v>
      </c>
      <c r="M2109" s="15">
        <v>0.33230900000000002</v>
      </c>
      <c r="N2109" s="15">
        <v>0.69814799384178117</v>
      </c>
    </row>
    <row r="2110" spans="1:14" x14ac:dyDescent="0.2">
      <c r="A2110" s="2" t="s">
        <v>10066</v>
      </c>
      <c r="B2110" s="15">
        <v>2231</v>
      </c>
      <c r="C2110" s="15">
        <v>17</v>
      </c>
      <c r="D2110" s="15">
        <v>74908267</v>
      </c>
      <c r="E2110" s="15">
        <v>75619256</v>
      </c>
      <c r="F2110" s="15">
        <v>2648</v>
      </c>
      <c r="G2110" s="8" t="s">
        <v>12324</v>
      </c>
      <c r="H2110" s="24" t="s">
        <v>3164</v>
      </c>
      <c r="I2110" s="25" t="s">
        <v>3165</v>
      </c>
      <c r="J2110" s="8" t="s">
        <v>3166</v>
      </c>
      <c r="K2110" s="8" t="s">
        <v>10042</v>
      </c>
      <c r="L2110" s="15">
        <v>0.15053800000000001</v>
      </c>
      <c r="M2110" s="15">
        <v>0.33151399999999998</v>
      </c>
      <c r="N2110" s="15">
        <v>0.69814799384178117</v>
      </c>
    </row>
    <row r="2111" spans="1:14" x14ac:dyDescent="0.2">
      <c r="A2111" s="2" t="s">
        <v>10066</v>
      </c>
      <c r="B2111" s="15">
        <v>2255</v>
      </c>
      <c r="C2111" s="15">
        <v>18</v>
      </c>
      <c r="D2111" s="15">
        <v>20009697</v>
      </c>
      <c r="E2111" s="15">
        <v>21622716</v>
      </c>
      <c r="F2111" s="15">
        <v>3234</v>
      </c>
      <c r="G2111" s="8" t="s">
        <v>12324</v>
      </c>
      <c r="H2111" s="24" t="s">
        <v>6008</v>
      </c>
      <c r="I2111" s="25" t="s">
        <v>6009</v>
      </c>
      <c r="J2111" s="8" t="s">
        <v>6010</v>
      </c>
      <c r="K2111" s="8" t="s">
        <v>10051</v>
      </c>
      <c r="L2111" s="15">
        <v>-0.27739200000000003</v>
      </c>
      <c r="M2111" s="15">
        <v>0.33078200000000002</v>
      </c>
      <c r="N2111" s="15">
        <v>0.69814799384178117</v>
      </c>
    </row>
    <row r="2112" spans="1:14" x14ac:dyDescent="0.2">
      <c r="A2112" s="2" t="s">
        <v>10066</v>
      </c>
      <c r="B2112" s="15">
        <v>16</v>
      </c>
      <c r="C2112" s="15">
        <v>1</v>
      </c>
      <c r="D2112" s="15">
        <v>14720132</v>
      </c>
      <c r="E2112" s="15">
        <v>15755230</v>
      </c>
      <c r="F2112" s="15">
        <v>3454</v>
      </c>
      <c r="G2112" s="8" t="s">
        <v>12324</v>
      </c>
      <c r="H2112" s="24" t="s">
        <v>6008</v>
      </c>
      <c r="I2112" s="25" t="s">
        <v>6009</v>
      </c>
      <c r="J2112" s="8" t="s">
        <v>6010</v>
      </c>
      <c r="K2112" s="8" t="s">
        <v>10051</v>
      </c>
      <c r="L2112" s="15">
        <v>0.12267500000000001</v>
      </c>
      <c r="M2112" s="15">
        <v>0.33194499999999999</v>
      </c>
      <c r="N2112" s="15">
        <v>0.69814799384178117</v>
      </c>
    </row>
    <row r="2113" spans="1:14" x14ac:dyDescent="0.2">
      <c r="A2113" s="2" t="s">
        <v>10068</v>
      </c>
      <c r="B2113" s="15">
        <v>461</v>
      </c>
      <c r="C2113" s="15">
        <v>3</v>
      </c>
      <c r="D2113" s="15">
        <v>42301658</v>
      </c>
      <c r="E2113" s="15">
        <v>44141693</v>
      </c>
      <c r="F2113" s="15">
        <v>3895</v>
      </c>
      <c r="G2113" s="8" t="s">
        <v>12324</v>
      </c>
      <c r="H2113" s="24" t="s">
        <v>6565</v>
      </c>
      <c r="I2113" s="25" t="s">
        <v>6475</v>
      </c>
      <c r="J2113" s="8" t="s">
        <v>6566</v>
      </c>
      <c r="K2113" s="8" t="s">
        <v>10054</v>
      </c>
      <c r="L2113" s="15">
        <v>0.17927799999999999</v>
      </c>
      <c r="M2113" s="15">
        <v>0.33101599999999998</v>
      </c>
      <c r="N2113" s="15">
        <v>0.69814799384178117</v>
      </c>
    </row>
    <row r="2114" spans="1:14" x14ac:dyDescent="0.2">
      <c r="A2114" s="2" t="s">
        <v>10069</v>
      </c>
      <c r="B2114" s="15">
        <v>1212</v>
      </c>
      <c r="C2114" s="15">
        <v>7</v>
      </c>
      <c r="D2114" s="15">
        <v>134943222</v>
      </c>
      <c r="E2114" s="15">
        <v>136113467</v>
      </c>
      <c r="F2114" s="15">
        <v>2083</v>
      </c>
      <c r="G2114" s="8" t="s">
        <v>12324</v>
      </c>
      <c r="H2114" s="24" t="s">
        <v>662</v>
      </c>
      <c r="I2114" s="25" t="s">
        <v>663</v>
      </c>
      <c r="J2114" s="8" t="s">
        <v>664</v>
      </c>
      <c r="K2114" s="8" t="s">
        <v>10040</v>
      </c>
      <c r="L2114" s="15">
        <v>-0.184586</v>
      </c>
      <c r="M2114" s="15">
        <v>0.33272200000000002</v>
      </c>
      <c r="N2114" s="15">
        <v>0.69868469223484853</v>
      </c>
    </row>
    <row r="2115" spans="1:14" x14ac:dyDescent="0.2">
      <c r="A2115" s="2" t="s">
        <v>10068</v>
      </c>
      <c r="B2115" s="15">
        <v>2183</v>
      </c>
      <c r="C2115" s="15">
        <v>17</v>
      </c>
      <c r="D2115" s="15">
        <v>9619357</v>
      </c>
      <c r="E2115" s="15">
        <v>10572617</v>
      </c>
      <c r="F2115" s="15">
        <v>3061</v>
      </c>
      <c r="G2115" s="8" t="s">
        <v>12324</v>
      </c>
      <c r="H2115" s="24" t="s">
        <v>494</v>
      </c>
      <c r="I2115" s="25">
        <v>25920</v>
      </c>
      <c r="J2115" s="8" t="s">
        <v>496</v>
      </c>
      <c r="K2115" s="8" t="s">
        <v>10040</v>
      </c>
      <c r="L2115" s="15">
        <v>0.13082299999999999</v>
      </c>
      <c r="M2115" s="15">
        <v>0.33371800000000001</v>
      </c>
      <c r="N2115" s="15">
        <v>0.69873822101790761</v>
      </c>
    </row>
    <row r="2116" spans="1:14" x14ac:dyDescent="0.2">
      <c r="A2116" s="2" t="s">
        <v>10069</v>
      </c>
      <c r="B2116" s="15">
        <v>572</v>
      </c>
      <c r="C2116" s="15">
        <v>3</v>
      </c>
      <c r="D2116" s="15">
        <v>171134850</v>
      </c>
      <c r="E2116" s="15">
        <v>172004760</v>
      </c>
      <c r="F2116" s="15">
        <v>1451</v>
      </c>
      <c r="G2116" s="8" t="s">
        <v>12324</v>
      </c>
      <c r="H2116" s="24" t="s">
        <v>662</v>
      </c>
      <c r="I2116" s="25" t="s">
        <v>663</v>
      </c>
      <c r="J2116" s="8" t="s">
        <v>664</v>
      </c>
      <c r="K2116" s="8" t="s">
        <v>10040</v>
      </c>
      <c r="L2116" s="15">
        <v>-0.35663299999999998</v>
      </c>
      <c r="M2116" s="15">
        <v>0.33398800000000001</v>
      </c>
      <c r="N2116" s="15">
        <v>0.69873822101790761</v>
      </c>
    </row>
    <row r="2117" spans="1:14" x14ac:dyDescent="0.2">
      <c r="A2117" s="2" t="s">
        <v>10069</v>
      </c>
      <c r="B2117" s="15">
        <v>2126</v>
      </c>
      <c r="C2117" s="15">
        <v>16</v>
      </c>
      <c r="D2117" s="15">
        <v>26154123</v>
      </c>
      <c r="E2117" s="15">
        <v>27443061</v>
      </c>
      <c r="F2117" s="15">
        <v>2772</v>
      </c>
      <c r="G2117" s="8" t="s">
        <v>12324</v>
      </c>
      <c r="H2117" s="24" t="s">
        <v>662</v>
      </c>
      <c r="I2117" s="25" t="s">
        <v>663</v>
      </c>
      <c r="J2117" s="8" t="s">
        <v>664</v>
      </c>
      <c r="K2117" s="8" t="s">
        <v>10040</v>
      </c>
      <c r="L2117" s="15">
        <v>-0.34620600000000001</v>
      </c>
      <c r="M2117" s="15">
        <v>0.33420299999999997</v>
      </c>
      <c r="N2117" s="15">
        <v>0.69873822101790761</v>
      </c>
    </row>
    <row r="2118" spans="1:14" x14ac:dyDescent="0.2">
      <c r="A2118" s="2" t="s">
        <v>10068</v>
      </c>
      <c r="B2118" s="15">
        <v>740</v>
      </c>
      <c r="C2118" s="15">
        <v>4</v>
      </c>
      <c r="D2118" s="15">
        <v>157597310</v>
      </c>
      <c r="E2118" s="15">
        <v>159176073</v>
      </c>
      <c r="F2118" s="15">
        <v>3748</v>
      </c>
      <c r="G2118" s="8" t="s">
        <v>12324</v>
      </c>
      <c r="H2118" s="24" t="s">
        <v>1259</v>
      </c>
      <c r="I2118" s="25">
        <v>27096</v>
      </c>
      <c r="J2118" s="8" t="s">
        <v>1261</v>
      </c>
      <c r="K2118" s="8" t="s">
        <v>10040</v>
      </c>
      <c r="L2118" s="15">
        <v>-0.31347599999999998</v>
      </c>
      <c r="M2118" s="15">
        <v>0.33306599999999997</v>
      </c>
      <c r="N2118" s="15">
        <v>0.69873822101790761</v>
      </c>
    </row>
    <row r="2119" spans="1:14" x14ac:dyDescent="0.2">
      <c r="A2119" s="2" t="s">
        <v>10068</v>
      </c>
      <c r="B2119" s="15">
        <v>436</v>
      </c>
      <c r="C2119" s="15">
        <v>3</v>
      </c>
      <c r="D2119" s="15">
        <v>14312008</v>
      </c>
      <c r="E2119" s="15">
        <v>15150876</v>
      </c>
      <c r="F2119" s="15">
        <v>2353</v>
      </c>
      <c r="G2119" s="8" t="s">
        <v>12324</v>
      </c>
      <c r="H2119" s="24" t="s">
        <v>1259</v>
      </c>
      <c r="I2119" s="25">
        <v>27096</v>
      </c>
      <c r="J2119" s="8" t="s">
        <v>1261</v>
      </c>
      <c r="K2119" s="8" t="s">
        <v>10040</v>
      </c>
      <c r="L2119" s="15">
        <v>0.228628</v>
      </c>
      <c r="M2119" s="15">
        <v>0.33309899999999998</v>
      </c>
      <c r="N2119" s="15">
        <v>0.69873822101790761</v>
      </c>
    </row>
    <row r="2120" spans="1:14" x14ac:dyDescent="0.2">
      <c r="A2120" s="2" t="s">
        <v>10068</v>
      </c>
      <c r="B2120" s="15">
        <v>696</v>
      </c>
      <c r="C2120" s="15">
        <v>4</v>
      </c>
      <c r="D2120" s="15">
        <v>108131207</v>
      </c>
      <c r="E2120" s="15">
        <v>109122458</v>
      </c>
      <c r="F2120" s="15">
        <v>2109</v>
      </c>
      <c r="G2120" s="8" t="s">
        <v>12324</v>
      </c>
      <c r="H2120" s="24" t="s">
        <v>1259</v>
      </c>
      <c r="I2120" s="25">
        <v>27096</v>
      </c>
      <c r="J2120" s="8" t="s">
        <v>1261</v>
      </c>
      <c r="K2120" s="8" t="s">
        <v>10040</v>
      </c>
      <c r="L2120" s="15">
        <v>0.34141100000000002</v>
      </c>
      <c r="M2120" s="15">
        <v>0.33322299999999999</v>
      </c>
      <c r="N2120" s="15">
        <v>0.69873822101790761</v>
      </c>
    </row>
    <row r="2121" spans="1:14" x14ac:dyDescent="0.2">
      <c r="A2121" s="2" t="s">
        <v>10068</v>
      </c>
      <c r="B2121" s="15">
        <v>1780</v>
      </c>
      <c r="C2121" s="15">
        <v>12</v>
      </c>
      <c r="D2121" s="15">
        <v>41198230</v>
      </c>
      <c r="E2121" s="15">
        <v>42117736</v>
      </c>
      <c r="F2121" s="15">
        <v>2848</v>
      </c>
      <c r="G2121" s="8" t="s">
        <v>12324</v>
      </c>
      <c r="H2121" s="24" t="s">
        <v>1259</v>
      </c>
      <c r="I2121" s="25">
        <v>27096</v>
      </c>
      <c r="J2121" s="8" t="s">
        <v>1261</v>
      </c>
      <c r="K2121" s="8" t="s">
        <v>10040</v>
      </c>
      <c r="L2121" s="15">
        <v>-0.30818600000000002</v>
      </c>
      <c r="M2121" s="15">
        <v>0.33346300000000001</v>
      </c>
      <c r="N2121" s="15">
        <v>0.69873822101790761</v>
      </c>
    </row>
    <row r="2122" spans="1:14" x14ac:dyDescent="0.2">
      <c r="A2122" s="2" t="s">
        <v>10066</v>
      </c>
      <c r="B2122" s="15">
        <v>2162</v>
      </c>
      <c r="C2122" s="15">
        <v>16</v>
      </c>
      <c r="D2122" s="15">
        <v>81437862</v>
      </c>
      <c r="E2122" s="15">
        <v>82310204</v>
      </c>
      <c r="F2122" s="15">
        <v>3441</v>
      </c>
      <c r="G2122" s="8" t="s">
        <v>12324</v>
      </c>
      <c r="H2122" s="24" t="s">
        <v>6008</v>
      </c>
      <c r="I2122" s="25" t="s">
        <v>6009</v>
      </c>
      <c r="J2122" s="8" t="s">
        <v>6010</v>
      </c>
      <c r="K2122" s="8" t="s">
        <v>10051</v>
      </c>
      <c r="L2122" s="15">
        <v>0.21617500000000001</v>
      </c>
      <c r="M2122" s="15">
        <v>0.33425199999999999</v>
      </c>
      <c r="N2122" s="15">
        <v>0.69873822101790761</v>
      </c>
    </row>
    <row r="2123" spans="1:14" x14ac:dyDescent="0.2">
      <c r="A2123" s="2" t="s">
        <v>10068</v>
      </c>
      <c r="B2123" s="15">
        <v>2202</v>
      </c>
      <c r="C2123" s="15">
        <v>17</v>
      </c>
      <c r="D2123" s="15">
        <v>36116885</v>
      </c>
      <c r="E2123" s="15">
        <v>37361178</v>
      </c>
      <c r="F2123" s="15">
        <v>2539</v>
      </c>
      <c r="G2123" s="8" t="s">
        <v>12324</v>
      </c>
      <c r="H2123" s="24" t="s">
        <v>6565</v>
      </c>
      <c r="I2123" s="25" t="s">
        <v>6475</v>
      </c>
      <c r="J2123" s="8" t="s">
        <v>6566</v>
      </c>
      <c r="K2123" s="8" t="s">
        <v>10054</v>
      </c>
      <c r="L2123" s="15">
        <v>0.15658</v>
      </c>
      <c r="M2123" s="15">
        <v>0.33405299999999999</v>
      </c>
      <c r="N2123" s="15">
        <v>0.69873822101790761</v>
      </c>
    </row>
    <row r="2124" spans="1:14" x14ac:dyDescent="0.2">
      <c r="A2124" s="2" t="s">
        <v>10068</v>
      </c>
      <c r="B2124" s="15">
        <v>706</v>
      </c>
      <c r="C2124" s="15">
        <v>4</v>
      </c>
      <c r="D2124" s="15">
        <v>119138098</v>
      </c>
      <c r="E2124" s="15">
        <v>119927262</v>
      </c>
      <c r="F2124" s="15">
        <v>2040</v>
      </c>
      <c r="G2124" s="8" t="s">
        <v>12324</v>
      </c>
      <c r="H2124" s="24" t="s">
        <v>6565</v>
      </c>
      <c r="I2124" s="25" t="s">
        <v>6475</v>
      </c>
      <c r="J2124" s="8" t="s">
        <v>6566</v>
      </c>
      <c r="K2124" s="8" t="s">
        <v>10054</v>
      </c>
      <c r="L2124" s="15">
        <v>0.29924099999999998</v>
      </c>
      <c r="M2124" s="15">
        <v>0.33432299999999998</v>
      </c>
      <c r="N2124" s="15">
        <v>0.69873822101790761</v>
      </c>
    </row>
    <row r="2125" spans="1:14" x14ac:dyDescent="0.2">
      <c r="A2125" s="2" t="s">
        <v>10068</v>
      </c>
      <c r="B2125" s="15">
        <v>373</v>
      </c>
      <c r="C2125" s="15">
        <v>2</v>
      </c>
      <c r="D2125" s="15">
        <v>189882703</v>
      </c>
      <c r="E2125" s="15">
        <v>191051954</v>
      </c>
      <c r="F2125" s="15">
        <v>2520</v>
      </c>
      <c r="G2125" s="8" t="s">
        <v>12324</v>
      </c>
      <c r="H2125" s="24" t="s">
        <v>6565</v>
      </c>
      <c r="I2125" s="25" t="s">
        <v>6475</v>
      </c>
      <c r="J2125" s="8" t="s">
        <v>6566</v>
      </c>
      <c r="K2125" s="8" t="s">
        <v>10054</v>
      </c>
      <c r="L2125" s="15">
        <v>-0.33368300000000001</v>
      </c>
      <c r="M2125" s="15">
        <v>0.334646</v>
      </c>
      <c r="N2125" s="15">
        <v>0.69908384832783799</v>
      </c>
    </row>
    <row r="2126" spans="1:14" x14ac:dyDescent="0.2">
      <c r="A2126" s="2" t="s">
        <v>10066</v>
      </c>
      <c r="B2126" s="15">
        <v>1296</v>
      </c>
      <c r="C2126" s="15">
        <v>8</v>
      </c>
      <c r="D2126" s="15">
        <v>59555978</v>
      </c>
      <c r="E2126" s="15">
        <v>60476248</v>
      </c>
      <c r="F2126" s="15">
        <v>2062</v>
      </c>
      <c r="G2126" s="8" t="s">
        <v>12324</v>
      </c>
      <c r="H2126" s="24" t="s">
        <v>3164</v>
      </c>
      <c r="I2126" s="25" t="s">
        <v>3165</v>
      </c>
      <c r="J2126" s="8" t="s">
        <v>3166</v>
      </c>
      <c r="K2126" s="8" t="s">
        <v>10042</v>
      </c>
      <c r="L2126" s="15">
        <v>0.20214799999999999</v>
      </c>
      <c r="M2126" s="15">
        <v>0.33519399999999999</v>
      </c>
      <c r="N2126" s="15">
        <v>0.69989895951035785</v>
      </c>
    </row>
    <row r="2127" spans="1:14" x14ac:dyDescent="0.2">
      <c r="A2127" s="2" t="s">
        <v>10068</v>
      </c>
      <c r="B2127" s="15">
        <v>1716</v>
      </c>
      <c r="C2127" s="15">
        <v>11</v>
      </c>
      <c r="D2127" s="15">
        <v>107846825</v>
      </c>
      <c r="E2127" s="15">
        <v>109891837</v>
      </c>
      <c r="F2127" s="15">
        <v>3763</v>
      </c>
      <c r="G2127" s="8" t="s">
        <v>12324</v>
      </c>
      <c r="H2127" s="24" t="s">
        <v>494</v>
      </c>
      <c r="I2127" s="25">
        <v>25920</v>
      </c>
      <c r="J2127" s="8" t="s">
        <v>496</v>
      </c>
      <c r="K2127" s="8" t="s">
        <v>10040</v>
      </c>
      <c r="L2127" s="15">
        <v>0.17216600000000001</v>
      </c>
      <c r="M2127" s="15">
        <v>0.33595199999999997</v>
      </c>
      <c r="N2127" s="15">
        <v>0.70026567840375575</v>
      </c>
    </row>
    <row r="2128" spans="1:14" x14ac:dyDescent="0.2">
      <c r="A2128" s="2" t="s">
        <v>10068</v>
      </c>
      <c r="B2128" s="15">
        <v>1395</v>
      </c>
      <c r="C2128" s="15">
        <v>9</v>
      </c>
      <c r="D2128" s="15">
        <v>18754197</v>
      </c>
      <c r="E2128" s="15">
        <v>19463292</v>
      </c>
      <c r="F2128" s="15">
        <v>2261</v>
      </c>
      <c r="G2128" s="8" t="s">
        <v>12324</v>
      </c>
      <c r="H2128" s="24" t="s">
        <v>599</v>
      </c>
      <c r="I2128" s="25">
        <v>26562</v>
      </c>
      <c r="J2128" s="8" t="s">
        <v>601</v>
      </c>
      <c r="K2128" s="8" t="s">
        <v>10040</v>
      </c>
      <c r="L2128" s="15">
        <v>-0.26247900000000002</v>
      </c>
      <c r="M2128" s="15">
        <v>0.33591500000000002</v>
      </c>
      <c r="N2128" s="15">
        <v>0.70026567840375575</v>
      </c>
    </row>
    <row r="2129" spans="1:14" x14ac:dyDescent="0.2">
      <c r="A2129" s="2" t="s">
        <v>10068</v>
      </c>
      <c r="B2129" s="15">
        <v>980</v>
      </c>
      <c r="C2129" s="15">
        <v>6</v>
      </c>
      <c r="D2129" s="15">
        <v>45408422</v>
      </c>
      <c r="E2129" s="15">
        <v>46430701</v>
      </c>
      <c r="F2129" s="15">
        <v>2376</v>
      </c>
      <c r="G2129" s="8" t="s">
        <v>12324</v>
      </c>
      <c r="H2129" s="24" t="s">
        <v>1259</v>
      </c>
      <c r="I2129" s="25">
        <v>27096</v>
      </c>
      <c r="J2129" s="8" t="s">
        <v>1261</v>
      </c>
      <c r="K2129" s="8" t="s">
        <v>10040</v>
      </c>
      <c r="L2129" s="15">
        <v>0.24330599999999999</v>
      </c>
      <c r="M2129" s="15">
        <v>0.33578599999999997</v>
      </c>
      <c r="N2129" s="15">
        <v>0.70026567840375575</v>
      </c>
    </row>
    <row r="2130" spans="1:14" x14ac:dyDescent="0.2">
      <c r="A2130" s="2" t="s">
        <v>10066</v>
      </c>
      <c r="B2130" s="15">
        <v>1374</v>
      </c>
      <c r="C2130" s="15">
        <v>9</v>
      </c>
      <c r="D2130" s="15">
        <v>2441121</v>
      </c>
      <c r="E2130" s="15">
        <v>3079045</v>
      </c>
      <c r="F2130" s="15">
        <v>2021</v>
      </c>
      <c r="G2130" s="8" t="s">
        <v>12324</v>
      </c>
      <c r="H2130" s="24" t="s">
        <v>6008</v>
      </c>
      <c r="I2130" s="25" t="s">
        <v>6009</v>
      </c>
      <c r="J2130" s="8" t="s">
        <v>6010</v>
      </c>
      <c r="K2130" s="8" t="s">
        <v>10051</v>
      </c>
      <c r="L2130" s="15">
        <v>-0.25824900000000001</v>
      </c>
      <c r="M2130" s="15">
        <v>0.33600799999999997</v>
      </c>
      <c r="N2130" s="15">
        <v>0.70026567840375575</v>
      </c>
    </row>
    <row r="2131" spans="1:14" x14ac:dyDescent="0.2">
      <c r="A2131" s="2" t="s">
        <v>10066</v>
      </c>
      <c r="B2131" s="15">
        <v>1532</v>
      </c>
      <c r="C2131" s="15">
        <v>10</v>
      </c>
      <c r="D2131" s="15">
        <v>49197321</v>
      </c>
      <c r="E2131" s="15">
        <v>50145673</v>
      </c>
      <c r="F2131" s="15">
        <v>2038</v>
      </c>
      <c r="G2131" s="8" t="s">
        <v>12324</v>
      </c>
      <c r="H2131" s="24" t="s">
        <v>6008</v>
      </c>
      <c r="I2131" s="25" t="s">
        <v>6009</v>
      </c>
      <c r="J2131" s="8" t="s">
        <v>6010</v>
      </c>
      <c r="K2131" s="8" t="s">
        <v>10051</v>
      </c>
      <c r="L2131" s="15">
        <v>0.13130800000000001</v>
      </c>
      <c r="M2131" s="15">
        <v>0.33629500000000001</v>
      </c>
      <c r="N2131" s="15">
        <v>0.70026567840375575</v>
      </c>
    </row>
    <row r="2132" spans="1:14" x14ac:dyDescent="0.2">
      <c r="A2132" s="2" t="s">
        <v>10068</v>
      </c>
      <c r="B2132" s="15">
        <v>1337</v>
      </c>
      <c r="C2132" s="15">
        <v>8</v>
      </c>
      <c r="D2132" s="15">
        <v>108647464</v>
      </c>
      <c r="E2132" s="15">
        <v>109920827</v>
      </c>
      <c r="F2132" s="15">
        <v>3309</v>
      </c>
      <c r="G2132" s="8" t="s">
        <v>12324</v>
      </c>
      <c r="H2132" s="24" t="s">
        <v>6565</v>
      </c>
      <c r="I2132" s="25" t="s">
        <v>6475</v>
      </c>
      <c r="J2132" s="8" t="s">
        <v>6566</v>
      </c>
      <c r="K2132" s="8" t="s">
        <v>10054</v>
      </c>
      <c r="L2132" s="15">
        <v>-0.30919000000000002</v>
      </c>
      <c r="M2132" s="15">
        <v>0.33631699999999998</v>
      </c>
      <c r="N2132" s="15">
        <v>0.70026567840375575</v>
      </c>
    </row>
    <row r="2133" spans="1:14" x14ac:dyDescent="0.2">
      <c r="A2133" s="2" t="s">
        <v>10068</v>
      </c>
      <c r="B2133" s="15">
        <v>1613</v>
      </c>
      <c r="C2133" s="15">
        <v>11</v>
      </c>
      <c r="D2133" s="15">
        <v>2477450</v>
      </c>
      <c r="E2133" s="15">
        <v>3362508</v>
      </c>
      <c r="F2133" s="15">
        <v>2442</v>
      </c>
      <c r="G2133" s="8" t="s">
        <v>12324</v>
      </c>
      <c r="H2133" s="24" t="s">
        <v>494</v>
      </c>
      <c r="I2133" s="25">
        <v>25920</v>
      </c>
      <c r="J2133" s="8" t="s">
        <v>496</v>
      </c>
      <c r="K2133" s="8" t="s">
        <v>10040</v>
      </c>
      <c r="L2133" s="15">
        <v>-0.141816</v>
      </c>
      <c r="M2133" s="15">
        <v>0.33649600000000002</v>
      </c>
      <c r="N2133" s="15">
        <v>0.70030960112623186</v>
      </c>
    </row>
    <row r="2134" spans="1:14" x14ac:dyDescent="0.2">
      <c r="A2134" s="2" t="s">
        <v>10069</v>
      </c>
      <c r="B2134" s="15">
        <v>2047</v>
      </c>
      <c r="C2134" s="15">
        <v>15</v>
      </c>
      <c r="D2134" s="15">
        <v>36583328</v>
      </c>
      <c r="E2134" s="15">
        <v>37962915</v>
      </c>
      <c r="F2134" s="15">
        <v>2496</v>
      </c>
      <c r="G2134" s="8" t="s">
        <v>12324</v>
      </c>
      <c r="H2134" s="24" t="s">
        <v>662</v>
      </c>
      <c r="I2134" s="25" t="s">
        <v>663</v>
      </c>
      <c r="J2134" s="8" t="s">
        <v>664</v>
      </c>
      <c r="K2134" s="8" t="s">
        <v>10040</v>
      </c>
      <c r="L2134" s="15">
        <v>-0.20977699999999999</v>
      </c>
      <c r="M2134" s="15">
        <v>0.33667599999999998</v>
      </c>
      <c r="N2134" s="15">
        <v>0.70035556285178235</v>
      </c>
    </row>
    <row r="2135" spans="1:14" x14ac:dyDescent="0.2">
      <c r="A2135" s="2" t="s">
        <v>10068</v>
      </c>
      <c r="B2135" s="15">
        <v>834</v>
      </c>
      <c r="C2135" s="15">
        <v>5</v>
      </c>
      <c r="D2135" s="15">
        <v>68006994</v>
      </c>
      <c r="E2135" s="15">
        <v>71468651</v>
      </c>
      <c r="F2135" s="15">
        <v>3751</v>
      </c>
      <c r="G2135" s="8" t="s">
        <v>12324</v>
      </c>
      <c r="H2135" s="24" t="s">
        <v>494</v>
      </c>
      <c r="I2135" s="25">
        <v>25920</v>
      </c>
      <c r="J2135" s="8" t="s">
        <v>496</v>
      </c>
      <c r="K2135" s="8" t="s">
        <v>10040</v>
      </c>
      <c r="L2135" s="15">
        <v>-0.277999</v>
      </c>
      <c r="M2135" s="15">
        <v>0.33723900000000001</v>
      </c>
      <c r="N2135" s="15">
        <v>0.70059088717228468</v>
      </c>
    </row>
    <row r="2136" spans="1:14" x14ac:dyDescent="0.2">
      <c r="A2136" s="2" t="s">
        <v>10068</v>
      </c>
      <c r="B2136" s="15">
        <v>66</v>
      </c>
      <c r="C2136" s="15">
        <v>1</v>
      </c>
      <c r="D2136" s="15">
        <v>76977916</v>
      </c>
      <c r="E2136" s="15">
        <v>77895394</v>
      </c>
      <c r="F2136" s="15">
        <v>2480</v>
      </c>
      <c r="G2136" s="8" t="s">
        <v>12324</v>
      </c>
      <c r="H2136" s="24" t="s">
        <v>599</v>
      </c>
      <c r="I2136" s="25">
        <v>26562</v>
      </c>
      <c r="J2136" s="8" t="s">
        <v>601</v>
      </c>
      <c r="K2136" s="8" t="s">
        <v>10040</v>
      </c>
      <c r="L2136" s="15">
        <v>0.24490700000000001</v>
      </c>
      <c r="M2136" s="15">
        <v>0.337285</v>
      </c>
      <c r="N2136" s="15">
        <v>0.70059088717228468</v>
      </c>
    </row>
    <row r="2137" spans="1:14" x14ac:dyDescent="0.2">
      <c r="A2137" s="2" t="s">
        <v>10066</v>
      </c>
      <c r="B2137" s="15">
        <v>340</v>
      </c>
      <c r="C2137" s="15">
        <v>2</v>
      </c>
      <c r="D2137" s="15">
        <v>152497376</v>
      </c>
      <c r="E2137" s="15">
        <v>153999309</v>
      </c>
      <c r="F2137" s="15">
        <v>3536</v>
      </c>
      <c r="G2137" s="8" t="s">
        <v>12324</v>
      </c>
      <c r="H2137" s="24" t="s">
        <v>6008</v>
      </c>
      <c r="I2137" s="25" t="s">
        <v>6009</v>
      </c>
      <c r="J2137" s="8" t="s">
        <v>6010</v>
      </c>
      <c r="K2137" s="8" t="s">
        <v>10051</v>
      </c>
      <c r="L2137" s="15">
        <v>0.26303300000000002</v>
      </c>
      <c r="M2137" s="15">
        <v>0.33707100000000001</v>
      </c>
      <c r="N2137" s="15">
        <v>0.70059088717228468</v>
      </c>
    </row>
    <row r="2138" spans="1:14" x14ac:dyDescent="0.2">
      <c r="A2138" s="2" t="s">
        <v>10068</v>
      </c>
      <c r="B2138" s="15">
        <v>352</v>
      </c>
      <c r="C2138" s="15">
        <v>2</v>
      </c>
      <c r="D2138" s="15">
        <v>168437446</v>
      </c>
      <c r="E2138" s="15">
        <v>169224445</v>
      </c>
      <c r="F2138" s="15">
        <v>2152</v>
      </c>
      <c r="G2138" s="8" t="s">
        <v>12324</v>
      </c>
      <c r="H2138" s="24" t="s">
        <v>6565</v>
      </c>
      <c r="I2138" s="25" t="s">
        <v>6475</v>
      </c>
      <c r="J2138" s="8" t="s">
        <v>6566</v>
      </c>
      <c r="K2138" s="8" t="s">
        <v>10054</v>
      </c>
      <c r="L2138" s="15">
        <v>0.16925499999999999</v>
      </c>
      <c r="M2138" s="15">
        <v>0.33742100000000003</v>
      </c>
      <c r="N2138" s="15">
        <v>0.70059088717228468</v>
      </c>
    </row>
    <row r="2139" spans="1:14" x14ac:dyDescent="0.2">
      <c r="A2139" s="2" t="s">
        <v>10068</v>
      </c>
      <c r="B2139" s="15">
        <v>2206</v>
      </c>
      <c r="C2139" s="15">
        <v>17</v>
      </c>
      <c r="D2139" s="15">
        <v>42348004</v>
      </c>
      <c r="E2139" s="15">
        <v>43460500</v>
      </c>
      <c r="F2139" s="15">
        <v>2255</v>
      </c>
      <c r="G2139" s="8" t="s">
        <v>12324</v>
      </c>
      <c r="H2139" s="24" t="s">
        <v>1259</v>
      </c>
      <c r="I2139" s="25">
        <v>27096</v>
      </c>
      <c r="J2139" s="8" t="s">
        <v>1261</v>
      </c>
      <c r="K2139" s="8" t="s">
        <v>10040</v>
      </c>
      <c r="L2139" s="15">
        <v>-0.209815</v>
      </c>
      <c r="M2139" s="15">
        <v>0.33801599999999998</v>
      </c>
      <c r="N2139" s="15">
        <v>0.70116976613657622</v>
      </c>
    </row>
    <row r="2140" spans="1:14" x14ac:dyDescent="0.2">
      <c r="A2140" s="2" t="s">
        <v>10066</v>
      </c>
      <c r="B2140" s="15">
        <v>921</v>
      </c>
      <c r="C2140" s="15">
        <v>5</v>
      </c>
      <c r="D2140" s="15">
        <v>174662886</v>
      </c>
      <c r="E2140" s="15">
        <v>176180301</v>
      </c>
      <c r="F2140" s="15">
        <v>3329</v>
      </c>
      <c r="G2140" s="8" t="s">
        <v>12324</v>
      </c>
      <c r="H2140" s="24" t="s">
        <v>6008</v>
      </c>
      <c r="I2140" s="25" t="s">
        <v>6009</v>
      </c>
      <c r="J2140" s="8" t="s">
        <v>6010</v>
      </c>
      <c r="K2140" s="8" t="s">
        <v>10051</v>
      </c>
      <c r="L2140" s="15">
        <v>0.13175700000000001</v>
      </c>
      <c r="M2140" s="15">
        <v>0.337895</v>
      </c>
      <c r="N2140" s="15">
        <v>0.70116976613657622</v>
      </c>
    </row>
    <row r="2141" spans="1:14" x14ac:dyDescent="0.2">
      <c r="A2141" s="2" t="s">
        <v>10068</v>
      </c>
      <c r="B2141" s="15">
        <v>2277</v>
      </c>
      <c r="C2141" s="15">
        <v>18</v>
      </c>
      <c r="D2141" s="15">
        <v>48228380</v>
      </c>
      <c r="E2141" s="15">
        <v>49790996</v>
      </c>
      <c r="F2141" s="15">
        <v>3703</v>
      </c>
      <c r="G2141" s="8" t="s">
        <v>12324</v>
      </c>
      <c r="H2141" s="24" t="s">
        <v>1259</v>
      </c>
      <c r="I2141" s="25">
        <v>27096</v>
      </c>
      <c r="J2141" s="8" t="s">
        <v>1261</v>
      </c>
      <c r="K2141" s="8" t="s">
        <v>10040</v>
      </c>
      <c r="L2141" s="15">
        <v>-0.39017000000000002</v>
      </c>
      <c r="M2141" s="15">
        <v>0.33833299999999999</v>
      </c>
      <c r="N2141" s="15">
        <v>0.70117142757009343</v>
      </c>
    </row>
    <row r="2142" spans="1:14" x14ac:dyDescent="0.2">
      <c r="A2142" s="2" t="s">
        <v>10066</v>
      </c>
      <c r="B2142" s="15">
        <v>1632</v>
      </c>
      <c r="C2142" s="15">
        <v>11</v>
      </c>
      <c r="D2142" s="15">
        <v>20686337</v>
      </c>
      <c r="E2142" s="15">
        <v>21442722</v>
      </c>
      <c r="F2142" s="15">
        <v>2292</v>
      </c>
      <c r="G2142" s="8" t="s">
        <v>12324</v>
      </c>
      <c r="H2142" s="24" t="s">
        <v>6008</v>
      </c>
      <c r="I2142" s="25" t="s">
        <v>6009</v>
      </c>
      <c r="J2142" s="8" t="s">
        <v>6010</v>
      </c>
      <c r="K2142" s="8" t="s">
        <v>10051</v>
      </c>
      <c r="L2142" s="15">
        <v>-0.196023</v>
      </c>
      <c r="M2142" s="15">
        <v>0.338225</v>
      </c>
      <c r="N2142" s="15">
        <v>0.70117142757009343</v>
      </c>
    </row>
    <row r="2143" spans="1:14" x14ac:dyDescent="0.2">
      <c r="A2143" s="2" t="s">
        <v>10068</v>
      </c>
      <c r="B2143" s="15">
        <v>790</v>
      </c>
      <c r="C2143" s="15">
        <v>5</v>
      </c>
      <c r="D2143" s="15">
        <v>14910296</v>
      </c>
      <c r="E2143" s="15">
        <v>16592319</v>
      </c>
      <c r="F2143" s="15">
        <v>3511</v>
      </c>
      <c r="G2143" s="8" t="s">
        <v>12324</v>
      </c>
      <c r="H2143" s="24" t="s">
        <v>494</v>
      </c>
      <c r="I2143" s="25">
        <v>25920</v>
      </c>
      <c r="J2143" s="8" t="s">
        <v>496</v>
      </c>
      <c r="K2143" s="8" t="s">
        <v>10040</v>
      </c>
      <c r="L2143" s="15">
        <v>0.117635</v>
      </c>
      <c r="M2143" s="15">
        <v>0.338557</v>
      </c>
      <c r="N2143" s="15">
        <v>0.70130793787949552</v>
      </c>
    </row>
    <row r="2144" spans="1:14" x14ac:dyDescent="0.2">
      <c r="A2144" s="2" t="s">
        <v>10066</v>
      </c>
      <c r="B2144" s="15">
        <v>348</v>
      </c>
      <c r="C2144" s="15">
        <v>2</v>
      </c>
      <c r="D2144" s="15">
        <v>163607636</v>
      </c>
      <c r="E2144" s="15">
        <v>164702312</v>
      </c>
      <c r="F2144" s="15">
        <v>2235</v>
      </c>
      <c r="G2144" s="8" t="s">
        <v>12324</v>
      </c>
      <c r="H2144" s="24" t="s">
        <v>3164</v>
      </c>
      <c r="I2144" s="25" t="s">
        <v>3165</v>
      </c>
      <c r="J2144" s="8" t="s">
        <v>3166</v>
      </c>
      <c r="K2144" s="8" t="s">
        <v>10042</v>
      </c>
      <c r="L2144" s="15">
        <v>-0.24822900000000001</v>
      </c>
      <c r="M2144" s="15">
        <v>0.33902900000000002</v>
      </c>
      <c r="N2144" s="15">
        <v>0.70195780345471537</v>
      </c>
    </row>
    <row r="2145" spans="1:14" x14ac:dyDescent="0.2">
      <c r="A2145" s="2" t="s">
        <v>10066</v>
      </c>
      <c r="B2145" s="15">
        <v>204</v>
      </c>
      <c r="C2145" s="15">
        <v>2</v>
      </c>
      <c r="D2145" s="15">
        <v>1875061</v>
      </c>
      <c r="E2145" s="15">
        <v>2680063</v>
      </c>
      <c r="F2145" s="15">
        <v>2295</v>
      </c>
      <c r="G2145" s="8" t="s">
        <v>12324</v>
      </c>
      <c r="H2145" s="24" t="s">
        <v>6008</v>
      </c>
      <c r="I2145" s="25" t="s">
        <v>6009</v>
      </c>
      <c r="J2145" s="8" t="s">
        <v>6010</v>
      </c>
      <c r="K2145" s="8" t="s">
        <v>10051</v>
      </c>
      <c r="L2145" s="15">
        <v>-0.1273</v>
      </c>
      <c r="M2145" s="15">
        <v>0.33935199999999999</v>
      </c>
      <c r="N2145" s="15">
        <v>0.70229870275314976</v>
      </c>
    </row>
    <row r="2146" spans="1:14" x14ac:dyDescent="0.2">
      <c r="A2146" s="2" t="s">
        <v>10069</v>
      </c>
      <c r="B2146" s="15">
        <v>637</v>
      </c>
      <c r="C2146" s="15">
        <v>4</v>
      </c>
      <c r="D2146" s="15">
        <v>36671802</v>
      </c>
      <c r="E2146" s="15">
        <v>37880860</v>
      </c>
      <c r="F2146" s="15">
        <v>2983</v>
      </c>
      <c r="G2146" s="8" t="s">
        <v>12324</v>
      </c>
      <c r="H2146" s="24" t="s">
        <v>662</v>
      </c>
      <c r="I2146" s="25" t="s">
        <v>663</v>
      </c>
      <c r="J2146" s="8" t="s">
        <v>664</v>
      </c>
      <c r="K2146" s="8" t="s">
        <v>10040</v>
      </c>
      <c r="L2146" s="15">
        <v>0.367753</v>
      </c>
      <c r="M2146" s="15">
        <v>0.33957300000000001</v>
      </c>
      <c r="N2146" s="15">
        <v>0.70242829057835832</v>
      </c>
    </row>
    <row r="2147" spans="1:14" x14ac:dyDescent="0.2">
      <c r="A2147" s="2" t="s">
        <v>10068</v>
      </c>
      <c r="B2147" s="15">
        <v>2359</v>
      </c>
      <c r="C2147" s="15">
        <v>19</v>
      </c>
      <c r="D2147" s="15">
        <v>51903805</v>
      </c>
      <c r="E2147" s="15">
        <v>52678748</v>
      </c>
      <c r="F2147" s="15">
        <v>2871</v>
      </c>
      <c r="G2147" s="8" t="s">
        <v>12324</v>
      </c>
      <c r="H2147" s="24" t="s">
        <v>494</v>
      </c>
      <c r="I2147" s="25">
        <v>25920</v>
      </c>
      <c r="J2147" s="8" t="s">
        <v>496</v>
      </c>
      <c r="K2147" s="8" t="s">
        <v>10040</v>
      </c>
      <c r="L2147" s="15">
        <v>0.32178200000000001</v>
      </c>
      <c r="M2147" s="15">
        <v>0.34020400000000001</v>
      </c>
      <c r="N2147" s="15">
        <v>0.702552291763611</v>
      </c>
    </row>
    <row r="2148" spans="1:14" x14ac:dyDescent="0.2">
      <c r="A2148" s="2" t="s">
        <v>10068</v>
      </c>
      <c r="B2148" s="15">
        <v>2311</v>
      </c>
      <c r="C2148" s="15">
        <v>19</v>
      </c>
      <c r="D2148" s="15">
        <v>3893910</v>
      </c>
      <c r="E2148" s="15">
        <v>4741718</v>
      </c>
      <c r="F2148" s="15">
        <v>2461</v>
      </c>
      <c r="G2148" s="8" t="s">
        <v>12324</v>
      </c>
      <c r="H2148" s="24" t="s">
        <v>599</v>
      </c>
      <c r="I2148" s="25">
        <v>26562</v>
      </c>
      <c r="J2148" s="8" t="s">
        <v>601</v>
      </c>
      <c r="K2148" s="8" t="s">
        <v>10040</v>
      </c>
      <c r="L2148" s="15">
        <v>0.23411599999999999</v>
      </c>
      <c r="M2148" s="15">
        <v>0.33982800000000002</v>
      </c>
      <c r="N2148" s="15">
        <v>0.702552291763611</v>
      </c>
    </row>
    <row r="2149" spans="1:14" x14ac:dyDescent="0.2">
      <c r="A2149" s="2" t="s">
        <v>10068</v>
      </c>
      <c r="B2149" s="15">
        <v>1054</v>
      </c>
      <c r="C2149" s="15">
        <v>6</v>
      </c>
      <c r="D2149" s="15">
        <v>125365055</v>
      </c>
      <c r="E2149" s="15">
        <v>127545459</v>
      </c>
      <c r="F2149" s="15">
        <v>3594</v>
      </c>
      <c r="G2149" s="8" t="s">
        <v>12324</v>
      </c>
      <c r="H2149" s="24" t="s">
        <v>599</v>
      </c>
      <c r="I2149" s="25">
        <v>26562</v>
      </c>
      <c r="J2149" s="8" t="s">
        <v>601</v>
      </c>
      <c r="K2149" s="8" t="s">
        <v>10040</v>
      </c>
      <c r="L2149" s="15">
        <v>-0.37034800000000001</v>
      </c>
      <c r="M2149" s="15">
        <v>0.33997699999999997</v>
      </c>
      <c r="N2149" s="15">
        <v>0.702552291763611</v>
      </c>
    </row>
    <row r="2150" spans="1:14" x14ac:dyDescent="0.2">
      <c r="A2150" s="2" t="s">
        <v>10068</v>
      </c>
      <c r="B2150" s="15">
        <v>2453</v>
      </c>
      <c r="C2150" s="15">
        <v>21</v>
      </c>
      <c r="D2150" s="15">
        <v>39252060</v>
      </c>
      <c r="E2150" s="15">
        <v>40480831</v>
      </c>
      <c r="F2150" s="15">
        <v>3347</v>
      </c>
      <c r="G2150" s="8" t="s">
        <v>12324</v>
      </c>
      <c r="H2150" s="24" t="s">
        <v>599</v>
      </c>
      <c r="I2150" s="25">
        <v>26562</v>
      </c>
      <c r="J2150" s="8" t="s">
        <v>601</v>
      </c>
      <c r="K2150" s="8" t="s">
        <v>10040</v>
      </c>
      <c r="L2150" s="15">
        <v>0.220641</v>
      </c>
      <c r="M2150" s="15">
        <v>0.34042499999999998</v>
      </c>
      <c r="N2150" s="15">
        <v>0.702552291763611</v>
      </c>
    </row>
    <row r="2151" spans="1:14" x14ac:dyDescent="0.2">
      <c r="A2151" s="2" t="s">
        <v>10068</v>
      </c>
      <c r="B2151" s="15">
        <v>1858</v>
      </c>
      <c r="C2151" s="15">
        <v>12</v>
      </c>
      <c r="D2151" s="15">
        <v>129887419</v>
      </c>
      <c r="E2151" s="15">
        <v>130629840</v>
      </c>
      <c r="F2151" s="15">
        <v>2610</v>
      </c>
      <c r="G2151" s="8" t="s">
        <v>12324</v>
      </c>
      <c r="H2151" s="24" t="s">
        <v>1259</v>
      </c>
      <c r="I2151" s="25">
        <v>27096</v>
      </c>
      <c r="J2151" s="8" t="s">
        <v>1261</v>
      </c>
      <c r="K2151" s="8" t="s">
        <v>10040</v>
      </c>
      <c r="L2151" s="15">
        <v>0.15962200000000001</v>
      </c>
      <c r="M2151" s="15">
        <v>0.34038299999999999</v>
      </c>
      <c r="N2151" s="15">
        <v>0.702552291763611</v>
      </c>
    </row>
    <row r="2152" spans="1:14" x14ac:dyDescent="0.2">
      <c r="A2152" s="2" t="s">
        <v>10068</v>
      </c>
      <c r="B2152" s="15">
        <v>1059</v>
      </c>
      <c r="C2152" s="15">
        <v>6</v>
      </c>
      <c r="D2152" s="15">
        <v>131457165</v>
      </c>
      <c r="E2152" s="15">
        <v>132890694</v>
      </c>
      <c r="F2152" s="15">
        <v>3482</v>
      </c>
      <c r="G2152" s="8" t="s">
        <v>12324</v>
      </c>
      <c r="H2152" s="24" t="s">
        <v>599</v>
      </c>
      <c r="I2152" s="25">
        <v>26562</v>
      </c>
      <c r="J2152" s="8" t="s">
        <v>601</v>
      </c>
      <c r="K2152" s="8" t="s">
        <v>10040</v>
      </c>
      <c r="L2152" s="15">
        <v>0.34265699999999999</v>
      </c>
      <c r="M2152" s="15">
        <v>0.34112799999999999</v>
      </c>
      <c r="N2152" s="15">
        <v>0.7032731180297398</v>
      </c>
    </row>
    <row r="2153" spans="1:14" x14ac:dyDescent="0.2">
      <c r="A2153" s="2" t="s">
        <v>10068</v>
      </c>
      <c r="B2153" s="15">
        <v>1940</v>
      </c>
      <c r="C2153" s="15">
        <v>13</v>
      </c>
      <c r="D2153" s="15">
        <v>101573737</v>
      </c>
      <c r="E2153" s="15">
        <v>103050417</v>
      </c>
      <c r="F2153" s="15">
        <v>4113</v>
      </c>
      <c r="G2153" s="8" t="s">
        <v>12324</v>
      </c>
      <c r="H2153" s="24" t="s">
        <v>1259</v>
      </c>
      <c r="I2153" s="25">
        <v>27096</v>
      </c>
      <c r="J2153" s="8" t="s">
        <v>1261</v>
      </c>
      <c r="K2153" s="8" t="s">
        <v>10040</v>
      </c>
      <c r="L2153" s="15">
        <v>-0.249724</v>
      </c>
      <c r="M2153" s="15">
        <v>0.34106999999999998</v>
      </c>
      <c r="N2153" s="15">
        <v>0.7032731180297398</v>
      </c>
    </row>
    <row r="2154" spans="1:14" x14ac:dyDescent="0.2">
      <c r="A2154" s="2" t="s">
        <v>10068</v>
      </c>
      <c r="B2154" s="15">
        <v>2491</v>
      </c>
      <c r="C2154" s="15">
        <v>22</v>
      </c>
      <c r="D2154" s="15">
        <v>47299626</v>
      </c>
      <c r="E2154" s="15">
        <v>48269177</v>
      </c>
      <c r="F2154" s="15">
        <v>3139</v>
      </c>
      <c r="G2154" s="8" t="s">
        <v>12324</v>
      </c>
      <c r="H2154" s="24" t="s">
        <v>1259</v>
      </c>
      <c r="I2154" s="25">
        <v>27096</v>
      </c>
      <c r="J2154" s="8" t="s">
        <v>1261</v>
      </c>
      <c r="K2154" s="8" t="s">
        <v>10040</v>
      </c>
      <c r="L2154" s="15">
        <v>-0.16175700000000001</v>
      </c>
      <c r="M2154" s="15">
        <v>0.34125</v>
      </c>
      <c r="N2154" s="15">
        <v>0.7032731180297398</v>
      </c>
    </row>
    <row r="2155" spans="1:14" x14ac:dyDescent="0.2">
      <c r="A2155" s="2" t="s">
        <v>10068</v>
      </c>
      <c r="B2155" s="15">
        <v>425</v>
      </c>
      <c r="C2155" s="15">
        <v>3</v>
      </c>
      <c r="D2155" s="15">
        <v>3128153</v>
      </c>
      <c r="E2155" s="15">
        <v>4109393</v>
      </c>
      <c r="F2155" s="15">
        <v>3732</v>
      </c>
      <c r="G2155" s="8" t="s">
        <v>12324</v>
      </c>
      <c r="H2155" s="24" t="s">
        <v>599</v>
      </c>
      <c r="I2155" s="25">
        <v>26562</v>
      </c>
      <c r="J2155" s="8" t="s">
        <v>601</v>
      </c>
      <c r="K2155" s="8" t="s">
        <v>10040</v>
      </c>
      <c r="L2155" s="15">
        <v>-0.16417999999999999</v>
      </c>
      <c r="M2155" s="15">
        <v>0.34173599999999998</v>
      </c>
      <c r="N2155" s="15">
        <v>0.70340005102040826</v>
      </c>
    </row>
    <row r="2156" spans="1:14" x14ac:dyDescent="0.2">
      <c r="A2156" s="2" t="s">
        <v>10068</v>
      </c>
      <c r="B2156" s="15">
        <v>2290</v>
      </c>
      <c r="C2156" s="15">
        <v>18</v>
      </c>
      <c r="D2156" s="15">
        <v>62074994</v>
      </c>
      <c r="E2156" s="15">
        <v>63109755</v>
      </c>
      <c r="F2156" s="15">
        <v>2999</v>
      </c>
      <c r="G2156" s="8" t="s">
        <v>12324</v>
      </c>
      <c r="H2156" s="24" t="s">
        <v>1259</v>
      </c>
      <c r="I2156" s="25">
        <v>27096</v>
      </c>
      <c r="J2156" s="8" t="s">
        <v>1261</v>
      </c>
      <c r="K2156" s="8" t="s">
        <v>10040</v>
      </c>
      <c r="L2156" s="15">
        <v>-0.18535199999999999</v>
      </c>
      <c r="M2156" s="15">
        <v>0.34194600000000003</v>
      </c>
      <c r="N2156" s="15">
        <v>0.70340005102040826</v>
      </c>
    </row>
    <row r="2157" spans="1:14" x14ac:dyDescent="0.2">
      <c r="A2157" s="2" t="s">
        <v>10066</v>
      </c>
      <c r="B2157" s="15">
        <v>1421</v>
      </c>
      <c r="C2157" s="15">
        <v>9</v>
      </c>
      <c r="D2157" s="15">
        <v>74950319</v>
      </c>
      <c r="E2157" s="15">
        <v>76197744</v>
      </c>
      <c r="F2157" s="15">
        <v>2722</v>
      </c>
      <c r="G2157" s="8" t="s">
        <v>12324</v>
      </c>
      <c r="H2157" s="24" t="s">
        <v>6008</v>
      </c>
      <c r="I2157" s="25" t="s">
        <v>6009</v>
      </c>
      <c r="J2157" s="8" t="s">
        <v>6010</v>
      </c>
      <c r="K2157" s="8" t="s">
        <v>10051</v>
      </c>
      <c r="L2157" s="15">
        <v>0.19203600000000001</v>
      </c>
      <c r="M2157" s="15">
        <v>0.34190900000000002</v>
      </c>
      <c r="N2157" s="15">
        <v>0.70340005102040826</v>
      </c>
    </row>
    <row r="2158" spans="1:14" x14ac:dyDescent="0.2">
      <c r="A2158" s="2" t="s">
        <v>10068</v>
      </c>
      <c r="B2158" s="15">
        <v>369</v>
      </c>
      <c r="C2158" s="15">
        <v>2</v>
      </c>
      <c r="D2158" s="15">
        <v>184866233</v>
      </c>
      <c r="E2158" s="15">
        <v>186244920</v>
      </c>
      <c r="F2158" s="15">
        <v>2979</v>
      </c>
      <c r="G2158" s="8" t="s">
        <v>12324</v>
      </c>
      <c r="H2158" s="24" t="s">
        <v>6565</v>
      </c>
      <c r="I2158" s="25" t="s">
        <v>6475</v>
      </c>
      <c r="J2158" s="8" t="s">
        <v>6566</v>
      </c>
      <c r="K2158" s="8" t="s">
        <v>10054</v>
      </c>
      <c r="L2158" s="15">
        <v>-0.20865700000000001</v>
      </c>
      <c r="M2158" s="15">
        <v>0.34152500000000002</v>
      </c>
      <c r="N2158" s="15">
        <v>0.70340005102040826</v>
      </c>
    </row>
    <row r="2159" spans="1:14" x14ac:dyDescent="0.2">
      <c r="A2159" s="2" t="s">
        <v>10066</v>
      </c>
      <c r="B2159" s="15">
        <v>1569</v>
      </c>
      <c r="C2159" s="15">
        <v>10</v>
      </c>
      <c r="D2159" s="15">
        <v>89971629</v>
      </c>
      <c r="E2159" s="15">
        <v>91021321</v>
      </c>
      <c r="F2159" s="15">
        <v>2537</v>
      </c>
      <c r="G2159" s="8" t="s">
        <v>12324</v>
      </c>
      <c r="H2159" s="24" t="s">
        <v>6008</v>
      </c>
      <c r="I2159" s="25" t="s">
        <v>6009</v>
      </c>
      <c r="J2159" s="8" t="s">
        <v>6010</v>
      </c>
      <c r="K2159" s="8" t="s">
        <v>10051</v>
      </c>
      <c r="L2159" s="15">
        <v>0.36692200000000003</v>
      </c>
      <c r="M2159" s="15">
        <v>0.34279999999999999</v>
      </c>
      <c r="N2159" s="15">
        <v>0.704829856281873</v>
      </c>
    </row>
    <row r="2160" spans="1:14" x14ac:dyDescent="0.2">
      <c r="A2160" s="2" t="s">
        <v>10069</v>
      </c>
      <c r="B2160" s="15">
        <v>2114</v>
      </c>
      <c r="C2160" s="15">
        <v>16</v>
      </c>
      <c r="D2160" s="15">
        <v>10351809</v>
      </c>
      <c r="E2160" s="15">
        <v>11022542</v>
      </c>
      <c r="F2160" s="15">
        <v>1524</v>
      </c>
      <c r="G2160" s="8" t="s">
        <v>12324</v>
      </c>
      <c r="H2160" s="24" t="s">
        <v>662</v>
      </c>
      <c r="I2160" s="25" t="s">
        <v>663</v>
      </c>
      <c r="J2160" s="8" t="s">
        <v>664</v>
      </c>
      <c r="K2160" s="8" t="s">
        <v>10040</v>
      </c>
      <c r="L2160" s="15">
        <v>-0.21370900000000001</v>
      </c>
      <c r="M2160" s="15">
        <v>0.34350199999999997</v>
      </c>
      <c r="N2160" s="15">
        <v>0.70503775798241541</v>
      </c>
    </row>
    <row r="2161" spans="1:14" x14ac:dyDescent="0.2">
      <c r="A2161" s="2" t="s">
        <v>10066</v>
      </c>
      <c r="B2161" s="15">
        <v>16</v>
      </c>
      <c r="C2161" s="15">
        <v>1</v>
      </c>
      <c r="D2161" s="15">
        <v>14720132</v>
      </c>
      <c r="E2161" s="15">
        <v>15755230</v>
      </c>
      <c r="F2161" s="15">
        <v>3454</v>
      </c>
      <c r="G2161" s="8" t="s">
        <v>12324</v>
      </c>
      <c r="H2161" s="24" t="s">
        <v>3164</v>
      </c>
      <c r="I2161" s="25" t="s">
        <v>3165</v>
      </c>
      <c r="J2161" s="8" t="s">
        <v>3166</v>
      </c>
      <c r="K2161" s="8" t="s">
        <v>10042</v>
      </c>
      <c r="L2161" s="15">
        <v>0.14780799999999999</v>
      </c>
      <c r="M2161" s="15">
        <v>0.34325099999999997</v>
      </c>
      <c r="N2161" s="15">
        <v>0.70503775798241541</v>
      </c>
    </row>
    <row r="2162" spans="1:14" x14ac:dyDescent="0.2">
      <c r="A2162" s="2" t="s">
        <v>10068</v>
      </c>
      <c r="B2162" s="15">
        <v>15</v>
      </c>
      <c r="C2162" s="15">
        <v>1</v>
      </c>
      <c r="D2162" s="15">
        <v>13481026</v>
      </c>
      <c r="E2162" s="15">
        <v>14720131</v>
      </c>
      <c r="F2162" s="15">
        <v>3288</v>
      </c>
      <c r="G2162" s="8" t="s">
        <v>12324</v>
      </c>
      <c r="H2162" s="24" t="s">
        <v>6565</v>
      </c>
      <c r="I2162" s="25" t="s">
        <v>6475</v>
      </c>
      <c r="J2162" s="8" t="s">
        <v>6566</v>
      </c>
      <c r="K2162" s="8" t="s">
        <v>10054</v>
      </c>
      <c r="L2162" s="15">
        <v>0.17538899999999999</v>
      </c>
      <c r="M2162" s="15">
        <v>0.34310600000000002</v>
      </c>
      <c r="N2162" s="15">
        <v>0.70503775798241541</v>
      </c>
    </row>
    <row r="2163" spans="1:14" x14ac:dyDescent="0.2">
      <c r="A2163" s="2" t="s">
        <v>10068</v>
      </c>
      <c r="B2163" s="15">
        <v>2325</v>
      </c>
      <c r="C2163" s="15">
        <v>19</v>
      </c>
      <c r="D2163" s="15">
        <v>17045964</v>
      </c>
      <c r="E2163" s="15">
        <v>17750518</v>
      </c>
      <c r="F2163" s="15">
        <v>2356</v>
      </c>
      <c r="G2163" s="8" t="s">
        <v>12324</v>
      </c>
      <c r="H2163" s="24" t="s">
        <v>6565</v>
      </c>
      <c r="I2163" s="25" t="s">
        <v>6475</v>
      </c>
      <c r="J2163" s="8" t="s">
        <v>6566</v>
      </c>
      <c r="K2163" s="8" t="s">
        <v>10054</v>
      </c>
      <c r="L2163" s="15">
        <v>0.218806</v>
      </c>
      <c r="M2163" s="15">
        <v>0.34353699999999998</v>
      </c>
      <c r="N2163" s="15">
        <v>0.70503775798241541</v>
      </c>
    </row>
    <row r="2164" spans="1:14" x14ac:dyDescent="0.2">
      <c r="A2164" s="2" t="s">
        <v>10068</v>
      </c>
      <c r="B2164" s="15">
        <v>1214</v>
      </c>
      <c r="C2164" s="15">
        <v>7</v>
      </c>
      <c r="D2164" s="15">
        <v>137657460</v>
      </c>
      <c r="E2164" s="15">
        <v>138755107</v>
      </c>
      <c r="F2164" s="15">
        <v>3174</v>
      </c>
      <c r="G2164" s="8" t="s">
        <v>12324</v>
      </c>
      <c r="H2164" s="24" t="s">
        <v>599</v>
      </c>
      <c r="I2164" s="25">
        <v>26562</v>
      </c>
      <c r="J2164" s="8" t="s">
        <v>601</v>
      </c>
      <c r="K2164" s="8" t="s">
        <v>10040</v>
      </c>
      <c r="L2164" s="15">
        <v>-0.22761200000000001</v>
      </c>
      <c r="M2164" s="15">
        <v>0.34402500000000003</v>
      </c>
      <c r="N2164" s="15">
        <v>0.70506252772643241</v>
      </c>
    </row>
    <row r="2165" spans="1:14" x14ac:dyDescent="0.2">
      <c r="A2165" s="2" t="s">
        <v>10069</v>
      </c>
      <c r="B2165" s="15">
        <v>1915</v>
      </c>
      <c r="C2165" s="15">
        <v>13</v>
      </c>
      <c r="D2165" s="15">
        <v>75882385</v>
      </c>
      <c r="E2165" s="15">
        <v>76671493</v>
      </c>
      <c r="F2165" s="15">
        <v>1513</v>
      </c>
      <c r="G2165" s="8" t="s">
        <v>12324</v>
      </c>
      <c r="H2165" s="24" t="s">
        <v>662</v>
      </c>
      <c r="I2165" s="25" t="s">
        <v>663</v>
      </c>
      <c r="J2165" s="8" t="s">
        <v>664</v>
      </c>
      <c r="K2165" s="8" t="s">
        <v>10040</v>
      </c>
      <c r="L2165" s="15">
        <v>-0.44730700000000001</v>
      </c>
      <c r="M2165" s="15">
        <v>0.344026</v>
      </c>
      <c r="N2165" s="15">
        <v>0.70506252772643241</v>
      </c>
    </row>
    <row r="2166" spans="1:14" x14ac:dyDescent="0.2">
      <c r="A2166" s="2" t="s">
        <v>10068</v>
      </c>
      <c r="B2166" s="15">
        <v>913</v>
      </c>
      <c r="C2166" s="15">
        <v>5</v>
      </c>
      <c r="D2166" s="15">
        <v>163781269</v>
      </c>
      <c r="E2166" s="15">
        <v>165289211</v>
      </c>
      <c r="F2166" s="15">
        <v>3644</v>
      </c>
      <c r="G2166" s="8" t="s">
        <v>12324</v>
      </c>
      <c r="H2166" s="24" t="s">
        <v>1259</v>
      </c>
      <c r="I2166" s="25">
        <v>27096</v>
      </c>
      <c r="J2166" s="8" t="s">
        <v>1261</v>
      </c>
      <c r="K2166" s="8" t="s">
        <v>10040</v>
      </c>
      <c r="L2166" s="15">
        <v>0.169018</v>
      </c>
      <c r="M2166" s="15">
        <v>0.34382499999999999</v>
      </c>
      <c r="N2166" s="15">
        <v>0.70506252772643241</v>
      </c>
    </row>
    <row r="2167" spans="1:14" x14ac:dyDescent="0.2">
      <c r="A2167" s="2" t="s">
        <v>10068</v>
      </c>
      <c r="B2167" s="15">
        <v>1109</v>
      </c>
      <c r="C2167" s="15">
        <v>7</v>
      </c>
      <c r="D2167" s="15">
        <v>11232448</v>
      </c>
      <c r="E2167" s="15">
        <v>11855413</v>
      </c>
      <c r="F2167" s="15">
        <v>2249</v>
      </c>
      <c r="G2167" s="8" t="s">
        <v>12324</v>
      </c>
      <c r="H2167" s="24" t="s">
        <v>599</v>
      </c>
      <c r="I2167" s="25">
        <v>26562</v>
      </c>
      <c r="J2167" s="8" t="s">
        <v>601</v>
      </c>
      <c r="K2167" s="8" t="s">
        <v>10040</v>
      </c>
      <c r="L2167" s="15">
        <v>0.19980700000000001</v>
      </c>
      <c r="M2167" s="15">
        <v>0.34447699999999998</v>
      </c>
      <c r="N2167" s="15">
        <v>0.7050688537822879</v>
      </c>
    </row>
    <row r="2168" spans="1:14" x14ac:dyDescent="0.2">
      <c r="A2168" s="2" t="s">
        <v>10068</v>
      </c>
      <c r="B2168" s="15">
        <v>2065</v>
      </c>
      <c r="C2168" s="15">
        <v>15</v>
      </c>
      <c r="D2168" s="15">
        <v>59901117</v>
      </c>
      <c r="E2168" s="15">
        <v>61130595</v>
      </c>
      <c r="F2168" s="15">
        <v>2868</v>
      </c>
      <c r="G2168" s="8" t="s">
        <v>12324</v>
      </c>
      <c r="H2168" s="24" t="s">
        <v>599</v>
      </c>
      <c r="I2168" s="25">
        <v>26562</v>
      </c>
      <c r="J2168" s="8" t="s">
        <v>601</v>
      </c>
      <c r="K2168" s="8" t="s">
        <v>10040</v>
      </c>
      <c r="L2168" s="15">
        <v>0.30989899999999998</v>
      </c>
      <c r="M2168" s="15">
        <v>0.34458499999999997</v>
      </c>
      <c r="N2168" s="15">
        <v>0.7050688537822879</v>
      </c>
    </row>
    <row r="2169" spans="1:14" x14ac:dyDescent="0.2">
      <c r="A2169" s="2" t="s">
        <v>10066</v>
      </c>
      <c r="B2169" s="15">
        <v>1958</v>
      </c>
      <c r="C2169" s="15">
        <v>14</v>
      </c>
      <c r="D2169" s="15">
        <v>23985937</v>
      </c>
      <c r="E2169" s="15">
        <v>24906056</v>
      </c>
      <c r="F2169" s="15">
        <v>2219</v>
      </c>
      <c r="G2169" s="8" t="s">
        <v>12324</v>
      </c>
      <c r="H2169" s="24" t="s">
        <v>6008</v>
      </c>
      <c r="I2169" s="25" t="s">
        <v>6009</v>
      </c>
      <c r="J2169" s="8" t="s">
        <v>6010</v>
      </c>
      <c r="K2169" s="8" t="s">
        <v>10051</v>
      </c>
      <c r="L2169" s="15">
        <v>-0.120091</v>
      </c>
      <c r="M2169" s="15">
        <v>0.344665</v>
      </c>
      <c r="N2169" s="15">
        <v>0.7050688537822879</v>
      </c>
    </row>
    <row r="2170" spans="1:14" x14ac:dyDescent="0.2">
      <c r="A2170" s="2" t="s">
        <v>10068</v>
      </c>
      <c r="B2170" s="15">
        <v>472</v>
      </c>
      <c r="C2170" s="15">
        <v>3</v>
      </c>
      <c r="D2170" s="15">
        <v>59998584</v>
      </c>
      <c r="E2170" s="15">
        <v>60571139</v>
      </c>
      <c r="F2170" s="15">
        <v>2332</v>
      </c>
      <c r="G2170" s="8" t="s">
        <v>12324</v>
      </c>
      <c r="H2170" s="24" t="s">
        <v>6565</v>
      </c>
      <c r="I2170" s="25" t="s">
        <v>6475</v>
      </c>
      <c r="J2170" s="8" t="s">
        <v>6566</v>
      </c>
      <c r="K2170" s="8" t="s">
        <v>10054</v>
      </c>
      <c r="L2170" s="15">
        <v>-0.12049</v>
      </c>
      <c r="M2170" s="15">
        <v>0.34449299999999999</v>
      </c>
      <c r="N2170" s="15">
        <v>0.7050688537822879</v>
      </c>
    </row>
    <row r="2171" spans="1:14" x14ac:dyDescent="0.2">
      <c r="A2171" s="2" t="s">
        <v>10066</v>
      </c>
      <c r="B2171" s="15">
        <v>2301</v>
      </c>
      <c r="C2171" s="15">
        <v>18</v>
      </c>
      <c r="D2171" s="15">
        <v>73568261</v>
      </c>
      <c r="E2171" s="15">
        <v>74471745</v>
      </c>
      <c r="F2171" s="15">
        <v>3290</v>
      </c>
      <c r="G2171" s="8" t="s">
        <v>12324</v>
      </c>
      <c r="H2171" s="24" t="s">
        <v>6008</v>
      </c>
      <c r="I2171" s="25" t="s">
        <v>6009</v>
      </c>
      <c r="J2171" s="8" t="s">
        <v>6010</v>
      </c>
      <c r="K2171" s="8" t="s">
        <v>10051</v>
      </c>
      <c r="L2171" s="15">
        <v>0.190468</v>
      </c>
      <c r="M2171" s="15">
        <v>0.34526200000000001</v>
      </c>
      <c r="N2171" s="15">
        <v>0.70596448593822037</v>
      </c>
    </row>
    <row r="2172" spans="1:14" x14ac:dyDescent="0.2">
      <c r="A2172" s="2" t="s">
        <v>10068</v>
      </c>
      <c r="B2172" s="15">
        <v>988</v>
      </c>
      <c r="C2172" s="15">
        <v>6</v>
      </c>
      <c r="D2172" s="15">
        <v>53425493</v>
      </c>
      <c r="E2172" s="15">
        <v>54452767</v>
      </c>
      <c r="F2172" s="15">
        <v>2547</v>
      </c>
      <c r="G2172" s="8" t="s">
        <v>12324</v>
      </c>
      <c r="H2172" s="24" t="s">
        <v>494</v>
      </c>
      <c r="I2172" s="25">
        <v>25920</v>
      </c>
      <c r="J2172" s="8" t="s">
        <v>496</v>
      </c>
      <c r="K2172" s="8" t="s">
        <v>10040</v>
      </c>
      <c r="L2172" s="15">
        <v>-0.16303500000000001</v>
      </c>
      <c r="M2172" s="15">
        <v>0.34555599999999997</v>
      </c>
      <c r="N2172" s="15">
        <v>0.70624002764976956</v>
      </c>
    </row>
    <row r="2173" spans="1:14" x14ac:dyDescent="0.2">
      <c r="A2173" s="2" t="s">
        <v>10066</v>
      </c>
      <c r="B2173" s="15">
        <v>1143</v>
      </c>
      <c r="C2173" s="15">
        <v>7</v>
      </c>
      <c r="D2173" s="15">
        <v>47253455</v>
      </c>
      <c r="E2173" s="15">
        <v>48363585</v>
      </c>
      <c r="F2173" s="15">
        <v>3183</v>
      </c>
      <c r="G2173" s="8" t="s">
        <v>12324</v>
      </c>
      <c r="H2173" s="24" t="s">
        <v>3164</v>
      </c>
      <c r="I2173" s="25" t="s">
        <v>3165</v>
      </c>
      <c r="J2173" s="8" t="s">
        <v>3166</v>
      </c>
      <c r="K2173" s="8" t="s">
        <v>10042</v>
      </c>
      <c r="L2173" s="15">
        <v>0.12281499999999999</v>
      </c>
      <c r="M2173" s="15">
        <v>0.34698099999999998</v>
      </c>
      <c r="N2173" s="15">
        <v>0.7088257646245969</v>
      </c>
    </row>
    <row r="2174" spans="1:14" x14ac:dyDescent="0.2">
      <c r="A2174" s="2" t="s">
        <v>10069</v>
      </c>
      <c r="B2174" s="15">
        <v>2265</v>
      </c>
      <c r="C2174" s="15">
        <v>18</v>
      </c>
      <c r="D2174" s="15">
        <v>34153298</v>
      </c>
      <c r="E2174" s="15">
        <v>36056932</v>
      </c>
      <c r="F2174" s="15">
        <v>2994</v>
      </c>
      <c r="G2174" s="8" t="s">
        <v>12324</v>
      </c>
      <c r="H2174" s="24" t="s">
        <v>662</v>
      </c>
      <c r="I2174" s="25" t="s">
        <v>663</v>
      </c>
      <c r="J2174" s="8" t="s">
        <v>664</v>
      </c>
      <c r="K2174" s="8" t="s">
        <v>10040</v>
      </c>
      <c r="L2174" s="15">
        <v>-0.29406500000000002</v>
      </c>
      <c r="M2174" s="15">
        <v>0.34745700000000002</v>
      </c>
      <c r="N2174" s="15">
        <v>0.70947136049723758</v>
      </c>
    </row>
    <row r="2175" spans="1:14" x14ac:dyDescent="0.2">
      <c r="A2175" s="2" t="s">
        <v>10069</v>
      </c>
      <c r="B2175" s="15">
        <v>1121</v>
      </c>
      <c r="C2175" s="15">
        <v>7</v>
      </c>
      <c r="D2175" s="15">
        <v>22165061</v>
      </c>
      <c r="E2175" s="15">
        <v>23106680</v>
      </c>
      <c r="F2175" s="15">
        <v>1902</v>
      </c>
      <c r="G2175" s="8" t="s">
        <v>12324</v>
      </c>
      <c r="H2175" s="24" t="s">
        <v>662</v>
      </c>
      <c r="I2175" s="25" t="s">
        <v>663</v>
      </c>
      <c r="J2175" s="8" t="s">
        <v>664</v>
      </c>
      <c r="K2175" s="8" t="s">
        <v>10040</v>
      </c>
      <c r="L2175" s="15">
        <v>-0.350271</v>
      </c>
      <c r="M2175" s="15">
        <v>0.34802699999999998</v>
      </c>
      <c r="N2175" s="15">
        <v>0.71030821214910256</v>
      </c>
    </row>
    <row r="2176" spans="1:14" x14ac:dyDescent="0.2">
      <c r="A2176" s="2" t="s">
        <v>10068</v>
      </c>
      <c r="B2176" s="15">
        <v>1494</v>
      </c>
      <c r="C2176" s="15">
        <v>10</v>
      </c>
      <c r="D2176" s="15">
        <v>6897038</v>
      </c>
      <c r="E2176" s="15">
        <v>7659872</v>
      </c>
      <c r="F2176" s="15">
        <v>2747</v>
      </c>
      <c r="G2176" s="8" t="s">
        <v>12324</v>
      </c>
      <c r="H2176" s="24" t="s">
        <v>494</v>
      </c>
      <c r="I2176" s="25">
        <v>25920</v>
      </c>
      <c r="J2176" s="8" t="s">
        <v>496</v>
      </c>
      <c r="K2176" s="8" t="s">
        <v>10040</v>
      </c>
      <c r="L2176" s="15">
        <v>0.26791999999999999</v>
      </c>
      <c r="M2176" s="15">
        <v>0.34848699999999999</v>
      </c>
      <c r="N2176" s="15">
        <v>0.71091989190432381</v>
      </c>
    </row>
    <row r="2177" spans="1:14" x14ac:dyDescent="0.2">
      <c r="A2177" s="2" t="s">
        <v>10068</v>
      </c>
      <c r="B2177" s="15">
        <v>2289</v>
      </c>
      <c r="C2177" s="15">
        <v>18</v>
      </c>
      <c r="D2177" s="15">
        <v>60780195</v>
      </c>
      <c r="E2177" s="15">
        <v>62074993</v>
      </c>
      <c r="F2177" s="15">
        <v>3546</v>
      </c>
      <c r="G2177" s="8" t="s">
        <v>12324</v>
      </c>
      <c r="H2177" s="24" t="s">
        <v>494</v>
      </c>
      <c r="I2177" s="25">
        <v>25920</v>
      </c>
      <c r="J2177" s="8" t="s">
        <v>496</v>
      </c>
      <c r="K2177" s="8" t="s">
        <v>10040</v>
      </c>
      <c r="L2177" s="15">
        <v>-0.144068</v>
      </c>
      <c r="M2177" s="15">
        <v>0.34882400000000002</v>
      </c>
      <c r="N2177" s="15">
        <v>0.71128020229885069</v>
      </c>
    </row>
    <row r="2178" spans="1:14" x14ac:dyDescent="0.2">
      <c r="A2178" s="2" t="s">
        <v>10069</v>
      </c>
      <c r="B2178" s="15">
        <v>2316</v>
      </c>
      <c r="C2178" s="15">
        <v>19</v>
      </c>
      <c r="D2178" s="15">
        <v>8199017</v>
      </c>
      <c r="E2178" s="15">
        <v>9105577</v>
      </c>
      <c r="F2178" s="15">
        <v>1586</v>
      </c>
      <c r="G2178" s="8" t="s">
        <v>12324</v>
      </c>
      <c r="H2178" s="24" t="s">
        <v>662</v>
      </c>
      <c r="I2178" s="25" t="s">
        <v>663</v>
      </c>
      <c r="J2178" s="8" t="s">
        <v>664</v>
      </c>
      <c r="K2178" s="8" t="s">
        <v>10040</v>
      </c>
      <c r="L2178" s="15">
        <v>0.26753300000000002</v>
      </c>
      <c r="M2178" s="15">
        <v>0.34905799999999998</v>
      </c>
      <c r="N2178" s="15">
        <v>0.71143025275735283</v>
      </c>
    </row>
    <row r="2179" spans="1:14" x14ac:dyDescent="0.2">
      <c r="A2179" s="2" t="s">
        <v>10066</v>
      </c>
      <c r="B2179" s="15">
        <v>1843</v>
      </c>
      <c r="C2179" s="15">
        <v>12</v>
      </c>
      <c r="D2179" s="15">
        <v>114685671</v>
      </c>
      <c r="E2179" s="15">
        <v>115439451</v>
      </c>
      <c r="F2179" s="15">
        <v>2285</v>
      </c>
      <c r="G2179" s="8" t="s">
        <v>12324</v>
      </c>
      <c r="H2179" s="24" t="s">
        <v>6008</v>
      </c>
      <c r="I2179" s="25" t="s">
        <v>6009</v>
      </c>
      <c r="J2179" s="8" t="s">
        <v>6010</v>
      </c>
      <c r="K2179" s="8" t="s">
        <v>10051</v>
      </c>
      <c r="L2179" s="15">
        <v>-0.162688</v>
      </c>
      <c r="M2179" s="15">
        <v>0.34941899999999998</v>
      </c>
      <c r="N2179" s="15">
        <v>0.7117747382920111</v>
      </c>
    </row>
    <row r="2180" spans="1:14" x14ac:dyDescent="0.2">
      <c r="A2180" s="2" t="s">
        <v>10066</v>
      </c>
      <c r="B2180" s="15">
        <v>1721</v>
      </c>
      <c r="C2180" s="15">
        <v>11</v>
      </c>
      <c r="D2180" s="15">
        <v>114742318</v>
      </c>
      <c r="E2180" s="15">
        <v>116247377</v>
      </c>
      <c r="F2180" s="15">
        <v>3422</v>
      </c>
      <c r="G2180" s="8" t="s">
        <v>12324</v>
      </c>
      <c r="H2180" s="24" t="s">
        <v>6008</v>
      </c>
      <c r="I2180" s="25" t="s">
        <v>6009</v>
      </c>
      <c r="J2180" s="8" t="s">
        <v>6010</v>
      </c>
      <c r="K2180" s="8" t="s">
        <v>10051</v>
      </c>
      <c r="L2180" s="15">
        <v>-0.27524199999999999</v>
      </c>
      <c r="M2180" s="15">
        <v>0.34954800000000003</v>
      </c>
      <c r="N2180" s="15">
        <v>0.7117747382920111</v>
      </c>
    </row>
    <row r="2181" spans="1:14" x14ac:dyDescent="0.2">
      <c r="A2181" s="2" t="s">
        <v>10068</v>
      </c>
      <c r="B2181" s="15">
        <v>1839</v>
      </c>
      <c r="C2181" s="15">
        <v>12</v>
      </c>
      <c r="D2181" s="15">
        <v>109031820</v>
      </c>
      <c r="E2181" s="15">
        <v>110111514</v>
      </c>
      <c r="F2181" s="15">
        <v>2730</v>
      </c>
      <c r="G2181" s="8" t="s">
        <v>12324</v>
      </c>
      <c r="H2181" s="24" t="s">
        <v>494</v>
      </c>
      <c r="I2181" s="25">
        <v>25920</v>
      </c>
      <c r="J2181" s="8" t="s">
        <v>496</v>
      </c>
      <c r="K2181" s="8" t="s">
        <v>10040</v>
      </c>
      <c r="L2181" s="15">
        <v>-0.16458500000000001</v>
      </c>
      <c r="M2181" s="15">
        <v>0.34978999999999999</v>
      </c>
      <c r="N2181" s="15">
        <v>0.711940637907297</v>
      </c>
    </row>
    <row r="2182" spans="1:14" x14ac:dyDescent="0.2">
      <c r="A2182" s="2" t="s">
        <v>10068</v>
      </c>
      <c r="B2182" s="15">
        <v>1531</v>
      </c>
      <c r="C2182" s="15">
        <v>10</v>
      </c>
      <c r="D2182" s="15">
        <v>46327145</v>
      </c>
      <c r="E2182" s="15">
        <v>49197320</v>
      </c>
      <c r="F2182" s="15">
        <v>1404</v>
      </c>
      <c r="G2182" s="8" t="s">
        <v>12324</v>
      </c>
      <c r="H2182" s="24" t="s">
        <v>494</v>
      </c>
      <c r="I2182" s="25">
        <v>25920</v>
      </c>
      <c r="J2182" s="8" t="s">
        <v>496</v>
      </c>
      <c r="K2182" s="8" t="s">
        <v>10040</v>
      </c>
      <c r="L2182" s="15">
        <v>0.107851</v>
      </c>
      <c r="M2182" s="15">
        <v>0.35062100000000002</v>
      </c>
      <c r="N2182" s="15">
        <v>0.71330464908256874</v>
      </c>
    </row>
    <row r="2183" spans="1:14" x14ac:dyDescent="0.2">
      <c r="A2183" s="2" t="s">
        <v>10069</v>
      </c>
      <c r="B2183" s="15">
        <v>547</v>
      </c>
      <c r="C2183" s="15">
        <v>3</v>
      </c>
      <c r="D2183" s="15">
        <v>144408822</v>
      </c>
      <c r="E2183" s="15">
        <v>145211907</v>
      </c>
      <c r="F2183" s="15">
        <v>1457</v>
      </c>
      <c r="G2183" s="8" t="s">
        <v>12324</v>
      </c>
      <c r="H2183" s="24" t="s">
        <v>662</v>
      </c>
      <c r="I2183" s="25" t="s">
        <v>663</v>
      </c>
      <c r="J2183" s="8" t="s">
        <v>664</v>
      </c>
      <c r="K2183" s="8" t="s">
        <v>10040</v>
      </c>
      <c r="L2183" s="15">
        <v>0.31314599999999998</v>
      </c>
      <c r="M2183" s="15">
        <v>0.35162700000000002</v>
      </c>
      <c r="N2183" s="15">
        <v>0.71413247252747247</v>
      </c>
    </row>
    <row r="2184" spans="1:14" x14ac:dyDescent="0.2">
      <c r="A2184" s="2" t="s">
        <v>10066</v>
      </c>
      <c r="B2184" s="15">
        <v>1920</v>
      </c>
      <c r="C2184" s="15">
        <v>13</v>
      </c>
      <c r="D2184" s="15">
        <v>80778340</v>
      </c>
      <c r="E2184" s="15">
        <v>81724089</v>
      </c>
      <c r="F2184" s="15">
        <v>2492</v>
      </c>
      <c r="G2184" s="8" t="s">
        <v>12324</v>
      </c>
      <c r="H2184" s="24" t="s">
        <v>6008</v>
      </c>
      <c r="I2184" s="25" t="s">
        <v>6009</v>
      </c>
      <c r="J2184" s="8" t="s">
        <v>6010</v>
      </c>
      <c r="K2184" s="8" t="s">
        <v>10051</v>
      </c>
      <c r="L2184" s="15">
        <v>-0.24959500000000001</v>
      </c>
      <c r="M2184" s="15">
        <v>0.35124100000000003</v>
      </c>
      <c r="N2184" s="15">
        <v>0.71413247252747247</v>
      </c>
    </row>
    <row r="2185" spans="1:14" x14ac:dyDescent="0.2">
      <c r="A2185" s="2" t="s">
        <v>10066</v>
      </c>
      <c r="B2185" s="15">
        <v>2005</v>
      </c>
      <c r="C2185" s="15">
        <v>14</v>
      </c>
      <c r="D2185" s="15">
        <v>75699502</v>
      </c>
      <c r="E2185" s="15">
        <v>76694201</v>
      </c>
      <c r="F2185" s="15">
        <v>2373</v>
      </c>
      <c r="G2185" s="8" t="s">
        <v>12324</v>
      </c>
      <c r="H2185" s="24" t="s">
        <v>6008</v>
      </c>
      <c r="I2185" s="25" t="s">
        <v>6009</v>
      </c>
      <c r="J2185" s="8" t="s">
        <v>6010</v>
      </c>
      <c r="K2185" s="8" t="s">
        <v>10051</v>
      </c>
      <c r="L2185" s="15">
        <v>0.235872</v>
      </c>
      <c r="M2185" s="15">
        <v>0.35167199999999998</v>
      </c>
      <c r="N2185" s="15">
        <v>0.71413247252747247</v>
      </c>
    </row>
    <row r="2186" spans="1:14" x14ac:dyDescent="0.2">
      <c r="A2186" s="2" t="s">
        <v>10068</v>
      </c>
      <c r="B2186" s="15">
        <v>791</v>
      </c>
      <c r="C2186" s="15">
        <v>5</v>
      </c>
      <c r="D2186" s="15">
        <v>16592320</v>
      </c>
      <c r="E2186" s="15">
        <v>17803477</v>
      </c>
      <c r="F2186" s="15">
        <v>3399</v>
      </c>
      <c r="G2186" s="8" t="s">
        <v>12324</v>
      </c>
      <c r="H2186" s="24" t="s">
        <v>6565</v>
      </c>
      <c r="I2186" s="25" t="s">
        <v>6475</v>
      </c>
      <c r="J2186" s="8" t="s">
        <v>6566</v>
      </c>
      <c r="K2186" s="8" t="s">
        <v>10054</v>
      </c>
      <c r="L2186" s="15">
        <v>0.31503900000000001</v>
      </c>
      <c r="M2186" s="15">
        <v>0.35153800000000002</v>
      </c>
      <c r="N2186" s="15">
        <v>0.71413247252747247</v>
      </c>
    </row>
    <row r="2187" spans="1:14" x14ac:dyDescent="0.2">
      <c r="A2187" s="2" t="s">
        <v>10069</v>
      </c>
      <c r="B2187" s="15">
        <v>602</v>
      </c>
      <c r="C2187" s="15">
        <v>4</v>
      </c>
      <c r="D2187" s="15">
        <v>5051835</v>
      </c>
      <c r="E2187" s="15">
        <v>5972709</v>
      </c>
      <c r="F2187" s="15">
        <v>1953</v>
      </c>
      <c r="G2187" s="8" t="s">
        <v>12324</v>
      </c>
      <c r="H2187" s="24" t="s">
        <v>662</v>
      </c>
      <c r="I2187" s="25" t="s">
        <v>663</v>
      </c>
      <c r="J2187" s="8" t="s">
        <v>664</v>
      </c>
      <c r="K2187" s="8" t="s">
        <v>10040</v>
      </c>
      <c r="L2187" s="15">
        <v>-0.34673700000000002</v>
      </c>
      <c r="M2187" s="15">
        <v>0.352464</v>
      </c>
      <c r="N2187" s="15">
        <v>0.71442197350388303</v>
      </c>
    </row>
    <row r="2188" spans="1:14" x14ac:dyDescent="0.2">
      <c r="A2188" s="2" t="s">
        <v>10068</v>
      </c>
      <c r="B2188" s="15">
        <v>2289</v>
      </c>
      <c r="C2188" s="15">
        <v>18</v>
      </c>
      <c r="D2188" s="15">
        <v>60780195</v>
      </c>
      <c r="E2188" s="15">
        <v>62074993</v>
      </c>
      <c r="F2188" s="15">
        <v>3546</v>
      </c>
      <c r="G2188" s="8" t="s">
        <v>12324</v>
      </c>
      <c r="H2188" s="24" t="s">
        <v>1259</v>
      </c>
      <c r="I2188" s="25">
        <v>27096</v>
      </c>
      <c r="J2188" s="8" t="s">
        <v>1261</v>
      </c>
      <c r="K2188" s="8" t="s">
        <v>10040</v>
      </c>
      <c r="L2188" s="15">
        <v>-0.18174599999999999</v>
      </c>
      <c r="M2188" s="15">
        <v>0.35223399999999999</v>
      </c>
      <c r="N2188" s="15">
        <v>0.71442197350388303</v>
      </c>
    </row>
    <row r="2189" spans="1:14" x14ac:dyDescent="0.2">
      <c r="A2189" s="2" t="s">
        <v>10068</v>
      </c>
      <c r="B2189" s="15">
        <v>546</v>
      </c>
      <c r="C2189" s="15">
        <v>3</v>
      </c>
      <c r="D2189" s="15">
        <v>142976708</v>
      </c>
      <c r="E2189" s="15">
        <v>144408821</v>
      </c>
      <c r="F2189" s="15">
        <v>3668</v>
      </c>
      <c r="G2189" s="8" t="s">
        <v>12324</v>
      </c>
      <c r="H2189" s="24" t="s">
        <v>1259</v>
      </c>
      <c r="I2189" s="25">
        <v>27096</v>
      </c>
      <c r="J2189" s="8" t="s">
        <v>1261</v>
      </c>
      <c r="K2189" s="8" t="s">
        <v>10040</v>
      </c>
      <c r="L2189" s="15">
        <v>0.31423600000000002</v>
      </c>
      <c r="M2189" s="15">
        <v>0.35242499999999999</v>
      </c>
      <c r="N2189" s="15">
        <v>0.71442197350388303</v>
      </c>
    </row>
    <row r="2190" spans="1:14" x14ac:dyDescent="0.2">
      <c r="A2190" s="2" t="s">
        <v>10068</v>
      </c>
      <c r="B2190" s="15">
        <v>1992</v>
      </c>
      <c r="C2190" s="15">
        <v>14</v>
      </c>
      <c r="D2190" s="15">
        <v>60099483</v>
      </c>
      <c r="E2190" s="15">
        <v>61652816</v>
      </c>
      <c r="F2190" s="15">
        <v>2620</v>
      </c>
      <c r="G2190" s="8" t="s">
        <v>12324</v>
      </c>
      <c r="H2190" s="24" t="s">
        <v>6565</v>
      </c>
      <c r="I2190" s="25" t="s">
        <v>6475</v>
      </c>
      <c r="J2190" s="8" t="s">
        <v>6566</v>
      </c>
      <c r="K2190" s="8" t="s">
        <v>10054</v>
      </c>
      <c r="L2190" s="15">
        <v>-0.37404799999999999</v>
      </c>
      <c r="M2190" s="15">
        <v>0.35225400000000001</v>
      </c>
      <c r="N2190" s="15">
        <v>0.71442197350388303</v>
      </c>
    </row>
    <row r="2191" spans="1:14" x14ac:dyDescent="0.2">
      <c r="A2191" s="2" t="s">
        <v>10068</v>
      </c>
      <c r="B2191" s="15">
        <v>53</v>
      </c>
      <c r="C2191" s="15">
        <v>1</v>
      </c>
      <c r="D2191" s="15">
        <v>61377616</v>
      </c>
      <c r="E2191" s="15">
        <v>62778733</v>
      </c>
      <c r="F2191" s="15">
        <v>3834</v>
      </c>
      <c r="G2191" s="8" t="s">
        <v>12324</v>
      </c>
      <c r="H2191" s="24" t="s">
        <v>6565</v>
      </c>
      <c r="I2191" s="25" t="s">
        <v>6475</v>
      </c>
      <c r="J2191" s="8" t="s">
        <v>6566</v>
      </c>
      <c r="K2191" s="8" t="s">
        <v>10054</v>
      </c>
      <c r="L2191" s="15">
        <v>0.28353499999999998</v>
      </c>
      <c r="M2191" s="15">
        <v>0.35261999999999999</v>
      </c>
      <c r="N2191" s="15">
        <v>0.71442197350388303</v>
      </c>
    </row>
    <row r="2192" spans="1:14" x14ac:dyDescent="0.2">
      <c r="A2192" s="2" t="s">
        <v>10066</v>
      </c>
      <c r="B2192" s="15">
        <v>978</v>
      </c>
      <c r="C2192" s="15">
        <v>6</v>
      </c>
      <c r="D2192" s="15">
        <v>43770627</v>
      </c>
      <c r="E2192" s="15">
        <v>44596897</v>
      </c>
      <c r="F2192" s="15">
        <v>2314</v>
      </c>
      <c r="G2192" s="8" t="s">
        <v>12324</v>
      </c>
      <c r="H2192" s="24" t="s">
        <v>6008</v>
      </c>
      <c r="I2192" s="25" t="s">
        <v>6009</v>
      </c>
      <c r="J2192" s="8" t="s">
        <v>6010</v>
      </c>
      <c r="K2192" s="8" t="s">
        <v>10051</v>
      </c>
      <c r="L2192" s="15">
        <v>-0.117511</v>
      </c>
      <c r="M2192" s="15">
        <v>0.352827</v>
      </c>
      <c r="N2192" s="15">
        <v>0.71451495205479454</v>
      </c>
    </row>
    <row r="2193" spans="1:14" x14ac:dyDescent="0.2">
      <c r="A2193" s="2" t="s">
        <v>10066</v>
      </c>
      <c r="B2193" s="15">
        <v>2218</v>
      </c>
      <c r="C2193" s="15">
        <v>17</v>
      </c>
      <c r="D2193" s="15">
        <v>58652810</v>
      </c>
      <c r="E2193" s="15">
        <v>60453120</v>
      </c>
      <c r="F2193" s="15">
        <v>2936</v>
      </c>
      <c r="G2193" s="8" t="s">
        <v>12324</v>
      </c>
      <c r="H2193" s="24" t="s">
        <v>3164</v>
      </c>
      <c r="I2193" s="25" t="s">
        <v>3165</v>
      </c>
      <c r="J2193" s="8" t="s">
        <v>3166</v>
      </c>
      <c r="K2193" s="8" t="s">
        <v>10042</v>
      </c>
      <c r="L2193" s="15">
        <v>-0.16017999999999999</v>
      </c>
      <c r="M2193" s="15">
        <v>0.35361799999999999</v>
      </c>
      <c r="N2193" s="15">
        <v>0.71524436160510718</v>
      </c>
    </row>
    <row r="2194" spans="1:14" x14ac:dyDescent="0.2">
      <c r="A2194" s="2" t="s">
        <v>10066</v>
      </c>
      <c r="B2194" s="15">
        <v>2228</v>
      </c>
      <c r="C2194" s="15">
        <v>17</v>
      </c>
      <c r="D2194" s="15">
        <v>71466954</v>
      </c>
      <c r="E2194" s="15">
        <v>72383472</v>
      </c>
      <c r="F2194" s="15">
        <v>2943</v>
      </c>
      <c r="G2194" s="8" t="s">
        <v>12324</v>
      </c>
      <c r="H2194" s="24" t="s">
        <v>6008</v>
      </c>
      <c r="I2194" s="25" t="s">
        <v>6009</v>
      </c>
      <c r="J2194" s="8" t="s">
        <v>6010</v>
      </c>
      <c r="K2194" s="8" t="s">
        <v>10051</v>
      </c>
      <c r="L2194" s="15">
        <v>0.217221</v>
      </c>
      <c r="M2194" s="15">
        <v>0.35346499999999997</v>
      </c>
      <c r="N2194" s="15">
        <v>0.71524436160510718</v>
      </c>
    </row>
    <row r="2195" spans="1:14" x14ac:dyDescent="0.2">
      <c r="A2195" s="2" t="s">
        <v>10068</v>
      </c>
      <c r="B2195" s="15">
        <v>2119</v>
      </c>
      <c r="C2195" s="15">
        <v>16</v>
      </c>
      <c r="D2195" s="15">
        <v>15921109</v>
      </c>
      <c r="E2195" s="15">
        <v>17343277</v>
      </c>
      <c r="F2195" s="15">
        <v>3028</v>
      </c>
      <c r="G2195" s="8" t="s">
        <v>12324</v>
      </c>
      <c r="H2195" s="24" t="s">
        <v>6565</v>
      </c>
      <c r="I2195" s="25" t="s">
        <v>6475</v>
      </c>
      <c r="J2195" s="8" t="s">
        <v>6566</v>
      </c>
      <c r="K2195" s="8" t="s">
        <v>10054</v>
      </c>
      <c r="L2195" s="15">
        <v>0.125504</v>
      </c>
      <c r="M2195" s="15">
        <v>0.35367100000000001</v>
      </c>
      <c r="N2195" s="15">
        <v>0.71524436160510718</v>
      </c>
    </row>
    <row r="2196" spans="1:14" x14ac:dyDescent="0.2">
      <c r="A2196" s="2" t="s">
        <v>10068</v>
      </c>
      <c r="B2196" s="15">
        <v>927</v>
      </c>
      <c r="C2196" s="15">
        <v>6</v>
      </c>
      <c r="D2196" s="15">
        <v>1380680</v>
      </c>
      <c r="E2196" s="15">
        <v>2746531</v>
      </c>
      <c r="F2196" s="15">
        <v>4012</v>
      </c>
      <c r="G2196" s="8" t="s">
        <v>12324</v>
      </c>
      <c r="H2196" s="24" t="s">
        <v>6565</v>
      </c>
      <c r="I2196" s="25" t="s">
        <v>6475</v>
      </c>
      <c r="J2196" s="8" t="s">
        <v>6566</v>
      </c>
      <c r="K2196" s="8" t="s">
        <v>10054</v>
      </c>
      <c r="L2196" s="15">
        <v>-0.24948799999999999</v>
      </c>
      <c r="M2196" s="15">
        <v>0.35410900000000001</v>
      </c>
      <c r="N2196" s="15">
        <v>0.7158037443026436</v>
      </c>
    </row>
    <row r="2197" spans="1:14" x14ac:dyDescent="0.2">
      <c r="A2197" s="2" t="s">
        <v>10068</v>
      </c>
      <c r="B2197" s="15">
        <v>1133</v>
      </c>
      <c r="C2197" s="15">
        <v>7</v>
      </c>
      <c r="D2197" s="15">
        <v>35354136</v>
      </c>
      <c r="E2197" s="15">
        <v>36507690</v>
      </c>
      <c r="F2197" s="15">
        <v>3206</v>
      </c>
      <c r="G2197" s="8" t="s">
        <v>12324</v>
      </c>
      <c r="H2197" s="24" t="s">
        <v>599</v>
      </c>
      <c r="I2197" s="25">
        <v>26562</v>
      </c>
      <c r="J2197" s="8" t="s">
        <v>601</v>
      </c>
      <c r="K2197" s="8" t="s">
        <v>10040</v>
      </c>
      <c r="L2197" s="15">
        <v>0.25066300000000002</v>
      </c>
      <c r="M2197" s="15">
        <v>0.35453800000000002</v>
      </c>
      <c r="N2197" s="15">
        <v>0.71619797131147545</v>
      </c>
    </row>
    <row r="2198" spans="1:14" x14ac:dyDescent="0.2">
      <c r="A2198" s="2" t="s">
        <v>10068</v>
      </c>
      <c r="B2198" s="15">
        <v>2142</v>
      </c>
      <c r="C2198" s="15">
        <v>16</v>
      </c>
      <c r="D2198" s="15">
        <v>62607091</v>
      </c>
      <c r="E2198" s="15">
        <v>64207176</v>
      </c>
      <c r="F2198" s="15">
        <v>3685</v>
      </c>
      <c r="G2198" s="8" t="s">
        <v>12324</v>
      </c>
      <c r="H2198" s="24" t="s">
        <v>1259</v>
      </c>
      <c r="I2198" s="25">
        <v>27096</v>
      </c>
      <c r="J2198" s="8" t="s">
        <v>1261</v>
      </c>
      <c r="K2198" s="8" t="s">
        <v>10040</v>
      </c>
      <c r="L2198" s="15">
        <v>-0.185166</v>
      </c>
      <c r="M2198" s="15">
        <v>0.35462700000000003</v>
      </c>
      <c r="N2198" s="15">
        <v>0.71619797131147545</v>
      </c>
    </row>
    <row r="2199" spans="1:14" x14ac:dyDescent="0.2">
      <c r="A2199" s="2" t="s">
        <v>10066</v>
      </c>
      <c r="B2199" s="15">
        <v>796</v>
      </c>
      <c r="C2199" s="15">
        <v>5</v>
      </c>
      <c r="D2199" s="15">
        <v>22149043</v>
      </c>
      <c r="E2199" s="15">
        <v>23246745</v>
      </c>
      <c r="F2199" s="15">
        <v>2748</v>
      </c>
      <c r="G2199" s="8" t="s">
        <v>12324</v>
      </c>
      <c r="H2199" s="24" t="s">
        <v>3164</v>
      </c>
      <c r="I2199" s="25" t="s">
        <v>3165</v>
      </c>
      <c r="J2199" s="8" t="s">
        <v>3166</v>
      </c>
      <c r="K2199" s="8" t="s">
        <v>10042</v>
      </c>
      <c r="L2199" s="15">
        <v>0.17649300000000001</v>
      </c>
      <c r="M2199" s="15">
        <v>0.35500599999999999</v>
      </c>
      <c r="N2199" s="15">
        <v>0.71652489535941755</v>
      </c>
    </row>
    <row r="2200" spans="1:14" x14ac:dyDescent="0.2">
      <c r="A2200" s="2" t="s">
        <v>10066</v>
      </c>
      <c r="B2200" s="15">
        <v>2049</v>
      </c>
      <c r="C2200" s="15">
        <v>15</v>
      </c>
      <c r="D2200" s="15">
        <v>39238841</v>
      </c>
      <c r="E2200" s="15">
        <v>40604780</v>
      </c>
      <c r="F2200" s="15">
        <v>3290</v>
      </c>
      <c r="G2200" s="8" t="s">
        <v>12324</v>
      </c>
      <c r="H2200" s="24" t="s">
        <v>3164</v>
      </c>
      <c r="I2200" s="25" t="s">
        <v>3165</v>
      </c>
      <c r="J2200" s="8" t="s">
        <v>3166</v>
      </c>
      <c r="K2200" s="8" t="s">
        <v>10042</v>
      </c>
      <c r="L2200" s="15">
        <v>-0.238237</v>
      </c>
      <c r="M2200" s="15">
        <v>0.35511199999999998</v>
      </c>
      <c r="N2200" s="15">
        <v>0.71652489535941755</v>
      </c>
    </row>
    <row r="2201" spans="1:14" x14ac:dyDescent="0.2">
      <c r="A2201" s="2" t="s">
        <v>10068</v>
      </c>
      <c r="B2201" s="15">
        <v>2308</v>
      </c>
      <c r="C2201" s="15">
        <v>19</v>
      </c>
      <c r="D2201" s="15">
        <v>1515921</v>
      </c>
      <c r="E2201" s="15">
        <v>2253174</v>
      </c>
      <c r="F2201" s="15">
        <v>2181</v>
      </c>
      <c r="G2201" s="8" t="s">
        <v>12324</v>
      </c>
      <c r="H2201" s="24" t="s">
        <v>599</v>
      </c>
      <c r="I2201" s="25">
        <v>26562</v>
      </c>
      <c r="J2201" s="8" t="s">
        <v>601</v>
      </c>
      <c r="K2201" s="8" t="s">
        <v>10040</v>
      </c>
      <c r="L2201" s="15">
        <v>0.17357300000000001</v>
      </c>
      <c r="M2201" s="15">
        <v>0.35577999999999999</v>
      </c>
      <c r="N2201" s="15">
        <v>0.71738140909090919</v>
      </c>
    </row>
    <row r="2202" spans="1:14" x14ac:dyDescent="0.2">
      <c r="A2202" s="2" t="s">
        <v>10069</v>
      </c>
      <c r="B2202" s="15">
        <v>1932</v>
      </c>
      <c r="C2202" s="15">
        <v>13</v>
      </c>
      <c r="D2202" s="15">
        <v>91764205</v>
      </c>
      <c r="E2202" s="15">
        <v>93285142</v>
      </c>
      <c r="F2202" s="15">
        <v>2469</v>
      </c>
      <c r="G2202" s="8" t="s">
        <v>12324</v>
      </c>
      <c r="H2202" s="24" t="s">
        <v>662</v>
      </c>
      <c r="I2202" s="25" t="s">
        <v>663</v>
      </c>
      <c r="J2202" s="8" t="s">
        <v>664</v>
      </c>
      <c r="K2202" s="8" t="s">
        <v>10040</v>
      </c>
      <c r="L2202" s="15">
        <v>-0.24166399999999999</v>
      </c>
      <c r="M2202" s="15">
        <v>0.35586000000000001</v>
      </c>
      <c r="N2202" s="15">
        <v>0.71738140909090919</v>
      </c>
    </row>
    <row r="2203" spans="1:14" x14ac:dyDescent="0.2">
      <c r="A2203" s="2" t="s">
        <v>10068</v>
      </c>
      <c r="B2203" s="15">
        <v>1453</v>
      </c>
      <c r="C2203" s="15">
        <v>9</v>
      </c>
      <c r="D2203" s="15">
        <v>109150718</v>
      </c>
      <c r="E2203" s="15">
        <v>110630150</v>
      </c>
      <c r="F2203" s="15">
        <v>3963</v>
      </c>
      <c r="G2203" s="8" t="s">
        <v>12324</v>
      </c>
      <c r="H2203" s="24" t="s">
        <v>1259</v>
      </c>
      <c r="I2203" s="25">
        <v>27096</v>
      </c>
      <c r="J2203" s="8" t="s">
        <v>1261</v>
      </c>
      <c r="K2203" s="8" t="s">
        <v>10040</v>
      </c>
      <c r="L2203" s="15">
        <v>-0.201927</v>
      </c>
      <c r="M2203" s="15">
        <v>0.35641899999999999</v>
      </c>
      <c r="N2203" s="15">
        <v>0.71818185597455708</v>
      </c>
    </row>
    <row r="2204" spans="1:14" x14ac:dyDescent="0.2">
      <c r="A2204" s="2" t="s">
        <v>10068</v>
      </c>
      <c r="B2204" s="15">
        <v>1224</v>
      </c>
      <c r="C2204" s="15">
        <v>7</v>
      </c>
      <c r="D2204" s="15">
        <v>150897819</v>
      </c>
      <c r="E2204" s="15">
        <v>152253294</v>
      </c>
      <c r="F2204" s="15">
        <v>3162</v>
      </c>
      <c r="G2204" s="8" t="s">
        <v>12324</v>
      </c>
      <c r="H2204" s="24" t="s">
        <v>494</v>
      </c>
      <c r="I2204" s="25">
        <v>25920</v>
      </c>
      <c r="J2204" s="8" t="s">
        <v>496</v>
      </c>
      <c r="K2204" s="8" t="s">
        <v>10040</v>
      </c>
      <c r="L2204" s="15">
        <v>0.14452999999999999</v>
      </c>
      <c r="M2204" s="15">
        <v>0.35706399999999999</v>
      </c>
      <c r="N2204" s="15">
        <v>0.71850219600725951</v>
      </c>
    </row>
    <row r="2205" spans="1:14" x14ac:dyDescent="0.2">
      <c r="A2205" s="2" t="s">
        <v>10069</v>
      </c>
      <c r="B2205" s="15">
        <v>1227</v>
      </c>
      <c r="C2205" s="15">
        <v>7</v>
      </c>
      <c r="D2205" s="15">
        <v>154407488</v>
      </c>
      <c r="E2205" s="15">
        <v>155280610</v>
      </c>
      <c r="F2205" s="15">
        <v>2264</v>
      </c>
      <c r="G2205" s="8" t="s">
        <v>12324</v>
      </c>
      <c r="H2205" s="24" t="s">
        <v>662</v>
      </c>
      <c r="I2205" s="25" t="s">
        <v>663</v>
      </c>
      <c r="J2205" s="8" t="s">
        <v>664</v>
      </c>
      <c r="K2205" s="8" t="s">
        <v>10040</v>
      </c>
      <c r="L2205" s="15">
        <v>-0.32253799999999999</v>
      </c>
      <c r="M2205" s="15">
        <v>0.35686800000000002</v>
      </c>
      <c r="N2205" s="15">
        <v>0.71850219600725951</v>
      </c>
    </row>
    <row r="2206" spans="1:14" x14ac:dyDescent="0.2">
      <c r="A2206" s="2" t="s">
        <v>10068</v>
      </c>
      <c r="B2206" s="15">
        <v>136</v>
      </c>
      <c r="C2206" s="15">
        <v>1</v>
      </c>
      <c r="D2206" s="15">
        <v>180221609</v>
      </c>
      <c r="E2206" s="15">
        <v>181324205</v>
      </c>
      <c r="F2206" s="15">
        <v>2655</v>
      </c>
      <c r="G2206" s="8" t="s">
        <v>12324</v>
      </c>
      <c r="H2206" s="24" t="s">
        <v>1259</v>
      </c>
      <c r="I2206" s="25">
        <v>27096</v>
      </c>
      <c r="J2206" s="8" t="s">
        <v>1261</v>
      </c>
      <c r="K2206" s="8" t="s">
        <v>10040</v>
      </c>
      <c r="L2206" s="15">
        <v>-0.247834</v>
      </c>
      <c r="M2206" s="15">
        <v>0.35702499999999998</v>
      </c>
      <c r="N2206" s="15">
        <v>0.71850219600725951</v>
      </c>
    </row>
    <row r="2207" spans="1:14" x14ac:dyDescent="0.2">
      <c r="A2207" s="2" t="s">
        <v>10069</v>
      </c>
      <c r="B2207" s="15">
        <v>927</v>
      </c>
      <c r="C2207" s="15">
        <v>6</v>
      </c>
      <c r="D2207" s="15">
        <v>1380680</v>
      </c>
      <c r="E2207" s="15">
        <v>2746531</v>
      </c>
      <c r="F2207" s="15">
        <v>2667</v>
      </c>
      <c r="G2207" s="8" t="s">
        <v>12324</v>
      </c>
      <c r="H2207" s="24" t="s">
        <v>662</v>
      </c>
      <c r="I2207" s="25" t="s">
        <v>663</v>
      </c>
      <c r="J2207" s="8" t="s">
        <v>664</v>
      </c>
      <c r="K2207" s="8" t="s">
        <v>10040</v>
      </c>
      <c r="L2207" s="15">
        <v>-0.29076600000000002</v>
      </c>
      <c r="M2207" s="15">
        <v>0.35799799999999998</v>
      </c>
      <c r="N2207" s="15">
        <v>0.72005493424036282</v>
      </c>
    </row>
    <row r="2208" spans="1:14" x14ac:dyDescent="0.2">
      <c r="A2208" s="2" t="s">
        <v>10066</v>
      </c>
      <c r="B2208" s="15">
        <v>1729</v>
      </c>
      <c r="C2208" s="15">
        <v>11</v>
      </c>
      <c r="D2208" s="15">
        <v>124403478</v>
      </c>
      <c r="E2208" s="15">
        <v>125266684</v>
      </c>
      <c r="F2208" s="15">
        <v>2213</v>
      </c>
      <c r="G2208" s="8" t="s">
        <v>12324</v>
      </c>
      <c r="H2208" s="24" t="s">
        <v>3164</v>
      </c>
      <c r="I2208" s="25" t="s">
        <v>3165</v>
      </c>
      <c r="J2208" s="8" t="s">
        <v>3166</v>
      </c>
      <c r="K2208" s="8" t="s">
        <v>10042</v>
      </c>
      <c r="L2208" s="15">
        <v>-0.24065</v>
      </c>
      <c r="M2208" s="15">
        <v>0.35873500000000003</v>
      </c>
      <c r="N2208" s="15">
        <v>0.72121021078875791</v>
      </c>
    </row>
    <row r="2209" spans="1:14" x14ac:dyDescent="0.2">
      <c r="A2209" s="2" t="s">
        <v>10068</v>
      </c>
      <c r="B2209" s="15">
        <v>2255</v>
      </c>
      <c r="C2209" s="15">
        <v>18</v>
      </c>
      <c r="D2209" s="15">
        <v>20009697</v>
      </c>
      <c r="E2209" s="15">
        <v>21622716</v>
      </c>
      <c r="F2209" s="15">
        <v>3235</v>
      </c>
      <c r="G2209" s="8" t="s">
        <v>12324</v>
      </c>
      <c r="H2209" s="24" t="s">
        <v>494</v>
      </c>
      <c r="I2209" s="25">
        <v>25920</v>
      </c>
      <c r="J2209" s="8" t="s">
        <v>496</v>
      </c>
      <c r="K2209" s="8" t="s">
        <v>10040</v>
      </c>
      <c r="L2209" s="15">
        <v>-0.26525300000000002</v>
      </c>
      <c r="M2209" s="15">
        <v>0.36000300000000002</v>
      </c>
      <c r="N2209" s="15">
        <v>0.72147008811568003</v>
      </c>
    </row>
    <row r="2210" spans="1:14" x14ac:dyDescent="0.2">
      <c r="A2210" s="2" t="s">
        <v>10068</v>
      </c>
      <c r="B2210" s="15">
        <v>2297</v>
      </c>
      <c r="C2210" s="15">
        <v>18</v>
      </c>
      <c r="D2210" s="15">
        <v>69311743</v>
      </c>
      <c r="E2210" s="15">
        <v>70540349</v>
      </c>
      <c r="F2210" s="15">
        <v>4031</v>
      </c>
      <c r="G2210" s="8" t="s">
        <v>12324</v>
      </c>
      <c r="H2210" s="24" t="s">
        <v>1259</v>
      </c>
      <c r="I2210" s="25">
        <v>27096</v>
      </c>
      <c r="J2210" s="8" t="s">
        <v>1261</v>
      </c>
      <c r="K2210" s="8" t="s">
        <v>10040</v>
      </c>
      <c r="L2210" s="15">
        <v>-0.22278800000000001</v>
      </c>
      <c r="M2210" s="15">
        <v>0.35961399999999999</v>
      </c>
      <c r="N2210" s="15">
        <v>0.72147008811568003</v>
      </c>
    </row>
    <row r="2211" spans="1:14" x14ac:dyDescent="0.2">
      <c r="A2211" s="2" t="s">
        <v>10066</v>
      </c>
      <c r="B2211" s="15">
        <v>2424</v>
      </c>
      <c r="C2211" s="15">
        <v>20</v>
      </c>
      <c r="D2211" s="15">
        <v>58780895</v>
      </c>
      <c r="E2211" s="15">
        <v>59560457</v>
      </c>
      <c r="F2211" s="15">
        <v>2310</v>
      </c>
      <c r="G2211" s="8" t="s">
        <v>12324</v>
      </c>
      <c r="H2211" s="24" t="s">
        <v>3164</v>
      </c>
      <c r="I2211" s="25" t="s">
        <v>3165</v>
      </c>
      <c r="J2211" s="8" t="s">
        <v>3166</v>
      </c>
      <c r="K2211" s="8" t="s">
        <v>10042</v>
      </c>
      <c r="L2211" s="15">
        <v>-0.125441</v>
      </c>
      <c r="M2211" s="15">
        <v>0.359157</v>
      </c>
      <c r="N2211" s="15">
        <v>0.72147008811568003</v>
      </c>
    </row>
    <row r="2212" spans="1:14" x14ac:dyDescent="0.2">
      <c r="A2212" s="2" t="s">
        <v>10066</v>
      </c>
      <c r="B2212" s="15">
        <v>284</v>
      </c>
      <c r="C2212" s="15">
        <v>2</v>
      </c>
      <c r="D2212" s="15">
        <v>78080058</v>
      </c>
      <c r="E2212" s="15">
        <v>79019676</v>
      </c>
      <c r="F2212" s="15">
        <v>2424</v>
      </c>
      <c r="G2212" s="8" t="s">
        <v>12324</v>
      </c>
      <c r="H2212" s="24" t="s">
        <v>3164</v>
      </c>
      <c r="I2212" s="25" t="s">
        <v>3165</v>
      </c>
      <c r="J2212" s="8" t="s">
        <v>3166</v>
      </c>
      <c r="K2212" s="8" t="s">
        <v>10042</v>
      </c>
      <c r="L2212" s="15">
        <v>0.34765499999999999</v>
      </c>
      <c r="M2212" s="15">
        <v>0.35993799999999998</v>
      </c>
      <c r="N2212" s="15">
        <v>0.72147008811568003</v>
      </c>
    </row>
    <row r="2213" spans="1:14" x14ac:dyDescent="0.2">
      <c r="A2213" s="2" t="s">
        <v>10066</v>
      </c>
      <c r="B2213" s="15">
        <v>497</v>
      </c>
      <c r="C2213" s="15">
        <v>3</v>
      </c>
      <c r="D2213" s="15">
        <v>86660980</v>
      </c>
      <c r="E2213" s="15">
        <v>87411258</v>
      </c>
      <c r="F2213" s="15">
        <v>2022</v>
      </c>
      <c r="G2213" s="8" t="s">
        <v>12324</v>
      </c>
      <c r="H2213" s="24" t="s">
        <v>6008</v>
      </c>
      <c r="I2213" s="25" t="s">
        <v>6009</v>
      </c>
      <c r="J2213" s="8" t="s">
        <v>6010</v>
      </c>
      <c r="K2213" s="8" t="s">
        <v>10051</v>
      </c>
      <c r="L2213" s="15">
        <v>0.327903</v>
      </c>
      <c r="M2213" s="15">
        <v>0.359427</v>
      </c>
      <c r="N2213" s="15">
        <v>0.72147008811568003</v>
      </c>
    </row>
    <row r="2214" spans="1:14" x14ac:dyDescent="0.2">
      <c r="A2214" s="2" t="s">
        <v>10066</v>
      </c>
      <c r="B2214" s="15">
        <v>2410</v>
      </c>
      <c r="C2214" s="15">
        <v>20</v>
      </c>
      <c r="D2214" s="15">
        <v>46486133</v>
      </c>
      <c r="E2214" s="15">
        <v>47203836</v>
      </c>
      <c r="F2214" s="15">
        <v>2085</v>
      </c>
      <c r="G2214" s="8" t="s">
        <v>12324</v>
      </c>
      <c r="H2214" s="24" t="s">
        <v>6008</v>
      </c>
      <c r="I2214" s="25" t="s">
        <v>6009</v>
      </c>
      <c r="J2214" s="8" t="s">
        <v>6010</v>
      </c>
      <c r="K2214" s="8" t="s">
        <v>10051</v>
      </c>
      <c r="L2214" s="15">
        <v>-0.134326</v>
      </c>
      <c r="M2214" s="15">
        <v>0.35947699999999999</v>
      </c>
      <c r="N2214" s="15">
        <v>0.72147008811568003</v>
      </c>
    </row>
    <row r="2215" spans="1:14" x14ac:dyDescent="0.2">
      <c r="A2215" s="2" t="s">
        <v>10068</v>
      </c>
      <c r="B2215" s="15">
        <v>2072</v>
      </c>
      <c r="C2215" s="15">
        <v>15</v>
      </c>
      <c r="D2215" s="15">
        <v>69089816</v>
      </c>
      <c r="E2215" s="15">
        <v>70767983</v>
      </c>
      <c r="F2215" s="15">
        <v>3934</v>
      </c>
      <c r="G2215" s="8" t="s">
        <v>12324</v>
      </c>
      <c r="H2215" s="24" t="s">
        <v>6565</v>
      </c>
      <c r="I2215" s="25" t="s">
        <v>6475</v>
      </c>
      <c r="J2215" s="8" t="s">
        <v>6566</v>
      </c>
      <c r="K2215" s="8" t="s">
        <v>10054</v>
      </c>
      <c r="L2215" s="15">
        <v>-0.238535</v>
      </c>
      <c r="M2215" s="15">
        <v>0.35974400000000001</v>
      </c>
      <c r="N2215" s="15">
        <v>0.72147008811568003</v>
      </c>
    </row>
    <row r="2216" spans="1:14" x14ac:dyDescent="0.2">
      <c r="A2216" s="2" t="s">
        <v>10068</v>
      </c>
      <c r="B2216" s="15">
        <v>2227</v>
      </c>
      <c r="C2216" s="15">
        <v>17</v>
      </c>
      <c r="D2216" s="15">
        <v>70495120</v>
      </c>
      <c r="E2216" s="15">
        <v>71466953</v>
      </c>
      <c r="F2216" s="15">
        <v>2899</v>
      </c>
      <c r="G2216" s="8" t="s">
        <v>12324</v>
      </c>
      <c r="H2216" s="24" t="s">
        <v>599</v>
      </c>
      <c r="I2216" s="25">
        <v>26562</v>
      </c>
      <c r="J2216" s="8" t="s">
        <v>601</v>
      </c>
      <c r="K2216" s="8" t="s">
        <v>10040</v>
      </c>
      <c r="L2216" s="15">
        <v>0.14812800000000001</v>
      </c>
      <c r="M2216" s="15">
        <v>0.36038799999999999</v>
      </c>
      <c r="N2216" s="15">
        <v>0.72153207129963903</v>
      </c>
    </row>
    <row r="2217" spans="1:14" x14ac:dyDescent="0.2">
      <c r="A2217" s="2" t="s">
        <v>10068</v>
      </c>
      <c r="B2217" s="15">
        <v>551</v>
      </c>
      <c r="C2217" s="15">
        <v>3</v>
      </c>
      <c r="D2217" s="15">
        <v>148638309</v>
      </c>
      <c r="E2217" s="15">
        <v>149998411</v>
      </c>
      <c r="F2217" s="15">
        <v>3667</v>
      </c>
      <c r="G2217" s="8" t="s">
        <v>12324</v>
      </c>
      <c r="H2217" s="24" t="s">
        <v>1259</v>
      </c>
      <c r="I2217" s="25">
        <v>27096</v>
      </c>
      <c r="J2217" s="8" t="s">
        <v>1261</v>
      </c>
      <c r="K2217" s="8" t="s">
        <v>10040</v>
      </c>
      <c r="L2217" s="15">
        <v>0.207119</v>
      </c>
      <c r="M2217" s="15">
        <v>0.36050399999999999</v>
      </c>
      <c r="N2217" s="15">
        <v>0.72153207129963903</v>
      </c>
    </row>
    <row r="2218" spans="1:14" x14ac:dyDescent="0.2">
      <c r="A2218" s="2" t="s">
        <v>10068</v>
      </c>
      <c r="B2218" s="15">
        <v>1032</v>
      </c>
      <c r="C2218" s="15">
        <v>6</v>
      </c>
      <c r="D2218" s="15">
        <v>101793543</v>
      </c>
      <c r="E2218" s="15">
        <v>102637706</v>
      </c>
      <c r="F2218" s="15">
        <v>2161</v>
      </c>
      <c r="G2218" s="8" t="s">
        <v>12324</v>
      </c>
      <c r="H2218" s="24" t="s">
        <v>6565</v>
      </c>
      <c r="I2218" s="25" t="s">
        <v>6475</v>
      </c>
      <c r="J2218" s="8" t="s">
        <v>6566</v>
      </c>
      <c r="K2218" s="8" t="s">
        <v>10054</v>
      </c>
      <c r="L2218" s="15">
        <v>0.21227399999999999</v>
      </c>
      <c r="M2218" s="15">
        <v>0.36052200000000001</v>
      </c>
      <c r="N2218" s="15">
        <v>0.72153207129963903</v>
      </c>
    </row>
    <row r="2219" spans="1:14" x14ac:dyDescent="0.2">
      <c r="A2219" s="2" t="s">
        <v>10068</v>
      </c>
      <c r="B2219" s="15">
        <v>1595</v>
      </c>
      <c r="C2219" s="15">
        <v>10</v>
      </c>
      <c r="D2219" s="15">
        <v>121874446</v>
      </c>
      <c r="E2219" s="15">
        <v>122803506</v>
      </c>
      <c r="F2219" s="15">
        <v>2924</v>
      </c>
      <c r="G2219" s="8" t="s">
        <v>12324</v>
      </c>
      <c r="H2219" s="24" t="s">
        <v>494</v>
      </c>
      <c r="I2219" s="25">
        <v>25920</v>
      </c>
      <c r="J2219" s="8" t="s">
        <v>496</v>
      </c>
      <c r="K2219" s="8" t="s">
        <v>10040</v>
      </c>
      <c r="L2219" s="15">
        <v>0.160306</v>
      </c>
      <c r="M2219" s="15">
        <v>0.36189700000000002</v>
      </c>
      <c r="N2219" s="15">
        <v>0.72256798785971232</v>
      </c>
    </row>
    <row r="2220" spans="1:14" x14ac:dyDescent="0.2">
      <c r="A2220" s="2" t="s">
        <v>10068</v>
      </c>
      <c r="B2220" s="15">
        <v>986</v>
      </c>
      <c r="C2220" s="15">
        <v>6</v>
      </c>
      <c r="D2220" s="15">
        <v>51826424</v>
      </c>
      <c r="E2220" s="15">
        <v>52598879</v>
      </c>
      <c r="F2220" s="15">
        <v>2244</v>
      </c>
      <c r="G2220" s="8" t="s">
        <v>12324</v>
      </c>
      <c r="H2220" s="24" t="s">
        <v>494</v>
      </c>
      <c r="I2220" s="25">
        <v>25920</v>
      </c>
      <c r="J2220" s="8" t="s">
        <v>496</v>
      </c>
      <c r="K2220" s="8" t="s">
        <v>10040</v>
      </c>
      <c r="L2220" s="15">
        <v>-0.19179299999999999</v>
      </c>
      <c r="M2220" s="15">
        <v>0.36193799999999998</v>
      </c>
      <c r="N2220" s="15">
        <v>0.72256798785971232</v>
      </c>
    </row>
    <row r="2221" spans="1:14" x14ac:dyDescent="0.2">
      <c r="A2221" s="2" t="s">
        <v>10068</v>
      </c>
      <c r="B2221" s="15">
        <v>2293</v>
      </c>
      <c r="C2221" s="15">
        <v>18</v>
      </c>
      <c r="D2221" s="15">
        <v>65294196</v>
      </c>
      <c r="E2221" s="15">
        <v>66407960</v>
      </c>
      <c r="F2221" s="15">
        <v>3684</v>
      </c>
      <c r="G2221" s="8" t="s">
        <v>12324</v>
      </c>
      <c r="H2221" s="24" t="s">
        <v>599</v>
      </c>
      <c r="I2221" s="25">
        <v>26562</v>
      </c>
      <c r="J2221" s="8" t="s">
        <v>601</v>
      </c>
      <c r="K2221" s="8" t="s">
        <v>10040</v>
      </c>
      <c r="L2221" s="15">
        <v>-0.166634</v>
      </c>
      <c r="M2221" s="15">
        <v>0.36155500000000002</v>
      </c>
      <c r="N2221" s="15">
        <v>0.72256798785971232</v>
      </c>
    </row>
    <row r="2222" spans="1:14" x14ac:dyDescent="0.2">
      <c r="A2222" s="2" t="s">
        <v>10068</v>
      </c>
      <c r="B2222" s="15">
        <v>399</v>
      </c>
      <c r="C2222" s="15">
        <v>2</v>
      </c>
      <c r="D2222" s="15">
        <v>222327714</v>
      </c>
      <c r="E2222" s="15">
        <v>223353965</v>
      </c>
      <c r="F2222" s="15">
        <v>2142</v>
      </c>
      <c r="G2222" s="8" t="s">
        <v>12324</v>
      </c>
      <c r="H2222" s="24" t="s">
        <v>599</v>
      </c>
      <c r="I2222" s="25">
        <v>26562</v>
      </c>
      <c r="J2222" s="8" t="s">
        <v>601</v>
      </c>
      <c r="K2222" s="8" t="s">
        <v>10040</v>
      </c>
      <c r="L2222" s="15">
        <v>-0.16098299999999999</v>
      </c>
      <c r="M2222" s="15">
        <v>0.36219800000000002</v>
      </c>
      <c r="N2222" s="15">
        <v>0.72256798785971232</v>
      </c>
    </row>
    <row r="2223" spans="1:14" x14ac:dyDescent="0.2">
      <c r="A2223" s="2" t="s">
        <v>10066</v>
      </c>
      <c r="B2223" s="15">
        <v>383</v>
      </c>
      <c r="C2223" s="15">
        <v>2</v>
      </c>
      <c r="D2223" s="15">
        <v>205038120</v>
      </c>
      <c r="E2223" s="15">
        <v>206821199</v>
      </c>
      <c r="F2223" s="15">
        <v>3869</v>
      </c>
      <c r="G2223" s="8" t="s">
        <v>12324</v>
      </c>
      <c r="H2223" s="24" t="s">
        <v>3164</v>
      </c>
      <c r="I2223" s="25" t="s">
        <v>3165</v>
      </c>
      <c r="J2223" s="8" t="s">
        <v>3166</v>
      </c>
      <c r="K2223" s="8" t="s">
        <v>10042</v>
      </c>
      <c r="L2223" s="15">
        <v>0.16644600000000001</v>
      </c>
      <c r="M2223" s="15">
        <v>0.361929</v>
      </c>
      <c r="N2223" s="15">
        <v>0.72256798785971232</v>
      </c>
    </row>
    <row r="2224" spans="1:14" x14ac:dyDescent="0.2">
      <c r="A2224" s="2" t="s">
        <v>10066</v>
      </c>
      <c r="B2224" s="15">
        <v>600</v>
      </c>
      <c r="C2224" s="15">
        <v>4</v>
      </c>
      <c r="D2224" s="15">
        <v>3549230</v>
      </c>
      <c r="E2224" s="15">
        <v>4266178</v>
      </c>
      <c r="F2224" s="15">
        <v>3428</v>
      </c>
      <c r="G2224" s="8" t="s">
        <v>12324</v>
      </c>
      <c r="H2224" s="24" t="s">
        <v>6008</v>
      </c>
      <c r="I2224" s="25" t="s">
        <v>6009</v>
      </c>
      <c r="J2224" s="8" t="s">
        <v>6010</v>
      </c>
      <c r="K2224" s="8" t="s">
        <v>10051</v>
      </c>
      <c r="L2224" s="15">
        <v>0.12878700000000001</v>
      </c>
      <c r="M2224" s="15">
        <v>0.36203999999999997</v>
      </c>
      <c r="N2224" s="15">
        <v>0.72256798785971232</v>
      </c>
    </row>
    <row r="2225" spans="1:14" x14ac:dyDescent="0.2">
      <c r="A2225" s="2" t="s">
        <v>10068</v>
      </c>
      <c r="B2225" s="15">
        <v>1222</v>
      </c>
      <c r="C2225" s="15">
        <v>7</v>
      </c>
      <c r="D2225" s="15">
        <v>148622914</v>
      </c>
      <c r="E2225" s="15">
        <v>149842999</v>
      </c>
      <c r="F2225" s="15">
        <v>3286</v>
      </c>
      <c r="G2225" s="8" t="s">
        <v>12324</v>
      </c>
      <c r="H2225" s="24" t="s">
        <v>6565</v>
      </c>
      <c r="I2225" s="25" t="s">
        <v>6475</v>
      </c>
      <c r="J2225" s="8" t="s">
        <v>6566</v>
      </c>
      <c r="K2225" s="8" t="s">
        <v>10054</v>
      </c>
      <c r="L2225" s="15">
        <v>-0.15146000000000001</v>
      </c>
      <c r="M2225" s="15">
        <v>0.36175600000000002</v>
      </c>
      <c r="N2225" s="15">
        <v>0.72256798785971232</v>
      </c>
    </row>
    <row r="2226" spans="1:14" x14ac:dyDescent="0.2">
      <c r="A2226" s="2" t="s">
        <v>10068</v>
      </c>
      <c r="B2226" s="15">
        <v>2316</v>
      </c>
      <c r="C2226" s="15">
        <v>19</v>
      </c>
      <c r="D2226" s="15">
        <v>8199017</v>
      </c>
      <c r="E2226" s="15">
        <v>9105577</v>
      </c>
      <c r="F2226" s="15">
        <v>2612</v>
      </c>
      <c r="G2226" s="8" t="s">
        <v>12324</v>
      </c>
      <c r="H2226" s="24" t="s">
        <v>6565</v>
      </c>
      <c r="I2226" s="25" t="s">
        <v>6475</v>
      </c>
      <c r="J2226" s="8" t="s">
        <v>6566</v>
      </c>
      <c r="K2226" s="8" t="s">
        <v>10054</v>
      </c>
      <c r="L2226" s="15">
        <v>-0.21173</v>
      </c>
      <c r="M2226" s="15">
        <v>0.36234300000000003</v>
      </c>
      <c r="N2226" s="15">
        <v>0.72256798785971232</v>
      </c>
    </row>
    <row r="2227" spans="1:14" x14ac:dyDescent="0.2">
      <c r="A2227" s="2" t="s">
        <v>10068</v>
      </c>
      <c r="B2227" s="15">
        <v>2457</v>
      </c>
      <c r="C2227" s="15">
        <v>21</v>
      </c>
      <c r="D2227" s="15">
        <v>43081435</v>
      </c>
      <c r="E2227" s="15">
        <v>43812791</v>
      </c>
      <c r="F2227" s="15">
        <v>3072</v>
      </c>
      <c r="G2227" s="8" t="s">
        <v>12324</v>
      </c>
      <c r="H2227" s="24" t="s">
        <v>599</v>
      </c>
      <c r="I2227" s="25">
        <v>26562</v>
      </c>
      <c r="J2227" s="8" t="s">
        <v>601</v>
      </c>
      <c r="K2227" s="8" t="s">
        <v>10040</v>
      </c>
      <c r="L2227" s="15">
        <v>0.24277000000000001</v>
      </c>
      <c r="M2227" s="15">
        <v>0.36344100000000001</v>
      </c>
      <c r="N2227" s="15">
        <v>0.72409788953749432</v>
      </c>
    </row>
    <row r="2228" spans="1:14" x14ac:dyDescent="0.2">
      <c r="A2228" s="2" t="s">
        <v>10066</v>
      </c>
      <c r="B2228" s="15">
        <v>200</v>
      </c>
      <c r="C2228" s="15">
        <v>1</v>
      </c>
      <c r="D2228" s="15">
        <v>248341595</v>
      </c>
      <c r="E2228" s="15">
        <v>249240538</v>
      </c>
      <c r="F2228" s="15">
        <v>1747</v>
      </c>
      <c r="G2228" s="8" t="s">
        <v>12324</v>
      </c>
      <c r="H2228" s="24" t="s">
        <v>3164</v>
      </c>
      <c r="I2228" s="25" t="s">
        <v>3165</v>
      </c>
      <c r="J2228" s="8" t="s">
        <v>3166</v>
      </c>
      <c r="K2228" s="8" t="s">
        <v>10042</v>
      </c>
      <c r="L2228" s="15">
        <v>-0.14285900000000001</v>
      </c>
      <c r="M2228" s="15">
        <v>0.36359999999999998</v>
      </c>
      <c r="N2228" s="15">
        <v>0.72409788953749432</v>
      </c>
    </row>
    <row r="2229" spans="1:14" x14ac:dyDescent="0.2">
      <c r="A2229" s="2" t="s">
        <v>10068</v>
      </c>
      <c r="B2229" s="15">
        <v>1852</v>
      </c>
      <c r="C2229" s="15">
        <v>12</v>
      </c>
      <c r="D2229" s="15">
        <v>124843769</v>
      </c>
      <c r="E2229" s="15">
        <v>126079935</v>
      </c>
      <c r="F2229" s="15">
        <v>3831</v>
      </c>
      <c r="G2229" s="8" t="s">
        <v>12324</v>
      </c>
      <c r="H2229" s="24" t="s">
        <v>6565</v>
      </c>
      <c r="I2229" s="25" t="s">
        <v>6475</v>
      </c>
      <c r="J2229" s="8" t="s">
        <v>6566</v>
      </c>
      <c r="K2229" s="8" t="s">
        <v>10054</v>
      </c>
      <c r="L2229" s="15">
        <v>-0.186886</v>
      </c>
      <c r="M2229" s="15">
        <v>0.363483</v>
      </c>
      <c r="N2229" s="15">
        <v>0.72409788953749432</v>
      </c>
    </row>
    <row r="2230" spans="1:14" x14ac:dyDescent="0.2">
      <c r="A2230" s="2" t="s">
        <v>10068</v>
      </c>
      <c r="B2230" s="15">
        <v>2283</v>
      </c>
      <c r="C2230" s="15">
        <v>18</v>
      </c>
      <c r="D2230" s="15">
        <v>54957868</v>
      </c>
      <c r="E2230" s="15">
        <v>55809315</v>
      </c>
      <c r="F2230" s="15">
        <v>2737</v>
      </c>
      <c r="G2230" s="8" t="s">
        <v>12324</v>
      </c>
      <c r="H2230" s="24" t="s">
        <v>494</v>
      </c>
      <c r="I2230" s="25">
        <v>25920</v>
      </c>
      <c r="J2230" s="8" t="s">
        <v>496</v>
      </c>
      <c r="K2230" s="8" t="s">
        <v>10040</v>
      </c>
      <c r="L2230" s="15">
        <v>0.18172199999999999</v>
      </c>
      <c r="M2230" s="15">
        <v>0.36392400000000003</v>
      </c>
      <c r="N2230" s="15">
        <v>0.72438797176154179</v>
      </c>
    </row>
    <row r="2231" spans="1:14" x14ac:dyDescent="0.2">
      <c r="A2231" s="2" t="s">
        <v>10068</v>
      </c>
      <c r="B2231" s="15">
        <v>1916</v>
      </c>
      <c r="C2231" s="15">
        <v>13</v>
      </c>
      <c r="D2231" s="15">
        <v>76671494</v>
      </c>
      <c r="E2231" s="15">
        <v>77460044</v>
      </c>
      <c r="F2231" s="15">
        <v>2221</v>
      </c>
      <c r="G2231" s="8" t="s">
        <v>12324</v>
      </c>
      <c r="H2231" s="24" t="s">
        <v>599</v>
      </c>
      <c r="I2231" s="25">
        <v>26562</v>
      </c>
      <c r="J2231" s="8" t="s">
        <v>601</v>
      </c>
      <c r="K2231" s="8" t="s">
        <v>10040</v>
      </c>
      <c r="L2231" s="15">
        <v>0.26430199999999998</v>
      </c>
      <c r="M2231" s="15">
        <v>0.36438500000000001</v>
      </c>
      <c r="N2231" s="15">
        <v>0.72438797176154179</v>
      </c>
    </row>
    <row r="2232" spans="1:14" x14ac:dyDescent="0.2">
      <c r="A2232" s="2" t="s">
        <v>10068</v>
      </c>
      <c r="B2232" s="15">
        <v>780</v>
      </c>
      <c r="C2232" s="15">
        <v>5</v>
      </c>
      <c r="D2232" s="15">
        <v>3677596</v>
      </c>
      <c r="E2232" s="15">
        <v>4636542</v>
      </c>
      <c r="F2232" s="15">
        <v>2500</v>
      </c>
      <c r="G2232" s="8" t="s">
        <v>12324</v>
      </c>
      <c r="H2232" s="24" t="s">
        <v>599</v>
      </c>
      <c r="I2232" s="25">
        <v>26562</v>
      </c>
      <c r="J2232" s="8" t="s">
        <v>601</v>
      </c>
      <c r="K2232" s="8" t="s">
        <v>10040</v>
      </c>
      <c r="L2232" s="15">
        <v>-0.13711599999999999</v>
      </c>
      <c r="M2232" s="15">
        <v>0.36439899999999997</v>
      </c>
      <c r="N2232" s="15">
        <v>0.72438797176154179</v>
      </c>
    </row>
    <row r="2233" spans="1:14" x14ac:dyDescent="0.2">
      <c r="A2233" s="2" t="s">
        <v>10068</v>
      </c>
      <c r="B2233" s="15">
        <v>2082</v>
      </c>
      <c r="C2233" s="15">
        <v>15</v>
      </c>
      <c r="D2233" s="15">
        <v>81077026</v>
      </c>
      <c r="E2233" s="15">
        <v>82191077</v>
      </c>
      <c r="F2233" s="15">
        <v>2247</v>
      </c>
      <c r="G2233" s="8" t="s">
        <v>12324</v>
      </c>
      <c r="H2233" s="24" t="s">
        <v>6565</v>
      </c>
      <c r="I2233" s="25" t="s">
        <v>6475</v>
      </c>
      <c r="J2233" s="8" t="s">
        <v>6566</v>
      </c>
      <c r="K2233" s="8" t="s">
        <v>10054</v>
      </c>
      <c r="L2233" s="15">
        <v>0.218362</v>
      </c>
      <c r="M2233" s="15">
        <v>0.36435299999999998</v>
      </c>
      <c r="N2233" s="15">
        <v>0.72438797176154179</v>
      </c>
    </row>
    <row r="2234" spans="1:14" x14ac:dyDescent="0.2">
      <c r="A2234" s="2" t="s">
        <v>10066</v>
      </c>
      <c r="B2234" s="15">
        <v>1710</v>
      </c>
      <c r="C2234" s="15">
        <v>11</v>
      </c>
      <c r="D2234" s="15">
        <v>101881253</v>
      </c>
      <c r="E2234" s="15">
        <v>102671665</v>
      </c>
      <c r="F2234" s="15">
        <v>2120</v>
      </c>
      <c r="G2234" s="8" t="s">
        <v>12324</v>
      </c>
      <c r="H2234" s="24" t="s">
        <v>6008</v>
      </c>
      <c r="I2234" s="25" t="s">
        <v>6009</v>
      </c>
      <c r="J2234" s="8" t="s">
        <v>6010</v>
      </c>
      <c r="K2234" s="8" t="s">
        <v>10051</v>
      </c>
      <c r="L2234" s="15">
        <v>0.27715499999999998</v>
      </c>
      <c r="M2234" s="15">
        <v>0.36473</v>
      </c>
      <c r="N2234" s="15">
        <v>0.72472112455197135</v>
      </c>
    </row>
    <row r="2235" spans="1:14" x14ac:dyDescent="0.2">
      <c r="A2235" s="2" t="s">
        <v>10068</v>
      </c>
      <c r="B2235" s="15">
        <v>2180</v>
      </c>
      <c r="C2235" s="15">
        <v>17</v>
      </c>
      <c r="D2235" s="15">
        <v>6305079</v>
      </c>
      <c r="E2235" s="15">
        <v>7264458</v>
      </c>
      <c r="F2235" s="15">
        <v>2700</v>
      </c>
      <c r="G2235" s="8" t="s">
        <v>12324</v>
      </c>
      <c r="H2235" s="24" t="s">
        <v>494</v>
      </c>
      <c r="I2235" s="25">
        <v>25920</v>
      </c>
      <c r="J2235" s="8" t="s">
        <v>496</v>
      </c>
      <c r="K2235" s="8" t="s">
        <v>10040</v>
      </c>
      <c r="L2235" s="15">
        <v>0.20388800000000001</v>
      </c>
      <c r="M2235" s="15">
        <v>0.36515300000000001</v>
      </c>
      <c r="N2235" s="15">
        <v>0.72523670174652932</v>
      </c>
    </row>
    <row r="2236" spans="1:14" x14ac:dyDescent="0.2">
      <c r="A2236" s="2" t="s">
        <v>10066</v>
      </c>
      <c r="B2236" s="15">
        <v>910</v>
      </c>
      <c r="C2236" s="15">
        <v>5</v>
      </c>
      <c r="D2236" s="15">
        <v>160519050</v>
      </c>
      <c r="E2236" s="15">
        <v>161478177</v>
      </c>
      <c r="F2236" s="15">
        <v>2347</v>
      </c>
      <c r="G2236" s="8" t="s">
        <v>12324</v>
      </c>
      <c r="H2236" s="24" t="s">
        <v>3164</v>
      </c>
      <c r="I2236" s="25" t="s">
        <v>3165</v>
      </c>
      <c r="J2236" s="8" t="s">
        <v>3166</v>
      </c>
      <c r="K2236" s="8" t="s">
        <v>10042</v>
      </c>
      <c r="L2236" s="15">
        <v>-0.33188800000000002</v>
      </c>
      <c r="M2236" s="15">
        <v>0.36535800000000002</v>
      </c>
      <c r="N2236" s="15">
        <v>0.72531903760071625</v>
      </c>
    </row>
    <row r="2237" spans="1:14" x14ac:dyDescent="0.2">
      <c r="A2237" s="2" t="s">
        <v>10068</v>
      </c>
      <c r="B2237" s="15">
        <v>1350</v>
      </c>
      <c r="C2237" s="15">
        <v>8</v>
      </c>
      <c r="D2237" s="15">
        <v>124001020</v>
      </c>
      <c r="E2237" s="15">
        <v>125453322</v>
      </c>
      <c r="F2237" s="15">
        <v>3556</v>
      </c>
      <c r="G2237" s="8" t="s">
        <v>12324</v>
      </c>
      <c r="H2237" s="24" t="s">
        <v>599</v>
      </c>
      <c r="I2237" s="25">
        <v>26562</v>
      </c>
      <c r="J2237" s="8" t="s">
        <v>601</v>
      </c>
      <c r="K2237" s="8" t="s">
        <v>10040</v>
      </c>
      <c r="L2237" s="15">
        <v>0.13333300000000001</v>
      </c>
      <c r="M2237" s="15">
        <v>0.36594700000000002</v>
      </c>
      <c r="N2237" s="15">
        <v>0.72616328635346761</v>
      </c>
    </row>
    <row r="2238" spans="1:14" x14ac:dyDescent="0.2">
      <c r="A2238" s="2" t="s">
        <v>10066</v>
      </c>
      <c r="B2238" s="15">
        <v>53</v>
      </c>
      <c r="C2238" s="15">
        <v>1</v>
      </c>
      <c r="D2238" s="15">
        <v>61377616</v>
      </c>
      <c r="E2238" s="15">
        <v>62778733</v>
      </c>
      <c r="F2238" s="15">
        <v>3814</v>
      </c>
      <c r="G2238" s="8" t="s">
        <v>12324</v>
      </c>
      <c r="H2238" s="24" t="s">
        <v>3164</v>
      </c>
      <c r="I2238" s="25" t="s">
        <v>3165</v>
      </c>
      <c r="J2238" s="8" t="s">
        <v>3166</v>
      </c>
      <c r="K2238" s="8" t="s">
        <v>10042</v>
      </c>
      <c r="L2238" s="15">
        <v>0.28371800000000003</v>
      </c>
      <c r="M2238" s="15">
        <v>0.36621100000000001</v>
      </c>
      <c r="N2238" s="15">
        <v>0.72636215787119851</v>
      </c>
    </row>
    <row r="2239" spans="1:14" x14ac:dyDescent="0.2">
      <c r="A2239" s="2" t="s">
        <v>10068</v>
      </c>
      <c r="B2239" s="15">
        <v>2228</v>
      </c>
      <c r="C2239" s="15">
        <v>17</v>
      </c>
      <c r="D2239" s="15">
        <v>71466954</v>
      </c>
      <c r="E2239" s="15">
        <v>72383472</v>
      </c>
      <c r="F2239" s="15">
        <v>2949</v>
      </c>
      <c r="G2239" s="8" t="s">
        <v>12324</v>
      </c>
      <c r="H2239" s="24" t="s">
        <v>494</v>
      </c>
      <c r="I2239" s="25">
        <v>25920</v>
      </c>
      <c r="J2239" s="8" t="s">
        <v>496</v>
      </c>
      <c r="K2239" s="8" t="s">
        <v>10040</v>
      </c>
      <c r="L2239" s="15">
        <v>0.12722900000000001</v>
      </c>
      <c r="M2239" s="15">
        <v>0.36648500000000001</v>
      </c>
      <c r="N2239" s="15">
        <v>0.72650373100983012</v>
      </c>
    </row>
    <row r="2240" spans="1:14" x14ac:dyDescent="0.2">
      <c r="A2240" s="2" t="s">
        <v>10066</v>
      </c>
      <c r="B2240" s="15">
        <v>2351</v>
      </c>
      <c r="C2240" s="15">
        <v>19</v>
      </c>
      <c r="D2240" s="15">
        <v>45040933</v>
      </c>
      <c r="E2240" s="15">
        <v>45893307</v>
      </c>
      <c r="F2240" s="15">
        <v>2371</v>
      </c>
      <c r="G2240" s="8" t="s">
        <v>12324</v>
      </c>
      <c r="H2240" s="24" t="s">
        <v>3164</v>
      </c>
      <c r="I2240" s="25" t="s">
        <v>3165</v>
      </c>
      <c r="J2240" s="8" t="s">
        <v>3166</v>
      </c>
      <c r="K2240" s="8" t="s">
        <v>10042</v>
      </c>
      <c r="L2240" s="15">
        <v>-0.16873099999999999</v>
      </c>
      <c r="M2240" s="15">
        <v>0.36660999999999999</v>
      </c>
      <c r="N2240" s="15">
        <v>0.72650373100983012</v>
      </c>
    </row>
    <row r="2241" spans="1:14" x14ac:dyDescent="0.2">
      <c r="A2241" s="2" t="s">
        <v>10068</v>
      </c>
      <c r="B2241" s="15">
        <v>2419</v>
      </c>
      <c r="C2241" s="15">
        <v>20</v>
      </c>
      <c r="D2241" s="15">
        <v>54743695</v>
      </c>
      <c r="E2241" s="15">
        <v>55448075</v>
      </c>
      <c r="F2241" s="15">
        <v>2232</v>
      </c>
      <c r="G2241" s="8" t="s">
        <v>12324</v>
      </c>
      <c r="H2241" s="24" t="s">
        <v>599</v>
      </c>
      <c r="I2241" s="25">
        <v>26562</v>
      </c>
      <c r="J2241" s="8" t="s">
        <v>601</v>
      </c>
      <c r="K2241" s="8" t="s">
        <v>10040</v>
      </c>
      <c r="L2241" s="15">
        <v>0.14518700000000001</v>
      </c>
      <c r="M2241" s="15">
        <v>0.36688900000000002</v>
      </c>
      <c r="N2241" s="15">
        <v>0.72660347321428564</v>
      </c>
    </row>
    <row r="2242" spans="1:14" x14ac:dyDescent="0.2">
      <c r="A2242" s="2" t="s">
        <v>10066</v>
      </c>
      <c r="B2242" s="15">
        <v>861</v>
      </c>
      <c r="C2242" s="15">
        <v>5</v>
      </c>
      <c r="D2242" s="15">
        <v>102903986</v>
      </c>
      <c r="E2242" s="15">
        <v>103788460</v>
      </c>
      <c r="F2242" s="15">
        <v>2191</v>
      </c>
      <c r="G2242" s="8" t="s">
        <v>12324</v>
      </c>
      <c r="H2242" s="24" t="s">
        <v>3164</v>
      </c>
      <c r="I2242" s="25" t="s">
        <v>3165</v>
      </c>
      <c r="J2242" s="8" t="s">
        <v>3166</v>
      </c>
      <c r="K2242" s="8" t="s">
        <v>10042</v>
      </c>
      <c r="L2242" s="15">
        <v>0.24960099999999999</v>
      </c>
      <c r="M2242" s="15">
        <v>0.36698799999999998</v>
      </c>
      <c r="N2242" s="15">
        <v>0.72660347321428564</v>
      </c>
    </row>
    <row r="2243" spans="1:14" x14ac:dyDescent="0.2">
      <c r="A2243" s="2" t="s">
        <v>10068</v>
      </c>
      <c r="B2243" s="15">
        <v>3</v>
      </c>
      <c r="C2243" s="15">
        <v>1</v>
      </c>
      <c r="D2243" s="15">
        <v>2215496</v>
      </c>
      <c r="E2243" s="15">
        <v>2983519</v>
      </c>
      <c r="F2243" s="15">
        <v>2239</v>
      </c>
      <c r="G2243" s="8" t="s">
        <v>12324</v>
      </c>
      <c r="H2243" s="24" t="s">
        <v>494</v>
      </c>
      <c r="I2243" s="25">
        <v>25920</v>
      </c>
      <c r="J2243" s="8" t="s">
        <v>496</v>
      </c>
      <c r="K2243" s="8" t="s">
        <v>10040</v>
      </c>
      <c r="L2243" s="15">
        <v>-0.23450399999999999</v>
      </c>
      <c r="M2243" s="15">
        <v>0.36781000000000003</v>
      </c>
      <c r="N2243" s="15">
        <v>0.72790600178491749</v>
      </c>
    </row>
    <row r="2244" spans="1:14" x14ac:dyDescent="0.2">
      <c r="A2244" s="2" t="s">
        <v>10066</v>
      </c>
      <c r="B2244" s="15">
        <v>1993</v>
      </c>
      <c r="C2244" s="15">
        <v>14</v>
      </c>
      <c r="D2244" s="15">
        <v>61652817</v>
      </c>
      <c r="E2244" s="15">
        <v>62717985</v>
      </c>
      <c r="F2244" s="15">
        <v>2776</v>
      </c>
      <c r="G2244" s="8" t="s">
        <v>12324</v>
      </c>
      <c r="H2244" s="24" t="s">
        <v>6008</v>
      </c>
      <c r="I2244" s="25" t="s">
        <v>6009</v>
      </c>
      <c r="J2244" s="8" t="s">
        <v>6010</v>
      </c>
      <c r="K2244" s="8" t="s">
        <v>10051</v>
      </c>
      <c r="L2244" s="15">
        <v>-0.188833</v>
      </c>
      <c r="M2244" s="15">
        <v>0.36809700000000001</v>
      </c>
      <c r="N2244" s="15">
        <v>0.72814906110615518</v>
      </c>
    </row>
    <row r="2245" spans="1:14" x14ac:dyDescent="0.2">
      <c r="A2245" s="2" t="s">
        <v>10069</v>
      </c>
      <c r="B2245" s="15">
        <v>1478</v>
      </c>
      <c r="C2245" s="15">
        <v>9</v>
      </c>
      <c r="D2245" s="15">
        <v>135135888</v>
      </c>
      <c r="E2245" s="15">
        <v>136042490</v>
      </c>
      <c r="F2245" s="15">
        <v>1532</v>
      </c>
      <c r="G2245" s="8" t="s">
        <v>12324</v>
      </c>
      <c r="H2245" s="24" t="s">
        <v>662</v>
      </c>
      <c r="I2245" s="25" t="s">
        <v>663</v>
      </c>
      <c r="J2245" s="8" t="s">
        <v>664</v>
      </c>
      <c r="K2245" s="8" t="s">
        <v>10040</v>
      </c>
      <c r="L2245" s="15">
        <v>-0.27377699999999999</v>
      </c>
      <c r="M2245" s="15">
        <v>0.36902499999999999</v>
      </c>
      <c r="N2245" s="15">
        <v>0.7285916555555555</v>
      </c>
    </row>
    <row r="2246" spans="1:14" x14ac:dyDescent="0.2">
      <c r="A2246" s="2" t="s">
        <v>10069</v>
      </c>
      <c r="B2246" s="15">
        <v>2255</v>
      </c>
      <c r="C2246" s="15">
        <v>18</v>
      </c>
      <c r="D2246" s="15">
        <v>20009697</v>
      </c>
      <c r="E2246" s="15">
        <v>21622716</v>
      </c>
      <c r="F2246" s="15">
        <v>1844</v>
      </c>
      <c r="G2246" s="8" t="s">
        <v>12324</v>
      </c>
      <c r="H2246" s="24" t="s">
        <v>662</v>
      </c>
      <c r="I2246" s="25" t="s">
        <v>663</v>
      </c>
      <c r="J2246" s="8" t="s">
        <v>664</v>
      </c>
      <c r="K2246" s="8" t="s">
        <v>10040</v>
      </c>
      <c r="L2246" s="15">
        <v>-0.42591899999999999</v>
      </c>
      <c r="M2246" s="15">
        <v>0.36926199999999998</v>
      </c>
      <c r="N2246" s="15">
        <v>0.7285916555555555</v>
      </c>
    </row>
    <row r="2247" spans="1:14" x14ac:dyDescent="0.2">
      <c r="A2247" s="2" t="s">
        <v>10066</v>
      </c>
      <c r="B2247" s="15">
        <v>1134</v>
      </c>
      <c r="C2247" s="15">
        <v>7</v>
      </c>
      <c r="D2247" s="15">
        <v>36507691</v>
      </c>
      <c r="E2247" s="15">
        <v>37981936</v>
      </c>
      <c r="F2247" s="15">
        <v>4169</v>
      </c>
      <c r="G2247" s="8" t="s">
        <v>12324</v>
      </c>
      <c r="H2247" s="24" t="s">
        <v>3164</v>
      </c>
      <c r="I2247" s="25" t="s">
        <v>3165</v>
      </c>
      <c r="J2247" s="8" t="s">
        <v>3166</v>
      </c>
      <c r="K2247" s="8" t="s">
        <v>10042</v>
      </c>
      <c r="L2247" s="15">
        <v>0.22078500000000001</v>
      </c>
      <c r="M2247" s="15">
        <v>0.36925200000000002</v>
      </c>
      <c r="N2247" s="15">
        <v>0.7285916555555555</v>
      </c>
    </row>
    <row r="2248" spans="1:14" x14ac:dyDescent="0.2">
      <c r="A2248" s="2" t="s">
        <v>10066</v>
      </c>
      <c r="B2248" s="15">
        <v>292</v>
      </c>
      <c r="C2248" s="15">
        <v>2</v>
      </c>
      <c r="D2248" s="15">
        <v>86867033</v>
      </c>
      <c r="E2248" s="15">
        <v>88547312</v>
      </c>
      <c r="F2248" s="15">
        <v>1773</v>
      </c>
      <c r="G2248" s="8" t="s">
        <v>12324</v>
      </c>
      <c r="H2248" s="24" t="s">
        <v>3164</v>
      </c>
      <c r="I2248" s="25" t="s">
        <v>3165</v>
      </c>
      <c r="J2248" s="8" t="s">
        <v>3166</v>
      </c>
      <c r="K2248" s="8" t="s">
        <v>10042</v>
      </c>
      <c r="L2248" s="15">
        <v>-0.152749</v>
      </c>
      <c r="M2248" s="15">
        <v>0.36946600000000002</v>
      </c>
      <c r="N2248" s="15">
        <v>0.7285916555555555</v>
      </c>
    </row>
    <row r="2249" spans="1:14" x14ac:dyDescent="0.2">
      <c r="A2249" s="2" t="s">
        <v>10066</v>
      </c>
      <c r="B2249" s="15">
        <v>1829</v>
      </c>
      <c r="C2249" s="15">
        <v>12</v>
      </c>
      <c r="D2249" s="15">
        <v>97814022</v>
      </c>
      <c r="E2249" s="15">
        <v>99244337</v>
      </c>
      <c r="F2249" s="15">
        <v>3320</v>
      </c>
      <c r="G2249" s="8" t="s">
        <v>12324</v>
      </c>
      <c r="H2249" s="24" t="s">
        <v>3164</v>
      </c>
      <c r="I2249" s="25" t="s">
        <v>3165</v>
      </c>
      <c r="J2249" s="8" t="s">
        <v>3166</v>
      </c>
      <c r="K2249" s="8" t="s">
        <v>10042</v>
      </c>
      <c r="L2249" s="15">
        <v>-0.16734599999999999</v>
      </c>
      <c r="M2249" s="15">
        <v>0.369473</v>
      </c>
      <c r="N2249" s="15">
        <v>0.7285916555555555</v>
      </c>
    </row>
    <row r="2250" spans="1:14" x14ac:dyDescent="0.2">
      <c r="A2250" s="2" t="s">
        <v>10066</v>
      </c>
      <c r="B2250" s="15">
        <v>1690</v>
      </c>
      <c r="C2250" s="15">
        <v>11</v>
      </c>
      <c r="D2250" s="15">
        <v>83677774</v>
      </c>
      <c r="E2250" s="15">
        <v>84613229</v>
      </c>
      <c r="F2250" s="15">
        <v>2219</v>
      </c>
      <c r="G2250" s="8" t="s">
        <v>12324</v>
      </c>
      <c r="H2250" s="24" t="s">
        <v>6008</v>
      </c>
      <c r="I2250" s="25" t="s">
        <v>6009</v>
      </c>
      <c r="J2250" s="8" t="s">
        <v>6010</v>
      </c>
      <c r="K2250" s="8" t="s">
        <v>10051</v>
      </c>
      <c r="L2250" s="15">
        <v>-0.26004699999999997</v>
      </c>
      <c r="M2250" s="15">
        <v>0.36923600000000001</v>
      </c>
      <c r="N2250" s="15">
        <v>0.7285916555555555</v>
      </c>
    </row>
    <row r="2251" spans="1:14" x14ac:dyDescent="0.2">
      <c r="A2251" s="2" t="s">
        <v>10068</v>
      </c>
      <c r="B2251" s="15">
        <v>1170</v>
      </c>
      <c r="C2251" s="15">
        <v>7</v>
      </c>
      <c r="D2251" s="15">
        <v>78685010</v>
      </c>
      <c r="E2251" s="15">
        <v>80055721</v>
      </c>
      <c r="F2251" s="15">
        <v>3265</v>
      </c>
      <c r="G2251" s="8" t="s">
        <v>12324</v>
      </c>
      <c r="H2251" s="24" t="s">
        <v>6565</v>
      </c>
      <c r="I2251" s="25" t="s">
        <v>6475</v>
      </c>
      <c r="J2251" s="8" t="s">
        <v>6566</v>
      </c>
      <c r="K2251" s="8" t="s">
        <v>10054</v>
      </c>
      <c r="L2251" s="15">
        <v>-0.25140200000000001</v>
      </c>
      <c r="M2251" s="15">
        <v>0.36897099999999999</v>
      </c>
      <c r="N2251" s="15">
        <v>0.7285916555555555</v>
      </c>
    </row>
    <row r="2252" spans="1:14" x14ac:dyDescent="0.2">
      <c r="A2252" s="2" t="s">
        <v>10068</v>
      </c>
      <c r="B2252" s="15">
        <v>405</v>
      </c>
      <c r="C2252" s="15">
        <v>2</v>
      </c>
      <c r="D2252" s="15">
        <v>228812486</v>
      </c>
      <c r="E2252" s="15">
        <v>229764918</v>
      </c>
      <c r="F2252" s="15">
        <v>2491</v>
      </c>
      <c r="G2252" s="8" t="s">
        <v>12324</v>
      </c>
      <c r="H2252" s="24" t="s">
        <v>6565</v>
      </c>
      <c r="I2252" s="25" t="s">
        <v>6475</v>
      </c>
      <c r="J2252" s="8" t="s">
        <v>6566</v>
      </c>
      <c r="K2252" s="8" t="s">
        <v>10054</v>
      </c>
      <c r="L2252" s="15">
        <v>-0.24088799999999999</v>
      </c>
      <c r="M2252" s="15">
        <v>0.36963499999999999</v>
      </c>
      <c r="N2252" s="15">
        <v>0.7285916555555555</v>
      </c>
    </row>
    <row r="2253" spans="1:14" x14ac:dyDescent="0.2">
      <c r="A2253" s="2" t="s">
        <v>10066</v>
      </c>
      <c r="B2253" s="15">
        <v>1966</v>
      </c>
      <c r="C2253" s="15">
        <v>14</v>
      </c>
      <c r="D2253" s="15">
        <v>33591114</v>
      </c>
      <c r="E2253" s="15">
        <v>34695195</v>
      </c>
      <c r="F2253" s="15">
        <v>3220</v>
      </c>
      <c r="G2253" s="8" t="s">
        <v>12324</v>
      </c>
      <c r="H2253" s="24" t="s">
        <v>6008</v>
      </c>
      <c r="I2253" s="25" t="s">
        <v>6009</v>
      </c>
      <c r="J2253" s="8" t="s">
        <v>6010</v>
      </c>
      <c r="K2253" s="8" t="s">
        <v>10051</v>
      </c>
      <c r="L2253" s="15">
        <v>-0.306365</v>
      </c>
      <c r="M2253" s="15">
        <v>0.37085099999999999</v>
      </c>
      <c r="N2253" s="15">
        <v>0.73066378720568625</v>
      </c>
    </row>
    <row r="2254" spans="1:14" x14ac:dyDescent="0.2">
      <c r="A2254" s="2" t="s">
        <v>10068</v>
      </c>
      <c r="B2254" s="15">
        <v>1657</v>
      </c>
      <c r="C2254" s="15">
        <v>11</v>
      </c>
      <c r="D2254" s="15">
        <v>45019560</v>
      </c>
      <c r="E2254" s="15">
        <v>46316005</v>
      </c>
      <c r="F2254" s="15">
        <v>2889</v>
      </c>
      <c r="G2254" s="8" t="s">
        <v>12324</v>
      </c>
      <c r="H2254" s="24" t="s">
        <v>494</v>
      </c>
      <c r="I2254" s="25">
        <v>25920</v>
      </c>
      <c r="J2254" s="8" t="s">
        <v>496</v>
      </c>
      <c r="K2254" s="8" t="s">
        <v>10040</v>
      </c>
      <c r="L2254" s="15">
        <v>-0.177038</v>
      </c>
      <c r="M2254" s="15">
        <v>0.37120300000000001</v>
      </c>
      <c r="N2254" s="15">
        <v>0.7310325510657194</v>
      </c>
    </row>
    <row r="2255" spans="1:14" x14ac:dyDescent="0.2">
      <c r="A2255" s="2" t="s">
        <v>10068</v>
      </c>
      <c r="B2255" s="15">
        <v>1866</v>
      </c>
      <c r="C2255" s="15">
        <v>13</v>
      </c>
      <c r="D2255" s="15">
        <v>21540734</v>
      </c>
      <c r="E2255" s="15">
        <v>22795188</v>
      </c>
      <c r="F2255" s="15">
        <v>3752</v>
      </c>
      <c r="G2255" s="8" t="s">
        <v>12324</v>
      </c>
      <c r="H2255" s="24" t="s">
        <v>599</v>
      </c>
      <c r="I2255" s="25">
        <v>26562</v>
      </c>
      <c r="J2255" s="8" t="s">
        <v>601</v>
      </c>
      <c r="K2255" s="8" t="s">
        <v>10040</v>
      </c>
      <c r="L2255" s="15">
        <v>-0.193632</v>
      </c>
      <c r="M2255" s="15">
        <v>0.37199900000000002</v>
      </c>
      <c r="N2255" s="15">
        <v>0.73227499556147357</v>
      </c>
    </row>
    <row r="2256" spans="1:14" x14ac:dyDescent="0.2">
      <c r="A2256" s="2" t="s">
        <v>10066</v>
      </c>
      <c r="B2256" s="15">
        <v>43</v>
      </c>
      <c r="C2256" s="15">
        <v>1</v>
      </c>
      <c r="D2256" s="15">
        <v>48105234</v>
      </c>
      <c r="E2256" s="15">
        <v>49185414</v>
      </c>
      <c r="F2256" s="15">
        <v>2320</v>
      </c>
      <c r="G2256" s="8" t="s">
        <v>12324</v>
      </c>
      <c r="H2256" s="24" t="s">
        <v>3164</v>
      </c>
      <c r="I2256" s="25" t="s">
        <v>3165</v>
      </c>
      <c r="J2256" s="8" t="s">
        <v>3166</v>
      </c>
      <c r="K2256" s="8" t="s">
        <v>10042</v>
      </c>
      <c r="L2256" s="15">
        <v>0.30854300000000001</v>
      </c>
      <c r="M2256" s="15">
        <v>0.37256299999999998</v>
      </c>
      <c r="N2256" s="15">
        <v>0.73305985137533269</v>
      </c>
    </row>
    <row r="2257" spans="1:14" x14ac:dyDescent="0.2">
      <c r="A2257" s="2" t="s">
        <v>10068</v>
      </c>
      <c r="B2257" s="15">
        <v>726</v>
      </c>
      <c r="C2257" s="15">
        <v>4</v>
      </c>
      <c r="D2257" s="15">
        <v>138537345</v>
      </c>
      <c r="E2257" s="15">
        <v>139553760</v>
      </c>
      <c r="F2257" s="15">
        <v>2754</v>
      </c>
      <c r="G2257" s="8" t="s">
        <v>12324</v>
      </c>
      <c r="H2257" s="24" t="s">
        <v>494</v>
      </c>
      <c r="I2257" s="25">
        <v>25920</v>
      </c>
      <c r="J2257" s="8" t="s">
        <v>496</v>
      </c>
      <c r="K2257" s="8" t="s">
        <v>10040</v>
      </c>
      <c r="L2257" s="15">
        <v>0.20028299999999999</v>
      </c>
      <c r="M2257" s="15">
        <v>0.37394100000000002</v>
      </c>
      <c r="N2257" s="15">
        <v>0.73370735086168803</v>
      </c>
    </row>
    <row r="2258" spans="1:14" x14ac:dyDescent="0.2">
      <c r="A2258" s="2" t="s">
        <v>10068</v>
      </c>
      <c r="B2258" s="15">
        <v>1934</v>
      </c>
      <c r="C2258" s="15">
        <v>13</v>
      </c>
      <c r="D2258" s="15">
        <v>94925137</v>
      </c>
      <c r="E2258" s="15">
        <v>96132647</v>
      </c>
      <c r="F2258" s="15">
        <v>4024</v>
      </c>
      <c r="G2258" s="8" t="s">
        <v>12324</v>
      </c>
      <c r="H2258" s="24" t="s">
        <v>494</v>
      </c>
      <c r="I2258" s="25">
        <v>25920</v>
      </c>
      <c r="J2258" s="8" t="s">
        <v>496</v>
      </c>
      <c r="K2258" s="8" t="s">
        <v>10040</v>
      </c>
      <c r="L2258" s="15">
        <v>0.26827099999999998</v>
      </c>
      <c r="M2258" s="15">
        <v>0.37423800000000002</v>
      </c>
      <c r="N2258" s="15">
        <v>0.73370735086168803</v>
      </c>
    </row>
    <row r="2259" spans="1:14" x14ac:dyDescent="0.2">
      <c r="A2259" s="2" t="s">
        <v>10068</v>
      </c>
      <c r="B2259" s="15">
        <v>402</v>
      </c>
      <c r="C2259" s="15">
        <v>2</v>
      </c>
      <c r="D2259" s="15">
        <v>224938732</v>
      </c>
      <c r="E2259" s="15">
        <v>226242842</v>
      </c>
      <c r="F2259" s="15">
        <v>3538</v>
      </c>
      <c r="G2259" s="8" t="s">
        <v>12324</v>
      </c>
      <c r="H2259" s="24" t="s">
        <v>599</v>
      </c>
      <c r="I2259" s="25">
        <v>26562</v>
      </c>
      <c r="J2259" s="8" t="s">
        <v>601</v>
      </c>
      <c r="K2259" s="8" t="s">
        <v>10040</v>
      </c>
      <c r="L2259" s="15">
        <v>-0.265434</v>
      </c>
      <c r="M2259" s="15">
        <v>0.37403599999999998</v>
      </c>
      <c r="N2259" s="15">
        <v>0.73370735086168803</v>
      </c>
    </row>
    <row r="2260" spans="1:14" x14ac:dyDescent="0.2">
      <c r="A2260" s="2" t="s">
        <v>10068</v>
      </c>
      <c r="B2260" s="15">
        <v>2228</v>
      </c>
      <c r="C2260" s="15">
        <v>17</v>
      </c>
      <c r="D2260" s="15">
        <v>71466954</v>
      </c>
      <c r="E2260" s="15">
        <v>72383472</v>
      </c>
      <c r="F2260" s="15">
        <v>2949</v>
      </c>
      <c r="G2260" s="8" t="s">
        <v>12324</v>
      </c>
      <c r="H2260" s="24" t="s">
        <v>1259</v>
      </c>
      <c r="I2260" s="25">
        <v>27096</v>
      </c>
      <c r="J2260" s="8" t="s">
        <v>1261</v>
      </c>
      <c r="K2260" s="8" t="s">
        <v>10040</v>
      </c>
      <c r="L2260" s="15">
        <v>-0.12748200000000001</v>
      </c>
      <c r="M2260" s="15">
        <v>0.37391799999999997</v>
      </c>
      <c r="N2260" s="15">
        <v>0.73370735086168803</v>
      </c>
    </row>
    <row r="2261" spans="1:14" x14ac:dyDescent="0.2">
      <c r="A2261" s="2" t="s">
        <v>10068</v>
      </c>
      <c r="B2261" s="15">
        <v>10</v>
      </c>
      <c r="C2261" s="15">
        <v>1</v>
      </c>
      <c r="D2261" s="15">
        <v>7711795</v>
      </c>
      <c r="E2261" s="15">
        <v>8580987</v>
      </c>
      <c r="F2261" s="15">
        <v>2129</v>
      </c>
      <c r="G2261" s="8" t="s">
        <v>12324</v>
      </c>
      <c r="H2261" s="24" t="s">
        <v>1259</v>
      </c>
      <c r="I2261" s="25">
        <v>27096</v>
      </c>
      <c r="J2261" s="8" t="s">
        <v>1261</v>
      </c>
      <c r="K2261" s="8" t="s">
        <v>10040</v>
      </c>
      <c r="L2261" s="15">
        <v>-0.204952</v>
      </c>
      <c r="M2261" s="15">
        <v>0.373921</v>
      </c>
      <c r="N2261" s="15">
        <v>0.73370735086168803</v>
      </c>
    </row>
    <row r="2262" spans="1:14" x14ac:dyDescent="0.2">
      <c r="A2262" s="2" t="s">
        <v>10068</v>
      </c>
      <c r="B2262" s="15">
        <v>1271</v>
      </c>
      <c r="C2262" s="15">
        <v>8</v>
      </c>
      <c r="D2262" s="15">
        <v>25859278</v>
      </c>
      <c r="E2262" s="15">
        <v>26679135</v>
      </c>
      <c r="F2262" s="15">
        <v>2879</v>
      </c>
      <c r="G2262" s="8" t="s">
        <v>12324</v>
      </c>
      <c r="H2262" s="24" t="s">
        <v>1259</v>
      </c>
      <c r="I2262" s="25">
        <v>27096</v>
      </c>
      <c r="J2262" s="8" t="s">
        <v>1261</v>
      </c>
      <c r="K2262" s="8" t="s">
        <v>10040</v>
      </c>
      <c r="L2262" s="15">
        <v>-0.16636200000000001</v>
      </c>
      <c r="M2262" s="15">
        <v>0.374282</v>
      </c>
      <c r="N2262" s="15">
        <v>0.73370735086168803</v>
      </c>
    </row>
    <row r="2263" spans="1:14" x14ac:dyDescent="0.2">
      <c r="A2263" s="2" t="s">
        <v>10066</v>
      </c>
      <c r="B2263" s="15">
        <v>2041</v>
      </c>
      <c r="C2263" s="15">
        <v>15</v>
      </c>
      <c r="D2263" s="15">
        <v>29141036</v>
      </c>
      <c r="E2263" s="15">
        <v>30604119</v>
      </c>
      <c r="F2263" s="15">
        <v>3080</v>
      </c>
      <c r="G2263" s="8" t="s">
        <v>12324</v>
      </c>
      <c r="H2263" s="24" t="s">
        <v>3164</v>
      </c>
      <c r="I2263" s="25" t="s">
        <v>3165</v>
      </c>
      <c r="J2263" s="8" t="s">
        <v>3166</v>
      </c>
      <c r="K2263" s="8" t="s">
        <v>10042</v>
      </c>
      <c r="L2263" s="15">
        <v>-0.13334599999999999</v>
      </c>
      <c r="M2263" s="15">
        <v>0.37312000000000001</v>
      </c>
      <c r="N2263" s="15">
        <v>0.73370735086168803</v>
      </c>
    </row>
    <row r="2264" spans="1:14" x14ac:dyDescent="0.2">
      <c r="A2264" s="2" t="s">
        <v>10066</v>
      </c>
      <c r="B2264" s="15">
        <v>2305</v>
      </c>
      <c r="C2264" s="15">
        <v>18</v>
      </c>
      <c r="D2264" s="15">
        <v>77148138</v>
      </c>
      <c r="E2264" s="15">
        <v>78017072</v>
      </c>
      <c r="F2264" s="15">
        <v>3018</v>
      </c>
      <c r="G2264" s="8" t="s">
        <v>12324</v>
      </c>
      <c r="H2264" s="24" t="s">
        <v>6008</v>
      </c>
      <c r="I2264" s="25" t="s">
        <v>6009</v>
      </c>
      <c r="J2264" s="8" t="s">
        <v>6010</v>
      </c>
      <c r="K2264" s="8" t="s">
        <v>10051</v>
      </c>
      <c r="L2264" s="15">
        <v>-0.139596</v>
      </c>
      <c r="M2264" s="15">
        <v>0.37438100000000002</v>
      </c>
      <c r="N2264" s="15">
        <v>0.73370735086168803</v>
      </c>
    </row>
    <row r="2265" spans="1:14" x14ac:dyDescent="0.2">
      <c r="A2265" s="2" t="s">
        <v>10068</v>
      </c>
      <c r="B2265" s="15">
        <v>2455</v>
      </c>
      <c r="C2265" s="15">
        <v>21</v>
      </c>
      <c r="D2265" s="15">
        <v>41344743</v>
      </c>
      <c r="E2265" s="15">
        <v>42187152</v>
      </c>
      <c r="F2265" s="15">
        <v>2876</v>
      </c>
      <c r="G2265" s="8" t="s">
        <v>12324</v>
      </c>
      <c r="H2265" s="24" t="s">
        <v>6565</v>
      </c>
      <c r="I2265" s="25" t="s">
        <v>6475</v>
      </c>
      <c r="J2265" s="8" t="s">
        <v>6566</v>
      </c>
      <c r="K2265" s="8" t="s">
        <v>10054</v>
      </c>
      <c r="L2265" s="15">
        <v>0.159777</v>
      </c>
      <c r="M2265" s="15">
        <v>0.37382199999999999</v>
      </c>
      <c r="N2265" s="15">
        <v>0.73370735086168803</v>
      </c>
    </row>
    <row r="2266" spans="1:14" x14ac:dyDescent="0.2">
      <c r="A2266" s="2" t="s">
        <v>10068</v>
      </c>
      <c r="B2266" s="15">
        <v>2439</v>
      </c>
      <c r="C2266" s="15">
        <v>21</v>
      </c>
      <c r="D2266" s="15">
        <v>23266942</v>
      </c>
      <c r="E2266" s="15">
        <v>24055941</v>
      </c>
      <c r="F2266" s="15">
        <v>2119</v>
      </c>
      <c r="G2266" s="8" t="s">
        <v>12324</v>
      </c>
      <c r="H2266" s="24" t="s">
        <v>1259</v>
      </c>
      <c r="I2266" s="25">
        <v>27096</v>
      </c>
      <c r="J2266" s="8" t="s">
        <v>1261</v>
      </c>
      <c r="K2266" s="8" t="s">
        <v>10040</v>
      </c>
      <c r="L2266" s="15">
        <v>0.15640799999999999</v>
      </c>
      <c r="M2266" s="15">
        <v>0.37518299999999999</v>
      </c>
      <c r="N2266" s="15">
        <v>0.73495433083038864</v>
      </c>
    </row>
    <row r="2267" spans="1:14" x14ac:dyDescent="0.2">
      <c r="A2267" s="2" t="s">
        <v>10066</v>
      </c>
      <c r="B2267" s="15">
        <v>1462</v>
      </c>
      <c r="C2267" s="15">
        <v>9</v>
      </c>
      <c r="D2267" s="15">
        <v>117054910</v>
      </c>
      <c r="E2267" s="15">
        <v>117989017</v>
      </c>
      <c r="F2267" s="15">
        <v>2567</v>
      </c>
      <c r="G2267" s="8" t="s">
        <v>12324</v>
      </c>
      <c r="H2267" s="24" t="s">
        <v>3164</v>
      </c>
      <c r="I2267" s="25" t="s">
        <v>3165</v>
      </c>
      <c r="J2267" s="8" t="s">
        <v>3166</v>
      </c>
      <c r="K2267" s="8" t="s">
        <v>10042</v>
      </c>
      <c r="L2267" s="15">
        <v>0.32302799999999998</v>
      </c>
      <c r="M2267" s="15">
        <v>0.37615599999999999</v>
      </c>
      <c r="N2267" s="15">
        <v>0.73653503752759375</v>
      </c>
    </row>
    <row r="2268" spans="1:14" x14ac:dyDescent="0.2">
      <c r="A2268" s="2" t="s">
        <v>10068</v>
      </c>
      <c r="B2268" s="15">
        <v>535</v>
      </c>
      <c r="C2268" s="15">
        <v>3</v>
      </c>
      <c r="D2268" s="15">
        <v>130242361</v>
      </c>
      <c r="E2268" s="15">
        <v>131373470</v>
      </c>
      <c r="F2268" s="15">
        <v>2226</v>
      </c>
      <c r="G2268" s="8" t="s">
        <v>12324</v>
      </c>
      <c r="H2268" s="24" t="s">
        <v>1259</v>
      </c>
      <c r="I2268" s="25">
        <v>27096</v>
      </c>
      <c r="J2268" s="8" t="s">
        <v>1261</v>
      </c>
      <c r="K2268" s="8" t="s">
        <v>10040</v>
      </c>
      <c r="L2268" s="15">
        <v>-0.27170699999999998</v>
      </c>
      <c r="M2268" s="15">
        <v>0.37642900000000001</v>
      </c>
      <c r="N2268" s="15">
        <v>0.73658561535068379</v>
      </c>
    </row>
    <row r="2269" spans="1:14" x14ac:dyDescent="0.2">
      <c r="A2269" s="2" t="s">
        <v>10068</v>
      </c>
      <c r="B2269" s="15">
        <v>1219</v>
      </c>
      <c r="C2269" s="15">
        <v>7</v>
      </c>
      <c r="D2269" s="15">
        <v>145415776</v>
      </c>
      <c r="E2269" s="15">
        <v>146574327</v>
      </c>
      <c r="F2269" s="15">
        <v>3168</v>
      </c>
      <c r="G2269" s="8" t="s">
        <v>12324</v>
      </c>
      <c r="H2269" s="24" t="s">
        <v>1259</v>
      </c>
      <c r="I2269" s="25">
        <v>27096</v>
      </c>
      <c r="J2269" s="8" t="s">
        <v>1261</v>
      </c>
      <c r="K2269" s="8" t="s">
        <v>10040</v>
      </c>
      <c r="L2269" s="15">
        <v>0.28539599999999998</v>
      </c>
      <c r="M2269" s="15">
        <v>0.37651400000000002</v>
      </c>
      <c r="N2269" s="15">
        <v>0.73658561535068379</v>
      </c>
    </row>
    <row r="2270" spans="1:14" x14ac:dyDescent="0.2">
      <c r="A2270" s="2" t="s">
        <v>10068</v>
      </c>
      <c r="B2270" s="15">
        <v>1376</v>
      </c>
      <c r="C2270" s="15">
        <v>9</v>
      </c>
      <c r="D2270" s="15">
        <v>4025356</v>
      </c>
      <c r="E2270" s="15">
        <v>4596614</v>
      </c>
      <c r="F2270" s="15">
        <v>2102</v>
      </c>
      <c r="G2270" s="8" t="s">
        <v>12324</v>
      </c>
      <c r="H2270" s="24" t="s">
        <v>6565</v>
      </c>
      <c r="I2270" s="25" t="s">
        <v>6475</v>
      </c>
      <c r="J2270" s="8" t="s">
        <v>6566</v>
      </c>
      <c r="K2270" s="8" t="s">
        <v>10054</v>
      </c>
      <c r="L2270" s="15">
        <v>0.17327999999999999</v>
      </c>
      <c r="M2270" s="15">
        <v>0.37681700000000001</v>
      </c>
      <c r="N2270" s="15">
        <v>0.73685334876543207</v>
      </c>
    </row>
    <row r="2271" spans="1:14" x14ac:dyDescent="0.2">
      <c r="A2271" s="2" t="s">
        <v>10066</v>
      </c>
      <c r="B2271" s="15">
        <v>1911</v>
      </c>
      <c r="C2271" s="15">
        <v>13</v>
      </c>
      <c r="D2271" s="15">
        <v>71010209</v>
      </c>
      <c r="E2271" s="15">
        <v>71976862</v>
      </c>
      <c r="F2271" s="15">
        <v>2931</v>
      </c>
      <c r="G2271" s="8" t="s">
        <v>12324</v>
      </c>
      <c r="H2271" s="24" t="s">
        <v>6008</v>
      </c>
      <c r="I2271" s="25" t="s">
        <v>6009</v>
      </c>
      <c r="J2271" s="8" t="s">
        <v>6010</v>
      </c>
      <c r="K2271" s="8" t="s">
        <v>10051</v>
      </c>
      <c r="L2271" s="15">
        <v>-0.20757100000000001</v>
      </c>
      <c r="M2271" s="15">
        <v>0.377386</v>
      </c>
      <c r="N2271" s="15">
        <v>0.73764077126487437</v>
      </c>
    </row>
    <row r="2272" spans="1:14" x14ac:dyDescent="0.2">
      <c r="A2272" s="2" t="s">
        <v>10069</v>
      </c>
      <c r="B2272" s="15">
        <v>1089</v>
      </c>
      <c r="C2272" s="15">
        <v>6</v>
      </c>
      <c r="D2272" s="15">
        <v>165835954</v>
      </c>
      <c r="E2272" s="15">
        <v>166853325</v>
      </c>
      <c r="F2272" s="15">
        <v>2456</v>
      </c>
      <c r="G2272" s="8" t="s">
        <v>12324</v>
      </c>
      <c r="H2272" s="24" t="s">
        <v>662</v>
      </c>
      <c r="I2272" s="25" t="s">
        <v>663</v>
      </c>
      <c r="J2272" s="8" t="s">
        <v>664</v>
      </c>
      <c r="K2272" s="8" t="s">
        <v>10040</v>
      </c>
      <c r="L2272" s="15">
        <v>-0.28768300000000002</v>
      </c>
      <c r="M2272" s="15">
        <v>0.37835600000000003</v>
      </c>
      <c r="N2272" s="15">
        <v>0.73823531016278054</v>
      </c>
    </row>
    <row r="2273" spans="1:14" x14ac:dyDescent="0.2">
      <c r="A2273" s="2" t="s">
        <v>10066</v>
      </c>
      <c r="B2273" s="15">
        <v>39</v>
      </c>
      <c r="C2273" s="15">
        <v>1</v>
      </c>
      <c r="D2273" s="15">
        <v>41977967</v>
      </c>
      <c r="E2273" s="15">
        <v>43512669</v>
      </c>
      <c r="F2273" s="15">
        <v>3408</v>
      </c>
      <c r="G2273" s="8" t="s">
        <v>12324</v>
      </c>
      <c r="H2273" s="24" t="s">
        <v>3164</v>
      </c>
      <c r="I2273" s="25" t="s">
        <v>3165</v>
      </c>
      <c r="J2273" s="8" t="s">
        <v>3166</v>
      </c>
      <c r="K2273" s="8" t="s">
        <v>10042</v>
      </c>
      <c r="L2273" s="15">
        <v>0.22234000000000001</v>
      </c>
      <c r="M2273" s="15">
        <v>0.37787199999999999</v>
      </c>
      <c r="N2273" s="15">
        <v>0.73823531016278054</v>
      </c>
    </row>
    <row r="2274" spans="1:14" x14ac:dyDescent="0.2">
      <c r="A2274" s="2" t="s">
        <v>10066</v>
      </c>
      <c r="B2274" s="15">
        <v>413</v>
      </c>
      <c r="C2274" s="15">
        <v>2</v>
      </c>
      <c r="D2274" s="15">
        <v>236276288</v>
      </c>
      <c r="E2274" s="15">
        <v>237194297</v>
      </c>
      <c r="F2274" s="15">
        <v>2275</v>
      </c>
      <c r="G2274" s="8" t="s">
        <v>12324</v>
      </c>
      <c r="H2274" s="24" t="s">
        <v>6008</v>
      </c>
      <c r="I2274" s="25" t="s">
        <v>6009</v>
      </c>
      <c r="J2274" s="8" t="s">
        <v>6010</v>
      </c>
      <c r="K2274" s="8" t="s">
        <v>10051</v>
      </c>
      <c r="L2274" s="15">
        <v>0.15553600000000001</v>
      </c>
      <c r="M2274" s="15">
        <v>0.37814300000000001</v>
      </c>
      <c r="N2274" s="15">
        <v>0.73823531016278054</v>
      </c>
    </row>
    <row r="2275" spans="1:14" x14ac:dyDescent="0.2">
      <c r="A2275" s="2" t="s">
        <v>10066</v>
      </c>
      <c r="B2275" s="15">
        <v>231</v>
      </c>
      <c r="C2275" s="15">
        <v>2</v>
      </c>
      <c r="D2275" s="15">
        <v>28819511</v>
      </c>
      <c r="E2275" s="15">
        <v>29627932</v>
      </c>
      <c r="F2275" s="15">
        <v>2091</v>
      </c>
      <c r="G2275" s="8" t="s">
        <v>12324</v>
      </c>
      <c r="H2275" s="24" t="s">
        <v>6008</v>
      </c>
      <c r="I2275" s="25" t="s">
        <v>6009</v>
      </c>
      <c r="J2275" s="8" t="s">
        <v>6010</v>
      </c>
      <c r="K2275" s="8" t="s">
        <v>10051</v>
      </c>
      <c r="L2275" s="15">
        <v>-0.38842500000000002</v>
      </c>
      <c r="M2275" s="15">
        <v>0.37819599999999998</v>
      </c>
      <c r="N2275" s="15">
        <v>0.73823531016278054</v>
      </c>
    </row>
    <row r="2276" spans="1:14" x14ac:dyDescent="0.2">
      <c r="A2276" s="2" t="s">
        <v>10068</v>
      </c>
      <c r="B2276" s="15">
        <v>466</v>
      </c>
      <c r="C2276" s="15">
        <v>3</v>
      </c>
      <c r="D2276" s="15">
        <v>51953969</v>
      </c>
      <c r="E2276" s="15">
        <v>54074844</v>
      </c>
      <c r="F2276" s="15">
        <v>3860</v>
      </c>
      <c r="G2276" s="8" t="s">
        <v>12324</v>
      </c>
      <c r="H2276" s="24" t="s">
        <v>599</v>
      </c>
      <c r="I2276" s="25">
        <v>26562</v>
      </c>
      <c r="J2276" s="8" t="s">
        <v>601</v>
      </c>
      <c r="K2276" s="8" t="s">
        <v>10040</v>
      </c>
      <c r="L2276" s="15">
        <v>-0.33183200000000002</v>
      </c>
      <c r="M2276" s="15">
        <v>0.37911299999999998</v>
      </c>
      <c r="N2276" s="15">
        <v>0.73837498026315795</v>
      </c>
    </row>
    <row r="2277" spans="1:14" x14ac:dyDescent="0.2">
      <c r="A2277" s="2" t="s">
        <v>10068</v>
      </c>
      <c r="B2277" s="15">
        <v>383</v>
      </c>
      <c r="C2277" s="15">
        <v>2</v>
      </c>
      <c r="D2277" s="15">
        <v>205038120</v>
      </c>
      <c r="E2277" s="15">
        <v>206821199</v>
      </c>
      <c r="F2277" s="15">
        <v>3873</v>
      </c>
      <c r="G2277" s="8" t="s">
        <v>12324</v>
      </c>
      <c r="H2277" s="24" t="s">
        <v>599</v>
      </c>
      <c r="I2277" s="25">
        <v>26562</v>
      </c>
      <c r="J2277" s="8" t="s">
        <v>601</v>
      </c>
      <c r="K2277" s="8" t="s">
        <v>10040</v>
      </c>
      <c r="L2277" s="15">
        <v>0.12934699999999999</v>
      </c>
      <c r="M2277" s="15">
        <v>0.379521</v>
      </c>
      <c r="N2277" s="15">
        <v>0.73837498026315795</v>
      </c>
    </row>
    <row r="2278" spans="1:14" x14ac:dyDescent="0.2">
      <c r="A2278" s="2" t="s">
        <v>10069</v>
      </c>
      <c r="B2278" s="15">
        <v>1460</v>
      </c>
      <c r="C2278" s="15">
        <v>9</v>
      </c>
      <c r="D2278" s="15">
        <v>115390113</v>
      </c>
      <c r="E2278" s="15">
        <v>116159540</v>
      </c>
      <c r="F2278" s="15">
        <v>1518</v>
      </c>
      <c r="G2278" s="8" t="s">
        <v>12324</v>
      </c>
      <c r="H2278" s="24" t="s">
        <v>662</v>
      </c>
      <c r="I2278" s="25" t="s">
        <v>663</v>
      </c>
      <c r="J2278" s="8" t="s">
        <v>664</v>
      </c>
      <c r="K2278" s="8" t="s">
        <v>10040</v>
      </c>
      <c r="L2278" s="15">
        <v>-0.30035699999999999</v>
      </c>
      <c r="M2278" s="15">
        <v>0.378942</v>
      </c>
      <c r="N2278" s="15">
        <v>0.73837498026315795</v>
      </c>
    </row>
    <row r="2279" spans="1:14" x14ac:dyDescent="0.2">
      <c r="A2279" s="2" t="s">
        <v>10069</v>
      </c>
      <c r="B2279" s="15">
        <v>489</v>
      </c>
      <c r="C2279" s="15">
        <v>3</v>
      </c>
      <c r="D2279" s="15">
        <v>77507833</v>
      </c>
      <c r="E2279" s="15">
        <v>79023360</v>
      </c>
      <c r="F2279" s="15">
        <v>2061</v>
      </c>
      <c r="G2279" s="8" t="s">
        <v>12324</v>
      </c>
      <c r="H2279" s="24" t="s">
        <v>662</v>
      </c>
      <c r="I2279" s="25" t="s">
        <v>663</v>
      </c>
      <c r="J2279" s="8" t="s">
        <v>664</v>
      </c>
      <c r="K2279" s="8" t="s">
        <v>10040</v>
      </c>
      <c r="L2279" s="15">
        <v>0.25240899999999999</v>
      </c>
      <c r="M2279" s="15">
        <v>0.37959300000000001</v>
      </c>
      <c r="N2279" s="15">
        <v>0.73837498026315795</v>
      </c>
    </row>
    <row r="2280" spans="1:14" x14ac:dyDescent="0.2">
      <c r="A2280" s="2" t="s">
        <v>10068</v>
      </c>
      <c r="B2280" s="15">
        <v>1336</v>
      </c>
      <c r="C2280" s="15">
        <v>8</v>
      </c>
      <c r="D2280" s="15">
        <v>107787164</v>
      </c>
      <c r="E2280" s="15">
        <v>108647463</v>
      </c>
      <c r="F2280" s="15">
        <v>2270</v>
      </c>
      <c r="G2280" s="8" t="s">
        <v>12324</v>
      </c>
      <c r="H2280" s="24" t="s">
        <v>1259</v>
      </c>
      <c r="I2280" s="25">
        <v>27096</v>
      </c>
      <c r="J2280" s="8" t="s">
        <v>1261</v>
      </c>
      <c r="K2280" s="8" t="s">
        <v>10040</v>
      </c>
      <c r="L2280" s="15">
        <v>0.18198500000000001</v>
      </c>
      <c r="M2280" s="15">
        <v>0.37917600000000001</v>
      </c>
      <c r="N2280" s="15">
        <v>0.73837498026315795</v>
      </c>
    </row>
    <row r="2281" spans="1:14" x14ac:dyDescent="0.2">
      <c r="A2281" s="2" t="s">
        <v>10066</v>
      </c>
      <c r="B2281" s="15">
        <v>55</v>
      </c>
      <c r="C2281" s="15">
        <v>1</v>
      </c>
      <c r="D2281" s="15">
        <v>64344227</v>
      </c>
      <c r="E2281" s="15">
        <v>65894184</v>
      </c>
      <c r="F2281" s="15">
        <v>3658</v>
      </c>
      <c r="G2281" s="8" t="s">
        <v>12324</v>
      </c>
      <c r="H2281" s="24" t="s">
        <v>6008</v>
      </c>
      <c r="I2281" s="25" t="s">
        <v>6009</v>
      </c>
      <c r="J2281" s="8" t="s">
        <v>6010</v>
      </c>
      <c r="K2281" s="8" t="s">
        <v>10051</v>
      </c>
      <c r="L2281" s="15">
        <v>0.21051</v>
      </c>
      <c r="M2281" s="15">
        <v>0.37923099999999998</v>
      </c>
      <c r="N2281" s="15">
        <v>0.73837498026315795</v>
      </c>
    </row>
    <row r="2282" spans="1:14" x14ac:dyDescent="0.2">
      <c r="A2282" s="2" t="s">
        <v>10066</v>
      </c>
      <c r="B2282" s="15">
        <v>2182</v>
      </c>
      <c r="C2282" s="15">
        <v>17</v>
      </c>
      <c r="D2282" s="15">
        <v>8554764</v>
      </c>
      <c r="E2282" s="15">
        <v>9619356</v>
      </c>
      <c r="F2282" s="15">
        <v>2868</v>
      </c>
      <c r="G2282" s="8" t="s">
        <v>12324</v>
      </c>
      <c r="H2282" s="24" t="s">
        <v>6008</v>
      </c>
      <c r="I2282" s="25" t="s">
        <v>6009</v>
      </c>
      <c r="J2282" s="8" t="s">
        <v>6010</v>
      </c>
      <c r="K2282" s="8" t="s">
        <v>10051</v>
      </c>
      <c r="L2282" s="15">
        <v>-0.147064</v>
      </c>
      <c r="M2282" s="15">
        <v>0.37937300000000002</v>
      </c>
      <c r="N2282" s="15">
        <v>0.73837498026315795</v>
      </c>
    </row>
    <row r="2283" spans="1:14" x14ac:dyDescent="0.2">
      <c r="A2283" s="2" t="s">
        <v>10068</v>
      </c>
      <c r="B2283" s="15">
        <v>51</v>
      </c>
      <c r="C2283" s="15">
        <v>1</v>
      </c>
      <c r="D2283" s="15">
        <v>58387484</v>
      </c>
      <c r="E2283" s="15">
        <v>59889045</v>
      </c>
      <c r="F2283" s="15">
        <v>3890</v>
      </c>
      <c r="G2283" s="8" t="s">
        <v>12324</v>
      </c>
      <c r="H2283" s="24" t="s">
        <v>599</v>
      </c>
      <c r="I2283" s="25">
        <v>26562</v>
      </c>
      <c r="J2283" s="8" t="s">
        <v>601</v>
      </c>
      <c r="K2283" s="8" t="s">
        <v>10040</v>
      </c>
      <c r="L2283" s="15">
        <v>-0.22001899999999999</v>
      </c>
      <c r="M2283" s="15">
        <v>0.38012800000000002</v>
      </c>
      <c r="N2283" s="15">
        <v>0.73878898553900085</v>
      </c>
    </row>
    <row r="2284" spans="1:14" x14ac:dyDescent="0.2">
      <c r="A2284" s="2" t="s">
        <v>10068</v>
      </c>
      <c r="B2284" s="15">
        <v>216</v>
      </c>
      <c r="C2284" s="15">
        <v>2</v>
      </c>
      <c r="D2284" s="15">
        <v>11230350</v>
      </c>
      <c r="E2284" s="15">
        <v>11995765</v>
      </c>
      <c r="F2284" s="15">
        <v>2218</v>
      </c>
      <c r="G2284" s="8" t="s">
        <v>12324</v>
      </c>
      <c r="H2284" s="24" t="s">
        <v>6565</v>
      </c>
      <c r="I2284" s="25" t="s">
        <v>6475</v>
      </c>
      <c r="J2284" s="8" t="s">
        <v>6566</v>
      </c>
      <c r="K2284" s="8" t="s">
        <v>10054</v>
      </c>
      <c r="L2284" s="15">
        <v>0.17372199999999999</v>
      </c>
      <c r="M2284" s="15">
        <v>0.380139</v>
      </c>
      <c r="N2284" s="15">
        <v>0.73878898553900085</v>
      </c>
    </row>
    <row r="2285" spans="1:14" x14ac:dyDescent="0.2">
      <c r="A2285" s="2" t="s">
        <v>10068</v>
      </c>
      <c r="B2285" s="15">
        <v>778</v>
      </c>
      <c r="C2285" s="15">
        <v>5</v>
      </c>
      <c r="D2285" s="15">
        <v>2106886</v>
      </c>
      <c r="E2285" s="15">
        <v>2960068</v>
      </c>
      <c r="F2285" s="15">
        <v>3324</v>
      </c>
      <c r="G2285" s="8" t="s">
        <v>12324</v>
      </c>
      <c r="H2285" s="24" t="s">
        <v>494</v>
      </c>
      <c r="I2285" s="25">
        <v>25920</v>
      </c>
      <c r="J2285" s="8" t="s">
        <v>496</v>
      </c>
      <c r="K2285" s="8" t="s">
        <v>10040</v>
      </c>
      <c r="L2285" s="15">
        <v>0.16849800000000001</v>
      </c>
      <c r="M2285" s="15">
        <v>0.38241799999999998</v>
      </c>
      <c r="N2285" s="15">
        <v>0.740081917539267</v>
      </c>
    </row>
    <row r="2286" spans="1:14" x14ac:dyDescent="0.2">
      <c r="A2286" s="2" t="s">
        <v>10068</v>
      </c>
      <c r="B2286" s="15">
        <v>2252</v>
      </c>
      <c r="C2286" s="15">
        <v>18</v>
      </c>
      <c r="D2286" s="15">
        <v>13641480</v>
      </c>
      <c r="E2286" s="15">
        <v>14439251</v>
      </c>
      <c r="F2286" s="15">
        <v>2613</v>
      </c>
      <c r="G2286" s="8" t="s">
        <v>12324</v>
      </c>
      <c r="H2286" s="24" t="s">
        <v>599</v>
      </c>
      <c r="I2286" s="25">
        <v>26562</v>
      </c>
      <c r="J2286" s="8" t="s">
        <v>601</v>
      </c>
      <c r="K2286" s="8" t="s">
        <v>10040</v>
      </c>
      <c r="L2286" s="15">
        <v>-0.123893</v>
      </c>
      <c r="M2286" s="15">
        <v>0.38111800000000001</v>
      </c>
      <c r="N2286" s="15">
        <v>0.740081917539267</v>
      </c>
    </row>
    <row r="2287" spans="1:14" x14ac:dyDescent="0.2">
      <c r="A2287" s="2" t="s">
        <v>10068</v>
      </c>
      <c r="B2287" s="15">
        <v>1856</v>
      </c>
      <c r="C2287" s="15">
        <v>12</v>
      </c>
      <c r="D2287" s="15">
        <v>128372589</v>
      </c>
      <c r="E2287" s="15">
        <v>129170296</v>
      </c>
      <c r="F2287" s="15">
        <v>2777</v>
      </c>
      <c r="G2287" s="8" t="s">
        <v>12324</v>
      </c>
      <c r="H2287" s="24" t="s">
        <v>1259</v>
      </c>
      <c r="I2287" s="25">
        <v>27096</v>
      </c>
      <c r="J2287" s="8" t="s">
        <v>1261</v>
      </c>
      <c r="K2287" s="8" t="s">
        <v>10040</v>
      </c>
      <c r="L2287" s="15">
        <v>0.13313900000000001</v>
      </c>
      <c r="M2287" s="15">
        <v>0.381554</v>
      </c>
      <c r="N2287" s="15">
        <v>0.740081917539267</v>
      </c>
    </row>
    <row r="2288" spans="1:14" x14ac:dyDescent="0.2">
      <c r="A2288" s="2" t="s">
        <v>10068</v>
      </c>
      <c r="B2288" s="15">
        <v>353</v>
      </c>
      <c r="C2288" s="15">
        <v>2</v>
      </c>
      <c r="D2288" s="15">
        <v>169224446</v>
      </c>
      <c r="E2288" s="15">
        <v>170155561</v>
      </c>
      <c r="F2288" s="15">
        <v>2286</v>
      </c>
      <c r="G2288" s="8" t="s">
        <v>12324</v>
      </c>
      <c r="H2288" s="24" t="s">
        <v>1259</v>
      </c>
      <c r="I2288" s="25">
        <v>27096</v>
      </c>
      <c r="J2288" s="8" t="s">
        <v>1261</v>
      </c>
      <c r="K2288" s="8" t="s">
        <v>10040</v>
      </c>
      <c r="L2288" s="15">
        <v>-0.20199900000000001</v>
      </c>
      <c r="M2288" s="15">
        <v>0.38234299999999999</v>
      </c>
      <c r="N2288" s="15">
        <v>0.740081917539267</v>
      </c>
    </row>
    <row r="2289" spans="1:14" x14ac:dyDescent="0.2">
      <c r="A2289" s="2" t="s">
        <v>10068</v>
      </c>
      <c r="B2289" s="15">
        <v>442</v>
      </c>
      <c r="C2289" s="15">
        <v>3</v>
      </c>
      <c r="D2289" s="15">
        <v>21790868</v>
      </c>
      <c r="E2289" s="15">
        <v>22648001</v>
      </c>
      <c r="F2289" s="15">
        <v>3524</v>
      </c>
      <c r="G2289" s="8" t="s">
        <v>12324</v>
      </c>
      <c r="H2289" s="24" t="s">
        <v>1259</v>
      </c>
      <c r="I2289" s="25">
        <v>27096</v>
      </c>
      <c r="J2289" s="8" t="s">
        <v>1261</v>
      </c>
      <c r="K2289" s="8" t="s">
        <v>10040</v>
      </c>
      <c r="L2289" s="15">
        <v>-0.211063</v>
      </c>
      <c r="M2289" s="15">
        <v>0.38237900000000002</v>
      </c>
      <c r="N2289" s="15">
        <v>0.740081917539267</v>
      </c>
    </row>
    <row r="2290" spans="1:14" x14ac:dyDescent="0.2">
      <c r="A2290" s="2" t="s">
        <v>10066</v>
      </c>
      <c r="B2290" s="15">
        <v>2241</v>
      </c>
      <c r="C2290" s="15">
        <v>18</v>
      </c>
      <c r="D2290" s="15">
        <v>2839843</v>
      </c>
      <c r="E2290" s="15">
        <v>3722828</v>
      </c>
      <c r="F2290" s="15">
        <v>2851</v>
      </c>
      <c r="G2290" s="8" t="s">
        <v>12324</v>
      </c>
      <c r="H2290" s="24" t="s">
        <v>3164</v>
      </c>
      <c r="I2290" s="25" t="s">
        <v>3165</v>
      </c>
      <c r="J2290" s="8" t="s">
        <v>3166</v>
      </c>
      <c r="K2290" s="8" t="s">
        <v>10042</v>
      </c>
      <c r="L2290" s="15">
        <v>0.186916</v>
      </c>
      <c r="M2290" s="15">
        <v>0.38190600000000002</v>
      </c>
      <c r="N2290" s="15">
        <v>0.740081917539267</v>
      </c>
    </row>
    <row r="2291" spans="1:14" x14ac:dyDescent="0.2">
      <c r="A2291" s="2" t="s">
        <v>10066</v>
      </c>
      <c r="B2291" s="15">
        <v>615</v>
      </c>
      <c r="C2291" s="15">
        <v>4</v>
      </c>
      <c r="D2291" s="15">
        <v>14967148</v>
      </c>
      <c r="E2291" s="15">
        <v>15910801</v>
      </c>
      <c r="F2291" s="15">
        <v>2449</v>
      </c>
      <c r="G2291" s="8" t="s">
        <v>12324</v>
      </c>
      <c r="H2291" s="24" t="s">
        <v>3164</v>
      </c>
      <c r="I2291" s="25" t="s">
        <v>3165</v>
      </c>
      <c r="J2291" s="8" t="s">
        <v>3166</v>
      </c>
      <c r="K2291" s="8" t="s">
        <v>10042</v>
      </c>
      <c r="L2291" s="15">
        <v>0.22467999999999999</v>
      </c>
      <c r="M2291" s="15">
        <v>0.382434</v>
      </c>
      <c r="N2291" s="15">
        <v>0.740081917539267</v>
      </c>
    </row>
    <row r="2292" spans="1:14" x14ac:dyDescent="0.2">
      <c r="A2292" s="2" t="s">
        <v>10066</v>
      </c>
      <c r="B2292" s="15">
        <v>2282</v>
      </c>
      <c r="C2292" s="15">
        <v>18</v>
      </c>
      <c r="D2292" s="15">
        <v>53762997</v>
      </c>
      <c r="E2292" s="15">
        <v>54957867</v>
      </c>
      <c r="F2292" s="15">
        <v>2781</v>
      </c>
      <c r="G2292" s="8" t="s">
        <v>12324</v>
      </c>
      <c r="H2292" s="24" t="s">
        <v>6008</v>
      </c>
      <c r="I2292" s="25" t="s">
        <v>6009</v>
      </c>
      <c r="J2292" s="8" t="s">
        <v>6010</v>
      </c>
      <c r="K2292" s="8" t="s">
        <v>10051</v>
      </c>
      <c r="L2292" s="15">
        <v>-0.21925700000000001</v>
      </c>
      <c r="M2292" s="15">
        <v>0.382133</v>
      </c>
      <c r="N2292" s="15">
        <v>0.740081917539267</v>
      </c>
    </row>
    <row r="2293" spans="1:14" x14ac:dyDescent="0.2">
      <c r="A2293" s="2" t="s">
        <v>10066</v>
      </c>
      <c r="B2293" s="15">
        <v>1742</v>
      </c>
      <c r="C2293" s="15">
        <v>12</v>
      </c>
      <c r="D2293" s="15">
        <v>1942427</v>
      </c>
      <c r="E2293" s="15">
        <v>3069506</v>
      </c>
      <c r="F2293" s="15">
        <v>2939</v>
      </c>
      <c r="G2293" s="8" t="s">
        <v>12324</v>
      </c>
      <c r="H2293" s="24" t="s">
        <v>6008</v>
      </c>
      <c r="I2293" s="25" t="s">
        <v>6009</v>
      </c>
      <c r="J2293" s="8" t="s">
        <v>6010</v>
      </c>
      <c r="K2293" s="8" t="s">
        <v>10051</v>
      </c>
      <c r="L2293" s="15">
        <v>-0.171102</v>
      </c>
      <c r="M2293" s="15">
        <v>0.38222400000000001</v>
      </c>
      <c r="N2293" s="15">
        <v>0.740081917539267</v>
      </c>
    </row>
    <row r="2294" spans="1:14" x14ac:dyDescent="0.2">
      <c r="A2294" s="2" t="s">
        <v>10066</v>
      </c>
      <c r="B2294" s="15">
        <v>2094</v>
      </c>
      <c r="C2294" s="15">
        <v>15</v>
      </c>
      <c r="D2294" s="15">
        <v>94565522</v>
      </c>
      <c r="E2294" s="15">
        <v>95662425</v>
      </c>
      <c r="F2294" s="15">
        <v>3166</v>
      </c>
      <c r="G2294" s="8" t="s">
        <v>12324</v>
      </c>
      <c r="H2294" s="24" t="s">
        <v>6008</v>
      </c>
      <c r="I2294" s="25" t="s">
        <v>6009</v>
      </c>
      <c r="J2294" s="8" t="s">
        <v>6010</v>
      </c>
      <c r="K2294" s="8" t="s">
        <v>10051</v>
      </c>
      <c r="L2294" s="15">
        <v>-0.17874300000000001</v>
      </c>
      <c r="M2294" s="15">
        <v>0.38247300000000001</v>
      </c>
      <c r="N2294" s="15">
        <v>0.740081917539267</v>
      </c>
    </row>
    <row r="2295" spans="1:14" x14ac:dyDescent="0.2">
      <c r="A2295" s="2" t="s">
        <v>10068</v>
      </c>
      <c r="B2295" s="15">
        <v>1628</v>
      </c>
      <c r="C2295" s="15">
        <v>11</v>
      </c>
      <c r="D2295" s="15">
        <v>16383387</v>
      </c>
      <c r="E2295" s="15">
        <v>17583948</v>
      </c>
      <c r="F2295" s="15">
        <v>2726</v>
      </c>
      <c r="G2295" s="8" t="s">
        <v>12324</v>
      </c>
      <c r="H2295" s="24" t="s">
        <v>1259</v>
      </c>
      <c r="I2295" s="25">
        <v>27096</v>
      </c>
      <c r="J2295" s="8" t="s">
        <v>1261</v>
      </c>
      <c r="K2295" s="8" t="s">
        <v>10040</v>
      </c>
      <c r="L2295" s="15">
        <v>0.31186599999999998</v>
      </c>
      <c r="M2295" s="15">
        <v>0.383131</v>
      </c>
      <c r="N2295" s="15">
        <v>0.74103182948102919</v>
      </c>
    </row>
    <row r="2296" spans="1:14" x14ac:dyDescent="0.2">
      <c r="A2296" s="2" t="s">
        <v>10068</v>
      </c>
      <c r="B2296" s="15">
        <v>1846</v>
      </c>
      <c r="C2296" s="15">
        <v>12</v>
      </c>
      <c r="D2296" s="15">
        <v>117091844</v>
      </c>
      <c r="E2296" s="15">
        <v>118256124</v>
      </c>
      <c r="F2296" s="15">
        <v>3188</v>
      </c>
      <c r="G2296" s="8" t="s">
        <v>12324</v>
      </c>
      <c r="H2296" s="24" t="s">
        <v>599</v>
      </c>
      <c r="I2296" s="25">
        <v>26562</v>
      </c>
      <c r="J2296" s="8" t="s">
        <v>601</v>
      </c>
      <c r="K2296" s="8" t="s">
        <v>10040</v>
      </c>
      <c r="L2296" s="15">
        <v>-8.5567400000000002E-2</v>
      </c>
      <c r="M2296" s="15">
        <v>0.38349</v>
      </c>
      <c r="N2296" s="15">
        <v>0.74140285527462946</v>
      </c>
    </row>
    <row r="2297" spans="1:14" x14ac:dyDescent="0.2">
      <c r="A2297" s="2" t="s">
        <v>10068</v>
      </c>
      <c r="B2297" s="15">
        <v>252</v>
      </c>
      <c r="C2297" s="15">
        <v>2</v>
      </c>
      <c r="D2297" s="15">
        <v>46499327</v>
      </c>
      <c r="E2297" s="15">
        <v>47320114</v>
      </c>
      <c r="F2297" s="15">
        <v>2532</v>
      </c>
      <c r="G2297" s="8" t="s">
        <v>12324</v>
      </c>
      <c r="H2297" s="24" t="s">
        <v>6565</v>
      </c>
      <c r="I2297" s="25" t="s">
        <v>6475</v>
      </c>
      <c r="J2297" s="8" t="s">
        <v>6566</v>
      </c>
      <c r="K2297" s="8" t="s">
        <v>10054</v>
      </c>
      <c r="L2297" s="15">
        <v>0.36818000000000001</v>
      </c>
      <c r="M2297" s="15">
        <v>0.384324</v>
      </c>
      <c r="N2297" s="15">
        <v>0.74269147712418304</v>
      </c>
    </row>
    <row r="2298" spans="1:14" x14ac:dyDescent="0.2">
      <c r="A2298" s="2" t="s">
        <v>10069</v>
      </c>
      <c r="B2298" s="15">
        <v>137</v>
      </c>
      <c r="C2298" s="15">
        <v>1</v>
      </c>
      <c r="D2298" s="15">
        <v>181324206</v>
      </c>
      <c r="E2298" s="15">
        <v>182420540</v>
      </c>
      <c r="F2298" s="15">
        <v>1697</v>
      </c>
      <c r="G2298" s="8" t="s">
        <v>12324</v>
      </c>
      <c r="H2298" s="24" t="s">
        <v>662</v>
      </c>
      <c r="I2298" s="25" t="s">
        <v>663</v>
      </c>
      <c r="J2298" s="8" t="s">
        <v>664</v>
      </c>
      <c r="K2298" s="8" t="s">
        <v>10040</v>
      </c>
      <c r="L2298" s="15">
        <v>0.264181</v>
      </c>
      <c r="M2298" s="15">
        <v>0.38466400000000001</v>
      </c>
      <c r="N2298" s="15">
        <v>0.74302475609756091</v>
      </c>
    </row>
    <row r="2299" spans="1:14" x14ac:dyDescent="0.2">
      <c r="A2299" s="2" t="s">
        <v>10068</v>
      </c>
      <c r="B2299" s="15">
        <v>616</v>
      </c>
      <c r="C2299" s="15">
        <v>4</v>
      </c>
      <c r="D2299" s="15">
        <v>15910802</v>
      </c>
      <c r="E2299" s="15">
        <v>17290236</v>
      </c>
      <c r="F2299" s="15">
        <v>3817</v>
      </c>
      <c r="G2299" s="8" t="s">
        <v>12324</v>
      </c>
      <c r="H2299" s="24" t="s">
        <v>599</v>
      </c>
      <c r="I2299" s="25">
        <v>26562</v>
      </c>
      <c r="J2299" s="8" t="s">
        <v>601</v>
      </c>
      <c r="K2299" s="8" t="s">
        <v>10040</v>
      </c>
      <c r="L2299" s="15">
        <v>0.18348600000000001</v>
      </c>
      <c r="M2299" s="15">
        <v>0.38500299999999998</v>
      </c>
      <c r="N2299" s="15">
        <v>0.74303233463881635</v>
      </c>
    </row>
    <row r="2300" spans="1:14" x14ac:dyDescent="0.2">
      <c r="A2300" s="2" t="s">
        <v>10068</v>
      </c>
      <c r="B2300" s="15">
        <v>1139</v>
      </c>
      <c r="C2300" s="15">
        <v>7</v>
      </c>
      <c r="D2300" s="15">
        <v>42494807</v>
      </c>
      <c r="E2300" s="15">
        <v>43448815</v>
      </c>
      <c r="F2300" s="15">
        <v>2672</v>
      </c>
      <c r="G2300" s="8" t="s">
        <v>12324</v>
      </c>
      <c r="H2300" s="24" t="s">
        <v>1259</v>
      </c>
      <c r="I2300" s="25">
        <v>27096</v>
      </c>
      <c r="J2300" s="8" t="s">
        <v>1261</v>
      </c>
      <c r="K2300" s="8" t="s">
        <v>10040</v>
      </c>
      <c r="L2300" s="15">
        <v>0.229994</v>
      </c>
      <c r="M2300" s="15">
        <v>0.38493300000000003</v>
      </c>
      <c r="N2300" s="15">
        <v>0.74303233463881635</v>
      </c>
    </row>
    <row r="2301" spans="1:14" x14ac:dyDescent="0.2">
      <c r="A2301" s="2" t="s">
        <v>10068</v>
      </c>
      <c r="B2301" s="15">
        <v>1180</v>
      </c>
      <c r="C2301" s="15">
        <v>7</v>
      </c>
      <c r="D2301" s="15">
        <v>92530166</v>
      </c>
      <c r="E2301" s="15">
        <v>93691725</v>
      </c>
      <c r="F2301" s="15">
        <v>2647</v>
      </c>
      <c r="G2301" s="8" t="s">
        <v>12324</v>
      </c>
      <c r="H2301" s="24" t="s">
        <v>1259</v>
      </c>
      <c r="I2301" s="25">
        <v>27096</v>
      </c>
      <c r="J2301" s="8" t="s">
        <v>1261</v>
      </c>
      <c r="K2301" s="8" t="s">
        <v>10040</v>
      </c>
      <c r="L2301" s="15">
        <v>0.229715</v>
      </c>
      <c r="M2301" s="15">
        <v>0.38527899999999998</v>
      </c>
      <c r="N2301" s="15">
        <v>0.74324156807307529</v>
      </c>
    </row>
    <row r="2302" spans="1:14" x14ac:dyDescent="0.2">
      <c r="A2302" s="2" t="s">
        <v>10068</v>
      </c>
      <c r="B2302" s="15">
        <v>1623</v>
      </c>
      <c r="C2302" s="15">
        <v>11</v>
      </c>
      <c r="D2302" s="15">
        <v>11081300</v>
      </c>
      <c r="E2302" s="15">
        <v>11632650</v>
      </c>
      <c r="F2302" s="15">
        <v>2230</v>
      </c>
      <c r="G2302" s="8" t="s">
        <v>12324</v>
      </c>
      <c r="H2302" s="24" t="s">
        <v>494</v>
      </c>
      <c r="I2302" s="25">
        <v>25920</v>
      </c>
      <c r="J2302" s="8" t="s">
        <v>496</v>
      </c>
      <c r="K2302" s="8" t="s">
        <v>10040</v>
      </c>
      <c r="L2302" s="15">
        <v>0.198049</v>
      </c>
      <c r="M2302" s="15">
        <v>0.38660800000000001</v>
      </c>
      <c r="N2302" s="15">
        <v>0.74376642454466613</v>
      </c>
    </row>
    <row r="2303" spans="1:14" x14ac:dyDescent="0.2">
      <c r="A2303" s="2" t="s">
        <v>10068</v>
      </c>
      <c r="B2303" s="15">
        <v>1684</v>
      </c>
      <c r="C2303" s="15">
        <v>11</v>
      </c>
      <c r="D2303" s="15">
        <v>77719871</v>
      </c>
      <c r="E2303" s="15">
        <v>78912252</v>
      </c>
      <c r="F2303" s="15">
        <v>2693</v>
      </c>
      <c r="G2303" s="8" t="s">
        <v>12324</v>
      </c>
      <c r="H2303" s="24" t="s">
        <v>599</v>
      </c>
      <c r="I2303" s="25">
        <v>26562</v>
      </c>
      <c r="J2303" s="8" t="s">
        <v>601</v>
      </c>
      <c r="K2303" s="8" t="s">
        <v>10040</v>
      </c>
      <c r="L2303" s="15">
        <v>-0.258853</v>
      </c>
      <c r="M2303" s="15">
        <v>0.38606499999999999</v>
      </c>
      <c r="N2303" s="15">
        <v>0.74376642454466613</v>
      </c>
    </row>
    <row r="2304" spans="1:14" x14ac:dyDescent="0.2">
      <c r="A2304" s="2" t="s">
        <v>10068</v>
      </c>
      <c r="B2304" s="15">
        <v>207</v>
      </c>
      <c r="C2304" s="15">
        <v>2</v>
      </c>
      <c r="D2304" s="15">
        <v>4016105</v>
      </c>
      <c r="E2304" s="15">
        <v>4766969</v>
      </c>
      <c r="F2304" s="15">
        <v>2275</v>
      </c>
      <c r="G2304" s="8" t="s">
        <v>12324</v>
      </c>
      <c r="H2304" s="24" t="s">
        <v>599</v>
      </c>
      <c r="I2304" s="25">
        <v>26562</v>
      </c>
      <c r="J2304" s="8" t="s">
        <v>601</v>
      </c>
      <c r="K2304" s="8" t="s">
        <v>10040</v>
      </c>
      <c r="L2304" s="15">
        <v>0.18130199999999999</v>
      </c>
      <c r="M2304" s="15">
        <v>0.386625</v>
      </c>
      <c r="N2304" s="15">
        <v>0.74376642454466613</v>
      </c>
    </row>
    <row r="2305" spans="1:14" x14ac:dyDescent="0.2">
      <c r="A2305" s="2" t="s">
        <v>10069</v>
      </c>
      <c r="B2305" s="15">
        <v>395</v>
      </c>
      <c r="C2305" s="15">
        <v>2</v>
      </c>
      <c r="D2305" s="15">
        <v>218396259</v>
      </c>
      <c r="E2305" s="15">
        <v>219678783</v>
      </c>
      <c r="F2305" s="15">
        <v>1585</v>
      </c>
      <c r="G2305" s="8" t="s">
        <v>12324</v>
      </c>
      <c r="H2305" s="24" t="s">
        <v>662</v>
      </c>
      <c r="I2305" s="25" t="s">
        <v>663</v>
      </c>
      <c r="J2305" s="8" t="s">
        <v>664</v>
      </c>
      <c r="K2305" s="8" t="s">
        <v>10040</v>
      </c>
      <c r="L2305" s="15">
        <v>-0.23175499999999999</v>
      </c>
      <c r="M2305" s="15">
        <v>0.38672499999999999</v>
      </c>
      <c r="N2305" s="15">
        <v>0.74376642454466613</v>
      </c>
    </row>
    <row r="2306" spans="1:14" x14ac:dyDescent="0.2">
      <c r="A2306" s="2" t="s">
        <v>10068</v>
      </c>
      <c r="B2306" s="15">
        <v>404</v>
      </c>
      <c r="C2306" s="15">
        <v>2</v>
      </c>
      <c r="D2306" s="15">
        <v>227557842</v>
      </c>
      <c r="E2306" s="15">
        <v>228812485</v>
      </c>
      <c r="F2306" s="15">
        <v>4238</v>
      </c>
      <c r="G2306" s="8" t="s">
        <v>12324</v>
      </c>
      <c r="H2306" s="24" t="s">
        <v>1259</v>
      </c>
      <c r="I2306" s="25">
        <v>27096</v>
      </c>
      <c r="J2306" s="8" t="s">
        <v>1261</v>
      </c>
      <c r="K2306" s="8" t="s">
        <v>10040</v>
      </c>
      <c r="L2306" s="15">
        <v>0.14482900000000001</v>
      </c>
      <c r="M2306" s="15">
        <v>0.38597799999999999</v>
      </c>
      <c r="N2306" s="15">
        <v>0.74376642454466613</v>
      </c>
    </row>
    <row r="2307" spans="1:14" x14ac:dyDescent="0.2">
      <c r="A2307" s="2" t="s">
        <v>10066</v>
      </c>
      <c r="B2307" s="15">
        <v>2118</v>
      </c>
      <c r="C2307" s="15">
        <v>16</v>
      </c>
      <c r="D2307" s="15">
        <v>13893408</v>
      </c>
      <c r="E2307" s="15">
        <v>15921108</v>
      </c>
      <c r="F2307" s="15">
        <v>3354</v>
      </c>
      <c r="G2307" s="8" t="s">
        <v>12324</v>
      </c>
      <c r="H2307" s="24" t="s">
        <v>3164</v>
      </c>
      <c r="I2307" s="25" t="s">
        <v>3165</v>
      </c>
      <c r="J2307" s="8" t="s">
        <v>3166</v>
      </c>
      <c r="K2307" s="8" t="s">
        <v>10042</v>
      </c>
      <c r="L2307" s="15">
        <v>0.23747199999999999</v>
      </c>
      <c r="M2307" s="15">
        <v>0.38576899999999997</v>
      </c>
      <c r="N2307" s="15">
        <v>0.74376642454466613</v>
      </c>
    </row>
    <row r="2308" spans="1:14" x14ac:dyDescent="0.2">
      <c r="A2308" s="2" t="s">
        <v>10068</v>
      </c>
      <c r="B2308" s="15">
        <v>975</v>
      </c>
      <c r="C2308" s="15">
        <v>6</v>
      </c>
      <c r="D2308" s="15">
        <v>39785908</v>
      </c>
      <c r="E2308" s="15">
        <v>40778401</v>
      </c>
      <c r="F2308" s="15">
        <v>3059</v>
      </c>
      <c r="G2308" s="8" t="s">
        <v>12324</v>
      </c>
      <c r="H2308" s="24" t="s">
        <v>6565</v>
      </c>
      <c r="I2308" s="25" t="s">
        <v>6475</v>
      </c>
      <c r="J2308" s="8" t="s">
        <v>6566</v>
      </c>
      <c r="K2308" s="8" t="s">
        <v>10054</v>
      </c>
      <c r="L2308" s="15">
        <v>-0.23394599999999999</v>
      </c>
      <c r="M2308" s="15">
        <v>0.386596</v>
      </c>
      <c r="N2308" s="15">
        <v>0.74376642454466613</v>
      </c>
    </row>
    <row r="2309" spans="1:14" x14ac:dyDescent="0.2">
      <c r="A2309" s="2" t="s">
        <v>10068</v>
      </c>
      <c r="B2309" s="15">
        <v>137</v>
      </c>
      <c r="C2309" s="15">
        <v>1</v>
      </c>
      <c r="D2309" s="15">
        <v>181324206</v>
      </c>
      <c r="E2309" s="15">
        <v>182420540</v>
      </c>
      <c r="F2309" s="15">
        <v>2692</v>
      </c>
      <c r="G2309" s="8" t="s">
        <v>12324</v>
      </c>
      <c r="H2309" s="24" t="s">
        <v>494</v>
      </c>
      <c r="I2309" s="25">
        <v>25920</v>
      </c>
      <c r="J2309" s="8" t="s">
        <v>496</v>
      </c>
      <c r="K2309" s="8" t="s">
        <v>10040</v>
      </c>
      <c r="L2309" s="15">
        <v>0.216949</v>
      </c>
      <c r="M2309" s="15">
        <v>0.38718599999999997</v>
      </c>
      <c r="N2309" s="15">
        <v>0.74400775996533797</v>
      </c>
    </row>
    <row r="2310" spans="1:14" x14ac:dyDescent="0.2">
      <c r="A2310" s="2" t="s">
        <v>10068</v>
      </c>
      <c r="B2310" s="15">
        <v>1969</v>
      </c>
      <c r="C2310" s="15">
        <v>14</v>
      </c>
      <c r="D2310" s="15">
        <v>36422078</v>
      </c>
      <c r="E2310" s="15">
        <v>37282012</v>
      </c>
      <c r="F2310" s="15">
        <v>2211</v>
      </c>
      <c r="G2310" s="8" t="s">
        <v>12324</v>
      </c>
      <c r="H2310" s="24" t="s">
        <v>1259</v>
      </c>
      <c r="I2310" s="25">
        <v>27096</v>
      </c>
      <c r="J2310" s="8" t="s">
        <v>1261</v>
      </c>
      <c r="K2310" s="8" t="s">
        <v>10040</v>
      </c>
      <c r="L2310" s="15">
        <v>-0.201658</v>
      </c>
      <c r="M2310" s="15">
        <v>0.38706299999999999</v>
      </c>
      <c r="N2310" s="15">
        <v>0.74400775996533797</v>
      </c>
    </row>
    <row r="2311" spans="1:14" x14ac:dyDescent="0.2">
      <c r="A2311" s="2" t="s">
        <v>10068</v>
      </c>
      <c r="B2311" s="15">
        <v>818</v>
      </c>
      <c r="C2311" s="15">
        <v>5</v>
      </c>
      <c r="D2311" s="15">
        <v>51203266</v>
      </c>
      <c r="E2311" s="15">
        <v>52139773</v>
      </c>
      <c r="F2311" s="15">
        <v>2565</v>
      </c>
      <c r="G2311" s="8" t="s">
        <v>12324</v>
      </c>
      <c r="H2311" s="24" t="s">
        <v>6565</v>
      </c>
      <c r="I2311" s="25" t="s">
        <v>6475</v>
      </c>
      <c r="J2311" s="8" t="s">
        <v>6566</v>
      </c>
      <c r="K2311" s="8" t="s">
        <v>10054</v>
      </c>
      <c r="L2311" s="15">
        <v>-0.25102600000000003</v>
      </c>
      <c r="M2311" s="15">
        <v>0.38783000000000001</v>
      </c>
      <c r="N2311" s="15">
        <v>0.74492249891728024</v>
      </c>
    </row>
    <row r="2312" spans="1:14" x14ac:dyDescent="0.2">
      <c r="A2312" s="2" t="s">
        <v>10068</v>
      </c>
      <c r="B2312" s="15">
        <v>1833</v>
      </c>
      <c r="C2312" s="15">
        <v>12</v>
      </c>
      <c r="D2312" s="15">
        <v>102966634</v>
      </c>
      <c r="E2312" s="15">
        <v>104140831</v>
      </c>
      <c r="F2312" s="15">
        <v>3046</v>
      </c>
      <c r="G2312" s="8" t="s">
        <v>12324</v>
      </c>
      <c r="H2312" s="24" t="s">
        <v>599</v>
      </c>
      <c r="I2312" s="25">
        <v>26562</v>
      </c>
      <c r="J2312" s="8" t="s">
        <v>601</v>
      </c>
      <c r="K2312" s="8" t="s">
        <v>10040</v>
      </c>
      <c r="L2312" s="15">
        <v>-0.197051</v>
      </c>
      <c r="M2312" s="15">
        <v>0.38818599999999998</v>
      </c>
      <c r="N2312" s="15">
        <v>0.74496101687581129</v>
      </c>
    </row>
    <row r="2313" spans="1:14" x14ac:dyDescent="0.2">
      <c r="A2313" s="2" t="s">
        <v>10069</v>
      </c>
      <c r="B2313" s="15">
        <v>1940</v>
      </c>
      <c r="C2313" s="15">
        <v>13</v>
      </c>
      <c r="D2313" s="15">
        <v>101573737</v>
      </c>
      <c r="E2313" s="15">
        <v>103050417</v>
      </c>
      <c r="F2313" s="15">
        <v>2756</v>
      </c>
      <c r="G2313" s="8" t="s">
        <v>12324</v>
      </c>
      <c r="H2313" s="24" t="s">
        <v>662</v>
      </c>
      <c r="I2313" s="25" t="s">
        <v>663</v>
      </c>
      <c r="J2313" s="8" t="s">
        <v>664</v>
      </c>
      <c r="K2313" s="8" t="s">
        <v>10040</v>
      </c>
      <c r="L2313" s="15">
        <v>0.30085200000000001</v>
      </c>
      <c r="M2313" s="15">
        <v>0.38809700000000003</v>
      </c>
      <c r="N2313" s="15">
        <v>0.74496101687581129</v>
      </c>
    </row>
    <row r="2314" spans="1:14" x14ac:dyDescent="0.2">
      <c r="A2314" s="2" t="s">
        <v>10066</v>
      </c>
      <c r="B2314" s="15">
        <v>200</v>
      </c>
      <c r="C2314" s="15">
        <v>1</v>
      </c>
      <c r="D2314" s="15">
        <v>248341595</v>
      </c>
      <c r="E2314" s="15">
        <v>249240538</v>
      </c>
      <c r="F2314" s="15">
        <v>1747</v>
      </c>
      <c r="G2314" s="8" t="s">
        <v>12324</v>
      </c>
      <c r="H2314" s="24" t="s">
        <v>6008</v>
      </c>
      <c r="I2314" s="25" t="s">
        <v>6009</v>
      </c>
      <c r="J2314" s="8" t="s">
        <v>6010</v>
      </c>
      <c r="K2314" s="8" t="s">
        <v>10051</v>
      </c>
      <c r="L2314" s="15">
        <v>-0.166042</v>
      </c>
      <c r="M2314" s="15">
        <v>0.38855899999999999</v>
      </c>
      <c r="N2314" s="15">
        <v>0.74535431012110731</v>
      </c>
    </row>
    <row r="2315" spans="1:14" x14ac:dyDescent="0.2">
      <c r="A2315" s="2" t="s">
        <v>10068</v>
      </c>
      <c r="B2315" s="15">
        <v>361</v>
      </c>
      <c r="C2315" s="15">
        <v>2</v>
      </c>
      <c r="D2315" s="15">
        <v>176734751</v>
      </c>
      <c r="E2315" s="15">
        <v>178149981</v>
      </c>
      <c r="F2315" s="15">
        <v>3306</v>
      </c>
      <c r="G2315" s="8" t="s">
        <v>12324</v>
      </c>
      <c r="H2315" s="24" t="s">
        <v>599</v>
      </c>
      <c r="I2315" s="25">
        <v>26562</v>
      </c>
      <c r="J2315" s="8" t="s">
        <v>601</v>
      </c>
      <c r="K2315" s="8" t="s">
        <v>10040</v>
      </c>
      <c r="L2315" s="15">
        <v>-0.2185</v>
      </c>
      <c r="M2315" s="15">
        <v>0.38888699999999998</v>
      </c>
      <c r="N2315" s="15">
        <v>0.74566097924773023</v>
      </c>
    </row>
    <row r="2316" spans="1:14" x14ac:dyDescent="0.2">
      <c r="A2316" s="2" t="s">
        <v>10068</v>
      </c>
      <c r="B2316" s="15">
        <v>2407</v>
      </c>
      <c r="C2316" s="15">
        <v>20</v>
      </c>
      <c r="D2316" s="15">
        <v>43008891</v>
      </c>
      <c r="E2316" s="15">
        <v>44072210</v>
      </c>
      <c r="F2316" s="15">
        <v>2160</v>
      </c>
      <c r="G2316" s="8" t="s">
        <v>12324</v>
      </c>
      <c r="H2316" s="24" t="s">
        <v>599</v>
      </c>
      <c r="I2316" s="25">
        <v>26562</v>
      </c>
      <c r="J2316" s="8" t="s">
        <v>601</v>
      </c>
      <c r="K2316" s="8" t="s">
        <v>10040</v>
      </c>
      <c r="L2316" s="15">
        <v>0.22384200000000001</v>
      </c>
      <c r="M2316" s="15">
        <v>0.38943</v>
      </c>
      <c r="N2316" s="15">
        <v>0.74592448834196889</v>
      </c>
    </row>
    <row r="2317" spans="1:14" x14ac:dyDescent="0.2">
      <c r="A2317" s="2" t="s">
        <v>10066</v>
      </c>
      <c r="B2317" s="15">
        <v>1423</v>
      </c>
      <c r="C2317" s="15">
        <v>9</v>
      </c>
      <c r="D2317" s="15">
        <v>77862309</v>
      </c>
      <c r="E2317" s="15">
        <v>78630915</v>
      </c>
      <c r="F2317" s="15">
        <v>2586</v>
      </c>
      <c r="G2317" s="8" t="s">
        <v>12324</v>
      </c>
      <c r="H2317" s="24" t="s">
        <v>6008</v>
      </c>
      <c r="I2317" s="25" t="s">
        <v>6009</v>
      </c>
      <c r="J2317" s="8" t="s">
        <v>6010</v>
      </c>
      <c r="K2317" s="8" t="s">
        <v>10051</v>
      </c>
      <c r="L2317" s="15">
        <v>0.16125300000000001</v>
      </c>
      <c r="M2317" s="15">
        <v>0.38952900000000001</v>
      </c>
      <c r="N2317" s="15">
        <v>0.74592448834196889</v>
      </c>
    </row>
    <row r="2318" spans="1:14" x14ac:dyDescent="0.2">
      <c r="A2318" s="2" t="s">
        <v>10068</v>
      </c>
      <c r="B2318" s="15">
        <v>1730</v>
      </c>
      <c r="C2318" s="15">
        <v>11</v>
      </c>
      <c r="D2318" s="15">
        <v>125266685</v>
      </c>
      <c r="E2318" s="15">
        <v>126304240</v>
      </c>
      <c r="F2318" s="15">
        <v>2906</v>
      </c>
      <c r="G2318" s="8" t="s">
        <v>12324</v>
      </c>
      <c r="H2318" s="24" t="s">
        <v>6565</v>
      </c>
      <c r="I2318" s="25" t="s">
        <v>6475</v>
      </c>
      <c r="J2318" s="8" t="s">
        <v>6566</v>
      </c>
      <c r="K2318" s="8" t="s">
        <v>10054</v>
      </c>
      <c r="L2318" s="15">
        <v>0.27867900000000001</v>
      </c>
      <c r="M2318" s="15">
        <v>0.38934800000000003</v>
      </c>
      <c r="N2318" s="15">
        <v>0.74592448834196889</v>
      </c>
    </row>
    <row r="2319" spans="1:14" x14ac:dyDescent="0.2">
      <c r="A2319" s="2" t="s">
        <v>10066</v>
      </c>
      <c r="B2319" s="15">
        <v>2454</v>
      </c>
      <c r="C2319" s="15">
        <v>21</v>
      </c>
      <c r="D2319" s="15">
        <v>40480832</v>
      </c>
      <c r="E2319" s="15">
        <v>41344742</v>
      </c>
      <c r="F2319" s="15">
        <v>2898</v>
      </c>
      <c r="G2319" s="8" t="s">
        <v>12324</v>
      </c>
      <c r="H2319" s="24" t="s">
        <v>3164</v>
      </c>
      <c r="I2319" s="25" t="s">
        <v>3165</v>
      </c>
      <c r="J2319" s="8" t="s">
        <v>3166</v>
      </c>
      <c r="K2319" s="8" t="s">
        <v>10042</v>
      </c>
      <c r="L2319" s="15">
        <v>-0.35671999999999998</v>
      </c>
      <c r="M2319" s="15">
        <v>0.38993</v>
      </c>
      <c r="N2319" s="15">
        <v>0.7463701122140699</v>
      </c>
    </row>
    <row r="2320" spans="1:14" x14ac:dyDescent="0.2">
      <c r="A2320" s="2" t="s">
        <v>10068</v>
      </c>
      <c r="B2320" s="15">
        <v>1169</v>
      </c>
      <c r="C2320" s="15">
        <v>7</v>
      </c>
      <c r="D2320" s="15">
        <v>77663965</v>
      </c>
      <c r="E2320" s="15">
        <v>78685009</v>
      </c>
      <c r="F2320" s="15">
        <v>3587</v>
      </c>
      <c r="G2320" s="8" t="s">
        <v>12324</v>
      </c>
      <c r="H2320" s="24" t="s">
        <v>494</v>
      </c>
      <c r="I2320" s="25">
        <v>25920</v>
      </c>
      <c r="J2320" s="8" t="s">
        <v>496</v>
      </c>
      <c r="K2320" s="8" t="s">
        <v>10040</v>
      </c>
      <c r="L2320" s="15">
        <v>0.25059100000000001</v>
      </c>
      <c r="M2320" s="15">
        <v>0.39172000000000001</v>
      </c>
      <c r="N2320" s="15">
        <v>0.74884679078777439</v>
      </c>
    </row>
    <row r="2321" spans="1:14" x14ac:dyDescent="0.2">
      <c r="A2321" s="2" t="s">
        <v>10068</v>
      </c>
      <c r="B2321" s="15">
        <v>1988</v>
      </c>
      <c r="C2321" s="15">
        <v>14</v>
      </c>
      <c r="D2321" s="15">
        <v>56206431</v>
      </c>
      <c r="E2321" s="15">
        <v>57460781</v>
      </c>
      <c r="F2321" s="15">
        <v>3754</v>
      </c>
      <c r="G2321" s="8" t="s">
        <v>12324</v>
      </c>
      <c r="H2321" s="24" t="s">
        <v>494</v>
      </c>
      <c r="I2321" s="25">
        <v>25920</v>
      </c>
      <c r="J2321" s="8" t="s">
        <v>496</v>
      </c>
      <c r="K2321" s="8" t="s">
        <v>10040</v>
      </c>
      <c r="L2321" s="15">
        <v>0.18196699999999999</v>
      </c>
      <c r="M2321" s="15">
        <v>0.39190700000000001</v>
      </c>
      <c r="N2321" s="15">
        <v>0.74884679078777439</v>
      </c>
    </row>
    <row r="2322" spans="1:14" x14ac:dyDescent="0.2">
      <c r="A2322" s="2" t="s">
        <v>10068</v>
      </c>
      <c r="B2322" s="15">
        <v>94</v>
      </c>
      <c r="C2322" s="15">
        <v>1</v>
      </c>
      <c r="D2322" s="15">
        <v>106864948</v>
      </c>
      <c r="E2322" s="15">
        <v>107874653</v>
      </c>
      <c r="F2322" s="15">
        <v>2092</v>
      </c>
      <c r="G2322" s="8" t="s">
        <v>12324</v>
      </c>
      <c r="H2322" s="24" t="s">
        <v>494</v>
      </c>
      <c r="I2322" s="25">
        <v>25920</v>
      </c>
      <c r="J2322" s="8" t="s">
        <v>496</v>
      </c>
      <c r="K2322" s="8" t="s">
        <v>10040</v>
      </c>
      <c r="L2322" s="15">
        <v>-0.273449</v>
      </c>
      <c r="M2322" s="15">
        <v>0.392231</v>
      </c>
      <c r="N2322" s="15">
        <v>0.74884679078777439</v>
      </c>
    </row>
    <row r="2323" spans="1:14" x14ac:dyDescent="0.2">
      <c r="A2323" s="2" t="s">
        <v>10068</v>
      </c>
      <c r="B2323" s="15">
        <v>1682</v>
      </c>
      <c r="C2323" s="15">
        <v>11</v>
      </c>
      <c r="D2323" s="15">
        <v>75445254</v>
      </c>
      <c r="E2323" s="15">
        <v>76518906</v>
      </c>
      <c r="F2323" s="15">
        <v>2470</v>
      </c>
      <c r="G2323" s="8" t="s">
        <v>12324</v>
      </c>
      <c r="H2323" s="24" t="s">
        <v>494</v>
      </c>
      <c r="I2323" s="25">
        <v>25920</v>
      </c>
      <c r="J2323" s="8" t="s">
        <v>496</v>
      </c>
      <c r="K2323" s="8" t="s">
        <v>10040</v>
      </c>
      <c r="L2323" s="15">
        <v>0.13141600000000001</v>
      </c>
      <c r="M2323" s="15">
        <v>0.392237</v>
      </c>
      <c r="N2323" s="15">
        <v>0.74884679078777439</v>
      </c>
    </row>
    <row r="2324" spans="1:14" x14ac:dyDescent="0.2">
      <c r="A2324" s="2" t="s">
        <v>10068</v>
      </c>
      <c r="B2324" s="15">
        <v>1718</v>
      </c>
      <c r="C2324" s="15">
        <v>11</v>
      </c>
      <c r="D2324" s="15">
        <v>111117781</v>
      </c>
      <c r="E2324" s="15">
        <v>112755446</v>
      </c>
      <c r="F2324" s="15">
        <v>3295</v>
      </c>
      <c r="G2324" s="8" t="s">
        <v>12324</v>
      </c>
      <c r="H2324" s="24" t="s">
        <v>1259</v>
      </c>
      <c r="I2324" s="25">
        <v>27096</v>
      </c>
      <c r="J2324" s="8" t="s">
        <v>1261</v>
      </c>
      <c r="K2324" s="8" t="s">
        <v>10040</v>
      </c>
      <c r="L2324" s="15">
        <v>-0.207263</v>
      </c>
      <c r="M2324" s="15">
        <v>0.39211099999999999</v>
      </c>
      <c r="N2324" s="15">
        <v>0.74884679078777439</v>
      </c>
    </row>
    <row r="2325" spans="1:14" x14ac:dyDescent="0.2">
      <c r="A2325" s="2" t="s">
        <v>10066</v>
      </c>
      <c r="B2325" s="15">
        <v>2432</v>
      </c>
      <c r="C2325" s="15">
        <v>21</v>
      </c>
      <c r="D2325" s="15">
        <v>15840034</v>
      </c>
      <c r="E2325" s="15">
        <v>16873443</v>
      </c>
      <c r="F2325" s="15">
        <v>2646</v>
      </c>
      <c r="G2325" s="8" t="s">
        <v>12324</v>
      </c>
      <c r="H2325" s="24" t="s">
        <v>6008</v>
      </c>
      <c r="I2325" s="25" t="s">
        <v>6009</v>
      </c>
      <c r="J2325" s="8" t="s">
        <v>6010</v>
      </c>
      <c r="K2325" s="8" t="s">
        <v>10051</v>
      </c>
      <c r="L2325" s="15">
        <v>-0.26706600000000003</v>
      </c>
      <c r="M2325" s="15">
        <v>0.392206</v>
      </c>
      <c r="N2325" s="15">
        <v>0.74884679078777439</v>
      </c>
    </row>
    <row r="2326" spans="1:14" x14ac:dyDescent="0.2">
      <c r="A2326" s="2" t="s">
        <v>10068</v>
      </c>
      <c r="B2326" s="15">
        <v>1719</v>
      </c>
      <c r="C2326" s="15">
        <v>11</v>
      </c>
      <c r="D2326" s="15">
        <v>112755447</v>
      </c>
      <c r="E2326" s="15">
        <v>113889019</v>
      </c>
      <c r="F2326" s="15">
        <v>2815</v>
      </c>
      <c r="G2326" s="8" t="s">
        <v>12324</v>
      </c>
      <c r="H2326" s="24" t="s">
        <v>494</v>
      </c>
      <c r="I2326" s="25">
        <v>25920</v>
      </c>
      <c r="J2326" s="8" t="s">
        <v>496</v>
      </c>
      <c r="K2326" s="8" t="s">
        <v>10040</v>
      </c>
      <c r="L2326" s="15">
        <v>0.29935</v>
      </c>
      <c r="M2326" s="15">
        <v>0.39305099999999998</v>
      </c>
      <c r="N2326" s="15">
        <v>0.75007796256454384</v>
      </c>
    </row>
    <row r="2327" spans="1:14" x14ac:dyDescent="0.2">
      <c r="A2327" s="2" t="s">
        <v>10068</v>
      </c>
      <c r="B2327" s="15">
        <v>1059</v>
      </c>
      <c r="C2327" s="15">
        <v>6</v>
      </c>
      <c r="D2327" s="15">
        <v>131457165</v>
      </c>
      <c r="E2327" s="15">
        <v>132890694</v>
      </c>
      <c r="F2327" s="15">
        <v>3482</v>
      </c>
      <c r="G2327" s="8" t="s">
        <v>12324</v>
      </c>
      <c r="H2327" s="24" t="s">
        <v>494</v>
      </c>
      <c r="I2327" s="25">
        <v>25920</v>
      </c>
      <c r="J2327" s="8" t="s">
        <v>496</v>
      </c>
      <c r="K2327" s="8" t="s">
        <v>10040</v>
      </c>
      <c r="L2327" s="15">
        <v>-0.35399900000000001</v>
      </c>
      <c r="M2327" s="15">
        <v>0.39359100000000002</v>
      </c>
      <c r="N2327" s="15">
        <v>0.75046263327601037</v>
      </c>
    </row>
    <row r="2328" spans="1:14" x14ac:dyDescent="0.2">
      <c r="A2328" s="2" t="s">
        <v>10068</v>
      </c>
      <c r="B2328" s="15">
        <v>426</v>
      </c>
      <c r="C2328" s="15">
        <v>3</v>
      </c>
      <c r="D2328" s="15">
        <v>4109394</v>
      </c>
      <c r="E2328" s="15">
        <v>4835083</v>
      </c>
      <c r="F2328" s="15">
        <v>2227</v>
      </c>
      <c r="G2328" s="8" t="s">
        <v>12324</v>
      </c>
      <c r="H2328" s="24" t="s">
        <v>599</v>
      </c>
      <c r="I2328" s="25">
        <v>26562</v>
      </c>
      <c r="J2328" s="8" t="s">
        <v>601</v>
      </c>
      <c r="K2328" s="8" t="s">
        <v>10040</v>
      </c>
      <c r="L2328" s="15">
        <v>0.15523700000000001</v>
      </c>
      <c r="M2328" s="15">
        <v>0.39357900000000001</v>
      </c>
      <c r="N2328" s="15">
        <v>0.75046263327601037</v>
      </c>
    </row>
    <row r="2329" spans="1:14" x14ac:dyDescent="0.2">
      <c r="A2329" s="2" t="s">
        <v>10068</v>
      </c>
      <c r="B2329" s="15">
        <v>1086</v>
      </c>
      <c r="C2329" s="15">
        <v>6</v>
      </c>
      <c r="D2329" s="15">
        <v>162254230</v>
      </c>
      <c r="E2329" s="15">
        <v>163336361</v>
      </c>
      <c r="F2329" s="15">
        <v>3406</v>
      </c>
      <c r="G2329" s="8" t="s">
        <v>12324</v>
      </c>
      <c r="H2329" s="24" t="s">
        <v>494</v>
      </c>
      <c r="I2329" s="25">
        <v>25920</v>
      </c>
      <c r="J2329" s="8" t="s">
        <v>496</v>
      </c>
      <c r="K2329" s="8" t="s">
        <v>10040</v>
      </c>
      <c r="L2329" s="15">
        <v>0.29137000000000002</v>
      </c>
      <c r="M2329" s="15">
        <v>0.39411099999999999</v>
      </c>
      <c r="N2329" s="15">
        <v>0.75113119252256122</v>
      </c>
    </row>
    <row r="2330" spans="1:14" x14ac:dyDescent="0.2">
      <c r="A2330" s="2" t="s">
        <v>10066</v>
      </c>
      <c r="B2330" s="15">
        <v>2419</v>
      </c>
      <c r="C2330" s="15">
        <v>20</v>
      </c>
      <c r="D2330" s="15">
        <v>54743695</v>
      </c>
      <c r="E2330" s="15">
        <v>55448075</v>
      </c>
      <c r="F2330" s="15">
        <v>2231</v>
      </c>
      <c r="G2330" s="8" t="s">
        <v>12324</v>
      </c>
      <c r="H2330" s="24" t="s">
        <v>3164</v>
      </c>
      <c r="I2330" s="25" t="s">
        <v>3165</v>
      </c>
      <c r="J2330" s="8" t="s">
        <v>3166</v>
      </c>
      <c r="K2330" s="8" t="s">
        <v>10042</v>
      </c>
      <c r="L2330" s="15">
        <v>-0.12058000000000001</v>
      </c>
      <c r="M2330" s="15">
        <v>0.39454499999999998</v>
      </c>
      <c r="N2330" s="15">
        <v>0.75163534149484523</v>
      </c>
    </row>
    <row r="2331" spans="1:14" x14ac:dyDescent="0.2">
      <c r="A2331" s="2" t="s">
        <v>10068</v>
      </c>
      <c r="B2331" s="15">
        <v>2232</v>
      </c>
      <c r="C2331" s="15">
        <v>17</v>
      </c>
      <c r="D2331" s="15">
        <v>75619257</v>
      </c>
      <c r="E2331" s="15">
        <v>76596287</v>
      </c>
      <c r="F2331" s="15">
        <v>3430</v>
      </c>
      <c r="G2331" s="8" t="s">
        <v>12324</v>
      </c>
      <c r="H2331" s="24" t="s">
        <v>599</v>
      </c>
      <c r="I2331" s="25">
        <v>26562</v>
      </c>
      <c r="J2331" s="8" t="s">
        <v>601</v>
      </c>
      <c r="K2331" s="8" t="s">
        <v>10040</v>
      </c>
      <c r="L2331" s="15">
        <v>0.292294</v>
      </c>
      <c r="M2331" s="15">
        <v>0.39526</v>
      </c>
      <c r="N2331" s="15">
        <v>0.75257001072961371</v>
      </c>
    </row>
    <row r="2332" spans="1:14" x14ac:dyDescent="0.2">
      <c r="A2332" s="2" t="s">
        <v>10066</v>
      </c>
      <c r="B2332" s="15">
        <v>2431</v>
      </c>
      <c r="C2332" s="15">
        <v>21</v>
      </c>
      <c r="D2332" s="15">
        <v>15026793</v>
      </c>
      <c r="E2332" s="15">
        <v>15840033</v>
      </c>
      <c r="F2332" s="15">
        <v>2576</v>
      </c>
      <c r="G2332" s="8" t="s">
        <v>12324</v>
      </c>
      <c r="H2332" s="24" t="s">
        <v>6008</v>
      </c>
      <c r="I2332" s="25" t="s">
        <v>6009</v>
      </c>
      <c r="J2332" s="8" t="s">
        <v>6010</v>
      </c>
      <c r="K2332" s="8" t="s">
        <v>10051</v>
      </c>
      <c r="L2332" s="15">
        <v>0.141681</v>
      </c>
      <c r="M2332" s="15">
        <v>0.39537499999999998</v>
      </c>
      <c r="N2332" s="15">
        <v>0.75257001072961371</v>
      </c>
    </row>
    <row r="2333" spans="1:14" x14ac:dyDescent="0.2">
      <c r="A2333" s="2" t="s">
        <v>10068</v>
      </c>
      <c r="B2333" s="15">
        <v>2473</v>
      </c>
      <c r="C2333" s="15">
        <v>22</v>
      </c>
      <c r="D2333" s="15">
        <v>27952442</v>
      </c>
      <c r="E2333" s="15">
        <v>29457601</v>
      </c>
      <c r="F2333" s="15">
        <v>3126</v>
      </c>
      <c r="G2333" s="8" t="s">
        <v>12324</v>
      </c>
      <c r="H2333" s="24" t="s">
        <v>599</v>
      </c>
      <c r="I2333" s="25">
        <v>26562</v>
      </c>
      <c r="J2333" s="8" t="s">
        <v>601</v>
      </c>
      <c r="K2333" s="8" t="s">
        <v>10040</v>
      </c>
      <c r="L2333" s="15">
        <v>0.191022</v>
      </c>
      <c r="M2333" s="15">
        <v>0.396177</v>
      </c>
      <c r="N2333" s="15">
        <v>0.75344982632933111</v>
      </c>
    </row>
    <row r="2334" spans="1:14" x14ac:dyDescent="0.2">
      <c r="A2334" s="2" t="s">
        <v>10068</v>
      </c>
      <c r="B2334" s="15">
        <v>1752</v>
      </c>
      <c r="C2334" s="15">
        <v>12</v>
      </c>
      <c r="D2334" s="15">
        <v>11742150</v>
      </c>
      <c r="E2334" s="15">
        <v>12721874</v>
      </c>
      <c r="F2334" s="15">
        <v>2781</v>
      </c>
      <c r="G2334" s="8" t="s">
        <v>12324</v>
      </c>
      <c r="H2334" s="24" t="s">
        <v>1259</v>
      </c>
      <c r="I2334" s="25">
        <v>27096</v>
      </c>
      <c r="J2334" s="8" t="s">
        <v>1261</v>
      </c>
      <c r="K2334" s="8" t="s">
        <v>10040</v>
      </c>
      <c r="L2334" s="15">
        <v>-0.183889</v>
      </c>
      <c r="M2334" s="15">
        <v>0.39610899999999999</v>
      </c>
      <c r="N2334" s="15">
        <v>0.75344982632933111</v>
      </c>
    </row>
    <row r="2335" spans="1:14" x14ac:dyDescent="0.2">
      <c r="A2335" s="2" t="s">
        <v>10068</v>
      </c>
      <c r="B2335" s="15">
        <v>2109</v>
      </c>
      <c r="C2335" s="15">
        <v>16</v>
      </c>
      <c r="D2335" s="15">
        <v>7051430</v>
      </c>
      <c r="E2335" s="15">
        <v>7704354</v>
      </c>
      <c r="F2335" s="15">
        <v>3208</v>
      </c>
      <c r="G2335" s="8" t="s">
        <v>12324</v>
      </c>
      <c r="H2335" s="24" t="s">
        <v>494</v>
      </c>
      <c r="I2335" s="25">
        <v>25920</v>
      </c>
      <c r="J2335" s="8" t="s">
        <v>496</v>
      </c>
      <c r="K2335" s="8" t="s">
        <v>10040</v>
      </c>
      <c r="L2335" s="15">
        <v>-0.27674199999999999</v>
      </c>
      <c r="M2335" s="15">
        <v>0.39734799999999998</v>
      </c>
      <c r="N2335" s="15">
        <v>0.75379289159197616</v>
      </c>
    </row>
    <row r="2336" spans="1:14" x14ac:dyDescent="0.2">
      <c r="A2336" s="2" t="s">
        <v>10068</v>
      </c>
      <c r="B2336" s="15">
        <v>1619</v>
      </c>
      <c r="C2336" s="15">
        <v>11</v>
      </c>
      <c r="D2336" s="15">
        <v>7191231</v>
      </c>
      <c r="E2336" s="15">
        <v>7915071</v>
      </c>
      <c r="F2336" s="15">
        <v>2754</v>
      </c>
      <c r="G2336" s="8" t="s">
        <v>12324</v>
      </c>
      <c r="H2336" s="24" t="s">
        <v>599</v>
      </c>
      <c r="I2336" s="25">
        <v>26562</v>
      </c>
      <c r="J2336" s="8" t="s">
        <v>601</v>
      </c>
      <c r="K2336" s="8" t="s">
        <v>10040</v>
      </c>
      <c r="L2336" s="15">
        <v>0.170376</v>
      </c>
      <c r="M2336" s="15">
        <v>0.39677600000000002</v>
      </c>
      <c r="N2336" s="15">
        <v>0.75379289159197616</v>
      </c>
    </row>
    <row r="2337" spans="1:14" x14ac:dyDescent="0.2">
      <c r="A2337" s="2" t="s">
        <v>10069</v>
      </c>
      <c r="B2337" s="15">
        <v>1235</v>
      </c>
      <c r="C2337" s="15">
        <v>8</v>
      </c>
      <c r="D2337" s="15">
        <v>1628040</v>
      </c>
      <c r="E2337" s="15">
        <v>2070902</v>
      </c>
      <c r="F2337" s="15">
        <v>1286</v>
      </c>
      <c r="G2337" s="8" t="s">
        <v>12324</v>
      </c>
      <c r="H2337" s="24" t="s">
        <v>662</v>
      </c>
      <c r="I2337" s="25" t="s">
        <v>663</v>
      </c>
      <c r="J2337" s="8" t="s">
        <v>664</v>
      </c>
      <c r="K2337" s="8" t="s">
        <v>10040</v>
      </c>
      <c r="L2337" s="15">
        <v>0.26480500000000001</v>
      </c>
      <c r="M2337" s="15">
        <v>0.39773199999999997</v>
      </c>
      <c r="N2337" s="15">
        <v>0.75379289159197616</v>
      </c>
    </row>
    <row r="2338" spans="1:14" x14ac:dyDescent="0.2">
      <c r="A2338" s="2" t="s">
        <v>10069</v>
      </c>
      <c r="B2338" s="15">
        <v>2135</v>
      </c>
      <c r="C2338" s="15">
        <v>16</v>
      </c>
      <c r="D2338" s="15">
        <v>53393883</v>
      </c>
      <c r="E2338" s="15">
        <v>54866095</v>
      </c>
      <c r="F2338" s="15">
        <v>2610</v>
      </c>
      <c r="G2338" s="8" t="s">
        <v>12324</v>
      </c>
      <c r="H2338" s="24" t="s">
        <v>662</v>
      </c>
      <c r="I2338" s="25" t="s">
        <v>663</v>
      </c>
      <c r="J2338" s="8" t="s">
        <v>664</v>
      </c>
      <c r="K2338" s="8" t="s">
        <v>10040</v>
      </c>
      <c r="L2338" s="15">
        <v>-0.16012499999999999</v>
      </c>
      <c r="M2338" s="15">
        <v>0.39809</v>
      </c>
      <c r="N2338" s="15">
        <v>0.75379289159197616</v>
      </c>
    </row>
    <row r="2339" spans="1:14" x14ac:dyDescent="0.2">
      <c r="A2339" s="2" t="s">
        <v>10068</v>
      </c>
      <c r="B2339" s="15">
        <v>1075</v>
      </c>
      <c r="C2339" s="15">
        <v>6</v>
      </c>
      <c r="D2339" s="15">
        <v>152376500</v>
      </c>
      <c r="E2339" s="15">
        <v>153082361</v>
      </c>
      <c r="F2339" s="15">
        <v>2144</v>
      </c>
      <c r="G2339" s="8" t="s">
        <v>12324</v>
      </c>
      <c r="H2339" s="24" t="s">
        <v>1259</v>
      </c>
      <c r="I2339" s="25">
        <v>27096</v>
      </c>
      <c r="J2339" s="8" t="s">
        <v>1261</v>
      </c>
      <c r="K2339" s="8" t="s">
        <v>10040</v>
      </c>
      <c r="L2339" s="15">
        <v>0.20268800000000001</v>
      </c>
      <c r="M2339" s="15">
        <v>0.39711600000000002</v>
      </c>
      <c r="N2339" s="15">
        <v>0.75379289159197616</v>
      </c>
    </row>
    <row r="2340" spans="1:14" x14ac:dyDescent="0.2">
      <c r="A2340" s="2" t="s">
        <v>10068</v>
      </c>
      <c r="B2340" s="15">
        <v>1462</v>
      </c>
      <c r="C2340" s="15">
        <v>9</v>
      </c>
      <c r="D2340" s="15">
        <v>117054910</v>
      </c>
      <c r="E2340" s="15">
        <v>117989017</v>
      </c>
      <c r="F2340" s="15">
        <v>2568</v>
      </c>
      <c r="G2340" s="8" t="s">
        <v>12324</v>
      </c>
      <c r="H2340" s="24" t="s">
        <v>1259</v>
      </c>
      <c r="I2340" s="25">
        <v>27096</v>
      </c>
      <c r="J2340" s="8" t="s">
        <v>1261</v>
      </c>
      <c r="K2340" s="8" t="s">
        <v>10040</v>
      </c>
      <c r="L2340" s="15">
        <v>0.22165199999999999</v>
      </c>
      <c r="M2340" s="15">
        <v>0.39773399999999998</v>
      </c>
      <c r="N2340" s="15">
        <v>0.75379289159197616</v>
      </c>
    </row>
    <row r="2341" spans="1:14" x14ac:dyDescent="0.2">
      <c r="A2341" s="2" t="s">
        <v>10068</v>
      </c>
      <c r="B2341" s="15">
        <v>1127</v>
      </c>
      <c r="C2341" s="15">
        <v>7</v>
      </c>
      <c r="D2341" s="15">
        <v>28890887</v>
      </c>
      <c r="E2341" s="15">
        <v>30175113</v>
      </c>
      <c r="F2341" s="15">
        <v>4031</v>
      </c>
      <c r="G2341" s="8" t="s">
        <v>12324</v>
      </c>
      <c r="H2341" s="24" t="s">
        <v>1259</v>
      </c>
      <c r="I2341" s="25">
        <v>27096</v>
      </c>
      <c r="J2341" s="8" t="s">
        <v>1261</v>
      </c>
      <c r="K2341" s="8" t="s">
        <v>10040</v>
      </c>
      <c r="L2341" s="15">
        <v>-0.124458</v>
      </c>
      <c r="M2341" s="15">
        <v>0.39777800000000002</v>
      </c>
      <c r="N2341" s="15">
        <v>0.75379289159197616</v>
      </c>
    </row>
    <row r="2342" spans="1:14" x14ac:dyDescent="0.2">
      <c r="A2342" s="2" t="s">
        <v>10068</v>
      </c>
      <c r="B2342" s="15">
        <v>2252</v>
      </c>
      <c r="C2342" s="15">
        <v>18</v>
      </c>
      <c r="D2342" s="15">
        <v>13641480</v>
      </c>
      <c r="E2342" s="15">
        <v>14439251</v>
      </c>
      <c r="F2342" s="15">
        <v>2613</v>
      </c>
      <c r="G2342" s="8" t="s">
        <v>12324</v>
      </c>
      <c r="H2342" s="24" t="s">
        <v>1259</v>
      </c>
      <c r="I2342" s="25">
        <v>27096</v>
      </c>
      <c r="J2342" s="8" t="s">
        <v>1261</v>
      </c>
      <c r="K2342" s="8" t="s">
        <v>10040</v>
      </c>
      <c r="L2342" s="15">
        <v>-0.16242200000000001</v>
      </c>
      <c r="M2342" s="15">
        <v>0.39781899999999998</v>
      </c>
      <c r="N2342" s="15">
        <v>0.75379289159197616</v>
      </c>
    </row>
    <row r="2343" spans="1:14" x14ac:dyDescent="0.2">
      <c r="A2343" s="2" t="s">
        <v>10068</v>
      </c>
      <c r="B2343" s="15">
        <v>1553</v>
      </c>
      <c r="C2343" s="15">
        <v>10</v>
      </c>
      <c r="D2343" s="15">
        <v>71672998</v>
      </c>
      <c r="E2343" s="15">
        <v>72659223</v>
      </c>
      <c r="F2343" s="15">
        <v>3215</v>
      </c>
      <c r="G2343" s="8" t="s">
        <v>12324</v>
      </c>
      <c r="H2343" s="24" t="s">
        <v>1259</v>
      </c>
      <c r="I2343" s="25">
        <v>27096</v>
      </c>
      <c r="J2343" s="8" t="s">
        <v>1261</v>
      </c>
      <c r="K2343" s="8" t="s">
        <v>10040</v>
      </c>
      <c r="L2343" s="15">
        <v>-0.13139000000000001</v>
      </c>
      <c r="M2343" s="15">
        <v>0.398227</v>
      </c>
      <c r="N2343" s="15">
        <v>0.75379289159197616</v>
      </c>
    </row>
    <row r="2344" spans="1:14" x14ac:dyDescent="0.2">
      <c r="A2344" s="2" t="s">
        <v>10066</v>
      </c>
      <c r="B2344" s="15">
        <v>2021</v>
      </c>
      <c r="C2344" s="15">
        <v>14</v>
      </c>
      <c r="D2344" s="15">
        <v>94892241</v>
      </c>
      <c r="E2344" s="15">
        <v>95946792</v>
      </c>
      <c r="F2344" s="15">
        <v>3905</v>
      </c>
      <c r="G2344" s="8" t="s">
        <v>12324</v>
      </c>
      <c r="H2344" s="24" t="s">
        <v>3164</v>
      </c>
      <c r="I2344" s="25" t="s">
        <v>3165</v>
      </c>
      <c r="J2344" s="8" t="s">
        <v>3166</v>
      </c>
      <c r="K2344" s="8" t="s">
        <v>10042</v>
      </c>
      <c r="L2344" s="15">
        <v>0.28540399999999999</v>
      </c>
      <c r="M2344" s="15">
        <v>0.39771499999999999</v>
      </c>
      <c r="N2344" s="15">
        <v>0.75379289159197616</v>
      </c>
    </row>
    <row r="2345" spans="1:14" x14ac:dyDescent="0.2">
      <c r="A2345" s="2" t="s">
        <v>10068</v>
      </c>
      <c r="B2345" s="15">
        <v>1762</v>
      </c>
      <c r="C2345" s="15">
        <v>12</v>
      </c>
      <c r="D2345" s="15">
        <v>21572253</v>
      </c>
      <c r="E2345" s="15">
        <v>22928055</v>
      </c>
      <c r="F2345" s="15">
        <v>2986</v>
      </c>
      <c r="G2345" s="8" t="s">
        <v>12324</v>
      </c>
      <c r="H2345" s="24" t="s">
        <v>6565</v>
      </c>
      <c r="I2345" s="25" t="s">
        <v>6475</v>
      </c>
      <c r="J2345" s="8" t="s">
        <v>6566</v>
      </c>
      <c r="K2345" s="8" t="s">
        <v>10054</v>
      </c>
      <c r="L2345" s="15">
        <v>0.161356</v>
      </c>
      <c r="M2345" s="15">
        <v>0.39811600000000003</v>
      </c>
      <c r="N2345" s="15">
        <v>0.75379289159197616</v>
      </c>
    </row>
    <row r="2346" spans="1:14" x14ac:dyDescent="0.2">
      <c r="A2346" s="2" t="s">
        <v>10068</v>
      </c>
      <c r="B2346" s="15">
        <v>664</v>
      </c>
      <c r="C2346" s="15">
        <v>4</v>
      </c>
      <c r="D2346" s="15">
        <v>68742860</v>
      </c>
      <c r="E2346" s="15">
        <v>69603368</v>
      </c>
      <c r="F2346" s="15">
        <v>2060</v>
      </c>
      <c r="G2346" s="8" t="s">
        <v>12324</v>
      </c>
      <c r="H2346" s="24" t="s">
        <v>494</v>
      </c>
      <c r="I2346" s="25">
        <v>25920</v>
      </c>
      <c r="J2346" s="8" t="s">
        <v>496</v>
      </c>
      <c r="K2346" s="8" t="s">
        <v>10040</v>
      </c>
      <c r="L2346" s="15">
        <v>-0.140569</v>
      </c>
      <c r="M2346" s="15">
        <v>0.39842100000000003</v>
      </c>
      <c r="N2346" s="15">
        <v>0.75383836817406147</v>
      </c>
    </row>
    <row r="2347" spans="1:14" x14ac:dyDescent="0.2">
      <c r="A2347" s="2" t="s">
        <v>10068</v>
      </c>
      <c r="B2347" s="15">
        <v>2170</v>
      </c>
      <c r="C2347" s="15">
        <v>16</v>
      </c>
      <c r="D2347" s="15">
        <v>87669169</v>
      </c>
      <c r="E2347" s="15">
        <v>88387228</v>
      </c>
      <c r="F2347" s="15">
        <v>3174</v>
      </c>
      <c r="G2347" s="8" t="s">
        <v>12324</v>
      </c>
      <c r="H2347" s="24" t="s">
        <v>1259</v>
      </c>
      <c r="I2347" s="25">
        <v>27096</v>
      </c>
      <c r="J2347" s="8" t="s">
        <v>1261</v>
      </c>
      <c r="K2347" s="8" t="s">
        <v>10040</v>
      </c>
      <c r="L2347" s="15">
        <v>-0.18351100000000001</v>
      </c>
      <c r="M2347" s="15">
        <v>0.39888600000000002</v>
      </c>
      <c r="N2347" s="15">
        <v>0.75402180656156792</v>
      </c>
    </row>
    <row r="2348" spans="1:14" x14ac:dyDescent="0.2">
      <c r="A2348" s="2" t="s">
        <v>10066</v>
      </c>
      <c r="B2348" s="15">
        <v>623</v>
      </c>
      <c r="C2348" s="15">
        <v>4</v>
      </c>
      <c r="D2348" s="15">
        <v>24764725</v>
      </c>
      <c r="E2348" s="15">
        <v>25832018</v>
      </c>
      <c r="F2348" s="15">
        <v>3139</v>
      </c>
      <c r="G2348" s="8" t="s">
        <v>12324</v>
      </c>
      <c r="H2348" s="24" t="s">
        <v>3164</v>
      </c>
      <c r="I2348" s="25" t="s">
        <v>3165</v>
      </c>
      <c r="J2348" s="8" t="s">
        <v>3166</v>
      </c>
      <c r="K2348" s="8" t="s">
        <v>10042</v>
      </c>
      <c r="L2348" s="15">
        <v>-0.20588100000000001</v>
      </c>
      <c r="M2348" s="15">
        <v>0.39902799999999999</v>
      </c>
      <c r="N2348" s="15">
        <v>0.75402180656156792</v>
      </c>
    </row>
    <row r="2349" spans="1:14" x14ac:dyDescent="0.2">
      <c r="A2349" s="2" t="s">
        <v>10068</v>
      </c>
      <c r="B2349" s="15">
        <v>1410</v>
      </c>
      <c r="C2349" s="15">
        <v>9</v>
      </c>
      <c r="D2349" s="15">
        <v>32253284</v>
      </c>
      <c r="E2349" s="15">
        <v>33194892</v>
      </c>
      <c r="F2349" s="15">
        <v>2687</v>
      </c>
      <c r="G2349" s="8" t="s">
        <v>12324</v>
      </c>
      <c r="H2349" s="24" t="s">
        <v>6565</v>
      </c>
      <c r="I2349" s="25" t="s">
        <v>6475</v>
      </c>
      <c r="J2349" s="8" t="s">
        <v>6566</v>
      </c>
      <c r="K2349" s="8" t="s">
        <v>10054</v>
      </c>
      <c r="L2349" s="15">
        <v>0.26390200000000003</v>
      </c>
      <c r="M2349" s="15">
        <v>0.39879700000000001</v>
      </c>
      <c r="N2349" s="15">
        <v>0.75402180656156792</v>
      </c>
    </row>
    <row r="2350" spans="1:14" x14ac:dyDescent="0.2">
      <c r="A2350" s="2" t="s">
        <v>10068</v>
      </c>
      <c r="B2350" s="15">
        <v>416</v>
      </c>
      <c r="C2350" s="15">
        <v>2</v>
      </c>
      <c r="D2350" s="15">
        <v>238814631</v>
      </c>
      <c r="E2350" s="15">
        <v>239634350</v>
      </c>
      <c r="F2350" s="15">
        <v>2644</v>
      </c>
      <c r="G2350" s="8" t="s">
        <v>12324</v>
      </c>
      <c r="H2350" s="24" t="s">
        <v>494</v>
      </c>
      <c r="I2350" s="25">
        <v>25920</v>
      </c>
      <c r="J2350" s="8" t="s">
        <v>496</v>
      </c>
      <c r="K2350" s="8" t="s">
        <v>10040</v>
      </c>
      <c r="L2350" s="15">
        <v>-0.35772100000000001</v>
      </c>
      <c r="M2350" s="15">
        <v>0.40034999999999998</v>
      </c>
      <c r="N2350" s="15">
        <v>0.75439820806794056</v>
      </c>
    </row>
    <row r="2351" spans="1:14" x14ac:dyDescent="0.2">
      <c r="A2351" s="2" t="s">
        <v>10068</v>
      </c>
      <c r="B2351" s="15">
        <v>2065</v>
      </c>
      <c r="C2351" s="15">
        <v>15</v>
      </c>
      <c r="D2351" s="15">
        <v>59901117</v>
      </c>
      <c r="E2351" s="15">
        <v>61130595</v>
      </c>
      <c r="F2351" s="15">
        <v>2868</v>
      </c>
      <c r="G2351" s="8" t="s">
        <v>12324</v>
      </c>
      <c r="H2351" s="24" t="s">
        <v>494</v>
      </c>
      <c r="I2351" s="25">
        <v>25920</v>
      </c>
      <c r="J2351" s="8" t="s">
        <v>496</v>
      </c>
      <c r="K2351" s="8" t="s">
        <v>10040</v>
      </c>
      <c r="L2351" s="15">
        <v>0.252384</v>
      </c>
      <c r="M2351" s="15">
        <v>0.40054600000000001</v>
      </c>
      <c r="N2351" s="15">
        <v>0.75439820806794056</v>
      </c>
    </row>
    <row r="2352" spans="1:14" x14ac:dyDescent="0.2">
      <c r="A2352" s="2" t="s">
        <v>10068</v>
      </c>
      <c r="B2352" s="15">
        <v>2417</v>
      </c>
      <c r="C2352" s="15">
        <v>20</v>
      </c>
      <c r="D2352" s="15">
        <v>53120335</v>
      </c>
      <c r="E2352" s="15">
        <v>53879803</v>
      </c>
      <c r="F2352" s="15">
        <v>2263</v>
      </c>
      <c r="G2352" s="8" t="s">
        <v>12324</v>
      </c>
      <c r="H2352" s="24" t="s">
        <v>599</v>
      </c>
      <c r="I2352" s="25">
        <v>26562</v>
      </c>
      <c r="J2352" s="8" t="s">
        <v>601</v>
      </c>
      <c r="K2352" s="8" t="s">
        <v>10040</v>
      </c>
      <c r="L2352" s="15">
        <v>0.214921</v>
      </c>
      <c r="M2352" s="15">
        <v>0.400426</v>
      </c>
      <c r="N2352" s="15">
        <v>0.75439820806794056</v>
      </c>
    </row>
    <row r="2353" spans="1:14" x14ac:dyDescent="0.2">
      <c r="A2353" s="2" t="s">
        <v>10068</v>
      </c>
      <c r="B2353" s="15">
        <v>1479</v>
      </c>
      <c r="C2353" s="15">
        <v>9</v>
      </c>
      <c r="D2353" s="15">
        <v>136042491</v>
      </c>
      <c r="E2353" s="15">
        <v>136770926</v>
      </c>
      <c r="F2353" s="15">
        <v>2770</v>
      </c>
      <c r="G2353" s="8" t="s">
        <v>12324</v>
      </c>
      <c r="H2353" s="24" t="s">
        <v>599</v>
      </c>
      <c r="I2353" s="25">
        <v>26562</v>
      </c>
      <c r="J2353" s="8" t="s">
        <v>601</v>
      </c>
      <c r="K2353" s="8" t="s">
        <v>10040</v>
      </c>
      <c r="L2353" s="15">
        <v>-0.20677400000000001</v>
      </c>
      <c r="M2353" s="15">
        <v>0.400588</v>
      </c>
      <c r="N2353" s="15">
        <v>0.75439820806794056</v>
      </c>
    </row>
    <row r="2354" spans="1:14" x14ac:dyDescent="0.2">
      <c r="A2354" s="2" t="s">
        <v>10069</v>
      </c>
      <c r="B2354" s="15">
        <v>1036</v>
      </c>
      <c r="C2354" s="15">
        <v>6</v>
      </c>
      <c r="D2354" s="15">
        <v>104951345</v>
      </c>
      <c r="E2354" s="15">
        <v>106053915</v>
      </c>
      <c r="F2354" s="15">
        <v>1492</v>
      </c>
      <c r="G2354" s="8" t="s">
        <v>12324</v>
      </c>
      <c r="H2354" s="24" t="s">
        <v>662</v>
      </c>
      <c r="I2354" s="25" t="s">
        <v>663</v>
      </c>
      <c r="J2354" s="8" t="s">
        <v>664</v>
      </c>
      <c r="K2354" s="8" t="s">
        <v>10040</v>
      </c>
      <c r="L2354" s="15">
        <v>0.22065299999999999</v>
      </c>
      <c r="M2354" s="15">
        <v>0.39962500000000001</v>
      </c>
      <c r="N2354" s="15">
        <v>0.75439820806794056</v>
      </c>
    </row>
    <row r="2355" spans="1:14" x14ac:dyDescent="0.2">
      <c r="A2355" s="2" t="s">
        <v>10068</v>
      </c>
      <c r="B2355" s="15">
        <v>825</v>
      </c>
      <c r="C2355" s="15">
        <v>5</v>
      </c>
      <c r="D2355" s="15">
        <v>57895013</v>
      </c>
      <c r="E2355" s="15">
        <v>58721458</v>
      </c>
      <c r="F2355" s="15">
        <v>2500</v>
      </c>
      <c r="G2355" s="8" t="s">
        <v>12324</v>
      </c>
      <c r="H2355" s="24" t="s">
        <v>1259</v>
      </c>
      <c r="I2355" s="25">
        <v>27096</v>
      </c>
      <c r="J2355" s="8" t="s">
        <v>1261</v>
      </c>
      <c r="K2355" s="8" t="s">
        <v>10040</v>
      </c>
      <c r="L2355" s="15">
        <v>0.21007600000000001</v>
      </c>
      <c r="M2355" s="15">
        <v>0.40003</v>
      </c>
      <c r="N2355" s="15">
        <v>0.75439820806794056</v>
      </c>
    </row>
    <row r="2356" spans="1:14" x14ac:dyDescent="0.2">
      <c r="A2356" s="2" t="s">
        <v>10066</v>
      </c>
      <c r="B2356" s="15">
        <v>2302</v>
      </c>
      <c r="C2356" s="15">
        <v>18</v>
      </c>
      <c r="D2356" s="15">
        <v>74471746</v>
      </c>
      <c r="E2356" s="15">
        <v>75240760</v>
      </c>
      <c r="F2356" s="15">
        <v>3153</v>
      </c>
      <c r="G2356" s="8" t="s">
        <v>12324</v>
      </c>
      <c r="H2356" s="24" t="s">
        <v>3164</v>
      </c>
      <c r="I2356" s="25" t="s">
        <v>3165</v>
      </c>
      <c r="J2356" s="8" t="s">
        <v>3166</v>
      </c>
      <c r="K2356" s="8" t="s">
        <v>10042</v>
      </c>
      <c r="L2356" s="15">
        <v>0.17913399999999999</v>
      </c>
      <c r="M2356" s="15">
        <v>0.39972099999999999</v>
      </c>
      <c r="N2356" s="15">
        <v>0.75439820806794056</v>
      </c>
    </row>
    <row r="2357" spans="1:14" x14ac:dyDescent="0.2">
      <c r="A2357" s="2" t="s">
        <v>10068</v>
      </c>
      <c r="B2357" s="15">
        <v>585</v>
      </c>
      <c r="C2357" s="15">
        <v>3</v>
      </c>
      <c r="D2357" s="15">
        <v>187939200</v>
      </c>
      <c r="E2357" s="15">
        <v>189451805</v>
      </c>
      <c r="F2357" s="15">
        <v>4012</v>
      </c>
      <c r="G2357" s="8" t="s">
        <v>12324</v>
      </c>
      <c r="H2357" s="24" t="s">
        <v>6565</v>
      </c>
      <c r="I2357" s="25" t="s">
        <v>6475</v>
      </c>
      <c r="J2357" s="8" t="s">
        <v>6566</v>
      </c>
      <c r="K2357" s="8" t="s">
        <v>10054</v>
      </c>
      <c r="L2357" s="15">
        <v>0.175874</v>
      </c>
      <c r="M2357" s="15">
        <v>0.40001599999999998</v>
      </c>
      <c r="N2357" s="15">
        <v>0.75439820806794056</v>
      </c>
    </row>
    <row r="2358" spans="1:14" x14ac:dyDescent="0.2">
      <c r="A2358" s="2" t="s">
        <v>10068</v>
      </c>
      <c r="B2358" s="15">
        <v>830</v>
      </c>
      <c r="C2358" s="15">
        <v>5</v>
      </c>
      <c r="D2358" s="15">
        <v>63214090</v>
      </c>
      <c r="E2358" s="15">
        <v>64438518</v>
      </c>
      <c r="F2358" s="15">
        <v>2189</v>
      </c>
      <c r="G2358" s="8" t="s">
        <v>12324</v>
      </c>
      <c r="H2358" s="24" t="s">
        <v>599</v>
      </c>
      <c r="I2358" s="25">
        <v>26562</v>
      </c>
      <c r="J2358" s="8" t="s">
        <v>601</v>
      </c>
      <c r="K2358" s="8" t="s">
        <v>10040</v>
      </c>
      <c r="L2358" s="15">
        <v>-0.27734900000000001</v>
      </c>
      <c r="M2358" s="15">
        <v>0.40129799999999999</v>
      </c>
      <c r="N2358" s="15">
        <v>0.75440665466101697</v>
      </c>
    </row>
    <row r="2359" spans="1:14" x14ac:dyDescent="0.2">
      <c r="A2359" s="2" t="s">
        <v>10068</v>
      </c>
      <c r="B2359" s="15">
        <v>1573</v>
      </c>
      <c r="C2359" s="15">
        <v>10</v>
      </c>
      <c r="D2359" s="15">
        <v>94503300</v>
      </c>
      <c r="E2359" s="15">
        <v>95528160</v>
      </c>
      <c r="F2359" s="15">
        <v>3142</v>
      </c>
      <c r="G2359" s="8" t="s">
        <v>12324</v>
      </c>
      <c r="H2359" s="24" t="s">
        <v>599</v>
      </c>
      <c r="I2359" s="25">
        <v>26562</v>
      </c>
      <c r="J2359" s="8" t="s">
        <v>601</v>
      </c>
      <c r="K2359" s="8" t="s">
        <v>10040</v>
      </c>
      <c r="L2359" s="15">
        <v>-0.161907</v>
      </c>
      <c r="M2359" s="15">
        <v>0.40139599999999998</v>
      </c>
      <c r="N2359" s="15">
        <v>0.75440665466101697</v>
      </c>
    </row>
    <row r="2360" spans="1:14" x14ac:dyDescent="0.2">
      <c r="A2360" s="2" t="s">
        <v>10068</v>
      </c>
      <c r="B2360" s="15">
        <v>598</v>
      </c>
      <c r="C2360" s="15">
        <v>4</v>
      </c>
      <c r="D2360" s="15">
        <v>1529268</v>
      </c>
      <c r="E2360" s="15">
        <v>2468935</v>
      </c>
      <c r="F2360" s="15">
        <v>2402</v>
      </c>
      <c r="G2360" s="8" t="s">
        <v>12324</v>
      </c>
      <c r="H2360" s="24" t="s">
        <v>599</v>
      </c>
      <c r="I2360" s="25">
        <v>26562</v>
      </c>
      <c r="J2360" s="8" t="s">
        <v>601</v>
      </c>
      <c r="K2360" s="8" t="s">
        <v>10040</v>
      </c>
      <c r="L2360" s="15">
        <v>0.13161800000000001</v>
      </c>
      <c r="M2360" s="15">
        <v>0.40144299999999999</v>
      </c>
      <c r="N2360" s="15">
        <v>0.75440665466101697</v>
      </c>
    </row>
    <row r="2361" spans="1:14" x14ac:dyDescent="0.2">
      <c r="A2361" s="2" t="s">
        <v>10068</v>
      </c>
      <c r="B2361" s="15">
        <v>42</v>
      </c>
      <c r="C2361" s="15">
        <v>1</v>
      </c>
      <c r="D2361" s="15">
        <v>47257262</v>
      </c>
      <c r="E2361" s="15">
        <v>48105233</v>
      </c>
      <c r="F2361" s="15">
        <v>1940</v>
      </c>
      <c r="G2361" s="8" t="s">
        <v>12324</v>
      </c>
      <c r="H2361" s="24" t="s">
        <v>1259</v>
      </c>
      <c r="I2361" s="25">
        <v>27096</v>
      </c>
      <c r="J2361" s="8" t="s">
        <v>1261</v>
      </c>
      <c r="K2361" s="8" t="s">
        <v>10040</v>
      </c>
      <c r="L2361" s="15">
        <v>-0.18209400000000001</v>
      </c>
      <c r="M2361" s="15">
        <v>0.40114899999999998</v>
      </c>
      <c r="N2361" s="15">
        <v>0.75440665466101697</v>
      </c>
    </row>
    <row r="2362" spans="1:14" x14ac:dyDescent="0.2">
      <c r="A2362" s="2" t="s">
        <v>10066</v>
      </c>
      <c r="B2362" s="15">
        <v>2055</v>
      </c>
      <c r="C2362" s="15">
        <v>15</v>
      </c>
      <c r="D2362" s="15">
        <v>47693317</v>
      </c>
      <c r="E2362" s="15">
        <v>49260006</v>
      </c>
      <c r="F2362" s="15">
        <v>2772</v>
      </c>
      <c r="G2362" s="8" t="s">
        <v>12324</v>
      </c>
      <c r="H2362" s="24" t="s">
        <v>6008</v>
      </c>
      <c r="I2362" s="25" t="s">
        <v>6009</v>
      </c>
      <c r="J2362" s="8" t="s">
        <v>6010</v>
      </c>
      <c r="K2362" s="8" t="s">
        <v>10051</v>
      </c>
      <c r="L2362" s="15">
        <v>-0.19082299999999999</v>
      </c>
      <c r="M2362" s="15">
        <v>0.40123300000000001</v>
      </c>
      <c r="N2362" s="15">
        <v>0.75440665466101697</v>
      </c>
    </row>
    <row r="2363" spans="1:14" x14ac:dyDescent="0.2">
      <c r="A2363" s="2" t="s">
        <v>10068</v>
      </c>
      <c r="B2363" s="15">
        <v>1201</v>
      </c>
      <c r="C2363" s="15">
        <v>7</v>
      </c>
      <c r="D2363" s="15">
        <v>119568237</v>
      </c>
      <c r="E2363" s="15">
        <v>121042050</v>
      </c>
      <c r="F2363" s="15">
        <v>2946</v>
      </c>
      <c r="G2363" s="8" t="s">
        <v>12324</v>
      </c>
      <c r="H2363" s="24" t="s">
        <v>6565</v>
      </c>
      <c r="I2363" s="25" t="s">
        <v>6475</v>
      </c>
      <c r="J2363" s="8" t="s">
        <v>6566</v>
      </c>
      <c r="K2363" s="8" t="s">
        <v>10054</v>
      </c>
      <c r="L2363" s="15">
        <v>0.19559799999999999</v>
      </c>
      <c r="M2363" s="15">
        <v>0.40186500000000003</v>
      </c>
      <c r="N2363" s="15">
        <v>0.754879828462516</v>
      </c>
    </row>
    <row r="2364" spans="1:14" x14ac:dyDescent="0.2">
      <c r="A2364" s="2" t="s">
        <v>10068</v>
      </c>
      <c r="B2364" s="15">
        <v>2460</v>
      </c>
      <c r="C2364" s="15">
        <v>21</v>
      </c>
      <c r="D2364" s="15">
        <v>46045434</v>
      </c>
      <c r="E2364" s="15">
        <v>47014880</v>
      </c>
      <c r="F2364" s="15">
        <v>3587</v>
      </c>
      <c r="G2364" s="8" t="s">
        <v>12324</v>
      </c>
      <c r="H2364" s="24" t="s">
        <v>494</v>
      </c>
      <c r="I2364" s="25">
        <v>25920</v>
      </c>
      <c r="J2364" s="8" t="s">
        <v>496</v>
      </c>
      <c r="K2364" s="8" t="s">
        <v>10040</v>
      </c>
      <c r="L2364" s="15">
        <v>-0.19356899999999999</v>
      </c>
      <c r="M2364" s="15">
        <v>0.40304099999999998</v>
      </c>
      <c r="N2364" s="15">
        <v>0.7554889412510567</v>
      </c>
    </row>
    <row r="2365" spans="1:14" x14ac:dyDescent="0.2">
      <c r="A2365" s="2" t="s">
        <v>10068</v>
      </c>
      <c r="B2365" s="15">
        <v>120</v>
      </c>
      <c r="C2365" s="15">
        <v>1</v>
      </c>
      <c r="D2365" s="15">
        <v>163141863</v>
      </c>
      <c r="E2365" s="15">
        <v>163854567</v>
      </c>
      <c r="F2365" s="15">
        <v>2161</v>
      </c>
      <c r="G2365" s="8" t="s">
        <v>12324</v>
      </c>
      <c r="H2365" s="24" t="s">
        <v>1259</v>
      </c>
      <c r="I2365" s="25">
        <v>27096</v>
      </c>
      <c r="J2365" s="8" t="s">
        <v>1261</v>
      </c>
      <c r="K2365" s="8" t="s">
        <v>10040</v>
      </c>
      <c r="L2365" s="15">
        <v>0.192912</v>
      </c>
      <c r="M2365" s="15">
        <v>0.40249099999999999</v>
      </c>
      <c r="N2365" s="15">
        <v>0.7554889412510567</v>
      </c>
    </row>
    <row r="2366" spans="1:14" x14ac:dyDescent="0.2">
      <c r="A2366" s="2" t="s">
        <v>10068</v>
      </c>
      <c r="B2366" s="15">
        <v>1463</v>
      </c>
      <c r="C2366" s="15">
        <v>9</v>
      </c>
      <c r="D2366" s="15">
        <v>117989018</v>
      </c>
      <c r="E2366" s="15">
        <v>119001227</v>
      </c>
      <c r="F2366" s="15">
        <v>2627</v>
      </c>
      <c r="G2366" s="8" t="s">
        <v>12324</v>
      </c>
      <c r="H2366" s="24" t="s">
        <v>1259</v>
      </c>
      <c r="I2366" s="25">
        <v>27096</v>
      </c>
      <c r="J2366" s="8" t="s">
        <v>1261</v>
      </c>
      <c r="K2366" s="8" t="s">
        <v>10040</v>
      </c>
      <c r="L2366" s="15">
        <v>0.208786</v>
      </c>
      <c r="M2366" s="15">
        <v>0.402779</v>
      </c>
      <c r="N2366" s="15">
        <v>0.7554889412510567</v>
      </c>
    </row>
    <row r="2367" spans="1:14" x14ac:dyDescent="0.2">
      <c r="A2367" s="2" t="s">
        <v>10068</v>
      </c>
      <c r="B2367" s="15">
        <v>2407</v>
      </c>
      <c r="C2367" s="15">
        <v>20</v>
      </c>
      <c r="D2367" s="15">
        <v>43008891</v>
      </c>
      <c r="E2367" s="15">
        <v>44072210</v>
      </c>
      <c r="F2367" s="15">
        <v>2160</v>
      </c>
      <c r="G2367" s="8" t="s">
        <v>12324</v>
      </c>
      <c r="H2367" s="24" t="s">
        <v>1259</v>
      </c>
      <c r="I2367" s="25">
        <v>27096</v>
      </c>
      <c r="J2367" s="8" t="s">
        <v>1261</v>
      </c>
      <c r="K2367" s="8" t="s">
        <v>10040</v>
      </c>
      <c r="L2367" s="15">
        <v>-0.19070799999999999</v>
      </c>
      <c r="M2367" s="15">
        <v>0.402887</v>
      </c>
      <c r="N2367" s="15">
        <v>0.7554889412510567</v>
      </c>
    </row>
    <row r="2368" spans="1:14" x14ac:dyDescent="0.2">
      <c r="A2368" s="2" t="s">
        <v>10068</v>
      </c>
      <c r="B2368" s="15">
        <v>2230</v>
      </c>
      <c r="C2368" s="15">
        <v>17</v>
      </c>
      <c r="D2368" s="15">
        <v>73741322</v>
      </c>
      <c r="E2368" s="15">
        <v>74908266</v>
      </c>
      <c r="F2368" s="15">
        <v>3167</v>
      </c>
      <c r="G2368" s="8" t="s">
        <v>12324</v>
      </c>
      <c r="H2368" s="24" t="s">
        <v>6565</v>
      </c>
      <c r="I2368" s="25" t="s">
        <v>6475</v>
      </c>
      <c r="J2368" s="8" t="s">
        <v>6566</v>
      </c>
      <c r="K2368" s="8" t="s">
        <v>10054</v>
      </c>
      <c r="L2368" s="15">
        <v>0.21701500000000001</v>
      </c>
      <c r="M2368" s="15">
        <v>0.40273700000000001</v>
      </c>
      <c r="N2368" s="15">
        <v>0.7554889412510567</v>
      </c>
    </row>
    <row r="2369" spans="1:14" x14ac:dyDescent="0.2">
      <c r="A2369" s="2" t="s">
        <v>10068</v>
      </c>
      <c r="B2369" s="15">
        <v>186</v>
      </c>
      <c r="C2369" s="15">
        <v>1</v>
      </c>
      <c r="D2369" s="15">
        <v>236199672</v>
      </c>
      <c r="E2369" s="15">
        <v>237409458</v>
      </c>
      <c r="F2369" s="15">
        <v>4133</v>
      </c>
      <c r="G2369" s="8" t="s">
        <v>12324</v>
      </c>
      <c r="H2369" s="24" t="s">
        <v>1259</v>
      </c>
      <c r="I2369" s="25">
        <v>27096</v>
      </c>
      <c r="J2369" s="8" t="s">
        <v>1261</v>
      </c>
      <c r="K2369" s="8" t="s">
        <v>10040</v>
      </c>
      <c r="L2369" s="15">
        <v>-0.205093</v>
      </c>
      <c r="M2369" s="15">
        <v>0.40335900000000002</v>
      </c>
      <c r="N2369" s="15">
        <v>0.7556224894425676</v>
      </c>
    </row>
    <row r="2370" spans="1:14" x14ac:dyDescent="0.2">
      <c r="A2370" s="2" t="s">
        <v>10066</v>
      </c>
      <c r="B2370" s="15">
        <v>2068</v>
      </c>
      <c r="C2370" s="15">
        <v>15</v>
      </c>
      <c r="D2370" s="15">
        <v>63218979</v>
      </c>
      <c r="E2370" s="15">
        <v>64339945</v>
      </c>
      <c r="F2370" s="15">
        <v>2959</v>
      </c>
      <c r="G2370" s="8" t="s">
        <v>12324</v>
      </c>
      <c r="H2370" s="24" t="s">
        <v>6008</v>
      </c>
      <c r="I2370" s="25" t="s">
        <v>6009</v>
      </c>
      <c r="J2370" s="8" t="s">
        <v>6010</v>
      </c>
      <c r="K2370" s="8" t="s">
        <v>10051</v>
      </c>
      <c r="L2370" s="15">
        <v>0.177757</v>
      </c>
      <c r="M2370" s="15">
        <v>0.40345300000000001</v>
      </c>
      <c r="N2370" s="15">
        <v>0.7556224894425676</v>
      </c>
    </row>
    <row r="2371" spans="1:14" x14ac:dyDescent="0.2">
      <c r="A2371" s="2" t="s">
        <v>10066</v>
      </c>
      <c r="B2371" s="15">
        <v>436</v>
      </c>
      <c r="C2371" s="15">
        <v>3</v>
      </c>
      <c r="D2371" s="15">
        <v>14312008</v>
      </c>
      <c r="E2371" s="15">
        <v>15150876</v>
      </c>
      <c r="F2371" s="15">
        <v>2349</v>
      </c>
      <c r="G2371" s="8" t="s">
        <v>12324</v>
      </c>
      <c r="H2371" s="24" t="s">
        <v>3164</v>
      </c>
      <c r="I2371" s="25" t="s">
        <v>3165</v>
      </c>
      <c r="J2371" s="8" t="s">
        <v>3166</v>
      </c>
      <c r="K2371" s="8" t="s">
        <v>10042</v>
      </c>
      <c r="L2371" s="15">
        <v>-0.22786999999999999</v>
      </c>
      <c r="M2371" s="15">
        <v>0.40409499999999998</v>
      </c>
      <c r="N2371" s="15">
        <v>0.75618621308016876</v>
      </c>
    </row>
    <row r="2372" spans="1:14" x14ac:dyDescent="0.2">
      <c r="A2372" s="2" t="s">
        <v>10068</v>
      </c>
      <c r="B2372" s="15">
        <v>1296</v>
      </c>
      <c r="C2372" s="15">
        <v>8</v>
      </c>
      <c r="D2372" s="15">
        <v>59555978</v>
      </c>
      <c r="E2372" s="15">
        <v>60476248</v>
      </c>
      <c r="F2372" s="15">
        <v>2063</v>
      </c>
      <c r="G2372" s="8" t="s">
        <v>12324</v>
      </c>
      <c r="H2372" s="24" t="s">
        <v>6565</v>
      </c>
      <c r="I2372" s="25" t="s">
        <v>6475</v>
      </c>
      <c r="J2372" s="8" t="s">
        <v>6566</v>
      </c>
      <c r="K2372" s="8" t="s">
        <v>10054</v>
      </c>
      <c r="L2372" s="15">
        <v>0.18778900000000001</v>
      </c>
      <c r="M2372" s="15">
        <v>0.403978</v>
      </c>
      <c r="N2372" s="15">
        <v>0.75618621308016876</v>
      </c>
    </row>
    <row r="2373" spans="1:14" x14ac:dyDescent="0.2">
      <c r="A2373" s="2" t="s">
        <v>10068</v>
      </c>
      <c r="B2373" s="15">
        <v>312</v>
      </c>
      <c r="C2373" s="15">
        <v>2</v>
      </c>
      <c r="D2373" s="15">
        <v>119635490</v>
      </c>
      <c r="E2373" s="15">
        <v>121073752</v>
      </c>
      <c r="F2373" s="15">
        <v>3439</v>
      </c>
      <c r="G2373" s="8" t="s">
        <v>12324</v>
      </c>
      <c r="H2373" s="24" t="s">
        <v>494</v>
      </c>
      <c r="I2373" s="25">
        <v>25920</v>
      </c>
      <c r="J2373" s="8" t="s">
        <v>496</v>
      </c>
      <c r="K2373" s="8" t="s">
        <v>10040</v>
      </c>
      <c r="L2373" s="15">
        <v>-0.25297199999999997</v>
      </c>
      <c r="M2373" s="15">
        <v>0.40431499999999998</v>
      </c>
      <c r="N2373" s="15">
        <v>0.75627879586672286</v>
      </c>
    </row>
    <row r="2374" spans="1:14" x14ac:dyDescent="0.2">
      <c r="A2374" s="2" t="s">
        <v>10068</v>
      </c>
      <c r="B2374" s="15">
        <v>396</v>
      </c>
      <c r="C2374" s="15">
        <v>2</v>
      </c>
      <c r="D2374" s="15">
        <v>219678784</v>
      </c>
      <c r="E2374" s="15">
        <v>220771552</v>
      </c>
      <c r="F2374" s="15">
        <v>2231</v>
      </c>
      <c r="G2374" s="8" t="s">
        <v>12324</v>
      </c>
      <c r="H2374" s="24" t="s">
        <v>1259</v>
      </c>
      <c r="I2374" s="25">
        <v>27096</v>
      </c>
      <c r="J2374" s="8" t="s">
        <v>1261</v>
      </c>
      <c r="K2374" s="8" t="s">
        <v>10040</v>
      </c>
      <c r="L2374" s="15">
        <v>-0.160049</v>
      </c>
      <c r="M2374" s="15">
        <v>0.40449400000000002</v>
      </c>
      <c r="N2374" s="15">
        <v>0.75629464165261384</v>
      </c>
    </row>
    <row r="2375" spans="1:14" x14ac:dyDescent="0.2">
      <c r="A2375" s="2" t="s">
        <v>10066</v>
      </c>
      <c r="B2375" s="15">
        <v>1878</v>
      </c>
      <c r="C2375" s="15">
        <v>13</v>
      </c>
      <c r="D2375" s="15">
        <v>35744569</v>
      </c>
      <c r="E2375" s="15">
        <v>36579413</v>
      </c>
      <c r="F2375" s="15">
        <v>2315</v>
      </c>
      <c r="G2375" s="8" t="s">
        <v>12324</v>
      </c>
      <c r="H2375" s="24" t="s">
        <v>6008</v>
      </c>
      <c r="I2375" s="25" t="s">
        <v>6009</v>
      </c>
      <c r="J2375" s="8" t="s">
        <v>6010</v>
      </c>
      <c r="K2375" s="8" t="s">
        <v>10051</v>
      </c>
      <c r="L2375" s="15">
        <v>0.27228400000000003</v>
      </c>
      <c r="M2375" s="15">
        <v>0.405024</v>
      </c>
      <c r="N2375" s="15">
        <v>0.75696647281921614</v>
      </c>
    </row>
    <row r="2376" spans="1:14" x14ac:dyDescent="0.2">
      <c r="A2376" s="2" t="s">
        <v>10069</v>
      </c>
      <c r="B2376" s="15">
        <v>2428</v>
      </c>
      <c r="C2376" s="15">
        <v>20</v>
      </c>
      <c r="D2376" s="15">
        <v>61470769</v>
      </c>
      <c r="E2376" s="15">
        <v>62179241</v>
      </c>
      <c r="F2376" s="15">
        <v>1733</v>
      </c>
      <c r="G2376" s="8" t="s">
        <v>12324</v>
      </c>
      <c r="H2376" s="24" t="s">
        <v>662</v>
      </c>
      <c r="I2376" s="25" t="s">
        <v>663</v>
      </c>
      <c r="J2376" s="8" t="s">
        <v>664</v>
      </c>
      <c r="K2376" s="8" t="s">
        <v>10040</v>
      </c>
      <c r="L2376" s="15">
        <v>0.21748500000000001</v>
      </c>
      <c r="M2376" s="15">
        <v>0.40594000000000002</v>
      </c>
      <c r="N2376" s="15">
        <v>0.75803953684210534</v>
      </c>
    </row>
    <row r="2377" spans="1:14" x14ac:dyDescent="0.2">
      <c r="A2377" s="2" t="s">
        <v>10068</v>
      </c>
      <c r="B2377" s="15">
        <v>1597</v>
      </c>
      <c r="C2377" s="15">
        <v>10</v>
      </c>
      <c r="D2377" s="15">
        <v>123856185</v>
      </c>
      <c r="E2377" s="15">
        <v>124894142</v>
      </c>
      <c r="F2377" s="15">
        <v>3049</v>
      </c>
      <c r="G2377" s="8" t="s">
        <v>12324</v>
      </c>
      <c r="H2377" s="24" t="s">
        <v>6565</v>
      </c>
      <c r="I2377" s="25" t="s">
        <v>6475</v>
      </c>
      <c r="J2377" s="8" t="s">
        <v>6566</v>
      </c>
      <c r="K2377" s="8" t="s">
        <v>10054</v>
      </c>
      <c r="L2377" s="15">
        <v>-0.16131599999999999</v>
      </c>
      <c r="M2377" s="15">
        <v>0.40585199999999999</v>
      </c>
      <c r="N2377" s="15">
        <v>0.75803953684210534</v>
      </c>
    </row>
    <row r="2378" spans="1:14" x14ac:dyDescent="0.2">
      <c r="A2378" s="2" t="s">
        <v>10069</v>
      </c>
      <c r="B2378" s="15">
        <v>101</v>
      </c>
      <c r="C2378" s="15">
        <v>1</v>
      </c>
      <c r="D2378" s="15">
        <v>114664388</v>
      </c>
      <c r="E2378" s="15">
        <v>116207297</v>
      </c>
      <c r="F2378" s="15">
        <v>2462</v>
      </c>
      <c r="G2378" s="8" t="s">
        <v>12324</v>
      </c>
      <c r="H2378" s="24" t="s">
        <v>662</v>
      </c>
      <c r="I2378" s="25" t="s">
        <v>663</v>
      </c>
      <c r="J2378" s="8" t="s">
        <v>664</v>
      </c>
      <c r="K2378" s="8" t="s">
        <v>10040</v>
      </c>
      <c r="L2378" s="15">
        <v>0.18692900000000001</v>
      </c>
      <c r="M2378" s="15">
        <v>0.40635700000000002</v>
      </c>
      <c r="N2378" s="15">
        <v>0.75817976230542705</v>
      </c>
    </row>
    <row r="2379" spans="1:14" x14ac:dyDescent="0.2">
      <c r="A2379" s="2" t="s">
        <v>10068</v>
      </c>
      <c r="B2379" s="15">
        <v>2366</v>
      </c>
      <c r="C2379" s="15">
        <v>19</v>
      </c>
      <c r="D2379" s="15">
        <v>56411087</v>
      </c>
      <c r="E2379" s="15">
        <v>57143509</v>
      </c>
      <c r="F2379" s="15">
        <v>2607</v>
      </c>
      <c r="G2379" s="8" t="s">
        <v>12324</v>
      </c>
      <c r="H2379" s="24" t="s">
        <v>6565</v>
      </c>
      <c r="I2379" s="25" t="s">
        <v>6475</v>
      </c>
      <c r="J2379" s="8" t="s">
        <v>6566</v>
      </c>
      <c r="K2379" s="8" t="s">
        <v>10054</v>
      </c>
      <c r="L2379" s="15">
        <v>-0.10577400000000001</v>
      </c>
      <c r="M2379" s="15">
        <v>0.40624300000000002</v>
      </c>
      <c r="N2379" s="15">
        <v>0.75817976230542705</v>
      </c>
    </row>
    <row r="2380" spans="1:14" x14ac:dyDescent="0.2">
      <c r="A2380" s="2" t="s">
        <v>10068</v>
      </c>
      <c r="B2380" s="15">
        <v>1752</v>
      </c>
      <c r="C2380" s="15">
        <v>12</v>
      </c>
      <c r="D2380" s="15">
        <v>11742150</v>
      </c>
      <c r="E2380" s="15">
        <v>12721874</v>
      </c>
      <c r="F2380" s="15">
        <v>2781</v>
      </c>
      <c r="G2380" s="8" t="s">
        <v>12324</v>
      </c>
      <c r="H2380" s="24" t="s">
        <v>494</v>
      </c>
      <c r="I2380" s="25">
        <v>25920</v>
      </c>
      <c r="J2380" s="8" t="s">
        <v>496</v>
      </c>
      <c r="K2380" s="8" t="s">
        <v>10040</v>
      </c>
      <c r="L2380" s="15">
        <v>-0.16767099999999999</v>
      </c>
      <c r="M2380" s="15">
        <v>0.40677000000000002</v>
      </c>
      <c r="N2380" s="15">
        <v>0.75863118166526489</v>
      </c>
    </row>
    <row r="2381" spans="1:14" x14ac:dyDescent="0.2">
      <c r="A2381" s="2" t="s">
        <v>10068</v>
      </c>
      <c r="B2381" s="15">
        <v>2348</v>
      </c>
      <c r="C2381" s="15">
        <v>19</v>
      </c>
      <c r="D2381" s="15">
        <v>41733464</v>
      </c>
      <c r="E2381" s="15">
        <v>43317282</v>
      </c>
      <c r="F2381" s="15">
        <v>2557</v>
      </c>
      <c r="G2381" s="8" t="s">
        <v>12324</v>
      </c>
      <c r="H2381" s="24" t="s">
        <v>494</v>
      </c>
      <c r="I2381" s="25">
        <v>25920</v>
      </c>
      <c r="J2381" s="8" t="s">
        <v>496</v>
      </c>
      <c r="K2381" s="8" t="s">
        <v>10040</v>
      </c>
      <c r="L2381" s="15">
        <v>0.20833099999999999</v>
      </c>
      <c r="M2381" s="15">
        <v>0.407277</v>
      </c>
      <c r="N2381" s="15">
        <v>0.75894776050420165</v>
      </c>
    </row>
    <row r="2382" spans="1:14" x14ac:dyDescent="0.2">
      <c r="A2382" s="2" t="s">
        <v>10068</v>
      </c>
      <c r="B2382" s="15">
        <v>2201</v>
      </c>
      <c r="C2382" s="15">
        <v>17</v>
      </c>
      <c r="D2382" s="15">
        <v>34474612</v>
      </c>
      <c r="E2382" s="15">
        <v>36116884</v>
      </c>
      <c r="F2382" s="15">
        <v>2615</v>
      </c>
      <c r="G2382" s="8" t="s">
        <v>12324</v>
      </c>
      <c r="H2382" s="24" t="s">
        <v>599</v>
      </c>
      <c r="I2382" s="25">
        <v>26562</v>
      </c>
      <c r="J2382" s="8" t="s">
        <v>601</v>
      </c>
      <c r="K2382" s="8" t="s">
        <v>10040</v>
      </c>
      <c r="L2382" s="15">
        <v>-0.13941400000000001</v>
      </c>
      <c r="M2382" s="15">
        <v>0.40728199999999998</v>
      </c>
      <c r="N2382" s="15">
        <v>0.75894776050420165</v>
      </c>
    </row>
    <row r="2383" spans="1:14" x14ac:dyDescent="0.2">
      <c r="A2383" s="2" t="s">
        <v>10068</v>
      </c>
      <c r="B2383" s="15">
        <v>897</v>
      </c>
      <c r="C2383" s="15">
        <v>5</v>
      </c>
      <c r="D2383" s="15">
        <v>147180172</v>
      </c>
      <c r="E2383" s="15">
        <v>148662214</v>
      </c>
      <c r="F2383" s="15">
        <v>3848</v>
      </c>
      <c r="G2383" s="8" t="s">
        <v>12324</v>
      </c>
      <c r="H2383" s="24" t="s">
        <v>599</v>
      </c>
      <c r="I2383" s="25">
        <v>26562</v>
      </c>
      <c r="J2383" s="8" t="s">
        <v>601</v>
      </c>
      <c r="K2383" s="8" t="s">
        <v>10040</v>
      </c>
      <c r="L2383" s="15">
        <v>-0.136709</v>
      </c>
      <c r="M2383" s="15">
        <v>0.40803699999999998</v>
      </c>
      <c r="N2383" s="15">
        <v>0.75977954869857267</v>
      </c>
    </row>
    <row r="2384" spans="1:14" x14ac:dyDescent="0.2">
      <c r="A2384" s="2" t="s">
        <v>10068</v>
      </c>
      <c r="B2384" s="15">
        <v>576</v>
      </c>
      <c r="C2384" s="15">
        <v>3</v>
      </c>
      <c r="D2384" s="15">
        <v>175671425</v>
      </c>
      <c r="E2384" s="15">
        <v>176931163</v>
      </c>
      <c r="F2384" s="15">
        <v>3610</v>
      </c>
      <c r="G2384" s="8" t="s">
        <v>12324</v>
      </c>
      <c r="H2384" s="24" t="s">
        <v>599</v>
      </c>
      <c r="I2384" s="25">
        <v>26562</v>
      </c>
      <c r="J2384" s="8" t="s">
        <v>601</v>
      </c>
      <c r="K2384" s="8" t="s">
        <v>10040</v>
      </c>
      <c r="L2384" s="15">
        <v>0.189806</v>
      </c>
      <c r="M2384" s="15">
        <v>0.40807100000000002</v>
      </c>
      <c r="N2384" s="15">
        <v>0.75977954869857267</v>
      </c>
    </row>
    <row r="2385" spans="1:14" x14ac:dyDescent="0.2">
      <c r="A2385" s="2" t="s">
        <v>10068</v>
      </c>
      <c r="B2385" s="15">
        <v>1439</v>
      </c>
      <c r="C2385" s="15">
        <v>9</v>
      </c>
      <c r="D2385" s="15">
        <v>94175375</v>
      </c>
      <c r="E2385" s="15">
        <v>94924482</v>
      </c>
      <c r="F2385" s="15">
        <v>2493</v>
      </c>
      <c r="G2385" s="8" t="s">
        <v>12324</v>
      </c>
      <c r="H2385" s="24" t="s">
        <v>494</v>
      </c>
      <c r="I2385" s="25">
        <v>25920</v>
      </c>
      <c r="J2385" s="8" t="s">
        <v>496</v>
      </c>
      <c r="K2385" s="8" t="s">
        <v>10040</v>
      </c>
      <c r="L2385" s="15">
        <v>0.275343</v>
      </c>
      <c r="M2385" s="15">
        <v>0.40944199999999997</v>
      </c>
      <c r="N2385" s="15">
        <v>0.75983119565217394</v>
      </c>
    </row>
    <row r="2386" spans="1:14" x14ac:dyDescent="0.2">
      <c r="A2386" s="2" t="s">
        <v>10068</v>
      </c>
      <c r="B2386" s="15">
        <v>1851</v>
      </c>
      <c r="C2386" s="15">
        <v>12</v>
      </c>
      <c r="D2386" s="15">
        <v>123396635</v>
      </c>
      <c r="E2386" s="15">
        <v>124843768</v>
      </c>
      <c r="F2386" s="15">
        <v>3534</v>
      </c>
      <c r="G2386" s="8" t="s">
        <v>12324</v>
      </c>
      <c r="H2386" s="24" t="s">
        <v>494</v>
      </c>
      <c r="I2386" s="25">
        <v>25920</v>
      </c>
      <c r="J2386" s="8" t="s">
        <v>496</v>
      </c>
      <c r="K2386" s="8" t="s">
        <v>10040</v>
      </c>
      <c r="L2386" s="15">
        <v>0.22953599999999999</v>
      </c>
      <c r="M2386" s="15">
        <v>0.40969299999999997</v>
      </c>
      <c r="N2386" s="15">
        <v>0.75983119565217394</v>
      </c>
    </row>
    <row r="2387" spans="1:14" x14ac:dyDescent="0.2">
      <c r="A2387" s="2" t="s">
        <v>10068</v>
      </c>
      <c r="B2387" s="15">
        <v>1942</v>
      </c>
      <c r="C2387" s="15">
        <v>13</v>
      </c>
      <c r="D2387" s="15">
        <v>104378436</v>
      </c>
      <c r="E2387" s="15">
        <v>105672500</v>
      </c>
      <c r="F2387" s="15">
        <v>3731</v>
      </c>
      <c r="G2387" s="8" t="s">
        <v>12324</v>
      </c>
      <c r="H2387" s="24" t="s">
        <v>599</v>
      </c>
      <c r="I2387" s="25">
        <v>26562</v>
      </c>
      <c r="J2387" s="8" t="s">
        <v>601</v>
      </c>
      <c r="K2387" s="8" t="s">
        <v>10040</v>
      </c>
      <c r="L2387" s="15">
        <v>0.17069500000000001</v>
      </c>
      <c r="M2387" s="15">
        <v>0.40878300000000001</v>
      </c>
      <c r="N2387" s="15">
        <v>0.75983119565217394</v>
      </c>
    </row>
    <row r="2388" spans="1:14" x14ac:dyDescent="0.2">
      <c r="A2388" s="2" t="s">
        <v>10069</v>
      </c>
      <c r="B2388" s="15">
        <v>1476</v>
      </c>
      <c r="C2388" s="15">
        <v>9</v>
      </c>
      <c r="D2388" s="15">
        <v>132999453</v>
      </c>
      <c r="E2388" s="15">
        <v>134141936</v>
      </c>
      <c r="F2388" s="15">
        <v>1629</v>
      </c>
      <c r="G2388" s="8" t="s">
        <v>12324</v>
      </c>
      <c r="H2388" s="24" t="s">
        <v>662</v>
      </c>
      <c r="I2388" s="25" t="s">
        <v>663</v>
      </c>
      <c r="J2388" s="8" t="s">
        <v>664</v>
      </c>
      <c r="K2388" s="8" t="s">
        <v>10040</v>
      </c>
      <c r="L2388" s="15">
        <v>0.19412299999999999</v>
      </c>
      <c r="M2388" s="15">
        <v>0.409391</v>
      </c>
      <c r="N2388" s="15">
        <v>0.75983119565217394</v>
      </c>
    </row>
    <row r="2389" spans="1:14" x14ac:dyDescent="0.2">
      <c r="A2389" s="2" t="s">
        <v>10066</v>
      </c>
      <c r="B2389" s="15">
        <v>160</v>
      </c>
      <c r="C2389" s="15">
        <v>1</v>
      </c>
      <c r="D2389" s="15">
        <v>208162952</v>
      </c>
      <c r="E2389" s="15">
        <v>209711169</v>
      </c>
      <c r="F2389" s="15">
        <v>3777</v>
      </c>
      <c r="G2389" s="8" t="s">
        <v>12324</v>
      </c>
      <c r="H2389" s="24" t="s">
        <v>3164</v>
      </c>
      <c r="I2389" s="25" t="s">
        <v>3165</v>
      </c>
      <c r="J2389" s="8" t="s">
        <v>3166</v>
      </c>
      <c r="K2389" s="8" t="s">
        <v>10042</v>
      </c>
      <c r="L2389" s="15">
        <v>-0.19370699999999999</v>
      </c>
      <c r="M2389" s="15">
        <v>0.40852300000000003</v>
      </c>
      <c r="N2389" s="15">
        <v>0.75983119565217394</v>
      </c>
    </row>
    <row r="2390" spans="1:14" x14ac:dyDescent="0.2">
      <c r="A2390" s="2" t="s">
        <v>10066</v>
      </c>
      <c r="B2390" s="15">
        <v>217</v>
      </c>
      <c r="C2390" s="15">
        <v>2</v>
      </c>
      <c r="D2390" s="15">
        <v>11995766</v>
      </c>
      <c r="E2390" s="15">
        <v>12732506</v>
      </c>
      <c r="F2390" s="15">
        <v>2217</v>
      </c>
      <c r="G2390" s="8" t="s">
        <v>12324</v>
      </c>
      <c r="H2390" s="24" t="s">
        <v>3164</v>
      </c>
      <c r="I2390" s="25" t="s">
        <v>3165</v>
      </c>
      <c r="J2390" s="8" t="s">
        <v>3166</v>
      </c>
      <c r="K2390" s="8" t="s">
        <v>10042</v>
      </c>
      <c r="L2390" s="15">
        <v>0.14471500000000001</v>
      </c>
      <c r="M2390" s="15">
        <v>0.40966399999999997</v>
      </c>
      <c r="N2390" s="15">
        <v>0.75983119565217394</v>
      </c>
    </row>
    <row r="2391" spans="1:14" x14ac:dyDescent="0.2">
      <c r="A2391" s="2" t="s">
        <v>10066</v>
      </c>
      <c r="B2391" s="15">
        <v>167</v>
      </c>
      <c r="C2391" s="15">
        <v>1</v>
      </c>
      <c r="D2391" s="15">
        <v>216658127</v>
      </c>
      <c r="E2391" s="15">
        <v>217352165</v>
      </c>
      <c r="F2391" s="15">
        <v>2072</v>
      </c>
      <c r="G2391" s="8" t="s">
        <v>12324</v>
      </c>
      <c r="H2391" s="24" t="s">
        <v>6008</v>
      </c>
      <c r="I2391" s="25" t="s">
        <v>6009</v>
      </c>
      <c r="J2391" s="8" t="s">
        <v>6010</v>
      </c>
      <c r="K2391" s="8" t="s">
        <v>10051</v>
      </c>
      <c r="L2391" s="15">
        <v>0.180951</v>
      </c>
      <c r="M2391" s="15">
        <v>0.40946300000000002</v>
      </c>
      <c r="N2391" s="15">
        <v>0.75983119565217394</v>
      </c>
    </row>
    <row r="2392" spans="1:14" x14ac:dyDescent="0.2">
      <c r="A2392" s="2" t="s">
        <v>10066</v>
      </c>
      <c r="B2392" s="15">
        <v>1465</v>
      </c>
      <c r="C2392" s="15">
        <v>9</v>
      </c>
      <c r="D2392" s="15">
        <v>119890465</v>
      </c>
      <c r="E2392" s="15">
        <v>121008529</v>
      </c>
      <c r="F2392" s="15">
        <v>2787</v>
      </c>
      <c r="G2392" s="8" t="s">
        <v>12324</v>
      </c>
      <c r="H2392" s="24" t="s">
        <v>6008</v>
      </c>
      <c r="I2392" s="25" t="s">
        <v>6009</v>
      </c>
      <c r="J2392" s="8" t="s">
        <v>6010</v>
      </c>
      <c r="K2392" s="8" t="s">
        <v>10051</v>
      </c>
      <c r="L2392" s="15">
        <v>-0.31301299999999999</v>
      </c>
      <c r="M2392" s="15">
        <v>0.409551</v>
      </c>
      <c r="N2392" s="15">
        <v>0.75983119565217394</v>
      </c>
    </row>
    <row r="2393" spans="1:14" x14ac:dyDescent="0.2">
      <c r="A2393" s="2" t="s">
        <v>10066</v>
      </c>
      <c r="B2393" s="15">
        <v>355</v>
      </c>
      <c r="C2393" s="15">
        <v>2</v>
      </c>
      <c r="D2393" s="15">
        <v>170865766</v>
      </c>
      <c r="E2393" s="15">
        <v>171566482</v>
      </c>
      <c r="F2393" s="15">
        <v>2230</v>
      </c>
      <c r="G2393" s="8" t="s">
        <v>12324</v>
      </c>
      <c r="H2393" s="24" t="s">
        <v>6008</v>
      </c>
      <c r="I2393" s="25" t="s">
        <v>6009</v>
      </c>
      <c r="J2393" s="8" t="s">
        <v>6010</v>
      </c>
      <c r="K2393" s="8" t="s">
        <v>10051</v>
      </c>
      <c r="L2393" s="15">
        <v>-0.19590199999999999</v>
      </c>
      <c r="M2393" s="15">
        <v>0.40981200000000001</v>
      </c>
      <c r="N2393" s="15">
        <v>0.75983119565217394</v>
      </c>
    </row>
    <row r="2394" spans="1:14" x14ac:dyDescent="0.2">
      <c r="A2394" s="2" t="s">
        <v>10068</v>
      </c>
      <c r="B2394" s="15">
        <v>253</v>
      </c>
      <c r="C2394" s="15">
        <v>2</v>
      </c>
      <c r="D2394" s="15">
        <v>47320115</v>
      </c>
      <c r="E2394" s="15">
        <v>48171058</v>
      </c>
      <c r="F2394" s="15">
        <v>2311</v>
      </c>
      <c r="G2394" s="8" t="s">
        <v>12324</v>
      </c>
      <c r="H2394" s="24" t="s">
        <v>6565</v>
      </c>
      <c r="I2394" s="25" t="s">
        <v>6475</v>
      </c>
      <c r="J2394" s="8" t="s">
        <v>6566</v>
      </c>
      <c r="K2394" s="8" t="s">
        <v>10054</v>
      </c>
      <c r="L2394" s="15">
        <v>-0.22759599999999999</v>
      </c>
      <c r="M2394" s="15">
        <v>0.40882400000000002</v>
      </c>
      <c r="N2394" s="15">
        <v>0.75983119565217394</v>
      </c>
    </row>
    <row r="2395" spans="1:14" x14ac:dyDescent="0.2">
      <c r="A2395" s="2" t="s">
        <v>10068</v>
      </c>
      <c r="B2395" s="15">
        <v>1103</v>
      </c>
      <c r="C2395" s="15">
        <v>7</v>
      </c>
      <c r="D2395" s="15">
        <v>7167611</v>
      </c>
      <c r="E2395" s="15">
        <v>7926500</v>
      </c>
      <c r="F2395" s="15">
        <v>2731</v>
      </c>
      <c r="G2395" s="8" t="s">
        <v>12324</v>
      </c>
      <c r="H2395" s="24" t="s">
        <v>1259</v>
      </c>
      <c r="I2395" s="25">
        <v>27096</v>
      </c>
      <c r="J2395" s="8" t="s">
        <v>1261</v>
      </c>
      <c r="K2395" s="8" t="s">
        <v>10040</v>
      </c>
      <c r="L2395" s="15">
        <v>0.25307400000000002</v>
      </c>
      <c r="M2395" s="15">
        <v>0.41021099999999999</v>
      </c>
      <c r="N2395" s="15">
        <v>0.76025314876723782</v>
      </c>
    </row>
    <row r="2396" spans="1:14" x14ac:dyDescent="0.2">
      <c r="A2396" s="2" t="s">
        <v>10068</v>
      </c>
      <c r="B2396" s="15">
        <v>355</v>
      </c>
      <c r="C2396" s="15">
        <v>2</v>
      </c>
      <c r="D2396" s="15">
        <v>170865766</v>
      </c>
      <c r="E2396" s="15">
        <v>171566482</v>
      </c>
      <c r="F2396" s="15">
        <v>2231</v>
      </c>
      <c r="G2396" s="8" t="s">
        <v>12324</v>
      </c>
      <c r="H2396" s="24" t="s">
        <v>494</v>
      </c>
      <c r="I2396" s="25">
        <v>25920</v>
      </c>
      <c r="J2396" s="8" t="s">
        <v>496</v>
      </c>
      <c r="K2396" s="8" t="s">
        <v>10040</v>
      </c>
      <c r="L2396" s="15">
        <v>-0.189358</v>
      </c>
      <c r="M2396" s="15">
        <v>0.41046100000000002</v>
      </c>
      <c r="N2396" s="15">
        <v>0.76039871971595663</v>
      </c>
    </row>
    <row r="2397" spans="1:14" x14ac:dyDescent="0.2">
      <c r="A2397" s="2" t="s">
        <v>10068</v>
      </c>
      <c r="B2397" s="15">
        <v>1330</v>
      </c>
      <c r="C2397" s="15">
        <v>8</v>
      </c>
      <c r="D2397" s="15">
        <v>101448440</v>
      </c>
      <c r="E2397" s="15">
        <v>102548680</v>
      </c>
      <c r="F2397" s="15">
        <v>2622</v>
      </c>
      <c r="G2397" s="8" t="s">
        <v>12324</v>
      </c>
      <c r="H2397" s="24" t="s">
        <v>1259</v>
      </c>
      <c r="I2397" s="25">
        <v>27096</v>
      </c>
      <c r="J2397" s="8" t="s">
        <v>1261</v>
      </c>
      <c r="K2397" s="8" t="s">
        <v>10040</v>
      </c>
      <c r="L2397" s="15">
        <v>0.154223</v>
      </c>
      <c r="M2397" s="15">
        <v>0.41084700000000002</v>
      </c>
      <c r="N2397" s="15">
        <v>0.76079601043841338</v>
      </c>
    </row>
    <row r="2398" spans="1:14" x14ac:dyDescent="0.2">
      <c r="A2398" s="2" t="s">
        <v>10068</v>
      </c>
      <c r="B2398" s="15">
        <v>804</v>
      </c>
      <c r="C2398" s="15">
        <v>5</v>
      </c>
      <c r="D2398" s="15">
        <v>31679465</v>
      </c>
      <c r="E2398" s="15">
        <v>32727914</v>
      </c>
      <c r="F2398" s="15">
        <v>3113</v>
      </c>
      <c r="G2398" s="8" t="s">
        <v>12324</v>
      </c>
      <c r="H2398" s="24" t="s">
        <v>494</v>
      </c>
      <c r="I2398" s="25">
        <v>25920</v>
      </c>
      <c r="J2398" s="8" t="s">
        <v>496</v>
      </c>
      <c r="K2398" s="8" t="s">
        <v>10040</v>
      </c>
      <c r="L2398" s="15">
        <v>-0.13168299999999999</v>
      </c>
      <c r="M2398" s="15">
        <v>0.41128799999999999</v>
      </c>
      <c r="N2398" s="15">
        <v>0.761294774624374</v>
      </c>
    </row>
    <row r="2399" spans="1:14" x14ac:dyDescent="0.2">
      <c r="A2399" s="2" t="s">
        <v>10068</v>
      </c>
      <c r="B2399" s="15">
        <v>991</v>
      </c>
      <c r="C2399" s="15">
        <v>6</v>
      </c>
      <c r="D2399" s="15">
        <v>56200986</v>
      </c>
      <c r="E2399" s="15">
        <v>57316157</v>
      </c>
      <c r="F2399" s="15">
        <v>2038</v>
      </c>
      <c r="G2399" s="8" t="s">
        <v>12324</v>
      </c>
      <c r="H2399" s="24" t="s">
        <v>494</v>
      </c>
      <c r="I2399" s="25">
        <v>25920</v>
      </c>
      <c r="J2399" s="8" t="s">
        <v>496</v>
      </c>
      <c r="K2399" s="8" t="s">
        <v>10040</v>
      </c>
      <c r="L2399" s="15">
        <v>-0.198854</v>
      </c>
      <c r="M2399" s="15">
        <v>0.41183399999999998</v>
      </c>
      <c r="N2399" s="15">
        <v>0.76166963719766467</v>
      </c>
    </row>
    <row r="2400" spans="1:14" x14ac:dyDescent="0.2">
      <c r="A2400" s="2" t="s">
        <v>10068</v>
      </c>
      <c r="B2400" s="15">
        <v>2302</v>
      </c>
      <c r="C2400" s="15">
        <v>18</v>
      </c>
      <c r="D2400" s="15">
        <v>74471746</v>
      </c>
      <c r="E2400" s="15">
        <v>75240760</v>
      </c>
      <c r="F2400" s="15">
        <v>3154</v>
      </c>
      <c r="G2400" s="8" t="s">
        <v>12324</v>
      </c>
      <c r="H2400" s="24" t="s">
        <v>1259</v>
      </c>
      <c r="I2400" s="25">
        <v>27096</v>
      </c>
      <c r="J2400" s="8" t="s">
        <v>1261</v>
      </c>
      <c r="K2400" s="8" t="s">
        <v>10040</v>
      </c>
      <c r="L2400" s="15">
        <v>-0.15320700000000001</v>
      </c>
      <c r="M2400" s="15">
        <v>0.41170800000000002</v>
      </c>
      <c r="N2400" s="15">
        <v>0.76166963719766467</v>
      </c>
    </row>
    <row r="2401" spans="1:14" x14ac:dyDescent="0.2">
      <c r="A2401" s="2" t="s">
        <v>10069</v>
      </c>
      <c r="B2401" s="15">
        <v>474</v>
      </c>
      <c r="C2401" s="15">
        <v>3</v>
      </c>
      <c r="D2401" s="15">
        <v>61277588</v>
      </c>
      <c r="E2401" s="15">
        <v>62609818</v>
      </c>
      <c r="F2401" s="15">
        <v>2095</v>
      </c>
      <c r="G2401" s="8" t="s">
        <v>12324</v>
      </c>
      <c r="H2401" s="24" t="s">
        <v>662</v>
      </c>
      <c r="I2401" s="25" t="s">
        <v>663</v>
      </c>
      <c r="J2401" s="8" t="s">
        <v>664</v>
      </c>
      <c r="K2401" s="8" t="s">
        <v>10040</v>
      </c>
      <c r="L2401" s="15">
        <v>-0.220804</v>
      </c>
      <c r="M2401" s="15">
        <v>0.41228700000000001</v>
      </c>
      <c r="N2401" s="15">
        <v>0.76183177634319033</v>
      </c>
    </row>
    <row r="2402" spans="1:14" x14ac:dyDescent="0.2">
      <c r="A2402" s="2" t="s">
        <v>10066</v>
      </c>
      <c r="B2402" s="15">
        <v>1182</v>
      </c>
      <c r="C2402" s="15">
        <v>7</v>
      </c>
      <c r="D2402" s="15">
        <v>95174848</v>
      </c>
      <c r="E2402" s="15">
        <v>96564981</v>
      </c>
      <c r="F2402" s="15">
        <v>3147</v>
      </c>
      <c r="G2402" s="8" t="s">
        <v>12324</v>
      </c>
      <c r="H2402" s="24" t="s">
        <v>3164</v>
      </c>
      <c r="I2402" s="25" t="s">
        <v>3165</v>
      </c>
      <c r="J2402" s="8" t="s">
        <v>3166</v>
      </c>
      <c r="K2402" s="8" t="s">
        <v>10042</v>
      </c>
      <c r="L2402" s="15">
        <v>-0.28272900000000001</v>
      </c>
      <c r="M2402" s="15">
        <v>0.41211100000000001</v>
      </c>
      <c r="N2402" s="15">
        <v>0.76183177634319033</v>
      </c>
    </row>
    <row r="2403" spans="1:14" x14ac:dyDescent="0.2">
      <c r="A2403" s="2" t="s">
        <v>10068</v>
      </c>
      <c r="B2403" s="15">
        <v>276</v>
      </c>
      <c r="C2403" s="15">
        <v>2</v>
      </c>
      <c r="D2403" s="15">
        <v>70756284</v>
      </c>
      <c r="E2403" s="15">
        <v>71385813</v>
      </c>
      <c r="F2403" s="15">
        <v>2199</v>
      </c>
      <c r="G2403" s="8" t="s">
        <v>12324</v>
      </c>
      <c r="H2403" s="24" t="s">
        <v>6565</v>
      </c>
      <c r="I2403" s="25" t="s">
        <v>6475</v>
      </c>
      <c r="J2403" s="8" t="s">
        <v>6566</v>
      </c>
      <c r="K2403" s="8" t="s">
        <v>10054</v>
      </c>
      <c r="L2403" s="15">
        <v>-0.17841399999999999</v>
      </c>
      <c r="M2403" s="15">
        <v>0.412437</v>
      </c>
      <c r="N2403" s="15">
        <v>0.76183177634319033</v>
      </c>
    </row>
    <row r="2404" spans="1:14" x14ac:dyDescent="0.2">
      <c r="A2404" s="2" t="s">
        <v>10066</v>
      </c>
      <c r="B2404" s="15">
        <v>1095</v>
      </c>
      <c r="C2404" s="15">
        <v>7</v>
      </c>
      <c r="D2404" s="15">
        <v>617320</v>
      </c>
      <c r="E2404" s="15">
        <v>1366972</v>
      </c>
      <c r="F2404" s="15">
        <v>2890</v>
      </c>
      <c r="G2404" s="8" t="s">
        <v>12324</v>
      </c>
      <c r="H2404" s="24" t="s">
        <v>3164</v>
      </c>
      <c r="I2404" s="25" t="s">
        <v>3165</v>
      </c>
      <c r="J2404" s="8" t="s">
        <v>3166</v>
      </c>
      <c r="K2404" s="8" t="s">
        <v>10042</v>
      </c>
      <c r="L2404" s="15">
        <v>-0.29809200000000002</v>
      </c>
      <c r="M2404" s="15">
        <v>0.413462</v>
      </c>
      <c r="N2404" s="15">
        <v>0.76340321265085309</v>
      </c>
    </row>
    <row r="2405" spans="1:14" x14ac:dyDescent="0.2">
      <c r="A2405" s="2" t="s">
        <v>10066</v>
      </c>
      <c r="B2405" s="15">
        <v>1168</v>
      </c>
      <c r="C2405" s="15">
        <v>7</v>
      </c>
      <c r="D2405" s="15">
        <v>76451929</v>
      </c>
      <c r="E2405" s="15">
        <v>77663964</v>
      </c>
      <c r="F2405" s="15">
        <v>3029</v>
      </c>
      <c r="G2405" s="8" t="s">
        <v>12324</v>
      </c>
      <c r="H2405" s="24" t="s">
        <v>6008</v>
      </c>
      <c r="I2405" s="25" t="s">
        <v>6009</v>
      </c>
      <c r="J2405" s="8" t="s">
        <v>6010</v>
      </c>
      <c r="K2405" s="8" t="s">
        <v>10051</v>
      </c>
      <c r="L2405" s="15">
        <v>0.148538</v>
      </c>
      <c r="M2405" s="15">
        <v>0.413632</v>
      </c>
      <c r="N2405" s="15">
        <v>0.76340321265085309</v>
      </c>
    </row>
    <row r="2406" spans="1:14" x14ac:dyDescent="0.2">
      <c r="A2406" s="2" t="s">
        <v>10068</v>
      </c>
      <c r="B2406" s="15">
        <v>572</v>
      </c>
      <c r="C2406" s="15">
        <v>3</v>
      </c>
      <c r="D2406" s="15">
        <v>171134850</v>
      </c>
      <c r="E2406" s="15">
        <v>172004760</v>
      </c>
      <c r="F2406" s="15">
        <v>2318</v>
      </c>
      <c r="G2406" s="8" t="s">
        <v>12324</v>
      </c>
      <c r="H2406" s="24" t="s">
        <v>1259</v>
      </c>
      <c r="I2406" s="25">
        <v>27096</v>
      </c>
      <c r="J2406" s="8" t="s">
        <v>1261</v>
      </c>
      <c r="K2406" s="8" t="s">
        <v>10040</v>
      </c>
      <c r="L2406" s="15">
        <v>0.249032</v>
      </c>
      <c r="M2406" s="15">
        <v>0.41402</v>
      </c>
      <c r="N2406" s="15">
        <v>0.76380145590682191</v>
      </c>
    </row>
    <row r="2407" spans="1:14" x14ac:dyDescent="0.2">
      <c r="A2407" s="2" t="s">
        <v>10066</v>
      </c>
      <c r="B2407" s="15">
        <v>425</v>
      </c>
      <c r="C2407" s="15">
        <v>3</v>
      </c>
      <c r="D2407" s="15">
        <v>3128153</v>
      </c>
      <c r="E2407" s="15">
        <v>4109393</v>
      </c>
      <c r="F2407" s="15">
        <v>3729</v>
      </c>
      <c r="G2407" s="8" t="s">
        <v>12324</v>
      </c>
      <c r="H2407" s="24" t="s">
        <v>6008</v>
      </c>
      <c r="I2407" s="25" t="s">
        <v>6009</v>
      </c>
      <c r="J2407" s="8" t="s">
        <v>6010</v>
      </c>
      <c r="K2407" s="8" t="s">
        <v>10051</v>
      </c>
      <c r="L2407" s="15">
        <v>0.205841</v>
      </c>
      <c r="M2407" s="15">
        <v>0.414271</v>
      </c>
      <c r="N2407" s="15">
        <v>0.76394672972972966</v>
      </c>
    </row>
    <row r="2408" spans="1:14" x14ac:dyDescent="0.2">
      <c r="A2408" s="2" t="s">
        <v>10068</v>
      </c>
      <c r="B2408" s="15">
        <v>2410</v>
      </c>
      <c r="C2408" s="15">
        <v>20</v>
      </c>
      <c r="D2408" s="15">
        <v>46486133</v>
      </c>
      <c r="E2408" s="15">
        <v>47203836</v>
      </c>
      <c r="F2408" s="15">
        <v>2088</v>
      </c>
      <c r="G2408" s="8" t="s">
        <v>12324</v>
      </c>
      <c r="H2408" s="24" t="s">
        <v>1259</v>
      </c>
      <c r="I2408" s="25">
        <v>27096</v>
      </c>
      <c r="J2408" s="8" t="s">
        <v>1261</v>
      </c>
      <c r="K2408" s="8" t="s">
        <v>10040</v>
      </c>
      <c r="L2408" s="15">
        <v>0.12474399999999999</v>
      </c>
      <c r="M2408" s="15">
        <v>0.41471599999999997</v>
      </c>
      <c r="N2408" s="15">
        <v>0.7641890091400082</v>
      </c>
    </row>
    <row r="2409" spans="1:14" x14ac:dyDescent="0.2">
      <c r="A2409" s="2" t="s">
        <v>10066</v>
      </c>
      <c r="B2409" s="15">
        <v>2308</v>
      </c>
      <c r="C2409" s="15">
        <v>19</v>
      </c>
      <c r="D2409" s="15">
        <v>1515921</v>
      </c>
      <c r="E2409" s="15">
        <v>2253174</v>
      </c>
      <c r="F2409" s="15">
        <v>2179</v>
      </c>
      <c r="G2409" s="8" t="s">
        <v>12324</v>
      </c>
      <c r="H2409" s="24" t="s">
        <v>6008</v>
      </c>
      <c r="I2409" s="25" t="s">
        <v>6009</v>
      </c>
      <c r="J2409" s="8" t="s">
        <v>6010</v>
      </c>
      <c r="K2409" s="8" t="s">
        <v>10051</v>
      </c>
      <c r="L2409" s="15">
        <v>9.7721699999999995E-2</v>
      </c>
      <c r="M2409" s="15">
        <v>0.41474699999999998</v>
      </c>
      <c r="N2409" s="15">
        <v>0.7641890091400082</v>
      </c>
    </row>
    <row r="2410" spans="1:14" x14ac:dyDescent="0.2">
      <c r="A2410" s="2" t="s">
        <v>10068</v>
      </c>
      <c r="B2410" s="15">
        <v>852</v>
      </c>
      <c r="C2410" s="15">
        <v>5</v>
      </c>
      <c r="D2410" s="15">
        <v>91956906</v>
      </c>
      <c r="E2410" s="15">
        <v>93814604</v>
      </c>
      <c r="F2410" s="15">
        <v>2641</v>
      </c>
      <c r="G2410" s="8" t="s">
        <v>12324</v>
      </c>
      <c r="H2410" s="24" t="s">
        <v>599</v>
      </c>
      <c r="I2410" s="25">
        <v>26562</v>
      </c>
      <c r="J2410" s="8" t="s">
        <v>601</v>
      </c>
      <c r="K2410" s="8" t="s">
        <v>10040</v>
      </c>
      <c r="L2410" s="15">
        <v>0.28898600000000002</v>
      </c>
      <c r="M2410" s="15">
        <v>0.41515600000000003</v>
      </c>
      <c r="N2410" s="15">
        <v>0.76420018672199164</v>
      </c>
    </row>
    <row r="2411" spans="1:14" x14ac:dyDescent="0.2">
      <c r="A2411" s="2" t="s">
        <v>10066</v>
      </c>
      <c r="B2411" s="15">
        <v>468</v>
      </c>
      <c r="C2411" s="15">
        <v>3</v>
      </c>
      <c r="D2411" s="15">
        <v>54892587</v>
      </c>
      <c r="E2411" s="15">
        <v>55616625</v>
      </c>
      <c r="F2411" s="15">
        <v>2121</v>
      </c>
      <c r="G2411" s="8" t="s">
        <v>12324</v>
      </c>
      <c r="H2411" s="24" t="s">
        <v>3164</v>
      </c>
      <c r="I2411" s="25" t="s">
        <v>3165</v>
      </c>
      <c r="J2411" s="8" t="s">
        <v>3166</v>
      </c>
      <c r="K2411" s="8" t="s">
        <v>10042</v>
      </c>
      <c r="L2411" s="15">
        <v>0.22742799999999999</v>
      </c>
      <c r="M2411" s="15">
        <v>0.415155</v>
      </c>
      <c r="N2411" s="15">
        <v>0.76420018672199164</v>
      </c>
    </row>
    <row r="2412" spans="1:14" x14ac:dyDescent="0.2">
      <c r="A2412" s="2" t="s">
        <v>10066</v>
      </c>
      <c r="B2412" s="15">
        <v>313</v>
      </c>
      <c r="C2412" s="15">
        <v>2</v>
      </c>
      <c r="D2412" s="15">
        <v>121073753</v>
      </c>
      <c r="E2412" s="15">
        <v>122026817</v>
      </c>
      <c r="F2412" s="15">
        <v>2633</v>
      </c>
      <c r="G2412" s="8" t="s">
        <v>12324</v>
      </c>
      <c r="H2412" s="24" t="s">
        <v>3164</v>
      </c>
      <c r="I2412" s="25" t="s">
        <v>3165</v>
      </c>
      <c r="J2412" s="8" t="s">
        <v>3166</v>
      </c>
      <c r="K2412" s="8" t="s">
        <v>10042</v>
      </c>
      <c r="L2412" s="15">
        <v>-0.28384700000000002</v>
      </c>
      <c r="M2412" s="15">
        <v>0.41526999999999997</v>
      </c>
      <c r="N2412" s="15">
        <v>0.76420018672199164</v>
      </c>
    </row>
    <row r="2413" spans="1:14" x14ac:dyDescent="0.2">
      <c r="A2413" s="2" t="s">
        <v>10068</v>
      </c>
      <c r="B2413" s="15">
        <v>1935</v>
      </c>
      <c r="C2413" s="15">
        <v>13</v>
      </c>
      <c r="D2413" s="15">
        <v>96132648</v>
      </c>
      <c r="E2413" s="15">
        <v>97516609</v>
      </c>
      <c r="F2413" s="15">
        <v>2739</v>
      </c>
      <c r="G2413" s="8" t="s">
        <v>12324</v>
      </c>
      <c r="H2413" s="24" t="s">
        <v>599</v>
      </c>
      <c r="I2413" s="25">
        <v>26562</v>
      </c>
      <c r="J2413" s="8" t="s">
        <v>601</v>
      </c>
      <c r="K2413" s="8" t="s">
        <v>10040</v>
      </c>
      <c r="L2413" s="15">
        <v>-0.37876599999999999</v>
      </c>
      <c r="M2413" s="15">
        <v>0.41580299999999998</v>
      </c>
      <c r="N2413" s="15">
        <v>0.76459804519071317</v>
      </c>
    </row>
    <row r="2414" spans="1:14" x14ac:dyDescent="0.2">
      <c r="A2414" s="2" t="s">
        <v>10069</v>
      </c>
      <c r="B2414" s="15">
        <v>47</v>
      </c>
      <c r="C2414" s="15">
        <v>1</v>
      </c>
      <c r="D2414" s="15">
        <v>54771294</v>
      </c>
      <c r="E2414" s="15">
        <v>55727134</v>
      </c>
      <c r="F2414" s="15">
        <v>1846</v>
      </c>
      <c r="G2414" s="8" t="s">
        <v>12324</v>
      </c>
      <c r="H2414" s="24" t="s">
        <v>662</v>
      </c>
      <c r="I2414" s="25" t="s">
        <v>663</v>
      </c>
      <c r="J2414" s="8" t="s">
        <v>664</v>
      </c>
      <c r="K2414" s="8" t="s">
        <v>10040</v>
      </c>
      <c r="L2414" s="15">
        <v>-0.23799999999999999</v>
      </c>
      <c r="M2414" s="15">
        <v>0.41583100000000001</v>
      </c>
      <c r="N2414" s="15">
        <v>0.76459804519071317</v>
      </c>
    </row>
    <row r="2415" spans="1:14" x14ac:dyDescent="0.2">
      <c r="A2415" s="2" t="s">
        <v>10068</v>
      </c>
      <c r="B2415" s="15">
        <v>1138</v>
      </c>
      <c r="C2415" s="15">
        <v>7</v>
      </c>
      <c r="D2415" s="15">
        <v>41415926</v>
      </c>
      <c r="E2415" s="15">
        <v>42494806</v>
      </c>
      <c r="F2415" s="15">
        <v>2758</v>
      </c>
      <c r="G2415" s="8" t="s">
        <v>12324</v>
      </c>
      <c r="H2415" s="24" t="s">
        <v>494</v>
      </c>
      <c r="I2415" s="25">
        <v>25920</v>
      </c>
      <c r="J2415" s="8" t="s">
        <v>496</v>
      </c>
      <c r="K2415" s="8" t="s">
        <v>10040</v>
      </c>
      <c r="L2415" s="15">
        <v>0.21447099999999999</v>
      </c>
      <c r="M2415" s="15">
        <v>0.41694900000000001</v>
      </c>
      <c r="N2415" s="15">
        <v>0.7652319534787978</v>
      </c>
    </row>
    <row r="2416" spans="1:14" x14ac:dyDescent="0.2">
      <c r="A2416" s="2" t="s">
        <v>10068</v>
      </c>
      <c r="B2416" s="15">
        <v>1445</v>
      </c>
      <c r="C2416" s="15">
        <v>9</v>
      </c>
      <c r="D2416" s="15">
        <v>100310518</v>
      </c>
      <c r="E2416" s="15">
        <v>101596750</v>
      </c>
      <c r="F2416" s="15">
        <v>3409</v>
      </c>
      <c r="G2416" s="8" t="s">
        <v>12324</v>
      </c>
      <c r="H2416" s="24" t="s">
        <v>494</v>
      </c>
      <c r="I2416" s="25">
        <v>25920</v>
      </c>
      <c r="J2416" s="8" t="s">
        <v>496</v>
      </c>
      <c r="K2416" s="8" t="s">
        <v>10040</v>
      </c>
      <c r="L2416" s="15">
        <v>0.174678</v>
      </c>
      <c r="M2416" s="15">
        <v>0.41715600000000003</v>
      </c>
      <c r="N2416" s="15">
        <v>0.7652319534787978</v>
      </c>
    </row>
    <row r="2417" spans="1:14" x14ac:dyDescent="0.2">
      <c r="A2417" s="2" t="s">
        <v>10068</v>
      </c>
      <c r="B2417" s="15">
        <v>2006</v>
      </c>
      <c r="C2417" s="15">
        <v>14</v>
      </c>
      <c r="D2417" s="15">
        <v>76694202</v>
      </c>
      <c r="E2417" s="15">
        <v>77425453</v>
      </c>
      <c r="F2417" s="15">
        <v>2149</v>
      </c>
      <c r="G2417" s="8" t="s">
        <v>12324</v>
      </c>
      <c r="H2417" s="24" t="s">
        <v>494</v>
      </c>
      <c r="I2417" s="25">
        <v>25920</v>
      </c>
      <c r="J2417" s="8" t="s">
        <v>496</v>
      </c>
      <c r="K2417" s="8" t="s">
        <v>10040</v>
      </c>
      <c r="L2417" s="15">
        <v>-0.19600500000000001</v>
      </c>
      <c r="M2417" s="15">
        <v>0.41733199999999998</v>
      </c>
      <c r="N2417" s="15">
        <v>0.7652319534787978</v>
      </c>
    </row>
    <row r="2418" spans="1:14" x14ac:dyDescent="0.2">
      <c r="A2418" s="2" t="s">
        <v>10068</v>
      </c>
      <c r="B2418" s="15">
        <v>2315</v>
      </c>
      <c r="C2418" s="15">
        <v>19</v>
      </c>
      <c r="D2418" s="15">
        <v>7249360</v>
      </c>
      <c r="E2418" s="15">
        <v>8199016</v>
      </c>
      <c r="F2418" s="15">
        <v>2963</v>
      </c>
      <c r="G2418" s="8" t="s">
        <v>12324</v>
      </c>
      <c r="H2418" s="24" t="s">
        <v>494</v>
      </c>
      <c r="I2418" s="25">
        <v>25920</v>
      </c>
      <c r="J2418" s="8" t="s">
        <v>496</v>
      </c>
      <c r="K2418" s="8" t="s">
        <v>10040</v>
      </c>
      <c r="L2418" s="15">
        <v>0.11835900000000001</v>
      </c>
      <c r="M2418" s="15">
        <v>0.41853400000000002</v>
      </c>
      <c r="N2418" s="15">
        <v>0.7652319534787978</v>
      </c>
    </row>
    <row r="2419" spans="1:14" x14ac:dyDescent="0.2">
      <c r="A2419" s="2" t="s">
        <v>10068</v>
      </c>
      <c r="B2419" s="15">
        <v>2352</v>
      </c>
      <c r="C2419" s="15">
        <v>19</v>
      </c>
      <c r="D2419" s="15">
        <v>45893308</v>
      </c>
      <c r="E2419" s="15">
        <v>46765060</v>
      </c>
      <c r="F2419" s="15">
        <v>2343</v>
      </c>
      <c r="G2419" s="8" t="s">
        <v>12324</v>
      </c>
      <c r="H2419" s="24" t="s">
        <v>494</v>
      </c>
      <c r="I2419" s="25">
        <v>25920</v>
      </c>
      <c r="J2419" s="8" t="s">
        <v>496</v>
      </c>
      <c r="K2419" s="8" t="s">
        <v>10040</v>
      </c>
      <c r="L2419" s="15">
        <v>-0.15995100000000001</v>
      </c>
      <c r="M2419" s="15">
        <v>0.41894300000000001</v>
      </c>
      <c r="N2419" s="15">
        <v>0.7652319534787978</v>
      </c>
    </row>
    <row r="2420" spans="1:14" x14ac:dyDescent="0.2">
      <c r="A2420" s="2" t="s">
        <v>10068</v>
      </c>
      <c r="B2420" s="15">
        <v>1502</v>
      </c>
      <c r="C2420" s="15">
        <v>10</v>
      </c>
      <c r="D2420" s="15">
        <v>14008136</v>
      </c>
      <c r="E2420" s="15">
        <v>14820755</v>
      </c>
      <c r="F2420" s="15">
        <v>2922</v>
      </c>
      <c r="G2420" s="8" t="s">
        <v>12324</v>
      </c>
      <c r="H2420" s="24" t="s">
        <v>599</v>
      </c>
      <c r="I2420" s="25">
        <v>26562</v>
      </c>
      <c r="J2420" s="8" t="s">
        <v>601</v>
      </c>
      <c r="K2420" s="8" t="s">
        <v>10040</v>
      </c>
      <c r="L2420" s="15">
        <v>0.19839599999999999</v>
      </c>
      <c r="M2420" s="15">
        <v>0.417155</v>
      </c>
      <c r="N2420" s="15">
        <v>0.7652319534787978</v>
      </c>
    </row>
    <row r="2421" spans="1:14" x14ac:dyDescent="0.2">
      <c r="A2421" s="2" t="s">
        <v>10068</v>
      </c>
      <c r="B2421" s="15">
        <v>2413</v>
      </c>
      <c r="C2421" s="15">
        <v>20</v>
      </c>
      <c r="D2421" s="15">
        <v>49236419</v>
      </c>
      <c r="E2421" s="15">
        <v>50653620</v>
      </c>
      <c r="F2421" s="15">
        <v>4123</v>
      </c>
      <c r="G2421" s="8" t="s">
        <v>12324</v>
      </c>
      <c r="H2421" s="24" t="s">
        <v>599</v>
      </c>
      <c r="I2421" s="25">
        <v>26562</v>
      </c>
      <c r="J2421" s="8" t="s">
        <v>601</v>
      </c>
      <c r="K2421" s="8" t="s">
        <v>10040</v>
      </c>
      <c r="L2421" s="15">
        <v>0.12610099999999999</v>
      </c>
      <c r="M2421" s="15">
        <v>0.41797699999999999</v>
      </c>
      <c r="N2421" s="15">
        <v>0.7652319534787978</v>
      </c>
    </row>
    <row r="2422" spans="1:14" x14ac:dyDescent="0.2">
      <c r="A2422" s="2" t="s">
        <v>10068</v>
      </c>
      <c r="B2422" s="15">
        <v>2282</v>
      </c>
      <c r="C2422" s="15">
        <v>18</v>
      </c>
      <c r="D2422" s="15">
        <v>53762997</v>
      </c>
      <c r="E2422" s="15">
        <v>54957867</v>
      </c>
      <c r="F2422" s="15">
        <v>2786</v>
      </c>
      <c r="G2422" s="8" t="s">
        <v>12324</v>
      </c>
      <c r="H2422" s="24" t="s">
        <v>599</v>
      </c>
      <c r="I2422" s="25">
        <v>26562</v>
      </c>
      <c r="J2422" s="8" t="s">
        <v>601</v>
      </c>
      <c r="K2422" s="8" t="s">
        <v>10040</v>
      </c>
      <c r="L2422" s="15">
        <v>0.17208499999999999</v>
      </c>
      <c r="M2422" s="15">
        <v>0.41910900000000001</v>
      </c>
      <c r="N2422" s="15">
        <v>0.7652319534787978</v>
      </c>
    </row>
    <row r="2423" spans="1:14" x14ac:dyDescent="0.2">
      <c r="A2423" s="2" t="s">
        <v>10069</v>
      </c>
      <c r="B2423" s="15">
        <v>1855</v>
      </c>
      <c r="C2423" s="15">
        <v>12</v>
      </c>
      <c r="D2423" s="15">
        <v>127545378</v>
      </c>
      <c r="E2423" s="15">
        <v>128372588</v>
      </c>
      <c r="F2423" s="15">
        <v>1750</v>
      </c>
      <c r="G2423" s="8" t="s">
        <v>12324</v>
      </c>
      <c r="H2423" s="24" t="s">
        <v>662</v>
      </c>
      <c r="I2423" s="25" t="s">
        <v>663</v>
      </c>
      <c r="J2423" s="8" t="s">
        <v>664</v>
      </c>
      <c r="K2423" s="8" t="s">
        <v>10040</v>
      </c>
      <c r="L2423" s="15">
        <v>0.237978</v>
      </c>
      <c r="M2423" s="15">
        <v>0.418186</v>
      </c>
      <c r="N2423" s="15">
        <v>0.7652319534787978</v>
      </c>
    </row>
    <row r="2424" spans="1:14" x14ac:dyDescent="0.2">
      <c r="A2424" s="2" t="s">
        <v>10069</v>
      </c>
      <c r="B2424" s="15">
        <v>2423</v>
      </c>
      <c r="C2424" s="15">
        <v>20</v>
      </c>
      <c r="D2424" s="15">
        <v>57924038</v>
      </c>
      <c r="E2424" s="15">
        <v>58780894</v>
      </c>
      <c r="F2424" s="15">
        <v>1176</v>
      </c>
      <c r="G2424" s="8" t="s">
        <v>12324</v>
      </c>
      <c r="H2424" s="24" t="s">
        <v>662</v>
      </c>
      <c r="I2424" s="25" t="s">
        <v>663</v>
      </c>
      <c r="J2424" s="8" t="s">
        <v>664</v>
      </c>
      <c r="K2424" s="8" t="s">
        <v>10040</v>
      </c>
      <c r="L2424" s="15">
        <v>0.32477499999999998</v>
      </c>
      <c r="M2424" s="15">
        <v>0.41895700000000002</v>
      </c>
      <c r="N2424" s="15">
        <v>0.7652319534787978</v>
      </c>
    </row>
    <row r="2425" spans="1:14" x14ac:dyDescent="0.2">
      <c r="A2425" s="2" t="s">
        <v>10068</v>
      </c>
      <c r="B2425" s="15">
        <v>1766</v>
      </c>
      <c r="C2425" s="15">
        <v>12</v>
      </c>
      <c r="D2425" s="15">
        <v>25990814</v>
      </c>
      <c r="E2425" s="15">
        <v>26958056</v>
      </c>
      <c r="F2425" s="15">
        <v>2959</v>
      </c>
      <c r="G2425" s="8" t="s">
        <v>12324</v>
      </c>
      <c r="H2425" s="24" t="s">
        <v>1259</v>
      </c>
      <c r="I2425" s="25">
        <v>27096</v>
      </c>
      <c r="J2425" s="8" t="s">
        <v>1261</v>
      </c>
      <c r="K2425" s="8" t="s">
        <v>10040</v>
      </c>
      <c r="L2425" s="15">
        <v>0.261237</v>
      </c>
      <c r="M2425" s="15">
        <v>0.41847800000000002</v>
      </c>
      <c r="N2425" s="15">
        <v>0.7652319534787978</v>
      </c>
    </row>
    <row r="2426" spans="1:14" x14ac:dyDescent="0.2">
      <c r="A2426" s="2" t="s">
        <v>10068</v>
      </c>
      <c r="B2426" s="15">
        <v>97</v>
      </c>
      <c r="C2426" s="15">
        <v>1</v>
      </c>
      <c r="D2426" s="15">
        <v>110224231</v>
      </c>
      <c r="E2426" s="15">
        <v>111134062</v>
      </c>
      <c r="F2426" s="15">
        <v>2128</v>
      </c>
      <c r="G2426" s="8" t="s">
        <v>12324</v>
      </c>
      <c r="H2426" s="24" t="s">
        <v>1259</v>
      </c>
      <c r="I2426" s="25">
        <v>27096</v>
      </c>
      <c r="J2426" s="8" t="s">
        <v>1261</v>
      </c>
      <c r="K2426" s="8" t="s">
        <v>10040</v>
      </c>
      <c r="L2426" s="15">
        <v>0.20616499999999999</v>
      </c>
      <c r="M2426" s="15">
        <v>0.41865000000000002</v>
      </c>
      <c r="N2426" s="15">
        <v>0.7652319534787978</v>
      </c>
    </row>
    <row r="2427" spans="1:14" x14ac:dyDescent="0.2">
      <c r="A2427" s="2" t="s">
        <v>10068</v>
      </c>
      <c r="B2427" s="15">
        <v>2027</v>
      </c>
      <c r="C2427" s="15">
        <v>14</v>
      </c>
      <c r="D2427" s="15">
        <v>100786190</v>
      </c>
      <c r="E2427" s="15">
        <v>102004377</v>
      </c>
      <c r="F2427" s="15">
        <v>3277</v>
      </c>
      <c r="G2427" s="8" t="s">
        <v>12324</v>
      </c>
      <c r="H2427" s="24" t="s">
        <v>1259</v>
      </c>
      <c r="I2427" s="25">
        <v>27096</v>
      </c>
      <c r="J2427" s="8" t="s">
        <v>1261</v>
      </c>
      <c r="K2427" s="8" t="s">
        <v>10040</v>
      </c>
      <c r="L2427" s="15">
        <v>0.104424</v>
      </c>
      <c r="M2427" s="15">
        <v>0.41903400000000002</v>
      </c>
      <c r="N2427" s="15">
        <v>0.7652319534787978</v>
      </c>
    </row>
    <row r="2428" spans="1:14" x14ac:dyDescent="0.2">
      <c r="A2428" s="2" t="s">
        <v>10066</v>
      </c>
      <c r="B2428" s="15">
        <v>2198</v>
      </c>
      <c r="C2428" s="15">
        <v>17</v>
      </c>
      <c r="D2428" s="15">
        <v>31318754</v>
      </c>
      <c r="E2428" s="15">
        <v>32356061</v>
      </c>
      <c r="F2428" s="15">
        <v>3123</v>
      </c>
      <c r="G2428" s="8" t="s">
        <v>12324</v>
      </c>
      <c r="H2428" s="24" t="s">
        <v>3164</v>
      </c>
      <c r="I2428" s="25" t="s">
        <v>3165</v>
      </c>
      <c r="J2428" s="8" t="s">
        <v>3166</v>
      </c>
      <c r="K2428" s="8" t="s">
        <v>10042</v>
      </c>
      <c r="L2428" s="15">
        <v>-0.119686</v>
      </c>
      <c r="M2428" s="15">
        <v>0.41752099999999998</v>
      </c>
      <c r="N2428" s="15">
        <v>0.7652319534787978</v>
      </c>
    </row>
    <row r="2429" spans="1:14" x14ac:dyDescent="0.2">
      <c r="A2429" s="2" t="s">
        <v>10066</v>
      </c>
      <c r="B2429" s="15">
        <v>226</v>
      </c>
      <c r="C2429" s="15">
        <v>2</v>
      </c>
      <c r="D2429" s="15">
        <v>22429641</v>
      </c>
      <c r="E2429" s="15">
        <v>23538527</v>
      </c>
      <c r="F2429" s="15">
        <v>2663</v>
      </c>
      <c r="G2429" s="8" t="s">
        <v>12324</v>
      </c>
      <c r="H2429" s="24" t="s">
        <v>3164</v>
      </c>
      <c r="I2429" s="25" t="s">
        <v>3165</v>
      </c>
      <c r="J2429" s="8" t="s">
        <v>3166</v>
      </c>
      <c r="K2429" s="8" t="s">
        <v>10042</v>
      </c>
      <c r="L2429" s="15">
        <v>-0.22789699999999999</v>
      </c>
      <c r="M2429" s="15">
        <v>0.41778300000000002</v>
      </c>
      <c r="N2429" s="15">
        <v>0.7652319534787978</v>
      </c>
    </row>
    <row r="2430" spans="1:14" x14ac:dyDescent="0.2">
      <c r="A2430" s="2" t="s">
        <v>10066</v>
      </c>
      <c r="B2430" s="15">
        <v>1083</v>
      </c>
      <c r="C2430" s="15">
        <v>6</v>
      </c>
      <c r="D2430" s="15">
        <v>159604053</v>
      </c>
      <c r="E2430" s="15">
        <v>160583918</v>
      </c>
      <c r="F2430" s="15">
        <v>2821</v>
      </c>
      <c r="G2430" s="8" t="s">
        <v>12324</v>
      </c>
      <c r="H2430" s="24" t="s">
        <v>3164</v>
      </c>
      <c r="I2430" s="25" t="s">
        <v>3165</v>
      </c>
      <c r="J2430" s="8" t="s">
        <v>3166</v>
      </c>
      <c r="K2430" s="8" t="s">
        <v>10042</v>
      </c>
      <c r="L2430" s="15">
        <v>0.22973099999999999</v>
      </c>
      <c r="M2430" s="15">
        <v>0.41809800000000003</v>
      </c>
      <c r="N2430" s="15">
        <v>0.7652319534787978</v>
      </c>
    </row>
    <row r="2431" spans="1:14" x14ac:dyDescent="0.2">
      <c r="A2431" s="2" t="s">
        <v>10066</v>
      </c>
      <c r="B2431" s="15">
        <v>2311</v>
      </c>
      <c r="C2431" s="15">
        <v>19</v>
      </c>
      <c r="D2431" s="15">
        <v>3893910</v>
      </c>
      <c r="E2431" s="15">
        <v>4741718</v>
      </c>
      <c r="F2431" s="15">
        <v>2457</v>
      </c>
      <c r="G2431" s="8" t="s">
        <v>12324</v>
      </c>
      <c r="H2431" s="24" t="s">
        <v>6008</v>
      </c>
      <c r="I2431" s="25" t="s">
        <v>6009</v>
      </c>
      <c r="J2431" s="8" t="s">
        <v>6010</v>
      </c>
      <c r="K2431" s="8" t="s">
        <v>10051</v>
      </c>
      <c r="L2431" s="15">
        <v>0.13589599999999999</v>
      </c>
      <c r="M2431" s="15">
        <v>0.41770299999999999</v>
      </c>
      <c r="N2431" s="15">
        <v>0.7652319534787978</v>
      </c>
    </row>
    <row r="2432" spans="1:14" x14ac:dyDescent="0.2">
      <c r="A2432" s="2" t="s">
        <v>10068</v>
      </c>
      <c r="B2432" s="15">
        <v>159</v>
      </c>
      <c r="C2432" s="15">
        <v>1</v>
      </c>
      <c r="D2432" s="15">
        <v>205917549</v>
      </c>
      <c r="E2432" s="15">
        <v>208162951</v>
      </c>
      <c r="F2432" s="15">
        <v>3825</v>
      </c>
      <c r="G2432" s="8" t="s">
        <v>12324</v>
      </c>
      <c r="H2432" s="24" t="s">
        <v>1259</v>
      </c>
      <c r="I2432" s="25">
        <v>27096</v>
      </c>
      <c r="J2432" s="8" t="s">
        <v>1261</v>
      </c>
      <c r="K2432" s="8" t="s">
        <v>10040</v>
      </c>
      <c r="L2432" s="15">
        <v>0.15145700000000001</v>
      </c>
      <c r="M2432" s="15">
        <v>0.41932999999999998</v>
      </c>
      <c r="N2432" s="15">
        <v>0.76532039094650206</v>
      </c>
    </row>
    <row r="2433" spans="1:14" x14ac:dyDescent="0.2">
      <c r="A2433" s="2" t="s">
        <v>10066</v>
      </c>
      <c r="B2433" s="15">
        <v>1641</v>
      </c>
      <c r="C2433" s="15">
        <v>11</v>
      </c>
      <c r="D2433" s="15">
        <v>28577719</v>
      </c>
      <c r="E2433" s="15">
        <v>29530460</v>
      </c>
      <c r="F2433" s="15">
        <v>2151</v>
      </c>
      <c r="G2433" s="8" t="s">
        <v>12324</v>
      </c>
      <c r="H2433" s="24" t="s">
        <v>6008</v>
      </c>
      <c r="I2433" s="25" t="s">
        <v>6009</v>
      </c>
      <c r="J2433" s="8" t="s">
        <v>6010</v>
      </c>
      <c r="K2433" s="8" t="s">
        <v>10051</v>
      </c>
      <c r="L2433" s="15">
        <v>-0.20701</v>
      </c>
      <c r="M2433" s="15">
        <v>0.41980699999999999</v>
      </c>
      <c r="N2433" s="15">
        <v>0.76587578979843685</v>
      </c>
    </row>
    <row r="2434" spans="1:14" x14ac:dyDescent="0.2">
      <c r="A2434" s="2" t="s">
        <v>10068</v>
      </c>
      <c r="B2434" s="15">
        <v>893</v>
      </c>
      <c r="C2434" s="15">
        <v>5</v>
      </c>
      <c r="D2434" s="15">
        <v>141253831</v>
      </c>
      <c r="E2434" s="15">
        <v>142532956</v>
      </c>
      <c r="F2434" s="15">
        <v>3416</v>
      </c>
      <c r="G2434" s="8" t="s">
        <v>12324</v>
      </c>
      <c r="H2434" s="24" t="s">
        <v>494</v>
      </c>
      <c r="I2434" s="25">
        <v>25920</v>
      </c>
      <c r="J2434" s="8" t="s">
        <v>496</v>
      </c>
      <c r="K2434" s="8" t="s">
        <v>10040</v>
      </c>
      <c r="L2434" s="15">
        <v>0.152722</v>
      </c>
      <c r="M2434" s="15">
        <v>0.42056300000000002</v>
      </c>
      <c r="N2434" s="15">
        <v>0.76659384804928132</v>
      </c>
    </row>
    <row r="2435" spans="1:14" x14ac:dyDescent="0.2">
      <c r="A2435" s="2" t="s">
        <v>10066</v>
      </c>
      <c r="B2435" s="15">
        <v>424</v>
      </c>
      <c r="C2435" s="15">
        <v>3</v>
      </c>
      <c r="D2435" s="15">
        <v>2140012</v>
      </c>
      <c r="E2435" s="15">
        <v>3128152</v>
      </c>
      <c r="F2435" s="15">
        <v>3821</v>
      </c>
      <c r="G2435" s="8" t="s">
        <v>12324</v>
      </c>
      <c r="H2435" s="24" t="s">
        <v>3164</v>
      </c>
      <c r="I2435" s="25" t="s">
        <v>3165</v>
      </c>
      <c r="J2435" s="8" t="s">
        <v>3166</v>
      </c>
      <c r="K2435" s="8" t="s">
        <v>10042</v>
      </c>
      <c r="L2435" s="15">
        <v>-0.14980599999999999</v>
      </c>
      <c r="M2435" s="15">
        <v>0.42089199999999999</v>
      </c>
      <c r="N2435" s="15">
        <v>0.76659384804928132</v>
      </c>
    </row>
    <row r="2436" spans="1:14" x14ac:dyDescent="0.2">
      <c r="A2436" s="2" t="s">
        <v>10066</v>
      </c>
      <c r="B2436" s="15">
        <v>1507</v>
      </c>
      <c r="C2436" s="15">
        <v>10</v>
      </c>
      <c r="D2436" s="15">
        <v>19421515</v>
      </c>
      <c r="E2436" s="15">
        <v>19965624</v>
      </c>
      <c r="F2436" s="15">
        <v>2180</v>
      </c>
      <c r="G2436" s="8" t="s">
        <v>12324</v>
      </c>
      <c r="H2436" s="24" t="s">
        <v>6008</v>
      </c>
      <c r="I2436" s="25" t="s">
        <v>6009</v>
      </c>
      <c r="J2436" s="8" t="s">
        <v>6010</v>
      </c>
      <c r="K2436" s="8" t="s">
        <v>10051</v>
      </c>
      <c r="L2436" s="15">
        <v>-0.29971599999999998</v>
      </c>
      <c r="M2436" s="15">
        <v>0.42049999999999998</v>
      </c>
      <c r="N2436" s="15">
        <v>0.76659384804928132</v>
      </c>
    </row>
    <row r="2437" spans="1:14" x14ac:dyDescent="0.2">
      <c r="A2437" s="2" t="s">
        <v>10066</v>
      </c>
      <c r="B2437" s="15">
        <v>1358</v>
      </c>
      <c r="C2437" s="15">
        <v>8</v>
      </c>
      <c r="D2437" s="15">
        <v>133461552</v>
      </c>
      <c r="E2437" s="15">
        <v>134509448</v>
      </c>
      <c r="F2437" s="15">
        <v>2997</v>
      </c>
      <c r="G2437" s="8" t="s">
        <v>12324</v>
      </c>
      <c r="H2437" s="24" t="s">
        <v>6008</v>
      </c>
      <c r="I2437" s="25" t="s">
        <v>6009</v>
      </c>
      <c r="J2437" s="8" t="s">
        <v>6010</v>
      </c>
      <c r="K2437" s="8" t="s">
        <v>10051</v>
      </c>
      <c r="L2437" s="15">
        <v>-0.18482399999999999</v>
      </c>
      <c r="M2437" s="15">
        <v>0.42088900000000001</v>
      </c>
      <c r="N2437" s="15">
        <v>0.76659384804928132</v>
      </c>
    </row>
    <row r="2438" spans="1:14" x14ac:dyDescent="0.2">
      <c r="A2438" s="2" t="s">
        <v>10066</v>
      </c>
      <c r="B2438" s="15">
        <v>2352</v>
      </c>
      <c r="C2438" s="15">
        <v>19</v>
      </c>
      <c r="D2438" s="15">
        <v>45893308</v>
      </c>
      <c r="E2438" s="15">
        <v>46765060</v>
      </c>
      <c r="F2438" s="15">
        <v>2342</v>
      </c>
      <c r="G2438" s="8" t="s">
        <v>12324</v>
      </c>
      <c r="H2438" s="24" t="s">
        <v>3164</v>
      </c>
      <c r="I2438" s="25" t="s">
        <v>3165</v>
      </c>
      <c r="J2438" s="8" t="s">
        <v>3166</v>
      </c>
      <c r="K2438" s="8" t="s">
        <v>10042</v>
      </c>
      <c r="L2438" s="15">
        <v>-9.9446300000000001E-2</v>
      </c>
      <c r="M2438" s="15">
        <v>0.42131600000000002</v>
      </c>
      <c r="N2438" s="15">
        <v>0.76705109195402299</v>
      </c>
    </row>
    <row r="2439" spans="1:14" x14ac:dyDescent="0.2">
      <c r="A2439" s="2" t="s">
        <v>10066</v>
      </c>
      <c r="B2439" s="15">
        <v>51</v>
      </c>
      <c r="C2439" s="15">
        <v>1</v>
      </c>
      <c r="D2439" s="15">
        <v>58387484</v>
      </c>
      <c r="E2439" s="15">
        <v>59889045</v>
      </c>
      <c r="F2439" s="15">
        <v>3882</v>
      </c>
      <c r="G2439" s="8" t="s">
        <v>12324</v>
      </c>
      <c r="H2439" s="24" t="s">
        <v>6008</v>
      </c>
      <c r="I2439" s="25" t="s">
        <v>6009</v>
      </c>
      <c r="J2439" s="8" t="s">
        <v>6010</v>
      </c>
      <c r="K2439" s="8" t="s">
        <v>10051</v>
      </c>
      <c r="L2439" s="15">
        <v>-0.135487</v>
      </c>
      <c r="M2439" s="15">
        <v>0.421875</v>
      </c>
      <c r="N2439" s="15">
        <v>0.76775364177267125</v>
      </c>
    </row>
    <row r="2440" spans="1:14" x14ac:dyDescent="0.2">
      <c r="A2440" s="2" t="s">
        <v>10066</v>
      </c>
      <c r="B2440" s="15">
        <v>2262</v>
      </c>
      <c r="C2440" s="15">
        <v>18</v>
      </c>
      <c r="D2440" s="15">
        <v>28792735</v>
      </c>
      <c r="E2440" s="15">
        <v>30401128</v>
      </c>
      <c r="F2440" s="15">
        <v>3887</v>
      </c>
      <c r="G2440" s="8" t="s">
        <v>12324</v>
      </c>
      <c r="H2440" s="24" t="s">
        <v>6008</v>
      </c>
      <c r="I2440" s="25" t="s">
        <v>6009</v>
      </c>
      <c r="J2440" s="8" t="s">
        <v>6010</v>
      </c>
      <c r="K2440" s="8" t="s">
        <v>10051</v>
      </c>
      <c r="L2440" s="15">
        <v>-0.19106999999999999</v>
      </c>
      <c r="M2440" s="15">
        <v>0.42272199999999999</v>
      </c>
      <c r="N2440" s="15">
        <v>0.76897952009844139</v>
      </c>
    </row>
    <row r="2441" spans="1:14" x14ac:dyDescent="0.2">
      <c r="A2441" s="2" t="s">
        <v>10068</v>
      </c>
      <c r="B2441" s="15">
        <v>1413</v>
      </c>
      <c r="C2441" s="15">
        <v>9</v>
      </c>
      <c r="D2441" s="15">
        <v>36749274</v>
      </c>
      <c r="E2441" s="15">
        <v>37687112</v>
      </c>
      <c r="F2441" s="15">
        <v>2295</v>
      </c>
      <c r="G2441" s="8" t="s">
        <v>12324</v>
      </c>
      <c r="H2441" s="24" t="s">
        <v>494</v>
      </c>
      <c r="I2441" s="25">
        <v>25920</v>
      </c>
      <c r="J2441" s="8" t="s">
        <v>496</v>
      </c>
      <c r="K2441" s="8" t="s">
        <v>10040</v>
      </c>
      <c r="L2441" s="15">
        <v>-0.29954399999999998</v>
      </c>
      <c r="M2441" s="15">
        <v>0.42396299999999998</v>
      </c>
      <c r="N2441" s="15">
        <v>0.7695894013077238</v>
      </c>
    </row>
    <row r="2442" spans="1:14" x14ac:dyDescent="0.2">
      <c r="A2442" s="2" t="s">
        <v>10068</v>
      </c>
      <c r="B2442" s="15">
        <v>410</v>
      </c>
      <c r="C2442" s="15">
        <v>2</v>
      </c>
      <c r="D2442" s="15">
        <v>234115093</v>
      </c>
      <c r="E2442" s="15">
        <v>234945577</v>
      </c>
      <c r="F2442" s="15">
        <v>2135</v>
      </c>
      <c r="G2442" s="8" t="s">
        <v>12324</v>
      </c>
      <c r="H2442" s="24" t="s">
        <v>494</v>
      </c>
      <c r="I2442" s="25">
        <v>25920</v>
      </c>
      <c r="J2442" s="8" t="s">
        <v>496</v>
      </c>
      <c r="K2442" s="8" t="s">
        <v>10040</v>
      </c>
      <c r="L2442" s="15">
        <v>-0.13767399999999999</v>
      </c>
      <c r="M2442" s="15">
        <v>0.42428399999999999</v>
      </c>
      <c r="N2442" s="15">
        <v>0.7695894013077238</v>
      </c>
    </row>
    <row r="2443" spans="1:14" x14ac:dyDescent="0.2">
      <c r="A2443" s="2" t="s">
        <v>10068</v>
      </c>
      <c r="B2443" s="15">
        <v>290</v>
      </c>
      <c r="C2443" s="15">
        <v>2</v>
      </c>
      <c r="D2443" s="15">
        <v>84395900</v>
      </c>
      <c r="E2443" s="15">
        <v>85992794</v>
      </c>
      <c r="F2443" s="15">
        <v>3809</v>
      </c>
      <c r="G2443" s="8" t="s">
        <v>12324</v>
      </c>
      <c r="H2443" s="24" t="s">
        <v>599</v>
      </c>
      <c r="I2443" s="25">
        <v>26562</v>
      </c>
      <c r="J2443" s="8" t="s">
        <v>601</v>
      </c>
      <c r="K2443" s="8" t="s">
        <v>10040</v>
      </c>
      <c r="L2443" s="15">
        <v>-0.25619700000000001</v>
      </c>
      <c r="M2443" s="15">
        <v>0.42369400000000002</v>
      </c>
      <c r="N2443" s="15">
        <v>0.7695894013077238</v>
      </c>
    </row>
    <row r="2444" spans="1:14" x14ac:dyDescent="0.2">
      <c r="A2444" s="2" t="s">
        <v>10068</v>
      </c>
      <c r="B2444" s="15">
        <v>2125</v>
      </c>
      <c r="C2444" s="15">
        <v>16</v>
      </c>
      <c r="D2444" s="15">
        <v>25235252</v>
      </c>
      <c r="E2444" s="15">
        <v>26154122</v>
      </c>
      <c r="F2444" s="15">
        <v>3002</v>
      </c>
      <c r="G2444" s="8" t="s">
        <v>12324</v>
      </c>
      <c r="H2444" s="24" t="s">
        <v>599</v>
      </c>
      <c r="I2444" s="25">
        <v>26562</v>
      </c>
      <c r="J2444" s="8" t="s">
        <v>601</v>
      </c>
      <c r="K2444" s="8" t="s">
        <v>10040</v>
      </c>
      <c r="L2444" s="15">
        <v>0.15013699999999999</v>
      </c>
      <c r="M2444" s="15">
        <v>0.42461399999999999</v>
      </c>
      <c r="N2444" s="15">
        <v>0.7695894013077238</v>
      </c>
    </row>
    <row r="2445" spans="1:14" x14ac:dyDescent="0.2">
      <c r="A2445" s="2" t="s">
        <v>10068</v>
      </c>
      <c r="B2445" s="15">
        <v>1720</v>
      </c>
      <c r="C2445" s="15">
        <v>11</v>
      </c>
      <c r="D2445" s="15">
        <v>113889020</v>
      </c>
      <c r="E2445" s="15">
        <v>114742317</v>
      </c>
      <c r="F2445" s="15">
        <v>2203</v>
      </c>
      <c r="G2445" s="8" t="s">
        <v>12324</v>
      </c>
      <c r="H2445" s="24" t="s">
        <v>1259</v>
      </c>
      <c r="I2445" s="25">
        <v>27096</v>
      </c>
      <c r="J2445" s="8" t="s">
        <v>1261</v>
      </c>
      <c r="K2445" s="8" t="s">
        <v>10040</v>
      </c>
      <c r="L2445" s="15">
        <v>-9.8530099999999995E-2</v>
      </c>
      <c r="M2445" s="15">
        <v>0.42438199999999998</v>
      </c>
      <c r="N2445" s="15">
        <v>0.7695894013077238</v>
      </c>
    </row>
    <row r="2446" spans="1:14" x14ac:dyDescent="0.2">
      <c r="A2446" s="2" t="s">
        <v>10066</v>
      </c>
      <c r="B2446" s="15">
        <v>601</v>
      </c>
      <c r="C2446" s="15">
        <v>4</v>
      </c>
      <c r="D2446" s="15">
        <v>4266179</v>
      </c>
      <c r="E2446" s="15">
        <v>5051834</v>
      </c>
      <c r="F2446" s="15">
        <v>2591</v>
      </c>
      <c r="G2446" s="8" t="s">
        <v>12324</v>
      </c>
      <c r="H2446" s="24" t="s">
        <v>6008</v>
      </c>
      <c r="I2446" s="25" t="s">
        <v>6009</v>
      </c>
      <c r="J2446" s="8" t="s">
        <v>6010</v>
      </c>
      <c r="K2446" s="8" t="s">
        <v>10051</v>
      </c>
      <c r="L2446" s="15">
        <v>0.239228</v>
      </c>
      <c r="M2446" s="15">
        <v>0.42406300000000002</v>
      </c>
      <c r="N2446" s="15">
        <v>0.7695894013077238</v>
      </c>
    </row>
    <row r="2447" spans="1:14" x14ac:dyDescent="0.2">
      <c r="A2447" s="2" t="s">
        <v>10066</v>
      </c>
      <c r="B2447" s="15">
        <v>337</v>
      </c>
      <c r="C2447" s="15">
        <v>2</v>
      </c>
      <c r="D2447" s="15">
        <v>147252197</v>
      </c>
      <c r="E2447" s="15">
        <v>149568875</v>
      </c>
      <c r="F2447" s="15">
        <v>4205</v>
      </c>
      <c r="G2447" s="8" t="s">
        <v>12324</v>
      </c>
      <c r="H2447" s="24" t="s">
        <v>6008</v>
      </c>
      <c r="I2447" s="25" t="s">
        <v>6009</v>
      </c>
      <c r="J2447" s="8" t="s">
        <v>6010</v>
      </c>
      <c r="K2447" s="8" t="s">
        <v>10051</v>
      </c>
      <c r="L2447" s="15">
        <v>-0.14597599999999999</v>
      </c>
      <c r="M2447" s="15">
        <v>0.42439900000000003</v>
      </c>
      <c r="N2447" s="15">
        <v>0.7695894013077238</v>
      </c>
    </row>
    <row r="2448" spans="1:14" x14ac:dyDescent="0.2">
      <c r="A2448" s="2" t="s">
        <v>10066</v>
      </c>
      <c r="B2448" s="15">
        <v>1756</v>
      </c>
      <c r="C2448" s="15">
        <v>12</v>
      </c>
      <c r="D2448" s="15">
        <v>16136743</v>
      </c>
      <c r="E2448" s="15">
        <v>17374895</v>
      </c>
      <c r="F2448" s="15">
        <v>2287</v>
      </c>
      <c r="G2448" s="8" t="s">
        <v>12324</v>
      </c>
      <c r="H2448" s="24" t="s">
        <v>6008</v>
      </c>
      <c r="I2448" s="25" t="s">
        <v>6009</v>
      </c>
      <c r="J2448" s="8" t="s">
        <v>6010</v>
      </c>
      <c r="K2448" s="8" t="s">
        <v>10051</v>
      </c>
      <c r="L2448" s="15">
        <v>-0.154358</v>
      </c>
      <c r="M2448" s="15">
        <v>0.42461900000000002</v>
      </c>
      <c r="N2448" s="15">
        <v>0.7695894013077238</v>
      </c>
    </row>
    <row r="2449" spans="1:14" x14ac:dyDescent="0.2">
      <c r="A2449" s="2" t="s">
        <v>10068</v>
      </c>
      <c r="B2449" s="15">
        <v>629</v>
      </c>
      <c r="C2449" s="15">
        <v>4</v>
      </c>
      <c r="D2449" s="15">
        <v>30455556</v>
      </c>
      <c r="E2449" s="15">
        <v>31395092</v>
      </c>
      <c r="F2449" s="15">
        <v>2877</v>
      </c>
      <c r="G2449" s="8" t="s">
        <v>12324</v>
      </c>
      <c r="H2449" s="24" t="s">
        <v>6565</v>
      </c>
      <c r="I2449" s="25" t="s">
        <v>6475</v>
      </c>
      <c r="J2449" s="8" t="s">
        <v>6566</v>
      </c>
      <c r="K2449" s="8" t="s">
        <v>10054</v>
      </c>
      <c r="L2449" s="15">
        <v>0.25702399999999997</v>
      </c>
      <c r="M2449" s="15">
        <v>0.42413600000000001</v>
      </c>
      <c r="N2449" s="15">
        <v>0.7695894013077238</v>
      </c>
    </row>
    <row r="2450" spans="1:14" x14ac:dyDescent="0.2">
      <c r="A2450" s="2" t="s">
        <v>10068</v>
      </c>
      <c r="B2450" s="15">
        <v>1588</v>
      </c>
      <c r="C2450" s="15">
        <v>10</v>
      </c>
      <c r="D2450" s="15">
        <v>113117616</v>
      </c>
      <c r="E2450" s="15">
        <v>114255954</v>
      </c>
      <c r="F2450" s="15">
        <v>3044</v>
      </c>
      <c r="G2450" s="8" t="s">
        <v>12324</v>
      </c>
      <c r="H2450" s="24" t="s">
        <v>494</v>
      </c>
      <c r="I2450" s="25">
        <v>25920</v>
      </c>
      <c r="J2450" s="8" t="s">
        <v>496</v>
      </c>
      <c r="K2450" s="8" t="s">
        <v>10040</v>
      </c>
      <c r="L2450" s="15">
        <v>0.25336199999999998</v>
      </c>
      <c r="M2450" s="15">
        <v>0.42493599999999998</v>
      </c>
      <c r="N2450" s="15">
        <v>0.76984933006535949</v>
      </c>
    </row>
    <row r="2451" spans="1:14" x14ac:dyDescent="0.2">
      <c r="A2451" s="2" t="s">
        <v>10068</v>
      </c>
      <c r="B2451" s="15">
        <v>272</v>
      </c>
      <c r="C2451" s="15">
        <v>2</v>
      </c>
      <c r="D2451" s="15">
        <v>65938003</v>
      </c>
      <c r="E2451" s="15">
        <v>67224027</v>
      </c>
      <c r="F2451" s="15">
        <v>3312</v>
      </c>
      <c r="G2451" s="8" t="s">
        <v>12324</v>
      </c>
      <c r="H2451" s="24" t="s">
        <v>494</v>
      </c>
      <c r="I2451" s="25">
        <v>25920</v>
      </c>
      <c r="J2451" s="8" t="s">
        <v>496</v>
      </c>
      <c r="K2451" s="8" t="s">
        <v>10040</v>
      </c>
      <c r="L2451" s="15">
        <v>0.24299399999999999</v>
      </c>
      <c r="M2451" s="15">
        <v>0.42596200000000001</v>
      </c>
      <c r="N2451" s="15">
        <v>0.77012853300733497</v>
      </c>
    </row>
    <row r="2452" spans="1:14" x14ac:dyDescent="0.2">
      <c r="A2452" s="2" t="s">
        <v>10068</v>
      </c>
      <c r="B2452" s="15">
        <v>50</v>
      </c>
      <c r="C2452" s="15">
        <v>1</v>
      </c>
      <c r="D2452" s="15">
        <v>57529671</v>
      </c>
      <c r="E2452" s="15">
        <v>58387483</v>
      </c>
      <c r="F2452" s="15">
        <v>2295</v>
      </c>
      <c r="G2452" s="8" t="s">
        <v>12324</v>
      </c>
      <c r="H2452" s="24" t="s">
        <v>494</v>
      </c>
      <c r="I2452" s="25">
        <v>25920</v>
      </c>
      <c r="J2452" s="8" t="s">
        <v>496</v>
      </c>
      <c r="K2452" s="8" t="s">
        <v>10040</v>
      </c>
      <c r="L2452" s="15">
        <v>-0.18453700000000001</v>
      </c>
      <c r="M2452" s="15">
        <v>0.42602600000000002</v>
      </c>
      <c r="N2452" s="15">
        <v>0.77012853300733497</v>
      </c>
    </row>
    <row r="2453" spans="1:14" x14ac:dyDescent="0.2">
      <c r="A2453" s="2" t="s">
        <v>10068</v>
      </c>
      <c r="B2453" s="15">
        <v>1940</v>
      </c>
      <c r="C2453" s="15">
        <v>13</v>
      </c>
      <c r="D2453" s="15">
        <v>101573737</v>
      </c>
      <c r="E2453" s="15">
        <v>103050417</v>
      </c>
      <c r="F2453" s="15">
        <v>4113</v>
      </c>
      <c r="G2453" s="8" t="s">
        <v>12324</v>
      </c>
      <c r="H2453" s="24" t="s">
        <v>494</v>
      </c>
      <c r="I2453" s="25">
        <v>25920</v>
      </c>
      <c r="J2453" s="8" t="s">
        <v>496</v>
      </c>
      <c r="K2453" s="8" t="s">
        <v>10040</v>
      </c>
      <c r="L2453" s="15">
        <v>0.25348199999999999</v>
      </c>
      <c r="M2453" s="15">
        <v>0.42613200000000001</v>
      </c>
      <c r="N2453" s="15">
        <v>0.77012853300733497</v>
      </c>
    </row>
    <row r="2454" spans="1:14" x14ac:dyDescent="0.2">
      <c r="A2454" s="2" t="s">
        <v>10068</v>
      </c>
      <c r="B2454" s="15">
        <v>2456</v>
      </c>
      <c r="C2454" s="15">
        <v>21</v>
      </c>
      <c r="D2454" s="15">
        <v>42187153</v>
      </c>
      <c r="E2454" s="15">
        <v>43081434</v>
      </c>
      <c r="F2454" s="15">
        <v>2820</v>
      </c>
      <c r="G2454" s="8" t="s">
        <v>12324</v>
      </c>
      <c r="H2454" s="24" t="s">
        <v>599</v>
      </c>
      <c r="I2454" s="25">
        <v>26562</v>
      </c>
      <c r="J2454" s="8" t="s">
        <v>601</v>
      </c>
      <c r="K2454" s="8" t="s">
        <v>10040</v>
      </c>
      <c r="L2454" s="15">
        <v>0.18495700000000001</v>
      </c>
      <c r="M2454" s="15">
        <v>0.42541699999999999</v>
      </c>
      <c r="N2454" s="15">
        <v>0.77012853300733497</v>
      </c>
    </row>
    <row r="2455" spans="1:14" x14ac:dyDescent="0.2">
      <c r="A2455" s="2" t="s">
        <v>10068</v>
      </c>
      <c r="B2455" s="15">
        <v>1724</v>
      </c>
      <c r="C2455" s="15">
        <v>11</v>
      </c>
      <c r="D2455" s="15">
        <v>118901214</v>
      </c>
      <c r="E2455" s="15">
        <v>120064528</v>
      </c>
      <c r="F2455" s="15">
        <v>2724</v>
      </c>
      <c r="G2455" s="8" t="s">
        <v>12324</v>
      </c>
      <c r="H2455" s="24" t="s">
        <v>599</v>
      </c>
      <c r="I2455" s="25">
        <v>26562</v>
      </c>
      <c r="J2455" s="8" t="s">
        <v>601</v>
      </c>
      <c r="K2455" s="8" t="s">
        <v>10040</v>
      </c>
      <c r="L2455" s="15">
        <v>0.18557000000000001</v>
      </c>
      <c r="M2455" s="15">
        <v>0.42561599999999999</v>
      </c>
      <c r="N2455" s="15">
        <v>0.77012853300733497</v>
      </c>
    </row>
    <row r="2456" spans="1:14" x14ac:dyDescent="0.2">
      <c r="A2456" s="2" t="s">
        <v>10068</v>
      </c>
      <c r="B2456" s="15">
        <v>1235</v>
      </c>
      <c r="C2456" s="15">
        <v>8</v>
      </c>
      <c r="D2456" s="15">
        <v>1628040</v>
      </c>
      <c r="E2456" s="15">
        <v>2070902</v>
      </c>
      <c r="F2456" s="15">
        <v>1984</v>
      </c>
      <c r="G2456" s="8" t="s">
        <v>12324</v>
      </c>
      <c r="H2456" s="24" t="s">
        <v>1259</v>
      </c>
      <c r="I2456" s="25">
        <v>27096</v>
      </c>
      <c r="J2456" s="8" t="s">
        <v>1261</v>
      </c>
      <c r="K2456" s="8" t="s">
        <v>10040</v>
      </c>
      <c r="L2456" s="15">
        <v>-0.262488</v>
      </c>
      <c r="M2456" s="15">
        <v>0.42582100000000001</v>
      </c>
      <c r="N2456" s="15">
        <v>0.77012853300733497</v>
      </c>
    </row>
    <row r="2457" spans="1:14" x14ac:dyDescent="0.2">
      <c r="A2457" s="2" t="s">
        <v>10066</v>
      </c>
      <c r="B2457" s="15">
        <v>2299</v>
      </c>
      <c r="C2457" s="15">
        <v>18</v>
      </c>
      <c r="D2457" s="15">
        <v>71491861</v>
      </c>
      <c r="E2457" s="15">
        <v>72785206</v>
      </c>
      <c r="F2457" s="15">
        <v>3356</v>
      </c>
      <c r="G2457" s="8" t="s">
        <v>12324</v>
      </c>
      <c r="H2457" s="24" t="s">
        <v>6008</v>
      </c>
      <c r="I2457" s="25" t="s">
        <v>6009</v>
      </c>
      <c r="J2457" s="8" t="s">
        <v>6010</v>
      </c>
      <c r="K2457" s="8" t="s">
        <v>10051</v>
      </c>
      <c r="L2457" s="15">
        <v>-0.12778999999999999</v>
      </c>
      <c r="M2457" s="15">
        <v>0.426452</v>
      </c>
      <c r="N2457" s="15">
        <v>0.77014966815960917</v>
      </c>
    </row>
    <row r="2458" spans="1:14" x14ac:dyDescent="0.2">
      <c r="A2458" s="2" t="s">
        <v>10066</v>
      </c>
      <c r="B2458" s="15">
        <v>1681</v>
      </c>
      <c r="C2458" s="15">
        <v>11</v>
      </c>
      <c r="D2458" s="15">
        <v>74399332</v>
      </c>
      <c r="E2458" s="15">
        <v>75445253</v>
      </c>
      <c r="F2458" s="15">
        <v>2125</v>
      </c>
      <c r="G2458" s="8" t="s">
        <v>12324</v>
      </c>
      <c r="H2458" s="24" t="s">
        <v>6008</v>
      </c>
      <c r="I2458" s="25" t="s">
        <v>6009</v>
      </c>
      <c r="J2458" s="8" t="s">
        <v>6010</v>
      </c>
      <c r="K2458" s="8" t="s">
        <v>10051</v>
      </c>
      <c r="L2458" s="15">
        <v>-0.240588</v>
      </c>
      <c r="M2458" s="15">
        <v>0.42649100000000001</v>
      </c>
      <c r="N2458" s="15">
        <v>0.77014966815960917</v>
      </c>
    </row>
    <row r="2459" spans="1:14" x14ac:dyDescent="0.2">
      <c r="A2459" s="2" t="s">
        <v>10068</v>
      </c>
      <c r="B2459" s="15">
        <v>101</v>
      </c>
      <c r="C2459" s="15">
        <v>1</v>
      </c>
      <c r="D2459" s="15">
        <v>114664388</v>
      </c>
      <c r="E2459" s="15">
        <v>116207297</v>
      </c>
      <c r="F2459" s="15">
        <v>4070</v>
      </c>
      <c r="G2459" s="8" t="s">
        <v>12324</v>
      </c>
      <c r="H2459" s="24" t="s">
        <v>599</v>
      </c>
      <c r="I2459" s="25">
        <v>26562</v>
      </c>
      <c r="J2459" s="8" t="s">
        <v>601</v>
      </c>
      <c r="K2459" s="8" t="s">
        <v>10040</v>
      </c>
      <c r="L2459" s="15">
        <v>0.16736999999999999</v>
      </c>
      <c r="M2459" s="15">
        <v>0.42708400000000002</v>
      </c>
      <c r="N2459" s="15">
        <v>0.77027960146400976</v>
      </c>
    </row>
    <row r="2460" spans="1:14" x14ac:dyDescent="0.2">
      <c r="A2460" s="2" t="s">
        <v>10068</v>
      </c>
      <c r="B2460" s="15">
        <v>1234</v>
      </c>
      <c r="C2460" s="15">
        <v>8</v>
      </c>
      <c r="D2460" s="15">
        <v>1161825</v>
      </c>
      <c r="E2460" s="15">
        <v>1628039</v>
      </c>
      <c r="F2460" s="15">
        <v>2219</v>
      </c>
      <c r="G2460" s="8" t="s">
        <v>12324</v>
      </c>
      <c r="H2460" s="24" t="s">
        <v>1259</v>
      </c>
      <c r="I2460" s="25">
        <v>27096</v>
      </c>
      <c r="J2460" s="8" t="s">
        <v>1261</v>
      </c>
      <c r="K2460" s="8" t="s">
        <v>10040</v>
      </c>
      <c r="L2460" s="15">
        <v>-0.199964</v>
      </c>
      <c r="M2460" s="15">
        <v>0.42674699999999999</v>
      </c>
      <c r="N2460" s="15">
        <v>0.77027960146400976</v>
      </c>
    </row>
    <row r="2461" spans="1:14" x14ac:dyDescent="0.2">
      <c r="A2461" s="2" t="s">
        <v>10068</v>
      </c>
      <c r="B2461" s="15">
        <v>285</v>
      </c>
      <c r="C2461" s="15">
        <v>2</v>
      </c>
      <c r="D2461" s="15">
        <v>79019677</v>
      </c>
      <c r="E2461" s="15">
        <v>79900055</v>
      </c>
      <c r="F2461" s="15">
        <v>2715</v>
      </c>
      <c r="G2461" s="8" t="s">
        <v>12324</v>
      </c>
      <c r="H2461" s="24" t="s">
        <v>6565</v>
      </c>
      <c r="I2461" s="25" t="s">
        <v>6475</v>
      </c>
      <c r="J2461" s="8" t="s">
        <v>6566</v>
      </c>
      <c r="K2461" s="8" t="s">
        <v>10054</v>
      </c>
      <c r="L2461" s="15">
        <v>-0.27380100000000002</v>
      </c>
      <c r="M2461" s="15">
        <v>0.42694500000000002</v>
      </c>
      <c r="N2461" s="15">
        <v>0.77027960146400976</v>
      </c>
    </row>
    <row r="2462" spans="1:14" x14ac:dyDescent="0.2">
      <c r="A2462" s="2" t="s">
        <v>10066</v>
      </c>
      <c r="B2462" s="15">
        <v>1958</v>
      </c>
      <c r="C2462" s="15">
        <v>14</v>
      </c>
      <c r="D2462" s="15">
        <v>23985937</v>
      </c>
      <c r="E2462" s="15">
        <v>24906056</v>
      </c>
      <c r="F2462" s="15">
        <v>2219</v>
      </c>
      <c r="G2462" s="8" t="s">
        <v>12324</v>
      </c>
      <c r="H2462" s="24" t="s">
        <v>3164</v>
      </c>
      <c r="I2462" s="25" t="s">
        <v>3165</v>
      </c>
      <c r="J2462" s="8" t="s">
        <v>3166</v>
      </c>
      <c r="K2462" s="8" t="s">
        <v>10042</v>
      </c>
      <c r="L2462" s="15">
        <v>0.1353</v>
      </c>
      <c r="M2462" s="15">
        <v>0.42734299999999997</v>
      </c>
      <c r="N2462" s="15">
        <v>0.77043341666666654</v>
      </c>
    </row>
    <row r="2463" spans="1:14" x14ac:dyDescent="0.2">
      <c r="A2463" s="2" t="s">
        <v>10069</v>
      </c>
      <c r="B2463" s="15">
        <v>881</v>
      </c>
      <c r="C2463" s="15">
        <v>5</v>
      </c>
      <c r="D2463" s="15">
        <v>124109486</v>
      </c>
      <c r="E2463" s="15">
        <v>125131720</v>
      </c>
      <c r="F2463" s="15">
        <v>1958</v>
      </c>
      <c r="G2463" s="8" t="s">
        <v>12324</v>
      </c>
      <c r="H2463" s="24" t="s">
        <v>662</v>
      </c>
      <c r="I2463" s="25" t="s">
        <v>663</v>
      </c>
      <c r="J2463" s="8" t="s">
        <v>664</v>
      </c>
      <c r="K2463" s="8" t="s">
        <v>10040</v>
      </c>
      <c r="L2463" s="15">
        <v>0.27757599999999999</v>
      </c>
      <c r="M2463" s="15">
        <v>0.427761</v>
      </c>
      <c r="N2463" s="15">
        <v>0.77062718521527207</v>
      </c>
    </row>
    <row r="2464" spans="1:14" x14ac:dyDescent="0.2">
      <c r="A2464" s="2" t="s">
        <v>10068</v>
      </c>
      <c r="B2464" s="15">
        <v>2361</v>
      </c>
      <c r="C2464" s="15">
        <v>19</v>
      </c>
      <c r="D2464" s="15">
        <v>53431218</v>
      </c>
      <c r="E2464" s="15">
        <v>54042240</v>
      </c>
      <c r="F2464" s="15">
        <v>2842</v>
      </c>
      <c r="G2464" s="8" t="s">
        <v>12324</v>
      </c>
      <c r="H2464" s="24" t="s">
        <v>1259</v>
      </c>
      <c r="I2464" s="25">
        <v>27096</v>
      </c>
      <c r="J2464" s="8" t="s">
        <v>1261</v>
      </c>
      <c r="K2464" s="8" t="s">
        <v>10040</v>
      </c>
      <c r="L2464" s="15">
        <v>0.13369900000000001</v>
      </c>
      <c r="M2464" s="15">
        <v>0.42779800000000001</v>
      </c>
      <c r="N2464" s="15">
        <v>0.77062718521527207</v>
      </c>
    </row>
    <row r="2465" spans="1:14" x14ac:dyDescent="0.2">
      <c r="A2465" s="2" t="s">
        <v>10066</v>
      </c>
      <c r="B2465" s="15">
        <v>886</v>
      </c>
      <c r="C2465" s="15">
        <v>5</v>
      </c>
      <c r="D2465" s="15">
        <v>128734906</v>
      </c>
      <c r="E2465" s="15">
        <v>130573817</v>
      </c>
      <c r="F2465" s="15">
        <v>3471</v>
      </c>
      <c r="G2465" s="8" t="s">
        <v>12324</v>
      </c>
      <c r="H2465" s="24" t="s">
        <v>3164</v>
      </c>
      <c r="I2465" s="25" t="s">
        <v>3165</v>
      </c>
      <c r="J2465" s="8" t="s">
        <v>3166</v>
      </c>
      <c r="K2465" s="8" t="s">
        <v>10042</v>
      </c>
      <c r="L2465" s="15">
        <v>-0.28956399999999999</v>
      </c>
      <c r="M2465" s="15">
        <v>0.42799300000000001</v>
      </c>
      <c r="N2465" s="15">
        <v>0.77066543036946822</v>
      </c>
    </row>
    <row r="2466" spans="1:14" x14ac:dyDescent="0.2">
      <c r="A2466" s="2" t="s">
        <v>10068</v>
      </c>
      <c r="B2466" s="15">
        <v>1474</v>
      </c>
      <c r="C2466" s="15">
        <v>9</v>
      </c>
      <c r="D2466" s="15">
        <v>130902728</v>
      </c>
      <c r="E2466" s="15">
        <v>132193798</v>
      </c>
      <c r="F2466" s="15">
        <v>2367</v>
      </c>
      <c r="G2466" s="8" t="s">
        <v>12324</v>
      </c>
      <c r="H2466" s="24" t="s">
        <v>1259</v>
      </c>
      <c r="I2466" s="25">
        <v>27096</v>
      </c>
      <c r="J2466" s="8" t="s">
        <v>1261</v>
      </c>
      <c r="K2466" s="8" t="s">
        <v>10040</v>
      </c>
      <c r="L2466" s="15">
        <v>-0.211341</v>
      </c>
      <c r="M2466" s="15">
        <v>0.42849100000000001</v>
      </c>
      <c r="N2466" s="15">
        <v>0.77124901988636363</v>
      </c>
    </row>
    <row r="2467" spans="1:14" x14ac:dyDescent="0.2">
      <c r="A2467" s="2" t="s">
        <v>10069</v>
      </c>
      <c r="B2467" s="15">
        <v>918</v>
      </c>
      <c r="C2467" s="15">
        <v>5</v>
      </c>
      <c r="D2467" s="15">
        <v>170898341</v>
      </c>
      <c r="E2467" s="15">
        <v>172285682</v>
      </c>
      <c r="F2467" s="15">
        <v>2514</v>
      </c>
      <c r="G2467" s="8" t="s">
        <v>12324</v>
      </c>
      <c r="H2467" s="24" t="s">
        <v>662</v>
      </c>
      <c r="I2467" s="25" t="s">
        <v>663</v>
      </c>
      <c r="J2467" s="8" t="s">
        <v>664</v>
      </c>
      <c r="K2467" s="8" t="s">
        <v>10040</v>
      </c>
      <c r="L2467" s="15">
        <v>-0.19069</v>
      </c>
      <c r="M2467" s="15">
        <v>0.429786</v>
      </c>
      <c r="N2467" s="15">
        <v>0.77223786350749291</v>
      </c>
    </row>
    <row r="2468" spans="1:14" x14ac:dyDescent="0.2">
      <c r="A2468" s="2" t="s">
        <v>10066</v>
      </c>
      <c r="B2468" s="15">
        <v>1196</v>
      </c>
      <c r="C2468" s="15">
        <v>7</v>
      </c>
      <c r="D2468" s="15">
        <v>111795300</v>
      </c>
      <c r="E2468" s="15">
        <v>113339386</v>
      </c>
      <c r="F2468" s="15">
        <v>3475</v>
      </c>
      <c r="G2468" s="8" t="s">
        <v>12324</v>
      </c>
      <c r="H2468" s="24" t="s">
        <v>6008</v>
      </c>
      <c r="I2468" s="25" t="s">
        <v>6009</v>
      </c>
      <c r="J2468" s="8" t="s">
        <v>6010</v>
      </c>
      <c r="K2468" s="8" t="s">
        <v>10051</v>
      </c>
      <c r="L2468" s="15">
        <v>0.31466100000000002</v>
      </c>
      <c r="M2468" s="15">
        <v>0.42991099999999999</v>
      </c>
      <c r="N2468" s="15">
        <v>0.77223786350749291</v>
      </c>
    </row>
    <row r="2469" spans="1:14" x14ac:dyDescent="0.2">
      <c r="A2469" s="2" t="s">
        <v>10068</v>
      </c>
      <c r="B2469" s="15">
        <v>1022</v>
      </c>
      <c r="C2469" s="15">
        <v>6</v>
      </c>
      <c r="D2469" s="15">
        <v>89974268</v>
      </c>
      <c r="E2469" s="15">
        <v>91097024</v>
      </c>
      <c r="F2469" s="15">
        <v>2303</v>
      </c>
      <c r="G2469" s="8" t="s">
        <v>12324</v>
      </c>
      <c r="H2469" s="24" t="s">
        <v>6565</v>
      </c>
      <c r="I2469" s="25" t="s">
        <v>6475</v>
      </c>
      <c r="J2469" s="8" t="s">
        <v>6566</v>
      </c>
      <c r="K2469" s="8" t="s">
        <v>10054</v>
      </c>
      <c r="L2469" s="15">
        <v>-0.20797099999999999</v>
      </c>
      <c r="M2469" s="15">
        <v>0.42927599999999999</v>
      </c>
      <c r="N2469" s="15">
        <v>0.77223786350749291</v>
      </c>
    </row>
    <row r="2470" spans="1:14" x14ac:dyDescent="0.2">
      <c r="A2470" s="2" t="s">
        <v>10068</v>
      </c>
      <c r="B2470" s="15">
        <v>412</v>
      </c>
      <c r="C2470" s="15">
        <v>2</v>
      </c>
      <c r="D2470" s="15">
        <v>235625790</v>
      </c>
      <c r="E2470" s="15">
        <v>236276287</v>
      </c>
      <c r="F2470" s="15">
        <v>2341</v>
      </c>
      <c r="G2470" s="8" t="s">
        <v>12324</v>
      </c>
      <c r="H2470" s="24" t="s">
        <v>6565</v>
      </c>
      <c r="I2470" s="25" t="s">
        <v>6475</v>
      </c>
      <c r="J2470" s="8" t="s">
        <v>6566</v>
      </c>
      <c r="K2470" s="8" t="s">
        <v>10054</v>
      </c>
      <c r="L2470" s="15">
        <v>0.137298</v>
      </c>
      <c r="M2470" s="15">
        <v>0.42961700000000003</v>
      </c>
      <c r="N2470" s="15">
        <v>0.77223786350749291</v>
      </c>
    </row>
    <row r="2471" spans="1:14" x14ac:dyDescent="0.2">
      <c r="A2471" s="2" t="s">
        <v>10068</v>
      </c>
      <c r="B2471" s="15">
        <v>2385</v>
      </c>
      <c r="C2471" s="15">
        <v>20</v>
      </c>
      <c r="D2471" s="15">
        <v>15238520</v>
      </c>
      <c r="E2471" s="15">
        <v>15962576</v>
      </c>
      <c r="F2471" s="15">
        <v>2161</v>
      </c>
      <c r="G2471" s="8" t="s">
        <v>12324</v>
      </c>
      <c r="H2471" s="24" t="s">
        <v>6565</v>
      </c>
      <c r="I2471" s="25" t="s">
        <v>6475</v>
      </c>
      <c r="J2471" s="8" t="s">
        <v>6566</v>
      </c>
      <c r="K2471" s="8" t="s">
        <v>10054</v>
      </c>
      <c r="L2471" s="15">
        <v>0.13592000000000001</v>
      </c>
      <c r="M2471" s="15">
        <v>0.42966900000000002</v>
      </c>
      <c r="N2471" s="15">
        <v>0.77223786350749291</v>
      </c>
    </row>
    <row r="2472" spans="1:14" x14ac:dyDescent="0.2">
      <c r="A2472" s="2" t="s">
        <v>10068</v>
      </c>
      <c r="B2472" s="15">
        <v>1172</v>
      </c>
      <c r="C2472" s="15">
        <v>7</v>
      </c>
      <c r="D2472" s="15">
        <v>81533567</v>
      </c>
      <c r="E2472" s="15">
        <v>82759283</v>
      </c>
      <c r="F2472" s="15">
        <v>3241</v>
      </c>
      <c r="G2472" s="8" t="s">
        <v>12324</v>
      </c>
      <c r="H2472" s="24" t="s">
        <v>494</v>
      </c>
      <c r="I2472" s="25">
        <v>25920</v>
      </c>
      <c r="J2472" s="8" t="s">
        <v>496</v>
      </c>
      <c r="K2472" s="8" t="s">
        <v>10040</v>
      </c>
      <c r="L2472" s="15">
        <v>0.153059</v>
      </c>
      <c r="M2472" s="15">
        <v>0.43054999999999999</v>
      </c>
      <c r="N2472" s="15">
        <v>0.77302480582524269</v>
      </c>
    </row>
    <row r="2473" spans="1:14" x14ac:dyDescent="0.2">
      <c r="A2473" s="2" t="s">
        <v>10069</v>
      </c>
      <c r="B2473" s="15">
        <v>1486</v>
      </c>
      <c r="C2473" s="15">
        <v>10</v>
      </c>
      <c r="D2473" s="15">
        <v>1329233</v>
      </c>
      <c r="E2473" s="15">
        <v>1872960</v>
      </c>
      <c r="F2473" s="15">
        <v>1349</v>
      </c>
      <c r="G2473" s="8" t="s">
        <v>12324</v>
      </c>
      <c r="H2473" s="24" t="s">
        <v>662</v>
      </c>
      <c r="I2473" s="25" t="s">
        <v>663</v>
      </c>
      <c r="J2473" s="8" t="s">
        <v>664</v>
      </c>
      <c r="K2473" s="8" t="s">
        <v>10040</v>
      </c>
      <c r="L2473" s="15">
        <v>0.29863000000000001</v>
      </c>
      <c r="M2473" s="15">
        <v>0.43087199999999998</v>
      </c>
      <c r="N2473" s="15">
        <v>0.77302480582524269</v>
      </c>
    </row>
    <row r="2474" spans="1:14" x14ac:dyDescent="0.2">
      <c r="A2474" s="2" t="s">
        <v>10066</v>
      </c>
      <c r="B2474" s="15">
        <v>1942</v>
      </c>
      <c r="C2474" s="15">
        <v>13</v>
      </c>
      <c r="D2474" s="15">
        <v>104378436</v>
      </c>
      <c r="E2474" s="15">
        <v>105672500</v>
      </c>
      <c r="F2474" s="15">
        <v>3730</v>
      </c>
      <c r="G2474" s="8" t="s">
        <v>12324</v>
      </c>
      <c r="H2474" s="24" t="s">
        <v>3164</v>
      </c>
      <c r="I2474" s="25" t="s">
        <v>3165</v>
      </c>
      <c r="J2474" s="8" t="s">
        <v>3166</v>
      </c>
      <c r="K2474" s="8" t="s">
        <v>10042</v>
      </c>
      <c r="L2474" s="15">
        <v>0.14929600000000001</v>
      </c>
      <c r="M2474" s="15">
        <v>0.430844</v>
      </c>
      <c r="N2474" s="15">
        <v>0.77302480582524269</v>
      </c>
    </row>
    <row r="2475" spans="1:14" x14ac:dyDescent="0.2">
      <c r="A2475" s="2" t="s">
        <v>10068</v>
      </c>
      <c r="B2475" s="15">
        <v>444</v>
      </c>
      <c r="C2475" s="15">
        <v>3</v>
      </c>
      <c r="D2475" s="15">
        <v>23426045</v>
      </c>
      <c r="E2475" s="15">
        <v>24270189</v>
      </c>
      <c r="F2475" s="15">
        <v>2193</v>
      </c>
      <c r="G2475" s="8" t="s">
        <v>12324</v>
      </c>
      <c r="H2475" s="24" t="s">
        <v>494</v>
      </c>
      <c r="I2475" s="25">
        <v>25920</v>
      </c>
      <c r="J2475" s="8" t="s">
        <v>496</v>
      </c>
      <c r="K2475" s="8" t="s">
        <v>10040</v>
      </c>
      <c r="L2475" s="15">
        <v>0.21992500000000001</v>
      </c>
      <c r="M2475" s="15">
        <v>0.43173699999999998</v>
      </c>
      <c r="N2475" s="15">
        <v>0.7742634836231298</v>
      </c>
    </row>
    <row r="2476" spans="1:14" x14ac:dyDescent="0.2">
      <c r="A2476" s="2" t="s">
        <v>10068</v>
      </c>
      <c r="B2476" s="15">
        <v>762</v>
      </c>
      <c r="C2476" s="15">
        <v>4</v>
      </c>
      <c r="D2476" s="15">
        <v>179932392</v>
      </c>
      <c r="E2476" s="15">
        <v>180540877</v>
      </c>
      <c r="F2476" s="15">
        <v>2401</v>
      </c>
      <c r="G2476" s="8" t="s">
        <v>12324</v>
      </c>
      <c r="H2476" s="24" t="s">
        <v>1259</v>
      </c>
      <c r="I2476" s="25">
        <v>27096</v>
      </c>
      <c r="J2476" s="8" t="s">
        <v>1261</v>
      </c>
      <c r="K2476" s="8" t="s">
        <v>10040</v>
      </c>
      <c r="L2476" s="15">
        <v>-0.121406</v>
      </c>
      <c r="M2476" s="15">
        <v>0.43334800000000001</v>
      </c>
      <c r="N2476" s="15">
        <v>0.77665899191919197</v>
      </c>
    </row>
    <row r="2477" spans="1:14" x14ac:dyDescent="0.2">
      <c r="A2477" s="2" t="s">
        <v>10066</v>
      </c>
      <c r="B2477" s="15">
        <v>2437</v>
      </c>
      <c r="C2477" s="15">
        <v>21</v>
      </c>
      <c r="D2477" s="15">
        <v>21632917</v>
      </c>
      <c r="E2477" s="15">
        <v>22201890</v>
      </c>
      <c r="F2477" s="15">
        <v>2228</v>
      </c>
      <c r="G2477" s="8" t="s">
        <v>12324</v>
      </c>
      <c r="H2477" s="24" t="s">
        <v>3164</v>
      </c>
      <c r="I2477" s="25" t="s">
        <v>3165</v>
      </c>
      <c r="J2477" s="8" t="s">
        <v>3166</v>
      </c>
      <c r="K2477" s="8" t="s">
        <v>10042</v>
      </c>
      <c r="L2477" s="15">
        <v>-0.215811</v>
      </c>
      <c r="M2477" s="15">
        <v>0.433423</v>
      </c>
      <c r="N2477" s="15">
        <v>0.77665899191919197</v>
      </c>
    </row>
    <row r="2478" spans="1:14" x14ac:dyDescent="0.2">
      <c r="A2478" s="2" t="s">
        <v>10068</v>
      </c>
      <c r="B2478" s="15">
        <v>2132</v>
      </c>
      <c r="C2478" s="15">
        <v>16</v>
      </c>
      <c r="D2478" s="15">
        <v>49010762</v>
      </c>
      <c r="E2478" s="15">
        <v>50467033</v>
      </c>
      <c r="F2478" s="15">
        <v>3380</v>
      </c>
      <c r="G2478" s="8" t="s">
        <v>12324</v>
      </c>
      <c r="H2478" s="24" t="s">
        <v>599</v>
      </c>
      <c r="I2478" s="25">
        <v>26562</v>
      </c>
      <c r="J2478" s="8" t="s">
        <v>601</v>
      </c>
      <c r="K2478" s="8" t="s">
        <v>10040</v>
      </c>
      <c r="L2478" s="15">
        <v>0.250527</v>
      </c>
      <c r="M2478" s="15">
        <v>0.43444500000000003</v>
      </c>
      <c r="N2478" s="15">
        <v>0.77772503631961254</v>
      </c>
    </row>
    <row r="2479" spans="1:14" x14ac:dyDescent="0.2">
      <c r="A2479" s="2" t="s">
        <v>10068</v>
      </c>
      <c r="B2479" s="15">
        <v>2049</v>
      </c>
      <c r="C2479" s="15">
        <v>15</v>
      </c>
      <c r="D2479" s="15">
        <v>39238841</v>
      </c>
      <c r="E2479" s="15">
        <v>40604780</v>
      </c>
      <c r="F2479" s="15">
        <v>3295</v>
      </c>
      <c r="G2479" s="8" t="s">
        <v>12324</v>
      </c>
      <c r="H2479" s="24" t="s">
        <v>6565</v>
      </c>
      <c r="I2479" s="25" t="s">
        <v>6475</v>
      </c>
      <c r="J2479" s="8" t="s">
        <v>6566</v>
      </c>
      <c r="K2479" s="8" t="s">
        <v>10054</v>
      </c>
      <c r="L2479" s="15">
        <v>-0.16773099999999999</v>
      </c>
      <c r="M2479" s="15">
        <v>0.43453000000000003</v>
      </c>
      <c r="N2479" s="15">
        <v>0.77772503631961254</v>
      </c>
    </row>
    <row r="2480" spans="1:14" x14ac:dyDescent="0.2">
      <c r="A2480" s="2" t="s">
        <v>10068</v>
      </c>
      <c r="B2480" s="15">
        <v>1845</v>
      </c>
      <c r="C2480" s="15">
        <v>12</v>
      </c>
      <c r="D2480" s="15">
        <v>116197676</v>
      </c>
      <c r="E2480" s="15">
        <v>117091843</v>
      </c>
      <c r="F2480" s="15">
        <v>2352</v>
      </c>
      <c r="G2480" s="8" t="s">
        <v>12324</v>
      </c>
      <c r="H2480" s="24" t="s">
        <v>6565</v>
      </c>
      <c r="I2480" s="25" t="s">
        <v>6475</v>
      </c>
      <c r="J2480" s="8" t="s">
        <v>6566</v>
      </c>
      <c r="K2480" s="8" t="s">
        <v>10054</v>
      </c>
      <c r="L2480" s="15">
        <v>0.140954</v>
      </c>
      <c r="M2480" s="15">
        <v>0.43454399999999999</v>
      </c>
      <c r="N2480" s="15">
        <v>0.77772503631961254</v>
      </c>
    </row>
    <row r="2481" spans="1:14" x14ac:dyDescent="0.2">
      <c r="A2481" s="2" t="s">
        <v>10068</v>
      </c>
      <c r="B2481" s="15">
        <v>1414</v>
      </c>
      <c r="C2481" s="15">
        <v>9</v>
      </c>
      <c r="D2481" s="15">
        <v>37687113</v>
      </c>
      <c r="E2481" s="15">
        <v>38822977</v>
      </c>
      <c r="F2481" s="15">
        <v>2973</v>
      </c>
      <c r="G2481" s="8" t="s">
        <v>12324</v>
      </c>
      <c r="H2481" s="24" t="s">
        <v>494</v>
      </c>
      <c r="I2481" s="25">
        <v>25920</v>
      </c>
      <c r="J2481" s="8" t="s">
        <v>496</v>
      </c>
      <c r="K2481" s="8" t="s">
        <v>10040</v>
      </c>
      <c r="L2481" s="15">
        <v>-0.13675999999999999</v>
      </c>
      <c r="M2481" s="15">
        <v>0.43531300000000001</v>
      </c>
      <c r="N2481" s="15">
        <v>0.77794457848253706</v>
      </c>
    </row>
    <row r="2482" spans="1:14" x14ac:dyDescent="0.2">
      <c r="A2482" s="2" t="s">
        <v>10068</v>
      </c>
      <c r="B2482" s="15">
        <v>210</v>
      </c>
      <c r="C2482" s="15">
        <v>2</v>
      </c>
      <c r="D2482" s="15">
        <v>6306607</v>
      </c>
      <c r="E2482" s="15">
        <v>7108208</v>
      </c>
      <c r="F2482" s="15">
        <v>2265</v>
      </c>
      <c r="G2482" s="8" t="s">
        <v>12324</v>
      </c>
      <c r="H2482" s="24" t="s">
        <v>494</v>
      </c>
      <c r="I2482" s="25">
        <v>25920</v>
      </c>
      <c r="J2482" s="8" t="s">
        <v>496</v>
      </c>
      <c r="K2482" s="8" t="s">
        <v>10040</v>
      </c>
      <c r="L2482" s="15">
        <v>-0.27184000000000003</v>
      </c>
      <c r="M2482" s="15">
        <v>0.43674099999999999</v>
      </c>
      <c r="N2482" s="15">
        <v>0.77794457848253706</v>
      </c>
    </row>
    <row r="2483" spans="1:14" x14ac:dyDescent="0.2">
      <c r="A2483" s="2" t="s">
        <v>10068</v>
      </c>
      <c r="B2483" s="15">
        <v>396</v>
      </c>
      <c r="C2483" s="15">
        <v>2</v>
      </c>
      <c r="D2483" s="15">
        <v>219678784</v>
      </c>
      <c r="E2483" s="15">
        <v>220771552</v>
      </c>
      <c r="F2483" s="15">
        <v>2231</v>
      </c>
      <c r="G2483" s="8" t="s">
        <v>12324</v>
      </c>
      <c r="H2483" s="24" t="s">
        <v>599</v>
      </c>
      <c r="I2483" s="25">
        <v>26562</v>
      </c>
      <c r="J2483" s="8" t="s">
        <v>601</v>
      </c>
      <c r="K2483" s="8" t="s">
        <v>10040</v>
      </c>
      <c r="L2483" s="15">
        <v>0.12736700000000001</v>
      </c>
      <c r="M2483" s="15">
        <v>0.43595499999999998</v>
      </c>
      <c r="N2483" s="15">
        <v>0.77794457848253706</v>
      </c>
    </row>
    <row r="2484" spans="1:14" x14ac:dyDescent="0.2">
      <c r="A2484" s="2" t="s">
        <v>10068</v>
      </c>
      <c r="B2484" s="15">
        <v>1612</v>
      </c>
      <c r="C2484" s="15">
        <v>11</v>
      </c>
      <c r="D2484" s="15">
        <v>1857846</v>
      </c>
      <c r="E2484" s="15">
        <v>2477449</v>
      </c>
      <c r="F2484" s="15">
        <v>2201</v>
      </c>
      <c r="G2484" s="8" t="s">
        <v>12324</v>
      </c>
      <c r="H2484" s="24" t="s">
        <v>1259</v>
      </c>
      <c r="I2484" s="25">
        <v>27096</v>
      </c>
      <c r="J2484" s="8" t="s">
        <v>1261</v>
      </c>
      <c r="K2484" s="8" t="s">
        <v>10040</v>
      </c>
      <c r="L2484" s="15">
        <v>-0.126781</v>
      </c>
      <c r="M2484" s="15">
        <v>0.435085</v>
      </c>
      <c r="N2484" s="15">
        <v>0.77794457848253706</v>
      </c>
    </row>
    <row r="2485" spans="1:14" x14ac:dyDescent="0.2">
      <c r="A2485" s="2" t="s">
        <v>10068</v>
      </c>
      <c r="B2485" s="15">
        <v>1576</v>
      </c>
      <c r="C2485" s="15">
        <v>10</v>
      </c>
      <c r="D2485" s="15">
        <v>98005995</v>
      </c>
      <c r="E2485" s="15">
        <v>99367800</v>
      </c>
      <c r="F2485" s="15">
        <v>3054</v>
      </c>
      <c r="G2485" s="8" t="s">
        <v>12324</v>
      </c>
      <c r="H2485" s="24" t="s">
        <v>1259</v>
      </c>
      <c r="I2485" s="25">
        <v>27096</v>
      </c>
      <c r="J2485" s="8" t="s">
        <v>1261</v>
      </c>
      <c r="K2485" s="8" t="s">
        <v>10040</v>
      </c>
      <c r="L2485" s="15">
        <v>0.16219800000000001</v>
      </c>
      <c r="M2485" s="15">
        <v>0.43612400000000001</v>
      </c>
      <c r="N2485" s="15">
        <v>0.77794457848253706</v>
      </c>
    </row>
    <row r="2486" spans="1:14" x14ac:dyDescent="0.2">
      <c r="A2486" s="2" t="s">
        <v>10068</v>
      </c>
      <c r="B2486" s="15">
        <v>1430</v>
      </c>
      <c r="C2486" s="15">
        <v>9</v>
      </c>
      <c r="D2486" s="15">
        <v>85135752</v>
      </c>
      <c r="E2486" s="15">
        <v>86769886</v>
      </c>
      <c r="F2486" s="15">
        <v>4031</v>
      </c>
      <c r="G2486" s="8" t="s">
        <v>12324</v>
      </c>
      <c r="H2486" s="24" t="s">
        <v>1259</v>
      </c>
      <c r="I2486" s="25">
        <v>27096</v>
      </c>
      <c r="J2486" s="8" t="s">
        <v>1261</v>
      </c>
      <c r="K2486" s="8" t="s">
        <v>10040</v>
      </c>
      <c r="L2486" s="15">
        <v>-0.248672</v>
      </c>
      <c r="M2486" s="15">
        <v>0.43673899999999999</v>
      </c>
      <c r="N2486" s="15">
        <v>0.77794457848253706</v>
      </c>
    </row>
    <row r="2487" spans="1:14" x14ac:dyDescent="0.2">
      <c r="A2487" s="2" t="s">
        <v>10068</v>
      </c>
      <c r="B2487" s="15">
        <v>1276</v>
      </c>
      <c r="C2487" s="15">
        <v>8</v>
      </c>
      <c r="D2487" s="15">
        <v>31134787</v>
      </c>
      <c r="E2487" s="15">
        <v>32454962</v>
      </c>
      <c r="F2487" s="15">
        <v>3871</v>
      </c>
      <c r="G2487" s="8" t="s">
        <v>12324</v>
      </c>
      <c r="H2487" s="24" t="s">
        <v>1259</v>
      </c>
      <c r="I2487" s="25">
        <v>27096</v>
      </c>
      <c r="J2487" s="8" t="s">
        <v>1261</v>
      </c>
      <c r="K2487" s="8" t="s">
        <v>10040</v>
      </c>
      <c r="L2487" s="15">
        <v>-0.19520199999999999</v>
      </c>
      <c r="M2487" s="15">
        <v>0.43694699999999997</v>
      </c>
      <c r="N2487" s="15">
        <v>0.77794457848253706</v>
      </c>
    </row>
    <row r="2488" spans="1:14" x14ac:dyDescent="0.2">
      <c r="A2488" s="2" t="s">
        <v>10066</v>
      </c>
      <c r="B2488" s="15">
        <v>2456</v>
      </c>
      <c r="C2488" s="15">
        <v>21</v>
      </c>
      <c r="D2488" s="15">
        <v>42187153</v>
      </c>
      <c r="E2488" s="15">
        <v>43081434</v>
      </c>
      <c r="F2488" s="15">
        <v>2819</v>
      </c>
      <c r="G2488" s="8" t="s">
        <v>12324</v>
      </c>
      <c r="H2488" s="24" t="s">
        <v>3164</v>
      </c>
      <c r="I2488" s="25" t="s">
        <v>3165</v>
      </c>
      <c r="J2488" s="8" t="s">
        <v>3166</v>
      </c>
      <c r="K2488" s="8" t="s">
        <v>10042</v>
      </c>
      <c r="L2488" s="15">
        <v>0.13929</v>
      </c>
      <c r="M2488" s="15">
        <v>0.436444</v>
      </c>
      <c r="N2488" s="15">
        <v>0.77794457848253706</v>
      </c>
    </row>
    <row r="2489" spans="1:14" x14ac:dyDescent="0.2">
      <c r="A2489" s="2" t="s">
        <v>10066</v>
      </c>
      <c r="B2489" s="15">
        <v>209</v>
      </c>
      <c r="C2489" s="15">
        <v>2</v>
      </c>
      <c r="D2489" s="15">
        <v>5568654</v>
      </c>
      <c r="E2489" s="15">
        <v>6306606</v>
      </c>
      <c r="F2489" s="15">
        <v>2474</v>
      </c>
      <c r="G2489" s="8" t="s">
        <v>12324</v>
      </c>
      <c r="H2489" s="24" t="s">
        <v>3164</v>
      </c>
      <c r="I2489" s="25" t="s">
        <v>3165</v>
      </c>
      <c r="J2489" s="8" t="s">
        <v>3166</v>
      </c>
      <c r="K2489" s="8" t="s">
        <v>10042</v>
      </c>
      <c r="L2489" s="15">
        <v>-0.14344499999999999</v>
      </c>
      <c r="M2489" s="15">
        <v>0.43687700000000002</v>
      </c>
      <c r="N2489" s="15">
        <v>0.77794457848253706</v>
      </c>
    </row>
    <row r="2490" spans="1:14" x14ac:dyDescent="0.2">
      <c r="A2490" s="2" t="s">
        <v>10068</v>
      </c>
      <c r="B2490" s="15">
        <v>1268</v>
      </c>
      <c r="C2490" s="15">
        <v>8</v>
      </c>
      <c r="D2490" s="15">
        <v>22895019</v>
      </c>
      <c r="E2490" s="15">
        <v>23788494</v>
      </c>
      <c r="F2490" s="15">
        <v>3134</v>
      </c>
      <c r="G2490" s="8" t="s">
        <v>12324</v>
      </c>
      <c r="H2490" s="24" t="s">
        <v>6565</v>
      </c>
      <c r="I2490" s="25" t="s">
        <v>6475</v>
      </c>
      <c r="J2490" s="8" t="s">
        <v>6566</v>
      </c>
      <c r="K2490" s="8" t="s">
        <v>10054</v>
      </c>
      <c r="L2490" s="15">
        <v>0.21757599999999999</v>
      </c>
      <c r="M2490" s="15">
        <v>0.43504999999999999</v>
      </c>
      <c r="N2490" s="15">
        <v>0.77794457848253706</v>
      </c>
    </row>
    <row r="2491" spans="1:14" x14ac:dyDescent="0.2">
      <c r="A2491" s="2" t="s">
        <v>10068</v>
      </c>
      <c r="B2491" s="15">
        <v>1184</v>
      </c>
      <c r="C2491" s="15">
        <v>7</v>
      </c>
      <c r="D2491" s="15">
        <v>97420208</v>
      </c>
      <c r="E2491" s="15">
        <v>98173564</v>
      </c>
      <c r="F2491" s="15">
        <v>2109</v>
      </c>
      <c r="G2491" s="8" t="s">
        <v>12324</v>
      </c>
      <c r="H2491" s="24" t="s">
        <v>6565</v>
      </c>
      <c r="I2491" s="25" t="s">
        <v>6475</v>
      </c>
      <c r="J2491" s="8" t="s">
        <v>6566</v>
      </c>
      <c r="K2491" s="8" t="s">
        <v>10054</v>
      </c>
      <c r="L2491" s="15">
        <v>-0.16168099999999999</v>
      </c>
      <c r="M2491" s="15">
        <v>0.435562</v>
      </c>
      <c r="N2491" s="15">
        <v>0.77794457848253706</v>
      </c>
    </row>
    <row r="2492" spans="1:14" x14ac:dyDescent="0.2">
      <c r="A2492" s="2" t="s">
        <v>10068</v>
      </c>
      <c r="B2492" s="15">
        <v>1610</v>
      </c>
      <c r="C2492" s="15">
        <v>11</v>
      </c>
      <c r="D2492" s="15">
        <v>87150</v>
      </c>
      <c r="E2492" s="15">
        <v>1061399</v>
      </c>
      <c r="F2492" s="15">
        <v>2899</v>
      </c>
      <c r="G2492" s="8" t="s">
        <v>12324</v>
      </c>
      <c r="H2492" s="24" t="s">
        <v>6565</v>
      </c>
      <c r="I2492" s="25" t="s">
        <v>6475</v>
      </c>
      <c r="J2492" s="8" t="s">
        <v>6566</v>
      </c>
      <c r="K2492" s="8" t="s">
        <v>10054</v>
      </c>
      <c r="L2492" s="15">
        <v>0.13222100000000001</v>
      </c>
      <c r="M2492" s="15">
        <v>0.43684600000000001</v>
      </c>
      <c r="N2492" s="15">
        <v>0.77794457848253706</v>
      </c>
    </row>
    <row r="2493" spans="1:14" x14ac:dyDescent="0.2">
      <c r="A2493" s="2" t="s">
        <v>10068</v>
      </c>
      <c r="B2493" s="15">
        <v>913</v>
      </c>
      <c r="C2493" s="15">
        <v>5</v>
      </c>
      <c r="D2493" s="15">
        <v>163781269</v>
      </c>
      <c r="E2493" s="15">
        <v>165289211</v>
      </c>
      <c r="F2493" s="15">
        <v>3644</v>
      </c>
      <c r="G2493" s="8" t="s">
        <v>12324</v>
      </c>
      <c r="H2493" s="24" t="s">
        <v>6565</v>
      </c>
      <c r="I2493" s="25" t="s">
        <v>6475</v>
      </c>
      <c r="J2493" s="8" t="s">
        <v>6566</v>
      </c>
      <c r="K2493" s="8" t="s">
        <v>10054</v>
      </c>
      <c r="L2493" s="15">
        <v>-0.17447099999999999</v>
      </c>
      <c r="M2493" s="15">
        <v>0.43690099999999998</v>
      </c>
      <c r="N2493" s="15">
        <v>0.77794457848253706</v>
      </c>
    </row>
    <row r="2494" spans="1:14" x14ac:dyDescent="0.2">
      <c r="A2494" s="2" t="s">
        <v>10068</v>
      </c>
      <c r="B2494" s="15">
        <v>359</v>
      </c>
      <c r="C2494" s="15">
        <v>2</v>
      </c>
      <c r="D2494" s="15">
        <v>174118390</v>
      </c>
      <c r="E2494" s="15">
        <v>174927563</v>
      </c>
      <c r="F2494" s="15">
        <v>2121</v>
      </c>
      <c r="G2494" s="8" t="s">
        <v>12324</v>
      </c>
      <c r="H2494" s="24" t="s">
        <v>599</v>
      </c>
      <c r="I2494" s="25">
        <v>26562</v>
      </c>
      <c r="J2494" s="8" t="s">
        <v>601</v>
      </c>
      <c r="K2494" s="8" t="s">
        <v>10040</v>
      </c>
      <c r="L2494" s="15">
        <v>0.138737</v>
      </c>
      <c r="M2494" s="15">
        <v>0.43749900000000003</v>
      </c>
      <c r="N2494" s="15">
        <v>0.77840565383072602</v>
      </c>
    </row>
    <row r="2495" spans="1:14" x14ac:dyDescent="0.2">
      <c r="A2495" s="2" t="s">
        <v>10066</v>
      </c>
      <c r="B2495" s="15">
        <v>2177</v>
      </c>
      <c r="C2495" s="15">
        <v>17</v>
      </c>
      <c r="D2495" s="15">
        <v>3430441</v>
      </c>
      <c r="E2495" s="15">
        <v>4463971</v>
      </c>
      <c r="F2495" s="15">
        <v>3172</v>
      </c>
      <c r="G2495" s="8" t="s">
        <v>12324</v>
      </c>
      <c r="H2495" s="24" t="s">
        <v>6008</v>
      </c>
      <c r="I2495" s="25" t="s">
        <v>6009</v>
      </c>
      <c r="J2495" s="8" t="s">
        <v>6010</v>
      </c>
      <c r="K2495" s="8" t="s">
        <v>10051</v>
      </c>
      <c r="L2495" s="15">
        <v>0.184917</v>
      </c>
      <c r="M2495" s="15">
        <v>0.43755699999999997</v>
      </c>
      <c r="N2495" s="15">
        <v>0.77840565383072602</v>
      </c>
    </row>
    <row r="2496" spans="1:14" x14ac:dyDescent="0.2">
      <c r="A2496" s="2" t="s">
        <v>10068</v>
      </c>
      <c r="B2496" s="15">
        <v>1858</v>
      </c>
      <c r="C2496" s="15">
        <v>12</v>
      </c>
      <c r="D2496" s="15">
        <v>129887419</v>
      </c>
      <c r="E2496" s="15">
        <v>130629840</v>
      </c>
      <c r="F2496" s="15">
        <v>2610</v>
      </c>
      <c r="G2496" s="8" t="s">
        <v>12324</v>
      </c>
      <c r="H2496" s="24" t="s">
        <v>494</v>
      </c>
      <c r="I2496" s="25">
        <v>25920</v>
      </c>
      <c r="J2496" s="8" t="s">
        <v>496</v>
      </c>
      <c r="K2496" s="8" t="s">
        <v>10040</v>
      </c>
      <c r="L2496" s="15">
        <v>-0.13553599999999999</v>
      </c>
      <c r="M2496" s="15">
        <v>0.43955</v>
      </c>
      <c r="N2496" s="15">
        <v>0.77842659680638715</v>
      </c>
    </row>
    <row r="2497" spans="1:14" x14ac:dyDescent="0.2">
      <c r="A2497" s="2" t="s">
        <v>10068</v>
      </c>
      <c r="B2497" s="15">
        <v>991</v>
      </c>
      <c r="C2497" s="15">
        <v>6</v>
      </c>
      <c r="D2497" s="15">
        <v>56200986</v>
      </c>
      <c r="E2497" s="15">
        <v>57316157</v>
      </c>
      <c r="F2497" s="15">
        <v>2038</v>
      </c>
      <c r="G2497" s="8" t="s">
        <v>12324</v>
      </c>
      <c r="H2497" s="24" t="s">
        <v>599</v>
      </c>
      <c r="I2497" s="25">
        <v>26562</v>
      </c>
      <c r="J2497" s="8" t="s">
        <v>601</v>
      </c>
      <c r="K2497" s="8" t="s">
        <v>10040</v>
      </c>
      <c r="L2497" s="15">
        <v>0.217138</v>
      </c>
      <c r="M2497" s="15">
        <v>0.43871599999999999</v>
      </c>
      <c r="N2497" s="15">
        <v>0.77842659680638715</v>
      </c>
    </row>
    <row r="2498" spans="1:14" x14ac:dyDescent="0.2">
      <c r="A2498" s="2" t="s">
        <v>10068</v>
      </c>
      <c r="B2498" s="15">
        <v>33</v>
      </c>
      <c r="C2498" s="15">
        <v>1</v>
      </c>
      <c r="D2498" s="15">
        <v>34371023</v>
      </c>
      <c r="E2498" s="15">
        <v>35201626</v>
      </c>
      <c r="F2498" s="15">
        <v>2404</v>
      </c>
      <c r="G2498" s="8" t="s">
        <v>12324</v>
      </c>
      <c r="H2498" s="24" t="s">
        <v>599</v>
      </c>
      <c r="I2498" s="25">
        <v>26562</v>
      </c>
      <c r="J2498" s="8" t="s">
        <v>601</v>
      </c>
      <c r="K2498" s="8" t="s">
        <v>10040</v>
      </c>
      <c r="L2498" s="15">
        <v>0.142763</v>
      </c>
      <c r="M2498" s="15">
        <v>0.43874099999999999</v>
      </c>
      <c r="N2498" s="15">
        <v>0.77842659680638715</v>
      </c>
    </row>
    <row r="2499" spans="1:14" x14ac:dyDescent="0.2">
      <c r="A2499" s="2" t="s">
        <v>10069</v>
      </c>
      <c r="B2499" s="15">
        <v>483</v>
      </c>
      <c r="C2499" s="15">
        <v>3</v>
      </c>
      <c r="D2499" s="15">
        <v>71223282</v>
      </c>
      <c r="E2499" s="15">
        <v>72334704</v>
      </c>
      <c r="F2499" s="15">
        <v>2099</v>
      </c>
      <c r="G2499" s="8" t="s">
        <v>12324</v>
      </c>
      <c r="H2499" s="24" t="s">
        <v>662</v>
      </c>
      <c r="I2499" s="25" t="s">
        <v>663</v>
      </c>
      <c r="J2499" s="8" t="s">
        <v>664</v>
      </c>
      <c r="K2499" s="8" t="s">
        <v>10040</v>
      </c>
      <c r="L2499" s="15">
        <v>-0.153279</v>
      </c>
      <c r="M2499" s="15">
        <v>0.43817600000000001</v>
      </c>
      <c r="N2499" s="15">
        <v>0.77842659680638715</v>
      </c>
    </row>
    <row r="2500" spans="1:14" x14ac:dyDescent="0.2">
      <c r="A2500" s="2" t="s">
        <v>10069</v>
      </c>
      <c r="B2500" s="15">
        <v>2371</v>
      </c>
      <c r="C2500" s="15">
        <v>20</v>
      </c>
      <c r="D2500" s="15">
        <v>1771286</v>
      </c>
      <c r="E2500" s="15">
        <v>2668108</v>
      </c>
      <c r="F2500" s="15">
        <v>1912</v>
      </c>
      <c r="G2500" s="8" t="s">
        <v>12324</v>
      </c>
      <c r="H2500" s="24" t="s">
        <v>662</v>
      </c>
      <c r="I2500" s="25" t="s">
        <v>663</v>
      </c>
      <c r="J2500" s="8" t="s">
        <v>664</v>
      </c>
      <c r="K2500" s="8" t="s">
        <v>10040</v>
      </c>
      <c r="L2500" s="15">
        <v>-0.228073</v>
      </c>
      <c r="M2500" s="15">
        <v>0.43842199999999998</v>
      </c>
      <c r="N2500" s="15">
        <v>0.77842659680638715</v>
      </c>
    </row>
    <row r="2501" spans="1:14" x14ac:dyDescent="0.2">
      <c r="A2501" s="2" t="s">
        <v>10069</v>
      </c>
      <c r="B2501" s="15">
        <v>1790</v>
      </c>
      <c r="C2501" s="15">
        <v>12</v>
      </c>
      <c r="D2501" s="15">
        <v>51769420</v>
      </c>
      <c r="E2501" s="15">
        <v>53039987</v>
      </c>
      <c r="F2501" s="15">
        <v>2401</v>
      </c>
      <c r="G2501" s="8" t="s">
        <v>12324</v>
      </c>
      <c r="H2501" s="24" t="s">
        <v>662</v>
      </c>
      <c r="I2501" s="25" t="s">
        <v>663</v>
      </c>
      <c r="J2501" s="8" t="s">
        <v>664</v>
      </c>
      <c r="K2501" s="8" t="s">
        <v>10040</v>
      </c>
      <c r="L2501" s="15">
        <v>0.31569000000000003</v>
      </c>
      <c r="M2501" s="15">
        <v>0.43967499999999998</v>
      </c>
      <c r="N2501" s="15">
        <v>0.77842659680638715</v>
      </c>
    </row>
    <row r="2502" spans="1:14" x14ac:dyDescent="0.2">
      <c r="A2502" s="2" t="s">
        <v>10068</v>
      </c>
      <c r="B2502" s="15">
        <v>1076</v>
      </c>
      <c r="C2502" s="15">
        <v>6</v>
      </c>
      <c r="D2502" s="15">
        <v>153082362</v>
      </c>
      <c r="E2502" s="15">
        <v>153791461</v>
      </c>
      <c r="F2502" s="15">
        <v>2097</v>
      </c>
      <c r="G2502" s="8" t="s">
        <v>12324</v>
      </c>
      <c r="H2502" s="24" t="s">
        <v>1259</v>
      </c>
      <c r="I2502" s="25">
        <v>27096</v>
      </c>
      <c r="J2502" s="8" t="s">
        <v>1261</v>
      </c>
      <c r="K2502" s="8" t="s">
        <v>10040</v>
      </c>
      <c r="L2502" s="15">
        <v>-0.15178700000000001</v>
      </c>
      <c r="M2502" s="15">
        <v>0.43821199999999999</v>
      </c>
      <c r="N2502" s="15">
        <v>0.77842659680638715</v>
      </c>
    </row>
    <row r="2503" spans="1:14" x14ac:dyDescent="0.2">
      <c r="A2503" s="2" t="s">
        <v>10068</v>
      </c>
      <c r="B2503" s="15">
        <v>2278</v>
      </c>
      <c r="C2503" s="15">
        <v>18</v>
      </c>
      <c r="D2503" s="15">
        <v>49790997</v>
      </c>
      <c r="E2503" s="15">
        <v>50372823</v>
      </c>
      <c r="F2503" s="15">
        <v>2101</v>
      </c>
      <c r="G2503" s="8" t="s">
        <v>12324</v>
      </c>
      <c r="H2503" s="24" t="s">
        <v>1259</v>
      </c>
      <c r="I2503" s="25">
        <v>27096</v>
      </c>
      <c r="J2503" s="8" t="s">
        <v>1261</v>
      </c>
      <c r="K2503" s="8" t="s">
        <v>10040</v>
      </c>
      <c r="L2503" s="15">
        <v>-0.16445299999999999</v>
      </c>
      <c r="M2503" s="15">
        <v>0.43967499999999998</v>
      </c>
      <c r="N2503" s="15">
        <v>0.77842659680638715</v>
      </c>
    </row>
    <row r="2504" spans="1:14" x14ac:dyDescent="0.2">
      <c r="A2504" s="2" t="s">
        <v>10066</v>
      </c>
      <c r="B2504" s="15">
        <v>2365</v>
      </c>
      <c r="C2504" s="15">
        <v>19</v>
      </c>
      <c r="D2504" s="15">
        <v>55714086</v>
      </c>
      <c r="E2504" s="15">
        <v>56411086</v>
      </c>
      <c r="F2504" s="15">
        <v>2283</v>
      </c>
      <c r="G2504" s="8" t="s">
        <v>12324</v>
      </c>
      <c r="H2504" s="24" t="s">
        <v>6008</v>
      </c>
      <c r="I2504" s="25" t="s">
        <v>6009</v>
      </c>
      <c r="J2504" s="8" t="s">
        <v>6010</v>
      </c>
      <c r="K2504" s="8" t="s">
        <v>10051</v>
      </c>
      <c r="L2504" s="15">
        <v>0.16281200000000001</v>
      </c>
      <c r="M2504" s="15">
        <v>0.439085</v>
      </c>
      <c r="N2504" s="15">
        <v>0.77842659680638715</v>
      </c>
    </row>
    <row r="2505" spans="1:14" x14ac:dyDescent="0.2">
      <c r="A2505" s="2" t="s">
        <v>10066</v>
      </c>
      <c r="B2505" s="15">
        <v>1614</v>
      </c>
      <c r="C2505" s="15">
        <v>11</v>
      </c>
      <c r="D2505" s="15">
        <v>3362509</v>
      </c>
      <c r="E2505" s="15">
        <v>4405707</v>
      </c>
      <c r="F2505" s="15">
        <v>3658</v>
      </c>
      <c r="G2505" s="8" t="s">
        <v>12324</v>
      </c>
      <c r="H2505" s="24" t="s">
        <v>6008</v>
      </c>
      <c r="I2505" s="25" t="s">
        <v>6009</v>
      </c>
      <c r="J2505" s="8" t="s">
        <v>6010</v>
      </c>
      <c r="K2505" s="8" t="s">
        <v>10051</v>
      </c>
      <c r="L2505" s="15">
        <v>0.147845</v>
      </c>
      <c r="M2505" s="15">
        <v>0.43932900000000003</v>
      </c>
      <c r="N2505" s="15">
        <v>0.77842659680638715</v>
      </c>
    </row>
    <row r="2506" spans="1:14" x14ac:dyDescent="0.2">
      <c r="A2506" s="2" t="s">
        <v>10068</v>
      </c>
      <c r="B2506" s="15">
        <v>2179</v>
      </c>
      <c r="C2506" s="15">
        <v>17</v>
      </c>
      <c r="D2506" s="15">
        <v>5573785</v>
      </c>
      <c r="E2506" s="15">
        <v>6305078</v>
      </c>
      <c r="F2506" s="15">
        <v>2657</v>
      </c>
      <c r="G2506" s="8" t="s">
        <v>12324</v>
      </c>
      <c r="H2506" s="24" t="s">
        <v>6565</v>
      </c>
      <c r="I2506" s="25" t="s">
        <v>6475</v>
      </c>
      <c r="J2506" s="8" t="s">
        <v>6566</v>
      </c>
      <c r="K2506" s="8" t="s">
        <v>10054</v>
      </c>
      <c r="L2506" s="15">
        <v>-0.11246299999999999</v>
      </c>
      <c r="M2506" s="15">
        <v>0.438554</v>
      </c>
      <c r="N2506" s="15">
        <v>0.77842659680638715</v>
      </c>
    </row>
    <row r="2507" spans="1:14" x14ac:dyDescent="0.2">
      <c r="A2507" s="2" t="s">
        <v>10068</v>
      </c>
      <c r="B2507" s="15">
        <v>179</v>
      </c>
      <c r="C2507" s="15">
        <v>1</v>
      </c>
      <c r="D2507" s="15">
        <v>230227248</v>
      </c>
      <c r="E2507" s="15">
        <v>231287764</v>
      </c>
      <c r="F2507" s="15">
        <v>3620</v>
      </c>
      <c r="G2507" s="8" t="s">
        <v>12324</v>
      </c>
      <c r="H2507" s="24" t="s">
        <v>6565</v>
      </c>
      <c r="I2507" s="25" t="s">
        <v>6475</v>
      </c>
      <c r="J2507" s="8" t="s">
        <v>6566</v>
      </c>
      <c r="K2507" s="8" t="s">
        <v>10054</v>
      </c>
      <c r="L2507" s="15">
        <v>0.229938</v>
      </c>
      <c r="M2507" s="15">
        <v>0.43963099999999999</v>
      </c>
      <c r="N2507" s="15">
        <v>0.77842659680638715</v>
      </c>
    </row>
    <row r="2508" spans="1:14" x14ac:dyDescent="0.2">
      <c r="A2508" s="2" t="s">
        <v>10068</v>
      </c>
      <c r="B2508" s="15">
        <v>24</v>
      </c>
      <c r="C2508" s="15">
        <v>1</v>
      </c>
      <c r="D2508" s="15">
        <v>22145630</v>
      </c>
      <c r="E2508" s="15">
        <v>22740287</v>
      </c>
      <c r="F2508" s="15">
        <v>2190</v>
      </c>
      <c r="G2508" s="8" t="s">
        <v>12324</v>
      </c>
      <c r="H2508" s="24" t="s">
        <v>599</v>
      </c>
      <c r="I2508" s="25">
        <v>26562</v>
      </c>
      <c r="J2508" s="8" t="s">
        <v>601</v>
      </c>
      <c r="K2508" s="8" t="s">
        <v>10040</v>
      </c>
      <c r="L2508" s="15">
        <v>-0.13088</v>
      </c>
      <c r="M2508" s="15">
        <v>0.439944</v>
      </c>
      <c r="N2508" s="15">
        <v>0.77847075588352621</v>
      </c>
    </row>
    <row r="2509" spans="1:14" x14ac:dyDescent="0.2">
      <c r="A2509" s="2" t="s">
        <v>10066</v>
      </c>
      <c r="B2509" s="15">
        <v>1240</v>
      </c>
      <c r="C2509" s="15">
        <v>8</v>
      </c>
      <c r="D2509" s="15">
        <v>3787249</v>
      </c>
      <c r="E2509" s="15">
        <v>4273083</v>
      </c>
      <c r="F2509" s="15">
        <v>3244</v>
      </c>
      <c r="G2509" s="8" t="s">
        <v>12324</v>
      </c>
      <c r="H2509" s="24" t="s">
        <v>3164</v>
      </c>
      <c r="I2509" s="25" t="s">
        <v>3165</v>
      </c>
      <c r="J2509" s="8" t="s">
        <v>3166</v>
      </c>
      <c r="K2509" s="8" t="s">
        <v>10042</v>
      </c>
      <c r="L2509" s="15">
        <v>0.25976700000000003</v>
      </c>
      <c r="M2509" s="15">
        <v>0.44005100000000003</v>
      </c>
      <c r="N2509" s="15">
        <v>0.77847075588352621</v>
      </c>
    </row>
    <row r="2510" spans="1:14" x14ac:dyDescent="0.2">
      <c r="A2510" s="2" t="s">
        <v>10068</v>
      </c>
      <c r="B2510" s="15">
        <v>1190</v>
      </c>
      <c r="C2510" s="15">
        <v>7</v>
      </c>
      <c r="D2510" s="15">
        <v>104109232</v>
      </c>
      <c r="E2510" s="15">
        <v>105312563</v>
      </c>
      <c r="F2510" s="15">
        <v>2581</v>
      </c>
      <c r="G2510" s="8" t="s">
        <v>12324</v>
      </c>
      <c r="H2510" s="24" t="s">
        <v>1259</v>
      </c>
      <c r="I2510" s="25">
        <v>27096</v>
      </c>
      <c r="J2510" s="8" t="s">
        <v>1261</v>
      </c>
      <c r="K2510" s="8" t="s">
        <v>10040</v>
      </c>
      <c r="L2510" s="15">
        <v>-0.17010700000000001</v>
      </c>
      <c r="M2510" s="15">
        <v>0.440664</v>
      </c>
      <c r="N2510" s="15">
        <v>0.77924435406698567</v>
      </c>
    </row>
    <row r="2511" spans="1:14" x14ac:dyDescent="0.2">
      <c r="A2511" s="2" t="s">
        <v>10068</v>
      </c>
      <c r="B2511" s="15">
        <v>1724</v>
      </c>
      <c r="C2511" s="15">
        <v>11</v>
      </c>
      <c r="D2511" s="15">
        <v>118901214</v>
      </c>
      <c r="E2511" s="15">
        <v>120064528</v>
      </c>
      <c r="F2511" s="15">
        <v>2724</v>
      </c>
      <c r="G2511" s="8" t="s">
        <v>12324</v>
      </c>
      <c r="H2511" s="24" t="s">
        <v>494</v>
      </c>
      <c r="I2511" s="25">
        <v>25920</v>
      </c>
      <c r="J2511" s="8" t="s">
        <v>496</v>
      </c>
      <c r="K2511" s="8" t="s">
        <v>10040</v>
      </c>
      <c r="L2511" s="15">
        <v>-0.201825</v>
      </c>
      <c r="M2511" s="15">
        <v>0.44186900000000001</v>
      </c>
      <c r="N2511" s="15">
        <v>0.77963207239459031</v>
      </c>
    </row>
    <row r="2512" spans="1:14" x14ac:dyDescent="0.2">
      <c r="A2512" s="2" t="s">
        <v>10068</v>
      </c>
      <c r="B2512" s="15">
        <v>515</v>
      </c>
      <c r="C2512" s="15">
        <v>3</v>
      </c>
      <c r="D2512" s="15">
        <v>109519607</v>
      </c>
      <c r="E2512" s="15">
        <v>110935508</v>
      </c>
      <c r="F2512" s="15">
        <v>3306</v>
      </c>
      <c r="G2512" s="8" t="s">
        <v>12324</v>
      </c>
      <c r="H2512" s="24" t="s">
        <v>599</v>
      </c>
      <c r="I2512" s="25">
        <v>26562</v>
      </c>
      <c r="J2512" s="8" t="s">
        <v>601</v>
      </c>
      <c r="K2512" s="8" t="s">
        <v>10040</v>
      </c>
      <c r="L2512" s="15">
        <v>0.21571000000000001</v>
      </c>
      <c r="M2512" s="15">
        <v>0.44129400000000002</v>
      </c>
      <c r="N2512" s="15">
        <v>0.77963207239459031</v>
      </c>
    </row>
    <row r="2513" spans="1:14" x14ac:dyDescent="0.2">
      <c r="A2513" s="2" t="s">
        <v>10068</v>
      </c>
      <c r="B2513" s="15">
        <v>121</v>
      </c>
      <c r="C2513" s="15">
        <v>1</v>
      </c>
      <c r="D2513" s="15">
        <v>163854568</v>
      </c>
      <c r="E2513" s="15">
        <v>164726579</v>
      </c>
      <c r="F2513" s="15">
        <v>2112</v>
      </c>
      <c r="G2513" s="8" t="s">
        <v>12324</v>
      </c>
      <c r="H2513" s="24" t="s">
        <v>599</v>
      </c>
      <c r="I2513" s="25">
        <v>26562</v>
      </c>
      <c r="J2513" s="8" t="s">
        <v>601</v>
      </c>
      <c r="K2513" s="8" t="s">
        <v>10040</v>
      </c>
      <c r="L2513" s="15">
        <v>-0.111792</v>
      </c>
      <c r="M2513" s="15">
        <v>0.441938</v>
      </c>
      <c r="N2513" s="15">
        <v>0.77963207239459031</v>
      </c>
    </row>
    <row r="2514" spans="1:14" x14ac:dyDescent="0.2">
      <c r="A2514" s="2" t="s">
        <v>10068</v>
      </c>
      <c r="B2514" s="15">
        <v>1742</v>
      </c>
      <c r="C2514" s="15">
        <v>12</v>
      </c>
      <c r="D2514" s="15">
        <v>1942427</v>
      </c>
      <c r="E2514" s="15">
        <v>3069506</v>
      </c>
      <c r="F2514" s="15">
        <v>2942</v>
      </c>
      <c r="G2514" s="8" t="s">
        <v>12324</v>
      </c>
      <c r="H2514" s="24" t="s">
        <v>1259</v>
      </c>
      <c r="I2514" s="25">
        <v>27096</v>
      </c>
      <c r="J2514" s="8" t="s">
        <v>1261</v>
      </c>
      <c r="K2514" s="8" t="s">
        <v>10040</v>
      </c>
      <c r="L2514" s="15">
        <v>-0.176458</v>
      </c>
      <c r="M2514" s="15">
        <v>0.44112400000000002</v>
      </c>
      <c r="N2514" s="15">
        <v>0.77963207239459031</v>
      </c>
    </row>
    <row r="2515" spans="1:14" x14ac:dyDescent="0.2">
      <c r="A2515" s="2" t="s">
        <v>10068</v>
      </c>
      <c r="B2515" s="15">
        <v>37</v>
      </c>
      <c r="C2515" s="15">
        <v>1</v>
      </c>
      <c r="D2515" s="15">
        <v>40200951</v>
      </c>
      <c r="E2515" s="15">
        <v>41093875</v>
      </c>
      <c r="F2515" s="15">
        <v>2151</v>
      </c>
      <c r="G2515" s="8" t="s">
        <v>12324</v>
      </c>
      <c r="H2515" s="24" t="s">
        <v>1259</v>
      </c>
      <c r="I2515" s="25">
        <v>27096</v>
      </c>
      <c r="J2515" s="8" t="s">
        <v>1261</v>
      </c>
      <c r="K2515" s="8" t="s">
        <v>10040</v>
      </c>
      <c r="L2515" s="15">
        <v>-0.27612999999999999</v>
      </c>
      <c r="M2515" s="15">
        <v>0.44155</v>
      </c>
      <c r="N2515" s="15">
        <v>0.77963207239459031</v>
      </c>
    </row>
    <row r="2516" spans="1:14" x14ac:dyDescent="0.2">
      <c r="A2516" s="2" t="s">
        <v>10066</v>
      </c>
      <c r="B2516" s="15">
        <v>2426</v>
      </c>
      <c r="C2516" s="15">
        <v>20</v>
      </c>
      <c r="D2516" s="15">
        <v>60125334</v>
      </c>
      <c r="E2516" s="15">
        <v>60766557</v>
      </c>
      <c r="F2516" s="15">
        <v>2320</v>
      </c>
      <c r="G2516" s="8" t="s">
        <v>12324</v>
      </c>
      <c r="H2516" s="24" t="s">
        <v>6008</v>
      </c>
      <c r="I2516" s="25" t="s">
        <v>6009</v>
      </c>
      <c r="J2516" s="8" t="s">
        <v>6010</v>
      </c>
      <c r="K2516" s="8" t="s">
        <v>10051</v>
      </c>
      <c r="L2516" s="15">
        <v>0.11524</v>
      </c>
      <c r="M2516" s="15">
        <v>0.44190299999999999</v>
      </c>
      <c r="N2516" s="15">
        <v>0.77963207239459031</v>
      </c>
    </row>
    <row r="2517" spans="1:14" x14ac:dyDescent="0.2">
      <c r="A2517" s="2" t="s">
        <v>10068</v>
      </c>
      <c r="B2517" s="15">
        <v>822</v>
      </c>
      <c r="C2517" s="15">
        <v>5</v>
      </c>
      <c r="D2517" s="15">
        <v>55221399</v>
      </c>
      <c r="E2517" s="15">
        <v>55968966</v>
      </c>
      <c r="F2517" s="15">
        <v>2232</v>
      </c>
      <c r="G2517" s="8" t="s">
        <v>12324</v>
      </c>
      <c r="H2517" s="24" t="s">
        <v>599</v>
      </c>
      <c r="I2517" s="25">
        <v>26562</v>
      </c>
      <c r="J2517" s="8" t="s">
        <v>601</v>
      </c>
      <c r="K2517" s="8" t="s">
        <v>10040</v>
      </c>
      <c r="L2517" s="15">
        <v>-0.16523199999999999</v>
      </c>
      <c r="M2517" s="15">
        <v>0.442525</v>
      </c>
      <c r="N2517" s="15">
        <v>0.78008972795869735</v>
      </c>
    </row>
    <row r="2518" spans="1:14" x14ac:dyDescent="0.2">
      <c r="A2518" s="2" t="s">
        <v>10068</v>
      </c>
      <c r="B2518" s="15">
        <v>210</v>
      </c>
      <c r="C2518" s="15">
        <v>2</v>
      </c>
      <c r="D2518" s="15">
        <v>6306607</v>
      </c>
      <c r="E2518" s="15">
        <v>7108208</v>
      </c>
      <c r="F2518" s="15">
        <v>2265</v>
      </c>
      <c r="G2518" s="8" t="s">
        <v>12324</v>
      </c>
      <c r="H2518" s="24" t="s">
        <v>599</v>
      </c>
      <c r="I2518" s="25">
        <v>26562</v>
      </c>
      <c r="J2518" s="8" t="s">
        <v>601</v>
      </c>
      <c r="K2518" s="8" t="s">
        <v>10040</v>
      </c>
      <c r="L2518" s="15">
        <v>-0.30136499999999999</v>
      </c>
      <c r="M2518" s="15">
        <v>0.44290099999999999</v>
      </c>
      <c r="N2518" s="15">
        <v>0.78008972795869735</v>
      </c>
    </row>
    <row r="2519" spans="1:14" x14ac:dyDescent="0.2">
      <c r="A2519" s="2" t="s">
        <v>10066</v>
      </c>
      <c r="B2519" s="15">
        <v>448</v>
      </c>
      <c r="C2519" s="15">
        <v>3</v>
      </c>
      <c r="D2519" s="15">
        <v>27614909</v>
      </c>
      <c r="E2519" s="15">
        <v>28649810</v>
      </c>
      <c r="F2519" s="15">
        <v>2308</v>
      </c>
      <c r="G2519" s="8" t="s">
        <v>12324</v>
      </c>
      <c r="H2519" s="24" t="s">
        <v>3164</v>
      </c>
      <c r="I2519" s="25" t="s">
        <v>3165</v>
      </c>
      <c r="J2519" s="8" t="s">
        <v>3166</v>
      </c>
      <c r="K2519" s="8" t="s">
        <v>10042</v>
      </c>
      <c r="L2519" s="15">
        <v>-0.16043099999999999</v>
      </c>
      <c r="M2519" s="15">
        <v>0.44275500000000001</v>
      </c>
      <c r="N2519" s="15">
        <v>0.78008972795869735</v>
      </c>
    </row>
    <row r="2520" spans="1:14" x14ac:dyDescent="0.2">
      <c r="A2520" s="2" t="s">
        <v>10066</v>
      </c>
      <c r="B2520" s="15">
        <v>896</v>
      </c>
      <c r="C2520" s="15">
        <v>5</v>
      </c>
      <c r="D2520" s="15">
        <v>145319097</v>
      </c>
      <c r="E2520" s="15">
        <v>147180171</v>
      </c>
      <c r="F2520" s="15">
        <v>4127</v>
      </c>
      <c r="G2520" s="8" t="s">
        <v>12324</v>
      </c>
      <c r="H2520" s="24" t="s">
        <v>3164</v>
      </c>
      <c r="I2520" s="25" t="s">
        <v>3165</v>
      </c>
      <c r="J2520" s="8" t="s">
        <v>3166</v>
      </c>
      <c r="K2520" s="8" t="s">
        <v>10042</v>
      </c>
      <c r="L2520" s="15">
        <v>0.27864699999999998</v>
      </c>
      <c r="M2520" s="15">
        <v>0.44275599999999998</v>
      </c>
      <c r="N2520" s="15">
        <v>0.78008972795869735</v>
      </c>
    </row>
    <row r="2521" spans="1:14" x14ac:dyDescent="0.2">
      <c r="A2521" s="2" t="s">
        <v>10068</v>
      </c>
      <c r="B2521" s="15">
        <v>1446</v>
      </c>
      <c r="C2521" s="15">
        <v>9</v>
      </c>
      <c r="D2521" s="15">
        <v>101596751</v>
      </c>
      <c r="E2521" s="15">
        <v>103165725</v>
      </c>
      <c r="F2521" s="15">
        <v>2934</v>
      </c>
      <c r="G2521" s="8" t="s">
        <v>12324</v>
      </c>
      <c r="H2521" s="24" t="s">
        <v>599</v>
      </c>
      <c r="I2521" s="25">
        <v>26562</v>
      </c>
      <c r="J2521" s="8" t="s">
        <v>601</v>
      </c>
      <c r="K2521" s="8" t="s">
        <v>10040</v>
      </c>
      <c r="L2521" s="15">
        <v>-0.20655999999999999</v>
      </c>
      <c r="M2521" s="15">
        <v>0.44336999999999999</v>
      </c>
      <c r="N2521" s="15">
        <v>0.78060577610162762</v>
      </c>
    </row>
    <row r="2522" spans="1:14" x14ac:dyDescent="0.2">
      <c r="A2522" s="2" t="s">
        <v>10066</v>
      </c>
      <c r="B2522" s="15">
        <v>1940</v>
      </c>
      <c r="C2522" s="15">
        <v>13</v>
      </c>
      <c r="D2522" s="15">
        <v>101573737</v>
      </c>
      <c r="E2522" s="15">
        <v>103050417</v>
      </c>
      <c r="F2522" s="15">
        <v>4111</v>
      </c>
      <c r="G2522" s="8" t="s">
        <v>12324</v>
      </c>
      <c r="H2522" s="24" t="s">
        <v>6008</v>
      </c>
      <c r="I2522" s="25" t="s">
        <v>6009</v>
      </c>
      <c r="J2522" s="8" t="s">
        <v>6010</v>
      </c>
      <c r="K2522" s="8" t="s">
        <v>10051</v>
      </c>
      <c r="L2522" s="15">
        <v>-0.20261299999999999</v>
      </c>
      <c r="M2522" s="15">
        <v>0.44373600000000002</v>
      </c>
      <c r="N2522" s="15">
        <v>0.78094014285714286</v>
      </c>
    </row>
    <row r="2523" spans="1:14" x14ac:dyDescent="0.2">
      <c r="A2523" s="2" t="s">
        <v>10068</v>
      </c>
      <c r="B2523" s="15">
        <v>2049</v>
      </c>
      <c r="C2523" s="15">
        <v>15</v>
      </c>
      <c r="D2523" s="15">
        <v>39238841</v>
      </c>
      <c r="E2523" s="15">
        <v>40604780</v>
      </c>
      <c r="F2523" s="15">
        <v>3295</v>
      </c>
      <c r="G2523" s="8" t="s">
        <v>12324</v>
      </c>
      <c r="H2523" s="24" t="s">
        <v>1259</v>
      </c>
      <c r="I2523" s="25">
        <v>27096</v>
      </c>
      <c r="J2523" s="8" t="s">
        <v>1261</v>
      </c>
      <c r="K2523" s="8" t="s">
        <v>10040</v>
      </c>
      <c r="L2523" s="15">
        <v>0.10657999999999999</v>
      </c>
      <c r="M2523" s="15">
        <v>0.444104</v>
      </c>
      <c r="N2523" s="15">
        <v>0.7809679777954005</v>
      </c>
    </row>
    <row r="2524" spans="1:14" x14ac:dyDescent="0.2">
      <c r="A2524" s="2" t="s">
        <v>10068</v>
      </c>
      <c r="B2524" s="15">
        <v>2426</v>
      </c>
      <c r="C2524" s="15">
        <v>20</v>
      </c>
      <c r="D2524" s="15">
        <v>60125334</v>
      </c>
      <c r="E2524" s="15">
        <v>60766557</v>
      </c>
      <c r="F2524" s="15">
        <v>2324</v>
      </c>
      <c r="G2524" s="8" t="s">
        <v>12324</v>
      </c>
      <c r="H2524" s="24" t="s">
        <v>6565</v>
      </c>
      <c r="I2524" s="25" t="s">
        <v>6475</v>
      </c>
      <c r="J2524" s="8" t="s">
        <v>6566</v>
      </c>
      <c r="K2524" s="8" t="s">
        <v>10054</v>
      </c>
      <c r="L2524" s="15">
        <v>0.14099500000000001</v>
      </c>
      <c r="M2524" s="15">
        <v>0.44400299999999998</v>
      </c>
      <c r="N2524" s="15">
        <v>0.7809679777954005</v>
      </c>
    </row>
    <row r="2525" spans="1:14" x14ac:dyDescent="0.2">
      <c r="A2525" s="2" t="s">
        <v>10068</v>
      </c>
      <c r="B2525" s="15">
        <v>1483</v>
      </c>
      <c r="C2525" s="15">
        <v>9</v>
      </c>
      <c r="D2525" s="15">
        <v>138995792</v>
      </c>
      <c r="E2525" s="15">
        <v>140097759</v>
      </c>
      <c r="F2525" s="15">
        <v>2420</v>
      </c>
      <c r="G2525" s="8" t="s">
        <v>12324</v>
      </c>
      <c r="H2525" s="24" t="s">
        <v>599</v>
      </c>
      <c r="I2525" s="25">
        <v>26562</v>
      </c>
      <c r="J2525" s="8" t="s">
        <v>601</v>
      </c>
      <c r="K2525" s="8" t="s">
        <v>10040</v>
      </c>
      <c r="L2525" s="15">
        <v>0.11927</v>
      </c>
      <c r="M2525" s="15">
        <v>0.44455499999999998</v>
      </c>
      <c r="N2525" s="15">
        <v>0.78145121878715806</v>
      </c>
    </row>
    <row r="2526" spans="1:14" x14ac:dyDescent="0.2">
      <c r="A2526" s="2" t="s">
        <v>10068</v>
      </c>
      <c r="B2526" s="15">
        <v>1164</v>
      </c>
      <c r="C2526" s="15">
        <v>7</v>
      </c>
      <c r="D2526" s="15">
        <v>70144615</v>
      </c>
      <c r="E2526" s="15">
        <v>71215741</v>
      </c>
      <c r="F2526" s="15">
        <v>3482</v>
      </c>
      <c r="G2526" s="8" t="s">
        <v>12324</v>
      </c>
      <c r="H2526" s="24" t="s">
        <v>494</v>
      </c>
      <c r="I2526" s="25">
        <v>25920</v>
      </c>
      <c r="J2526" s="8" t="s">
        <v>496</v>
      </c>
      <c r="K2526" s="8" t="s">
        <v>10040</v>
      </c>
      <c r="L2526" s="15">
        <v>0.26753700000000002</v>
      </c>
      <c r="M2526" s="15">
        <v>0.44532300000000002</v>
      </c>
      <c r="N2526" s="15">
        <v>0.78249108755942953</v>
      </c>
    </row>
    <row r="2527" spans="1:14" x14ac:dyDescent="0.2">
      <c r="A2527" s="2" t="s">
        <v>10068</v>
      </c>
      <c r="B2527" s="15">
        <v>1725</v>
      </c>
      <c r="C2527" s="15">
        <v>11</v>
      </c>
      <c r="D2527" s="15">
        <v>120064529</v>
      </c>
      <c r="E2527" s="15">
        <v>121208186</v>
      </c>
      <c r="F2527" s="15">
        <v>2711</v>
      </c>
      <c r="G2527" s="8" t="s">
        <v>12324</v>
      </c>
      <c r="H2527" s="24" t="s">
        <v>599</v>
      </c>
      <c r="I2527" s="25">
        <v>26562</v>
      </c>
      <c r="J2527" s="8" t="s">
        <v>601</v>
      </c>
      <c r="K2527" s="8" t="s">
        <v>10040</v>
      </c>
      <c r="L2527" s="15">
        <v>0.18387200000000001</v>
      </c>
      <c r="M2527" s="15">
        <v>0.44551200000000002</v>
      </c>
      <c r="N2527" s="15">
        <v>0.78251315643564356</v>
      </c>
    </row>
    <row r="2528" spans="1:14" x14ac:dyDescent="0.2">
      <c r="A2528" s="2" t="s">
        <v>10068</v>
      </c>
      <c r="B2528" s="15">
        <v>841</v>
      </c>
      <c r="C2528" s="15">
        <v>5</v>
      </c>
      <c r="D2528" s="15">
        <v>79005159</v>
      </c>
      <c r="E2528" s="15">
        <v>80448225</v>
      </c>
      <c r="F2528" s="15">
        <v>4015</v>
      </c>
      <c r="G2528" s="8" t="s">
        <v>12324</v>
      </c>
      <c r="H2528" s="24" t="s">
        <v>599</v>
      </c>
      <c r="I2528" s="25">
        <v>26562</v>
      </c>
      <c r="J2528" s="8" t="s">
        <v>601</v>
      </c>
      <c r="K2528" s="8" t="s">
        <v>10040</v>
      </c>
      <c r="L2528" s="15">
        <v>0.16650200000000001</v>
      </c>
      <c r="M2528" s="15">
        <v>0.44604899999999997</v>
      </c>
      <c r="N2528" s="15">
        <v>0.78265035982601816</v>
      </c>
    </row>
    <row r="2529" spans="1:14" x14ac:dyDescent="0.2">
      <c r="A2529" s="2" t="s">
        <v>10069</v>
      </c>
      <c r="B2529" s="15">
        <v>822</v>
      </c>
      <c r="C2529" s="15">
        <v>5</v>
      </c>
      <c r="D2529" s="15">
        <v>55221399</v>
      </c>
      <c r="E2529" s="15">
        <v>55968966</v>
      </c>
      <c r="F2529" s="15">
        <v>1367</v>
      </c>
      <c r="G2529" s="8" t="s">
        <v>12324</v>
      </c>
      <c r="H2529" s="24" t="s">
        <v>662</v>
      </c>
      <c r="I2529" s="25" t="s">
        <v>663</v>
      </c>
      <c r="J2529" s="8" t="s">
        <v>664</v>
      </c>
      <c r="K2529" s="8" t="s">
        <v>10040</v>
      </c>
      <c r="L2529" s="15">
        <v>0.29409000000000002</v>
      </c>
      <c r="M2529" s="15">
        <v>0.445857</v>
      </c>
      <c r="N2529" s="15">
        <v>0.78265035982601816</v>
      </c>
    </row>
    <row r="2530" spans="1:14" x14ac:dyDescent="0.2">
      <c r="A2530" s="2" t="s">
        <v>10066</v>
      </c>
      <c r="B2530" s="15">
        <v>54</v>
      </c>
      <c r="C2530" s="15">
        <v>1</v>
      </c>
      <c r="D2530" s="15">
        <v>62778734</v>
      </c>
      <c r="E2530" s="15">
        <v>64344226</v>
      </c>
      <c r="F2530" s="15">
        <v>3565</v>
      </c>
      <c r="G2530" s="8" t="s">
        <v>12324</v>
      </c>
      <c r="H2530" s="24" t="s">
        <v>6008</v>
      </c>
      <c r="I2530" s="25" t="s">
        <v>6009</v>
      </c>
      <c r="J2530" s="8" t="s">
        <v>6010</v>
      </c>
      <c r="K2530" s="8" t="s">
        <v>10051</v>
      </c>
      <c r="L2530" s="15">
        <v>-0.186775</v>
      </c>
      <c r="M2530" s="15">
        <v>0.44622600000000001</v>
      </c>
      <c r="N2530" s="15">
        <v>0.78265035982601816</v>
      </c>
    </row>
    <row r="2531" spans="1:14" x14ac:dyDescent="0.2">
      <c r="A2531" s="2" t="s">
        <v>10066</v>
      </c>
      <c r="B2531" s="15">
        <v>219</v>
      </c>
      <c r="C2531" s="15">
        <v>2</v>
      </c>
      <c r="D2531" s="15">
        <v>13625451</v>
      </c>
      <c r="E2531" s="15">
        <v>14692120</v>
      </c>
      <c r="F2531" s="15">
        <v>3209</v>
      </c>
      <c r="G2531" s="8" t="s">
        <v>12324</v>
      </c>
      <c r="H2531" s="24" t="s">
        <v>6008</v>
      </c>
      <c r="I2531" s="25" t="s">
        <v>6009</v>
      </c>
      <c r="J2531" s="8" t="s">
        <v>6010</v>
      </c>
      <c r="K2531" s="8" t="s">
        <v>10051</v>
      </c>
      <c r="L2531" s="15">
        <v>-0.17186899999999999</v>
      </c>
      <c r="M2531" s="15">
        <v>0.44629600000000003</v>
      </c>
      <c r="N2531" s="15">
        <v>0.78265035982601816</v>
      </c>
    </row>
    <row r="2532" spans="1:14" x14ac:dyDescent="0.2">
      <c r="A2532" s="2" t="s">
        <v>10069</v>
      </c>
      <c r="B2532" s="15">
        <v>484</v>
      </c>
      <c r="C2532" s="15">
        <v>3</v>
      </c>
      <c r="D2532" s="15">
        <v>72334705</v>
      </c>
      <c r="E2532" s="15">
        <v>73606612</v>
      </c>
      <c r="F2532" s="15">
        <v>1979</v>
      </c>
      <c r="G2532" s="8" t="s">
        <v>12324</v>
      </c>
      <c r="H2532" s="24" t="s">
        <v>662</v>
      </c>
      <c r="I2532" s="25" t="s">
        <v>663</v>
      </c>
      <c r="J2532" s="8" t="s">
        <v>664</v>
      </c>
      <c r="K2532" s="8" t="s">
        <v>10040</v>
      </c>
      <c r="L2532" s="15">
        <v>0.31459100000000001</v>
      </c>
      <c r="M2532" s="15">
        <v>0.447098</v>
      </c>
      <c r="N2532" s="15">
        <v>0.78281864587445715</v>
      </c>
    </row>
    <row r="2533" spans="1:14" x14ac:dyDescent="0.2">
      <c r="A2533" s="2" t="s">
        <v>10068</v>
      </c>
      <c r="B2533" s="15">
        <v>2386</v>
      </c>
      <c r="C2533" s="15">
        <v>20</v>
      </c>
      <c r="D2533" s="15">
        <v>15962577</v>
      </c>
      <c r="E2533" s="15">
        <v>16661516</v>
      </c>
      <c r="F2533" s="15">
        <v>2447</v>
      </c>
      <c r="G2533" s="8" t="s">
        <v>12324</v>
      </c>
      <c r="H2533" s="24" t="s">
        <v>1259</v>
      </c>
      <c r="I2533" s="25">
        <v>27096</v>
      </c>
      <c r="J2533" s="8" t="s">
        <v>1261</v>
      </c>
      <c r="K2533" s="8" t="s">
        <v>10040</v>
      </c>
      <c r="L2533" s="15">
        <v>0.253631</v>
      </c>
      <c r="M2533" s="15">
        <v>0.44659500000000002</v>
      </c>
      <c r="N2533" s="15">
        <v>0.78281864587445715</v>
      </c>
    </row>
    <row r="2534" spans="1:14" x14ac:dyDescent="0.2">
      <c r="A2534" s="2" t="s">
        <v>10068</v>
      </c>
      <c r="B2534" s="15">
        <v>1857</v>
      </c>
      <c r="C2534" s="15">
        <v>12</v>
      </c>
      <c r="D2534" s="15">
        <v>129170297</v>
      </c>
      <c r="E2534" s="15">
        <v>129887418</v>
      </c>
      <c r="F2534" s="15">
        <v>2776</v>
      </c>
      <c r="G2534" s="8" t="s">
        <v>12324</v>
      </c>
      <c r="H2534" s="24" t="s">
        <v>1259</v>
      </c>
      <c r="I2534" s="25">
        <v>27096</v>
      </c>
      <c r="J2534" s="8" t="s">
        <v>1261</v>
      </c>
      <c r="K2534" s="8" t="s">
        <v>10040</v>
      </c>
      <c r="L2534" s="15">
        <v>9.4907000000000005E-2</v>
      </c>
      <c r="M2534" s="15">
        <v>0.446907</v>
      </c>
      <c r="N2534" s="15">
        <v>0.78281864587445715</v>
      </c>
    </row>
    <row r="2535" spans="1:14" x14ac:dyDescent="0.2">
      <c r="A2535" s="2" t="s">
        <v>10066</v>
      </c>
      <c r="B2535" s="15">
        <v>1847</v>
      </c>
      <c r="C2535" s="15">
        <v>12</v>
      </c>
      <c r="D2535" s="15">
        <v>118256125</v>
      </c>
      <c r="E2535" s="15">
        <v>119301061</v>
      </c>
      <c r="F2535" s="15">
        <v>2779</v>
      </c>
      <c r="G2535" s="8" t="s">
        <v>12324</v>
      </c>
      <c r="H2535" s="24" t="s">
        <v>6008</v>
      </c>
      <c r="I2535" s="25" t="s">
        <v>6009</v>
      </c>
      <c r="J2535" s="8" t="s">
        <v>6010</v>
      </c>
      <c r="K2535" s="8" t="s">
        <v>10051</v>
      </c>
      <c r="L2535" s="15">
        <v>0.15718499999999999</v>
      </c>
      <c r="M2535" s="15">
        <v>0.44699800000000001</v>
      </c>
      <c r="N2535" s="15">
        <v>0.78281864587445715</v>
      </c>
    </row>
    <row r="2536" spans="1:14" x14ac:dyDescent="0.2">
      <c r="A2536" s="2" t="s">
        <v>10068</v>
      </c>
      <c r="B2536" s="15">
        <v>1260</v>
      </c>
      <c r="C2536" s="15">
        <v>8</v>
      </c>
      <c r="D2536" s="15">
        <v>16988031</v>
      </c>
      <c r="E2536" s="15">
        <v>17492672</v>
      </c>
      <c r="F2536" s="15">
        <v>2056</v>
      </c>
      <c r="G2536" s="8" t="s">
        <v>12324</v>
      </c>
      <c r="H2536" s="24" t="s">
        <v>599</v>
      </c>
      <c r="I2536" s="25">
        <v>26562</v>
      </c>
      <c r="J2536" s="8" t="s">
        <v>601</v>
      </c>
      <c r="K2536" s="8" t="s">
        <v>10040</v>
      </c>
      <c r="L2536" s="15">
        <v>-0.175675</v>
      </c>
      <c r="M2536" s="15">
        <v>0.44777699999999998</v>
      </c>
      <c r="N2536" s="15">
        <v>0.78369810378847671</v>
      </c>
    </row>
    <row r="2537" spans="1:14" x14ac:dyDescent="0.2">
      <c r="A2537" s="2" t="s">
        <v>10068</v>
      </c>
      <c r="B2537" s="15">
        <v>173</v>
      </c>
      <c r="C2537" s="15">
        <v>1</v>
      </c>
      <c r="D2537" s="15">
        <v>222763598</v>
      </c>
      <c r="E2537" s="15">
        <v>223654902</v>
      </c>
      <c r="F2537" s="15">
        <v>2151</v>
      </c>
      <c r="G2537" s="8" t="s">
        <v>12324</v>
      </c>
      <c r="H2537" s="24" t="s">
        <v>599</v>
      </c>
      <c r="I2537" s="25">
        <v>26562</v>
      </c>
      <c r="J2537" s="8" t="s">
        <v>601</v>
      </c>
      <c r="K2537" s="8" t="s">
        <v>10040</v>
      </c>
      <c r="L2537" s="15">
        <v>0.22226499999999999</v>
      </c>
      <c r="M2537" s="15">
        <v>0.44806800000000002</v>
      </c>
      <c r="N2537" s="15">
        <v>0.78371311711356462</v>
      </c>
    </row>
    <row r="2538" spans="1:14" x14ac:dyDescent="0.2">
      <c r="A2538" s="2" t="s">
        <v>10069</v>
      </c>
      <c r="B2538" s="15">
        <v>843</v>
      </c>
      <c r="C2538" s="15">
        <v>5</v>
      </c>
      <c r="D2538" s="15">
        <v>81710195</v>
      </c>
      <c r="E2538" s="15">
        <v>82720248</v>
      </c>
      <c r="F2538" s="15">
        <v>1468</v>
      </c>
      <c r="G2538" s="8" t="s">
        <v>12324</v>
      </c>
      <c r="H2538" s="24" t="s">
        <v>662</v>
      </c>
      <c r="I2538" s="25" t="s">
        <v>663</v>
      </c>
      <c r="J2538" s="8" t="s">
        <v>664</v>
      </c>
      <c r="K2538" s="8" t="s">
        <v>10040</v>
      </c>
      <c r="L2538" s="15">
        <v>-0.26346000000000003</v>
      </c>
      <c r="M2538" s="15">
        <v>0.44813900000000001</v>
      </c>
      <c r="N2538" s="15">
        <v>0.78371311711356462</v>
      </c>
    </row>
    <row r="2539" spans="1:14" x14ac:dyDescent="0.2">
      <c r="A2539" s="2" t="s">
        <v>10066</v>
      </c>
      <c r="B2539" s="15">
        <v>925</v>
      </c>
      <c r="C2539" s="15">
        <v>5</v>
      </c>
      <c r="D2539" s="15">
        <v>179794711</v>
      </c>
      <c r="E2539" s="15">
        <v>180902886</v>
      </c>
      <c r="F2539" s="15">
        <v>3285</v>
      </c>
      <c r="G2539" s="8" t="s">
        <v>12324</v>
      </c>
      <c r="H2539" s="24" t="s">
        <v>3164</v>
      </c>
      <c r="I2539" s="25" t="s">
        <v>3165</v>
      </c>
      <c r="J2539" s="8" t="s">
        <v>3166</v>
      </c>
      <c r="K2539" s="8" t="s">
        <v>10042</v>
      </c>
      <c r="L2539" s="15">
        <v>-0.101411</v>
      </c>
      <c r="M2539" s="15">
        <v>0.44876899999999997</v>
      </c>
      <c r="N2539" s="15">
        <v>0.78450552424122977</v>
      </c>
    </row>
    <row r="2540" spans="1:14" x14ac:dyDescent="0.2">
      <c r="A2540" s="2" t="s">
        <v>10068</v>
      </c>
      <c r="B2540" s="15">
        <v>1921</v>
      </c>
      <c r="C2540" s="15">
        <v>13</v>
      </c>
      <c r="D2540" s="15">
        <v>81724090</v>
      </c>
      <c r="E2540" s="15">
        <v>82582821</v>
      </c>
      <c r="F2540" s="15">
        <v>2395</v>
      </c>
      <c r="G2540" s="8" t="s">
        <v>12324</v>
      </c>
      <c r="H2540" s="24" t="s">
        <v>494</v>
      </c>
      <c r="I2540" s="25">
        <v>25920</v>
      </c>
      <c r="J2540" s="8" t="s">
        <v>496</v>
      </c>
      <c r="K2540" s="8" t="s">
        <v>10040</v>
      </c>
      <c r="L2540" s="15">
        <v>0.11891599999999999</v>
      </c>
      <c r="M2540" s="15">
        <v>0.44967600000000002</v>
      </c>
      <c r="N2540" s="15">
        <v>0.78547148760330576</v>
      </c>
    </row>
    <row r="2541" spans="1:14" x14ac:dyDescent="0.2">
      <c r="A2541" s="2" t="s">
        <v>10066</v>
      </c>
      <c r="B2541" s="15">
        <v>1454</v>
      </c>
      <c r="C2541" s="15">
        <v>9</v>
      </c>
      <c r="D2541" s="15">
        <v>110630151</v>
      </c>
      <c r="E2541" s="15">
        <v>111368107</v>
      </c>
      <c r="F2541" s="15">
        <v>2133</v>
      </c>
      <c r="G2541" s="8" t="s">
        <v>12324</v>
      </c>
      <c r="H2541" s="24" t="s">
        <v>3164</v>
      </c>
      <c r="I2541" s="25" t="s">
        <v>3165</v>
      </c>
      <c r="J2541" s="8" t="s">
        <v>3166</v>
      </c>
      <c r="K2541" s="8" t="s">
        <v>10042</v>
      </c>
      <c r="L2541" s="15">
        <v>-0.16631099999999999</v>
      </c>
      <c r="M2541" s="15">
        <v>0.44994499999999998</v>
      </c>
      <c r="N2541" s="15">
        <v>0.78547148760330576</v>
      </c>
    </row>
    <row r="2542" spans="1:14" x14ac:dyDescent="0.2">
      <c r="A2542" s="2" t="s">
        <v>10066</v>
      </c>
      <c r="B2542" s="15">
        <v>448</v>
      </c>
      <c r="C2542" s="15">
        <v>3</v>
      </c>
      <c r="D2542" s="15">
        <v>27614909</v>
      </c>
      <c r="E2542" s="15">
        <v>28649810</v>
      </c>
      <c r="F2542" s="15">
        <v>2308</v>
      </c>
      <c r="G2542" s="8" t="s">
        <v>12324</v>
      </c>
      <c r="H2542" s="24" t="s">
        <v>6008</v>
      </c>
      <c r="I2542" s="25" t="s">
        <v>6009</v>
      </c>
      <c r="J2542" s="8" t="s">
        <v>6010</v>
      </c>
      <c r="K2542" s="8" t="s">
        <v>10051</v>
      </c>
      <c r="L2542" s="15">
        <v>0.18731400000000001</v>
      </c>
      <c r="M2542" s="15">
        <v>0.44966400000000001</v>
      </c>
      <c r="N2542" s="15">
        <v>0.78547148760330576</v>
      </c>
    </row>
    <row r="2543" spans="1:14" x14ac:dyDescent="0.2">
      <c r="A2543" s="2" t="s">
        <v>10066</v>
      </c>
      <c r="B2543" s="15">
        <v>1379</v>
      </c>
      <c r="C2543" s="15">
        <v>9</v>
      </c>
      <c r="D2543" s="15">
        <v>6859792</v>
      </c>
      <c r="E2543" s="15">
        <v>7388202</v>
      </c>
      <c r="F2543" s="15">
        <v>2248</v>
      </c>
      <c r="G2543" s="8" t="s">
        <v>12324</v>
      </c>
      <c r="H2543" s="24" t="s">
        <v>6008</v>
      </c>
      <c r="I2543" s="25" t="s">
        <v>6009</v>
      </c>
      <c r="J2543" s="8" t="s">
        <v>6010</v>
      </c>
      <c r="K2543" s="8" t="s">
        <v>10051</v>
      </c>
      <c r="L2543" s="15">
        <v>0.194938</v>
      </c>
      <c r="M2543" s="15">
        <v>0.45002999999999999</v>
      </c>
      <c r="N2543" s="15">
        <v>0.78547148760330576</v>
      </c>
    </row>
    <row r="2544" spans="1:14" x14ac:dyDescent="0.2">
      <c r="A2544" s="2" t="s">
        <v>10069</v>
      </c>
      <c r="B2544" s="15">
        <v>1791</v>
      </c>
      <c r="C2544" s="15">
        <v>12</v>
      </c>
      <c r="D2544" s="15">
        <v>53039988</v>
      </c>
      <c r="E2544" s="15">
        <v>54371448</v>
      </c>
      <c r="F2544" s="15">
        <v>2028</v>
      </c>
      <c r="G2544" s="8" t="s">
        <v>12324</v>
      </c>
      <c r="H2544" s="24" t="s">
        <v>662</v>
      </c>
      <c r="I2544" s="25" t="s">
        <v>663</v>
      </c>
      <c r="J2544" s="8" t="s">
        <v>664</v>
      </c>
      <c r="K2544" s="8" t="s">
        <v>10040</v>
      </c>
      <c r="L2544" s="15">
        <v>-0.209677</v>
      </c>
      <c r="M2544" s="15">
        <v>0.45122499999999999</v>
      </c>
      <c r="N2544" s="15">
        <v>0.78708093123772105</v>
      </c>
    </row>
    <row r="2545" spans="1:14" x14ac:dyDescent="0.2">
      <c r="A2545" s="2" t="s">
        <v>10068</v>
      </c>
      <c r="B2545" s="15">
        <v>1746</v>
      </c>
      <c r="C2545" s="15">
        <v>12</v>
      </c>
      <c r="D2545" s="15">
        <v>6023701</v>
      </c>
      <c r="E2545" s="15">
        <v>6948954</v>
      </c>
      <c r="F2545" s="15">
        <v>2607</v>
      </c>
      <c r="G2545" s="8" t="s">
        <v>12324</v>
      </c>
      <c r="H2545" s="24" t="s">
        <v>1259</v>
      </c>
      <c r="I2545" s="25">
        <v>27096</v>
      </c>
      <c r="J2545" s="8" t="s">
        <v>1261</v>
      </c>
      <c r="K2545" s="8" t="s">
        <v>10040</v>
      </c>
      <c r="L2545" s="15">
        <v>9.1444700000000004E-2</v>
      </c>
      <c r="M2545" s="15">
        <v>0.45158700000000002</v>
      </c>
      <c r="N2545" s="15">
        <v>0.78708093123772105</v>
      </c>
    </row>
    <row r="2546" spans="1:14" x14ac:dyDescent="0.2">
      <c r="A2546" s="2" t="s">
        <v>10068</v>
      </c>
      <c r="B2546" s="15">
        <v>2390</v>
      </c>
      <c r="C2546" s="15">
        <v>20</v>
      </c>
      <c r="D2546" s="15">
        <v>18959420</v>
      </c>
      <c r="E2546" s="15">
        <v>19957928</v>
      </c>
      <c r="F2546" s="15">
        <v>2835</v>
      </c>
      <c r="G2546" s="8" t="s">
        <v>12324</v>
      </c>
      <c r="H2546" s="24" t="s">
        <v>1259</v>
      </c>
      <c r="I2546" s="25">
        <v>27096</v>
      </c>
      <c r="J2546" s="8" t="s">
        <v>1261</v>
      </c>
      <c r="K2546" s="8" t="s">
        <v>10040</v>
      </c>
      <c r="L2546" s="15">
        <v>0.269922</v>
      </c>
      <c r="M2546" s="15">
        <v>0.45166200000000001</v>
      </c>
      <c r="N2546" s="15">
        <v>0.78708093123772105</v>
      </c>
    </row>
    <row r="2547" spans="1:14" x14ac:dyDescent="0.2">
      <c r="A2547" s="2" t="s">
        <v>10068</v>
      </c>
      <c r="B2547" s="15">
        <v>1227</v>
      </c>
      <c r="C2547" s="15">
        <v>7</v>
      </c>
      <c r="D2547" s="15">
        <v>154407488</v>
      </c>
      <c r="E2547" s="15">
        <v>155280610</v>
      </c>
      <c r="F2547" s="15">
        <v>3524</v>
      </c>
      <c r="G2547" s="8" t="s">
        <v>12324</v>
      </c>
      <c r="H2547" s="24" t="s">
        <v>6565</v>
      </c>
      <c r="I2547" s="25" t="s">
        <v>6475</v>
      </c>
      <c r="J2547" s="8" t="s">
        <v>6566</v>
      </c>
      <c r="K2547" s="8" t="s">
        <v>10054</v>
      </c>
      <c r="L2547" s="15">
        <v>-0.18890699999999999</v>
      </c>
      <c r="M2547" s="15">
        <v>0.451625</v>
      </c>
      <c r="N2547" s="15">
        <v>0.78708093123772105</v>
      </c>
    </row>
    <row r="2548" spans="1:14" x14ac:dyDescent="0.2">
      <c r="A2548" s="2" t="s">
        <v>10068</v>
      </c>
      <c r="B2548" s="15">
        <v>2258</v>
      </c>
      <c r="C2548" s="15">
        <v>18</v>
      </c>
      <c r="D2548" s="15">
        <v>24088164</v>
      </c>
      <c r="E2548" s="15">
        <v>25305260</v>
      </c>
      <c r="F2548" s="15">
        <v>2986</v>
      </c>
      <c r="G2548" s="8" t="s">
        <v>12324</v>
      </c>
      <c r="H2548" s="24" t="s">
        <v>599</v>
      </c>
      <c r="I2548" s="25">
        <v>26562</v>
      </c>
      <c r="J2548" s="8" t="s">
        <v>601</v>
      </c>
      <c r="K2548" s="8" t="s">
        <v>10040</v>
      </c>
      <c r="L2548" s="15">
        <v>-0.17388300000000001</v>
      </c>
      <c r="M2548" s="15">
        <v>0.45200299999999999</v>
      </c>
      <c r="N2548" s="15">
        <v>0.78736579143754903</v>
      </c>
    </row>
    <row r="2549" spans="1:14" x14ac:dyDescent="0.2">
      <c r="A2549" s="2" t="s">
        <v>10068</v>
      </c>
      <c r="B2549" s="15">
        <v>1482</v>
      </c>
      <c r="C2549" s="15">
        <v>9</v>
      </c>
      <c r="D2549" s="15">
        <v>138202113</v>
      </c>
      <c r="E2549" s="15">
        <v>138995791</v>
      </c>
      <c r="F2549" s="15">
        <v>2601</v>
      </c>
      <c r="G2549" s="8" t="s">
        <v>12324</v>
      </c>
      <c r="H2549" s="24" t="s">
        <v>494</v>
      </c>
      <c r="I2549" s="25">
        <v>25920</v>
      </c>
      <c r="J2549" s="8" t="s">
        <v>496</v>
      </c>
      <c r="K2549" s="8" t="s">
        <v>10040</v>
      </c>
      <c r="L2549" s="15">
        <v>0.15199199999999999</v>
      </c>
      <c r="M2549" s="15">
        <v>0.45234200000000002</v>
      </c>
      <c r="N2549" s="15">
        <v>0.78764694542599145</v>
      </c>
    </row>
    <row r="2550" spans="1:14" x14ac:dyDescent="0.2">
      <c r="A2550" s="2" t="s">
        <v>10068</v>
      </c>
      <c r="B2550" s="15">
        <v>1976</v>
      </c>
      <c r="C2550" s="15">
        <v>14</v>
      </c>
      <c r="D2550" s="15">
        <v>43321169</v>
      </c>
      <c r="E2550" s="15">
        <v>44623273</v>
      </c>
      <c r="F2550" s="15">
        <v>4036</v>
      </c>
      <c r="G2550" s="8" t="s">
        <v>12324</v>
      </c>
      <c r="H2550" s="24" t="s">
        <v>494</v>
      </c>
      <c r="I2550" s="25">
        <v>25920</v>
      </c>
      <c r="J2550" s="8" t="s">
        <v>496</v>
      </c>
      <c r="K2550" s="8" t="s">
        <v>10040</v>
      </c>
      <c r="L2550" s="15">
        <v>-0.20464299999999999</v>
      </c>
      <c r="M2550" s="15">
        <v>0.45312400000000003</v>
      </c>
      <c r="N2550" s="15">
        <v>0.78765461026243633</v>
      </c>
    </row>
    <row r="2551" spans="1:14" x14ac:dyDescent="0.2">
      <c r="A2551" s="2" t="s">
        <v>10068</v>
      </c>
      <c r="B2551" s="15">
        <v>2452</v>
      </c>
      <c r="C2551" s="15">
        <v>21</v>
      </c>
      <c r="D2551" s="15">
        <v>38046450</v>
      </c>
      <c r="E2551" s="15">
        <v>39252059</v>
      </c>
      <c r="F2551" s="15">
        <v>3382</v>
      </c>
      <c r="G2551" s="8" t="s">
        <v>12324</v>
      </c>
      <c r="H2551" s="24" t="s">
        <v>494</v>
      </c>
      <c r="I2551" s="25">
        <v>25920</v>
      </c>
      <c r="J2551" s="8" t="s">
        <v>496</v>
      </c>
      <c r="K2551" s="8" t="s">
        <v>10040</v>
      </c>
      <c r="L2551" s="15">
        <v>-0.25874200000000003</v>
      </c>
      <c r="M2551" s="15">
        <v>0.45335799999999998</v>
      </c>
      <c r="N2551" s="15">
        <v>0.78765461026243633</v>
      </c>
    </row>
    <row r="2552" spans="1:14" x14ac:dyDescent="0.2">
      <c r="A2552" s="2" t="s">
        <v>10068</v>
      </c>
      <c r="B2552" s="15">
        <v>1742</v>
      </c>
      <c r="C2552" s="15">
        <v>12</v>
      </c>
      <c r="D2552" s="15">
        <v>1942427</v>
      </c>
      <c r="E2552" s="15">
        <v>3069506</v>
      </c>
      <c r="F2552" s="15">
        <v>2942</v>
      </c>
      <c r="G2552" s="8" t="s">
        <v>12324</v>
      </c>
      <c r="H2552" s="24" t="s">
        <v>599</v>
      </c>
      <c r="I2552" s="25">
        <v>26562</v>
      </c>
      <c r="J2552" s="8" t="s">
        <v>601</v>
      </c>
      <c r="K2552" s="8" t="s">
        <v>10040</v>
      </c>
      <c r="L2552" s="15">
        <v>-0.135902</v>
      </c>
      <c r="M2552" s="15">
        <v>0.453013</v>
      </c>
      <c r="N2552" s="15">
        <v>0.78765461026243633</v>
      </c>
    </row>
    <row r="2553" spans="1:14" x14ac:dyDescent="0.2">
      <c r="A2553" s="2" t="s">
        <v>10068</v>
      </c>
      <c r="B2553" s="15">
        <v>1085</v>
      </c>
      <c r="C2553" s="15">
        <v>6</v>
      </c>
      <c r="D2553" s="15">
        <v>161371015</v>
      </c>
      <c r="E2553" s="15">
        <v>162254229</v>
      </c>
      <c r="F2553" s="15">
        <v>2715</v>
      </c>
      <c r="G2553" s="8" t="s">
        <v>12324</v>
      </c>
      <c r="H2553" s="24" t="s">
        <v>599</v>
      </c>
      <c r="I2553" s="25">
        <v>26562</v>
      </c>
      <c r="J2553" s="8" t="s">
        <v>601</v>
      </c>
      <c r="K2553" s="8" t="s">
        <v>10040</v>
      </c>
      <c r="L2553" s="15">
        <v>-0.11945799999999999</v>
      </c>
      <c r="M2553" s="15">
        <v>0.45303700000000002</v>
      </c>
      <c r="N2553" s="15">
        <v>0.78765461026243633</v>
      </c>
    </row>
    <row r="2554" spans="1:14" x14ac:dyDescent="0.2">
      <c r="A2554" s="2" t="s">
        <v>10068</v>
      </c>
      <c r="B2554" s="15">
        <v>3</v>
      </c>
      <c r="C2554" s="15">
        <v>1</v>
      </c>
      <c r="D2554" s="15">
        <v>2215496</v>
      </c>
      <c r="E2554" s="15">
        <v>2983519</v>
      </c>
      <c r="F2554" s="15">
        <v>2239</v>
      </c>
      <c r="G2554" s="8" t="s">
        <v>12324</v>
      </c>
      <c r="H2554" s="24" t="s">
        <v>599</v>
      </c>
      <c r="I2554" s="25">
        <v>26562</v>
      </c>
      <c r="J2554" s="8" t="s">
        <v>601</v>
      </c>
      <c r="K2554" s="8" t="s">
        <v>10040</v>
      </c>
      <c r="L2554" s="15">
        <v>0.206456</v>
      </c>
      <c r="M2554" s="15">
        <v>0.45341199999999998</v>
      </c>
      <c r="N2554" s="15">
        <v>0.78765461026243633</v>
      </c>
    </row>
    <row r="2555" spans="1:14" x14ac:dyDescent="0.2">
      <c r="A2555" s="2" t="s">
        <v>10069</v>
      </c>
      <c r="B2555" s="15">
        <v>269</v>
      </c>
      <c r="C2555" s="15">
        <v>2</v>
      </c>
      <c r="D2555" s="15">
        <v>62429911</v>
      </c>
      <c r="E2555" s="15">
        <v>63672118</v>
      </c>
      <c r="F2555" s="15">
        <v>1572</v>
      </c>
      <c r="G2555" s="8" t="s">
        <v>12324</v>
      </c>
      <c r="H2555" s="24" t="s">
        <v>662</v>
      </c>
      <c r="I2555" s="25" t="s">
        <v>663</v>
      </c>
      <c r="J2555" s="8" t="s">
        <v>664</v>
      </c>
      <c r="K2555" s="8" t="s">
        <v>10040</v>
      </c>
      <c r="L2555" s="15">
        <v>0.28488999999999998</v>
      </c>
      <c r="M2555" s="15">
        <v>0.45278400000000002</v>
      </c>
      <c r="N2555" s="15">
        <v>0.78765461026243633</v>
      </c>
    </row>
    <row r="2556" spans="1:14" x14ac:dyDescent="0.2">
      <c r="A2556" s="2" t="s">
        <v>10066</v>
      </c>
      <c r="B2556" s="15">
        <v>2231</v>
      </c>
      <c r="C2556" s="15">
        <v>17</v>
      </c>
      <c r="D2556" s="15">
        <v>74908267</v>
      </c>
      <c r="E2556" s="15">
        <v>75619256</v>
      </c>
      <c r="F2556" s="15">
        <v>2648</v>
      </c>
      <c r="G2556" s="8" t="s">
        <v>12324</v>
      </c>
      <c r="H2556" s="24" t="s">
        <v>6008</v>
      </c>
      <c r="I2556" s="25" t="s">
        <v>6009</v>
      </c>
      <c r="J2556" s="8" t="s">
        <v>6010</v>
      </c>
      <c r="K2556" s="8" t="s">
        <v>10051</v>
      </c>
      <c r="L2556" s="15">
        <v>0.186529</v>
      </c>
      <c r="M2556" s="15">
        <v>0.45361400000000002</v>
      </c>
      <c r="N2556" s="15">
        <v>0.78769698120595144</v>
      </c>
    </row>
    <row r="2557" spans="1:14" x14ac:dyDescent="0.2">
      <c r="A2557" s="2" t="s">
        <v>10068</v>
      </c>
      <c r="B2557" s="15">
        <v>2143</v>
      </c>
      <c r="C2557" s="15">
        <v>16</v>
      </c>
      <c r="D2557" s="15">
        <v>64207177</v>
      </c>
      <c r="E2557" s="15">
        <v>65072403</v>
      </c>
      <c r="F2557" s="15">
        <v>2337</v>
      </c>
      <c r="G2557" s="8" t="s">
        <v>12324</v>
      </c>
      <c r="H2557" s="24" t="s">
        <v>1259</v>
      </c>
      <c r="I2557" s="25">
        <v>27096</v>
      </c>
      <c r="J2557" s="8" t="s">
        <v>1261</v>
      </c>
      <c r="K2557" s="8" t="s">
        <v>10040</v>
      </c>
      <c r="L2557" s="15">
        <v>-0.27717799999999998</v>
      </c>
      <c r="M2557" s="15">
        <v>0.454092</v>
      </c>
      <c r="N2557" s="15">
        <v>0.78821840313111546</v>
      </c>
    </row>
    <row r="2558" spans="1:14" x14ac:dyDescent="0.2">
      <c r="A2558" s="2" t="s">
        <v>10068</v>
      </c>
      <c r="B2558" s="15">
        <v>114</v>
      </c>
      <c r="C2558" s="15">
        <v>1</v>
      </c>
      <c r="D2558" s="15">
        <v>156813846</v>
      </c>
      <c r="E2558" s="15">
        <v>158081627</v>
      </c>
      <c r="F2558" s="15">
        <v>3524</v>
      </c>
      <c r="G2558" s="8" t="s">
        <v>12324</v>
      </c>
      <c r="H2558" s="24" t="s">
        <v>494</v>
      </c>
      <c r="I2558" s="25">
        <v>25920</v>
      </c>
      <c r="J2558" s="8" t="s">
        <v>496</v>
      </c>
      <c r="K2558" s="8" t="s">
        <v>10040</v>
      </c>
      <c r="L2558" s="15">
        <v>-0.21165100000000001</v>
      </c>
      <c r="M2558" s="15">
        <v>0.45466600000000001</v>
      </c>
      <c r="N2558" s="15">
        <v>0.78890598982785598</v>
      </c>
    </row>
    <row r="2559" spans="1:14" x14ac:dyDescent="0.2">
      <c r="A2559" s="2" t="s">
        <v>10068</v>
      </c>
      <c r="B2559" s="15">
        <v>1802</v>
      </c>
      <c r="C2559" s="15">
        <v>12</v>
      </c>
      <c r="D2559" s="15">
        <v>67183621</v>
      </c>
      <c r="E2559" s="15">
        <v>68006682</v>
      </c>
      <c r="F2559" s="15">
        <v>2250</v>
      </c>
      <c r="G2559" s="8" t="s">
        <v>12324</v>
      </c>
      <c r="H2559" s="24" t="s">
        <v>599</v>
      </c>
      <c r="I2559" s="25">
        <v>26562</v>
      </c>
      <c r="J2559" s="8" t="s">
        <v>601</v>
      </c>
      <c r="K2559" s="8" t="s">
        <v>10040</v>
      </c>
      <c r="L2559" s="15">
        <v>0.148975</v>
      </c>
      <c r="M2559" s="15">
        <v>0.45518399999999998</v>
      </c>
      <c r="N2559" s="15">
        <v>0.78899499218444702</v>
      </c>
    </row>
    <row r="2560" spans="1:14" x14ac:dyDescent="0.2">
      <c r="A2560" s="2" t="s">
        <v>10068</v>
      </c>
      <c r="B2560" s="15">
        <v>778</v>
      </c>
      <c r="C2560" s="15">
        <v>5</v>
      </c>
      <c r="D2560" s="15">
        <v>2106886</v>
      </c>
      <c r="E2560" s="15">
        <v>2960068</v>
      </c>
      <c r="F2560" s="15">
        <v>3324</v>
      </c>
      <c r="G2560" s="8" t="s">
        <v>12324</v>
      </c>
      <c r="H2560" s="24" t="s">
        <v>1259</v>
      </c>
      <c r="I2560" s="25">
        <v>27096</v>
      </c>
      <c r="J2560" s="8" t="s">
        <v>1261</v>
      </c>
      <c r="K2560" s="8" t="s">
        <v>10040</v>
      </c>
      <c r="L2560" s="15">
        <v>0.18278700000000001</v>
      </c>
      <c r="M2560" s="15">
        <v>0.45518199999999998</v>
      </c>
      <c r="N2560" s="15">
        <v>0.78899499218444702</v>
      </c>
    </row>
    <row r="2561" spans="1:14" x14ac:dyDescent="0.2">
      <c r="A2561" s="2" t="s">
        <v>10066</v>
      </c>
      <c r="B2561" s="15">
        <v>1732</v>
      </c>
      <c r="C2561" s="15">
        <v>11</v>
      </c>
      <c r="D2561" s="15">
        <v>127306872</v>
      </c>
      <c r="E2561" s="15">
        <v>128262550</v>
      </c>
      <c r="F2561" s="15">
        <v>2634</v>
      </c>
      <c r="G2561" s="8" t="s">
        <v>12324</v>
      </c>
      <c r="H2561" s="24" t="s">
        <v>6008</v>
      </c>
      <c r="I2561" s="25" t="s">
        <v>6009</v>
      </c>
      <c r="J2561" s="8" t="s">
        <v>6010</v>
      </c>
      <c r="K2561" s="8" t="s">
        <v>10051</v>
      </c>
      <c r="L2561" s="15">
        <v>0.25617000000000001</v>
      </c>
      <c r="M2561" s="15">
        <v>0.45525100000000002</v>
      </c>
      <c r="N2561" s="15">
        <v>0.78899499218444702</v>
      </c>
    </row>
    <row r="2562" spans="1:14" x14ac:dyDescent="0.2">
      <c r="A2562" s="2" t="s">
        <v>10068</v>
      </c>
      <c r="B2562" s="15">
        <v>686</v>
      </c>
      <c r="C2562" s="15">
        <v>4</v>
      </c>
      <c r="D2562" s="15">
        <v>96183802</v>
      </c>
      <c r="E2562" s="15">
        <v>97540787</v>
      </c>
      <c r="F2562" s="15">
        <v>4080</v>
      </c>
      <c r="G2562" s="8" t="s">
        <v>12324</v>
      </c>
      <c r="H2562" s="24" t="s">
        <v>6565</v>
      </c>
      <c r="I2562" s="25" t="s">
        <v>6475</v>
      </c>
      <c r="J2562" s="8" t="s">
        <v>6566</v>
      </c>
      <c r="K2562" s="8" t="s">
        <v>10054</v>
      </c>
      <c r="L2562" s="15">
        <v>-0.25986300000000001</v>
      </c>
      <c r="M2562" s="15">
        <v>0.45581199999999999</v>
      </c>
      <c r="N2562" s="15">
        <v>0.78965867968750003</v>
      </c>
    </row>
    <row r="2563" spans="1:14" x14ac:dyDescent="0.2">
      <c r="A2563" s="2" t="s">
        <v>10066</v>
      </c>
      <c r="B2563" s="15">
        <v>235</v>
      </c>
      <c r="C2563" s="15">
        <v>2</v>
      </c>
      <c r="D2563" s="15">
        <v>33123605</v>
      </c>
      <c r="E2563" s="15">
        <v>33735318</v>
      </c>
      <c r="F2563" s="15">
        <v>2228</v>
      </c>
      <c r="G2563" s="8" t="s">
        <v>12324</v>
      </c>
      <c r="H2563" s="24" t="s">
        <v>6008</v>
      </c>
      <c r="I2563" s="25" t="s">
        <v>6009</v>
      </c>
      <c r="J2563" s="8" t="s">
        <v>6010</v>
      </c>
      <c r="K2563" s="8" t="s">
        <v>10051</v>
      </c>
      <c r="L2563" s="15">
        <v>0.21043600000000001</v>
      </c>
      <c r="M2563" s="15">
        <v>0.45631100000000002</v>
      </c>
      <c r="N2563" s="15">
        <v>0.78990604410616716</v>
      </c>
    </row>
    <row r="2564" spans="1:14" x14ac:dyDescent="0.2">
      <c r="A2564" s="2" t="s">
        <v>10068</v>
      </c>
      <c r="B2564" s="15">
        <v>2415</v>
      </c>
      <c r="C2564" s="15">
        <v>20</v>
      </c>
      <c r="D2564" s="15">
        <v>51533751</v>
      </c>
      <c r="E2564" s="15">
        <v>52411532</v>
      </c>
      <c r="F2564" s="15">
        <v>2241</v>
      </c>
      <c r="G2564" s="8" t="s">
        <v>12324</v>
      </c>
      <c r="H2564" s="24" t="s">
        <v>6565</v>
      </c>
      <c r="I2564" s="25" t="s">
        <v>6475</v>
      </c>
      <c r="J2564" s="8" t="s">
        <v>6566</v>
      </c>
      <c r="K2564" s="8" t="s">
        <v>10054</v>
      </c>
      <c r="L2564" s="15">
        <v>0.19700300000000001</v>
      </c>
      <c r="M2564" s="15">
        <v>0.45618799999999998</v>
      </c>
      <c r="N2564" s="15">
        <v>0.78990604410616716</v>
      </c>
    </row>
    <row r="2565" spans="1:14" x14ac:dyDescent="0.2">
      <c r="A2565" s="2" t="s">
        <v>10068</v>
      </c>
      <c r="B2565" s="15">
        <v>1274</v>
      </c>
      <c r="C2565" s="15">
        <v>8</v>
      </c>
      <c r="D2565" s="15">
        <v>28344177</v>
      </c>
      <c r="E2565" s="15">
        <v>29744540</v>
      </c>
      <c r="F2565" s="15">
        <v>3004</v>
      </c>
      <c r="G2565" s="8" t="s">
        <v>12324</v>
      </c>
      <c r="H2565" s="24" t="s">
        <v>599</v>
      </c>
      <c r="I2565" s="25">
        <v>26562</v>
      </c>
      <c r="J2565" s="8" t="s">
        <v>601</v>
      </c>
      <c r="K2565" s="8" t="s">
        <v>10040</v>
      </c>
      <c r="L2565" s="15">
        <v>-0.130605</v>
      </c>
      <c r="M2565" s="15">
        <v>0.45734799999999998</v>
      </c>
      <c r="N2565" s="15">
        <v>0.7908000642773666</v>
      </c>
    </row>
    <row r="2566" spans="1:14" x14ac:dyDescent="0.2">
      <c r="A2566" s="2" t="s">
        <v>10069</v>
      </c>
      <c r="B2566" s="15">
        <v>1797</v>
      </c>
      <c r="C2566" s="15">
        <v>12</v>
      </c>
      <c r="D2566" s="15">
        <v>61737954</v>
      </c>
      <c r="E2566" s="15">
        <v>63055936</v>
      </c>
      <c r="F2566" s="15">
        <v>2500</v>
      </c>
      <c r="G2566" s="8" t="s">
        <v>12324</v>
      </c>
      <c r="H2566" s="24" t="s">
        <v>662</v>
      </c>
      <c r="I2566" s="25" t="s">
        <v>663</v>
      </c>
      <c r="J2566" s="8" t="s">
        <v>664</v>
      </c>
      <c r="K2566" s="8" t="s">
        <v>10040</v>
      </c>
      <c r="L2566" s="15">
        <v>0.24523200000000001</v>
      </c>
      <c r="M2566" s="15">
        <v>0.45726299999999998</v>
      </c>
      <c r="N2566" s="15">
        <v>0.7908000642773666</v>
      </c>
    </row>
    <row r="2567" spans="1:14" x14ac:dyDescent="0.2">
      <c r="A2567" s="2" t="s">
        <v>10069</v>
      </c>
      <c r="B2567" s="15">
        <v>687</v>
      </c>
      <c r="C2567" s="15">
        <v>4</v>
      </c>
      <c r="D2567" s="15">
        <v>97540788</v>
      </c>
      <c r="E2567" s="15">
        <v>98445515</v>
      </c>
      <c r="F2567" s="15">
        <v>1482</v>
      </c>
      <c r="G2567" s="8" t="s">
        <v>12324</v>
      </c>
      <c r="H2567" s="24" t="s">
        <v>662</v>
      </c>
      <c r="I2567" s="25" t="s">
        <v>663</v>
      </c>
      <c r="J2567" s="8" t="s">
        <v>664</v>
      </c>
      <c r="K2567" s="8" t="s">
        <v>10040</v>
      </c>
      <c r="L2567" s="15">
        <v>-0.32393499999999997</v>
      </c>
      <c r="M2567" s="15">
        <v>0.45738299999999998</v>
      </c>
      <c r="N2567" s="15">
        <v>0.7908000642773666</v>
      </c>
    </row>
    <row r="2568" spans="1:14" x14ac:dyDescent="0.2">
      <c r="A2568" s="2" t="s">
        <v>10066</v>
      </c>
      <c r="B2568" s="15">
        <v>2371</v>
      </c>
      <c r="C2568" s="15">
        <v>20</v>
      </c>
      <c r="D2568" s="15">
        <v>1771286</v>
      </c>
      <c r="E2568" s="15">
        <v>2668108</v>
      </c>
      <c r="F2568" s="15">
        <v>2787</v>
      </c>
      <c r="G2568" s="8" t="s">
        <v>12324</v>
      </c>
      <c r="H2568" s="24" t="s">
        <v>3164</v>
      </c>
      <c r="I2568" s="25" t="s">
        <v>3165</v>
      </c>
      <c r="J2568" s="8" t="s">
        <v>3166</v>
      </c>
      <c r="K2568" s="8" t="s">
        <v>10042</v>
      </c>
      <c r="L2568" s="15">
        <v>-0.154364</v>
      </c>
      <c r="M2568" s="15">
        <v>0.45771899999999999</v>
      </c>
      <c r="N2568" s="15">
        <v>0.7908000642773666</v>
      </c>
    </row>
    <row r="2569" spans="1:14" x14ac:dyDescent="0.2">
      <c r="A2569" s="2" t="s">
        <v>10068</v>
      </c>
      <c r="B2569" s="15">
        <v>466</v>
      </c>
      <c r="C2569" s="15">
        <v>3</v>
      </c>
      <c r="D2569" s="15">
        <v>51953969</v>
      </c>
      <c r="E2569" s="15">
        <v>54074844</v>
      </c>
      <c r="F2569" s="15">
        <v>3860</v>
      </c>
      <c r="G2569" s="8" t="s">
        <v>12324</v>
      </c>
      <c r="H2569" s="24" t="s">
        <v>6565</v>
      </c>
      <c r="I2569" s="25" t="s">
        <v>6475</v>
      </c>
      <c r="J2569" s="8" t="s">
        <v>6566</v>
      </c>
      <c r="K2569" s="8" t="s">
        <v>10054</v>
      </c>
      <c r="L2569" s="15">
        <v>-0.215923</v>
      </c>
      <c r="M2569" s="15">
        <v>0.457704</v>
      </c>
      <c r="N2569" s="15">
        <v>0.7908000642773666</v>
      </c>
    </row>
    <row r="2570" spans="1:14" x14ac:dyDescent="0.2">
      <c r="A2570" s="2" t="s">
        <v>10069</v>
      </c>
      <c r="B2570" s="15">
        <v>352</v>
      </c>
      <c r="C2570" s="15">
        <v>2</v>
      </c>
      <c r="D2570" s="15">
        <v>168437446</v>
      </c>
      <c r="E2570" s="15">
        <v>169224445</v>
      </c>
      <c r="F2570" s="15">
        <v>1361</v>
      </c>
      <c r="G2570" s="8" t="s">
        <v>12324</v>
      </c>
      <c r="H2570" s="24" t="s">
        <v>662</v>
      </c>
      <c r="I2570" s="25" t="s">
        <v>663</v>
      </c>
      <c r="J2570" s="8" t="s">
        <v>664</v>
      </c>
      <c r="K2570" s="8" t="s">
        <v>10040</v>
      </c>
      <c r="L2570" s="15">
        <v>-0.30154199999999998</v>
      </c>
      <c r="M2570" s="15">
        <v>0.45821499999999998</v>
      </c>
      <c r="N2570" s="15">
        <v>0.79104068703775776</v>
      </c>
    </row>
    <row r="2571" spans="1:14" x14ac:dyDescent="0.2">
      <c r="A2571" s="2" t="s">
        <v>10066</v>
      </c>
      <c r="B2571" s="15">
        <v>639</v>
      </c>
      <c r="C2571" s="15">
        <v>4</v>
      </c>
      <c r="D2571" s="15">
        <v>38984839</v>
      </c>
      <c r="E2571" s="15">
        <v>39820061</v>
      </c>
      <c r="F2571" s="15">
        <v>2117</v>
      </c>
      <c r="G2571" s="8" t="s">
        <v>12324</v>
      </c>
      <c r="H2571" s="24" t="s">
        <v>3164</v>
      </c>
      <c r="I2571" s="25" t="s">
        <v>3165</v>
      </c>
      <c r="J2571" s="8" t="s">
        <v>3166</v>
      </c>
      <c r="K2571" s="8" t="s">
        <v>10042</v>
      </c>
      <c r="L2571" s="15">
        <v>-0.23679800000000001</v>
      </c>
      <c r="M2571" s="15">
        <v>0.45809800000000001</v>
      </c>
      <c r="N2571" s="15">
        <v>0.79104068703775776</v>
      </c>
    </row>
    <row r="2572" spans="1:14" x14ac:dyDescent="0.2">
      <c r="A2572" s="2" t="s">
        <v>10068</v>
      </c>
      <c r="B2572" s="15">
        <v>2379</v>
      </c>
      <c r="C2572" s="15">
        <v>20</v>
      </c>
      <c r="D2572" s="15">
        <v>9279551</v>
      </c>
      <c r="E2572" s="15">
        <v>10279603</v>
      </c>
      <c r="F2572" s="15">
        <v>2702</v>
      </c>
      <c r="G2572" s="8" t="s">
        <v>12324</v>
      </c>
      <c r="H2572" s="24" t="s">
        <v>494</v>
      </c>
      <c r="I2572" s="25">
        <v>25920</v>
      </c>
      <c r="J2572" s="8" t="s">
        <v>496</v>
      </c>
      <c r="K2572" s="8" t="s">
        <v>10040</v>
      </c>
      <c r="L2572" s="15">
        <v>0.112181</v>
      </c>
      <c r="M2572" s="15">
        <v>0.45999400000000001</v>
      </c>
      <c r="N2572" s="15">
        <v>0.79349412290937382</v>
      </c>
    </row>
    <row r="2573" spans="1:14" x14ac:dyDescent="0.2">
      <c r="A2573" s="2" t="s">
        <v>10068</v>
      </c>
      <c r="B2573" s="15">
        <v>1041</v>
      </c>
      <c r="C2573" s="15">
        <v>6</v>
      </c>
      <c r="D2573" s="15">
        <v>111363444</v>
      </c>
      <c r="E2573" s="15">
        <v>112342873</v>
      </c>
      <c r="F2573" s="15">
        <v>2149</v>
      </c>
      <c r="G2573" s="8" t="s">
        <v>12324</v>
      </c>
      <c r="H2573" s="24" t="s">
        <v>6565</v>
      </c>
      <c r="I2573" s="25" t="s">
        <v>6475</v>
      </c>
      <c r="J2573" s="8" t="s">
        <v>6566</v>
      </c>
      <c r="K2573" s="8" t="s">
        <v>10054</v>
      </c>
      <c r="L2573" s="15">
        <v>-0.24521599999999999</v>
      </c>
      <c r="M2573" s="15">
        <v>0.45996199999999998</v>
      </c>
      <c r="N2573" s="15">
        <v>0.79349412290937382</v>
      </c>
    </row>
    <row r="2574" spans="1:14" x14ac:dyDescent="0.2">
      <c r="A2574" s="2" t="s">
        <v>10068</v>
      </c>
      <c r="B2574" s="15">
        <v>2220</v>
      </c>
      <c r="C2574" s="15">
        <v>17</v>
      </c>
      <c r="D2574" s="15">
        <v>62112374</v>
      </c>
      <c r="E2574" s="15">
        <v>63548724</v>
      </c>
      <c r="F2574" s="15">
        <v>2703</v>
      </c>
      <c r="G2574" s="8" t="s">
        <v>12324</v>
      </c>
      <c r="H2574" s="24" t="s">
        <v>599</v>
      </c>
      <c r="I2574" s="25">
        <v>26562</v>
      </c>
      <c r="J2574" s="8" t="s">
        <v>601</v>
      </c>
      <c r="K2574" s="8" t="s">
        <v>10040</v>
      </c>
      <c r="L2574" s="15">
        <v>0.19306100000000001</v>
      </c>
      <c r="M2574" s="15">
        <v>0.46036100000000002</v>
      </c>
      <c r="N2574" s="15">
        <v>0.79353922658375442</v>
      </c>
    </row>
    <row r="2575" spans="1:14" x14ac:dyDescent="0.2">
      <c r="A2575" s="2" t="s">
        <v>10068</v>
      </c>
      <c r="B2575" s="15">
        <v>1597</v>
      </c>
      <c r="C2575" s="15">
        <v>10</v>
      </c>
      <c r="D2575" s="15">
        <v>123856185</v>
      </c>
      <c r="E2575" s="15">
        <v>124894142</v>
      </c>
      <c r="F2575" s="15">
        <v>3049</v>
      </c>
      <c r="G2575" s="8" t="s">
        <v>12324</v>
      </c>
      <c r="H2575" s="24" t="s">
        <v>1259</v>
      </c>
      <c r="I2575" s="25">
        <v>27096</v>
      </c>
      <c r="J2575" s="8" t="s">
        <v>1261</v>
      </c>
      <c r="K2575" s="8" t="s">
        <v>10040</v>
      </c>
      <c r="L2575" s="15">
        <v>0.200044</v>
      </c>
      <c r="M2575" s="15">
        <v>0.46037800000000001</v>
      </c>
      <c r="N2575" s="15">
        <v>0.79353922658375442</v>
      </c>
    </row>
    <row r="2576" spans="1:14" x14ac:dyDescent="0.2">
      <c r="A2576" s="2" t="s">
        <v>10069</v>
      </c>
      <c r="B2576" s="15">
        <v>3</v>
      </c>
      <c r="C2576" s="15">
        <v>1</v>
      </c>
      <c r="D2576" s="15">
        <v>2215496</v>
      </c>
      <c r="E2576" s="15">
        <v>2983519</v>
      </c>
      <c r="F2576" s="15">
        <v>1172</v>
      </c>
      <c r="G2576" s="8" t="s">
        <v>12324</v>
      </c>
      <c r="H2576" s="24" t="s">
        <v>662</v>
      </c>
      <c r="I2576" s="25" t="s">
        <v>663</v>
      </c>
      <c r="J2576" s="8" t="s">
        <v>664</v>
      </c>
      <c r="K2576" s="8" t="s">
        <v>10040</v>
      </c>
      <c r="L2576" s="15">
        <v>0.21796699999999999</v>
      </c>
      <c r="M2576" s="15">
        <v>0.460669</v>
      </c>
      <c r="N2576" s="15">
        <v>0.7935895341614907</v>
      </c>
    </row>
    <row r="2577" spans="1:14" x14ac:dyDescent="0.2">
      <c r="A2577" s="2" t="s">
        <v>10068</v>
      </c>
      <c r="B2577" s="15">
        <v>121</v>
      </c>
      <c r="C2577" s="15">
        <v>1</v>
      </c>
      <c r="D2577" s="15">
        <v>163854568</v>
      </c>
      <c r="E2577" s="15">
        <v>164726579</v>
      </c>
      <c r="F2577" s="15">
        <v>2112</v>
      </c>
      <c r="G2577" s="8" t="s">
        <v>12324</v>
      </c>
      <c r="H2577" s="24" t="s">
        <v>1259</v>
      </c>
      <c r="I2577" s="25">
        <v>27096</v>
      </c>
      <c r="J2577" s="8" t="s">
        <v>1261</v>
      </c>
      <c r="K2577" s="8" t="s">
        <v>10040</v>
      </c>
      <c r="L2577" s="15">
        <v>-0.141457</v>
      </c>
      <c r="M2577" s="15">
        <v>0.46094400000000002</v>
      </c>
      <c r="N2577" s="15">
        <v>0.7935895341614907</v>
      </c>
    </row>
    <row r="2578" spans="1:14" x14ac:dyDescent="0.2">
      <c r="A2578" s="2" t="s">
        <v>10066</v>
      </c>
      <c r="B2578" s="15">
        <v>1276</v>
      </c>
      <c r="C2578" s="15">
        <v>8</v>
      </c>
      <c r="D2578" s="15">
        <v>31134787</v>
      </c>
      <c r="E2578" s="15">
        <v>32454962</v>
      </c>
      <c r="F2578" s="15">
        <v>3875</v>
      </c>
      <c r="G2578" s="8" t="s">
        <v>12324</v>
      </c>
      <c r="H2578" s="24" t="s">
        <v>3164</v>
      </c>
      <c r="I2578" s="25" t="s">
        <v>3165</v>
      </c>
      <c r="J2578" s="8" t="s">
        <v>3166</v>
      </c>
      <c r="K2578" s="8" t="s">
        <v>10042</v>
      </c>
      <c r="L2578" s="15">
        <v>0.18460299999999999</v>
      </c>
      <c r="M2578" s="15">
        <v>0.46090799999999998</v>
      </c>
      <c r="N2578" s="15">
        <v>0.7935895341614907</v>
      </c>
    </row>
    <row r="2579" spans="1:14" x14ac:dyDescent="0.2">
      <c r="A2579" s="2" t="s">
        <v>10066</v>
      </c>
      <c r="B2579" s="15">
        <v>2403</v>
      </c>
      <c r="C2579" s="15">
        <v>20</v>
      </c>
      <c r="D2579" s="15">
        <v>38427595</v>
      </c>
      <c r="E2579" s="15">
        <v>40272390</v>
      </c>
      <c r="F2579" s="15">
        <v>4070</v>
      </c>
      <c r="G2579" s="8" t="s">
        <v>12324</v>
      </c>
      <c r="H2579" s="24" t="s">
        <v>3164</v>
      </c>
      <c r="I2579" s="25" t="s">
        <v>3165</v>
      </c>
      <c r="J2579" s="8" t="s">
        <v>3166</v>
      </c>
      <c r="K2579" s="8" t="s">
        <v>10042</v>
      </c>
      <c r="L2579" s="15">
        <v>0.16924600000000001</v>
      </c>
      <c r="M2579" s="15">
        <v>0.46112900000000001</v>
      </c>
      <c r="N2579" s="15">
        <v>0.79359834949573316</v>
      </c>
    </row>
    <row r="2580" spans="1:14" x14ac:dyDescent="0.2">
      <c r="A2580" s="2" t="s">
        <v>10068</v>
      </c>
      <c r="B2580" s="15">
        <v>2418</v>
      </c>
      <c r="C2580" s="15">
        <v>20</v>
      </c>
      <c r="D2580" s="15">
        <v>53879804</v>
      </c>
      <c r="E2580" s="15">
        <v>54743694</v>
      </c>
      <c r="F2580" s="15">
        <v>2307</v>
      </c>
      <c r="G2580" s="8" t="s">
        <v>12324</v>
      </c>
      <c r="H2580" s="24" t="s">
        <v>6565</v>
      </c>
      <c r="I2580" s="25" t="s">
        <v>6475</v>
      </c>
      <c r="J2580" s="8" t="s">
        <v>6566</v>
      </c>
      <c r="K2580" s="8" t="s">
        <v>10054</v>
      </c>
      <c r="L2580" s="15">
        <v>0.154025</v>
      </c>
      <c r="M2580" s="15">
        <v>0.46130700000000002</v>
      </c>
      <c r="N2580" s="15">
        <v>0.79359834949573316</v>
      </c>
    </row>
    <row r="2581" spans="1:14" x14ac:dyDescent="0.2">
      <c r="A2581" s="2" t="s">
        <v>10068</v>
      </c>
      <c r="B2581" s="15">
        <v>1054</v>
      </c>
      <c r="C2581" s="15">
        <v>6</v>
      </c>
      <c r="D2581" s="15">
        <v>125365055</v>
      </c>
      <c r="E2581" s="15">
        <v>127545459</v>
      </c>
      <c r="F2581" s="15">
        <v>3594</v>
      </c>
      <c r="G2581" s="8" t="s">
        <v>12324</v>
      </c>
      <c r="H2581" s="24" t="s">
        <v>1259</v>
      </c>
      <c r="I2581" s="25">
        <v>27096</v>
      </c>
      <c r="J2581" s="8" t="s">
        <v>1261</v>
      </c>
      <c r="K2581" s="8" t="s">
        <v>10040</v>
      </c>
      <c r="L2581" s="15">
        <v>-0.266766</v>
      </c>
      <c r="M2581" s="15">
        <v>0.46268799999999999</v>
      </c>
      <c r="N2581" s="15">
        <v>0.79511545701006969</v>
      </c>
    </row>
    <row r="2582" spans="1:14" x14ac:dyDescent="0.2">
      <c r="A2582" s="2" t="s">
        <v>10068</v>
      </c>
      <c r="B2582" s="15">
        <v>201</v>
      </c>
      <c r="C2582" s="15">
        <v>2</v>
      </c>
      <c r="D2582" s="15">
        <v>10181</v>
      </c>
      <c r="E2582" s="15">
        <v>789195</v>
      </c>
      <c r="F2582" s="15">
        <v>2170</v>
      </c>
      <c r="G2582" s="8" t="s">
        <v>12324</v>
      </c>
      <c r="H2582" s="24" t="s">
        <v>6565</v>
      </c>
      <c r="I2582" s="25" t="s">
        <v>6475</v>
      </c>
      <c r="J2582" s="8" t="s">
        <v>6566</v>
      </c>
      <c r="K2582" s="8" t="s">
        <v>10054</v>
      </c>
      <c r="L2582" s="15">
        <v>0.15681400000000001</v>
      </c>
      <c r="M2582" s="15">
        <v>0.46237800000000001</v>
      </c>
      <c r="N2582" s="15">
        <v>0.79511545701006969</v>
      </c>
    </row>
    <row r="2583" spans="1:14" x14ac:dyDescent="0.2">
      <c r="A2583" s="2" t="s">
        <v>10068</v>
      </c>
      <c r="B2583" s="15">
        <v>440</v>
      </c>
      <c r="C2583" s="15">
        <v>3</v>
      </c>
      <c r="D2583" s="15">
        <v>19030989</v>
      </c>
      <c r="E2583" s="15">
        <v>20754842</v>
      </c>
      <c r="F2583" s="15">
        <v>4224</v>
      </c>
      <c r="G2583" s="8" t="s">
        <v>12324</v>
      </c>
      <c r="H2583" s="24" t="s">
        <v>6565</v>
      </c>
      <c r="I2583" s="25" t="s">
        <v>6475</v>
      </c>
      <c r="J2583" s="8" t="s">
        <v>6566</v>
      </c>
      <c r="K2583" s="8" t="s">
        <v>10054</v>
      </c>
      <c r="L2583" s="15">
        <v>-0.25581300000000001</v>
      </c>
      <c r="M2583" s="15">
        <v>0.46274700000000002</v>
      </c>
      <c r="N2583" s="15">
        <v>0.79511545701006969</v>
      </c>
    </row>
    <row r="2584" spans="1:14" x14ac:dyDescent="0.2">
      <c r="A2584" s="2" t="s">
        <v>10068</v>
      </c>
      <c r="B2584" s="15">
        <v>1483</v>
      </c>
      <c r="C2584" s="15">
        <v>9</v>
      </c>
      <c r="D2584" s="15">
        <v>138995792</v>
      </c>
      <c r="E2584" s="15">
        <v>140097759</v>
      </c>
      <c r="F2584" s="15">
        <v>2420</v>
      </c>
      <c r="G2584" s="8" t="s">
        <v>12324</v>
      </c>
      <c r="H2584" s="24" t="s">
        <v>6565</v>
      </c>
      <c r="I2584" s="25" t="s">
        <v>6475</v>
      </c>
      <c r="J2584" s="8" t="s">
        <v>6566</v>
      </c>
      <c r="K2584" s="8" t="s">
        <v>10054</v>
      </c>
      <c r="L2584" s="15">
        <v>-0.151173</v>
      </c>
      <c r="M2584" s="15">
        <v>0.46290599999999998</v>
      </c>
      <c r="N2584" s="15">
        <v>0.79511545701006969</v>
      </c>
    </row>
    <row r="2585" spans="1:14" x14ac:dyDescent="0.2">
      <c r="A2585" s="2" t="s">
        <v>10066</v>
      </c>
      <c r="B2585" s="15">
        <v>1241</v>
      </c>
      <c r="C2585" s="15">
        <v>8</v>
      </c>
      <c r="D2585" s="15">
        <v>4273084</v>
      </c>
      <c r="E2585" s="15">
        <v>4893120</v>
      </c>
      <c r="F2585" s="15">
        <v>3189</v>
      </c>
      <c r="G2585" s="8" t="s">
        <v>12324</v>
      </c>
      <c r="H2585" s="24" t="s">
        <v>3164</v>
      </c>
      <c r="I2585" s="25" t="s">
        <v>3165</v>
      </c>
      <c r="J2585" s="8" t="s">
        <v>3166</v>
      </c>
      <c r="K2585" s="8" t="s">
        <v>10042</v>
      </c>
      <c r="L2585" s="15">
        <v>-0.127831</v>
      </c>
      <c r="M2585" s="15">
        <v>0.46313399999999999</v>
      </c>
      <c r="N2585" s="15">
        <v>0.79512821981424153</v>
      </c>
    </row>
    <row r="2586" spans="1:14" x14ac:dyDescent="0.2">
      <c r="A2586" s="2" t="s">
        <v>10066</v>
      </c>
      <c r="B2586" s="15">
        <v>1309</v>
      </c>
      <c r="C2586" s="15">
        <v>8</v>
      </c>
      <c r="D2586" s="15">
        <v>73838028</v>
      </c>
      <c r="E2586" s="15">
        <v>75011699</v>
      </c>
      <c r="F2586" s="15">
        <v>2861</v>
      </c>
      <c r="G2586" s="8" t="s">
        <v>12324</v>
      </c>
      <c r="H2586" s="24" t="s">
        <v>6008</v>
      </c>
      <c r="I2586" s="25" t="s">
        <v>6009</v>
      </c>
      <c r="J2586" s="8" t="s">
        <v>6010</v>
      </c>
      <c r="K2586" s="8" t="s">
        <v>10051</v>
      </c>
      <c r="L2586" s="15">
        <v>0.27457799999999999</v>
      </c>
      <c r="M2586" s="15">
        <v>0.46327200000000002</v>
      </c>
      <c r="N2586" s="15">
        <v>0.79512821981424153</v>
      </c>
    </row>
    <row r="2587" spans="1:14" x14ac:dyDescent="0.2">
      <c r="A2587" s="2" t="s">
        <v>10068</v>
      </c>
      <c r="B2587" s="15">
        <v>1237</v>
      </c>
      <c r="C2587" s="15">
        <v>8</v>
      </c>
      <c r="D2587" s="15">
        <v>2396123</v>
      </c>
      <c r="E2587" s="15">
        <v>2970491</v>
      </c>
      <c r="F2587" s="15">
        <v>2595</v>
      </c>
      <c r="G2587" s="8" t="s">
        <v>12324</v>
      </c>
      <c r="H2587" s="24" t="s">
        <v>1259</v>
      </c>
      <c r="I2587" s="25">
        <v>27096</v>
      </c>
      <c r="J2587" s="8" t="s">
        <v>1261</v>
      </c>
      <c r="K2587" s="8" t="s">
        <v>10040</v>
      </c>
      <c r="L2587" s="15">
        <v>0.178344</v>
      </c>
      <c r="M2587" s="15">
        <v>0.46396700000000002</v>
      </c>
      <c r="N2587" s="15">
        <v>0.79601301547388781</v>
      </c>
    </row>
    <row r="2588" spans="1:14" x14ac:dyDescent="0.2">
      <c r="A2588" s="2" t="s">
        <v>10066</v>
      </c>
      <c r="B2588" s="15">
        <v>1137</v>
      </c>
      <c r="C2588" s="15">
        <v>7</v>
      </c>
      <c r="D2588" s="15">
        <v>40261241</v>
      </c>
      <c r="E2588" s="15">
        <v>41415925</v>
      </c>
      <c r="F2588" s="15">
        <v>2335</v>
      </c>
      <c r="G2588" s="8" t="s">
        <v>12324</v>
      </c>
      <c r="H2588" s="24" t="s">
        <v>6008</v>
      </c>
      <c r="I2588" s="25" t="s">
        <v>6009</v>
      </c>
      <c r="J2588" s="8" t="s">
        <v>6010</v>
      </c>
      <c r="K2588" s="8" t="s">
        <v>10051</v>
      </c>
      <c r="L2588" s="15">
        <v>0.17159199999999999</v>
      </c>
      <c r="M2588" s="15">
        <v>0.46451599999999998</v>
      </c>
      <c r="N2588" s="15">
        <v>0.7963387939698493</v>
      </c>
    </row>
    <row r="2589" spans="1:14" x14ac:dyDescent="0.2">
      <c r="A2589" s="2" t="s">
        <v>10068</v>
      </c>
      <c r="B2589" s="15">
        <v>653</v>
      </c>
      <c r="C2589" s="15">
        <v>4</v>
      </c>
      <c r="D2589" s="15">
        <v>57103101</v>
      </c>
      <c r="E2589" s="15">
        <v>58011085</v>
      </c>
      <c r="F2589" s="15">
        <v>2965</v>
      </c>
      <c r="G2589" s="8" t="s">
        <v>12324</v>
      </c>
      <c r="H2589" s="24" t="s">
        <v>6565</v>
      </c>
      <c r="I2589" s="25" t="s">
        <v>6475</v>
      </c>
      <c r="J2589" s="8" t="s">
        <v>6566</v>
      </c>
      <c r="K2589" s="8" t="s">
        <v>10054</v>
      </c>
      <c r="L2589" s="15">
        <v>-0.196546</v>
      </c>
      <c r="M2589" s="15">
        <v>0.46443800000000002</v>
      </c>
      <c r="N2589" s="15">
        <v>0.7963387939698493</v>
      </c>
    </row>
    <row r="2590" spans="1:14" x14ac:dyDescent="0.2">
      <c r="A2590" s="2" t="s">
        <v>10068</v>
      </c>
      <c r="B2590" s="15">
        <v>1894</v>
      </c>
      <c r="C2590" s="15">
        <v>13</v>
      </c>
      <c r="D2590" s="15">
        <v>51554237</v>
      </c>
      <c r="E2590" s="15">
        <v>53336571</v>
      </c>
      <c r="F2590" s="15">
        <v>3520</v>
      </c>
      <c r="G2590" s="8" t="s">
        <v>12324</v>
      </c>
      <c r="H2590" s="24" t="s">
        <v>599</v>
      </c>
      <c r="I2590" s="25">
        <v>26562</v>
      </c>
      <c r="J2590" s="8" t="s">
        <v>601</v>
      </c>
      <c r="K2590" s="8" t="s">
        <v>10040</v>
      </c>
      <c r="L2590" s="15">
        <v>-0.155171</v>
      </c>
      <c r="M2590" s="15">
        <v>0.46509</v>
      </c>
      <c r="N2590" s="15">
        <v>0.79701474111282844</v>
      </c>
    </row>
    <row r="2591" spans="1:14" x14ac:dyDescent="0.2">
      <c r="A2591" s="2" t="s">
        <v>10068</v>
      </c>
      <c r="B2591" s="15">
        <v>2318</v>
      </c>
      <c r="C2591" s="15">
        <v>19</v>
      </c>
      <c r="D2591" s="15">
        <v>10028841</v>
      </c>
      <c r="E2591" s="15">
        <v>11681978</v>
      </c>
      <c r="F2591" s="15">
        <v>4153</v>
      </c>
      <c r="G2591" s="8" t="s">
        <v>12324</v>
      </c>
      <c r="H2591" s="24" t="s">
        <v>599</v>
      </c>
      <c r="I2591" s="25">
        <v>26562</v>
      </c>
      <c r="J2591" s="8" t="s">
        <v>601</v>
      </c>
      <c r="K2591" s="8" t="s">
        <v>10040</v>
      </c>
      <c r="L2591" s="15">
        <v>-9.0254500000000001E-2</v>
      </c>
      <c r="M2591" s="15">
        <v>0.46567999999999998</v>
      </c>
      <c r="N2591" s="15">
        <v>0.79710181397143964</v>
      </c>
    </row>
    <row r="2592" spans="1:14" x14ac:dyDescent="0.2">
      <c r="A2592" s="2" t="s">
        <v>10066</v>
      </c>
      <c r="B2592" s="15">
        <v>208</v>
      </c>
      <c r="C2592" s="15">
        <v>2</v>
      </c>
      <c r="D2592" s="15">
        <v>4766970</v>
      </c>
      <c r="E2592" s="15">
        <v>5568653</v>
      </c>
      <c r="F2592" s="15">
        <v>2068</v>
      </c>
      <c r="G2592" s="8" t="s">
        <v>12324</v>
      </c>
      <c r="H2592" s="24" t="s">
        <v>3164</v>
      </c>
      <c r="I2592" s="25" t="s">
        <v>3165</v>
      </c>
      <c r="J2592" s="8" t="s">
        <v>3166</v>
      </c>
      <c r="K2592" s="8" t="s">
        <v>10042</v>
      </c>
      <c r="L2592" s="15">
        <v>0.13438900000000001</v>
      </c>
      <c r="M2592" s="15">
        <v>0.46543699999999999</v>
      </c>
      <c r="N2592" s="15">
        <v>0.79710181397143964</v>
      </c>
    </row>
    <row r="2593" spans="1:14" x14ac:dyDescent="0.2">
      <c r="A2593" s="2" t="s">
        <v>10066</v>
      </c>
      <c r="B2593" s="15">
        <v>409</v>
      </c>
      <c r="C2593" s="15">
        <v>2</v>
      </c>
      <c r="D2593" s="15">
        <v>233352723</v>
      </c>
      <c r="E2593" s="15">
        <v>234115092</v>
      </c>
      <c r="F2593" s="15">
        <v>2124</v>
      </c>
      <c r="G2593" s="8" t="s">
        <v>12324</v>
      </c>
      <c r="H2593" s="24" t="s">
        <v>3164</v>
      </c>
      <c r="I2593" s="25" t="s">
        <v>3165</v>
      </c>
      <c r="J2593" s="8" t="s">
        <v>3166</v>
      </c>
      <c r="K2593" s="8" t="s">
        <v>10042</v>
      </c>
      <c r="L2593" s="15">
        <v>0.33245999999999998</v>
      </c>
      <c r="M2593" s="15">
        <v>0.46562799999999999</v>
      </c>
      <c r="N2593" s="15">
        <v>0.79710181397143964</v>
      </c>
    </row>
    <row r="2594" spans="1:14" x14ac:dyDescent="0.2">
      <c r="A2594" s="2" t="s">
        <v>10068</v>
      </c>
      <c r="B2594" s="15">
        <v>2470</v>
      </c>
      <c r="C2594" s="15">
        <v>22</v>
      </c>
      <c r="D2594" s="15">
        <v>25282437</v>
      </c>
      <c r="E2594" s="15">
        <v>26166934</v>
      </c>
      <c r="F2594" s="15">
        <v>2758</v>
      </c>
      <c r="G2594" s="8" t="s">
        <v>12324</v>
      </c>
      <c r="H2594" s="24" t="s">
        <v>1259</v>
      </c>
      <c r="I2594" s="25">
        <v>27096</v>
      </c>
      <c r="J2594" s="8" t="s">
        <v>1261</v>
      </c>
      <c r="K2594" s="8" t="s">
        <v>10040</v>
      </c>
      <c r="L2594" s="15">
        <v>-0.114469</v>
      </c>
      <c r="M2594" s="15">
        <v>0.466146</v>
      </c>
      <c r="N2594" s="15">
        <v>0.79759163194444449</v>
      </c>
    </row>
    <row r="2595" spans="1:14" x14ac:dyDescent="0.2">
      <c r="A2595" s="2" t="s">
        <v>10068</v>
      </c>
      <c r="B2595" s="15">
        <v>1481</v>
      </c>
      <c r="C2595" s="15">
        <v>9</v>
      </c>
      <c r="D2595" s="15">
        <v>137593528</v>
      </c>
      <c r="E2595" s="15">
        <v>138202112</v>
      </c>
      <c r="F2595" s="15">
        <v>2655</v>
      </c>
      <c r="G2595" s="8" t="s">
        <v>12324</v>
      </c>
      <c r="H2595" s="24" t="s">
        <v>599</v>
      </c>
      <c r="I2595" s="25">
        <v>26562</v>
      </c>
      <c r="J2595" s="8" t="s">
        <v>601</v>
      </c>
      <c r="K2595" s="8" t="s">
        <v>10040</v>
      </c>
      <c r="L2595" s="15">
        <v>-0.16892499999999999</v>
      </c>
      <c r="M2595" s="15">
        <v>0.466922</v>
      </c>
      <c r="N2595" s="15">
        <v>0.7983034194294526</v>
      </c>
    </row>
    <row r="2596" spans="1:14" x14ac:dyDescent="0.2">
      <c r="A2596" s="2" t="s">
        <v>10068</v>
      </c>
      <c r="B2596" s="15">
        <v>2223</v>
      </c>
      <c r="C2596" s="15">
        <v>17</v>
      </c>
      <c r="D2596" s="15">
        <v>65582328</v>
      </c>
      <c r="E2596" s="15">
        <v>66757556</v>
      </c>
      <c r="F2596" s="15">
        <v>2936</v>
      </c>
      <c r="G2596" s="8" t="s">
        <v>12324</v>
      </c>
      <c r="H2596" s="24" t="s">
        <v>1259</v>
      </c>
      <c r="I2596" s="25">
        <v>27096</v>
      </c>
      <c r="J2596" s="8" t="s">
        <v>1261</v>
      </c>
      <c r="K2596" s="8" t="s">
        <v>10040</v>
      </c>
      <c r="L2596" s="15">
        <v>0.15950600000000001</v>
      </c>
      <c r="M2596" s="15">
        <v>0.46680700000000003</v>
      </c>
      <c r="N2596" s="15">
        <v>0.7983034194294526</v>
      </c>
    </row>
    <row r="2597" spans="1:14" x14ac:dyDescent="0.2">
      <c r="A2597" s="2" t="s">
        <v>10068</v>
      </c>
      <c r="B2597" s="15">
        <v>886</v>
      </c>
      <c r="C2597" s="15">
        <v>5</v>
      </c>
      <c r="D2597" s="15">
        <v>128734906</v>
      </c>
      <c r="E2597" s="15">
        <v>130573817</v>
      </c>
      <c r="F2597" s="15">
        <v>3470</v>
      </c>
      <c r="G2597" s="8" t="s">
        <v>12324</v>
      </c>
      <c r="H2597" s="24" t="s">
        <v>599</v>
      </c>
      <c r="I2597" s="25">
        <v>26562</v>
      </c>
      <c r="J2597" s="8" t="s">
        <v>601</v>
      </c>
      <c r="K2597" s="8" t="s">
        <v>10040</v>
      </c>
      <c r="L2597" s="15">
        <v>0.25633800000000001</v>
      </c>
      <c r="M2597" s="15">
        <v>0.468032</v>
      </c>
      <c r="N2597" s="15">
        <v>0.79989284007707129</v>
      </c>
    </row>
    <row r="2598" spans="1:14" x14ac:dyDescent="0.2">
      <c r="A2598" s="2" t="s">
        <v>10066</v>
      </c>
      <c r="B2598" s="15">
        <v>2439</v>
      </c>
      <c r="C2598" s="15">
        <v>21</v>
      </c>
      <c r="D2598" s="15">
        <v>23266942</v>
      </c>
      <c r="E2598" s="15">
        <v>24055941</v>
      </c>
      <c r="F2598" s="15">
        <v>2120</v>
      </c>
      <c r="G2598" s="8" t="s">
        <v>12324</v>
      </c>
      <c r="H2598" s="24" t="s">
        <v>6008</v>
      </c>
      <c r="I2598" s="25" t="s">
        <v>6009</v>
      </c>
      <c r="J2598" s="8" t="s">
        <v>6010</v>
      </c>
      <c r="K2598" s="8" t="s">
        <v>10051</v>
      </c>
      <c r="L2598" s="15">
        <v>-0.141204</v>
      </c>
      <c r="M2598" s="15">
        <v>0.46842400000000001</v>
      </c>
      <c r="N2598" s="15">
        <v>0.80025440677966098</v>
      </c>
    </row>
    <row r="2599" spans="1:14" x14ac:dyDescent="0.2">
      <c r="A2599" s="2" t="s">
        <v>10069</v>
      </c>
      <c r="B2599" s="15">
        <v>2361</v>
      </c>
      <c r="C2599" s="15">
        <v>19</v>
      </c>
      <c r="D2599" s="15">
        <v>53431218</v>
      </c>
      <c r="E2599" s="15">
        <v>54042240</v>
      </c>
      <c r="F2599" s="15">
        <v>1743</v>
      </c>
      <c r="G2599" s="8" t="s">
        <v>12324</v>
      </c>
      <c r="H2599" s="24" t="s">
        <v>662</v>
      </c>
      <c r="I2599" s="25" t="s">
        <v>663</v>
      </c>
      <c r="J2599" s="8" t="s">
        <v>664</v>
      </c>
      <c r="K2599" s="8" t="s">
        <v>10040</v>
      </c>
      <c r="L2599" s="15">
        <v>0.25725799999999999</v>
      </c>
      <c r="M2599" s="15">
        <v>0.46940999999999999</v>
      </c>
      <c r="N2599" s="15">
        <v>0.80070513461538462</v>
      </c>
    </row>
    <row r="2600" spans="1:14" x14ac:dyDescent="0.2">
      <c r="A2600" s="2" t="s">
        <v>10068</v>
      </c>
      <c r="B2600" s="15">
        <v>2309</v>
      </c>
      <c r="C2600" s="15">
        <v>19</v>
      </c>
      <c r="D2600" s="15">
        <v>2253175</v>
      </c>
      <c r="E2600" s="15">
        <v>3085446</v>
      </c>
      <c r="F2600" s="15">
        <v>3144</v>
      </c>
      <c r="G2600" s="8" t="s">
        <v>12324</v>
      </c>
      <c r="H2600" s="24" t="s">
        <v>1259</v>
      </c>
      <c r="I2600" s="25">
        <v>27096</v>
      </c>
      <c r="J2600" s="8" t="s">
        <v>1261</v>
      </c>
      <c r="K2600" s="8" t="s">
        <v>10040</v>
      </c>
      <c r="L2600" s="15">
        <v>-0.12282899999999999</v>
      </c>
      <c r="M2600" s="15">
        <v>0.468918</v>
      </c>
      <c r="N2600" s="15">
        <v>0.80070513461538462</v>
      </c>
    </row>
    <row r="2601" spans="1:14" x14ac:dyDescent="0.2">
      <c r="A2601" s="2" t="s">
        <v>10068</v>
      </c>
      <c r="B2601" s="15">
        <v>589</v>
      </c>
      <c r="C2601" s="15">
        <v>3</v>
      </c>
      <c r="D2601" s="15">
        <v>192049689</v>
      </c>
      <c r="E2601" s="15">
        <v>193122090</v>
      </c>
      <c r="F2601" s="15">
        <v>2947</v>
      </c>
      <c r="G2601" s="8" t="s">
        <v>12324</v>
      </c>
      <c r="H2601" s="24" t="s">
        <v>1259</v>
      </c>
      <c r="I2601" s="25">
        <v>27096</v>
      </c>
      <c r="J2601" s="8" t="s">
        <v>1261</v>
      </c>
      <c r="K2601" s="8" t="s">
        <v>10040</v>
      </c>
      <c r="L2601" s="15">
        <v>0.11397699999999999</v>
      </c>
      <c r="M2601" s="15">
        <v>0.469387</v>
      </c>
      <c r="N2601" s="15">
        <v>0.80070513461538462</v>
      </c>
    </row>
    <row r="2602" spans="1:14" x14ac:dyDescent="0.2">
      <c r="A2602" s="2" t="s">
        <v>10066</v>
      </c>
      <c r="B2602" s="15">
        <v>98</v>
      </c>
      <c r="C2602" s="15">
        <v>1</v>
      </c>
      <c r="D2602" s="15">
        <v>111134063</v>
      </c>
      <c r="E2602" s="15">
        <v>112489248</v>
      </c>
      <c r="F2602" s="15">
        <v>3868</v>
      </c>
      <c r="G2602" s="8" t="s">
        <v>12324</v>
      </c>
      <c r="H2602" s="24" t="s">
        <v>3164</v>
      </c>
      <c r="I2602" s="25" t="s">
        <v>3165</v>
      </c>
      <c r="J2602" s="8" t="s">
        <v>3166</v>
      </c>
      <c r="K2602" s="8" t="s">
        <v>10042</v>
      </c>
      <c r="L2602" s="15">
        <v>0.26360499999999998</v>
      </c>
      <c r="M2602" s="15">
        <v>0.46915000000000001</v>
      </c>
      <c r="N2602" s="15">
        <v>0.80070513461538462</v>
      </c>
    </row>
    <row r="2603" spans="1:14" x14ac:dyDescent="0.2">
      <c r="A2603" s="2" t="s">
        <v>10068</v>
      </c>
      <c r="B2603" s="15">
        <v>2001</v>
      </c>
      <c r="C2603" s="15">
        <v>14</v>
      </c>
      <c r="D2603" s="15">
        <v>71140427</v>
      </c>
      <c r="E2603" s="15">
        <v>72665319</v>
      </c>
      <c r="F2603" s="15">
        <v>3708</v>
      </c>
      <c r="G2603" s="8" t="s">
        <v>12324</v>
      </c>
      <c r="H2603" s="24" t="s">
        <v>6565</v>
      </c>
      <c r="I2603" s="25" t="s">
        <v>6475</v>
      </c>
      <c r="J2603" s="8" t="s">
        <v>6566</v>
      </c>
      <c r="K2603" s="8" t="s">
        <v>10054</v>
      </c>
      <c r="L2603" s="15">
        <v>0.185475</v>
      </c>
      <c r="M2603" s="15">
        <v>0.46994399999999997</v>
      </c>
      <c r="N2603" s="15">
        <v>0.8011004246733282</v>
      </c>
    </row>
    <row r="2604" spans="1:14" x14ac:dyDescent="0.2">
      <c r="A2604" s="2" t="s">
        <v>10068</v>
      </c>
      <c r="B2604" s="15">
        <v>266</v>
      </c>
      <c r="C2604" s="15">
        <v>2</v>
      </c>
      <c r="D2604" s="15">
        <v>57952946</v>
      </c>
      <c r="E2604" s="15">
        <v>59251996</v>
      </c>
      <c r="F2604" s="15">
        <v>2322</v>
      </c>
      <c r="G2604" s="8" t="s">
        <v>12324</v>
      </c>
      <c r="H2604" s="24" t="s">
        <v>6565</v>
      </c>
      <c r="I2604" s="25" t="s">
        <v>6475</v>
      </c>
      <c r="J2604" s="8" t="s">
        <v>6566</v>
      </c>
      <c r="K2604" s="8" t="s">
        <v>10054</v>
      </c>
      <c r="L2604" s="15">
        <v>0.251444</v>
      </c>
      <c r="M2604" s="15">
        <v>0.470003</v>
      </c>
      <c r="N2604" s="15">
        <v>0.8011004246733282</v>
      </c>
    </row>
    <row r="2605" spans="1:14" x14ac:dyDescent="0.2">
      <c r="A2605" s="2" t="s">
        <v>10068</v>
      </c>
      <c r="B2605" s="15">
        <v>1671</v>
      </c>
      <c r="C2605" s="15">
        <v>11</v>
      </c>
      <c r="D2605" s="15">
        <v>60515106</v>
      </c>
      <c r="E2605" s="15">
        <v>61717117</v>
      </c>
      <c r="F2605" s="15">
        <v>2252</v>
      </c>
      <c r="G2605" s="8" t="s">
        <v>12324</v>
      </c>
      <c r="H2605" s="24" t="s">
        <v>6565</v>
      </c>
      <c r="I2605" s="25" t="s">
        <v>6475</v>
      </c>
      <c r="J2605" s="8" t="s">
        <v>6566</v>
      </c>
      <c r="K2605" s="8" t="s">
        <v>10054</v>
      </c>
      <c r="L2605" s="15">
        <v>0.16883699999999999</v>
      </c>
      <c r="M2605" s="15">
        <v>0.47030499999999997</v>
      </c>
      <c r="N2605" s="15">
        <v>0.80130721283134843</v>
      </c>
    </row>
    <row r="2606" spans="1:14" x14ac:dyDescent="0.2">
      <c r="A2606" s="2" t="s">
        <v>10068</v>
      </c>
      <c r="B2606" s="15">
        <v>685</v>
      </c>
      <c r="C2606" s="15">
        <v>4</v>
      </c>
      <c r="D2606" s="15">
        <v>94757266</v>
      </c>
      <c r="E2606" s="15">
        <v>96183801</v>
      </c>
      <c r="F2606" s="15">
        <v>3740</v>
      </c>
      <c r="G2606" s="8" t="s">
        <v>12324</v>
      </c>
      <c r="H2606" s="24" t="s">
        <v>494</v>
      </c>
      <c r="I2606" s="25">
        <v>25920</v>
      </c>
      <c r="J2606" s="8" t="s">
        <v>496</v>
      </c>
      <c r="K2606" s="8" t="s">
        <v>10040</v>
      </c>
      <c r="L2606" s="15">
        <v>-0.125614</v>
      </c>
      <c r="M2606" s="15">
        <v>0.47086800000000001</v>
      </c>
      <c r="N2606" s="15">
        <v>0.80158122030651335</v>
      </c>
    </row>
    <row r="2607" spans="1:14" x14ac:dyDescent="0.2">
      <c r="A2607" s="2" t="s">
        <v>10068</v>
      </c>
      <c r="B2607" s="15">
        <v>13</v>
      </c>
      <c r="C2607" s="15">
        <v>1</v>
      </c>
      <c r="D2607" s="15">
        <v>10753428</v>
      </c>
      <c r="E2607" s="15">
        <v>11709173</v>
      </c>
      <c r="F2607" s="15">
        <v>2452</v>
      </c>
      <c r="G2607" s="8" t="s">
        <v>12324</v>
      </c>
      <c r="H2607" s="24" t="s">
        <v>494</v>
      </c>
      <c r="I2607" s="25">
        <v>25920</v>
      </c>
      <c r="J2607" s="8" t="s">
        <v>496</v>
      </c>
      <c r="K2607" s="8" t="s">
        <v>10040</v>
      </c>
      <c r="L2607" s="15">
        <v>-0.10375</v>
      </c>
      <c r="M2607" s="15">
        <v>0.47142400000000001</v>
      </c>
      <c r="N2607" s="15">
        <v>0.80158122030651335</v>
      </c>
    </row>
    <row r="2608" spans="1:14" x14ac:dyDescent="0.2">
      <c r="A2608" s="2" t="s">
        <v>10068</v>
      </c>
      <c r="B2608" s="15">
        <v>1453</v>
      </c>
      <c r="C2608" s="15">
        <v>9</v>
      </c>
      <c r="D2608" s="15">
        <v>109150718</v>
      </c>
      <c r="E2608" s="15">
        <v>110630150</v>
      </c>
      <c r="F2608" s="15">
        <v>3963</v>
      </c>
      <c r="G2608" s="8" t="s">
        <v>12324</v>
      </c>
      <c r="H2608" s="24" t="s">
        <v>494</v>
      </c>
      <c r="I2608" s="25">
        <v>25920</v>
      </c>
      <c r="J2608" s="8" t="s">
        <v>496</v>
      </c>
      <c r="K2608" s="8" t="s">
        <v>10040</v>
      </c>
      <c r="L2608" s="15">
        <v>-0.176649</v>
      </c>
      <c r="M2608" s="15">
        <v>0.47142600000000001</v>
      </c>
      <c r="N2608" s="15">
        <v>0.80158122030651335</v>
      </c>
    </row>
    <row r="2609" spans="1:14" x14ac:dyDescent="0.2">
      <c r="A2609" s="2" t="s">
        <v>10068</v>
      </c>
      <c r="B2609" s="15">
        <v>2366</v>
      </c>
      <c r="C2609" s="15">
        <v>19</v>
      </c>
      <c r="D2609" s="15">
        <v>56411087</v>
      </c>
      <c r="E2609" s="15">
        <v>57143509</v>
      </c>
      <c r="F2609" s="15">
        <v>2607</v>
      </c>
      <c r="G2609" s="8" t="s">
        <v>12324</v>
      </c>
      <c r="H2609" s="24" t="s">
        <v>1259</v>
      </c>
      <c r="I2609" s="25">
        <v>27096</v>
      </c>
      <c r="J2609" s="8" t="s">
        <v>1261</v>
      </c>
      <c r="K2609" s="8" t="s">
        <v>10040</v>
      </c>
      <c r="L2609" s="15">
        <v>-0.124539</v>
      </c>
      <c r="M2609" s="15">
        <v>0.47173100000000001</v>
      </c>
      <c r="N2609" s="15">
        <v>0.80158122030651335</v>
      </c>
    </row>
    <row r="2610" spans="1:14" x14ac:dyDescent="0.2">
      <c r="A2610" s="2" t="s">
        <v>10066</v>
      </c>
      <c r="B2610" s="15">
        <v>202</v>
      </c>
      <c r="C2610" s="15">
        <v>2</v>
      </c>
      <c r="D2610" s="15">
        <v>789196</v>
      </c>
      <c r="E2610" s="15">
        <v>1376545</v>
      </c>
      <c r="F2610" s="15">
        <v>2491</v>
      </c>
      <c r="G2610" s="8" t="s">
        <v>12324</v>
      </c>
      <c r="H2610" s="24" t="s">
        <v>3164</v>
      </c>
      <c r="I2610" s="25" t="s">
        <v>3165</v>
      </c>
      <c r="J2610" s="8" t="s">
        <v>3166</v>
      </c>
      <c r="K2610" s="8" t="s">
        <v>10042</v>
      </c>
      <c r="L2610" s="15">
        <v>-0.15412100000000001</v>
      </c>
      <c r="M2610" s="15">
        <v>0.47165499999999999</v>
      </c>
      <c r="N2610" s="15">
        <v>0.80158122030651335</v>
      </c>
    </row>
    <row r="2611" spans="1:14" x14ac:dyDescent="0.2">
      <c r="A2611" s="2" t="s">
        <v>10066</v>
      </c>
      <c r="B2611" s="15">
        <v>409</v>
      </c>
      <c r="C2611" s="15">
        <v>2</v>
      </c>
      <c r="D2611" s="15">
        <v>233352723</v>
      </c>
      <c r="E2611" s="15">
        <v>234115092</v>
      </c>
      <c r="F2611" s="15">
        <v>2124</v>
      </c>
      <c r="G2611" s="8" t="s">
        <v>12324</v>
      </c>
      <c r="H2611" s="24" t="s">
        <v>6008</v>
      </c>
      <c r="I2611" s="25" t="s">
        <v>6009</v>
      </c>
      <c r="J2611" s="8" t="s">
        <v>6010</v>
      </c>
      <c r="K2611" s="8" t="s">
        <v>10051</v>
      </c>
      <c r="L2611" s="15">
        <v>0.300811</v>
      </c>
      <c r="M2611" s="15">
        <v>0.47088000000000002</v>
      </c>
      <c r="N2611" s="15">
        <v>0.80158122030651335</v>
      </c>
    </row>
    <row r="2612" spans="1:14" x14ac:dyDescent="0.2">
      <c r="A2612" s="2" t="s">
        <v>10066</v>
      </c>
      <c r="B2612" s="15">
        <v>2271</v>
      </c>
      <c r="C2612" s="15">
        <v>18</v>
      </c>
      <c r="D2612" s="15">
        <v>41425455</v>
      </c>
      <c r="E2612" s="15">
        <v>42974165</v>
      </c>
      <c r="F2612" s="15">
        <v>3275</v>
      </c>
      <c r="G2612" s="8" t="s">
        <v>12324</v>
      </c>
      <c r="H2612" s="24" t="s">
        <v>6008</v>
      </c>
      <c r="I2612" s="25" t="s">
        <v>6009</v>
      </c>
      <c r="J2612" s="8" t="s">
        <v>6010</v>
      </c>
      <c r="K2612" s="8" t="s">
        <v>10051</v>
      </c>
      <c r="L2612" s="15">
        <v>0.234266</v>
      </c>
      <c r="M2612" s="15">
        <v>0.47130899999999998</v>
      </c>
      <c r="N2612" s="15">
        <v>0.80158122030651335</v>
      </c>
    </row>
    <row r="2613" spans="1:14" x14ac:dyDescent="0.2">
      <c r="A2613" s="2" t="s">
        <v>10069</v>
      </c>
      <c r="B2613" s="15">
        <v>1214</v>
      </c>
      <c r="C2613" s="15">
        <v>7</v>
      </c>
      <c r="D2613" s="15">
        <v>137657460</v>
      </c>
      <c r="E2613" s="15">
        <v>138755107</v>
      </c>
      <c r="F2613" s="15">
        <v>1962</v>
      </c>
      <c r="G2613" s="8" t="s">
        <v>12324</v>
      </c>
      <c r="H2613" s="24" t="s">
        <v>662</v>
      </c>
      <c r="I2613" s="25" t="s">
        <v>663</v>
      </c>
      <c r="J2613" s="8" t="s">
        <v>664</v>
      </c>
      <c r="K2613" s="8" t="s">
        <v>10040</v>
      </c>
      <c r="L2613" s="15">
        <v>0.16933799999999999</v>
      </c>
      <c r="M2613" s="15">
        <v>0.47197</v>
      </c>
      <c r="N2613" s="15">
        <v>0.80168018000765984</v>
      </c>
    </row>
    <row r="2614" spans="1:14" x14ac:dyDescent="0.2">
      <c r="A2614" s="2" t="s">
        <v>10068</v>
      </c>
      <c r="B2614" s="15">
        <v>752</v>
      </c>
      <c r="C2614" s="15">
        <v>4</v>
      </c>
      <c r="D2614" s="15">
        <v>169555115</v>
      </c>
      <c r="E2614" s="15">
        <v>170682809</v>
      </c>
      <c r="F2614" s="15">
        <v>2448</v>
      </c>
      <c r="G2614" s="8" t="s">
        <v>12324</v>
      </c>
      <c r="H2614" s="24" t="s">
        <v>6565</v>
      </c>
      <c r="I2614" s="25" t="s">
        <v>6475</v>
      </c>
      <c r="J2614" s="8" t="s">
        <v>6566</v>
      </c>
      <c r="K2614" s="8" t="s">
        <v>10054</v>
      </c>
      <c r="L2614" s="15">
        <v>-0.10362</v>
      </c>
      <c r="M2614" s="15">
        <v>0.472277</v>
      </c>
      <c r="N2614" s="15">
        <v>0.80189452335375189</v>
      </c>
    </row>
    <row r="2615" spans="1:14" x14ac:dyDescent="0.2">
      <c r="A2615" s="2" t="s">
        <v>10068</v>
      </c>
      <c r="B2615" s="15">
        <v>1078</v>
      </c>
      <c r="C2615" s="15">
        <v>6</v>
      </c>
      <c r="D2615" s="15">
        <v>154462011</v>
      </c>
      <c r="E2615" s="15">
        <v>155523957</v>
      </c>
      <c r="F2615" s="15">
        <v>3234</v>
      </c>
      <c r="G2615" s="8" t="s">
        <v>12324</v>
      </c>
      <c r="H2615" s="24" t="s">
        <v>1259</v>
      </c>
      <c r="I2615" s="25">
        <v>27096</v>
      </c>
      <c r="J2615" s="8" t="s">
        <v>1261</v>
      </c>
      <c r="K2615" s="8" t="s">
        <v>10040</v>
      </c>
      <c r="L2615" s="15">
        <v>0.125082</v>
      </c>
      <c r="M2615" s="15">
        <v>0.47291100000000003</v>
      </c>
      <c r="N2615" s="15">
        <v>0.80266371412169923</v>
      </c>
    </row>
    <row r="2616" spans="1:14" x14ac:dyDescent="0.2">
      <c r="A2616" s="2" t="s">
        <v>10066</v>
      </c>
      <c r="B2616" s="15">
        <v>2133</v>
      </c>
      <c r="C2616" s="15">
        <v>16</v>
      </c>
      <c r="D2616" s="15">
        <v>50467034</v>
      </c>
      <c r="E2616" s="15">
        <v>52041336</v>
      </c>
      <c r="F2616" s="15">
        <v>3553</v>
      </c>
      <c r="G2616" s="8" t="s">
        <v>12324</v>
      </c>
      <c r="H2616" s="24" t="s">
        <v>6008</v>
      </c>
      <c r="I2616" s="25" t="s">
        <v>6009</v>
      </c>
      <c r="J2616" s="8" t="s">
        <v>6010</v>
      </c>
      <c r="K2616" s="8" t="s">
        <v>10051</v>
      </c>
      <c r="L2616" s="15">
        <v>0.187031</v>
      </c>
      <c r="M2616" s="15">
        <v>0.47340500000000002</v>
      </c>
      <c r="N2616" s="15">
        <v>0.80319478768171382</v>
      </c>
    </row>
    <row r="2617" spans="1:14" x14ac:dyDescent="0.2">
      <c r="A2617" s="2" t="s">
        <v>10068</v>
      </c>
      <c r="B2617" s="15">
        <v>1702</v>
      </c>
      <c r="C2617" s="15">
        <v>11</v>
      </c>
      <c r="D2617" s="15">
        <v>95327211</v>
      </c>
      <c r="E2617" s="15">
        <v>96150134</v>
      </c>
      <c r="F2617" s="15">
        <v>2211</v>
      </c>
      <c r="G2617" s="8" t="s">
        <v>12324</v>
      </c>
      <c r="H2617" s="24" t="s">
        <v>599</v>
      </c>
      <c r="I2617" s="25">
        <v>26562</v>
      </c>
      <c r="J2617" s="8" t="s">
        <v>601</v>
      </c>
      <c r="K2617" s="8" t="s">
        <v>10040</v>
      </c>
      <c r="L2617" s="15">
        <v>0.179592</v>
      </c>
      <c r="M2617" s="15">
        <v>0.47395799999999999</v>
      </c>
      <c r="N2617" s="15">
        <v>0.80343490638135273</v>
      </c>
    </row>
    <row r="2618" spans="1:14" x14ac:dyDescent="0.2">
      <c r="A2618" s="2" t="s">
        <v>10066</v>
      </c>
      <c r="B2618" s="15">
        <v>1536</v>
      </c>
      <c r="C2618" s="15">
        <v>10</v>
      </c>
      <c r="D2618" s="15">
        <v>53919162</v>
      </c>
      <c r="E2618" s="15">
        <v>55104428</v>
      </c>
      <c r="F2618" s="15">
        <v>3475</v>
      </c>
      <c r="G2618" s="8" t="s">
        <v>12324</v>
      </c>
      <c r="H2618" s="24" t="s">
        <v>6008</v>
      </c>
      <c r="I2618" s="25" t="s">
        <v>6009</v>
      </c>
      <c r="J2618" s="8" t="s">
        <v>6010</v>
      </c>
      <c r="K2618" s="8" t="s">
        <v>10051</v>
      </c>
      <c r="L2618" s="15">
        <v>-0.15191199999999999</v>
      </c>
      <c r="M2618" s="15">
        <v>0.47388200000000003</v>
      </c>
      <c r="N2618" s="15">
        <v>0.80343490638135273</v>
      </c>
    </row>
    <row r="2619" spans="1:14" x14ac:dyDescent="0.2">
      <c r="A2619" s="2" t="s">
        <v>10068</v>
      </c>
      <c r="B2619" s="15">
        <v>2124</v>
      </c>
      <c r="C2619" s="15">
        <v>16</v>
      </c>
      <c r="D2619" s="15">
        <v>24014706</v>
      </c>
      <c r="E2619" s="15">
        <v>25235251</v>
      </c>
      <c r="F2619" s="15">
        <v>3246</v>
      </c>
      <c r="G2619" s="8" t="s">
        <v>12324</v>
      </c>
      <c r="H2619" s="24" t="s">
        <v>6565</v>
      </c>
      <c r="I2619" s="25" t="s">
        <v>6475</v>
      </c>
      <c r="J2619" s="8" t="s">
        <v>6566</v>
      </c>
      <c r="K2619" s="8" t="s">
        <v>10054</v>
      </c>
      <c r="L2619" s="15">
        <v>-0.24610199999999999</v>
      </c>
      <c r="M2619" s="15">
        <v>0.47409000000000001</v>
      </c>
      <c r="N2619" s="15">
        <v>0.80343490638135273</v>
      </c>
    </row>
    <row r="2620" spans="1:14" x14ac:dyDescent="0.2">
      <c r="A2620" s="2" t="s">
        <v>10066</v>
      </c>
      <c r="B2620" s="15">
        <v>1360</v>
      </c>
      <c r="C2620" s="15">
        <v>8</v>
      </c>
      <c r="D2620" s="15">
        <v>135313674</v>
      </c>
      <c r="E2620" s="15">
        <v>136220342</v>
      </c>
      <c r="F2620" s="15">
        <v>2627</v>
      </c>
      <c r="G2620" s="8" t="s">
        <v>12324</v>
      </c>
      <c r="H2620" s="24" t="s">
        <v>3164</v>
      </c>
      <c r="I2620" s="25" t="s">
        <v>3165</v>
      </c>
      <c r="J2620" s="8" t="s">
        <v>3166</v>
      </c>
      <c r="K2620" s="8" t="s">
        <v>10042</v>
      </c>
      <c r="L2620" s="15">
        <v>-0.26275199999999999</v>
      </c>
      <c r="M2620" s="15">
        <v>0.47438999999999998</v>
      </c>
      <c r="N2620" s="15">
        <v>0.80363622994652406</v>
      </c>
    </row>
    <row r="2621" spans="1:14" x14ac:dyDescent="0.2">
      <c r="A2621" s="2" t="s">
        <v>10068</v>
      </c>
      <c r="B2621" s="15">
        <v>2138</v>
      </c>
      <c r="C2621" s="15">
        <v>16</v>
      </c>
      <c r="D2621" s="15">
        <v>57119890</v>
      </c>
      <c r="E2621" s="15">
        <v>58508978</v>
      </c>
      <c r="F2621" s="15">
        <v>4204</v>
      </c>
      <c r="G2621" s="8" t="s">
        <v>12324</v>
      </c>
      <c r="H2621" s="24" t="s">
        <v>1259</v>
      </c>
      <c r="I2621" s="25">
        <v>27096</v>
      </c>
      <c r="J2621" s="8" t="s">
        <v>1261</v>
      </c>
      <c r="K2621" s="8" t="s">
        <v>10040</v>
      </c>
      <c r="L2621" s="15">
        <v>0.17235200000000001</v>
      </c>
      <c r="M2621" s="15">
        <v>0.47476600000000002</v>
      </c>
      <c r="N2621" s="15">
        <v>0.80396609774723182</v>
      </c>
    </row>
    <row r="2622" spans="1:14" x14ac:dyDescent="0.2">
      <c r="A2622" s="2" t="s">
        <v>10066</v>
      </c>
      <c r="B2622" s="15">
        <v>1721</v>
      </c>
      <c r="C2622" s="15">
        <v>11</v>
      </c>
      <c r="D2622" s="15">
        <v>114742318</v>
      </c>
      <c r="E2622" s="15">
        <v>116247377</v>
      </c>
      <c r="F2622" s="15">
        <v>3422</v>
      </c>
      <c r="G2622" s="8" t="s">
        <v>12324</v>
      </c>
      <c r="H2622" s="24" t="s">
        <v>3164</v>
      </c>
      <c r="I2622" s="25" t="s">
        <v>3165</v>
      </c>
      <c r="J2622" s="8" t="s">
        <v>3166</v>
      </c>
      <c r="K2622" s="8" t="s">
        <v>10042</v>
      </c>
      <c r="L2622" s="15">
        <v>-0.190192</v>
      </c>
      <c r="M2622" s="15">
        <v>0.47610799999999998</v>
      </c>
      <c r="N2622" s="15">
        <v>0.80593090839694659</v>
      </c>
    </row>
    <row r="2623" spans="1:14" x14ac:dyDescent="0.2">
      <c r="A2623" s="2" t="s">
        <v>10068</v>
      </c>
      <c r="B2623" s="15">
        <v>2195</v>
      </c>
      <c r="C2623" s="15">
        <v>17</v>
      </c>
      <c r="D2623" s="15">
        <v>25872111</v>
      </c>
      <c r="E2623" s="15">
        <v>27344401</v>
      </c>
      <c r="F2623" s="15">
        <v>2153</v>
      </c>
      <c r="G2623" s="8" t="s">
        <v>12324</v>
      </c>
      <c r="H2623" s="24" t="s">
        <v>1259</v>
      </c>
      <c r="I2623" s="25">
        <v>27096</v>
      </c>
      <c r="J2623" s="8" t="s">
        <v>1261</v>
      </c>
      <c r="K2623" s="8" t="s">
        <v>10040</v>
      </c>
      <c r="L2623" s="15">
        <v>-0.12931100000000001</v>
      </c>
      <c r="M2623" s="15">
        <v>0.476524</v>
      </c>
      <c r="N2623" s="15">
        <v>0.80610945652173904</v>
      </c>
    </row>
    <row r="2624" spans="1:14" x14ac:dyDescent="0.2">
      <c r="A2624" s="2" t="s">
        <v>10066</v>
      </c>
      <c r="B2624" s="15">
        <v>931</v>
      </c>
      <c r="C2624" s="15">
        <v>6</v>
      </c>
      <c r="D2624" s="15">
        <v>5378214</v>
      </c>
      <c r="E2624" s="15">
        <v>6621937</v>
      </c>
      <c r="F2624" s="15">
        <v>4163</v>
      </c>
      <c r="G2624" s="8" t="s">
        <v>12324</v>
      </c>
      <c r="H2624" s="24" t="s">
        <v>6008</v>
      </c>
      <c r="I2624" s="25" t="s">
        <v>6009</v>
      </c>
      <c r="J2624" s="8" t="s">
        <v>6010</v>
      </c>
      <c r="K2624" s="8" t="s">
        <v>10051</v>
      </c>
      <c r="L2624" s="15">
        <v>-0.14377000000000001</v>
      </c>
      <c r="M2624" s="15">
        <v>0.47657699999999997</v>
      </c>
      <c r="N2624" s="15">
        <v>0.80610945652173904</v>
      </c>
    </row>
    <row r="2625" spans="1:14" x14ac:dyDescent="0.2">
      <c r="A2625" s="2" t="s">
        <v>10068</v>
      </c>
      <c r="B2625" s="15">
        <v>838</v>
      </c>
      <c r="C2625" s="15">
        <v>5</v>
      </c>
      <c r="D2625" s="15">
        <v>75239303</v>
      </c>
      <c r="E2625" s="15">
        <v>75959515</v>
      </c>
      <c r="F2625" s="15">
        <v>2198</v>
      </c>
      <c r="G2625" s="8" t="s">
        <v>12324</v>
      </c>
      <c r="H2625" s="24" t="s">
        <v>494</v>
      </c>
      <c r="I2625" s="25">
        <v>25920</v>
      </c>
      <c r="J2625" s="8" t="s">
        <v>496</v>
      </c>
      <c r="K2625" s="8" t="s">
        <v>10040</v>
      </c>
      <c r="L2625" s="15">
        <v>0.144341</v>
      </c>
      <c r="M2625" s="15">
        <v>0.477298</v>
      </c>
      <c r="N2625" s="15">
        <v>0.80632925770841257</v>
      </c>
    </row>
    <row r="2626" spans="1:14" x14ac:dyDescent="0.2">
      <c r="A2626" s="2" t="s">
        <v>10068</v>
      </c>
      <c r="B2626" s="15">
        <v>2070</v>
      </c>
      <c r="C2626" s="15">
        <v>15</v>
      </c>
      <c r="D2626" s="15">
        <v>66355635</v>
      </c>
      <c r="E2626" s="15">
        <v>67396520</v>
      </c>
      <c r="F2626" s="15">
        <v>3219</v>
      </c>
      <c r="G2626" s="8" t="s">
        <v>12324</v>
      </c>
      <c r="H2626" s="24" t="s">
        <v>1259</v>
      </c>
      <c r="I2626" s="25">
        <v>27096</v>
      </c>
      <c r="J2626" s="8" t="s">
        <v>1261</v>
      </c>
      <c r="K2626" s="8" t="s">
        <v>10040</v>
      </c>
      <c r="L2626" s="15">
        <v>-0.14933099999999999</v>
      </c>
      <c r="M2626" s="15">
        <v>0.47736499999999998</v>
      </c>
      <c r="N2626" s="15">
        <v>0.80632925770841257</v>
      </c>
    </row>
    <row r="2627" spans="1:14" x14ac:dyDescent="0.2">
      <c r="A2627" s="2" t="s">
        <v>10068</v>
      </c>
      <c r="B2627" s="15">
        <v>240</v>
      </c>
      <c r="C2627" s="15">
        <v>2</v>
      </c>
      <c r="D2627" s="15">
        <v>36120744</v>
      </c>
      <c r="E2627" s="15">
        <v>36867389</v>
      </c>
      <c r="F2627" s="15">
        <v>2365</v>
      </c>
      <c r="G2627" s="8" t="s">
        <v>12324</v>
      </c>
      <c r="H2627" s="24" t="s">
        <v>1259</v>
      </c>
      <c r="I2627" s="25">
        <v>27096</v>
      </c>
      <c r="J2627" s="8" t="s">
        <v>1261</v>
      </c>
      <c r="K2627" s="8" t="s">
        <v>10040</v>
      </c>
      <c r="L2627" s="15">
        <v>0.18036099999999999</v>
      </c>
      <c r="M2627" s="15">
        <v>0.47761599999999999</v>
      </c>
      <c r="N2627" s="15">
        <v>0.80632925770841257</v>
      </c>
    </row>
    <row r="2628" spans="1:14" x14ac:dyDescent="0.2">
      <c r="A2628" s="2" t="s">
        <v>10066</v>
      </c>
      <c r="B2628" s="15">
        <v>2027</v>
      </c>
      <c r="C2628" s="15">
        <v>14</v>
      </c>
      <c r="D2628" s="15">
        <v>100786190</v>
      </c>
      <c r="E2628" s="15">
        <v>102004377</v>
      </c>
      <c r="F2628" s="15">
        <v>3265</v>
      </c>
      <c r="G2628" s="8" t="s">
        <v>12324</v>
      </c>
      <c r="H2628" s="24" t="s">
        <v>3164</v>
      </c>
      <c r="I2628" s="25" t="s">
        <v>3165</v>
      </c>
      <c r="J2628" s="8" t="s">
        <v>3166</v>
      </c>
      <c r="K2628" s="8" t="s">
        <v>10042</v>
      </c>
      <c r="L2628" s="15">
        <v>-0.10353900000000001</v>
      </c>
      <c r="M2628" s="15">
        <v>0.47719499999999998</v>
      </c>
      <c r="N2628" s="15">
        <v>0.80632925770841257</v>
      </c>
    </row>
    <row r="2629" spans="1:14" x14ac:dyDescent="0.2">
      <c r="A2629" s="2" t="s">
        <v>10066</v>
      </c>
      <c r="B2629" s="15">
        <v>1235</v>
      </c>
      <c r="C2629" s="15">
        <v>8</v>
      </c>
      <c r="D2629" s="15">
        <v>1628040</v>
      </c>
      <c r="E2629" s="15">
        <v>2070902</v>
      </c>
      <c r="F2629" s="15">
        <v>1984</v>
      </c>
      <c r="G2629" s="8" t="s">
        <v>12324</v>
      </c>
      <c r="H2629" s="24" t="s">
        <v>3164</v>
      </c>
      <c r="I2629" s="25" t="s">
        <v>3165</v>
      </c>
      <c r="J2629" s="8" t="s">
        <v>3166</v>
      </c>
      <c r="K2629" s="8" t="s">
        <v>10042</v>
      </c>
      <c r="L2629" s="15">
        <v>-0.173622</v>
      </c>
      <c r="M2629" s="15">
        <v>0.47755300000000001</v>
      </c>
      <c r="N2629" s="15">
        <v>0.80632925770841257</v>
      </c>
    </row>
    <row r="2630" spans="1:14" x14ac:dyDescent="0.2">
      <c r="A2630" s="2" t="s">
        <v>10068</v>
      </c>
      <c r="B2630" s="15">
        <v>2320</v>
      </c>
      <c r="C2630" s="15">
        <v>19</v>
      </c>
      <c r="D2630" s="15">
        <v>13213187</v>
      </c>
      <c r="E2630" s="15">
        <v>13968319</v>
      </c>
      <c r="F2630" s="15">
        <v>2121</v>
      </c>
      <c r="G2630" s="8" t="s">
        <v>12324</v>
      </c>
      <c r="H2630" s="24" t="s">
        <v>494</v>
      </c>
      <c r="I2630" s="25">
        <v>25920</v>
      </c>
      <c r="J2630" s="8" t="s">
        <v>496</v>
      </c>
      <c r="K2630" s="8" t="s">
        <v>10040</v>
      </c>
      <c r="L2630" s="15">
        <v>0.14227200000000001</v>
      </c>
      <c r="M2630" s="15">
        <v>0.478246</v>
      </c>
      <c r="N2630" s="15">
        <v>0.80694403422053229</v>
      </c>
    </row>
    <row r="2631" spans="1:14" x14ac:dyDescent="0.2">
      <c r="A2631" s="2" t="s">
        <v>10068</v>
      </c>
      <c r="B2631" s="15">
        <v>914</v>
      </c>
      <c r="C2631" s="15">
        <v>5</v>
      </c>
      <c r="D2631" s="15">
        <v>165289212</v>
      </c>
      <c r="E2631" s="15">
        <v>166863413</v>
      </c>
      <c r="F2631" s="15">
        <v>3478</v>
      </c>
      <c r="G2631" s="8" t="s">
        <v>12324</v>
      </c>
      <c r="H2631" s="24" t="s">
        <v>494</v>
      </c>
      <c r="I2631" s="25">
        <v>25920</v>
      </c>
      <c r="J2631" s="8" t="s">
        <v>496</v>
      </c>
      <c r="K2631" s="8" t="s">
        <v>10040</v>
      </c>
      <c r="L2631" s="15">
        <v>-0.17669099999999999</v>
      </c>
      <c r="M2631" s="15">
        <v>0.47852600000000001</v>
      </c>
      <c r="N2631" s="15">
        <v>0.80694403422053229</v>
      </c>
    </row>
    <row r="2632" spans="1:14" x14ac:dyDescent="0.2">
      <c r="A2632" s="2" t="s">
        <v>10068</v>
      </c>
      <c r="B2632" s="15">
        <v>2436</v>
      </c>
      <c r="C2632" s="15">
        <v>21</v>
      </c>
      <c r="D2632" s="15">
        <v>20407308</v>
      </c>
      <c r="E2632" s="15">
        <v>21632916</v>
      </c>
      <c r="F2632" s="15">
        <v>3686</v>
      </c>
      <c r="G2632" s="8" t="s">
        <v>12324</v>
      </c>
      <c r="H2632" s="24" t="s">
        <v>599</v>
      </c>
      <c r="I2632" s="25">
        <v>26562</v>
      </c>
      <c r="J2632" s="8" t="s">
        <v>601</v>
      </c>
      <c r="K2632" s="8" t="s">
        <v>10040</v>
      </c>
      <c r="L2632" s="15">
        <v>0.189717</v>
      </c>
      <c r="M2632" s="15">
        <v>0.478524</v>
      </c>
      <c r="N2632" s="15">
        <v>0.80694403422053229</v>
      </c>
    </row>
    <row r="2633" spans="1:14" x14ac:dyDescent="0.2">
      <c r="A2633" s="2" t="s">
        <v>10068</v>
      </c>
      <c r="B2633" s="15">
        <v>2184</v>
      </c>
      <c r="C2633" s="15">
        <v>17</v>
      </c>
      <c r="D2633" s="15">
        <v>10572618</v>
      </c>
      <c r="E2633" s="15">
        <v>11778164</v>
      </c>
      <c r="F2633" s="15">
        <v>3178</v>
      </c>
      <c r="G2633" s="8" t="s">
        <v>12324</v>
      </c>
      <c r="H2633" s="24" t="s">
        <v>599</v>
      </c>
      <c r="I2633" s="25">
        <v>26562</v>
      </c>
      <c r="J2633" s="8" t="s">
        <v>601</v>
      </c>
      <c r="K2633" s="8" t="s">
        <v>10040</v>
      </c>
      <c r="L2633" s="15">
        <v>-0.18953900000000001</v>
      </c>
      <c r="M2633" s="15">
        <v>0.47885299999999997</v>
      </c>
      <c r="N2633" s="15">
        <v>0.80718854237932336</v>
      </c>
    </row>
    <row r="2634" spans="1:14" x14ac:dyDescent="0.2">
      <c r="A2634" s="2" t="s">
        <v>10066</v>
      </c>
      <c r="B2634" s="15">
        <v>1244</v>
      </c>
      <c r="C2634" s="15">
        <v>8</v>
      </c>
      <c r="D2634" s="15">
        <v>6019164</v>
      </c>
      <c r="E2634" s="15">
        <v>6663427</v>
      </c>
      <c r="F2634" s="15">
        <v>3364</v>
      </c>
      <c r="G2634" s="8" t="s">
        <v>12324</v>
      </c>
      <c r="H2634" s="24" t="s">
        <v>6008</v>
      </c>
      <c r="I2634" s="25" t="s">
        <v>6009</v>
      </c>
      <c r="J2634" s="8" t="s">
        <v>6010</v>
      </c>
      <c r="K2634" s="8" t="s">
        <v>10051</v>
      </c>
      <c r="L2634" s="15">
        <v>0.169567</v>
      </c>
      <c r="M2634" s="15">
        <v>0.479267</v>
      </c>
      <c r="N2634" s="15">
        <v>0.80756583175085461</v>
      </c>
    </row>
    <row r="2635" spans="1:14" x14ac:dyDescent="0.2">
      <c r="A2635" s="2" t="s">
        <v>10068</v>
      </c>
      <c r="B2635" s="15">
        <v>232</v>
      </c>
      <c r="C2635" s="15">
        <v>2</v>
      </c>
      <c r="D2635" s="15">
        <v>29627933</v>
      </c>
      <c r="E2635" s="15">
        <v>30575619</v>
      </c>
      <c r="F2635" s="15">
        <v>2538</v>
      </c>
      <c r="G2635" s="8" t="s">
        <v>12324</v>
      </c>
      <c r="H2635" s="24" t="s">
        <v>6565</v>
      </c>
      <c r="I2635" s="25" t="s">
        <v>6475</v>
      </c>
      <c r="J2635" s="8" t="s">
        <v>6566</v>
      </c>
      <c r="K2635" s="8" t="s">
        <v>10054</v>
      </c>
      <c r="L2635" s="15">
        <v>0.16502</v>
      </c>
      <c r="M2635" s="15">
        <v>0.47944100000000001</v>
      </c>
      <c r="N2635" s="15">
        <v>0.80756583175085461</v>
      </c>
    </row>
    <row r="2636" spans="1:14" x14ac:dyDescent="0.2">
      <c r="A2636" s="2" t="s">
        <v>10066</v>
      </c>
      <c r="B2636" s="15">
        <v>1792</v>
      </c>
      <c r="C2636" s="15">
        <v>12</v>
      </c>
      <c r="D2636" s="15">
        <v>54371449</v>
      </c>
      <c r="E2636" s="15">
        <v>55416802</v>
      </c>
      <c r="F2636" s="15">
        <v>2517</v>
      </c>
      <c r="G2636" s="8" t="s">
        <v>12324</v>
      </c>
      <c r="H2636" s="24" t="s">
        <v>6008</v>
      </c>
      <c r="I2636" s="25" t="s">
        <v>6009</v>
      </c>
      <c r="J2636" s="8" t="s">
        <v>6010</v>
      </c>
      <c r="K2636" s="8" t="s">
        <v>10051</v>
      </c>
      <c r="L2636" s="15">
        <v>0.11844200000000001</v>
      </c>
      <c r="M2636" s="15">
        <v>0.48005999999999999</v>
      </c>
      <c r="N2636" s="15">
        <v>0.80830148063781315</v>
      </c>
    </row>
    <row r="2637" spans="1:14" x14ac:dyDescent="0.2">
      <c r="A2637" s="2" t="s">
        <v>10068</v>
      </c>
      <c r="B2637" s="15">
        <v>1489</v>
      </c>
      <c r="C2637" s="15">
        <v>10</v>
      </c>
      <c r="D2637" s="15">
        <v>3225337</v>
      </c>
      <c r="E2637" s="15">
        <v>3880322</v>
      </c>
      <c r="F2637" s="15">
        <v>2169</v>
      </c>
      <c r="G2637" s="8" t="s">
        <v>12324</v>
      </c>
      <c r="H2637" s="24" t="s">
        <v>6565</v>
      </c>
      <c r="I2637" s="25" t="s">
        <v>6475</v>
      </c>
      <c r="J2637" s="8" t="s">
        <v>6566</v>
      </c>
      <c r="K2637" s="8" t="s">
        <v>10054</v>
      </c>
      <c r="L2637" s="15">
        <v>-0.127113</v>
      </c>
      <c r="M2637" s="15">
        <v>0.48057</v>
      </c>
      <c r="N2637" s="15">
        <v>0.80885311195445919</v>
      </c>
    </row>
    <row r="2638" spans="1:14" x14ac:dyDescent="0.2">
      <c r="A2638" s="2" t="s">
        <v>10068</v>
      </c>
      <c r="B2638" s="15">
        <v>349</v>
      </c>
      <c r="C2638" s="15">
        <v>2</v>
      </c>
      <c r="D2638" s="15">
        <v>164702313</v>
      </c>
      <c r="E2638" s="15">
        <v>165917788</v>
      </c>
      <c r="F2638" s="15">
        <v>2338</v>
      </c>
      <c r="G2638" s="8" t="s">
        <v>12324</v>
      </c>
      <c r="H2638" s="24" t="s">
        <v>494</v>
      </c>
      <c r="I2638" s="25">
        <v>25920</v>
      </c>
      <c r="J2638" s="8" t="s">
        <v>496</v>
      </c>
      <c r="K2638" s="8" t="s">
        <v>10040</v>
      </c>
      <c r="L2638" s="15">
        <v>-0.202898</v>
      </c>
      <c r="M2638" s="15">
        <v>0.48116399999999998</v>
      </c>
      <c r="N2638" s="15">
        <v>0.80944970432145569</v>
      </c>
    </row>
    <row r="2639" spans="1:14" x14ac:dyDescent="0.2">
      <c r="A2639" s="2" t="s">
        <v>10066</v>
      </c>
      <c r="B2639" s="15">
        <v>2472</v>
      </c>
      <c r="C2639" s="15">
        <v>22</v>
      </c>
      <c r="D2639" s="15">
        <v>27192924</v>
      </c>
      <c r="E2639" s="15">
        <v>27952441</v>
      </c>
      <c r="F2639" s="15">
        <v>2882</v>
      </c>
      <c r="G2639" s="8" t="s">
        <v>12324</v>
      </c>
      <c r="H2639" s="24" t="s">
        <v>6008</v>
      </c>
      <c r="I2639" s="25" t="s">
        <v>6009</v>
      </c>
      <c r="J2639" s="8" t="s">
        <v>6010</v>
      </c>
      <c r="K2639" s="8" t="s">
        <v>10051</v>
      </c>
      <c r="L2639" s="15">
        <v>-8.5332000000000005E-2</v>
      </c>
      <c r="M2639" s="15">
        <v>0.48147200000000001</v>
      </c>
      <c r="N2639" s="15">
        <v>0.80944970432145569</v>
      </c>
    </row>
    <row r="2640" spans="1:14" x14ac:dyDescent="0.2">
      <c r="A2640" s="2" t="s">
        <v>10068</v>
      </c>
      <c r="B2640" s="15">
        <v>780</v>
      </c>
      <c r="C2640" s="15">
        <v>5</v>
      </c>
      <c r="D2640" s="15">
        <v>3677596</v>
      </c>
      <c r="E2640" s="15">
        <v>4636542</v>
      </c>
      <c r="F2640" s="15">
        <v>2500</v>
      </c>
      <c r="G2640" s="8" t="s">
        <v>12324</v>
      </c>
      <c r="H2640" s="24" t="s">
        <v>6565</v>
      </c>
      <c r="I2640" s="25" t="s">
        <v>6475</v>
      </c>
      <c r="J2640" s="8" t="s">
        <v>6566</v>
      </c>
      <c r="K2640" s="8" t="s">
        <v>10054</v>
      </c>
      <c r="L2640" s="15">
        <v>-0.137158</v>
      </c>
      <c r="M2640" s="15">
        <v>0.48143599999999998</v>
      </c>
      <c r="N2640" s="15">
        <v>0.80944970432145569</v>
      </c>
    </row>
    <row r="2641" spans="1:14" x14ac:dyDescent="0.2">
      <c r="A2641" s="2" t="s">
        <v>10066</v>
      </c>
      <c r="B2641" s="15">
        <v>1723</v>
      </c>
      <c r="C2641" s="15">
        <v>11</v>
      </c>
      <c r="D2641" s="15">
        <v>117295642</v>
      </c>
      <c r="E2641" s="15">
        <v>118901213</v>
      </c>
      <c r="F2641" s="15">
        <v>4276</v>
      </c>
      <c r="G2641" s="8" t="s">
        <v>12324</v>
      </c>
      <c r="H2641" s="24" t="s">
        <v>3164</v>
      </c>
      <c r="I2641" s="25" t="s">
        <v>3165</v>
      </c>
      <c r="J2641" s="8" t="s">
        <v>3166</v>
      </c>
      <c r="K2641" s="8" t="s">
        <v>10042</v>
      </c>
      <c r="L2641" s="15">
        <v>-0.13648399999999999</v>
      </c>
      <c r="M2641" s="15">
        <v>0.48191200000000001</v>
      </c>
      <c r="N2641" s="15">
        <v>0.80988242516104592</v>
      </c>
    </row>
    <row r="2642" spans="1:14" x14ac:dyDescent="0.2">
      <c r="A2642" s="2" t="s">
        <v>10069</v>
      </c>
      <c r="B2642" s="15">
        <v>453</v>
      </c>
      <c r="C2642" s="15">
        <v>3</v>
      </c>
      <c r="D2642" s="15">
        <v>33020869</v>
      </c>
      <c r="E2642" s="15">
        <v>33991869</v>
      </c>
      <c r="F2642" s="15">
        <v>1468</v>
      </c>
      <c r="G2642" s="8" t="s">
        <v>12324</v>
      </c>
      <c r="H2642" s="24" t="s">
        <v>662</v>
      </c>
      <c r="I2642" s="25" t="s">
        <v>663</v>
      </c>
      <c r="J2642" s="8" t="s">
        <v>664</v>
      </c>
      <c r="K2642" s="8" t="s">
        <v>10040</v>
      </c>
      <c r="L2642" s="15">
        <v>0.22539000000000001</v>
      </c>
      <c r="M2642" s="15">
        <v>0.48240499999999997</v>
      </c>
      <c r="N2642" s="15">
        <v>0.8104038541666666</v>
      </c>
    </row>
    <row r="2643" spans="1:14" x14ac:dyDescent="0.2">
      <c r="A2643" s="2" t="s">
        <v>10068</v>
      </c>
      <c r="B2643" s="15">
        <v>806</v>
      </c>
      <c r="C2643" s="15">
        <v>5</v>
      </c>
      <c r="D2643" s="15">
        <v>33971057</v>
      </c>
      <c r="E2643" s="15">
        <v>35157146</v>
      </c>
      <c r="F2643" s="15">
        <v>3581</v>
      </c>
      <c r="G2643" s="8" t="s">
        <v>12324</v>
      </c>
      <c r="H2643" s="24" t="s">
        <v>494</v>
      </c>
      <c r="I2643" s="25">
        <v>25920</v>
      </c>
      <c r="J2643" s="8" t="s">
        <v>496</v>
      </c>
      <c r="K2643" s="8" t="s">
        <v>10040</v>
      </c>
      <c r="L2643" s="15">
        <v>0.23788999999999999</v>
      </c>
      <c r="M2643" s="15">
        <v>0.48267900000000002</v>
      </c>
      <c r="N2643" s="15">
        <v>0.81055712419538062</v>
      </c>
    </row>
    <row r="2644" spans="1:14" x14ac:dyDescent="0.2">
      <c r="A2644" s="2" t="s">
        <v>10068</v>
      </c>
      <c r="B2644" s="15">
        <v>94</v>
      </c>
      <c r="C2644" s="15">
        <v>1</v>
      </c>
      <c r="D2644" s="15">
        <v>106864948</v>
      </c>
      <c r="E2644" s="15">
        <v>107874653</v>
      </c>
      <c r="F2644" s="15">
        <v>2092</v>
      </c>
      <c r="G2644" s="8" t="s">
        <v>12324</v>
      </c>
      <c r="H2644" s="24" t="s">
        <v>1259</v>
      </c>
      <c r="I2644" s="25">
        <v>27096</v>
      </c>
      <c r="J2644" s="8" t="s">
        <v>1261</v>
      </c>
      <c r="K2644" s="8" t="s">
        <v>10040</v>
      </c>
      <c r="L2644" s="15">
        <v>0.22230800000000001</v>
      </c>
      <c r="M2644" s="15">
        <v>0.48331099999999999</v>
      </c>
      <c r="N2644" s="15">
        <v>0.81131123580620745</v>
      </c>
    </row>
    <row r="2645" spans="1:14" x14ac:dyDescent="0.2">
      <c r="A2645" s="2" t="s">
        <v>10068</v>
      </c>
      <c r="B2645" s="15">
        <v>2380</v>
      </c>
      <c r="C2645" s="15">
        <v>20</v>
      </c>
      <c r="D2645" s="15">
        <v>10279604</v>
      </c>
      <c r="E2645" s="15">
        <v>11257012</v>
      </c>
      <c r="F2645" s="15">
        <v>2707</v>
      </c>
      <c r="G2645" s="8" t="s">
        <v>12324</v>
      </c>
      <c r="H2645" s="24" t="s">
        <v>1259</v>
      </c>
      <c r="I2645" s="25">
        <v>27096</v>
      </c>
      <c r="J2645" s="8" t="s">
        <v>1261</v>
      </c>
      <c r="K2645" s="8" t="s">
        <v>10040</v>
      </c>
      <c r="L2645" s="15">
        <v>0.102765</v>
      </c>
      <c r="M2645" s="15">
        <v>0.48375899999999999</v>
      </c>
      <c r="N2645" s="15">
        <v>0.81175602156640181</v>
      </c>
    </row>
    <row r="2646" spans="1:14" x14ac:dyDescent="0.2">
      <c r="A2646" s="2" t="s">
        <v>10068</v>
      </c>
      <c r="B2646" s="15">
        <v>1460</v>
      </c>
      <c r="C2646" s="15">
        <v>9</v>
      </c>
      <c r="D2646" s="15">
        <v>115390113</v>
      </c>
      <c r="E2646" s="15">
        <v>116159540</v>
      </c>
      <c r="F2646" s="15">
        <v>2188</v>
      </c>
      <c r="G2646" s="8" t="s">
        <v>12324</v>
      </c>
      <c r="H2646" s="24" t="s">
        <v>494</v>
      </c>
      <c r="I2646" s="25">
        <v>25920</v>
      </c>
      <c r="J2646" s="8" t="s">
        <v>496</v>
      </c>
      <c r="K2646" s="8" t="s">
        <v>10040</v>
      </c>
      <c r="L2646" s="15">
        <v>0.22973199999999999</v>
      </c>
      <c r="M2646" s="15">
        <v>0.48457</v>
      </c>
      <c r="N2646" s="15">
        <v>0.81219499244142102</v>
      </c>
    </row>
    <row r="2647" spans="1:14" x14ac:dyDescent="0.2">
      <c r="A2647" s="2" t="s">
        <v>10068</v>
      </c>
      <c r="B2647" s="15">
        <v>1726</v>
      </c>
      <c r="C2647" s="15">
        <v>11</v>
      </c>
      <c r="D2647" s="15">
        <v>121208187</v>
      </c>
      <c r="E2647" s="15">
        <v>122589224</v>
      </c>
      <c r="F2647" s="15">
        <v>3110</v>
      </c>
      <c r="G2647" s="8" t="s">
        <v>12324</v>
      </c>
      <c r="H2647" s="24" t="s">
        <v>599</v>
      </c>
      <c r="I2647" s="25">
        <v>26562</v>
      </c>
      <c r="J2647" s="8" t="s">
        <v>601</v>
      </c>
      <c r="K2647" s="8" t="s">
        <v>10040</v>
      </c>
      <c r="L2647" s="15">
        <v>-0.17711399999999999</v>
      </c>
      <c r="M2647" s="15">
        <v>0.48440499999999997</v>
      </c>
      <c r="N2647" s="15">
        <v>0.81219499244142102</v>
      </c>
    </row>
    <row r="2648" spans="1:14" x14ac:dyDescent="0.2">
      <c r="A2648" s="2" t="s">
        <v>10068</v>
      </c>
      <c r="B2648" s="15">
        <v>1943</v>
      </c>
      <c r="C2648" s="15">
        <v>13</v>
      </c>
      <c r="D2648" s="15">
        <v>105672501</v>
      </c>
      <c r="E2648" s="15">
        <v>106313847</v>
      </c>
      <c r="F2648" s="15">
        <v>2042</v>
      </c>
      <c r="G2648" s="8" t="s">
        <v>12324</v>
      </c>
      <c r="H2648" s="24" t="s">
        <v>599</v>
      </c>
      <c r="I2648" s="25">
        <v>26562</v>
      </c>
      <c r="J2648" s="8" t="s">
        <v>601</v>
      </c>
      <c r="K2648" s="8" t="s">
        <v>10040</v>
      </c>
      <c r="L2648" s="15">
        <v>0.21703500000000001</v>
      </c>
      <c r="M2648" s="15">
        <v>0.48445500000000002</v>
      </c>
      <c r="N2648" s="15">
        <v>0.81219499244142102</v>
      </c>
    </row>
    <row r="2649" spans="1:14" x14ac:dyDescent="0.2">
      <c r="A2649" s="2" t="s">
        <v>10068</v>
      </c>
      <c r="B2649" s="15">
        <v>855</v>
      </c>
      <c r="C2649" s="15">
        <v>5</v>
      </c>
      <c r="D2649" s="15">
        <v>96467378</v>
      </c>
      <c r="E2649" s="15">
        <v>97316601</v>
      </c>
      <c r="F2649" s="15">
        <v>2783</v>
      </c>
      <c r="G2649" s="8" t="s">
        <v>12324</v>
      </c>
      <c r="H2649" s="24" t="s">
        <v>494</v>
      </c>
      <c r="I2649" s="25">
        <v>25920</v>
      </c>
      <c r="J2649" s="8" t="s">
        <v>496</v>
      </c>
      <c r="K2649" s="8" t="s">
        <v>10040</v>
      </c>
      <c r="L2649" s="15">
        <v>0.20622399999999999</v>
      </c>
      <c r="M2649" s="15">
        <v>0.48553800000000003</v>
      </c>
      <c r="N2649" s="15">
        <v>0.81284131271218418</v>
      </c>
    </row>
    <row r="2650" spans="1:14" x14ac:dyDescent="0.2">
      <c r="A2650" s="2" t="s">
        <v>10068</v>
      </c>
      <c r="B2650" s="15">
        <v>2339</v>
      </c>
      <c r="C2650" s="15">
        <v>19</v>
      </c>
      <c r="D2650" s="15">
        <v>33028100</v>
      </c>
      <c r="E2650" s="15">
        <v>33785835</v>
      </c>
      <c r="F2650" s="15">
        <v>2504</v>
      </c>
      <c r="G2650" s="8" t="s">
        <v>12324</v>
      </c>
      <c r="H2650" s="24" t="s">
        <v>599</v>
      </c>
      <c r="I2650" s="25">
        <v>26562</v>
      </c>
      <c r="J2650" s="8" t="s">
        <v>601</v>
      </c>
      <c r="K2650" s="8" t="s">
        <v>10040</v>
      </c>
      <c r="L2650" s="15">
        <v>0.19550000000000001</v>
      </c>
      <c r="M2650" s="15">
        <v>0.48570000000000002</v>
      </c>
      <c r="N2650" s="15">
        <v>0.81284131271218418</v>
      </c>
    </row>
    <row r="2651" spans="1:14" x14ac:dyDescent="0.2">
      <c r="A2651" s="2" t="s">
        <v>10069</v>
      </c>
      <c r="B2651" s="15">
        <v>290</v>
      </c>
      <c r="C2651" s="15">
        <v>2</v>
      </c>
      <c r="D2651" s="15">
        <v>84395900</v>
      </c>
      <c r="E2651" s="15">
        <v>85992794</v>
      </c>
      <c r="F2651" s="15">
        <v>2404</v>
      </c>
      <c r="G2651" s="8" t="s">
        <v>12324</v>
      </c>
      <c r="H2651" s="24" t="s">
        <v>662</v>
      </c>
      <c r="I2651" s="25" t="s">
        <v>663</v>
      </c>
      <c r="J2651" s="8" t="s">
        <v>664</v>
      </c>
      <c r="K2651" s="8" t="s">
        <v>10040</v>
      </c>
      <c r="L2651" s="15">
        <v>0.15779000000000001</v>
      </c>
      <c r="M2651" s="15">
        <v>0.48582599999999998</v>
      </c>
      <c r="N2651" s="15">
        <v>0.81284131271218418</v>
      </c>
    </row>
    <row r="2652" spans="1:14" x14ac:dyDescent="0.2">
      <c r="A2652" s="2" t="s">
        <v>10066</v>
      </c>
      <c r="B2652" s="15">
        <v>2326</v>
      </c>
      <c r="C2652" s="15">
        <v>19</v>
      </c>
      <c r="D2652" s="15">
        <v>17750519</v>
      </c>
      <c r="E2652" s="15">
        <v>18504867</v>
      </c>
      <c r="F2652" s="15">
        <v>2320</v>
      </c>
      <c r="G2652" s="8" t="s">
        <v>12324</v>
      </c>
      <c r="H2652" s="24" t="s">
        <v>3164</v>
      </c>
      <c r="I2652" s="25" t="s">
        <v>3165</v>
      </c>
      <c r="J2652" s="8" t="s">
        <v>3166</v>
      </c>
      <c r="K2652" s="8" t="s">
        <v>10042</v>
      </c>
      <c r="L2652" s="15">
        <v>0.16642499999999999</v>
      </c>
      <c r="M2652" s="15">
        <v>0.48585</v>
      </c>
      <c r="N2652" s="15">
        <v>0.81284131271218418</v>
      </c>
    </row>
    <row r="2653" spans="1:14" x14ac:dyDescent="0.2">
      <c r="A2653" s="2" t="s">
        <v>10068</v>
      </c>
      <c r="B2653" s="15">
        <v>2447</v>
      </c>
      <c r="C2653" s="15">
        <v>21</v>
      </c>
      <c r="D2653" s="15">
        <v>32202240</v>
      </c>
      <c r="E2653" s="15">
        <v>33270272</v>
      </c>
      <c r="F2653" s="15">
        <v>2913</v>
      </c>
      <c r="G2653" s="8" t="s">
        <v>12324</v>
      </c>
      <c r="H2653" s="24" t="s">
        <v>6565</v>
      </c>
      <c r="I2653" s="25" t="s">
        <v>6475</v>
      </c>
      <c r="J2653" s="8" t="s">
        <v>6566</v>
      </c>
      <c r="K2653" s="8" t="s">
        <v>10054</v>
      </c>
      <c r="L2653" s="15">
        <v>-0.118857</v>
      </c>
      <c r="M2653" s="15">
        <v>0.48587200000000003</v>
      </c>
      <c r="N2653" s="15">
        <v>0.81284131271218418</v>
      </c>
    </row>
    <row r="2654" spans="1:14" x14ac:dyDescent="0.2">
      <c r="A2654" s="2" t="s">
        <v>10068</v>
      </c>
      <c r="B2654" s="15">
        <v>1128</v>
      </c>
      <c r="C2654" s="15">
        <v>7</v>
      </c>
      <c r="D2654" s="15">
        <v>30175114</v>
      </c>
      <c r="E2654" s="15">
        <v>31730554</v>
      </c>
      <c r="F2654" s="15">
        <v>4048</v>
      </c>
      <c r="G2654" s="8" t="s">
        <v>12324</v>
      </c>
      <c r="H2654" s="24" t="s">
        <v>599</v>
      </c>
      <c r="I2654" s="25">
        <v>26562</v>
      </c>
      <c r="J2654" s="8" t="s">
        <v>601</v>
      </c>
      <c r="K2654" s="8" t="s">
        <v>10040</v>
      </c>
      <c r="L2654" s="15">
        <v>-0.13459199999999999</v>
      </c>
      <c r="M2654" s="15">
        <v>0.486703</v>
      </c>
      <c r="N2654" s="15">
        <v>0.81294418298192772</v>
      </c>
    </row>
    <row r="2655" spans="1:14" x14ac:dyDescent="0.2">
      <c r="A2655" s="2" t="s">
        <v>10068</v>
      </c>
      <c r="B2655" s="15">
        <v>1960</v>
      </c>
      <c r="C2655" s="15">
        <v>14</v>
      </c>
      <c r="D2655" s="15">
        <v>25585042</v>
      </c>
      <c r="E2655" s="15">
        <v>26395690</v>
      </c>
      <c r="F2655" s="15">
        <v>2230</v>
      </c>
      <c r="G2655" s="8" t="s">
        <v>12324</v>
      </c>
      <c r="H2655" s="24" t="s">
        <v>599</v>
      </c>
      <c r="I2655" s="25">
        <v>26562</v>
      </c>
      <c r="J2655" s="8" t="s">
        <v>601</v>
      </c>
      <c r="K2655" s="8" t="s">
        <v>10040</v>
      </c>
      <c r="L2655" s="15">
        <v>0.11644699999999999</v>
      </c>
      <c r="M2655" s="15">
        <v>0.48674000000000001</v>
      </c>
      <c r="N2655" s="15">
        <v>0.81294418298192772</v>
      </c>
    </row>
    <row r="2656" spans="1:14" x14ac:dyDescent="0.2">
      <c r="A2656" s="2" t="s">
        <v>10066</v>
      </c>
      <c r="B2656" s="15">
        <v>156</v>
      </c>
      <c r="C2656" s="15">
        <v>1</v>
      </c>
      <c r="D2656" s="15">
        <v>202583885</v>
      </c>
      <c r="E2656" s="15">
        <v>204092537</v>
      </c>
      <c r="F2656" s="15">
        <v>3710</v>
      </c>
      <c r="G2656" s="8" t="s">
        <v>12324</v>
      </c>
      <c r="H2656" s="24" t="s">
        <v>3164</v>
      </c>
      <c r="I2656" s="25" t="s">
        <v>3165</v>
      </c>
      <c r="J2656" s="8" t="s">
        <v>3166</v>
      </c>
      <c r="K2656" s="8" t="s">
        <v>10042</v>
      </c>
      <c r="L2656" s="15">
        <v>0.15889900000000001</v>
      </c>
      <c r="M2656" s="15">
        <v>0.48617100000000002</v>
      </c>
      <c r="N2656" s="15">
        <v>0.81294418298192772</v>
      </c>
    </row>
    <row r="2657" spans="1:14" x14ac:dyDescent="0.2">
      <c r="A2657" s="2" t="s">
        <v>10066</v>
      </c>
      <c r="B2657" s="15">
        <v>1627</v>
      </c>
      <c r="C2657" s="15">
        <v>11</v>
      </c>
      <c r="D2657" s="15">
        <v>15126768</v>
      </c>
      <c r="E2657" s="15">
        <v>16383386</v>
      </c>
      <c r="F2657" s="15">
        <v>2667</v>
      </c>
      <c r="G2657" s="8" t="s">
        <v>12324</v>
      </c>
      <c r="H2657" s="24" t="s">
        <v>3164</v>
      </c>
      <c r="I2657" s="25" t="s">
        <v>3165</v>
      </c>
      <c r="J2657" s="8" t="s">
        <v>3166</v>
      </c>
      <c r="K2657" s="8" t="s">
        <v>10042</v>
      </c>
      <c r="L2657" s="15">
        <v>-0.21262200000000001</v>
      </c>
      <c r="M2657" s="15">
        <v>0.486539</v>
      </c>
      <c r="N2657" s="15">
        <v>0.81294418298192772</v>
      </c>
    </row>
    <row r="2658" spans="1:14" x14ac:dyDescent="0.2">
      <c r="A2658" s="2" t="s">
        <v>10068</v>
      </c>
      <c r="B2658" s="15">
        <v>1888</v>
      </c>
      <c r="C2658" s="15">
        <v>13</v>
      </c>
      <c r="D2658" s="15">
        <v>45476447</v>
      </c>
      <c r="E2658" s="15">
        <v>46493236</v>
      </c>
      <c r="F2658" s="15">
        <v>2335</v>
      </c>
      <c r="G2658" s="8" t="s">
        <v>12324</v>
      </c>
      <c r="H2658" s="24" t="s">
        <v>6565</v>
      </c>
      <c r="I2658" s="25" t="s">
        <v>6475</v>
      </c>
      <c r="J2658" s="8" t="s">
        <v>6566</v>
      </c>
      <c r="K2658" s="8" t="s">
        <v>10054</v>
      </c>
      <c r="L2658" s="15">
        <v>0.22457299999999999</v>
      </c>
      <c r="M2658" s="15">
        <v>0.48685</v>
      </c>
      <c r="N2658" s="15">
        <v>0.81294418298192772</v>
      </c>
    </row>
    <row r="2659" spans="1:14" x14ac:dyDescent="0.2">
      <c r="A2659" s="2" t="s">
        <v>10068</v>
      </c>
      <c r="B2659" s="15">
        <v>2339</v>
      </c>
      <c r="C2659" s="15">
        <v>19</v>
      </c>
      <c r="D2659" s="15">
        <v>33028100</v>
      </c>
      <c r="E2659" s="15">
        <v>33785835</v>
      </c>
      <c r="F2659" s="15">
        <v>2504</v>
      </c>
      <c r="G2659" s="8" t="s">
        <v>12324</v>
      </c>
      <c r="H2659" s="24" t="s">
        <v>1259</v>
      </c>
      <c r="I2659" s="25">
        <v>27096</v>
      </c>
      <c r="J2659" s="8" t="s">
        <v>1261</v>
      </c>
      <c r="K2659" s="8" t="s">
        <v>10040</v>
      </c>
      <c r="L2659" s="15">
        <v>0.17324100000000001</v>
      </c>
      <c r="M2659" s="15">
        <v>0.48710799999999999</v>
      </c>
      <c r="N2659" s="15">
        <v>0.81306886714339488</v>
      </c>
    </row>
    <row r="2660" spans="1:14" x14ac:dyDescent="0.2">
      <c r="A2660" s="2" t="s">
        <v>10068</v>
      </c>
      <c r="B2660" s="15">
        <v>483</v>
      </c>
      <c r="C2660" s="15">
        <v>3</v>
      </c>
      <c r="D2660" s="15">
        <v>71223282</v>
      </c>
      <c r="E2660" s="15">
        <v>72334704</v>
      </c>
      <c r="F2660" s="15">
        <v>2929</v>
      </c>
      <c r="G2660" s="8" t="s">
        <v>12324</v>
      </c>
      <c r="H2660" s="24" t="s">
        <v>6565</v>
      </c>
      <c r="I2660" s="25" t="s">
        <v>6475</v>
      </c>
      <c r="J2660" s="8" t="s">
        <v>6566</v>
      </c>
      <c r="K2660" s="8" t="s">
        <v>10054</v>
      </c>
      <c r="L2660" s="15">
        <v>-0.233738</v>
      </c>
      <c r="M2660" s="15">
        <v>0.48776799999999998</v>
      </c>
      <c r="N2660" s="15">
        <v>0.81386421369450712</v>
      </c>
    </row>
    <row r="2661" spans="1:14" x14ac:dyDescent="0.2">
      <c r="A2661" s="2" t="s">
        <v>10068</v>
      </c>
      <c r="B2661" s="15">
        <v>130</v>
      </c>
      <c r="C2661" s="15">
        <v>1</v>
      </c>
      <c r="D2661" s="15">
        <v>172465154</v>
      </c>
      <c r="E2661" s="15">
        <v>173582511</v>
      </c>
      <c r="F2661" s="15">
        <v>2152</v>
      </c>
      <c r="G2661" s="8" t="s">
        <v>12324</v>
      </c>
      <c r="H2661" s="24" t="s">
        <v>1259</v>
      </c>
      <c r="I2661" s="25">
        <v>27096</v>
      </c>
      <c r="J2661" s="8" t="s">
        <v>1261</v>
      </c>
      <c r="K2661" s="8" t="s">
        <v>10040</v>
      </c>
      <c r="L2661" s="15">
        <v>-0.16747400000000001</v>
      </c>
      <c r="M2661" s="15">
        <v>0.48819600000000002</v>
      </c>
      <c r="N2661" s="15">
        <v>0.81396588721804519</v>
      </c>
    </row>
    <row r="2662" spans="1:14" x14ac:dyDescent="0.2">
      <c r="A2662" s="2" t="s">
        <v>10066</v>
      </c>
      <c r="B2662" s="15">
        <v>726</v>
      </c>
      <c r="C2662" s="15">
        <v>4</v>
      </c>
      <c r="D2662" s="15">
        <v>138537345</v>
      </c>
      <c r="E2662" s="15">
        <v>139553760</v>
      </c>
      <c r="F2662" s="15">
        <v>2753</v>
      </c>
      <c r="G2662" s="8" t="s">
        <v>12324</v>
      </c>
      <c r="H2662" s="24" t="s">
        <v>3164</v>
      </c>
      <c r="I2662" s="25" t="s">
        <v>3165</v>
      </c>
      <c r="J2662" s="8" t="s">
        <v>3166</v>
      </c>
      <c r="K2662" s="8" t="s">
        <v>10042</v>
      </c>
      <c r="L2662" s="15">
        <v>0.122812</v>
      </c>
      <c r="M2662" s="15">
        <v>0.48819099999999999</v>
      </c>
      <c r="N2662" s="15">
        <v>0.81396588721804519</v>
      </c>
    </row>
    <row r="2663" spans="1:14" x14ac:dyDescent="0.2">
      <c r="A2663" s="2" t="s">
        <v>10069</v>
      </c>
      <c r="B2663" s="15">
        <v>2167</v>
      </c>
      <c r="C2663" s="15">
        <v>16</v>
      </c>
      <c r="D2663" s="15">
        <v>85146806</v>
      </c>
      <c r="E2663" s="15">
        <v>86058597</v>
      </c>
      <c r="F2663" s="15">
        <v>1758</v>
      </c>
      <c r="G2663" s="8" t="s">
        <v>12324</v>
      </c>
      <c r="H2663" s="24" t="s">
        <v>662</v>
      </c>
      <c r="I2663" s="25" t="s">
        <v>663</v>
      </c>
      <c r="J2663" s="8" t="s">
        <v>664</v>
      </c>
      <c r="K2663" s="8" t="s">
        <v>10040</v>
      </c>
      <c r="L2663" s="15">
        <v>-0.14749100000000001</v>
      </c>
      <c r="M2663" s="15">
        <v>0.489456</v>
      </c>
      <c r="N2663" s="15">
        <v>0.81501858589647413</v>
      </c>
    </row>
    <row r="2664" spans="1:14" x14ac:dyDescent="0.2">
      <c r="A2664" s="2" t="s">
        <v>10068</v>
      </c>
      <c r="B2664" s="15">
        <v>29</v>
      </c>
      <c r="C2664" s="15">
        <v>1</v>
      </c>
      <c r="D2664" s="15">
        <v>29188427</v>
      </c>
      <c r="E2664" s="15">
        <v>30405182</v>
      </c>
      <c r="F2664" s="15">
        <v>2675</v>
      </c>
      <c r="G2664" s="8" t="s">
        <v>12324</v>
      </c>
      <c r="H2664" s="24" t="s">
        <v>1259</v>
      </c>
      <c r="I2664" s="25">
        <v>27096</v>
      </c>
      <c r="J2664" s="8" t="s">
        <v>1261</v>
      </c>
      <c r="K2664" s="8" t="s">
        <v>10040</v>
      </c>
      <c r="L2664" s="15">
        <v>0.26144000000000001</v>
      </c>
      <c r="M2664" s="15">
        <v>0.48937999999999998</v>
      </c>
      <c r="N2664" s="15">
        <v>0.81501858589647413</v>
      </c>
    </row>
    <row r="2665" spans="1:14" x14ac:dyDescent="0.2">
      <c r="A2665" s="2" t="s">
        <v>10068</v>
      </c>
      <c r="B2665" s="15">
        <v>1467</v>
      </c>
      <c r="C2665" s="15">
        <v>9</v>
      </c>
      <c r="D2665" s="15">
        <v>122677720</v>
      </c>
      <c r="E2665" s="15">
        <v>124119883</v>
      </c>
      <c r="F2665" s="15">
        <v>2421</v>
      </c>
      <c r="G2665" s="8" t="s">
        <v>12324</v>
      </c>
      <c r="H2665" s="24" t="s">
        <v>1259</v>
      </c>
      <c r="I2665" s="25">
        <v>27096</v>
      </c>
      <c r="J2665" s="8" t="s">
        <v>1261</v>
      </c>
      <c r="K2665" s="8" t="s">
        <v>10040</v>
      </c>
      <c r="L2665" s="15">
        <v>-0.204156</v>
      </c>
      <c r="M2665" s="15">
        <v>0.48965900000000001</v>
      </c>
      <c r="N2665" s="15">
        <v>0.81501858589647413</v>
      </c>
    </row>
    <row r="2666" spans="1:14" x14ac:dyDescent="0.2">
      <c r="A2666" s="2" t="s">
        <v>10066</v>
      </c>
      <c r="B2666" s="15">
        <v>2451</v>
      </c>
      <c r="C2666" s="15">
        <v>21</v>
      </c>
      <c r="D2666" s="15">
        <v>37303549</v>
      </c>
      <c r="E2666" s="15">
        <v>38046449</v>
      </c>
      <c r="F2666" s="15">
        <v>2561</v>
      </c>
      <c r="G2666" s="8" t="s">
        <v>12324</v>
      </c>
      <c r="H2666" s="24" t="s">
        <v>3164</v>
      </c>
      <c r="I2666" s="25" t="s">
        <v>3165</v>
      </c>
      <c r="J2666" s="8" t="s">
        <v>3166</v>
      </c>
      <c r="K2666" s="8" t="s">
        <v>10042</v>
      </c>
      <c r="L2666" s="15">
        <v>9.59922E-2</v>
      </c>
      <c r="M2666" s="15">
        <v>0.48992000000000002</v>
      </c>
      <c r="N2666" s="15">
        <v>0.81501858589647413</v>
      </c>
    </row>
    <row r="2667" spans="1:14" x14ac:dyDescent="0.2">
      <c r="A2667" s="2" t="s">
        <v>10066</v>
      </c>
      <c r="B2667" s="15">
        <v>1038</v>
      </c>
      <c r="C2667" s="15">
        <v>6</v>
      </c>
      <c r="D2667" s="15">
        <v>107309328</v>
      </c>
      <c r="E2667" s="15">
        <v>109043244</v>
      </c>
      <c r="F2667" s="15">
        <v>3634</v>
      </c>
      <c r="G2667" s="8" t="s">
        <v>12324</v>
      </c>
      <c r="H2667" s="24" t="s">
        <v>3164</v>
      </c>
      <c r="I2667" s="25" t="s">
        <v>3165</v>
      </c>
      <c r="J2667" s="8" t="s">
        <v>3166</v>
      </c>
      <c r="K2667" s="8" t="s">
        <v>10042</v>
      </c>
      <c r="L2667" s="15">
        <v>0.19919000000000001</v>
      </c>
      <c r="M2667" s="15">
        <v>0.48992999999999998</v>
      </c>
      <c r="N2667" s="15">
        <v>0.81501858589647413</v>
      </c>
    </row>
    <row r="2668" spans="1:14" x14ac:dyDescent="0.2">
      <c r="A2668" s="2" t="s">
        <v>10068</v>
      </c>
      <c r="B2668" s="15">
        <v>2248</v>
      </c>
      <c r="C2668" s="15">
        <v>18</v>
      </c>
      <c r="D2668" s="15">
        <v>9816165</v>
      </c>
      <c r="E2668" s="15">
        <v>10675548</v>
      </c>
      <c r="F2668" s="15">
        <v>2860</v>
      </c>
      <c r="G2668" s="8" t="s">
        <v>12324</v>
      </c>
      <c r="H2668" s="24" t="s">
        <v>6565</v>
      </c>
      <c r="I2668" s="25" t="s">
        <v>6475</v>
      </c>
      <c r="J2668" s="8" t="s">
        <v>6566</v>
      </c>
      <c r="K2668" s="8" t="s">
        <v>10054</v>
      </c>
      <c r="L2668" s="15">
        <v>-0.15514</v>
      </c>
      <c r="M2668" s="15">
        <v>0.48910599999999999</v>
      </c>
      <c r="N2668" s="15">
        <v>0.81501858589647413</v>
      </c>
    </row>
    <row r="2669" spans="1:14" x14ac:dyDescent="0.2">
      <c r="A2669" s="2" t="s">
        <v>10068</v>
      </c>
      <c r="B2669" s="15">
        <v>5</v>
      </c>
      <c r="C2669" s="15">
        <v>1</v>
      </c>
      <c r="D2669" s="15">
        <v>3582048</v>
      </c>
      <c r="E2669" s="15">
        <v>4281476</v>
      </c>
      <c r="F2669" s="15">
        <v>2302</v>
      </c>
      <c r="G2669" s="8" t="s">
        <v>12324</v>
      </c>
      <c r="H2669" s="24" t="s">
        <v>494</v>
      </c>
      <c r="I2669" s="25">
        <v>25920</v>
      </c>
      <c r="J2669" s="8" t="s">
        <v>496</v>
      </c>
      <c r="K2669" s="8" t="s">
        <v>10040</v>
      </c>
      <c r="L2669" s="15">
        <v>8.1166199999999994E-2</v>
      </c>
      <c r="M2669" s="15">
        <v>0.49082300000000001</v>
      </c>
      <c r="N2669" s="15">
        <v>0.81540714044943818</v>
      </c>
    </row>
    <row r="2670" spans="1:14" x14ac:dyDescent="0.2">
      <c r="A2670" s="2" t="s">
        <v>10068</v>
      </c>
      <c r="B2670" s="15">
        <v>2249</v>
      </c>
      <c r="C2670" s="15">
        <v>18</v>
      </c>
      <c r="D2670" s="15">
        <v>10675549</v>
      </c>
      <c r="E2670" s="15">
        <v>11872226</v>
      </c>
      <c r="F2670" s="15">
        <v>3838</v>
      </c>
      <c r="G2670" s="8" t="s">
        <v>12324</v>
      </c>
      <c r="H2670" s="24" t="s">
        <v>494</v>
      </c>
      <c r="I2670" s="25">
        <v>25920</v>
      </c>
      <c r="J2670" s="8" t="s">
        <v>496</v>
      </c>
      <c r="K2670" s="8" t="s">
        <v>10040</v>
      </c>
      <c r="L2670" s="15">
        <v>-0.16941600000000001</v>
      </c>
      <c r="M2670" s="15">
        <v>0.49089899999999997</v>
      </c>
      <c r="N2670" s="15">
        <v>0.81540714044943818</v>
      </c>
    </row>
    <row r="2671" spans="1:14" x14ac:dyDescent="0.2">
      <c r="A2671" s="2" t="s">
        <v>10068</v>
      </c>
      <c r="B2671" s="15">
        <v>1363</v>
      </c>
      <c r="C2671" s="15">
        <v>8</v>
      </c>
      <c r="D2671" s="15">
        <v>138564844</v>
      </c>
      <c r="E2671" s="15">
        <v>139404631</v>
      </c>
      <c r="F2671" s="15">
        <v>2827</v>
      </c>
      <c r="G2671" s="8" t="s">
        <v>12324</v>
      </c>
      <c r="H2671" s="24" t="s">
        <v>599</v>
      </c>
      <c r="I2671" s="25">
        <v>26562</v>
      </c>
      <c r="J2671" s="8" t="s">
        <v>601</v>
      </c>
      <c r="K2671" s="8" t="s">
        <v>10040</v>
      </c>
      <c r="L2671" s="15">
        <v>0.11619</v>
      </c>
      <c r="M2671" s="15">
        <v>0.49054799999999998</v>
      </c>
      <c r="N2671" s="15">
        <v>0.81540714044943818</v>
      </c>
    </row>
    <row r="2672" spans="1:14" x14ac:dyDescent="0.2">
      <c r="A2672" s="2" t="s">
        <v>10068</v>
      </c>
      <c r="B2672" s="15">
        <v>834</v>
      </c>
      <c r="C2672" s="15">
        <v>5</v>
      </c>
      <c r="D2672" s="15">
        <v>68006994</v>
      </c>
      <c r="E2672" s="15">
        <v>71468651</v>
      </c>
      <c r="F2672" s="15">
        <v>3751</v>
      </c>
      <c r="G2672" s="8" t="s">
        <v>12324</v>
      </c>
      <c r="H2672" s="24" t="s">
        <v>6565</v>
      </c>
      <c r="I2672" s="25" t="s">
        <v>6475</v>
      </c>
      <c r="J2672" s="8" t="s">
        <v>6566</v>
      </c>
      <c r="K2672" s="8" t="s">
        <v>10054</v>
      </c>
      <c r="L2672" s="15">
        <v>-0.20722499999999999</v>
      </c>
      <c r="M2672" s="15">
        <v>0.49038599999999999</v>
      </c>
      <c r="N2672" s="15">
        <v>0.81540714044943818</v>
      </c>
    </row>
    <row r="2673" spans="1:14" x14ac:dyDescent="0.2">
      <c r="A2673" s="2" t="s">
        <v>10068</v>
      </c>
      <c r="B2673" s="15">
        <v>2427</v>
      </c>
      <c r="C2673" s="15">
        <v>20</v>
      </c>
      <c r="D2673" s="15">
        <v>60766558</v>
      </c>
      <c r="E2673" s="15">
        <v>61470768</v>
      </c>
      <c r="F2673" s="15">
        <v>2310</v>
      </c>
      <c r="G2673" s="8" t="s">
        <v>12324</v>
      </c>
      <c r="H2673" s="24" t="s">
        <v>494</v>
      </c>
      <c r="I2673" s="25">
        <v>25920</v>
      </c>
      <c r="J2673" s="8" t="s">
        <v>496</v>
      </c>
      <c r="K2673" s="8" t="s">
        <v>10040</v>
      </c>
      <c r="L2673" s="15">
        <v>-0.19456300000000001</v>
      </c>
      <c r="M2673" s="15">
        <v>0.49187700000000001</v>
      </c>
      <c r="N2673" s="15">
        <v>0.81667072604790425</v>
      </c>
    </row>
    <row r="2674" spans="1:14" x14ac:dyDescent="0.2">
      <c r="A2674" s="2" t="s">
        <v>10066</v>
      </c>
      <c r="B2674" s="15">
        <v>1720</v>
      </c>
      <c r="C2674" s="15">
        <v>11</v>
      </c>
      <c r="D2674" s="15">
        <v>113889020</v>
      </c>
      <c r="E2674" s="15">
        <v>114742317</v>
      </c>
      <c r="F2674" s="15">
        <v>2205</v>
      </c>
      <c r="G2674" s="8" t="s">
        <v>12324</v>
      </c>
      <c r="H2674" s="24" t="s">
        <v>6008</v>
      </c>
      <c r="I2674" s="25" t="s">
        <v>6009</v>
      </c>
      <c r="J2674" s="8" t="s">
        <v>6010</v>
      </c>
      <c r="K2674" s="8" t="s">
        <v>10051</v>
      </c>
      <c r="L2674" s="15">
        <v>0.120307</v>
      </c>
      <c r="M2674" s="15">
        <v>0.49202800000000002</v>
      </c>
      <c r="N2674" s="15">
        <v>0.81667072604790425</v>
      </c>
    </row>
    <row r="2675" spans="1:14" x14ac:dyDescent="0.2">
      <c r="A2675" s="2" t="s">
        <v>10068</v>
      </c>
      <c r="B2675" s="15">
        <v>494</v>
      </c>
      <c r="C2675" s="15">
        <v>3</v>
      </c>
      <c r="D2675" s="15">
        <v>83529395</v>
      </c>
      <c r="E2675" s="15">
        <v>84698480</v>
      </c>
      <c r="F2675" s="15">
        <v>2973</v>
      </c>
      <c r="G2675" s="8" t="s">
        <v>12324</v>
      </c>
      <c r="H2675" s="24" t="s">
        <v>1259</v>
      </c>
      <c r="I2675" s="25">
        <v>27096</v>
      </c>
      <c r="J2675" s="8" t="s">
        <v>1261</v>
      </c>
      <c r="K2675" s="8" t="s">
        <v>10040</v>
      </c>
      <c r="L2675" s="15">
        <v>-0.179725</v>
      </c>
      <c r="M2675" s="15">
        <v>0.49230600000000002</v>
      </c>
      <c r="N2675" s="15">
        <v>0.81682645342312021</v>
      </c>
    </row>
    <row r="2676" spans="1:14" x14ac:dyDescent="0.2">
      <c r="A2676" s="2" t="s">
        <v>10068</v>
      </c>
      <c r="B2676" s="15">
        <v>796</v>
      </c>
      <c r="C2676" s="15">
        <v>5</v>
      </c>
      <c r="D2676" s="15">
        <v>22149043</v>
      </c>
      <c r="E2676" s="15">
        <v>23246745</v>
      </c>
      <c r="F2676" s="15">
        <v>2753</v>
      </c>
      <c r="G2676" s="8" t="s">
        <v>12324</v>
      </c>
      <c r="H2676" s="24" t="s">
        <v>494</v>
      </c>
      <c r="I2676" s="25">
        <v>25920</v>
      </c>
      <c r="J2676" s="8" t="s">
        <v>496</v>
      </c>
      <c r="K2676" s="8" t="s">
        <v>10040</v>
      </c>
      <c r="L2676" s="15">
        <v>0.12482600000000001</v>
      </c>
      <c r="M2676" s="15">
        <v>0.49252800000000002</v>
      </c>
      <c r="N2676" s="15">
        <v>0.8168891847419596</v>
      </c>
    </row>
    <row r="2677" spans="1:14" x14ac:dyDescent="0.2">
      <c r="A2677" s="2" t="s">
        <v>10066</v>
      </c>
      <c r="B2677" s="15">
        <v>2207</v>
      </c>
      <c r="C2677" s="15">
        <v>17</v>
      </c>
      <c r="D2677" s="15">
        <v>43460501</v>
      </c>
      <c r="E2677" s="15">
        <v>44865832</v>
      </c>
      <c r="F2677" s="15">
        <v>3080</v>
      </c>
      <c r="G2677" s="8" t="s">
        <v>12324</v>
      </c>
      <c r="H2677" s="24" t="s">
        <v>3164</v>
      </c>
      <c r="I2677" s="25" t="s">
        <v>3165</v>
      </c>
      <c r="J2677" s="8" t="s">
        <v>3166</v>
      </c>
      <c r="K2677" s="8" t="s">
        <v>10042</v>
      </c>
      <c r="L2677" s="15">
        <v>-0.12686900000000001</v>
      </c>
      <c r="M2677" s="15">
        <v>0.49304900000000002</v>
      </c>
      <c r="N2677" s="15">
        <v>0.81744759439252335</v>
      </c>
    </row>
    <row r="2678" spans="1:14" x14ac:dyDescent="0.2">
      <c r="A2678" s="2" t="s">
        <v>10068</v>
      </c>
      <c r="B2678" s="15">
        <v>2347</v>
      </c>
      <c r="C2678" s="15">
        <v>19</v>
      </c>
      <c r="D2678" s="15">
        <v>41004106</v>
      </c>
      <c r="E2678" s="15">
        <v>41733463</v>
      </c>
      <c r="F2678" s="15">
        <v>2120</v>
      </c>
      <c r="G2678" s="8" t="s">
        <v>12324</v>
      </c>
      <c r="H2678" s="24" t="s">
        <v>599</v>
      </c>
      <c r="I2678" s="25">
        <v>26562</v>
      </c>
      <c r="J2678" s="8" t="s">
        <v>601</v>
      </c>
      <c r="K2678" s="8" t="s">
        <v>10040</v>
      </c>
      <c r="L2678" s="15">
        <v>0.108038</v>
      </c>
      <c r="M2678" s="15">
        <v>0.49364200000000003</v>
      </c>
      <c r="N2678" s="15">
        <v>0.81757958566629341</v>
      </c>
    </row>
    <row r="2679" spans="1:14" x14ac:dyDescent="0.2">
      <c r="A2679" s="2" t="s">
        <v>10066</v>
      </c>
      <c r="B2679" s="15">
        <v>1737</v>
      </c>
      <c r="C2679" s="15">
        <v>11</v>
      </c>
      <c r="D2679" s="15">
        <v>132584402</v>
      </c>
      <c r="E2679" s="15">
        <v>133521642</v>
      </c>
      <c r="F2679" s="15">
        <v>2746</v>
      </c>
      <c r="G2679" s="8" t="s">
        <v>12324</v>
      </c>
      <c r="H2679" s="24" t="s">
        <v>3164</v>
      </c>
      <c r="I2679" s="25" t="s">
        <v>3165</v>
      </c>
      <c r="J2679" s="8" t="s">
        <v>3166</v>
      </c>
      <c r="K2679" s="8" t="s">
        <v>10042</v>
      </c>
      <c r="L2679" s="15">
        <v>-0.14224100000000001</v>
      </c>
      <c r="M2679" s="15">
        <v>0.49354599999999998</v>
      </c>
      <c r="N2679" s="15">
        <v>0.81757958566629341</v>
      </c>
    </row>
    <row r="2680" spans="1:14" x14ac:dyDescent="0.2">
      <c r="A2680" s="2" t="s">
        <v>10066</v>
      </c>
      <c r="B2680" s="15">
        <v>545</v>
      </c>
      <c r="C2680" s="15">
        <v>3</v>
      </c>
      <c r="D2680" s="15">
        <v>141898979</v>
      </c>
      <c r="E2680" s="15">
        <v>142976707</v>
      </c>
      <c r="F2680" s="15">
        <v>2223</v>
      </c>
      <c r="G2680" s="8" t="s">
        <v>12324</v>
      </c>
      <c r="H2680" s="24" t="s">
        <v>3164</v>
      </c>
      <c r="I2680" s="25" t="s">
        <v>3165</v>
      </c>
      <c r="J2680" s="8" t="s">
        <v>3166</v>
      </c>
      <c r="K2680" s="8" t="s">
        <v>10042</v>
      </c>
      <c r="L2680" s="15">
        <v>0.25511099999999998</v>
      </c>
      <c r="M2680" s="15">
        <v>0.49374200000000001</v>
      </c>
      <c r="N2680" s="15">
        <v>0.81757958566629341</v>
      </c>
    </row>
    <row r="2681" spans="1:14" x14ac:dyDescent="0.2">
      <c r="A2681" s="2" t="s">
        <v>10068</v>
      </c>
      <c r="B2681" s="15">
        <v>1657</v>
      </c>
      <c r="C2681" s="15">
        <v>11</v>
      </c>
      <c r="D2681" s="15">
        <v>45019560</v>
      </c>
      <c r="E2681" s="15">
        <v>46316005</v>
      </c>
      <c r="F2681" s="15">
        <v>2889</v>
      </c>
      <c r="G2681" s="8" t="s">
        <v>12324</v>
      </c>
      <c r="H2681" s="24" t="s">
        <v>6565</v>
      </c>
      <c r="I2681" s="25" t="s">
        <v>6475</v>
      </c>
      <c r="J2681" s="8" t="s">
        <v>6566</v>
      </c>
      <c r="K2681" s="8" t="s">
        <v>10054</v>
      </c>
      <c r="L2681" s="15">
        <v>0.15495800000000001</v>
      </c>
      <c r="M2681" s="15">
        <v>0.49386600000000003</v>
      </c>
      <c r="N2681" s="15">
        <v>0.81757958566629341</v>
      </c>
    </row>
    <row r="2682" spans="1:14" x14ac:dyDescent="0.2">
      <c r="A2682" s="2" t="s">
        <v>10068</v>
      </c>
      <c r="B2682" s="15">
        <v>2415</v>
      </c>
      <c r="C2682" s="15">
        <v>20</v>
      </c>
      <c r="D2682" s="15">
        <v>51533751</v>
      </c>
      <c r="E2682" s="15">
        <v>52411532</v>
      </c>
      <c r="F2682" s="15">
        <v>2241</v>
      </c>
      <c r="G2682" s="8" t="s">
        <v>12324</v>
      </c>
      <c r="H2682" s="24" t="s">
        <v>494</v>
      </c>
      <c r="I2682" s="25">
        <v>25920</v>
      </c>
      <c r="J2682" s="8" t="s">
        <v>496</v>
      </c>
      <c r="K2682" s="8" t="s">
        <v>10040</v>
      </c>
      <c r="L2682" s="15">
        <v>0.17594000000000001</v>
      </c>
      <c r="M2682" s="15">
        <v>0.49472500000000003</v>
      </c>
      <c r="N2682" s="15">
        <v>0.81839066579634467</v>
      </c>
    </row>
    <row r="2683" spans="1:14" x14ac:dyDescent="0.2">
      <c r="A2683" s="2" t="s">
        <v>10069</v>
      </c>
      <c r="B2683" s="15">
        <v>917</v>
      </c>
      <c r="C2683" s="15">
        <v>5</v>
      </c>
      <c r="D2683" s="15">
        <v>169506967</v>
      </c>
      <c r="E2683" s="15">
        <v>170898340</v>
      </c>
      <c r="F2683" s="15">
        <v>2379</v>
      </c>
      <c r="G2683" s="8" t="s">
        <v>12324</v>
      </c>
      <c r="H2683" s="24" t="s">
        <v>662</v>
      </c>
      <c r="I2683" s="25" t="s">
        <v>663</v>
      </c>
      <c r="J2683" s="8" t="s">
        <v>664</v>
      </c>
      <c r="K2683" s="8" t="s">
        <v>10040</v>
      </c>
      <c r="L2683" s="15">
        <v>0.21927099999999999</v>
      </c>
      <c r="M2683" s="15">
        <v>0.49469200000000002</v>
      </c>
      <c r="N2683" s="15">
        <v>0.81839066579634467</v>
      </c>
    </row>
    <row r="2684" spans="1:14" x14ac:dyDescent="0.2">
      <c r="A2684" s="2" t="s">
        <v>10066</v>
      </c>
      <c r="B2684" s="15">
        <v>2361</v>
      </c>
      <c r="C2684" s="15">
        <v>19</v>
      </c>
      <c r="D2684" s="15">
        <v>53431218</v>
      </c>
      <c r="E2684" s="15">
        <v>54042240</v>
      </c>
      <c r="F2684" s="15">
        <v>2836</v>
      </c>
      <c r="G2684" s="8" t="s">
        <v>12324</v>
      </c>
      <c r="H2684" s="24" t="s">
        <v>6008</v>
      </c>
      <c r="I2684" s="25" t="s">
        <v>6009</v>
      </c>
      <c r="J2684" s="8" t="s">
        <v>6010</v>
      </c>
      <c r="K2684" s="8" t="s">
        <v>10051</v>
      </c>
      <c r="L2684" s="15">
        <v>-0.11208700000000001</v>
      </c>
      <c r="M2684" s="15">
        <v>0.494923</v>
      </c>
      <c r="N2684" s="15">
        <v>0.8184129399701715</v>
      </c>
    </row>
    <row r="2685" spans="1:14" x14ac:dyDescent="0.2">
      <c r="A2685" s="2" t="s">
        <v>10068</v>
      </c>
      <c r="B2685" s="15">
        <v>417</v>
      </c>
      <c r="C2685" s="15">
        <v>2</v>
      </c>
      <c r="D2685" s="15">
        <v>239634351</v>
      </c>
      <c r="E2685" s="15">
        <v>240325600</v>
      </c>
      <c r="F2685" s="15">
        <v>2175</v>
      </c>
      <c r="G2685" s="8" t="s">
        <v>12324</v>
      </c>
      <c r="H2685" s="24" t="s">
        <v>1259</v>
      </c>
      <c r="I2685" s="25">
        <v>27096</v>
      </c>
      <c r="J2685" s="8" t="s">
        <v>1261</v>
      </c>
      <c r="K2685" s="8" t="s">
        <v>10040</v>
      </c>
      <c r="L2685" s="15">
        <v>0.11951199999999999</v>
      </c>
      <c r="M2685" s="15">
        <v>0.49514900000000001</v>
      </c>
      <c r="N2685" s="15">
        <v>0.81848148155050315</v>
      </c>
    </row>
    <row r="2686" spans="1:14" x14ac:dyDescent="0.2">
      <c r="A2686" s="2" t="s">
        <v>10069</v>
      </c>
      <c r="B2686" s="15">
        <v>584</v>
      </c>
      <c r="C2686" s="15">
        <v>3</v>
      </c>
      <c r="D2686" s="15">
        <v>186602046</v>
      </c>
      <c r="E2686" s="15">
        <v>187939199</v>
      </c>
      <c r="F2686" s="15">
        <v>2529</v>
      </c>
      <c r="G2686" s="8" t="s">
        <v>12324</v>
      </c>
      <c r="H2686" s="24" t="s">
        <v>662</v>
      </c>
      <c r="I2686" s="25" t="s">
        <v>663</v>
      </c>
      <c r="J2686" s="8" t="s">
        <v>664</v>
      </c>
      <c r="K2686" s="8" t="s">
        <v>10040</v>
      </c>
      <c r="L2686" s="15">
        <v>-0.204489</v>
      </c>
      <c r="M2686" s="15">
        <v>0.49535499999999999</v>
      </c>
      <c r="N2686" s="15">
        <v>0.81851692436661705</v>
      </c>
    </row>
    <row r="2687" spans="1:14" x14ac:dyDescent="0.2">
      <c r="A2687" s="2" t="s">
        <v>10068</v>
      </c>
      <c r="B2687" s="15">
        <v>2325</v>
      </c>
      <c r="C2687" s="15">
        <v>19</v>
      </c>
      <c r="D2687" s="15">
        <v>17045964</v>
      </c>
      <c r="E2687" s="15">
        <v>17750518</v>
      </c>
      <c r="F2687" s="15">
        <v>2356</v>
      </c>
      <c r="G2687" s="8" t="s">
        <v>12324</v>
      </c>
      <c r="H2687" s="24" t="s">
        <v>494</v>
      </c>
      <c r="I2687" s="25">
        <v>25920</v>
      </c>
      <c r="J2687" s="8" t="s">
        <v>496</v>
      </c>
      <c r="K2687" s="8" t="s">
        <v>10040</v>
      </c>
      <c r="L2687" s="15">
        <v>-0.16592399999999999</v>
      </c>
      <c r="M2687" s="15">
        <v>0.49787100000000001</v>
      </c>
      <c r="N2687" s="15">
        <v>0.81870889321468299</v>
      </c>
    </row>
    <row r="2688" spans="1:14" x14ac:dyDescent="0.2">
      <c r="A2688" s="2" t="s">
        <v>10068</v>
      </c>
      <c r="B2688" s="15">
        <v>1222</v>
      </c>
      <c r="C2688" s="15">
        <v>7</v>
      </c>
      <c r="D2688" s="15">
        <v>148622914</v>
      </c>
      <c r="E2688" s="15">
        <v>149842999</v>
      </c>
      <c r="F2688" s="15">
        <v>3286</v>
      </c>
      <c r="G2688" s="8" t="s">
        <v>12324</v>
      </c>
      <c r="H2688" s="24" t="s">
        <v>599</v>
      </c>
      <c r="I2688" s="25">
        <v>26562</v>
      </c>
      <c r="J2688" s="8" t="s">
        <v>601</v>
      </c>
      <c r="K2688" s="8" t="s">
        <v>10040</v>
      </c>
      <c r="L2688" s="15">
        <v>0.135963</v>
      </c>
      <c r="M2688" s="15">
        <v>0.49606600000000001</v>
      </c>
      <c r="N2688" s="15">
        <v>0.81870889321468299</v>
      </c>
    </row>
    <row r="2689" spans="1:14" x14ac:dyDescent="0.2">
      <c r="A2689" s="2" t="s">
        <v>10068</v>
      </c>
      <c r="B2689" s="15">
        <v>1727</v>
      </c>
      <c r="C2689" s="15">
        <v>11</v>
      </c>
      <c r="D2689" s="15">
        <v>122589225</v>
      </c>
      <c r="E2689" s="15">
        <v>123398882</v>
      </c>
      <c r="F2689" s="15">
        <v>2519</v>
      </c>
      <c r="G2689" s="8" t="s">
        <v>12324</v>
      </c>
      <c r="H2689" s="24" t="s">
        <v>599</v>
      </c>
      <c r="I2689" s="25">
        <v>26562</v>
      </c>
      <c r="J2689" s="8" t="s">
        <v>601</v>
      </c>
      <c r="K2689" s="8" t="s">
        <v>10040</v>
      </c>
      <c r="L2689" s="15">
        <v>-0.160494</v>
      </c>
      <c r="M2689" s="15">
        <v>0.49648100000000001</v>
      </c>
      <c r="N2689" s="15">
        <v>0.81870889321468299</v>
      </c>
    </row>
    <row r="2690" spans="1:14" x14ac:dyDescent="0.2">
      <c r="A2690" s="2" t="s">
        <v>10068</v>
      </c>
      <c r="B2690" s="15">
        <v>1732</v>
      </c>
      <c r="C2690" s="15">
        <v>11</v>
      </c>
      <c r="D2690" s="15">
        <v>127306872</v>
      </c>
      <c r="E2690" s="15">
        <v>128262550</v>
      </c>
      <c r="F2690" s="15">
        <v>2647</v>
      </c>
      <c r="G2690" s="8" t="s">
        <v>12324</v>
      </c>
      <c r="H2690" s="24" t="s">
        <v>599</v>
      </c>
      <c r="I2690" s="25">
        <v>26562</v>
      </c>
      <c r="J2690" s="8" t="s">
        <v>601</v>
      </c>
      <c r="K2690" s="8" t="s">
        <v>10040</v>
      </c>
      <c r="L2690" s="15">
        <v>-0.21148900000000001</v>
      </c>
      <c r="M2690" s="15">
        <v>0.49679099999999998</v>
      </c>
      <c r="N2690" s="15">
        <v>0.81870889321468299</v>
      </c>
    </row>
    <row r="2691" spans="1:14" x14ac:dyDescent="0.2">
      <c r="A2691" s="2" t="s">
        <v>10068</v>
      </c>
      <c r="B2691" s="15">
        <v>1701</v>
      </c>
      <c r="C2691" s="15">
        <v>11</v>
      </c>
      <c r="D2691" s="15">
        <v>94384536</v>
      </c>
      <c r="E2691" s="15">
        <v>95327210</v>
      </c>
      <c r="F2691" s="15">
        <v>2186</v>
      </c>
      <c r="G2691" s="8" t="s">
        <v>12324</v>
      </c>
      <c r="H2691" s="24" t="s">
        <v>599</v>
      </c>
      <c r="I2691" s="25">
        <v>26562</v>
      </c>
      <c r="J2691" s="8" t="s">
        <v>601</v>
      </c>
      <c r="K2691" s="8" t="s">
        <v>10040</v>
      </c>
      <c r="L2691" s="15">
        <v>0.17638100000000001</v>
      </c>
      <c r="M2691" s="15">
        <v>0.49730999999999997</v>
      </c>
      <c r="N2691" s="15">
        <v>0.81870889321468299</v>
      </c>
    </row>
    <row r="2692" spans="1:14" x14ac:dyDescent="0.2">
      <c r="A2692" s="2" t="s">
        <v>10068</v>
      </c>
      <c r="B2692" s="15">
        <v>2290</v>
      </c>
      <c r="C2692" s="15">
        <v>18</v>
      </c>
      <c r="D2692" s="15">
        <v>62074994</v>
      </c>
      <c r="E2692" s="15">
        <v>63109755</v>
      </c>
      <c r="F2692" s="15">
        <v>2999</v>
      </c>
      <c r="G2692" s="8" t="s">
        <v>12324</v>
      </c>
      <c r="H2692" s="24" t="s">
        <v>599</v>
      </c>
      <c r="I2692" s="25">
        <v>26562</v>
      </c>
      <c r="J2692" s="8" t="s">
        <v>601</v>
      </c>
      <c r="K2692" s="8" t="s">
        <v>10040</v>
      </c>
      <c r="L2692" s="15">
        <v>-0.133435</v>
      </c>
      <c r="M2692" s="15">
        <v>0.497618</v>
      </c>
      <c r="N2692" s="15">
        <v>0.81870889321468299</v>
      </c>
    </row>
    <row r="2693" spans="1:14" x14ac:dyDescent="0.2">
      <c r="A2693" s="2" t="s">
        <v>10068</v>
      </c>
      <c r="B2693" s="15">
        <v>2422</v>
      </c>
      <c r="C2693" s="15">
        <v>20</v>
      </c>
      <c r="D2693" s="15">
        <v>56951774</v>
      </c>
      <c r="E2693" s="15">
        <v>57924037</v>
      </c>
      <c r="F2693" s="15">
        <v>2293</v>
      </c>
      <c r="G2693" s="8" t="s">
        <v>12324</v>
      </c>
      <c r="H2693" s="24" t="s">
        <v>599</v>
      </c>
      <c r="I2693" s="25">
        <v>26562</v>
      </c>
      <c r="J2693" s="8" t="s">
        <v>601</v>
      </c>
      <c r="K2693" s="8" t="s">
        <v>10040</v>
      </c>
      <c r="L2693" s="15">
        <v>-0.106701</v>
      </c>
      <c r="M2693" s="15">
        <v>0.49763499999999999</v>
      </c>
      <c r="N2693" s="15">
        <v>0.81870889321468299</v>
      </c>
    </row>
    <row r="2694" spans="1:14" x14ac:dyDescent="0.2">
      <c r="A2694" s="2" t="s">
        <v>10069</v>
      </c>
      <c r="B2694" s="15">
        <v>1067</v>
      </c>
      <c r="C2694" s="15">
        <v>6</v>
      </c>
      <c r="D2694" s="15">
        <v>143083348</v>
      </c>
      <c r="E2694" s="15">
        <v>144791455</v>
      </c>
      <c r="F2694" s="15">
        <v>2450</v>
      </c>
      <c r="G2694" s="8" t="s">
        <v>12324</v>
      </c>
      <c r="H2694" s="24" t="s">
        <v>662</v>
      </c>
      <c r="I2694" s="25" t="s">
        <v>663</v>
      </c>
      <c r="J2694" s="8" t="s">
        <v>664</v>
      </c>
      <c r="K2694" s="8" t="s">
        <v>10040</v>
      </c>
      <c r="L2694" s="15">
        <v>-0.20657600000000001</v>
      </c>
      <c r="M2694" s="15">
        <v>0.49657699999999999</v>
      </c>
      <c r="N2694" s="15">
        <v>0.81870889321468299</v>
      </c>
    </row>
    <row r="2695" spans="1:14" x14ac:dyDescent="0.2">
      <c r="A2695" s="2" t="s">
        <v>10069</v>
      </c>
      <c r="B2695" s="15">
        <v>910</v>
      </c>
      <c r="C2695" s="15">
        <v>5</v>
      </c>
      <c r="D2695" s="15">
        <v>160519050</v>
      </c>
      <c r="E2695" s="15">
        <v>161478177</v>
      </c>
      <c r="F2695" s="15">
        <v>1544</v>
      </c>
      <c r="G2695" s="8" t="s">
        <v>12324</v>
      </c>
      <c r="H2695" s="24" t="s">
        <v>662</v>
      </c>
      <c r="I2695" s="25" t="s">
        <v>663</v>
      </c>
      <c r="J2695" s="8" t="s">
        <v>664</v>
      </c>
      <c r="K2695" s="8" t="s">
        <v>10040</v>
      </c>
      <c r="L2695" s="15">
        <v>-0.189167</v>
      </c>
      <c r="M2695" s="15">
        <v>0.49666700000000003</v>
      </c>
      <c r="N2695" s="15">
        <v>0.81870889321468299</v>
      </c>
    </row>
    <row r="2696" spans="1:14" x14ac:dyDescent="0.2">
      <c r="A2696" s="2" t="s">
        <v>10069</v>
      </c>
      <c r="B2696" s="15">
        <v>1126</v>
      </c>
      <c r="C2696" s="15">
        <v>7</v>
      </c>
      <c r="D2696" s="15">
        <v>27351287</v>
      </c>
      <c r="E2696" s="15">
        <v>28890886</v>
      </c>
      <c r="F2696" s="15">
        <v>2789</v>
      </c>
      <c r="G2696" s="8" t="s">
        <v>12324</v>
      </c>
      <c r="H2696" s="24" t="s">
        <v>662</v>
      </c>
      <c r="I2696" s="25" t="s">
        <v>663</v>
      </c>
      <c r="J2696" s="8" t="s">
        <v>664</v>
      </c>
      <c r="K2696" s="8" t="s">
        <v>10040</v>
      </c>
      <c r="L2696" s="15">
        <v>-0.15115600000000001</v>
      </c>
      <c r="M2696" s="15">
        <v>0.49673200000000001</v>
      </c>
      <c r="N2696" s="15">
        <v>0.81870889321468299</v>
      </c>
    </row>
    <row r="2697" spans="1:14" x14ac:dyDescent="0.2">
      <c r="A2697" s="2" t="s">
        <v>10068</v>
      </c>
      <c r="B2697" s="15">
        <v>2082</v>
      </c>
      <c r="C2697" s="15">
        <v>15</v>
      </c>
      <c r="D2697" s="15">
        <v>81077026</v>
      </c>
      <c r="E2697" s="15">
        <v>82191077</v>
      </c>
      <c r="F2697" s="15">
        <v>2247</v>
      </c>
      <c r="G2697" s="8" t="s">
        <v>12324</v>
      </c>
      <c r="H2697" s="24" t="s">
        <v>1259</v>
      </c>
      <c r="I2697" s="25">
        <v>27096</v>
      </c>
      <c r="J2697" s="8" t="s">
        <v>1261</v>
      </c>
      <c r="K2697" s="8" t="s">
        <v>10040</v>
      </c>
      <c r="L2697" s="15">
        <v>-0.16094900000000001</v>
      </c>
      <c r="M2697" s="15">
        <v>0.496473</v>
      </c>
      <c r="N2697" s="15">
        <v>0.81870889321468299</v>
      </c>
    </row>
    <row r="2698" spans="1:14" x14ac:dyDescent="0.2">
      <c r="A2698" s="2" t="s">
        <v>10068</v>
      </c>
      <c r="B2698" s="15">
        <v>934</v>
      </c>
      <c r="C2698" s="15">
        <v>6</v>
      </c>
      <c r="D2698" s="15">
        <v>9020711</v>
      </c>
      <c r="E2698" s="15">
        <v>10416550</v>
      </c>
      <c r="F2698" s="15">
        <v>3978</v>
      </c>
      <c r="G2698" s="8" t="s">
        <v>12324</v>
      </c>
      <c r="H2698" s="24" t="s">
        <v>1259</v>
      </c>
      <c r="I2698" s="25">
        <v>27096</v>
      </c>
      <c r="J2698" s="8" t="s">
        <v>1261</v>
      </c>
      <c r="K2698" s="8" t="s">
        <v>10040</v>
      </c>
      <c r="L2698" s="15">
        <v>0.110553</v>
      </c>
      <c r="M2698" s="15">
        <v>0.49786000000000002</v>
      </c>
      <c r="N2698" s="15">
        <v>0.81870889321468299</v>
      </c>
    </row>
    <row r="2699" spans="1:14" x14ac:dyDescent="0.2">
      <c r="A2699" s="2" t="s">
        <v>10068</v>
      </c>
      <c r="B2699" s="15">
        <v>1377</v>
      </c>
      <c r="C2699" s="15">
        <v>9</v>
      </c>
      <c r="D2699" s="15">
        <v>4596615</v>
      </c>
      <c r="E2699" s="15">
        <v>5437591</v>
      </c>
      <c r="F2699" s="15">
        <v>2456</v>
      </c>
      <c r="G2699" s="8" t="s">
        <v>12324</v>
      </c>
      <c r="H2699" s="24" t="s">
        <v>6565</v>
      </c>
      <c r="I2699" s="25" t="s">
        <v>6475</v>
      </c>
      <c r="J2699" s="8" t="s">
        <v>6566</v>
      </c>
      <c r="K2699" s="8" t="s">
        <v>10054</v>
      </c>
      <c r="L2699" s="15">
        <v>0.24507999999999999</v>
      </c>
      <c r="M2699" s="15">
        <v>0.49745699999999998</v>
      </c>
      <c r="N2699" s="15">
        <v>0.81870889321468299</v>
      </c>
    </row>
    <row r="2700" spans="1:14" x14ac:dyDescent="0.2">
      <c r="A2700" s="2" t="s">
        <v>10068</v>
      </c>
      <c r="B2700" s="15">
        <v>1296</v>
      </c>
      <c r="C2700" s="15">
        <v>8</v>
      </c>
      <c r="D2700" s="15">
        <v>59555978</v>
      </c>
      <c r="E2700" s="15">
        <v>60476248</v>
      </c>
      <c r="F2700" s="15">
        <v>2063</v>
      </c>
      <c r="G2700" s="8" t="s">
        <v>12324</v>
      </c>
      <c r="H2700" s="24" t="s">
        <v>1259</v>
      </c>
      <c r="I2700" s="25">
        <v>27096</v>
      </c>
      <c r="J2700" s="8" t="s">
        <v>1261</v>
      </c>
      <c r="K2700" s="8" t="s">
        <v>10040</v>
      </c>
      <c r="L2700" s="15">
        <v>-0.14588899999999999</v>
      </c>
      <c r="M2700" s="15">
        <v>0.49815799999999999</v>
      </c>
      <c r="N2700" s="15">
        <v>0.81887721645663458</v>
      </c>
    </row>
    <row r="2701" spans="1:14" x14ac:dyDescent="0.2">
      <c r="A2701" s="2" t="s">
        <v>10068</v>
      </c>
      <c r="B2701" s="15">
        <v>752</v>
      </c>
      <c r="C2701" s="15">
        <v>4</v>
      </c>
      <c r="D2701" s="15">
        <v>169555115</v>
      </c>
      <c r="E2701" s="15">
        <v>170682809</v>
      </c>
      <c r="F2701" s="15">
        <v>2448</v>
      </c>
      <c r="G2701" s="8" t="s">
        <v>12324</v>
      </c>
      <c r="H2701" s="24" t="s">
        <v>494</v>
      </c>
      <c r="I2701" s="25">
        <v>25920</v>
      </c>
      <c r="J2701" s="8" t="s">
        <v>496</v>
      </c>
      <c r="K2701" s="8" t="s">
        <v>10040</v>
      </c>
      <c r="L2701" s="15">
        <v>0.12770699999999999</v>
      </c>
      <c r="M2701" s="15">
        <v>0.49874099999999999</v>
      </c>
      <c r="N2701" s="15">
        <v>0.81953180251945168</v>
      </c>
    </row>
    <row r="2702" spans="1:14" x14ac:dyDescent="0.2">
      <c r="A2702" s="2" t="s">
        <v>10068</v>
      </c>
      <c r="B2702" s="15">
        <v>880</v>
      </c>
      <c r="C2702" s="15">
        <v>5</v>
      </c>
      <c r="D2702" s="15">
        <v>123191942</v>
      </c>
      <c r="E2702" s="15">
        <v>124109485</v>
      </c>
      <c r="F2702" s="15">
        <v>2328</v>
      </c>
      <c r="G2702" s="8" t="s">
        <v>12324</v>
      </c>
      <c r="H2702" s="24" t="s">
        <v>1259</v>
      </c>
      <c r="I2702" s="25">
        <v>27096</v>
      </c>
      <c r="J2702" s="8" t="s">
        <v>1261</v>
      </c>
      <c r="K2702" s="8" t="s">
        <v>10040</v>
      </c>
      <c r="L2702" s="15">
        <v>0.150112</v>
      </c>
      <c r="M2702" s="15">
        <v>0.49921300000000002</v>
      </c>
      <c r="N2702" s="15">
        <v>0.81969998333950389</v>
      </c>
    </row>
    <row r="2703" spans="1:14" x14ac:dyDescent="0.2">
      <c r="A2703" s="2" t="s">
        <v>10068</v>
      </c>
      <c r="B2703" s="15">
        <v>1135</v>
      </c>
      <c r="C2703" s="15">
        <v>7</v>
      </c>
      <c r="D2703" s="15">
        <v>37981937</v>
      </c>
      <c r="E2703" s="15">
        <v>38966483</v>
      </c>
      <c r="F2703" s="15">
        <v>3513</v>
      </c>
      <c r="G2703" s="8" t="s">
        <v>12324</v>
      </c>
      <c r="H2703" s="24" t="s">
        <v>6565</v>
      </c>
      <c r="I2703" s="25" t="s">
        <v>6475</v>
      </c>
      <c r="J2703" s="8" t="s">
        <v>6566</v>
      </c>
      <c r="K2703" s="8" t="s">
        <v>10054</v>
      </c>
      <c r="L2703" s="15">
        <v>0.15277299999999999</v>
      </c>
      <c r="M2703" s="15">
        <v>0.49907800000000002</v>
      </c>
      <c r="N2703" s="15">
        <v>0.81969998333950389</v>
      </c>
    </row>
    <row r="2704" spans="1:14" x14ac:dyDescent="0.2">
      <c r="A2704" s="2" t="s">
        <v>10066</v>
      </c>
      <c r="B2704" s="15">
        <v>932</v>
      </c>
      <c r="C2704" s="15">
        <v>6</v>
      </c>
      <c r="D2704" s="15">
        <v>6621938</v>
      </c>
      <c r="E2704" s="15">
        <v>7808323</v>
      </c>
      <c r="F2704" s="15">
        <v>3909</v>
      </c>
      <c r="G2704" s="8" t="s">
        <v>12324</v>
      </c>
      <c r="H2704" s="24" t="s">
        <v>3164</v>
      </c>
      <c r="I2704" s="25" t="s">
        <v>3165</v>
      </c>
      <c r="J2704" s="8" t="s">
        <v>3166</v>
      </c>
      <c r="K2704" s="8" t="s">
        <v>10042</v>
      </c>
      <c r="L2704" s="15">
        <v>-0.15205099999999999</v>
      </c>
      <c r="M2704" s="15">
        <v>0.49962099999999998</v>
      </c>
      <c r="N2704" s="15">
        <v>0.82006629718726864</v>
      </c>
    </row>
    <row r="2705" spans="1:14" x14ac:dyDescent="0.2">
      <c r="A2705" s="2" t="s">
        <v>10068</v>
      </c>
      <c r="B2705" s="15">
        <v>1197</v>
      </c>
      <c r="C2705" s="15">
        <v>7</v>
      </c>
      <c r="D2705" s="15">
        <v>113339387</v>
      </c>
      <c r="E2705" s="15">
        <v>115321301</v>
      </c>
      <c r="F2705" s="15">
        <v>3408</v>
      </c>
      <c r="G2705" s="8" t="s">
        <v>12324</v>
      </c>
      <c r="H2705" s="24" t="s">
        <v>494</v>
      </c>
      <c r="I2705" s="25">
        <v>25920</v>
      </c>
      <c r="J2705" s="8" t="s">
        <v>496</v>
      </c>
      <c r="K2705" s="8" t="s">
        <v>10040</v>
      </c>
      <c r="L2705" s="15">
        <v>0.13189400000000001</v>
      </c>
      <c r="M2705" s="15">
        <v>0.50060099999999996</v>
      </c>
      <c r="N2705" s="15">
        <v>0.82030795051698679</v>
      </c>
    </row>
    <row r="2706" spans="1:14" x14ac:dyDescent="0.2">
      <c r="A2706" s="2" t="s">
        <v>10068</v>
      </c>
      <c r="B2706" s="15">
        <v>2474</v>
      </c>
      <c r="C2706" s="15">
        <v>22</v>
      </c>
      <c r="D2706" s="15">
        <v>29457602</v>
      </c>
      <c r="E2706" s="15">
        <v>30962255</v>
      </c>
      <c r="F2706" s="15">
        <v>3439</v>
      </c>
      <c r="G2706" s="8" t="s">
        <v>12324</v>
      </c>
      <c r="H2706" s="24" t="s">
        <v>599</v>
      </c>
      <c r="I2706" s="25">
        <v>26562</v>
      </c>
      <c r="J2706" s="8" t="s">
        <v>601</v>
      </c>
      <c r="K2706" s="8" t="s">
        <v>10040</v>
      </c>
      <c r="L2706" s="15">
        <v>-0.28656199999999998</v>
      </c>
      <c r="M2706" s="15">
        <v>0.50087499999999996</v>
      </c>
      <c r="N2706" s="15">
        <v>0.82030795051698679</v>
      </c>
    </row>
    <row r="2707" spans="1:14" x14ac:dyDescent="0.2">
      <c r="A2707" s="2" t="s">
        <v>10068</v>
      </c>
      <c r="B2707" s="15">
        <v>2059</v>
      </c>
      <c r="C2707" s="15">
        <v>15</v>
      </c>
      <c r="D2707" s="15">
        <v>53263127</v>
      </c>
      <c r="E2707" s="15">
        <v>54332799</v>
      </c>
      <c r="F2707" s="15">
        <v>3444</v>
      </c>
      <c r="G2707" s="8" t="s">
        <v>12324</v>
      </c>
      <c r="H2707" s="24" t="s">
        <v>1259</v>
      </c>
      <c r="I2707" s="25">
        <v>27096</v>
      </c>
      <c r="J2707" s="8" t="s">
        <v>1261</v>
      </c>
      <c r="K2707" s="8" t="s">
        <v>10040</v>
      </c>
      <c r="L2707" s="15">
        <v>-0.196516</v>
      </c>
      <c r="M2707" s="15">
        <v>0.50076600000000004</v>
      </c>
      <c r="N2707" s="15">
        <v>0.82030795051698679</v>
      </c>
    </row>
    <row r="2708" spans="1:14" x14ac:dyDescent="0.2">
      <c r="A2708" s="2" t="s">
        <v>10068</v>
      </c>
      <c r="B2708" s="15">
        <v>2043</v>
      </c>
      <c r="C2708" s="15">
        <v>15</v>
      </c>
      <c r="D2708" s="15">
        <v>32177321</v>
      </c>
      <c r="E2708" s="15">
        <v>33484267</v>
      </c>
      <c r="F2708" s="15">
        <v>2760</v>
      </c>
      <c r="G2708" s="8" t="s">
        <v>12324</v>
      </c>
      <c r="H2708" s="24" t="s">
        <v>1259</v>
      </c>
      <c r="I2708" s="25">
        <v>27096</v>
      </c>
      <c r="J2708" s="8" t="s">
        <v>1261</v>
      </c>
      <c r="K2708" s="8" t="s">
        <v>10040</v>
      </c>
      <c r="L2708" s="15">
        <v>-0.118272</v>
      </c>
      <c r="M2708" s="15">
        <v>0.50087800000000005</v>
      </c>
      <c r="N2708" s="15">
        <v>0.82030795051698679</v>
      </c>
    </row>
    <row r="2709" spans="1:14" x14ac:dyDescent="0.2">
      <c r="A2709" s="2" t="s">
        <v>10066</v>
      </c>
      <c r="B2709" s="15">
        <v>1835</v>
      </c>
      <c r="C2709" s="15">
        <v>12</v>
      </c>
      <c r="D2709" s="15">
        <v>105079101</v>
      </c>
      <c r="E2709" s="15">
        <v>106153787</v>
      </c>
      <c r="F2709" s="15">
        <v>3013</v>
      </c>
      <c r="G2709" s="8" t="s">
        <v>12324</v>
      </c>
      <c r="H2709" s="24" t="s">
        <v>3164</v>
      </c>
      <c r="I2709" s="25" t="s">
        <v>3165</v>
      </c>
      <c r="J2709" s="8" t="s">
        <v>3166</v>
      </c>
      <c r="K2709" s="8" t="s">
        <v>10042</v>
      </c>
      <c r="L2709" s="15">
        <v>0.24984400000000001</v>
      </c>
      <c r="M2709" s="15">
        <v>0.50049200000000005</v>
      </c>
      <c r="N2709" s="15">
        <v>0.82030795051698679</v>
      </c>
    </row>
    <row r="2710" spans="1:14" x14ac:dyDescent="0.2">
      <c r="A2710" s="2" t="s">
        <v>10068</v>
      </c>
      <c r="B2710" s="15">
        <v>229</v>
      </c>
      <c r="C2710" s="15">
        <v>2</v>
      </c>
      <c r="D2710" s="15">
        <v>25895395</v>
      </c>
      <c r="E2710" s="15">
        <v>26894102</v>
      </c>
      <c r="F2710" s="15">
        <v>2111</v>
      </c>
      <c r="G2710" s="8" t="s">
        <v>12324</v>
      </c>
      <c r="H2710" s="24" t="s">
        <v>6565</v>
      </c>
      <c r="I2710" s="25" t="s">
        <v>6475</v>
      </c>
      <c r="J2710" s="8" t="s">
        <v>6566</v>
      </c>
      <c r="K2710" s="8" t="s">
        <v>10054</v>
      </c>
      <c r="L2710" s="15">
        <v>-0.110431</v>
      </c>
      <c r="M2710" s="15">
        <v>0.50003299999999995</v>
      </c>
      <c r="N2710" s="15">
        <v>0.82030795051698679</v>
      </c>
    </row>
    <row r="2711" spans="1:14" x14ac:dyDescent="0.2">
      <c r="A2711" s="2" t="s">
        <v>10068</v>
      </c>
      <c r="B2711" s="15">
        <v>604</v>
      </c>
      <c r="C2711" s="15">
        <v>4</v>
      </c>
      <c r="D2711" s="15">
        <v>7135820</v>
      </c>
      <c r="E2711" s="15">
        <v>7726034</v>
      </c>
      <c r="F2711" s="15">
        <v>2929</v>
      </c>
      <c r="G2711" s="8" t="s">
        <v>12324</v>
      </c>
      <c r="H2711" s="24" t="s">
        <v>494</v>
      </c>
      <c r="I2711" s="25">
        <v>25920</v>
      </c>
      <c r="J2711" s="8" t="s">
        <v>496</v>
      </c>
      <c r="K2711" s="8" t="s">
        <v>10040</v>
      </c>
      <c r="L2711" s="15">
        <v>-0.27880500000000003</v>
      </c>
      <c r="M2711" s="15">
        <v>0.50112900000000005</v>
      </c>
      <c r="N2711" s="15">
        <v>0.82041606312292359</v>
      </c>
    </row>
    <row r="2712" spans="1:14" x14ac:dyDescent="0.2">
      <c r="A2712" s="2" t="s">
        <v>10068</v>
      </c>
      <c r="B2712" s="15">
        <v>2464</v>
      </c>
      <c r="C2712" s="15">
        <v>22</v>
      </c>
      <c r="D2712" s="15">
        <v>18535226</v>
      </c>
      <c r="E2712" s="15">
        <v>19635654</v>
      </c>
      <c r="F2712" s="15">
        <v>2696</v>
      </c>
      <c r="G2712" s="8" t="s">
        <v>12324</v>
      </c>
      <c r="H2712" s="24" t="s">
        <v>494</v>
      </c>
      <c r="I2712" s="25">
        <v>25920</v>
      </c>
      <c r="J2712" s="8" t="s">
        <v>496</v>
      </c>
      <c r="K2712" s="8" t="s">
        <v>10040</v>
      </c>
      <c r="L2712" s="15">
        <v>-0.101107</v>
      </c>
      <c r="M2712" s="15">
        <v>0.50308900000000001</v>
      </c>
      <c r="N2712" s="15">
        <v>0.82175354388542043</v>
      </c>
    </row>
    <row r="2713" spans="1:14" x14ac:dyDescent="0.2">
      <c r="A2713" s="2" t="s">
        <v>10068</v>
      </c>
      <c r="B2713" s="15">
        <v>2372</v>
      </c>
      <c r="C2713" s="15">
        <v>20</v>
      </c>
      <c r="D2713" s="15">
        <v>2668109</v>
      </c>
      <c r="E2713" s="15">
        <v>3736551</v>
      </c>
      <c r="F2713" s="15">
        <v>2803</v>
      </c>
      <c r="G2713" s="8" t="s">
        <v>12324</v>
      </c>
      <c r="H2713" s="24" t="s">
        <v>494</v>
      </c>
      <c r="I2713" s="25">
        <v>25920</v>
      </c>
      <c r="J2713" s="8" t="s">
        <v>496</v>
      </c>
      <c r="K2713" s="8" t="s">
        <v>10040</v>
      </c>
      <c r="L2713" s="15">
        <v>0.111344</v>
      </c>
      <c r="M2713" s="15">
        <v>0.50389099999999998</v>
      </c>
      <c r="N2713" s="15">
        <v>0.82175354388542043</v>
      </c>
    </row>
    <row r="2714" spans="1:14" x14ac:dyDescent="0.2">
      <c r="A2714" s="2" t="s">
        <v>10068</v>
      </c>
      <c r="B2714" s="15">
        <v>2184</v>
      </c>
      <c r="C2714" s="15">
        <v>17</v>
      </c>
      <c r="D2714" s="15">
        <v>10572618</v>
      </c>
      <c r="E2714" s="15">
        <v>11778164</v>
      </c>
      <c r="F2714" s="15">
        <v>3178</v>
      </c>
      <c r="G2714" s="8" t="s">
        <v>12324</v>
      </c>
      <c r="H2714" s="24" t="s">
        <v>494</v>
      </c>
      <c r="I2714" s="25">
        <v>25920</v>
      </c>
      <c r="J2714" s="8" t="s">
        <v>496</v>
      </c>
      <c r="K2714" s="8" t="s">
        <v>10040</v>
      </c>
      <c r="L2714" s="15">
        <v>0.144786</v>
      </c>
      <c r="M2714" s="15">
        <v>0.50438400000000005</v>
      </c>
      <c r="N2714" s="15">
        <v>0.82175354388542043</v>
      </c>
    </row>
    <row r="2715" spans="1:14" x14ac:dyDescent="0.2">
      <c r="A2715" s="2" t="s">
        <v>10069</v>
      </c>
      <c r="B2715" s="15">
        <v>654</v>
      </c>
      <c r="C2715" s="15">
        <v>4</v>
      </c>
      <c r="D2715" s="15">
        <v>58011086</v>
      </c>
      <c r="E2715" s="15">
        <v>58940256</v>
      </c>
      <c r="F2715" s="15">
        <v>1830</v>
      </c>
      <c r="G2715" s="8" t="s">
        <v>12324</v>
      </c>
      <c r="H2715" s="24" t="s">
        <v>662</v>
      </c>
      <c r="I2715" s="25" t="s">
        <v>663</v>
      </c>
      <c r="J2715" s="8" t="s">
        <v>664</v>
      </c>
      <c r="K2715" s="8" t="s">
        <v>10040</v>
      </c>
      <c r="L2715" s="15">
        <v>0.28053600000000001</v>
      </c>
      <c r="M2715" s="15">
        <v>0.50327200000000005</v>
      </c>
      <c r="N2715" s="15">
        <v>0.82175354388542043</v>
      </c>
    </row>
    <row r="2716" spans="1:14" x14ac:dyDescent="0.2">
      <c r="A2716" s="2" t="s">
        <v>10069</v>
      </c>
      <c r="B2716" s="15">
        <v>2233</v>
      </c>
      <c r="C2716" s="15">
        <v>17</v>
      </c>
      <c r="D2716" s="15">
        <v>76596288</v>
      </c>
      <c r="E2716" s="15">
        <v>77412786</v>
      </c>
      <c r="F2716" s="15">
        <v>1829</v>
      </c>
      <c r="G2716" s="8" t="s">
        <v>12324</v>
      </c>
      <c r="H2716" s="24" t="s">
        <v>662</v>
      </c>
      <c r="I2716" s="25" t="s">
        <v>663</v>
      </c>
      <c r="J2716" s="8" t="s">
        <v>664</v>
      </c>
      <c r="K2716" s="8" t="s">
        <v>10040</v>
      </c>
      <c r="L2716" s="15">
        <v>0.220526</v>
      </c>
      <c r="M2716" s="15">
        <v>0.50345300000000004</v>
      </c>
      <c r="N2716" s="15">
        <v>0.82175354388542043</v>
      </c>
    </row>
    <row r="2717" spans="1:14" x14ac:dyDescent="0.2">
      <c r="A2717" s="2" t="s">
        <v>10069</v>
      </c>
      <c r="B2717" s="15">
        <v>2215</v>
      </c>
      <c r="C2717" s="15">
        <v>17</v>
      </c>
      <c r="D2717" s="15">
        <v>53468007</v>
      </c>
      <c r="E2717" s="15">
        <v>54950107</v>
      </c>
      <c r="F2717" s="15">
        <v>2088</v>
      </c>
      <c r="G2717" s="8" t="s">
        <v>12324</v>
      </c>
      <c r="H2717" s="24" t="s">
        <v>662</v>
      </c>
      <c r="I2717" s="25" t="s">
        <v>663</v>
      </c>
      <c r="J2717" s="8" t="s">
        <v>664</v>
      </c>
      <c r="K2717" s="8" t="s">
        <v>10040</v>
      </c>
      <c r="L2717" s="15">
        <v>0.18581900000000001</v>
      </c>
      <c r="M2717" s="15">
        <v>0.50359900000000002</v>
      </c>
      <c r="N2717" s="15">
        <v>0.82175354388542043</v>
      </c>
    </row>
    <row r="2718" spans="1:14" x14ac:dyDescent="0.2">
      <c r="A2718" s="2" t="s">
        <v>10068</v>
      </c>
      <c r="B2718" s="15">
        <v>1280</v>
      </c>
      <c r="C2718" s="15">
        <v>8</v>
      </c>
      <c r="D2718" s="15">
        <v>36641175</v>
      </c>
      <c r="E2718" s="15">
        <v>38803980</v>
      </c>
      <c r="F2718" s="15">
        <v>3766</v>
      </c>
      <c r="G2718" s="8" t="s">
        <v>12324</v>
      </c>
      <c r="H2718" s="24" t="s">
        <v>1259</v>
      </c>
      <c r="I2718" s="25">
        <v>27096</v>
      </c>
      <c r="J2718" s="8" t="s">
        <v>1261</v>
      </c>
      <c r="K2718" s="8" t="s">
        <v>10040</v>
      </c>
      <c r="L2718" s="15">
        <v>0.16760800000000001</v>
      </c>
      <c r="M2718" s="15">
        <v>0.50254699999999997</v>
      </c>
      <c r="N2718" s="15">
        <v>0.82175354388542043</v>
      </c>
    </row>
    <row r="2719" spans="1:14" x14ac:dyDescent="0.2">
      <c r="A2719" s="2" t="s">
        <v>10068</v>
      </c>
      <c r="B2719" s="15">
        <v>1595</v>
      </c>
      <c r="C2719" s="15">
        <v>10</v>
      </c>
      <c r="D2719" s="15">
        <v>121874446</v>
      </c>
      <c r="E2719" s="15">
        <v>122803506</v>
      </c>
      <c r="F2719" s="15">
        <v>2924</v>
      </c>
      <c r="G2719" s="8" t="s">
        <v>12324</v>
      </c>
      <c r="H2719" s="24" t="s">
        <v>1259</v>
      </c>
      <c r="I2719" s="25">
        <v>27096</v>
      </c>
      <c r="J2719" s="8" t="s">
        <v>1261</v>
      </c>
      <c r="K2719" s="8" t="s">
        <v>10040</v>
      </c>
      <c r="L2719" s="15">
        <v>-0.101312</v>
      </c>
      <c r="M2719" s="15">
        <v>0.50324000000000002</v>
      </c>
      <c r="N2719" s="15">
        <v>0.82175354388542043</v>
      </c>
    </row>
    <row r="2720" spans="1:14" x14ac:dyDescent="0.2">
      <c r="A2720" s="2" t="s">
        <v>10066</v>
      </c>
      <c r="B2720" s="15">
        <v>1679</v>
      </c>
      <c r="C2720" s="15">
        <v>11</v>
      </c>
      <c r="D2720" s="15">
        <v>71242835</v>
      </c>
      <c r="E2720" s="15">
        <v>72875068</v>
      </c>
      <c r="F2720" s="15">
        <v>3984</v>
      </c>
      <c r="G2720" s="8" t="s">
        <v>12324</v>
      </c>
      <c r="H2720" s="24" t="s">
        <v>3164</v>
      </c>
      <c r="I2720" s="25" t="s">
        <v>3165</v>
      </c>
      <c r="J2720" s="8" t="s">
        <v>3166</v>
      </c>
      <c r="K2720" s="8" t="s">
        <v>10042</v>
      </c>
      <c r="L2720" s="15">
        <v>0.15309600000000001</v>
      </c>
      <c r="M2720" s="15">
        <v>0.502606</v>
      </c>
      <c r="N2720" s="15">
        <v>0.82175354388542043</v>
      </c>
    </row>
    <row r="2721" spans="1:14" x14ac:dyDescent="0.2">
      <c r="A2721" s="2" t="s">
        <v>10066</v>
      </c>
      <c r="B2721" s="15">
        <v>275</v>
      </c>
      <c r="C2721" s="15">
        <v>2</v>
      </c>
      <c r="D2721" s="15">
        <v>68877775</v>
      </c>
      <c r="E2721" s="15">
        <v>70756283</v>
      </c>
      <c r="F2721" s="15">
        <v>4058</v>
      </c>
      <c r="G2721" s="8" t="s">
        <v>12324</v>
      </c>
      <c r="H2721" s="24" t="s">
        <v>3164</v>
      </c>
      <c r="I2721" s="25" t="s">
        <v>3165</v>
      </c>
      <c r="J2721" s="8" t="s">
        <v>3166</v>
      </c>
      <c r="K2721" s="8" t="s">
        <v>10042</v>
      </c>
      <c r="L2721" s="15">
        <v>-0.18917300000000001</v>
      </c>
      <c r="M2721" s="15">
        <v>0.50373299999999999</v>
      </c>
      <c r="N2721" s="15">
        <v>0.82175354388542043</v>
      </c>
    </row>
    <row r="2722" spans="1:14" x14ac:dyDescent="0.2">
      <c r="A2722" s="2" t="s">
        <v>10066</v>
      </c>
      <c r="B2722" s="15">
        <v>4</v>
      </c>
      <c r="C2722" s="15">
        <v>1</v>
      </c>
      <c r="D2722" s="15">
        <v>2983520</v>
      </c>
      <c r="E2722" s="15">
        <v>3582047</v>
      </c>
      <c r="F2722" s="15">
        <v>2064</v>
      </c>
      <c r="G2722" s="8" t="s">
        <v>12324</v>
      </c>
      <c r="H2722" s="24" t="s">
        <v>3164</v>
      </c>
      <c r="I2722" s="25" t="s">
        <v>3165</v>
      </c>
      <c r="J2722" s="8" t="s">
        <v>3166</v>
      </c>
      <c r="K2722" s="8" t="s">
        <v>10042</v>
      </c>
      <c r="L2722" s="15">
        <v>-9.1488E-2</v>
      </c>
      <c r="M2722" s="15">
        <v>0.50453999999999999</v>
      </c>
      <c r="N2722" s="15">
        <v>0.82175354388542043</v>
      </c>
    </row>
    <row r="2723" spans="1:14" x14ac:dyDescent="0.2">
      <c r="A2723" s="2" t="s">
        <v>10066</v>
      </c>
      <c r="B2723" s="15">
        <v>844</v>
      </c>
      <c r="C2723" s="15">
        <v>5</v>
      </c>
      <c r="D2723" s="15">
        <v>82720249</v>
      </c>
      <c r="E2723" s="15">
        <v>84094797</v>
      </c>
      <c r="F2723" s="15">
        <v>2830</v>
      </c>
      <c r="G2723" s="8" t="s">
        <v>12324</v>
      </c>
      <c r="H2723" s="24" t="s">
        <v>6008</v>
      </c>
      <c r="I2723" s="25" t="s">
        <v>6009</v>
      </c>
      <c r="J2723" s="8" t="s">
        <v>6010</v>
      </c>
      <c r="K2723" s="8" t="s">
        <v>10051</v>
      </c>
      <c r="L2723" s="15">
        <v>-0.137156</v>
      </c>
      <c r="M2723" s="15">
        <v>0.50421400000000005</v>
      </c>
      <c r="N2723" s="15">
        <v>0.82175354388542043</v>
      </c>
    </row>
    <row r="2724" spans="1:14" x14ac:dyDescent="0.2">
      <c r="A2724" s="2" t="s">
        <v>10066</v>
      </c>
      <c r="B2724" s="15">
        <v>843</v>
      </c>
      <c r="C2724" s="15">
        <v>5</v>
      </c>
      <c r="D2724" s="15">
        <v>81710195</v>
      </c>
      <c r="E2724" s="15">
        <v>82720248</v>
      </c>
      <c r="F2724" s="15">
        <v>2473</v>
      </c>
      <c r="G2724" s="8" t="s">
        <v>12324</v>
      </c>
      <c r="H2724" s="24" t="s">
        <v>6008</v>
      </c>
      <c r="I2724" s="25" t="s">
        <v>6009</v>
      </c>
      <c r="J2724" s="8" t="s">
        <v>6010</v>
      </c>
      <c r="K2724" s="8" t="s">
        <v>10051</v>
      </c>
      <c r="L2724" s="15">
        <v>-0.19851099999999999</v>
      </c>
      <c r="M2724" s="15">
        <v>0.50427200000000005</v>
      </c>
      <c r="N2724" s="15">
        <v>0.82175354388542043</v>
      </c>
    </row>
    <row r="2725" spans="1:14" x14ac:dyDescent="0.2">
      <c r="A2725" s="2" t="s">
        <v>10068</v>
      </c>
      <c r="B2725" s="15">
        <v>427</v>
      </c>
      <c r="C2725" s="15">
        <v>3</v>
      </c>
      <c r="D2725" s="15">
        <v>4835084</v>
      </c>
      <c r="E2725" s="15">
        <v>5496182</v>
      </c>
      <c r="F2725" s="15">
        <v>2045</v>
      </c>
      <c r="G2725" s="8" t="s">
        <v>12324</v>
      </c>
      <c r="H2725" s="24" t="s">
        <v>6565</v>
      </c>
      <c r="I2725" s="25" t="s">
        <v>6475</v>
      </c>
      <c r="J2725" s="8" t="s">
        <v>6566</v>
      </c>
      <c r="K2725" s="8" t="s">
        <v>10054</v>
      </c>
      <c r="L2725" s="15">
        <v>-0.15990699999999999</v>
      </c>
      <c r="M2725" s="15">
        <v>0.50401700000000005</v>
      </c>
      <c r="N2725" s="15">
        <v>0.82175354388542043</v>
      </c>
    </row>
    <row r="2726" spans="1:14" x14ac:dyDescent="0.2">
      <c r="A2726" s="2" t="s">
        <v>10068</v>
      </c>
      <c r="B2726" s="15">
        <v>1849</v>
      </c>
      <c r="C2726" s="15">
        <v>12</v>
      </c>
      <c r="D2726" s="15">
        <v>120567741</v>
      </c>
      <c r="E2726" s="15">
        <v>121817509</v>
      </c>
      <c r="F2726" s="15">
        <v>3403</v>
      </c>
      <c r="G2726" s="8" t="s">
        <v>12324</v>
      </c>
      <c r="H2726" s="24" t="s">
        <v>6565</v>
      </c>
      <c r="I2726" s="25" t="s">
        <v>6475</v>
      </c>
      <c r="J2726" s="8" t="s">
        <v>6566</v>
      </c>
      <c r="K2726" s="8" t="s">
        <v>10054</v>
      </c>
      <c r="L2726" s="15">
        <v>-0.21726500000000001</v>
      </c>
      <c r="M2726" s="15">
        <v>0.50483900000000004</v>
      </c>
      <c r="N2726" s="15">
        <v>0.8219386802496329</v>
      </c>
    </row>
    <row r="2727" spans="1:14" x14ac:dyDescent="0.2">
      <c r="A2727" s="2" t="s">
        <v>10068</v>
      </c>
      <c r="B2727" s="15">
        <v>852</v>
      </c>
      <c r="C2727" s="15">
        <v>5</v>
      </c>
      <c r="D2727" s="15">
        <v>91956906</v>
      </c>
      <c r="E2727" s="15">
        <v>93814604</v>
      </c>
      <c r="F2727" s="15">
        <v>2641</v>
      </c>
      <c r="G2727" s="8" t="s">
        <v>12324</v>
      </c>
      <c r="H2727" s="24" t="s">
        <v>494</v>
      </c>
      <c r="I2727" s="25">
        <v>25920</v>
      </c>
      <c r="J2727" s="8" t="s">
        <v>496</v>
      </c>
      <c r="K2727" s="8" t="s">
        <v>10040</v>
      </c>
      <c r="L2727" s="15">
        <v>0.20818600000000001</v>
      </c>
      <c r="M2727" s="15">
        <v>0.50525699999999996</v>
      </c>
      <c r="N2727" s="15">
        <v>0.82231735596330269</v>
      </c>
    </row>
    <row r="2728" spans="1:14" x14ac:dyDescent="0.2">
      <c r="A2728" s="2" t="s">
        <v>10068</v>
      </c>
      <c r="B2728" s="15">
        <v>1270</v>
      </c>
      <c r="C2728" s="15">
        <v>8</v>
      </c>
      <c r="D2728" s="15">
        <v>24863244</v>
      </c>
      <c r="E2728" s="15">
        <v>25859277</v>
      </c>
      <c r="F2728" s="15">
        <v>2704</v>
      </c>
      <c r="G2728" s="8" t="s">
        <v>12324</v>
      </c>
      <c r="H2728" s="24" t="s">
        <v>599</v>
      </c>
      <c r="I2728" s="25">
        <v>26562</v>
      </c>
      <c r="J2728" s="8" t="s">
        <v>601</v>
      </c>
      <c r="K2728" s="8" t="s">
        <v>10040</v>
      </c>
      <c r="L2728" s="15">
        <v>-0.20891399999999999</v>
      </c>
      <c r="M2728" s="15">
        <v>0.50578500000000004</v>
      </c>
      <c r="N2728" s="15">
        <v>0.82238035923753661</v>
      </c>
    </row>
    <row r="2729" spans="1:14" x14ac:dyDescent="0.2">
      <c r="A2729" s="2" t="s">
        <v>10066</v>
      </c>
      <c r="B2729" s="15">
        <v>224</v>
      </c>
      <c r="C2729" s="15">
        <v>2</v>
      </c>
      <c r="D2729" s="15">
        <v>20064518</v>
      </c>
      <c r="E2729" s="15">
        <v>21084898</v>
      </c>
      <c r="F2729" s="15">
        <v>2702</v>
      </c>
      <c r="G2729" s="8" t="s">
        <v>12324</v>
      </c>
      <c r="H2729" s="24" t="s">
        <v>6008</v>
      </c>
      <c r="I2729" s="25" t="s">
        <v>6009</v>
      </c>
      <c r="J2729" s="8" t="s">
        <v>6010</v>
      </c>
      <c r="K2729" s="8" t="s">
        <v>10051</v>
      </c>
      <c r="L2729" s="15">
        <v>-0.13395499999999999</v>
      </c>
      <c r="M2729" s="15">
        <v>0.50585199999999997</v>
      </c>
      <c r="N2729" s="15">
        <v>0.82238035923753661</v>
      </c>
    </row>
    <row r="2730" spans="1:14" x14ac:dyDescent="0.2">
      <c r="A2730" s="2" t="s">
        <v>10068</v>
      </c>
      <c r="B2730" s="15">
        <v>519</v>
      </c>
      <c r="C2730" s="15">
        <v>3</v>
      </c>
      <c r="D2730" s="15">
        <v>113657666</v>
      </c>
      <c r="E2730" s="15">
        <v>115649909</v>
      </c>
      <c r="F2730" s="15">
        <v>3945</v>
      </c>
      <c r="G2730" s="8" t="s">
        <v>12324</v>
      </c>
      <c r="H2730" s="24" t="s">
        <v>6565</v>
      </c>
      <c r="I2730" s="25" t="s">
        <v>6475</v>
      </c>
      <c r="J2730" s="8" t="s">
        <v>6566</v>
      </c>
      <c r="K2730" s="8" t="s">
        <v>10054</v>
      </c>
      <c r="L2730" s="15">
        <v>0.15659300000000001</v>
      </c>
      <c r="M2730" s="15">
        <v>0.50577899999999998</v>
      </c>
      <c r="N2730" s="15">
        <v>0.82238035923753661</v>
      </c>
    </row>
    <row r="2731" spans="1:14" x14ac:dyDescent="0.2">
      <c r="A2731" s="2" t="s">
        <v>10069</v>
      </c>
      <c r="B2731" s="15">
        <v>2380</v>
      </c>
      <c r="C2731" s="15">
        <v>20</v>
      </c>
      <c r="D2731" s="15">
        <v>10279604</v>
      </c>
      <c r="E2731" s="15">
        <v>11257012</v>
      </c>
      <c r="F2731" s="15">
        <v>1816</v>
      </c>
      <c r="G2731" s="8" t="s">
        <v>12324</v>
      </c>
      <c r="H2731" s="24" t="s">
        <v>662</v>
      </c>
      <c r="I2731" s="25" t="s">
        <v>663</v>
      </c>
      <c r="J2731" s="8" t="s">
        <v>664</v>
      </c>
      <c r="K2731" s="8" t="s">
        <v>10040</v>
      </c>
      <c r="L2731" s="15">
        <v>0.171904</v>
      </c>
      <c r="M2731" s="15">
        <v>0.50632600000000005</v>
      </c>
      <c r="N2731" s="15">
        <v>0.82284932576035186</v>
      </c>
    </row>
    <row r="2732" spans="1:14" x14ac:dyDescent="0.2">
      <c r="A2732" s="2" t="s">
        <v>10068</v>
      </c>
      <c r="B2732" s="15">
        <v>892</v>
      </c>
      <c r="C2732" s="15">
        <v>5</v>
      </c>
      <c r="D2732" s="15">
        <v>139408117</v>
      </c>
      <c r="E2732" s="15">
        <v>141253830</v>
      </c>
      <c r="F2732" s="15">
        <v>3443</v>
      </c>
      <c r="G2732" s="8" t="s">
        <v>12324</v>
      </c>
      <c r="H2732" s="24" t="s">
        <v>599</v>
      </c>
      <c r="I2732" s="25">
        <v>26562</v>
      </c>
      <c r="J2732" s="8" t="s">
        <v>601</v>
      </c>
      <c r="K2732" s="8" t="s">
        <v>10040</v>
      </c>
      <c r="L2732" s="15">
        <v>-0.136459</v>
      </c>
      <c r="M2732" s="15">
        <v>0.50695400000000002</v>
      </c>
      <c r="N2732" s="15">
        <v>0.82285523001095295</v>
      </c>
    </row>
    <row r="2733" spans="1:14" x14ac:dyDescent="0.2">
      <c r="A2733" s="2" t="s">
        <v>10068</v>
      </c>
      <c r="B2733" s="15">
        <v>2261</v>
      </c>
      <c r="C2733" s="15">
        <v>18</v>
      </c>
      <c r="D2733" s="15">
        <v>27823156</v>
      </c>
      <c r="E2733" s="15">
        <v>28792734</v>
      </c>
      <c r="F2733" s="15">
        <v>2559</v>
      </c>
      <c r="G2733" s="8" t="s">
        <v>12324</v>
      </c>
      <c r="H2733" s="24" t="s">
        <v>599</v>
      </c>
      <c r="I2733" s="25">
        <v>26562</v>
      </c>
      <c r="J2733" s="8" t="s">
        <v>601</v>
      </c>
      <c r="K2733" s="8" t="s">
        <v>10040</v>
      </c>
      <c r="L2733" s="15">
        <v>0.21279100000000001</v>
      </c>
      <c r="M2733" s="15">
        <v>0.50725900000000002</v>
      </c>
      <c r="N2733" s="15">
        <v>0.82285523001095295</v>
      </c>
    </row>
    <row r="2734" spans="1:14" x14ac:dyDescent="0.2">
      <c r="A2734" s="2" t="s">
        <v>10069</v>
      </c>
      <c r="B2734" s="15">
        <v>1966</v>
      </c>
      <c r="C2734" s="15">
        <v>14</v>
      </c>
      <c r="D2734" s="15">
        <v>33591114</v>
      </c>
      <c r="E2734" s="15">
        <v>34695195</v>
      </c>
      <c r="F2734" s="15">
        <v>2025</v>
      </c>
      <c r="G2734" s="8" t="s">
        <v>12324</v>
      </c>
      <c r="H2734" s="24" t="s">
        <v>662</v>
      </c>
      <c r="I2734" s="25" t="s">
        <v>663</v>
      </c>
      <c r="J2734" s="8" t="s">
        <v>664</v>
      </c>
      <c r="K2734" s="8" t="s">
        <v>10040</v>
      </c>
      <c r="L2734" s="15">
        <v>0.15209400000000001</v>
      </c>
      <c r="M2734" s="15">
        <v>0.50692700000000002</v>
      </c>
      <c r="N2734" s="15">
        <v>0.82285523001095295</v>
      </c>
    </row>
    <row r="2735" spans="1:14" x14ac:dyDescent="0.2">
      <c r="A2735" s="2" t="s">
        <v>10068</v>
      </c>
      <c r="B2735" s="15">
        <v>72</v>
      </c>
      <c r="C2735" s="15">
        <v>1</v>
      </c>
      <c r="D2735" s="15">
        <v>83461216</v>
      </c>
      <c r="E2735" s="15">
        <v>84728347</v>
      </c>
      <c r="F2735" s="15">
        <v>2981</v>
      </c>
      <c r="G2735" s="8" t="s">
        <v>12324</v>
      </c>
      <c r="H2735" s="24" t="s">
        <v>1259</v>
      </c>
      <c r="I2735" s="25">
        <v>27096</v>
      </c>
      <c r="J2735" s="8" t="s">
        <v>1261</v>
      </c>
      <c r="K2735" s="8" t="s">
        <v>10040</v>
      </c>
      <c r="L2735" s="15">
        <v>-0.101732</v>
      </c>
      <c r="M2735" s="15">
        <v>0.50730399999999998</v>
      </c>
      <c r="N2735" s="15">
        <v>0.82285523001095295</v>
      </c>
    </row>
    <row r="2736" spans="1:14" x14ac:dyDescent="0.2">
      <c r="A2736" s="2" t="s">
        <v>10068</v>
      </c>
      <c r="B2736" s="15">
        <v>1948</v>
      </c>
      <c r="C2736" s="15">
        <v>13</v>
      </c>
      <c r="D2736" s="15">
        <v>109813577</v>
      </c>
      <c r="E2736" s="15">
        <v>110995432</v>
      </c>
      <c r="F2736" s="15">
        <v>3993</v>
      </c>
      <c r="G2736" s="8" t="s">
        <v>12324</v>
      </c>
      <c r="H2736" s="24" t="s">
        <v>1259</v>
      </c>
      <c r="I2736" s="25">
        <v>27096</v>
      </c>
      <c r="J2736" s="8" t="s">
        <v>1261</v>
      </c>
      <c r="K2736" s="8" t="s">
        <v>10040</v>
      </c>
      <c r="L2736" s="15">
        <v>8.9339100000000005E-2</v>
      </c>
      <c r="M2736" s="15">
        <v>0.50736599999999998</v>
      </c>
      <c r="N2736" s="15">
        <v>0.82285523001095295</v>
      </c>
    </row>
    <row r="2737" spans="1:14" x14ac:dyDescent="0.2">
      <c r="A2737" s="2" t="s">
        <v>10068</v>
      </c>
      <c r="B2737" s="15">
        <v>2362</v>
      </c>
      <c r="C2737" s="15">
        <v>19</v>
      </c>
      <c r="D2737" s="15">
        <v>54042241</v>
      </c>
      <c r="E2737" s="15">
        <v>54602370</v>
      </c>
      <c r="F2737" s="15">
        <v>2047</v>
      </c>
      <c r="G2737" s="8" t="s">
        <v>12324</v>
      </c>
      <c r="H2737" s="24" t="s">
        <v>1259</v>
      </c>
      <c r="I2737" s="25">
        <v>27096</v>
      </c>
      <c r="J2737" s="8" t="s">
        <v>1261</v>
      </c>
      <c r="K2737" s="8" t="s">
        <v>10040</v>
      </c>
      <c r="L2737" s="15">
        <v>-9.4578499999999996E-2</v>
      </c>
      <c r="M2737" s="15">
        <v>0.50805199999999995</v>
      </c>
      <c r="N2737" s="15">
        <v>0.82285523001095295</v>
      </c>
    </row>
    <row r="2738" spans="1:14" x14ac:dyDescent="0.2">
      <c r="A2738" s="2" t="s">
        <v>10066</v>
      </c>
      <c r="B2738" s="15">
        <v>770</v>
      </c>
      <c r="C2738" s="15">
        <v>4</v>
      </c>
      <c r="D2738" s="15">
        <v>186232883</v>
      </c>
      <c r="E2738" s="15">
        <v>186881568</v>
      </c>
      <c r="F2738" s="15">
        <v>2216</v>
      </c>
      <c r="G2738" s="8" t="s">
        <v>12324</v>
      </c>
      <c r="H2738" s="24" t="s">
        <v>3164</v>
      </c>
      <c r="I2738" s="25" t="s">
        <v>3165</v>
      </c>
      <c r="J2738" s="8" t="s">
        <v>3166</v>
      </c>
      <c r="K2738" s="8" t="s">
        <v>10042</v>
      </c>
      <c r="L2738" s="15">
        <v>9.1800400000000004E-2</v>
      </c>
      <c r="M2738" s="15">
        <v>0.508185</v>
      </c>
      <c r="N2738" s="15">
        <v>0.82285523001095295</v>
      </c>
    </row>
    <row r="2739" spans="1:14" x14ac:dyDescent="0.2">
      <c r="A2739" s="2" t="s">
        <v>10066</v>
      </c>
      <c r="B2739" s="15">
        <v>1590</v>
      </c>
      <c r="C2739" s="15">
        <v>10</v>
      </c>
      <c r="D2739" s="15">
        <v>115588904</v>
      </c>
      <c r="E2739" s="15">
        <v>116845213</v>
      </c>
      <c r="F2739" s="15">
        <v>2885</v>
      </c>
      <c r="G2739" s="8" t="s">
        <v>12324</v>
      </c>
      <c r="H2739" s="24" t="s">
        <v>6008</v>
      </c>
      <c r="I2739" s="25" t="s">
        <v>6009</v>
      </c>
      <c r="J2739" s="8" t="s">
        <v>6010</v>
      </c>
      <c r="K2739" s="8" t="s">
        <v>10051</v>
      </c>
      <c r="L2739" s="15">
        <v>-0.178976</v>
      </c>
      <c r="M2739" s="15">
        <v>0.50782799999999995</v>
      </c>
      <c r="N2739" s="15">
        <v>0.82285523001095295</v>
      </c>
    </row>
    <row r="2740" spans="1:14" x14ac:dyDescent="0.2">
      <c r="A2740" s="2" t="s">
        <v>10066</v>
      </c>
      <c r="B2740" s="15">
        <v>1321</v>
      </c>
      <c r="C2740" s="15">
        <v>8</v>
      </c>
      <c r="D2740" s="15">
        <v>89081178</v>
      </c>
      <c r="E2740" s="15">
        <v>90364149</v>
      </c>
      <c r="F2740" s="15">
        <v>3321</v>
      </c>
      <c r="G2740" s="8" t="s">
        <v>12324</v>
      </c>
      <c r="H2740" s="24" t="s">
        <v>6008</v>
      </c>
      <c r="I2740" s="25" t="s">
        <v>6009</v>
      </c>
      <c r="J2740" s="8" t="s">
        <v>6010</v>
      </c>
      <c r="K2740" s="8" t="s">
        <v>10051</v>
      </c>
      <c r="L2740" s="15">
        <v>0.19036</v>
      </c>
      <c r="M2740" s="15">
        <v>0.50812599999999997</v>
      </c>
      <c r="N2740" s="15">
        <v>0.82285523001095295</v>
      </c>
    </row>
    <row r="2741" spans="1:14" x14ac:dyDescent="0.2">
      <c r="A2741" s="2" t="s">
        <v>10068</v>
      </c>
      <c r="B2741" s="15">
        <v>2099</v>
      </c>
      <c r="C2741" s="15">
        <v>15</v>
      </c>
      <c r="D2741" s="15">
        <v>99925973</v>
      </c>
      <c r="E2741" s="15">
        <v>100742117</v>
      </c>
      <c r="F2741" s="15">
        <v>2979</v>
      </c>
      <c r="G2741" s="8" t="s">
        <v>12324</v>
      </c>
      <c r="H2741" s="24" t="s">
        <v>6565</v>
      </c>
      <c r="I2741" s="25" t="s">
        <v>6475</v>
      </c>
      <c r="J2741" s="8" t="s">
        <v>6566</v>
      </c>
      <c r="K2741" s="8" t="s">
        <v>10054</v>
      </c>
      <c r="L2741" s="15">
        <v>-0.13838</v>
      </c>
      <c r="M2741" s="15">
        <v>0.50807199999999997</v>
      </c>
      <c r="N2741" s="15">
        <v>0.82285523001095295</v>
      </c>
    </row>
    <row r="2742" spans="1:14" x14ac:dyDescent="0.2">
      <c r="A2742" s="2" t="s">
        <v>10068</v>
      </c>
      <c r="B2742" s="15">
        <v>2350</v>
      </c>
      <c r="C2742" s="15">
        <v>19</v>
      </c>
      <c r="D2742" s="15">
        <v>43960959</v>
      </c>
      <c r="E2742" s="15">
        <v>45040932</v>
      </c>
      <c r="F2742" s="15">
        <v>2980</v>
      </c>
      <c r="G2742" s="8" t="s">
        <v>12324</v>
      </c>
      <c r="H2742" s="24" t="s">
        <v>494</v>
      </c>
      <c r="I2742" s="25">
        <v>25920</v>
      </c>
      <c r="J2742" s="8" t="s">
        <v>496</v>
      </c>
      <c r="K2742" s="8" t="s">
        <v>10040</v>
      </c>
      <c r="L2742" s="15">
        <v>0.22362199999999999</v>
      </c>
      <c r="M2742" s="15">
        <v>0.50876299999999997</v>
      </c>
      <c r="N2742" s="15">
        <v>0.82291966642362369</v>
      </c>
    </row>
    <row r="2743" spans="1:14" x14ac:dyDescent="0.2">
      <c r="A2743" s="2" t="s">
        <v>10068</v>
      </c>
      <c r="B2743" s="15">
        <v>888</v>
      </c>
      <c r="C2743" s="15">
        <v>5</v>
      </c>
      <c r="D2743" s="15">
        <v>132554691</v>
      </c>
      <c r="E2743" s="15">
        <v>134556570</v>
      </c>
      <c r="F2743" s="15">
        <v>4210</v>
      </c>
      <c r="G2743" s="8" t="s">
        <v>12324</v>
      </c>
      <c r="H2743" s="24" t="s">
        <v>494</v>
      </c>
      <c r="I2743" s="25">
        <v>25920</v>
      </c>
      <c r="J2743" s="8" t="s">
        <v>496</v>
      </c>
      <c r="K2743" s="8" t="s">
        <v>10040</v>
      </c>
      <c r="L2743" s="15">
        <v>0.21812200000000001</v>
      </c>
      <c r="M2743" s="15">
        <v>0.50896699999999995</v>
      </c>
      <c r="N2743" s="15">
        <v>0.82291966642362369</v>
      </c>
    </row>
    <row r="2744" spans="1:14" x14ac:dyDescent="0.2">
      <c r="A2744" s="2" t="s">
        <v>10068</v>
      </c>
      <c r="B2744" s="15">
        <v>179</v>
      </c>
      <c r="C2744" s="15">
        <v>1</v>
      </c>
      <c r="D2744" s="15">
        <v>230227248</v>
      </c>
      <c r="E2744" s="15">
        <v>231287764</v>
      </c>
      <c r="F2744" s="15">
        <v>3620</v>
      </c>
      <c r="G2744" s="8" t="s">
        <v>12324</v>
      </c>
      <c r="H2744" s="24" t="s">
        <v>599</v>
      </c>
      <c r="I2744" s="25">
        <v>26562</v>
      </c>
      <c r="J2744" s="8" t="s">
        <v>601</v>
      </c>
      <c r="K2744" s="8" t="s">
        <v>10040</v>
      </c>
      <c r="L2744" s="15">
        <v>0.20655000000000001</v>
      </c>
      <c r="M2744" s="15">
        <v>0.50873599999999997</v>
      </c>
      <c r="N2744" s="15">
        <v>0.82291966642362369</v>
      </c>
    </row>
    <row r="2745" spans="1:14" x14ac:dyDescent="0.2">
      <c r="A2745" s="2" t="s">
        <v>10068</v>
      </c>
      <c r="B2745" s="15">
        <v>77</v>
      </c>
      <c r="C2745" s="15">
        <v>1</v>
      </c>
      <c r="D2745" s="15">
        <v>88656690</v>
      </c>
      <c r="E2745" s="15">
        <v>89753964</v>
      </c>
      <c r="F2745" s="15">
        <v>2466</v>
      </c>
      <c r="G2745" s="8" t="s">
        <v>12324</v>
      </c>
      <c r="H2745" s="24" t="s">
        <v>6565</v>
      </c>
      <c r="I2745" s="25" t="s">
        <v>6475</v>
      </c>
      <c r="J2745" s="8" t="s">
        <v>6566</v>
      </c>
      <c r="K2745" s="8" t="s">
        <v>10054</v>
      </c>
      <c r="L2745" s="15">
        <v>0.15560499999999999</v>
      </c>
      <c r="M2745" s="15">
        <v>0.50887499999999997</v>
      </c>
      <c r="N2745" s="15">
        <v>0.82291966642362369</v>
      </c>
    </row>
    <row r="2746" spans="1:14" x14ac:dyDescent="0.2">
      <c r="A2746" s="2" t="s">
        <v>10068</v>
      </c>
      <c r="B2746" s="15">
        <v>1701</v>
      </c>
      <c r="C2746" s="15">
        <v>11</v>
      </c>
      <c r="D2746" s="15">
        <v>94384536</v>
      </c>
      <c r="E2746" s="15">
        <v>95327210</v>
      </c>
      <c r="F2746" s="15">
        <v>2186</v>
      </c>
      <c r="G2746" s="8" t="s">
        <v>12324</v>
      </c>
      <c r="H2746" s="24" t="s">
        <v>6565</v>
      </c>
      <c r="I2746" s="25" t="s">
        <v>6475</v>
      </c>
      <c r="J2746" s="8" t="s">
        <v>6566</v>
      </c>
      <c r="K2746" s="8" t="s">
        <v>10054</v>
      </c>
      <c r="L2746" s="15">
        <v>0.14436199999999999</v>
      </c>
      <c r="M2746" s="15">
        <v>0.50929000000000002</v>
      </c>
      <c r="N2746" s="15">
        <v>0.82314181851311952</v>
      </c>
    </row>
    <row r="2747" spans="1:14" x14ac:dyDescent="0.2">
      <c r="A2747" s="2" t="s">
        <v>10068</v>
      </c>
      <c r="B2747" s="15">
        <v>415</v>
      </c>
      <c r="C2747" s="15">
        <v>2</v>
      </c>
      <c r="D2747" s="15">
        <v>238185483</v>
      </c>
      <c r="E2747" s="15">
        <v>238814630</v>
      </c>
      <c r="F2747" s="15">
        <v>2163</v>
      </c>
      <c r="G2747" s="8" t="s">
        <v>12324</v>
      </c>
      <c r="H2747" s="24" t="s">
        <v>494</v>
      </c>
      <c r="I2747" s="25">
        <v>25920</v>
      </c>
      <c r="J2747" s="8" t="s">
        <v>496</v>
      </c>
      <c r="K2747" s="8" t="s">
        <v>10040</v>
      </c>
      <c r="L2747" s="15">
        <v>-0.112229</v>
      </c>
      <c r="M2747" s="15">
        <v>0.50972300000000004</v>
      </c>
      <c r="N2747" s="15">
        <v>0.82319618468795352</v>
      </c>
    </row>
    <row r="2748" spans="1:14" x14ac:dyDescent="0.2">
      <c r="A2748" s="2" t="s">
        <v>10068</v>
      </c>
      <c r="B2748" s="15">
        <v>1228</v>
      </c>
      <c r="C2748" s="15">
        <v>7</v>
      </c>
      <c r="D2748" s="15">
        <v>155280611</v>
      </c>
      <c r="E2748" s="15">
        <v>156344386</v>
      </c>
      <c r="F2748" s="15">
        <v>3612</v>
      </c>
      <c r="G2748" s="8" t="s">
        <v>12324</v>
      </c>
      <c r="H2748" s="24" t="s">
        <v>494</v>
      </c>
      <c r="I2748" s="25">
        <v>25920</v>
      </c>
      <c r="J2748" s="8" t="s">
        <v>496</v>
      </c>
      <c r="K2748" s="8" t="s">
        <v>10040</v>
      </c>
      <c r="L2748" s="15">
        <v>-0.16037000000000001</v>
      </c>
      <c r="M2748" s="15">
        <v>0.50976999999999995</v>
      </c>
      <c r="N2748" s="15">
        <v>0.82319618468795352</v>
      </c>
    </row>
    <row r="2749" spans="1:14" x14ac:dyDescent="0.2">
      <c r="A2749" s="2" t="s">
        <v>10068</v>
      </c>
      <c r="B2749" s="15">
        <v>363</v>
      </c>
      <c r="C2749" s="15">
        <v>2</v>
      </c>
      <c r="D2749" s="15">
        <v>179224871</v>
      </c>
      <c r="E2749" s="15">
        <v>180336045</v>
      </c>
      <c r="F2749" s="15">
        <v>2513</v>
      </c>
      <c r="G2749" s="8" t="s">
        <v>12324</v>
      </c>
      <c r="H2749" s="24" t="s">
        <v>599</v>
      </c>
      <c r="I2749" s="25">
        <v>26562</v>
      </c>
      <c r="J2749" s="8" t="s">
        <v>601</v>
      </c>
      <c r="K2749" s="8" t="s">
        <v>10040</v>
      </c>
      <c r="L2749" s="15">
        <v>0.167708</v>
      </c>
      <c r="M2749" s="15">
        <v>0.50996600000000003</v>
      </c>
      <c r="N2749" s="15">
        <v>0.82319618468795352</v>
      </c>
    </row>
    <row r="2750" spans="1:14" x14ac:dyDescent="0.2">
      <c r="A2750" s="2" t="s">
        <v>10068</v>
      </c>
      <c r="B2750" s="15">
        <v>2173</v>
      </c>
      <c r="C2750" s="15">
        <v>17</v>
      </c>
      <c r="D2750" s="15">
        <v>52</v>
      </c>
      <c r="E2750" s="15">
        <v>815653</v>
      </c>
      <c r="F2750" s="15">
        <v>2948</v>
      </c>
      <c r="G2750" s="8" t="s">
        <v>12324</v>
      </c>
      <c r="H2750" s="24" t="s">
        <v>599</v>
      </c>
      <c r="I2750" s="25">
        <v>26562</v>
      </c>
      <c r="J2750" s="8" t="s">
        <v>601</v>
      </c>
      <c r="K2750" s="8" t="s">
        <v>10040</v>
      </c>
      <c r="L2750" s="15">
        <v>-0.145703</v>
      </c>
      <c r="M2750" s="15">
        <v>0.51124800000000004</v>
      </c>
      <c r="N2750" s="15">
        <v>0.82319618468795352</v>
      </c>
    </row>
    <row r="2751" spans="1:14" x14ac:dyDescent="0.2">
      <c r="A2751" s="2" t="s">
        <v>10068</v>
      </c>
      <c r="B2751" s="15">
        <v>1388</v>
      </c>
      <c r="C2751" s="15">
        <v>9</v>
      </c>
      <c r="D2751" s="15">
        <v>13512853</v>
      </c>
      <c r="E2751" s="15">
        <v>14244747</v>
      </c>
      <c r="F2751" s="15">
        <v>2397</v>
      </c>
      <c r="G2751" s="8" t="s">
        <v>12324</v>
      </c>
      <c r="H2751" s="24" t="s">
        <v>599</v>
      </c>
      <c r="I2751" s="25">
        <v>26562</v>
      </c>
      <c r="J2751" s="8" t="s">
        <v>601</v>
      </c>
      <c r="K2751" s="8" t="s">
        <v>10040</v>
      </c>
      <c r="L2751" s="15">
        <v>0.18173700000000001</v>
      </c>
      <c r="M2751" s="15">
        <v>0.51133300000000004</v>
      </c>
      <c r="N2751" s="15">
        <v>0.82319618468795352</v>
      </c>
    </row>
    <row r="2752" spans="1:14" x14ac:dyDescent="0.2">
      <c r="A2752" s="2" t="s">
        <v>10069</v>
      </c>
      <c r="B2752" s="15">
        <v>76</v>
      </c>
      <c r="C2752" s="15">
        <v>1</v>
      </c>
      <c r="D2752" s="15">
        <v>87667573</v>
      </c>
      <c r="E2752" s="15">
        <v>88656689</v>
      </c>
      <c r="F2752" s="15">
        <v>1431</v>
      </c>
      <c r="G2752" s="8" t="s">
        <v>12324</v>
      </c>
      <c r="H2752" s="24" t="s">
        <v>662</v>
      </c>
      <c r="I2752" s="25" t="s">
        <v>663</v>
      </c>
      <c r="J2752" s="8" t="s">
        <v>664</v>
      </c>
      <c r="K2752" s="8" t="s">
        <v>10040</v>
      </c>
      <c r="L2752" s="15">
        <v>-0.16944799999999999</v>
      </c>
      <c r="M2752" s="15">
        <v>0.51009800000000005</v>
      </c>
      <c r="N2752" s="15">
        <v>0.82319618468795352</v>
      </c>
    </row>
    <row r="2753" spans="1:14" x14ac:dyDescent="0.2">
      <c r="A2753" s="2" t="s">
        <v>10068</v>
      </c>
      <c r="B2753" s="15">
        <v>552</v>
      </c>
      <c r="C2753" s="15">
        <v>3</v>
      </c>
      <c r="D2753" s="15">
        <v>149998412</v>
      </c>
      <c r="E2753" s="15">
        <v>151131307</v>
      </c>
      <c r="F2753" s="15">
        <v>2627</v>
      </c>
      <c r="G2753" s="8" t="s">
        <v>12324</v>
      </c>
      <c r="H2753" s="24" t="s">
        <v>1259</v>
      </c>
      <c r="I2753" s="25">
        <v>27096</v>
      </c>
      <c r="J2753" s="8" t="s">
        <v>1261</v>
      </c>
      <c r="K2753" s="8" t="s">
        <v>10040</v>
      </c>
      <c r="L2753" s="15">
        <v>0.14130100000000001</v>
      </c>
      <c r="M2753" s="15">
        <v>0.51155099999999998</v>
      </c>
      <c r="N2753" s="15">
        <v>0.82319618468795352</v>
      </c>
    </row>
    <row r="2754" spans="1:14" x14ac:dyDescent="0.2">
      <c r="A2754" s="2" t="s">
        <v>10066</v>
      </c>
      <c r="B2754" s="15">
        <v>1321</v>
      </c>
      <c r="C2754" s="15">
        <v>8</v>
      </c>
      <c r="D2754" s="15">
        <v>89081178</v>
      </c>
      <c r="E2754" s="15">
        <v>90364149</v>
      </c>
      <c r="F2754" s="15">
        <v>3321</v>
      </c>
      <c r="G2754" s="8" t="s">
        <v>12324</v>
      </c>
      <c r="H2754" s="24" t="s">
        <v>3164</v>
      </c>
      <c r="I2754" s="25" t="s">
        <v>3165</v>
      </c>
      <c r="J2754" s="8" t="s">
        <v>3166</v>
      </c>
      <c r="K2754" s="8" t="s">
        <v>10042</v>
      </c>
      <c r="L2754" s="15">
        <v>-0.18137600000000001</v>
      </c>
      <c r="M2754" s="15">
        <v>0.51083199999999995</v>
      </c>
      <c r="N2754" s="15">
        <v>0.82319618468795352</v>
      </c>
    </row>
    <row r="2755" spans="1:14" x14ac:dyDescent="0.2">
      <c r="A2755" s="2" t="s">
        <v>10066</v>
      </c>
      <c r="B2755" s="15">
        <v>2026</v>
      </c>
      <c r="C2755" s="15">
        <v>14</v>
      </c>
      <c r="D2755" s="15">
        <v>99474534</v>
      </c>
      <c r="E2755" s="15">
        <v>100786189</v>
      </c>
      <c r="F2755" s="15">
        <v>3323</v>
      </c>
      <c r="G2755" s="8" t="s">
        <v>12324</v>
      </c>
      <c r="H2755" s="24" t="s">
        <v>3164</v>
      </c>
      <c r="I2755" s="25" t="s">
        <v>3165</v>
      </c>
      <c r="J2755" s="8" t="s">
        <v>3166</v>
      </c>
      <c r="K2755" s="8" t="s">
        <v>10042</v>
      </c>
      <c r="L2755" s="15">
        <v>0.17446300000000001</v>
      </c>
      <c r="M2755" s="15">
        <v>0.51148499999999997</v>
      </c>
      <c r="N2755" s="15">
        <v>0.82319618468795352</v>
      </c>
    </row>
    <row r="2756" spans="1:14" x14ac:dyDescent="0.2">
      <c r="A2756" s="2" t="s">
        <v>10068</v>
      </c>
      <c r="B2756" s="15">
        <v>1138</v>
      </c>
      <c r="C2756" s="15">
        <v>7</v>
      </c>
      <c r="D2756" s="15">
        <v>41415926</v>
      </c>
      <c r="E2756" s="15">
        <v>42494806</v>
      </c>
      <c r="F2756" s="15">
        <v>2758</v>
      </c>
      <c r="G2756" s="8" t="s">
        <v>12324</v>
      </c>
      <c r="H2756" s="24" t="s">
        <v>6565</v>
      </c>
      <c r="I2756" s="25" t="s">
        <v>6475</v>
      </c>
      <c r="J2756" s="8" t="s">
        <v>6566</v>
      </c>
      <c r="K2756" s="8" t="s">
        <v>10054</v>
      </c>
      <c r="L2756" s="15">
        <v>0.144203</v>
      </c>
      <c r="M2756" s="15">
        <v>0.51065700000000003</v>
      </c>
      <c r="N2756" s="15">
        <v>0.82319618468795352</v>
      </c>
    </row>
    <row r="2757" spans="1:14" x14ac:dyDescent="0.2">
      <c r="A2757" s="2" t="s">
        <v>10068</v>
      </c>
      <c r="B2757" s="15">
        <v>442</v>
      </c>
      <c r="C2757" s="15">
        <v>3</v>
      </c>
      <c r="D2757" s="15">
        <v>21790868</v>
      </c>
      <c r="E2757" s="15">
        <v>22648001</v>
      </c>
      <c r="F2757" s="15">
        <v>3524</v>
      </c>
      <c r="G2757" s="8" t="s">
        <v>12324</v>
      </c>
      <c r="H2757" s="24" t="s">
        <v>6565</v>
      </c>
      <c r="I2757" s="25" t="s">
        <v>6475</v>
      </c>
      <c r="J2757" s="8" t="s">
        <v>6566</v>
      </c>
      <c r="K2757" s="8" t="s">
        <v>10054</v>
      </c>
      <c r="L2757" s="15">
        <v>-0.17477799999999999</v>
      </c>
      <c r="M2757" s="15">
        <v>0.511351</v>
      </c>
      <c r="N2757" s="15">
        <v>0.82319618468795352</v>
      </c>
    </row>
    <row r="2758" spans="1:14" x14ac:dyDescent="0.2">
      <c r="A2758" s="2" t="s">
        <v>10068</v>
      </c>
      <c r="B2758" s="15">
        <v>893</v>
      </c>
      <c r="C2758" s="15">
        <v>5</v>
      </c>
      <c r="D2758" s="15">
        <v>141253831</v>
      </c>
      <c r="E2758" s="15">
        <v>142532956</v>
      </c>
      <c r="F2758" s="15">
        <v>3416</v>
      </c>
      <c r="G2758" s="8" t="s">
        <v>12324</v>
      </c>
      <c r="H2758" s="24" t="s">
        <v>6565</v>
      </c>
      <c r="I2758" s="25" t="s">
        <v>6475</v>
      </c>
      <c r="J2758" s="8" t="s">
        <v>6566</v>
      </c>
      <c r="K2758" s="8" t="s">
        <v>10054</v>
      </c>
      <c r="L2758" s="15">
        <v>0.15312000000000001</v>
      </c>
      <c r="M2758" s="15">
        <v>0.51137200000000005</v>
      </c>
      <c r="N2758" s="15">
        <v>0.82319618468795352</v>
      </c>
    </row>
    <row r="2759" spans="1:14" x14ac:dyDescent="0.2">
      <c r="A2759" s="2" t="s">
        <v>10066</v>
      </c>
      <c r="B2759" s="15">
        <v>2203</v>
      </c>
      <c r="C2759" s="15">
        <v>17</v>
      </c>
      <c r="D2759" s="15">
        <v>37361179</v>
      </c>
      <c r="E2759" s="15">
        <v>38880481</v>
      </c>
      <c r="F2759" s="15">
        <v>2851</v>
      </c>
      <c r="G2759" s="8" t="s">
        <v>12324</v>
      </c>
      <c r="H2759" s="24" t="s">
        <v>6008</v>
      </c>
      <c r="I2759" s="25" t="s">
        <v>6009</v>
      </c>
      <c r="J2759" s="8" t="s">
        <v>6010</v>
      </c>
      <c r="K2759" s="8" t="s">
        <v>10051</v>
      </c>
      <c r="L2759" s="15">
        <v>0.205704</v>
      </c>
      <c r="M2759" s="15">
        <v>0.51199700000000004</v>
      </c>
      <c r="N2759" s="15">
        <v>0.82361505077983321</v>
      </c>
    </row>
    <row r="2760" spans="1:14" x14ac:dyDescent="0.2">
      <c r="A2760" s="2" t="s">
        <v>10069</v>
      </c>
      <c r="B2760" s="15">
        <v>1441</v>
      </c>
      <c r="C2760" s="15">
        <v>9</v>
      </c>
      <c r="D2760" s="15">
        <v>95854926</v>
      </c>
      <c r="E2760" s="15">
        <v>96670171</v>
      </c>
      <c r="F2760" s="15">
        <v>1637</v>
      </c>
      <c r="G2760" s="8" t="s">
        <v>12324</v>
      </c>
      <c r="H2760" s="24" t="s">
        <v>662</v>
      </c>
      <c r="I2760" s="25" t="s">
        <v>663</v>
      </c>
      <c r="J2760" s="8" t="s">
        <v>664</v>
      </c>
      <c r="K2760" s="8" t="s">
        <v>10040</v>
      </c>
      <c r="L2760" s="15">
        <v>-0.17752799999999999</v>
      </c>
      <c r="M2760" s="15">
        <v>0.51249699999999998</v>
      </c>
      <c r="N2760" s="15">
        <v>0.82412044778825222</v>
      </c>
    </row>
    <row r="2761" spans="1:14" x14ac:dyDescent="0.2">
      <c r="A2761" s="2" t="s">
        <v>10068</v>
      </c>
      <c r="B2761" s="15">
        <v>1479</v>
      </c>
      <c r="C2761" s="15">
        <v>9</v>
      </c>
      <c r="D2761" s="15">
        <v>136042491</v>
      </c>
      <c r="E2761" s="15">
        <v>136770926</v>
      </c>
      <c r="F2761" s="15">
        <v>2770</v>
      </c>
      <c r="G2761" s="8" t="s">
        <v>12324</v>
      </c>
      <c r="H2761" s="24" t="s">
        <v>494</v>
      </c>
      <c r="I2761" s="25">
        <v>25920</v>
      </c>
      <c r="J2761" s="8" t="s">
        <v>496</v>
      </c>
      <c r="K2761" s="8" t="s">
        <v>10040</v>
      </c>
      <c r="L2761" s="15">
        <v>0.15726200000000001</v>
      </c>
      <c r="M2761" s="15">
        <v>0.51454999999999995</v>
      </c>
      <c r="N2761" s="15">
        <v>0.82476579841040476</v>
      </c>
    </row>
    <row r="2762" spans="1:14" x14ac:dyDescent="0.2">
      <c r="A2762" s="2" t="s">
        <v>10068</v>
      </c>
      <c r="B2762" s="15">
        <v>786</v>
      </c>
      <c r="C2762" s="15">
        <v>5</v>
      </c>
      <c r="D2762" s="15">
        <v>10549030</v>
      </c>
      <c r="E2762" s="15">
        <v>11850850</v>
      </c>
      <c r="F2762" s="15">
        <v>3694</v>
      </c>
      <c r="G2762" s="8" t="s">
        <v>12324</v>
      </c>
      <c r="H2762" s="24" t="s">
        <v>494</v>
      </c>
      <c r="I2762" s="25">
        <v>25920</v>
      </c>
      <c r="J2762" s="8" t="s">
        <v>496</v>
      </c>
      <c r="K2762" s="8" t="s">
        <v>10040</v>
      </c>
      <c r="L2762" s="15">
        <v>0.15815000000000001</v>
      </c>
      <c r="M2762" s="15">
        <v>0.51475800000000005</v>
      </c>
      <c r="N2762" s="15">
        <v>0.82476579841040476</v>
      </c>
    </row>
    <row r="2763" spans="1:14" x14ac:dyDescent="0.2">
      <c r="A2763" s="2" t="s">
        <v>10068</v>
      </c>
      <c r="B2763" s="15">
        <v>49</v>
      </c>
      <c r="C2763" s="15">
        <v>1</v>
      </c>
      <c r="D2763" s="15">
        <v>56799637</v>
      </c>
      <c r="E2763" s="15">
        <v>57529670</v>
      </c>
      <c r="F2763" s="15">
        <v>2187</v>
      </c>
      <c r="G2763" s="8" t="s">
        <v>12324</v>
      </c>
      <c r="H2763" s="24" t="s">
        <v>599</v>
      </c>
      <c r="I2763" s="25">
        <v>26562</v>
      </c>
      <c r="J2763" s="8" t="s">
        <v>601</v>
      </c>
      <c r="K2763" s="8" t="s">
        <v>10040</v>
      </c>
      <c r="L2763" s="15">
        <v>0.198353</v>
      </c>
      <c r="M2763" s="15">
        <v>0.51382799999999995</v>
      </c>
      <c r="N2763" s="15">
        <v>0.82476579841040476</v>
      </c>
    </row>
    <row r="2764" spans="1:14" x14ac:dyDescent="0.2">
      <c r="A2764" s="2" t="s">
        <v>10068</v>
      </c>
      <c r="B2764" s="15">
        <v>2212</v>
      </c>
      <c r="C2764" s="15">
        <v>17</v>
      </c>
      <c r="D2764" s="15">
        <v>49909299</v>
      </c>
      <c r="E2764" s="15">
        <v>51110385</v>
      </c>
      <c r="F2764" s="15">
        <v>3218</v>
      </c>
      <c r="G2764" s="8" t="s">
        <v>12324</v>
      </c>
      <c r="H2764" s="24" t="s">
        <v>599</v>
      </c>
      <c r="I2764" s="25">
        <v>26562</v>
      </c>
      <c r="J2764" s="8" t="s">
        <v>601</v>
      </c>
      <c r="K2764" s="8" t="s">
        <v>10040</v>
      </c>
      <c r="L2764" s="15">
        <v>-0.21926899999999999</v>
      </c>
      <c r="M2764" s="15">
        <v>0.51416600000000001</v>
      </c>
      <c r="N2764" s="15">
        <v>0.82476579841040476</v>
      </c>
    </row>
    <row r="2765" spans="1:14" x14ac:dyDescent="0.2">
      <c r="A2765" s="2" t="s">
        <v>10069</v>
      </c>
      <c r="B2765" s="15">
        <v>2429</v>
      </c>
      <c r="C2765" s="15">
        <v>20</v>
      </c>
      <c r="D2765" s="15">
        <v>62179242</v>
      </c>
      <c r="E2765" s="15">
        <v>62963627</v>
      </c>
      <c r="F2765" s="15">
        <v>1434</v>
      </c>
      <c r="G2765" s="8" t="s">
        <v>12324</v>
      </c>
      <c r="H2765" s="24" t="s">
        <v>662</v>
      </c>
      <c r="I2765" s="25" t="s">
        <v>663</v>
      </c>
      <c r="J2765" s="8" t="s">
        <v>664</v>
      </c>
      <c r="K2765" s="8" t="s">
        <v>10040</v>
      </c>
      <c r="L2765" s="15">
        <v>0.28445999999999999</v>
      </c>
      <c r="M2765" s="15">
        <v>0.51312999999999998</v>
      </c>
      <c r="N2765" s="15">
        <v>0.82476579841040476</v>
      </c>
    </row>
    <row r="2766" spans="1:14" x14ac:dyDescent="0.2">
      <c r="A2766" s="2" t="s">
        <v>10069</v>
      </c>
      <c r="B2766" s="15">
        <v>839</v>
      </c>
      <c r="C2766" s="15">
        <v>5</v>
      </c>
      <c r="D2766" s="15">
        <v>75959516</v>
      </c>
      <c r="E2766" s="15">
        <v>77290255</v>
      </c>
      <c r="F2766" s="15">
        <v>2348</v>
      </c>
      <c r="G2766" s="8" t="s">
        <v>12324</v>
      </c>
      <c r="H2766" s="24" t="s">
        <v>662</v>
      </c>
      <c r="I2766" s="25" t="s">
        <v>663</v>
      </c>
      <c r="J2766" s="8" t="s">
        <v>664</v>
      </c>
      <c r="K2766" s="8" t="s">
        <v>10040</v>
      </c>
      <c r="L2766" s="15">
        <v>-0.211058</v>
      </c>
      <c r="M2766" s="15">
        <v>0.51330600000000004</v>
      </c>
      <c r="N2766" s="15">
        <v>0.82476579841040476</v>
      </c>
    </row>
    <row r="2767" spans="1:14" x14ac:dyDescent="0.2">
      <c r="A2767" s="2" t="s">
        <v>10069</v>
      </c>
      <c r="B2767" s="15">
        <v>1073</v>
      </c>
      <c r="C2767" s="15">
        <v>6</v>
      </c>
      <c r="D2767" s="15">
        <v>150635316</v>
      </c>
      <c r="E2767" s="15">
        <v>151629954</v>
      </c>
      <c r="F2767" s="15">
        <v>2428</v>
      </c>
      <c r="G2767" s="8" t="s">
        <v>12324</v>
      </c>
      <c r="H2767" s="24" t="s">
        <v>662</v>
      </c>
      <c r="I2767" s="25" t="s">
        <v>663</v>
      </c>
      <c r="J2767" s="8" t="s">
        <v>664</v>
      </c>
      <c r="K2767" s="8" t="s">
        <v>10040</v>
      </c>
      <c r="L2767" s="15">
        <v>0.15875600000000001</v>
      </c>
      <c r="M2767" s="15">
        <v>0.51453800000000005</v>
      </c>
      <c r="N2767" s="15">
        <v>0.82476579841040476</v>
      </c>
    </row>
    <row r="2768" spans="1:14" x14ac:dyDescent="0.2">
      <c r="A2768" s="2" t="s">
        <v>10068</v>
      </c>
      <c r="B2768" s="15">
        <v>2289</v>
      </c>
      <c r="C2768" s="15">
        <v>18</v>
      </c>
      <c r="D2768" s="15">
        <v>60780195</v>
      </c>
      <c r="E2768" s="15">
        <v>62074993</v>
      </c>
      <c r="F2768" s="15">
        <v>3546</v>
      </c>
      <c r="G2768" s="8" t="s">
        <v>12324</v>
      </c>
      <c r="H2768" s="24" t="s">
        <v>6565</v>
      </c>
      <c r="I2768" s="25" t="s">
        <v>6475</v>
      </c>
      <c r="J2768" s="8" t="s">
        <v>6566</v>
      </c>
      <c r="K2768" s="8" t="s">
        <v>10054</v>
      </c>
      <c r="L2768" s="15">
        <v>0.14518800000000001</v>
      </c>
      <c r="M2768" s="15">
        <v>0.51377399999999995</v>
      </c>
      <c r="N2768" s="15">
        <v>0.82476579841040476</v>
      </c>
    </row>
    <row r="2769" spans="1:14" x14ac:dyDescent="0.2">
      <c r="A2769" s="2" t="s">
        <v>10068</v>
      </c>
      <c r="B2769" s="15">
        <v>175</v>
      </c>
      <c r="C2769" s="15">
        <v>1</v>
      </c>
      <c r="D2769" s="15">
        <v>224943338</v>
      </c>
      <c r="E2769" s="15">
        <v>226534711</v>
      </c>
      <c r="F2769" s="15">
        <v>3828</v>
      </c>
      <c r="G2769" s="8" t="s">
        <v>12324</v>
      </c>
      <c r="H2769" s="24" t="s">
        <v>6565</v>
      </c>
      <c r="I2769" s="25" t="s">
        <v>6475</v>
      </c>
      <c r="J2769" s="8" t="s">
        <v>6566</v>
      </c>
      <c r="K2769" s="8" t="s">
        <v>10054</v>
      </c>
      <c r="L2769" s="15">
        <v>0.18776699999999999</v>
      </c>
      <c r="M2769" s="15">
        <v>0.51449900000000004</v>
      </c>
      <c r="N2769" s="15">
        <v>0.82476579841040476</v>
      </c>
    </row>
    <row r="2770" spans="1:14" x14ac:dyDescent="0.2">
      <c r="A2770" s="2" t="s">
        <v>10068</v>
      </c>
      <c r="B2770" s="15">
        <v>1886</v>
      </c>
      <c r="C2770" s="15">
        <v>13</v>
      </c>
      <c r="D2770" s="15">
        <v>42950158</v>
      </c>
      <c r="E2770" s="15">
        <v>43931931</v>
      </c>
      <c r="F2770" s="15">
        <v>2441</v>
      </c>
      <c r="G2770" s="8" t="s">
        <v>12324</v>
      </c>
      <c r="H2770" s="24" t="s">
        <v>6565</v>
      </c>
      <c r="I2770" s="25" t="s">
        <v>6475</v>
      </c>
      <c r="J2770" s="8" t="s">
        <v>6566</v>
      </c>
      <c r="K2770" s="8" t="s">
        <v>10054</v>
      </c>
      <c r="L2770" s="15">
        <v>-0.13980200000000001</v>
      </c>
      <c r="M2770" s="15">
        <v>0.51458099999999996</v>
      </c>
      <c r="N2770" s="15">
        <v>0.82476579841040476</v>
      </c>
    </row>
    <row r="2771" spans="1:14" x14ac:dyDescent="0.2">
      <c r="A2771" s="2" t="s">
        <v>10068</v>
      </c>
      <c r="B2771" s="15">
        <v>482</v>
      </c>
      <c r="C2771" s="15">
        <v>3</v>
      </c>
      <c r="D2771" s="15">
        <v>69784970</v>
      </c>
      <c r="E2771" s="15">
        <v>71223281</v>
      </c>
      <c r="F2771" s="15">
        <v>2770</v>
      </c>
      <c r="G2771" s="8" t="s">
        <v>12324</v>
      </c>
      <c r="H2771" s="24" t="s">
        <v>494</v>
      </c>
      <c r="I2771" s="25">
        <v>25920</v>
      </c>
      <c r="J2771" s="8" t="s">
        <v>496</v>
      </c>
      <c r="K2771" s="8" t="s">
        <v>10040</v>
      </c>
      <c r="L2771" s="15">
        <v>0.15776599999999999</v>
      </c>
      <c r="M2771" s="15">
        <v>0.51798200000000005</v>
      </c>
      <c r="N2771" s="15">
        <v>0.82516169899425296</v>
      </c>
    </row>
    <row r="2772" spans="1:14" x14ac:dyDescent="0.2">
      <c r="A2772" s="2" t="s">
        <v>10068</v>
      </c>
      <c r="B2772" s="15">
        <v>1843</v>
      </c>
      <c r="C2772" s="15">
        <v>12</v>
      </c>
      <c r="D2772" s="15">
        <v>114685671</v>
      </c>
      <c r="E2772" s="15">
        <v>115439451</v>
      </c>
      <c r="F2772" s="15">
        <v>2286</v>
      </c>
      <c r="G2772" s="8" t="s">
        <v>12324</v>
      </c>
      <c r="H2772" s="24" t="s">
        <v>599</v>
      </c>
      <c r="I2772" s="25">
        <v>26562</v>
      </c>
      <c r="J2772" s="8" t="s">
        <v>601</v>
      </c>
      <c r="K2772" s="8" t="s">
        <v>10040</v>
      </c>
      <c r="L2772" s="15">
        <v>0.124727</v>
      </c>
      <c r="M2772" s="15">
        <v>0.51710800000000001</v>
      </c>
      <c r="N2772" s="15">
        <v>0.82516169899425296</v>
      </c>
    </row>
    <row r="2773" spans="1:14" x14ac:dyDescent="0.2">
      <c r="A2773" s="2" t="s">
        <v>10069</v>
      </c>
      <c r="B2773" s="15">
        <v>1631</v>
      </c>
      <c r="C2773" s="15">
        <v>11</v>
      </c>
      <c r="D2773" s="15">
        <v>19780785</v>
      </c>
      <c r="E2773" s="15">
        <v>20686336</v>
      </c>
      <c r="F2773" s="15">
        <v>1974</v>
      </c>
      <c r="G2773" s="8" t="s">
        <v>12324</v>
      </c>
      <c r="H2773" s="24" t="s">
        <v>662</v>
      </c>
      <c r="I2773" s="25" t="s">
        <v>663</v>
      </c>
      <c r="J2773" s="8" t="s">
        <v>664</v>
      </c>
      <c r="K2773" s="8" t="s">
        <v>10040</v>
      </c>
      <c r="L2773" s="15">
        <v>-0.15748799999999999</v>
      </c>
      <c r="M2773" s="15">
        <v>0.51614400000000005</v>
      </c>
      <c r="N2773" s="15">
        <v>0.82516169899425296</v>
      </c>
    </row>
    <row r="2774" spans="1:14" x14ac:dyDescent="0.2">
      <c r="A2774" s="2" t="s">
        <v>10069</v>
      </c>
      <c r="B2774" s="15">
        <v>2180</v>
      </c>
      <c r="C2774" s="15">
        <v>17</v>
      </c>
      <c r="D2774" s="15">
        <v>6305079</v>
      </c>
      <c r="E2774" s="15">
        <v>7264458</v>
      </c>
      <c r="F2774" s="15">
        <v>1740</v>
      </c>
      <c r="G2774" s="8" t="s">
        <v>12324</v>
      </c>
      <c r="H2774" s="24" t="s">
        <v>662</v>
      </c>
      <c r="I2774" s="25" t="s">
        <v>663</v>
      </c>
      <c r="J2774" s="8" t="s">
        <v>664</v>
      </c>
      <c r="K2774" s="8" t="s">
        <v>10040</v>
      </c>
      <c r="L2774" s="15">
        <v>-0.17107900000000001</v>
      </c>
      <c r="M2774" s="15">
        <v>0.51630900000000002</v>
      </c>
      <c r="N2774" s="15">
        <v>0.82516169899425296</v>
      </c>
    </row>
    <row r="2775" spans="1:14" x14ac:dyDescent="0.2">
      <c r="A2775" s="2" t="s">
        <v>10069</v>
      </c>
      <c r="B2775" s="15">
        <v>790</v>
      </c>
      <c r="C2775" s="15">
        <v>5</v>
      </c>
      <c r="D2775" s="15">
        <v>14910296</v>
      </c>
      <c r="E2775" s="15">
        <v>16592319</v>
      </c>
      <c r="F2775" s="15">
        <v>1966</v>
      </c>
      <c r="G2775" s="8" t="s">
        <v>12324</v>
      </c>
      <c r="H2775" s="24" t="s">
        <v>662</v>
      </c>
      <c r="I2775" s="25" t="s">
        <v>663</v>
      </c>
      <c r="J2775" s="8" t="s">
        <v>664</v>
      </c>
      <c r="K2775" s="8" t="s">
        <v>10040</v>
      </c>
      <c r="L2775" s="15">
        <v>-0.22517100000000001</v>
      </c>
      <c r="M2775" s="15">
        <v>0.51771100000000003</v>
      </c>
      <c r="N2775" s="15">
        <v>0.82516169899425296</v>
      </c>
    </row>
    <row r="2776" spans="1:14" x14ac:dyDescent="0.2">
      <c r="A2776" s="2" t="s">
        <v>10069</v>
      </c>
      <c r="B2776" s="15">
        <v>1852</v>
      </c>
      <c r="C2776" s="15">
        <v>12</v>
      </c>
      <c r="D2776" s="15">
        <v>124843769</v>
      </c>
      <c r="E2776" s="15">
        <v>126079935</v>
      </c>
      <c r="F2776" s="15">
        <v>2480</v>
      </c>
      <c r="G2776" s="8" t="s">
        <v>12324</v>
      </c>
      <c r="H2776" s="24" t="s">
        <v>662</v>
      </c>
      <c r="I2776" s="25" t="s">
        <v>663</v>
      </c>
      <c r="J2776" s="8" t="s">
        <v>664</v>
      </c>
      <c r="K2776" s="8" t="s">
        <v>10040</v>
      </c>
      <c r="L2776" s="15">
        <v>0.140429</v>
      </c>
      <c r="M2776" s="15">
        <v>0.51791399999999999</v>
      </c>
      <c r="N2776" s="15">
        <v>0.82516169899425296</v>
      </c>
    </row>
    <row r="2777" spans="1:14" x14ac:dyDescent="0.2">
      <c r="A2777" s="2" t="s">
        <v>10068</v>
      </c>
      <c r="B2777" s="15">
        <v>286</v>
      </c>
      <c r="C2777" s="15">
        <v>2</v>
      </c>
      <c r="D2777" s="15">
        <v>79900056</v>
      </c>
      <c r="E2777" s="15">
        <v>80737811</v>
      </c>
      <c r="F2777" s="15">
        <v>2132</v>
      </c>
      <c r="G2777" s="8" t="s">
        <v>12324</v>
      </c>
      <c r="H2777" s="24" t="s">
        <v>1259</v>
      </c>
      <c r="I2777" s="25">
        <v>27096</v>
      </c>
      <c r="J2777" s="8" t="s">
        <v>1261</v>
      </c>
      <c r="K2777" s="8" t="s">
        <v>10040</v>
      </c>
      <c r="L2777" s="15">
        <v>0.17147100000000001</v>
      </c>
      <c r="M2777" s="15">
        <v>0.51550099999999999</v>
      </c>
      <c r="N2777" s="15">
        <v>0.82516169899425296</v>
      </c>
    </row>
    <row r="2778" spans="1:14" x14ac:dyDescent="0.2">
      <c r="A2778" s="2" t="s">
        <v>10068</v>
      </c>
      <c r="B2778" s="15">
        <v>1461</v>
      </c>
      <c r="C2778" s="15">
        <v>9</v>
      </c>
      <c r="D2778" s="15">
        <v>116159541</v>
      </c>
      <c r="E2778" s="15">
        <v>117054909</v>
      </c>
      <c r="F2778" s="15">
        <v>2409</v>
      </c>
      <c r="G2778" s="8" t="s">
        <v>12324</v>
      </c>
      <c r="H2778" s="24" t="s">
        <v>1259</v>
      </c>
      <c r="I2778" s="25">
        <v>27096</v>
      </c>
      <c r="J2778" s="8" t="s">
        <v>1261</v>
      </c>
      <c r="K2778" s="8" t="s">
        <v>10040</v>
      </c>
      <c r="L2778" s="15">
        <v>-0.15572800000000001</v>
      </c>
      <c r="M2778" s="15">
        <v>0.51599499999999998</v>
      </c>
      <c r="N2778" s="15">
        <v>0.82516169899425296</v>
      </c>
    </row>
    <row r="2779" spans="1:14" x14ac:dyDescent="0.2">
      <c r="A2779" s="2" t="s">
        <v>10068</v>
      </c>
      <c r="B2779" s="15">
        <v>977</v>
      </c>
      <c r="C2779" s="15">
        <v>6</v>
      </c>
      <c r="D2779" s="15">
        <v>42103739</v>
      </c>
      <c r="E2779" s="15">
        <v>43770626</v>
      </c>
      <c r="F2779" s="15">
        <v>3516</v>
      </c>
      <c r="G2779" s="8" t="s">
        <v>12324</v>
      </c>
      <c r="H2779" s="24" t="s">
        <v>1259</v>
      </c>
      <c r="I2779" s="25">
        <v>27096</v>
      </c>
      <c r="J2779" s="8" t="s">
        <v>1261</v>
      </c>
      <c r="K2779" s="8" t="s">
        <v>10040</v>
      </c>
      <c r="L2779" s="15">
        <v>0.10839699999999999</v>
      </c>
      <c r="M2779" s="15">
        <v>0.51661500000000005</v>
      </c>
      <c r="N2779" s="15">
        <v>0.82516169899425296</v>
      </c>
    </row>
    <row r="2780" spans="1:14" x14ac:dyDescent="0.2">
      <c r="A2780" s="2" t="s">
        <v>10066</v>
      </c>
      <c r="B2780" s="15">
        <v>223</v>
      </c>
      <c r="C2780" s="15">
        <v>2</v>
      </c>
      <c r="D2780" s="15">
        <v>18656326</v>
      </c>
      <c r="E2780" s="15">
        <v>20064517</v>
      </c>
      <c r="F2780" s="15">
        <v>3983</v>
      </c>
      <c r="G2780" s="8" t="s">
        <v>12324</v>
      </c>
      <c r="H2780" s="24" t="s">
        <v>3164</v>
      </c>
      <c r="I2780" s="25" t="s">
        <v>3165</v>
      </c>
      <c r="J2780" s="8" t="s">
        <v>3166</v>
      </c>
      <c r="K2780" s="8" t="s">
        <v>10042</v>
      </c>
      <c r="L2780" s="15">
        <v>-0.25687900000000002</v>
      </c>
      <c r="M2780" s="15">
        <v>0.51549400000000001</v>
      </c>
      <c r="N2780" s="15">
        <v>0.82516169899425296</v>
      </c>
    </row>
    <row r="2781" spans="1:14" x14ac:dyDescent="0.2">
      <c r="A2781" s="2" t="s">
        <v>10066</v>
      </c>
      <c r="B2781" s="15">
        <v>1189</v>
      </c>
      <c r="C2781" s="15">
        <v>7</v>
      </c>
      <c r="D2781" s="15">
        <v>103191323</v>
      </c>
      <c r="E2781" s="15">
        <v>104109231</v>
      </c>
      <c r="F2781" s="15">
        <v>3109</v>
      </c>
      <c r="G2781" s="8" t="s">
        <v>12324</v>
      </c>
      <c r="H2781" s="24" t="s">
        <v>3164</v>
      </c>
      <c r="I2781" s="25" t="s">
        <v>3165</v>
      </c>
      <c r="J2781" s="8" t="s">
        <v>3166</v>
      </c>
      <c r="K2781" s="8" t="s">
        <v>10042</v>
      </c>
      <c r="L2781" s="15">
        <v>0.19048499999999999</v>
      </c>
      <c r="M2781" s="15">
        <v>0.51621300000000003</v>
      </c>
      <c r="N2781" s="15">
        <v>0.82516169899425296</v>
      </c>
    </row>
    <row r="2782" spans="1:14" x14ac:dyDescent="0.2">
      <c r="A2782" s="2" t="s">
        <v>10066</v>
      </c>
      <c r="B2782" s="15">
        <v>1461</v>
      </c>
      <c r="C2782" s="15">
        <v>9</v>
      </c>
      <c r="D2782" s="15">
        <v>116159541</v>
      </c>
      <c r="E2782" s="15">
        <v>117054909</v>
      </c>
      <c r="F2782" s="15">
        <v>2413</v>
      </c>
      <c r="G2782" s="8" t="s">
        <v>12324</v>
      </c>
      <c r="H2782" s="24" t="s">
        <v>3164</v>
      </c>
      <c r="I2782" s="25" t="s">
        <v>3165</v>
      </c>
      <c r="J2782" s="8" t="s">
        <v>3166</v>
      </c>
      <c r="K2782" s="8" t="s">
        <v>10042</v>
      </c>
      <c r="L2782" s="15">
        <v>-8.2681699999999997E-2</v>
      </c>
      <c r="M2782" s="15">
        <v>0.51767399999999997</v>
      </c>
      <c r="N2782" s="15">
        <v>0.82516169899425296</v>
      </c>
    </row>
    <row r="2783" spans="1:14" x14ac:dyDescent="0.2">
      <c r="A2783" s="2" t="s">
        <v>10066</v>
      </c>
      <c r="B2783" s="15">
        <v>2136</v>
      </c>
      <c r="C2783" s="15">
        <v>16</v>
      </c>
      <c r="D2783" s="15">
        <v>54866096</v>
      </c>
      <c r="E2783" s="15">
        <v>55907389</v>
      </c>
      <c r="F2783" s="15">
        <v>3397</v>
      </c>
      <c r="G2783" s="8" t="s">
        <v>12324</v>
      </c>
      <c r="H2783" s="24" t="s">
        <v>6008</v>
      </c>
      <c r="I2783" s="25" t="s">
        <v>6009</v>
      </c>
      <c r="J2783" s="8" t="s">
        <v>6010</v>
      </c>
      <c r="K2783" s="8" t="s">
        <v>10051</v>
      </c>
      <c r="L2783" s="15">
        <v>-0.14685899999999999</v>
      </c>
      <c r="M2783" s="15">
        <v>0.51575199999999999</v>
      </c>
      <c r="N2783" s="15">
        <v>0.82516169899425296</v>
      </c>
    </row>
    <row r="2784" spans="1:14" x14ac:dyDescent="0.2">
      <c r="A2784" s="2" t="s">
        <v>10066</v>
      </c>
      <c r="B2784" s="15">
        <v>1670</v>
      </c>
      <c r="C2784" s="15">
        <v>11</v>
      </c>
      <c r="D2784" s="15">
        <v>59256233</v>
      </c>
      <c r="E2784" s="15">
        <v>60515105</v>
      </c>
      <c r="F2784" s="15">
        <v>2736</v>
      </c>
      <c r="G2784" s="8" t="s">
        <v>12324</v>
      </c>
      <c r="H2784" s="24" t="s">
        <v>6008</v>
      </c>
      <c r="I2784" s="25" t="s">
        <v>6009</v>
      </c>
      <c r="J2784" s="8" t="s">
        <v>6010</v>
      </c>
      <c r="K2784" s="8" t="s">
        <v>10051</v>
      </c>
      <c r="L2784" s="15">
        <v>-0.157163</v>
      </c>
      <c r="M2784" s="15">
        <v>0.51766900000000005</v>
      </c>
      <c r="N2784" s="15">
        <v>0.82516169899425296</v>
      </c>
    </row>
    <row r="2785" spans="1:14" x14ac:dyDescent="0.2">
      <c r="A2785" s="2" t="s">
        <v>10066</v>
      </c>
      <c r="B2785" s="15">
        <v>2112</v>
      </c>
      <c r="C2785" s="15">
        <v>16</v>
      </c>
      <c r="D2785" s="15">
        <v>9104470</v>
      </c>
      <c r="E2785" s="15">
        <v>9754796</v>
      </c>
      <c r="F2785" s="15">
        <v>2408</v>
      </c>
      <c r="G2785" s="8" t="s">
        <v>12324</v>
      </c>
      <c r="H2785" s="24" t="s">
        <v>6008</v>
      </c>
      <c r="I2785" s="25" t="s">
        <v>6009</v>
      </c>
      <c r="J2785" s="8" t="s">
        <v>6010</v>
      </c>
      <c r="K2785" s="8" t="s">
        <v>10051</v>
      </c>
      <c r="L2785" s="15">
        <v>0.19690099999999999</v>
      </c>
      <c r="M2785" s="15">
        <v>0.51795800000000003</v>
      </c>
      <c r="N2785" s="15">
        <v>0.82516169899425296</v>
      </c>
    </row>
    <row r="2786" spans="1:14" x14ac:dyDescent="0.2">
      <c r="A2786" s="2" t="s">
        <v>10068</v>
      </c>
      <c r="B2786" s="15">
        <v>1645</v>
      </c>
      <c r="C2786" s="15">
        <v>11</v>
      </c>
      <c r="D2786" s="15">
        <v>32830423</v>
      </c>
      <c r="E2786" s="15">
        <v>33905327</v>
      </c>
      <c r="F2786" s="15">
        <v>2632</v>
      </c>
      <c r="G2786" s="8" t="s">
        <v>12324</v>
      </c>
      <c r="H2786" s="24" t="s">
        <v>6565</v>
      </c>
      <c r="I2786" s="25" t="s">
        <v>6475</v>
      </c>
      <c r="J2786" s="8" t="s">
        <v>6566</v>
      </c>
      <c r="K2786" s="8" t="s">
        <v>10054</v>
      </c>
      <c r="L2786" s="15">
        <v>0.19703899999999999</v>
      </c>
      <c r="M2786" s="15">
        <v>0.51798200000000005</v>
      </c>
      <c r="N2786" s="15">
        <v>0.82516169899425296</v>
      </c>
    </row>
    <row r="2787" spans="1:14" x14ac:dyDescent="0.2">
      <c r="A2787" s="2" t="s">
        <v>10069</v>
      </c>
      <c r="B2787" s="15">
        <v>2400</v>
      </c>
      <c r="C2787" s="15">
        <v>20</v>
      </c>
      <c r="D2787" s="15">
        <v>33890061</v>
      </c>
      <c r="E2787" s="15">
        <v>35990261</v>
      </c>
      <c r="F2787" s="15">
        <v>1692</v>
      </c>
      <c r="G2787" s="8" t="s">
        <v>12324</v>
      </c>
      <c r="H2787" s="24" t="s">
        <v>662</v>
      </c>
      <c r="I2787" s="25" t="s">
        <v>663</v>
      </c>
      <c r="J2787" s="8" t="s">
        <v>664</v>
      </c>
      <c r="K2787" s="8" t="s">
        <v>10040</v>
      </c>
      <c r="L2787" s="15">
        <v>0.23359199999999999</v>
      </c>
      <c r="M2787" s="15">
        <v>0.51894200000000001</v>
      </c>
      <c r="N2787" s="15">
        <v>0.82615873565279763</v>
      </c>
    </row>
    <row r="2788" spans="1:14" x14ac:dyDescent="0.2">
      <c r="A2788" s="2" t="s">
        <v>10068</v>
      </c>
      <c r="B2788" s="15">
        <v>970</v>
      </c>
      <c r="C2788" s="15">
        <v>6</v>
      </c>
      <c r="D2788" s="15">
        <v>33864263</v>
      </c>
      <c r="E2788" s="15">
        <v>34979270</v>
      </c>
      <c r="F2788" s="15">
        <v>2945</v>
      </c>
      <c r="G2788" s="8" t="s">
        <v>12324</v>
      </c>
      <c r="H2788" s="24" t="s">
        <v>1259</v>
      </c>
      <c r="I2788" s="25">
        <v>27096</v>
      </c>
      <c r="J2788" s="8" t="s">
        <v>1261</v>
      </c>
      <c r="K2788" s="8" t="s">
        <v>10040</v>
      </c>
      <c r="L2788" s="15">
        <v>-0.17633199999999999</v>
      </c>
      <c r="M2788" s="15">
        <v>0.51914300000000002</v>
      </c>
      <c r="N2788" s="15">
        <v>0.82615873565279763</v>
      </c>
    </row>
    <row r="2789" spans="1:14" x14ac:dyDescent="0.2">
      <c r="A2789" s="2" t="s">
        <v>10066</v>
      </c>
      <c r="B2789" s="15">
        <v>738</v>
      </c>
      <c r="C2789" s="15">
        <v>4</v>
      </c>
      <c r="D2789" s="15">
        <v>155044410</v>
      </c>
      <c r="E2789" s="15">
        <v>156520288</v>
      </c>
      <c r="F2789" s="15">
        <v>3585</v>
      </c>
      <c r="G2789" s="8" t="s">
        <v>12324</v>
      </c>
      <c r="H2789" s="24" t="s">
        <v>3164</v>
      </c>
      <c r="I2789" s="25" t="s">
        <v>3165</v>
      </c>
      <c r="J2789" s="8" t="s">
        <v>3166</v>
      </c>
      <c r="K2789" s="8" t="s">
        <v>10042</v>
      </c>
      <c r="L2789" s="15">
        <v>-0.17818400000000001</v>
      </c>
      <c r="M2789" s="15">
        <v>0.51922500000000005</v>
      </c>
      <c r="N2789" s="15">
        <v>0.82615873565279763</v>
      </c>
    </row>
    <row r="2790" spans="1:14" x14ac:dyDescent="0.2">
      <c r="A2790" s="2" t="s">
        <v>10068</v>
      </c>
      <c r="B2790" s="15">
        <v>2046</v>
      </c>
      <c r="C2790" s="15">
        <v>15</v>
      </c>
      <c r="D2790" s="15">
        <v>35118928</v>
      </c>
      <c r="E2790" s="15">
        <v>36583327</v>
      </c>
      <c r="F2790" s="15">
        <v>3543</v>
      </c>
      <c r="G2790" s="8" t="s">
        <v>12324</v>
      </c>
      <c r="H2790" s="24" t="s">
        <v>6565</v>
      </c>
      <c r="I2790" s="25" t="s">
        <v>6475</v>
      </c>
      <c r="J2790" s="8" t="s">
        <v>6566</v>
      </c>
      <c r="K2790" s="8" t="s">
        <v>10054</v>
      </c>
      <c r="L2790" s="15">
        <v>0.124977</v>
      </c>
      <c r="M2790" s="15">
        <v>0.51935299999999995</v>
      </c>
      <c r="N2790" s="15">
        <v>0.82615873565279763</v>
      </c>
    </row>
    <row r="2791" spans="1:14" x14ac:dyDescent="0.2">
      <c r="A2791" s="2" t="s">
        <v>10068</v>
      </c>
      <c r="B2791" s="15">
        <v>804</v>
      </c>
      <c r="C2791" s="15">
        <v>5</v>
      </c>
      <c r="D2791" s="15">
        <v>31679465</v>
      </c>
      <c r="E2791" s="15">
        <v>32727914</v>
      </c>
      <c r="F2791" s="15">
        <v>3113</v>
      </c>
      <c r="G2791" s="8" t="s">
        <v>12324</v>
      </c>
      <c r="H2791" s="24" t="s">
        <v>1259</v>
      </c>
      <c r="I2791" s="25">
        <v>27096</v>
      </c>
      <c r="J2791" s="8" t="s">
        <v>1261</v>
      </c>
      <c r="K2791" s="8" t="s">
        <v>10040</v>
      </c>
      <c r="L2791" s="15">
        <v>0.14208699999999999</v>
      </c>
      <c r="M2791" s="15">
        <v>0.51956999999999998</v>
      </c>
      <c r="N2791" s="15">
        <v>0.82620758336321254</v>
      </c>
    </row>
    <row r="2792" spans="1:14" x14ac:dyDescent="0.2">
      <c r="A2792" s="2" t="s">
        <v>10068</v>
      </c>
      <c r="B2792" s="15">
        <v>240</v>
      </c>
      <c r="C2792" s="15">
        <v>2</v>
      </c>
      <c r="D2792" s="15">
        <v>36120744</v>
      </c>
      <c r="E2792" s="15">
        <v>36867389</v>
      </c>
      <c r="F2792" s="15">
        <v>2365</v>
      </c>
      <c r="G2792" s="8" t="s">
        <v>12324</v>
      </c>
      <c r="H2792" s="24" t="s">
        <v>494</v>
      </c>
      <c r="I2792" s="25">
        <v>25920</v>
      </c>
      <c r="J2792" s="8" t="s">
        <v>496</v>
      </c>
      <c r="K2792" s="8" t="s">
        <v>10040</v>
      </c>
      <c r="L2792" s="15">
        <v>-0.152667</v>
      </c>
      <c r="M2792" s="15">
        <v>0.52052600000000004</v>
      </c>
      <c r="N2792" s="15">
        <v>0.82627620214669062</v>
      </c>
    </row>
    <row r="2793" spans="1:14" x14ac:dyDescent="0.2">
      <c r="A2793" s="2" t="s">
        <v>10068</v>
      </c>
      <c r="B2793" s="15">
        <v>1039</v>
      </c>
      <c r="C2793" s="15">
        <v>6</v>
      </c>
      <c r="D2793" s="15">
        <v>109043245</v>
      </c>
      <c r="E2793" s="15">
        <v>110647842</v>
      </c>
      <c r="F2793" s="15">
        <v>3899</v>
      </c>
      <c r="G2793" s="8" t="s">
        <v>12324</v>
      </c>
      <c r="H2793" s="24" t="s">
        <v>599</v>
      </c>
      <c r="I2793" s="25">
        <v>26562</v>
      </c>
      <c r="J2793" s="8" t="s">
        <v>601</v>
      </c>
      <c r="K2793" s="8" t="s">
        <v>10040</v>
      </c>
      <c r="L2793" s="15">
        <v>0.143655</v>
      </c>
      <c r="M2793" s="15">
        <v>0.51982600000000001</v>
      </c>
      <c r="N2793" s="15">
        <v>0.82627620214669062</v>
      </c>
    </row>
    <row r="2794" spans="1:14" x14ac:dyDescent="0.2">
      <c r="A2794" s="2" t="s">
        <v>10068</v>
      </c>
      <c r="B2794" s="15">
        <v>241</v>
      </c>
      <c r="C2794" s="15">
        <v>2</v>
      </c>
      <c r="D2794" s="15">
        <v>36867390</v>
      </c>
      <c r="E2794" s="15">
        <v>37603360</v>
      </c>
      <c r="F2794" s="15">
        <v>2233</v>
      </c>
      <c r="G2794" s="8" t="s">
        <v>12324</v>
      </c>
      <c r="H2794" s="24" t="s">
        <v>1259</v>
      </c>
      <c r="I2794" s="25">
        <v>27096</v>
      </c>
      <c r="J2794" s="8" t="s">
        <v>1261</v>
      </c>
      <c r="K2794" s="8" t="s">
        <v>10040</v>
      </c>
      <c r="L2794" s="15">
        <v>-0.232319</v>
      </c>
      <c r="M2794" s="15">
        <v>0.52067300000000005</v>
      </c>
      <c r="N2794" s="15">
        <v>0.82627620214669062</v>
      </c>
    </row>
    <row r="2795" spans="1:14" x14ac:dyDescent="0.2">
      <c r="A2795" s="2" t="s">
        <v>10066</v>
      </c>
      <c r="B2795" s="15">
        <v>279</v>
      </c>
      <c r="C2795" s="15">
        <v>2</v>
      </c>
      <c r="D2795" s="15">
        <v>73544291</v>
      </c>
      <c r="E2795" s="15">
        <v>75148103</v>
      </c>
      <c r="F2795" s="15">
        <v>2809</v>
      </c>
      <c r="G2795" s="8" t="s">
        <v>12324</v>
      </c>
      <c r="H2795" s="24" t="s">
        <v>3164</v>
      </c>
      <c r="I2795" s="25" t="s">
        <v>3165</v>
      </c>
      <c r="J2795" s="8" t="s">
        <v>3166</v>
      </c>
      <c r="K2795" s="8" t="s">
        <v>10042</v>
      </c>
      <c r="L2795" s="15">
        <v>0.196801</v>
      </c>
      <c r="M2795" s="15">
        <v>0.52046199999999998</v>
      </c>
      <c r="N2795" s="15">
        <v>0.82627620214669062</v>
      </c>
    </row>
    <row r="2796" spans="1:14" x14ac:dyDescent="0.2">
      <c r="A2796" s="2" t="s">
        <v>10066</v>
      </c>
      <c r="B2796" s="15">
        <v>1264</v>
      </c>
      <c r="C2796" s="15">
        <v>8</v>
      </c>
      <c r="D2796" s="15">
        <v>19488889</v>
      </c>
      <c r="E2796" s="15">
        <v>20135628</v>
      </c>
      <c r="F2796" s="15">
        <v>2234</v>
      </c>
      <c r="G2796" s="8" t="s">
        <v>12324</v>
      </c>
      <c r="H2796" s="24" t="s">
        <v>3164</v>
      </c>
      <c r="I2796" s="25" t="s">
        <v>3165</v>
      </c>
      <c r="J2796" s="8" t="s">
        <v>3166</v>
      </c>
      <c r="K2796" s="8" t="s">
        <v>10042</v>
      </c>
      <c r="L2796" s="15">
        <v>0.176424</v>
      </c>
      <c r="M2796" s="15">
        <v>0.52073100000000005</v>
      </c>
      <c r="N2796" s="15">
        <v>0.82627620214669062</v>
      </c>
    </row>
    <row r="2797" spans="1:14" x14ac:dyDescent="0.2">
      <c r="A2797" s="2" t="s">
        <v>10068</v>
      </c>
      <c r="B2797" s="15">
        <v>1500</v>
      </c>
      <c r="C2797" s="15">
        <v>10</v>
      </c>
      <c r="D2797" s="15">
        <v>12581572</v>
      </c>
      <c r="E2797" s="15">
        <v>13208061</v>
      </c>
      <c r="F2797" s="15">
        <v>2181</v>
      </c>
      <c r="G2797" s="8" t="s">
        <v>12324</v>
      </c>
      <c r="H2797" s="24" t="s">
        <v>6565</v>
      </c>
      <c r="I2797" s="25" t="s">
        <v>6475</v>
      </c>
      <c r="J2797" s="8" t="s">
        <v>6566</v>
      </c>
      <c r="K2797" s="8" t="s">
        <v>10054</v>
      </c>
      <c r="L2797" s="15">
        <v>0.12098200000000001</v>
      </c>
      <c r="M2797" s="15">
        <v>0.52000299999999999</v>
      </c>
      <c r="N2797" s="15">
        <v>0.82627620214669062</v>
      </c>
    </row>
    <row r="2798" spans="1:14" x14ac:dyDescent="0.2">
      <c r="A2798" s="2" t="s">
        <v>10066</v>
      </c>
      <c r="B2798" s="15">
        <v>1694</v>
      </c>
      <c r="C2798" s="15">
        <v>11</v>
      </c>
      <c r="D2798" s="15">
        <v>87676871</v>
      </c>
      <c r="E2798" s="15">
        <v>88359287</v>
      </c>
      <c r="F2798" s="15">
        <v>2095</v>
      </c>
      <c r="G2798" s="8" t="s">
        <v>12324</v>
      </c>
      <c r="H2798" s="24" t="s">
        <v>6008</v>
      </c>
      <c r="I2798" s="25" t="s">
        <v>6009</v>
      </c>
      <c r="J2798" s="8" t="s">
        <v>6010</v>
      </c>
      <c r="K2798" s="8" t="s">
        <v>10051</v>
      </c>
      <c r="L2798" s="15">
        <v>0.200465</v>
      </c>
      <c r="M2798" s="15">
        <v>0.52167799999999998</v>
      </c>
      <c r="N2798" s="15">
        <v>0.82748280758226034</v>
      </c>
    </row>
    <row r="2799" spans="1:14" x14ac:dyDescent="0.2">
      <c r="A2799" s="2" t="s">
        <v>10069</v>
      </c>
      <c r="B2799" s="15">
        <v>369</v>
      </c>
      <c r="C2799" s="15">
        <v>2</v>
      </c>
      <c r="D2799" s="15">
        <v>184866233</v>
      </c>
      <c r="E2799" s="15">
        <v>186244920</v>
      </c>
      <c r="F2799" s="15">
        <v>2140</v>
      </c>
      <c r="G2799" s="8" t="s">
        <v>12324</v>
      </c>
      <c r="H2799" s="24" t="s">
        <v>662</v>
      </c>
      <c r="I2799" s="25" t="s">
        <v>663</v>
      </c>
      <c r="J2799" s="8" t="s">
        <v>664</v>
      </c>
      <c r="K2799" s="8" t="s">
        <v>10040</v>
      </c>
      <c r="L2799" s="15">
        <v>0.28021299999999999</v>
      </c>
      <c r="M2799" s="15">
        <v>0.52230900000000002</v>
      </c>
      <c r="N2799" s="15">
        <v>0.82789149928520378</v>
      </c>
    </row>
    <row r="2800" spans="1:14" x14ac:dyDescent="0.2">
      <c r="A2800" s="2" t="s">
        <v>10068</v>
      </c>
      <c r="B2800" s="15">
        <v>1951</v>
      </c>
      <c r="C2800" s="15">
        <v>13</v>
      </c>
      <c r="D2800" s="15">
        <v>112319065</v>
      </c>
      <c r="E2800" s="15">
        <v>113573118</v>
      </c>
      <c r="F2800" s="15">
        <v>3643</v>
      </c>
      <c r="G2800" s="8" t="s">
        <v>12324</v>
      </c>
      <c r="H2800" s="24" t="s">
        <v>6565</v>
      </c>
      <c r="I2800" s="25" t="s">
        <v>6475</v>
      </c>
      <c r="J2800" s="8" t="s">
        <v>6566</v>
      </c>
      <c r="K2800" s="8" t="s">
        <v>10054</v>
      </c>
      <c r="L2800" s="15">
        <v>-0.203261</v>
      </c>
      <c r="M2800" s="15">
        <v>0.52215699999999998</v>
      </c>
      <c r="N2800" s="15">
        <v>0.82789149928520378</v>
      </c>
    </row>
    <row r="2801" spans="1:14" x14ac:dyDescent="0.2">
      <c r="A2801" s="2" t="s">
        <v>10068</v>
      </c>
      <c r="B2801" s="15">
        <v>1072</v>
      </c>
      <c r="C2801" s="15">
        <v>6</v>
      </c>
      <c r="D2801" s="15">
        <v>149278799</v>
      </c>
      <c r="E2801" s="15">
        <v>150635315</v>
      </c>
      <c r="F2801" s="15">
        <v>3727</v>
      </c>
      <c r="G2801" s="8" t="s">
        <v>12324</v>
      </c>
      <c r="H2801" s="24" t="s">
        <v>599</v>
      </c>
      <c r="I2801" s="25">
        <v>26562</v>
      </c>
      <c r="J2801" s="8" t="s">
        <v>601</v>
      </c>
      <c r="K2801" s="8" t="s">
        <v>10040</v>
      </c>
      <c r="L2801" s="15">
        <v>-0.13938999999999999</v>
      </c>
      <c r="M2801" s="15">
        <v>0.522729</v>
      </c>
      <c r="N2801" s="15">
        <v>0.8282568410714285</v>
      </c>
    </row>
    <row r="2802" spans="1:14" x14ac:dyDescent="0.2">
      <c r="A2802" s="2" t="s">
        <v>10068</v>
      </c>
      <c r="B2802" s="15">
        <v>1732</v>
      </c>
      <c r="C2802" s="15">
        <v>11</v>
      </c>
      <c r="D2802" s="15">
        <v>127306872</v>
      </c>
      <c r="E2802" s="15">
        <v>128262550</v>
      </c>
      <c r="F2802" s="15">
        <v>2647</v>
      </c>
      <c r="G2802" s="8" t="s">
        <v>12324</v>
      </c>
      <c r="H2802" s="24" t="s">
        <v>1259</v>
      </c>
      <c r="I2802" s="25">
        <v>27096</v>
      </c>
      <c r="J2802" s="8" t="s">
        <v>1261</v>
      </c>
      <c r="K2802" s="8" t="s">
        <v>10040</v>
      </c>
      <c r="L2802" s="15">
        <v>0.169406</v>
      </c>
      <c r="M2802" s="15">
        <v>0.52291299999999996</v>
      </c>
      <c r="N2802" s="15">
        <v>0.8282568410714285</v>
      </c>
    </row>
    <row r="2803" spans="1:14" x14ac:dyDescent="0.2">
      <c r="A2803" s="2" t="s">
        <v>10068</v>
      </c>
      <c r="B2803" s="15">
        <v>2391</v>
      </c>
      <c r="C2803" s="15">
        <v>20</v>
      </c>
      <c r="D2803" s="15">
        <v>19957929</v>
      </c>
      <c r="E2803" s="15">
        <v>21682377</v>
      </c>
      <c r="F2803" s="15">
        <v>3358</v>
      </c>
      <c r="G2803" s="8" t="s">
        <v>12324</v>
      </c>
      <c r="H2803" s="24" t="s">
        <v>494</v>
      </c>
      <c r="I2803" s="25">
        <v>25920</v>
      </c>
      <c r="J2803" s="8" t="s">
        <v>496</v>
      </c>
      <c r="K2803" s="8" t="s">
        <v>10040</v>
      </c>
      <c r="L2803" s="15">
        <v>-0.10531600000000001</v>
      </c>
      <c r="M2803" s="15">
        <v>0.52338200000000001</v>
      </c>
      <c r="N2803" s="15">
        <v>0.82870373795073193</v>
      </c>
    </row>
    <row r="2804" spans="1:14" x14ac:dyDescent="0.2">
      <c r="A2804" s="2" t="s">
        <v>10066</v>
      </c>
      <c r="B2804" s="15">
        <v>1554</v>
      </c>
      <c r="C2804" s="15">
        <v>10</v>
      </c>
      <c r="D2804" s="15">
        <v>72659224</v>
      </c>
      <c r="E2804" s="15">
        <v>73514214</v>
      </c>
      <c r="F2804" s="15">
        <v>2745</v>
      </c>
      <c r="G2804" s="8" t="s">
        <v>12324</v>
      </c>
      <c r="H2804" s="24" t="s">
        <v>3164</v>
      </c>
      <c r="I2804" s="25" t="s">
        <v>3165</v>
      </c>
      <c r="J2804" s="8" t="s">
        <v>3166</v>
      </c>
      <c r="K2804" s="8" t="s">
        <v>10042</v>
      </c>
      <c r="L2804" s="15">
        <v>-0.100818</v>
      </c>
      <c r="M2804" s="15">
        <v>0.52406699999999995</v>
      </c>
      <c r="N2804" s="15">
        <v>0.82943518729932209</v>
      </c>
    </row>
    <row r="2805" spans="1:14" x14ac:dyDescent="0.2">
      <c r="A2805" s="2" t="s">
        <v>10066</v>
      </c>
      <c r="B2805" s="15">
        <v>1202</v>
      </c>
      <c r="C2805" s="15">
        <v>7</v>
      </c>
      <c r="D2805" s="15">
        <v>121042051</v>
      </c>
      <c r="E2805" s="15">
        <v>121946052</v>
      </c>
      <c r="F2805" s="15">
        <v>2197</v>
      </c>
      <c r="G2805" s="8" t="s">
        <v>12324</v>
      </c>
      <c r="H2805" s="24" t="s">
        <v>3164</v>
      </c>
      <c r="I2805" s="25" t="s">
        <v>3165</v>
      </c>
      <c r="J2805" s="8" t="s">
        <v>3166</v>
      </c>
      <c r="K2805" s="8" t="s">
        <v>10042</v>
      </c>
      <c r="L2805" s="15">
        <v>-0.13209099999999999</v>
      </c>
      <c r="M2805" s="15">
        <v>0.52421799999999996</v>
      </c>
      <c r="N2805" s="15">
        <v>0.82943518729932209</v>
      </c>
    </row>
    <row r="2806" spans="1:14" x14ac:dyDescent="0.2">
      <c r="A2806" s="2" t="s">
        <v>10068</v>
      </c>
      <c r="B2806" s="15">
        <v>1301</v>
      </c>
      <c r="C2806" s="15">
        <v>8</v>
      </c>
      <c r="D2806" s="15">
        <v>64215359</v>
      </c>
      <c r="E2806" s="15">
        <v>66018204</v>
      </c>
      <c r="F2806" s="15">
        <v>3287</v>
      </c>
      <c r="G2806" s="8" t="s">
        <v>12324</v>
      </c>
      <c r="H2806" s="24" t="s">
        <v>599</v>
      </c>
      <c r="I2806" s="25">
        <v>26562</v>
      </c>
      <c r="J2806" s="8" t="s">
        <v>601</v>
      </c>
      <c r="K2806" s="8" t="s">
        <v>10040</v>
      </c>
      <c r="L2806" s="15">
        <v>0.16574800000000001</v>
      </c>
      <c r="M2806" s="15">
        <v>0.52512700000000001</v>
      </c>
      <c r="N2806" s="15">
        <v>0.83032493585174627</v>
      </c>
    </row>
    <row r="2807" spans="1:14" x14ac:dyDescent="0.2">
      <c r="A2807" s="2" t="s">
        <v>10068</v>
      </c>
      <c r="B2807" s="15">
        <v>2183</v>
      </c>
      <c r="C2807" s="15">
        <v>17</v>
      </c>
      <c r="D2807" s="15">
        <v>9619357</v>
      </c>
      <c r="E2807" s="15">
        <v>10572617</v>
      </c>
      <c r="F2807" s="15">
        <v>3061</v>
      </c>
      <c r="G2807" s="8" t="s">
        <v>12324</v>
      </c>
      <c r="H2807" s="24" t="s">
        <v>1259</v>
      </c>
      <c r="I2807" s="25">
        <v>27096</v>
      </c>
      <c r="J2807" s="8" t="s">
        <v>1261</v>
      </c>
      <c r="K2807" s="8" t="s">
        <v>10040</v>
      </c>
      <c r="L2807" s="15">
        <v>0.110982</v>
      </c>
      <c r="M2807" s="15">
        <v>0.52517899999999995</v>
      </c>
      <c r="N2807" s="15">
        <v>0.83032493585174627</v>
      </c>
    </row>
    <row r="2808" spans="1:14" x14ac:dyDescent="0.2">
      <c r="A2808" s="2" t="s">
        <v>10068</v>
      </c>
      <c r="B2808" s="15">
        <v>178</v>
      </c>
      <c r="C2808" s="15">
        <v>1</v>
      </c>
      <c r="D2808" s="15">
        <v>229075157</v>
      </c>
      <c r="E2808" s="15">
        <v>230227247</v>
      </c>
      <c r="F2808" s="15">
        <v>2518</v>
      </c>
      <c r="G2808" s="8" t="s">
        <v>12324</v>
      </c>
      <c r="H2808" s="24" t="s">
        <v>1259</v>
      </c>
      <c r="I2808" s="25">
        <v>27096</v>
      </c>
      <c r="J2808" s="8" t="s">
        <v>1261</v>
      </c>
      <c r="K2808" s="8" t="s">
        <v>10040</v>
      </c>
      <c r="L2808" s="15">
        <v>-0.10724599999999999</v>
      </c>
      <c r="M2808" s="15">
        <v>0.52534199999999998</v>
      </c>
      <c r="N2808" s="15">
        <v>0.83032493585174627</v>
      </c>
    </row>
    <row r="2809" spans="1:14" x14ac:dyDescent="0.2">
      <c r="A2809" s="2" t="s">
        <v>10069</v>
      </c>
      <c r="B2809" s="15">
        <v>2432</v>
      </c>
      <c r="C2809" s="15">
        <v>21</v>
      </c>
      <c r="D2809" s="15">
        <v>15840034</v>
      </c>
      <c r="E2809" s="15">
        <v>16873443</v>
      </c>
      <c r="F2809" s="15">
        <v>1692</v>
      </c>
      <c r="G2809" s="8" t="s">
        <v>12324</v>
      </c>
      <c r="H2809" s="24" t="s">
        <v>662</v>
      </c>
      <c r="I2809" s="25" t="s">
        <v>663</v>
      </c>
      <c r="J2809" s="8" t="s">
        <v>664</v>
      </c>
      <c r="K2809" s="8" t="s">
        <v>10040</v>
      </c>
      <c r="L2809" s="15">
        <v>-0.12958800000000001</v>
      </c>
      <c r="M2809" s="15">
        <v>0.52571500000000004</v>
      </c>
      <c r="N2809" s="15">
        <v>0.83046638532763539</v>
      </c>
    </row>
    <row r="2810" spans="1:14" x14ac:dyDescent="0.2">
      <c r="A2810" s="2" t="s">
        <v>10068</v>
      </c>
      <c r="B2810" s="15">
        <v>1534</v>
      </c>
      <c r="C2810" s="15">
        <v>10</v>
      </c>
      <c r="D2810" s="15">
        <v>51724040</v>
      </c>
      <c r="E2810" s="15">
        <v>53129609</v>
      </c>
      <c r="F2810" s="15">
        <v>2944</v>
      </c>
      <c r="G2810" s="8" t="s">
        <v>12324</v>
      </c>
      <c r="H2810" s="24" t="s">
        <v>1259</v>
      </c>
      <c r="I2810" s="25">
        <v>27096</v>
      </c>
      <c r="J2810" s="8" t="s">
        <v>1261</v>
      </c>
      <c r="K2810" s="8" t="s">
        <v>10040</v>
      </c>
      <c r="L2810" s="15">
        <v>0.26661699999999999</v>
      </c>
      <c r="M2810" s="15">
        <v>0.525806</v>
      </c>
      <c r="N2810" s="15">
        <v>0.83046638532763539</v>
      </c>
    </row>
    <row r="2811" spans="1:14" x14ac:dyDescent="0.2">
      <c r="A2811" s="2" t="s">
        <v>10068</v>
      </c>
      <c r="B2811" s="15">
        <v>1058</v>
      </c>
      <c r="C2811" s="15">
        <v>6</v>
      </c>
      <c r="D2811" s="15">
        <v>130550138</v>
      </c>
      <c r="E2811" s="15">
        <v>131457164</v>
      </c>
      <c r="F2811" s="15">
        <v>2886</v>
      </c>
      <c r="G2811" s="8" t="s">
        <v>12324</v>
      </c>
      <c r="H2811" s="24" t="s">
        <v>599</v>
      </c>
      <c r="I2811" s="25">
        <v>26562</v>
      </c>
      <c r="J2811" s="8" t="s">
        <v>601</v>
      </c>
      <c r="K2811" s="8" t="s">
        <v>10040</v>
      </c>
      <c r="L2811" s="15">
        <v>0.17658199999999999</v>
      </c>
      <c r="M2811" s="15">
        <v>0.52619400000000005</v>
      </c>
      <c r="N2811" s="15">
        <v>0.83048768327402145</v>
      </c>
    </row>
    <row r="2812" spans="1:14" x14ac:dyDescent="0.2">
      <c r="A2812" s="2" t="s">
        <v>10066</v>
      </c>
      <c r="B2812" s="15">
        <v>1753</v>
      </c>
      <c r="C2812" s="15">
        <v>12</v>
      </c>
      <c r="D2812" s="15">
        <v>12721875</v>
      </c>
      <c r="E2812" s="15">
        <v>13559527</v>
      </c>
      <c r="F2812" s="15">
        <v>2036</v>
      </c>
      <c r="G2812" s="8" t="s">
        <v>12324</v>
      </c>
      <c r="H2812" s="24" t="s">
        <v>3164</v>
      </c>
      <c r="I2812" s="25" t="s">
        <v>3165</v>
      </c>
      <c r="J2812" s="8" t="s">
        <v>3166</v>
      </c>
      <c r="K2812" s="8" t="s">
        <v>10042</v>
      </c>
      <c r="L2812" s="15">
        <v>9.7505300000000003E-2</v>
      </c>
      <c r="M2812" s="15">
        <v>0.52602599999999999</v>
      </c>
      <c r="N2812" s="15">
        <v>0.83048768327402145</v>
      </c>
    </row>
    <row r="2813" spans="1:14" x14ac:dyDescent="0.2">
      <c r="A2813" s="2" t="s">
        <v>10068</v>
      </c>
      <c r="B2813" s="15">
        <v>1889</v>
      </c>
      <c r="C2813" s="15">
        <v>13</v>
      </c>
      <c r="D2813" s="15">
        <v>46493237</v>
      </c>
      <c r="E2813" s="15">
        <v>47433528</v>
      </c>
      <c r="F2813" s="15">
        <v>2281</v>
      </c>
      <c r="G2813" s="8" t="s">
        <v>12324</v>
      </c>
      <c r="H2813" s="24" t="s">
        <v>599</v>
      </c>
      <c r="I2813" s="25">
        <v>26562</v>
      </c>
      <c r="J2813" s="8" t="s">
        <v>601</v>
      </c>
      <c r="K2813" s="8" t="s">
        <v>10040</v>
      </c>
      <c r="L2813" s="15">
        <v>8.3014199999999996E-2</v>
      </c>
      <c r="M2813" s="15">
        <v>0.52683199999999997</v>
      </c>
      <c r="N2813" s="15">
        <v>0.83060786349093485</v>
      </c>
    </row>
    <row r="2814" spans="1:14" x14ac:dyDescent="0.2">
      <c r="A2814" s="2" t="s">
        <v>10068</v>
      </c>
      <c r="B2814" s="15">
        <v>508</v>
      </c>
      <c r="C2814" s="15">
        <v>3</v>
      </c>
      <c r="D2814" s="15">
        <v>101906990</v>
      </c>
      <c r="E2814" s="15">
        <v>103450271</v>
      </c>
      <c r="F2814" s="15">
        <v>4094</v>
      </c>
      <c r="G2814" s="8" t="s">
        <v>12324</v>
      </c>
      <c r="H2814" s="24" t="s">
        <v>1259</v>
      </c>
      <c r="I2814" s="25">
        <v>27096</v>
      </c>
      <c r="J2814" s="8" t="s">
        <v>1261</v>
      </c>
      <c r="K2814" s="8" t="s">
        <v>10040</v>
      </c>
      <c r="L2814" s="15">
        <v>0.176928</v>
      </c>
      <c r="M2814" s="15">
        <v>0.52674299999999996</v>
      </c>
      <c r="N2814" s="15">
        <v>0.83060786349093485</v>
      </c>
    </row>
    <row r="2815" spans="1:14" x14ac:dyDescent="0.2">
      <c r="A2815" s="2" t="s">
        <v>10068</v>
      </c>
      <c r="B2815" s="15">
        <v>2103</v>
      </c>
      <c r="C2815" s="15">
        <v>16</v>
      </c>
      <c r="D2815" s="15">
        <v>1049080</v>
      </c>
      <c r="E2815" s="15">
        <v>1996492</v>
      </c>
      <c r="F2815" s="15">
        <v>3550</v>
      </c>
      <c r="G2815" s="8" t="s">
        <v>12324</v>
      </c>
      <c r="H2815" s="24" t="s">
        <v>6565</v>
      </c>
      <c r="I2815" s="25" t="s">
        <v>6475</v>
      </c>
      <c r="J2815" s="8" t="s">
        <v>6566</v>
      </c>
      <c r="K2815" s="8" t="s">
        <v>10054</v>
      </c>
      <c r="L2815" s="15">
        <v>0.18675600000000001</v>
      </c>
      <c r="M2815" s="15">
        <v>0.52674299999999996</v>
      </c>
      <c r="N2815" s="15">
        <v>0.83060786349093485</v>
      </c>
    </row>
    <row r="2816" spans="1:14" x14ac:dyDescent="0.2">
      <c r="A2816" s="2" t="s">
        <v>10066</v>
      </c>
      <c r="B2816" s="15">
        <v>1592</v>
      </c>
      <c r="C2816" s="15">
        <v>10</v>
      </c>
      <c r="D2816" s="15">
        <v>118416050</v>
      </c>
      <c r="E2816" s="15">
        <v>119528730</v>
      </c>
      <c r="F2816" s="15">
        <v>2459</v>
      </c>
      <c r="G2816" s="8" t="s">
        <v>12324</v>
      </c>
      <c r="H2816" s="24" t="s">
        <v>3164</v>
      </c>
      <c r="I2816" s="25" t="s">
        <v>3165</v>
      </c>
      <c r="J2816" s="8" t="s">
        <v>3166</v>
      </c>
      <c r="K2816" s="8" t="s">
        <v>10042</v>
      </c>
      <c r="L2816" s="15">
        <v>-9.7106399999999995E-2</v>
      </c>
      <c r="M2816" s="15">
        <v>0.52709899999999998</v>
      </c>
      <c r="N2816" s="15">
        <v>0.83073349857853584</v>
      </c>
    </row>
    <row r="2817" spans="1:14" x14ac:dyDescent="0.2">
      <c r="A2817" s="2" t="s">
        <v>10068</v>
      </c>
      <c r="B2817" s="15">
        <v>1586</v>
      </c>
      <c r="C2817" s="15">
        <v>10</v>
      </c>
      <c r="D2817" s="15">
        <v>110358383</v>
      </c>
      <c r="E2817" s="15">
        <v>112164981</v>
      </c>
      <c r="F2817" s="15">
        <v>4179</v>
      </c>
      <c r="G2817" s="8" t="s">
        <v>12324</v>
      </c>
      <c r="H2817" s="24" t="s">
        <v>1259</v>
      </c>
      <c r="I2817" s="25">
        <v>27096</v>
      </c>
      <c r="J2817" s="8" t="s">
        <v>1261</v>
      </c>
      <c r="K2817" s="8" t="s">
        <v>10040</v>
      </c>
      <c r="L2817" s="15">
        <v>0.20132700000000001</v>
      </c>
      <c r="M2817" s="15">
        <v>0.52755300000000005</v>
      </c>
      <c r="N2817" s="15">
        <v>0.83115366074600361</v>
      </c>
    </row>
    <row r="2818" spans="1:14" x14ac:dyDescent="0.2">
      <c r="A2818" s="2" t="s">
        <v>10068</v>
      </c>
      <c r="B2818" s="15">
        <v>30</v>
      </c>
      <c r="C2818" s="15">
        <v>1</v>
      </c>
      <c r="D2818" s="15">
        <v>30405183</v>
      </c>
      <c r="E2818" s="15">
        <v>31639217</v>
      </c>
      <c r="F2818" s="15">
        <v>3669</v>
      </c>
      <c r="G2818" s="8" t="s">
        <v>12324</v>
      </c>
      <c r="H2818" s="24" t="s">
        <v>494</v>
      </c>
      <c r="I2818" s="25">
        <v>25920</v>
      </c>
      <c r="J2818" s="8" t="s">
        <v>496</v>
      </c>
      <c r="K2818" s="8" t="s">
        <v>10040</v>
      </c>
      <c r="L2818" s="15">
        <v>-0.13628499999999999</v>
      </c>
      <c r="M2818" s="15">
        <v>0.52946800000000005</v>
      </c>
      <c r="N2818" s="15">
        <v>0.83161578268551239</v>
      </c>
    </row>
    <row r="2819" spans="1:14" x14ac:dyDescent="0.2">
      <c r="A2819" s="2" t="s">
        <v>10068</v>
      </c>
      <c r="B2819" s="15">
        <v>1461</v>
      </c>
      <c r="C2819" s="15">
        <v>9</v>
      </c>
      <c r="D2819" s="15">
        <v>116159541</v>
      </c>
      <c r="E2819" s="15">
        <v>117054909</v>
      </c>
      <c r="F2819" s="15">
        <v>2409</v>
      </c>
      <c r="G2819" s="8" t="s">
        <v>12324</v>
      </c>
      <c r="H2819" s="24" t="s">
        <v>494</v>
      </c>
      <c r="I2819" s="25">
        <v>25920</v>
      </c>
      <c r="J2819" s="8" t="s">
        <v>496</v>
      </c>
      <c r="K2819" s="8" t="s">
        <v>10040</v>
      </c>
      <c r="L2819" s="15">
        <v>-0.14498800000000001</v>
      </c>
      <c r="M2819" s="15">
        <v>0.53054400000000002</v>
      </c>
      <c r="N2819" s="15">
        <v>0.83161578268551239</v>
      </c>
    </row>
    <row r="2820" spans="1:14" x14ac:dyDescent="0.2">
      <c r="A2820" s="2" t="s">
        <v>10068</v>
      </c>
      <c r="B2820" s="15">
        <v>2018</v>
      </c>
      <c r="C2820" s="15">
        <v>14</v>
      </c>
      <c r="D2820" s="15">
        <v>90662837</v>
      </c>
      <c r="E2820" s="15">
        <v>92101228</v>
      </c>
      <c r="F2820" s="15">
        <v>3695</v>
      </c>
      <c r="G2820" s="8" t="s">
        <v>12324</v>
      </c>
      <c r="H2820" s="24" t="s">
        <v>599</v>
      </c>
      <c r="I2820" s="25">
        <v>26562</v>
      </c>
      <c r="J2820" s="8" t="s">
        <v>601</v>
      </c>
      <c r="K2820" s="8" t="s">
        <v>10040</v>
      </c>
      <c r="L2820" s="15">
        <v>0.221668</v>
      </c>
      <c r="M2820" s="15">
        <v>0.52939400000000003</v>
      </c>
      <c r="N2820" s="15">
        <v>0.83161578268551239</v>
      </c>
    </row>
    <row r="2821" spans="1:14" x14ac:dyDescent="0.2">
      <c r="A2821" s="2" t="s">
        <v>10068</v>
      </c>
      <c r="B2821" s="15">
        <v>970</v>
      </c>
      <c r="C2821" s="15">
        <v>6</v>
      </c>
      <c r="D2821" s="15">
        <v>33864263</v>
      </c>
      <c r="E2821" s="15">
        <v>34979270</v>
      </c>
      <c r="F2821" s="15">
        <v>2945</v>
      </c>
      <c r="G2821" s="8" t="s">
        <v>12324</v>
      </c>
      <c r="H2821" s="24" t="s">
        <v>599</v>
      </c>
      <c r="I2821" s="25">
        <v>26562</v>
      </c>
      <c r="J2821" s="8" t="s">
        <v>601</v>
      </c>
      <c r="K2821" s="8" t="s">
        <v>10040</v>
      </c>
      <c r="L2821" s="15">
        <v>0.20732</v>
      </c>
      <c r="M2821" s="15">
        <v>0.53015500000000004</v>
      </c>
      <c r="N2821" s="15">
        <v>0.83161578268551239</v>
      </c>
    </row>
    <row r="2822" spans="1:14" x14ac:dyDescent="0.2">
      <c r="A2822" s="2" t="s">
        <v>10068</v>
      </c>
      <c r="B2822" s="15">
        <v>436</v>
      </c>
      <c r="C2822" s="15">
        <v>3</v>
      </c>
      <c r="D2822" s="15">
        <v>14312008</v>
      </c>
      <c r="E2822" s="15">
        <v>15150876</v>
      </c>
      <c r="F2822" s="15">
        <v>2353</v>
      </c>
      <c r="G2822" s="8" t="s">
        <v>12324</v>
      </c>
      <c r="H2822" s="24" t="s">
        <v>599</v>
      </c>
      <c r="I2822" s="25">
        <v>26562</v>
      </c>
      <c r="J2822" s="8" t="s">
        <v>601</v>
      </c>
      <c r="K2822" s="8" t="s">
        <v>10040</v>
      </c>
      <c r="L2822" s="15">
        <v>0.143736</v>
      </c>
      <c r="M2822" s="15">
        <v>0.53054100000000004</v>
      </c>
      <c r="N2822" s="15">
        <v>0.83161578268551239</v>
      </c>
    </row>
    <row r="2823" spans="1:14" x14ac:dyDescent="0.2">
      <c r="A2823" s="2" t="s">
        <v>10069</v>
      </c>
      <c r="B2823" s="15">
        <v>554</v>
      </c>
      <c r="C2823" s="15">
        <v>3</v>
      </c>
      <c r="D2823" s="15">
        <v>151904022</v>
      </c>
      <c r="E2823" s="15">
        <v>153406718</v>
      </c>
      <c r="F2823" s="15">
        <v>2451</v>
      </c>
      <c r="G2823" s="8" t="s">
        <v>12324</v>
      </c>
      <c r="H2823" s="24" t="s">
        <v>662</v>
      </c>
      <c r="I2823" s="25" t="s">
        <v>663</v>
      </c>
      <c r="J2823" s="8" t="s">
        <v>664</v>
      </c>
      <c r="K2823" s="8" t="s">
        <v>10040</v>
      </c>
      <c r="L2823" s="15">
        <v>0.173702</v>
      </c>
      <c r="M2823" s="15">
        <v>0.52921399999999996</v>
      </c>
      <c r="N2823" s="15">
        <v>0.83161578268551239</v>
      </c>
    </row>
    <row r="2824" spans="1:14" x14ac:dyDescent="0.2">
      <c r="A2824" s="2" t="s">
        <v>10069</v>
      </c>
      <c r="B2824" s="15">
        <v>1010</v>
      </c>
      <c r="C2824" s="15">
        <v>6</v>
      </c>
      <c r="D2824" s="15">
        <v>78168732</v>
      </c>
      <c r="E2824" s="15">
        <v>78959762</v>
      </c>
      <c r="F2824" s="15">
        <v>1635</v>
      </c>
      <c r="G2824" s="8" t="s">
        <v>12324</v>
      </c>
      <c r="H2824" s="24" t="s">
        <v>662</v>
      </c>
      <c r="I2824" s="25" t="s">
        <v>663</v>
      </c>
      <c r="J2824" s="8" t="s">
        <v>664</v>
      </c>
      <c r="K2824" s="8" t="s">
        <v>10040</v>
      </c>
      <c r="L2824" s="15">
        <v>-0.29552099999999998</v>
      </c>
      <c r="M2824" s="15">
        <v>0.52928500000000001</v>
      </c>
      <c r="N2824" s="15">
        <v>0.83161578268551239</v>
      </c>
    </row>
    <row r="2825" spans="1:14" x14ac:dyDescent="0.2">
      <c r="A2825" s="2" t="s">
        <v>10068</v>
      </c>
      <c r="B2825" s="15">
        <v>1215</v>
      </c>
      <c r="C2825" s="15">
        <v>7</v>
      </c>
      <c r="D2825" s="15">
        <v>138755108</v>
      </c>
      <c r="E2825" s="15">
        <v>140217630</v>
      </c>
      <c r="F2825" s="15">
        <v>3477</v>
      </c>
      <c r="G2825" s="8" t="s">
        <v>12324</v>
      </c>
      <c r="H2825" s="24" t="s">
        <v>1259</v>
      </c>
      <c r="I2825" s="25">
        <v>27096</v>
      </c>
      <c r="J2825" s="8" t="s">
        <v>1261</v>
      </c>
      <c r="K2825" s="8" t="s">
        <v>10040</v>
      </c>
      <c r="L2825" s="15">
        <v>0.115213</v>
      </c>
      <c r="M2825" s="15">
        <v>0.52892700000000004</v>
      </c>
      <c r="N2825" s="15">
        <v>0.83161578268551239</v>
      </c>
    </row>
    <row r="2826" spans="1:14" x14ac:dyDescent="0.2">
      <c r="A2826" s="2" t="s">
        <v>10068</v>
      </c>
      <c r="B2826" s="15">
        <v>3</v>
      </c>
      <c r="C2826" s="15">
        <v>1</v>
      </c>
      <c r="D2826" s="15">
        <v>2215496</v>
      </c>
      <c r="E2826" s="15">
        <v>2983519</v>
      </c>
      <c r="F2826" s="15">
        <v>2239</v>
      </c>
      <c r="G2826" s="8" t="s">
        <v>12324</v>
      </c>
      <c r="H2826" s="24" t="s">
        <v>1259</v>
      </c>
      <c r="I2826" s="25">
        <v>27096</v>
      </c>
      <c r="J2826" s="8" t="s">
        <v>1261</v>
      </c>
      <c r="K2826" s="8" t="s">
        <v>10040</v>
      </c>
      <c r="L2826" s="15">
        <v>-0.178007</v>
      </c>
      <c r="M2826" s="15">
        <v>0.53035699999999997</v>
      </c>
      <c r="N2826" s="15">
        <v>0.83161578268551239</v>
      </c>
    </row>
    <row r="2827" spans="1:14" x14ac:dyDescent="0.2">
      <c r="A2827" s="2" t="s">
        <v>10066</v>
      </c>
      <c r="B2827" s="15">
        <v>1376</v>
      </c>
      <c r="C2827" s="15">
        <v>9</v>
      </c>
      <c r="D2827" s="15">
        <v>4025356</v>
      </c>
      <c r="E2827" s="15">
        <v>4596614</v>
      </c>
      <c r="F2827" s="15">
        <v>2104</v>
      </c>
      <c r="G2827" s="8" t="s">
        <v>12324</v>
      </c>
      <c r="H2827" s="24" t="s">
        <v>6008</v>
      </c>
      <c r="I2827" s="25" t="s">
        <v>6009</v>
      </c>
      <c r="J2827" s="8" t="s">
        <v>6010</v>
      </c>
      <c r="K2827" s="8" t="s">
        <v>10051</v>
      </c>
      <c r="L2827" s="15">
        <v>-0.19594</v>
      </c>
      <c r="M2827" s="15">
        <v>0.52939499999999995</v>
      </c>
      <c r="N2827" s="15">
        <v>0.83161578268551239</v>
      </c>
    </row>
    <row r="2828" spans="1:14" x14ac:dyDescent="0.2">
      <c r="A2828" s="2" t="s">
        <v>10066</v>
      </c>
      <c r="B2828" s="15">
        <v>1549</v>
      </c>
      <c r="C2828" s="15">
        <v>10</v>
      </c>
      <c r="D2828" s="15">
        <v>67769823</v>
      </c>
      <c r="E2828" s="15">
        <v>68623274</v>
      </c>
      <c r="F2828" s="15">
        <v>3581</v>
      </c>
      <c r="G2828" s="8" t="s">
        <v>12324</v>
      </c>
      <c r="H2828" s="24" t="s">
        <v>6008</v>
      </c>
      <c r="I2828" s="25" t="s">
        <v>6009</v>
      </c>
      <c r="J2828" s="8" t="s">
        <v>6010</v>
      </c>
      <c r="K2828" s="8" t="s">
        <v>10051</v>
      </c>
      <c r="L2828" s="15">
        <v>-0.20508199999999999</v>
      </c>
      <c r="M2828" s="15">
        <v>0.52971900000000005</v>
      </c>
      <c r="N2828" s="15">
        <v>0.83161578268551239</v>
      </c>
    </row>
    <row r="2829" spans="1:14" x14ac:dyDescent="0.2">
      <c r="A2829" s="2" t="s">
        <v>10066</v>
      </c>
      <c r="B2829" s="15">
        <v>211</v>
      </c>
      <c r="C2829" s="15">
        <v>2</v>
      </c>
      <c r="D2829" s="15">
        <v>7108209</v>
      </c>
      <c r="E2829" s="15">
        <v>7966709</v>
      </c>
      <c r="F2829" s="15">
        <v>2337</v>
      </c>
      <c r="G2829" s="8" t="s">
        <v>12324</v>
      </c>
      <c r="H2829" s="24" t="s">
        <v>6008</v>
      </c>
      <c r="I2829" s="25" t="s">
        <v>6009</v>
      </c>
      <c r="J2829" s="8" t="s">
        <v>6010</v>
      </c>
      <c r="K2829" s="8" t="s">
        <v>10051</v>
      </c>
      <c r="L2829" s="15">
        <v>7.6227699999999995E-2</v>
      </c>
      <c r="M2829" s="15">
        <v>0.53065899999999999</v>
      </c>
      <c r="N2829" s="15">
        <v>0.83161578268551239</v>
      </c>
    </row>
    <row r="2830" spans="1:14" x14ac:dyDescent="0.2">
      <c r="A2830" s="2" t="s">
        <v>10068</v>
      </c>
      <c r="B2830" s="15">
        <v>1391</v>
      </c>
      <c r="C2830" s="15">
        <v>9</v>
      </c>
      <c r="D2830" s="15">
        <v>15839404</v>
      </c>
      <c r="E2830" s="15">
        <v>16658377</v>
      </c>
      <c r="F2830" s="15">
        <v>2344</v>
      </c>
      <c r="G2830" s="8" t="s">
        <v>12324</v>
      </c>
      <c r="H2830" s="24" t="s">
        <v>6565</v>
      </c>
      <c r="I2830" s="25" t="s">
        <v>6475</v>
      </c>
      <c r="J2830" s="8" t="s">
        <v>6566</v>
      </c>
      <c r="K2830" s="8" t="s">
        <v>10054</v>
      </c>
      <c r="L2830" s="15">
        <v>-0.12010899999999999</v>
      </c>
      <c r="M2830" s="15">
        <v>0.52952500000000002</v>
      </c>
      <c r="N2830" s="15">
        <v>0.83161578268551239</v>
      </c>
    </row>
    <row r="2831" spans="1:14" x14ac:dyDescent="0.2">
      <c r="A2831" s="2" t="s">
        <v>10068</v>
      </c>
      <c r="B2831" s="15">
        <v>577</v>
      </c>
      <c r="C2831" s="15">
        <v>3</v>
      </c>
      <c r="D2831" s="15">
        <v>176931164</v>
      </c>
      <c r="E2831" s="15">
        <v>178110322</v>
      </c>
      <c r="F2831" s="15">
        <v>2812</v>
      </c>
      <c r="G2831" s="8" t="s">
        <v>12324</v>
      </c>
      <c r="H2831" s="24" t="s">
        <v>6565</v>
      </c>
      <c r="I2831" s="25" t="s">
        <v>6475</v>
      </c>
      <c r="J2831" s="8" t="s">
        <v>6566</v>
      </c>
      <c r="K2831" s="8" t="s">
        <v>10054</v>
      </c>
      <c r="L2831" s="15">
        <v>-0.20334099999999999</v>
      </c>
      <c r="M2831" s="15">
        <v>0.53026700000000004</v>
      </c>
      <c r="N2831" s="15">
        <v>0.83161578268551239</v>
      </c>
    </row>
    <row r="2832" spans="1:14" x14ac:dyDescent="0.2">
      <c r="A2832" s="2" t="s">
        <v>10068</v>
      </c>
      <c r="B2832" s="15">
        <v>2427</v>
      </c>
      <c r="C2832" s="15">
        <v>20</v>
      </c>
      <c r="D2832" s="15">
        <v>60766558</v>
      </c>
      <c r="E2832" s="15">
        <v>61470768</v>
      </c>
      <c r="F2832" s="15">
        <v>2310</v>
      </c>
      <c r="G2832" s="8" t="s">
        <v>12324</v>
      </c>
      <c r="H2832" s="24" t="s">
        <v>6565</v>
      </c>
      <c r="I2832" s="25" t="s">
        <v>6475</v>
      </c>
      <c r="J2832" s="8" t="s">
        <v>6566</v>
      </c>
      <c r="K2832" s="8" t="s">
        <v>10054</v>
      </c>
      <c r="L2832" s="15">
        <v>0.19933500000000001</v>
      </c>
      <c r="M2832" s="15">
        <v>0.53034800000000004</v>
      </c>
      <c r="N2832" s="15">
        <v>0.83161578268551239</v>
      </c>
    </row>
    <row r="2833" spans="1:14" x14ac:dyDescent="0.2">
      <c r="A2833" s="2" t="s">
        <v>10069</v>
      </c>
      <c r="B2833" s="15">
        <v>765</v>
      </c>
      <c r="C2833" s="15">
        <v>4</v>
      </c>
      <c r="D2833" s="15">
        <v>182065647</v>
      </c>
      <c r="E2833" s="15">
        <v>182946258</v>
      </c>
      <c r="F2833" s="15">
        <v>2320</v>
      </c>
      <c r="G2833" s="8" t="s">
        <v>12324</v>
      </c>
      <c r="H2833" s="24" t="s">
        <v>662</v>
      </c>
      <c r="I2833" s="25" t="s">
        <v>663</v>
      </c>
      <c r="J2833" s="8" t="s">
        <v>664</v>
      </c>
      <c r="K2833" s="8" t="s">
        <v>10040</v>
      </c>
      <c r="L2833" s="15">
        <v>0.23818</v>
      </c>
      <c r="M2833" s="15">
        <v>0.53125599999999995</v>
      </c>
      <c r="N2833" s="15">
        <v>0.83225728011303424</v>
      </c>
    </row>
    <row r="2834" spans="1:14" x14ac:dyDescent="0.2">
      <c r="A2834" s="2" t="s">
        <v>10068</v>
      </c>
      <c r="B2834" s="15">
        <v>1387</v>
      </c>
      <c r="C2834" s="15">
        <v>9</v>
      </c>
      <c r="D2834" s="15">
        <v>12664859</v>
      </c>
      <c r="E2834" s="15">
        <v>13512852</v>
      </c>
      <c r="F2834" s="15">
        <v>2060</v>
      </c>
      <c r="G2834" s="8" t="s">
        <v>12324</v>
      </c>
      <c r="H2834" s="24" t="s">
        <v>599</v>
      </c>
      <c r="I2834" s="25">
        <v>26562</v>
      </c>
      <c r="J2834" s="8" t="s">
        <v>601</v>
      </c>
      <c r="K2834" s="8" t="s">
        <v>10040</v>
      </c>
      <c r="L2834" s="15">
        <v>9.6975400000000003E-2</v>
      </c>
      <c r="M2834" s="15">
        <v>0.53221799999999997</v>
      </c>
      <c r="N2834" s="15">
        <v>0.8333952997179126</v>
      </c>
    </row>
    <row r="2835" spans="1:14" x14ac:dyDescent="0.2">
      <c r="A2835" s="2" t="s">
        <v>10068</v>
      </c>
      <c r="B2835" s="15">
        <v>528</v>
      </c>
      <c r="C2835" s="15">
        <v>3</v>
      </c>
      <c r="D2835" s="15">
        <v>122340833</v>
      </c>
      <c r="E2835" s="15">
        <v>123518507</v>
      </c>
      <c r="F2835" s="15">
        <v>2842</v>
      </c>
      <c r="G2835" s="8" t="s">
        <v>12324</v>
      </c>
      <c r="H2835" s="24" t="s">
        <v>599</v>
      </c>
      <c r="I2835" s="25">
        <v>26562</v>
      </c>
      <c r="J2835" s="8" t="s">
        <v>601</v>
      </c>
      <c r="K2835" s="8" t="s">
        <v>10040</v>
      </c>
      <c r="L2835" s="15">
        <v>-0.21556</v>
      </c>
      <c r="M2835" s="15">
        <v>0.53238300000000005</v>
      </c>
      <c r="N2835" s="15">
        <v>0.8333952997179126</v>
      </c>
    </row>
    <row r="2836" spans="1:14" x14ac:dyDescent="0.2">
      <c r="A2836" s="2" t="s">
        <v>10069</v>
      </c>
      <c r="B2836" s="15">
        <v>2456</v>
      </c>
      <c r="C2836" s="15">
        <v>21</v>
      </c>
      <c r="D2836" s="15">
        <v>42187153</v>
      </c>
      <c r="E2836" s="15">
        <v>43081434</v>
      </c>
      <c r="F2836" s="15">
        <v>1863</v>
      </c>
      <c r="G2836" s="8" t="s">
        <v>12324</v>
      </c>
      <c r="H2836" s="24" t="s">
        <v>662</v>
      </c>
      <c r="I2836" s="25" t="s">
        <v>663</v>
      </c>
      <c r="J2836" s="8" t="s">
        <v>664</v>
      </c>
      <c r="K2836" s="8" t="s">
        <v>10040</v>
      </c>
      <c r="L2836" s="15">
        <v>-0.211677</v>
      </c>
      <c r="M2836" s="15">
        <v>0.53292200000000001</v>
      </c>
      <c r="N2836" s="15">
        <v>0.8333952997179126</v>
      </c>
    </row>
    <row r="2837" spans="1:14" x14ac:dyDescent="0.2">
      <c r="A2837" s="2" t="s">
        <v>10068</v>
      </c>
      <c r="B2837" s="15">
        <v>926</v>
      </c>
      <c r="C2837" s="15">
        <v>6</v>
      </c>
      <c r="D2837" s="15">
        <v>63979</v>
      </c>
      <c r="E2837" s="15">
        <v>1380679</v>
      </c>
      <c r="F2837" s="15">
        <v>3933</v>
      </c>
      <c r="G2837" s="8" t="s">
        <v>12324</v>
      </c>
      <c r="H2837" s="24" t="s">
        <v>1259</v>
      </c>
      <c r="I2837" s="25">
        <v>27096</v>
      </c>
      <c r="J2837" s="8" t="s">
        <v>1261</v>
      </c>
      <c r="K2837" s="8" t="s">
        <v>10040</v>
      </c>
      <c r="L2837" s="15">
        <v>0.118523</v>
      </c>
      <c r="M2837" s="15">
        <v>0.53269599999999995</v>
      </c>
      <c r="N2837" s="15">
        <v>0.8333952997179126</v>
      </c>
    </row>
    <row r="2838" spans="1:14" x14ac:dyDescent="0.2">
      <c r="A2838" s="2" t="s">
        <v>10068</v>
      </c>
      <c r="B2838" s="15">
        <v>167</v>
      </c>
      <c r="C2838" s="15">
        <v>1</v>
      </c>
      <c r="D2838" s="15">
        <v>216658127</v>
      </c>
      <c r="E2838" s="15">
        <v>217352165</v>
      </c>
      <c r="F2838" s="15">
        <v>2071</v>
      </c>
      <c r="G2838" s="8" t="s">
        <v>12324</v>
      </c>
      <c r="H2838" s="24" t="s">
        <v>1259</v>
      </c>
      <c r="I2838" s="25">
        <v>27096</v>
      </c>
      <c r="J2838" s="8" t="s">
        <v>1261</v>
      </c>
      <c r="K2838" s="8" t="s">
        <v>10040</v>
      </c>
      <c r="L2838" s="15">
        <v>-0.11339</v>
      </c>
      <c r="M2838" s="15">
        <v>0.53290599999999999</v>
      </c>
      <c r="N2838" s="15">
        <v>0.8333952997179126</v>
      </c>
    </row>
    <row r="2839" spans="1:14" x14ac:dyDescent="0.2">
      <c r="A2839" s="2" t="s">
        <v>10068</v>
      </c>
      <c r="B2839" s="15">
        <v>206</v>
      </c>
      <c r="C2839" s="15">
        <v>2</v>
      </c>
      <c r="D2839" s="15">
        <v>3314203</v>
      </c>
      <c r="E2839" s="15">
        <v>4016104</v>
      </c>
      <c r="F2839" s="15">
        <v>2402</v>
      </c>
      <c r="G2839" s="8" t="s">
        <v>12324</v>
      </c>
      <c r="H2839" s="24" t="s">
        <v>1259</v>
      </c>
      <c r="I2839" s="25">
        <v>27096</v>
      </c>
      <c r="J2839" s="8" t="s">
        <v>1261</v>
      </c>
      <c r="K2839" s="8" t="s">
        <v>10040</v>
      </c>
      <c r="L2839" s="15">
        <v>-0.13488700000000001</v>
      </c>
      <c r="M2839" s="15">
        <v>0.53326399999999996</v>
      </c>
      <c r="N2839" s="15">
        <v>0.83363617906238974</v>
      </c>
    </row>
    <row r="2840" spans="1:14" x14ac:dyDescent="0.2">
      <c r="A2840" s="2" t="s">
        <v>10068</v>
      </c>
      <c r="B2840" s="15">
        <v>359</v>
      </c>
      <c r="C2840" s="15">
        <v>2</v>
      </c>
      <c r="D2840" s="15">
        <v>174118390</v>
      </c>
      <c r="E2840" s="15">
        <v>174927563</v>
      </c>
      <c r="F2840" s="15">
        <v>2121</v>
      </c>
      <c r="G2840" s="8" t="s">
        <v>12324</v>
      </c>
      <c r="H2840" s="24" t="s">
        <v>6565</v>
      </c>
      <c r="I2840" s="25" t="s">
        <v>6475</v>
      </c>
      <c r="J2840" s="8" t="s">
        <v>6566</v>
      </c>
      <c r="K2840" s="8" t="s">
        <v>10054</v>
      </c>
      <c r="L2840" s="15">
        <v>0.12517300000000001</v>
      </c>
      <c r="M2840" s="15">
        <v>0.53376699999999999</v>
      </c>
      <c r="N2840" s="15">
        <v>0.83412848661028893</v>
      </c>
    </row>
    <row r="2841" spans="1:14" x14ac:dyDescent="0.2">
      <c r="A2841" s="2" t="s">
        <v>10068</v>
      </c>
      <c r="B2841" s="15">
        <v>572</v>
      </c>
      <c r="C2841" s="15">
        <v>3</v>
      </c>
      <c r="D2841" s="15">
        <v>171134850</v>
      </c>
      <c r="E2841" s="15">
        <v>172004760</v>
      </c>
      <c r="F2841" s="15">
        <v>2318</v>
      </c>
      <c r="G2841" s="8" t="s">
        <v>12324</v>
      </c>
      <c r="H2841" s="24" t="s">
        <v>494</v>
      </c>
      <c r="I2841" s="25">
        <v>25920</v>
      </c>
      <c r="J2841" s="8" t="s">
        <v>496</v>
      </c>
      <c r="K2841" s="8" t="s">
        <v>10040</v>
      </c>
      <c r="L2841" s="15">
        <v>0.17294000000000001</v>
      </c>
      <c r="M2841" s="15">
        <v>0.53428900000000001</v>
      </c>
      <c r="N2841" s="15">
        <v>0.83434354628651886</v>
      </c>
    </row>
    <row r="2842" spans="1:14" x14ac:dyDescent="0.2">
      <c r="A2842" s="2" t="s">
        <v>10068</v>
      </c>
      <c r="B2842" s="15">
        <v>1337</v>
      </c>
      <c r="C2842" s="15">
        <v>8</v>
      </c>
      <c r="D2842" s="15">
        <v>108647464</v>
      </c>
      <c r="E2842" s="15">
        <v>109920827</v>
      </c>
      <c r="F2842" s="15">
        <v>3309</v>
      </c>
      <c r="G2842" s="8" t="s">
        <v>12324</v>
      </c>
      <c r="H2842" s="24" t="s">
        <v>599</v>
      </c>
      <c r="I2842" s="25">
        <v>26562</v>
      </c>
      <c r="J2842" s="8" t="s">
        <v>601</v>
      </c>
      <c r="K2842" s="8" t="s">
        <v>10040</v>
      </c>
      <c r="L2842" s="15">
        <v>-0.16424</v>
      </c>
      <c r="M2842" s="15">
        <v>0.53446899999999997</v>
      </c>
      <c r="N2842" s="15">
        <v>0.83434354628651886</v>
      </c>
    </row>
    <row r="2843" spans="1:14" x14ac:dyDescent="0.2">
      <c r="A2843" s="2" t="s">
        <v>10068</v>
      </c>
      <c r="B2843" s="15">
        <v>335</v>
      </c>
      <c r="C2843" s="15">
        <v>2</v>
      </c>
      <c r="D2843" s="15">
        <v>144503689</v>
      </c>
      <c r="E2843" s="15">
        <v>145977920</v>
      </c>
      <c r="F2843" s="15">
        <v>2176</v>
      </c>
      <c r="G2843" s="8" t="s">
        <v>12324</v>
      </c>
      <c r="H2843" s="24" t="s">
        <v>1259</v>
      </c>
      <c r="I2843" s="25">
        <v>27096</v>
      </c>
      <c r="J2843" s="8" t="s">
        <v>1261</v>
      </c>
      <c r="K2843" s="8" t="s">
        <v>10040</v>
      </c>
      <c r="L2843" s="15">
        <v>-0.19054299999999999</v>
      </c>
      <c r="M2843" s="15">
        <v>0.53409700000000004</v>
      </c>
      <c r="N2843" s="15">
        <v>0.83434354628651886</v>
      </c>
    </row>
    <row r="2844" spans="1:14" x14ac:dyDescent="0.2">
      <c r="A2844" s="2" t="s">
        <v>10069</v>
      </c>
      <c r="B2844" s="15">
        <v>888</v>
      </c>
      <c r="C2844" s="15">
        <v>5</v>
      </c>
      <c r="D2844" s="15">
        <v>132554691</v>
      </c>
      <c r="E2844" s="15">
        <v>134556570</v>
      </c>
      <c r="F2844" s="15">
        <v>2828</v>
      </c>
      <c r="G2844" s="8" t="s">
        <v>12324</v>
      </c>
      <c r="H2844" s="24" t="s">
        <v>662</v>
      </c>
      <c r="I2844" s="25" t="s">
        <v>663</v>
      </c>
      <c r="J2844" s="8" t="s">
        <v>664</v>
      </c>
      <c r="K2844" s="8" t="s">
        <v>10040</v>
      </c>
      <c r="L2844" s="15">
        <v>-0.162083</v>
      </c>
      <c r="M2844" s="15">
        <v>0.53530599999999995</v>
      </c>
      <c r="N2844" s="15">
        <v>0.83535612596762832</v>
      </c>
    </row>
    <row r="2845" spans="1:14" x14ac:dyDescent="0.2">
      <c r="A2845" s="2" t="s">
        <v>10068</v>
      </c>
      <c r="B2845" s="15">
        <v>1237</v>
      </c>
      <c r="C2845" s="15">
        <v>8</v>
      </c>
      <c r="D2845" s="15">
        <v>2396123</v>
      </c>
      <c r="E2845" s="15">
        <v>2970491</v>
      </c>
      <c r="F2845" s="15">
        <v>2595</v>
      </c>
      <c r="G2845" s="8" t="s">
        <v>12324</v>
      </c>
      <c r="H2845" s="24" t="s">
        <v>494</v>
      </c>
      <c r="I2845" s="25">
        <v>25920</v>
      </c>
      <c r="J2845" s="8" t="s">
        <v>496</v>
      </c>
      <c r="K2845" s="8" t="s">
        <v>10040</v>
      </c>
      <c r="L2845" s="15">
        <v>0.170407</v>
      </c>
      <c r="M2845" s="15">
        <v>0.53575300000000003</v>
      </c>
      <c r="N2845" s="15">
        <v>0.83575960429124174</v>
      </c>
    </row>
    <row r="2846" spans="1:14" x14ac:dyDescent="0.2">
      <c r="A2846" s="2" t="s">
        <v>10068</v>
      </c>
      <c r="B2846" s="15">
        <v>101</v>
      </c>
      <c r="C2846" s="15">
        <v>1</v>
      </c>
      <c r="D2846" s="15">
        <v>114664388</v>
      </c>
      <c r="E2846" s="15">
        <v>116207297</v>
      </c>
      <c r="F2846" s="15">
        <v>4070</v>
      </c>
      <c r="G2846" s="8" t="s">
        <v>12324</v>
      </c>
      <c r="H2846" s="24" t="s">
        <v>494</v>
      </c>
      <c r="I2846" s="25">
        <v>25920</v>
      </c>
      <c r="J2846" s="8" t="s">
        <v>496</v>
      </c>
      <c r="K2846" s="8" t="s">
        <v>10040</v>
      </c>
      <c r="L2846" s="15">
        <v>0.11727799999999999</v>
      </c>
      <c r="M2846" s="15">
        <v>0.5363</v>
      </c>
      <c r="N2846" s="15">
        <v>0.83631874120956406</v>
      </c>
    </row>
    <row r="2847" spans="1:14" x14ac:dyDescent="0.2">
      <c r="A2847" s="2" t="s">
        <v>10068</v>
      </c>
      <c r="B2847" s="15">
        <v>1875</v>
      </c>
      <c r="C2847" s="15">
        <v>13</v>
      </c>
      <c r="D2847" s="15">
        <v>31433219</v>
      </c>
      <c r="E2847" s="15">
        <v>32986686</v>
      </c>
      <c r="F2847" s="15">
        <v>4078</v>
      </c>
      <c r="G2847" s="8" t="s">
        <v>12324</v>
      </c>
      <c r="H2847" s="24" t="s">
        <v>494</v>
      </c>
      <c r="I2847" s="25">
        <v>25920</v>
      </c>
      <c r="J2847" s="8" t="s">
        <v>496</v>
      </c>
      <c r="K2847" s="8" t="s">
        <v>10040</v>
      </c>
      <c r="L2847" s="15">
        <v>0.21117900000000001</v>
      </c>
      <c r="M2847" s="15">
        <v>0.53658899999999998</v>
      </c>
      <c r="N2847" s="15">
        <v>0.836475295254833</v>
      </c>
    </row>
    <row r="2848" spans="1:14" x14ac:dyDescent="0.2">
      <c r="A2848" s="2" t="s">
        <v>10068</v>
      </c>
      <c r="B2848" s="15">
        <v>292</v>
      </c>
      <c r="C2848" s="15">
        <v>2</v>
      </c>
      <c r="D2848" s="15">
        <v>86867033</v>
      </c>
      <c r="E2848" s="15">
        <v>88547312</v>
      </c>
      <c r="F2848" s="15">
        <v>1773</v>
      </c>
      <c r="G2848" s="8" t="s">
        <v>12324</v>
      </c>
      <c r="H2848" s="24" t="s">
        <v>494</v>
      </c>
      <c r="I2848" s="25">
        <v>25920</v>
      </c>
      <c r="J2848" s="8" t="s">
        <v>496</v>
      </c>
      <c r="K2848" s="8" t="s">
        <v>10040</v>
      </c>
      <c r="L2848" s="15">
        <v>-8.3410600000000001E-2</v>
      </c>
      <c r="M2848" s="15">
        <v>0.536879</v>
      </c>
      <c r="N2848" s="15">
        <v>0.83663329761068173</v>
      </c>
    </row>
    <row r="2849" spans="1:14" x14ac:dyDescent="0.2">
      <c r="A2849" s="2" t="s">
        <v>10068</v>
      </c>
      <c r="B2849" s="15">
        <v>1605</v>
      </c>
      <c r="C2849" s="15">
        <v>10</v>
      </c>
      <c r="D2849" s="15">
        <v>131694739</v>
      </c>
      <c r="E2849" s="15">
        <v>132576793</v>
      </c>
      <c r="F2849" s="15">
        <v>3206</v>
      </c>
      <c r="G2849" s="8" t="s">
        <v>12324</v>
      </c>
      <c r="H2849" s="24" t="s">
        <v>599</v>
      </c>
      <c r="I2849" s="25">
        <v>26562</v>
      </c>
      <c r="J2849" s="8" t="s">
        <v>601</v>
      </c>
      <c r="K2849" s="8" t="s">
        <v>10040</v>
      </c>
      <c r="L2849" s="15">
        <v>-0.123351</v>
      </c>
      <c r="M2849" s="15">
        <v>0.53790099999999996</v>
      </c>
      <c r="N2849" s="15">
        <v>0.83727853209400216</v>
      </c>
    </row>
    <row r="2850" spans="1:14" x14ac:dyDescent="0.2">
      <c r="A2850" s="2" t="s">
        <v>10068</v>
      </c>
      <c r="B2850" s="15">
        <v>1166</v>
      </c>
      <c r="C2850" s="15">
        <v>7</v>
      </c>
      <c r="D2850" s="15">
        <v>73128831</v>
      </c>
      <c r="E2850" s="15">
        <v>75243899</v>
      </c>
      <c r="F2850" s="15">
        <v>2520</v>
      </c>
      <c r="G2850" s="8" t="s">
        <v>12324</v>
      </c>
      <c r="H2850" s="24" t="s">
        <v>599</v>
      </c>
      <c r="I2850" s="25">
        <v>26562</v>
      </c>
      <c r="J2850" s="8" t="s">
        <v>601</v>
      </c>
      <c r="K2850" s="8" t="s">
        <v>10040</v>
      </c>
      <c r="L2850" s="15">
        <v>0.121114</v>
      </c>
      <c r="M2850" s="15">
        <v>0.53822199999999998</v>
      </c>
      <c r="N2850" s="15">
        <v>0.83727853209400216</v>
      </c>
    </row>
    <row r="2851" spans="1:14" x14ac:dyDescent="0.2">
      <c r="A2851" s="2" t="s">
        <v>10068</v>
      </c>
      <c r="B2851" s="15">
        <v>594</v>
      </c>
      <c r="C2851" s="15">
        <v>3</v>
      </c>
      <c r="D2851" s="15">
        <v>196383153</v>
      </c>
      <c r="E2851" s="15">
        <v>197147990</v>
      </c>
      <c r="F2851" s="15">
        <v>2173</v>
      </c>
      <c r="G2851" s="8" t="s">
        <v>12324</v>
      </c>
      <c r="H2851" s="24" t="s">
        <v>1259</v>
      </c>
      <c r="I2851" s="25">
        <v>27096</v>
      </c>
      <c r="J2851" s="8" t="s">
        <v>1261</v>
      </c>
      <c r="K2851" s="8" t="s">
        <v>10040</v>
      </c>
      <c r="L2851" s="15">
        <v>-0.213309</v>
      </c>
      <c r="M2851" s="15">
        <v>0.53796200000000005</v>
      </c>
      <c r="N2851" s="15">
        <v>0.83727853209400216</v>
      </c>
    </row>
    <row r="2852" spans="1:14" x14ac:dyDescent="0.2">
      <c r="A2852" s="2" t="s">
        <v>10066</v>
      </c>
      <c r="B2852" s="15">
        <v>24</v>
      </c>
      <c r="C2852" s="15">
        <v>1</v>
      </c>
      <c r="D2852" s="15">
        <v>22145630</v>
      </c>
      <c r="E2852" s="15">
        <v>22740287</v>
      </c>
      <c r="F2852" s="15">
        <v>2185</v>
      </c>
      <c r="G2852" s="8" t="s">
        <v>12324</v>
      </c>
      <c r="H2852" s="24" t="s">
        <v>3164</v>
      </c>
      <c r="I2852" s="25" t="s">
        <v>3165</v>
      </c>
      <c r="J2852" s="8" t="s">
        <v>3166</v>
      </c>
      <c r="K2852" s="8" t="s">
        <v>10042</v>
      </c>
      <c r="L2852" s="15">
        <v>-0.160049</v>
      </c>
      <c r="M2852" s="15">
        <v>0.53823699999999997</v>
      </c>
      <c r="N2852" s="15">
        <v>0.83727853209400216</v>
      </c>
    </row>
    <row r="2853" spans="1:14" x14ac:dyDescent="0.2">
      <c r="A2853" s="2" t="s">
        <v>10066</v>
      </c>
      <c r="B2853" s="15">
        <v>1134</v>
      </c>
      <c r="C2853" s="15">
        <v>7</v>
      </c>
      <c r="D2853" s="15">
        <v>36507691</v>
      </c>
      <c r="E2853" s="15">
        <v>37981936</v>
      </c>
      <c r="F2853" s="15">
        <v>4169</v>
      </c>
      <c r="G2853" s="8" t="s">
        <v>12324</v>
      </c>
      <c r="H2853" s="24" t="s">
        <v>6008</v>
      </c>
      <c r="I2853" s="25" t="s">
        <v>6009</v>
      </c>
      <c r="J2853" s="8" t="s">
        <v>6010</v>
      </c>
      <c r="K2853" s="8" t="s">
        <v>10051</v>
      </c>
      <c r="L2853" s="15">
        <v>0.130555</v>
      </c>
      <c r="M2853" s="15">
        <v>0.53806299999999996</v>
      </c>
      <c r="N2853" s="15">
        <v>0.83727853209400216</v>
      </c>
    </row>
    <row r="2854" spans="1:14" x14ac:dyDescent="0.2">
      <c r="A2854" s="2" t="s">
        <v>10068</v>
      </c>
      <c r="B2854" s="15">
        <v>1959</v>
      </c>
      <c r="C2854" s="15">
        <v>14</v>
      </c>
      <c r="D2854" s="15">
        <v>24906057</v>
      </c>
      <c r="E2854" s="15">
        <v>25585041</v>
      </c>
      <c r="F2854" s="15">
        <v>2120</v>
      </c>
      <c r="G2854" s="8" t="s">
        <v>12324</v>
      </c>
      <c r="H2854" s="24" t="s">
        <v>1259</v>
      </c>
      <c r="I2854" s="25">
        <v>27096</v>
      </c>
      <c r="J2854" s="8" t="s">
        <v>1261</v>
      </c>
      <c r="K2854" s="8" t="s">
        <v>10040</v>
      </c>
      <c r="L2854" s="15">
        <v>-0.266042</v>
      </c>
      <c r="M2854" s="15">
        <v>0.53912199999999999</v>
      </c>
      <c r="N2854" s="15">
        <v>0.8380673221170698</v>
      </c>
    </row>
    <row r="2855" spans="1:14" x14ac:dyDescent="0.2">
      <c r="A2855" s="2" t="s">
        <v>10068</v>
      </c>
      <c r="B2855" s="15">
        <v>921</v>
      </c>
      <c r="C2855" s="15">
        <v>5</v>
      </c>
      <c r="D2855" s="15">
        <v>174662886</v>
      </c>
      <c r="E2855" s="15">
        <v>176180301</v>
      </c>
      <c r="F2855" s="15">
        <v>3331</v>
      </c>
      <c r="G2855" s="8" t="s">
        <v>12324</v>
      </c>
      <c r="H2855" s="24" t="s">
        <v>6565</v>
      </c>
      <c r="I2855" s="25" t="s">
        <v>6475</v>
      </c>
      <c r="J2855" s="8" t="s">
        <v>6566</v>
      </c>
      <c r="K2855" s="8" t="s">
        <v>10054</v>
      </c>
      <c r="L2855" s="15">
        <v>-7.6630400000000001E-2</v>
      </c>
      <c r="M2855" s="15">
        <v>0.53912199999999999</v>
      </c>
      <c r="N2855" s="15">
        <v>0.8380673221170698</v>
      </c>
    </row>
    <row r="2856" spans="1:14" x14ac:dyDescent="0.2">
      <c r="A2856" s="2" t="s">
        <v>10066</v>
      </c>
      <c r="B2856" s="15">
        <v>438</v>
      </c>
      <c r="C2856" s="15">
        <v>3</v>
      </c>
      <c r="D2856" s="15">
        <v>16084006</v>
      </c>
      <c r="E2856" s="15">
        <v>17182494</v>
      </c>
      <c r="F2856" s="15">
        <v>3353</v>
      </c>
      <c r="G2856" s="8" t="s">
        <v>12324</v>
      </c>
      <c r="H2856" s="24" t="s">
        <v>6008</v>
      </c>
      <c r="I2856" s="25" t="s">
        <v>6009</v>
      </c>
      <c r="J2856" s="8" t="s">
        <v>6010</v>
      </c>
      <c r="K2856" s="8" t="s">
        <v>10051</v>
      </c>
      <c r="L2856" s="15">
        <v>0.15575800000000001</v>
      </c>
      <c r="M2856" s="15">
        <v>0.53973800000000005</v>
      </c>
      <c r="N2856" s="15">
        <v>0.83873091450595672</v>
      </c>
    </row>
    <row r="2857" spans="1:14" x14ac:dyDescent="0.2">
      <c r="A2857" s="2" t="s">
        <v>10069</v>
      </c>
      <c r="B2857" s="15">
        <v>418</v>
      </c>
      <c r="C2857" s="15">
        <v>2</v>
      </c>
      <c r="D2857" s="15">
        <v>240325601</v>
      </c>
      <c r="E2857" s="15">
        <v>241113279</v>
      </c>
      <c r="F2857" s="15">
        <v>1899</v>
      </c>
      <c r="G2857" s="8" t="s">
        <v>12324</v>
      </c>
      <c r="H2857" s="24" t="s">
        <v>662</v>
      </c>
      <c r="I2857" s="25" t="s">
        <v>663</v>
      </c>
      <c r="J2857" s="8" t="s">
        <v>664</v>
      </c>
      <c r="K2857" s="8" t="s">
        <v>10040</v>
      </c>
      <c r="L2857" s="15">
        <v>0.161581</v>
      </c>
      <c r="M2857" s="15">
        <v>0.54000300000000001</v>
      </c>
      <c r="N2857" s="15">
        <v>0.83884879334500884</v>
      </c>
    </row>
    <row r="2858" spans="1:14" x14ac:dyDescent="0.2">
      <c r="A2858" s="2" t="s">
        <v>10068</v>
      </c>
      <c r="B2858" s="15">
        <v>16</v>
      </c>
      <c r="C2858" s="15">
        <v>1</v>
      </c>
      <c r="D2858" s="15">
        <v>14720132</v>
      </c>
      <c r="E2858" s="15">
        <v>15755230</v>
      </c>
      <c r="F2858" s="15">
        <v>3458</v>
      </c>
      <c r="G2858" s="8" t="s">
        <v>12324</v>
      </c>
      <c r="H2858" s="24" t="s">
        <v>599</v>
      </c>
      <c r="I2858" s="25">
        <v>26562</v>
      </c>
      <c r="J2858" s="8" t="s">
        <v>601</v>
      </c>
      <c r="K2858" s="8" t="s">
        <v>10040</v>
      </c>
      <c r="L2858" s="15">
        <v>0.10108200000000001</v>
      </c>
      <c r="M2858" s="15">
        <v>0.54034700000000002</v>
      </c>
      <c r="N2858" s="15">
        <v>0.83908926645658266</v>
      </c>
    </row>
    <row r="2859" spans="1:14" x14ac:dyDescent="0.2">
      <c r="A2859" s="2" t="s">
        <v>10068</v>
      </c>
      <c r="B2859" s="15">
        <v>47</v>
      </c>
      <c r="C2859" s="15">
        <v>1</v>
      </c>
      <c r="D2859" s="15">
        <v>54771294</v>
      </c>
      <c r="E2859" s="15">
        <v>55727134</v>
      </c>
      <c r="F2859" s="15">
        <v>2916</v>
      </c>
      <c r="G2859" s="8" t="s">
        <v>12324</v>
      </c>
      <c r="H2859" s="24" t="s">
        <v>494</v>
      </c>
      <c r="I2859" s="25">
        <v>25920</v>
      </c>
      <c r="J2859" s="8" t="s">
        <v>496</v>
      </c>
      <c r="K2859" s="8" t="s">
        <v>10040</v>
      </c>
      <c r="L2859" s="15">
        <v>-0.22326699999999999</v>
      </c>
      <c r="M2859" s="15">
        <v>0.540659</v>
      </c>
      <c r="N2859" s="15">
        <v>0.83913643756558243</v>
      </c>
    </row>
    <row r="2860" spans="1:14" x14ac:dyDescent="0.2">
      <c r="A2860" s="2" t="s">
        <v>10069</v>
      </c>
      <c r="B2860" s="15">
        <v>1719</v>
      </c>
      <c r="C2860" s="15">
        <v>11</v>
      </c>
      <c r="D2860" s="15">
        <v>112755447</v>
      </c>
      <c r="E2860" s="15">
        <v>113889019</v>
      </c>
      <c r="F2860" s="15">
        <v>1905</v>
      </c>
      <c r="G2860" s="8" t="s">
        <v>12324</v>
      </c>
      <c r="H2860" s="24" t="s">
        <v>662</v>
      </c>
      <c r="I2860" s="25" t="s">
        <v>663</v>
      </c>
      <c r="J2860" s="8" t="s">
        <v>664</v>
      </c>
      <c r="K2860" s="8" t="s">
        <v>10040</v>
      </c>
      <c r="L2860" s="15">
        <v>0.19059599999999999</v>
      </c>
      <c r="M2860" s="15">
        <v>0.54094500000000001</v>
      </c>
      <c r="N2860" s="15">
        <v>0.83913643756558243</v>
      </c>
    </row>
    <row r="2861" spans="1:14" x14ac:dyDescent="0.2">
      <c r="A2861" s="2" t="s">
        <v>10066</v>
      </c>
      <c r="B2861" s="15">
        <v>361</v>
      </c>
      <c r="C2861" s="15">
        <v>2</v>
      </c>
      <c r="D2861" s="15">
        <v>176734751</v>
      </c>
      <c r="E2861" s="15">
        <v>178149981</v>
      </c>
      <c r="F2861" s="15">
        <v>3305</v>
      </c>
      <c r="G2861" s="8" t="s">
        <v>12324</v>
      </c>
      <c r="H2861" s="24" t="s">
        <v>3164</v>
      </c>
      <c r="I2861" s="25" t="s">
        <v>3165</v>
      </c>
      <c r="J2861" s="8" t="s">
        <v>3166</v>
      </c>
      <c r="K2861" s="8" t="s">
        <v>10042</v>
      </c>
      <c r="L2861" s="15">
        <v>-0.119324</v>
      </c>
      <c r="M2861" s="15">
        <v>0.540794</v>
      </c>
      <c r="N2861" s="15">
        <v>0.83913643756558243</v>
      </c>
    </row>
    <row r="2862" spans="1:14" x14ac:dyDescent="0.2">
      <c r="A2862" s="2" t="s">
        <v>10068</v>
      </c>
      <c r="B2862" s="15">
        <v>1577</v>
      </c>
      <c r="C2862" s="15">
        <v>10</v>
      </c>
      <c r="D2862" s="15">
        <v>99367801</v>
      </c>
      <c r="E2862" s="15">
        <v>100337830</v>
      </c>
      <c r="F2862" s="15">
        <v>2329</v>
      </c>
      <c r="G2862" s="8" t="s">
        <v>12324</v>
      </c>
      <c r="H2862" s="24" t="s">
        <v>6565</v>
      </c>
      <c r="I2862" s="25" t="s">
        <v>6475</v>
      </c>
      <c r="J2862" s="8" t="s">
        <v>6566</v>
      </c>
      <c r="K2862" s="8" t="s">
        <v>10054</v>
      </c>
      <c r="L2862" s="15">
        <v>-0.119301</v>
      </c>
      <c r="M2862" s="15">
        <v>0.541246</v>
      </c>
      <c r="N2862" s="15">
        <v>0.83930979370629366</v>
      </c>
    </row>
    <row r="2863" spans="1:14" x14ac:dyDescent="0.2">
      <c r="A2863" s="2" t="s">
        <v>10068</v>
      </c>
      <c r="B2863" s="15">
        <v>2401</v>
      </c>
      <c r="C2863" s="15">
        <v>20</v>
      </c>
      <c r="D2863" s="15">
        <v>35990262</v>
      </c>
      <c r="E2863" s="15">
        <v>37253657</v>
      </c>
      <c r="F2863" s="15">
        <v>2693</v>
      </c>
      <c r="G2863" s="8" t="s">
        <v>12324</v>
      </c>
      <c r="H2863" s="24" t="s">
        <v>1259</v>
      </c>
      <c r="I2863" s="25">
        <v>27096</v>
      </c>
      <c r="J2863" s="8" t="s">
        <v>1261</v>
      </c>
      <c r="K2863" s="8" t="s">
        <v>10040</v>
      </c>
      <c r="L2863" s="15">
        <v>0.122533</v>
      </c>
      <c r="M2863" s="15">
        <v>0.54170499999999999</v>
      </c>
      <c r="N2863" s="15">
        <v>0.83972795351275775</v>
      </c>
    </row>
    <row r="2864" spans="1:14" x14ac:dyDescent="0.2">
      <c r="A2864" s="2" t="s">
        <v>10066</v>
      </c>
      <c r="B2864" s="15">
        <v>591</v>
      </c>
      <c r="C2864" s="15">
        <v>3</v>
      </c>
      <c r="D2864" s="15">
        <v>194217141</v>
      </c>
      <c r="E2864" s="15">
        <v>195196789</v>
      </c>
      <c r="F2864" s="15">
        <v>3900</v>
      </c>
      <c r="G2864" s="8" t="s">
        <v>12324</v>
      </c>
      <c r="H2864" s="24" t="s">
        <v>6008</v>
      </c>
      <c r="I2864" s="25" t="s">
        <v>6009</v>
      </c>
      <c r="J2864" s="8" t="s">
        <v>6010</v>
      </c>
      <c r="K2864" s="8" t="s">
        <v>10051</v>
      </c>
      <c r="L2864" s="15">
        <v>-0.114398</v>
      </c>
      <c r="M2864" s="15">
        <v>0.542157</v>
      </c>
      <c r="N2864" s="15">
        <v>0.84013497379454927</v>
      </c>
    </row>
    <row r="2865" spans="1:14" x14ac:dyDescent="0.2">
      <c r="A2865" s="2" t="s">
        <v>10066</v>
      </c>
      <c r="B2865" s="15">
        <v>1605</v>
      </c>
      <c r="C2865" s="15">
        <v>10</v>
      </c>
      <c r="D2865" s="15">
        <v>131694739</v>
      </c>
      <c r="E2865" s="15">
        <v>132576793</v>
      </c>
      <c r="F2865" s="15">
        <v>3202</v>
      </c>
      <c r="G2865" s="8" t="s">
        <v>12324</v>
      </c>
      <c r="H2865" s="24" t="s">
        <v>3164</v>
      </c>
      <c r="I2865" s="25" t="s">
        <v>3165</v>
      </c>
      <c r="J2865" s="8" t="s">
        <v>3166</v>
      </c>
      <c r="K2865" s="8" t="s">
        <v>10042</v>
      </c>
      <c r="L2865" s="15">
        <v>-6.4125600000000005E-2</v>
      </c>
      <c r="M2865" s="15">
        <v>0.54243600000000003</v>
      </c>
      <c r="N2865" s="15">
        <v>0.84027371987425792</v>
      </c>
    </row>
    <row r="2866" spans="1:14" x14ac:dyDescent="0.2">
      <c r="A2866" s="2" t="s">
        <v>10068</v>
      </c>
      <c r="B2866" s="15">
        <v>1275</v>
      </c>
      <c r="C2866" s="15">
        <v>8</v>
      </c>
      <c r="D2866" s="15">
        <v>29744541</v>
      </c>
      <c r="E2866" s="15">
        <v>31134786</v>
      </c>
      <c r="F2866" s="15">
        <v>3041</v>
      </c>
      <c r="G2866" s="8" t="s">
        <v>12324</v>
      </c>
      <c r="H2866" s="24" t="s">
        <v>1259</v>
      </c>
      <c r="I2866" s="25">
        <v>27096</v>
      </c>
      <c r="J2866" s="8" t="s">
        <v>1261</v>
      </c>
      <c r="K2866" s="8" t="s">
        <v>10040</v>
      </c>
      <c r="L2866" s="15">
        <v>-9.2584200000000005E-2</v>
      </c>
      <c r="M2866" s="15">
        <v>0.54280799999999996</v>
      </c>
      <c r="N2866" s="15">
        <v>0.84043327399650969</v>
      </c>
    </row>
    <row r="2867" spans="1:14" x14ac:dyDescent="0.2">
      <c r="A2867" s="2" t="s">
        <v>10068</v>
      </c>
      <c r="B2867" s="15">
        <v>2240</v>
      </c>
      <c r="C2867" s="15">
        <v>18</v>
      </c>
      <c r="D2867" s="15">
        <v>1940212</v>
      </c>
      <c r="E2867" s="15">
        <v>2839842</v>
      </c>
      <c r="F2867" s="15">
        <v>3169</v>
      </c>
      <c r="G2867" s="8" t="s">
        <v>12324</v>
      </c>
      <c r="H2867" s="24" t="s">
        <v>6565</v>
      </c>
      <c r="I2867" s="25" t="s">
        <v>6475</v>
      </c>
      <c r="J2867" s="8" t="s">
        <v>6566</v>
      </c>
      <c r="K2867" s="8" t="s">
        <v>10054</v>
      </c>
      <c r="L2867" s="15">
        <v>0.237674</v>
      </c>
      <c r="M2867" s="15">
        <v>0.54291800000000001</v>
      </c>
      <c r="N2867" s="15">
        <v>0.84043327399650969</v>
      </c>
    </row>
    <row r="2868" spans="1:14" x14ac:dyDescent="0.2">
      <c r="A2868" s="2" t="s">
        <v>10068</v>
      </c>
      <c r="B2868" s="15">
        <v>452</v>
      </c>
      <c r="C2868" s="15">
        <v>3</v>
      </c>
      <c r="D2868" s="15">
        <v>32378806</v>
      </c>
      <c r="E2868" s="15">
        <v>33020868</v>
      </c>
      <c r="F2868" s="15">
        <v>2003</v>
      </c>
      <c r="G2868" s="8" t="s">
        <v>12324</v>
      </c>
      <c r="H2868" s="24" t="s">
        <v>599</v>
      </c>
      <c r="I2868" s="25">
        <v>26562</v>
      </c>
      <c r="J2868" s="8" t="s">
        <v>601</v>
      </c>
      <c r="K2868" s="8" t="s">
        <v>10040</v>
      </c>
      <c r="L2868" s="15">
        <v>0.19254099999999999</v>
      </c>
      <c r="M2868" s="15">
        <v>0.54411500000000002</v>
      </c>
      <c r="N2868" s="15">
        <v>0.8405259578544062</v>
      </c>
    </row>
    <row r="2869" spans="1:14" x14ac:dyDescent="0.2">
      <c r="A2869" s="2" t="s">
        <v>10069</v>
      </c>
      <c r="B2869" s="15">
        <v>2017</v>
      </c>
      <c r="C2869" s="15">
        <v>14</v>
      </c>
      <c r="D2869" s="15">
        <v>89482884</v>
      </c>
      <c r="E2869" s="15">
        <v>90662836</v>
      </c>
      <c r="F2869" s="15">
        <v>1942</v>
      </c>
      <c r="G2869" s="8" t="s">
        <v>12324</v>
      </c>
      <c r="H2869" s="24" t="s">
        <v>662</v>
      </c>
      <c r="I2869" s="25" t="s">
        <v>663</v>
      </c>
      <c r="J2869" s="8" t="s">
        <v>664</v>
      </c>
      <c r="K2869" s="8" t="s">
        <v>10040</v>
      </c>
      <c r="L2869" s="15">
        <v>0.17572299999999999</v>
      </c>
      <c r="M2869" s="15">
        <v>0.54392700000000005</v>
      </c>
      <c r="N2869" s="15">
        <v>0.8405259578544062</v>
      </c>
    </row>
    <row r="2870" spans="1:14" x14ac:dyDescent="0.2">
      <c r="A2870" s="2" t="s">
        <v>10068</v>
      </c>
      <c r="B2870" s="15">
        <v>2235</v>
      </c>
      <c r="C2870" s="15">
        <v>17</v>
      </c>
      <c r="D2870" s="15">
        <v>78438333</v>
      </c>
      <c r="E2870" s="15">
        <v>79333774</v>
      </c>
      <c r="F2870" s="15">
        <v>3281</v>
      </c>
      <c r="G2870" s="8" t="s">
        <v>12324</v>
      </c>
      <c r="H2870" s="24" t="s">
        <v>1259</v>
      </c>
      <c r="I2870" s="25">
        <v>27096</v>
      </c>
      <c r="J2870" s="8" t="s">
        <v>1261</v>
      </c>
      <c r="K2870" s="8" t="s">
        <v>10040</v>
      </c>
      <c r="L2870" s="15">
        <v>-0.13259799999999999</v>
      </c>
      <c r="M2870" s="15">
        <v>0.54325299999999999</v>
      </c>
      <c r="N2870" s="15">
        <v>0.8405259578544062</v>
      </c>
    </row>
    <row r="2871" spans="1:14" x14ac:dyDescent="0.2">
      <c r="A2871" s="2" t="s">
        <v>10068</v>
      </c>
      <c r="B2871" s="15">
        <v>1036</v>
      </c>
      <c r="C2871" s="15">
        <v>6</v>
      </c>
      <c r="D2871" s="15">
        <v>104951345</v>
      </c>
      <c r="E2871" s="15">
        <v>106053915</v>
      </c>
      <c r="F2871" s="15">
        <v>2271</v>
      </c>
      <c r="G2871" s="8" t="s">
        <v>12324</v>
      </c>
      <c r="H2871" s="24" t="s">
        <v>1259</v>
      </c>
      <c r="I2871" s="25">
        <v>27096</v>
      </c>
      <c r="J2871" s="8" t="s">
        <v>1261</v>
      </c>
      <c r="K2871" s="8" t="s">
        <v>10040</v>
      </c>
      <c r="L2871" s="15">
        <v>-0.20422999999999999</v>
      </c>
      <c r="M2871" s="15">
        <v>0.54385899999999998</v>
      </c>
      <c r="N2871" s="15">
        <v>0.8405259578544062</v>
      </c>
    </row>
    <row r="2872" spans="1:14" x14ac:dyDescent="0.2">
      <c r="A2872" s="2" t="s">
        <v>10066</v>
      </c>
      <c r="B2872" s="15">
        <v>579</v>
      </c>
      <c r="C2872" s="15">
        <v>3</v>
      </c>
      <c r="D2872" s="15">
        <v>179372166</v>
      </c>
      <c r="E2872" s="15">
        <v>181424323</v>
      </c>
      <c r="F2872" s="15">
        <v>3700</v>
      </c>
      <c r="G2872" s="8" t="s">
        <v>12324</v>
      </c>
      <c r="H2872" s="24" t="s">
        <v>3164</v>
      </c>
      <c r="I2872" s="25" t="s">
        <v>3165</v>
      </c>
      <c r="J2872" s="8" t="s">
        <v>3166</v>
      </c>
      <c r="K2872" s="8" t="s">
        <v>10042</v>
      </c>
      <c r="L2872" s="15">
        <v>0.19206699999999999</v>
      </c>
      <c r="M2872" s="15">
        <v>0.54408599999999996</v>
      </c>
      <c r="N2872" s="15">
        <v>0.8405259578544062</v>
      </c>
    </row>
    <row r="2873" spans="1:14" x14ac:dyDescent="0.2">
      <c r="A2873" s="2" t="s">
        <v>10066</v>
      </c>
      <c r="B2873" s="15">
        <v>1494</v>
      </c>
      <c r="C2873" s="15">
        <v>10</v>
      </c>
      <c r="D2873" s="15">
        <v>6897038</v>
      </c>
      <c r="E2873" s="15">
        <v>7659872</v>
      </c>
      <c r="F2873" s="15">
        <v>2745</v>
      </c>
      <c r="G2873" s="8" t="s">
        <v>12324</v>
      </c>
      <c r="H2873" s="24" t="s">
        <v>6008</v>
      </c>
      <c r="I2873" s="25" t="s">
        <v>6009</v>
      </c>
      <c r="J2873" s="8" t="s">
        <v>6010</v>
      </c>
      <c r="K2873" s="8" t="s">
        <v>10051</v>
      </c>
      <c r="L2873" s="15">
        <v>0.151065</v>
      </c>
      <c r="M2873" s="15">
        <v>0.54403400000000002</v>
      </c>
      <c r="N2873" s="15">
        <v>0.8405259578544062</v>
      </c>
    </row>
    <row r="2874" spans="1:14" x14ac:dyDescent="0.2">
      <c r="A2874" s="2" t="s">
        <v>10068</v>
      </c>
      <c r="B2874" s="15">
        <v>365</v>
      </c>
      <c r="C2874" s="15">
        <v>2</v>
      </c>
      <c r="D2874" s="15">
        <v>181309940</v>
      </c>
      <c r="E2874" s="15">
        <v>182307877</v>
      </c>
      <c r="F2874" s="15">
        <v>2538</v>
      </c>
      <c r="G2874" s="8" t="s">
        <v>12324</v>
      </c>
      <c r="H2874" s="24" t="s">
        <v>599</v>
      </c>
      <c r="I2874" s="25">
        <v>26562</v>
      </c>
      <c r="J2874" s="8" t="s">
        <v>601</v>
      </c>
      <c r="K2874" s="8" t="s">
        <v>10040</v>
      </c>
      <c r="L2874" s="15">
        <v>0.221162</v>
      </c>
      <c r="M2874" s="15">
        <v>0.54486400000000001</v>
      </c>
      <c r="N2874" s="15">
        <v>0.84130853985381127</v>
      </c>
    </row>
    <row r="2875" spans="1:14" x14ac:dyDescent="0.2">
      <c r="A2875" s="2" t="s">
        <v>10069</v>
      </c>
      <c r="B2875" s="15">
        <v>2326</v>
      </c>
      <c r="C2875" s="15">
        <v>19</v>
      </c>
      <c r="D2875" s="15">
        <v>17750519</v>
      </c>
      <c r="E2875" s="15">
        <v>18504867</v>
      </c>
      <c r="F2875" s="15">
        <v>1568</v>
      </c>
      <c r="G2875" s="8" t="s">
        <v>12324</v>
      </c>
      <c r="H2875" s="24" t="s">
        <v>662</v>
      </c>
      <c r="I2875" s="25" t="s">
        <v>663</v>
      </c>
      <c r="J2875" s="8" t="s">
        <v>664</v>
      </c>
      <c r="K2875" s="8" t="s">
        <v>10040</v>
      </c>
      <c r="L2875" s="15">
        <v>-0.17368500000000001</v>
      </c>
      <c r="M2875" s="15">
        <v>0.54500099999999996</v>
      </c>
      <c r="N2875" s="15">
        <v>0.84130853985381127</v>
      </c>
    </row>
    <row r="2876" spans="1:14" x14ac:dyDescent="0.2">
      <c r="A2876" s="2" t="s">
        <v>10068</v>
      </c>
      <c r="B2876" s="15">
        <v>2422</v>
      </c>
      <c r="C2876" s="15">
        <v>20</v>
      </c>
      <c r="D2876" s="15">
        <v>56951774</v>
      </c>
      <c r="E2876" s="15">
        <v>57924037</v>
      </c>
      <c r="F2876" s="15">
        <v>2293</v>
      </c>
      <c r="G2876" s="8" t="s">
        <v>12324</v>
      </c>
      <c r="H2876" s="24" t="s">
        <v>494</v>
      </c>
      <c r="I2876" s="25">
        <v>25920</v>
      </c>
      <c r="J2876" s="8" t="s">
        <v>496</v>
      </c>
      <c r="K2876" s="8" t="s">
        <v>10040</v>
      </c>
      <c r="L2876" s="15">
        <v>0.109074</v>
      </c>
      <c r="M2876" s="15">
        <v>0.54556700000000002</v>
      </c>
      <c r="N2876" s="15">
        <v>0.84159639826086952</v>
      </c>
    </row>
    <row r="2877" spans="1:14" x14ac:dyDescent="0.2">
      <c r="A2877" s="2" t="s">
        <v>10066</v>
      </c>
      <c r="B2877" s="15">
        <v>2426</v>
      </c>
      <c r="C2877" s="15">
        <v>20</v>
      </c>
      <c r="D2877" s="15">
        <v>60125334</v>
      </c>
      <c r="E2877" s="15">
        <v>60766557</v>
      </c>
      <c r="F2877" s="15">
        <v>2320</v>
      </c>
      <c r="G2877" s="8" t="s">
        <v>12324</v>
      </c>
      <c r="H2877" s="24" t="s">
        <v>3164</v>
      </c>
      <c r="I2877" s="25" t="s">
        <v>3165</v>
      </c>
      <c r="J2877" s="8" t="s">
        <v>3166</v>
      </c>
      <c r="K2877" s="8" t="s">
        <v>10042</v>
      </c>
      <c r="L2877" s="15">
        <v>8.2004099999999996E-2</v>
      </c>
      <c r="M2877" s="15">
        <v>0.54554100000000005</v>
      </c>
      <c r="N2877" s="15">
        <v>0.84159639826086952</v>
      </c>
    </row>
    <row r="2878" spans="1:14" x14ac:dyDescent="0.2">
      <c r="A2878" s="2" t="s">
        <v>10066</v>
      </c>
      <c r="B2878" s="15">
        <v>2433</v>
      </c>
      <c r="C2878" s="15">
        <v>21</v>
      </c>
      <c r="D2878" s="15">
        <v>16873444</v>
      </c>
      <c r="E2878" s="15">
        <v>18222037</v>
      </c>
      <c r="F2878" s="15">
        <v>2681</v>
      </c>
      <c r="G2878" s="8" t="s">
        <v>12324</v>
      </c>
      <c r="H2878" s="24" t="s">
        <v>6008</v>
      </c>
      <c r="I2878" s="25" t="s">
        <v>6009</v>
      </c>
      <c r="J2878" s="8" t="s">
        <v>6010</v>
      </c>
      <c r="K2878" s="8" t="s">
        <v>10051</v>
      </c>
      <c r="L2878" s="15">
        <v>-7.6263700000000004E-2</v>
      </c>
      <c r="M2878" s="15">
        <v>0.54588899999999996</v>
      </c>
      <c r="N2878" s="15">
        <v>0.8418003181502085</v>
      </c>
    </row>
    <row r="2879" spans="1:14" x14ac:dyDescent="0.2">
      <c r="A2879" s="2" t="s">
        <v>10068</v>
      </c>
      <c r="B2879" s="15">
        <v>652</v>
      </c>
      <c r="C2879" s="15">
        <v>4</v>
      </c>
      <c r="D2879" s="15">
        <v>55681702</v>
      </c>
      <c r="E2879" s="15">
        <v>57103100</v>
      </c>
      <c r="F2879" s="15">
        <v>4191</v>
      </c>
      <c r="G2879" s="8" t="s">
        <v>12324</v>
      </c>
      <c r="H2879" s="24" t="s">
        <v>494</v>
      </c>
      <c r="I2879" s="25">
        <v>25920</v>
      </c>
      <c r="J2879" s="8" t="s">
        <v>496</v>
      </c>
      <c r="K2879" s="8" t="s">
        <v>10040</v>
      </c>
      <c r="L2879" s="15">
        <v>-0.15194199999999999</v>
      </c>
      <c r="M2879" s="15">
        <v>0.54688199999999998</v>
      </c>
      <c r="N2879" s="15">
        <v>0.84221263840830463</v>
      </c>
    </row>
    <row r="2880" spans="1:14" x14ac:dyDescent="0.2">
      <c r="A2880" s="2" t="s">
        <v>10068</v>
      </c>
      <c r="B2880" s="15">
        <v>1720</v>
      </c>
      <c r="C2880" s="15">
        <v>11</v>
      </c>
      <c r="D2880" s="15">
        <v>113889020</v>
      </c>
      <c r="E2880" s="15">
        <v>114742317</v>
      </c>
      <c r="F2880" s="15">
        <v>2203</v>
      </c>
      <c r="G2880" s="8" t="s">
        <v>12324</v>
      </c>
      <c r="H2880" s="24" t="s">
        <v>494</v>
      </c>
      <c r="I2880" s="25">
        <v>25920</v>
      </c>
      <c r="J2880" s="8" t="s">
        <v>496</v>
      </c>
      <c r="K2880" s="8" t="s">
        <v>10040</v>
      </c>
      <c r="L2880" s="15">
        <v>-9.3843099999999999E-2</v>
      </c>
      <c r="M2880" s="15">
        <v>0.54879599999999995</v>
      </c>
      <c r="N2880" s="15">
        <v>0.84221263840830463</v>
      </c>
    </row>
    <row r="2881" spans="1:14" x14ac:dyDescent="0.2">
      <c r="A2881" s="2" t="s">
        <v>10069</v>
      </c>
      <c r="B2881" s="15">
        <v>2205</v>
      </c>
      <c r="C2881" s="15">
        <v>17</v>
      </c>
      <c r="D2881" s="15">
        <v>40233546</v>
      </c>
      <c r="E2881" s="15">
        <v>42348003</v>
      </c>
      <c r="F2881" s="15">
        <v>2320</v>
      </c>
      <c r="G2881" s="8" t="s">
        <v>12324</v>
      </c>
      <c r="H2881" s="24" t="s">
        <v>662</v>
      </c>
      <c r="I2881" s="25" t="s">
        <v>663</v>
      </c>
      <c r="J2881" s="8" t="s">
        <v>664</v>
      </c>
      <c r="K2881" s="8" t="s">
        <v>10040</v>
      </c>
      <c r="L2881" s="15">
        <v>0.179891</v>
      </c>
      <c r="M2881" s="15">
        <v>0.54806699999999997</v>
      </c>
      <c r="N2881" s="15">
        <v>0.84221263840830463</v>
      </c>
    </row>
    <row r="2882" spans="1:14" x14ac:dyDescent="0.2">
      <c r="A2882" s="2" t="s">
        <v>10068</v>
      </c>
      <c r="B2882" s="15">
        <v>717</v>
      </c>
      <c r="C2882" s="15">
        <v>4</v>
      </c>
      <c r="D2882" s="15">
        <v>128321877</v>
      </c>
      <c r="E2882" s="15">
        <v>129625376</v>
      </c>
      <c r="F2882" s="15">
        <v>2314</v>
      </c>
      <c r="G2882" s="8" t="s">
        <v>12324</v>
      </c>
      <c r="H2882" s="24" t="s">
        <v>1259</v>
      </c>
      <c r="I2882" s="25">
        <v>27096</v>
      </c>
      <c r="J2882" s="8" t="s">
        <v>1261</v>
      </c>
      <c r="K2882" s="8" t="s">
        <v>10040</v>
      </c>
      <c r="L2882" s="15">
        <v>0.13275200000000001</v>
      </c>
      <c r="M2882" s="15">
        <v>0.54847000000000001</v>
      </c>
      <c r="N2882" s="15">
        <v>0.84221263840830463</v>
      </c>
    </row>
    <row r="2883" spans="1:14" x14ac:dyDescent="0.2">
      <c r="A2883" s="2" t="s">
        <v>10068</v>
      </c>
      <c r="B2883" s="15">
        <v>2227</v>
      </c>
      <c r="C2883" s="15">
        <v>17</v>
      </c>
      <c r="D2883" s="15">
        <v>70495120</v>
      </c>
      <c r="E2883" s="15">
        <v>71466953</v>
      </c>
      <c r="F2883" s="15">
        <v>2899</v>
      </c>
      <c r="G2883" s="8" t="s">
        <v>12324</v>
      </c>
      <c r="H2883" s="24" t="s">
        <v>1259</v>
      </c>
      <c r="I2883" s="25">
        <v>27096</v>
      </c>
      <c r="J2883" s="8" t="s">
        <v>1261</v>
      </c>
      <c r="K2883" s="8" t="s">
        <v>10040</v>
      </c>
      <c r="L2883" s="15">
        <v>9.2624100000000001E-2</v>
      </c>
      <c r="M2883" s="15">
        <v>0.54863700000000004</v>
      </c>
      <c r="N2883" s="15">
        <v>0.84221263840830463</v>
      </c>
    </row>
    <row r="2884" spans="1:14" x14ac:dyDescent="0.2">
      <c r="A2884" s="2" t="s">
        <v>10068</v>
      </c>
      <c r="B2884" s="15">
        <v>2300</v>
      </c>
      <c r="C2884" s="15">
        <v>18</v>
      </c>
      <c r="D2884" s="15">
        <v>72785207</v>
      </c>
      <c r="E2884" s="15">
        <v>73568260</v>
      </c>
      <c r="F2884" s="15">
        <v>2547</v>
      </c>
      <c r="G2884" s="8" t="s">
        <v>12324</v>
      </c>
      <c r="H2884" s="24" t="s">
        <v>1259</v>
      </c>
      <c r="I2884" s="25">
        <v>27096</v>
      </c>
      <c r="J2884" s="8" t="s">
        <v>1261</v>
      </c>
      <c r="K2884" s="8" t="s">
        <v>10040</v>
      </c>
      <c r="L2884" s="15">
        <v>0.100041</v>
      </c>
      <c r="M2884" s="15">
        <v>0.54881500000000005</v>
      </c>
      <c r="N2884" s="15">
        <v>0.84221263840830463</v>
      </c>
    </row>
    <row r="2885" spans="1:14" x14ac:dyDescent="0.2">
      <c r="A2885" s="2" t="s">
        <v>10066</v>
      </c>
      <c r="B2885" s="15">
        <v>2295</v>
      </c>
      <c r="C2885" s="15">
        <v>18</v>
      </c>
      <c r="D2885" s="15">
        <v>67195981</v>
      </c>
      <c r="E2885" s="15">
        <v>68051035</v>
      </c>
      <c r="F2885" s="15">
        <v>2474</v>
      </c>
      <c r="G2885" s="8" t="s">
        <v>12324</v>
      </c>
      <c r="H2885" s="24" t="s">
        <v>3164</v>
      </c>
      <c r="I2885" s="25" t="s">
        <v>3165</v>
      </c>
      <c r="J2885" s="8" t="s">
        <v>3166</v>
      </c>
      <c r="K2885" s="8" t="s">
        <v>10042</v>
      </c>
      <c r="L2885" s="15">
        <v>-0.15316299999999999</v>
      </c>
      <c r="M2885" s="15">
        <v>0.54723100000000002</v>
      </c>
      <c r="N2885" s="15">
        <v>0.84221263840830463</v>
      </c>
    </row>
    <row r="2886" spans="1:14" x14ac:dyDescent="0.2">
      <c r="A2886" s="2" t="s">
        <v>10066</v>
      </c>
      <c r="B2886" s="15">
        <v>1489</v>
      </c>
      <c r="C2886" s="15">
        <v>10</v>
      </c>
      <c r="D2886" s="15">
        <v>3225337</v>
      </c>
      <c r="E2886" s="15">
        <v>3880322</v>
      </c>
      <c r="F2886" s="15">
        <v>2170</v>
      </c>
      <c r="G2886" s="8" t="s">
        <v>12324</v>
      </c>
      <c r="H2886" s="24" t="s">
        <v>3164</v>
      </c>
      <c r="I2886" s="25" t="s">
        <v>3165</v>
      </c>
      <c r="J2886" s="8" t="s">
        <v>3166</v>
      </c>
      <c r="K2886" s="8" t="s">
        <v>10042</v>
      </c>
      <c r="L2886" s="15">
        <v>7.24577E-2</v>
      </c>
      <c r="M2886" s="15">
        <v>0.54739199999999999</v>
      </c>
      <c r="N2886" s="15">
        <v>0.84221263840830463</v>
      </c>
    </row>
    <row r="2887" spans="1:14" x14ac:dyDescent="0.2">
      <c r="A2887" s="2" t="s">
        <v>10066</v>
      </c>
      <c r="B2887" s="15">
        <v>2363</v>
      </c>
      <c r="C2887" s="15">
        <v>19</v>
      </c>
      <c r="D2887" s="15">
        <v>54602371</v>
      </c>
      <c r="E2887" s="15">
        <v>55182973</v>
      </c>
      <c r="F2887" s="15">
        <v>2306</v>
      </c>
      <c r="G2887" s="8" t="s">
        <v>12324</v>
      </c>
      <c r="H2887" s="24" t="s">
        <v>3164</v>
      </c>
      <c r="I2887" s="25" t="s">
        <v>3165</v>
      </c>
      <c r="J2887" s="8" t="s">
        <v>3166</v>
      </c>
      <c r="K2887" s="8" t="s">
        <v>10042</v>
      </c>
      <c r="L2887" s="15">
        <v>0.113495</v>
      </c>
      <c r="M2887" s="15">
        <v>0.54869400000000002</v>
      </c>
      <c r="N2887" s="15">
        <v>0.84221263840830463</v>
      </c>
    </row>
    <row r="2888" spans="1:14" x14ac:dyDescent="0.2">
      <c r="A2888" s="2" t="s">
        <v>10066</v>
      </c>
      <c r="B2888" s="15">
        <v>2159</v>
      </c>
      <c r="C2888" s="15">
        <v>16</v>
      </c>
      <c r="D2888" s="15">
        <v>78973581</v>
      </c>
      <c r="E2888" s="15">
        <v>79662634</v>
      </c>
      <c r="F2888" s="15">
        <v>2827</v>
      </c>
      <c r="G2888" s="8" t="s">
        <v>12324</v>
      </c>
      <c r="H2888" s="24" t="s">
        <v>6008</v>
      </c>
      <c r="I2888" s="25" t="s">
        <v>6009</v>
      </c>
      <c r="J2888" s="8" t="s">
        <v>6010</v>
      </c>
      <c r="K2888" s="8" t="s">
        <v>10051</v>
      </c>
      <c r="L2888" s="15">
        <v>-0.117934</v>
      </c>
      <c r="M2888" s="15">
        <v>0.54742299999999999</v>
      </c>
      <c r="N2888" s="15">
        <v>0.84221263840830463</v>
      </c>
    </row>
    <row r="2889" spans="1:14" x14ac:dyDescent="0.2">
      <c r="A2889" s="2" t="s">
        <v>10066</v>
      </c>
      <c r="B2889" s="15">
        <v>1370</v>
      </c>
      <c r="C2889" s="15">
        <v>9</v>
      </c>
      <c r="D2889" s="15">
        <v>10469</v>
      </c>
      <c r="E2889" s="15">
        <v>653661</v>
      </c>
      <c r="F2889" s="15">
        <v>2004</v>
      </c>
      <c r="G2889" s="8" t="s">
        <v>12324</v>
      </c>
      <c r="H2889" s="24" t="s">
        <v>6008</v>
      </c>
      <c r="I2889" s="25" t="s">
        <v>6009</v>
      </c>
      <c r="J2889" s="8" t="s">
        <v>6010</v>
      </c>
      <c r="K2889" s="8" t="s">
        <v>10051</v>
      </c>
      <c r="L2889" s="15">
        <v>-0.17194100000000001</v>
      </c>
      <c r="M2889" s="15">
        <v>0.54779800000000001</v>
      </c>
      <c r="N2889" s="15">
        <v>0.84221263840830463</v>
      </c>
    </row>
    <row r="2890" spans="1:14" x14ac:dyDescent="0.2">
      <c r="A2890" s="2" t="s">
        <v>10066</v>
      </c>
      <c r="B2890" s="15">
        <v>1811</v>
      </c>
      <c r="C2890" s="15">
        <v>12</v>
      </c>
      <c r="D2890" s="15">
        <v>76524574</v>
      </c>
      <c r="E2890" s="15">
        <v>77800463</v>
      </c>
      <c r="F2890" s="15">
        <v>3413</v>
      </c>
      <c r="G2890" s="8" t="s">
        <v>12324</v>
      </c>
      <c r="H2890" s="24" t="s">
        <v>6008</v>
      </c>
      <c r="I2890" s="25" t="s">
        <v>6009</v>
      </c>
      <c r="J2890" s="8" t="s">
        <v>6010</v>
      </c>
      <c r="K2890" s="8" t="s">
        <v>10051</v>
      </c>
      <c r="L2890" s="15">
        <v>0.19067200000000001</v>
      </c>
      <c r="M2890" s="15">
        <v>0.54796599999999995</v>
      </c>
      <c r="N2890" s="15">
        <v>0.84221263840830463</v>
      </c>
    </row>
    <row r="2891" spans="1:14" x14ac:dyDescent="0.2">
      <c r="A2891" s="2" t="s">
        <v>10066</v>
      </c>
      <c r="B2891" s="15">
        <v>1884</v>
      </c>
      <c r="C2891" s="15">
        <v>13</v>
      </c>
      <c r="D2891" s="15">
        <v>41003944</v>
      </c>
      <c r="E2891" s="15">
        <v>42037054</v>
      </c>
      <c r="F2891" s="15">
        <v>2153</v>
      </c>
      <c r="G2891" s="8" t="s">
        <v>12324</v>
      </c>
      <c r="H2891" s="24" t="s">
        <v>6008</v>
      </c>
      <c r="I2891" s="25" t="s">
        <v>6009</v>
      </c>
      <c r="J2891" s="8" t="s">
        <v>6010</v>
      </c>
      <c r="K2891" s="8" t="s">
        <v>10051</v>
      </c>
      <c r="L2891" s="15">
        <v>0.23283999999999999</v>
      </c>
      <c r="M2891" s="15">
        <v>0.54813800000000001</v>
      </c>
      <c r="N2891" s="15">
        <v>0.84221263840830463</v>
      </c>
    </row>
    <row r="2892" spans="1:14" x14ac:dyDescent="0.2">
      <c r="A2892" s="2" t="s">
        <v>10068</v>
      </c>
      <c r="B2892" s="15">
        <v>2432</v>
      </c>
      <c r="C2892" s="15">
        <v>21</v>
      </c>
      <c r="D2892" s="15">
        <v>15840034</v>
      </c>
      <c r="E2892" s="15">
        <v>16873443</v>
      </c>
      <c r="F2892" s="15">
        <v>2649</v>
      </c>
      <c r="G2892" s="8" t="s">
        <v>12324</v>
      </c>
      <c r="H2892" s="24" t="s">
        <v>6565</v>
      </c>
      <c r="I2892" s="25" t="s">
        <v>6475</v>
      </c>
      <c r="J2892" s="8" t="s">
        <v>6566</v>
      </c>
      <c r="K2892" s="8" t="s">
        <v>10054</v>
      </c>
      <c r="L2892" s="15">
        <v>0.14922199999999999</v>
      </c>
      <c r="M2892" s="15">
        <v>0.546593</v>
      </c>
      <c r="N2892" s="15">
        <v>0.84221263840830463</v>
      </c>
    </row>
    <row r="2893" spans="1:14" x14ac:dyDescent="0.2">
      <c r="A2893" s="2" t="s">
        <v>10068</v>
      </c>
      <c r="B2893" s="15">
        <v>97</v>
      </c>
      <c r="C2893" s="15">
        <v>1</v>
      </c>
      <c r="D2893" s="15">
        <v>110224231</v>
      </c>
      <c r="E2893" s="15">
        <v>111134062</v>
      </c>
      <c r="F2893" s="15">
        <v>2128</v>
      </c>
      <c r="G2893" s="8" t="s">
        <v>12324</v>
      </c>
      <c r="H2893" s="24" t="s">
        <v>6565</v>
      </c>
      <c r="I2893" s="25" t="s">
        <v>6475</v>
      </c>
      <c r="J2893" s="8" t="s">
        <v>6566</v>
      </c>
      <c r="K2893" s="8" t="s">
        <v>10054</v>
      </c>
      <c r="L2893" s="15">
        <v>0.13356799999999999</v>
      </c>
      <c r="M2893" s="15">
        <v>0.54929700000000004</v>
      </c>
      <c r="N2893" s="15">
        <v>0.84266073849878942</v>
      </c>
    </row>
    <row r="2894" spans="1:14" x14ac:dyDescent="0.2">
      <c r="A2894" s="2" t="s">
        <v>10068</v>
      </c>
      <c r="B2894" s="15">
        <v>428</v>
      </c>
      <c r="C2894" s="15">
        <v>3</v>
      </c>
      <c r="D2894" s="15">
        <v>5496183</v>
      </c>
      <c r="E2894" s="15">
        <v>6421145</v>
      </c>
      <c r="F2894" s="15">
        <v>3821</v>
      </c>
      <c r="G2894" s="8" t="s">
        <v>12324</v>
      </c>
      <c r="H2894" s="24" t="s">
        <v>494</v>
      </c>
      <c r="I2894" s="25">
        <v>25920</v>
      </c>
      <c r="J2894" s="8" t="s">
        <v>496</v>
      </c>
      <c r="K2894" s="8" t="s">
        <v>10040</v>
      </c>
      <c r="L2894" s="15">
        <v>0.136572</v>
      </c>
      <c r="M2894" s="15">
        <v>0.55016200000000004</v>
      </c>
      <c r="N2894" s="15">
        <v>0.84369587482710939</v>
      </c>
    </row>
    <row r="2895" spans="1:14" x14ac:dyDescent="0.2">
      <c r="A2895" s="2" t="s">
        <v>10069</v>
      </c>
      <c r="B2895" s="15">
        <v>1271</v>
      </c>
      <c r="C2895" s="15">
        <v>8</v>
      </c>
      <c r="D2895" s="15">
        <v>25859278</v>
      </c>
      <c r="E2895" s="15">
        <v>26679135</v>
      </c>
      <c r="F2895" s="15">
        <v>1986</v>
      </c>
      <c r="G2895" s="8" t="s">
        <v>12324</v>
      </c>
      <c r="H2895" s="24" t="s">
        <v>662</v>
      </c>
      <c r="I2895" s="25" t="s">
        <v>663</v>
      </c>
      <c r="J2895" s="8" t="s">
        <v>664</v>
      </c>
      <c r="K2895" s="8" t="s">
        <v>10040</v>
      </c>
      <c r="L2895" s="15">
        <v>0.19713800000000001</v>
      </c>
      <c r="M2895" s="15">
        <v>0.55042999999999997</v>
      </c>
      <c r="N2895" s="15">
        <v>0.84381508814379536</v>
      </c>
    </row>
    <row r="2896" spans="1:14" x14ac:dyDescent="0.2">
      <c r="A2896" s="2" t="s">
        <v>10068</v>
      </c>
      <c r="B2896" s="15">
        <v>1446</v>
      </c>
      <c r="C2896" s="15">
        <v>9</v>
      </c>
      <c r="D2896" s="15">
        <v>101596751</v>
      </c>
      <c r="E2896" s="15">
        <v>103165725</v>
      </c>
      <c r="F2896" s="15">
        <v>2934</v>
      </c>
      <c r="G2896" s="8" t="s">
        <v>12324</v>
      </c>
      <c r="H2896" s="24" t="s">
        <v>1259</v>
      </c>
      <c r="I2896" s="25">
        <v>27096</v>
      </c>
      <c r="J2896" s="8" t="s">
        <v>1261</v>
      </c>
      <c r="K2896" s="8" t="s">
        <v>10040</v>
      </c>
      <c r="L2896" s="15">
        <v>-0.17942900000000001</v>
      </c>
      <c r="M2896" s="15">
        <v>0.55065900000000001</v>
      </c>
      <c r="N2896" s="15">
        <v>0.8438744523151348</v>
      </c>
    </row>
    <row r="2897" spans="1:14" x14ac:dyDescent="0.2">
      <c r="A2897" s="2" t="s">
        <v>10066</v>
      </c>
      <c r="B2897" s="15">
        <v>306</v>
      </c>
      <c r="C2897" s="15">
        <v>2</v>
      </c>
      <c r="D2897" s="15">
        <v>112644829</v>
      </c>
      <c r="E2897" s="15">
        <v>113930668</v>
      </c>
      <c r="F2897" s="15">
        <v>2966</v>
      </c>
      <c r="G2897" s="8" t="s">
        <v>12324</v>
      </c>
      <c r="H2897" s="24" t="s">
        <v>3164</v>
      </c>
      <c r="I2897" s="25" t="s">
        <v>3165</v>
      </c>
      <c r="J2897" s="8" t="s">
        <v>3166</v>
      </c>
      <c r="K2897" s="8" t="s">
        <v>10042</v>
      </c>
      <c r="L2897" s="15">
        <v>-0.22118499999999999</v>
      </c>
      <c r="M2897" s="15">
        <v>0.55139199999999999</v>
      </c>
      <c r="N2897" s="15">
        <v>0.84470587910189987</v>
      </c>
    </row>
    <row r="2898" spans="1:14" x14ac:dyDescent="0.2">
      <c r="A2898" s="2" t="s">
        <v>10066</v>
      </c>
      <c r="B2898" s="15">
        <v>1743</v>
      </c>
      <c r="C2898" s="15">
        <v>12</v>
      </c>
      <c r="D2898" s="15">
        <v>3069507</v>
      </c>
      <c r="E2898" s="15">
        <v>3871114</v>
      </c>
      <c r="F2898" s="15">
        <v>2703</v>
      </c>
      <c r="G2898" s="8" t="s">
        <v>12324</v>
      </c>
      <c r="H2898" s="24" t="s">
        <v>6008</v>
      </c>
      <c r="I2898" s="25" t="s">
        <v>6009</v>
      </c>
      <c r="J2898" s="8" t="s">
        <v>6010</v>
      </c>
      <c r="K2898" s="8" t="s">
        <v>10051</v>
      </c>
      <c r="L2898" s="15">
        <v>-8.3452299999999993E-2</v>
      </c>
      <c r="M2898" s="15">
        <v>0.55174500000000004</v>
      </c>
      <c r="N2898" s="15">
        <v>0.84495479109116034</v>
      </c>
    </row>
    <row r="2899" spans="1:14" x14ac:dyDescent="0.2">
      <c r="A2899" s="2" t="s">
        <v>10066</v>
      </c>
      <c r="B2899" s="15">
        <v>2375</v>
      </c>
      <c r="C2899" s="15">
        <v>20</v>
      </c>
      <c r="D2899" s="15">
        <v>5379451</v>
      </c>
      <c r="E2899" s="15">
        <v>6128358</v>
      </c>
      <c r="F2899" s="15">
        <v>2573</v>
      </c>
      <c r="G2899" s="8" t="s">
        <v>12324</v>
      </c>
      <c r="H2899" s="24" t="s">
        <v>6008</v>
      </c>
      <c r="I2899" s="25" t="s">
        <v>6009</v>
      </c>
      <c r="J2899" s="8" t="s">
        <v>6010</v>
      </c>
      <c r="K2899" s="8" t="s">
        <v>10051</v>
      </c>
      <c r="L2899" s="15">
        <v>0.10994</v>
      </c>
      <c r="M2899" s="15">
        <v>0.55225500000000005</v>
      </c>
      <c r="N2899" s="15">
        <v>0.84544388160165695</v>
      </c>
    </row>
    <row r="2900" spans="1:14" x14ac:dyDescent="0.2">
      <c r="A2900" s="2" t="s">
        <v>10069</v>
      </c>
      <c r="B2900" s="15">
        <v>2128</v>
      </c>
      <c r="C2900" s="15">
        <v>16</v>
      </c>
      <c r="D2900" s="15">
        <v>29043178</v>
      </c>
      <c r="E2900" s="15">
        <v>31384210</v>
      </c>
      <c r="F2900" s="15">
        <v>1701</v>
      </c>
      <c r="G2900" s="8" t="s">
        <v>12324</v>
      </c>
      <c r="H2900" s="24" t="s">
        <v>662</v>
      </c>
      <c r="I2900" s="25" t="s">
        <v>663</v>
      </c>
      <c r="J2900" s="8" t="s">
        <v>664</v>
      </c>
      <c r="K2900" s="8" t="s">
        <v>10040</v>
      </c>
      <c r="L2900" s="15">
        <v>0.168604</v>
      </c>
      <c r="M2900" s="15">
        <v>0.55379100000000003</v>
      </c>
      <c r="N2900" s="15">
        <v>0.84627252754820936</v>
      </c>
    </row>
    <row r="2901" spans="1:14" x14ac:dyDescent="0.2">
      <c r="A2901" s="2" t="s">
        <v>10069</v>
      </c>
      <c r="B2901" s="15">
        <v>2486</v>
      </c>
      <c r="C2901" s="15">
        <v>22</v>
      </c>
      <c r="D2901" s="15">
        <v>42867928</v>
      </c>
      <c r="E2901" s="15">
        <v>43574017</v>
      </c>
      <c r="F2901" s="15">
        <v>1507</v>
      </c>
      <c r="G2901" s="8" t="s">
        <v>12324</v>
      </c>
      <c r="H2901" s="24" t="s">
        <v>662</v>
      </c>
      <c r="I2901" s="25" t="s">
        <v>663</v>
      </c>
      <c r="J2901" s="8" t="s">
        <v>664</v>
      </c>
      <c r="K2901" s="8" t="s">
        <v>10040</v>
      </c>
      <c r="L2901" s="15">
        <v>-0.204489</v>
      </c>
      <c r="M2901" s="15">
        <v>0.55395899999999998</v>
      </c>
      <c r="N2901" s="15">
        <v>0.84627252754820936</v>
      </c>
    </row>
    <row r="2902" spans="1:14" x14ac:dyDescent="0.2">
      <c r="A2902" s="2" t="s">
        <v>10068</v>
      </c>
      <c r="B2902" s="15">
        <v>360</v>
      </c>
      <c r="C2902" s="15">
        <v>2</v>
      </c>
      <c r="D2902" s="15">
        <v>174927564</v>
      </c>
      <c r="E2902" s="15">
        <v>176734750</v>
      </c>
      <c r="F2902" s="15">
        <v>4020</v>
      </c>
      <c r="G2902" s="8" t="s">
        <v>12324</v>
      </c>
      <c r="H2902" s="24" t="s">
        <v>1259</v>
      </c>
      <c r="I2902" s="25">
        <v>27096</v>
      </c>
      <c r="J2902" s="8" t="s">
        <v>1261</v>
      </c>
      <c r="K2902" s="8" t="s">
        <v>10040</v>
      </c>
      <c r="L2902" s="15">
        <v>0.171822</v>
      </c>
      <c r="M2902" s="15">
        <v>0.55366499999999996</v>
      </c>
      <c r="N2902" s="15">
        <v>0.84627252754820936</v>
      </c>
    </row>
    <row r="2903" spans="1:14" x14ac:dyDescent="0.2">
      <c r="A2903" s="2" t="s">
        <v>10066</v>
      </c>
      <c r="B2903" s="15">
        <v>2017</v>
      </c>
      <c r="C2903" s="15">
        <v>14</v>
      </c>
      <c r="D2903" s="15">
        <v>89482884</v>
      </c>
      <c r="E2903" s="15">
        <v>90662836</v>
      </c>
      <c r="F2903" s="15">
        <v>3096</v>
      </c>
      <c r="G2903" s="8" t="s">
        <v>12324</v>
      </c>
      <c r="H2903" s="24" t="s">
        <v>3164</v>
      </c>
      <c r="I2903" s="25" t="s">
        <v>3165</v>
      </c>
      <c r="J2903" s="8" t="s">
        <v>3166</v>
      </c>
      <c r="K2903" s="8" t="s">
        <v>10042</v>
      </c>
      <c r="L2903" s="15">
        <v>-0.18651100000000001</v>
      </c>
      <c r="M2903" s="15">
        <v>0.55413199999999996</v>
      </c>
      <c r="N2903" s="15">
        <v>0.84627252754820936</v>
      </c>
    </row>
    <row r="2904" spans="1:14" x14ac:dyDescent="0.2">
      <c r="A2904" s="2" t="s">
        <v>10066</v>
      </c>
      <c r="B2904" s="15">
        <v>140</v>
      </c>
      <c r="C2904" s="15">
        <v>1</v>
      </c>
      <c r="D2904" s="15">
        <v>184953090</v>
      </c>
      <c r="E2904" s="15">
        <v>186179447</v>
      </c>
      <c r="F2904" s="15">
        <v>2025</v>
      </c>
      <c r="G2904" s="8" t="s">
        <v>12324</v>
      </c>
      <c r="H2904" s="24" t="s">
        <v>6008</v>
      </c>
      <c r="I2904" s="25" t="s">
        <v>6009</v>
      </c>
      <c r="J2904" s="8" t="s">
        <v>6010</v>
      </c>
      <c r="K2904" s="8" t="s">
        <v>10051</v>
      </c>
      <c r="L2904" s="15">
        <v>-0.13178899999999999</v>
      </c>
      <c r="M2904" s="15">
        <v>0.55348799999999998</v>
      </c>
      <c r="N2904" s="15">
        <v>0.84627252754820936</v>
      </c>
    </row>
    <row r="2905" spans="1:14" x14ac:dyDescent="0.2">
      <c r="A2905" s="2" t="s">
        <v>10066</v>
      </c>
      <c r="B2905" s="15">
        <v>674</v>
      </c>
      <c r="C2905" s="15">
        <v>4</v>
      </c>
      <c r="D2905" s="15">
        <v>81206183</v>
      </c>
      <c r="E2905" s="15">
        <v>82655623</v>
      </c>
      <c r="F2905" s="15">
        <v>3222</v>
      </c>
      <c r="G2905" s="8" t="s">
        <v>12324</v>
      </c>
      <c r="H2905" s="24" t="s">
        <v>6008</v>
      </c>
      <c r="I2905" s="25" t="s">
        <v>6009</v>
      </c>
      <c r="J2905" s="8" t="s">
        <v>6010</v>
      </c>
      <c r="K2905" s="8" t="s">
        <v>10051</v>
      </c>
      <c r="L2905" s="15">
        <v>0.190638</v>
      </c>
      <c r="M2905" s="15">
        <v>0.55406999999999995</v>
      </c>
      <c r="N2905" s="15">
        <v>0.84627252754820936</v>
      </c>
    </row>
    <row r="2906" spans="1:14" x14ac:dyDescent="0.2">
      <c r="A2906" s="2" t="s">
        <v>10068</v>
      </c>
      <c r="B2906" s="15">
        <v>849</v>
      </c>
      <c r="C2906" s="15">
        <v>5</v>
      </c>
      <c r="D2906" s="15">
        <v>87943483</v>
      </c>
      <c r="E2906" s="15">
        <v>89584466</v>
      </c>
      <c r="F2906" s="15">
        <v>2356</v>
      </c>
      <c r="G2906" s="8" t="s">
        <v>12324</v>
      </c>
      <c r="H2906" s="24" t="s">
        <v>6565</v>
      </c>
      <c r="I2906" s="25" t="s">
        <v>6475</v>
      </c>
      <c r="J2906" s="8" t="s">
        <v>6566</v>
      </c>
      <c r="K2906" s="8" t="s">
        <v>10054</v>
      </c>
      <c r="L2906" s="15">
        <v>-9.4422000000000006E-2</v>
      </c>
      <c r="M2906" s="15">
        <v>0.55333100000000002</v>
      </c>
      <c r="N2906" s="15">
        <v>0.84627252754820936</v>
      </c>
    </row>
    <row r="2907" spans="1:14" x14ac:dyDescent="0.2">
      <c r="A2907" s="2" t="s">
        <v>10068</v>
      </c>
      <c r="B2907" s="15">
        <v>1613</v>
      </c>
      <c r="C2907" s="15">
        <v>11</v>
      </c>
      <c r="D2907" s="15">
        <v>2477450</v>
      </c>
      <c r="E2907" s="15">
        <v>3362508</v>
      </c>
      <c r="F2907" s="15">
        <v>2442</v>
      </c>
      <c r="G2907" s="8" t="s">
        <v>12324</v>
      </c>
      <c r="H2907" s="24" t="s">
        <v>1259</v>
      </c>
      <c r="I2907" s="25">
        <v>27096</v>
      </c>
      <c r="J2907" s="8" t="s">
        <v>1261</v>
      </c>
      <c r="K2907" s="8" t="s">
        <v>10040</v>
      </c>
      <c r="L2907" s="15">
        <v>0.105707</v>
      </c>
      <c r="M2907" s="15">
        <v>0.55458099999999999</v>
      </c>
      <c r="N2907" s="15">
        <v>0.84631608359133137</v>
      </c>
    </row>
    <row r="2908" spans="1:14" x14ac:dyDescent="0.2">
      <c r="A2908" s="2" t="s">
        <v>10068</v>
      </c>
      <c r="B2908" s="15">
        <v>2381</v>
      </c>
      <c r="C2908" s="15">
        <v>20</v>
      </c>
      <c r="D2908" s="15">
        <v>11257013</v>
      </c>
      <c r="E2908" s="15">
        <v>12353961</v>
      </c>
      <c r="F2908" s="15">
        <v>2925</v>
      </c>
      <c r="G2908" s="8" t="s">
        <v>12324</v>
      </c>
      <c r="H2908" s="24" t="s">
        <v>6565</v>
      </c>
      <c r="I2908" s="25" t="s">
        <v>6475</v>
      </c>
      <c r="J2908" s="8" t="s">
        <v>6566</v>
      </c>
      <c r="K2908" s="8" t="s">
        <v>10054</v>
      </c>
      <c r="L2908" s="15">
        <v>0.16242500000000001</v>
      </c>
      <c r="M2908" s="15">
        <v>0.55445800000000001</v>
      </c>
      <c r="N2908" s="15">
        <v>0.84631608359133137</v>
      </c>
    </row>
    <row r="2909" spans="1:14" x14ac:dyDescent="0.2">
      <c r="A2909" s="2" t="s">
        <v>10068</v>
      </c>
      <c r="B2909" s="15">
        <v>1121</v>
      </c>
      <c r="C2909" s="15">
        <v>7</v>
      </c>
      <c r="D2909" s="15">
        <v>22165061</v>
      </c>
      <c r="E2909" s="15">
        <v>23106680</v>
      </c>
      <c r="F2909" s="15">
        <v>2750</v>
      </c>
      <c r="G2909" s="8" t="s">
        <v>12324</v>
      </c>
      <c r="H2909" s="24" t="s">
        <v>6565</v>
      </c>
      <c r="I2909" s="25" t="s">
        <v>6475</v>
      </c>
      <c r="J2909" s="8" t="s">
        <v>6566</v>
      </c>
      <c r="K2909" s="8" t="s">
        <v>10054</v>
      </c>
      <c r="L2909" s="15">
        <v>0.14632899999999999</v>
      </c>
      <c r="M2909" s="15">
        <v>0.55473300000000003</v>
      </c>
      <c r="N2909" s="15">
        <v>0.84631608359133137</v>
      </c>
    </row>
    <row r="2910" spans="1:14" x14ac:dyDescent="0.2">
      <c r="A2910" s="2" t="s">
        <v>10068</v>
      </c>
      <c r="B2910" s="15">
        <v>1217</v>
      </c>
      <c r="C2910" s="15">
        <v>7</v>
      </c>
      <c r="D2910" s="15">
        <v>142098980</v>
      </c>
      <c r="E2910" s="15">
        <v>144324464</v>
      </c>
      <c r="F2910" s="15">
        <v>3999</v>
      </c>
      <c r="G2910" s="8" t="s">
        <v>12324</v>
      </c>
      <c r="H2910" s="24" t="s">
        <v>494</v>
      </c>
      <c r="I2910" s="25">
        <v>25920</v>
      </c>
      <c r="J2910" s="8" t="s">
        <v>496</v>
      </c>
      <c r="K2910" s="8" t="s">
        <v>10040</v>
      </c>
      <c r="L2910" s="15">
        <v>-0.13222600000000001</v>
      </c>
      <c r="M2910" s="15">
        <v>0.55576300000000001</v>
      </c>
      <c r="N2910" s="15">
        <v>0.84666464972527467</v>
      </c>
    </row>
    <row r="2911" spans="1:14" x14ac:dyDescent="0.2">
      <c r="A2911" s="2" t="s">
        <v>10068</v>
      </c>
      <c r="B2911" s="15">
        <v>686</v>
      </c>
      <c r="C2911" s="15">
        <v>4</v>
      </c>
      <c r="D2911" s="15">
        <v>96183802</v>
      </c>
      <c r="E2911" s="15">
        <v>97540787</v>
      </c>
      <c r="F2911" s="15">
        <v>4080</v>
      </c>
      <c r="G2911" s="8" t="s">
        <v>12324</v>
      </c>
      <c r="H2911" s="24" t="s">
        <v>494</v>
      </c>
      <c r="I2911" s="25">
        <v>25920</v>
      </c>
      <c r="J2911" s="8" t="s">
        <v>496</v>
      </c>
      <c r="K2911" s="8" t="s">
        <v>10040</v>
      </c>
      <c r="L2911" s="15">
        <v>0.19325200000000001</v>
      </c>
      <c r="M2911" s="15">
        <v>0.55591599999999997</v>
      </c>
      <c r="N2911" s="15">
        <v>0.84666464972527467</v>
      </c>
    </row>
    <row r="2912" spans="1:14" x14ac:dyDescent="0.2">
      <c r="A2912" s="2" t="s">
        <v>10068</v>
      </c>
      <c r="B2912" s="15">
        <v>2138</v>
      </c>
      <c r="C2912" s="15">
        <v>16</v>
      </c>
      <c r="D2912" s="15">
        <v>57119890</v>
      </c>
      <c r="E2912" s="15">
        <v>58508978</v>
      </c>
      <c r="F2912" s="15">
        <v>4204</v>
      </c>
      <c r="G2912" s="8" t="s">
        <v>12324</v>
      </c>
      <c r="H2912" s="24" t="s">
        <v>599</v>
      </c>
      <c r="I2912" s="25">
        <v>26562</v>
      </c>
      <c r="J2912" s="8" t="s">
        <v>601</v>
      </c>
      <c r="K2912" s="8" t="s">
        <v>10040</v>
      </c>
      <c r="L2912" s="15">
        <v>0.120489</v>
      </c>
      <c r="M2912" s="15">
        <v>0.55519300000000005</v>
      </c>
      <c r="N2912" s="15">
        <v>0.84666464972527467</v>
      </c>
    </row>
    <row r="2913" spans="1:14" x14ac:dyDescent="0.2">
      <c r="A2913" s="2" t="s">
        <v>10068</v>
      </c>
      <c r="B2913" s="15">
        <v>881</v>
      </c>
      <c r="C2913" s="15">
        <v>5</v>
      </c>
      <c r="D2913" s="15">
        <v>124109486</v>
      </c>
      <c r="E2913" s="15">
        <v>125131720</v>
      </c>
      <c r="F2913" s="15">
        <v>2937</v>
      </c>
      <c r="G2913" s="8" t="s">
        <v>12324</v>
      </c>
      <c r="H2913" s="24" t="s">
        <v>599</v>
      </c>
      <c r="I2913" s="25">
        <v>26562</v>
      </c>
      <c r="J2913" s="8" t="s">
        <v>601</v>
      </c>
      <c r="K2913" s="8" t="s">
        <v>10040</v>
      </c>
      <c r="L2913" s="15">
        <v>0.12188</v>
      </c>
      <c r="M2913" s="15">
        <v>0.55566400000000005</v>
      </c>
      <c r="N2913" s="15">
        <v>0.84666464972527467</v>
      </c>
    </row>
    <row r="2914" spans="1:14" x14ac:dyDescent="0.2">
      <c r="A2914" s="2" t="s">
        <v>10068</v>
      </c>
      <c r="B2914" s="15">
        <v>1475</v>
      </c>
      <c r="C2914" s="15">
        <v>9</v>
      </c>
      <c r="D2914" s="15">
        <v>132193799</v>
      </c>
      <c r="E2914" s="15">
        <v>132999452</v>
      </c>
      <c r="F2914" s="15">
        <v>2828</v>
      </c>
      <c r="G2914" s="8" t="s">
        <v>12324</v>
      </c>
      <c r="H2914" s="24" t="s">
        <v>1259</v>
      </c>
      <c r="I2914" s="25">
        <v>27096</v>
      </c>
      <c r="J2914" s="8" t="s">
        <v>1261</v>
      </c>
      <c r="K2914" s="8" t="s">
        <v>10040</v>
      </c>
      <c r="L2914" s="15">
        <v>0.161244</v>
      </c>
      <c r="M2914" s="15">
        <v>0.55561700000000003</v>
      </c>
      <c r="N2914" s="15">
        <v>0.84666464972527467</v>
      </c>
    </row>
    <row r="2915" spans="1:14" x14ac:dyDescent="0.2">
      <c r="A2915" s="2" t="s">
        <v>10068</v>
      </c>
      <c r="B2915" s="15">
        <v>931</v>
      </c>
      <c r="C2915" s="15">
        <v>6</v>
      </c>
      <c r="D2915" s="15">
        <v>5378214</v>
      </c>
      <c r="E2915" s="15">
        <v>6621937</v>
      </c>
      <c r="F2915" s="15">
        <v>4165</v>
      </c>
      <c r="G2915" s="8" t="s">
        <v>12324</v>
      </c>
      <c r="H2915" s="24" t="s">
        <v>6565</v>
      </c>
      <c r="I2915" s="25" t="s">
        <v>6475</v>
      </c>
      <c r="J2915" s="8" t="s">
        <v>6566</v>
      </c>
      <c r="K2915" s="8" t="s">
        <v>10054</v>
      </c>
      <c r="L2915" s="15">
        <v>-0.158778</v>
      </c>
      <c r="M2915" s="15">
        <v>0.55655100000000002</v>
      </c>
      <c r="N2915" s="15">
        <v>0.84734077754891868</v>
      </c>
    </row>
    <row r="2916" spans="1:14" x14ac:dyDescent="0.2">
      <c r="A2916" s="2" t="s">
        <v>10068</v>
      </c>
      <c r="B2916" s="15">
        <v>1716</v>
      </c>
      <c r="C2916" s="15">
        <v>11</v>
      </c>
      <c r="D2916" s="15">
        <v>107846825</v>
      </c>
      <c r="E2916" s="15">
        <v>109891837</v>
      </c>
      <c r="F2916" s="15">
        <v>3763</v>
      </c>
      <c r="G2916" s="8" t="s">
        <v>12324</v>
      </c>
      <c r="H2916" s="24" t="s">
        <v>599</v>
      </c>
      <c r="I2916" s="25">
        <v>26562</v>
      </c>
      <c r="J2916" s="8" t="s">
        <v>601</v>
      </c>
      <c r="K2916" s="8" t="s">
        <v>10040</v>
      </c>
      <c r="L2916" s="15">
        <v>0.12526599999999999</v>
      </c>
      <c r="M2916" s="15">
        <v>0.55694900000000003</v>
      </c>
      <c r="N2916" s="15">
        <v>0.84765573610157874</v>
      </c>
    </row>
    <row r="2917" spans="1:14" x14ac:dyDescent="0.2">
      <c r="A2917" s="2" t="s">
        <v>10068</v>
      </c>
      <c r="B2917" s="15">
        <v>2326</v>
      </c>
      <c r="C2917" s="15">
        <v>19</v>
      </c>
      <c r="D2917" s="15">
        <v>17750519</v>
      </c>
      <c r="E2917" s="15">
        <v>18504867</v>
      </c>
      <c r="F2917" s="15">
        <v>2318</v>
      </c>
      <c r="G2917" s="8" t="s">
        <v>12324</v>
      </c>
      <c r="H2917" s="24" t="s">
        <v>494</v>
      </c>
      <c r="I2917" s="25">
        <v>25920</v>
      </c>
      <c r="J2917" s="8" t="s">
        <v>496</v>
      </c>
      <c r="K2917" s="8" t="s">
        <v>10040</v>
      </c>
      <c r="L2917" s="15">
        <v>0.119195</v>
      </c>
      <c r="M2917" s="15">
        <v>0.558203</v>
      </c>
      <c r="N2917" s="15">
        <v>0.84786559637730696</v>
      </c>
    </row>
    <row r="2918" spans="1:14" x14ac:dyDescent="0.2">
      <c r="A2918" s="2" t="s">
        <v>10068</v>
      </c>
      <c r="B2918" s="15">
        <v>229</v>
      </c>
      <c r="C2918" s="15">
        <v>2</v>
      </c>
      <c r="D2918" s="15">
        <v>25895395</v>
      </c>
      <c r="E2918" s="15">
        <v>26894102</v>
      </c>
      <c r="F2918" s="15">
        <v>2111</v>
      </c>
      <c r="G2918" s="8" t="s">
        <v>12324</v>
      </c>
      <c r="H2918" s="24" t="s">
        <v>599</v>
      </c>
      <c r="I2918" s="25">
        <v>26562</v>
      </c>
      <c r="J2918" s="8" t="s">
        <v>601</v>
      </c>
      <c r="K2918" s="8" t="s">
        <v>10040</v>
      </c>
      <c r="L2918" s="15">
        <v>8.8534199999999993E-2</v>
      </c>
      <c r="M2918" s="15">
        <v>0.55812200000000001</v>
      </c>
      <c r="N2918" s="15">
        <v>0.84786559637730696</v>
      </c>
    </row>
    <row r="2919" spans="1:14" x14ac:dyDescent="0.2">
      <c r="A2919" s="2" t="s">
        <v>10068</v>
      </c>
      <c r="B2919" s="15">
        <v>2049</v>
      </c>
      <c r="C2919" s="15">
        <v>15</v>
      </c>
      <c r="D2919" s="15">
        <v>39238841</v>
      </c>
      <c r="E2919" s="15">
        <v>40604780</v>
      </c>
      <c r="F2919" s="15">
        <v>3295</v>
      </c>
      <c r="G2919" s="8" t="s">
        <v>12324</v>
      </c>
      <c r="H2919" s="24" t="s">
        <v>599</v>
      </c>
      <c r="I2919" s="25">
        <v>26562</v>
      </c>
      <c r="J2919" s="8" t="s">
        <v>601</v>
      </c>
      <c r="K2919" s="8" t="s">
        <v>10040</v>
      </c>
      <c r="L2919" s="15">
        <v>-9.2172400000000002E-2</v>
      </c>
      <c r="M2919" s="15">
        <v>0.55932599999999999</v>
      </c>
      <c r="N2919" s="15">
        <v>0.84786559637730696</v>
      </c>
    </row>
    <row r="2920" spans="1:14" x14ac:dyDescent="0.2">
      <c r="A2920" s="2" t="s">
        <v>10069</v>
      </c>
      <c r="B2920" s="15">
        <v>789</v>
      </c>
      <c r="C2920" s="15">
        <v>5</v>
      </c>
      <c r="D2920" s="15">
        <v>13608148</v>
      </c>
      <c r="E2920" s="15">
        <v>14910295</v>
      </c>
      <c r="F2920" s="15">
        <v>2279</v>
      </c>
      <c r="G2920" s="8" t="s">
        <v>12324</v>
      </c>
      <c r="H2920" s="24" t="s">
        <v>662</v>
      </c>
      <c r="I2920" s="25" t="s">
        <v>663</v>
      </c>
      <c r="J2920" s="8" t="s">
        <v>664</v>
      </c>
      <c r="K2920" s="8" t="s">
        <v>10040</v>
      </c>
      <c r="L2920" s="15">
        <v>0.14346200000000001</v>
      </c>
      <c r="M2920" s="15">
        <v>0.55882799999999999</v>
      </c>
      <c r="N2920" s="15">
        <v>0.84786559637730696</v>
      </c>
    </row>
    <row r="2921" spans="1:14" x14ac:dyDescent="0.2">
      <c r="A2921" s="2" t="s">
        <v>10068</v>
      </c>
      <c r="B2921" s="15">
        <v>838</v>
      </c>
      <c r="C2921" s="15">
        <v>5</v>
      </c>
      <c r="D2921" s="15">
        <v>75239303</v>
      </c>
      <c r="E2921" s="15">
        <v>75959515</v>
      </c>
      <c r="F2921" s="15">
        <v>2198</v>
      </c>
      <c r="G2921" s="8" t="s">
        <v>12324</v>
      </c>
      <c r="H2921" s="24" t="s">
        <v>1259</v>
      </c>
      <c r="I2921" s="25">
        <v>27096</v>
      </c>
      <c r="J2921" s="8" t="s">
        <v>1261</v>
      </c>
      <c r="K2921" s="8" t="s">
        <v>10040</v>
      </c>
      <c r="L2921" s="15">
        <v>-9.9447999999999995E-2</v>
      </c>
      <c r="M2921" s="15">
        <v>0.55809399999999998</v>
      </c>
      <c r="N2921" s="15">
        <v>0.84786559637730696</v>
      </c>
    </row>
    <row r="2922" spans="1:14" x14ac:dyDescent="0.2">
      <c r="A2922" s="2" t="s">
        <v>10068</v>
      </c>
      <c r="B2922" s="15">
        <v>96</v>
      </c>
      <c r="C2922" s="15">
        <v>1</v>
      </c>
      <c r="D2922" s="15">
        <v>109271450</v>
      </c>
      <c r="E2922" s="15">
        <v>110224230</v>
      </c>
      <c r="F2922" s="15">
        <v>2188</v>
      </c>
      <c r="G2922" s="8" t="s">
        <v>12324</v>
      </c>
      <c r="H2922" s="24" t="s">
        <v>1259</v>
      </c>
      <c r="I2922" s="25">
        <v>27096</v>
      </c>
      <c r="J2922" s="8" t="s">
        <v>1261</v>
      </c>
      <c r="K2922" s="8" t="s">
        <v>10040</v>
      </c>
      <c r="L2922" s="15">
        <v>-0.16789999999999999</v>
      </c>
      <c r="M2922" s="15">
        <v>0.55846600000000002</v>
      </c>
      <c r="N2922" s="15">
        <v>0.84786559637730696</v>
      </c>
    </row>
    <row r="2923" spans="1:14" x14ac:dyDescent="0.2">
      <c r="A2923" s="2" t="s">
        <v>10068</v>
      </c>
      <c r="B2923" s="15">
        <v>1512</v>
      </c>
      <c r="C2923" s="15">
        <v>10</v>
      </c>
      <c r="D2923" s="15">
        <v>24489448</v>
      </c>
      <c r="E2923" s="15">
        <v>25577761</v>
      </c>
      <c r="F2923" s="15">
        <v>2521</v>
      </c>
      <c r="G2923" s="8" t="s">
        <v>12324</v>
      </c>
      <c r="H2923" s="24" t="s">
        <v>1259</v>
      </c>
      <c r="I2923" s="25">
        <v>27096</v>
      </c>
      <c r="J2923" s="8" t="s">
        <v>1261</v>
      </c>
      <c r="K2923" s="8" t="s">
        <v>10040</v>
      </c>
      <c r="L2923" s="15">
        <v>0.15131800000000001</v>
      </c>
      <c r="M2923" s="15">
        <v>0.55875900000000001</v>
      </c>
      <c r="N2923" s="15">
        <v>0.84786559637730696</v>
      </c>
    </row>
    <row r="2924" spans="1:14" x14ac:dyDescent="0.2">
      <c r="A2924" s="2" t="s">
        <v>10066</v>
      </c>
      <c r="B2924" s="15">
        <v>2120</v>
      </c>
      <c r="C2924" s="15">
        <v>16</v>
      </c>
      <c r="D2924" s="15">
        <v>17343278</v>
      </c>
      <c r="E2924" s="15">
        <v>19104257</v>
      </c>
      <c r="F2924" s="15">
        <v>3351</v>
      </c>
      <c r="G2924" s="8" t="s">
        <v>12324</v>
      </c>
      <c r="H2924" s="24" t="s">
        <v>3164</v>
      </c>
      <c r="I2924" s="25" t="s">
        <v>3165</v>
      </c>
      <c r="J2924" s="8" t="s">
        <v>3166</v>
      </c>
      <c r="K2924" s="8" t="s">
        <v>10042</v>
      </c>
      <c r="L2924" s="15">
        <v>-7.1858199999999997E-2</v>
      </c>
      <c r="M2924" s="15">
        <v>0.55749400000000005</v>
      </c>
      <c r="N2924" s="15">
        <v>0.84786559637730696</v>
      </c>
    </row>
    <row r="2925" spans="1:14" x14ac:dyDescent="0.2">
      <c r="A2925" s="2" t="s">
        <v>10066</v>
      </c>
      <c r="B2925" s="15">
        <v>379</v>
      </c>
      <c r="C2925" s="15">
        <v>2</v>
      </c>
      <c r="D2925" s="15">
        <v>199654970</v>
      </c>
      <c r="E2925" s="15">
        <v>201324132</v>
      </c>
      <c r="F2925" s="15">
        <v>2772</v>
      </c>
      <c r="G2925" s="8" t="s">
        <v>12324</v>
      </c>
      <c r="H2925" s="24" t="s">
        <v>3164</v>
      </c>
      <c r="I2925" s="25" t="s">
        <v>3165</v>
      </c>
      <c r="J2925" s="8" t="s">
        <v>3166</v>
      </c>
      <c r="K2925" s="8" t="s">
        <v>10042</v>
      </c>
      <c r="L2925" s="15">
        <v>-0.12878800000000001</v>
      </c>
      <c r="M2925" s="15">
        <v>0.55938100000000002</v>
      </c>
      <c r="N2925" s="15">
        <v>0.84786559637730696</v>
      </c>
    </row>
    <row r="2926" spans="1:14" x14ac:dyDescent="0.2">
      <c r="A2926" s="2" t="s">
        <v>10066</v>
      </c>
      <c r="B2926" s="15">
        <v>205</v>
      </c>
      <c r="C2926" s="15">
        <v>2</v>
      </c>
      <c r="D2926" s="15">
        <v>2680064</v>
      </c>
      <c r="E2926" s="15">
        <v>3314202</v>
      </c>
      <c r="F2926" s="15">
        <v>2199</v>
      </c>
      <c r="G2926" s="8" t="s">
        <v>12324</v>
      </c>
      <c r="H2926" s="24" t="s">
        <v>6008</v>
      </c>
      <c r="I2926" s="25" t="s">
        <v>6009</v>
      </c>
      <c r="J2926" s="8" t="s">
        <v>6010</v>
      </c>
      <c r="K2926" s="8" t="s">
        <v>10051</v>
      </c>
      <c r="L2926" s="15">
        <v>-9.2083100000000001E-2</v>
      </c>
      <c r="M2926" s="15">
        <v>0.55908100000000005</v>
      </c>
      <c r="N2926" s="15">
        <v>0.84786559637730696</v>
      </c>
    </row>
    <row r="2927" spans="1:14" x14ac:dyDescent="0.2">
      <c r="A2927" s="2" t="s">
        <v>10068</v>
      </c>
      <c r="B2927" s="15">
        <v>187</v>
      </c>
      <c r="C2927" s="15">
        <v>1</v>
      </c>
      <c r="D2927" s="15">
        <v>237409459</v>
      </c>
      <c r="E2927" s="15">
        <v>238094455</v>
      </c>
      <c r="F2927" s="15">
        <v>2382</v>
      </c>
      <c r="G2927" s="8" t="s">
        <v>12324</v>
      </c>
      <c r="H2927" s="24" t="s">
        <v>6565</v>
      </c>
      <c r="I2927" s="25" t="s">
        <v>6475</v>
      </c>
      <c r="J2927" s="8" t="s">
        <v>6566</v>
      </c>
      <c r="K2927" s="8" t="s">
        <v>10054</v>
      </c>
      <c r="L2927" s="15">
        <v>0.19089900000000001</v>
      </c>
      <c r="M2927" s="15">
        <v>0.55774699999999999</v>
      </c>
      <c r="N2927" s="15">
        <v>0.84786559637730696</v>
      </c>
    </row>
    <row r="2928" spans="1:14" x14ac:dyDescent="0.2">
      <c r="A2928" s="2" t="s">
        <v>10068</v>
      </c>
      <c r="B2928" s="15">
        <v>360</v>
      </c>
      <c r="C2928" s="15">
        <v>2</v>
      </c>
      <c r="D2928" s="15">
        <v>174927564</v>
      </c>
      <c r="E2928" s="15">
        <v>176734750</v>
      </c>
      <c r="F2928" s="15">
        <v>4020</v>
      </c>
      <c r="G2928" s="8" t="s">
        <v>12324</v>
      </c>
      <c r="H2928" s="24" t="s">
        <v>6565</v>
      </c>
      <c r="I2928" s="25" t="s">
        <v>6475</v>
      </c>
      <c r="J2928" s="8" t="s">
        <v>6566</v>
      </c>
      <c r="K2928" s="8" t="s">
        <v>10054</v>
      </c>
      <c r="L2928" s="15">
        <v>0.13916400000000001</v>
      </c>
      <c r="M2928" s="15">
        <v>0.55884800000000001</v>
      </c>
      <c r="N2928" s="15">
        <v>0.84786559637730696</v>
      </c>
    </row>
    <row r="2929" spans="1:14" x14ac:dyDescent="0.2">
      <c r="A2929" s="2" t="s">
        <v>10068</v>
      </c>
      <c r="B2929" s="15">
        <v>2215</v>
      </c>
      <c r="C2929" s="15">
        <v>17</v>
      </c>
      <c r="D2929" s="15">
        <v>53468007</v>
      </c>
      <c r="E2929" s="15">
        <v>54950107</v>
      </c>
      <c r="F2929" s="15">
        <v>3511</v>
      </c>
      <c r="G2929" s="8" t="s">
        <v>12324</v>
      </c>
      <c r="H2929" s="24" t="s">
        <v>599</v>
      </c>
      <c r="I2929" s="25">
        <v>26562</v>
      </c>
      <c r="J2929" s="8" t="s">
        <v>601</v>
      </c>
      <c r="K2929" s="8" t="s">
        <v>10040</v>
      </c>
      <c r="L2929" s="15">
        <v>8.9635800000000002E-2</v>
      </c>
      <c r="M2929" s="15">
        <v>0.55998199999999998</v>
      </c>
      <c r="N2929" s="15">
        <v>0.84848656303382297</v>
      </c>
    </row>
    <row r="2930" spans="1:14" x14ac:dyDescent="0.2">
      <c r="A2930" s="2" t="s">
        <v>10069</v>
      </c>
      <c r="B2930" s="15">
        <v>2260</v>
      </c>
      <c r="C2930" s="15">
        <v>18</v>
      </c>
      <c r="D2930" s="15">
        <v>26861068</v>
      </c>
      <c r="E2930" s="15">
        <v>27823155</v>
      </c>
      <c r="F2930" s="15">
        <v>1663</v>
      </c>
      <c r="G2930" s="8" t="s">
        <v>12324</v>
      </c>
      <c r="H2930" s="24" t="s">
        <v>662</v>
      </c>
      <c r="I2930" s="25" t="s">
        <v>663</v>
      </c>
      <c r="J2930" s="8" t="s">
        <v>664</v>
      </c>
      <c r="K2930" s="8" t="s">
        <v>10040</v>
      </c>
      <c r="L2930" s="15">
        <v>-0.27648800000000001</v>
      </c>
      <c r="M2930" s="15">
        <v>0.56100300000000003</v>
      </c>
      <c r="N2930" s="15">
        <v>0.84974327356557378</v>
      </c>
    </row>
    <row r="2931" spans="1:14" x14ac:dyDescent="0.2">
      <c r="A2931" s="2" t="s">
        <v>10069</v>
      </c>
      <c r="B2931" s="15">
        <v>1061</v>
      </c>
      <c r="C2931" s="15">
        <v>6</v>
      </c>
      <c r="D2931" s="15">
        <v>134313644</v>
      </c>
      <c r="E2931" s="15">
        <v>135544083</v>
      </c>
      <c r="F2931" s="15">
        <v>2005</v>
      </c>
      <c r="G2931" s="8" t="s">
        <v>12324</v>
      </c>
      <c r="H2931" s="24" t="s">
        <v>662</v>
      </c>
      <c r="I2931" s="25" t="s">
        <v>663</v>
      </c>
      <c r="J2931" s="8" t="s">
        <v>664</v>
      </c>
      <c r="K2931" s="8" t="s">
        <v>10040</v>
      </c>
      <c r="L2931" s="15">
        <v>0.17510000000000001</v>
      </c>
      <c r="M2931" s="15">
        <v>0.561195</v>
      </c>
      <c r="N2931" s="15">
        <v>0.84974388016387847</v>
      </c>
    </row>
    <row r="2932" spans="1:14" x14ac:dyDescent="0.2">
      <c r="A2932" s="2" t="s">
        <v>10068</v>
      </c>
      <c r="B2932" s="15">
        <v>435</v>
      </c>
      <c r="C2932" s="15">
        <v>3</v>
      </c>
      <c r="D2932" s="15">
        <v>12859210</v>
      </c>
      <c r="E2932" s="15">
        <v>14312007</v>
      </c>
      <c r="F2932" s="15">
        <v>4191</v>
      </c>
      <c r="G2932" s="8" t="s">
        <v>12324</v>
      </c>
      <c r="H2932" s="24" t="s">
        <v>1259</v>
      </c>
      <c r="I2932" s="25">
        <v>27096</v>
      </c>
      <c r="J2932" s="8" t="s">
        <v>1261</v>
      </c>
      <c r="K2932" s="8" t="s">
        <v>10040</v>
      </c>
      <c r="L2932" s="15">
        <v>0.138326</v>
      </c>
      <c r="M2932" s="15">
        <v>0.56259899999999996</v>
      </c>
      <c r="N2932" s="15">
        <v>0.85129000341180483</v>
      </c>
    </row>
    <row r="2933" spans="1:14" x14ac:dyDescent="0.2">
      <c r="A2933" s="2" t="s">
        <v>10066</v>
      </c>
      <c r="B2933" s="15">
        <v>183</v>
      </c>
      <c r="C2933" s="15">
        <v>1</v>
      </c>
      <c r="D2933" s="15">
        <v>233639474</v>
      </c>
      <c r="E2933" s="15">
        <v>234365796</v>
      </c>
      <c r="F2933" s="15">
        <v>2447</v>
      </c>
      <c r="G2933" s="8" t="s">
        <v>12324</v>
      </c>
      <c r="H2933" s="24" t="s">
        <v>3164</v>
      </c>
      <c r="I2933" s="25" t="s">
        <v>3165</v>
      </c>
      <c r="J2933" s="8" t="s">
        <v>3166</v>
      </c>
      <c r="K2933" s="8" t="s">
        <v>10042</v>
      </c>
      <c r="L2933" s="15">
        <v>-0.15404599999999999</v>
      </c>
      <c r="M2933" s="15">
        <v>0.56259999999999999</v>
      </c>
      <c r="N2933" s="15">
        <v>0.85129000341180483</v>
      </c>
    </row>
    <row r="2934" spans="1:14" x14ac:dyDescent="0.2">
      <c r="A2934" s="2" t="s">
        <v>10068</v>
      </c>
      <c r="B2934" s="15">
        <v>1598</v>
      </c>
      <c r="C2934" s="15">
        <v>10</v>
      </c>
      <c r="D2934" s="15">
        <v>124894143</v>
      </c>
      <c r="E2934" s="15">
        <v>125798319</v>
      </c>
      <c r="F2934" s="15">
        <v>3173</v>
      </c>
      <c r="G2934" s="8" t="s">
        <v>12324</v>
      </c>
      <c r="H2934" s="24" t="s">
        <v>1259</v>
      </c>
      <c r="I2934" s="25">
        <v>27096</v>
      </c>
      <c r="J2934" s="8" t="s">
        <v>1261</v>
      </c>
      <c r="K2934" s="8" t="s">
        <v>10040</v>
      </c>
      <c r="L2934" s="15">
        <v>0.15951000000000001</v>
      </c>
      <c r="M2934" s="15">
        <v>0.56338600000000005</v>
      </c>
      <c r="N2934" s="15">
        <v>0.85218857776261947</v>
      </c>
    </row>
    <row r="2935" spans="1:14" x14ac:dyDescent="0.2">
      <c r="A2935" s="2" t="s">
        <v>10068</v>
      </c>
      <c r="B2935" s="15">
        <v>918</v>
      </c>
      <c r="C2935" s="15">
        <v>5</v>
      </c>
      <c r="D2935" s="15">
        <v>170898341</v>
      </c>
      <c r="E2935" s="15">
        <v>172285682</v>
      </c>
      <c r="F2935" s="15">
        <v>3754</v>
      </c>
      <c r="G2935" s="8" t="s">
        <v>12324</v>
      </c>
      <c r="H2935" s="24" t="s">
        <v>1259</v>
      </c>
      <c r="I2935" s="25">
        <v>27096</v>
      </c>
      <c r="J2935" s="8" t="s">
        <v>1261</v>
      </c>
      <c r="K2935" s="8" t="s">
        <v>10040</v>
      </c>
      <c r="L2935" s="15">
        <v>0.13799600000000001</v>
      </c>
      <c r="M2935" s="15">
        <v>0.56369800000000003</v>
      </c>
      <c r="N2935" s="15">
        <v>0.85236980225025583</v>
      </c>
    </row>
    <row r="2936" spans="1:14" x14ac:dyDescent="0.2">
      <c r="A2936" s="2" t="s">
        <v>10068</v>
      </c>
      <c r="B2936" s="15">
        <v>1806</v>
      </c>
      <c r="C2936" s="15">
        <v>12</v>
      </c>
      <c r="D2936" s="15">
        <v>71177962</v>
      </c>
      <c r="E2936" s="15">
        <v>71948185</v>
      </c>
      <c r="F2936" s="15">
        <v>2113</v>
      </c>
      <c r="G2936" s="8" t="s">
        <v>12324</v>
      </c>
      <c r="H2936" s="24" t="s">
        <v>599</v>
      </c>
      <c r="I2936" s="25">
        <v>26562</v>
      </c>
      <c r="J2936" s="8" t="s">
        <v>601</v>
      </c>
      <c r="K2936" s="8" t="s">
        <v>10040</v>
      </c>
      <c r="L2936" s="15">
        <v>-0.17230000000000001</v>
      </c>
      <c r="M2936" s="15">
        <v>0.56485300000000005</v>
      </c>
      <c r="N2936" s="15">
        <v>0.8533372019754768</v>
      </c>
    </row>
    <row r="2937" spans="1:14" x14ac:dyDescent="0.2">
      <c r="A2937" s="2" t="s">
        <v>10069</v>
      </c>
      <c r="B2937" s="15">
        <v>2470</v>
      </c>
      <c r="C2937" s="15">
        <v>22</v>
      </c>
      <c r="D2937" s="15">
        <v>25282437</v>
      </c>
      <c r="E2937" s="15">
        <v>26166934</v>
      </c>
      <c r="F2937" s="15">
        <v>1192</v>
      </c>
      <c r="G2937" s="8" t="s">
        <v>12324</v>
      </c>
      <c r="H2937" s="24" t="s">
        <v>662</v>
      </c>
      <c r="I2937" s="25" t="s">
        <v>663</v>
      </c>
      <c r="J2937" s="8" t="s">
        <v>664</v>
      </c>
      <c r="K2937" s="8" t="s">
        <v>10040</v>
      </c>
      <c r="L2937" s="15">
        <v>-0.16891300000000001</v>
      </c>
      <c r="M2937" s="15">
        <v>0.56472500000000003</v>
      </c>
      <c r="N2937" s="15">
        <v>0.8533372019754768</v>
      </c>
    </row>
    <row r="2938" spans="1:14" x14ac:dyDescent="0.2">
      <c r="A2938" s="2" t="s">
        <v>10066</v>
      </c>
      <c r="B2938" s="15">
        <v>1267</v>
      </c>
      <c r="C2938" s="15">
        <v>8</v>
      </c>
      <c r="D2938" s="15">
        <v>21650454</v>
      </c>
      <c r="E2938" s="15">
        <v>22895018</v>
      </c>
      <c r="F2938" s="15">
        <v>3081</v>
      </c>
      <c r="G2938" s="8" t="s">
        <v>12324</v>
      </c>
      <c r="H2938" s="24" t="s">
        <v>3164</v>
      </c>
      <c r="I2938" s="25" t="s">
        <v>3165</v>
      </c>
      <c r="J2938" s="8" t="s">
        <v>3166</v>
      </c>
      <c r="K2938" s="8" t="s">
        <v>10042</v>
      </c>
      <c r="L2938" s="15">
        <v>0.17505799999999999</v>
      </c>
      <c r="M2938" s="15">
        <v>0.56491499999999994</v>
      </c>
      <c r="N2938" s="15">
        <v>0.8533372019754768</v>
      </c>
    </row>
    <row r="2939" spans="1:14" x14ac:dyDescent="0.2">
      <c r="A2939" s="2" t="s">
        <v>10068</v>
      </c>
      <c r="B2939" s="15">
        <v>1360</v>
      </c>
      <c r="C2939" s="15">
        <v>8</v>
      </c>
      <c r="D2939" s="15">
        <v>135313674</v>
      </c>
      <c r="E2939" s="15">
        <v>136220342</v>
      </c>
      <c r="F2939" s="15">
        <v>2636</v>
      </c>
      <c r="G2939" s="8" t="s">
        <v>12324</v>
      </c>
      <c r="H2939" s="24" t="s">
        <v>6565</v>
      </c>
      <c r="I2939" s="25" t="s">
        <v>6475</v>
      </c>
      <c r="J2939" s="8" t="s">
        <v>6566</v>
      </c>
      <c r="K2939" s="8" t="s">
        <v>10054</v>
      </c>
      <c r="L2939" s="15">
        <v>9.0886700000000001E-2</v>
      </c>
      <c r="M2939" s="15">
        <v>0.56512899999999999</v>
      </c>
      <c r="N2939" s="15">
        <v>0.85336980422199515</v>
      </c>
    </row>
    <row r="2940" spans="1:14" x14ac:dyDescent="0.2">
      <c r="A2940" s="2" t="s">
        <v>10068</v>
      </c>
      <c r="B2940" s="15">
        <v>2471</v>
      </c>
      <c r="C2940" s="15">
        <v>22</v>
      </c>
      <c r="D2940" s="15">
        <v>26166935</v>
      </c>
      <c r="E2940" s="15">
        <v>27192923</v>
      </c>
      <c r="F2940" s="15">
        <v>3178</v>
      </c>
      <c r="G2940" s="8" t="s">
        <v>12324</v>
      </c>
      <c r="H2940" s="24" t="s">
        <v>494</v>
      </c>
      <c r="I2940" s="25">
        <v>25920</v>
      </c>
      <c r="J2940" s="8" t="s">
        <v>496</v>
      </c>
      <c r="K2940" s="8" t="s">
        <v>10040</v>
      </c>
      <c r="L2940" s="15">
        <v>-9.1534000000000004E-2</v>
      </c>
      <c r="M2940" s="15">
        <v>0.56598899999999996</v>
      </c>
      <c r="N2940" s="15">
        <v>0.85382801020408172</v>
      </c>
    </row>
    <row r="2941" spans="1:14" x14ac:dyDescent="0.2">
      <c r="A2941" s="2" t="s">
        <v>10068</v>
      </c>
      <c r="B2941" s="15">
        <v>2493</v>
      </c>
      <c r="C2941" s="15">
        <v>22</v>
      </c>
      <c r="D2941" s="15">
        <v>48977539</v>
      </c>
      <c r="E2941" s="15">
        <v>49559207</v>
      </c>
      <c r="F2941" s="15">
        <v>3471</v>
      </c>
      <c r="G2941" s="8" t="s">
        <v>12324</v>
      </c>
      <c r="H2941" s="24" t="s">
        <v>599</v>
      </c>
      <c r="I2941" s="25">
        <v>26562</v>
      </c>
      <c r="J2941" s="8" t="s">
        <v>601</v>
      </c>
      <c r="K2941" s="8" t="s">
        <v>10040</v>
      </c>
      <c r="L2941" s="15">
        <v>0.131637</v>
      </c>
      <c r="M2941" s="15">
        <v>0.56598800000000005</v>
      </c>
      <c r="N2941" s="15">
        <v>0.85382801020408172</v>
      </c>
    </row>
    <row r="2942" spans="1:14" x14ac:dyDescent="0.2">
      <c r="A2942" s="2" t="s">
        <v>10066</v>
      </c>
      <c r="B2942" s="15">
        <v>1536</v>
      </c>
      <c r="C2942" s="15">
        <v>10</v>
      </c>
      <c r="D2942" s="15">
        <v>53919162</v>
      </c>
      <c r="E2942" s="15">
        <v>55104428</v>
      </c>
      <c r="F2942" s="15">
        <v>3475</v>
      </c>
      <c r="G2942" s="8" t="s">
        <v>12324</v>
      </c>
      <c r="H2942" s="24" t="s">
        <v>3164</v>
      </c>
      <c r="I2942" s="25" t="s">
        <v>3165</v>
      </c>
      <c r="J2942" s="8" t="s">
        <v>3166</v>
      </c>
      <c r="K2942" s="8" t="s">
        <v>10042</v>
      </c>
      <c r="L2942" s="15">
        <v>0.14433299999999999</v>
      </c>
      <c r="M2942" s="15">
        <v>0.56601000000000001</v>
      </c>
      <c r="N2942" s="15">
        <v>0.85382801020408172</v>
      </c>
    </row>
    <row r="2943" spans="1:14" x14ac:dyDescent="0.2">
      <c r="A2943" s="2" t="s">
        <v>10068</v>
      </c>
      <c r="B2943" s="15">
        <v>1481</v>
      </c>
      <c r="C2943" s="15">
        <v>9</v>
      </c>
      <c r="D2943" s="15">
        <v>137593528</v>
      </c>
      <c r="E2943" s="15">
        <v>138202112</v>
      </c>
      <c r="F2943" s="15">
        <v>2655</v>
      </c>
      <c r="G2943" s="8" t="s">
        <v>12324</v>
      </c>
      <c r="H2943" s="24" t="s">
        <v>6565</v>
      </c>
      <c r="I2943" s="25" t="s">
        <v>6475</v>
      </c>
      <c r="J2943" s="8" t="s">
        <v>6566</v>
      </c>
      <c r="K2943" s="8" t="s">
        <v>10054</v>
      </c>
      <c r="L2943" s="15">
        <v>-0.10187499999999999</v>
      </c>
      <c r="M2943" s="15">
        <v>0.56692399999999998</v>
      </c>
      <c r="N2943" s="15">
        <v>0.8549159945596736</v>
      </c>
    </row>
    <row r="2944" spans="1:14" x14ac:dyDescent="0.2">
      <c r="A2944" s="2" t="s">
        <v>10068</v>
      </c>
      <c r="B2944" s="15">
        <v>1612</v>
      </c>
      <c r="C2944" s="15">
        <v>11</v>
      </c>
      <c r="D2944" s="15">
        <v>1857846</v>
      </c>
      <c r="E2944" s="15">
        <v>2477449</v>
      </c>
      <c r="F2944" s="15">
        <v>2201</v>
      </c>
      <c r="G2944" s="8" t="s">
        <v>12324</v>
      </c>
      <c r="H2944" s="24" t="s">
        <v>494</v>
      </c>
      <c r="I2944" s="25">
        <v>25920</v>
      </c>
      <c r="J2944" s="8" t="s">
        <v>496</v>
      </c>
      <c r="K2944" s="8" t="s">
        <v>10040</v>
      </c>
      <c r="L2944" s="15">
        <v>-6.9588399999999995E-2</v>
      </c>
      <c r="M2944" s="15">
        <v>0.56956799999999996</v>
      </c>
      <c r="N2944" s="15">
        <v>0.85504195578805264</v>
      </c>
    </row>
    <row r="2945" spans="1:14" x14ac:dyDescent="0.2">
      <c r="A2945" s="2" t="s">
        <v>10068</v>
      </c>
      <c r="B2945" s="15">
        <v>1153</v>
      </c>
      <c r="C2945" s="15">
        <v>7</v>
      </c>
      <c r="D2945" s="15">
        <v>55161395</v>
      </c>
      <c r="E2945" s="15">
        <v>56303513</v>
      </c>
      <c r="F2945" s="15">
        <v>3613</v>
      </c>
      <c r="G2945" s="8" t="s">
        <v>12324</v>
      </c>
      <c r="H2945" s="24" t="s">
        <v>494</v>
      </c>
      <c r="I2945" s="25">
        <v>25920</v>
      </c>
      <c r="J2945" s="8" t="s">
        <v>496</v>
      </c>
      <c r="K2945" s="8" t="s">
        <v>10040</v>
      </c>
      <c r="L2945" s="15">
        <v>0.21800800000000001</v>
      </c>
      <c r="M2945" s="15">
        <v>0.57121900000000003</v>
      </c>
      <c r="N2945" s="15">
        <v>0.85504195578805264</v>
      </c>
    </row>
    <row r="2946" spans="1:14" x14ac:dyDescent="0.2">
      <c r="A2946" s="2" t="s">
        <v>10068</v>
      </c>
      <c r="B2946" s="15">
        <v>301</v>
      </c>
      <c r="C2946" s="15">
        <v>2</v>
      </c>
      <c r="D2946" s="15">
        <v>105120579</v>
      </c>
      <c r="E2946" s="15">
        <v>106546524</v>
      </c>
      <c r="F2946" s="15">
        <v>3935</v>
      </c>
      <c r="G2946" s="8" t="s">
        <v>12324</v>
      </c>
      <c r="H2946" s="24" t="s">
        <v>599</v>
      </c>
      <c r="I2946" s="25">
        <v>26562</v>
      </c>
      <c r="J2946" s="8" t="s">
        <v>601</v>
      </c>
      <c r="K2946" s="8" t="s">
        <v>10040</v>
      </c>
      <c r="L2946" s="15">
        <v>-0.13892699999999999</v>
      </c>
      <c r="M2946" s="15">
        <v>0.56767500000000004</v>
      </c>
      <c r="N2946" s="15">
        <v>0.85504195578805264</v>
      </c>
    </row>
    <row r="2947" spans="1:14" x14ac:dyDescent="0.2">
      <c r="A2947" s="2" t="s">
        <v>10068</v>
      </c>
      <c r="B2947" s="15">
        <v>1360</v>
      </c>
      <c r="C2947" s="15">
        <v>8</v>
      </c>
      <c r="D2947" s="15">
        <v>135313674</v>
      </c>
      <c r="E2947" s="15">
        <v>136220342</v>
      </c>
      <c r="F2947" s="15">
        <v>2636</v>
      </c>
      <c r="G2947" s="8" t="s">
        <v>12324</v>
      </c>
      <c r="H2947" s="24" t="s">
        <v>599</v>
      </c>
      <c r="I2947" s="25">
        <v>26562</v>
      </c>
      <c r="J2947" s="8" t="s">
        <v>601</v>
      </c>
      <c r="K2947" s="8" t="s">
        <v>10040</v>
      </c>
      <c r="L2947" s="15">
        <v>9.0012099999999998E-2</v>
      </c>
      <c r="M2947" s="15">
        <v>0.56998199999999999</v>
      </c>
      <c r="N2947" s="15">
        <v>0.85504195578805264</v>
      </c>
    </row>
    <row r="2948" spans="1:14" x14ac:dyDescent="0.2">
      <c r="A2948" s="2" t="s">
        <v>10068</v>
      </c>
      <c r="B2948" s="15">
        <v>276</v>
      </c>
      <c r="C2948" s="15">
        <v>2</v>
      </c>
      <c r="D2948" s="15">
        <v>70756284</v>
      </c>
      <c r="E2948" s="15">
        <v>71385813</v>
      </c>
      <c r="F2948" s="15">
        <v>2199</v>
      </c>
      <c r="G2948" s="8" t="s">
        <v>12324</v>
      </c>
      <c r="H2948" s="24" t="s">
        <v>599</v>
      </c>
      <c r="I2948" s="25">
        <v>26562</v>
      </c>
      <c r="J2948" s="8" t="s">
        <v>601</v>
      </c>
      <c r="K2948" s="8" t="s">
        <v>10040</v>
      </c>
      <c r="L2948" s="15">
        <v>-0.186776</v>
      </c>
      <c r="M2948" s="15">
        <v>0.57077100000000003</v>
      </c>
      <c r="N2948" s="15">
        <v>0.85504195578805264</v>
      </c>
    </row>
    <row r="2949" spans="1:14" x14ac:dyDescent="0.2">
      <c r="A2949" s="2" t="s">
        <v>10068</v>
      </c>
      <c r="B2949" s="15">
        <v>1845</v>
      </c>
      <c r="C2949" s="15">
        <v>12</v>
      </c>
      <c r="D2949" s="15">
        <v>116197676</v>
      </c>
      <c r="E2949" s="15">
        <v>117091843</v>
      </c>
      <c r="F2949" s="15">
        <v>2352</v>
      </c>
      <c r="G2949" s="8" t="s">
        <v>12324</v>
      </c>
      <c r="H2949" s="24" t="s">
        <v>599</v>
      </c>
      <c r="I2949" s="25">
        <v>26562</v>
      </c>
      <c r="J2949" s="8" t="s">
        <v>601</v>
      </c>
      <c r="K2949" s="8" t="s">
        <v>10040</v>
      </c>
      <c r="L2949" s="15">
        <v>-0.13255400000000001</v>
      </c>
      <c r="M2949" s="15">
        <v>0.57124900000000001</v>
      </c>
      <c r="N2949" s="15">
        <v>0.85504195578805264</v>
      </c>
    </row>
    <row r="2950" spans="1:14" x14ac:dyDescent="0.2">
      <c r="A2950" s="2" t="s">
        <v>10069</v>
      </c>
      <c r="B2950" s="15">
        <v>1589</v>
      </c>
      <c r="C2950" s="15">
        <v>10</v>
      </c>
      <c r="D2950" s="15">
        <v>114255955</v>
      </c>
      <c r="E2950" s="15">
        <v>115588903</v>
      </c>
      <c r="F2950" s="15">
        <v>1952</v>
      </c>
      <c r="G2950" s="8" t="s">
        <v>12324</v>
      </c>
      <c r="H2950" s="24" t="s">
        <v>662</v>
      </c>
      <c r="I2950" s="25" t="s">
        <v>663</v>
      </c>
      <c r="J2950" s="8" t="s">
        <v>664</v>
      </c>
      <c r="K2950" s="8" t="s">
        <v>10040</v>
      </c>
      <c r="L2950" s="15">
        <v>-0.19470999999999999</v>
      </c>
      <c r="M2950" s="15">
        <v>0.56727899999999998</v>
      </c>
      <c r="N2950" s="15">
        <v>0.85504195578805264</v>
      </c>
    </row>
    <row r="2951" spans="1:14" x14ac:dyDescent="0.2">
      <c r="A2951" s="2" t="s">
        <v>10069</v>
      </c>
      <c r="B2951" s="15">
        <v>624</v>
      </c>
      <c r="C2951" s="15">
        <v>4</v>
      </c>
      <c r="D2951" s="15">
        <v>25832019</v>
      </c>
      <c r="E2951" s="15">
        <v>27385580</v>
      </c>
      <c r="F2951" s="15">
        <v>2095</v>
      </c>
      <c r="G2951" s="8" t="s">
        <v>12324</v>
      </c>
      <c r="H2951" s="24" t="s">
        <v>662</v>
      </c>
      <c r="I2951" s="25" t="s">
        <v>663</v>
      </c>
      <c r="J2951" s="8" t="s">
        <v>664</v>
      </c>
      <c r="K2951" s="8" t="s">
        <v>10040</v>
      </c>
      <c r="L2951" s="15">
        <v>-0.185333</v>
      </c>
      <c r="M2951" s="15">
        <v>0.56827399999999995</v>
      </c>
      <c r="N2951" s="15">
        <v>0.85504195578805264</v>
      </c>
    </row>
    <row r="2952" spans="1:14" x14ac:dyDescent="0.2">
      <c r="A2952" s="2" t="s">
        <v>10068</v>
      </c>
      <c r="B2952" s="15">
        <v>446</v>
      </c>
      <c r="C2952" s="15">
        <v>3</v>
      </c>
      <c r="D2952" s="15">
        <v>25516194</v>
      </c>
      <c r="E2952" s="15">
        <v>26905340</v>
      </c>
      <c r="F2952" s="15">
        <v>3449</v>
      </c>
      <c r="G2952" s="8" t="s">
        <v>12324</v>
      </c>
      <c r="H2952" s="24" t="s">
        <v>1259</v>
      </c>
      <c r="I2952" s="25">
        <v>27096</v>
      </c>
      <c r="J2952" s="8" t="s">
        <v>1261</v>
      </c>
      <c r="K2952" s="8" t="s">
        <v>10040</v>
      </c>
      <c r="L2952" s="15">
        <v>-0.22456999999999999</v>
      </c>
      <c r="M2952" s="15">
        <v>0.56837599999999999</v>
      </c>
      <c r="N2952" s="15">
        <v>0.85504195578805264</v>
      </c>
    </row>
    <row r="2953" spans="1:14" x14ac:dyDescent="0.2">
      <c r="A2953" s="2" t="s">
        <v>10068</v>
      </c>
      <c r="B2953" s="15">
        <v>2177</v>
      </c>
      <c r="C2953" s="15">
        <v>17</v>
      </c>
      <c r="D2953" s="15">
        <v>3430441</v>
      </c>
      <c r="E2953" s="15">
        <v>4463971</v>
      </c>
      <c r="F2953" s="15">
        <v>3173</v>
      </c>
      <c r="G2953" s="8" t="s">
        <v>12324</v>
      </c>
      <c r="H2953" s="24" t="s">
        <v>1259</v>
      </c>
      <c r="I2953" s="25">
        <v>27096</v>
      </c>
      <c r="J2953" s="8" t="s">
        <v>1261</v>
      </c>
      <c r="K2953" s="8" t="s">
        <v>10040</v>
      </c>
      <c r="L2953" s="15">
        <v>-9.4388E-2</v>
      </c>
      <c r="M2953" s="15">
        <v>0.56880500000000001</v>
      </c>
      <c r="N2953" s="15">
        <v>0.85504195578805264</v>
      </c>
    </row>
    <row r="2954" spans="1:14" x14ac:dyDescent="0.2">
      <c r="A2954" s="2" t="s">
        <v>10068</v>
      </c>
      <c r="B2954" s="15">
        <v>1015</v>
      </c>
      <c r="C2954" s="15">
        <v>6</v>
      </c>
      <c r="D2954" s="15">
        <v>82388205</v>
      </c>
      <c r="E2954" s="15">
        <v>83571953</v>
      </c>
      <c r="F2954" s="15">
        <v>3018</v>
      </c>
      <c r="G2954" s="8" t="s">
        <v>12324</v>
      </c>
      <c r="H2954" s="24" t="s">
        <v>1259</v>
      </c>
      <c r="I2954" s="25">
        <v>27096</v>
      </c>
      <c r="J2954" s="8" t="s">
        <v>1261</v>
      </c>
      <c r="K2954" s="8" t="s">
        <v>10040</v>
      </c>
      <c r="L2954" s="15">
        <v>-0.185611</v>
      </c>
      <c r="M2954" s="15">
        <v>0.56945599999999996</v>
      </c>
      <c r="N2954" s="15">
        <v>0.85504195578805264</v>
      </c>
    </row>
    <row r="2955" spans="1:14" x14ac:dyDescent="0.2">
      <c r="A2955" s="2" t="s">
        <v>10068</v>
      </c>
      <c r="B2955" s="15">
        <v>2435</v>
      </c>
      <c r="C2955" s="15">
        <v>21</v>
      </c>
      <c r="D2955" s="15">
        <v>19479025</v>
      </c>
      <c r="E2955" s="15">
        <v>20407307</v>
      </c>
      <c r="F2955" s="15">
        <v>3161</v>
      </c>
      <c r="G2955" s="8" t="s">
        <v>12324</v>
      </c>
      <c r="H2955" s="24" t="s">
        <v>1259</v>
      </c>
      <c r="I2955" s="25">
        <v>27096</v>
      </c>
      <c r="J2955" s="8" t="s">
        <v>1261</v>
      </c>
      <c r="K2955" s="8" t="s">
        <v>10040</v>
      </c>
      <c r="L2955" s="15">
        <v>0.17263600000000001</v>
      </c>
      <c r="M2955" s="15">
        <v>0.57030999999999998</v>
      </c>
      <c r="N2955" s="15">
        <v>0.85504195578805264</v>
      </c>
    </row>
    <row r="2956" spans="1:14" x14ac:dyDescent="0.2">
      <c r="A2956" s="2" t="s">
        <v>10068</v>
      </c>
      <c r="B2956" s="15">
        <v>2317</v>
      </c>
      <c r="C2956" s="15">
        <v>19</v>
      </c>
      <c r="D2956" s="15">
        <v>9105578</v>
      </c>
      <c r="E2956" s="15">
        <v>10028840</v>
      </c>
      <c r="F2956" s="15">
        <v>2588</v>
      </c>
      <c r="G2956" s="8" t="s">
        <v>12324</v>
      </c>
      <c r="H2956" s="24" t="s">
        <v>1259</v>
      </c>
      <c r="I2956" s="25">
        <v>27096</v>
      </c>
      <c r="J2956" s="8" t="s">
        <v>1261</v>
      </c>
      <c r="K2956" s="8" t="s">
        <v>10040</v>
      </c>
      <c r="L2956" s="15">
        <v>-8.3701899999999996E-2</v>
      </c>
      <c r="M2956" s="15">
        <v>0.570766</v>
      </c>
      <c r="N2956" s="15">
        <v>0.85504195578805264</v>
      </c>
    </row>
    <row r="2957" spans="1:14" x14ac:dyDescent="0.2">
      <c r="A2957" s="2" t="s">
        <v>10066</v>
      </c>
      <c r="B2957" s="15">
        <v>1075</v>
      </c>
      <c r="C2957" s="15">
        <v>6</v>
      </c>
      <c r="D2957" s="15">
        <v>152376500</v>
      </c>
      <c r="E2957" s="15">
        <v>153082361</v>
      </c>
      <c r="F2957" s="15">
        <v>2143</v>
      </c>
      <c r="G2957" s="8" t="s">
        <v>12324</v>
      </c>
      <c r="H2957" s="24" t="s">
        <v>3164</v>
      </c>
      <c r="I2957" s="25" t="s">
        <v>3165</v>
      </c>
      <c r="J2957" s="8" t="s">
        <v>3166</v>
      </c>
      <c r="K2957" s="8" t="s">
        <v>10042</v>
      </c>
      <c r="L2957" s="15">
        <v>-8.9488700000000004E-2</v>
      </c>
      <c r="M2957" s="15">
        <v>0.56870799999999999</v>
      </c>
      <c r="N2957" s="15">
        <v>0.85504195578805264</v>
      </c>
    </row>
    <row r="2958" spans="1:14" x14ac:dyDescent="0.2">
      <c r="A2958" s="2" t="s">
        <v>10066</v>
      </c>
      <c r="B2958" s="15">
        <v>2409</v>
      </c>
      <c r="C2958" s="15">
        <v>20</v>
      </c>
      <c r="D2958" s="15">
        <v>45673604</v>
      </c>
      <c r="E2958" s="15">
        <v>46486132</v>
      </c>
      <c r="F2958" s="15">
        <v>2144</v>
      </c>
      <c r="G2958" s="8" t="s">
        <v>12324</v>
      </c>
      <c r="H2958" s="24" t="s">
        <v>3164</v>
      </c>
      <c r="I2958" s="25" t="s">
        <v>3165</v>
      </c>
      <c r="J2958" s="8" t="s">
        <v>3166</v>
      </c>
      <c r="K2958" s="8" t="s">
        <v>10042</v>
      </c>
      <c r="L2958" s="15">
        <v>-0.14513200000000001</v>
      </c>
      <c r="M2958" s="15">
        <v>0.56886000000000003</v>
      </c>
      <c r="N2958" s="15">
        <v>0.85504195578805264</v>
      </c>
    </row>
    <row r="2959" spans="1:14" x14ac:dyDescent="0.2">
      <c r="A2959" s="2" t="s">
        <v>10066</v>
      </c>
      <c r="B2959" s="15">
        <v>1490</v>
      </c>
      <c r="C2959" s="15">
        <v>10</v>
      </c>
      <c r="D2959" s="15">
        <v>3880323</v>
      </c>
      <c r="E2959" s="15">
        <v>4813182</v>
      </c>
      <c r="F2959" s="15">
        <v>2827</v>
      </c>
      <c r="G2959" s="8" t="s">
        <v>12324</v>
      </c>
      <c r="H2959" s="24" t="s">
        <v>6008</v>
      </c>
      <c r="I2959" s="25" t="s">
        <v>6009</v>
      </c>
      <c r="J2959" s="8" t="s">
        <v>6010</v>
      </c>
      <c r="K2959" s="8" t="s">
        <v>10051</v>
      </c>
      <c r="L2959" s="15">
        <v>-0.116816</v>
      </c>
      <c r="M2959" s="15">
        <v>0.56890700000000005</v>
      </c>
      <c r="N2959" s="15">
        <v>0.85504195578805264</v>
      </c>
    </row>
    <row r="2960" spans="1:14" x14ac:dyDescent="0.2">
      <c r="A2960" s="2" t="s">
        <v>10066</v>
      </c>
      <c r="B2960" s="15">
        <v>1750</v>
      </c>
      <c r="C2960" s="15">
        <v>12</v>
      </c>
      <c r="D2960" s="15">
        <v>10176714</v>
      </c>
      <c r="E2960" s="15">
        <v>10946140</v>
      </c>
      <c r="F2960" s="15">
        <v>2233</v>
      </c>
      <c r="G2960" s="8" t="s">
        <v>12324</v>
      </c>
      <c r="H2960" s="24" t="s">
        <v>6008</v>
      </c>
      <c r="I2960" s="25" t="s">
        <v>6009</v>
      </c>
      <c r="J2960" s="8" t="s">
        <v>6010</v>
      </c>
      <c r="K2960" s="8" t="s">
        <v>10051</v>
      </c>
      <c r="L2960" s="15">
        <v>0.22173000000000001</v>
      </c>
      <c r="M2960" s="15">
        <v>0.57123699999999999</v>
      </c>
      <c r="N2960" s="15">
        <v>0.85504195578805264</v>
      </c>
    </row>
    <row r="2961" spans="1:14" x14ac:dyDescent="0.2">
      <c r="A2961" s="2" t="s">
        <v>10068</v>
      </c>
      <c r="B2961" s="15">
        <v>2044</v>
      </c>
      <c r="C2961" s="15">
        <v>15</v>
      </c>
      <c r="D2961" s="15">
        <v>33484268</v>
      </c>
      <c r="E2961" s="15">
        <v>34410072</v>
      </c>
      <c r="F2961" s="15">
        <v>3215</v>
      </c>
      <c r="G2961" s="8" t="s">
        <v>12324</v>
      </c>
      <c r="H2961" s="24" t="s">
        <v>6565</v>
      </c>
      <c r="I2961" s="25" t="s">
        <v>6475</v>
      </c>
      <c r="J2961" s="8" t="s">
        <v>6566</v>
      </c>
      <c r="K2961" s="8" t="s">
        <v>10054</v>
      </c>
      <c r="L2961" s="15">
        <v>-0.15015500000000001</v>
      </c>
      <c r="M2961" s="15">
        <v>0.56759800000000005</v>
      </c>
      <c r="N2961" s="15">
        <v>0.85504195578805264</v>
      </c>
    </row>
    <row r="2962" spans="1:14" x14ac:dyDescent="0.2">
      <c r="A2962" s="2" t="s">
        <v>10068</v>
      </c>
      <c r="B2962" s="15">
        <v>283</v>
      </c>
      <c r="C2962" s="15">
        <v>2</v>
      </c>
      <c r="D2962" s="15">
        <v>77372831</v>
      </c>
      <c r="E2962" s="15">
        <v>78080057</v>
      </c>
      <c r="F2962" s="15">
        <v>2179</v>
      </c>
      <c r="G2962" s="8" t="s">
        <v>12324</v>
      </c>
      <c r="H2962" s="24" t="s">
        <v>6565</v>
      </c>
      <c r="I2962" s="25" t="s">
        <v>6475</v>
      </c>
      <c r="J2962" s="8" t="s">
        <v>6566</v>
      </c>
      <c r="K2962" s="8" t="s">
        <v>10054</v>
      </c>
      <c r="L2962" s="15">
        <v>0.156415</v>
      </c>
      <c r="M2962" s="15">
        <v>0.56894900000000004</v>
      </c>
      <c r="N2962" s="15">
        <v>0.85504195578805264</v>
      </c>
    </row>
    <row r="2963" spans="1:14" x14ac:dyDescent="0.2">
      <c r="A2963" s="2" t="s">
        <v>10068</v>
      </c>
      <c r="B2963" s="15">
        <v>570</v>
      </c>
      <c r="C2963" s="15">
        <v>3</v>
      </c>
      <c r="D2963" s="15">
        <v>168972663</v>
      </c>
      <c r="E2963" s="15">
        <v>170174578</v>
      </c>
      <c r="F2963" s="15">
        <v>2770</v>
      </c>
      <c r="G2963" s="8" t="s">
        <v>12324</v>
      </c>
      <c r="H2963" s="24" t="s">
        <v>6565</v>
      </c>
      <c r="I2963" s="25" t="s">
        <v>6475</v>
      </c>
      <c r="J2963" s="8" t="s">
        <v>6566</v>
      </c>
      <c r="K2963" s="8" t="s">
        <v>10054</v>
      </c>
      <c r="L2963" s="15">
        <v>-0.16011300000000001</v>
      </c>
      <c r="M2963" s="15">
        <v>0.56966300000000003</v>
      </c>
      <c r="N2963" s="15">
        <v>0.85504195578805264</v>
      </c>
    </row>
    <row r="2964" spans="1:14" x14ac:dyDescent="0.2">
      <c r="A2964" s="2" t="s">
        <v>10068</v>
      </c>
      <c r="B2964" s="15">
        <v>2233</v>
      </c>
      <c r="C2964" s="15">
        <v>17</v>
      </c>
      <c r="D2964" s="15">
        <v>76596288</v>
      </c>
      <c r="E2964" s="15">
        <v>77412786</v>
      </c>
      <c r="F2964" s="15">
        <v>2894</v>
      </c>
      <c r="G2964" s="8" t="s">
        <v>12324</v>
      </c>
      <c r="H2964" s="24" t="s">
        <v>6565</v>
      </c>
      <c r="I2964" s="25" t="s">
        <v>6475</v>
      </c>
      <c r="J2964" s="8" t="s">
        <v>6566</v>
      </c>
      <c r="K2964" s="8" t="s">
        <v>10054</v>
      </c>
      <c r="L2964" s="15">
        <v>0.11226999999999999</v>
      </c>
      <c r="M2964" s="15">
        <v>0.57052899999999995</v>
      </c>
      <c r="N2964" s="15">
        <v>0.85504195578805264</v>
      </c>
    </row>
    <row r="2965" spans="1:14" x14ac:dyDescent="0.2">
      <c r="A2965" s="2" t="s">
        <v>10068</v>
      </c>
      <c r="B2965" s="15">
        <v>1756</v>
      </c>
      <c r="C2965" s="15">
        <v>12</v>
      </c>
      <c r="D2965" s="15">
        <v>16136743</v>
      </c>
      <c r="E2965" s="15">
        <v>17374895</v>
      </c>
      <c r="F2965" s="15">
        <v>2289</v>
      </c>
      <c r="G2965" s="8" t="s">
        <v>12324</v>
      </c>
      <c r="H2965" s="24" t="s">
        <v>6565</v>
      </c>
      <c r="I2965" s="25" t="s">
        <v>6475</v>
      </c>
      <c r="J2965" s="8" t="s">
        <v>6566</v>
      </c>
      <c r="K2965" s="8" t="s">
        <v>10054</v>
      </c>
      <c r="L2965" s="15">
        <v>-0.115208</v>
      </c>
      <c r="M2965" s="15">
        <v>0.57072999999999996</v>
      </c>
      <c r="N2965" s="15">
        <v>0.85504195578805264</v>
      </c>
    </row>
    <row r="2966" spans="1:14" x14ac:dyDescent="0.2">
      <c r="A2966" s="2" t="s">
        <v>10068</v>
      </c>
      <c r="B2966" s="15">
        <v>2310</v>
      </c>
      <c r="C2966" s="15">
        <v>19</v>
      </c>
      <c r="D2966" s="15">
        <v>3085447</v>
      </c>
      <c r="E2966" s="15">
        <v>3893909</v>
      </c>
      <c r="F2966" s="15">
        <v>2669</v>
      </c>
      <c r="G2966" s="8" t="s">
        <v>12324</v>
      </c>
      <c r="H2966" s="24" t="s">
        <v>494</v>
      </c>
      <c r="I2966" s="25">
        <v>25920</v>
      </c>
      <c r="J2966" s="8" t="s">
        <v>496</v>
      </c>
      <c r="K2966" s="8" t="s">
        <v>10040</v>
      </c>
      <c r="L2966" s="15">
        <v>9.2355800000000002E-2</v>
      </c>
      <c r="M2966" s="15">
        <v>0.57163600000000003</v>
      </c>
      <c r="N2966" s="15">
        <v>0.85525198145025294</v>
      </c>
    </row>
    <row r="2967" spans="1:14" x14ac:dyDescent="0.2">
      <c r="A2967" s="2" t="s">
        <v>10066</v>
      </c>
      <c r="B2967" s="15">
        <v>1246</v>
      </c>
      <c r="C2967" s="15">
        <v>8</v>
      </c>
      <c r="D2967" s="15">
        <v>8064601</v>
      </c>
      <c r="E2967" s="15">
        <v>8589770</v>
      </c>
      <c r="F2967" s="15">
        <v>1890</v>
      </c>
      <c r="G2967" s="8" t="s">
        <v>12324</v>
      </c>
      <c r="H2967" s="24" t="s">
        <v>6008</v>
      </c>
      <c r="I2967" s="25" t="s">
        <v>6009</v>
      </c>
      <c r="J2967" s="8" t="s">
        <v>6010</v>
      </c>
      <c r="K2967" s="8" t="s">
        <v>10051</v>
      </c>
      <c r="L2967" s="15">
        <v>0.14158599999999999</v>
      </c>
      <c r="M2967" s="15">
        <v>0.57177500000000003</v>
      </c>
      <c r="N2967" s="15">
        <v>0.85525198145025294</v>
      </c>
    </row>
    <row r="2968" spans="1:14" x14ac:dyDescent="0.2">
      <c r="A2968" s="2" t="s">
        <v>10068</v>
      </c>
      <c r="B2968" s="15">
        <v>230</v>
      </c>
      <c r="C2968" s="15">
        <v>2</v>
      </c>
      <c r="D2968" s="15">
        <v>26894103</v>
      </c>
      <c r="E2968" s="15">
        <v>28819510</v>
      </c>
      <c r="F2968" s="15">
        <v>3438</v>
      </c>
      <c r="G2968" s="8" t="s">
        <v>12324</v>
      </c>
      <c r="H2968" s="24" t="s">
        <v>494</v>
      </c>
      <c r="I2968" s="25">
        <v>25920</v>
      </c>
      <c r="J2968" s="8" t="s">
        <v>496</v>
      </c>
      <c r="K2968" s="8" t="s">
        <v>10040</v>
      </c>
      <c r="L2968" s="15">
        <v>-0.15736800000000001</v>
      </c>
      <c r="M2968" s="15">
        <v>0.57221200000000005</v>
      </c>
      <c r="N2968" s="15">
        <v>0.85558728513650151</v>
      </c>
    </row>
    <row r="2969" spans="1:14" x14ac:dyDescent="0.2">
      <c r="A2969" s="2" t="s">
        <v>10066</v>
      </c>
      <c r="B2969" s="15">
        <v>2154</v>
      </c>
      <c r="C2969" s="15">
        <v>16</v>
      </c>
      <c r="D2969" s="15">
        <v>75525960</v>
      </c>
      <c r="E2969" s="15">
        <v>76635467</v>
      </c>
      <c r="F2969" s="15">
        <v>3311</v>
      </c>
      <c r="G2969" s="8" t="s">
        <v>12324</v>
      </c>
      <c r="H2969" s="24" t="s">
        <v>6008</v>
      </c>
      <c r="I2969" s="25" t="s">
        <v>6009</v>
      </c>
      <c r="J2969" s="8" t="s">
        <v>6010</v>
      </c>
      <c r="K2969" s="8" t="s">
        <v>10051</v>
      </c>
      <c r="L2969" s="15">
        <v>-0.105917</v>
      </c>
      <c r="M2969" s="15">
        <v>0.57238500000000003</v>
      </c>
      <c r="N2969" s="15">
        <v>0.85558728513650151</v>
      </c>
    </row>
    <row r="2970" spans="1:14" x14ac:dyDescent="0.2">
      <c r="A2970" s="2" t="s">
        <v>10069</v>
      </c>
      <c r="B2970" s="15">
        <v>46</v>
      </c>
      <c r="C2970" s="15">
        <v>1</v>
      </c>
      <c r="D2970" s="15">
        <v>53114187</v>
      </c>
      <c r="E2970" s="15">
        <v>54771293</v>
      </c>
      <c r="F2970" s="15">
        <v>2340</v>
      </c>
      <c r="G2970" s="8" t="s">
        <v>12324</v>
      </c>
      <c r="H2970" s="24" t="s">
        <v>662</v>
      </c>
      <c r="I2970" s="25" t="s">
        <v>663</v>
      </c>
      <c r="J2970" s="8" t="s">
        <v>664</v>
      </c>
      <c r="K2970" s="8" t="s">
        <v>10040</v>
      </c>
      <c r="L2970" s="15">
        <v>-0.17342399999999999</v>
      </c>
      <c r="M2970" s="15">
        <v>0.57307799999999998</v>
      </c>
      <c r="N2970" s="15">
        <v>0.85604611990569213</v>
      </c>
    </row>
    <row r="2971" spans="1:14" x14ac:dyDescent="0.2">
      <c r="A2971" s="2" t="s">
        <v>10066</v>
      </c>
      <c r="B2971" s="15">
        <v>1670</v>
      </c>
      <c r="C2971" s="15">
        <v>11</v>
      </c>
      <c r="D2971" s="15">
        <v>59256233</v>
      </c>
      <c r="E2971" s="15">
        <v>60515105</v>
      </c>
      <c r="F2971" s="15">
        <v>2736</v>
      </c>
      <c r="G2971" s="8" t="s">
        <v>12324</v>
      </c>
      <c r="H2971" s="24" t="s">
        <v>3164</v>
      </c>
      <c r="I2971" s="25" t="s">
        <v>3165</v>
      </c>
      <c r="J2971" s="8" t="s">
        <v>3166</v>
      </c>
      <c r="K2971" s="8" t="s">
        <v>10042</v>
      </c>
      <c r="L2971" s="15">
        <v>0.127855</v>
      </c>
      <c r="M2971" s="15">
        <v>0.57295399999999996</v>
      </c>
      <c r="N2971" s="15">
        <v>0.85604611990569213</v>
      </c>
    </row>
    <row r="2972" spans="1:14" x14ac:dyDescent="0.2">
      <c r="A2972" s="2" t="s">
        <v>10066</v>
      </c>
      <c r="B2972" s="15">
        <v>474</v>
      </c>
      <c r="C2972" s="15">
        <v>3</v>
      </c>
      <c r="D2972" s="15">
        <v>61277588</v>
      </c>
      <c r="E2972" s="15">
        <v>62609818</v>
      </c>
      <c r="F2972" s="15">
        <v>3268</v>
      </c>
      <c r="G2972" s="8" t="s">
        <v>12324</v>
      </c>
      <c r="H2972" s="24" t="s">
        <v>6008</v>
      </c>
      <c r="I2972" s="25" t="s">
        <v>6009</v>
      </c>
      <c r="J2972" s="8" t="s">
        <v>6010</v>
      </c>
      <c r="K2972" s="8" t="s">
        <v>10051</v>
      </c>
      <c r="L2972" s="15">
        <v>-0.15772800000000001</v>
      </c>
      <c r="M2972" s="15">
        <v>0.57335100000000006</v>
      </c>
      <c r="N2972" s="15">
        <v>0.85616555050505061</v>
      </c>
    </row>
    <row r="2973" spans="1:14" x14ac:dyDescent="0.2">
      <c r="A2973" s="2" t="s">
        <v>10069</v>
      </c>
      <c r="B2973" s="15">
        <v>924</v>
      </c>
      <c r="C2973" s="15">
        <v>5</v>
      </c>
      <c r="D2973" s="15">
        <v>178595253</v>
      </c>
      <c r="E2973" s="15">
        <v>179794710</v>
      </c>
      <c r="F2973" s="15">
        <v>2252</v>
      </c>
      <c r="G2973" s="8" t="s">
        <v>12324</v>
      </c>
      <c r="H2973" s="24" t="s">
        <v>662</v>
      </c>
      <c r="I2973" s="25" t="s">
        <v>663</v>
      </c>
      <c r="J2973" s="8" t="s">
        <v>664</v>
      </c>
      <c r="K2973" s="8" t="s">
        <v>10040</v>
      </c>
      <c r="L2973" s="15">
        <v>-0.161132</v>
      </c>
      <c r="M2973" s="15">
        <v>0.57380500000000001</v>
      </c>
      <c r="N2973" s="15">
        <v>0.85631911170928676</v>
      </c>
    </row>
    <row r="2974" spans="1:14" x14ac:dyDescent="0.2">
      <c r="A2974" s="2" t="s">
        <v>10069</v>
      </c>
      <c r="B2974" s="15">
        <v>378</v>
      </c>
      <c r="C2974" s="15">
        <v>2</v>
      </c>
      <c r="D2974" s="15">
        <v>198140351</v>
      </c>
      <c r="E2974" s="15">
        <v>199654969</v>
      </c>
      <c r="F2974" s="15">
        <v>1593</v>
      </c>
      <c r="G2974" s="8" t="s">
        <v>12324</v>
      </c>
      <c r="H2974" s="24" t="s">
        <v>662</v>
      </c>
      <c r="I2974" s="25" t="s">
        <v>663</v>
      </c>
      <c r="J2974" s="8" t="s">
        <v>664</v>
      </c>
      <c r="K2974" s="8" t="s">
        <v>10040</v>
      </c>
      <c r="L2974" s="15">
        <v>0.18907599999999999</v>
      </c>
      <c r="M2974" s="15">
        <v>0.57384000000000002</v>
      </c>
      <c r="N2974" s="15">
        <v>0.85631911170928676</v>
      </c>
    </row>
    <row r="2975" spans="1:14" x14ac:dyDescent="0.2">
      <c r="A2975" s="2" t="s">
        <v>10068</v>
      </c>
      <c r="B2975" s="15">
        <v>1648</v>
      </c>
      <c r="C2975" s="15">
        <v>11</v>
      </c>
      <c r="D2975" s="15">
        <v>35500368</v>
      </c>
      <c r="E2975" s="15">
        <v>36331189</v>
      </c>
      <c r="F2975" s="15">
        <v>2153</v>
      </c>
      <c r="G2975" s="8" t="s">
        <v>12324</v>
      </c>
      <c r="H2975" s="24" t="s">
        <v>6565</v>
      </c>
      <c r="I2975" s="25" t="s">
        <v>6475</v>
      </c>
      <c r="J2975" s="8" t="s">
        <v>6566</v>
      </c>
      <c r="K2975" s="8" t="s">
        <v>10054</v>
      </c>
      <c r="L2975" s="15">
        <v>-8.2058800000000001E-2</v>
      </c>
      <c r="M2975" s="15">
        <v>0.57446399999999997</v>
      </c>
      <c r="N2975" s="15">
        <v>0.85696193743693228</v>
      </c>
    </row>
    <row r="2976" spans="1:14" x14ac:dyDescent="0.2">
      <c r="A2976" s="2" t="s">
        <v>10068</v>
      </c>
      <c r="B2976" s="15">
        <v>1487</v>
      </c>
      <c r="C2976" s="15">
        <v>10</v>
      </c>
      <c r="D2976" s="15">
        <v>1872961</v>
      </c>
      <c r="E2976" s="15">
        <v>2637065</v>
      </c>
      <c r="F2976" s="15">
        <v>3434</v>
      </c>
      <c r="G2976" s="8" t="s">
        <v>12324</v>
      </c>
      <c r="H2976" s="24" t="s">
        <v>494</v>
      </c>
      <c r="I2976" s="25">
        <v>25920</v>
      </c>
      <c r="J2976" s="8" t="s">
        <v>496</v>
      </c>
      <c r="K2976" s="8" t="s">
        <v>10040</v>
      </c>
      <c r="L2976" s="15">
        <v>0.18395500000000001</v>
      </c>
      <c r="M2976" s="15">
        <v>0.57473799999999997</v>
      </c>
      <c r="N2976" s="15">
        <v>0.8570823907195696</v>
      </c>
    </row>
    <row r="2977" spans="1:14" x14ac:dyDescent="0.2">
      <c r="A2977" s="2" t="s">
        <v>10066</v>
      </c>
      <c r="B2977" s="15">
        <v>1215</v>
      </c>
      <c r="C2977" s="15">
        <v>7</v>
      </c>
      <c r="D2977" s="15">
        <v>138755108</v>
      </c>
      <c r="E2977" s="15">
        <v>140217630</v>
      </c>
      <c r="F2977" s="15">
        <v>3476</v>
      </c>
      <c r="G2977" s="8" t="s">
        <v>12324</v>
      </c>
      <c r="H2977" s="24" t="s">
        <v>6008</v>
      </c>
      <c r="I2977" s="25" t="s">
        <v>6009</v>
      </c>
      <c r="J2977" s="8" t="s">
        <v>6010</v>
      </c>
      <c r="K2977" s="8" t="s">
        <v>10051</v>
      </c>
      <c r="L2977" s="15">
        <v>-0.113499</v>
      </c>
      <c r="M2977" s="15">
        <v>0.57495600000000002</v>
      </c>
      <c r="N2977" s="15">
        <v>0.85711928067226895</v>
      </c>
    </row>
    <row r="2978" spans="1:14" x14ac:dyDescent="0.2">
      <c r="A2978" s="2" t="s">
        <v>10068</v>
      </c>
      <c r="B2978" s="15">
        <v>2450</v>
      </c>
      <c r="C2978" s="15">
        <v>21</v>
      </c>
      <c r="D2978" s="15">
        <v>35729262</v>
      </c>
      <c r="E2978" s="15">
        <v>37303548</v>
      </c>
      <c r="F2978" s="15">
        <v>4147</v>
      </c>
      <c r="G2978" s="8" t="s">
        <v>12324</v>
      </c>
      <c r="H2978" s="24" t="s">
        <v>6565</v>
      </c>
      <c r="I2978" s="25" t="s">
        <v>6475</v>
      </c>
      <c r="J2978" s="8" t="s">
        <v>6566</v>
      </c>
      <c r="K2978" s="8" t="s">
        <v>10054</v>
      </c>
      <c r="L2978" s="15">
        <v>-0.21063799999999999</v>
      </c>
      <c r="M2978" s="15">
        <v>0.575295</v>
      </c>
      <c r="N2978" s="15">
        <v>0.85733646673387098</v>
      </c>
    </row>
    <row r="2979" spans="1:14" x14ac:dyDescent="0.2">
      <c r="A2979" s="2" t="s">
        <v>10068</v>
      </c>
      <c r="B2979" s="15">
        <v>1260</v>
      </c>
      <c r="C2979" s="15">
        <v>8</v>
      </c>
      <c r="D2979" s="15">
        <v>16988031</v>
      </c>
      <c r="E2979" s="15">
        <v>17492672</v>
      </c>
      <c r="F2979" s="15">
        <v>2056</v>
      </c>
      <c r="G2979" s="8" t="s">
        <v>12324</v>
      </c>
      <c r="H2979" s="24" t="s">
        <v>1259</v>
      </c>
      <c r="I2979" s="25">
        <v>27096</v>
      </c>
      <c r="J2979" s="8" t="s">
        <v>1261</v>
      </c>
      <c r="K2979" s="8" t="s">
        <v>10040</v>
      </c>
      <c r="L2979" s="15">
        <v>-0.10496999999999999</v>
      </c>
      <c r="M2979" s="15">
        <v>0.575519</v>
      </c>
      <c r="N2979" s="15">
        <v>0.85738218508565667</v>
      </c>
    </row>
    <row r="2980" spans="1:14" x14ac:dyDescent="0.2">
      <c r="A2980" s="2" t="s">
        <v>10068</v>
      </c>
      <c r="B2980" s="15">
        <v>1094</v>
      </c>
      <c r="C2980" s="15">
        <v>7</v>
      </c>
      <c r="D2980" s="15">
        <v>15064</v>
      </c>
      <c r="E2980" s="15">
        <v>617319</v>
      </c>
      <c r="F2980" s="15">
        <v>2201</v>
      </c>
      <c r="G2980" s="8" t="s">
        <v>12324</v>
      </c>
      <c r="H2980" s="24" t="s">
        <v>1259</v>
      </c>
      <c r="I2980" s="25">
        <v>27096</v>
      </c>
      <c r="J2980" s="8" t="s">
        <v>1261</v>
      </c>
      <c r="K2980" s="8" t="s">
        <v>10040</v>
      </c>
      <c r="L2980" s="15">
        <v>-7.3335800000000007E-2</v>
      </c>
      <c r="M2980" s="15">
        <v>0.57603400000000005</v>
      </c>
      <c r="N2980" s="15">
        <v>0.85783231957032569</v>
      </c>
    </row>
    <row r="2981" spans="1:14" x14ac:dyDescent="0.2">
      <c r="A2981" s="2" t="s">
        <v>10066</v>
      </c>
      <c r="B2981" s="15">
        <v>2292</v>
      </c>
      <c r="C2981" s="15">
        <v>18</v>
      </c>
      <c r="D2981" s="15">
        <v>64253144</v>
      </c>
      <c r="E2981" s="15">
        <v>65294195</v>
      </c>
      <c r="F2981" s="15">
        <v>3098</v>
      </c>
      <c r="G2981" s="8" t="s">
        <v>12324</v>
      </c>
      <c r="H2981" s="24" t="s">
        <v>6008</v>
      </c>
      <c r="I2981" s="25" t="s">
        <v>6009</v>
      </c>
      <c r="J2981" s="8" t="s">
        <v>6010</v>
      </c>
      <c r="K2981" s="8" t="s">
        <v>10051</v>
      </c>
      <c r="L2981" s="15">
        <v>-0.105444</v>
      </c>
      <c r="M2981" s="15">
        <v>0.57620800000000005</v>
      </c>
      <c r="N2981" s="15">
        <v>0.85783231957032569</v>
      </c>
    </row>
    <row r="2982" spans="1:14" x14ac:dyDescent="0.2">
      <c r="A2982" s="2" t="s">
        <v>10068</v>
      </c>
      <c r="B2982" s="15">
        <v>2443</v>
      </c>
      <c r="C2982" s="15">
        <v>21</v>
      </c>
      <c r="D2982" s="15">
        <v>27774351</v>
      </c>
      <c r="E2982" s="15">
        <v>28616539</v>
      </c>
      <c r="F2982" s="15">
        <v>2900</v>
      </c>
      <c r="G2982" s="8" t="s">
        <v>12324</v>
      </c>
      <c r="H2982" s="24" t="s">
        <v>494</v>
      </c>
      <c r="I2982" s="25">
        <v>25920</v>
      </c>
      <c r="J2982" s="8" t="s">
        <v>496</v>
      </c>
      <c r="K2982" s="8" t="s">
        <v>10040</v>
      </c>
      <c r="L2982" s="15">
        <v>-0.14846799999999999</v>
      </c>
      <c r="M2982" s="15">
        <v>0.57737899999999998</v>
      </c>
      <c r="N2982" s="15">
        <v>0.85894884808853134</v>
      </c>
    </row>
    <row r="2983" spans="1:14" x14ac:dyDescent="0.2">
      <c r="A2983" s="2" t="s">
        <v>10068</v>
      </c>
      <c r="B2983" s="15">
        <v>1563</v>
      </c>
      <c r="C2983" s="15">
        <v>10</v>
      </c>
      <c r="D2983" s="15">
        <v>83596351</v>
      </c>
      <c r="E2983" s="15">
        <v>84679429</v>
      </c>
      <c r="F2983" s="15">
        <v>2733</v>
      </c>
      <c r="G2983" s="8" t="s">
        <v>12324</v>
      </c>
      <c r="H2983" s="24" t="s">
        <v>6565</v>
      </c>
      <c r="I2983" s="25" t="s">
        <v>6475</v>
      </c>
      <c r="J2983" s="8" t="s">
        <v>6566</v>
      </c>
      <c r="K2983" s="8" t="s">
        <v>10054</v>
      </c>
      <c r="L2983" s="15">
        <v>0.18362700000000001</v>
      </c>
      <c r="M2983" s="15">
        <v>0.57743</v>
      </c>
      <c r="N2983" s="15">
        <v>0.85894884808853134</v>
      </c>
    </row>
    <row r="2984" spans="1:14" x14ac:dyDescent="0.2">
      <c r="A2984" s="2" t="s">
        <v>10068</v>
      </c>
      <c r="B2984" s="15">
        <v>2027</v>
      </c>
      <c r="C2984" s="15">
        <v>14</v>
      </c>
      <c r="D2984" s="15">
        <v>100786190</v>
      </c>
      <c r="E2984" s="15">
        <v>102004377</v>
      </c>
      <c r="F2984" s="15">
        <v>3277</v>
      </c>
      <c r="G2984" s="8" t="s">
        <v>12324</v>
      </c>
      <c r="H2984" s="24" t="s">
        <v>6565</v>
      </c>
      <c r="I2984" s="25" t="s">
        <v>6475</v>
      </c>
      <c r="J2984" s="8" t="s">
        <v>6566</v>
      </c>
      <c r="K2984" s="8" t="s">
        <v>10054</v>
      </c>
      <c r="L2984" s="15">
        <v>-7.0846199999999998E-2</v>
      </c>
      <c r="M2984" s="15">
        <v>0.57753900000000002</v>
      </c>
      <c r="N2984" s="15">
        <v>0.85894884808853134</v>
      </c>
    </row>
    <row r="2985" spans="1:14" x14ac:dyDescent="0.2">
      <c r="A2985" s="2" t="s">
        <v>10066</v>
      </c>
      <c r="B2985" s="15">
        <v>184</v>
      </c>
      <c r="C2985" s="15">
        <v>1</v>
      </c>
      <c r="D2985" s="15">
        <v>234365797</v>
      </c>
      <c r="E2985" s="15">
        <v>235097113</v>
      </c>
      <c r="F2985" s="15">
        <v>2254</v>
      </c>
      <c r="G2985" s="8" t="s">
        <v>12324</v>
      </c>
      <c r="H2985" s="24" t="s">
        <v>3164</v>
      </c>
      <c r="I2985" s="25" t="s">
        <v>3165</v>
      </c>
      <c r="J2985" s="8" t="s">
        <v>3166</v>
      </c>
      <c r="K2985" s="8" t="s">
        <v>10042</v>
      </c>
      <c r="L2985" s="15">
        <v>0.144765</v>
      </c>
      <c r="M2985" s="15">
        <v>0.57798300000000002</v>
      </c>
      <c r="N2985" s="15">
        <v>0.85932102078444517</v>
      </c>
    </row>
    <row r="2986" spans="1:14" x14ac:dyDescent="0.2">
      <c r="A2986" s="2" t="s">
        <v>10068</v>
      </c>
      <c r="B2986" s="15">
        <v>2410</v>
      </c>
      <c r="C2986" s="15">
        <v>20</v>
      </c>
      <c r="D2986" s="15">
        <v>46486133</v>
      </c>
      <c r="E2986" s="15">
        <v>47203836</v>
      </c>
      <c r="F2986" s="15">
        <v>2088</v>
      </c>
      <c r="G2986" s="8" t="s">
        <v>12324</v>
      </c>
      <c r="H2986" s="24" t="s">
        <v>599</v>
      </c>
      <c r="I2986" s="25">
        <v>26562</v>
      </c>
      <c r="J2986" s="8" t="s">
        <v>601</v>
      </c>
      <c r="K2986" s="8" t="s">
        <v>10040</v>
      </c>
      <c r="L2986" s="15">
        <v>7.9042899999999999E-2</v>
      </c>
      <c r="M2986" s="15">
        <v>0.57819900000000002</v>
      </c>
      <c r="N2986" s="15">
        <v>0.85935407674262732</v>
      </c>
    </row>
    <row r="2987" spans="1:14" x14ac:dyDescent="0.2">
      <c r="A2987" s="2" t="s">
        <v>10068</v>
      </c>
      <c r="B2987" s="15">
        <v>550</v>
      </c>
      <c r="C2987" s="15">
        <v>3</v>
      </c>
      <c r="D2987" s="15">
        <v>147358244</v>
      </c>
      <c r="E2987" s="15">
        <v>148638308</v>
      </c>
      <c r="F2987" s="15">
        <v>3356</v>
      </c>
      <c r="G2987" s="8" t="s">
        <v>12324</v>
      </c>
      <c r="H2987" s="24" t="s">
        <v>494</v>
      </c>
      <c r="I2987" s="25">
        <v>25920</v>
      </c>
      <c r="J2987" s="8" t="s">
        <v>496</v>
      </c>
      <c r="K2987" s="8" t="s">
        <v>10040</v>
      </c>
      <c r="L2987" s="15">
        <v>0.12139800000000001</v>
      </c>
      <c r="M2987" s="15">
        <v>0.58133000000000001</v>
      </c>
      <c r="N2987" s="15">
        <v>0.86119179119412936</v>
      </c>
    </row>
    <row r="2988" spans="1:14" x14ac:dyDescent="0.2">
      <c r="A2988" s="2" t="s">
        <v>10068</v>
      </c>
      <c r="B2988" s="15">
        <v>2444</v>
      </c>
      <c r="C2988" s="15">
        <v>21</v>
      </c>
      <c r="D2988" s="15">
        <v>28616540</v>
      </c>
      <c r="E2988" s="15">
        <v>29449870</v>
      </c>
      <c r="F2988" s="15">
        <v>2505</v>
      </c>
      <c r="G2988" s="8" t="s">
        <v>12324</v>
      </c>
      <c r="H2988" s="24" t="s">
        <v>599</v>
      </c>
      <c r="I2988" s="25">
        <v>26562</v>
      </c>
      <c r="J2988" s="8" t="s">
        <v>601</v>
      </c>
      <c r="K2988" s="8" t="s">
        <v>10040</v>
      </c>
      <c r="L2988" s="15">
        <v>9.9766499999999994E-2</v>
      </c>
      <c r="M2988" s="15">
        <v>0.58014299999999996</v>
      </c>
      <c r="N2988" s="15">
        <v>0.86119179119412936</v>
      </c>
    </row>
    <row r="2989" spans="1:14" x14ac:dyDescent="0.2">
      <c r="A2989" s="2" t="s">
        <v>10068</v>
      </c>
      <c r="B2989" s="15">
        <v>1073</v>
      </c>
      <c r="C2989" s="15">
        <v>6</v>
      </c>
      <c r="D2989" s="15">
        <v>150635316</v>
      </c>
      <c r="E2989" s="15">
        <v>151629954</v>
      </c>
      <c r="F2989" s="15">
        <v>3615</v>
      </c>
      <c r="G2989" s="8" t="s">
        <v>12324</v>
      </c>
      <c r="H2989" s="24" t="s">
        <v>599</v>
      </c>
      <c r="I2989" s="25">
        <v>26562</v>
      </c>
      <c r="J2989" s="8" t="s">
        <v>601</v>
      </c>
      <c r="K2989" s="8" t="s">
        <v>10040</v>
      </c>
      <c r="L2989" s="15">
        <v>-0.13245399999999999</v>
      </c>
      <c r="M2989" s="15">
        <v>0.58193300000000003</v>
      </c>
      <c r="N2989" s="15">
        <v>0.86119179119412936</v>
      </c>
    </row>
    <row r="2990" spans="1:14" x14ac:dyDescent="0.2">
      <c r="A2990" s="2" t="s">
        <v>10068</v>
      </c>
      <c r="B2990" s="15">
        <v>1330</v>
      </c>
      <c r="C2990" s="15">
        <v>8</v>
      </c>
      <c r="D2990" s="15">
        <v>101448440</v>
      </c>
      <c r="E2990" s="15">
        <v>102548680</v>
      </c>
      <c r="F2990" s="15">
        <v>2622</v>
      </c>
      <c r="G2990" s="8" t="s">
        <v>12324</v>
      </c>
      <c r="H2990" s="24" t="s">
        <v>599</v>
      </c>
      <c r="I2990" s="25">
        <v>26562</v>
      </c>
      <c r="J2990" s="8" t="s">
        <v>601</v>
      </c>
      <c r="K2990" s="8" t="s">
        <v>10040</v>
      </c>
      <c r="L2990" s="15">
        <v>8.98365E-2</v>
      </c>
      <c r="M2990" s="15">
        <v>0.58215399999999995</v>
      </c>
      <c r="N2990" s="15">
        <v>0.86119179119412936</v>
      </c>
    </row>
    <row r="2991" spans="1:14" x14ac:dyDescent="0.2">
      <c r="A2991" s="2" t="s">
        <v>10068</v>
      </c>
      <c r="B2991" s="15">
        <v>2385</v>
      </c>
      <c r="C2991" s="15">
        <v>20</v>
      </c>
      <c r="D2991" s="15">
        <v>15238520</v>
      </c>
      <c r="E2991" s="15">
        <v>15962576</v>
      </c>
      <c r="F2991" s="15">
        <v>2161</v>
      </c>
      <c r="G2991" s="8" t="s">
        <v>12324</v>
      </c>
      <c r="H2991" s="24" t="s">
        <v>1259</v>
      </c>
      <c r="I2991" s="25">
        <v>27096</v>
      </c>
      <c r="J2991" s="8" t="s">
        <v>1261</v>
      </c>
      <c r="K2991" s="8" t="s">
        <v>10040</v>
      </c>
      <c r="L2991" s="15">
        <v>9.2654600000000004E-2</v>
      </c>
      <c r="M2991" s="15">
        <v>0.57982699999999998</v>
      </c>
      <c r="N2991" s="15">
        <v>0.86119179119412936</v>
      </c>
    </row>
    <row r="2992" spans="1:14" x14ac:dyDescent="0.2">
      <c r="A2992" s="2" t="s">
        <v>10068</v>
      </c>
      <c r="B2992" s="15">
        <v>1266</v>
      </c>
      <c r="C2992" s="15">
        <v>8</v>
      </c>
      <c r="D2992" s="15">
        <v>20812108</v>
      </c>
      <c r="E2992" s="15">
        <v>21650453</v>
      </c>
      <c r="F2992" s="15">
        <v>2689</v>
      </c>
      <c r="G2992" s="8" t="s">
        <v>12324</v>
      </c>
      <c r="H2992" s="24" t="s">
        <v>1259</v>
      </c>
      <c r="I2992" s="25">
        <v>27096</v>
      </c>
      <c r="J2992" s="8" t="s">
        <v>1261</v>
      </c>
      <c r="K2992" s="8" t="s">
        <v>10040</v>
      </c>
      <c r="L2992" s="15">
        <v>0.122238</v>
      </c>
      <c r="M2992" s="15">
        <v>0.58197299999999996</v>
      </c>
      <c r="N2992" s="15">
        <v>0.86119179119412936</v>
      </c>
    </row>
    <row r="2993" spans="1:14" x14ac:dyDescent="0.2">
      <c r="A2993" s="2" t="s">
        <v>10066</v>
      </c>
      <c r="B2993" s="15">
        <v>1358</v>
      </c>
      <c r="C2993" s="15">
        <v>8</v>
      </c>
      <c r="D2993" s="15">
        <v>133461552</v>
      </c>
      <c r="E2993" s="15">
        <v>134509448</v>
      </c>
      <c r="F2993" s="15">
        <v>2997</v>
      </c>
      <c r="G2993" s="8" t="s">
        <v>12324</v>
      </c>
      <c r="H2993" s="24" t="s">
        <v>3164</v>
      </c>
      <c r="I2993" s="25" t="s">
        <v>3165</v>
      </c>
      <c r="J2993" s="8" t="s">
        <v>3166</v>
      </c>
      <c r="K2993" s="8" t="s">
        <v>10042</v>
      </c>
      <c r="L2993" s="15">
        <v>-0.143313</v>
      </c>
      <c r="M2993" s="15">
        <v>0.58051200000000003</v>
      </c>
      <c r="N2993" s="15">
        <v>0.86119179119412936</v>
      </c>
    </row>
    <row r="2994" spans="1:14" x14ac:dyDescent="0.2">
      <c r="A2994" s="2" t="s">
        <v>10066</v>
      </c>
      <c r="B2994" s="15">
        <v>693</v>
      </c>
      <c r="C2994" s="15">
        <v>4</v>
      </c>
      <c r="D2994" s="15">
        <v>104384535</v>
      </c>
      <c r="E2994" s="15">
        <v>105319195</v>
      </c>
      <c r="F2994" s="15">
        <v>2143</v>
      </c>
      <c r="G2994" s="8" t="s">
        <v>12324</v>
      </c>
      <c r="H2994" s="24" t="s">
        <v>3164</v>
      </c>
      <c r="I2994" s="25" t="s">
        <v>3165</v>
      </c>
      <c r="J2994" s="8" t="s">
        <v>3166</v>
      </c>
      <c r="K2994" s="8" t="s">
        <v>10042</v>
      </c>
      <c r="L2994" s="15">
        <v>-8.2888400000000001E-2</v>
      </c>
      <c r="M2994" s="15">
        <v>0.58165599999999995</v>
      </c>
      <c r="N2994" s="15">
        <v>0.86119179119412936</v>
      </c>
    </row>
    <row r="2995" spans="1:14" x14ac:dyDescent="0.2">
      <c r="A2995" s="2" t="s">
        <v>10066</v>
      </c>
      <c r="B2995" s="15">
        <v>2263</v>
      </c>
      <c r="C2995" s="15">
        <v>18</v>
      </c>
      <c r="D2995" s="15">
        <v>30401129</v>
      </c>
      <c r="E2995" s="15">
        <v>32458907</v>
      </c>
      <c r="F2995" s="15">
        <v>3990</v>
      </c>
      <c r="G2995" s="8" t="s">
        <v>12324</v>
      </c>
      <c r="H2995" s="24" t="s">
        <v>3164</v>
      </c>
      <c r="I2995" s="25" t="s">
        <v>3165</v>
      </c>
      <c r="J2995" s="8" t="s">
        <v>3166</v>
      </c>
      <c r="K2995" s="8" t="s">
        <v>10042</v>
      </c>
      <c r="L2995" s="15">
        <v>0.16528300000000001</v>
      </c>
      <c r="M2995" s="15">
        <v>0.58179499999999995</v>
      </c>
      <c r="N2995" s="15">
        <v>0.86119179119412936</v>
      </c>
    </row>
    <row r="2996" spans="1:14" x14ac:dyDescent="0.2">
      <c r="A2996" s="2" t="s">
        <v>10066</v>
      </c>
      <c r="B2996" s="15">
        <v>1946</v>
      </c>
      <c r="C2996" s="15">
        <v>13</v>
      </c>
      <c r="D2996" s="15">
        <v>108521979</v>
      </c>
      <c r="E2996" s="15">
        <v>109156765</v>
      </c>
      <c r="F2996" s="15">
        <v>2073</v>
      </c>
      <c r="G2996" s="8" t="s">
        <v>12324</v>
      </c>
      <c r="H2996" s="24" t="s">
        <v>6008</v>
      </c>
      <c r="I2996" s="25" t="s">
        <v>6009</v>
      </c>
      <c r="J2996" s="8" t="s">
        <v>6010</v>
      </c>
      <c r="K2996" s="8" t="s">
        <v>10051</v>
      </c>
      <c r="L2996" s="15">
        <v>-0.120264</v>
      </c>
      <c r="M2996" s="15">
        <v>0.57992900000000003</v>
      </c>
      <c r="N2996" s="15">
        <v>0.86119179119412936</v>
      </c>
    </row>
    <row r="2997" spans="1:14" x14ac:dyDescent="0.2">
      <c r="A2997" s="2" t="s">
        <v>10066</v>
      </c>
      <c r="B2997" s="15">
        <v>734</v>
      </c>
      <c r="C2997" s="15">
        <v>4</v>
      </c>
      <c r="D2997" s="15">
        <v>149998529</v>
      </c>
      <c r="E2997" s="15">
        <v>151014322</v>
      </c>
      <c r="F2997" s="15">
        <v>2102</v>
      </c>
      <c r="G2997" s="8" t="s">
        <v>12324</v>
      </c>
      <c r="H2997" s="24" t="s">
        <v>6008</v>
      </c>
      <c r="I2997" s="25" t="s">
        <v>6009</v>
      </c>
      <c r="J2997" s="8" t="s">
        <v>6010</v>
      </c>
      <c r="K2997" s="8" t="s">
        <v>10051</v>
      </c>
      <c r="L2997" s="15">
        <v>-0.15241499999999999</v>
      </c>
      <c r="M2997" s="15">
        <v>0.58049399999999995</v>
      </c>
      <c r="N2997" s="15">
        <v>0.86119179119412936</v>
      </c>
    </row>
    <row r="2998" spans="1:14" x14ac:dyDescent="0.2">
      <c r="A2998" s="2" t="s">
        <v>10068</v>
      </c>
      <c r="B2998" s="15">
        <v>487</v>
      </c>
      <c r="C2998" s="15">
        <v>3</v>
      </c>
      <c r="D2998" s="15">
        <v>75374968</v>
      </c>
      <c r="E2998" s="15">
        <v>76157470</v>
      </c>
      <c r="F2998" s="15">
        <v>1358</v>
      </c>
      <c r="G2998" s="8" t="s">
        <v>12324</v>
      </c>
      <c r="H2998" s="24" t="s">
        <v>6565</v>
      </c>
      <c r="I2998" s="25" t="s">
        <v>6475</v>
      </c>
      <c r="J2998" s="8" t="s">
        <v>6566</v>
      </c>
      <c r="K2998" s="8" t="s">
        <v>10054</v>
      </c>
      <c r="L2998" s="15">
        <v>-7.4096800000000004E-2</v>
      </c>
      <c r="M2998" s="15">
        <v>0.58140700000000001</v>
      </c>
      <c r="N2998" s="15">
        <v>0.86119179119412936</v>
      </c>
    </row>
    <row r="2999" spans="1:14" x14ac:dyDescent="0.2">
      <c r="A2999" s="2" t="s">
        <v>10068</v>
      </c>
      <c r="B2999" s="15">
        <v>2098</v>
      </c>
      <c r="C2999" s="15">
        <v>15</v>
      </c>
      <c r="D2999" s="15">
        <v>98828262</v>
      </c>
      <c r="E2999" s="15">
        <v>99925972</v>
      </c>
      <c r="F2999" s="15">
        <v>3280</v>
      </c>
      <c r="G2999" s="8" t="s">
        <v>12324</v>
      </c>
      <c r="H2999" s="24" t="s">
        <v>6565</v>
      </c>
      <c r="I2999" s="25" t="s">
        <v>6475</v>
      </c>
      <c r="J2999" s="8" t="s">
        <v>6566</v>
      </c>
      <c r="K2999" s="8" t="s">
        <v>10054</v>
      </c>
      <c r="L2999" s="15">
        <v>-0.15270300000000001</v>
      </c>
      <c r="M2999" s="15">
        <v>0.58152599999999999</v>
      </c>
      <c r="N2999" s="15">
        <v>0.86119179119412936</v>
      </c>
    </row>
    <row r="3000" spans="1:14" x14ac:dyDescent="0.2">
      <c r="A3000" s="2" t="s">
        <v>10068</v>
      </c>
      <c r="B3000" s="15">
        <v>2282</v>
      </c>
      <c r="C3000" s="15">
        <v>18</v>
      </c>
      <c r="D3000" s="15">
        <v>53762997</v>
      </c>
      <c r="E3000" s="15">
        <v>54957867</v>
      </c>
      <c r="F3000" s="15">
        <v>2786</v>
      </c>
      <c r="G3000" s="8" t="s">
        <v>12324</v>
      </c>
      <c r="H3000" s="24" t="s">
        <v>6565</v>
      </c>
      <c r="I3000" s="25" t="s">
        <v>6475</v>
      </c>
      <c r="J3000" s="8" t="s">
        <v>6566</v>
      </c>
      <c r="K3000" s="8" t="s">
        <v>10054</v>
      </c>
      <c r="L3000" s="15">
        <v>-0.15360499999999999</v>
      </c>
      <c r="M3000" s="15">
        <v>0.58175500000000002</v>
      </c>
      <c r="N3000" s="15">
        <v>0.86119179119412936</v>
      </c>
    </row>
    <row r="3001" spans="1:14" x14ac:dyDescent="0.2">
      <c r="A3001" s="2" t="s">
        <v>10068</v>
      </c>
      <c r="B3001" s="15">
        <v>178</v>
      </c>
      <c r="C3001" s="15">
        <v>1</v>
      </c>
      <c r="D3001" s="15">
        <v>229075157</v>
      </c>
      <c r="E3001" s="15">
        <v>230227247</v>
      </c>
      <c r="F3001" s="15">
        <v>2518</v>
      </c>
      <c r="G3001" s="8" t="s">
        <v>12324</v>
      </c>
      <c r="H3001" s="24" t="s">
        <v>494</v>
      </c>
      <c r="I3001" s="25">
        <v>25920</v>
      </c>
      <c r="J3001" s="8" t="s">
        <v>496</v>
      </c>
      <c r="K3001" s="8" t="s">
        <v>10040</v>
      </c>
      <c r="L3001" s="15">
        <v>-0.119544</v>
      </c>
      <c r="M3001" s="15">
        <v>0.582399</v>
      </c>
      <c r="N3001" s="15">
        <v>0.86126694398132719</v>
      </c>
    </row>
    <row r="3002" spans="1:14" x14ac:dyDescent="0.2">
      <c r="A3002" s="2" t="s">
        <v>10068</v>
      </c>
      <c r="B3002" s="15">
        <v>1356</v>
      </c>
      <c r="C3002" s="15">
        <v>8</v>
      </c>
      <c r="D3002" s="15">
        <v>131545726</v>
      </c>
      <c r="E3002" s="15">
        <v>132534636</v>
      </c>
      <c r="F3002" s="15">
        <v>3056</v>
      </c>
      <c r="G3002" s="8" t="s">
        <v>12324</v>
      </c>
      <c r="H3002" s="24" t="s">
        <v>1259</v>
      </c>
      <c r="I3002" s="25">
        <v>27096</v>
      </c>
      <c r="J3002" s="8" t="s">
        <v>1261</v>
      </c>
      <c r="K3002" s="8" t="s">
        <v>10040</v>
      </c>
      <c r="L3002" s="15">
        <v>-0.15307999999999999</v>
      </c>
      <c r="M3002" s="15">
        <v>0.58262000000000003</v>
      </c>
      <c r="N3002" s="15">
        <v>0.86130656666666672</v>
      </c>
    </row>
    <row r="3003" spans="1:14" x14ac:dyDescent="0.2">
      <c r="A3003" s="2" t="s">
        <v>10069</v>
      </c>
      <c r="B3003" s="15">
        <v>1601</v>
      </c>
      <c r="C3003" s="15">
        <v>10</v>
      </c>
      <c r="D3003" s="15">
        <v>127997709</v>
      </c>
      <c r="E3003" s="15">
        <v>129134738</v>
      </c>
      <c r="F3003" s="15">
        <v>2023</v>
      </c>
      <c r="G3003" s="8" t="s">
        <v>12324</v>
      </c>
      <c r="H3003" s="24" t="s">
        <v>662</v>
      </c>
      <c r="I3003" s="25" t="s">
        <v>663</v>
      </c>
      <c r="J3003" s="8" t="s">
        <v>664</v>
      </c>
      <c r="K3003" s="8" t="s">
        <v>10040</v>
      </c>
      <c r="L3003" s="15">
        <v>0.13509099999999999</v>
      </c>
      <c r="M3003" s="15">
        <v>0.58322499999999999</v>
      </c>
      <c r="N3003" s="15">
        <v>0.86162612887112899</v>
      </c>
    </row>
    <row r="3004" spans="1:14" x14ac:dyDescent="0.2">
      <c r="A3004" s="2" t="s">
        <v>10066</v>
      </c>
      <c r="B3004" s="15">
        <v>2125</v>
      </c>
      <c r="C3004" s="15">
        <v>16</v>
      </c>
      <c r="D3004" s="15">
        <v>25235252</v>
      </c>
      <c r="E3004" s="15">
        <v>26154122</v>
      </c>
      <c r="F3004" s="15">
        <v>2998</v>
      </c>
      <c r="G3004" s="8" t="s">
        <v>12324</v>
      </c>
      <c r="H3004" s="24" t="s">
        <v>6008</v>
      </c>
      <c r="I3004" s="25" t="s">
        <v>6009</v>
      </c>
      <c r="J3004" s="8" t="s">
        <v>6010</v>
      </c>
      <c r="K3004" s="8" t="s">
        <v>10051</v>
      </c>
      <c r="L3004" s="15">
        <v>-0.17357400000000001</v>
      </c>
      <c r="M3004" s="15">
        <v>0.58341900000000002</v>
      </c>
      <c r="N3004" s="15">
        <v>0.86162612887112899</v>
      </c>
    </row>
    <row r="3005" spans="1:14" x14ac:dyDescent="0.2">
      <c r="A3005" s="2" t="s">
        <v>10068</v>
      </c>
      <c r="B3005" s="15">
        <v>2347</v>
      </c>
      <c r="C3005" s="15">
        <v>19</v>
      </c>
      <c r="D3005" s="15">
        <v>41004106</v>
      </c>
      <c r="E3005" s="15">
        <v>41733463</v>
      </c>
      <c r="F3005" s="15">
        <v>2120</v>
      </c>
      <c r="G3005" s="8" t="s">
        <v>12324</v>
      </c>
      <c r="H3005" s="24" t="s">
        <v>6565</v>
      </c>
      <c r="I3005" s="25" t="s">
        <v>6475</v>
      </c>
      <c r="J3005" s="8" t="s">
        <v>6566</v>
      </c>
      <c r="K3005" s="8" t="s">
        <v>10054</v>
      </c>
      <c r="L3005" s="15">
        <v>-7.4830099999999997E-2</v>
      </c>
      <c r="M3005" s="15">
        <v>0.58335199999999998</v>
      </c>
      <c r="N3005" s="15">
        <v>0.86162612887112899</v>
      </c>
    </row>
    <row r="3006" spans="1:14" x14ac:dyDescent="0.2">
      <c r="A3006" s="2" t="s">
        <v>10069</v>
      </c>
      <c r="B3006" s="15">
        <v>2227</v>
      </c>
      <c r="C3006" s="15">
        <v>17</v>
      </c>
      <c r="D3006" s="15">
        <v>70495120</v>
      </c>
      <c r="E3006" s="15">
        <v>71466953</v>
      </c>
      <c r="F3006" s="15">
        <v>1909</v>
      </c>
      <c r="G3006" s="8" t="s">
        <v>12324</v>
      </c>
      <c r="H3006" s="24" t="s">
        <v>662</v>
      </c>
      <c r="I3006" s="25" t="s">
        <v>663</v>
      </c>
      <c r="J3006" s="8" t="s">
        <v>664</v>
      </c>
      <c r="K3006" s="8" t="s">
        <v>10040</v>
      </c>
      <c r="L3006" s="15">
        <v>-0.18631200000000001</v>
      </c>
      <c r="M3006" s="15">
        <v>0.58455599999999996</v>
      </c>
      <c r="N3006" s="15">
        <v>0.86273073544093171</v>
      </c>
    </row>
    <row r="3007" spans="1:14" x14ac:dyDescent="0.2">
      <c r="A3007" s="2" t="s">
        <v>10068</v>
      </c>
      <c r="B3007" s="15">
        <v>1958</v>
      </c>
      <c r="C3007" s="15">
        <v>14</v>
      </c>
      <c r="D3007" s="15">
        <v>23985937</v>
      </c>
      <c r="E3007" s="15">
        <v>24906056</v>
      </c>
      <c r="F3007" s="15">
        <v>2227</v>
      </c>
      <c r="G3007" s="8" t="s">
        <v>12324</v>
      </c>
      <c r="H3007" s="24" t="s">
        <v>1259</v>
      </c>
      <c r="I3007" s="25">
        <v>27096</v>
      </c>
      <c r="J3007" s="8" t="s">
        <v>1261</v>
      </c>
      <c r="K3007" s="8" t="s">
        <v>10040</v>
      </c>
      <c r="L3007" s="15">
        <v>-8.5201799999999994E-2</v>
      </c>
      <c r="M3007" s="15">
        <v>0.58441200000000004</v>
      </c>
      <c r="N3007" s="15">
        <v>0.86273073544093171</v>
      </c>
    </row>
    <row r="3008" spans="1:14" x14ac:dyDescent="0.2">
      <c r="A3008" s="2" t="s">
        <v>10066</v>
      </c>
      <c r="B3008" s="15">
        <v>77</v>
      </c>
      <c r="C3008" s="15">
        <v>1</v>
      </c>
      <c r="D3008" s="15">
        <v>88656690</v>
      </c>
      <c r="E3008" s="15">
        <v>89753964</v>
      </c>
      <c r="F3008" s="15">
        <v>2473</v>
      </c>
      <c r="G3008" s="8" t="s">
        <v>12324</v>
      </c>
      <c r="H3008" s="24" t="s">
        <v>3164</v>
      </c>
      <c r="I3008" s="25" t="s">
        <v>3165</v>
      </c>
      <c r="J3008" s="8" t="s">
        <v>3166</v>
      </c>
      <c r="K3008" s="8" t="s">
        <v>10042</v>
      </c>
      <c r="L3008" s="15">
        <v>0.15968199999999999</v>
      </c>
      <c r="M3008" s="15">
        <v>0.58538299999999999</v>
      </c>
      <c r="N3008" s="15">
        <v>0.86366387391882904</v>
      </c>
    </row>
    <row r="3009" spans="1:14" x14ac:dyDescent="0.2">
      <c r="A3009" s="2" t="s">
        <v>10069</v>
      </c>
      <c r="B3009" s="15">
        <v>2307</v>
      </c>
      <c r="C3009" s="15">
        <v>19</v>
      </c>
      <c r="D3009" s="15">
        <v>762047</v>
      </c>
      <c r="E3009" s="15">
        <v>1515920</v>
      </c>
      <c r="F3009" s="15">
        <v>1143</v>
      </c>
      <c r="G3009" s="8" t="s">
        <v>12324</v>
      </c>
      <c r="H3009" s="24" t="s">
        <v>662</v>
      </c>
      <c r="I3009" s="25" t="s">
        <v>663</v>
      </c>
      <c r="J3009" s="8" t="s">
        <v>664</v>
      </c>
      <c r="K3009" s="8" t="s">
        <v>10040</v>
      </c>
      <c r="L3009" s="15">
        <v>0.118802</v>
      </c>
      <c r="M3009" s="15">
        <v>0.58633299999999999</v>
      </c>
      <c r="N3009" s="15">
        <v>0.86477780345859656</v>
      </c>
    </row>
    <row r="3010" spans="1:14" x14ac:dyDescent="0.2">
      <c r="A3010" s="2" t="s">
        <v>10068</v>
      </c>
      <c r="B3010" s="15">
        <v>1624</v>
      </c>
      <c r="C3010" s="15">
        <v>11</v>
      </c>
      <c r="D3010" s="15">
        <v>11632651</v>
      </c>
      <c r="E3010" s="15">
        <v>12470449</v>
      </c>
      <c r="F3010" s="15">
        <v>2689</v>
      </c>
      <c r="G3010" s="8" t="s">
        <v>12324</v>
      </c>
      <c r="H3010" s="24" t="s">
        <v>494</v>
      </c>
      <c r="I3010" s="25">
        <v>25920</v>
      </c>
      <c r="J3010" s="8" t="s">
        <v>496</v>
      </c>
      <c r="K3010" s="8" t="s">
        <v>10040</v>
      </c>
      <c r="L3010" s="15">
        <v>-0.16276299999999999</v>
      </c>
      <c r="M3010" s="15">
        <v>0.58702600000000005</v>
      </c>
      <c r="N3010" s="15">
        <v>0.86551207114361706</v>
      </c>
    </row>
    <row r="3011" spans="1:14" x14ac:dyDescent="0.2">
      <c r="A3011" s="2" t="s">
        <v>10068</v>
      </c>
      <c r="B3011" s="15">
        <v>1071</v>
      </c>
      <c r="C3011" s="15">
        <v>6</v>
      </c>
      <c r="D3011" s="15">
        <v>148184845</v>
      </c>
      <c r="E3011" s="15">
        <v>149278798</v>
      </c>
      <c r="F3011" s="15">
        <v>3633</v>
      </c>
      <c r="G3011" s="8" t="s">
        <v>12324</v>
      </c>
      <c r="H3011" s="24" t="s">
        <v>494</v>
      </c>
      <c r="I3011" s="25">
        <v>25920</v>
      </c>
      <c r="J3011" s="8" t="s">
        <v>496</v>
      </c>
      <c r="K3011" s="8" t="s">
        <v>10040</v>
      </c>
      <c r="L3011" s="15">
        <v>-0.16095799999999999</v>
      </c>
      <c r="M3011" s="15">
        <v>0.58927600000000002</v>
      </c>
      <c r="N3011" s="15">
        <v>0.86571814955430837</v>
      </c>
    </row>
    <row r="3012" spans="1:14" x14ac:dyDescent="0.2">
      <c r="A3012" s="2" t="s">
        <v>10068</v>
      </c>
      <c r="B3012" s="15">
        <v>574</v>
      </c>
      <c r="C3012" s="15">
        <v>3</v>
      </c>
      <c r="D3012" s="15">
        <v>173415592</v>
      </c>
      <c r="E3012" s="15">
        <v>174684707</v>
      </c>
      <c r="F3012" s="15">
        <v>3224</v>
      </c>
      <c r="G3012" s="8" t="s">
        <v>12324</v>
      </c>
      <c r="H3012" s="24" t="s">
        <v>494</v>
      </c>
      <c r="I3012" s="25">
        <v>25920</v>
      </c>
      <c r="J3012" s="8" t="s">
        <v>496</v>
      </c>
      <c r="K3012" s="8" t="s">
        <v>10040</v>
      </c>
      <c r="L3012" s="15">
        <v>0.18868599999999999</v>
      </c>
      <c r="M3012" s="15">
        <v>0.59097200000000005</v>
      </c>
      <c r="N3012" s="15">
        <v>0.86571814955430837</v>
      </c>
    </row>
    <row r="3013" spans="1:14" x14ac:dyDescent="0.2">
      <c r="A3013" s="2" t="s">
        <v>10068</v>
      </c>
      <c r="B3013" s="15">
        <v>2467</v>
      </c>
      <c r="C3013" s="15">
        <v>22</v>
      </c>
      <c r="D3013" s="15">
        <v>22404423</v>
      </c>
      <c r="E3013" s="15">
        <v>23143364</v>
      </c>
      <c r="F3013" s="15">
        <v>3341</v>
      </c>
      <c r="G3013" s="8" t="s">
        <v>12324</v>
      </c>
      <c r="H3013" s="24" t="s">
        <v>494</v>
      </c>
      <c r="I3013" s="25">
        <v>25920</v>
      </c>
      <c r="J3013" s="8" t="s">
        <v>496</v>
      </c>
      <c r="K3013" s="8" t="s">
        <v>10040</v>
      </c>
      <c r="L3013" s="15">
        <v>-9.8294500000000007E-2</v>
      </c>
      <c r="M3013" s="15">
        <v>0.59104699999999999</v>
      </c>
      <c r="N3013" s="15">
        <v>0.86571814955430837</v>
      </c>
    </row>
    <row r="3014" spans="1:14" x14ac:dyDescent="0.2">
      <c r="A3014" s="2" t="s">
        <v>10068</v>
      </c>
      <c r="B3014" s="15">
        <v>1598</v>
      </c>
      <c r="C3014" s="15">
        <v>10</v>
      </c>
      <c r="D3014" s="15">
        <v>124894143</v>
      </c>
      <c r="E3014" s="15">
        <v>125798319</v>
      </c>
      <c r="F3014" s="15">
        <v>3173</v>
      </c>
      <c r="G3014" s="8" t="s">
        <v>12324</v>
      </c>
      <c r="H3014" s="24" t="s">
        <v>599</v>
      </c>
      <c r="I3014" s="25">
        <v>26562</v>
      </c>
      <c r="J3014" s="8" t="s">
        <v>601</v>
      </c>
      <c r="K3014" s="8" t="s">
        <v>10040</v>
      </c>
      <c r="L3014" s="15">
        <v>-0.114217</v>
      </c>
      <c r="M3014" s="15">
        <v>0.58934500000000001</v>
      </c>
      <c r="N3014" s="15">
        <v>0.86571814955430837</v>
      </c>
    </row>
    <row r="3015" spans="1:14" x14ac:dyDescent="0.2">
      <c r="A3015" s="2" t="s">
        <v>10068</v>
      </c>
      <c r="B3015" s="15">
        <v>2351</v>
      </c>
      <c r="C3015" s="15">
        <v>19</v>
      </c>
      <c r="D3015" s="15">
        <v>45040933</v>
      </c>
      <c r="E3015" s="15">
        <v>45893307</v>
      </c>
      <c r="F3015" s="15">
        <v>2371</v>
      </c>
      <c r="G3015" s="8" t="s">
        <v>12324</v>
      </c>
      <c r="H3015" s="24" t="s">
        <v>599</v>
      </c>
      <c r="I3015" s="25">
        <v>26562</v>
      </c>
      <c r="J3015" s="8" t="s">
        <v>601</v>
      </c>
      <c r="K3015" s="8" t="s">
        <v>10040</v>
      </c>
      <c r="L3015" s="15">
        <v>-7.9182299999999997E-2</v>
      </c>
      <c r="M3015" s="15">
        <v>0.59085500000000002</v>
      </c>
      <c r="N3015" s="15">
        <v>0.86571814955430837</v>
      </c>
    </row>
    <row r="3016" spans="1:14" x14ac:dyDescent="0.2">
      <c r="A3016" s="2" t="s">
        <v>10068</v>
      </c>
      <c r="B3016" s="15">
        <v>1120</v>
      </c>
      <c r="C3016" s="15">
        <v>7</v>
      </c>
      <c r="D3016" s="15">
        <v>21390645</v>
      </c>
      <c r="E3016" s="15">
        <v>22165060</v>
      </c>
      <c r="F3016" s="15">
        <v>2719</v>
      </c>
      <c r="G3016" s="8" t="s">
        <v>12324</v>
      </c>
      <c r="H3016" s="24" t="s">
        <v>599</v>
      </c>
      <c r="I3016" s="25">
        <v>26562</v>
      </c>
      <c r="J3016" s="8" t="s">
        <v>601</v>
      </c>
      <c r="K3016" s="8" t="s">
        <v>10040</v>
      </c>
      <c r="L3016" s="15">
        <v>0.11422300000000001</v>
      </c>
      <c r="M3016" s="15">
        <v>0.59114699999999998</v>
      </c>
      <c r="N3016" s="15">
        <v>0.86571814955430837</v>
      </c>
    </row>
    <row r="3017" spans="1:14" x14ac:dyDescent="0.2">
      <c r="A3017" s="2" t="s">
        <v>10069</v>
      </c>
      <c r="B3017" s="15">
        <v>2324</v>
      </c>
      <c r="C3017" s="15">
        <v>19</v>
      </c>
      <c r="D3017" s="15">
        <v>16079007</v>
      </c>
      <c r="E3017" s="15">
        <v>17045963</v>
      </c>
      <c r="F3017" s="15">
        <v>1503</v>
      </c>
      <c r="G3017" s="8" t="s">
        <v>12324</v>
      </c>
      <c r="H3017" s="24" t="s">
        <v>662</v>
      </c>
      <c r="I3017" s="25" t="s">
        <v>663</v>
      </c>
      <c r="J3017" s="8" t="s">
        <v>664</v>
      </c>
      <c r="K3017" s="8" t="s">
        <v>10040</v>
      </c>
      <c r="L3017" s="15">
        <v>0.16306799999999999</v>
      </c>
      <c r="M3017" s="15">
        <v>0.58817900000000001</v>
      </c>
      <c r="N3017" s="15">
        <v>0.86571814955430837</v>
      </c>
    </row>
    <row r="3018" spans="1:14" x14ac:dyDescent="0.2">
      <c r="A3018" s="2" t="s">
        <v>10069</v>
      </c>
      <c r="B3018" s="15">
        <v>2398</v>
      </c>
      <c r="C3018" s="15">
        <v>20</v>
      </c>
      <c r="D3018" s="15">
        <v>30569660</v>
      </c>
      <c r="E3018" s="15">
        <v>32484506</v>
      </c>
      <c r="F3018" s="15">
        <v>2145</v>
      </c>
      <c r="G3018" s="8" t="s">
        <v>12324</v>
      </c>
      <c r="H3018" s="24" t="s">
        <v>662</v>
      </c>
      <c r="I3018" s="25" t="s">
        <v>663</v>
      </c>
      <c r="J3018" s="8" t="s">
        <v>664</v>
      </c>
      <c r="K3018" s="8" t="s">
        <v>10040</v>
      </c>
      <c r="L3018" s="15">
        <v>-0.10799400000000001</v>
      </c>
      <c r="M3018" s="15">
        <v>0.59120499999999998</v>
      </c>
      <c r="N3018" s="15">
        <v>0.86571814955430837</v>
      </c>
    </row>
    <row r="3019" spans="1:14" x14ac:dyDescent="0.2">
      <c r="A3019" s="2" t="s">
        <v>10068</v>
      </c>
      <c r="B3019" s="15">
        <v>1833</v>
      </c>
      <c r="C3019" s="15">
        <v>12</v>
      </c>
      <c r="D3019" s="15">
        <v>102966634</v>
      </c>
      <c r="E3019" s="15">
        <v>104140831</v>
      </c>
      <c r="F3019" s="15">
        <v>3046</v>
      </c>
      <c r="G3019" s="8" t="s">
        <v>12324</v>
      </c>
      <c r="H3019" s="24" t="s">
        <v>1259</v>
      </c>
      <c r="I3019" s="25">
        <v>27096</v>
      </c>
      <c r="J3019" s="8" t="s">
        <v>1261</v>
      </c>
      <c r="K3019" s="8" t="s">
        <v>10040</v>
      </c>
      <c r="L3019" s="15">
        <v>0.103835</v>
      </c>
      <c r="M3019" s="15">
        <v>0.588947</v>
      </c>
      <c r="N3019" s="15">
        <v>0.86571814955430837</v>
      </c>
    </row>
    <row r="3020" spans="1:14" x14ac:dyDescent="0.2">
      <c r="A3020" s="2" t="s">
        <v>10068</v>
      </c>
      <c r="B3020" s="15">
        <v>2449</v>
      </c>
      <c r="C3020" s="15">
        <v>21</v>
      </c>
      <c r="D3020" s="15">
        <v>34383795</v>
      </c>
      <c r="E3020" s="15">
        <v>35729261</v>
      </c>
      <c r="F3020" s="15">
        <v>3023</v>
      </c>
      <c r="G3020" s="8" t="s">
        <v>12324</v>
      </c>
      <c r="H3020" s="24" t="s">
        <v>1259</v>
      </c>
      <c r="I3020" s="25">
        <v>27096</v>
      </c>
      <c r="J3020" s="8" t="s">
        <v>1261</v>
      </c>
      <c r="K3020" s="8" t="s">
        <v>10040</v>
      </c>
      <c r="L3020" s="15">
        <v>-0.151337</v>
      </c>
      <c r="M3020" s="15">
        <v>0.58949499999999999</v>
      </c>
      <c r="N3020" s="15">
        <v>0.86571814955430837</v>
      </c>
    </row>
    <row r="3021" spans="1:14" x14ac:dyDescent="0.2">
      <c r="A3021" s="2" t="s">
        <v>10068</v>
      </c>
      <c r="B3021" s="15">
        <v>2185</v>
      </c>
      <c r="C3021" s="15">
        <v>17</v>
      </c>
      <c r="D3021" s="15">
        <v>11778165</v>
      </c>
      <c r="E3021" s="15">
        <v>12676353</v>
      </c>
      <c r="F3021" s="15">
        <v>2193</v>
      </c>
      <c r="G3021" s="8" t="s">
        <v>12324</v>
      </c>
      <c r="H3021" s="24" t="s">
        <v>1259</v>
      </c>
      <c r="I3021" s="25">
        <v>27096</v>
      </c>
      <c r="J3021" s="8" t="s">
        <v>1261</v>
      </c>
      <c r="K3021" s="8" t="s">
        <v>10040</v>
      </c>
      <c r="L3021" s="15">
        <v>9.9110599999999993E-2</v>
      </c>
      <c r="M3021" s="15">
        <v>0.58987599999999996</v>
      </c>
      <c r="N3021" s="15">
        <v>0.86571814955430837</v>
      </c>
    </row>
    <row r="3022" spans="1:14" x14ac:dyDescent="0.2">
      <c r="A3022" s="2" t="s">
        <v>10068</v>
      </c>
      <c r="B3022" s="15">
        <v>2443</v>
      </c>
      <c r="C3022" s="15">
        <v>21</v>
      </c>
      <c r="D3022" s="15">
        <v>27774351</v>
      </c>
      <c r="E3022" s="15">
        <v>28616539</v>
      </c>
      <c r="F3022" s="15">
        <v>2900</v>
      </c>
      <c r="G3022" s="8" t="s">
        <v>12324</v>
      </c>
      <c r="H3022" s="24" t="s">
        <v>1259</v>
      </c>
      <c r="I3022" s="25">
        <v>27096</v>
      </c>
      <c r="J3022" s="8" t="s">
        <v>1261</v>
      </c>
      <c r="K3022" s="8" t="s">
        <v>10040</v>
      </c>
      <c r="L3022" s="15">
        <v>0.11283</v>
      </c>
      <c r="M3022" s="15">
        <v>0.59104900000000005</v>
      </c>
      <c r="N3022" s="15">
        <v>0.86571814955430837</v>
      </c>
    </row>
    <row r="3023" spans="1:14" x14ac:dyDescent="0.2">
      <c r="A3023" s="2" t="s">
        <v>10066</v>
      </c>
      <c r="B3023" s="15">
        <v>737</v>
      </c>
      <c r="C3023" s="15">
        <v>4</v>
      </c>
      <c r="D3023" s="15">
        <v>153520884</v>
      </c>
      <c r="E3023" s="15">
        <v>155044409</v>
      </c>
      <c r="F3023" s="15">
        <v>4201</v>
      </c>
      <c r="G3023" s="8" t="s">
        <v>12324</v>
      </c>
      <c r="H3023" s="24" t="s">
        <v>3164</v>
      </c>
      <c r="I3023" s="25" t="s">
        <v>3165</v>
      </c>
      <c r="J3023" s="8" t="s">
        <v>3166</v>
      </c>
      <c r="K3023" s="8" t="s">
        <v>10042</v>
      </c>
      <c r="L3023" s="15">
        <v>-0.118769</v>
      </c>
      <c r="M3023" s="15">
        <v>0.59018199999999998</v>
      </c>
      <c r="N3023" s="15">
        <v>0.86571814955430837</v>
      </c>
    </row>
    <row r="3024" spans="1:14" x14ac:dyDescent="0.2">
      <c r="A3024" s="2" t="s">
        <v>10066</v>
      </c>
      <c r="B3024" s="15">
        <v>2156</v>
      </c>
      <c r="C3024" s="15">
        <v>16</v>
      </c>
      <c r="D3024" s="15">
        <v>77270666</v>
      </c>
      <c r="E3024" s="15">
        <v>77739132</v>
      </c>
      <c r="F3024" s="15">
        <v>2032</v>
      </c>
      <c r="G3024" s="8" t="s">
        <v>12324</v>
      </c>
      <c r="H3024" s="24" t="s">
        <v>3164</v>
      </c>
      <c r="I3024" s="25" t="s">
        <v>3165</v>
      </c>
      <c r="J3024" s="8" t="s">
        <v>3166</v>
      </c>
      <c r="K3024" s="8" t="s">
        <v>10042</v>
      </c>
      <c r="L3024" s="15">
        <v>-0.151224</v>
      </c>
      <c r="M3024" s="15">
        <v>0.59096000000000004</v>
      </c>
      <c r="N3024" s="15">
        <v>0.86571814955430837</v>
      </c>
    </row>
    <row r="3025" spans="1:14" x14ac:dyDescent="0.2">
      <c r="A3025" s="2" t="s">
        <v>10066</v>
      </c>
      <c r="B3025" s="15">
        <v>2163</v>
      </c>
      <c r="C3025" s="15">
        <v>16</v>
      </c>
      <c r="D3025" s="15">
        <v>82310205</v>
      </c>
      <c r="E3025" s="15">
        <v>83077869</v>
      </c>
      <c r="F3025" s="15">
        <v>3286</v>
      </c>
      <c r="G3025" s="8" t="s">
        <v>12324</v>
      </c>
      <c r="H3025" s="24" t="s">
        <v>6008</v>
      </c>
      <c r="I3025" s="25" t="s">
        <v>6009</v>
      </c>
      <c r="J3025" s="8" t="s">
        <v>6010</v>
      </c>
      <c r="K3025" s="8" t="s">
        <v>10051</v>
      </c>
      <c r="L3025" s="15">
        <v>0.107405</v>
      </c>
      <c r="M3025" s="15">
        <v>0.58821299999999999</v>
      </c>
      <c r="N3025" s="15">
        <v>0.86571814955430837</v>
      </c>
    </row>
    <row r="3026" spans="1:14" x14ac:dyDescent="0.2">
      <c r="A3026" s="2" t="s">
        <v>10066</v>
      </c>
      <c r="B3026" s="15">
        <v>1204</v>
      </c>
      <c r="C3026" s="15">
        <v>7</v>
      </c>
      <c r="D3026" s="15">
        <v>123859747</v>
      </c>
      <c r="E3026" s="15">
        <v>125389586</v>
      </c>
      <c r="F3026" s="15">
        <v>4206</v>
      </c>
      <c r="G3026" s="8" t="s">
        <v>12324</v>
      </c>
      <c r="H3026" s="24" t="s">
        <v>6008</v>
      </c>
      <c r="I3026" s="25" t="s">
        <v>6009</v>
      </c>
      <c r="J3026" s="8" t="s">
        <v>6010</v>
      </c>
      <c r="K3026" s="8" t="s">
        <v>10051</v>
      </c>
      <c r="L3026" s="15">
        <v>9.5721700000000007E-2</v>
      </c>
      <c r="M3026" s="15">
        <v>0.588314</v>
      </c>
      <c r="N3026" s="15">
        <v>0.86571814955430837</v>
      </c>
    </row>
    <row r="3027" spans="1:14" x14ac:dyDescent="0.2">
      <c r="A3027" s="2" t="s">
        <v>10066</v>
      </c>
      <c r="B3027" s="15">
        <v>1235</v>
      </c>
      <c r="C3027" s="15">
        <v>8</v>
      </c>
      <c r="D3027" s="15">
        <v>1628040</v>
      </c>
      <c r="E3027" s="15">
        <v>2070902</v>
      </c>
      <c r="F3027" s="15">
        <v>1984</v>
      </c>
      <c r="G3027" s="8" t="s">
        <v>12324</v>
      </c>
      <c r="H3027" s="24" t="s">
        <v>6008</v>
      </c>
      <c r="I3027" s="25" t="s">
        <v>6009</v>
      </c>
      <c r="J3027" s="8" t="s">
        <v>6010</v>
      </c>
      <c r="K3027" s="8" t="s">
        <v>10051</v>
      </c>
      <c r="L3027" s="15">
        <v>0.12992799999999999</v>
      </c>
      <c r="M3027" s="15">
        <v>0.59084700000000001</v>
      </c>
      <c r="N3027" s="15">
        <v>0.86571814955430837</v>
      </c>
    </row>
    <row r="3028" spans="1:14" x14ac:dyDescent="0.2">
      <c r="A3028" s="2" t="s">
        <v>10066</v>
      </c>
      <c r="B3028" s="15">
        <v>395</v>
      </c>
      <c r="C3028" s="15">
        <v>2</v>
      </c>
      <c r="D3028" s="15">
        <v>218396259</v>
      </c>
      <c r="E3028" s="15">
        <v>219678783</v>
      </c>
      <c r="F3028" s="15">
        <v>2580</v>
      </c>
      <c r="G3028" s="8" t="s">
        <v>12324</v>
      </c>
      <c r="H3028" s="24" t="s">
        <v>6008</v>
      </c>
      <c r="I3028" s="25" t="s">
        <v>6009</v>
      </c>
      <c r="J3028" s="8" t="s">
        <v>6010</v>
      </c>
      <c r="K3028" s="8" t="s">
        <v>10051</v>
      </c>
      <c r="L3028" s="15">
        <v>-0.132658</v>
      </c>
      <c r="M3028" s="15">
        <v>0.59098700000000004</v>
      </c>
      <c r="N3028" s="15">
        <v>0.86571814955430837</v>
      </c>
    </row>
    <row r="3029" spans="1:14" x14ac:dyDescent="0.2">
      <c r="A3029" s="2" t="s">
        <v>10066</v>
      </c>
      <c r="B3029" s="15">
        <v>945</v>
      </c>
      <c r="C3029" s="15">
        <v>6</v>
      </c>
      <c r="D3029" s="15">
        <v>21295865</v>
      </c>
      <c r="E3029" s="15">
        <v>22199713</v>
      </c>
      <c r="F3029" s="15">
        <v>2312</v>
      </c>
      <c r="G3029" s="8" t="s">
        <v>12324</v>
      </c>
      <c r="H3029" s="24" t="s">
        <v>6008</v>
      </c>
      <c r="I3029" s="25" t="s">
        <v>6009</v>
      </c>
      <c r="J3029" s="8" t="s">
        <v>6010</v>
      </c>
      <c r="K3029" s="8" t="s">
        <v>10051</v>
      </c>
      <c r="L3029" s="15">
        <v>8.6529800000000004E-2</v>
      </c>
      <c r="M3029" s="15">
        <v>0.59123499999999996</v>
      </c>
      <c r="N3029" s="15">
        <v>0.86571814955430837</v>
      </c>
    </row>
    <row r="3030" spans="1:14" x14ac:dyDescent="0.2">
      <c r="A3030" s="2" t="s">
        <v>10068</v>
      </c>
      <c r="B3030" s="15">
        <v>1494</v>
      </c>
      <c r="C3030" s="15">
        <v>10</v>
      </c>
      <c r="D3030" s="15">
        <v>6897038</v>
      </c>
      <c r="E3030" s="15">
        <v>7659872</v>
      </c>
      <c r="F3030" s="15">
        <v>2747</v>
      </c>
      <c r="G3030" s="8" t="s">
        <v>12324</v>
      </c>
      <c r="H3030" s="24" t="s">
        <v>6565</v>
      </c>
      <c r="I3030" s="25" t="s">
        <v>6475</v>
      </c>
      <c r="J3030" s="8" t="s">
        <v>6566</v>
      </c>
      <c r="K3030" s="8" t="s">
        <v>10054</v>
      </c>
      <c r="L3030" s="15">
        <v>0.17662700000000001</v>
      </c>
      <c r="M3030" s="15">
        <v>0.58767800000000003</v>
      </c>
      <c r="N3030" s="15">
        <v>0.86571814955430837</v>
      </c>
    </row>
    <row r="3031" spans="1:14" x14ac:dyDescent="0.2">
      <c r="A3031" s="2" t="s">
        <v>10068</v>
      </c>
      <c r="B3031" s="15">
        <v>2452</v>
      </c>
      <c r="C3031" s="15">
        <v>21</v>
      </c>
      <c r="D3031" s="15">
        <v>38046450</v>
      </c>
      <c r="E3031" s="15">
        <v>39252059</v>
      </c>
      <c r="F3031" s="15">
        <v>3382</v>
      </c>
      <c r="G3031" s="8" t="s">
        <v>12324</v>
      </c>
      <c r="H3031" s="24" t="s">
        <v>6565</v>
      </c>
      <c r="I3031" s="25" t="s">
        <v>6475</v>
      </c>
      <c r="J3031" s="8" t="s">
        <v>6566</v>
      </c>
      <c r="K3031" s="8" t="s">
        <v>10054</v>
      </c>
      <c r="L3031" s="15">
        <v>0.13492899999999999</v>
      </c>
      <c r="M3031" s="15">
        <v>0.59126500000000004</v>
      </c>
      <c r="N3031" s="15">
        <v>0.86571814955430837</v>
      </c>
    </row>
    <row r="3032" spans="1:14" x14ac:dyDescent="0.2">
      <c r="A3032" s="2" t="s">
        <v>10066</v>
      </c>
      <c r="B3032" s="15">
        <v>42</v>
      </c>
      <c r="C3032" s="15">
        <v>1</v>
      </c>
      <c r="D3032" s="15">
        <v>47257262</v>
      </c>
      <c r="E3032" s="15">
        <v>48105233</v>
      </c>
      <c r="F3032" s="15">
        <v>1934</v>
      </c>
      <c r="G3032" s="8" t="s">
        <v>12324</v>
      </c>
      <c r="H3032" s="24" t="s">
        <v>3164</v>
      </c>
      <c r="I3032" s="25" t="s">
        <v>3165</v>
      </c>
      <c r="J3032" s="8" t="s">
        <v>3166</v>
      </c>
      <c r="K3032" s="8" t="s">
        <v>10042</v>
      </c>
      <c r="L3032" s="15">
        <v>0.13791500000000001</v>
      </c>
      <c r="M3032" s="15">
        <v>0.59198399999999995</v>
      </c>
      <c r="N3032" s="15">
        <v>0.86648483168316814</v>
      </c>
    </row>
    <row r="3033" spans="1:14" x14ac:dyDescent="0.2">
      <c r="A3033" s="2" t="s">
        <v>10066</v>
      </c>
      <c r="B3033" s="15">
        <v>426</v>
      </c>
      <c r="C3033" s="15">
        <v>3</v>
      </c>
      <c r="D3033" s="15">
        <v>4109394</v>
      </c>
      <c r="E3033" s="15">
        <v>4835083</v>
      </c>
      <c r="F3033" s="15">
        <v>2230</v>
      </c>
      <c r="G3033" s="8" t="s">
        <v>12324</v>
      </c>
      <c r="H3033" s="24" t="s">
        <v>3164</v>
      </c>
      <c r="I3033" s="25" t="s">
        <v>3165</v>
      </c>
      <c r="J3033" s="8" t="s">
        <v>3166</v>
      </c>
      <c r="K3033" s="8" t="s">
        <v>10042</v>
      </c>
      <c r="L3033" s="15">
        <v>0.113536</v>
      </c>
      <c r="M3033" s="15">
        <v>0.59277100000000005</v>
      </c>
      <c r="N3033" s="15">
        <v>0.86728011539729644</v>
      </c>
    </row>
    <row r="3034" spans="1:14" x14ac:dyDescent="0.2">
      <c r="A3034" s="2" t="s">
        <v>10066</v>
      </c>
      <c r="B3034" s="15">
        <v>182</v>
      </c>
      <c r="C3034" s="15">
        <v>1</v>
      </c>
      <c r="D3034" s="15">
        <v>232954943</v>
      </c>
      <c r="E3034" s="15">
        <v>233639473</v>
      </c>
      <c r="F3034" s="15">
        <v>2127</v>
      </c>
      <c r="G3034" s="8" t="s">
        <v>12324</v>
      </c>
      <c r="H3034" s="24" t="s">
        <v>3164</v>
      </c>
      <c r="I3034" s="25" t="s">
        <v>3165</v>
      </c>
      <c r="J3034" s="8" t="s">
        <v>3166</v>
      </c>
      <c r="K3034" s="8" t="s">
        <v>10042</v>
      </c>
      <c r="L3034" s="15">
        <v>-0.126304</v>
      </c>
      <c r="M3034" s="15">
        <v>0.59311400000000003</v>
      </c>
      <c r="N3034" s="15">
        <v>0.86728011539729644</v>
      </c>
    </row>
    <row r="3035" spans="1:14" x14ac:dyDescent="0.2">
      <c r="A3035" s="2" t="s">
        <v>10068</v>
      </c>
      <c r="B3035" s="15">
        <v>2102</v>
      </c>
      <c r="C3035" s="15">
        <v>16</v>
      </c>
      <c r="D3035" s="15">
        <v>60169</v>
      </c>
      <c r="E3035" s="15">
        <v>1049079</v>
      </c>
      <c r="F3035" s="15">
        <v>3351</v>
      </c>
      <c r="G3035" s="8" t="s">
        <v>12324</v>
      </c>
      <c r="H3035" s="24" t="s">
        <v>6565</v>
      </c>
      <c r="I3035" s="25" t="s">
        <v>6475</v>
      </c>
      <c r="J3035" s="8" t="s">
        <v>6566</v>
      </c>
      <c r="K3035" s="8" t="s">
        <v>10054</v>
      </c>
      <c r="L3035" s="15">
        <v>-0.103904</v>
      </c>
      <c r="M3035" s="15">
        <v>0.59292100000000003</v>
      </c>
      <c r="N3035" s="15">
        <v>0.86728011539729644</v>
      </c>
    </row>
    <row r="3036" spans="1:14" x14ac:dyDescent="0.2">
      <c r="A3036" s="2" t="s">
        <v>10069</v>
      </c>
      <c r="B3036" s="15">
        <v>1792</v>
      </c>
      <c r="C3036" s="15">
        <v>12</v>
      </c>
      <c r="D3036" s="15">
        <v>54371449</v>
      </c>
      <c r="E3036" s="15">
        <v>55416802</v>
      </c>
      <c r="F3036" s="15">
        <v>1531</v>
      </c>
      <c r="G3036" s="8" t="s">
        <v>12324</v>
      </c>
      <c r="H3036" s="24" t="s">
        <v>662</v>
      </c>
      <c r="I3036" s="25" t="s">
        <v>663</v>
      </c>
      <c r="J3036" s="8" t="s">
        <v>664</v>
      </c>
      <c r="K3036" s="8" t="s">
        <v>10040</v>
      </c>
      <c r="L3036" s="15">
        <v>-0.12637599999999999</v>
      </c>
      <c r="M3036" s="15">
        <v>0.59351100000000001</v>
      </c>
      <c r="N3036" s="15">
        <v>0.86757458305866852</v>
      </c>
    </row>
    <row r="3037" spans="1:14" x14ac:dyDescent="0.2">
      <c r="A3037" s="2" t="s">
        <v>10068</v>
      </c>
      <c r="B3037" s="15">
        <v>1349</v>
      </c>
      <c r="C3037" s="15">
        <v>8</v>
      </c>
      <c r="D3037" s="15">
        <v>122622805</v>
      </c>
      <c r="E3037" s="15">
        <v>124001019</v>
      </c>
      <c r="F3037" s="15">
        <v>3006</v>
      </c>
      <c r="G3037" s="8" t="s">
        <v>12324</v>
      </c>
      <c r="H3037" s="24" t="s">
        <v>1259</v>
      </c>
      <c r="I3037" s="25">
        <v>27096</v>
      </c>
      <c r="J3037" s="8" t="s">
        <v>1261</v>
      </c>
      <c r="K3037" s="8" t="s">
        <v>10040</v>
      </c>
      <c r="L3037" s="15">
        <v>0.189412</v>
      </c>
      <c r="M3037" s="15">
        <v>0.59402600000000005</v>
      </c>
      <c r="N3037" s="15">
        <v>0.86804128830313032</v>
      </c>
    </row>
    <row r="3038" spans="1:14" x14ac:dyDescent="0.2">
      <c r="A3038" s="2" t="s">
        <v>10068</v>
      </c>
      <c r="B3038" s="15">
        <v>2403</v>
      </c>
      <c r="C3038" s="15">
        <v>20</v>
      </c>
      <c r="D3038" s="15">
        <v>38427595</v>
      </c>
      <c r="E3038" s="15">
        <v>40272390</v>
      </c>
      <c r="F3038" s="15">
        <v>4071</v>
      </c>
      <c r="G3038" s="8" t="s">
        <v>12324</v>
      </c>
      <c r="H3038" s="24" t="s">
        <v>1259</v>
      </c>
      <c r="I3038" s="25">
        <v>27096</v>
      </c>
      <c r="J3038" s="8" t="s">
        <v>1261</v>
      </c>
      <c r="K3038" s="8" t="s">
        <v>10040</v>
      </c>
      <c r="L3038" s="15">
        <v>0.16208900000000001</v>
      </c>
      <c r="M3038" s="15">
        <v>0.59456399999999998</v>
      </c>
      <c r="N3038" s="15">
        <v>0.86821913265306128</v>
      </c>
    </row>
    <row r="3039" spans="1:14" x14ac:dyDescent="0.2">
      <c r="A3039" s="2" t="s">
        <v>10066</v>
      </c>
      <c r="B3039" s="15">
        <v>1469</v>
      </c>
      <c r="C3039" s="15">
        <v>9</v>
      </c>
      <c r="D3039" s="15">
        <v>125137579</v>
      </c>
      <c r="E3039" s="15">
        <v>126092931</v>
      </c>
      <c r="F3039" s="15">
        <v>2145</v>
      </c>
      <c r="G3039" s="8" t="s">
        <v>12324</v>
      </c>
      <c r="H3039" s="24" t="s">
        <v>3164</v>
      </c>
      <c r="I3039" s="25" t="s">
        <v>3165</v>
      </c>
      <c r="J3039" s="8" t="s">
        <v>3166</v>
      </c>
      <c r="K3039" s="8" t="s">
        <v>10042</v>
      </c>
      <c r="L3039" s="15">
        <v>-0.20909900000000001</v>
      </c>
      <c r="M3039" s="15">
        <v>0.59469799999999995</v>
      </c>
      <c r="N3039" s="15">
        <v>0.86821913265306128</v>
      </c>
    </row>
    <row r="3040" spans="1:14" x14ac:dyDescent="0.2">
      <c r="A3040" s="2" t="s">
        <v>10066</v>
      </c>
      <c r="B3040" s="15">
        <v>227</v>
      </c>
      <c r="C3040" s="15">
        <v>2</v>
      </c>
      <c r="D3040" s="15">
        <v>23538528</v>
      </c>
      <c r="E3040" s="15">
        <v>24669224</v>
      </c>
      <c r="F3040" s="15">
        <v>3133</v>
      </c>
      <c r="G3040" s="8" t="s">
        <v>12324</v>
      </c>
      <c r="H3040" s="24" t="s">
        <v>3164</v>
      </c>
      <c r="I3040" s="25" t="s">
        <v>3165</v>
      </c>
      <c r="J3040" s="8" t="s">
        <v>3166</v>
      </c>
      <c r="K3040" s="8" t="s">
        <v>10042</v>
      </c>
      <c r="L3040" s="15">
        <v>-0.13781599999999999</v>
      </c>
      <c r="M3040" s="15">
        <v>0.59473500000000001</v>
      </c>
      <c r="N3040" s="15">
        <v>0.86821913265306128</v>
      </c>
    </row>
    <row r="3041" spans="1:14" x14ac:dyDescent="0.2">
      <c r="A3041" s="2" t="s">
        <v>10068</v>
      </c>
      <c r="B3041" s="15">
        <v>1869</v>
      </c>
      <c r="C3041" s="15">
        <v>13</v>
      </c>
      <c r="D3041" s="15">
        <v>24818334</v>
      </c>
      <c r="E3041" s="15">
        <v>25977140</v>
      </c>
      <c r="F3041" s="15">
        <v>3896</v>
      </c>
      <c r="G3041" s="8" t="s">
        <v>12324</v>
      </c>
      <c r="H3041" s="24" t="s">
        <v>494</v>
      </c>
      <c r="I3041" s="25">
        <v>25920</v>
      </c>
      <c r="J3041" s="8" t="s">
        <v>496</v>
      </c>
      <c r="K3041" s="8" t="s">
        <v>10040</v>
      </c>
      <c r="L3041" s="15">
        <v>0.19672500000000001</v>
      </c>
      <c r="M3041" s="15">
        <v>0.59552700000000003</v>
      </c>
      <c r="N3041" s="15">
        <v>0.86908925468904252</v>
      </c>
    </row>
    <row r="3042" spans="1:14" x14ac:dyDescent="0.2">
      <c r="A3042" s="2" t="s">
        <v>10068</v>
      </c>
      <c r="B3042" s="15">
        <v>585</v>
      </c>
      <c r="C3042" s="15">
        <v>3</v>
      </c>
      <c r="D3042" s="15">
        <v>187939200</v>
      </c>
      <c r="E3042" s="15">
        <v>189451805</v>
      </c>
      <c r="F3042" s="15">
        <v>4012</v>
      </c>
      <c r="G3042" s="8" t="s">
        <v>12324</v>
      </c>
      <c r="H3042" s="24" t="s">
        <v>494</v>
      </c>
      <c r="I3042" s="25">
        <v>25920</v>
      </c>
      <c r="J3042" s="8" t="s">
        <v>496</v>
      </c>
      <c r="K3042" s="8" t="s">
        <v>10040</v>
      </c>
      <c r="L3042" s="15">
        <v>-0.129466</v>
      </c>
      <c r="M3042" s="15">
        <v>0.59642899999999999</v>
      </c>
      <c r="N3042" s="15">
        <v>0.86909568688524574</v>
      </c>
    </row>
    <row r="3043" spans="1:14" x14ac:dyDescent="0.2">
      <c r="A3043" s="2" t="s">
        <v>10068</v>
      </c>
      <c r="B3043" s="15">
        <v>49</v>
      </c>
      <c r="C3043" s="15">
        <v>1</v>
      </c>
      <c r="D3043" s="15">
        <v>56799637</v>
      </c>
      <c r="E3043" s="15">
        <v>57529670</v>
      </c>
      <c r="F3043" s="15">
        <v>2187</v>
      </c>
      <c r="G3043" s="8" t="s">
        <v>12324</v>
      </c>
      <c r="H3043" s="24" t="s">
        <v>494</v>
      </c>
      <c r="I3043" s="25">
        <v>25920</v>
      </c>
      <c r="J3043" s="8" t="s">
        <v>496</v>
      </c>
      <c r="K3043" s="8" t="s">
        <v>10040</v>
      </c>
      <c r="L3043" s="15">
        <v>-0.19456200000000001</v>
      </c>
      <c r="M3043" s="15">
        <v>0.59684499999999996</v>
      </c>
      <c r="N3043" s="15">
        <v>0.86909568688524574</v>
      </c>
    </row>
    <row r="3044" spans="1:14" x14ac:dyDescent="0.2">
      <c r="A3044" s="2" t="s">
        <v>10068</v>
      </c>
      <c r="B3044" s="15">
        <v>1327</v>
      </c>
      <c r="C3044" s="15">
        <v>8</v>
      </c>
      <c r="D3044" s="15">
        <v>96900514</v>
      </c>
      <c r="E3044" s="15">
        <v>98132519</v>
      </c>
      <c r="F3044" s="15">
        <v>2392</v>
      </c>
      <c r="G3044" s="8" t="s">
        <v>12324</v>
      </c>
      <c r="H3044" s="24" t="s">
        <v>599</v>
      </c>
      <c r="I3044" s="25">
        <v>26562</v>
      </c>
      <c r="J3044" s="8" t="s">
        <v>601</v>
      </c>
      <c r="K3044" s="8" t="s">
        <v>10040</v>
      </c>
      <c r="L3044" s="15">
        <v>0.14952799999999999</v>
      </c>
      <c r="M3044" s="15">
        <v>0.59699100000000005</v>
      </c>
      <c r="N3044" s="15">
        <v>0.86909568688524574</v>
      </c>
    </row>
    <row r="3045" spans="1:14" x14ac:dyDescent="0.2">
      <c r="A3045" s="2" t="s">
        <v>10068</v>
      </c>
      <c r="B3045" s="15">
        <v>39</v>
      </c>
      <c r="C3045" s="15">
        <v>1</v>
      </c>
      <c r="D3045" s="15">
        <v>41977967</v>
      </c>
      <c r="E3045" s="15">
        <v>43512669</v>
      </c>
      <c r="F3045" s="15">
        <v>3409</v>
      </c>
      <c r="G3045" s="8" t="s">
        <v>12324</v>
      </c>
      <c r="H3045" s="24" t="s">
        <v>599</v>
      </c>
      <c r="I3045" s="25">
        <v>26562</v>
      </c>
      <c r="J3045" s="8" t="s">
        <v>601</v>
      </c>
      <c r="K3045" s="8" t="s">
        <v>10040</v>
      </c>
      <c r="L3045" s="15">
        <v>-0.14124400000000001</v>
      </c>
      <c r="M3045" s="15">
        <v>0.59718700000000002</v>
      </c>
      <c r="N3045" s="15">
        <v>0.86909568688524574</v>
      </c>
    </row>
    <row r="3046" spans="1:14" x14ac:dyDescent="0.2">
      <c r="A3046" s="2" t="s">
        <v>10068</v>
      </c>
      <c r="B3046" s="15">
        <v>204</v>
      </c>
      <c r="C3046" s="15">
        <v>2</v>
      </c>
      <c r="D3046" s="15">
        <v>1875061</v>
      </c>
      <c r="E3046" s="15">
        <v>2680063</v>
      </c>
      <c r="F3046" s="15">
        <v>2327</v>
      </c>
      <c r="G3046" s="8" t="s">
        <v>12324</v>
      </c>
      <c r="H3046" s="24" t="s">
        <v>599</v>
      </c>
      <c r="I3046" s="25">
        <v>26562</v>
      </c>
      <c r="J3046" s="8" t="s">
        <v>601</v>
      </c>
      <c r="K3046" s="8" t="s">
        <v>10040</v>
      </c>
      <c r="L3046" s="15">
        <v>0.12157900000000001</v>
      </c>
      <c r="M3046" s="15">
        <v>0.59755100000000005</v>
      </c>
      <c r="N3046" s="15">
        <v>0.86909568688524574</v>
      </c>
    </row>
    <row r="3047" spans="1:14" x14ac:dyDescent="0.2">
      <c r="A3047" s="2" t="s">
        <v>10069</v>
      </c>
      <c r="B3047" s="15">
        <v>612</v>
      </c>
      <c r="C3047" s="15">
        <v>4</v>
      </c>
      <c r="D3047" s="15">
        <v>12209029</v>
      </c>
      <c r="E3047" s="15">
        <v>13127576</v>
      </c>
      <c r="F3047" s="15">
        <v>2053</v>
      </c>
      <c r="G3047" s="8" t="s">
        <v>12324</v>
      </c>
      <c r="H3047" s="24" t="s">
        <v>662</v>
      </c>
      <c r="I3047" s="25" t="s">
        <v>663</v>
      </c>
      <c r="J3047" s="8" t="s">
        <v>664</v>
      </c>
      <c r="K3047" s="8" t="s">
        <v>10040</v>
      </c>
      <c r="L3047" s="15">
        <v>-0.23421600000000001</v>
      </c>
      <c r="M3047" s="15">
        <v>0.59716100000000005</v>
      </c>
      <c r="N3047" s="15">
        <v>0.86909568688524574</v>
      </c>
    </row>
    <row r="3048" spans="1:14" x14ac:dyDescent="0.2">
      <c r="A3048" s="2" t="s">
        <v>10068</v>
      </c>
      <c r="B3048" s="15">
        <v>1620</v>
      </c>
      <c r="C3048" s="15">
        <v>11</v>
      </c>
      <c r="D3048" s="15">
        <v>7915072</v>
      </c>
      <c r="E3048" s="15">
        <v>9080939</v>
      </c>
      <c r="F3048" s="15">
        <v>3467</v>
      </c>
      <c r="G3048" s="8" t="s">
        <v>12324</v>
      </c>
      <c r="H3048" s="24" t="s">
        <v>1259</v>
      </c>
      <c r="I3048" s="25">
        <v>27096</v>
      </c>
      <c r="J3048" s="8" t="s">
        <v>1261</v>
      </c>
      <c r="K3048" s="8" t="s">
        <v>10040</v>
      </c>
      <c r="L3048" s="15">
        <v>0.110194</v>
      </c>
      <c r="M3048" s="15">
        <v>0.59748400000000002</v>
      </c>
      <c r="N3048" s="15">
        <v>0.86909568688524574</v>
      </c>
    </row>
    <row r="3049" spans="1:14" x14ac:dyDescent="0.2">
      <c r="A3049" s="2" t="s">
        <v>10066</v>
      </c>
      <c r="B3049" s="15">
        <v>2320</v>
      </c>
      <c r="C3049" s="15">
        <v>19</v>
      </c>
      <c r="D3049" s="15">
        <v>13213187</v>
      </c>
      <c r="E3049" s="15">
        <v>13968319</v>
      </c>
      <c r="F3049" s="15">
        <v>2123</v>
      </c>
      <c r="G3049" s="8" t="s">
        <v>12324</v>
      </c>
      <c r="H3049" s="24" t="s">
        <v>3164</v>
      </c>
      <c r="I3049" s="25" t="s">
        <v>3165</v>
      </c>
      <c r="J3049" s="8" t="s">
        <v>3166</v>
      </c>
      <c r="K3049" s="8" t="s">
        <v>10042</v>
      </c>
      <c r="L3049" s="15">
        <v>-0.124042</v>
      </c>
      <c r="M3049" s="15">
        <v>0.59637700000000005</v>
      </c>
      <c r="N3049" s="15">
        <v>0.86909568688524574</v>
      </c>
    </row>
    <row r="3050" spans="1:14" x14ac:dyDescent="0.2">
      <c r="A3050" s="2" t="s">
        <v>10066</v>
      </c>
      <c r="B3050" s="15">
        <v>2406</v>
      </c>
      <c r="C3050" s="15">
        <v>20</v>
      </c>
      <c r="D3050" s="15">
        <v>42185672</v>
      </c>
      <c r="E3050" s="15">
        <v>43008890</v>
      </c>
      <c r="F3050" s="15">
        <v>2079</v>
      </c>
      <c r="G3050" s="8" t="s">
        <v>12324</v>
      </c>
      <c r="H3050" s="24" t="s">
        <v>6008</v>
      </c>
      <c r="I3050" s="25" t="s">
        <v>6009</v>
      </c>
      <c r="J3050" s="8" t="s">
        <v>6010</v>
      </c>
      <c r="K3050" s="8" t="s">
        <v>10051</v>
      </c>
      <c r="L3050" s="15">
        <v>-0.105092</v>
      </c>
      <c r="M3050" s="15">
        <v>0.59661200000000003</v>
      </c>
      <c r="N3050" s="15">
        <v>0.86909568688524574</v>
      </c>
    </row>
    <row r="3051" spans="1:14" x14ac:dyDescent="0.2">
      <c r="A3051" s="2" t="s">
        <v>10066</v>
      </c>
      <c r="B3051" s="15">
        <v>2357</v>
      </c>
      <c r="C3051" s="15">
        <v>19</v>
      </c>
      <c r="D3051" s="15">
        <v>50451926</v>
      </c>
      <c r="E3051" s="15">
        <v>51259178</v>
      </c>
      <c r="F3051" s="15">
        <v>2122</v>
      </c>
      <c r="G3051" s="8" t="s">
        <v>12324</v>
      </c>
      <c r="H3051" s="24" t="s">
        <v>6008</v>
      </c>
      <c r="I3051" s="25" t="s">
        <v>6009</v>
      </c>
      <c r="J3051" s="8" t="s">
        <v>6010</v>
      </c>
      <c r="K3051" s="8" t="s">
        <v>10051</v>
      </c>
      <c r="L3051" s="15">
        <v>-0.10822900000000001</v>
      </c>
      <c r="M3051" s="15">
        <v>0.59755999999999998</v>
      </c>
      <c r="N3051" s="15">
        <v>0.86909568688524574</v>
      </c>
    </row>
    <row r="3052" spans="1:14" x14ac:dyDescent="0.2">
      <c r="A3052" s="2" t="s">
        <v>10066</v>
      </c>
      <c r="B3052" s="15">
        <v>1481</v>
      </c>
      <c r="C3052" s="15">
        <v>9</v>
      </c>
      <c r="D3052" s="15">
        <v>137593528</v>
      </c>
      <c r="E3052" s="15">
        <v>138202112</v>
      </c>
      <c r="F3052" s="15">
        <v>2654</v>
      </c>
      <c r="G3052" s="8" t="s">
        <v>12324</v>
      </c>
      <c r="H3052" s="24" t="s">
        <v>6008</v>
      </c>
      <c r="I3052" s="25" t="s">
        <v>6009</v>
      </c>
      <c r="J3052" s="8" t="s">
        <v>6010</v>
      </c>
      <c r="K3052" s="8" t="s">
        <v>10051</v>
      </c>
      <c r="L3052" s="15">
        <v>0.12492499999999999</v>
      </c>
      <c r="M3052" s="15">
        <v>0.59768699999999997</v>
      </c>
      <c r="N3052" s="15">
        <v>0.86909568688524574</v>
      </c>
    </row>
    <row r="3053" spans="1:14" x14ac:dyDescent="0.2">
      <c r="A3053" s="2" t="s">
        <v>10068</v>
      </c>
      <c r="B3053" s="15">
        <v>2257</v>
      </c>
      <c r="C3053" s="15">
        <v>18</v>
      </c>
      <c r="D3053" s="15">
        <v>22746154</v>
      </c>
      <c r="E3053" s="15">
        <v>24088163</v>
      </c>
      <c r="F3053" s="15">
        <v>3080</v>
      </c>
      <c r="G3053" s="8" t="s">
        <v>12324</v>
      </c>
      <c r="H3053" s="24" t="s">
        <v>494</v>
      </c>
      <c r="I3053" s="25">
        <v>25920</v>
      </c>
      <c r="J3053" s="8" t="s">
        <v>496</v>
      </c>
      <c r="K3053" s="8" t="s">
        <v>10040</v>
      </c>
      <c r="L3053" s="15">
        <v>8.9398500000000006E-2</v>
      </c>
      <c r="M3053" s="15">
        <v>0.59851299999999996</v>
      </c>
      <c r="N3053" s="15">
        <v>0.86968265665796352</v>
      </c>
    </row>
    <row r="3054" spans="1:14" x14ac:dyDescent="0.2">
      <c r="A3054" s="2" t="s">
        <v>10068</v>
      </c>
      <c r="B3054" s="15">
        <v>224</v>
      </c>
      <c r="C3054" s="15">
        <v>2</v>
      </c>
      <c r="D3054" s="15">
        <v>20064518</v>
      </c>
      <c r="E3054" s="15">
        <v>21084898</v>
      </c>
      <c r="F3054" s="15">
        <v>2702</v>
      </c>
      <c r="G3054" s="8" t="s">
        <v>12324</v>
      </c>
      <c r="H3054" s="24" t="s">
        <v>494</v>
      </c>
      <c r="I3054" s="25">
        <v>25920</v>
      </c>
      <c r="J3054" s="8" t="s">
        <v>496</v>
      </c>
      <c r="K3054" s="8" t="s">
        <v>10040</v>
      </c>
      <c r="L3054" s="15">
        <v>-0.162471</v>
      </c>
      <c r="M3054" s="15">
        <v>0.60042700000000004</v>
      </c>
      <c r="N3054" s="15">
        <v>0.86968265665796352</v>
      </c>
    </row>
    <row r="3055" spans="1:14" x14ac:dyDescent="0.2">
      <c r="A3055" s="2" t="s">
        <v>10068</v>
      </c>
      <c r="B3055" s="15">
        <v>1752</v>
      </c>
      <c r="C3055" s="15">
        <v>12</v>
      </c>
      <c r="D3055" s="15">
        <v>11742150</v>
      </c>
      <c r="E3055" s="15">
        <v>12721874</v>
      </c>
      <c r="F3055" s="15">
        <v>2781</v>
      </c>
      <c r="G3055" s="8" t="s">
        <v>12324</v>
      </c>
      <c r="H3055" s="24" t="s">
        <v>599</v>
      </c>
      <c r="I3055" s="25">
        <v>26562</v>
      </c>
      <c r="J3055" s="8" t="s">
        <v>601</v>
      </c>
      <c r="K3055" s="8" t="s">
        <v>10040</v>
      </c>
      <c r="L3055" s="15">
        <v>-8.8886699999999999E-2</v>
      </c>
      <c r="M3055" s="15">
        <v>0.60023199999999999</v>
      </c>
      <c r="N3055" s="15">
        <v>0.86968265665796352</v>
      </c>
    </row>
    <row r="3056" spans="1:14" x14ac:dyDescent="0.2">
      <c r="A3056" s="2" t="s">
        <v>10069</v>
      </c>
      <c r="B3056" s="15">
        <v>1391</v>
      </c>
      <c r="C3056" s="15">
        <v>9</v>
      </c>
      <c r="D3056" s="15">
        <v>15839404</v>
      </c>
      <c r="E3056" s="15">
        <v>16658377</v>
      </c>
      <c r="F3056" s="15">
        <v>1630</v>
      </c>
      <c r="G3056" s="8" t="s">
        <v>12324</v>
      </c>
      <c r="H3056" s="24" t="s">
        <v>662</v>
      </c>
      <c r="I3056" s="25" t="s">
        <v>663</v>
      </c>
      <c r="J3056" s="8" t="s">
        <v>664</v>
      </c>
      <c r="K3056" s="8" t="s">
        <v>10040</v>
      </c>
      <c r="L3056" s="15">
        <v>-0.143176</v>
      </c>
      <c r="M3056" s="15">
        <v>0.599661</v>
      </c>
      <c r="N3056" s="15">
        <v>0.86968265665796352</v>
      </c>
    </row>
    <row r="3057" spans="1:14" x14ac:dyDescent="0.2">
      <c r="A3057" s="2" t="s">
        <v>10068</v>
      </c>
      <c r="B3057" s="15">
        <v>1026</v>
      </c>
      <c r="C3057" s="15">
        <v>6</v>
      </c>
      <c r="D3057" s="15">
        <v>93696826</v>
      </c>
      <c r="E3057" s="15">
        <v>95176337</v>
      </c>
      <c r="F3057" s="15">
        <v>3878</v>
      </c>
      <c r="G3057" s="8" t="s">
        <v>12324</v>
      </c>
      <c r="H3057" s="24" t="s">
        <v>1259</v>
      </c>
      <c r="I3057" s="25">
        <v>27096</v>
      </c>
      <c r="J3057" s="8" t="s">
        <v>1261</v>
      </c>
      <c r="K3057" s="8" t="s">
        <v>10040</v>
      </c>
      <c r="L3057" s="15">
        <v>0.145949</v>
      </c>
      <c r="M3057" s="15">
        <v>0.60054700000000005</v>
      </c>
      <c r="N3057" s="15">
        <v>0.86968265665796352</v>
      </c>
    </row>
    <row r="3058" spans="1:14" x14ac:dyDescent="0.2">
      <c r="A3058" s="2" t="s">
        <v>10068</v>
      </c>
      <c r="B3058" s="15">
        <v>1410</v>
      </c>
      <c r="C3058" s="15">
        <v>9</v>
      </c>
      <c r="D3058" s="15">
        <v>32253284</v>
      </c>
      <c r="E3058" s="15">
        <v>33194892</v>
      </c>
      <c r="F3058" s="15">
        <v>2687</v>
      </c>
      <c r="G3058" s="8" t="s">
        <v>12324</v>
      </c>
      <c r="H3058" s="24" t="s">
        <v>1259</v>
      </c>
      <c r="I3058" s="25">
        <v>27096</v>
      </c>
      <c r="J3058" s="8" t="s">
        <v>1261</v>
      </c>
      <c r="K3058" s="8" t="s">
        <v>10040</v>
      </c>
      <c r="L3058" s="15">
        <v>0.11923</v>
      </c>
      <c r="M3058" s="15">
        <v>0.60060999999999998</v>
      </c>
      <c r="N3058" s="15">
        <v>0.86968265665796352</v>
      </c>
    </row>
    <row r="3059" spans="1:14" x14ac:dyDescent="0.2">
      <c r="A3059" s="2" t="s">
        <v>10066</v>
      </c>
      <c r="B3059" s="15">
        <v>2427</v>
      </c>
      <c r="C3059" s="15">
        <v>20</v>
      </c>
      <c r="D3059" s="15">
        <v>60766558</v>
      </c>
      <c r="E3059" s="15">
        <v>61470768</v>
      </c>
      <c r="F3059" s="15">
        <v>2305</v>
      </c>
      <c r="G3059" s="8" t="s">
        <v>12324</v>
      </c>
      <c r="H3059" s="24" t="s">
        <v>3164</v>
      </c>
      <c r="I3059" s="25" t="s">
        <v>3165</v>
      </c>
      <c r="J3059" s="8" t="s">
        <v>3166</v>
      </c>
      <c r="K3059" s="8" t="s">
        <v>10042</v>
      </c>
      <c r="L3059" s="15">
        <v>0.14524000000000001</v>
      </c>
      <c r="M3059" s="15">
        <v>0.59891799999999995</v>
      </c>
      <c r="N3059" s="15">
        <v>0.86968265665796352</v>
      </c>
    </row>
    <row r="3060" spans="1:14" x14ac:dyDescent="0.2">
      <c r="A3060" s="2" t="s">
        <v>10066</v>
      </c>
      <c r="B3060" s="15">
        <v>1605</v>
      </c>
      <c r="C3060" s="15">
        <v>10</v>
      </c>
      <c r="D3060" s="15">
        <v>131694739</v>
      </c>
      <c r="E3060" s="15">
        <v>132576793</v>
      </c>
      <c r="F3060" s="15">
        <v>3202</v>
      </c>
      <c r="G3060" s="8" t="s">
        <v>12324</v>
      </c>
      <c r="H3060" s="24" t="s">
        <v>6008</v>
      </c>
      <c r="I3060" s="25" t="s">
        <v>6009</v>
      </c>
      <c r="J3060" s="8" t="s">
        <v>6010</v>
      </c>
      <c r="K3060" s="8" t="s">
        <v>10051</v>
      </c>
      <c r="L3060" s="15">
        <v>9.1164400000000007E-2</v>
      </c>
      <c r="M3060" s="15">
        <v>0.59895600000000004</v>
      </c>
      <c r="N3060" s="15">
        <v>0.86968265665796352</v>
      </c>
    </row>
    <row r="3061" spans="1:14" x14ac:dyDescent="0.2">
      <c r="A3061" s="2" t="s">
        <v>10066</v>
      </c>
      <c r="B3061" s="15">
        <v>1062</v>
      </c>
      <c r="C3061" s="15">
        <v>6</v>
      </c>
      <c r="D3061" s="15">
        <v>135544084</v>
      </c>
      <c r="E3061" s="15">
        <v>137553212</v>
      </c>
      <c r="F3061" s="15">
        <v>3623</v>
      </c>
      <c r="G3061" s="8" t="s">
        <v>12324</v>
      </c>
      <c r="H3061" s="24" t="s">
        <v>6008</v>
      </c>
      <c r="I3061" s="25" t="s">
        <v>6009</v>
      </c>
      <c r="J3061" s="8" t="s">
        <v>6010</v>
      </c>
      <c r="K3061" s="8" t="s">
        <v>10051</v>
      </c>
      <c r="L3061" s="15">
        <v>-0.15357199999999999</v>
      </c>
      <c r="M3061" s="15">
        <v>0.59938499999999995</v>
      </c>
      <c r="N3061" s="15">
        <v>0.86968265665796352</v>
      </c>
    </row>
    <row r="3062" spans="1:14" x14ac:dyDescent="0.2">
      <c r="A3062" s="2" t="s">
        <v>10066</v>
      </c>
      <c r="B3062" s="15">
        <v>2012</v>
      </c>
      <c r="C3062" s="15">
        <v>14</v>
      </c>
      <c r="D3062" s="15">
        <v>84087373</v>
      </c>
      <c r="E3062" s="15">
        <v>85562936</v>
      </c>
      <c r="F3062" s="15">
        <v>3899</v>
      </c>
      <c r="G3062" s="8" t="s">
        <v>12324</v>
      </c>
      <c r="H3062" s="24" t="s">
        <v>6008</v>
      </c>
      <c r="I3062" s="25" t="s">
        <v>6009</v>
      </c>
      <c r="J3062" s="8" t="s">
        <v>6010</v>
      </c>
      <c r="K3062" s="8" t="s">
        <v>10051</v>
      </c>
      <c r="L3062" s="15">
        <v>-0.19450999999999999</v>
      </c>
      <c r="M3062" s="15">
        <v>0.59996899999999997</v>
      </c>
      <c r="N3062" s="15">
        <v>0.86968265665796352</v>
      </c>
    </row>
    <row r="3063" spans="1:14" x14ac:dyDescent="0.2">
      <c r="A3063" s="2" t="s">
        <v>10066</v>
      </c>
      <c r="B3063" s="15">
        <v>1828</v>
      </c>
      <c r="C3063" s="15">
        <v>12</v>
      </c>
      <c r="D3063" s="15">
        <v>96828315</v>
      </c>
      <c r="E3063" s="15">
        <v>97814021</v>
      </c>
      <c r="F3063" s="15">
        <v>2841</v>
      </c>
      <c r="G3063" s="8" t="s">
        <v>12324</v>
      </c>
      <c r="H3063" s="24" t="s">
        <v>6008</v>
      </c>
      <c r="I3063" s="25" t="s">
        <v>6009</v>
      </c>
      <c r="J3063" s="8" t="s">
        <v>6010</v>
      </c>
      <c r="K3063" s="8" t="s">
        <v>10051</v>
      </c>
      <c r="L3063" s="15">
        <v>0.13348099999999999</v>
      </c>
      <c r="M3063" s="15">
        <v>0.60080500000000003</v>
      </c>
      <c r="N3063" s="15">
        <v>0.86968265665796352</v>
      </c>
    </row>
    <row r="3064" spans="1:14" x14ac:dyDescent="0.2">
      <c r="A3064" s="2" t="s">
        <v>10066</v>
      </c>
      <c r="B3064" s="15">
        <v>217</v>
      </c>
      <c r="C3064" s="15">
        <v>2</v>
      </c>
      <c r="D3064" s="15">
        <v>11995766</v>
      </c>
      <c r="E3064" s="15">
        <v>12732506</v>
      </c>
      <c r="F3064" s="15">
        <v>2217</v>
      </c>
      <c r="G3064" s="8" t="s">
        <v>12324</v>
      </c>
      <c r="H3064" s="24" t="s">
        <v>6008</v>
      </c>
      <c r="I3064" s="25" t="s">
        <v>6009</v>
      </c>
      <c r="J3064" s="8" t="s">
        <v>6010</v>
      </c>
      <c r="K3064" s="8" t="s">
        <v>10051</v>
      </c>
      <c r="L3064" s="15">
        <v>0.118812</v>
      </c>
      <c r="M3064" s="15">
        <v>0.60083600000000004</v>
      </c>
      <c r="N3064" s="15">
        <v>0.86968265665796352</v>
      </c>
    </row>
    <row r="3065" spans="1:14" x14ac:dyDescent="0.2">
      <c r="A3065" s="2" t="s">
        <v>10068</v>
      </c>
      <c r="B3065" s="15">
        <v>215</v>
      </c>
      <c r="C3065" s="15">
        <v>2</v>
      </c>
      <c r="D3065" s="15">
        <v>10611655</v>
      </c>
      <c r="E3065" s="15">
        <v>11230349</v>
      </c>
      <c r="F3065" s="15">
        <v>2257</v>
      </c>
      <c r="G3065" s="8" t="s">
        <v>12324</v>
      </c>
      <c r="H3065" s="24" t="s">
        <v>6565</v>
      </c>
      <c r="I3065" s="25" t="s">
        <v>6475</v>
      </c>
      <c r="J3065" s="8" t="s">
        <v>6566</v>
      </c>
      <c r="K3065" s="8" t="s">
        <v>10054</v>
      </c>
      <c r="L3065" s="15">
        <v>-0.125865</v>
      </c>
      <c r="M3065" s="15">
        <v>0.59842200000000001</v>
      </c>
      <c r="N3065" s="15">
        <v>0.86968265665796352</v>
      </c>
    </row>
    <row r="3066" spans="1:14" x14ac:dyDescent="0.2">
      <c r="A3066" s="2" t="s">
        <v>10068</v>
      </c>
      <c r="B3066" s="15">
        <v>38</v>
      </c>
      <c r="C3066" s="15">
        <v>1</v>
      </c>
      <c r="D3066" s="15">
        <v>41093876</v>
      </c>
      <c r="E3066" s="15">
        <v>41977966</v>
      </c>
      <c r="F3066" s="15">
        <v>2437</v>
      </c>
      <c r="G3066" s="8" t="s">
        <v>12324</v>
      </c>
      <c r="H3066" s="24" t="s">
        <v>6565</v>
      </c>
      <c r="I3066" s="25" t="s">
        <v>6475</v>
      </c>
      <c r="J3066" s="8" t="s">
        <v>6566</v>
      </c>
      <c r="K3066" s="8" t="s">
        <v>10054</v>
      </c>
      <c r="L3066" s="15">
        <v>-0.16833699999999999</v>
      </c>
      <c r="M3066" s="15">
        <v>0.59950099999999995</v>
      </c>
      <c r="N3066" s="15">
        <v>0.86968265665796352</v>
      </c>
    </row>
    <row r="3067" spans="1:14" x14ac:dyDescent="0.2">
      <c r="A3067" s="2" t="s">
        <v>10068</v>
      </c>
      <c r="B3067" s="15">
        <v>639</v>
      </c>
      <c r="C3067" s="15">
        <v>4</v>
      </c>
      <c r="D3067" s="15">
        <v>38984839</v>
      </c>
      <c r="E3067" s="15">
        <v>39820061</v>
      </c>
      <c r="F3067" s="15">
        <v>2118</v>
      </c>
      <c r="G3067" s="8" t="s">
        <v>12324</v>
      </c>
      <c r="H3067" s="24" t="s">
        <v>599</v>
      </c>
      <c r="I3067" s="25">
        <v>26562</v>
      </c>
      <c r="J3067" s="8" t="s">
        <v>601</v>
      </c>
      <c r="K3067" s="8" t="s">
        <v>10040</v>
      </c>
      <c r="L3067" s="15">
        <v>0.17180300000000001</v>
      </c>
      <c r="M3067" s="15">
        <v>0.601267</v>
      </c>
      <c r="N3067" s="15">
        <v>0.86973879484670569</v>
      </c>
    </row>
    <row r="3068" spans="1:14" x14ac:dyDescent="0.2">
      <c r="A3068" s="2" t="s">
        <v>10068</v>
      </c>
      <c r="B3068" s="15">
        <v>1528</v>
      </c>
      <c r="C3068" s="15">
        <v>10</v>
      </c>
      <c r="D3068" s="15">
        <v>42984428</v>
      </c>
      <c r="E3068" s="15">
        <v>43769842</v>
      </c>
      <c r="F3068" s="15">
        <v>2397</v>
      </c>
      <c r="G3068" s="8" t="s">
        <v>12324</v>
      </c>
      <c r="H3068" s="24" t="s">
        <v>1259</v>
      </c>
      <c r="I3068" s="25">
        <v>27096</v>
      </c>
      <c r="J3068" s="8" t="s">
        <v>1261</v>
      </c>
      <c r="K3068" s="8" t="s">
        <v>10040</v>
      </c>
      <c r="L3068" s="15">
        <v>0.14938299999999999</v>
      </c>
      <c r="M3068" s="15">
        <v>0.60116899999999995</v>
      </c>
      <c r="N3068" s="15">
        <v>0.86973879484670569</v>
      </c>
    </row>
    <row r="3069" spans="1:14" x14ac:dyDescent="0.2">
      <c r="A3069" s="2" t="s">
        <v>10068</v>
      </c>
      <c r="B3069" s="15">
        <v>570</v>
      </c>
      <c r="C3069" s="15">
        <v>3</v>
      </c>
      <c r="D3069" s="15">
        <v>168972663</v>
      </c>
      <c r="E3069" s="15">
        <v>170174578</v>
      </c>
      <c r="F3069" s="15">
        <v>2770</v>
      </c>
      <c r="G3069" s="8" t="s">
        <v>12324</v>
      </c>
      <c r="H3069" s="24" t="s">
        <v>599</v>
      </c>
      <c r="I3069" s="25">
        <v>26562</v>
      </c>
      <c r="J3069" s="8" t="s">
        <v>601</v>
      </c>
      <c r="K3069" s="8" t="s">
        <v>10040</v>
      </c>
      <c r="L3069" s="15">
        <v>-0.11366800000000001</v>
      </c>
      <c r="M3069" s="15">
        <v>0.60153299999999998</v>
      </c>
      <c r="N3069" s="15">
        <v>0.86983986142810565</v>
      </c>
    </row>
    <row r="3070" spans="1:14" x14ac:dyDescent="0.2">
      <c r="A3070" s="2" t="s">
        <v>10068</v>
      </c>
      <c r="B3070" s="15">
        <v>1260</v>
      </c>
      <c r="C3070" s="15">
        <v>8</v>
      </c>
      <c r="D3070" s="15">
        <v>16988031</v>
      </c>
      <c r="E3070" s="15">
        <v>17492672</v>
      </c>
      <c r="F3070" s="15">
        <v>2056</v>
      </c>
      <c r="G3070" s="8" t="s">
        <v>12324</v>
      </c>
      <c r="H3070" s="24" t="s">
        <v>494</v>
      </c>
      <c r="I3070" s="25">
        <v>25920</v>
      </c>
      <c r="J3070" s="8" t="s">
        <v>496</v>
      </c>
      <c r="K3070" s="8" t="s">
        <v>10040</v>
      </c>
      <c r="L3070" s="15">
        <v>0.118593</v>
      </c>
      <c r="M3070" s="15">
        <v>0.60534200000000005</v>
      </c>
      <c r="N3070" s="15">
        <v>0.87067868463524856</v>
      </c>
    </row>
    <row r="3071" spans="1:14" x14ac:dyDescent="0.2">
      <c r="A3071" s="2" t="s">
        <v>10068</v>
      </c>
      <c r="B3071" s="15">
        <v>1373</v>
      </c>
      <c r="C3071" s="15">
        <v>9</v>
      </c>
      <c r="D3071" s="15">
        <v>1874962</v>
      </c>
      <c r="E3071" s="15">
        <v>2441120</v>
      </c>
      <c r="F3071" s="15">
        <v>2006</v>
      </c>
      <c r="G3071" s="8" t="s">
        <v>12324</v>
      </c>
      <c r="H3071" s="24" t="s">
        <v>494</v>
      </c>
      <c r="I3071" s="25">
        <v>25920</v>
      </c>
      <c r="J3071" s="8" t="s">
        <v>496</v>
      </c>
      <c r="K3071" s="8" t="s">
        <v>10040</v>
      </c>
      <c r="L3071" s="15">
        <v>-5.9669899999999998E-2</v>
      </c>
      <c r="M3071" s="15">
        <v>0.60741800000000001</v>
      </c>
      <c r="N3071" s="15">
        <v>0.87067868463524856</v>
      </c>
    </row>
    <row r="3072" spans="1:14" x14ac:dyDescent="0.2">
      <c r="A3072" s="2" t="s">
        <v>10068</v>
      </c>
      <c r="B3072" s="15">
        <v>1323</v>
      </c>
      <c r="C3072" s="15">
        <v>8</v>
      </c>
      <c r="D3072" s="15">
        <v>91457963</v>
      </c>
      <c r="E3072" s="15">
        <v>92876620</v>
      </c>
      <c r="F3072" s="15">
        <v>2387</v>
      </c>
      <c r="G3072" s="8" t="s">
        <v>12324</v>
      </c>
      <c r="H3072" s="24" t="s">
        <v>494</v>
      </c>
      <c r="I3072" s="25">
        <v>25920</v>
      </c>
      <c r="J3072" s="8" t="s">
        <v>496</v>
      </c>
      <c r="K3072" s="8" t="s">
        <v>10040</v>
      </c>
      <c r="L3072" s="15">
        <v>0.183723</v>
      </c>
      <c r="M3072" s="15">
        <v>0.60819900000000005</v>
      </c>
      <c r="N3072" s="15">
        <v>0.87067868463524856</v>
      </c>
    </row>
    <row r="3073" spans="1:14" x14ac:dyDescent="0.2">
      <c r="A3073" s="2" t="s">
        <v>10068</v>
      </c>
      <c r="B3073" s="15">
        <v>2202</v>
      </c>
      <c r="C3073" s="15">
        <v>17</v>
      </c>
      <c r="D3073" s="15">
        <v>36116885</v>
      </c>
      <c r="E3073" s="15">
        <v>37361178</v>
      </c>
      <c r="F3073" s="15">
        <v>2539</v>
      </c>
      <c r="G3073" s="8" t="s">
        <v>12324</v>
      </c>
      <c r="H3073" s="24" t="s">
        <v>599</v>
      </c>
      <c r="I3073" s="25">
        <v>26562</v>
      </c>
      <c r="J3073" s="8" t="s">
        <v>601</v>
      </c>
      <c r="K3073" s="8" t="s">
        <v>10040</v>
      </c>
      <c r="L3073" s="15">
        <v>8.2559099999999996E-2</v>
      </c>
      <c r="M3073" s="15">
        <v>0.60256200000000004</v>
      </c>
      <c r="N3073" s="15">
        <v>0.87067868463524856</v>
      </c>
    </row>
    <row r="3074" spans="1:14" x14ac:dyDescent="0.2">
      <c r="A3074" s="2" t="s">
        <v>10068</v>
      </c>
      <c r="B3074" s="15">
        <v>1349</v>
      </c>
      <c r="C3074" s="15">
        <v>8</v>
      </c>
      <c r="D3074" s="15">
        <v>122622805</v>
      </c>
      <c r="E3074" s="15">
        <v>124001019</v>
      </c>
      <c r="F3074" s="15">
        <v>3006</v>
      </c>
      <c r="G3074" s="8" t="s">
        <v>12324</v>
      </c>
      <c r="H3074" s="24" t="s">
        <v>599</v>
      </c>
      <c r="I3074" s="25">
        <v>26562</v>
      </c>
      <c r="J3074" s="8" t="s">
        <v>601</v>
      </c>
      <c r="K3074" s="8" t="s">
        <v>10040</v>
      </c>
      <c r="L3074" s="15">
        <v>-0.18337800000000001</v>
      </c>
      <c r="M3074" s="15">
        <v>0.60341699999999998</v>
      </c>
      <c r="N3074" s="15">
        <v>0.87067868463524856</v>
      </c>
    </row>
    <row r="3075" spans="1:14" x14ac:dyDescent="0.2">
      <c r="A3075" s="2" t="s">
        <v>10068</v>
      </c>
      <c r="B3075" s="15">
        <v>543</v>
      </c>
      <c r="C3075" s="15">
        <v>3</v>
      </c>
      <c r="D3075" s="15">
        <v>139831268</v>
      </c>
      <c r="E3075" s="15">
        <v>141034637</v>
      </c>
      <c r="F3075" s="15">
        <v>3016</v>
      </c>
      <c r="G3075" s="8" t="s">
        <v>12324</v>
      </c>
      <c r="H3075" s="24" t="s">
        <v>599</v>
      </c>
      <c r="I3075" s="25">
        <v>26562</v>
      </c>
      <c r="J3075" s="8" t="s">
        <v>601</v>
      </c>
      <c r="K3075" s="8" t="s">
        <v>10040</v>
      </c>
      <c r="L3075" s="15">
        <v>0.14435100000000001</v>
      </c>
      <c r="M3075" s="15">
        <v>0.60620200000000002</v>
      </c>
      <c r="N3075" s="15">
        <v>0.87067868463524856</v>
      </c>
    </row>
    <row r="3076" spans="1:14" x14ac:dyDescent="0.2">
      <c r="A3076" s="2" t="s">
        <v>10069</v>
      </c>
      <c r="B3076" s="15">
        <v>583</v>
      </c>
      <c r="C3076" s="15">
        <v>3</v>
      </c>
      <c r="D3076" s="15">
        <v>185709997</v>
      </c>
      <c r="E3076" s="15">
        <v>186602045</v>
      </c>
      <c r="F3076" s="15">
        <v>1504</v>
      </c>
      <c r="G3076" s="8" t="s">
        <v>12324</v>
      </c>
      <c r="H3076" s="24" t="s">
        <v>662</v>
      </c>
      <c r="I3076" s="25" t="s">
        <v>663</v>
      </c>
      <c r="J3076" s="8" t="s">
        <v>664</v>
      </c>
      <c r="K3076" s="8" t="s">
        <v>10040</v>
      </c>
      <c r="L3076" s="15">
        <v>0.108191</v>
      </c>
      <c r="M3076" s="15">
        <v>0.60485699999999998</v>
      </c>
      <c r="N3076" s="15">
        <v>0.87067868463524856</v>
      </c>
    </row>
    <row r="3077" spans="1:14" x14ac:dyDescent="0.2">
      <c r="A3077" s="2" t="s">
        <v>10069</v>
      </c>
      <c r="B3077" s="15">
        <v>410</v>
      </c>
      <c r="C3077" s="15">
        <v>2</v>
      </c>
      <c r="D3077" s="15">
        <v>234115093</v>
      </c>
      <c r="E3077" s="15">
        <v>234945577</v>
      </c>
      <c r="F3077" s="15">
        <v>1542</v>
      </c>
      <c r="G3077" s="8" t="s">
        <v>12324</v>
      </c>
      <c r="H3077" s="24" t="s">
        <v>662</v>
      </c>
      <c r="I3077" s="25" t="s">
        <v>663</v>
      </c>
      <c r="J3077" s="8" t="s">
        <v>664</v>
      </c>
      <c r="K3077" s="8" t="s">
        <v>10040</v>
      </c>
      <c r="L3077" s="15">
        <v>-0.218861</v>
      </c>
      <c r="M3077" s="15">
        <v>0.60631599999999997</v>
      </c>
      <c r="N3077" s="15">
        <v>0.87067868463524856</v>
      </c>
    </row>
    <row r="3078" spans="1:14" x14ac:dyDescent="0.2">
      <c r="A3078" s="2" t="s">
        <v>10069</v>
      </c>
      <c r="B3078" s="15">
        <v>2287</v>
      </c>
      <c r="C3078" s="15">
        <v>18</v>
      </c>
      <c r="D3078" s="15">
        <v>58527237</v>
      </c>
      <c r="E3078" s="15">
        <v>59449422</v>
      </c>
      <c r="F3078" s="15">
        <v>1243</v>
      </c>
      <c r="G3078" s="8" t="s">
        <v>12324</v>
      </c>
      <c r="H3078" s="24" t="s">
        <v>662</v>
      </c>
      <c r="I3078" s="25" t="s">
        <v>663</v>
      </c>
      <c r="J3078" s="8" t="s">
        <v>664</v>
      </c>
      <c r="K3078" s="8" t="s">
        <v>10040</v>
      </c>
      <c r="L3078" s="15">
        <v>0.168768</v>
      </c>
      <c r="M3078" s="15">
        <v>0.60728700000000002</v>
      </c>
      <c r="N3078" s="15">
        <v>0.87067868463524856</v>
      </c>
    </row>
    <row r="3079" spans="1:14" x14ac:dyDescent="0.2">
      <c r="A3079" s="2" t="s">
        <v>10069</v>
      </c>
      <c r="B3079" s="15">
        <v>249</v>
      </c>
      <c r="C3079" s="15">
        <v>2</v>
      </c>
      <c r="D3079" s="15">
        <v>44104111</v>
      </c>
      <c r="E3079" s="15">
        <v>45189468</v>
      </c>
      <c r="F3079" s="15">
        <v>1910</v>
      </c>
      <c r="G3079" s="8" t="s">
        <v>12324</v>
      </c>
      <c r="H3079" s="24" t="s">
        <v>662</v>
      </c>
      <c r="I3079" s="25" t="s">
        <v>663</v>
      </c>
      <c r="J3079" s="8" t="s">
        <v>664</v>
      </c>
      <c r="K3079" s="8" t="s">
        <v>10040</v>
      </c>
      <c r="L3079" s="15">
        <v>-0.17915300000000001</v>
      </c>
      <c r="M3079" s="15">
        <v>0.60764300000000004</v>
      </c>
      <c r="N3079" s="15">
        <v>0.87067868463524856</v>
      </c>
    </row>
    <row r="3080" spans="1:14" x14ac:dyDescent="0.2">
      <c r="A3080" s="2" t="s">
        <v>10069</v>
      </c>
      <c r="B3080" s="15">
        <v>1480</v>
      </c>
      <c r="C3080" s="15">
        <v>9</v>
      </c>
      <c r="D3080" s="15">
        <v>136770927</v>
      </c>
      <c r="E3080" s="15">
        <v>137593527</v>
      </c>
      <c r="F3080" s="15">
        <v>1510</v>
      </c>
      <c r="G3080" s="8" t="s">
        <v>12324</v>
      </c>
      <c r="H3080" s="24" t="s">
        <v>662</v>
      </c>
      <c r="I3080" s="25" t="s">
        <v>663</v>
      </c>
      <c r="J3080" s="8" t="s">
        <v>664</v>
      </c>
      <c r="K3080" s="8" t="s">
        <v>10040</v>
      </c>
      <c r="L3080" s="15">
        <v>-0.11242000000000001</v>
      </c>
      <c r="M3080" s="15">
        <v>0.60799400000000003</v>
      </c>
      <c r="N3080" s="15">
        <v>0.87067868463524856</v>
      </c>
    </row>
    <row r="3081" spans="1:14" x14ac:dyDescent="0.2">
      <c r="A3081" s="2" t="s">
        <v>10068</v>
      </c>
      <c r="B3081" s="15">
        <v>1956</v>
      </c>
      <c r="C3081" s="15">
        <v>14</v>
      </c>
      <c r="D3081" s="15">
        <v>21982655</v>
      </c>
      <c r="E3081" s="15">
        <v>22760700</v>
      </c>
      <c r="F3081" s="15">
        <v>3310</v>
      </c>
      <c r="G3081" s="8" t="s">
        <v>12324</v>
      </c>
      <c r="H3081" s="24" t="s">
        <v>1259</v>
      </c>
      <c r="I3081" s="25">
        <v>27096</v>
      </c>
      <c r="J3081" s="8" t="s">
        <v>1261</v>
      </c>
      <c r="K3081" s="8" t="s">
        <v>10040</v>
      </c>
      <c r="L3081" s="15">
        <v>-0.121506</v>
      </c>
      <c r="M3081" s="15">
        <v>0.60255499999999995</v>
      </c>
      <c r="N3081" s="15">
        <v>0.87067868463524856</v>
      </c>
    </row>
    <row r="3082" spans="1:14" x14ac:dyDescent="0.2">
      <c r="A3082" s="2" t="s">
        <v>10068</v>
      </c>
      <c r="B3082" s="15">
        <v>2097</v>
      </c>
      <c r="C3082" s="15">
        <v>15</v>
      </c>
      <c r="D3082" s="15">
        <v>98025685</v>
      </c>
      <c r="E3082" s="15">
        <v>98828261</v>
      </c>
      <c r="F3082" s="15">
        <v>3002</v>
      </c>
      <c r="G3082" s="8" t="s">
        <v>12324</v>
      </c>
      <c r="H3082" s="24" t="s">
        <v>1259</v>
      </c>
      <c r="I3082" s="25">
        <v>27096</v>
      </c>
      <c r="J3082" s="8" t="s">
        <v>1261</v>
      </c>
      <c r="K3082" s="8" t="s">
        <v>10040</v>
      </c>
      <c r="L3082" s="15">
        <v>-8.3076399999999995E-2</v>
      </c>
      <c r="M3082" s="15">
        <v>0.60568900000000003</v>
      </c>
      <c r="N3082" s="15">
        <v>0.87067868463524856</v>
      </c>
    </row>
    <row r="3083" spans="1:14" x14ac:dyDescent="0.2">
      <c r="A3083" s="2" t="s">
        <v>10068</v>
      </c>
      <c r="B3083" s="15">
        <v>1105</v>
      </c>
      <c r="C3083" s="15">
        <v>7</v>
      </c>
      <c r="D3083" s="15">
        <v>8718352</v>
      </c>
      <c r="E3083" s="15">
        <v>9225106</v>
      </c>
      <c r="F3083" s="15">
        <v>2166</v>
      </c>
      <c r="G3083" s="8" t="s">
        <v>12324</v>
      </c>
      <c r="H3083" s="24" t="s">
        <v>1259</v>
      </c>
      <c r="I3083" s="25">
        <v>27096</v>
      </c>
      <c r="J3083" s="8" t="s">
        <v>1261</v>
      </c>
      <c r="K3083" s="8" t="s">
        <v>10040</v>
      </c>
      <c r="L3083" s="15">
        <v>0.124197</v>
      </c>
      <c r="M3083" s="15">
        <v>0.60610600000000003</v>
      </c>
      <c r="N3083" s="15">
        <v>0.87067868463524856</v>
      </c>
    </row>
    <row r="3084" spans="1:14" x14ac:dyDescent="0.2">
      <c r="A3084" s="2" t="s">
        <v>10068</v>
      </c>
      <c r="B3084" s="15">
        <v>1389</v>
      </c>
      <c r="C3084" s="15">
        <v>9</v>
      </c>
      <c r="D3084" s="15">
        <v>14244748</v>
      </c>
      <c r="E3084" s="15">
        <v>14902924</v>
      </c>
      <c r="F3084" s="15">
        <v>2096</v>
      </c>
      <c r="G3084" s="8" t="s">
        <v>12324</v>
      </c>
      <c r="H3084" s="24" t="s">
        <v>1259</v>
      </c>
      <c r="I3084" s="25">
        <v>27096</v>
      </c>
      <c r="J3084" s="8" t="s">
        <v>1261</v>
      </c>
      <c r="K3084" s="8" t="s">
        <v>10040</v>
      </c>
      <c r="L3084" s="15">
        <v>6.7588400000000007E-2</v>
      </c>
      <c r="M3084" s="15">
        <v>0.60780400000000001</v>
      </c>
      <c r="N3084" s="15">
        <v>0.87067868463524856</v>
      </c>
    </row>
    <row r="3085" spans="1:14" x14ac:dyDescent="0.2">
      <c r="A3085" s="2" t="s">
        <v>10066</v>
      </c>
      <c r="B3085" s="15">
        <v>15</v>
      </c>
      <c r="C3085" s="15">
        <v>1</v>
      </c>
      <c r="D3085" s="15">
        <v>13481026</v>
      </c>
      <c r="E3085" s="15">
        <v>14720131</v>
      </c>
      <c r="F3085" s="15">
        <v>3285</v>
      </c>
      <c r="G3085" s="8" t="s">
        <v>12324</v>
      </c>
      <c r="H3085" s="24" t="s">
        <v>3164</v>
      </c>
      <c r="I3085" s="25" t="s">
        <v>3165</v>
      </c>
      <c r="J3085" s="8" t="s">
        <v>3166</v>
      </c>
      <c r="K3085" s="8" t="s">
        <v>10042</v>
      </c>
      <c r="L3085" s="15">
        <v>-0.11343200000000001</v>
      </c>
      <c r="M3085" s="15">
        <v>0.603433</v>
      </c>
      <c r="N3085" s="15">
        <v>0.87067868463524856</v>
      </c>
    </row>
    <row r="3086" spans="1:14" x14ac:dyDescent="0.2">
      <c r="A3086" s="2" t="s">
        <v>10066</v>
      </c>
      <c r="B3086" s="15">
        <v>1474</v>
      </c>
      <c r="C3086" s="15">
        <v>9</v>
      </c>
      <c r="D3086" s="15">
        <v>130902728</v>
      </c>
      <c r="E3086" s="15">
        <v>132193798</v>
      </c>
      <c r="F3086" s="15">
        <v>2362</v>
      </c>
      <c r="G3086" s="8" t="s">
        <v>12324</v>
      </c>
      <c r="H3086" s="24" t="s">
        <v>3164</v>
      </c>
      <c r="I3086" s="25" t="s">
        <v>3165</v>
      </c>
      <c r="J3086" s="8" t="s">
        <v>3166</v>
      </c>
      <c r="K3086" s="8" t="s">
        <v>10042</v>
      </c>
      <c r="L3086" s="15">
        <v>-6.8005099999999999E-2</v>
      </c>
      <c r="M3086" s="15">
        <v>0.60382199999999997</v>
      </c>
      <c r="N3086" s="15">
        <v>0.87067868463524856</v>
      </c>
    </row>
    <row r="3087" spans="1:14" x14ac:dyDescent="0.2">
      <c r="A3087" s="2" t="s">
        <v>10066</v>
      </c>
      <c r="B3087" s="15">
        <v>444</v>
      </c>
      <c r="C3087" s="15">
        <v>3</v>
      </c>
      <c r="D3087" s="15">
        <v>23426045</v>
      </c>
      <c r="E3087" s="15">
        <v>24270189</v>
      </c>
      <c r="F3087" s="15">
        <v>2189</v>
      </c>
      <c r="G3087" s="8" t="s">
        <v>12324</v>
      </c>
      <c r="H3087" s="24" t="s">
        <v>3164</v>
      </c>
      <c r="I3087" s="25" t="s">
        <v>3165</v>
      </c>
      <c r="J3087" s="8" t="s">
        <v>3166</v>
      </c>
      <c r="K3087" s="8" t="s">
        <v>10042</v>
      </c>
      <c r="L3087" s="15">
        <v>-0.132354</v>
      </c>
      <c r="M3087" s="15">
        <v>0.60394999999999999</v>
      </c>
      <c r="N3087" s="15">
        <v>0.87067868463524856</v>
      </c>
    </row>
    <row r="3088" spans="1:14" x14ac:dyDescent="0.2">
      <c r="A3088" s="2" t="s">
        <v>10066</v>
      </c>
      <c r="B3088" s="15">
        <v>1879</v>
      </c>
      <c r="C3088" s="15">
        <v>13</v>
      </c>
      <c r="D3088" s="15">
        <v>36579414</v>
      </c>
      <c r="E3088" s="15">
        <v>37499810</v>
      </c>
      <c r="F3088" s="15">
        <v>2205</v>
      </c>
      <c r="G3088" s="8" t="s">
        <v>12324</v>
      </c>
      <c r="H3088" s="24" t="s">
        <v>3164</v>
      </c>
      <c r="I3088" s="25" t="s">
        <v>3165</v>
      </c>
      <c r="J3088" s="8" t="s">
        <v>3166</v>
      </c>
      <c r="K3088" s="8" t="s">
        <v>10042</v>
      </c>
      <c r="L3088" s="15">
        <v>0.150979</v>
      </c>
      <c r="M3088" s="15">
        <v>0.60536999999999996</v>
      </c>
      <c r="N3088" s="15">
        <v>0.87067868463524856</v>
      </c>
    </row>
    <row r="3089" spans="1:14" x14ac:dyDescent="0.2">
      <c r="A3089" s="2" t="s">
        <v>10066</v>
      </c>
      <c r="B3089" s="15">
        <v>840</v>
      </c>
      <c r="C3089" s="15">
        <v>5</v>
      </c>
      <c r="D3089" s="15">
        <v>77290256</v>
      </c>
      <c r="E3089" s="15">
        <v>79005158</v>
      </c>
      <c r="F3089" s="15">
        <v>3873</v>
      </c>
      <c r="G3089" s="8" t="s">
        <v>12324</v>
      </c>
      <c r="H3089" s="24" t="s">
        <v>3164</v>
      </c>
      <c r="I3089" s="25" t="s">
        <v>3165</v>
      </c>
      <c r="J3089" s="8" t="s">
        <v>3166</v>
      </c>
      <c r="K3089" s="8" t="s">
        <v>10042</v>
      </c>
      <c r="L3089" s="15">
        <v>0.16609099999999999</v>
      </c>
      <c r="M3089" s="15">
        <v>0.60591700000000004</v>
      </c>
      <c r="N3089" s="15">
        <v>0.87067868463524856</v>
      </c>
    </row>
    <row r="3090" spans="1:14" x14ac:dyDescent="0.2">
      <c r="A3090" s="2" t="s">
        <v>10066</v>
      </c>
      <c r="B3090" s="15">
        <v>5</v>
      </c>
      <c r="C3090" s="15">
        <v>1</v>
      </c>
      <c r="D3090" s="15">
        <v>3582048</v>
      </c>
      <c r="E3090" s="15">
        <v>4281476</v>
      </c>
      <c r="F3090" s="15">
        <v>2301</v>
      </c>
      <c r="G3090" s="8" t="s">
        <v>12324</v>
      </c>
      <c r="H3090" s="24" t="s">
        <v>3164</v>
      </c>
      <c r="I3090" s="25" t="s">
        <v>3165</v>
      </c>
      <c r="J3090" s="8" t="s">
        <v>3166</v>
      </c>
      <c r="K3090" s="8" t="s">
        <v>10042</v>
      </c>
      <c r="L3090" s="15">
        <v>6.5601400000000004E-2</v>
      </c>
      <c r="M3090" s="15">
        <v>0.60651600000000006</v>
      </c>
      <c r="N3090" s="15">
        <v>0.87067868463524856</v>
      </c>
    </row>
    <row r="3091" spans="1:14" x14ac:dyDescent="0.2">
      <c r="A3091" s="2" t="s">
        <v>10066</v>
      </c>
      <c r="B3091" s="15">
        <v>2039</v>
      </c>
      <c r="C3091" s="15">
        <v>15</v>
      </c>
      <c r="D3091" s="15">
        <v>26392948</v>
      </c>
      <c r="E3091" s="15">
        <v>27563172</v>
      </c>
      <c r="F3091" s="15">
        <v>3051</v>
      </c>
      <c r="G3091" s="8" t="s">
        <v>12324</v>
      </c>
      <c r="H3091" s="24" t="s">
        <v>3164</v>
      </c>
      <c r="I3091" s="25" t="s">
        <v>3165</v>
      </c>
      <c r="J3091" s="8" t="s">
        <v>3166</v>
      </c>
      <c r="K3091" s="8" t="s">
        <v>10042</v>
      </c>
      <c r="L3091" s="15">
        <v>-0.123794</v>
      </c>
      <c r="M3091" s="15">
        <v>0.60695200000000005</v>
      </c>
      <c r="N3091" s="15">
        <v>0.87067868463524856</v>
      </c>
    </row>
    <row r="3092" spans="1:14" x14ac:dyDescent="0.2">
      <c r="A3092" s="2" t="s">
        <v>10066</v>
      </c>
      <c r="B3092" s="15">
        <v>300</v>
      </c>
      <c r="C3092" s="15">
        <v>2</v>
      </c>
      <c r="D3092" s="15">
        <v>103305258</v>
      </c>
      <c r="E3092" s="15">
        <v>105120578</v>
      </c>
      <c r="F3092" s="15">
        <v>3606</v>
      </c>
      <c r="G3092" s="8" t="s">
        <v>12324</v>
      </c>
      <c r="H3092" s="24" t="s">
        <v>6008</v>
      </c>
      <c r="I3092" s="25" t="s">
        <v>6009</v>
      </c>
      <c r="J3092" s="8" t="s">
        <v>6010</v>
      </c>
      <c r="K3092" s="8" t="s">
        <v>10051</v>
      </c>
      <c r="L3092" s="15">
        <v>0.126799</v>
      </c>
      <c r="M3092" s="15">
        <v>0.60553599999999996</v>
      </c>
      <c r="N3092" s="15">
        <v>0.87067868463524856</v>
      </c>
    </row>
    <row r="3093" spans="1:14" x14ac:dyDescent="0.2">
      <c r="A3093" s="2" t="s">
        <v>10066</v>
      </c>
      <c r="B3093" s="15">
        <v>1418</v>
      </c>
      <c r="C3093" s="15">
        <v>9</v>
      </c>
      <c r="D3093" s="15">
        <v>70939678</v>
      </c>
      <c r="E3093" s="15">
        <v>72288878</v>
      </c>
      <c r="F3093" s="15">
        <v>3502</v>
      </c>
      <c r="G3093" s="8" t="s">
        <v>12324</v>
      </c>
      <c r="H3093" s="24" t="s">
        <v>6008</v>
      </c>
      <c r="I3093" s="25" t="s">
        <v>6009</v>
      </c>
      <c r="J3093" s="8" t="s">
        <v>6010</v>
      </c>
      <c r="K3093" s="8" t="s">
        <v>10051</v>
      </c>
      <c r="L3093" s="15">
        <v>0.13816100000000001</v>
      </c>
      <c r="M3093" s="15">
        <v>0.60711800000000005</v>
      </c>
      <c r="N3093" s="15">
        <v>0.87067868463524856</v>
      </c>
    </row>
    <row r="3094" spans="1:14" x14ac:dyDescent="0.2">
      <c r="A3094" s="2" t="s">
        <v>10068</v>
      </c>
      <c r="B3094" s="15">
        <v>1795</v>
      </c>
      <c r="C3094" s="15">
        <v>12</v>
      </c>
      <c r="D3094" s="15">
        <v>58748140</v>
      </c>
      <c r="E3094" s="15">
        <v>60000363</v>
      </c>
      <c r="F3094" s="15">
        <v>3257</v>
      </c>
      <c r="G3094" s="8" t="s">
        <v>12324</v>
      </c>
      <c r="H3094" s="24" t="s">
        <v>6565</v>
      </c>
      <c r="I3094" s="25" t="s">
        <v>6475</v>
      </c>
      <c r="J3094" s="8" t="s">
        <v>6566</v>
      </c>
      <c r="K3094" s="8" t="s">
        <v>10054</v>
      </c>
      <c r="L3094" s="15">
        <v>0.18360499999999999</v>
      </c>
      <c r="M3094" s="15">
        <v>0.60311899999999996</v>
      </c>
      <c r="N3094" s="15">
        <v>0.87067868463524856</v>
      </c>
    </row>
    <row r="3095" spans="1:14" x14ac:dyDescent="0.2">
      <c r="A3095" s="2" t="s">
        <v>10068</v>
      </c>
      <c r="B3095" s="15">
        <v>1267</v>
      </c>
      <c r="C3095" s="15">
        <v>8</v>
      </c>
      <c r="D3095" s="15">
        <v>21650454</v>
      </c>
      <c r="E3095" s="15">
        <v>22895018</v>
      </c>
      <c r="F3095" s="15">
        <v>3078</v>
      </c>
      <c r="G3095" s="8" t="s">
        <v>12324</v>
      </c>
      <c r="H3095" s="24" t="s">
        <v>6565</v>
      </c>
      <c r="I3095" s="25" t="s">
        <v>6475</v>
      </c>
      <c r="J3095" s="8" t="s">
        <v>6566</v>
      </c>
      <c r="K3095" s="8" t="s">
        <v>10054</v>
      </c>
      <c r="L3095" s="15">
        <v>-0.13599800000000001</v>
      </c>
      <c r="M3095" s="15">
        <v>0.603653</v>
      </c>
      <c r="N3095" s="15">
        <v>0.87067868463524856</v>
      </c>
    </row>
    <row r="3096" spans="1:14" x14ac:dyDescent="0.2">
      <c r="A3096" s="2" t="s">
        <v>10068</v>
      </c>
      <c r="B3096" s="15">
        <v>126</v>
      </c>
      <c r="C3096" s="15">
        <v>1</v>
      </c>
      <c r="D3096" s="15">
        <v>168179087</v>
      </c>
      <c r="E3096" s="15">
        <v>169521551</v>
      </c>
      <c r="F3096" s="15">
        <v>3984</v>
      </c>
      <c r="G3096" s="8" t="s">
        <v>12324</v>
      </c>
      <c r="H3096" s="24" t="s">
        <v>6565</v>
      </c>
      <c r="I3096" s="25" t="s">
        <v>6475</v>
      </c>
      <c r="J3096" s="8" t="s">
        <v>6566</v>
      </c>
      <c r="K3096" s="8" t="s">
        <v>10054</v>
      </c>
      <c r="L3096" s="15">
        <v>-0.10191500000000001</v>
      </c>
      <c r="M3096" s="15">
        <v>0.60420200000000002</v>
      </c>
      <c r="N3096" s="15">
        <v>0.87067868463524856</v>
      </c>
    </row>
    <row r="3097" spans="1:14" x14ac:dyDescent="0.2">
      <c r="A3097" s="2" t="s">
        <v>10068</v>
      </c>
      <c r="B3097" s="15">
        <v>4</v>
      </c>
      <c r="C3097" s="15">
        <v>1</v>
      </c>
      <c r="D3097" s="15">
        <v>2983520</v>
      </c>
      <c r="E3097" s="15">
        <v>3582047</v>
      </c>
      <c r="F3097" s="15">
        <v>2078</v>
      </c>
      <c r="G3097" s="8" t="s">
        <v>12324</v>
      </c>
      <c r="H3097" s="24" t="s">
        <v>6565</v>
      </c>
      <c r="I3097" s="25" t="s">
        <v>6475</v>
      </c>
      <c r="J3097" s="8" t="s">
        <v>6566</v>
      </c>
      <c r="K3097" s="8" t="s">
        <v>10054</v>
      </c>
      <c r="L3097" s="15">
        <v>5.9514699999999997E-2</v>
      </c>
      <c r="M3097" s="15">
        <v>0.60424</v>
      </c>
      <c r="N3097" s="15">
        <v>0.87067868463524856</v>
      </c>
    </row>
    <row r="3098" spans="1:14" x14ac:dyDescent="0.2">
      <c r="A3098" s="2" t="s">
        <v>10068</v>
      </c>
      <c r="B3098" s="15">
        <v>1422</v>
      </c>
      <c r="C3098" s="15">
        <v>9</v>
      </c>
      <c r="D3098" s="15">
        <v>76197745</v>
      </c>
      <c r="E3098" s="15">
        <v>77862308</v>
      </c>
      <c r="F3098" s="15">
        <v>3704</v>
      </c>
      <c r="G3098" s="8" t="s">
        <v>12324</v>
      </c>
      <c r="H3098" s="24" t="s">
        <v>6565</v>
      </c>
      <c r="I3098" s="25" t="s">
        <v>6475</v>
      </c>
      <c r="J3098" s="8" t="s">
        <v>6566</v>
      </c>
      <c r="K3098" s="8" t="s">
        <v>10054</v>
      </c>
      <c r="L3098" s="15">
        <v>0.1462</v>
      </c>
      <c r="M3098" s="15">
        <v>0.60519599999999996</v>
      </c>
      <c r="N3098" s="15">
        <v>0.87067868463524856</v>
      </c>
    </row>
    <row r="3099" spans="1:14" x14ac:dyDescent="0.2">
      <c r="A3099" s="2" t="s">
        <v>10068</v>
      </c>
      <c r="B3099" s="15">
        <v>211</v>
      </c>
      <c r="C3099" s="15">
        <v>2</v>
      </c>
      <c r="D3099" s="15">
        <v>7108209</v>
      </c>
      <c r="E3099" s="15">
        <v>7966709</v>
      </c>
      <c r="F3099" s="15">
        <v>2340</v>
      </c>
      <c r="G3099" s="8" t="s">
        <v>12324</v>
      </c>
      <c r="H3099" s="24" t="s">
        <v>6565</v>
      </c>
      <c r="I3099" s="25" t="s">
        <v>6475</v>
      </c>
      <c r="J3099" s="8" t="s">
        <v>6566</v>
      </c>
      <c r="K3099" s="8" t="s">
        <v>10054</v>
      </c>
      <c r="L3099" s="15">
        <v>9.2530299999999996E-2</v>
      </c>
      <c r="M3099" s="15">
        <v>0.60598200000000002</v>
      </c>
      <c r="N3099" s="15">
        <v>0.87067868463524856</v>
      </c>
    </row>
    <row r="3100" spans="1:14" x14ac:dyDescent="0.2">
      <c r="A3100" s="2" t="s">
        <v>10068</v>
      </c>
      <c r="B3100" s="15">
        <v>1429</v>
      </c>
      <c r="C3100" s="15">
        <v>9</v>
      </c>
      <c r="D3100" s="15">
        <v>83455503</v>
      </c>
      <c r="E3100" s="15">
        <v>85135751</v>
      </c>
      <c r="F3100" s="15">
        <v>3685</v>
      </c>
      <c r="G3100" s="8" t="s">
        <v>12324</v>
      </c>
      <c r="H3100" s="24" t="s">
        <v>6565</v>
      </c>
      <c r="I3100" s="25" t="s">
        <v>6475</v>
      </c>
      <c r="J3100" s="8" t="s">
        <v>6566</v>
      </c>
      <c r="K3100" s="8" t="s">
        <v>10054</v>
      </c>
      <c r="L3100" s="15">
        <v>-0.124902</v>
      </c>
      <c r="M3100" s="15">
        <v>0.60816499999999996</v>
      </c>
      <c r="N3100" s="15">
        <v>0.87067868463524856</v>
      </c>
    </row>
    <row r="3101" spans="1:14" x14ac:dyDescent="0.2">
      <c r="A3101" s="2" t="s">
        <v>10066</v>
      </c>
      <c r="B3101" s="15">
        <v>2406</v>
      </c>
      <c r="C3101" s="15">
        <v>20</v>
      </c>
      <c r="D3101" s="15">
        <v>42185672</v>
      </c>
      <c r="E3101" s="15">
        <v>43008890</v>
      </c>
      <c r="F3101" s="15">
        <v>2079</v>
      </c>
      <c r="G3101" s="8" t="s">
        <v>12324</v>
      </c>
      <c r="H3101" s="24" t="s">
        <v>3164</v>
      </c>
      <c r="I3101" s="25" t="s">
        <v>3165</v>
      </c>
      <c r="J3101" s="8" t="s">
        <v>3166</v>
      </c>
      <c r="K3101" s="8" t="s">
        <v>10042</v>
      </c>
      <c r="L3101" s="15">
        <v>-8.0410999999999996E-2</v>
      </c>
      <c r="M3101" s="15">
        <v>0.60839699999999997</v>
      </c>
      <c r="N3101" s="15">
        <v>0.8706810890609874</v>
      </c>
    </row>
    <row r="3102" spans="1:14" x14ac:dyDescent="0.2">
      <c r="A3102" s="2" t="s">
        <v>10068</v>
      </c>
      <c r="B3102" s="15">
        <v>20</v>
      </c>
      <c r="C3102" s="15">
        <v>1</v>
      </c>
      <c r="D3102" s="15">
        <v>18427821</v>
      </c>
      <c r="E3102" s="15">
        <v>19238924</v>
      </c>
      <c r="F3102" s="15">
        <v>2703</v>
      </c>
      <c r="G3102" s="8" t="s">
        <v>12324</v>
      </c>
      <c r="H3102" s="24" t="s">
        <v>1259</v>
      </c>
      <c r="I3102" s="25">
        <v>27096</v>
      </c>
      <c r="J3102" s="8" t="s">
        <v>1261</v>
      </c>
      <c r="K3102" s="8" t="s">
        <v>10040</v>
      </c>
      <c r="L3102" s="15">
        <v>0.109863</v>
      </c>
      <c r="M3102" s="15">
        <v>0.60891799999999996</v>
      </c>
      <c r="N3102" s="15">
        <v>0.87080124113475177</v>
      </c>
    </row>
    <row r="3103" spans="1:14" x14ac:dyDescent="0.2">
      <c r="A3103" s="2" t="s">
        <v>10068</v>
      </c>
      <c r="B3103" s="15">
        <v>8</v>
      </c>
      <c r="C3103" s="15">
        <v>1</v>
      </c>
      <c r="D3103" s="15">
        <v>5362405</v>
      </c>
      <c r="E3103" s="15">
        <v>6136814</v>
      </c>
      <c r="F3103" s="15">
        <v>2338</v>
      </c>
      <c r="G3103" s="8" t="s">
        <v>12324</v>
      </c>
      <c r="H3103" s="24" t="s">
        <v>1259</v>
      </c>
      <c r="I3103" s="25">
        <v>27096</v>
      </c>
      <c r="J3103" s="8" t="s">
        <v>1261</v>
      </c>
      <c r="K3103" s="8" t="s">
        <v>10040</v>
      </c>
      <c r="L3103" s="15">
        <v>0.10767</v>
      </c>
      <c r="M3103" s="15">
        <v>0.60907</v>
      </c>
      <c r="N3103" s="15">
        <v>0.87080124113475177</v>
      </c>
    </row>
    <row r="3104" spans="1:14" x14ac:dyDescent="0.2">
      <c r="A3104" s="2" t="s">
        <v>10068</v>
      </c>
      <c r="B3104" s="15">
        <v>1787</v>
      </c>
      <c r="C3104" s="15">
        <v>12</v>
      </c>
      <c r="D3104" s="15">
        <v>48227036</v>
      </c>
      <c r="E3104" s="15">
        <v>48960265</v>
      </c>
      <c r="F3104" s="15">
        <v>2184</v>
      </c>
      <c r="G3104" s="8" t="s">
        <v>12324</v>
      </c>
      <c r="H3104" s="24" t="s">
        <v>6565</v>
      </c>
      <c r="I3104" s="25" t="s">
        <v>6475</v>
      </c>
      <c r="J3104" s="8" t="s">
        <v>6566</v>
      </c>
      <c r="K3104" s="8" t="s">
        <v>10054</v>
      </c>
      <c r="L3104" s="15">
        <v>0.213361</v>
      </c>
      <c r="M3104" s="15">
        <v>0.60887800000000003</v>
      </c>
      <c r="N3104" s="15">
        <v>0.87080124113475177</v>
      </c>
    </row>
    <row r="3105" spans="1:14" x14ac:dyDescent="0.2">
      <c r="A3105" s="2" t="s">
        <v>10068</v>
      </c>
      <c r="B3105" s="15">
        <v>624</v>
      </c>
      <c r="C3105" s="15">
        <v>4</v>
      </c>
      <c r="D3105" s="15">
        <v>25832019</v>
      </c>
      <c r="E3105" s="15">
        <v>27385580</v>
      </c>
      <c r="F3105" s="15">
        <v>3346</v>
      </c>
      <c r="G3105" s="8" t="s">
        <v>12324</v>
      </c>
      <c r="H3105" s="24" t="s">
        <v>494</v>
      </c>
      <c r="I3105" s="25">
        <v>25920</v>
      </c>
      <c r="J3105" s="8" t="s">
        <v>496</v>
      </c>
      <c r="K3105" s="8" t="s">
        <v>10040</v>
      </c>
      <c r="L3105" s="15">
        <v>-0.125109</v>
      </c>
      <c r="M3105" s="15">
        <v>0.60958000000000001</v>
      </c>
      <c r="N3105" s="15">
        <v>0.87084831561996778</v>
      </c>
    </row>
    <row r="3106" spans="1:14" x14ac:dyDescent="0.2">
      <c r="A3106" s="2" t="s">
        <v>10068</v>
      </c>
      <c r="B3106" s="15">
        <v>691</v>
      </c>
      <c r="C3106" s="15">
        <v>4</v>
      </c>
      <c r="D3106" s="15">
        <v>101132996</v>
      </c>
      <c r="E3106" s="15">
        <v>102544803</v>
      </c>
      <c r="F3106" s="15">
        <v>3821</v>
      </c>
      <c r="G3106" s="8" t="s">
        <v>12324</v>
      </c>
      <c r="H3106" s="24" t="s">
        <v>599</v>
      </c>
      <c r="I3106" s="25">
        <v>26562</v>
      </c>
      <c r="J3106" s="8" t="s">
        <v>601</v>
      </c>
      <c r="K3106" s="8" t="s">
        <v>10040</v>
      </c>
      <c r="L3106" s="15">
        <v>-0.130851</v>
      </c>
      <c r="M3106" s="15">
        <v>0.60969200000000001</v>
      </c>
      <c r="N3106" s="15">
        <v>0.87084831561996778</v>
      </c>
    </row>
    <row r="3107" spans="1:14" x14ac:dyDescent="0.2">
      <c r="A3107" s="2" t="s">
        <v>10066</v>
      </c>
      <c r="B3107" s="15">
        <v>1604</v>
      </c>
      <c r="C3107" s="15">
        <v>10</v>
      </c>
      <c r="D3107" s="15">
        <v>130694009</v>
      </c>
      <c r="E3107" s="15">
        <v>131694738</v>
      </c>
      <c r="F3107" s="15">
        <v>3226</v>
      </c>
      <c r="G3107" s="8" t="s">
        <v>12324</v>
      </c>
      <c r="H3107" s="24" t="s">
        <v>3164</v>
      </c>
      <c r="I3107" s="25" t="s">
        <v>3165</v>
      </c>
      <c r="J3107" s="8" t="s">
        <v>3166</v>
      </c>
      <c r="K3107" s="8" t="s">
        <v>10042</v>
      </c>
      <c r="L3107" s="15">
        <v>0.10713499999999999</v>
      </c>
      <c r="M3107" s="15">
        <v>0.60957099999999997</v>
      </c>
      <c r="N3107" s="15">
        <v>0.87084831561996778</v>
      </c>
    </row>
    <row r="3108" spans="1:14" x14ac:dyDescent="0.2">
      <c r="A3108" s="2" t="s">
        <v>10066</v>
      </c>
      <c r="B3108" s="15">
        <v>1719</v>
      </c>
      <c r="C3108" s="15">
        <v>11</v>
      </c>
      <c r="D3108" s="15">
        <v>112755447</v>
      </c>
      <c r="E3108" s="15">
        <v>113889019</v>
      </c>
      <c r="F3108" s="15">
        <v>2815</v>
      </c>
      <c r="G3108" s="8" t="s">
        <v>12324</v>
      </c>
      <c r="H3108" s="24" t="s">
        <v>6008</v>
      </c>
      <c r="I3108" s="25" t="s">
        <v>6009</v>
      </c>
      <c r="J3108" s="8" t="s">
        <v>6010</v>
      </c>
      <c r="K3108" s="8" t="s">
        <v>10051</v>
      </c>
      <c r="L3108" s="15">
        <v>-0.12587499999999999</v>
      </c>
      <c r="M3108" s="15">
        <v>0.61037300000000005</v>
      </c>
      <c r="N3108" s="15">
        <v>0.87133689893788224</v>
      </c>
    </row>
    <row r="3109" spans="1:14" x14ac:dyDescent="0.2">
      <c r="A3109" s="2" t="s">
        <v>10068</v>
      </c>
      <c r="B3109" s="15">
        <v>2376</v>
      </c>
      <c r="C3109" s="15">
        <v>20</v>
      </c>
      <c r="D3109" s="15">
        <v>6128359</v>
      </c>
      <c r="E3109" s="15">
        <v>7231796</v>
      </c>
      <c r="F3109" s="15">
        <v>3062</v>
      </c>
      <c r="G3109" s="8" t="s">
        <v>12324</v>
      </c>
      <c r="H3109" s="24" t="s">
        <v>6565</v>
      </c>
      <c r="I3109" s="25" t="s">
        <v>6475</v>
      </c>
      <c r="J3109" s="8" t="s">
        <v>6566</v>
      </c>
      <c r="K3109" s="8" t="s">
        <v>10054</v>
      </c>
      <c r="L3109" s="15">
        <v>8.8692499999999994E-2</v>
      </c>
      <c r="M3109" s="15">
        <v>0.61042700000000005</v>
      </c>
      <c r="N3109" s="15">
        <v>0.87133689893788224</v>
      </c>
    </row>
    <row r="3110" spans="1:14" x14ac:dyDescent="0.2">
      <c r="A3110" s="2" t="s">
        <v>10068</v>
      </c>
      <c r="B3110" s="15">
        <v>1755</v>
      </c>
      <c r="C3110" s="15">
        <v>12</v>
      </c>
      <c r="D3110" s="15">
        <v>14656850</v>
      </c>
      <c r="E3110" s="15">
        <v>16136742</v>
      </c>
      <c r="F3110" s="15">
        <v>2812</v>
      </c>
      <c r="G3110" s="8" t="s">
        <v>12324</v>
      </c>
      <c r="H3110" s="24" t="s">
        <v>6565</v>
      </c>
      <c r="I3110" s="25" t="s">
        <v>6475</v>
      </c>
      <c r="J3110" s="8" t="s">
        <v>6566</v>
      </c>
      <c r="K3110" s="8" t="s">
        <v>10054</v>
      </c>
      <c r="L3110" s="15">
        <v>8.9817999999999995E-2</v>
      </c>
      <c r="M3110" s="15">
        <v>0.61085100000000003</v>
      </c>
      <c r="N3110" s="15">
        <v>0.87166157818532819</v>
      </c>
    </row>
    <row r="3111" spans="1:14" x14ac:dyDescent="0.2">
      <c r="A3111" s="2" t="s">
        <v>10066</v>
      </c>
      <c r="B3111" s="15">
        <v>2471</v>
      </c>
      <c r="C3111" s="15">
        <v>22</v>
      </c>
      <c r="D3111" s="15">
        <v>26166935</v>
      </c>
      <c r="E3111" s="15">
        <v>27192923</v>
      </c>
      <c r="F3111" s="15">
        <v>3174</v>
      </c>
      <c r="G3111" s="8" t="s">
        <v>12324</v>
      </c>
      <c r="H3111" s="24" t="s">
        <v>3164</v>
      </c>
      <c r="I3111" s="25" t="s">
        <v>3165</v>
      </c>
      <c r="J3111" s="8" t="s">
        <v>3166</v>
      </c>
      <c r="K3111" s="8" t="s">
        <v>10042</v>
      </c>
      <c r="L3111" s="15">
        <v>-9.4853300000000002E-2</v>
      </c>
      <c r="M3111" s="15">
        <v>0.61200100000000002</v>
      </c>
      <c r="N3111" s="15">
        <v>0.87295630868167207</v>
      </c>
    </row>
    <row r="3112" spans="1:14" x14ac:dyDescent="0.2">
      <c r="A3112" s="2" t="s">
        <v>10066</v>
      </c>
      <c r="B3112" s="15">
        <v>165</v>
      </c>
      <c r="C3112" s="15">
        <v>1</v>
      </c>
      <c r="D3112" s="15">
        <v>214783873</v>
      </c>
      <c r="E3112" s="15">
        <v>215825791</v>
      </c>
      <c r="F3112" s="15">
        <v>2170</v>
      </c>
      <c r="G3112" s="8" t="s">
        <v>12324</v>
      </c>
      <c r="H3112" s="24" t="s">
        <v>6008</v>
      </c>
      <c r="I3112" s="25" t="s">
        <v>6009</v>
      </c>
      <c r="J3112" s="8" t="s">
        <v>6010</v>
      </c>
      <c r="K3112" s="8" t="s">
        <v>10051</v>
      </c>
      <c r="L3112" s="15">
        <v>-0.12354900000000001</v>
      </c>
      <c r="M3112" s="15">
        <v>0.61215200000000003</v>
      </c>
      <c r="N3112" s="15">
        <v>0.87295630868167207</v>
      </c>
    </row>
    <row r="3113" spans="1:14" x14ac:dyDescent="0.2">
      <c r="A3113" s="2" t="s">
        <v>10068</v>
      </c>
      <c r="B3113" s="15">
        <v>472</v>
      </c>
      <c r="C3113" s="15">
        <v>3</v>
      </c>
      <c r="D3113" s="15">
        <v>59998584</v>
      </c>
      <c r="E3113" s="15">
        <v>60571139</v>
      </c>
      <c r="F3113" s="15">
        <v>2332</v>
      </c>
      <c r="G3113" s="8" t="s">
        <v>12324</v>
      </c>
      <c r="H3113" s="24" t="s">
        <v>599</v>
      </c>
      <c r="I3113" s="25">
        <v>26562</v>
      </c>
      <c r="J3113" s="8" t="s">
        <v>601</v>
      </c>
      <c r="K3113" s="8" t="s">
        <v>10040</v>
      </c>
      <c r="L3113" s="15">
        <v>9.6892000000000006E-2</v>
      </c>
      <c r="M3113" s="15">
        <v>0.612595</v>
      </c>
      <c r="N3113" s="15">
        <v>0.87302661471722376</v>
      </c>
    </row>
    <row r="3114" spans="1:14" x14ac:dyDescent="0.2">
      <c r="A3114" s="2" t="s">
        <v>10066</v>
      </c>
      <c r="B3114" s="15">
        <v>2366</v>
      </c>
      <c r="C3114" s="15">
        <v>19</v>
      </c>
      <c r="D3114" s="15">
        <v>56411087</v>
      </c>
      <c r="E3114" s="15">
        <v>57143509</v>
      </c>
      <c r="F3114" s="15">
        <v>2598</v>
      </c>
      <c r="G3114" s="8" t="s">
        <v>12324</v>
      </c>
      <c r="H3114" s="24" t="s">
        <v>3164</v>
      </c>
      <c r="I3114" s="25" t="s">
        <v>3165</v>
      </c>
      <c r="J3114" s="8" t="s">
        <v>3166</v>
      </c>
      <c r="K3114" s="8" t="s">
        <v>10042</v>
      </c>
      <c r="L3114" s="15">
        <v>-8.2777900000000001E-2</v>
      </c>
      <c r="M3114" s="15">
        <v>0.61239900000000003</v>
      </c>
      <c r="N3114" s="15">
        <v>0.87302661471722376</v>
      </c>
    </row>
    <row r="3115" spans="1:14" x14ac:dyDescent="0.2">
      <c r="A3115" s="2" t="s">
        <v>10066</v>
      </c>
      <c r="B3115" s="15">
        <v>2482</v>
      </c>
      <c r="C3115" s="15">
        <v>22</v>
      </c>
      <c r="D3115" s="15">
        <v>37364005</v>
      </c>
      <c r="E3115" s="15">
        <v>38718589</v>
      </c>
      <c r="F3115" s="15">
        <v>3397</v>
      </c>
      <c r="G3115" s="8" t="s">
        <v>12324</v>
      </c>
      <c r="H3115" s="24" t="s">
        <v>3164</v>
      </c>
      <c r="I3115" s="25" t="s">
        <v>3165</v>
      </c>
      <c r="J3115" s="8" t="s">
        <v>3166</v>
      </c>
      <c r="K3115" s="8" t="s">
        <v>10042</v>
      </c>
      <c r="L3115" s="15">
        <v>-0.13099</v>
      </c>
      <c r="M3115" s="15">
        <v>0.61282300000000001</v>
      </c>
      <c r="N3115" s="15">
        <v>0.87307099421779633</v>
      </c>
    </row>
    <row r="3116" spans="1:14" x14ac:dyDescent="0.2">
      <c r="A3116" s="2" t="s">
        <v>10068</v>
      </c>
      <c r="B3116" s="15">
        <v>2357</v>
      </c>
      <c r="C3116" s="15">
        <v>19</v>
      </c>
      <c r="D3116" s="15">
        <v>50451926</v>
      </c>
      <c r="E3116" s="15">
        <v>51259178</v>
      </c>
      <c r="F3116" s="15">
        <v>2121</v>
      </c>
      <c r="G3116" s="8" t="s">
        <v>12324</v>
      </c>
      <c r="H3116" s="24" t="s">
        <v>494</v>
      </c>
      <c r="I3116" s="25">
        <v>25920</v>
      </c>
      <c r="J3116" s="8" t="s">
        <v>496</v>
      </c>
      <c r="K3116" s="8" t="s">
        <v>10040</v>
      </c>
      <c r="L3116" s="15">
        <v>-0.104162</v>
      </c>
      <c r="M3116" s="15">
        <v>0.61357099999999998</v>
      </c>
      <c r="N3116" s="15">
        <v>0.87376325264507848</v>
      </c>
    </row>
    <row r="3117" spans="1:14" x14ac:dyDescent="0.2">
      <c r="A3117" s="2" t="s">
        <v>10068</v>
      </c>
      <c r="B3117" s="15">
        <v>2365</v>
      </c>
      <c r="C3117" s="15">
        <v>19</v>
      </c>
      <c r="D3117" s="15">
        <v>55714086</v>
      </c>
      <c r="E3117" s="15">
        <v>56411086</v>
      </c>
      <c r="F3117" s="15">
        <v>2285</v>
      </c>
      <c r="G3117" s="8" t="s">
        <v>12324</v>
      </c>
      <c r="H3117" s="24" t="s">
        <v>494</v>
      </c>
      <c r="I3117" s="25">
        <v>25920</v>
      </c>
      <c r="J3117" s="8" t="s">
        <v>496</v>
      </c>
      <c r="K3117" s="8" t="s">
        <v>10040</v>
      </c>
      <c r="L3117" s="15">
        <v>-0.121006</v>
      </c>
      <c r="M3117" s="15">
        <v>0.61449100000000001</v>
      </c>
      <c r="N3117" s="15">
        <v>0.87376325264507848</v>
      </c>
    </row>
    <row r="3118" spans="1:14" x14ac:dyDescent="0.2">
      <c r="A3118" s="2" t="s">
        <v>10068</v>
      </c>
      <c r="B3118" s="15">
        <v>478</v>
      </c>
      <c r="C3118" s="15">
        <v>3</v>
      </c>
      <c r="D3118" s="15">
        <v>65326752</v>
      </c>
      <c r="E3118" s="15">
        <v>66702084</v>
      </c>
      <c r="F3118" s="15">
        <v>3392</v>
      </c>
      <c r="G3118" s="8" t="s">
        <v>12324</v>
      </c>
      <c r="H3118" s="24" t="s">
        <v>599</v>
      </c>
      <c r="I3118" s="25">
        <v>26562</v>
      </c>
      <c r="J3118" s="8" t="s">
        <v>601</v>
      </c>
      <c r="K3118" s="8" t="s">
        <v>10040</v>
      </c>
      <c r="L3118" s="15">
        <v>-9.7094700000000006E-2</v>
      </c>
      <c r="M3118" s="15">
        <v>0.61399400000000004</v>
      </c>
      <c r="N3118" s="15">
        <v>0.87376325264507848</v>
      </c>
    </row>
    <row r="3119" spans="1:14" x14ac:dyDescent="0.2">
      <c r="A3119" s="2" t="s">
        <v>10068</v>
      </c>
      <c r="B3119" s="15">
        <v>2301</v>
      </c>
      <c r="C3119" s="15">
        <v>18</v>
      </c>
      <c r="D3119" s="15">
        <v>73568261</v>
      </c>
      <c r="E3119" s="15">
        <v>74471745</v>
      </c>
      <c r="F3119" s="15">
        <v>3292</v>
      </c>
      <c r="G3119" s="8" t="s">
        <v>12324</v>
      </c>
      <c r="H3119" s="24" t="s">
        <v>1259</v>
      </c>
      <c r="I3119" s="25">
        <v>27096</v>
      </c>
      <c r="J3119" s="8" t="s">
        <v>1261</v>
      </c>
      <c r="K3119" s="8" t="s">
        <v>10040</v>
      </c>
      <c r="L3119" s="15">
        <v>-8.2485900000000001E-2</v>
      </c>
      <c r="M3119" s="15">
        <v>0.61421099999999995</v>
      </c>
      <c r="N3119" s="15">
        <v>0.87376325264507848</v>
      </c>
    </row>
    <row r="3120" spans="1:14" x14ac:dyDescent="0.2">
      <c r="A3120" s="2" t="s">
        <v>10068</v>
      </c>
      <c r="B3120" s="15">
        <v>34</v>
      </c>
      <c r="C3120" s="15">
        <v>1</v>
      </c>
      <c r="D3120" s="15">
        <v>35201627</v>
      </c>
      <c r="E3120" s="15">
        <v>36855139</v>
      </c>
      <c r="F3120" s="15">
        <v>2264</v>
      </c>
      <c r="G3120" s="8" t="s">
        <v>12324</v>
      </c>
      <c r="H3120" s="24" t="s">
        <v>1259</v>
      </c>
      <c r="I3120" s="25">
        <v>27096</v>
      </c>
      <c r="J3120" s="8" t="s">
        <v>1261</v>
      </c>
      <c r="K3120" s="8" t="s">
        <v>10040</v>
      </c>
      <c r="L3120" s="15">
        <v>0.15121100000000001</v>
      </c>
      <c r="M3120" s="15">
        <v>0.61426400000000003</v>
      </c>
      <c r="N3120" s="15">
        <v>0.87376325264507848</v>
      </c>
    </row>
    <row r="3121" spans="1:14" x14ac:dyDescent="0.2">
      <c r="A3121" s="2" t="s">
        <v>10066</v>
      </c>
      <c r="B3121" s="15">
        <v>2224</v>
      </c>
      <c r="C3121" s="15">
        <v>17</v>
      </c>
      <c r="D3121" s="15">
        <v>66757557</v>
      </c>
      <c r="E3121" s="15">
        <v>68176219</v>
      </c>
      <c r="F3121" s="15">
        <v>3007</v>
      </c>
      <c r="G3121" s="8" t="s">
        <v>12324</v>
      </c>
      <c r="H3121" s="24" t="s">
        <v>3164</v>
      </c>
      <c r="I3121" s="25" t="s">
        <v>3165</v>
      </c>
      <c r="J3121" s="8" t="s">
        <v>3166</v>
      </c>
      <c r="K3121" s="8" t="s">
        <v>10042</v>
      </c>
      <c r="L3121" s="15">
        <v>-0.151836</v>
      </c>
      <c r="M3121" s="15">
        <v>0.614394</v>
      </c>
      <c r="N3121" s="15">
        <v>0.87376325264507848</v>
      </c>
    </row>
    <row r="3122" spans="1:14" x14ac:dyDescent="0.2">
      <c r="A3122" s="2" t="s">
        <v>10068</v>
      </c>
      <c r="B3122" s="15">
        <v>2132</v>
      </c>
      <c r="C3122" s="15">
        <v>16</v>
      </c>
      <c r="D3122" s="15">
        <v>49010762</v>
      </c>
      <c r="E3122" s="15">
        <v>50467033</v>
      </c>
      <c r="F3122" s="15">
        <v>3380</v>
      </c>
      <c r="G3122" s="8" t="s">
        <v>12324</v>
      </c>
      <c r="H3122" s="24" t="s">
        <v>1259</v>
      </c>
      <c r="I3122" s="25">
        <v>27096</v>
      </c>
      <c r="J3122" s="8" t="s">
        <v>1261</v>
      </c>
      <c r="K3122" s="8" t="s">
        <v>10040</v>
      </c>
      <c r="L3122" s="15">
        <v>0.117394</v>
      </c>
      <c r="M3122" s="15">
        <v>0.61502999999999997</v>
      </c>
      <c r="N3122" s="15">
        <v>0.87396925664851</v>
      </c>
    </row>
    <row r="3123" spans="1:14" x14ac:dyDescent="0.2">
      <c r="A3123" s="2" t="s">
        <v>10068</v>
      </c>
      <c r="B3123" s="15">
        <v>770</v>
      </c>
      <c r="C3123" s="15">
        <v>4</v>
      </c>
      <c r="D3123" s="15">
        <v>186232883</v>
      </c>
      <c r="E3123" s="15">
        <v>186881568</v>
      </c>
      <c r="F3123" s="15">
        <v>2216</v>
      </c>
      <c r="G3123" s="8" t="s">
        <v>12324</v>
      </c>
      <c r="H3123" s="24" t="s">
        <v>6565</v>
      </c>
      <c r="I3123" s="25" t="s">
        <v>6475</v>
      </c>
      <c r="J3123" s="8" t="s">
        <v>6566</v>
      </c>
      <c r="K3123" s="8" t="s">
        <v>10054</v>
      </c>
      <c r="L3123" s="15">
        <v>-0.119116</v>
      </c>
      <c r="M3123" s="15">
        <v>0.61483699999999997</v>
      </c>
      <c r="N3123" s="15">
        <v>0.87396925664851</v>
      </c>
    </row>
    <row r="3124" spans="1:14" x14ac:dyDescent="0.2">
      <c r="A3124" s="2" t="s">
        <v>10068</v>
      </c>
      <c r="B3124" s="15">
        <v>48</v>
      </c>
      <c r="C3124" s="15">
        <v>1</v>
      </c>
      <c r="D3124" s="15">
        <v>55727135</v>
      </c>
      <c r="E3124" s="15">
        <v>56799636</v>
      </c>
      <c r="F3124" s="15">
        <v>3130</v>
      </c>
      <c r="G3124" s="8" t="s">
        <v>12324</v>
      </c>
      <c r="H3124" s="24" t="s">
        <v>494</v>
      </c>
      <c r="I3124" s="25">
        <v>25920</v>
      </c>
      <c r="J3124" s="8" t="s">
        <v>496</v>
      </c>
      <c r="K3124" s="8" t="s">
        <v>10040</v>
      </c>
      <c r="L3124" s="15">
        <v>0.146729</v>
      </c>
      <c r="M3124" s="15">
        <v>0.616035</v>
      </c>
      <c r="N3124" s="15">
        <v>0.87428112959999993</v>
      </c>
    </row>
    <row r="3125" spans="1:14" x14ac:dyDescent="0.2">
      <c r="A3125" s="2" t="s">
        <v>10068</v>
      </c>
      <c r="B3125" s="15">
        <v>2018</v>
      </c>
      <c r="C3125" s="15">
        <v>14</v>
      </c>
      <c r="D3125" s="15">
        <v>90662837</v>
      </c>
      <c r="E3125" s="15">
        <v>92101228</v>
      </c>
      <c r="F3125" s="15">
        <v>3695</v>
      </c>
      <c r="G3125" s="8" t="s">
        <v>12324</v>
      </c>
      <c r="H3125" s="24" t="s">
        <v>1259</v>
      </c>
      <c r="I3125" s="25">
        <v>27096</v>
      </c>
      <c r="J3125" s="8" t="s">
        <v>1261</v>
      </c>
      <c r="K3125" s="8" t="s">
        <v>10040</v>
      </c>
      <c r="L3125" s="15">
        <v>0.18667500000000001</v>
      </c>
      <c r="M3125" s="15">
        <v>0.61552300000000004</v>
      </c>
      <c r="N3125" s="15">
        <v>0.87428112959999993</v>
      </c>
    </row>
    <row r="3126" spans="1:14" x14ac:dyDescent="0.2">
      <c r="A3126" s="2" t="s">
        <v>10068</v>
      </c>
      <c r="B3126" s="15">
        <v>71</v>
      </c>
      <c r="C3126" s="15">
        <v>1</v>
      </c>
      <c r="D3126" s="15">
        <v>82123369</v>
      </c>
      <c r="E3126" s="15">
        <v>83461215</v>
      </c>
      <c r="F3126" s="15">
        <v>3459</v>
      </c>
      <c r="G3126" s="8" t="s">
        <v>12324</v>
      </c>
      <c r="H3126" s="24" t="s">
        <v>1259</v>
      </c>
      <c r="I3126" s="25">
        <v>27096</v>
      </c>
      <c r="J3126" s="8" t="s">
        <v>1261</v>
      </c>
      <c r="K3126" s="8" t="s">
        <v>10040</v>
      </c>
      <c r="L3126" s="15">
        <v>0.14578199999999999</v>
      </c>
      <c r="M3126" s="15">
        <v>0.61600600000000005</v>
      </c>
      <c r="N3126" s="15">
        <v>0.87428112959999993</v>
      </c>
    </row>
    <row r="3127" spans="1:14" x14ac:dyDescent="0.2">
      <c r="A3127" s="2" t="s">
        <v>10066</v>
      </c>
      <c r="B3127" s="15">
        <v>521</v>
      </c>
      <c r="C3127" s="15">
        <v>3</v>
      </c>
      <c r="D3127" s="15">
        <v>116498571</v>
      </c>
      <c r="E3127" s="15">
        <v>117241644</v>
      </c>
      <c r="F3127" s="15">
        <v>2118</v>
      </c>
      <c r="G3127" s="8" t="s">
        <v>12324</v>
      </c>
      <c r="H3127" s="24" t="s">
        <v>6008</v>
      </c>
      <c r="I3127" s="25" t="s">
        <v>6009</v>
      </c>
      <c r="J3127" s="8" t="s">
        <v>6010</v>
      </c>
      <c r="K3127" s="8" t="s">
        <v>10051</v>
      </c>
      <c r="L3127" s="15">
        <v>-8.52628E-2</v>
      </c>
      <c r="M3127" s="15">
        <v>0.61603799999999997</v>
      </c>
      <c r="N3127" s="15">
        <v>0.87428112959999993</v>
      </c>
    </row>
    <row r="3128" spans="1:14" x14ac:dyDescent="0.2">
      <c r="A3128" s="2" t="s">
        <v>10068</v>
      </c>
      <c r="B3128" s="15">
        <v>1461</v>
      </c>
      <c r="C3128" s="15">
        <v>9</v>
      </c>
      <c r="D3128" s="15">
        <v>116159541</v>
      </c>
      <c r="E3128" s="15">
        <v>117054909</v>
      </c>
      <c r="F3128" s="15">
        <v>2409</v>
      </c>
      <c r="G3128" s="8" t="s">
        <v>12324</v>
      </c>
      <c r="H3128" s="24" t="s">
        <v>599</v>
      </c>
      <c r="I3128" s="25">
        <v>26562</v>
      </c>
      <c r="J3128" s="8" t="s">
        <v>601</v>
      </c>
      <c r="K3128" s="8" t="s">
        <v>10040</v>
      </c>
      <c r="L3128" s="15">
        <v>-0.123349</v>
      </c>
      <c r="M3128" s="15">
        <v>0.61658199999999996</v>
      </c>
      <c r="N3128" s="15">
        <v>0.87449349856092096</v>
      </c>
    </row>
    <row r="3129" spans="1:14" x14ac:dyDescent="0.2">
      <c r="A3129" s="2" t="s">
        <v>10068</v>
      </c>
      <c r="B3129" s="15">
        <v>452</v>
      </c>
      <c r="C3129" s="15">
        <v>3</v>
      </c>
      <c r="D3129" s="15">
        <v>32378806</v>
      </c>
      <c r="E3129" s="15">
        <v>33020868</v>
      </c>
      <c r="F3129" s="15">
        <v>2003</v>
      </c>
      <c r="G3129" s="8" t="s">
        <v>12324</v>
      </c>
      <c r="H3129" s="24" t="s">
        <v>1259</v>
      </c>
      <c r="I3129" s="25">
        <v>27096</v>
      </c>
      <c r="J3129" s="8" t="s">
        <v>1261</v>
      </c>
      <c r="K3129" s="8" t="s">
        <v>10040</v>
      </c>
      <c r="L3129" s="15">
        <v>-0.152443</v>
      </c>
      <c r="M3129" s="15">
        <v>0.616429</v>
      </c>
      <c r="N3129" s="15">
        <v>0.87449349856092096</v>
      </c>
    </row>
    <row r="3130" spans="1:14" x14ac:dyDescent="0.2">
      <c r="A3130" s="2" t="s">
        <v>10068</v>
      </c>
      <c r="B3130" s="15">
        <v>1480</v>
      </c>
      <c r="C3130" s="15">
        <v>9</v>
      </c>
      <c r="D3130" s="15">
        <v>136770927</v>
      </c>
      <c r="E3130" s="15">
        <v>137593527</v>
      </c>
      <c r="F3130" s="15">
        <v>2772</v>
      </c>
      <c r="G3130" s="8" t="s">
        <v>12324</v>
      </c>
      <c r="H3130" s="24" t="s">
        <v>494</v>
      </c>
      <c r="I3130" s="25">
        <v>25920</v>
      </c>
      <c r="J3130" s="8" t="s">
        <v>496</v>
      </c>
      <c r="K3130" s="8" t="s">
        <v>10040</v>
      </c>
      <c r="L3130" s="15">
        <v>6.1870500000000002E-2</v>
      </c>
      <c r="M3130" s="15">
        <v>0.61715299999999995</v>
      </c>
      <c r="N3130" s="15">
        <v>0.87474386545222116</v>
      </c>
    </row>
    <row r="3131" spans="1:14" x14ac:dyDescent="0.2">
      <c r="A3131" s="2" t="s">
        <v>10066</v>
      </c>
      <c r="B3131" s="15">
        <v>1785</v>
      </c>
      <c r="C3131" s="15">
        <v>12</v>
      </c>
      <c r="D3131" s="15">
        <v>46037745</v>
      </c>
      <c r="E3131" s="15">
        <v>47499603</v>
      </c>
      <c r="F3131" s="15">
        <v>2931</v>
      </c>
      <c r="G3131" s="8" t="s">
        <v>12324</v>
      </c>
      <c r="H3131" s="24" t="s">
        <v>3164</v>
      </c>
      <c r="I3131" s="25" t="s">
        <v>3165</v>
      </c>
      <c r="J3131" s="8" t="s">
        <v>3166</v>
      </c>
      <c r="K3131" s="8" t="s">
        <v>10042</v>
      </c>
      <c r="L3131" s="15">
        <v>0.157945</v>
      </c>
      <c r="M3131" s="15">
        <v>0.61699099999999996</v>
      </c>
      <c r="N3131" s="15">
        <v>0.87474386545222116</v>
      </c>
    </row>
    <row r="3132" spans="1:14" x14ac:dyDescent="0.2">
      <c r="A3132" s="2" t="s">
        <v>10069</v>
      </c>
      <c r="B3132" s="15">
        <v>1829</v>
      </c>
      <c r="C3132" s="15">
        <v>12</v>
      </c>
      <c r="D3132" s="15">
        <v>97814022</v>
      </c>
      <c r="E3132" s="15">
        <v>99244337</v>
      </c>
      <c r="F3132" s="15">
        <v>2171</v>
      </c>
      <c r="G3132" s="8" t="s">
        <v>12324</v>
      </c>
      <c r="H3132" s="24" t="s">
        <v>662</v>
      </c>
      <c r="I3132" s="25" t="s">
        <v>663</v>
      </c>
      <c r="J3132" s="8" t="s">
        <v>664</v>
      </c>
      <c r="K3132" s="8" t="s">
        <v>10040</v>
      </c>
      <c r="L3132" s="15">
        <v>-0.16691800000000001</v>
      </c>
      <c r="M3132" s="15">
        <v>0.617367</v>
      </c>
      <c r="N3132" s="15">
        <v>0.87476761821086269</v>
      </c>
    </row>
    <row r="3133" spans="1:14" x14ac:dyDescent="0.2">
      <c r="A3133" s="2" t="s">
        <v>10066</v>
      </c>
      <c r="B3133" s="15">
        <v>1359</v>
      </c>
      <c r="C3133" s="15">
        <v>8</v>
      </c>
      <c r="D3133" s="15">
        <v>134509449</v>
      </c>
      <c r="E3133" s="15">
        <v>135313673</v>
      </c>
      <c r="F3133" s="15">
        <v>2942</v>
      </c>
      <c r="G3133" s="8" t="s">
        <v>12324</v>
      </c>
      <c r="H3133" s="24" t="s">
        <v>6008</v>
      </c>
      <c r="I3133" s="25" t="s">
        <v>6009</v>
      </c>
      <c r="J3133" s="8" t="s">
        <v>6010</v>
      </c>
      <c r="K3133" s="8" t="s">
        <v>10051</v>
      </c>
      <c r="L3133" s="15">
        <v>0.138742</v>
      </c>
      <c r="M3133" s="15">
        <v>0.61758800000000003</v>
      </c>
      <c r="N3133" s="15">
        <v>0.87480127115937401</v>
      </c>
    </row>
    <row r="3134" spans="1:14" x14ac:dyDescent="0.2">
      <c r="A3134" s="2" t="s">
        <v>10068</v>
      </c>
      <c r="B3134" s="15">
        <v>1037</v>
      </c>
      <c r="C3134" s="15">
        <v>6</v>
      </c>
      <c r="D3134" s="15">
        <v>106053916</v>
      </c>
      <c r="E3134" s="15">
        <v>107309327</v>
      </c>
      <c r="F3134" s="15">
        <v>3679</v>
      </c>
      <c r="G3134" s="8" t="s">
        <v>12324</v>
      </c>
      <c r="H3134" s="24" t="s">
        <v>599</v>
      </c>
      <c r="I3134" s="25">
        <v>26562</v>
      </c>
      <c r="J3134" s="8" t="s">
        <v>601</v>
      </c>
      <c r="K3134" s="8" t="s">
        <v>10040</v>
      </c>
      <c r="L3134" s="15">
        <v>8.6917999999999995E-2</v>
      </c>
      <c r="M3134" s="15">
        <v>0.618676</v>
      </c>
      <c r="N3134" s="15">
        <v>0.8750584198789424</v>
      </c>
    </row>
    <row r="3135" spans="1:14" x14ac:dyDescent="0.2">
      <c r="A3135" s="2" t="s">
        <v>10066</v>
      </c>
      <c r="B3135" s="15">
        <v>1956</v>
      </c>
      <c r="C3135" s="15">
        <v>14</v>
      </c>
      <c r="D3135" s="15">
        <v>21982655</v>
      </c>
      <c r="E3135" s="15">
        <v>22760700</v>
      </c>
      <c r="F3135" s="15">
        <v>3310</v>
      </c>
      <c r="G3135" s="8" t="s">
        <v>12324</v>
      </c>
      <c r="H3135" s="24" t="s">
        <v>3164</v>
      </c>
      <c r="I3135" s="25" t="s">
        <v>3165</v>
      </c>
      <c r="J3135" s="8" t="s">
        <v>3166</v>
      </c>
      <c r="K3135" s="8" t="s">
        <v>10042</v>
      </c>
      <c r="L3135" s="15">
        <v>-6.3736899999999999E-2</v>
      </c>
      <c r="M3135" s="15">
        <v>0.618865</v>
      </c>
      <c r="N3135" s="15">
        <v>0.8750584198789424</v>
      </c>
    </row>
    <row r="3136" spans="1:14" x14ac:dyDescent="0.2">
      <c r="A3136" s="2" t="s">
        <v>10066</v>
      </c>
      <c r="B3136" s="15">
        <v>2477</v>
      </c>
      <c r="C3136" s="15">
        <v>22</v>
      </c>
      <c r="D3136" s="15">
        <v>32662294</v>
      </c>
      <c r="E3136" s="15">
        <v>33501725</v>
      </c>
      <c r="F3136" s="15">
        <v>2805</v>
      </c>
      <c r="G3136" s="8" t="s">
        <v>12324</v>
      </c>
      <c r="H3136" s="24" t="s">
        <v>6008</v>
      </c>
      <c r="I3136" s="25" t="s">
        <v>6009</v>
      </c>
      <c r="J3136" s="8" t="s">
        <v>6010</v>
      </c>
      <c r="K3136" s="8" t="s">
        <v>10051</v>
      </c>
      <c r="L3136" s="15">
        <v>-0.111498</v>
      </c>
      <c r="M3136" s="15">
        <v>0.61918399999999996</v>
      </c>
      <c r="N3136" s="15">
        <v>0.8750584198789424</v>
      </c>
    </row>
    <row r="3137" spans="1:14" x14ac:dyDescent="0.2">
      <c r="A3137" s="2" t="s">
        <v>10066</v>
      </c>
      <c r="B3137" s="15">
        <v>348</v>
      </c>
      <c r="C3137" s="15">
        <v>2</v>
      </c>
      <c r="D3137" s="15">
        <v>163607636</v>
      </c>
      <c r="E3137" s="15">
        <v>164702312</v>
      </c>
      <c r="F3137" s="15">
        <v>2235</v>
      </c>
      <c r="G3137" s="8" t="s">
        <v>12324</v>
      </c>
      <c r="H3137" s="24" t="s">
        <v>6008</v>
      </c>
      <c r="I3137" s="25" t="s">
        <v>6009</v>
      </c>
      <c r="J3137" s="8" t="s">
        <v>6010</v>
      </c>
      <c r="K3137" s="8" t="s">
        <v>10051</v>
      </c>
      <c r="L3137" s="15">
        <v>-0.103603</v>
      </c>
      <c r="M3137" s="15">
        <v>0.61934800000000001</v>
      </c>
      <c r="N3137" s="15">
        <v>0.8750584198789424</v>
      </c>
    </row>
    <row r="3138" spans="1:14" x14ac:dyDescent="0.2">
      <c r="A3138" s="2" t="s">
        <v>10068</v>
      </c>
      <c r="B3138" s="15">
        <v>213</v>
      </c>
      <c r="C3138" s="15">
        <v>2</v>
      </c>
      <c r="D3138" s="15">
        <v>8978799</v>
      </c>
      <c r="E3138" s="15">
        <v>9960670</v>
      </c>
      <c r="F3138" s="15">
        <v>2266</v>
      </c>
      <c r="G3138" s="8" t="s">
        <v>12324</v>
      </c>
      <c r="H3138" s="24" t="s">
        <v>6565</v>
      </c>
      <c r="I3138" s="25" t="s">
        <v>6475</v>
      </c>
      <c r="J3138" s="8" t="s">
        <v>6566</v>
      </c>
      <c r="K3138" s="8" t="s">
        <v>10054</v>
      </c>
      <c r="L3138" s="15">
        <v>9.5390799999999998E-2</v>
      </c>
      <c r="M3138" s="15">
        <v>0.61800900000000003</v>
      </c>
      <c r="N3138" s="15">
        <v>0.8750584198789424</v>
      </c>
    </row>
    <row r="3139" spans="1:14" x14ac:dyDescent="0.2">
      <c r="A3139" s="2" t="s">
        <v>10068</v>
      </c>
      <c r="B3139" s="15">
        <v>895</v>
      </c>
      <c r="C3139" s="15">
        <v>5</v>
      </c>
      <c r="D3139" s="15">
        <v>143605909</v>
      </c>
      <c r="E3139" s="15">
        <v>145319096</v>
      </c>
      <c r="F3139" s="15">
        <v>3911</v>
      </c>
      <c r="G3139" s="8" t="s">
        <v>12324</v>
      </c>
      <c r="H3139" s="24" t="s">
        <v>6565</v>
      </c>
      <c r="I3139" s="25" t="s">
        <v>6475</v>
      </c>
      <c r="J3139" s="8" t="s">
        <v>6566</v>
      </c>
      <c r="K3139" s="8" t="s">
        <v>10054</v>
      </c>
      <c r="L3139" s="15">
        <v>-0.109142</v>
      </c>
      <c r="M3139" s="15">
        <v>0.61835499999999999</v>
      </c>
      <c r="N3139" s="15">
        <v>0.8750584198789424</v>
      </c>
    </row>
    <row r="3140" spans="1:14" x14ac:dyDescent="0.2">
      <c r="A3140" s="2" t="s">
        <v>10068</v>
      </c>
      <c r="B3140" s="15">
        <v>1473</v>
      </c>
      <c r="C3140" s="15">
        <v>9</v>
      </c>
      <c r="D3140" s="15">
        <v>129617772</v>
      </c>
      <c r="E3140" s="15">
        <v>130902727</v>
      </c>
      <c r="F3140" s="15">
        <v>2372</v>
      </c>
      <c r="G3140" s="8" t="s">
        <v>12324</v>
      </c>
      <c r="H3140" s="24" t="s">
        <v>6565</v>
      </c>
      <c r="I3140" s="25" t="s">
        <v>6475</v>
      </c>
      <c r="J3140" s="8" t="s">
        <v>6566</v>
      </c>
      <c r="K3140" s="8" t="s">
        <v>10054</v>
      </c>
      <c r="L3140" s="15">
        <v>0.12886</v>
      </c>
      <c r="M3140" s="15">
        <v>0.61921899999999996</v>
      </c>
      <c r="N3140" s="15">
        <v>0.8750584198789424</v>
      </c>
    </row>
    <row r="3141" spans="1:14" x14ac:dyDescent="0.2">
      <c r="A3141" s="2" t="s">
        <v>10068</v>
      </c>
      <c r="B3141" s="15">
        <v>1825</v>
      </c>
      <c r="C3141" s="15">
        <v>12</v>
      </c>
      <c r="D3141" s="15">
        <v>94385885</v>
      </c>
      <c r="E3141" s="15">
        <v>95147845</v>
      </c>
      <c r="F3141" s="15">
        <v>2353</v>
      </c>
      <c r="G3141" s="8" t="s">
        <v>12324</v>
      </c>
      <c r="H3141" s="24" t="s">
        <v>6565</v>
      </c>
      <c r="I3141" s="25" t="s">
        <v>6475</v>
      </c>
      <c r="J3141" s="8" t="s">
        <v>6566</v>
      </c>
      <c r="K3141" s="8" t="s">
        <v>10054</v>
      </c>
      <c r="L3141" s="15">
        <v>-7.9842499999999997E-2</v>
      </c>
      <c r="M3141" s="15">
        <v>0.61929599999999996</v>
      </c>
      <c r="N3141" s="15">
        <v>0.8750584198789424</v>
      </c>
    </row>
    <row r="3142" spans="1:14" x14ac:dyDescent="0.2">
      <c r="A3142" s="2" t="s">
        <v>10069</v>
      </c>
      <c r="B3142" s="15">
        <v>747</v>
      </c>
      <c r="C3142" s="15">
        <v>4</v>
      </c>
      <c r="D3142" s="15">
        <v>164781848</v>
      </c>
      <c r="E3142" s="15">
        <v>165824650</v>
      </c>
      <c r="F3142" s="15">
        <v>2309</v>
      </c>
      <c r="G3142" s="8" t="s">
        <v>12324</v>
      </c>
      <c r="H3142" s="24" t="s">
        <v>662</v>
      </c>
      <c r="I3142" s="25" t="s">
        <v>663</v>
      </c>
      <c r="J3142" s="8" t="s">
        <v>664</v>
      </c>
      <c r="K3142" s="8" t="s">
        <v>10040</v>
      </c>
      <c r="L3142" s="15">
        <v>-0.1696</v>
      </c>
      <c r="M3142" s="15">
        <v>0.619757</v>
      </c>
      <c r="N3142" s="15">
        <v>0.87513570474069347</v>
      </c>
    </row>
    <row r="3143" spans="1:14" x14ac:dyDescent="0.2">
      <c r="A3143" s="2" t="s">
        <v>10068</v>
      </c>
      <c r="B3143" s="15">
        <v>1607</v>
      </c>
      <c r="C3143" s="15">
        <v>10</v>
      </c>
      <c r="D3143" s="15">
        <v>133111171</v>
      </c>
      <c r="E3143" s="15">
        <v>133818036</v>
      </c>
      <c r="F3143" s="15">
        <v>2483</v>
      </c>
      <c r="G3143" s="8" t="s">
        <v>12324</v>
      </c>
      <c r="H3143" s="24" t="s">
        <v>1259</v>
      </c>
      <c r="I3143" s="25">
        <v>27096</v>
      </c>
      <c r="J3143" s="8" t="s">
        <v>1261</v>
      </c>
      <c r="K3143" s="8" t="s">
        <v>10040</v>
      </c>
      <c r="L3143" s="15">
        <v>-8.3434700000000001E-2</v>
      </c>
      <c r="M3143" s="15">
        <v>0.62004400000000004</v>
      </c>
      <c r="N3143" s="15">
        <v>0.87513570474069347</v>
      </c>
    </row>
    <row r="3144" spans="1:14" x14ac:dyDescent="0.2">
      <c r="A3144" s="2" t="s">
        <v>10066</v>
      </c>
      <c r="B3144" s="15">
        <v>2276</v>
      </c>
      <c r="C3144" s="15">
        <v>18</v>
      </c>
      <c r="D3144" s="15">
        <v>47455926</v>
      </c>
      <c r="E3144" s="15">
        <v>48228379</v>
      </c>
      <c r="F3144" s="15">
        <v>2027</v>
      </c>
      <c r="G3144" s="8" t="s">
        <v>12324</v>
      </c>
      <c r="H3144" s="24" t="s">
        <v>6008</v>
      </c>
      <c r="I3144" s="25" t="s">
        <v>6009</v>
      </c>
      <c r="J3144" s="8" t="s">
        <v>6010</v>
      </c>
      <c r="K3144" s="8" t="s">
        <v>10051</v>
      </c>
      <c r="L3144" s="15">
        <v>0.115304</v>
      </c>
      <c r="M3144" s="15">
        <v>0.62019199999999997</v>
      </c>
      <c r="N3144" s="15">
        <v>0.87513570474069347</v>
      </c>
    </row>
    <row r="3145" spans="1:14" x14ac:dyDescent="0.2">
      <c r="A3145" s="2" t="s">
        <v>10068</v>
      </c>
      <c r="B3145" s="15">
        <v>2093</v>
      </c>
      <c r="C3145" s="15">
        <v>15</v>
      </c>
      <c r="D3145" s="15">
        <v>93707011</v>
      </c>
      <c r="E3145" s="15">
        <v>94565521</v>
      </c>
      <c r="F3145" s="15">
        <v>3254</v>
      </c>
      <c r="G3145" s="8" t="s">
        <v>12324</v>
      </c>
      <c r="H3145" s="24" t="s">
        <v>6565</v>
      </c>
      <c r="I3145" s="25" t="s">
        <v>6475</v>
      </c>
      <c r="J3145" s="8" t="s">
        <v>6566</v>
      </c>
      <c r="K3145" s="8" t="s">
        <v>10054</v>
      </c>
      <c r="L3145" s="15">
        <v>-0.14454900000000001</v>
      </c>
      <c r="M3145" s="15">
        <v>0.620112</v>
      </c>
      <c r="N3145" s="15">
        <v>0.87513570474069347</v>
      </c>
    </row>
    <row r="3146" spans="1:14" x14ac:dyDescent="0.2">
      <c r="A3146" s="2" t="s">
        <v>10068</v>
      </c>
      <c r="B3146" s="15">
        <v>2274</v>
      </c>
      <c r="C3146" s="15">
        <v>18</v>
      </c>
      <c r="D3146" s="15">
        <v>45718493</v>
      </c>
      <c r="E3146" s="15">
        <v>46558306</v>
      </c>
      <c r="F3146" s="15">
        <v>2471</v>
      </c>
      <c r="G3146" s="8" t="s">
        <v>12324</v>
      </c>
      <c r="H3146" s="24" t="s">
        <v>1259</v>
      </c>
      <c r="I3146" s="25">
        <v>27096</v>
      </c>
      <c r="J3146" s="8" t="s">
        <v>1261</v>
      </c>
      <c r="K3146" s="8" t="s">
        <v>10040</v>
      </c>
      <c r="L3146" s="15">
        <v>-0.159746</v>
      </c>
      <c r="M3146" s="15">
        <v>0.62180999999999997</v>
      </c>
      <c r="N3146" s="15">
        <v>0.87525118972081206</v>
      </c>
    </row>
    <row r="3147" spans="1:14" x14ac:dyDescent="0.2">
      <c r="A3147" s="2" t="s">
        <v>10068</v>
      </c>
      <c r="B3147" s="15">
        <v>187</v>
      </c>
      <c r="C3147" s="15">
        <v>1</v>
      </c>
      <c r="D3147" s="15">
        <v>237409459</v>
      </c>
      <c r="E3147" s="15">
        <v>238094455</v>
      </c>
      <c r="F3147" s="15">
        <v>2382</v>
      </c>
      <c r="G3147" s="8" t="s">
        <v>12324</v>
      </c>
      <c r="H3147" s="24" t="s">
        <v>1259</v>
      </c>
      <c r="I3147" s="25">
        <v>27096</v>
      </c>
      <c r="J3147" s="8" t="s">
        <v>1261</v>
      </c>
      <c r="K3147" s="8" t="s">
        <v>10040</v>
      </c>
      <c r="L3147" s="15">
        <v>0.155913</v>
      </c>
      <c r="M3147" s="15">
        <v>0.62204999999999999</v>
      </c>
      <c r="N3147" s="15">
        <v>0.87525118972081206</v>
      </c>
    </row>
    <row r="3148" spans="1:14" x14ac:dyDescent="0.2">
      <c r="A3148" s="2" t="s">
        <v>10066</v>
      </c>
      <c r="B3148" s="15">
        <v>1603</v>
      </c>
      <c r="C3148" s="15">
        <v>10</v>
      </c>
      <c r="D3148" s="15">
        <v>129831970</v>
      </c>
      <c r="E3148" s="15">
        <v>130694008</v>
      </c>
      <c r="F3148" s="15">
        <v>2882</v>
      </c>
      <c r="G3148" s="8" t="s">
        <v>12324</v>
      </c>
      <c r="H3148" s="24" t="s">
        <v>3164</v>
      </c>
      <c r="I3148" s="25" t="s">
        <v>3165</v>
      </c>
      <c r="J3148" s="8" t="s">
        <v>3166</v>
      </c>
      <c r="K3148" s="8" t="s">
        <v>10042</v>
      </c>
      <c r="L3148" s="15">
        <v>-7.1091199999999993E-2</v>
      </c>
      <c r="M3148" s="15">
        <v>0.62149200000000004</v>
      </c>
      <c r="N3148" s="15">
        <v>0.87525118972081206</v>
      </c>
    </row>
    <row r="3149" spans="1:14" x14ac:dyDescent="0.2">
      <c r="A3149" s="2" t="s">
        <v>10066</v>
      </c>
      <c r="B3149" s="15">
        <v>2183</v>
      </c>
      <c r="C3149" s="15">
        <v>17</v>
      </c>
      <c r="D3149" s="15">
        <v>9619357</v>
      </c>
      <c r="E3149" s="15">
        <v>10572617</v>
      </c>
      <c r="F3149" s="15">
        <v>3056</v>
      </c>
      <c r="G3149" s="8" t="s">
        <v>12324</v>
      </c>
      <c r="H3149" s="24" t="s">
        <v>6008</v>
      </c>
      <c r="I3149" s="25" t="s">
        <v>6009</v>
      </c>
      <c r="J3149" s="8" t="s">
        <v>6010</v>
      </c>
      <c r="K3149" s="8" t="s">
        <v>10051</v>
      </c>
      <c r="L3149" s="15">
        <v>4.8182299999999997E-2</v>
      </c>
      <c r="M3149" s="15">
        <v>0.62153400000000003</v>
      </c>
      <c r="N3149" s="15">
        <v>0.87525118972081206</v>
      </c>
    </row>
    <row r="3150" spans="1:14" x14ac:dyDescent="0.2">
      <c r="A3150" s="2" t="s">
        <v>10066</v>
      </c>
      <c r="B3150" s="15">
        <v>117</v>
      </c>
      <c r="C3150" s="15">
        <v>1</v>
      </c>
      <c r="D3150" s="15">
        <v>159882516</v>
      </c>
      <c r="E3150" s="15">
        <v>161054076</v>
      </c>
      <c r="F3150" s="15">
        <v>2923</v>
      </c>
      <c r="G3150" s="8" t="s">
        <v>12324</v>
      </c>
      <c r="H3150" s="24" t="s">
        <v>6008</v>
      </c>
      <c r="I3150" s="25" t="s">
        <v>6009</v>
      </c>
      <c r="J3150" s="8" t="s">
        <v>6010</v>
      </c>
      <c r="K3150" s="8" t="s">
        <v>10051</v>
      </c>
      <c r="L3150" s="15">
        <v>-0.111566</v>
      </c>
      <c r="M3150" s="15">
        <v>0.62157200000000001</v>
      </c>
      <c r="N3150" s="15">
        <v>0.87525118972081206</v>
      </c>
    </row>
    <row r="3151" spans="1:14" x14ac:dyDescent="0.2">
      <c r="A3151" s="2" t="s">
        <v>10066</v>
      </c>
      <c r="B3151" s="15">
        <v>2369</v>
      </c>
      <c r="C3151" s="15">
        <v>20</v>
      </c>
      <c r="D3151" s="15">
        <v>60795</v>
      </c>
      <c r="E3151" s="15">
        <v>884241</v>
      </c>
      <c r="F3151" s="15">
        <v>2900</v>
      </c>
      <c r="G3151" s="8" t="s">
        <v>12324</v>
      </c>
      <c r="H3151" s="24" t="s">
        <v>6008</v>
      </c>
      <c r="I3151" s="25" t="s">
        <v>6009</v>
      </c>
      <c r="J3151" s="8" t="s">
        <v>6010</v>
      </c>
      <c r="K3151" s="8" t="s">
        <v>10051</v>
      </c>
      <c r="L3151" s="15">
        <v>-6.7933099999999996E-2</v>
      </c>
      <c r="M3151" s="15">
        <v>0.62186799999999998</v>
      </c>
      <c r="N3151" s="15">
        <v>0.87525118972081206</v>
      </c>
    </row>
    <row r="3152" spans="1:14" x14ac:dyDescent="0.2">
      <c r="A3152" s="2" t="s">
        <v>10068</v>
      </c>
      <c r="B3152" s="15">
        <v>898</v>
      </c>
      <c r="C3152" s="15">
        <v>5</v>
      </c>
      <c r="D3152" s="15">
        <v>148662215</v>
      </c>
      <c r="E3152" s="15">
        <v>149850203</v>
      </c>
      <c r="F3152" s="15">
        <v>2858</v>
      </c>
      <c r="G3152" s="8" t="s">
        <v>12324</v>
      </c>
      <c r="H3152" s="24" t="s">
        <v>6565</v>
      </c>
      <c r="I3152" s="25" t="s">
        <v>6475</v>
      </c>
      <c r="J3152" s="8" t="s">
        <v>6566</v>
      </c>
      <c r="K3152" s="8" t="s">
        <v>10054</v>
      </c>
      <c r="L3152" s="15">
        <v>-8.4656999999999996E-2</v>
      </c>
      <c r="M3152" s="15">
        <v>0.62057099999999998</v>
      </c>
      <c r="N3152" s="15">
        <v>0.87525118972081206</v>
      </c>
    </row>
    <row r="3153" spans="1:14" x14ac:dyDescent="0.2">
      <c r="A3153" s="2" t="s">
        <v>10068</v>
      </c>
      <c r="B3153" s="15">
        <v>1586</v>
      </c>
      <c r="C3153" s="15">
        <v>10</v>
      </c>
      <c r="D3153" s="15">
        <v>110358383</v>
      </c>
      <c r="E3153" s="15">
        <v>112164981</v>
      </c>
      <c r="F3153" s="15">
        <v>4179</v>
      </c>
      <c r="G3153" s="8" t="s">
        <v>12324</v>
      </c>
      <c r="H3153" s="24" t="s">
        <v>6565</v>
      </c>
      <c r="I3153" s="25" t="s">
        <v>6475</v>
      </c>
      <c r="J3153" s="8" t="s">
        <v>6566</v>
      </c>
      <c r="K3153" s="8" t="s">
        <v>10054</v>
      </c>
      <c r="L3153" s="15">
        <v>0.186887</v>
      </c>
      <c r="M3153" s="15">
        <v>0.62090100000000004</v>
      </c>
      <c r="N3153" s="15">
        <v>0.87525118972081206</v>
      </c>
    </row>
    <row r="3154" spans="1:14" x14ac:dyDescent="0.2">
      <c r="A3154" s="2" t="s">
        <v>10068</v>
      </c>
      <c r="B3154" s="15">
        <v>2457</v>
      </c>
      <c r="C3154" s="15">
        <v>21</v>
      </c>
      <c r="D3154" s="15">
        <v>43081435</v>
      </c>
      <c r="E3154" s="15">
        <v>43812791</v>
      </c>
      <c r="F3154" s="15">
        <v>3072</v>
      </c>
      <c r="G3154" s="8" t="s">
        <v>12324</v>
      </c>
      <c r="H3154" s="24" t="s">
        <v>6565</v>
      </c>
      <c r="I3154" s="25" t="s">
        <v>6475</v>
      </c>
      <c r="J3154" s="8" t="s">
        <v>6566</v>
      </c>
      <c r="K3154" s="8" t="s">
        <v>10054</v>
      </c>
      <c r="L3154" s="15">
        <v>-0.10747</v>
      </c>
      <c r="M3154" s="15">
        <v>0.62183100000000002</v>
      </c>
      <c r="N3154" s="15">
        <v>0.87525118972081206</v>
      </c>
    </row>
    <row r="3155" spans="1:14" x14ac:dyDescent="0.2">
      <c r="A3155" s="2" t="s">
        <v>10068</v>
      </c>
      <c r="B3155" s="15">
        <v>1939</v>
      </c>
      <c r="C3155" s="15">
        <v>13</v>
      </c>
      <c r="D3155" s="15">
        <v>100470869</v>
      </c>
      <c r="E3155" s="15">
        <v>101573736</v>
      </c>
      <c r="F3155" s="15">
        <v>2568</v>
      </c>
      <c r="G3155" s="8" t="s">
        <v>12324</v>
      </c>
      <c r="H3155" s="24" t="s">
        <v>599</v>
      </c>
      <c r="I3155" s="25">
        <v>26562</v>
      </c>
      <c r="J3155" s="8" t="s">
        <v>601</v>
      </c>
      <c r="K3155" s="8" t="s">
        <v>10040</v>
      </c>
      <c r="L3155" s="15">
        <v>-0.124848</v>
      </c>
      <c r="M3155" s="15">
        <v>0.62256999999999996</v>
      </c>
      <c r="N3155" s="15">
        <v>0.8754273779327838</v>
      </c>
    </row>
    <row r="3156" spans="1:14" x14ac:dyDescent="0.2">
      <c r="A3156" s="2" t="s">
        <v>10068</v>
      </c>
      <c r="B3156" s="15">
        <v>798</v>
      </c>
      <c r="C3156" s="15">
        <v>5</v>
      </c>
      <c r="D3156" s="15">
        <v>24362662</v>
      </c>
      <c r="E3156" s="15">
        <v>25722097</v>
      </c>
      <c r="F3156" s="15">
        <v>3381</v>
      </c>
      <c r="G3156" s="8" t="s">
        <v>12324</v>
      </c>
      <c r="H3156" s="24" t="s">
        <v>1259</v>
      </c>
      <c r="I3156" s="25">
        <v>27096</v>
      </c>
      <c r="J3156" s="8" t="s">
        <v>1261</v>
      </c>
      <c r="K3156" s="8" t="s">
        <v>10040</v>
      </c>
      <c r="L3156" s="15">
        <v>9.9580600000000005E-2</v>
      </c>
      <c r="M3156" s="15">
        <v>0.62243599999999999</v>
      </c>
      <c r="N3156" s="15">
        <v>0.8754273779327838</v>
      </c>
    </row>
    <row r="3157" spans="1:14" x14ac:dyDescent="0.2">
      <c r="A3157" s="2" t="s">
        <v>10068</v>
      </c>
      <c r="B3157" s="15">
        <v>1324</v>
      </c>
      <c r="C3157" s="15">
        <v>8</v>
      </c>
      <c r="D3157" s="15">
        <v>92876621</v>
      </c>
      <c r="E3157" s="15">
        <v>94999066</v>
      </c>
      <c r="F3157" s="15">
        <v>3963</v>
      </c>
      <c r="G3157" s="8" t="s">
        <v>12324</v>
      </c>
      <c r="H3157" s="24" t="s">
        <v>1259</v>
      </c>
      <c r="I3157" s="25">
        <v>27096</v>
      </c>
      <c r="J3157" s="8" t="s">
        <v>1261</v>
      </c>
      <c r="K3157" s="8" t="s">
        <v>10040</v>
      </c>
      <c r="L3157" s="15">
        <v>-0.10832700000000001</v>
      </c>
      <c r="M3157" s="15">
        <v>0.62306600000000001</v>
      </c>
      <c r="N3157" s="15">
        <v>0.87584713470681463</v>
      </c>
    </row>
    <row r="3158" spans="1:14" x14ac:dyDescent="0.2">
      <c r="A3158" s="2" t="s">
        <v>10068</v>
      </c>
      <c r="B3158" s="15">
        <v>2240</v>
      </c>
      <c r="C3158" s="15">
        <v>18</v>
      </c>
      <c r="D3158" s="15">
        <v>1940212</v>
      </c>
      <c r="E3158" s="15">
        <v>2839842</v>
      </c>
      <c r="F3158" s="15">
        <v>3169</v>
      </c>
      <c r="G3158" s="8" t="s">
        <v>12324</v>
      </c>
      <c r="H3158" s="24" t="s">
        <v>494</v>
      </c>
      <c r="I3158" s="25">
        <v>25920</v>
      </c>
      <c r="J3158" s="8" t="s">
        <v>496</v>
      </c>
      <c r="K3158" s="8" t="s">
        <v>10040</v>
      </c>
      <c r="L3158" s="15">
        <v>-0.19669200000000001</v>
      </c>
      <c r="M3158" s="15">
        <v>0.62384899999999999</v>
      </c>
      <c r="N3158" s="15">
        <v>0.87589707147375084</v>
      </c>
    </row>
    <row r="3159" spans="1:14" x14ac:dyDescent="0.2">
      <c r="A3159" s="2" t="s">
        <v>10069</v>
      </c>
      <c r="B3159" s="15">
        <v>407</v>
      </c>
      <c r="C3159" s="15">
        <v>2</v>
      </c>
      <c r="D3159" s="15">
        <v>230541093</v>
      </c>
      <c r="E3159" s="15">
        <v>231847386</v>
      </c>
      <c r="F3159" s="15">
        <v>2600</v>
      </c>
      <c r="G3159" s="8" t="s">
        <v>12324</v>
      </c>
      <c r="H3159" s="24" t="s">
        <v>662</v>
      </c>
      <c r="I3159" s="25" t="s">
        <v>663</v>
      </c>
      <c r="J3159" s="8" t="s">
        <v>664</v>
      </c>
      <c r="K3159" s="8" t="s">
        <v>10040</v>
      </c>
      <c r="L3159" s="15">
        <v>0.16203600000000001</v>
      </c>
      <c r="M3159" s="15">
        <v>0.62431499999999995</v>
      </c>
      <c r="N3159" s="15">
        <v>0.87589707147375084</v>
      </c>
    </row>
    <row r="3160" spans="1:14" x14ac:dyDescent="0.2">
      <c r="A3160" s="2" t="s">
        <v>10068</v>
      </c>
      <c r="B3160" s="15">
        <v>272</v>
      </c>
      <c r="C3160" s="15">
        <v>2</v>
      </c>
      <c r="D3160" s="15">
        <v>65938003</v>
      </c>
      <c r="E3160" s="15">
        <v>67224027</v>
      </c>
      <c r="F3160" s="15">
        <v>3312</v>
      </c>
      <c r="G3160" s="8" t="s">
        <v>12324</v>
      </c>
      <c r="H3160" s="24" t="s">
        <v>1259</v>
      </c>
      <c r="I3160" s="25">
        <v>27096</v>
      </c>
      <c r="J3160" s="8" t="s">
        <v>1261</v>
      </c>
      <c r="K3160" s="8" t="s">
        <v>10040</v>
      </c>
      <c r="L3160" s="15">
        <v>-0.135299</v>
      </c>
      <c r="M3160" s="15">
        <v>0.62418300000000004</v>
      </c>
      <c r="N3160" s="15">
        <v>0.87589707147375084</v>
      </c>
    </row>
    <row r="3161" spans="1:14" x14ac:dyDescent="0.2">
      <c r="A3161" s="2" t="s">
        <v>10068</v>
      </c>
      <c r="B3161" s="15">
        <v>584</v>
      </c>
      <c r="C3161" s="15">
        <v>3</v>
      </c>
      <c r="D3161" s="15">
        <v>186602046</v>
      </c>
      <c r="E3161" s="15">
        <v>187939199</v>
      </c>
      <c r="F3161" s="15">
        <v>3978</v>
      </c>
      <c r="G3161" s="8" t="s">
        <v>12324</v>
      </c>
      <c r="H3161" s="24" t="s">
        <v>1259</v>
      </c>
      <c r="I3161" s="25">
        <v>27096</v>
      </c>
      <c r="J3161" s="8" t="s">
        <v>1261</v>
      </c>
      <c r="K3161" s="8" t="s">
        <v>10040</v>
      </c>
      <c r="L3161" s="15">
        <v>-7.9178600000000002E-2</v>
      </c>
      <c r="M3161" s="15">
        <v>0.62448400000000004</v>
      </c>
      <c r="N3161" s="15">
        <v>0.87589707147375084</v>
      </c>
    </row>
    <row r="3162" spans="1:14" x14ac:dyDescent="0.2">
      <c r="A3162" s="2" t="s">
        <v>10066</v>
      </c>
      <c r="B3162" s="15">
        <v>2107</v>
      </c>
      <c r="C3162" s="15">
        <v>16</v>
      </c>
      <c r="D3162" s="15">
        <v>5782969</v>
      </c>
      <c r="E3162" s="15">
        <v>6446081</v>
      </c>
      <c r="F3162" s="15">
        <v>2566</v>
      </c>
      <c r="G3162" s="8" t="s">
        <v>12324</v>
      </c>
      <c r="H3162" s="24" t="s">
        <v>3164</v>
      </c>
      <c r="I3162" s="25" t="s">
        <v>3165</v>
      </c>
      <c r="J3162" s="8" t="s">
        <v>3166</v>
      </c>
      <c r="K3162" s="8" t="s">
        <v>10042</v>
      </c>
      <c r="L3162" s="15">
        <v>-8.7079299999999998E-2</v>
      </c>
      <c r="M3162" s="15">
        <v>0.62422599999999995</v>
      </c>
      <c r="N3162" s="15">
        <v>0.87589707147375084</v>
      </c>
    </row>
    <row r="3163" spans="1:14" x14ac:dyDescent="0.2">
      <c r="A3163" s="2" t="s">
        <v>10066</v>
      </c>
      <c r="B3163" s="15">
        <v>935</v>
      </c>
      <c r="C3163" s="15">
        <v>6</v>
      </c>
      <c r="D3163" s="15">
        <v>10416551</v>
      </c>
      <c r="E3163" s="15">
        <v>11790671</v>
      </c>
      <c r="F3163" s="15">
        <v>3902</v>
      </c>
      <c r="G3163" s="8" t="s">
        <v>12324</v>
      </c>
      <c r="H3163" s="24" t="s">
        <v>6008</v>
      </c>
      <c r="I3163" s="25" t="s">
        <v>6009</v>
      </c>
      <c r="J3163" s="8" t="s">
        <v>6010</v>
      </c>
      <c r="K3163" s="8" t="s">
        <v>10051</v>
      </c>
      <c r="L3163" s="15">
        <v>0.112414</v>
      </c>
      <c r="M3163" s="15">
        <v>0.623587</v>
      </c>
      <c r="N3163" s="15">
        <v>0.87589707147375084</v>
      </c>
    </row>
    <row r="3164" spans="1:14" x14ac:dyDescent="0.2">
      <c r="A3164" s="2" t="s">
        <v>10066</v>
      </c>
      <c r="B3164" s="15">
        <v>1350</v>
      </c>
      <c r="C3164" s="15">
        <v>8</v>
      </c>
      <c r="D3164" s="15">
        <v>124001020</v>
      </c>
      <c r="E3164" s="15">
        <v>125453322</v>
      </c>
      <c r="F3164" s="15">
        <v>3554</v>
      </c>
      <c r="G3164" s="8" t="s">
        <v>12324</v>
      </c>
      <c r="H3164" s="24" t="s">
        <v>6008</v>
      </c>
      <c r="I3164" s="25" t="s">
        <v>6009</v>
      </c>
      <c r="J3164" s="8" t="s">
        <v>6010</v>
      </c>
      <c r="K3164" s="8" t="s">
        <v>10051</v>
      </c>
      <c r="L3164" s="15">
        <v>-5.6773499999999998E-2</v>
      </c>
      <c r="M3164" s="15">
        <v>0.62385400000000002</v>
      </c>
      <c r="N3164" s="15">
        <v>0.87589707147375084</v>
      </c>
    </row>
    <row r="3165" spans="1:14" x14ac:dyDescent="0.2">
      <c r="A3165" s="2" t="s">
        <v>10068</v>
      </c>
      <c r="B3165" s="15">
        <v>1951</v>
      </c>
      <c r="C3165" s="15">
        <v>13</v>
      </c>
      <c r="D3165" s="15">
        <v>112319065</v>
      </c>
      <c r="E3165" s="15">
        <v>113573118</v>
      </c>
      <c r="F3165" s="15">
        <v>3643</v>
      </c>
      <c r="G3165" s="8" t="s">
        <v>12324</v>
      </c>
      <c r="H3165" s="24" t="s">
        <v>1259</v>
      </c>
      <c r="I3165" s="25">
        <v>27096</v>
      </c>
      <c r="J3165" s="8" t="s">
        <v>1261</v>
      </c>
      <c r="K3165" s="8" t="s">
        <v>10040</v>
      </c>
      <c r="L3165" s="15">
        <v>0.140545</v>
      </c>
      <c r="M3165" s="15">
        <v>0.624996</v>
      </c>
      <c r="N3165" s="15">
        <v>0.87597205371248021</v>
      </c>
    </row>
    <row r="3166" spans="1:14" x14ac:dyDescent="0.2">
      <c r="A3166" s="2" t="s">
        <v>10066</v>
      </c>
      <c r="B3166" s="15">
        <v>667</v>
      </c>
      <c r="C3166" s="15">
        <v>4</v>
      </c>
      <c r="D3166" s="15">
        <v>71468301</v>
      </c>
      <c r="E3166" s="15">
        <v>73258294</v>
      </c>
      <c r="F3166" s="15">
        <v>3916</v>
      </c>
      <c r="G3166" s="8" t="s">
        <v>12324</v>
      </c>
      <c r="H3166" s="24" t="s">
        <v>6008</v>
      </c>
      <c r="I3166" s="25" t="s">
        <v>6009</v>
      </c>
      <c r="J3166" s="8" t="s">
        <v>6010</v>
      </c>
      <c r="K3166" s="8" t="s">
        <v>10051</v>
      </c>
      <c r="L3166" s="15">
        <v>0.164358</v>
      </c>
      <c r="M3166" s="15">
        <v>0.62512999999999996</v>
      </c>
      <c r="N3166" s="15">
        <v>0.87597205371248021</v>
      </c>
    </row>
    <row r="3167" spans="1:14" x14ac:dyDescent="0.2">
      <c r="A3167" s="2" t="s">
        <v>10068</v>
      </c>
      <c r="B3167" s="15">
        <v>1930</v>
      </c>
      <c r="C3167" s="15">
        <v>13</v>
      </c>
      <c r="D3167" s="15">
        <v>89764427</v>
      </c>
      <c r="E3167" s="15">
        <v>90518147</v>
      </c>
      <c r="F3167" s="15">
        <v>2254</v>
      </c>
      <c r="G3167" s="8" t="s">
        <v>12324</v>
      </c>
      <c r="H3167" s="24" t="s">
        <v>6565</v>
      </c>
      <c r="I3167" s="25" t="s">
        <v>6475</v>
      </c>
      <c r="J3167" s="8" t="s">
        <v>6566</v>
      </c>
      <c r="K3167" s="8" t="s">
        <v>10054</v>
      </c>
      <c r="L3167" s="15">
        <v>0.11865199999999999</v>
      </c>
      <c r="M3167" s="15">
        <v>0.62511099999999997</v>
      </c>
      <c r="N3167" s="15">
        <v>0.87597205371248021</v>
      </c>
    </row>
    <row r="3168" spans="1:14" x14ac:dyDescent="0.2">
      <c r="A3168" s="2" t="s">
        <v>10069</v>
      </c>
      <c r="B3168" s="15">
        <v>1365</v>
      </c>
      <c r="C3168" s="15">
        <v>8</v>
      </c>
      <c r="D3168" s="15">
        <v>140355989</v>
      </c>
      <c r="E3168" s="15">
        <v>141527881</v>
      </c>
      <c r="F3168" s="15">
        <v>2166</v>
      </c>
      <c r="G3168" s="8" t="s">
        <v>12324</v>
      </c>
      <c r="H3168" s="24" t="s">
        <v>662</v>
      </c>
      <c r="I3168" s="25" t="s">
        <v>663</v>
      </c>
      <c r="J3168" s="8" t="s">
        <v>664</v>
      </c>
      <c r="K3168" s="8" t="s">
        <v>10040</v>
      </c>
      <c r="L3168" s="15">
        <v>0.12944800000000001</v>
      </c>
      <c r="M3168" s="15">
        <v>0.62593500000000002</v>
      </c>
      <c r="N3168" s="15">
        <v>0.87682303379658877</v>
      </c>
    </row>
    <row r="3169" spans="1:14" x14ac:dyDescent="0.2">
      <c r="A3169" s="2" t="s">
        <v>10068</v>
      </c>
      <c r="B3169" s="15">
        <v>151</v>
      </c>
      <c r="C3169" s="15">
        <v>1</v>
      </c>
      <c r="D3169" s="15">
        <v>196179111</v>
      </c>
      <c r="E3169" s="15">
        <v>197935821</v>
      </c>
      <c r="F3169" s="15">
        <v>2893</v>
      </c>
      <c r="G3169" s="8" t="s">
        <v>12324</v>
      </c>
      <c r="H3169" s="24" t="s">
        <v>1259</v>
      </c>
      <c r="I3169" s="25">
        <v>27096</v>
      </c>
      <c r="J3169" s="8" t="s">
        <v>1261</v>
      </c>
      <c r="K3169" s="8" t="s">
        <v>10040</v>
      </c>
      <c r="L3169" s="15">
        <v>-0.19947000000000001</v>
      </c>
      <c r="M3169" s="15">
        <v>0.62614499999999995</v>
      </c>
      <c r="N3169" s="15">
        <v>0.87684025102620766</v>
      </c>
    </row>
    <row r="3170" spans="1:14" x14ac:dyDescent="0.2">
      <c r="A3170" s="2" t="s">
        <v>10068</v>
      </c>
      <c r="B3170" s="15">
        <v>1120</v>
      </c>
      <c r="C3170" s="15">
        <v>7</v>
      </c>
      <c r="D3170" s="15">
        <v>21390645</v>
      </c>
      <c r="E3170" s="15">
        <v>22165060</v>
      </c>
      <c r="F3170" s="15">
        <v>2719</v>
      </c>
      <c r="G3170" s="8" t="s">
        <v>12324</v>
      </c>
      <c r="H3170" s="24" t="s">
        <v>494</v>
      </c>
      <c r="I3170" s="25">
        <v>25920</v>
      </c>
      <c r="J3170" s="8" t="s">
        <v>496</v>
      </c>
      <c r="K3170" s="8" t="s">
        <v>10040</v>
      </c>
      <c r="L3170" s="15">
        <v>0.124969</v>
      </c>
      <c r="M3170" s="15">
        <v>0.626363</v>
      </c>
      <c r="N3170" s="15">
        <v>0.87686865688131321</v>
      </c>
    </row>
    <row r="3171" spans="1:14" x14ac:dyDescent="0.2">
      <c r="A3171" s="2" t="s">
        <v>10068</v>
      </c>
      <c r="B3171" s="15">
        <v>2157</v>
      </c>
      <c r="C3171" s="15">
        <v>16</v>
      </c>
      <c r="D3171" s="15">
        <v>77739133</v>
      </c>
      <c r="E3171" s="15">
        <v>78280636</v>
      </c>
      <c r="F3171" s="15">
        <v>2521</v>
      </c>
      <c r="G3171" s="8" t="s">
        <v>12324</v>
      </c>
      <c r="H3171" s="24" t="s">
        <v>6565</v>
      </c>
      <c r="I3171" s="25" t="s">
        <v>6475</v>
      </c>
      <c r="J3171" s="8" t="s">
        <v>6566</v>
      </c>
      <c r="K3171" s="8" t="s">
        <v>10054</v>
      </c>
      <c r="L3171" s="15">
        <v>-9.2788200000000001E-2</v>
      </c>
      <c r="M3171" s="15">
        <v>0.627247</v>
      </c>
      <c r="N3171" s="15">
        <v>0.87782910855159357</v>
      </c>
    </row>
    <row r="3172" spans="1:14" x14ac:dyDescent="0.2">
      <c r="A3172" s="2" t="s">
        <v>10068</v>
      </c>
      <c r="B3172" s="15">
        <v>1153</v>
      </c>
      <c r="C3172" s="15">
        <v>7</v>
      </c>
      <c r="D3172" s="15">
        <v>55161395</v>
      </c>
      <c r="E3172" s="15">
        <v>56303513</v>
      </c>
      <c r="F3172" s="15">
        <v>3613</v>
      </c>
      <c r="G3172" s="8" t="s">
        <v>12324</v>
      </c>
      <c r="H3172" s="24" t="s">
        <v>599</v>
      </c>
      <c r="I3172" s="25">
        <v>26562</v>
      </c>
      <c r="J3172" s="8" t="s">
        <v>601</v>
      </c>
      <c r="K3172" s="8" t="s">
        <v>10040</v>
      </c>
      <c r="L3172" s="15">
        <v>0.15559100000000001</v>
      </c>
      <c r="M3172" s="15">
        <v>0.62767399999999995</v>
      </c>
      <c r="N3172" s="15">
        <v>0.87787265531378111</v>
      </c>
    </row>
    <row r="3173" spans="1:14" x14ac:dyDescent="0.2">
      <c r="A3173" s="2" t="s">
        <v>10068</v>
      </c>
      <c r="B3173" s="15">
        <v>543</v>
      </c>
      <c r="C3173" s="15">
        <v>3</v>
      </c>
      <c r="D3173" s="15">
        <v>139831268</v>
      </c>
      <c r="E3173" s="15">
        <v>141034637</v>
      </c>
      <c r="F3173" s="15">
        <v>3016</v>
      </c>
      <c r="G3173" s="8" t="s">
        <v>12324</v>
      </c>
      <c r="H3173" s="24" t="s">
        <v>6565</v>
      </c>
      <c r="I3173" s="25" t="s">
        <v>6475</v>
      </c>
      <c r="J3173" s="8" t="s">
        <v>6566</v>
      </c>
      <c r="K3173" s="8" t="s">
        <v>10054</v>
      </c>
      <c r="L3173" s="15">
        <v>-0.10134600000000001</v>
      </c>
      <c r="M3173" s="15">
        <v>0.62747799999999998</v>
      </c>
      <c r="N3173" s="15">
        <v>0.87787265531378111</v>
      </c>
    </row>
    <row r="3174" spans="1:14" x14ac:dyDescent="0.2">
      <c r="A3174" s="2" t="s">
        <v>10068</v>
      </c>
      <c r="B3174" s="15">
        <v>1788</v>
      </c>
      <c r="C3174" s="15">
        <v>12</v>
      </c>
      <c r="D3174" s="15">
        <v>48960266</v>
      </c>
      <c r="E3174" s="15">
        <v>50344346</v>
      </c>
      <c r="F3174" s="15">
        <v>2657</v>
      </c>
      <c r="G3174" s="8" t="s">
        <v>12324</v>
      </c>
      <c r="H3174" s="24" t="s">
        <v>1259</v>
      </c>
      <c r="I3174" s="25">
        <v>27096</v>
      </c>
      <c r="J3174" s="8" t="s">
        <v>1261</v>
      </c>
      <c r="K3174" s="8" t="s">
        <v>10040</v>
      </c>
      <c r="L3174" s="15">
        <v>-8.6573600000000001E-2</v>
      </c>
      <c r="M3174" s="15">
        <v>0.62812900000000005</v>
      </c>
      <c r="N3174" s="15">
        <v>0.87823206651954611</v>
      </c>
    </row>
    <row r="3175" spans="1:14" x14ac:dyDescent="0.2">
      <c r="A3175" s="2" t="s">
        <v>10068</v>
      </c>
      <c r="B3175" s="15">
        <v>1544</v>
      </c>
      <c r="C3175" s="15">
        <v>10</v>
      </c>
      <c r="D3175" s="15">
        <v>62626466</v>
      </c>
      <c r="E3175" s="15">
        <v>64069687</v>
      </c>
      <c r="F3175" s="15">
        <v>3303</v>
      </c>
      <c r="G3175" s="8" t="s">
        <v>12324</v>
      </c>
      <c r="H3175" s="24" t="s">
        <v>494</v>
      </c>
      <c r="I3175" s="25">
        <v>25920</v>
      </c>
      <c r="J3175" s="8" t="s">
        <v>496</v>
      </c>
      <c r="K3175" s="8" t="s">
        <v>10040</v>
      </c>
      <c r="L3175" s="15">
        <v>-0.120839</v>
      </c>
      <c r="M3175" s="15">
        <v>0.62887099999999996</v>
      </c>
      <c r="N3175" s="15">
        <v>0.87899239993696821</v>
      </c>
    </row>
    <row r="3176" spans="1:14" x14ac:dyDescent="0.2">
      <c r="A3176" s="2" t="s">
        <v>10068</v>
      </c>
      <c r="B3176" s="15">
        <v>205</v>
      </c>
      <c r="C3176" s="15">
        <v>2</v>
      </c>
      <c r="D3176" s="15">
        <v>2680064</v>
      </c>
      <c r="E3176" s="15">
        <v>3314202</v>
      </c>
      <c r="F3176" s="15">
        <v>2197</v>
      </c>
      <c r="G3176" s="8" t="s">
        <v>12324</v>
      </c>
      <c r="H3176" s="24" t="s">
        <v>599</v>
      </c>
      <c r="I3176" s="25">
        <v>26562</v>
      </c>
      <c r="J3176" s="8" t="s">
        <v>601</v>
      </c>
      <c r="K3176" s="8" t="s">
        <v>10040</v>
      </c>
      <c r="L3176" s="15">
        <v>-9.9135699999999993E-2</v>
      </c>
      <c r="M3176" s="15">
        <v>0.62931999999999999</v>
      </c>
      <c r="N3176" s="15">
        <v>0.87934284814114683</v>
      </c>
    </row>
    <row r="3177" spans="1:14" x14ac:dyDescent="0.2">
      <c r="A3177" s="2" t="s">
        <v>10066</v>
      </c>
      <c r="B3177" s="15">
        <v>2168</v>
      </c>
      <c r="C3177" s="15">
        <v>16</v>
      </c>
      <c r="D3177" s="15">
        <v>86058598</v>
      </c>
      <c r="E3177" s="15">
        <v>86748867</v>
      </c>
      <c r="F3177" s="15">
        <v>3166</v>
      </c>
      <c r="G3177" s="8" t="s">
        <v>12324</v>
      </c>
      <c r="H3177" s="24" t="s">
        <v>6008</v>
      </c>
      <c r="I3177" s="25" t="s">
        <v>6009</v>
      </c>
      <c r="J3177" s="8" t="s">
        <v>6010</v>
      </c>
      <c r="K3177" s="8" t="s">
        <v>10051</v>
      </c>
      <c r="L3177" s="15">
        <v>-9.2071700000000006E-2</v>
      </c>
      <c r="M3177" s="15">
        <v>0.62958800000000004</v>
      </c>
      <c r="N3177" s="15">
        <v>0.87944024566929146</v>
      </c>
    </row>
    <row r="3178" spans="1:14" x14ac:dyDescent="0.2">
      <c r="A3178" s="2" t="s">
        <v>10068</v>
      </c>
      <c r="B3178" s="15">
        <v>190</v>
      </c>
      <c r="C3178" s="15">
        <v>1</v>
      </c>
      <c r="D3178" s="15">
        <v>239332149</v>
      </c>
      <c r="E3178" s="15">
        <v>240248508</v>
      </c>
      <c r="F3178" s="15">
        <v>2596</v>
      </c>
      <c r="G3178" s="8" t="s">
        <v>12324</v>
      </c>
      <c r="H3178" s="24" t="s">
        <v>6565</v>
      </c>
      <c r="I3178" s="25" t="s">
        <v>6475</v>
      </c>
      <c r="J3178" s="8" t="s">
        <v>6566</v>
      </c>
      <c r="K3178" s="8" t="s">
        <v>10054</v>
      </c>
      <c r="L3178" s="15">
        <v>-0.13247300000000001</v>
      </c>
      <c r="M3178" s="15">
        <v>0.62982499999999997</v>
      </c>
      <c r="N3178" s="15">
        <v>0.87949429313602001</v>
      </c>
    </row>
    <row r="3179" spans="1:14" x14ac:dyDescent="0.2">
      <c r="A3179" s="2" t="s">
        <v>10068</v>
      </c>
      <c r="B3179" s="15">
        <v>246</v>
      </c>
      <c r="C3179" s="15">
        <v>2</v>
      </c>
      <c r="D3179" s="15">
        <v>41540440</v>
      </c>
      <c r="E3179" s="15">
        <v>42307418</v>
      </c>
      <c r="F3179" s="15">
        <v>2706</v>
      </c>
      <c r="G3179" s="8" t="s">
        <v>12324</v>
      </c>
      <c r="H3179" s="24" t="s">
        <v>1259</v>
      </c>
      <c r="I3179" s="25">
        <v>27096</v>
      </c>
      <c r="J3179" s="8" t="s">
        <v>1261</v>
      </c>
      <c r="K3179" s="8" t="s">
        <v>10040</v>
      </c>
      <c r="L3179" s="15">
        <v>6.2901600000000002E-2</v>
      </c>
      <c r="M3179" s="15">
        <v>0.63046400000000002</v>
      </c>
      <c r="N3179" s="15">
        <v>0.87983254877281314</v>
      </c>
    </row>
    <row r="3180" spans="1:14" x14ac:dyDescent="0.2">
      <c r="A3180" s="2" t="s">
        <v>10068</v>
      </c>
      <c r="B3180" s="15">
        <v>406</v>
      </c>
      <c r="C3180" s="15">
        <v>2</v>
      </c>
      <c r="D3180" s="15">
        <v>229764919</v>
      </c>
      <c r="E3180" s="15">
        <v>230541092</v>
      </c>
      <c r="F3180" s="15">
        <v>2368</v>
      </c>
      <c r="G3180" s="8" t="s">
        <v>12324</v>
      </c>
      <c r="H3180" s="24" t="s">
        <v>6565</v>
      </c>
      <c r="I3180" s="25" t="s">
        <v>6475</v>
      </c>
      <c r="J3180" s="8" t="s">
        <v>6566</v>
      </c>
      <c r="K3180" s="8" t="s">
        <v>10054</v>
      </c>
      <c r="L3180" s="15">
        <v>-0.112716</v>
      </c>
      <c r="M3180" s="15">
        <v>0.63028799999999996</v>
      </c>
      <c r="N3180" s="15">
        <v>0.87983254877281314</v>
      </c>
    </row>
    <row r="3181" spans="1:14" x14ac:dyDescent="0.2">
      <c r="A3181" s="2" t="s">
        <v>10069</v>
      </c>
      <c r="B3181" s="15">
        <v>2247</v>
      </c>
      <c r="C3181" s="15">
        <v>18</v>
      </c>
      <c r="D3181" s="15">
        <v>8788525</v>
      </c>
      <c r="E3181" s="15">
        <v>9816164</v>
      </c>
      <c r="F3181" s="15">
        <v>2282</v>
      </c>
      <c r="G3181" s="8" t="s">
        <v>12324</v>
      </c>
      <c r="H3181" s="24" t="s">
        <v>662</v>
      </c>
      <c r="I3181" s="25" t="s">
        <v>663</v>
      </c>
      <c r="J3181" s="8" t="s">
        <v>664</v>
      </c>
      <c r="K3181" s="8" t="s">
        <v>10040</v>
      </c>
      <c r="L3181" s="15">
        <v>-0.18776499999999999</v>
      </c>
      <c r="M3181" s="15">
        <v>0.63104000000000005</v>
      </c>
      <c r="N3181" s="15">
        <v>0.87999311773940336</v>
      </c>
    </row>
    <row r="3182" spans="1:14" x14ac:dyDescent="0.2">
      <c r="A3182" s="2" t="s">
        <v>10068</v>
      </c>
      <c r="B3182" s="15">
        <v>150</v>
      </c>
      <c r="C3182" s="15">
        <v>1</v>
      </c>
      <c r="D3182" s="15">
        <v>195161236</v>
      </c>
      <c r="E3182" s="15">
        <v>196179110</v>
      </c>
      <c r="F3182" s="15">
        <v>2534</v>
      </c>
      <c r="G3182" s="8" t="s">
        <v>12324</v>
      </c>
      <c r="H3182" s="24" t="s">
        <v>1259</v>
      </c>
      <c r="I3182" s="25">
        <v>27096</v>
      </c>
      <c r="J3182" s="8" t="s">
        <v>1261</v>
      </c>
      <c r="K3182" s="8" t="s">
        <v>10040</v>
      </c>
      <c r="L3182" s="15">
        <v>0.12894600000000001</v>
      </c>
      <c r="M3182" s="15">
        <v>0.63130399999999998</v>
      </c>
      <c r="N3182" s="15">
        <v>0.87999311773940336</v>
      </c>
    </row>
    <row r="3183" spans="1:14" x14ac:dyDescent="0.2">
      <c r="A3183" s="2" t="s">
        <v>10068</v>
      </c>
      <c r="B3183" s="15">
        <v>1960</v>
      </c>
      <c r="C3183" s="15">
        <v>14</v>
      </c>
      <c r="D3183" s="15">
        <v>25585042</v>
      </c>
      <c r="E3183" s="15">
        <v>26395690</v>
      </c>
      <c r="F3183" s="15">
        <v>2230</v>
      </c>
      <c r="G3183" s="8" t="s">
        <v>12324</v>
      </c>
      <c r="H3183" s="24" t="s">
        <v>1259</v>
      </c>
      <c r="I3183" s="25">
        <v>27096</v>
      </c>
      <c r="J3183" s="8" t="s">
        <v>1261</v>
      </c>
      <c r="K3183" s="8" t="s">
        <v>10040</v>
      </c>
      <c r="L3183" s="15">
        <v>8.9677699999999999E-2</v>
      </c>
      <c r="M3183" s="15">
        <v>0.63160899999999998</v>
      </c>
      <c r="N3183" s="15">
        <v>0.87999311773940336</v>
      </c>
    </row>
    <row r="3184" spans="1:14" x14ac:dyDescent="0.2">
      <c r="A3184" s="2" t="s">
        <v>10068</v>
      </c>
      <c r="B3184" s="15">
        <v>1169</v>
      </c>
      <c r="C3184" s="15">
        <v>7</v>
      </c>
      <c r="D3184" s="15">
        <v>77663965</v>
      </c>
      <c r="E3184" s="15">
        <v>78685009</v>
      </c>
      <c r="F3184" s="15">
        <v>3587</v>
      </c>
      <c r="G3184" s="8" t="s">
        <v>12324</v>
      </c>
      <c r="H3184" s="24" t="s">
        <v>1259</v>
      </c>
      <c r="I3184" s="25">
        <v>27096</v>
      </c>
      <c r="J3184" s="8" t="s">
        <v>1261</v>
      </c>
      <c r="K3184" s="8" t="s">
        <v>10040</v>
      </c>
      <c r="L3184" s="15">
        <v>0.17106499999999999</v>
      </c>
      <c r="M3184" s="15">
        <v>0.63186900000000001</v>
      </c>
      <c r="N3184" s="15">
        <v>0.87999311773940336</v>
      </c>
    </row>
    <row r="3185" spans="1:14" x14ac:dyDescent="0.2">
      <c r="A3185" s="2" t="s">
        <v>10068</v>
      </c>
      <c r="B3185" s="15">
        <v>2179</v>
      </c>
      <c r="C3185" s="15">
        <v>17</v>
      </c>
      <c r="D3185" s="15">
        <v>5573785</v>
      </c>
      <c r="E3185" s="15">
        <v>6305078</v>
      </c>
      <c r="F3185" s="15">
        <v>2657</v>
      </c>
      <c r="G3185" s="8" t="s">
        <v>12324</v>
      </c>
      <c r="H3185" s="24" t="s">
        <v>1259</v>
      </c>
      <c r="I3185" s="25">
        <v>27096</v>
      </c>
      <c r="J3185" s="8" t="s">
        <v>1261</v>
      </c>
      <c r="K3185" s="8" t="s">
        <v>10040</v>
      </c>
      <c r="L3185" s="15">
        <v>-7.28356E-2</v>
      </c>
      <c r="M3185" s="15">
        <v>0.63196799999999997</v>
      </c>
      <c r="N3185" s="15">
        <v>0.87999311773940336</v>
      </c>
    </row>
    <row r="3186" spans="1:14" x14ac:dyDescent="0.2">
      <c r="A3186" s="2" t="s">
        <v>10066</v>
      </c>
      <c r="B3186" s="15">
        <v>2165</v>
      </c>
      <c r="C3186" s="15">
        <v>16</v>
      </c>
      <c r="D3186" s="15">
        <v>83778372</v>
      </c>
      <c r="E3186" s="15">
        <v>84440154</v>
      </c>
      <c r="F3186" s="15">
        <v>3168</v>
      </c>
      <c r="G3186" s="8" t="s">
        <v>12324</v>
      </c>
      <c r="H3186" s="24" t="s">
        <v>6008</v>
      </c>
      <c r="I3186" s="25" t="s">
        <v>6009</v>
      </c>
      <c r="J3186" s="8" t="s">
        <v>6010</v>
      </c>
      <c r="K3186" s="8" t="s">
        <v>10051</v>
      </c>
      <c r="L3186" s="15">
        <v>-0.127355</v>
      </c>
      <c r="M3186" s="15">
        <v>0.63124800000000003</v>
      </c>
      <c r="N3186" s="15">
        <v>0.87999311773940336</v>
      </c>
    </row>
    <row r="3187" spans="1:14" x14ac:dyDescent="0.2">
      <c r="A3187" s="2" t="s">
        <v>10066</v>
      </c>
      <c r="B3187" s="15">
        <v>1850</v>
      </c>
      <c r="C3187" s="15">
        <v>12</v>
      </c>
      <c r="D3187" s="15">
        <v>121817510</v>
      </c>
      <c r="E3187" s="15">
        <v>123396634</v>
      </c>
      <c r="F3187" s="15">
        <v>3196</v>
      </c>
      <c r="G3187" s="8" t="s">
        <v>12324</v>
      </c>
      <c r="H3187" s="24" t="s">
        <v>6008</v>
      </c>
      <c r="I3187" s="25" t="s">
        <v>6009</v>
      </c>
      <c r="J3187" s="8" t="s">
        <v>6010</v>
      </c>
      <c r="K3187" s="8" t="s">
        <v>10051</v>
      </c>
      <c r="L3187" s="15">
        <v>-8.6342199999999994E-2</v>
      </c>
      <c r="M3187" s="15">
        <v>0.63167499999999999</v>
      </c>
      <c r="N3187" s="15">
        <v>0.87999311773940336</v>
      </c>
    </row>
    <row r="3188" spans="1:14" x14ac:dyDescent="0.2">
      <c r="A3188" s="2" t="s">
        <v>10068</v>
      </c>
      <c r="B3188" s="15">
        <v>1093</v>
      </c>
      <c r="C3188" s="15">
        <v>6</v>
      </c>
      <c r="D3188" s="15">
        <v>169667887</v>
      </c>
      <c r="E3188" s="15">
        <v>171053405</v>
      </c>
      <c r="F3188" s="15">
        <v>3867</v>
      </c>
      <c r="G3188" s="8" t="s">
        <v>12324</v>
      </c>
      <c r="H3188" s="24" t="s">
        <v>599</v>
      </c>
      <c r="I3188" s="25">
        <v>26562</v>
      </c>
      <c r="J3188" s="8" t="s">
        <v>601</v>
      </c>
      <c r="K3188" s="8" t="s">
        <v>10040</v>
      </c>
      <c r="L3188" s="15">
        <v>-0.14316699999999999</v>
      </c>
      <c r="M3188" s="15">
        <v>0.63232999999999995</v>
      </c>
      <c r="N3188" s="15">
        <v>0.88017981330404782</v>
      </c>
    </row>
    <row r="3189" spans="1:14" x14ac:dyDescent="0.2">
      <c r="A3189" s="2" t="s">
        <v>10066</v>
      </c>
      <c r="B3189" s="15">
        <v>2238</v>
      </c>
      <c r="C3189" s="15">
        <v>18</v>
      </c>
      <c r="D3189" s="15">
        <v>10719</v>
      </c>
      <c r="E3189" s="15">
        <v>848350</v>
      </c>
      <c r="F3189" s="15">
        <v>2793</v>
      </c>
      <c r="G3189" s="8" t="s">
        <v>12324</v>
      </c>
      <c r="H3189" s="24" t="s">
        <v>3164</v>
      </c>
      <c r="I3189" s="25" t="s">
        <v>3165</v>
      </c>
      <c r="J3189" s="8" t="s">
        <v>3166</v>
      </c>
      <c r="K3189" s="8" t="s">
        <v>10042</v>
      </c>
      <c r="L3189" s="15">
        <v>9.7626699999999997E-2</v>
      </c>
      <c r="M3189" s="15">
        <v>0.63249900000000003</v>
      </c>
      <c r="N3189" s="15">
        <v>0.88017981330404782</v>
      </c>
    </row>
    <row r="3190" spans="1:14" x14ac:dyDescent="0.2">
      <c r="A3190" s="2" t="s">
        <v>10068</v>
      </c>
      <c r="B3190" s="15">
        <v>811</v>
      </c>
      <c r="C3190" s="15">
        <v>5</v>
      </c>
      <c r="D3190" s="15">
        <v>40290852</v>
      </c>
      <c r="E3190" s="15">
        <v>41279590</v>
      </c>
      <c r="F3190" s="15">
        <v>2646</v>
      </c>
      <c r="G3190" s="8" t="s">
        <v>12324</v>
      </c>
      <c r="H3190" s="24" t="s">
        <v>494</v>
      </c>
      <c r="I3190" s="25">
        <v>25920</v>
      </c>
      <c r="J3190" s="8" t="s">
        <v>496</v>
      </c>
      <c r="K3190" s="8" t="s">
        <v>10040</v>
      </c>
      <c r="L3190" s="15">
        <v>-0.21107999999999999</v>
      </c>
      <c r="M3190" s="15">
        <v>0.63404899999999997</v>
      </c>
      <c r="N3190" s="15">
        <v>0.88096578790726809</v>
      </c>
    </row>
    <row r="3191" spans="1:14" x14ac:dyDescent="0.2">
      <c r="A3191" s="2" t="s">
        <v>10068</v>
      </c>
      <c r="B3191" s="15">
        <v>283</v>
      </c>
      <c r="C3191" s="15">
        <v>2</v>
      </c>
      <c r="D3191" s="15">
        <v>77372831</v>
      </c>
      <c r="E3191" s="15">
        <v>78080057</v>
      </c>
      <c r="F3191" s="15">
        <v>2179</v>
      </c>
      <c r="G3191" s="8" t="s">
        <v>12324</v>
      </c>
      <c r="H3191" s="24" t="s">
        <v>599</v>
      </c>
      <c r="I3191" s="25">
        <v>26562</v>
      </c>
      <c r="J3191" s="8" t="s">
        <v>601</v>
      </c>
      <c r="K3191" s="8" t="s">
        <v>10040</v>
      </c>
      <c r="L3191" s="15">
        <v>0.133801</v>
      </c>
      <c r="M3191" s="15">
        <v>0.63370099999999996</v>
      </c>
      <c r="N3191" s="15">
        <v>0.88096578790726809</v>
      </c>
    </row>
    <row r="3192" spans="1:14" x14ac:dyDescent="0.2">
      <c r="A3192" s="2" t="s">
        <v>10068</v>
      </c>
      <c r="B3192" s="15">
        <v>1023</v>
      </c>
      <c r="C3192" s="15">
        <v>6</v>
      </c>
      <c r="D3192" s="15">
        <v>91097025</v>
      </c>
      <c r="E3192" s="15">
        <v>92015279</v>
      </c>
      <c r="F3192" s="15">
        <v>2444</v>
      </c>
      <c r="G3192" s="8" t="s">
        <v>12324</v>
      </c>
      <c r="H3192" s="24" t="s">
        <v>1259</v>
      </c>
      <c r="I3192" s="25">
        <v>27096</v>
      </c>
      <c r="J3192" s="8" t="s">
        <v>1261</v>
      </c>
      <c r="K3192" s="8" t="s">
        <v>10040</v>
      </c>
      <c r="L3192" s="15">
        <v>8.0327399999999993E-2</v>
      </c>
      <c r="M3192" s="15">
        <v>0.63394899999999998</v>
      </c>
      <c r="N3192" s="15">
        <v>0.88096578790726809</v>
      </c>
    </row>
    <row r="3193" spans="1:14" x14ac:dyDescent="0.2">
      <c r="A3193" s="2" t="s">
        <v>10066</v>
      </c>
      <c r="B3193" s="15">
        <v>908</v>
      </c>
      <c r="C3193" s="15">
        <v>5</v>
      </c>
      <c r="D3193" s="15">
        <v>158484776</v>
      </c>
      <c r="E3193" s="15">
        <v>159663733</v>
      </c>
      <c r="F3193" s="15">
        <v>3100</v>
      </c>
      <c r="G3193" s="8" t="s">
        <v>12324</v>
      </c>
      <c r="H3193" s="24" t="s">
        <v>3164</v>
      </c>
      <c r="I3193" s="25" t="s">
        <v>3165</v>
      </c>
      <c r="J3193" s="8" t="s">
        <v>3166</v>
      </c>
      <c r="K3193" s="8" t="s">
        <v>10042</v>
      </c>
      <c r="L3193" s="15">
        <v>0.107867</v>
      </c>
      <c r="M3193" s="15">
        <v>0.63405699999999998</v>
      </c>
      <c r="N3193" s="15">
        <v>0.88096578790726809</v>
      </c>
    </row>
    <row r="3194" spans="1:14" x14ac:dyDescent="0.2">
      <c r="A3194" s="2" t="s">
        <v>10068</v>
      </c>
      <c r="B3194" s="15">
        <v>1398</v>
      </c>
      <c r="C3194" s="15">
        <v>9</v>
      </c>
      <c r="D3194" s="15">
        <v>21674033</v>
      </c>
      <c r="E3194" s="15">
        <v>23091193</v>
      </c>
      <c r="F3194" s="15">
        <v>3599</v>
      </c>
      <c r="G3194" s="8" t="s">
        <v>12324</v>
      </c>
      <c r="H3194" s="24" t="s">
        <v>6565</v>
      </c>
      <c r="I3194" s="25" t="s">
        <v>6475</v>
      </c>
      <c r="J3194" s="8" t="s">
        <v>6566</v>
      </c>
      <c r="K3194" s="8" t="s">
        <v>10054</v>
      </c>
      <c r="L3194" s="15">
        <v>-0.11565499999999999</v>
      </c>
      <c r="M3194" s="15">
        <v>0.63367099999999998</v>
      </c>
      <c r="N3194" s="15">
        <v>0.88096578790726809</v>
      </c>
    </row>
    <row r="3195" spans="1:14" x14ac:dyDescent="0.2">
      <c r="A3195" s="2" t="s">
        <v>10068</v>
      </c>
      <c r="B3195" s="15">
        <v>880</v>
      </c>
      <c r="C3195" s="15">
        <v>5</v>
      </c>
      <c r="D3195" s="15">
        <v>123191942</v>
      </c>
      <c r="E3195" s="15">
        <v>124109485</v>
      </c>
      <c r="F3195" s="15">
        <v>2328</v>
      </c>
      <c r="G3195" s="8" t="s">
        <v>12324</v>
      </c>
      <c r="H3195" s="24" t="s">
        <v>494</v>
      </c>
      <c r="I3195" s="25">
        <v>25920</v>
      </c>
      <c r="J3195" s="8" t="s">
        <v>496</v>
      </c>
      <c r="K3195" s="8" t="s">
        <v>10040</v>
      </c>
      <c r="L3195" s="15">
        <v>0.12472800000000001</v>
      </c>
      <c r="M3195" s="15">
        <v>0.63456299999999999</v>
      </c>
      <c r="N3195" s="15">
        <v>0.88117229336255487</v>
      </c>
    </row>
    <row r="3196" spans="1:14" x14ac:dyDescent="0.2">
      <c r="A3196" s="2" t="s">
        <v>10068</v>
      </c>
      <c r="B3196" s="15">
        <v>904</v>
      </c>
      <c r="C3196" s="15">
        <v>5</v>
      </c>
      <c r="D3196" s="15">
        <v>154599751</v>
      </c>
      <c r="E3196" s="15">
        <v>155459556</v>
      </c>
      <c r="F3196" s="15">
        <v>2222</v>
      </c>
      <c r="G3196" s="8" t="s">
        <v>12324</v>
      </c>
      <c r="H3196" s="24" t="s">
        <v>1259</v>
      </c>
      <c r="I3196" s="25">
        <v>27096</v>
      </c>
      <c r="J3196" s="8" t="s">
        <v>1261</v>
      </c>
      <c r="K3196" s="8" t="s">
        <v>10040</v>
      </c>
      <c r="L3196" s="15">
        <v>0.144737</v>
      </c>
      <c r="M3196" s="15">
        <v>0.63460300000000003</v>
      </c>
      <c r="N3196" s="15">
        <v>0.88117229336255487</v>
      </c>
    </row>
    <row r="3197" spans="1:14" x14ac:dyDescent="0.2">
      <c r="A3197" s="2" t="s">
        <v>10068</v>
      </c>
      <c r="B3197" s="15">
        <v>1803</v>
      </c>
      <c r="C3197" s="15">
        <v>12</v>
      </c>
      <c r="D3197" s="15">
        <v>68006683</v>
      </c>
      <c r="E3197" s="15">
        <v>68839661</v>
      </c>
      <c r="F3197" s="15">
        <v>2184</v>
      </c>
      <c r="G3197" s="8" t="s">
        <v>12324</v>
      </c>
      <c r="H3197" s="24" t="s">
        <v>599</v>
      </c>
      <c r="I3197" s="25">
        <v>26562</v>
      </c>
      <c r="J3197" s="8" t="s">
        <v>601</v>
      </c>
      <c r="K3197" s="8" t="s">
        <v>10040</v>
      </c>
      <c r="L3197" s="15">
        <v>-9.2332200000000003E-2</v>
      </c>
      <c r="M3197" s="15">
        <v>0.63558700000000001</v>
      </c>
      <c r="N3197" s="15">
        <v>0.88143891494684179</v>
      </c>
    </row>
    <row r="3198" spans="1:14" x14ac:dyDescent="0.2">
      <c r="A3198" s="2" t="s">
        <v>10066</v>
      </c>
      <c r="B3198" s="15">
        <v>2297</v>
      </c>
      <c r="C3198" s="15">
        <v>18</v>
      </c>
      <c r="D3198" s="15">
        <v>69311743</v>
      </c>
      <c r="E3198" s="15">
        <v>70540349</v>
      </c>
      <c r="F3198" s="15">
        <v>4027</v>
      </c>
      <c r="G3198" s="8" t="s">
        <v>12324</v>
      </c>
      <c r="H3198" s="24" t="s">
        <v>3164</v>
      </c>
      <c r="I3198" s="25" t="s">
        <v>3165</v>
      </c>
      <c r="J3198" s="8" t="s">
        <v>3166</v>
      </c>
      <c r="K3198" s="8" t="s">
        <v>10042</v>
      </c>
      <c r="L3198" s="15">
        <v>-9.0548900000000002E-2</v>
      </c>
      <c r="M3198" s="15">
        <v>0.63523200000000002</v>
      </c>
      <c r="N3198" s="15">
        <v>0.88143891494684179</v>
      </c>
    </row>
    <row r="3199" spans="1:14" x14ac:dyDescent="0.2">
      <c r="A3199" s="2" t="s">
        <v>10066</v>
      </c>
      <c r="B3199" s="15">
        <v>1395</v>
      </c>
      <c r="C3199" s="15">
        <v>9</v>
      </c>
      <c r="D3199" s="15">
        <v>18754197</v>
      </c>
      <c r="E3199" s="15">
        <v>19463292</v>
      </c>
      <c r="F3199" s="15">
        <v>2262</v>
      </c>
      <c r="G3199" s="8" t="s">
        <v>12324</v>
      </c>
      <c r="H3199" s="24" t="s">
        <v>6008</v>
      </c>
      <c r="I3199" s="25" t="s">
        <v>6009</v>
      </c>
      <c r="J3199" s="8" t="s">
        <v>6010</v>
      </c>
      <c r="K3199" s="8" t="s">
        <v>10051</v>
      </c>
      <c r="L3199" s="15">
        <v>-0.16810800000000001</v>
      </c>
      <c r="M3199" s="15">
        <v>0.63509700000000002</v>
      </c>
      <c r="N3199" s="15">
        <v>0.88143891494684179</v>
      </c>
    </row>
    <row r="3200" spans="1:14" x14ac:dyDescent="0.2">
      <c r="A3200" s="2" t="s">
        <v>10066</v>
      </c>
      <c r="B3200" s="15">
        <v>2380</v>
      </c>
      <c r="C3200" s="15">
        <v>20</v>
      </c>
      <c r="D3200" s="15">
        <v>10279604</v>
      </c>
      <c r="E3200" s="15">
        <v>11257012</v>
      </c>
      <c r="F3200" s="15">
        <v>2706</v>
      </c>
      <c r="G3200" s="8" t="s">
        <v>12324</v>
      </c>
      <c r="H3200" s="24" t="s">
        <v>6008</v>
      </c>
      <c r="I3200" s="25" t="s">
        <v>6009</v>
      </c>
      <c r="J3200" s="8" t="s">
        <v>6010</v>
      </c>
      <c r="K3200" s="8" t="s">
        <v>10051</v>
      </c>
      <c r="L3200" s="15">
        <v>-7.2970199999999999E-2</v>
      </c>
      <c r="M3200" s="15">
        <v>0.63558999999999999</v>
      </c>
      <c r="N3200" s="15">
        <v>0.88143891494684179</v>
      </c>
    </row>
    <row r="3201" spans="1:14" x14ac:dyDescent="0.2">
      <c r="A3201" s="2" t="s">
        <v>10068</v>
      </c>
      <c r="B3201" s="15">
        <v>2283</v>
      </c>
      <c r="C3201" s="15">
        <v>18</v>
      </c>
      <c r="D3201" s="15">
        <v>54957868</v>
      </c>
      <c r="E3201" s="15">
        <v>55809315</v>
      </c>
      <c r="F3201" s="15">
        <v>2737</v>
      </c>
      <c r="G3201" s="8" t="s">
        <v>12324</v>
      </c>
      <c r="H3201" s="24" t="s">
        <v>1259</v>
      </c>
      <c r="I3201" s="25">
        <v>27096</v>
      </c>
      <c r="J3201" s="8" t="s">
        <v>1261</v>
      </c>
      <c r="K3201" s="8" t="s">
        <v>10040</v>
      </c>
      <c r="L3201" s="15">
        <v>9.3681500000000001E-2</v>
      </c>
      <c r="M3201" s="15">
        <v>0.63579600000000003</v>
      </c>
      <c r="N3201" s="15">
        <v>0.88144897155361046</v>
      </c>
    </row>
    <row r="3202" spans="1:14" x14ac:dyDescent="0.2">
      <c r="A3202" s="2" t="s">
        <v>10066</v>
      </c>
      <c r="B3202" s="15">
        <v>1516</v>
      </c>
      <c r="C3202" s="15">
        <v>10</v>
      </c>
      <c r="D3202" s="15">
        <v>27669567</v>
      </c>
      <c r="E3202" s="15">
        <v>28734422</v>
      </c>
      <c r="F3202" s="15">
        <v>3204</v>
      </c>
      <c r="G3202" s="8" t="s">
        <v>12324</v>
      </c>
      <c r="H3202" s="24" t="s">
        <v>3164</v>
      </c>
      <c r="I3202" s="25" t="s">
        <v>3165</v>
      </c>
      <c r="J3202" s="8" t="s">
        <v>3166</v>
      </c>
      <c r="K3202" s="8" t="s">
        <v>10042</v>
      </c>
      <c r="L3202" s="15">
        <v>-0.101857</v>
      </c>
      <c r="M3202" s="15">
        <v>0.63614000000000004</v>
      </c>
      <c r="N3202" s="15">
        <v>0.88165028125000011</v>
      </c>
    </row>
    <row r="3203" spans="1:14" x14ac:dyDescent="0.2">
      <c r="A3203" s="2" t="s">
        <v>10066</v>
      </c>
      <c r="B3203" s="15">
        <v>1640</v>
      </c>
      <c r="C3203" s="15">
        <v>11</v>
      </c>
      <c r="D3203" s="15">
        <v>27018308</v>
      </c>
      <c r="E3203" s="15">
        <v>28577718</v>
      </c>
      <c r="F3203" s="15">
        <v>2740</v>
      </c>
      <c r="G3203" s="8" t="s">
        <v>12324</v>
      </c>
      <c r="H3203" s="24" t="s">
        <v>3164</v>
      </c>
      <c r="I3203" s="25" t="s">
        <v>3165</v>
      </c>
      <c r="J3203" s="8" t="s">
        <v>3166</v>
      </c>
      <c r="K3203" s="8" t="s">
        <v>10042</v>
      </c>
      <c r="L3203" s="15">
        <v>-9.8304799999999998E-2</v>
      </c>
      <c r="M3203" s="15">
        <v>0.63666500000000004</v>
      </c>
      <c r="N3203" s="15">
        <v>0.88210224148703542</v>
      </c>
    </row>
    <row r="3204" spans="1:14" x14ac:dyDescent="0.2">
      <c r="A3204" s="2" t="s">
        <v>10069</v>
      </c>
      <c r="B3204" s="15">
        <v>1173</v>
      </c>
      <c r="C3204" s="15">
        <v>7</v>
      </c>
      <c r="D3204" s="15">
        <v>82759284</v>
      </c>
      <c r="E3204" s="15">
        <v>83953009</v>
      </c>
      <c r="F3204" s="15">
        <v>2401</v>
      </c>
      <c r="G3204" s="8" t="s">
        <v>12324</v>
      </c>
      <c r="H3204" s="24" t="s">
        <v>662</v>
      </c>
      <c r="I3204" s="25" t="s">
        <v>663</v>
      </c>
      <c r="J3204" s="8" t="s">
        <v>664</v>
      </c>
      <c r="K3204" s="8" t="s">
        <v>10040</v>
      </c>
      <c r="L3204" s="15">
        <v>0.133796</v>
      </c>
      <c r="M3204" s="15">
        <v>0.637822</v>
      </c>
      <c r="N3204" s="15">
        <v>0.88315347174523884</v>
      </c>
    </row>
    <row r="3205" spans="1:14" x14ac:dyDescent="0.2">
      <c r="A3205" s="2" t="s">
        <v>10068</v>
      </c>
      <c r="B3205" s="15">
        <v>2465</v>
      </c>
      <c r="C3205" s="15">
        <v>22</v>
      </c>
      <c r="D3205" s="15">
        <v>19635655</v>
      </c>
      <c r="E3205" s="15">
        <v>20969184</v>
      </c>
      <c r="F3205" s="15">
        <v>2781</v>
      </c>
      <c r="G3205" s="8" t="s">
        <v>12324</v>
      </c>
      <c r="H3205" s="24" t="s">
        <v>1259</v>
      </c>
      <c r="I3205" s="25">
        <v>27096</v>
      </c>
      <c r="J3205" s="8" t="s">
        <v>1261</v>
      </c>
      <c r="K3205" s="8" t="s">
        <v>10040</v>
      </c>
      <c r="L3205" s="15">
        <v>-5.8111500000000003E-2</v>
      </c>
      <c r="M3205" s="15">
        <v>0.63767700000000005</v>
      </c>
      <c r="N3205" s="15">
        <v>0.88315347174523884</v>
      </c>
    </row>
    <row r="3206" spans="1:14" x14ac:dyDescent="0.2">
      <c r="A3206" s="2" t="s">
        <v>10068</v>
      </c>
      <c r="B3206" s="15">
        <v>864</v>
      </c>
      <c r="C3206" s="15">
        <v>5</v>
      </c>
      <c r="D3206" s="15">
        <v>106389389</v>
      </c>
      <c r="E3206" s="15">
        <v>107265911</v>
      </c>
      <c r="F3206" s="15">
        <v>2271</v>
      </c>
      <c r="G3206" s="8" t="s">
        <v>12324</v>
      </c>
      <c r="H3206" s="24" t="s">
        <v>599</v>
      </c>
      <c r="I3206" s="25">
        <v>26562</v>
      </c>
      <c r="J3206" s="8" t="s">
        <v>601</v>
      </c>
      <c r="K3206" s="8" t="s">
        <v>10040</v>
      </c>
      <c r="L3206" s="15">
        <v>-0.12575900000000001</v>
      </c>
      <c r="M3206" s="15">
        <v>0.63831000000000004</v>
      </c>
      <c r="N3206" s="15">
        <v>0.8835533239700375</v>
      </c>
    </row>
    <row r="3207" spans="1:14" x14ac:dyDescent="0.2">
      <c r="A3207" s="2" t="s">
        <v>10069</v>
      </c>
      <c r="B3207" s="15">
        <v>1552</v>
      </c>
      <c r="C3207" s="15">
        <v>10</v>
      </c>
      <c r="D3207" s="15">
        <v>71050505</v>
      </c>
      <c r="E3207" s="15">
        <v>71672997</v>
      </c>
      <c r="F3207" s="15">
        <v>1658</v>
      </c>
      <c r="G3207" s="8" t="s">
        <v>12324</v>
      </c>
      <c r="H3207" s="24" t="s">
        <v>662</v>
      </c>
      <c r="I3207" s="25" t="s">
        <v>663</v>
      </c>
      <c r="J3207" s="8" t="s">
        <v>664</v>
      </c>
      <c r="K3207" s="8" t="s">
        <v>10040</v>
      </c>
      <c r="L3207" s="15">
        <v>-0.115521</v>
      </c>
      <c r="M3207" s="15">
        <v>0.63870099999999996</v>
      </c>
      <c r="N3207" s="15">
        <v>0.88381870046801858</v>
      </c>
    </row>
    <row r="3208" spans="1:14" x14ac:dyDescent="0.2">
      <c r="A3208" s="2" t="s">
        <v>10068</v>
      </c>
      <c r="B3208" s="15">
        <v>27</v>
      </c>
      <c r="C3208" s="15">
        <v>1</v>
      </c>
      <c r="D3208" s="15">
        <v>25885139</v>
      </c>
      <c r="E3208" s="15">
        <v>27992665</v>
      </c>
      <c r="F3208" s="15">
        <v>3638</v>
      </c>
      <c r="G3208" s="8" t="s">
        <v>12324</v>
      </c>
      <c r="H3208" s="24" t="s">
        <v>494</v>
      </c>
      <c r="I3208" s="25">
        <v>25920</v>
      </c>
      <c r="J3208" s="8" t="s">
        <v>496</v>
      </c>
      <c r="K3208" s="8" t="s">
        <v>10040</v>
      </c>
      <c r="L3208" s="15">
        <v>-0.137072</v>
      </c>
      <c r="M3208" s="15">
        <v>0.63913500000000001</v>
      </c>
      <c r="N3208" s="15">
        <v>0.88386770346117871</v>
      </c>
    </row>
    <row r="3209" spans="1:14" x14ac:dyDescent="0.2">
      <c r="A3209" s="2" t="s">
        <v>10066</v>
      </c>
      <c r="B3209" s="15">
        <v>100</v>
      </c>
      <c r="C3209" s="15">
        <v>1</v>
      </c>
      <c r="D3209" s="15">
        <v>113418038</v>
      </c>
      <c r="E3209" s="15">
        <v>114664387</v>
      </c>
      <c r="F3209" s="15">
        <v>2419</v>
      </c>
      <c r="G3209" s="8" t="s">
        <v>12324</v>
      </c>
      <c r="H3209" s="24" t="s">
        <v>6008</v>
      </c>
      <c r="I3209" s="25" t="s">
        <v>6009</v>
      </c>
      <c r="J3209" s="8" t="s">
        <v>6010</v>
      </c>
      <c r="K3209" s="8" t="s">
        <v>10051</v>
      </c>
      <c r="L3209" s="15">
        <v>7.6996200000000001E-2</v>
      </c>
      <c r="M3209" s="15">
        <v>0.63910900000000004</v>
      </c>
      <c r="N3209" s="15">
        <v>0.88386770346117871</v>
      </c>
    </row>
    <row r="3210" spans="1:14" x14ac:dyDescent="0.2">
      <c r="A3210" s="2" t="s">
        <v>10068</v>
      </c>
      <c r="B3210" s="15">
        <v>2482</v>
      </c>
      <c r="C3210" s="15">
        <v>22</v>
      </c>
      <c r="D3210" s="15">
        <v>37364005</v>
      </c>
      <c r="E3210" s="15">
        <v>38718589</v>
      </c>
      <c r="F3210" s="15">
        <v>3394</v>
      </c>
      <c r="G3210" s="8" t="s">
        <v>12324</v>
      </c>
      <c r="H3210" s="24" t="s">
        <v>1259</v>
      </c>
      <c r="I3210" s="25">
        <v>27096</v>
      </c>
      <c r="J3210" s="8" t="s">
        <v>1261</v>
      </c>
      <c r="K3210" s="8" t="s">
        <v>10040</v>
      </c>
      <c r="L3210" s="15">
        <v>-9.8823800000000003E-2</v>
      </c>
      <c r="M3210" s="15">
        <v>0.64087400000000005</v>
      </c>
      <c r="N3210" s="15">
        <v>0.88572022125272687</v>
      </c>
    </row>
    <row r="3211" spans="1:14" x14ac:dyDescent="0.2">
      <c r="A3211" s="2" t="s">
        <v>10068</v>
      </c>
      <c r="B3211" s="15">
        <v>2035</v>
      </c>
      <c r="C3211" s="15">
        <v>15</v>
      </c>
      <c r="D3211" s="15">
        <v>22799927</v>
      </c>
      <c r="E3211" s="15">
        <v>24099946</v>
      </c>
      <c r="F3211" s="15">
        <v>2425</v>
      </c>
      <c r="G3211" s="8" t="s">
        <v>12324</v>
      </c>
      <c r="H3211" s="24" t="s">
        <v>6565</v>
      </c>
      <c r="I3211" s="25" t="s">
        <v>6475</v>
      </c>
      <c r="J3211" s="8" t="s">
        <v>6566</v>
      </c>
      <c r="K3211" s="8" t="s">
        <v>10054</v>
      </c>
      <c r="L3211" s="15">
        <v>7.0141999999999996E-2</v>
      </c>
      <c r="M3211" s="15">
        <v>0.64073999999999998</v>
      </c>
      <c r="N3211" s="15">
        <v>0.88572022125272687</v>
      </c>
    </row>
    <row r="3212" spans="1:14" x14ac:dyDescent="0.2">
      <c r="A3212" s="2" t="s">
        <v>10068</v>
      </c>
      <c r="B3212" s="15">
        <v>39</v>
      </c>
      <c r="C3212" s="15">
        <v>1</v>
      </c>
      <c r="D3212" s="15">
        <v>41977967</v>
      </c>
      <c r="E3212" s="15">
        <v>43512669</v>
      </c>
      <c r="F3212" s="15">
        <v>3409</v>
      </c>
      <c r="G3212" s="8" t="s">
        <v>12324</v>
      </c>
      <c r="H3212" s="24" t="s">
        <v>1259</v>
      </c>
      <c r="I3212" s="25">
        <v>27096</v>
      </c>
      <c r="J3212" s="8" t="s">
        <v>1261</v>
      </c>
      <c r="K3212" s="8" t="s">
        <v>10040</v>
      </c>
      <c r="L3212" s="15">
        <v>-0.162768</v>
      </c>
      <c r="M3212" s="15">
        <v>0.64107899999999995</v>
      </c>
      <c r="N3212" s="15">
        <v>0.88572752803738308</v>
      </c>
    </row>
    <row r="3213" spans="1:14" x14ac:dyDescent="0.2">
      <c r="A3213" s="2" t="s">
        <v>10068</v>
      </c>
      <c r="B3213" s="15">
        <v>1082</v>
      </c>
      <c r="C3213" s="15">
        <v>6</v>
      </c>
      <c r="D3213" s="15">
        <v>158952061</v>
      </c>
      <c r="E3213" s="15">
        <v>159604052</v>
      </c>
      <c r="F3213" s="15">
        <v>2180</v>
      </c>
      <c r="G3213" s="8" t="s">
        <v>12324</v>
      </c>
      <c r="H3213" s="24" t="s">
        <v>599</v>
      </c>
      <c r="I3213" s="25">
        <v>26562</v>
      </c>
      <c r="J3213" s="8" t="s">
        <v>601</v>
      </c>
      <c r="K3213" s="8" t="s">
        <v>10040</v>
      </c>
      <c r="L3213" s="15">
        <v>-0.180731</v>
      </c>
      <c r="M3213" s="15">
        <v>0.64167700000000005</v>
      </c>
      <c r="N3213" s="15">
        <v>0.8860417528019926</v>
      </c>
    </row>
    <row r="3214" spans="1:14" x14ac:dyDescent="0.2">
      <c r="A3214" s="2" t="s">
        <v>10068</v>
      </c>
      <c r="B3214" s="15">
        <v>36</v>
      </c>
      <c r="C3214" s="15">
        <v>1</v>
      </c>
      <c r="D3214" s="15">
        <v>38474037</v>
      </c>
      <c r="E3214" s="15">
        <v>40200950</v>
      </c>
      <c r="F3214" s="15">
        <v>3990</v>
      </c>
      <c r="G3214" s="8" t="s">
        <v>12324</v>
      </c>
      <c r="H3214" s="24" t="s">
        <v>1259</v>
      </c>
      <c r="I3214" s="25">
        <v>27096</v>
      </c>
      <c r="J3214" s="8" t="s">
        <v>1261</v>
      </c>
      <c r="K3214" s="8" t="s">
        <v>10040</v>
      </c>
      <c r="L3214" s="15">
        <v>-0.11012</v>
      </c>
      <c r="M3214" s="15">
        <v>0.641706</v>
      </c>
      <c r="N3214" s="15">
        <v>0.8860417528019926</v>
      </c>
    </row>
    <row r="3215" spans="1:14" x14ac:dyDescent="0.2">
      <c r="A3215" s="2" t="s">
        <v>10068</v>
      </c>
      <c r="B3215" s="15">
        <v>1331</v>
      </c>
      <c r="C3215" s="15">
        <v>8</v>
      </c>
      <c r="D3215" s="15">
        <v>102548681</v>
      </c>
      <c r="E3215" s="15">
        <v>103716053</v>
      </c>
      <c r="F3215" s="15">
        <v>3239</v>
      </c>
      <c r="G3215" s="8" t="s">
        <v>12324</v>
      </c>
      <c r="H3215" s="24" t="s">
        <v>494</v>
      </c>
      <c r="I3215" s="25">
        <v>25920</v>
      </c>
      <c r="J3215" s="8" t="s">
        <v>496</v>
      </c>
      <c r="K3215" s="8" t="s">
        <v>10040</v>
      </c>
      <c r="L3215" s="15">
        <v>-0.13458000000000001</v>
      </c>
      <c r="M3215" s="15">
        <v>0.64254900000000004</v>
      </c>
      <c r="N3215" s="15">
        <v>0.88664006996268663</v>
      </c>
    </row>
    <row r="3216" spans="1:14" x14ac:dyDescent="0.2">
      <c r="A3216" s="2" t="s">
        <v>10069</v>
      </c>
      <c r="B3216" s="15">
        <v>1353</v>
      </c>
      <c r="C3216" s="15">
        <v>8</v>
      </c>
      <c r="D3216" s="15">
        <v>128073655</v>
      </c>
      <c r="E3216" s="15">
        <v>129291118</v>
      </c>
      <c r="F3216" s="15">
        <v>2362</v>
      </c>
      <c r="G3216" s="8" t="s">
        <v>12324</v>
      </c>
      <c r="H3216" s="24" t="s">
        <v>662</v>
      </c>
      <c r="I3216" s="25" t="s">
        <v>663</v>
      </c>
      <c r="J3216" s="8" t="s">
        <v>664</v>
      </c>
      <c r="K3216" s="8" t="s">
        <v>10040</v>
      </c>
      <c r="L3216" s="15">
        <v>0.119017</v>
      </c>
      <c r="M3216" s="15">
        <v>0.64293900000000004</v>
      </c>
      <c r="N3216" s="15">
        <v>0.88664006996268663</v>
      </c>
    </row>
    <row r="3217" spans="1:14" x14ac:dyDescent="0.2">
      <c r="A3217" s="2" t="s">
        <v>10068</v>
      </c>
      <c r="B3217" s="15">
        <v>251</v>
      </c>
      <c r="C3217" s="15">
        <v>2</v>
      </c>
      <c r="D3217" s="15">
        <v>45850048</v>
      </c>
      <c r="E3217" s="15">
        <v>46499326</v>
      </c>
      <c r="F3217" s="15">
        <v>2138</v>
      </c>
      <c r="G3217" s="8" t="s">
        <v>12324</v>
      </c>
      <c r="H3217" s="24" t="s">
        <v>1259</v>
      </c>
      <c r="I3217" s="25">
        <v>27096</v>
      </c>
      <c r="J3217" s="8" t="s">
        <v>1261</v>
      </c>
      <c r="K3217" s="8" t="s">
        <v>10040</v>
      </c>
      <c r="L3217" s="15">
        <v>0.10935499999999999</v>
      </c>
      <c r="M3217" s="15">
        <v>0.64287399999999995</v>
      </c>
      <c r="N3217" s="15">
        <v>0.88664006996268663</v>
      </c>
    </row>
    <row r="3218" spans="1:14" x14ac:dyDescent="0.2">
      <c r="A3218" s="2" t="s">
        <v>10066</v>
      </c>
      <c r="B3218" s="15">
        <v>1214</v>
      </c>
      <c r="C3218" s="15">
        <v>7</v>
      </c>
      <c r="D3218" s="15">
        <v>137657460</v>
      </c>
      <c r="E3218" s="15">
        <v>138755107</v>
      </c>
      <c r="F3218" s="15">
        <v>3171</v>
      </c>
      <c r="G3218" s="8" t="s">
        <v>12324</v>
      </c>
      <c r="H3218" s="24" t="s">
        <v>3164</v>
      </c>
      <c r="I3218" s="25" t="s">
        <v>3165</v>
      </c>
      <c r="J3218" s="8" t="s">
        <v>3166</v>
      </c>
      <c r="K3218" s="8" t="s">
        <v>10042</v>
      </c>
      <c r="L3218" s="15">
        <v>-8.6067000000000005E-2</v>
      </c>
      <c r="M3218" s="15">
        <v>0.64240399999999998</v>
      </c>
      <c r="N3218" s="15">
        <v>0.88664006996268663</v>
      </c>
    </row>
    <row r="3219" spans="1:14" x14ac:dyDescent="0.2">
      <c r="A3219" s="2" t="s">
        <v>10068</v>
      </c>
      <c r="B3219" s="15">
        <v>1296</v>
      </c>
      <c r="C3219" s="15">
        <v>8</v>
      </c>
      <c r="D3219" s="15">
        <v>59555978</v>
      </c>
      <c r="E3219" s="15">
        <v>60476248</v>
      </c>
      <c r="F3219" s="15">
        <v>2063</v>
      </c>
      <c r="G3219" s="8" t="s">
        <v>12324</v>
      </c>
      <c r="H3219" s="24" t="s">
        <v>599</v>
      </c>
      <c r="I3219" s="25">
        <v>26562</v>
      </c>
      <c r="J3219" s="8" t="s">
        <v>601</v>
      </c>
      <c r="K3219" s="8" t="s">
        <v>10040</v>
      </c>
      <c r="L3219" s="15">
        <v>8.7993399999999999E-2</v>
      </c>
      <c r="M3219" s="15">
        <v>0.64357600000000004</v>
      </c>
      <c r="N3219" s="15">
        <v>0.88724263599626985</v>
      </c>
    </row>
    <row r="3220" spans="1:14" x14ac:dyDescent="0.2">
      <c r="A3220" s="2" t="s">
        <v>10066</v>
      </c>
      <c r="B3220" s="15">
        <v>88</v>
      </c>
      <c r="C3220" s="15">
        <v>1</v>
      </c>
      <c r="D3220" s="15">
        <v>101188316</v>
      </c>
      <c r="E3220" s="15">
        <v>102424611</v>
      </c>
      <c r="F3220" s="15">
        <v>3343</v>
      </c>
      <c r="G3220" s="8" t="s">
        <v>12324</v>
      </c>
      <c r="H3220" s="24" t="s">
        <v>6008</v>
      </c>
      <c r="I3220" s="25" t="s">
        <v>6009</v>
      </c>
      <c r="J3220" s="8" t="s">
        <v>6010</v>
      </c>
      <c r="K3220" s="8" t="s">
        <v>10051</v>
      </c>
      <c r="L3220" s="15">
        <v>-0.14718000000000001</v>
      </c>
      <c r="M3220" s="15">
        <v>0.64379600000000003</v>
      </c>
      <c r="N3220" s="15">
        <v>0.88727012430080798</v>
      </c>
    </row>
    <row r="3221" spans="1:14" x14ac:dyDescent="0.2">
      <c r="A3221" s="2" t="s">
        <v>10066</v>
      </c>
      <c r="B3221" s="15">
        <v>438</v>
      </c>
      <c r="C3221" s="15">
        <v>3</v>
      </c>
      <c r="D3221" s="15">
        <v>16084006</v>
      </c>
      <c r="E3221" s="15">
        <v>17182494</v>
      </c>
      <c r="F3221" s="15">
        <v>3353</v>
      </c>
      <c r="G3221" s="8" t="s">
        <v>12324</v>
      </c>
      <c r="H3221" s="24" t="s">
        <v>3164</v>
      </c>
      <c r="I3221" s="25" t="s">
        <v>3165</v>
      </c>
      <c r="J3221" s="8" t="s">
        <v>3166</v>
      </c>
      <c r="K3221" s="8" t="s">
        <v>10042</v>
      </c>
      <c r="L3221" s="15">
        <v>-0.14821500000000001</v>
      </c>
      <c r="M3221" s="15">
        <v>0.64432800000000001</v>
      </c>
      <c r="N3221" s="15">
        <v>0.88745176397515524</v>
      </c>
    </row>
    <row r="3222" spans="1:14" x14ac:dyDescent="0.2">
      <c r="A3222" s="2" t="s">
        <v>10068</v>
      </c>
      <c r="B3222" s="15">
        <v>1023</v>
      </c>
      <c r="C3222" s="15">
        <v>6</v>
      </c>
      <c r="D3222" s="15">
        <v>91097025</v>
      </c>
      <c r="E3222" s="15">
        <v>92015279</v>
      </c>
      <c r="F3222" s="15">
        <v>2444</v>
      </c>
      <c r="G3222" s="8" t="s">
        <v>12324</v>
      </c>
      <c r="H3222" s="24" t="s">
        <v>6565</v>
      </c>
      <c r="I3222" s="25" t="s">
        <v>6475</v>
      </c>
      <c r="J3222" s="8" t="s">
        <v>6566</v>
      </c>
      <c r="K3222" s="8" t="s">
        <v>10054</v>
      </c>
      <c r="L3222" s="15">
        <v>-6.3279799999999997E-2</v>
      </c>
      <c r="M3222" s="15">
        <v>0.64427999999999996</v>
      </c>
      <c r="N3222" s="15">
        <v>0.88745176397515524</v>
      </c>
    </row>
    <row r="3223" spans="1:14" x14ac:dyDescent="0.2">
      <c r="A3223" s="2" t="s">
        <v>10068</v>
      </c>
      <c r="B3223" s="15">
        <v>605</v>
      </c>
      <c r="C3223" s="15">
        <v>4</v>
      </c>
      <c r="D3223" s="15">
        <v>7726035</v>
      </c>
      <c r="E3223" s="15">
        <v>8309826</v>
      </c>
      <c r="F3223" s="15">
        <v>2223</v>
      </c>
      <c r="G3223" s="8" t="s">
        <v>12324</v>
      </c>
      <c r="H3223" s="24" t="s">
        <v>599</v>
      </c>
      <c r="I3223" s="25">
        <v>26562</v>
      </c>
      <c r="J3223" s="8" t="s">
        <v>601</v>
      </c>
      <c r="K3223" s="8" t="s">
        <v>10040</v>
      </c>
      <c r="L3223" s="15">
        <v>7.7585199999999993E-2</v>
      </c>
      <c r="M3223" s="15">
        <v>0.64539000000000002</v>
      </c>
      <c r="N3223" s="15">
        <v>0.88753632558139528</v>
      </c>
    </row>
    <row r="3224" spans="1:14" x14ac:dyDescent="0.2">
      <c r="A3224" s="2" t="s">
        <v>10069</v>
      </c>
      <c r="B3224" s="15">
        <v>126</v>
      </c>
      <c r="C3224" s="15">
        <v>1</v>
      </c>
      <c r="D3224" s="15">
        <v>168179087</v>
      </c>
      <c r="E3224" s="15">
        <v>169521551</v>
      </c>
      <c r="F3224" s="15">
        <v>2541</v>
      </c>
      <c r="G3224" s="8" t="s">
        <v>12324</v>
      </c>
      <c r="H3224" s="24" t="s">
        <v>662</v>
      </c>
      <c r="I3224" s="25" t="s">
        <v>663</v>
      </c>
      <c r="J3224" s="8" t="s">
        <v>664</v>
      </c>
      <c r="K3224" s="8" t="s">
        <v>10040</v>
      </c>
      <c r="L3224" s="15">
        <v>9.5886700000000005E-2</v>
      </c>
      <c r="M3224" s="15">
        <v>0.64530900000000002</v>
      </c>
      <c r="N3224" s="15">
        <v>0.88753632558139528</v>
      </c>
    </row>
    <row r="3225" spans="1:14" x14ac:dyDescent="0.2">
      <c r="A3225" s="2" t="s">
        <v>10068</v>
      </c>
      <c r="B3225" s="15">
        <v>1097</v>
      </c>
      <c r="C3225" s="15">
        <v>7</v>
      </c>
      <c r="D3225" s="15">
        <v>2473750</v>
      </c>
      <c r="E3225" s="15">
        <v>3100211</v>
      </c>
      <c r="F3225" s="15">
        <v>2257</v>
      </c>
      <c r="G3225" s="8" t="s">
        <v>12324</v>
      </c>
      <c r="H3225" s="24" t="s">
        <v>1259</v>
      </c>
      <c r="I3225" s="25">
        <v>27096</v>
      </c>
      <c r="J3225" s="8" t="s">
        <v>1261</v>
      </c>
      <c r="K3225" s="8" t="s">
        <v>10040</v>
      </c>
      <c r="L3225" s="15">
        <v>0.15359600000000001</v>
      </c>
      <c r="M3225" s="15">
        <v>0.64505699999999999</v>
      </c>
      <c r="N3225" s="15">
        <v>0.88753632558139528</v>
      </c>
    </row>
    <row r="3226" spans="1:14" x14ac:dyDescent="0.2">
      <c r="A3226" s="2" t="s">
        <v>10066</v>
      </c>
      <c r="B3226" s="15">
        <v>2417</v>
      </c>
      <c r="C3226" s="15">
        <v>20</v>
      </c>
      <c r="D3226" s="15">
        <v>53120335</v>
      </c>
      <c r="E3226" s="15">
        <v>53879803</v>
      </c>
      <c r="F3226" s="15">
        <v>2260</v>
      </c>
      <c r="G3226" s="8" t="s">
        <v>12324</v>
      </c>
      <c r="H3226" s="24" t="s">
        <v>3164</v>
      </c>
      <c r="I3226" s="25" t="s">
        <v>3165</v>
      </c>
      <c r="J3226" s="8" t="s">
        <v>3166</v>
      </c>
      <c r="K3226" s="8" t="s">
        <v>10042</v>
      </c>
      <c r="L3226" s="15">
        <v>-0.146755</v>
      </c>
      <c r="M3226" s="15">
        <v>0.64499899999999999</v>
      </c>
      <c r="N3226" s="15">
        <v>0.88753632558139528</v>
      </c>
    </row>
    <row r="3227" spans="1:14" x14ac:dyDescent="0.2">
      <c r="A3227" s="2" t="s">
        <v>10066</v>
      </c>
      <c r="B3227" s="15">
        <v>65</v>
      </c>
      <c r="C3227" s="15">
        <v>1</v>
      </c>
      <c r="D3227" s="15">
        <v>76097248</v>
      </c>
      <c r="E3227" s="15">
        <v>76977915</v>
      </c>
      <c r="F3227" s="15">
        <v>2618</v>
      </c>
      <c r="G3227" s="8" t="s">
        <v>12324</v>
      </c>
      <c r="H3227" s="24" t="s">
        <v>6008</v>
      </c>
      <c r="I3227" s="25" t="s">
        <v>6009</v>
      </c>
      <c r="J3227" s="8" t="s">
        <v>6010</v>
      </c>
      <c r="K3227" s="8" t="s">
        <v>10051</v>
      </c>
      <c r="L3227" s="15">
        <v>9.3406000000000003E-2</v>
      </c>
      <c r="M3227" s="15">
        <v>0.64515500000000003</v>
      </c>
      <c r="N3227" s="15">
        <v>0.88753632558139528</v>
      </c>
    </row>
    <row r="3228" spans="1:14" x14ac:dyDescent="0.2">
      <c r="A3228" s="2" t="s">
        <v>10068</v>
      </c>
      <c r="B3228" s="15">
        <v>2418</v>
      </c>
      <c r="C3228" s="15">
        <v>20</v>
      </c>
      <c r="D3228" s="15">
        <v>53879804</v>
      </c>
      <c r="E3228" s="15">
        <v>54743694</v>
      </c>
      <c r="F3228" s="15">
        <v>2307</v>
      </c>
      <c r="G3228" s="8" t="s">
        <v>12324</v>
      </c>
      <c r="H3228" s="24" t="s">
        <v>1259</v>
      </c>
      <c r="I3228" s="25">
        <v>27096</v>
      </c>
      <c r="J3228" s="8" t="s">
        <v>1261</v>
      </c>
      <c r="K3228" s="8" t="s">
        <v>10040</v>
      </c>
      <c r="L3228" s="15">
        <v>9.5570000000000002E-2</v>
      </c>
      <c r="M3228" s="15">
        <v>0.64629899999999996</v>
      </c>
      <c r="N3228" s="15">
        <v>0.88838121320111563</v>
      </c>
    </row>
    <row r="3229" spans="1:14" x14ac:dyDescent="0.2">
      <c r="A3229" s="2" t="s">
        <v>10066</v>
      </c>
      <c r="B3229" s="15">
        <v>1223</v>
      </c>
      <c r="C3229" s="15">
        <v>7</v>
      </c>
      <c r="D3229" s="15">
        <v>149843000</v>
      </c>
      <c r="E3229" s="15">
        <v>150897818</v>
      </c>
      <c r="F3229" s="15">
        <v>3132</v>
      </c>
      <c r="G3229" s="8" t="s">
        <v>12324</v>
      </c>
      <c r="H3229" s="24" t="s">
        <v>3164</v>
      </c>
      <c r="I3229" s="25" t="s">
        <v>3165</v>
      </c>
      <c r="J3229" s="8" t="s">
        <v>3166</v>
      </c>
      <c r="K3229" s="8" t="s">
        <v>10042</v>
      </c>
      <c r="L3229" s="15">
        <v>6.7744100000000002E-2</v>
      </c>
      <c r="M3229" s="15">
        <v>0.64640500000000001</v>
      </c>
      <c r="N3229" s="15">
        <v>0.88838121320111563</v>
      </c>
    </row>
    <row r="3230" spans="1:14" x14ac:dyDescent="0.2">
      <c r="A3230" s="2" t="s">
        <v>10068</v>
      </c>
      <c r="B3230" s="15">
        <v>426</v>
      </c>
      <c r="C3230" s="15">
        <v>3</v>
      </c>
      <c r="D3230" s="15">
        <v>4109394</v>
      </c>
      <c r="E3230" s="15">
        <v>4835083</v>
      </c>
      <c r="F3230" s="15">
        <v>2227</v>
      </c>
      <c r="G3230" s="8" t="s">
        <v>12324</v>
      </c>
      <c r="H3230" s="24" t="s">
        <v>6565</v>
      </c>
      <c r="I3230" s="25" t="s">
        <v>6475</v>
      </c>
      <c r="J3230" s="8" t="s">
        <v>6566</v>
      </c>
      <c r="K3230" s="8" t="s">
        <v>10054</v>
      </c>
      <c r="L3230" s="15">
        <v>0.100174</v>
      </c>
      <c r="M3230" s="15">
        <v>0.64710299999999998</v>
      </c>
      <c r="N3230" s="15">
        <v>0.88906499535315986</v>
      </c>
    </row>
    <row r="3231" spans="1:14" x14ac:dyDescent="0.2">
      <c r="A3231" s="2" t="s">
        <v>10066</v>
      </c>
      <c r="B3231" s="15">
        <v>445</v>
      </c>
      <c r="C3231" s="15">
        <v>3</v>
      </c>
      <c r="D3231" s="15">
        <v>24270190</v>
      </c>
      <c r="E3231" s="15">
        <v>25516193</v>
      </c>
      <c r="F3231" s="15">
        <v>3986</v>
      </c>
      <c r="G3231" s="8" t="s">
        <v>12324</v>
      </c>
      <c r="H3231" s="24" t="s">
        <v>3164</v>
      </c>
      <c r="I3231" s="25" t="s">
        <v>3165</v>
      </c>
      <c r="J3231" s="8" t="s">
        <v>3166</v>
      </c>
      <c r="K3231" s="8" t="s">
        <v>10042</v>
      </c>
      <c r="L3231" s="15">
        <v>0.10022300000000001</v>
      </c>
      <c r="M3231" s="15">
        <v>0.64741000000000004</v>
      </c>
      <c r="N3231" s="15">
        <v>0.88921131929389907</v>
      </c>
    </row>
    <row r="3232" spans="1:14" x14ac:dyDescent="0.2">
      <c r="A3232" s="2" t="s">
        <v>10068</v>
      </c>
      <c r="B3232" s="15">
        <v>640</v>
      </c>
      <c r="C3232" s="15">
        <v>4</v>
      </c>
      <c r="D3232" s="15">
        <v>39820062</v>
      </c>
      <c r="E3232" s="15">
        <v>40590541</v>
      </c>
      <c r="F3232" s="15">
        <v>2209</v>
      </c>
      <c r="G3232" s="8" t="s">
        <v>12324</v>
      </c>
      <c r="H3232" s="24" t="s">
        <v>6565</v>
      </c>
      <c r="I3232" s="25" t="s">
        <v>6475</v>
      </c>
      <c r="J3232" s="8" t="s">
        <v>6566</v>
      </c>
      <c r="K3232" s="8" t="s">
        <v>10054</v>
      </c>
      <c r="L3232" s="15">
        <v>-0.11505700000000001</v>
      </c>
      <c r="M3232" s="15">
        <v>0.64784799999999998</v>
      </c>
      <c r="N3232" s="15">
        <v>0.88953742414860681</v>
      </c>
    </row>
    <row r="3233" spans="1:14" x14ac:dyDescent="0.2">
      <c r="A3233" s="2" t="s">
        <v>10066</v>
      </c>
      <c r="B3233" s="15">
        <v>1599</v>
      </c>
      <c r="C3233" s="15">
        <v>10</v>
      </c>
      <c r="D3233" s="15">
        <v>125798320</v>
      </c>
      <c r="E3233" s="15">
        <v>126875816</v>
      </c>
      <c r="F3233" s="15">
        <v>3030</v>
      </c>
      <c r="G3233" s="8" t="s">
        <v>12324</v>
      </c>
      <c r="H3233" s="24" t="s">
        <v>6008</v>
      </c>
      <c r="I3233" s="25" t="s">
        <v>6009</v>
      </c>
      <c r="J3233" s="8" t="s">
        <v>6010</v>
      </c>
      <c r="K3233" s="8" t="s">
        <v>10051</v>
      </c>
      <c r="L3233" s="15">
        <v>-8.2684199999999999E-2</v>
      </c>
      <c r="M3233" s="15">
        <v>0.64839000000000002</v>
      </c>
      <c r="N3233" s="15">
        <v>0.89000608170844941</v>
      </c>
    </row>
    <row r="3234" spans="1:14" x14ac:dyDescent="0.2">
      <c r="A3234" s="2" t="s">
        <v>10068</v>
      </c>
      <c r="B3234" s="15">
        <v>123</v>
      </c>
      <c r="C3234" s="15">
        <v>1</v>
      </c>
      <c r="D3234" s="15">
        <v>165553813</v>
      </c>
      <c r="E3234" s="15">
        <v>166458031</v>
      </c>
      <c r="F3234" s="15">
        <v>2179</v>
      </c>
      <c r="G3234" s="8" t="s">
        <v>12324</v>
      </c>
      <c r="H3234" s="24" t="s">
        <v>599</v>
      </c>
      <c r="I3234" s="25">
        <v>26562</v>
      </c>
      <c r="J3234" s="8" t="s">
        <v>601</v>
      </c>
      <c r="K3234" s="8" t="s">
        <v>10040</v>
      </c>
      <c r="L3234" s="15">
        <v>-0.121804</v>
      </c>
      <c r="M3234" s="15">
        <v>0.65054199999999995</v>
      </c>
      <c r="N3234" s="15">
        <v>0.89075448286508174</v>
      </c>
    </row>
    <row r="3235" spans="1:14" x14ac:dyDescent="0.2">
      <c r="A3235" s="2" t="s">
        <v>10069</v>
      </c>
      <c r="B3235" s="15">
        <v>2216</v>
      </c>
      <c r="C3235" s="15">
        <v>17</v>
      </c>
      <c r="D3235" s="15">
        <v>54950108</v>
      </c>
      <c r="E3235" s="15">
        <v>56245227</v>
      </c>
      <c r="F3235" s="15">
        <v>2002</v>
      </c>
      <c r="G3235" s="8" t="s">
        <v>12324</v>
      </c>
      <c r="H3235" s="24" t="s">
        <v>662</v>
      </c>
      <c r="I3235" s="25" t="s">
        <v>663</v>
      </c>
      <c r="J3235" s="8" t="s">
        <v>664</v>
      </c>
      <c r="K3235" s="8" t="s">
        <v>10040</v>
      </c>
      <c r="L3235" s="15">
        <v>-9.7777199999999995E-2</v>
      </c>
      <c r="M3235" s="15">
        <v>0.65042500000000003</v>
      </c>
      <c r="N3235" s="15">
        <v>0.89075448286508174</v>
      </c>
    </row>
    <row r="3236" spans="1:14" x14ac:dyDescent="0.2">
      <c r="A3236" s="2" t="s">
        <v>10068</v>
      </c>
      <c r="B3236" s="15">
        <v>1978</v>
      </c>
      <c r="C3236" s="15">
        <v>14</v>
      </c>
      <c r="D3236" s="15">
        <v>45817083</v>
      </c>
      <c r="E3236" s="15">
        <v>46748238</v>
      </c>
      <c r="F3236" s="15">
        <v>2184</v>
      </c>
      <c r="G3236" s="8" t="s">
        <v>12324</v>
      </c>
      <c r="H3236" s="24" t="s">
        <v>1259</v>
      </c>
      <c r="I3236" s="25">
        <v>27096</v>
      </c>
      <c r="J3236" s="8" t="s">
        <v>1261</v>
      </c>
      <c r="K3236" s="8" t="s">
        <v>10040</v>
      </c>
      <c r="L3236" s="15">
        <v>-0.18218100000000001</v>
      </c>
      <c r="M3236" s="15">
        <v>0.64947999999999995</v>
      </c>
      <c r="N3236" s="15">
        <v>0.89075448286508174</v>
      </c>
    </row>
    <row r="3237" spans="1:14" x14ac:dyDescent="0.2">
      <c r="A3237" s="2" t="s">
        <v>10068</v>
      </c>
      <c r="B3237" s="15">
        <v>1523</v>
      </c>
      <c r="C3237" s="15">
        <v>10</v>
      </c>
      <c r="D3237" s="15">
        <v>35178225</v>
      </c>
      <c r="E3237" s="15">
        <v>36475838</v>
      </c>
      <c r="F3237" s="15">
        <v>2916</v>
      </c>
      <c r="G3237" s="8" t="s">
        <v>12324</v>
      </c>
      <c r="H3237" s="24" t="s">
        <v>1259</v>
      </c>
      <c r="I3237" s="25">
        <v>27096</v>
      </c>
      <c r="J3237" s="8" t="s">
        <v>1261</v>
      </c>
      <c r="K3237" s="8" t="s">
        <v>10040</v>
      </c>
      <c r="L3237" s="15">
        <v>-8.6368799999999996E-2</v>
      </c>
      <c r="M3237" s="15">
        <v>0.64988800000000002</v>
      </c>
      <c r="N3237" s="15">
        <v>0.89075448286508174</v>
      </c>
    </row>
    <row r="3238" spans="1:14" x14ac:dyDescent="0.2">
      <c r="A3238" s="2" t="s">
        <v>10066</v>
      </c>
      <c r="B3238" s="15">
        <v>1833</v>
      </c>
      <c r="C3238" s="15">
        <v>12</v>
      </c>
      <c r="D3238" s="15">
        <v>102966634</v>
      </c>
      <c r="E3238" s="15">
        <v>104140831</v>
      </c>
      <c r="F3238" s="15">
        <v>3050</v>
      </c>
      <c r="G3238" s="8" t="s">
        <v>12324</v>
      </c>
      <c r="H3238" s="24" t="s">
        <v>6008</v>
      </c>
      <c r="I3238" s="25" t="s">
        <v>6009</v>
      </c>
      <c r="J3238" s="8" t="s">
        <v>6010</v>
      </c>
      <c r="K3238" s="8" t="s">
        <v>10051</v>
      </c>
      <c r="L3238" s="15">
        <v>8.9465100000000006E-2</v>
      </c>
      <c r="M3238" s="15">
        <v>0.64932400000000001</v>
      </c>
      <c r="N3238" s="15">
        <v>0.89075448286508174</v>
      </c>
    </row>
    <row r="3239" spans="1:14" x14ac:dyDescent="0.2">
      <c r="A3239" s="2" t="s">
        <v>10066</v>
      </c>
      <c r="B3239" s="15">
        <v>2053</v>
      </c>
      <c r="C3239" s="15">
        <v>15</v>
      </c>
      <c r="D3239" s="15">
        <v>46022643</v>
      </c>
      <c r="E3239" s="15">
        <v>46884071</v>
      </c>
      <c r="F3239" s="15">
        <v>2164</v>
      </c>
      <c r="G3239" s="8" t="s">
        <v>12324</v>
      </c>
      <c r="H3239" s="24" t="s">
        <v>6008</v>
      </c>
      <c r="I3239" s="25" t="s">
        <v>6009</v>
      </c>
      <c r="J3239" s="8" t="s">
        <v>6010</v>
      </c>
      <c r="K3239" s="8" t="s">
        <v>10051</v>
      </c>
      <c r="L3239" s="15">
        <v>6.8260299999999996E-2</v>
      </c>
      <c r="M3239" s="15">
        <v>0.64966100000000004</v>
      </c>
      <c r="N3239" s="15">
        <v>0.89075448286508174</v>
      </c>
    </row>
    <row r="3240" spans="1:14" x14ac:dyDescent="0.2">
      <c r="A3240" s="2" t="s">
        <v>10066</v>
      </c>
      <c r="B3240" s="15">
        <v>101</v>
      </c>
      <c r="C3240" s="15">
        <v>1</v>
      </c>
      <c r="D3240" s="15">
        <v>114664388</v>
      </c>
      <c r="E3240" s="15">
        <v>116207297</v>
      </c>
      <c r="F3240" s="15">
        <v>4073</v>
      </c>
      <c r="G3240" s="8" t="s">
        <v>12324</v>
      </c>
      <c r="H3240" s="24" t="s">
        <v>6008</v>
      </c>
      <c r="I3240" s="25" t="s">
        <v>6009</v>
      </c>
      <c r="J3240" s="8" t="s">
        <v>6010</v>
      </c>
      <c r="K3240" s="8" t="s">
        <v>10051</v>
      </c>
      <c r="L3240" s="15">
        <v>-9.3455800000000006E-2</v>
      </c>
      <c r="M3240" s="15">
        <v>0.65040100000000001</v>
      </c>
      <c r="N3240" s="15">
        <v>0.89075448286508174</v>
      </c>
    </row>
    <row r="3241" spans="1:14" x14ac:dyDescent="0.2">
      <c r="A3241" s="2" t="s">
        <v>10068</v>
      </c>
      <c r="B3241" s="15">
        <v>1600</v>
      </c>
      <c r="C3241" s="15">
        <v>10</v>
      </c>
      <c r="D3241" s="15">
        <v>126875817</v>
      </c>
      <c r="E3241" s="15">
        <v>127997708</v>
      </c>
      <c r="F3241" s="15">
        <v>3046</v>
      </c>
      <c r="G3241" s="8" t="s">
        <v>12324</v>
      </c>
      <c r="H3241" s="24" t="s">
        <v>6565</v>
      </c>
      <c r="I3241" s="25" t="s">
        <v>6475</v>
      </c>
      <c r="J3241" s="8" t="s">
        <v>6566</v>
      </c>
      <c r="K3241" s="8" t="s">
        <v>10054</v>
      </c>
      <c r="L3241" s="15">
        <v>-9.9019899999999994E-2</v>
      </c>
      <c r="M3241" s="15">
        <v>0.65024300000000002</v>
      </c>
      <c r="N3241" s="15">
        <v>0.89075448286508174</v>
      </c>
    </row>
    <row r="3242" spans="1:14" x14ac:dyDescent="0.2">
      <c r="A3242" s="2" t="s">
        <v>10068</v>
      </c>
      <c r="B3242" s="15">
        <v>1388</v>
      </c>
      <c r="C3242" s="15">
        <v>9</v>
      </c>
      <c r="D3242" s="15">
        <v>13512853</v>
      </c>
      <c r="E3242" s="15">
        <v>14244747</v>
      </c>
      <c r="F3242" s="15">
        <v>2397</v>
      </c>
      <c r="G3242" s="8" t="s">
        <v>12324</v>
      </c>
      <c r="H3242" s="24" t="s">
        <v>6565</v>
      </c>
      <c r="I3242" s="25" t="s">
        <v>6475</v>
      </c>
      <c r="J3242" s="8" t="s">
        <v>6566</v>
      </c>
      <c r="K3242" s="8" t="s">
        <v>10054</v>
      </c>
      <c r="L3242" s="15">
        <v>0.115284</v>
      </c>
      <c r="M3242" s="15">
        <v>0.65163700000000002</v>
      </c>
      <c r="N3242" s="15">
        <v>0.89197842438271602</v>
      </c>
    </row>
    <row r="3243" spans="1:14" x14ac:dyDescent="0.2">
      <c r="A3243" s="2" t="s">
        <v>10068</v>
      </c>
      <c r="B3243" s="15">
        <v>1941</v>
      </c>
      <c r="C3243" s="15">
        <v>13</v>
      </c>
      <c r="D3243" s="15">
        <v>103050418</v>
      </c>
      <c r="E3243" s="15">
        <v>104378435</v>
      </c>
      <c r="F3243" s="15">
        <v>4065</v>
      </c>
      <c r="G3243" s="8" t="s">
        <v>12324</v>
      </c>
      <c r="H3243" s="24" t="s">
        <v>599</v>
      </c>
      <c r="I3243" s="25">
        <v>26562</v>
      </c>
      <c r="J3243" s="8" t="s">
        <v>601</v>
      </c>
      <c r="K3243" s="8" t="s">
        <v>10040</v>
      </c>
      <c r="L3243" s="15">
        <v>-0.14412700000000001</v>
      </c>
      <c r="M3243" s="15">
        <v>0.65195999999999998</v>
      </c>
      <c r="N3243" s="15">
        <v>0.89214520209811787</v>
      </c>
    </row>
    <row r="3244" spans="1:14" x14ac:dyDescent="0.2">
      <c r="A3244" s="2" t="s">
        <v>10068</v>
      </c>
      <c r="B3244" s="15">
        <v>2358</v>
      </c>
      <c r="C3244" s="15">
        <v>19</v>
      </c>
      <c r="D3244" s="15">
        <v>51259179</v>
      </c>
      <c r="E3244" s="15">
        <v>51903804</v>
      </c>
      <c r="F3244" s="15">
        <v>2095</v>
      </c>
      <c r="G3244" s="8" t="s">
        <v>12324</v>
      </c>
      <c r="H3244" s="24" t="s">
        <v>6565</v>
      </c>
      <c r="I3244" s="25" t="s">
        <v>6475</v>
      </c>
      <c r="J3244" s="8" t="s">
        <v>6566</v>
      </c>
      <c r="K3244" s="8" t="s">
        <v>10054</v>
      </c>
      <c r="L3244" s="15">
        <v>-5.9743999999999998E-2</v>
      </c>
      <c r="M3244" s="15">
        <v>0.65241499999999997</v>
      </c>
      <c r="N3244" s="15">
        <v>0.89249245064774829</v>
      </c>
    </row>
    <row r="3245" spans="1:14" x14ac:dyDescent="0.2">
      <c r="A3245" s="2" t="s">
        <v>10066</v>
      </c>
      <c r="B3245" s="15">
        <v>916</v>
      </c>
      <c r="C3245" s="15">
        <v>5</v>
      </c>
      <c r="D3245" s="15">
        <v>168342744</v>
      </c>
      <c r="E3245" s="15">
        <v>169506966</v>
      </c>
      <c r="F3245" s="15">
        <v>3437</v>
      </c>
      <c r="G3245" s="8" t="s">
        <v>12324</v>
      </c>
      <c r="H3245" s="24" t="s">
        <v>3164</v>
      </c>
      <c r="I3245" s="25" t="s">
        <v>3165</v>
      </c>
      <c r="J3245" s="8" t="s">
        <v>3166</v>
      </c>
      <c r="K3245" s="8" t="s">
        <v>10042</v>
      </c>
      <c r="L3245" s="15">
        <v>9.7948099999999996E-2</v>
      </c>
      <c r="M3245" s="15">
        <v>0.65296200000000004</v>
      </c>
      <c r="N3245" s="15">
        <v>0.89287459771886557</v>
      </c>
    </row>
    <row r="3246" spans="1:14" x14ac:dyDescent="0.2">
      <c r="A3246" s="2" t="s">
        <v>10066</v>
      </c>
      <c r="B3246" s="15">
        <v>1546</v>
      </c>
      <c r="C3246" s="15">
        <v>10</v>
      </c>
      <c r="D3246" s="15">
        <v>65400432</v>
      </c>
      <c r="E3246" s="15">
        <v>66510387</v>
      </c>
      <c r="F3246" s="15">
        <v>2448</v>
      </c>
      <c r="G3246" s="8" t="s">
        <v>12324</v>
      </c>
      <c r="H3246" s="24" t="s">
        <v>3164</v>
      </c>
      <c r="I3246" s="25" t="s">
        <v>3165</v>
      </c>
      <c r="J3246" s="8" t="s">
        <v>3166</v>
      </c>
      <c r="K3246" s="8" t="s">
        <v>10042</v>
      </c>
      <c r="L3246" s="15">
        <v>-0.121743</v>
      </c>
      <c r="M3246" s="15">
        <v>0.65309700000000004</v>
      </c>
      <c r="N3246" s="15">
        <v>0.89287459771886557</v>
      </c>
    </row>
    <row r="3247" spans="1:14" x14ac:dyDescent="0.2">
      <c r="A3247" s="2" t="s">
        <v>10068</v>
      </c>
      <c r="B3247" s="15">
        <v>1767</v>
      </c>
      <c r="C3247" s="15">
        <v>12</v>
      </c>
      <c r="D3247" s="15">
        <v>26958057</v>
      </c>
      <c r="E3247" s="15">
        <v>27797262</v>
      </c>
      <c r="F3247" s="15">
        <v>2440</v>
      </c>
      <c r="G3247" s="8" t="s">
        <v>12324</v>
      </c>
      <c r="H3247" s="24" t="s">
        <v>494</v>
      </c>
      <c r="I3247" s="25">
        <v>25920</v>
      </c>
      <c r="J3247" s="8" t="s">
        <v>496</v>
      </c>
      <c r="K3247" s="8" t="s">
        <v>10040</v>
      </c>
      <c r="L3247" s="15">
        <v>9.8890500000000006E-2</v>
      </c>
      <c r="M3247" s="15">
        <v>0.65450799999999998</v>
      </c>
      <c r="N3247" s="15">
        <v>0.89289653409090919</v>
      </c>
    </row>
    <row r="3248" spans="1:14" x14ac:dyDescent="0.2">
      <c r="A3248" s="2" t="s">
        <v>10068</v>
      </c>
      <c r="B3248" s="15">
        <v>1764</v>
      </c>
      <c r="C3248" s="15">
        <v>12</v>
      </c>
      <c r="D3248" s="15">
        <v>23923799</v>
      </c>
      <c r="E3248" s="15">
        <v>25058714</v>
      </c>
      <c r="F3248" s="15">
        <v>3120</v>
      </c>
      <c r="G3248" s="8" t="s">
        <v>12324</v>
      </c>
      <c r="H3248" s="24" t="s">
        <v>494</v>
      </c>
      <c r="I3248" s="25">
        <v>25920</v>
      </c>
      <c r="J3248" s="8" t="s">
        <v>496</v>
      </c>
      <c r="K3248" s="8" t="s">
        <v>10040</v>
      </c>
      <c r="L3248" s="15">
        <v>0.101021</v>
      </c>
      <c r="M3248" s="15">
        <v>0.65468800000000005</v>
      </c>
      <c r="N3248" s="15">
        <v>0.89289653409090919</v>
      </c>
    </row>
    <row r="3249" spans="1:14" x14ac:dyDescent="0.2">
      <c r="A3249" s="2" t="s">
        <v>10068</v>
      </c>
      <c r="B3249" s="15">
        <v>911</v>
      </c>
      <c r="C3249" s="15">
        <v>5</v>
      </c>
      <c r="D3249" s="15">
        <v>161478178</v>
      </c>
      <c r="E3249" s="15">
        <v>162386027</v>
      </c>
      <c r="F3249" s="15">
        <v>2131</v>
      </c>
      <c r="G3249" s="8" t="s">
        <v>12324</v>
      </c>
      <c r="H3249" s="24" t="s">
        <v>599</v>
      </c>
      <c r="I3249" s="25">
        <v>26562</v>
      </c>
      <c r="J3249" s="8" t="s">
        <v>601</v>
      </c>
      <c r="K3249" s="8" t="s">
        <v>10040</v>
      </c>
      <c r="L3249" s="15">
        <v>-6.9349999999999995E-2</v>
      </c>
      <c r="M3249" s="15">
        <v>0.65552900000000003</v>
      </c>
      <c r="N3249" s="15">
        <v>0.89289653409090919</v>
      </c>
    </row>
    <row r="3250" spans="1:14" x14ac:dyDescent="0.2">
      <c r="A3250" s="2" t="s">
        <v>10069</v>
      </c>
      <c r="B3250" s="15">
        <v>1701</v>
      </c>
      <c r="C3250" s="15">
        <v>11</v>
      </c>
      <c r="D3250" s="15">
        <v>94384536</v>
      </c>
      <c r="E3250" s="15">
        <v>95327210</v>
      </c>
      <c r="F3250" s="15">
        <v>1174</v>
      </c>
      <c r="G3250" s="8" t="s">
        <v>12324</v>
      </c>
      <c r="H3250" s="24" t="s">
        <v>662</v>
      </c>
      <c r="I3250" s="25" t="s">
        <v>663</v>
      </c>
      <c r="J3250" s="8" t="s">
        <v>664</v>
      </c>
      <c r="K3250" s="8" t="s">
        <v>10040</v>
      </c>
      <c r="L3250" s="15">
        <v>-0.15646599999999999</v>
      </c>
      <c r="M3250" s="15">
        <v>0.65393999999999997</v>
      </c>
      <c r="N3250" s="15">
        <v>0.89289653409090919</v>
      </c>
    </row>
    <row r="3251" spans="1:14" x14ac:dyDescent="0.2">
      <c r="A3251" s="2" t="s">
        <v>10069</v>
      </c>
      <c r="B3251" s="15">
        <v>928</v>
      </c>
      <c r="C3251" s="15">
        <v>6</v>
      </c>
      <c r="D3251" s="15">
        <v>2746532</v>
      </c>
      <c r="E3251" s="15">
        <v>3964072</v>
      </c>
      <c r="F3251" s="15">
        <v>2492</v>
      </c>
      <c r="G3251" s="8" t="s">
        <v>12324</v>
      </c>
      <c r="H3251" s="24" t="s">
        <v>662</v>
      </c>
      <c r="I3251" s="25" t="s">
        <v>663</v>
      </c>
      <c r="J3251" s="8" t="s">
        <v>664</v>
      </c>
      <c r="K3251" s="8" t="s">
        <v>10040</v>
      </c>
      <c r="L3251" s="15">
        <v>0.115555</v>
      </c>
      <c r="M3251" s="15">
        <v>0.65547500000000003</v>
      </c>
      <c r="N3251" s="15">
        <v>0.89289653409090919</v>
      </c>
    </row>
    <row r="3252" spans="1:14" x14ac:dyDescent="0.2">
      <c r="A3252" s="2" t="s">
        <v>10068</v>
      </c>
      <c r="B3252" s="15">
        <v>1839</v>
      </c>
      <c r="C3252" s="15">
        <v>12</v>
      </c>
      <c r="D3252" s="15">
        <v>109031820</v>
      </c>
      <c r="E3252" s="15">
        <v>110111514</v>
      </c>
      <c r="F3252" s="15">
        <v>2730</v>
      </c>
      <c r="G3252" s="8" t="s">
        <v>12324</v>
      </c>
      <c r="H3252" s="24" t="s">
        <v>1259</v>
      </c>
      <c r="I3252" s="25">
        <v>27096</v>
      </c>
      <c r="J3252" s="8" t="s">
        <v>1261</v>
      </c>
      <c r="K3252" s="8" t="s">
        <v>10040</v>
      </c>
      <c r="L3252" s="15">
        <v>9.6268999999999993E-2</v>
      </c>
      <c r="M3252" s="15">
        <v>0.65332900000000005</v>
      </c>
      <c r="N3252" s="15">
        <v>0.89289653409090919</v>
      </c>
    </row>
    <row r="3253" spans="1:14" x14ac:dyDescent="0.2">
      <c r="A3253" s="2" t="s">
        <v>10068</v>
      </c>
      <c r="B3253" s="15">
        <v>327</v>
      </c>
      <c r="C3253" s="15">
        <v>2</v>
      </c>
      <c r="D3253" s="15">
        <v>135160198</v>
      </c>
      <c r="E3253" s="15">
        <v>137061003</v>
      </c>
      <c r="F3253" s="15">
        <v>3061</v>
      </c>
      <c r="G3253" s="8" t="s">
        <v>12324</v>
      </c>
      <c r="H3253" s="24" t="s">
        <v>1259</v>
      </c>
      <c r="I3253" s="25">
        <v>27096</v>
      </c>
      <c r="J3253" s="8" t="s">
        <v>1261</v>
      </c>
      <c r="K3253" s="8" t="s">
        <v>10040</v>
      </c>
      <c r="L3253" s="15">
        <v>-8.2819500000000004E-2</v>
      </c>
      <c r="M3253" s="15">
        <v>0.65401399999999998</v>
      </c>
      <c r="N3253" s="15">
        <v>0.89289653409090919</v>
      </c>
    </row>
    <row r="3254" spans="1:14" x14ac:dyDescent="0.2">
      <c r="A3254" s="2" t="s">
        <v>10066</v>
      </c>
      <c r="B3254" s="15">
        <v>520</v>
      </c>
      <c r="C3254" s="15">
        <v>3</v>
      </c>
      <c r="D3254" s="15">
        <v>115649910</v>
      </c>
      <c r="E3254" s="15">
        <v>116498570</v>
      </c>
      <c r="F3254" s="15">
        <v>2172</v>
      </c>
      <c r="G3254" s="8" t="s">
        <v>12324</v>
      </c>
      <c r="H3254" s="24" t="s">
        <v>3164</v>
      </c>
      <c r="I3254" s="25" t="s">
        <v>3165</v>
      </c>
      <c r="J3254" s="8" t="s">
        <v>3166</v>
      </c>
      <c r="K3254" s="8" t="s">
        <v>10042</v>
      </c>
      <c r="L3254" s="15">
        <v>-0.106888</v>
      </c>
      <c r="M3254" s="15">
        <v>0.65507800000000005</v>
      </c>
      <c r="N3254" s="15">
        <v>0.89289653409090919</v>
      </c>
    </row>
    <row r="3255" spans="1:14" x14ac:dyDescent="0.2">
      <c r="A3255" s="2" t="s">
        <v>10066</v>
      </c>
      <c r="B3255" s="15">
        <v>1120</v>
      </c>
      <c r="C3255" s="15">
        <v>7</v>
      </c>
      <c r="D3255" s="15">
        <v>21390645</v>
      </c>
      <c r="E3255" s="15">
        <v>22165060</v>
      </c>
      <c r="F3255" s="15">
        <v>2714</v>
      </c>
      <c r="G3255" s="8" t="s">
        <v>12324</v>
      </c>
      <c r="H3255" s="24" t="s">
        <v>3164</v>
      </c>
      <c r="I3255" s="25" t="s">
        <v>3165</v>
      </c>
      <c r="J3255" s="8" t="s">
        <v>3166</v>
      </c>
      <c r="K3255" s="8" t="s">
        <v>10042</v>
      </c>
      <c r="L3255" s="15">
        <v>0.17230599999999999</v>
      </c>
      <c r="M3255" s="15">
        <v>0.65524800000000005</v>
      </c>
      <c r="N3255" s="15">
        <v>0.89289653409090919</v>
      </c>
    </row>
    <row r="3256" spans="1:14" x14ac:dyDescent="0.2">
      <c r="A3256" s="2" t="s">
        <v>10066</v>
      </c>
      <c r="B3256" s="15">
        <v>1469</v>
      </c>
      <c r="C3256" s="15">
        <v>9</v>
      </c>
      <c r="D3256" s="15">
        <v>125137579</v>
      </c>
      <c r="E3256" s="15">
        <v>126092931</v>
      </c>
      <c r="F3256" s="15">
        <v>2145</v>
      </c>
      <c r="G3256" s="8" t="s">
        <v>12324</v>
      </c>
      <c r="H3256" s="24" t="s">
        <v>6008</v>
      </c>
      <c r="I3256" s="25" t="s">
        <v>6009</v>
      </c>
      <c r="J3256" s="8" t="s">
        <v>6010</v>
      </c>
      <c r="K3256" s="8" t="s">
        <v>10051</v>
      </c>
      <c r="L3256" s="15">
        <v>-0.142706</v>
      </c>
      <c r="M3256" s="15">
        <v>0.65474699999999997</v>
      </c>
      <c r="N3256" s="15">
        <v>0.89289653409090919</v>
      </c>
    </row>
    <row r="3257" spans="1:14" x14ac:dyDescent="0.2">
      <c r="A3257" s="2" t="s">
        <v>10068</v>
      </c>
      <c r="B3257" s="15">
        <v>822</v>
      </c>
      <c r="C3257" s="15">
        <v>5</v>
      </c>
      <c r="D3257" s="15">
        <v>55221399</v>
      </c>
      <c r="E3257" s="15">
        <v>55968966</v>
      </c>
      <c r="F3257" s="15">
        <v>2232</v>
      </c>
      <c r="G3257" s="8" t="s">
        <v>12324</v>
      </c>
      <c r="H3257" s="24" t="s">
        <v>6565</v>
      </c>
      <c r="I3257" s="25" t="s">
        <v>6475</v>
      </c>
      <c r="J3257" s="8" t="s">
        <v>6566</v>
      </c>
      <c r="K3257" s="8" t="s">
        <v>10054</v>
      </c>
      <c r="L3257" s="15">
        <v>-9.9946900000000005E-2</v>
      </c>
      <c r="M3257" s="15">
        <v>0.65403800000000001</v>
      </c>
      <c r="N3257" s="15">
        <v>0.89289653409090919</v>
      </c>
    </row>
    <row r="3258" spans="1:14" x14ac:dyDescent="0.2">
      <c r="A3258" s="2" t="s">
        <v>10068</v>
      </c>
      <c r="B3258" s="15">
        <v>347</v>
      </c>
      <c r="C3258" s="15">
        <v>2</v>
      </c>
      <c r="D3258" s="15">
        <v>161432090</v>
      </c>
      <c r="E3258" s="15">
        <v>163607635</v>
      </c>
      <c r="F3258" s="15">
        <v>4176</v>
      </c>
      <c r="G3258" s="8" t="s">
        <v>12324</v>
      </c>
      <c r="H3258" s="24" t="s">
        <v>6565</v>
      </c>
      <c r="I3258" s="25" t="s">
        <v>6475</v>
      </c>
      <c r="J3258" s="8" t="s">
        <v>6566</v>
      </c>
      <c r="K3258" s="8" t="s">
        <v>10054</v>
      </c>
      <c r="L3258" s="15">
        <v>9.72557E-2</v>
      </c>
      <c r="M3258" s="15">
        <v>0.65484699999999996</v>
      </c>
      <c r="N3258" s="15">
        <v>0.89289653409090919</v>
      </c>
    </row>
    <row r="3259" spans="1:14" x14ac:dyDescent="0.2">
      <c r="A3259" s="2" t="s">
        <v>10068</v>
      </c>
      <c r="B3259" s="15">
        <v>2182</v>
      </c>
      <c r="C3259" s="15">
        <v>17</v>
      </c>
      <c r="D3259" s="15">
        <v>8554764</v>
      </c>
      <c r="E3259" s="15">
        <v>9619356</v>
      </c>
      <c r="F3259" s="15">
        <v>2869</v>
      </c>
      <c r="G3259" s="8" t="s">
        <v>12324</v>
      </c>
      <c r="H3259" s="24" t="s">
        <v>494</v>
      </c>
      <c r="I3259" s="25">
        <v>25920</v>
      </c>
      <c r="J3259" s="8" t="s">
        <v>496</v>
      </c>
      <c r="K3259" s="8" t="s">
        <v>10040</v>
      </c>
      <c r="L3259" s="15">
        <v>7.6426599999999997E-2</v>
      </c>
      <c r="M3259" s="15">
        <v>0.65595899999999996</v>
      </c>
      <c r="N3259" s="15">
        <v>0.89320791065397598</v>
      </c>
    </row>
    <row r="3260" spans="1:14" x14ac:dyDescent="0.2">
      <c r="A3260" s="2" t="s">
        <v>10068</v>
      </c>
      <c r="B3260" s="15">
        <v>1599</v>
      </c>
      <c r="C3260" s="15">
        <v>10</v>
      </c>
      <c r="D3260" s="15">
        <v>125798320</v>
      </c>
      <c r="E3260" s="15">
        <v>126875816</v>
      </c>
      <c r="F3260" s="15">
        <v>3030</v>
      </c>
      <c r="G3260" s="8" t="s">
        <v>12324</v>
      </c>
      <c r="H3260" s="24" t="s">
        <v>6565</v>
      </c>
      <c r="I3260" s="25" t="s">
        <v>6475</v>
      </c>
      <c r="J3260" s="8" t="s">
        <v>6566</v>
      </c>
      <c r="K3260" s="8" t="s">
        <v>10054</v>
      </c>
      <c r="L3260" s="15">
        <v>-6.3760899999999995E-2</v>
      </c>
      <c r="M3260" s="15">
        <v>0.65648300000000004</v>
      </c>
      <c r="N3260" s="15">
        <v>0.89364705494168206</v>
      </c>
    </row>
    <row r="3261" spans="1:14" x14ac:dyDescent="0.2">
      <c r="A3261" s="2" t="s">
        <v>10068</v>
      </c>
      <c r="B3261" s="15">
        <v>182</v>
      </c>
      <c r="C3261" s="15">
        <v>1</v>
      </c>
      <c r="D3261" s="15">
        <v>232954943</v>
      </c>
      <c r="E3261" s="15">
        <v>233639473</v>
      </c>
      <c r="F3261" s="15">
        <v>2127</v>
      </c>
      <c r="G3261" s="8" t="s">
        <v>12324</v>
      </c>
      <c r="H3261" s="24" t="s">
        <v>599</v>
      </c>
      <c r="I3261" s="25">
        <v>26562</v>
      </c>
      <c r="J3261" s="8" t="s">
        <v>601</v>
      </c>
      <c r="K3261" s="8" t="s">
        <v>10040</v>
      </c>
      <c r="L3261" s="15">
        <v>6.4451499999999995E-2</v>
      </c>
      <c r="M3261" s="15">
        <v>0.65693299999999999</v>
      </c>
      <c r="N3261" s="15">
        <v>0.89398522706351646</v>
      </c>
    </row>
    <row r="3262" spans="1:14" x14ac:dyDescent="0.2">
      <c r="A3262" s="2" t="s">
        <v>10068</v>
      </c>
      <c r="B3262" s="15">
        <v>2362</v>
      </c>
      <c r="C3262" s="15">
        <v>19</v>
      </c>
      <c r="D3262" s="15">
        <v>54042241</v>
      </c>
      <c r="E3262" s="15">
        <v>54602370</v>
      </c>
      <c r="F3262" s="15">
        <v>2047</v>
      </c>
      <c r="G3262" s="8" t="s">
        <v>12324</v>
      </c>
      <c r="H3262" s="24" t="s">
        <v>6565</v>
      </c>
      <c r="I3262" s="25" t="s">
        <v>6475</v>
      </c>
      <c r="J3262" s="8" t="s">
        <v>6566</v>
      </c>
      <c r="K3262" s="8" t="s">
        <v>10054</v>
      </c>
      <c r="L3262" s="15">
        <v>-6.4354300000000003E-2</v>
      </c>
      <c r="M3262" s="15">
        <v>0.65717000000000003</v>
      </c>
      <c r="N3262" s="15">
        <v>0.89403342024539878</v>
      </c>
    </row>
    <row r="3263" spans="1:14" x14ac:dyDescent="0.2">
      <c r="A3263" s="2" t="s">
        <v>10066</v>
      </c>
      <c r="B3263" s="15">
        <v>2267</v>
      </c>
      <c r="C3263" s="15">
        <v>18</v>
      </c>
      <c r="D3263" s="15">
        <v>37679128</v>
      </c>
      <c r="E3263" s="15">
        <v>38498381</v>
      </c>
      <c r="F3263" s="15">
        <v>2461</v>
      </c>
      <c r="G3263" s="8" t="s">
        <v>12324</v>
      </c>
      <c r="H3263" s="24" t="s">
        <v>6008</v>
      </c>
      <c r="I3263" s="25" t="s">
        <v>6009</v>
      </c>
      <c r="J3263" s="8" t="s">
        <v>6010</v>
      </c>
      <c r="K3263" s="8" t="s">
        <v>10051</v>
      </c>
      <c r="L3263" s="15">
        <v>-0.15334500000000001</v>
      </c>
      <c r="M3263" s="15">
        <v>0.65737699999999999</v>
      </c>
      <c r="N3263" s="15">
        <v>0.89404078350199323</v>
      </c>
    </row>
    <row r="3264" spans="1:14" x14ac:dyDescent="0.2">
      <c r="A3264" s="2" t="s">
        <v>10068</v>
      </c>
      <c r="B3264" s="15">
        <v>1552</v>
      </c>
      <c r="C3264" s="15">
        <v>10</v>
      </c>
      <c r="D3264" s="15">
        <v>71050505</v>
      </c>
      <c r="E3264" s="15">
        <v>71672997</v>
      </c>
      <c r="F3264" s="15">
        <v>2329</v>
      </c>
      <c r="G3264" s="8" t="s">
        <v>12324</v>
      </c>
      <c r="H3264" s="24" t="s">
        <v>599</v>
      </c>
      <c r="I3264" s="25">
        <v>26562</v>
      </c>
      <c r="J3264" s="8" t="s">
        <v>601</v>
      </c>
      <c r="K3264" s="8" t="s">
        <v>10040</v>
      </c>
      <c r="L3264" s="15">
        <v>-0.13192899999999999</v>
      </c>
      <c r="M3264" s="15">
        <v>0.65786599999999995</v>
      </c>
      <c r="N3264" s="15">
        <v>0.89443154812998149</v>
      </c>
    </row>
    <row r="3265" spans="1:14" x14ac:dyDescent="0.2">
      <c r="A3265" s="2" t="s">
        <v>10068</v>
      </c>
      <c r="B3265" s="15">
        <v>63</v>
      </c>
      <c r="C3265" s="15">
        <v>1</v>
      </c>
      <c r="D3265" s="15">
        <v>73992171</v>
      </c>
      <c r="E3265" s="15">
        <v>75132092</v>
      </c>
      <c r="F3265" s="15">
        <v>2155</v>
      </c>
      <c r="G3265" s="8" t="s">
        <v>12324</v>
      </c>
      <c r="H3265" s="24" t="s">
        <v>494</v>
      </c>
      <c r="I3265" s="25">
        <v>25920</v>
      </c>
      <c r="J3265" s="8" t="s">
        <v>496</v>
      </c>
      <c r="K3265" s="8" t="s">
        <v>10040</v>
      </c>
      <c r="L3265" s="15">
        <v>-0.168187</v>
      </c>
      <c r="M3265" s="15">
        <v>0.65846700000000002</v>
      </c>
      <c r="N3265" s="15">
        <v>0.89461081316998481</v>
      </c>
    </row>
    <row r="3266" spans="1:14" x14ac:dyDescent="0.2">
      <c r="A3266" s="2" t="s">
        <v>10068</v>
      </c>
      <c r="B3266" s="15">
        <v>335</v>
      </c>
      <c r="C3266" s="15">
        <v>2</v>
      </c>
      <c r="D3266" s="15">
        <v>144503689</v>
      </c>
      <c r="E3266" s="15">
        <v>145977920</v>
      </c>
      <c r="F3266" s="15">
        <v>2176</v>
      </c>
      <c r="G3266" s="8" t="s">
        <v>12324</v>
      </c>
      <c r="H3266" s="24" t="s">
        <v>494</v>
      </c>
      <c r="I3266" s="25">
        <v>25920</v>
      </c>
      <c r="J3266" s="8" t="s">
        <v>496</v>
      </c>
      <c r="K3266" s="8" t="s">
        <v>10040</v>
      </c>
      <c r="L3266" s="15">
        <v>-0.124651</v>
      </c>
      <c r="M3266" s="15">
        <v>0.65860300000000005</v>
      </c>
      <c r="N3266" s="15">
        <v>0.89461081316998481</v>
      </c>
    </row>
    <row r="3267" spans="1:14" x14ac:dyDescent="0.2">
      <c r="A3267" s="2" t="s">
        <v>10066</v>
      </c>
      <c r="B3267" s="15">
        <v>870</v>
      </c>
      <c r="C3267" s="15">
        <v>5</v>
      </c>
      <c r="D3267" s="15">
        <v>113121556</v>
      </c>
      <c r="E3267" s="15">
        <v>113998532</v>
      </c>
      <c r="F3267" s="15">
        <v>2562</v>
      </c>
      <c r="G3267" s="8" t="s">
        <v>12324</v>
      </c>
      <c r="H3267" s="24" t="s">
        <v>6008</v>
      </c>
      <c r="I3267" s="25" t="s">
        <v>6009</v>
      </c>
      <c r="J3267" s="8" t="s">
        <v>6010</v>
      </c>
      <c r="K3267" s="8" t="s">
        <v>10051</v>
      </c>
      <c r="L3267" s="15">
        <v>-0.15083099999999999</v>
      </c>
      <c r="M3267" s="15">
        <v>0.65855399999999997</v>
      </c>
      <c r="N3267" s="15">
        <v>0.89461081316998481</v>
      </c>
    </row>
    <row r="3268" spans="1:14" x14ac:dyDescent="0.2">
      <c r="A3268" s="2" t="s">
        <v>10068</v>
      </c>
      <c r="B3268" s="15">
        <v>1554</v>
      </c>
      <c r="C3268" s="15">
        <v>10</v>
      </c>
      <c r="D3268" s="15">
        <v>72659224</v>
      </c>
      <c r="E3268" s="15">
        <v>73514214</v>
      </c>
      <c r="F3268" s="15">
        <v>2745</v>
      </c>
      <c r="G3268" s="8" t="s">
        <v>12324</v>
      </c>
      <c r="H3268" s="24" t="s">
        <v>599</v>
      </c>
      <c r="I3268" s="25">
        <v>26562</v>
      </c>
      <c r="J3268" s="8" t="s">
        <v>601</v>
      </c>
      <c r="K3268" s="8" t="s">
        <v>10040</v>
      </c>
      <c r="L3268" s="15">
        <v>-9.2642199999999994E-2</v>
      </c>
      <c r="M3268" s="15">
        <v>0.66095099999999996</v>
      </c>
      <c r="N3268" s="15">
        <v>0.89487662496185538</v>
      </c>
    </row>
    <row r="3269" spans="1:14" x14ac:dyDescent="0.2">
      <c r="A3269" s="2" t="s">
        <v>10069</v>
      </c>
      <c r="B3269" s="15">
        <v>2248</v>
      </c>
      <c r="C3269" s="15">
        <v>18</v>
      </c>
      <c r="D3269" s="15">
        <v>9816165</v>
      </c>
      <c r="E3269" s="15">
        <v>10675548</v>
      </c>
      <c r="F3269" s="15">
        <v>1897</v>
      </c>
      <c r="G3269" s="8" t="s">
        <v>12324</v>
      </c>
      <c r="H3269" s="24" t="s">
        <v>662</v>
      </c>
      <c r="I3269" s="25" t="s">
        <v>663</v>
      </c>
      <c r="J3269" s="8" t="s">
        <v>664</v>
      </c>
      <c r="K3269" s="8" t="s">
        <v>10040</v>
      </c>
      <c r="L3269" s="15">
        <v>-7.7055399999999996E-2</v>
      </c>
      <c r="M3269" s="15">
        <v>0.65991900000000003</v>
      </c>
      <c r="N3269" s="15">
        <v>0.89487662496185538</v>
      </c>
    </row>
    <row r="3270" spans="1:14" x14ac:dyDescent="0.2">
      <c r="A3270" s="2" t="s">
        <v>10069</v>
      </c>
      <c r="B3270" s="15">
        <v>313</v>
      </c>
      <c r="C3270" s="15">
        <v>2</v>
      </c>
      <c r="D3270" s="15">
        <v>121073753</v>
      </c>
      <c r="E3270" s="15">
        <v>122026817</v>
      </c>
      <c r="F3270" s="15">
        <v>1615</v>
      </c>
      <c r="G3270" s="8" t="s">
        <v>12324</v>
      </c>
      <c r="H3270" s="24" t="s">
        <v>662</v>
      </c>
      <c r="I3270" s="25" t="s">
        <v>663</v>
      </c>
      <c r="J3270" s="8" t="s">
        <v>664</v>
      </c>
      <c r="K3270" s="8" t="s">
        <v>10040</v>
      </c>
      <c r="L3270" s="15">
        <v>-0.11638900000000001</v>
      </c>
      <c r="M3270" s="15">
        <v>0.66058799999999995</v>
      </c>
      <c r="N3270" s="15">
        <v>0.89487662496185538</v>
      </c>
    </row>
    <row r="3271" spans="1:14" x14ac:dyDescent="0.2">
      <c r="A3271" s="2" t="s">
        <v>10068</v>
      </c>
      <c r="B3271" s="15">
        <v>751</v>
      </c>
      <c r="C3271" s="15">
        <v>4</v>
      </c>
      <c r="D3271" s="15">
        <v>168623791</v>
      </c>
      <c r="E3271" s="15">
        <v>169555114</v>
      </c>
      <c r="F3271" s="15">
        <v>2759</v>
      </c>
      <c r="G3271" s="8" t="s">
        <v>12324</v>
      </c>
      <c r="H3271" s="24" t="s">
        <v>1259</v>
      </c>
      <c r="I3271" s="25">
        <v>27096</v>
      </c>
      <c r="J3271" s="8" t="s">
        <v>1261</v>
      </c>
      <c r="K3271" s="8" t="s">
        <v>10040</v>
      </c>
      <c r="L3271" s="15">
        <v>-0.147591</v>
      </c>
      <c r="M3271" s="15">
        <v>0.65927500000000006</v>
      </c>
      <c r="N3271" s="15">
        <v>0.89487662496185538</v>
      </c>
    </row>
    <row r="3272" spans="1:14" x14ac:dyDescent="0.2">
      <c r="A3272" s="2" t="s">
        <v>10068</v>
      </c>
      <c r="B3272" s="15">
        <v>1490</v>
      </c>
      <c r="C3272" s="15">
        <v>10</v>
      </c>
      <c r="D3272" s="15">
        <v>3880323</v>
      </c>
      <c r="E3272" s="15">
        <v>4813182</v>
      </c>
      <c r="F3272" s="15">
        <v>2821</v>
      </c>
      <c r="G3272" s="8" t="s">
        <v>12324</v>
      </c>
      <c r="H3272" s="24" t="s">
        <v>1259</v>
      </c>
      <c r="I3272" s="25">
        <v>27096</v>
      </c>
      <c r="J3272" s="8" t="s">
        <v>1261</v>
      </c>
      <c r="K3272" s="8" t="s">
        <v>10040</v>
      </c>
      <c r="L3272" s="15">
        <v>-0.12765199999999999</v>
      </c>
      <c r="M3272" s="15">
        <v>0.66026700000000005</v>
      </c>
      <c r="N3272" s="15">
        <v>0.89487662496185538</v>
      </c>
    </row>
    <row r="3273" spans="1:14" x14ac:dyDescent="0.2">
      <c r="A3273" s="2" t="s">
        <v>10066</v>
      </c>
      <c r="B3273" s="15">
        <v>2255</v>
      </c>
      <c r="C3273" s="15">
        <v>18</v>
      </c>
      <c r="D3273" s="15">
        <v>20009697</v>
      </c>
      <c r="E3273" s="15">
        <v>21622716</v>
      </c>
      <c r="F3273" s="15">
        <v>3234</v>
      </c>
      <c r="G3273" s="8" t="s">
        <v>12324</v>
      </c>
      <c r="H3273" s="24" t="s">
        <v>3164</v>
      </c>
      <c r="I3273" s="25" t="s">
        <v>3165</v>
      </c>
      <c r="J3273" s="8" t="s">
        <v>3166</v>
      </c>
      <c r="K3273" s="8" t="s">
        <v>10042</v>
      </c>
      <c r="L3273" s="15">
        <v>-0.118462</v>
      </c>
      <c r="M3273" s="15">
        <v>0.65930999999999995</v>
      </c>
      <c r="N3273" s="15">
        <v>0.89487662496185538</v>
      </c>
    </row>
    <row r="3274" spans="1:14" x14ac:dyDescent="0.2">
      <c r="A3274" s="2" t="s">
        <v>10066</v>
      </c>
      <c r="B3274" s="15">
        <v>1730</v>
      </c>
      <c r="C3274" s="15">
        <v>11</v>
      </c>
      <c r="D3274" s="15">
        <v>125266685</v>
      </c>
      <c r="E3274" s="15">
        <v>126304240</v>
      </c>
      <c r="F3274" s="15">
        <v>2909</v>
      </c>
      <c r="G3274" s="8" t="s">
        <v>12324</v>
      </c>
      <c r="H3274" s="24" t="s">
        <v>6008</v>
      </c>
      <c r="I3274" s="25" t="s">
        <v>6009</v>
      </c>
      <c r="J3274" s="8" t="s">
        <v>6010</v>
      </c>
      <c r="K3274" s="8" t="s">
        <v>10051</v>
      </c>
      <c r="L3274" s="15">
        <v>0.116776</v>
      </c>
      <c r="M3274" s="15">
        <v>0.66008</v>
      </c>
      <c r="N3274" s="15">
        <v>0.89487662496185538</v>
      </c>
    </row>
    <row r="3275" spans="1:14" x14ac:dyDescent="0.2">
      <c r="A3275" s="2" t="s">
        <v>10066</v>
      </c>
      <c r="B3275" s="15">
        <v>970</v>
      </c>
      <c r="C3275" s="15">
        <v>6</v>
      </c>
      <c r="D3275" s="15">
        <v>33864263</v>
      </c>
      <c r="E3275" s="15">
        <v>34979270</v>
      </c>
      <c r="F3275" s="15">
        <v>2930</v>
      </c>
      <c r="G3275" s="8" t="s">
        <v>12324</v>
      </c>
      <c r="H3275" s="24" t="s">
        <v>6008</v>
      </c>
      <c r="I3275" s="25" t="s">
        <v>6009</v>
      </c>
      <c r="J3275" s="8" t="s">
        <v>6010</v>
      </c>
      <c r="K3275" s="8" t="s">
        <v>10051</v>
      </c>
      <c r="L3275" s="15">
        <v>0.101939</v>
      </c>
      <c r="M3275" s="15">
        <v>0.66038799999999998</v>
      </c>
      <c r="N3275" s="15">
        <v>0.89487662496185538</v>
      </c>
    </row>
    <row r="3276" spans="1:14" x14ac:dyDescent="0.2">
      <c r="A3276" s="2" t="s">
        <v>10066</v>
      </c>
      <c r="B3276" s="15">
        <v>1616</v>
      </c>
      <c r="C3276" s="15">
        <v>11</v>
      </c>
      <c r="D3276" s="15">
        <v>4946052</v>
      </c>
      <c r="E3276" s="15">
        <v>5533057</v>
      </c>
      <c r="F3276" s="15">
        <v>2794</v>
      </c>
      <c r="G3276" s="8" t="s">
        <v>12324</v>
      </c>
      <c r="H3276" s="24" t="s">
        <v>6008</v>
      </c>
      <c r="I3276" s="25" t="s">
        <v>6009</v>
      </c>
      <c r="J3276" s="8" t="s">
        <v>6010</v>
      </c>
      <c r="K3276" s="8" t="s">
        <v>10051</v>
      </c>
      <c r="L3276" s="15">
        <v>-9.2318800000000006E-2</v>
      </c>
      <c r="M3276" s="15">
        <v>0.66107000000000005</v>
      </c>
      <c r="N3276" s="15">
        <v>0.89487662496185538</v>
      </c>
    </row>
    <row r="3277" spans="1:14" x14ac:dyDescent="0.2">
      <c r="A3277" s="2" t="s">
        <v>10068</v>
      </c>
      <c r="B3277" s="15">
        <v>2022</v>
      </c>
      <c r="C3277" s="15">
        <v>14</v>
      </c>
      <c r="D3277" s="15">
        <v>95946793</v>
      </c>
      <c r="E3277" s="15">
        <v>97174314</v>
      </c>
      <c r="F3277" s="15">
        <v>3921</v>
      </c>
      <c r="G3277" s="8" t="s">
        <v>12324</v>
      </c>
      <c r="H3277" s="24" t="s">
        <v>6565</v>
      </c>
      <c r="I3277" s="25" t="s">
        <v>6475</v>
      </c>
      <c r="J3277" s="8" t="s">
        <v>6566</v>
      </c>
      <c r="K3277" s="8" t="s">
        <v>10054</v>
      </c>
      <c r="L3277" s="15">
        <v>6.5298599999999998E-2</v>
      </c>
      <c r="M3277" s="15">
        <v>0.66011600000000004</v>
      </c>
      <c r="N3277" s="15">
        <v>0.89487662496185538</v>
      </c>
    </row>
    <row r="3278" spans="1:14" x14ac:dyDescent="0.2">
      <c r="A3278" s="2" t="s">
        <v>10068</v>
      </c>
      <c r="B3278" s="15">
        <v>2380</v>
      </c>
      <c r="C3278" s="15">
        <v>20</v>
      </c>
      <c r="D3278" s="15">
        <v>10279604</v>
      </c>
      <c r="E3278" s="15">
        <v>11257012</v>
      </c>
      <c r="F3278" s="15">
        <v>2707</v>
      </c>
      <c r="G3278" s="8" t="s">
        <v>12324</v>
      </c>
      <c r="H3278" s="24" t="s">
        <v>6565</v>
      </c>
      <c r="I3278" s="25" t="s">
        <v>6475</v>
      </c>
      <c r="J3278" s="8" t="s">
        <v>6566</v>
      </c>
      <c r="K3278" s="8" t="s">
        <v>10054</v>
      </c>
      <c r="L3278" s="15">
        <v>6.1908600000000001E-2</v>
      </c>
      <c r="M3278" s="15">
        <v>0.66071800000000003</v>
      </c>
      <c r="N3278" s="15">
        <v>0.89487662496185538</v>
      </c>
    </row>
    <row r="3279" spans="1:14" x14ac:dyDescent="0.2">
      <c r="A3279" s="2" t="s">
        <v>10068</v>
      </c>
      <c r="B3279" s="15">
        <v>1147</v>
      </c>
      <c r="C3279" s="15">
        <v>7</v>
      </c>
      <c r="D3279" s="15">
        <v>50894509</v>
      </c>
      <c r="E3279" s="15">
        <v>51951647</v>
      </c>
      <c r="F3279" s="15">
        <v>2765</v>
      </c>
      <c r="G3279" s="8" t="s">
        <v>12324</v>
      </c>
      <c r="H3279" s="24" t="s">
        <v>6565</v>
      </c>
      <c r="I3279" s="25" t="s">
        <v>6475</v>
      </c>
      <c r="J3279" s="8" t="s">
        <v>6566</v>
      </c>
      <c r="K3279" s="8" t="s">
        <v>10054</v>
      </c>
      <c r="L3279" s="15">
        <v>-6.7470500000000003E-2</v>
      </c>
      <c r="M3279" s="15">
        <v>0.66122000000000003</v>
      </c>
      <c r="N3279" s="15">
        <v>0.89487662496185538</v>
      </c>
    </row>
    <row r="3280" spans="1:14" x14ac:dyDescent="0.2">
      <c r="A3280" s="2" t="s">
        <v>10068</v>
      </c>
      <c r="B3280" s="15">
        <v>1731</v>
      </c>
      <c r="C3280" s="15">
        <v>11</v>
      </c>
      <c r="D3280" s="15">
        <v>126304241</v>
      </c>
      <c r="E3280" s="15">
        <v>127306871</v>
      </c>
      <c r="F3280" s="15">
        <v>2960</v>
      </c>
      <c r="G3280" s="8" t="s">
        <v>12324</v>
      </c>
      <c r="H3280" s="24" t="s">
        <v>599</v>
      </c>
      <c r="I3280" s="25">
        <v>26562</v>
      </c>
      <c r="J3280" s="8" t="s">
        <v>601</v>
      </c>
      <c r="K3280" s="8" t="s">
        <v>10040</v>
      </c>
      <c r="L3280" s="15">
        <v>6.7184199999999999E-2</v>
      </c>
      <c r="M3280" s="15">
        <v>0.66182399999999997</v>
      </c>
      <c r="N3280" s="15">
        <v>0.89542081757169001</v>
      </c>
    </row>
    <row r="3281" spans="1:14" x14ac:dyDescent="0.2">
      <c r="A3281" s="2" t="s">
        <v>10066</v>
      </c>
      <c r="B3281" s="15">
        <v>1987</v>
      </c>
      <c r="C3281" s="15">
        <v>14</v>
      </c>
      <c r="D3281" s="15">
        <v>55292833</v>
      </c>
      <c r="E3281" s="15">
        <v>56206430</v>
      </c>
      <c r="F3281" s="15">
        <v>2380</v>
      </c>
      <c r="G3281" s="8" t="s">
        <v>12324</v>
      </c>
      <c r="H3281" s="24" t="s">
        <v>6008</v>
      </c>
      <c r="I3281" s="25" t="s">
        <v>6009</v>
      </c>
      <c r="J3281" s="8" t="s">
        <v>6010</v>
      </c>
      <c r="K3281" s="8" t="s">
        <v>10051</v>
      </c>
      <c r="L3281" s="15">
        <v>-0.12146</v>
      </c>
      <c r="M3281" s="15">
        <v>0.66203699999999999</v>
      </c>
      <c r="N3281" s="15">
        <v>0.89543583257090575</v>
      </c>
    </row>
    <row r="3282" spans="1:14" x14ac:dyDescent="0.2">
      <c r="A3282" s="2" t="s">
        <v>10068</v>
      </c>
      <c r="B3282" s="15">
        <v>2398</v>
      </c>
      <c r="C3282" s="15">
        <v>20</v>
      </c>
      <c r="D3282" s="15">
        <v>30569660</v>
      </c>
      <c r="E3282" s="15">
        <v>32484506</v>
      </c>
      <c r="F3282" s="15">
        <v>3357</v>
      </c>
      <c r="G3282" s="8" t="s">
        <v>12324</v>
      </c>
      <c r="H3282" s="24" t="s">
        <v>494</v>
      </c>
      <c r="I3282" s="25">
        <v>25920</v>
      </c>
      <c r="J3282" s="8" t="s">
        <v>496</v>
      </c>
      <c r="K3282" s="8" t="s">
        <v>10040</v>
      </c>
      <c r="L3282" s="15">
        <v>-0.104258</v>
      </c>
      <c r="M3282" s="15">
        <v>0.66406100000000001</v>
      </c>
      <c r="N3282" s="15">
        <v>0.8956031722880583</v>
      </c>
    </row>
    <row r="3283" spans="1:14" x14ac:dyDescent="0.2">
      <c r="A3283" s="2" t="s">
        <v>10068</v>
      </c>
      <c r="B3283" s="15">
        <v>2021</v>
      </c>
      <c r="C3283" s="15">
        <v>14</v>
      </c>
      <c r="D3283" s="15">
        <v>94892241</v>
      </c>
      <c r="E3283" s="15">
        <v>95946792</v>
      </c>
      <c r="F3283" s="15">
        <v>3907</v>
      </c>
      <c r="G3283" s="8" t="s">
        <v>12324</v>
      </c>
      <c r="H3283" s="24" t="s">
        <v>494</v>
      </c>
      <c r="I3283" s="25">
        <v>25920</v>
      </c>
      <c r="J3283" s="8" t="s">
        <v>496</v>
      </c>
      <c r="K3283" s="8" t="s">
        <v>10040</v>
      </c>
      <c r="L3283" s="15">
        <v>-9.6236299999999997E-2</v>
      </c>
      <c r="M3283" s="15">
        <v>0.66433399999999998</v>
      </c>
      <c r="N3283" s="15">
        <v>0.8956031722880583</v>
      </c>
    </row>
    <row r="3284" spans="1:14" x14ac:dyDescent="0.2">
      <c r="A3284" s="2" t="s">
        <v>10068</v>
      </c>
      <c r="B3284" s="15">
        <v>1103</v>
      </c>
      <c r="C3284" s="15">
        <v>7</v>
      </c>
      <c r="D3284" s="15">
        <v>7167611</v>
      </c>
      <c r="E3284" s="15">
        <v>7926500</v>
      </c>
      <c r="F3284" s="15">
        <v>2731</v>
      </c>
      <c r="G3284" s="8" t="s">
        <v>12324</v>
      </c>
      <c r="H3284" s="24" t="s">
        <v>599</v>
      </c>
      <c r="I3284" s="25">
        <v>26562</v>
      </c>
      <c r="J3284" s="8" t="s">
        <v>601</v>
      </c>
      <c r="K3284" s="8" t="s">
        <v>10040</v>
      </c>
      <c r="L3284" s="15">
        <v>-0.10603899999999999</v>
      </c>
      <c r="M3284" s="15">
        <v>0.66317999999999999</v>
      </c>
      <c r="N3284" s="15">
        <v>0.8956031722880583</v>
      </c>
    </row>
    <row r="3285" spans="1:14" x14ac:dyDescent="0.2">
      <c r="A3285" s="2" t="s">
        <v>10069</v>
      </c>
      <c r="B3285" s="15">
        <v>2242</v>
      </c>
      <c r="C3285" s="15">
        <v>18</v>
      </c>
      <c r="D3285" s="15">
        <v>3722829</v>
      </c>
      <c r="E3285" s="15">
        <v>4603961</v>
      </c>
      <c r="F3285" s="15">
        <v>1702</v>
      </c>
      <c r="G3285" s="8" t="s">
        <v>12324</v>
      </c>
      <c r="H3285" s="24" t="s">
        <v>662</v>
      </c>
      <c r="I3285" s="25" t="s">
        <v>663</v>
      </c>
      <c r="J3285" s="8" t="s">
        <v>664</v>
      </c>
      <c r="K3285" s="8" t="s">
        <v>10040</v>
      </c>
      <c r="L3285" s="15">
        <v>0.11944399999999999</v>
      </c>
      <c r="M3285" s="15">
        <v>0.66418200000000005</v>
      </c>
      <c r="N3285" s="15">
        <v>0.8956031722880583</v>
      </c>
    </row>
    <row r="3286" spans="1:14" x14ac:dyDescent="0.2">
      <c r="A3286" s="2" t="s">
        <v>10068</v>
      </c>
      <c r="B3286" s="15">
        <v>782</v>
      </c>
      <c r="C3286" s="15">
        <v>5</v>
      </c>
      <c r="D3286" s="15">
        <v>5828695</v>
      </c>
      <c r="E3286" s="15">
        <v>6936733</v>
      </c>
      <c r="F3286" s="15">
        <v>3837</v>
      </c>
      <c r="G3286" s="8" t="s">
        <v>12324</v>
      </c>
      <c r="H3286" s="24" t="s">
        <v>1259</v>
      </c>
      <c r="I3286" s="25">
        <v>27096</v>
      </c>
      <c r="J3286" s="8" t="s">
        <v>1261</v>
      </c>
      <c r="K3286" s="8" t="s">
        <v>10040</v>
      </c>
      <c r="L3286" s="15">
        <v>-0.110889</v>
      </c>
      <c r="M3286" s="15">
        <v>0.66327899999999995</v>
      </c>
      <c r="N3286" s="15">
        <v>0.8956031722880583</v>
      </c>
    </row>
    <row r="3287" spans="1:14" x14ac:dyDescent="0.2">
      <c r="A3287" s="2" t="s">
        <v>10068</v>
      </c>
      <c r="B3287" s="15">
        <v>14</v>
      </c>
      <c r="C3287" s="15">
        <v>1</v>
      </c>
      <c r="D3287" s="15">
        <v>11709174</v>
      </c>
      <c r="E3287" s="15">
        <v>13481025</v>
      </c>
      <c r="F3287" s="15">
        <v>3563</v>
      </c>
      <c r="G3287" s="8" t="s">
        <v>12324</v>
      </c>
      <c r="H3287" s="24" t="s">
        <v>1259</v>
      </c>
      <c r="I3287" s="25">
        <v>27096</v>
      </c>
      <c r="J3287" s="8" t="s">
        <v>1261</v>
      </c>
      <c r="K3287" s="8" t="s">
        <v>10040</v>
      </c>
      <c r="L3287" s="15">
        <v>-7.16667E-2</v>
      </c>
      <c r="M3287" s="15">
        <v>0.66457200000000005</v>
      </c>
      <c r="N3287" s="15">
        <v>0.8956031722880583</v>
      </c>
    </row>
    <row r="3288" spans="1:14" x14ac:dyDescent="0.2">
      <c r="A3288" s="2" t="s">
        <v>10066</v>
      </c>
      <c r="B3288" s="15">
        <v>1596</v>
      </c>
      <c r="C3288" s="15">
        <v>10</v>
      </c>
      <c r="D3288" s="15">
        <v>122803507</v>
      </c>
      <c r="E3288" s="15">
        <v>123856184</v>
      </c>
      <c r="F3288" s="15">
        <v>3004</v>
      </c>
      <c r="G3288" s="8" t="s">
        <v>12324</v>
      </c>
      <c r="H3288" s="24" t="s">
        <v>3164</v>
      </c>
      <c r="I3288" s="25" t="s">
        <v>3165</v>
      </c>
      <c r="J3288" s="8" t="s">
        <v>3166</v>
      </c>
      <c r="K3288" s="8" t="s">
        <v>10042</v>
      </c>
      <c r="L3288" s="15">
        <v>-0.112099</v>
      </c>
      <c r="M3288" s="15">
        <v>0.66373599999999999</v>
      </c>
      <c r="N3288" s="15">
        <v>0.8956031722880583</v>
      </c>
    </row>
    <row r="3289" spans="1:14" x14ac:dyDescent="0.2">
      <c r="A3289" s="2" t="s">
        <v>10066</v>
      </c>
      <c r="B3289" s="15">
        <v>2386</v>
      </c>
      <c r="C3289" s="15">
        <v>20</v>
      </c>
      <c r="D3289" s="15">
        <v>15962577</v>
      </c>
      <c r="E3289" s="15">
        <v>16661516</v>
      </c>
      <c r="F3289" s="15">
        <v>2447</v>
      </c>
      <c r="G3289" s="8" t="s">
        <v>12324</v>
      </c>
      <c r="H3289" s="24" t="s">
        <v>6008</v>
      </c>
      <c r="I3289" s="25" t="s">
        <v>6009</v>
      </c>
      <c r="J3289" s="8" t="s">
        <v>6010</v>
      </c>
      <c r="K3289" s="8" t="s">
        <v>10051</v>
      </c>
      <c r="L3289" s="15">
        <v>-9.8513000000000003E-2</v>
      </c>
      <c r="M3289" s="15">
        <v>0.66344999999999998</v>
      </c>
      <c r="N3289" s="15">
        <v>0.8956031722880583</v>
      </c>
    </row>
    <row r="3290" spans="1:14" x14ac:dyDescent="0.2">
      <c r="A3290" s="2" t="s">
        <v>10066</v>
      </c>
      <c r="B3290" s="15">
        <v>2470</v>
      </c>
      <c r="C3290" s="15">
        <v>22</v>
      </c>
      <c r="D3290" s="15">
        <v>25282437</v>
      </c>
      <c r="E3290" s="15">
        <v>26166934</v>
      </c>
      <c r="F3290" s="15">
        <v>2756</v>
      </c>
      <c r="G3290" s="8" t="s">
        <v>12324</v>
      </c>
      <c r="H3290" s="24" t="s">
        <v>6008</v>
      </c>
      <c r="I3290" s="25" t="s">
        <v>6009</v>
      </c>
      <c r="J3290" s="8" t="s">
        <v>6010</v>
      </c>
      <c r="K3290" s="8" t="s">
        <v>10051</v>
      </c>
      <c r="L3290" s="15">
        <v>6.5544500000000006E-2</v>
      </c>
      <c r="M3290" s="15">
        <v>0.66458399999999995</v>
      </c>
      <c r="N3290" s="15">
        <v>0.8956031722880583</v>
      </c>
    </row>
    <row r="3291" spans="1:14" x14ac:dyDescent="0.2">
      <c r="A3291" s="2" t="s">
        <v>10068</v>
      </c>
      <c r="B3291" s="15">
        <v>1124</v>
      </c>
      <c r="C3291" s="15">
        <v>7</v>
      </c>
      <c r="D3291" s="15">
        <v>24894120</v>
      </c>
      <c r="E3291" s="15">
        <v>25671575</v>
      </c>
      <c r="F3291" s="15">
        <v>2376</v>
      </c>
      <c r="G3291" s="8" t="s">
        <v>12324</v>
      </c>
      <c r="H3291" s="24" t="s">
        <v>6565</v>
      </c>
      <c r="I3291" s="25" t="s">
        <v>6475</v>
      </c>
      <c r="J3291" s="8" t="s">
        <v>6566</v>
      </c>
      <c r="K3291" s="8" t="s">
        <v>10054</v>
      </c>
      <c r="L3291" s="15">
        <v>0.123996</v>
      </c>
      <c r="M3291" s="15">
        <v>0.66283899999999996</v>
      </c>
      <c r="N3291" s="15">
        <v>0.8956031722880583</v>
      </c>
    </row>
    <row r="3292" spans="1:14" x14ac:dyDescent="0.2">
      <c r="A3292" s="2" t="s">
        <v>10068</v>
      </c>
      <c r="B3292" s="15">
        <v>1237</v>
      </c>
      <c r="C3292" s="15">
        <v>8</v>
      </c>
      <c r="D3292" s="15">
        <v>2396123</v>
      </c>
      <c r="E3292" s="15">
        <v>2970491</v>
      </c>
      <c r="F3292" s="15">
        <v>2595</v>
      </c>
      <c r="G3292" s="8" t="s">
        <v>12324</v>
      </c>
      <c r="H3292" s="24" t="s">
        <v>6565</v>
      </c>
      <c r="I3292" s="25" t="s">
        <v>6475</v>
      </c>
      <c r="J3292" s="8" t="s">
        <v>6566</v>
      </c>
      <c r="K3292" s="8" t="s">
        <v>10054</v>
      </c>
      <c r="L3292" s="15">
        <v>-0.101574</v>
      </c>
      <c r="M3292" s="15">
        <v>0.66361700000000001</v>
      </c>
      <c r="N3292" s="15">
        <v>0.8956031722880583</v>
      </c>
    </row>
    <row r="3293" spans="1:14" x14ac:dyDescent="0.2">
      <c r="A3293" s="2" t="s">
        <v>10068</v>
      </c>
      <c r="B3293" s="15">
        <v>1627</v>
      </c>
      <c r="C3293" s="15">
        <v>11</v>
      </c>
      <c r="D3293" s="15">
        <v>15126768</v>
      </c>
      <c r="E3293" s="15">
        <v>16383386</v>
      </c>
      <c r="F3293" s="15">
        <v>2669</v>
      </c>
      <c r="G3293" s="8" t="s">
        <v>12324</v>
      </c>
      <c r="H3293" s="24" t="s">
        <v>6565</v>
      </c>
      <c r="I3293" s="25" t="s">
        <v>6475</v>
      </c>
      <c r="J3293" s="8" t="s">
        <v>6566</v>
      </c>
      <c r="K3293" s="8" t="s">
        <v>10054</v>
      </c>
      <c r="L3293" s="15">
        <v>-9.9633799999999995E-2</v>
      </c>
      <c r="M3293" s="15">
        <v>0.66366000000000003</v>
      </c>
      <c r="N3293" s="15">
        <v>0.8956031722880583</v>
      </c>
    </row>
    <row r="3294" spans="1:14" x14ac:dyDescent="0.2">
      <c r="A3294" s="2" t="s">
        <v>10066</v>
      </c>
      <c r="B3294" s="15">
        <v>2358</v>
      </c>
      <c r="C3294" s="15">
        <v>19</v>
      </c>
      <c r="D3294" s="15">
        <v>51259179</v>
      </c>
      <c r="E3294" s="15">
        <v>51903804</v>
      </c>
      <c r="F3294" s="15">
        <v>2092</v>
      </c>
      <c r="G3294" s="8" t="s">
        <v>12324</v>
      </c>
      <c r="H3294" s="24" t="s">
        <v>6008</v>
      </c>
      <c r="I3294" s="25" t="s">
        <v>6009</v>
      </c>
      <c r="J3294" s="8" t="s">
        <v>6010</v>
      </c>
      <c r="K3294" s="8" t="s">
        <v>10051</v>
      </c>
      <c r="L3294" s="15">
        <v>5.9422700000000002E-2</v>
      </c>
      <c r="M3294" s="15">
        <v>0.66491400000000001</v>
      </c>
      <c r="N3294" s="15">
        <v>0.89577569562575932</v>
      </c>
    </row>
    <row r="3295" spans="1:14" x14ac:dyDescent="0.2">
      <c r="A3295" s="2" t="s">
        <v>10068</v>
      </c>
      <c r="B3295" s="15">
        <v>2358</v>
      </c>
      <c r="C3295" s="15">
        <v>19</v>
      </c>
      <c r="D3295" s="15">
        <v>51259179</v>
      </c>
      <c r="E3295" s="15">
        <v>51903804</v>
      </c>
      <c r="F3295" s="15">
        <v>2095</v>
      </c>
      <c r="G3295" s="8" t="s">
        <v>12324</v>
      </c>
      <c r="H3295" s="24" t="s">
        <v>494</v>
      </c>
      <c r="I3295" s="25">
        <v>25920</v>
      </c>
      <c r="J3295" s="8" t="s">
        <v>496</v>
      </c>
      <c r="K3295" s="8" t="s">
        <v>10040</v>
      </c>
      <c r="L3295" s="15">
        <v>-6.7209400000000002E-2</v>
      </c>
      <c r="M3295" s="15">
        <v>0.665906</v>
      </c>
      <c r="N3295" s="15">
        <v>0.8966170182094082</v>
      </c>
    </row>
    <row r="3296" spans="1:14" x14ac:dyDescent="0.2">
      <c r="A3296" s="2" t="s">
        <v>10068</v>
      </c>
      <c r="B3296" s="15">
        <v>1600</v>
      </c>
      <c r="C3296" s="15">
        <v>10</v>
      </c>
      <c r="D3296" s="15">
        <v>126875817</v>
      </c>
      <c r="E3296" s="15">
        <v>127997708</v>
      </c>
      <c r="F3296" s="15">
        <v>3046</v>
      </c>
      <c r="G3296" s="8" t="s">
        <v>12324</v>
      </c>
      <c r="H3296" s="24" t="s">
        <v>1259</v>
      </c>
      <c r="I3296" s="25">
        <v>27096</v>
      </c>
      <c r="J3296" s="8" t="s">
        <v>1261</v>
      </c>
      <c r="K3296" s="8" t="s">
        <v>10040</v>
      </c>
      <c r="L3296" s="15">
        <v>-0.103381</v>
      </c>
      <c r="M3296" s="15">
        <v>0.66603199999999996</v>
      </c>
      <c r="N3296" s="15">
        <v>0.8966170182094082</v>
      </c>
    </row>
    <row r="3297" spans="1:14" x14ac:dyDescent="0.2">
      <c r="A3297" s="2" t="s">
        <v>10066</v>
      </c>
      <c r="B3297" s="15">
        <v>415</v>
      </c>
      <c r="C3297" s="15">
        <v>2</v>
      </c>
      <c r="D3297" s="15">
        <v>238185483</v>
      </c>
      <c r="E3297" s="15">
        <v>238814630</v>
      </c>
      <c r="F3297" s="15">
        <v>2162</v>
      </c>
      <c r="G3297" s="8" t="s">
        <v>12324</v>
      </c>
      <c r="H3297" s="24" t="s">
        <v>6008</v>
      </c>
      <c r="I3297" s="25" t="s">
        <v>6009</v>
      </c>
      <c r="J3297" s="8" t="s">
        <v>6010</v>
      </c>
      <c r="K3297" s="8" t="s">
        <v>10051</v>
      </c>
      <c r="L3297" s="15">
        <v>-9.9938899999999997E-2</v>
      </c>
      <c r="M3297" s="15">
        <v>0.66614499999999999</v>
      </c>
      <c r="N3297" s="15">
        <v>0.8966170182094082</v>
      </c>
    </row>
    <row r="3298" spans="1:14" x14ac:dyDescent="0.2">
      <c r="A3298" s="2" t="s">
        <v>10068</v>
      </c>
      <c r="B3298" s="15">
        <v>1853</v>
      </c>
      <c r="C3298" s="15">
        <v>12</v>
      </c>
      <c r="D3298" s="15">
        <v>126079936</v>
      </c>
      <c r="E3298" s="15">
        <v>126871452</v>
      </c>
      <c r="F3298" s="15">
        <v>2428</v>
      </c>
      <c r="G3298" s="8" t="s">
        <v>12324</v>
      </c>
      <c r="H3298" s="24" t="s">
        <v>599</v>
      </c>
      <c r="I3298" s="25">
        <v>26562</v>
      </c>
      <c r="J3298" s="8" t="s">
        <v>601</v>
      </c>
      <c r="K3298" s="8" t="s">
        <v>10040</v>
      </c>
      <c r="L3298" s="15">
        <v>-0.11985800000000001</v>
      </c>
      <c r="M3298" s="15">
        <v>0.66713599999999995</v>
      </c>
      <c r="N3298" s="15">
        <v>0.89767844660194163</v>
      </c>
    </row>
    <row r="3299" spans="1:14" x14ac:dyDescent="0.2">
      <c r="A3299" s="2" t="s">
        <v>10066</v>
      </c>
      <c r="B3299" s="15">
        <v>2138</v>
      </c>
      <c r="C3299" s="15">
        <v>16</v>
      </c>
      <c r="D3299" s="15">
        <v>57119890</v>
      </c>
      <c r="E3299" s="15">
        <v>58508978</v>
      </c>
      <c r="F3299" s="15">
        <v>4202</v>
      </c>
      <c r="G3299" s="8" t="s">
        <v>12324</v>
      </c>
      <c r="H3299" s="24" t="s">
        <v>3164</v>
      </c>
      <c r="I3299" s="25" t="s">
        <v>3165</v>
      </c>
      <c r="J3299" s="8" t="s">
        <v>3166</v>
      </c>
      <c r="K3299" s="8" t="s">
        <v>10042</v>
      </c>
      <c r="L3299" s="15">
        <v>0.16015799999999999</v>
      </c>
      <c r="M3299" s="15">
        <v>0.66787600000000003</v>
      </c>
      <c r="N3299" s="15">
        <v>0.89787979842376475</v>
      </c>
    </row>
    <row r="3300" spans="1:14" x14ac:dyDescent="0.2">
      <c r="A3300" s="2" t="s">
        <v>10066</v>
      </c>
      <c r="B3300" s="15">
        <v>1133</v>
      </c>
      <c r="C3300" s="15">
        <v>7</v>
      </c>
      <c r="D3300" s="15">
        <v>35354136</v>
      </c>
      <c r="E3300" s="15">
        <v>36507690</v>
      </c>
      <c r="F3300" s="15">
        <v>3207</v>
      </c>
      <c r="G3300" s="8" t="s">
        <v>12324</v>
      </c>
      <c r="H3300" s="24" t="s">
        <v>6008</v>
      </c>
      <c r="I3300" s="25" t="s">
        <v>6009</v>
      </c>
      <c r="J3300" s="8" t="s">
        <v>6010</v>
      </c>
      <c r="K3300" s="8" t="s">
        <v>10051</v>
      </c>
      <c r="L3300" s="15">
        <v>-7.5110899999999994E-2</v>
      </c>
      <c r="M3300" s="15">
        <v>0.66781699999999999</v>
      </c>
      <c r="N3300" s="15">
        <v>0.89787979842376475</v>
      </c>
    </row>
    <row r="3301" spans="1:14" x14ac:dyDescent="0.2">
      <c r="A3301" s="2" t="s">
        <v>10068</v>
      </c>
      <c r="B3301" s="15">
        <v>2000</v>
      </c>
      <c r="C3301" s="15">
        <v>14</v>
      </c>
      <c r="D3301" s="15">
        <v>69794543</v>
      </c>
      <c r="E3301" s="15">
        <v>71140426</v>
      </c>
      <c r="F3301" s="15">
        <v>3694</v>
      </c>
      <c r="G3301" s="8" t="s">
        <v>12324</v>
      </c>
      <c r="H3301" s="24" t="s">
        <v>6565</v>
      </c>
      <c r="I3301" s="25" t="s">
        <v>6475</v>
      </c>
      <c r="J3301" s="8" t="s">
        <v>6566</v>
      </c>
      <c r="K3301" s="8" t="s">
        <v>10054</v>
      </c>
      <c r="L3301" s="15">
        <v>7.8761100000000001E-2</v>
      </c>
      <c r="M3301" s="15">
        <v>0.66789299999999996</v>
      </c>
      <c r="N3301" s="15">
        <v>0.89787979842376475</v>
      </c>
    </row>
    <row r="3302" spans="1:14" x14ac:dyDescent="0.2">
      <c r="A3302" s="2" t="s">
        <v>10068</v>
      </c>
      <c r="B3302" s="15">
        <v>1867</v>
      </c>
      <c r="C3302" s="15">
        <v>13</v>
      </c>
      <c r="D3302" s="15">
        <v>22795189</v>
      </c>
      <c r="E3302" s="15">
        <v>23729049</v>
      </c>
      <c r="F3302" s="15">
        <v>3683</v>
      </c>
      <c r="G3302" s="8" t="s">
        <v>12324</v>
      </c>
      <c r="H3302" s="24" t="s">
        <v>1259</v>
      </c>
      <c r="I3302" s="25">
        <v>27096</v>
      </c>
      <c r="J3302" s="8" t="s">
        <v>1261</v>
      </c>
      <c r="K3302" s="8" t="s">
        <v>10040</v>
      </c>
      <c r="L3302" s="15">
        <v>9.3293299999999996E-2</v>
      </c>
      <c r="M3302" s="15">
        <v>0.66861000000000004</v>
      </c>
      <c r="N3302" s="15">
        <v>0.89857131818181823</v>
      </c>
    </row>
    <row r="3303" spans="1:14" x14ac:dyDescent="0.2">
      <c r="A3303" s="2" t="s">
        <v>10068</v>
      </c>
      <c r="B3303" s="15">
        <v>1170</v>
      </c>
      <c r="C3303" s="15">
        <v>7</v>
      </c>
      <c r="D3303" s="15">
        <v>78685010</v>
      </c>
      <c r="E3303" s="15">
        <v>80055721</v>
      </c>
      <c r="F3303" s="15">
        <v>3265</v>
      </c>
      <c r="G3303" s="8" t="s">
        <v>12324</v>
      </c>
      <c r="H3303" s="24" t="s">
        <v>494</v>
      </c>
      <c r="I3303" s="25">
        <v>25920</v>
      </c>
      <c r="J3303" s="8" t="s">
        <v>496</v>
      </c>
      <c r="K3303" s="8" t="s">
        <v>10040</v>
      </c>
      <c r="L3303" s="15">
        <v>-0.13481399999999999</v>
      </c>
      <c r="M3303" s="15">
        <v>0.66980499999999998</v>
      </c>
      <c r="N3303" s="15">
        <v>0.89921904171704958</v>
      </c>
    </row>
    <row r="3304" spans="1:14" x14ac:dyDescent="0.2">
      <c r="A3304" s="2" t="s">
        <v>10068</v>
      </c>
      <c r="B3304" s="15">
        <v>1127</v>
      </c>
      <c r="C3304" s="15">
        <v>7</v>
      </c>
      <c r="D3304" s="15">
        <v>28890887</v>
      </c>
      <c r="E3304" s="15">
        <v>30175113</v>
      </c>
      <c r="F3304" s="15">
        <v>4031</v>
      </c>
      <c r="G3304" s="8" t="s">
        <v>12324</v>
      </c>
      <c r="H3304" s="24" t="s">
        <v>494</v>
      </c>
      <c r="I3304" s="25">
        <v>25920</v>
      </c>
      <c r="J3304" s="8" t="s">
        <v>496</v>
      </c>
      <c r="K3304" s="8" t="s">
        <v>10040</v>
      </c>
      <c r="L3304" s="15">
        <v>0.10295700000000001</v>
      </c>
      <c r="M3304" s="15">
        <v>0.67028500000000002</v>
      </c>
      <c r="N3304" s="15">
        <v>0.89921904171704958</v>
      </c>
    </row>
    <row r="3305" spans="1:14" x14ac:dyDescent="0.2">
      <c r="A3305" s="2" t="s">
        <v>10068</v>
      </c>
      <c r="B3305" s="15">
        <v>1376</v>
      </c>
      <c r="C3305" s="15">
        <v>9</v>
      </c>
      <c r="D3305" s="15">
        <v>4025356</v>
      </c>
      <c r="E3305" s="15">
        <v>4596614</v>
      </c>
      <c r="F3305" s="15">
        <v>2102</v>
      </c>
      <c r="G3305" s="8" t="s">
        <v>12324</v>
      </c>
      <c r="H3305" s="24" t="s">
        <v>494</v>
      </c>
      <c r="I3305" s="25">
        <v>25920</v>
      </c>
      <c r="J3305" s="8" t="s">
        <v>496</v>
      </c>
      <c r="K3305" s="8" t="s">
        <v>10040</v>
      </c>
      <c r="L3305" s="15">
        <v>-7.2533299999999995E-2</v>
      </c>
      <c r="M3305" s="15">
        <v>0.670512</v>
      </c>
      <c r="N3305" s="15">
        <v>0.89921904171704958</v>
      </c>
    </row>
    <row r="3306" spans="1:14" x14ac:dyDescent="0.2">
      <c r="A3306" s="2" t="s">
        <v>10068</v>
      </c>
      <c r="B3306" s="15">
        <v>2471</v>
      </c>
      <c r="C3306" s="15">
        <v>22</v>
      </c>
      <c r="D3306" s="15">
        <v>26166935</v>
      </c>
      <c r="E3306" s="15">
        <v>27192923</v>
      </c>
      <c r="F3306" s="15">
        <v>3178</v>
      </c>
      <c r="G3306" s="8" t="s">
        <v>12324</v>
      </c>
      <c r="H3306" s="24" t="s">
        <v>1259</v>
      </c>
      <c r="I3306" s="25">
        <v>27096</v>
      </c>
      <c r="J3306" s="8" t="s">
        <v>1261</v>
      </c>
      <c r="K3306" s="8" t="s">
        <v>10040</v>
      </c>
      <c r="L3306" s="15">
        <v>-6.6364099999999995E-2</v>
      </c>
      <c r="M3306" s="15">
        <v>0.67059500000000005</v>
      </c>
      <c r="N3306" s="15">
        <v>0.89921904171704958</v>
      </c>
    </row>
    <row r="3307" spans="1:14" x14ac:dyDescent="0.2">
      <c r="A3307" s="2" t="s">
        <v>10068</v>
      </c>
      <c r="B3307" s="15">
        <v>2038</v>
      </c>
      <c r="C3307" s="15">
        <v>15</v>
      </c>
      <c r="D3307" s="15">
        <v>25384328</v>
      </c>
      <c r="E3307" s="15">
        <v>26392947</v>
      </c>
      <c r="F3307" s="15">
        <v>3383</v>
      </c>
      <c r="G3307" s="8" t="s">
        <v>12324</v>
      </c>
      <c r="H3307" s="24" t="s">
        <v>1259</v>
      </c>
      <c r="I3307" s="25">
        <v>27096</v>
      </c>
      <c r="J3307" s="8" t="s">
        <v>1261</v>
      </c>
      <c r="K3307" s="8" t="s">
        <v>10040</v>
      </c>
      <c r="L3307" s="15">
        <v>9.1773400000000005E-2</v>
      </c>
      <c r="M3307" s="15">
        <v>0.67071400000000003</v>
      </c>
      <c r="N3307" s="15">
        <v>0.89921904171704958</v>
      </c>
    </row>
    <row r="3308" spans="1:14" x14ac:dyDescent="0.2">
      <c r="A3308" s="2" t="s">
        <v>10066</v>
      </c>
      <c r="B3308" s="15">
        <v>1823</v>
      </c>
      <c r="C3308" s="15">
        <v>12</v>
      </c>
      <c r="D3308" s="15">
        <v>92061180</v>
      </c>
      <c r="E3308" s="15">
        <v>93487547</v>
      </c>
      <c r="F3308" s="15">
        <v>3594</v>
      </c>
      <c r="G3308" s="8" t="s">
        <v>12324</v>
      </c>
      <c r="H3308" s="24" t="s">
        <v>3164</v>
      </c>
      <c r="I3308" s="25" t="s">
        <v>3165</v>
      </c>
      <c r="J3308" s="8" t="s">
        <v>3166</v>
      </c>
      <c r="K3308" s="8" t="s">
        <v>10042</v>
      </c>
      <c r="L3308" s="15">
        <v>5.2414200000000001E-2</v>
      </c>
      <c r="M3308" s="15">
        <v>0.67008999999999996</v>
      </c>
      <c r="N3308" s="15">
        <v>0.89921904171704958</v>
      </c>
    </row>
    <row r="3309" spans="1:14" x14ac:dyDescent="0.2">
      <c r="A3309" s="2" t="s">
        <v>10066</v>
      </c>
      <c r="B3309" s="15">
        <v>1830</v>
      </c>
      <c r="C3309" s="15">
        <v>12</v>
      </c>
      <c r="D3309" s="15">
        <v>99244338</v>
      </c>
      <c r="E3309" s="15">
        <v>100931423</v>
      </c>
      <c r="F3309" s="15">
        <v>3556</v>
      </c>
      <c r="G3309" s="8" t="s">
        <v>12324</v>
      </c>
      <c r="H3309" s="24" t="s">
        <v>3164</v>
      </c>
      <c r="I3309" s="25" t="s">
        <v>3165</v>
      </c>
      <c r="J3309" s="8" t="s">
        <v>3166</v>
      </c>
      <c r="K3309" s="8" t="s">
        <v>10042</v>
      </c>
      <c r="L3309" s="15">
        <v>0.11049399999999999</v>
      </c>
      <c r="M3309" s="15">
        <v>0.67022499999999996</v>
      </c>
      <c r="N3309" s="15">
        <v>0.89921904171704958</v>
      </c>
    </row>
    <row r="3310" spans="1:14" x14ac:dyDescent="0.2">
      <c r="A3310" s="2" t="s">
        <v>10068</v>
      </c>
      <c r="B3310" s="15">
        <v>45</v>
      </c>
      <c r="C3310" s="15">
        <v>1</v>
      </c>
      <c r="D3310" s="15">
        <v>51777578</v>
      </c>
      <c r="E3310" s="15">
        <v>53114186</v>
      </c>
      <c r="F3310" s="15">
        <v>2334</v>
      </c>
      <c r="G3310" s="8" t="s">
        <v>12324</v>
      </c>
      <c r="H3310" s="24" t="s">
        <v>6565</v>
      </c>
      <c r="I3310" s="25" t="s">
        <v>6475</v>
      </c>
      <c r="J3310" s="8" t="s">
        <v>6566</v>
      </c>
      <c r="K3310" s="8" t="s">
        <v>10054</v>
      </c>
      <c r="L3310" s="15">
        <v>-0.122089</v>
      </c>
      <c r="M3310" s="15">
        <v>0.669798</v>
      </c>
      <c r="N3310" s="15">
        <v>0.89921904171704958</v>
      </c>
    </row>
    <row r="3311" spans="1:14" x14ac:dyDescent="0.2">
      <c r="A3311" s="2" t="s">
        <v>10069</v>
      </c>
      <c r="B3311" s="15">
        <v>840</v>
      </c>
      <c r="C3311" s="15">
        <v>5</v>
      </c>
      <c r="D3311" s="15">
        <v>77290256</v>
      </c>
      <c r="E3311" s="15">
        <v>79005158</v>
      </c>
      <c r="F3311" s="15">
        <v>2417</v>
      </c>
      <c r="G3311" s="8" t="s">
        <v>12324</v>
      </c>
      <c r="H3311" s="24" t="s">
        <v>662</v>
      </c>
      <c r="I3311" s="25" t="s">
        <v>663</v>
      </c>
      <c r="J3311" s="8" t="s">
        <v>664</v>
      </c>
      <c r="K3311" s="8" t="s">
        <v>10040</v>
      </c>
      <c r="L3311" s="15">
        <v>0.14074999999999999</v>
      </c>
      <c r="M3311" s="15">
        <v>0.67126799999999998</v>
      </c>
      <c r="N3311" s="15">
        <v>0.8996898096101541</v>
      </c>
    </row>
    <row r="3312" spans="1:14" x14ac:dyDescent="0.2">
      <c r="A3312" s="2" t="s">
        <v>10068</v>
      </c>
      <c r="B3312" s="15">
        <v>2472</v>
      </c>
      <c r="C3312" s="15">
        <v>22</v>
      </c>
      <c r="D3312" s="15">
        <v>27192924</v>
      </c>
      <c r="E3312" s="15">
        <v>27952441</v>
      </c>
      <c r="F3312" s="15">
        <v>2882</v>
      </c>
      <c r="G3312" s="8" t="s">
        <v>12324</v>
      </c>
      <c r="H3312" s="24" t="s">
        <v>599</v>
      </c>
      <c r="I3312" s="25">
        <v>26562</v>
      </c>
      <c r="J3312" s="8" t="s">
        <v>601</v>
      </c>
      <c r="K3312" s="8" t="s">
        <v>10040</v>
      </c>
      <c r="L3312" s="15">
        <v>7.8986200000000006E-2</v>
      </c>
      <c r="M3312" s="15">
        <v>0.67211500000000002</v>
      </c>
      <c r="N3312" s="15">
        <v>0.90055287764350445</v>
      </c>
    </row>
    <row r="3313" spans="1:14" x14ac:dyDescent="0.2">
      <c r="A3313" s="2" t="s">
        <v>10066</v>
      </c>
      <c r="B3313" s="15">
        <v>2457</v>
      </c>
      <c r="C3313" s="15">
        <v>21</v>
      </c>
      <c r="D3313" s="15">
        <v>43081435</v>
      </c>
      <c r="E3313" s="15">
        <v>43812791</v>
      </c>
      <c r="F3313" s="15">
        <v>3071</v>
      </c>
      <c r="G3313" s="8" t="s">
        <v>12324</v>
      </c>
      <c r="H3313" s="24" t="s">
        <v>6008</v>
      </c>
      <c r="I3313" s="25" t="s">
        <v>6009</v>
      </c>
      <c r="J3313" s="8" t="s">
        <v>6010</v>
      </c>
      <c r="K3313" s="8" t="s">
        <v>10051</v>
      </c>
      <c r="L3313" s="15">
        <v>-7.9920500000000005E-2</v>
      </c>
      <c r="M3313" s="15">
        <v>0.67254400000000003</v>
      </c>
      <c r="N3313" s="15">
        <v>0.90085552401087288</v>
      </c>
    </row>
    <row r="3314" spans="1:14" x14ac:dyDescent="0.2">
      <c r="A3314" s="2" t="s">
        <v>10068</v>
      </c>
      <c r="B3314" s="15">
        <v>1986</v>
      </c>
      <c r="C3314" s="15">
        <v>14</v>
      </c>
      <c r="D3314" s="15">
        <v>54359599</v>
      </c>
      <c r="E3314" s="15">
        <v>55292832</v>
      </c>
      <c r="F3314" s="15">
        <v>2088</v>
      </c>
      <c r="G3314" s="8" t="s">
        <v>12324</v>
      </c>
      <c r="H3314" s="24" t="s">
        <v>494</v>
      </c>
      <c r="I3314" s="25">
        <v>25920</v>
      </c>
      <c r="J3314" s="8" t="s">
        <v>496</v>
      </c>
      <c r="K3314" s="8" t="s">
        <v>10040</v>
      </c>
      <c r="L3314" s="15">
        <v>-0.108664</v>
      </c>
      <c r="M3314" s="15">
        <v>0.67325800000000002</v>
      </c>
      <c r="N3314" s="15">
        <v>0.90099554315027153</v>
      </c>
    </row>
    <row r="3315" spans="1:14" x14ac:dyDescent="0.2">
      <c r="A3315" s="2" t="s">
        <v>10068</v>
      </c>
      <c r="B3315" s="15">
        <v>672</v>
      </c>
      <c r="C3315" s="15">
        <v>4</v>
      </c>
      <c r="D3315" s="15">
        <v>78967716</v>
      </c>
      <c r="E3315" s="15">
        <v>79880101</v>
      </c>
      <c r="F3315" s="15">
        <v>2268</v>
      </c>
      <c r="G3315" s="8" t="s">
        <v>12324</v>
      </c>
      <c r="H3315" s="24" t="s">
        <v>599</v>
      </c>
      <c r="I3315" s="25">
        <v>26562</v>
      </c>
      <c r="J3315" s="8" t="s">
        <v>601</v>
      </c>
      <c r="K3315" s="8" t="s">
        <v>10040</v>
      </c>
      <c r="L3315" s="15">
        <v>0.145676</v>
      </c>
      <c r="M3315" s="15">
        <v>0.67324399999999995</v>
      </c>
      <c r="N3315" s="15">
        <v>0.90099554315027153</v>
      </c>
    </row>
    <row r="3316" spans="1:14" x14ac:dyDescent="0.2">
      <c r="A3316" s="2" t="s">
        <v>10069</v>
      </c>
      <c r="B3316" s="15">
        <v>1758</v>
      </c>
      <c r="C3316" s="15">
        <v>12</v>
      </c>
      <c r="D3316" s="15">
        <v>18470024</v>
      </c>
      <c r="E3316" s="15">
        <v>19532765</v>
      </c>
      <c r="F3316" s="15">
        <v>1730</v>
      </c>
      <c r="G3316" s="8" t="s">
        <v>12324</v>
      </c>
      <c r="H3316" s="24" t="s">
        <v>662</v>
      </c>
      <c r="I3316" s="25" t="s">
        <v>663</v>
      </c>
      <c r="J3316" s="8" t="s">
        <v>664</v>
      </c>
      <c r="K3316" s="8" t="s">
        <v>10040</v>
      </c>
      <c r="L3316" s="15">
        <v>-0.180309</v>
      </c>
      <c r="M3316" s="15">
        <v>0.67291699999999999</v>
      </c>
      <c r="N3316" s="15">
        <v>0.90099554315027153</v>
      </c>
    </row>
    <row r="3317" spans="1:14" x14ac:dyDescent="0.2">
      <c r="A3317" s="2" t="s">
        <v>10066</v>
      </c>
      <c r="B3317" s="15">
        <v>1122</v>
      </c>
      <c r="C3317" s="15">
        <v>7</v>
      </c>
      <c r="D3317" s="15">
        <v>23106681</v>
      </c>
      <c r="E3317" s="15">
        <v>24151099</v>
      </c>
      <c r="F3317" s="15">
        <v>2632</v>
      </c>
      <c r="G3317" s="8" t="s">
        <v>12324</v>
      </c>
      <c r="H3317" s="24" t="s">
        <v>6008</v>
      </c>
      <c r="I3317" s="25" t="s">
        <v>6009</v>
      </c>
      <c r="J3317" s="8" t="s">
        <v>6010</v>
      </c>
      <c r="K3317" s="8" t="s">
        <v>10051</v>
      </c>
      <c r="L3317" s="15">
        <v>0.146232</v>
      </c>
      <c r="M3317" s="15">
        <v>0.67372200000000004</v>
      </c>
      <c r="N3317" s="15">
        <v>0.90134451583710407</v>
      </c>
    </row>
    <row r="3318" spans="1:14" x14ac:dyDescent="0.2">
      <c r="A3318" s="2" t="s">
        <v>10068</v>
      </c>
      <c r="B3318" s="15">
        <v>2090</v>
      </c>
      <c r="C3318" s="15">
        <v>15</v>
      </c>
      <c r="D3318" s="15">
        <v>90632719</v>
      </c>
      <c r="E3318" s="15">
        <v>91593623</v>
      </c>
      <c r="F3318" s="15">
        <v>2669</v>
      </c>
      <c r="G3318" s="8" t="s">
        <v>12324</v>
      </c>
      <c r="H3318" s="24" t="s">
        <v>494</v>
      </c>
      <c r="I3318" s="25">
        <v>25920</v>
      </c>
      <c r="J3318" s="8" t="s">
        <v>496</v>
      </c>
      <c r="K3318" s="8" t="s">
        <v>10040</v>
      </c>
      <c r="L3318" s="15">
        <v>-9.5927899999999997E-2</v>
      </c>
      <c r="M3318" s="15">
        <v>0.67491800000000002</v>
      </c>
      <c r="N3318" s="15">
        <v>0.90159004358280725</v>
      </c>
    </row>
    <row r="3319" spans="1:14" x14ac:dyDescent="0.2">
      <c r="A3319" s="2" t="s">
        <v>10068</v>
      </c>
      <c r="B3319" s="15">
        <v>244</v>
      </c>
      <c r="C3319" s="15">
        <v>2</v>
      </c>
      <c r="D3319" s="15">
        <v>40087419</v>
      </c>
      <c r="E3319" s="15">
        <v>40786176</v>
      </c>
      <c r="F3319" s="15">
        <v>2219</v>
      </c>
      <c r="G3319" s="8" t="s">
        <v>12324</v>
      </c>
      <c r="H3319" s="24" t="s">
        <v>599</v>
      </c>
      <c r="I3319" s="25">
        <v>26562</v>
      </c>
      <c r="J3319" s="8" t="s">
        <v>601</v>
      </c>
      <c r="K3319" s="8" t="s">
        <v>10040</v>
      </c>
      <c r="L3319" s="15">
        <v>-0.112618</v>
      </c>
      <c r="M3319" s="15">
        <v>0.67603999999999997</v>
      </c>
      <c r="N3319" s="15">
        <v>0.90159004358280725</v>
      </c>
    </row>
    <row r="3320" spans="1:14" x14ac:dyDescent="0.2">
      <c r="A3320" s="2" t="s">
        <v>10069</v>
      </c>
      <c r="B3320" s="15">
        <v>570</v>
      </c>
      <c r="C3320" s="15">
        <v>3</v>
      </c>
      <c r="D3320" s="15">
        <v>168972663</v>
      </c>
      <c r="E3320" s="15">
        <v>170174578</v>
      </c>
      <c r="F3320" s="15">
        <v>1544</v>
      </c>
      <c r="G3320" s="8" t="s">
        <v>12324</v>
      </c>
      <c r="H3320" s="24" t="s">
        <v>662</v>
      </c>
      <c r="I3320" s="25" t="s">
        <v>663</v>
      </c>
      <c r="J3320" s="8" t="s">
        <v>664</v>
      </c>
      <c r="K3320" s="8" t="s">
        <v>10040</v>
      </c>
      <c r="L3320" s="15">
        <v>-0.15618499999999999</v>
      </c>
      <c r="M3320" s="15">
        <v>0.67615199999999998</v>
      </c>
      <c r="N3320" s="15">
        <v>0.90159004358280725</v>
      </c>
    </row>
    <row r="3321" spans="1:14" x14ac:dyDescent="0.2">
      <c r="A3321" s="2" t="s">
        <v>10068</v>
      </c>
      <c r="B3321" s="15">
        <v>1756</v>
      </c>
      <c r="C3321" s="15">
        <v>12</v>
      </c>
      <c r="D3321" s="15">
        <v>16136743</v>
      </c>
      <c r="E3321" s="15">
        <v>17374895</v>
      </c>
      <c r="F3321" s="15">
        <v>2289</v>
      </c>
      <c r="G3321" s="8" t="s">
        <v>12324</v>
      </c>
      <c r="H3321" s="24" t="s">
        <v>1259</v>
      </c>
      <c r="I3321" s="25">
        <v>27096</v>
      </c>
      <c r="J3321" s="8" t="s">
        <v>1261</v>
      </c>
      <c r="K3321" s="8" t="s">
        <v>10040</v>
      </c>
      <c r="L3321" s="15">
        <v>-7.3043399999999994E-2</v>
      </c>
      <c r="M3321" s="15">
        <v>0.67493000000000003</v>
      </c>
      <c r="N3321" s="15">
        <v>0.90159004358280725</v>
      </c>
    </row>
    <row r="3322" spans="1:14" x14ac:dyDescent="0.2">
      <c r="A3322" s="2" t="s">
        <v>10068</v>
      </c>
      <c r="B3322" s="15">
        <v>433</v>
      </c>
      <c r="C3322" s="15">
        <v>3</v>
      </c>
      <c r="D3322" s="15">
        <v>11226368</v>
      </c>
      <c r="E3322" s="15">
        <v>11997658</v>
      </c>
      <c r="F3322" s="15">
        <v>2129</v>
      </c>
      <c r="G3322" s="8" t="s">
        <v>12324</v>
      </c>
      <c r="H3322" s="24" t="s">
        <v>1259</v>
      </c>
      <c r="I3322" s="25">
        <v>27096</v>
      </c>
      <c r="J3322" s="8" t="s">
        <v>1261</v>
      </c>
      <c r="K3322" s="8" t="s">
        <v>10040</v>
      </c>
      <c r="L3322" s="15">
        <v>0.14437</v>
      </c>
      <c r="M3322" s="15">
        <v>0.67634499999999997</v>
      </c>
      <c r="N3322" s="15">
        <v>0.90159004358280725</v>
      </c>
    </row>
    <row r="3323" spans="1:14" x14ac:dyDescent="0.2">
      <c r="A3323" s="2" t="s">
        <v>10066</v>
      </c>
      <c r="B3323" s="15">
        <v>607</v>
      </c>
      <c r="C3323" s="15">
        <v>4</v>
      </c>
      <c r="D3323" s="15">
        <v>8882617</v>
      </c>
      <c r="E3323" s="15">
        <v>9482867</v>
      </c>
      <c r="F3323" s="15">
        <v>1053</v>
      </c>
      <c r="G3323" s="8" t="s">
        <v>12324</v>
      </c>
      <c r="H3323" s="24" t="s">
        <v>3164</v>
      </c>
      <c r="I3323" s="25" t="s">
        <v>3165</v>
      </c>
      <c r="J3323" s="8" t="s">
        <v>3166</v>
      </c>
      <c r="K3323" s="8" t="s">
        <v>10042</v>
      </c>
      <c r="L3323" s="15">
        <v>-7.30098E-2</v>
      </c>
      <c r="M3323" s="15">
        <v>0.67530999999999997</v>
      </c>
      <c r="N3323" s="15">
        <v>0.90159004358280725</v>
      </c>
    </row>
    <row r="3324" spans="1:14" x14ac:dyDescent="0.2">
      <c r="A3324" s="2" t="s">
        <v>10066</v>
      </c>
      <c r="B3324" s="15">
        <v>653</v>
      </c>
      <c r="C3324" s="15">
        <v>4</v>
      </c>
      <c r="D3324" s="15">
        <v>57103101</v>
      </c>
      <c r="E3324" s="15">
        <v>58011085</v>
      </c>
      <c r="F3324" s="15">
        <v>2962</v>
      </c>
      <c r="G3324" s="8" t="s">
        <v>12324</v>
      </c>
      <c r="H3324" s="24" t="s">
        <v>3164</v>
      </c>
      <c r="I3324" s="25" t="s">
        <v>3165</v>
      </c>
      <c r="J3324" s="8" t="s">
        <v>3166</v>
      </c>
      <c r="K3324" s="8" t="s">
        <v>10042</v>
      </c>
      <c r="L3324" s="15">
        <v>0.10639800000000001</v>
      </c>
      <c r="M3324" s="15">
        <v>0.67571199999999998</v>
      </c>
      <c r="N3324" s="15">
        <v>0.90159004358280725</v>
      </c>
    </row>
    <row r="3325" spans="1:14" x14ac:dyDescent="0.2">
      <c r="A3325" s="2" t="s">
        <v>10066</v>
      </c>
      <c r="B3325" s="15">
        <v>808</v>
      </c>
      <c r="C3325" s="15">
        <v>5</v>
      </c>
      <c r="D3325" s="15">
        <v>36431968</v>
      </c>
      <c r="E3325" s="15">
        <v>37925487</v>
      </c>
      <c r="F3325" s="15">
        <v>3083</v>
      </c>
      <c r="G3325" s="8" t="s">
        <v>12324</v>
      </c>
      <c r="H3325" s="24" t="s">
        <v>3164</v>
      </c>
      <c r="I3325" s="25" t="s">
        <v>3165</v>
      </c>
      <c r="J3325" s="8" t="s">
        <v>3166</v>
      </c>
      <c r="K3325" s="8" t="s">
        <v>10042</v>
      </c>
      <c r="L3325" s="15">
        <v>-0.105001</v>
      </c>
      <c r="M3325" s="15">
        <v>0.67575799999999997</v>
      </c>
      <c r="N3325" s="15">
        <v>0.90159004358280725</v>
      </c>
    </row>
    <row r="3326" spans="1:14" x14ac:dyDescent="0.2">
      <c r="A3326" s="2" t="s">
        <v>10066</v>
      </c>
      <c r="B3326" s="15">
        <v>1040</v>
      </c>
      <c r="C3326" s="15">
        <v>6</v>
      </c>
      <c r="D3326" s="15">
        <v>110647843</v>
      </c>
      <c r="E3326" s="15">
        <v>111363443</v>
      </c>
      <c r="F3326" s="15">
        <v>2086</v>
      </c>
      <c r="G3326" s="8" t="s">
        <v>12324</v>
      </c>
      <c r="H3326" s="24" t="s">
        <v>6008</v>
      </c>
      <c r="I3326" s="25" t="s">
        <v>6009</v>
      </c>
      <c r="J3326" s="8" t="s">
        <v>6010</v>
      </c>
      <c r="K3326" s="8" t="s">
        <v>10051</v>
      </c>
      <c r="L3326" s="15">
        <v>-8.8095699999999999E-2</v>
      </c>
      <c r="M3326" s="15">
        <v>0.674732</v>
      </c>
      <c r="N3326" s="15">
        <v>0.90159004358280725</v>
      </c>
    </row>
    <row r="3327" spans="1:14" x14ac:dyDescent="0.2">
      <c r="A3327" s="2" t="s">
        <v>10066</v>
      </c>
      <c r="B3327" s="15">
        <v>1677</v>
      </c>
      <c r="C3327" s="15">
        <v>11</v>
      </c>
      <c r="D3327" s="15">
        <v>68887345</v>
      </c>
      <c r="E3327" s="15">
        <v>69713996</v>
      </c>
      <c r="F3327" s="15">
        <v>2309</v>
      </c>
      <c r="G3327" s="8" t="s">
        <v>12324</v>
      </c>
      <c r="H3327" s="24" t="s">
        <v>6008</v>
      </c>
      <c r="I3327" s="25" t="s">
        <v>6009</v>
      </c>
      <c r="J3327" s="8" t="s">
        <v>6010</v>
      </c>
      <c r="K3327" s="8" t="s">
        <v>10051</v>
      </c>
      <c r="L3327" s="15">
        <v>0.106323</v>
      </c>
      <c r="M3327" s="15">
        <v>0.67560699999999996</v>
      </c>
      <c r="N3327" s="15">
        <v>0.90159004358280725</v>
      </c>
    </row>
    <row r="3328" spans="1:14" x14ac:dyDescent="0.2">
      <c r="A3328" s="2" t="s">
        <v>10066</v>
      </c>
      <c r="B3328" s="15">
        <v>770</v>
      </c>
      <c r="C3328" s="15">
        <v>4</v>
      </c>
      <c r="D3328" s="15">
        <v>186232883</v>
      </c>
      <c r="E3328" s="15">
        <v>186881568</v>
      </c>
      <c r="F3328" s="15">
        <v>2216</v>
      </c>
      <c r="G3328" s="8" t="s">
        <v>12324</v>
      </c>
      <c r="H3328" s="24" t="s">
        <v>6008</v>
      </c>
      <c r="I3328" s="25" t="s">
        <v>6009</v>
      </c>
      <c r="J3328" s="8" t="s">
        <v>6010</v>
      </c>
      <c r="K3328" s="8" t="s">
        <v>10051</v>
      </c>
      <c r="L3328" s="15">
        <v>7.4969800000000003E-2</v>
      </c>
      <c r="M3328" s="15">
        <v>0.67578300000000002</v>
      </c>
      <c r="N3328" s="15">
        <v>0.90159004358280725</v>
      </c>
    </row>
    <row r="3329" spans="1:14" x14ac:dyDescent="0.2">
      <c r="A3329" s="2" t="s">
        <v>10068</v>
      </c>
      <c r="B3329" s="15">
        <v>305</v>
      </c>
      <c r="C3329" s="15">
        <v>2</v>
      </c>
      <c r="D3329" s="15">
        <v>110097869</v>
      </c>
      <c r="E3329" s="15">
        <v>112644828</v>
      </c>
      <c r="F3329" s="15">
        <v>3421</v>
      </c>
      <c r="G3329" s="8" t="s">
        <v>12324</v>
      </c>
      <c r="H3329" s="24" t="s">
        <v>6565</v>
      </c>
      <c r="I3329" s="25" t="s">
        <v>6475</v>
      </c>
      <c r="J3329" s="8" t="s">
        <v>6566</v>
      </c>
      <c r="K3329" s="8" t="s">
        <v>10054</v>
      </c>
      <c r="L3329" s="15">
        <v>7.0282899999999995E-2</v>
      </c>
      <c r="M3329" s="15">
        <v>0.67432599999999998</v>
      </c>
      <c r="N3329" s="15">
        <v>0.90159004358280725</v>
      </c>
    </row>
    <row r="3330" spans="1:14" x14ac:dyDescent="0.2">
      <c r="A3330" s="2" t="s">
        <v>10068</v>
      </c>
      <c r="B3330" s="15">
        <v>1677</v>
      </c>
      <c r="C3330" s="15">
        <v>11</v>
      </c>
      <c r="D3330" s="15">
        <v>68887345</v>
      </c>
      <c r="E3330" s="15">
        <v>69713996</v>
      </c>
      <c r="F3330" s="15">
        <v>2319</v>
      </c>
      <c r="G3330" s="8" t="s">
        <v>12324</v>
      </c>
      <c r="H3330" s="24" t="s">
        <v>494</v>
      </c>
      <c r="I3330" s="25">
        <v>25920</v>
      </c>
      <c r="J3330" s="8" t="s">
        <v>496</v>
      </c>
      <c r="K3330" s="8" t="s">
        <v>10040</v>
      </c>
      <c r="L3330" s="15">
        <v>9.84931E-2</v>
      </c>
      <c r="M3330" s="15">
        <v>0.67730400000000002</v>
      </c>
      <c r="N3330" s="15">
        <v>0.9021602417417417</v>
      </c>
    </row>
    <row r="3331" spans="1:14" x14ac:dyDescent="0.2">
      <c r="A3331" s="2" t="s">
        <v>10066</v>
      </c>
      <c r="B3331" s="15">
        <v>2460</v>
      </c>
      <c r="C3331" s="15">
        <v>21</v>
      </c>
      <c r="D3331" s="15">
        <v>46045434</v>
      </c>
      <c r="E3331" s="15">
        <v>47014880</v>
      </c>
      <c r="F3331" s="15">
        <v>3581</v>
      </c>
      <c r="G3331" s="8" t="s">
        <v>12324</v>
      </c>
      <c r="H3331" s="24" t="s">
        <v>6008</v>
      </c>
      <c r="I3331" s="25" t="s">
        <v>6009</v>
      </c>
      <c r="J3331" s="8" t="s">
        <v>6010</v>
      </c>
      <c r="K3331" s="8" t="s">
        <v>10051</v>
      </c>
      <c r="L3331" s="15">
        <v>0.105951</v>
      </c>
      <c r="M3331" s="15">
        <v>0.67699200000000004</v>
      </c>
      <c r="N3331" s="15">
        <v>0.9021602417417417</v>
      </c>
    </row>
    <row r="3332" spans="1:14" x14ac:dyDescent="0.2">
      <c r="A3332" s="2" t="s">
        <v>10066</v>
      </c>
      <c r="B3332" s="15">
        <v>778</v>
      </c>
      <c r="C3332" s="15">
        <v>5</v>
      </c>
      <c r="D3332" s="15">
        <v>2106886</v>
      </c>
      <c r="E3332" s="15">
        <v>2960068</v>
      </c>
      <c r="F3332" s="15">
        <v>3357</v>
      </c>
      <c r="G3332" s="8" t="s">
        <v>12324</v>
      </c>
      <c r="H3332" s="24" t="s">
        <v>6008</v>
      </c>
      <c r="I3332" s="25" t="s">
        <v>6009</v>
      </c>
      <c r="J3332" s="8" t="s">
        <v>6010</v>
      </c>
      <c r="K3332" s="8" t="s">
        <v>10051</v>
      </c>
      <c r="L3332" s="15">
        <v>8.79746E-2</v>
      </c>
      <c r="M3332" s="15">
        <v>0.67738299999999996</v>
      </c>
      <c r="N3332" s="15">
        <v>0.9021602417417417</v>
      </c>
    </row>
    <row r="3333" spans="1:14" x14ac:dyDescent="0.2">
      <c r="A3333" s="2" t="s">
        <v>10069</v>
      </c>
      <c r="B3333" s="15">
        <v>2124</v>
      </c>
      <c r="C3333" s="15">
        <v>16</v>
      </c>
      <c r="D3333" s="15">
        <v>24014706</v>
      </c>
      <c r="E3333" s="15">
        <v>25235251</v>
      </c>
      <c r="F3333" s="15">
        <v>2107</v>
      </c>
      <c r="G3333" s="8" t="s">
        <v>12324</v>
      </c>
      <c r="H3333" s="24" t="s">
        <v>662</v>
      </c>
      <c r="I3333" s="25" t="s">
        <v>663</v>
      </c>
      <c r="J3333" s="8" t="s">
        <v>664</v>
      </c>
      <c r="K3333" s="8" t="s">
        <v>10040</v>
      </c>
      <c r="L3333" s="15">
        <v>-0.11912399999999999</v>
      </c>
      <c r="M3333" s="15">
        <v>0.678172</v>
      </c>
      <c r="N3333" s="15">
        <v>0.90245796429642955</v>
      </c>
    </row>
    <row r="3334" spans="1:14" x14ac:dyDescent="0.2">
      <c r="A3334" s="2" t="s">
        <v>10066</v>
      </c>
      <c r="B3334" s="15">
        <v>2112</v>
      </c>
      <c r="C3334" s="15">
        <v>16</v>
      </c>
      <c r="D3334" s="15">
        <v>9104470</v>
      </c>
      <c r="E3334" s="15">
        <v>9754796</v>
      </c>
      <c r="F3334" s="15">
        <v>2408</v>
      </c>
      <c r="G3334" s="8" t="s">
        <v>12324</v>
      </c>
      <c r="H3334" s="24" t="s">
        <v>3164</v>
      </c>
      <c r="I3334" s="25" t="s">
        <v>3165</v>
      </c>
      <c r="J3334" s="8" t="s">
        <v>3166</v>
      </c>
      <c r="K3334" s="8" t="s">
        <v>10042</v>
      </c>
      <c r="L3334" s="15">
        <v>0.13742699999999999</v>
      </c>
      <c r="M3334" s="15">
        <v>0.67809299999999995</v>
      </c>
      <c r="N3334" s="15">
        <v>0.90245796429642955</v>
      </c>
    </row>
    <row r="3335" spans="1:14" x14ac:dyDescent="0.2">
      <c r="A3335" s="2" t="s">
        <v>10066</v>
      </c>
      <c r="B3335" s="15">
        <v>1519</v>
      </c>
      <c r="C3335" s="15">
        <v>10</v>
      </c>
      <c r="D3335" s="15">
        <v>30000224</v>
      </c>
      <c r="E3335" s="15">
        <v>30919469</v>
      </c>
      <c r="F3335" s="15">
        <v>2888</v>
      </c>
      <c r="G3335" s="8" t="s">
        <v>12324</v>
      </c>
      <c r="H3335" s="24" t="s">
        <v>6008</v>
      </c>
      <c r="I3335" s="25" t="s">
        <v>6009</v>
      </c>
      <c r="J3335" s="8" t="s">
        <v>6010</v>
      </c>
      <c r="K3335" s="8" t="s">
        <v>10051</v>
      </c>
      <c r="L3335" s="15">
        <v>-6.8138699999999996E-2</v>
      </c>
      <c r="M3335" s="15">
        <v>0.67821699999999996</v>
      </c>
      <c r="N3335" s="15">
        <v>0.90245796429642955</v>
      </c>
    </row>
    <row r="3336" spans="1:14" x14ac:dyDescent="0.2">
      <c r="A3336" s="2" t="s">
        <v>10068</v>
      </c>
      <c r="B3336" s="15">
        <v>2249</v>
      </c>
      <c r="C3336" s="15">
        <v>18</v>
      </c>
      <c r="D3336" s="15">
        <v>10675549</v>
      </c>
      <c r="E3336" s="15">
        <v>11872226</v>
      </c>
      <c r="F3336" s="15">
        <v>3838</v>
      </c>
      <c r="G3336" s="8" t="s">
        <v>12324</v>
      </c>
      <c r="H3336" s="24" t="s">
        <v>599</v>
      </c>
      <c r="I3336" s="25">
        <v>26562</v>
      </c>
      <c r="J3336" s="8" t="s">
        <v>601</v>
      </c>
      <c r="K3336" s="8" t="s">
        <v>10040</v>
      </c>
      <c r="L3336" s="15">
        <v>-0.12626999999999999</v>
      </c>
      <c r="M3336" s="15">
        <v>0.679477</v>
      </c>
      <c r="N3336" s="15">
        <v>0.90359235232383806</v>
      </c>
    </row>
    <row r="3337" spans="1:14" x14ac:dyDescent="0.2">
      <c r="A3337" s="2" t="s">
        <v>10069</v>
      </c>
      <c r="B3337" s="15">
        <v>1610</v>
      </c>
      <c r="C3337" s="15">
        <v>11</v>
      </c>
      <c r="D3337" s="15">
        <v>87150</v>
      </c>
      <c r="E3337" s="15">
        <v>1061399</v>
      </c>
      <c r="F3337" s="15">
        <v>1770</v>
      </c>
      <c r="G3337" s="8" t="s">
        <v>12324</v>
      </c>
      <c r="H3337" s="24" t="s">
        <v>662</v>
      </c>
      <c r="I3337" s="25" t="s">
        <v>663</v>
      </c>
      <c r="J3337" s="8" t="s">
        <v>664</v>
      </c>
      <c r="K3337" s="8" t="s">
        <v>10040</v>
      </c>
      <c r="L3337" s="15">
        <v>0.17541599999999999</v>
      </c>
      <c r="M3337" s="15">
        <v>0.67943900000000002</v>
      </c>
      <c r="N3337" s="15">
        <v>0.90359235232383806</v>
      </c>
    </row>
    <row r="3338" spans="1:14" x14ac:dyDescent="0.2">
      <c r="A3338" s="2" t="s">
        <v>10068</v>
      </c>
      <c r="B3338" s="15">
        <v>154</v>
      </c>
      <c r="C3338" s="15">
        <v>1</v>
      </c>
      <c r="D3338" s="15">
        <v>200134006</v>
      </c>
      <c r="E3338" s="15">
        <v>201067952</v>
      </c>
      <c r="F3338" s="15">
        <v>2432</v>
      </c>
      <c r="G3338" s="8" t="s">
        <v>12324</v>
      </c>
      <c r="H3338" s="24" t="s">
        <v>494</v>
      </c>
      <c r="I3338" s="25">
        <v>25920</v>
      </c>
      <c r="J3338" s="8" t="s">
        <v>496</v>
      </c>
      <c r="K3338" s="8" t="s">
        <v>10040</v>
      </c>
      <c r="L3338" s="15">
        <v>9.9750699999999998E-2</v>
      </c>
      <c r="M3338" s="15">
        <v>0.68113599999999996</v>
      </c>
      <c r="N3338" s="15">
        <v>0.90401851674641143</v>
      </c>
    </row>
    <row r="3339" spans="1:14" x14ac:dyDescent="0.2">
      <c r="A3339" s="2" t="s">
        <v>10068</v>
      </c>
      <c r="B3339" s="15">
        <v>1379</v>
      </c>
      <c r="C3339" s="15">
        <v>9</v>
      </c>
      <c r="D3339" s="15">
        <v>6859792</v>
      </c>
      <c r="E3339" s="15">
        <v>7388202</v>
      </c>
      <c r="F3339" s="15">
        <v>2250</v>
      </c>
      <c r="G3339" s="8" t="s">
        <v>12324</v>
      </c>
      <c r="H3339" s="24" t="s">
        <v>599</v>
      </c>
      <c r="I3339" s="25">
        <v>26562</v>
      </c>
      <c r="J3339" s="8" t="s">
        <v>601</v>
      </c>
      <c r="K3339" s="8" t="s">
        <v>10040</v>
      </c>
      <c r="L3339" s="15">
        <v>0.111125</v>
      </c>
      <c r="M3339" s="15">
        <v>0.68019399999999997</v>
      </c>
      <c r="N3339" s="15">
        <v>0.90401851674641143</v>
      </c>
    </row>
    <row r="3340" spans="1:14" x14ac:dyDescent="0.2">
      <c r="A3340" s="2" t="s">
        <v>10068</v>
      </c>
      <c r="B3340" s="15">
        <v>2382</v>
      </c>
      <c r="C3340" s="15">
        <v>20</v>
      </c>
      <c r="D3340" s="15">
        <v>12353962</v>
      </c>
      <c r="E3340" s="15">
        <v>13202335</v>
      </c>
      <c r="F3340" s="15">
        <v>2829</v>
      </c>
      <c r="G3340" s="8" t="s">
        <v>12324</v>
      </c>
      <c r="H3340" s="24" t="s">
        <v>599</v>
      </c>
      <c r="I3340" s="25">
        <v>26562</v>
      </c>
      <c r="J3340" s="8" t="s">
        <v>601</v>
      </c>
      <c r="K3340" s="8" t="s">
        <v>10040</v>
      </c>
      <c r="L3340" s="15">
        <v>7.75893E-2</v>
      </c>
      <c r="M3340" s="15">
        <v>0.68065799999999999</v>
      </c>
      <c r="N3340" s="15">
        <v>0.90401851674641143</v>
      </c>
    </row>
    <row r="3341" spans="1:14" x14ac:dyDescent="0.2">
      <c r="A3341" s="2" t="s">
        <v>10068</v>
      </c>
      <c r="B3341" s="15">
        <v>790</v>
      </c>
      <c r="C3341" s="15">
        <v>5</v>
      </c>
      <c r="D3341" s="15">
        <v>14910296</v>
      </c>
      <c r="E3341" s="15">
        <v>16592319</v>
      </c>
      <c r="F3341" s="15">
        <v>3511</v>
      </c>
      <c r="G3341" s="8" t="s">
        <v>12324</v>
      </c>
      <c r="H3341" s="24" t="s">
        <v>599</v>
      </c>
      <c r="I3341" s="25">
        <v>26562</v>
      </c>
      <c r="J3341" s="8" t="s">
        <v>601</v>
      </c>
      <c r="K3341" s="8" t="s">
        <v>10040</v>
      </c>
      <c r="L3341" s="15">
        <v>6.5304799999999996E-2</v>
      </c>
      <c r="M3341" s="15">
        <v>0.68150100000000002</v>
      </c>
      <c r="N3341" s="15">
        <v>0.90401851674641143</v>
      </c>
    </row>
    <row r="3342" spans="1:14" x14ac:dyDescent="0.2">
      <c r="A3342" s="2" t="s">
        <v>10069</v>
      </c>
      <c r="B3342" s="15">
        <v>2095</v>
      </c>
      <c r="C3342" s="15">
        <v>15</v>
      </c>
      <c r="D3342" s="15">
        <v>95662426</v>
      </c>
      <c r="E3342" s="15">
        <v>96864278</v>
      </c>
      <c r="F3342" s="15">
        <v>1976</v>
      </c>
      <c r="G3342" s="8" t="s">
        <v>12324</v>
      </c>
      <c r="H3342" s="24" t="s">
        <v>662</v>
      </c>
      <c r="I3342" s="25" t="s">
        <v>663</v>
      </c>
      <c r="J3342" s="8" t="s">
        <v>664</v>
      </c>
      <c r="K3342" s="8" t="s">
        <v>10040</v>
      </c>
      <c r="L3342" s="15">
        <v>-8.6110000000000006E-2</v>
      </c>
      <c r="M3342" s="15">
        <v>0.68124499999999999</v>
      </c>
      <c r="N3342" s="15">
        <v>0.90401851674641143</v>
      </c>
    </row>
    <row r="3343" spans="1:14" x14ac:dyDescent="0.2">
      <c r="A3343" s="2" t="s">
        <v>10066</v>
      </c>
      <c r="B3343" s="15">
        <v>1669</v>
      </c>
      <c r="C3343" s="15">
        <v>11</v>
      </c>
      <c r="D3343" s="15">
        <v>58452709</v>
      </c>
      <c r="E3343" s="15">
        <v>59256232</v>
      </c>
      <c r="F3343" s="15">
        <v>2093</v>
      </c>
      <c r="G3343" s="8" t="s">
        <v>12324</v>
      </c>
      <c r="H3343" s="24" t="s">
        <v>3164</v>
      </c>
      <c r="I3343" s="25" t="s">
        <v>3165</v>
      </c>
      <c r="J3343" s="8" t="s">
        <v>3166</v>
      </c>
      <c r="K3343" s="8" t="s">
        <v>10042</v>
      </c>
      <c r="L3343" s="15">
        <v>0.16839000000000001</v>
      </c>
      <c r="M3343" s="15">
        <v>0.68067999999999995</v>
      </c>
      <c r="N3343" s="15">
        <v>0.90401851674641143</v>
      </c>
    </row>
    <row r="3344" spans="1:14" x14ac:dyDescent="0.2">
      <c r="A3344" s="2" t="s">
        <v>10068</v>
      </c>
      <c r="B3344" s="15">
        <v>358</v>
      </c>
      <c r="C3344" s="15">
        <v>2</v>
      </c>
      <c r="D3344" s="15">
        <v>173287858</v>
      </c>
      <c r="E3344" s="15">
        <v>174118389</v>
      </c>
      <c r="F3344" s="15">
        <v>2407</v>
      </c>
      <c r="G3344" s="8" t="s">
        <v>12324</v>
      </c>
      <c r="H3344" s="24" t="s">
        <v>6565</v>
      </c>
      <c r="I3344" s="25" t="s">
        <v>6475</v>
      </c>
      <c r="J3344" s="8" t="s">
        <v>6566</v>
      </c>
      <c r="K3344" s="8" t="s">
        <v>10054</v>
      </c>
      <c r="L3344" s="15">
        <v>-0.13233700000000001</v>
      </c>
      <c r="M3344" s="15">
        <v>0.68154899999999996</v>
      </c>
      <c r="N3344" s="15">
        <v>0.90401851674641143</v>
      </c>
    </row>
    <row r="3345" spans="1:14" x14ac:dyDescent="0.2">
      <c r="A3345" s="2" t="s">
        <v>10068</v>
      </c>
      <c r="B3345" s="15">
        <v>2337</v>
      </c>
      <c r="C3345" s="15">
        <v>19</v>
      </c>
      <c r="D3345" s="15">
        <v>30375793</v>
      </c>
      <c r="E3345" s="15">
        <v>31763008</v>
      </c>
      <c r="F3345" s="15">
        <v>2932</v>
      </c>
      <c r="G3345" s="8" t="s">
        <v>12324</v>
      </c>
      <c r="H3345" s="24" t="s">
        <v>6565</v>
      </c>
      <c r="I3345" s="25" t="s">
        <v>6475</v>
      </c>
      <c r="J3345" s="8" t="s">
        <v>6566</v>
      </c>
      <c r="K3345" s="8" t="s">
        <v>10054</v>
      </c>
      <c r="L3345" s="15">
        <v>0.109496</v>
      </c>
      <c r="M3345" s="15">
        <v>0.68162</v>
      </c>
      <c r="N3345" s="15">
        <v>0.90401851674641143</v>
      </c>
    </row>
    <row r="3346" spans="1:14" x14ac:dyDescent="0.2">
      <c r="A3346" s="2" t="s">
        <v>10068</v>
      </c>
      <c r="B3346" s="15">
        <v>1080</v>
      </c>
      <c r="C3346" s="15">
        <v>6</v>
      </c>
      <c r="D3346" s="15">
        <v>156762741</v>
      </c>
      <c r="E3346" s="15">
        <v>158220143</v>
      </c>
      <c r="F3346" s="15">
        <v>3375</v>
      </c>
      <c r="G3346" s="8" t="s">
        <v>12324</v>
      </c>
      <c r="H3346" s="24" t="s">
        <v>6565</v>
      </c>
      <c r="I3346" s="25" t="s">
        <v>6475</v>
      </c>
      <c r="J3346" s="8" t="s">
        <v>6566</v>
      </c>
      <c r="K3346" s="8" t="s">
        <v>10054</v>
      </c>
      <c r="L3346" s="15">
        <v>9.0180700000000003E-2</v>
      </c>
      <c r="M3346" s="15">
        <v>0.68163200000000002</v>
      </c>
      <c r="N3346" s="15">
        <v>0.90401851674641143</v>
      </c>
    </row>
    <row r="3347" spans="1:14" x14ac:dyDescent="0.2">
      <c r="A3347" s="2" t="s">
        <v>10066</v>
      </c>
      <c r="B3347" s="15">
        <v>1883</v>
      </c>
      <c r="C3347" s="15">
        <v>13</v>
      </c>
      <c r="D3347" s="15">
        <v>40091624</v>
      </c>
      <c r="E3347" s="15">
        <v>41003943</v>
      </c>
      <c r="F3347" s="15">
        <v>2403</v>
      </c>
      <c r="G3347" s="8" t="s">
        <v>12324</v>
      </c>
      <c r="H3347" s="24" t="s">
        <v>3164</v>
      </c>
      <c r="I3347" s="25" t="s">
        <v>3165</v>
      </c>
      <c r="J3347" s="8" t="s">
        <v>3166</v>
      </c>
      <c r="K3347" s="8" t="s">
        <v>10042</v>
      </c>
      <c r="L3347" s="15">
        <v>-0.117162</v>
      </c>
      <c r="M3347" s="15">
        <v>0.682203</v>
      </c>
      <c r="N3347" s="15">
        <v>0.90450532286995511</v>
      </c>
    </row>
    <row r="3348" spans="1:14" x14ac:dyDescent="0.2">
      <c r="A3348" s="2" t="s">
        <v>10066</v>
      </c>
      <c r="B3348" s="15">
        <v>1618</v>
      </c>
      <c r="C3348" s="15">
        <v>11</v>
      </c>
      <c r="D3348" s="15">
        <v>6180841</v>
      </c>
      <c r="E3348" s="15">
        <v>7191230</v>
      </c>
      <c r="F3348" s="15">
        <v>2910</v>
      </c>
      <c r="G3348" s="8" t="s">
        <v>12324</v>
      </c>
      <c r="H3348" s="24" t="s">
        <v>3164</v>
      </c>
      <c r="I3348" s="25" t="s">
        <v>3165</v>
      </c>
      <c r="J3348" s="8" t="s">
        <v>3166</v>
      </c>
      <c r="K3348" s="8" t="s">
        <v>10042</v>
      </c>
      <c r="L3348" s="15">
        <v>0.152475</v>
      </c>
      <c r="M3348" s="15">
        <v>0.68251300000000004</v>
      </c>
      <c r="N3348" s="15">
        <v>0.90464589210998203</v>
      </c>
    </row>
    <row r="3349" spans="1:14" x14ac:dyDescent="0.2">
      <c r="A3349" s="2" t="s">
        <v>10068</v>
      </c>
      <c r="B3349" s="15">
        <v>2364</v>
      </c>
      <c r="C3349" s="15">
        <v>19</v>
      </c>
      <c r="D3349" s="15">
        <v>55182974</v>
      </c>
      <c r="E3349" s="15">
        <v>55714085</v>
      </c>
      <c r="F3349" s="15">
        <v>2130</v>
      </c>
      <c r="G3349" s="8" t="s">
        <v>12324</v>
      </c>
      <c r="H3349" s="24" t="s">
        <v>599</v>
      </c>
      <c r="I3349" s="25">
        <v>26562</v>
      </c>
      <c r="J3349" s="8" t="s">
        <v>601</v>
      </c>
      <c r="K3349" s="8" t="s">
        <v>10040</v>
      </c>
      <c r="L3349" s="15">
        <v>5.8350300000000001E-2</v>
      </c>
      <c r="M3349" s="15">
        <v>0.68293999999999999</v>
      </c>
      <c r="N3349" s="15">
        <v>0.90476649342891269</v>
      </c>
    </row>
    <row r="3350" spans="1:14" x14ac:dyDescent="0.2">
      <c r="A3350" s="2" t="s">
        <v>10068</v>
      </c>
      <c r="B3350" s="15">
        <v>2143</v>
      </c>
      <c r="C3350" s="15">
        <v>16</v>
      </c>
      <c r="D3350" s="15">
        <v>64207177</v>
      </c>
      <c r="E3350" s="15">
        <v>65072403</v>
      </c>
      <c r="F3350" s="15">
        <v>2337</v>
      </c>
      <c r="G3350" s="8" t="s">
        <v>12324</v>
      </c>
      <c r="H3350" s="24" t="s">
        <v>6565</v>
      </c>
      <c r="I3350" s="25" t="s">
        <v>6475</v>
      </c>
      <c r="J3350" s="8" t="s">
        <v>6566</v>
      </c>
      <c r="K3350" s="8" t="s">
        <v>10054</v>
      </c>
      <c r="L3350" s="15">
        <v>-0.160331</v>
      </c>
      <c r="M3350" s="15">
        <v>0.68301199999999995</v>
      </c>
      <c r="N3350" s="15">
        <v>0.90476649342891269</v>
      </c>
    </row>
    <row r="3351" spans="1:14" x14ac:dyDescent="0.2">
      <c r="A3351" s="2" t="s">
        <v>10068</v>
      </c>
      <c r="B3351" s="15">
        <v>546</v>
      </c>
      <c r="C3351" s="15">
        <v>3</v>
      </c>
      <c r="D3351" s="15">
        <v>142976708</v>
      </c>
      <c r="E3351" s="15">
        <v>144408821</v>
      </c>
      <c r="F3351" s="15">
        <v>3668</v>
      </c>
      <c r="G3351" s="8" t="s">
        <v>12324</v>
      </c>
      <c r="H3351" s="24" t="s">
        <v>494</v>
      </c>
      <c r="I3351" s="25">
        <v>25920</v>
      </c>
      <c r="J3351" s="8" t="s">
        <v>496</v>
      </c>
      <c r="K3351" s="8" t="s">
        <v>10040</v>
      </c>
      <c r="L3351" s="15">
        <v>0.131492</v>
      </c>
      <c r="M3351" s="15">
        <v>0.68478700000000003</v>
      </c>
      <c r="N3351" s="15">
        <v>0.90495137920762581</v>
      </c>
    </row>
    <row r="3352" spans="1:14" x14ac:dyDescent="0.2">
      <c r="A3352" s="2" t="s">
        <v>10068</v>
      </c>
      <c r="B3352" s="15">
        <v>1139</v>
      </c>
      <c r="C3352" s="15">
        <v>7</v>
      </c>
      <c r="D3352" s="15">
        <v>42494807</v>
      </c>
      <c r="E3352" s="15">
        <v>43448815</v>
      </c>
      <c r="F3352" s="15">
        <v>2672</v>
      </c>
      <c r="G3352" s="8" t="s">
        <v>12324</v>
      </c>
      <c r="H3352" s="24" t="s">
        <v>599</v>
      </c>
      <c r="I3352" s="25">
        <v>26562</v>
      </c>
      <c r="J3352" s="8" t="s">
        <v>601</v>
      </c>
      <c r="K3352" s="8" t="s">
        <v>10040</v>
      </c>
      <c r="L3352" s="15">
        <v>9.4611100000000004E-2</v>
      </c>
      <c r="M3352" s="15">
        <v>0.68367999999999995</v>
      </c>
      <c r="N3352" s="15">
        <v>0.90495137920762581</v>
      </c>
    </row>
    <row r="3353" spans="1:14" x14ac:dyDescent="0.2">
      <c r="A3353" s="2" t="s">
        <v>10068</v>
      </c>
      <c r="B3353" s="15">
        <v>1042</v>
      </c>
      <c r="C3353" s="15">
        <v>6</v>
      </c>
      <c r="D3353" s="15">
        <v>112342874</v>
      </c>
      <c r="E3353" s="15">
        <v>113705003</v>
      </c>
      <c r="F3353" s="15">
        <v>2872</v>
      </c>
      <c r="G3353" s="8" t="s">
        <v>12324</v>
      </c>
      <c r="H3353" s="24" t="s">
        <v>1259</v>
      </c>
      <c r="I3353" s="25">
        <v>27096</v>
      </c>
      <c r="J3353" s="8" t="s">
        <v>1261</v>
      </c>
      <c r="K3353" s="8" t="s">
        <v>10040</v>
      </c>
      <c r="L3353" s="15">
        <v>-0.11089</v>
      </c>
      <c r="M3353" s="15">
        <v>0.68362299999999998</v>
      </c>
      <c r="N3353" s="15">
        <v>0.90495137920762581</v>
      </c>
    </row>
    <row r="3354" spans="1:14" x14ac:dyDescent="0.2">
      <c r="A3354" s="2" t="s">
        <v>10068</v>
      </c>
      <c r="B3354" s="15">
        <v>1465</v>
      </c>
      <c r="C3354" s="15">
        <v>9</v>
      </c>
      <c r="D3354" s="15">
        <v>119890465</v>
      </c>
      <c r="E3354" s="15">
        <v>121008529</v>
      </c>
      <c r="F3354" s="15">
        <v>2786</v>
      </c>
      <c r="G3354" s="8" t="s">
        <v>12324</v>
      </c>
      <c r="H3354" s="24" t="s">
        <v>1259</v>
      </c>
      <c r="I3354" s="25">
        <v>27096</v>
      </c>
      <c r="J3354" s="8" t="s">
        <v>1261</v>
      </c>
      <c r="K3354" s="8" t="s">
        <v>10040</v>
      </c>
      <c r="L3354" s="15">
        <v>0.10019699999999999</v>
      </c>
      <c r="M3354" s="15">
        <v>0.68463600000000002</v>
      </c>
      <c r="N3354" s="15">
        <v>0.90495137920762581</v>
      </c>
    </row>
    <row r="3355" spans="1:14" x14ac:dyDescent="0.2">
      <c r="A3355" s="2" t="s">
        <v>10066</v>
      </c>
      <c r="B3355" s="15">
        <v>132</v>
      </c>
      <c r="C3355" s="15">
        <v>1</v>
      </c>
      <c r="D3355" s="15">
        <v>175385221</v>
      </c>
      <c r="E3355" s="15">
        <v>176449096</v>
      </c>
      <c r="F3355" s="15">
        <v>2479</v>
      </c>
      <c r="G3355" s="8" t="s">
        <v>12324</v>
      </c>
      <c r="H3355" s="24" t="s">
        <v>3164</v>
      </c>
      <c r="I3355" s="25" t="s">
        <v>3165</v>
      </c>
      <c r="J3355" s="8" t="s">
        <v>3166</v>
      </c>
      <c r="K3355" s="8" t="s">
        <v>10042</v>
      </c>
      <c r="L3355" s="15">
        <v>0.14314399999999999</v>
      </c>
      <c r="M3355" s="15">
        <v>0.68490700000000004</v>
      </c>
      <c r="N3355" s="15">
        <v>0.90495137920762581</v>
      </c>
    </row>
    <row r="3356" spans="1:14" x14ac:dyDescent="0.2">
      <c r="A3356" s="2" t="s">
        <v>10066</v>
      </c>
      <c r="B3356" s="15">
        <v>2080</v>
      </c>
      <c r="C3356" s="15">
        <v>15</v>
      </c>
      <c r="D3356" s="15">
        <v>79292537</v>
      </c>
      <c r="E3356" s="15">
        <v>79998206</v>
      </c>
      <c r="F3356" s="15">
        <v>2017</v>
      </c>
      <c r="G3356" s="8" t="s">
        <v>12324</v>
      </c>
      <c r="H3356" s="24" t="s">
        <v>3164</v>
      </c>
      <c r="I3356" s="25" t="s">
        <v>3165</v>
      </c>
      <c r="J3356" s="8" t="s">
        <v>3166</v>
      </c>
      <c r="K3356" s="8" t="s">
        <v>10042</v>
      </c>
      <c r="L3356" s="15">
        <v>-9.9060599999999999E-2</v>
      </c>
      <c r="M3356" s="15">
        <v>0.68498800000000004</v>
      </c>
      <c r="N3356" s="15">
        <v>0.90495137920762581</v>
      </c>
    </row>
    <row r="3357" spans="1:14" x14ac:dyDescent="0.2">
      <c r="A3357" s="2" t="s">
        <v>10066</v>
      </c>
      <c r="B3357" s="15">
        <v>2170</v>
      </c>
      <c r="C3357" s="15">
        <v>16</v>
      </c>
      <c r="D3357" s="15">
        <v>87669169</v>
      </c>
      <c r="E3357" s="15">
        <v>88387228</v>
      </c>
      <c r="F3357" s="15">
        <v>3176</v>
      </c>
      <c r="G3357" s="8" t="s">
        <v>12324</v>
      </c>
      <c r="H3357" s="24" t="s">
        <v>6008</v>
      </c>
      <c r="I3357" s="25" t="s">
        <v>6009</v>
      </c>
      <c r="J3357" s="8" t="s">
        <v>6010</v>
      </c>
      <c r="K3357" s="8" t="s">
        <v>10051</v>
      </c>
      <c r="L3357" s="15">
        <v>7.5703400000000004E-2</v>
      </c>
      <c r="M3357" s="15">
        <v>0.68455200000000005</v>
      </c>
      <c r="N3357" s="15">
        <v>0.90495137920762581</v>
      </c>
    </row>
    <row r="3358" spans="1:14" x14ac:dyDescent="0.2">
      <c r="A3358" s="2" t="s">
        <v>10066</v>
      </c>
      <c r="B3358" s="15">
        <v>2095</v>
      </c>
      <c r="C3358" s="15">
        <v>15</v>
      </c>
      <c r="D3358" s="15">
        <v>95662426</v>
      </c>
      <c r="E3358" s="15">
        <v>96864278</v>
      </c>
      <c r="F3358" s="15">
        <v>3050</v>
      </c>
      <c r="G3358" s="8" t="s">
        <v>12324</v>
      </c>
      <c r="H3358" s="24" t="s">
        <v>6008</v>
      </c>
      <c r="I3358" s="25" t="s">
        <v>6009</v>
      </c>
      <c r="J3358" s="8" t="s">
        <v>6010</v>
      </c>
      <c r="K3358" s="8" t="s">
        <v>10051</v>
      </c>
      <c r="L3358" s="15">
        <v>9.6878300000000001E-2</v>
      </c>
      <c r="M3358" s="15">
        <v>0.68479000000000001</v>
      </c>
      <c r="N3358" s="15">
        <v>0.90495137920762581</v>
      </c>
    </row>
    <row r="3359" spans="1:14" x14ac:dyDescent="0.2">
      <c r="A3359" s="2" t="s">
        <v>10068</v>
      </c>
      <c r="B3359" s="15">
        <v>106</v>
      </c>
      <c r="C3359" s="15">
        <v>1</v>
      </c>
      <c r="D3359" s="15">
        <v>120345067</v>
      </c>
      <c r="E3359" s="15">
        <v>145803848</v>
      </c>
      <c r="F3359" s="15">
        <v>1104</v>
      </c>
      <c r="G3359" s="8" t="s">
        <v>12324</v>
      </c>
      <c r="H3359" s="24" t="s">
        <v>6565</v>
      </c>
      <c r="I3359" s="25" t="s">
        <v>6475</v>
      </c>
      <c r="J3359" s="8" t="s">
        <v>6566</v>
      </c>
      <c r="K3359" s="8" t="s">
        <v>10054</v>
      </c>
      <c r="L3359" s="15">
        <v>6.0860600000000001E-2</v>
      </c>
      <c r="M3359" s="15">
        <v>0.68437899999999996</v>
      </c>
      <c r="N3359" s="15">
        <v>0.90495137920762581</v>
      </c>
    </row>
    <row r="3360" spans="1:14" x14ac:dyDescent="0.2">
      <c r="A3360" s="2" t="s">
        <v>10068</v>
      </c>
      <c r="B3360" s="15">
        <v>973</v>
      </c>
      <c r="C3360" s="15">
        <v>6</v>
      </c>
      <c r="D3360" s="15">
        <v>37570052</v>
      </c>
      <c r="E3360" s="15">
        <v>38688720</v>
      </c>
      <c r="F3360" s="15">
        <v>2836</v>
      </c>
      <c r="G3360" s="8" t="s">
        <v>12324</v>
      </c>
      <c r="H3360" s="24" t="s">
        <v>494</v>
      </c>
      <c r="I3360" s="25">
        <v>25920</v>
      </c>
      <c r="J3360" s="8" t="s">
        <v>496</v>
      </c>
      <c r="K3360" s="8" t="s">
        <v>10040</v>
      </c>
      <c r="L3360" s="15">
        <v>-8.1322800000000001E-2</v>
      </c>
      <c r="M3360" s="15">
        <v>0.68542700000000001</v>
      </c>
      <c r="N3360" s="15">
        <v>0.90499218368562073</v>
      </c>
    </row>
    <row r="3361" spans="1:14" x14ac:dyDescent="0.2">
      <c r="A3361" s="2" t="s">
        <v>10068</v>
      </c>
      <c r="B3361" s="15">
        <v>591</v>
      </c>
      <c r="C3361" s="15">
        <v>3</v>
      </c>
      <c r="D3361" s="15">
        <v>194217141</v>
      </c>
      <c r="E3361" s="15">
        <v>195196789</v>
      </c>
      <c r="F3361" s="15">
        <v>3900</v>
      </c>
      <c r="G3361" s="8" t="s">
        <v>12324</v>
      </c>
      <c r="H3361" s="24" t="s">
        <v>6565</v>
      </c>
      <c r="I3361" s="25" t="s">
        <v>6475</v>
      </c>
      <c r="J3361" s="8" t="s">
        <v>6566</v>
      </c>
      <c r="K3361" s="8" t="s">
        <v>10054</v>
      </c>
      <c r="L3361" s="15">
        <v>7.3511300000000002E-2</v>
      </c>
      <c r="M3361" s="15">
        <v>0.68540999999999996</v>
      </c>
      <c r="N3361" s="15">
        <v>0.90499218368562073</v>
      </c>
    </row>
    <row r="3362" spans="1:14" x14ac:dyDescent="0.2">
      <c r="A3362" s="2" t="s">
        <v>10068</v>
      </c>
      <c r="B3362" s="15">
        <v>1442</v>
      </c>
      <c r="C3362" s="15">
        <v>9</v>
      </c>
      <c r="D3362" s="15">
        <v>96670172</v>
      </c>
      <c r="E3362" s="15">
        <v>97418633</v>
      </c>
      <c r="F3362" s="15">
        <v>2112</v>
      </c>
      <c r="G3362" s="8" t="s">
        <v>12324</v>
      </c>
      <c r="H3362" s="24" t="s">
        <v>599</v>
      </c>
      <c r="I3362" s="25">
        <v>26562</v>
      </c>
      <c r="J3362" s="8" t="s">
        <v>601</v>
      </c>
      <c r="K3362" s="8" t="s">
        <v>10040</v>
      </c>
      <c r="L3362" s="15">
        <v>6.3127900000000001E-2</v>
      </c>
      <c r="M3362" s="15">
        <v>0.68593599999999999</v>
      </c>
      <c r="N3362" s="15">
        <v>0.90539469047619048</v>
      </c>
    </row>
    <row r="3363" spans="1:14" x14ac:dyDescent="0.2">
      <c r="A3363" s="2" t="s">
        <v>10068</v>
      </c>
      <c r="B3363" s="15">
        <v>1949</v>
      </c>
      <c r="C3363" s="15">
        <v>13</v>
      </c>
      <c r="D3363" s="15">
        <v>110995433</v>
      </c>
      <c r="E3363" s="15">
        <v>111621244</v>
      </c>
      <c r="F3363" s="15">
        <v>2235</v>
      </c>
      <c r="G3363" s="8" t="s">
        <v>12324</v>
      </c>
      <c r="H3363" s="24" t="s">
        <v>599</v>
      </c>
      <c r="I3363" s="25">
        <v>26562</v>
      </c>
      <c r="J3363" s="8" t="s">
        <v>601</v>
      </c>
      <c r="K3363" s="8" t="s">
        <v>10040</v>
      </c>
      <c r="L3363" s="15">
        <v>-6.8206699999999995E-2</v>
      </c>
      <c r="M3363" s="15">
        <v>0.68625199999999997</v>
      </c>
      <c r="N3363" s="15">
        <v>0.90554228503421597</v>
      </c>
    </row>
    <row r="3364" spans="1:14" x14ac:dyDescent="0.2">
      <c r="A3364" s="2" t="s">
        <v>10068</v>
      </c>
      <c r="B3364" s="15">
        <v>1995</v>
      </c>
      <c r="C3364" s="15">
        <v>14</v>
      </c>
      <c r="D3364" s="15">
        <v>64033238</v>
      </c>
      <c r="E3364" s="15">
        <v>65229391</v>
      </c>
      <c r="F3364" s="15">
        <v>2615</v>
      </c>
      <c r="G3364" s="8" t="s">
        <v>12324</v>
      </c>
      <c r="H3364" s="24" t="s">
        <v>599</v>
      </c>
      <c r="I3364" s="25">
        <v>26562</v>
      </c>
      <c r="J3364" s="8" t="s">
        <v>601</v>
      </c>
      <c r="K3364" s="8" t="s">
        <v>10040</v>
      </c>
      <c r="L3364" s="15">
        <v>-6.8872900000000001E-2</v>
      </c>
      <c r="M3364" s="15">
        <v>0.68692699999999995</v>
      </c>
      <c r="N3364" s="15">
        <v>0.90589391763306559</v>
      </c>
    </row>
    <row r="3365" spans="1:14" x14ac:dyDescent="0.2">
      <c r="A3365" s="2" t="s">
        <v>10066</v>
      </c>
      <c r="B3365" s="15">
        <v>2067</v>
      </c>
      <c r="C3365" s="15">
        <v>15</v>
      </c>
      <c r="D3365" s="15">
        <v>62106139</v>
      </c>
      <c r="E3365" s="15">
        <v>63218978</v>
      </c>
      <c r="F3365" s="15">
        <v>2857</v>
      </c>
      <c r="G3365" s="8" t="s">
        <v>12324</v>
      </c>
      <c r="H3365" s="24" t="s">
        <v>3164</v>
      </c>
      <c r="I3365" s="25" t="s">
        <v>3165</v>
      </c>
      <c r="J3365" s="8" t="s">
        <v>3166</v>
      </c>
      <c r="K3365" s="8" t="s">
        <v>10042</v>
      </c>
      <c r="L3365" s="15">
        <v>8.33203E-2</v>
      </c>
      <c r="M3365" s="15">
        <v>0.68684400000000001</v>
      </c>
      <c r="N3365" s="15">
        <v>0.90589391763306559</v>
      </c>
    </row>
    <row r="3366" spans="1:14" x14ac:dyDescent="0.2">
      <c r="A3366" s="2" t="s">
        <v>10069</v>
      </c>
      <c r="B3366" s="15">
        <v>2049</v>
      </c>
      <c r="C3366" s="15">
        <v>15</v>
      </c>
      <c r="D3366" s="15">
        <v>39238841</v>
      </c>
      <c r="E3366" s="15">
        <v>40604780</v>
      </c>
      <c r="F3366" s="15">
        <v>2148</v>
      </c>
      <c r="G3366" s="8" t="s">
        <v>12324</v>
      </c>
      <c r="H3366" s="24" t="s">
        <v>662</v>
      </c>
      <c r="I3366" s="25" t="s">
        <v>663</v>
      </c>
      <c r="J3366" s="8" t="s">
        <v>664</v>
      </c>
      <c r="K3366" s="8" t="s">
        <v>10040</v>
      </c>
      <c r="L3366" s="15">
        <v>0.14045199999999999</v>
      </c>
      <c r="M3366" s="15">
        <v>0.68757699999999999</v>
      </c>
      <c r="N3366" s="15">
        <v>0.90598116755793234</v>
      </c>
    </row>
    <row r="3367" spans="1:14" x14ac:dyDescent="0.2">
      <c r="A3367" s="2" t="s">
        <v>10066</v>
      </c>
      <c r="B3367" s="15">
        <v>11</v>
      </c>
      <c r="C3367" s="15">
        <v>1</v>
      </c>
      <c r="D3367" s="15">
        <v>8580988</v>
      </c>
      <c r="E3367" s="15">
        <v>9475966</v>
      </c>
      <c r="F3367" s="15">
        <v>2165</v>
      </c>
      <c r="G3367" s="8" t="s">
        <v>12324</v>
      </c>
      <c r="H3367" s="24" t="s">
        <v>3164</v>
      </c>
      <c r="I3367" s="25" t="s">
        <v>3165</v>
      </c>
      <c r="J3367" s="8" t="s">
        <v>3166</v>
      </c>
      <c r="K3367" s="8" t="s">
        <v>10042</v>
      </c>
      <c r="L3367" s="15">
        <v>-8.1131400000000006E-2</v>
      </c>
      <c r="M3367" s="15">
        <v>0.68730000000000002</v>
      </c>
      <c r="N3367" s="15">
        <v>0.90598116755793234</v>
      </c>
    </row>
    <row r="3368" spans="1:14" x14ac:dyDescent="0.2">
      <c r="A3368" s="2" t="s">
        <v>10066</v>
      </c>
      <c r="B3368" s="15">
        <v>1451</v>
      </c>
      <c r="C3368" s="15">
        <v>9</v>
      </c>
      <c r="D3368" s="15">
        <v>107061020</v>
      </c>
      <c r="E3368" s="15">
        <v>108203095</v>
      </c>
      <c r="F3368" s="15">
        <v>3589</v>
      </c>
      <c r="G3368" s="8" t="s">
        <v>12324</v>
      </c>
      <c r="H3368" s="24" t="s">
        <v>6008</v>
      </c>
      <c r="I3368" s="25" t="s">
        <v>6009</v>
      </c>
      <c r="J3368" s="8" t="s">
        <v>6010</v>
      </c>
      <c r="K3368" s="8" t="s">
        <v>10051</v>
      </c>
      <c r="L3368" s="15">
        <v>-0.108571</v>
      </c>
      <c r="M3368" s="15">
        <v>0.68760600000000005</v>
      </c>
      <c r="N3368" s="15">
        <v>0.90598116755793234</v>
      </c>
    </row>
    <row r="3369" spans="1:14" x14ac:dyDescent="0.2">
      <c r="A3369" s="2" t="s">
        <v>10068</v>
      </c>
      <c r="B3369" s="15">
        <v>482</v>
      </c>
      <c r="C3369" s="15">
        <v>3</v>
      </c>
      <c r="D3369" s="15">
        <v>69784970</v>
      </c>
      <c r="E3369" s="15">
        <v>71223281</v>
      </c>
      <c r="F3369" s="15">
        <v>2770</v>
      </c>
      <c r="G3369" s="8" t="s">
        <v>12324</v>
      </c>
      <c r="H3369" s="24" t="s">
        <v>599</v>
      </c>
      <c r="I3369" s="25">
        <v>26562</v>
      </c>
      <c r="J3369" s="8" t="s">
        <v>601</v>
      </c>
      <c r="K3369" s="8" t="s">
        <v>10040</v>
      </c>
      <c r="L3369" s="15">
        <v>8.8297700000000007E-2</v>
      </c>
      <c r="M3369" s="15">
        <v>0.68821900000000003</v>
      </c>
      <c r="N3369" s="15">
        <v>0.9065195322245323</v>
      </c>
    </row>
    <row r="3370" spans="1:14" x14ac:dyDescent="0.2">
      <c r="A3370" s="2" t="s">
        <v>10068</v>
      </c>
      <c r="B3370" s="15">
        <v>929</v>
      </c>
      <c r="C3370" s="15">
        <v>6</v>
      </c>
      <c r="D3370" s="15">
        <v>3964073</v>
      </c>
      <c r="E3370" s="15">
        <v>4657086</v>
      </c>
      <c r="F3370" s="15">
        <v>2266</v>
      </c>
      <c r="G3370" s="8" t="s">
        <v>12324</v>
      </c>
      <c r="H3370" s="24" t="s">
        <v>599</v>
      </c>
      <c r="I3370" s="25">
        <v>26562</v>
      </c>
      <c r="J3370" s="8" t="s">
        <v>601</v>
      </c>
      <c r="K3370" s="8" t="s">
        <v>10040</v>
      </c>
      <c r="L3370" s="15">
        <v>7.5884199999999999E-2</v>
      </c>
      <c r="M3370" s="15">
        <v>0.69033199999999995</v>
      </c>
      <c r="N3370" s="15">
        <v>0.90694567683649285</v>
      </c>
    </row>
    <row r="3371" spans="1:14" x14ac:dyDescent="0.2">
      <c r="A3371" s="2" t="s">
        <v>10068</v>
      </c>
      <c r="B3371" s="15">
        <v>945</v>
      </c>
      <c r="C3371" s="15">
        <v>6</v>
      </c>
      <c r="D3371" s="15">
        <v>21295865</v>
      </c>
      <c r="E3371" s="15">
        <v>22199713</v>
      </c>
      <c r="F3371" s="15">
        <v>2312</v>
      </c>
      <c r="G3371" s="8" t="s">
        <v>12324</v>
      </c>
      <c r="H3371" s="24" t="s">
        <v>599</v>
      </c>
      <c r="I3371" s="25">
        <v>26562</v>
      </c>
      <c r="J3371" s="8" t="s">
        <v>601</v>
      </c>
      <c r="K3371" s="8" t="s">
        <v>10040</v>
      </c>
      <c r="L3371" s="15">
        <v>5.3650900000000001E-2</v>
      </c>
      <c r="M3371" s="15">
        <v>0.69034099999999998</v>
      </c>
      <c r="N3371" s="15">
        <v>0.90694567683649285</v>
      </c>
    </row>
    <row r="3372" spans="1:14" x14ac:dyDescent="0.2">
      <c r="A3372" s="2" t="s">
        <v>10069</v>
      </c>
      <c r="B3372" s="15">
        <v>1015</v>
      </c>
      <c r="C3372" s="15">
        <v>6</v>
      </c>
      <c r="D3372" s="15">
        <v>82388205</v>
      </c>
      <c r="E3372" s="15">
        <v>83571953</v>
      </c>
      <c r="F3372" s="15">
        <v>1741</v>
      </c>
      <c r="G3372" s="8" t="s">
        <v>12324</v>
      </c>
      <c r="H3372" s="24" t="s">
        <v>662</v>
      </c>
      <c r="I3372" s="25" t="s">
        <v>663</v>
      </c>
      <c r="J3372" s="8" t="s">
        <v>664</v>
      </c>
      <c r="K3372" s="8" t="s">
        <v>10040</v>
      </c>
      <c r="L3372" s="15">
        <v>0.165293</v>
      </c>
      <c r="M3372" s="15">
        <v>0.68920499999999996</v>
      </c>
      <c r="N3372" s="15">
        <v>0.90694567683649285</v>
      </c>
    </row>
    <row r="3373" spans="1:14" x14ac:dyDescent="0.2">
      <c r="A3373" s="2" t="s">
        <v>10066</v>
      </c>
      <c r="B3373" s="15">
        <v>2416</v>
      </c>
      <c r="C3373" s="15">
        <v>20</v>
      </c>
      <c r="D3373" s="15">
        <v>52411533</v>
      </c>
      <c r="E3373" s="15">
        <v>53120334</v>
      </c>
      <c r="F3373" s="15">
        <v>2348</v>
      </c>
      <c r="G3373" s="8" t="s">
        <v>12324</v>
      </c>
      <c r="H3373" s="24" t="s">
        <v>3164</v>
      </c>
      <c r="I3373" s="25" t="s">
        <v>3165</v>
      </c>
      <c r="J3373" s="8" t="s">
        <v>3166</v>
      </c>
      <c r="K3373" s="8" t="s">
        <v>10042</v>
      </c>
      <c r="L3373" s="15">
        <v>-8.7907799999999994E-2</v>
      </c>
      <c r="M3373" s="15">
        <v>0.68955</v>
      </c>
      <c r="N3373" s="15">
        <v>0.90694567683649285</v>
      </c>
    </row>
    <row r="3374" spans="1:14" x14ac:dyDescent="0.2">
      <c r="A3374" s="2" t="s">
        <v>10066</v>
      </c>
      <c r="B3374" s="15">
        <v>1631</v>
      </c>
      <c r="C3374" s="15">
        <v>11</v>
      </c>
      <c r="D3374" s="15">
        <v>19780785</v>
      </c>
      <c r="E3374" s="15">
        <v>20686336</v>
      </c>
      <c r="F3374" s="15">
        <v>2796</v>
      </c>
      <c r="G3374" s="8" t="s">
        <v>12324</v>
      </c>
      <c r="H3374" s="24" t="s">
        <v>3164</v>
      </c>
      <c r="I3374" s="25" t="s">
        <v>3165</v>
      </c>
      <c r="J3374" s="8" t="s">
        <v>3166</v>
      </c>
      <c r="K3374" s="8" t="s">
        <v>10042</v>
      </c>
      <c r="L3374" s="15">
        <v>6.1914200000000003E-2</v>
      </c>
      <c r="M3374" s="15">
        <v>0.68978399999999995</v>
      </c>
      <c r="N3374" s="15">
        <v>0.90694567683649285</v>
      </c>
    </row>
    <row r="3375" spans="1:14" x14ac:dyDescent="0.2">
      <c r="A3375" s="2" t="s">
        <v>10066</v>
      </c>
      <c r="B3375" s="15">
        <v>1000</v>
      </c>
      <c r="C3375" s="15">
        <v>6</v>
      </c>
      <c r="D3375" s="15">
        <v>67559695</v>
      </c>
      <c r="E3375" s="15">
        <v>68547494</v>
      </c>
      <c r="F3375" s="15">
        <v>3844</v>
      </c>
      <c r="G3375" s="8" t="s">
        <v>12324</v>
      </c>
      <c r="H3375" s="24" t="s">
        <v>6008</v>
      </c>
      <c r="I3375" s="25" t="s">
        <v>6009</v>
      </c>
      <c r="J3375" s="8" t="s">
        <v>6010</v>
      </c>
      <c r="K3375" s="8" t="s">
        <v>10051</v>
      </c>
      <c r="L3375" s="15">
        <v>0.10520400000000001</v>
      </c>
      <c r="M3375" s="15">
        <v>0.68919900000000001</v>
      </c>
      <c r="N3375" s="15">
        <v>0.90694567683649285</v>
      </c>
    </row>
    <row r="3376" spans="1:14" x14ac:dyDescent="0.2">
      <c r="A3376" s="2" t="s">
        <v>10068</v>
      </c>
      <c r="B3376" s="15">
        <v>826</v>
      </c>
      <c r="C3376" s="15">
        <v>5</v>
      </c>
      <c r="D3376" s="15">
        <v>58721459</v>
      </c>
      <c r="E3376" s="15">
        <v>59868567</v>
      </c>
      <c r="F3376" s="15">
        <v>2169</v>
      </c>
      <c r="G3376" s="8" t="s">
        <v>12324</v>
      </c>
      <c r="H3376" s="24" t="s">
        <v>6565</v>
      </c>
      <c r="I3376" s="25" t="s">
        <v>6475</v>
      </c>
      <c r="J3376" s="8" t="s">
        <v>6566</v>
      </c>
      <c r="K3376" s="8" t="s">
        <v>10054</v>
      </c>
      <c r="L3376" s="15">
        <v>0.12917699999999999</v>
      </c>
      <c r="M3376" s="15">
        <v>0.68892100000000001</v>
      </c>
      <c r="N3376" s="15">
        <v>0.90694567683649285</v>
      </c>
    </row>
    <row r="3377" spans="1:14" x14ac:dyDescent="0.2">
      <c r="A3377" s="2" t="s">
        <v>10068</v>
      </c>
      <c r="B3377" s="15">
        <v>1940</v>
      </c>
      <c r="C3377" s="15">
        <v>13</v>
      </c>
      <c r="D3377" s="15">
        <v>101573737</v>
      </c>
      <c r="E3377" s="15">
        <v>103050417</v>
      </c>
      <c r="F3377" s="15">
        <v>4113</v>
      </c>
      <c r="G3377" s="8" t="s">
        <v>12324</v>
      </c>
      <c r="H3377" s="24" t="s">
        <v>6565</v>
      </c>
      <c r="I3377" s="25" t="s">
        <v>6475</v>
      </c>
      <c r="J3377" s="8" t="s">
        <v>6566</v>
      </c>
      <c r="K3377" s="8" t="s">
        <v>10054</v>
      </c>
      <c r="L3377" s="15">
        <v>-9.4891699999999995E-2</v>
      </c>
      <c r="M3377" s="15">
        <v>0.69003499999999995</v>
      </c>
      <c r="N3377" s="15">
        <v>0.90694567683649285</v>
      </c>
    </row>
    <row r="3378" spans="1:14" x14ac:dyDescent="0.2">
      <c r="A3378" s="2" t="s">
        <v>10068</v>
      </c>
      <c r="B3378" s="15">
        <v>909</v>
      </c>
      <c r="C3378" s="15">
        <v>5</v>
      </c>
      <c r="D3378" s="15">
        <v>159663734</v>
      </c>
      <c r="E3378" s="15">
        <v>160519049</v>
      </c>
      <c r="F3378" s="15">
        <v>2369</v>
      </c>
      <c r="G3378" s="8" t="s">
        <v>12324</v>
      </c>
      <c r="H3378" s="24" t="s">
        <v>6565</v>
      </c>
      <c r="I3378" s="25" t="s">
        <v>6475</v>
      </c>
      <c r="J3378" s="8" t="s">
        <v>6566</v>
      </c>
      <c r="K3378" s="8" t="s">
        <v>10054</v>
      </c>
      <c r="L3378" s="15">
        <v>-0.12623000000000001</v>
      </c>
      <c r="M3378" s="15">
        <v>0.69038299999999997</v>
      </c>
      <c r="N3378" s="15">
        <v>0.90694567683649285</v>
      </c>
    </row>
    <row r="3379" spans="1:14" x14ac:dyDescent="0.2">
      <c r="A3379" s="2" t="s">
        <v>10068</v>
      </c>
      <c r="B3379" s="15">
        <v>2167</v>
      </c>
      <c r="C3379" s="15">
        <v>16</v>
      </c>
      <c r="D3379" s="15">
        <v>85146806</v>
      </c>
      <c r="E3379" s="15">
        <v>86058597</v>
      </c>
      <c r="F3379" s="15">
        <v>2987</v>
      </c>
      <c r="G3379" s="8" t="s">
        <v>12324</v>
      </c>
      <c r="H3379" s="24" t="s">
        <v>6565</v>
      </c>
      <c r="I3379" s="25" t="s">
        <v>6475</v>
      </c>
      <c r="J3379" s="8" t="s">
        <v>6566</v>
      </c>
      <c r="K3379" s="8" t="s">
        <v>10054</v>
      </c>
      <c r="L3379" s="15">
        <v>7.1489499999999997E-2</v>
      </c>
      <c r="M3379" s="15">
        <v>0.69100499999999998</v>
      </c>
      <c r="N3379" s="15">
        <v>0.90749398134438841</v>
      </c>
    </row>
    <row r="3380" spans="1:14" x14ac:dyDescent="0.2">
      <c r="A3380" s="2" t="s">
        <v>10068</v>
      </c>
      <c r="B3380" s="15">
        <v>2309</v>
      </c>
      <c r="C3380" s="15">
        <v>19</v>
      </c>
      <c r="D3380" s="15">
        <v>2253175</v>
      </c>
      <c r="E3380" s="15">
        <v>3085446</v>
      </c>
      <c r="F3380" s="15">
        <v>3144</v>
      </c>
      <c r="G3380" s="8" t="s">
        <v>12324</v>
      </c>
      <c r="H3380" s="24" t="s">
        <v>599</v>
      </c>
      <c r="I3380" s="25">
        <v>26562</v>
      </c>
      <c r="J3380" s="8" t="s">
        <v>601</v>
      </c>
      <c r="K3380" s="8" t="s">
        <v>10040</v>
      </c>
      <c r="L3380" s="15">
        <v>5.9216100000000001E-2</v>
      </c>
      <c r="M3380" s="15">
        <v>0.69158699999999995</v>
      </c>
      <c r="N3380" s="15">
        <v>0.90798944493783285</v>
      </c>
    </row>
    <row r="3381" spans="1:14" x14ac:dyDescent="0.2">
      <c r="A3381" s="2" t="s">
        <v>10068</v>
      </c>
      <c r="B3381" s="15">
        <v>2159</v>
      </c>
      <c r="C3381" s="15">
        <v>16</v>
      </c>
      <c r="D3381" s="15">
        <v>78973581</v>
      </c>
      <c r="E3381" s="15">
        <v>79662634</v>
      </c>
      <c r="F3381" s="15">
        <v>2836</v>
      </c>
      <c r="G3381" s="8" t="s">
        <v>12324</v>
      </c>
      <c r="H3381" s="24" t="s">
        <v>494</v>
      </c>
      <c r="I3381" s="25">
        <v>25920</v>
      </c>
      <c r="J3381" s="8" t="s">
        <v>496</v>
      </c>
      <c r="K3381" s="8" t="s">
        <v>10040</v>
      </c>
      <c r="L3381" s="15">
        <v>7.6649499999999995E-2</v>
      </c>
      <c r="M3381" s="15">
        <v>0.69225400000000004</v>
      </c>
      <c r="N3381" s="15">
        <v>0.90859617934300085</v>
      </c>
    </row>
    <row r="3382" spans="1:14" x14ac:dyDescent="0.2">
      <c r="A3382" s="2" t="s">
        <v>10068</v>
      </c>
      <c r="B3382" s="15">
        <v>2378</v>
      </c>
      <c r="C3382" s="15">
        <v>20</v>
      </c>
      <c r="D3382" s="15">
        <v>7959829</v>
      </c>
      <c r="E3382" s="15">
        <v>9279550</v>
      </c>
      <c r="F3382" s="15">
        <v>3426</v>
      </c>
      <c r="G3382" s="8" t="s">
        <v>12324</v>
      </c>
      <c r="H3382" s="24" t="s">
        <v>494</v>
      </c>
      <c r="I3382" s="25">
        <v>25920</v>
      </c>
      <c r="J3382" s="8" t="s">
        <v>496</v>
      </c>
      <c r="K3382" s="8" t="s">
        <v>10040</v>
      </c>
      <c r="L3382" s="15">
        <v>0.123123</v>
      </c>
      <c r="M3382" s="15">
        <v>0.69300099999999998</v>
      </c>
      <c r="N3382" s="15">
        <v>0.90888265444871419</v>
      </c>
    </row>
    <row r="3383" spans="1:14" x14ac:dyDescent="0.2">
      <c r="A3383" s="2" t="s">
        <v>10068</v>
      </c>
      <c r="B3383" s="15">
        <v>1312</v>
      </c>
      <c r="C3383" s="15">
        <v>8</v>
      </c>
      <c r="D3383" s="15">
        <v>77377990</v>
      </c>
      <c r="E3383" s="15">
        <v>78633659</v>
      </c>
      <c r="F3383" s="15">
        <v>3133</v>
      </c>
      <c r="G3383" s="8" t="s">
        <v>12324</v>
      </c>
      <c r="H3383" s="24" t="s">
        <v>494</v>
      </c>
      <c r="I3383" s="25">
        <v>25920</v>
      </c>
      <c r="J3383" s="8" t="s">
        <v>496</v>
      </c>
      <c r="K3383" s="8" t="s">
        <v>10040</v>
      </c>
      <c r="L3383" s="15">
        <v>0.117982</v>
      </c>
      <c r="M3383" s="15">
        <v>0.69304900000000003</v>
      </c>
      <c r="N3383" s="15">
        <v>0.90888265444871419</v>
      </c>
    </row>
    <row r="3384" spans="1:14" x14ac:dyDescent="0.2">
      <c r="A3384" s="2" t="s">
        <v>10068</v>
      </c>
      <c r="B3384" s="15">
        <v>601</v>
      </c>
      <c r="C3384" s="15">
        <v>4</v>
      </c>
      <c r="D3384" s="15">
        <v>4266179</v>
      </c>
      <c r="E3384" s="15">
        <v>5051834</v>
      </c>
      <c r="F3384" s="15">
        <v>2597</v>
      </c>
      <c r="G3384" s="8" t="s">
        <v>12324</v>
      </c>
      <c r="H3384" s="24" t="s">
        <v>494</v>
      </c>
      <c r="I3384" s="25">
        <v>25920</v>
      </c>
      <c r="J3384" s="8" t="s">
        <v>496</v>
      </c>
      <c r="K3384" s="8" t="s">
        <v>10040</v>
      </c>
      <c r="L3384" s="15">
        <v>8.0011200000000005E-2</v>
      </c>
      <c r="M3384" s="15">
        <v>0.69311599999999995</v>
      </c>
      <c r="N3384" s="15">
        <v>0.90888265444871419</v>
      </c>
    </row>
    <row r="3385" spans="1:14" x14ac:dyDescent="0.2">
      <c r="A3385" s="2" t="s">
        <v>10068</v>
      </c>
      <c r="B3385" s="15">
        <v>2298</v>
      </c>
      <c r="C3385" s="15">
        <v>18</v>
      </c>
      <c r="D3385" s="15">
        <v>70540350</v>
      </c>
      <c r="E3385" s="15">
        <v>71491860</v>
      </c>
      <c r="F3385" s="15">
        <v>3353</v>
      </c>
      <c r="G3385" s="8" t="s">
        <v>12324</v>
      </c>
      <c r="H3385" s="24" t="s">
        <v>1259</v>
      </c>
      <c r="I3385" s="25">
        <v>27096</v>
      </c>
      <c r="J3385" s="8" t="s">
        <v>1261</v>
      </c>
      <c r="K3385" s="8" t="s">
        <v>10040</v>
      </c>
      <c r="L3385" s="15">
        <v>7.8727000000000005E-2</v>
      </c>
      <c r="M3385" s="15">
        <v>0.69329200000000002</v>
      </c>
      <c r="N3385" s="15">
        <v>0.90888265444871419</v>
      </c>
    </row>
    <row r="3386" spans="1:14" x14ac:dyDescent="0.2">
      <c r="A3386" s="2" t="s">
        <v>10068</v>
      </c>
      <c r="B3386" s="15">
        <v>1474</v>
      </c>
      <c r="C3386" s="15">
        <v>9</v>
      </c>
      <c r="D3386" s="15">
        <v>130902728</v>
      </c>
      <c r="E3386" s="15">
        <v>132193798</v>
      </c>
      <c r="F3386" s="15">
        <v>2367</v>
      </c>
      <c r="G3386" s="8" t="s">
        <v>12324</v>
      </c>
      <c r="H3386" s="24" t="s">
        <v>494</v>
      </c>
      <c r="I3386" s="25">
        <v>25920</v>
      </c>
      <c r="J3386" s="8" t="s">
        <v>496</v>
      </c>
      <c r="K3386" s="8" t="s">
        <v>10040</v>
      </c>
      <c r="L3386" s="15">
        <v>8.3879400000000007E-2</v>
      </c>
      <c r="M3386" s="15">
        <v>0.69419600000000004</v>
      </c>
      <c r="N3386" s="15">
        <v>0.90979883569739961</v>
      </c>
    </row>
    <row r="3387" spans="1:14" x14ac:dyDescent="0.2">
      <c r="A3387" s="2" t="s">
        <v>10068</v>
      </c>
      <c r="B3387" s="15">
        <v>2057</v>
      </c>
      <c r="C3387" s="15">
        <v>15</v>
      </c>
      <c r="D3387" s="15">
        <v>50195877</v>
      </c>
      <c r="E3387" s="15">
        <v>51605477</v>
      </c>
      <c r="F3387" s="15">
        <v>3550</v>
      </c>
      <c r="G3387" s="8" t="s">
        <v>12324</v>
      </c>
      <c r="H3387" s="24" t="s">
        <v>1259</v>
      </c>
      <c r="I3387" s="25">
        <v>27096</v>
      </c>
      <c r="J3387" s="8" t="s">
        <v>1261</v>
      </c>
      <c r="K3387" s="8" t="s">
        <v>10040</v>
      </c>
      <c r="L3387" s="15">
        <v>0.10283100000000001</v>
      </c>
      <c r="M3387" s="15">
        <v>0.694963</v>
      </c>
      <c r="N3387" s="15">
        <v>0.91053497932053173</v>
      </c>
    </row>
    <row r="3388" spans="1:14" x14ac:dyDescent="0.2">
      <c r="A3388" s="2" t="s">
        <v>10069</v>
      </c>
      <c r="B3388" s="15">
        <v>2103</v>
      </c>
      <c r="C3388" s="15">
        <v>16</v>
      </c>
      <c r="D3388" s="15">
        <v>1049080</v>
      </c>
      <c r="E3388" s="15">
        <v>1996492</v>
      </c>
      <c r="F3388" s="15">
        <v>2175</v>
      </c>
      <c r="G3388" s="8" t="s">
        <v>12324</v>
      </c>
      <c r="H3388" s="24" t="s">
        <v>662</v>
      </c>
      <c r="I3388" s="25" t="s">
        <v>663</v>
      </c>
      <c r="J3388" s="8" t="s">
        <v>664</v>
      </c>
      <c r="K3388" s="8" t="s">
        <v>10040</v>
      </c>
      <c r="L3388" s="15">
        <v>-0.15976099999999999</v>
      </c>
      <c r="M3388" s="15">
        <v>0.69558799999999998</v>
      </c>
      <c r="N3388" s="15">
        <v>0.9108157012105107</v>
      </c>
    </row>
    <row r="3389" spans="1:14" x14ac:dyDescent="0.2">
      <c r="A3389" s="2" t="s">
        <v>10068</v>
      </c>
      <c r="B3389" s="15">
        <v>1615</v>
      </c>
      <c r="C3389" s="15">
        <v>11</v>
      </c>
      <c r="D3389" s="15">
        <v>4405708</v>
      </c>
      <c r="E3389" s="15">
        <v>4946051</v>
      </c>
      <c r="F3389" s="15">
        <v>2334</v>
      </c>
      <c r="G3389" s="8" t="s">
        <v>12324</v>
      </c>
      <c r="H3389" s="24" t="s">
        <v>6565</v>
      </c>
      <c r="I3389" s="25" t="s">
        <v>6475</v>
      </c>
      <c r="J3389" s="8" t="s">
        <v>6566</v>
      </c>
      <c r="K3389" s="8" t="s">
        <v>10054</v>
      </c>
      <c r="L3389" s="15">
        <v>-7.6882500000000006E-2</v>
      </c>
      <c r="M3389" s="15">
        <v>0.69541200000000003</v>
      </c>
      <c r="N3389" s="15">
        <v>0.9108157012105107</v>
      </c>
    </row>
    <row r="3390" spans="1:14" x14ac:dyDescent="0.2">
      <c r="A3390" s="2" t="s">
        <v>10068</v>
      </c>
      <c r="B3390" s="15">
        <v>1235</v>
      </c>
      <c r="C3390" s="15">
        <v>8</v>
      </c>
      <c r="D3390" s="15">
        <v>1628040</v>
      </c>
      <c r="E3390" s="15">
        <v>2070902</v>
      </c>
      <c r="F3390" s="15">
        <v>1984</v>
      </c>
      <c r="G3390" s="8" t="s">
        <v>12324</v>
      </c>
      <c r="H3390" s="24" t="s">
        <v>494</v>
      </c>
      <c r="I3390" s="25">
        <v>25920</v>
      </c>
      <c r="J3390" s="8" t="s">
        <v>496</v>
      </c>
      <c r="K3390" s="8" t="s">
        <v>10040</v>
      </c>
      <c r="L3390" s="15">
        <v>-0.10331899999999999</v>
      </c>
      <c r="M3390" s="15">
        <v>0.69603199999999998</v>
      </c>
      <c r="N3390" s="15">
        <v>0.91085922691059307</v>
      </c>
    </row>
    <row r="3391" spans="1:14" x14ac:dyDescent="0.2">
      <c r="A3391" s="2" t="s">
        <v>10068</v>
      </c>
      <c r="B3391" s="15">
        <v>436</v>
      </c>
      <c r="C3391" s="15">
        <v>3</v>
      </c>
      <c r="D3391" s="15">
        <v>14312008</v>
      </c>
      <c r="E3391" s="15">
        <v>15150876</v>
      </c>
      <c r="F3391" s="15">
        <v>2353</v>
      </c>
      <c r="G3391" s="8" t="s">
        <v>12324</v>
      </c>
      <c r="H3391" s="24" t="s">
        <v>6565</v>
      </c>
      <c r="I3391" s="25" t="s">
        <v>6475</v>
      </c>
      <c r="J3391" s="8" t="s">
        <v>6566</v>
      </c>
      <c r="K3391" s="8" t="s">
        <v>10054</v>
      </c>
      <c r="L3391" s="15">
        <v>-8.6268399999999995E-2</v>
      </c>
      <c r="M3391" s="15">
        <v>0.69600799999999996</v>
      </c>
      <c r="N3391" s="15">
        <v>0.91085922691059307</v>
      </c>
    </row>
    <row r="3392" spans="1:14" x14ac:dyDescent="0.2">
      <c r="A3392" s="2" t="s">
        <v>10068</v>
      </c>
      <c r="B3392" s="15">
        <v>53</v>
      </c>
      <c r="C3392" s="15">
        <v>1</v>
      </c>
      <c r="D3392" s="15">
        <v>61377616</v>
      </c>
      <c r="E3392" s="15">
        <v>62778733</v>
      </c>
      <c r="F3392" s="15">
        <v>3834</v>
      </c>
      <c r="G3392" s="8" t="s">
        <v>12324</v>
      </c>
      <c r="H3392" s="24" t="s">
        <v>599</v>
      </c>
      <c r="I3392" s="25">
        <v>26562</v>
      </c>
      <c r="J3392" s="8" t="s">
        <v>601</v>
      </c>
      <c r="K3392" s="8" t="s">
        <v>10040</v>
      </c>
      <c r="L3392" s="15">
        <v>0.103599</v>
      </c>
      <c r="M3392" s="15">
        <v>0.69653200000000004</v>
      </c>
      <c r="N3392" s="15">
        <v>0.91109661561119293</v>
      </c>
    </row>
    <row r="3393" spans="1:14" x14ac:dyDescent="0.2">
      <c r="A3393" s="2" t="s">
        <v>10068</v>
      </c>
      <c r="B3393" s="15">
        <v>803</v>
      </c>
      <c r="C3393" s="15">
        <v>5</v>
      </c>
      <c r="D3393" s="15">
        <v>30416067</v>
      </c>
      <c r="E3393" s="15">
        <v>31679464</v>
      </c>
      <c r="F3393" s="15">
        <v>3532</v>
      </c>
      <c r="G3393" s="8" t="s">
        <v>12324</v>
      </c>
      <c r="H3393" s="24" t="s">
        <v>599</v>
      </c>
      <c r="I3393" s="25">
        <v>26562</v>
      </c>
      <c r="J3393" s="8" t="s">
        <v>601</v>
      </c>
      <c r="K3393" s="8" t="s">
        <v>10040</v>
      </c>
      <c r="L3393" s="15">
        <v>-9.9903900000000004E-2</v>
      </c>
      <c r="M3393" s="15">
        <v>0.69703300000000001</v>
      </c>
      <c r="N3393" s="15">
        <v>0.91109661561119293</v>
      </c>
    </row>
    <row r="3394" spans="1:14" x14ac:dyDescent="0.2">
      <c r="A3394" s="2" t="s">
        <v>10068</v>
      </c>
      <c r="B3394" s="15">
        <v>1974</v>
      </c>
      <c r="C3394" s="15">
        <v>14</v>
      </c>
      <c r="D3394" s="15">
        <v>41614834</v>
      </c>
      <c r="E3394" s="15">
        <v>42562550</v>
      </c>
      <c r="F3394" s="15">
        <v>2547</v>
      </c>
      <c r="G3394" s="8" t="s">
        <v>12324</v>
      </c>
      <c r="H3394" s="24" t="s">
        <v>599</v>
      </c>
      <c r="I3394" s="25">
        <v>26562</v>
      </c>
      <c r="J3394" s="8" t="s">
        <v>601</v>
      </c>
      <c r="K3394" s="8" t="s">
        <v>10040</v>
      </c>
      <c r="L3394" s="15">
        <v>0.140151</v>
      </c>
      <c r="M3394" s="15">
        <v>0.69728999999999997</v>
      </c>
      <c r="N3394" s="15">
        <v>0.91109661561119293</v>
      </c>
    </row>
    <row r="3395" spans="1:14" x14ac:dyDescent="0.2">
      <c r="A3395" s="2" t="s">
        <v>10068</v>
      </c>
      <c r="B3395" s="15">
        <v>1719</v>
      </c>
      <c r="C3395" s="15">
        <v>11</v>
      </c>
      <c r="D3395" s="15">
        <v>112755447</v>
      </c>
      <c r="E3395" s="15">
        <v>113889019</v>
      </c>
      <c r="F3395" s="15">
        <v>2815</v>
      </c>
      <c r="G3395" s="8" t="s">
        <v>12324</v>
      </c>
      <c r="H3395" s="24" t="s">
        <v>599</v>
      </c>
      <c r="I3395" s="25">
        <v>26562</v>
      </c>
      <c r="J3395" s="8" t="s">
        <v>601</v>
      </c>
      <c r="K3395" s="8" t="s">
        <v>10040</v>
      </c>
      <c r="L3395" s="15">
        <v>-0.105757</v>
      </c>
      <c r="M3395" s="15">
        <v>0.69744600000000001</v>
      </c>
      <c r="N3395" s="15">
        <v>0.91109661561119293</v>
      </c>
    </row>
    <row r="3396" spans="1:14" x14ac:dyDescent="0.2">
      <c r="A3396" s="2" t="s">
        <v>10068</v>
      </c>
      <c r="B3396" s="15">
        <v>1682</v>
      </c>
      <c r="C3396" s="15">
        <v>11</v>
      </c>
      <c r="D3396" s="15">
        <v>75445254</v>
      </c>
      <c r="E3396" s="15">
        <v>76518906</v>
      </c>
      <c r="F3396" s="15">
        <v>2470</v>
      </c>
      <c r="G3396" s="8" t="s">
        <v>12324</v>
      </c>
      <c r="H3396" s="24" t="s">
        <v>1259</v>
      </c>
      <c r="I3396" s="25">
        <v>27096</v>
      </c>
      <c r="J3396" s="8" t="s">
        <v>1261</v>
      </c>
      <c r="K3396" s="8" t="s">
        <v>10040</v>
      </c>
      <c r="L3396" s="15">
        <v>-6.0208299999999999E-2</v>
      </c>
      <c r="M3396" s="15">
        <v>0.69735899999999995</v>
      </c>
      <c r="N3396" s="15">
        <v>0.91109661561119293</v>
      </c>
    </row>
    <row r="3397" spans="1:14" x14ac:dyDescent="0.2">
      <c r="A3397" s="2" t="s">
        <v>10068</v>
      </c>
      <c r="B3397" s="15">
        <v>591</v>
      </c>
      <c r="C3397" s="15">
        <v>3</v>
      </c>
      <c r="D3397" s="15">
        <v>194217141</v>
      </c>
      <c r="E3397" s="15">
        <v>195196789</v>
      </c>
      <c r="F3397" s="15">
        <v>3900</v>
      </c>
      <c r="G3397" s="8" t="s">
        <v>12324</v>
      </c>
      <c r="H3397" s="24" t="s">
        <v>1259</v>
      </c>
      <c r="I3397" s="25">
        <v>27096</v>
      </c>
      <c r="J3397" s="8" t="s">
        <v>1261</v>
      </c>
      <c r="K3397" s="8" t="s">
        <v>10040</v>
      </c>
      <c r="L3397" s="15">
        <v>-6.1188800000000002E-2</v>
      </c>
      <c r="M3397" s="15">
        <v>0.69743599999999994</v>
      </c>
      <c r="N3397" s="15">
        <v>0.91109661561119293</v>
      </c>
    </row>
    <row r="3398" spans="1:14" x14ac:dyDescent="0.2">
      <c r="A3398" s="2" t="s">
        <v>10068</v>
      </c>
      <c r="B3398" s="15">
        <v>656</v>
      </c>
      <c r="C3398" s="15">
        <v>4</v>
      </c>
      <c r="D3398" s="15">
        <v>59692949</v>
      </c>
      <c r="E3398" s="15">
        <v>60746709</v>
      </c>
      <c r="F3398" s="15">
        <v>3319</v>
      </c>
      <c r="G3398" s="8" t="s">
        <v>12324</v>
      </c>
      <c r="H3398" s="24" t="s">
        <v>6565</v>
      </c>
      <c r="I3398" s="25" t="s">
        <v>6475</v>
      </c>
      <c r="J3398" s="8" t="s">
        <v>6566</v>
      </c>
      <c r="K3398" s="8" t="s">
        <v>10054</v>
      </c>
      <c r="L3398" s="15">
        <v>0.14400199999999999</v>
      </c>
      <c r="M3398" s="15">
        <v>0.69776400000000005</v>
      </c>
      <c r="N3398" s="15">
        <v>0.91124362190812724</v>
      </c>
    </row>
    <row r="3399" spans="1:14" x14ac:dyDescent="0.2">
      <c r="A3399" s="2" t="s">
        <v>10068</v>
      </c>
      <c r="B3399" s="15">
        <v>1784</v>
      </c>
      <c r="C3399" s="15">
        <v>12</v>
      </c>
      <c r="D3399" s="15">
        <v>44923826</v>
      </c>
      <c r="E3399" s="15">
        <v>46037744</v>
      </c>
      <c r="F3399" s="15">
        <v>2561</v>
      </c>
      <c r="G3399" s="8" t="s">
        <v>12324</v>
      </c>
      <c r="H3399" s="24" t="s">
        <v>494</v>
      </c>
      <c r="I3399" s="25">
        <v>25920</v>
      </c>
      <c r="J3399" s="8" t="s">
        <v>496</v>
      </c>
      <c r="K3399" s="8" t="s">
        <v>10040</v>
      </c>
      <c r="L3399" s="15">
        <v>-6.4232999999999998E-2</v>
      </c>
      <c r="M3399" s="15">
        <v>0.69799199999999995</v>
      </c>
      <c r="N3399" s="15">
        <v>0.9112730409184574</v>
      </c>
    </row>
    <row r="3400" spans="1:14" x14ac:dyDescent="0.2">
      <c r="A3400" s="2" t="s">
        <v>10066</v>
      </c>
      <c r="B3400" s="15">
        <v>903</v>
      </c>
      <c r="C3400" s="15">
        <v>5</v>
      </c>
      <c r="D3400" s="15">
        <v>153734495</v>
      </c>
      <c r="E3400" s="15">
        <v>154599750</v>
      </c>
      <c r="F3400" s="15">
        <v>2176</v>
      </c>
      <c r="G3400" s="8" t="s">
        <v>12324</v>
      </c>
      <c r="H3400" s="24" t="s">
        <v>6008</v>
      </c>
      <c r="I3400" s="25" t="s">
        <v>6009</v>
      </c>
      <c r="J3400" s="8" t="s">
        <v>6010</v>
      </c>
      <c r="K3400" s="8" t="s">
        <v>10051</v>
      </c>
      <c r="L3400" s="15">
        <v>0.123722</v>
      </c>
      <c r="M3400" s="15">
        <v>0.69846399999999997</v>
      </c>
      <c r="N3400" s="15">
        <v>0.9116209064155385</v>
      </c>
    </row>
    <row r="3401" spans="1:14" x14ac:dyDescent="0.2">
      <c r="A3401" s="2" t="s">
        <v>10068</v>
      </c>
      <c r="B3401" s="15">
        <v>2186</v>
      </c>
      <c r="C3401" s="15">
        <v>17</v>
      </c>
      <c r="D3401" s="15">
        <v>12676354</v>
      </c>
      <c r="E3401" s="15">
        <v>13648446</v>
      </c>
      <c r="F3401" s="15">
        <v>3480</v>
      </c>
      <c r="G3401" s="8" t="s">
        <v>12324</v>
      </c>
      <c r="H3401" s="24" t="s">
        <v>1259</v>
      </c>
      <c r="I3401" s="25">
        <v>27096</v>
      </c>
      <c r="J3401" s="8" t="s">
        <v>1261</v>
      </c>
      <c r="K3401" s="8" t="s">
        <v>10040</v>
      </c>
      <c r="L3401" s="15">
        <v>-8.2125100000000006E-2</v>
      </c>
      <c r="M3401" s="15">
        <v>0.69879000000000002</v>
      </c>
      <c r="N3401" s="15">
        <v>0.91177806707855247</v>
      </c>
    </row>
    <row r="3402" spans="1:14" x14ac:dyDescent="0.2">
      <c r="A3402" s="2" t="s">
        <v>10068</v>
      </c>
      <c r="B3402" s="15">
        <v>22</v>
      </c>
      <c r="C3402" s="15">
        <v>1</v>
      </c>
      <c r="D3402" s="15">
        <v>20556203</v>
      </c>
      <c r="E3402" s="15">
        <v>21416121</v>
      </c>
      <c r="F3402" s="15">
        <v>2194</v>
      </c>
      <c r="G3402" s="8" t="s">
        <v>12324</v>
      </c>
      <c r="H3402" s="24" t="s">
        <v>6565</v>
      </c>
      <c r="I3402" s="25" t="s">
        <v>6475</v>
      </c>
      <c r="J3402" s="8" t="s">
        <v>6566</v>
      </c>
      <c r="K3402" s="8" t="s">
        <v>10054</v>
      </c>
      <c r="L3402" s="15">
        <v>-0.14419100000000001</v>
      </c>
      <c r="M3402" s="15">
        <v>0.69904299999999997</v>
      </c>
      <c r="N3402" s="15">
        <v>0.91183991323529412</v>
      </c>
    </row>
    <row r="3403" spans="1:14" x14ac:dyDescent="0.2">
      <c r="A3403" s="2" t="s">
        <v>10068</v>
      </c>
      <c r="B3403" s="15">
        <v>2093</v>
      </c>
      <c r="C3403" s="15">
        <v>15</v>
      </c>
      <c r="D3403" s="15">
        <v>93707011</v>
      </c>
      <c r="E3403" s="15">
        <v>94565521</v>
      </c>
      <c r="F3403" s="15">
        <v>3254</v>
      </c>
      <c r="G3403" s="8" t="s">
        <v>12324</v>
      </c>
      <c r="H3403" s="24" t="s">
        <v>494</v>
      </c>
      <c r="I3403" s="25">
        <v>25920</v>
      </c>
      <c r="J3403" s="8" t="s">
        <v>496</v>
      </c>
      <c r="K3403" s="8" t="s">
        <v>10040</v>
      </c>
      <c r="L3403" s="15">
        <v>9.2122200000000001E-2</v>
      </c>
      <c r="M3403" s="15">
        <v>0.699577</v>
      </c>
      <c r="N3403" s="15">
        <v>0.91199999853027625</v>
      </c>
    </row>
    <row r="3404" spans="1:14" x14ac:dyDescent="0.2">
      <c r="A3404" s="2" t="s">
        <v>10066</v>
      </c>
      <c r="B3404" s="15">
        <v>276</v>
      </c>
      <c r="C3404" s="15">
        <v>2</v>
      </c>
      <c r="D3404" s="15">
        <v>70756284</v>
      </c>
      <c r="E3404" s="15">
        <v>71385813</v>
      </c>
      <c r="F3404" s="15">
        <v>2198</v>
      </c>
      <c r="G3404" s="8" t="s">
        <v>12324</v>
      </c>
      <c r="H3404" s="24" t="s">
        <v>3164</v>
      </c>
      <c r="I3404" s="25" t="s">
        <v>3165</v>
      </c>
      <c r="J3404" s="8" t="s">
        <v>3166</v>
      </c>
      <c r="K3404" s="8" t="s">
        <v>10042</v>
      </c>
      <c r="L3404" s="15">
        <v>-6.0354699999999997E-2</v>
      </c>
      <c r="M3404" s="15">
        <v>0.69938400000000001</v>
      </c>
      <c r="N3404" s="15">
        <v>0.91199999853027625</v>
      </c>
    </row>
    <row r="3405" spans="1:14" x14ac:dyDescent="0.2">
      <c r="A3405" s="2" t="s">
        <v>10068</v>
      </c>
      <c r="B3405" s="15">
        <v>412</v>
      </c>
      <c r="C3405" s="15">
        <v>2</v>
      </c>
      <c r="D3405" s="15">
        <v>235625790</v>
      </c>
      <c r="E3405" s="15">
        <v>236276287</v>
      </c>
      <c r="F3405" s="15">
        <v>2341</v>
      </c>
      <c r="G3405" s="8" t="s">
        <v>12324</v>
      </c>
      <c r="H3405" s="24" t="s">
        <v>494</v>
      </c>
      <c r="I3405" s="25">
        <v>25920</v>
      </c>
      <c r="J3405" s="8" t="s">
        <v>496</v>
      </c>
      <c r="K3405" s="8" t="s">
        <v>10040</v>
      </c>
      <c r="L3405" s="15">
        <v>5.5058599999999999E-2</v>
      </c>
      <c r="M3405" s="15">
        <v>0.70056099999999999</v>
      </c>
      <c r="N3405" s="15">
        <v>0.91208091402582159</v>
      </c>
    </row>
    <row r="3406" spans="1:14" x14ac:dyDescent="0.2">
      <c r="A3406" s="2" t="s">
        <v>10068</v>
      </c>
      <c r="B3406" s="15">
        <v>1839</v>
      </c>
      <c r="C3406" s="15">
        <v>12</v>
      </c>
      <c r="D3406" s="15">
        <v>109031820</v>
      </c>
      <c r="E3406" s="15">
        <v>110111514</v>
      </c>
      <c r="F3406" s="15">
        <v>2730</v>
      </c>
      <c r="G3406" s="8" t="s">
        <v>12324</v>
      </c>
      <c r="H3406" s="24" t="s">
        <v>599</v>
      </c>
      <c r="I3406" s="25">
        <v>26562</v>
      </c>
      <c r="J3406" s="8" t="s">
        <v>601</v>
      </c>
      <c r="K3406" s="8" t="s">
        <v>10040</v>
      </c>
      <c r="L3406" s="15">
        <v>-7.8903799999999996E-2</v>
      </c>
      <c r="M3406" s="15">
        <v>0.700206</v>
      </c>
      <c r="N3406" s="15">
        <v>0.91208091402582159</v>
      </c>
    </row>
    <row r="3407" spans="1:14" x14ac:dyDescent="0.2">
      <c r="A3407" s="2" t="s">
        <v>10069</v>
      </c>
      <c r="B3407" s="15">
        <v>2234</v>
      </c>
      <c r="C3407" s="15">
        <v>17</v>
      </c>
      <c r="D3407" s="15">
        <v>77412787</v>
      </c>
      <c r="E3407" s="15">
        <v>78438332</v>
      </c>
      <c r="F3407" s="15">
        <v>1929</v>
      </c>
      <c r="G3407" s="8" t="s">
        <v>12324</v>
      </c>
      <c r="H3407" s="24" t="s">
        <v>662</v>
      </c>
      <c r="I3407" s="25" t="s">
        <v>663</v>
      </c>
      <c r="J3407" s="8" t="s">
        <v>664</v>
      </c>
      <c r="K3407" s="8" t="s">
        <v>10040</v>
      </c>
      <c r="L3407" s="15">
        <v>-0.106284</v>
      </c>
      <c r="M3407" s="15">
        <v>0.69995300000000005</v>
      </c>
      <c r="N3407" s="15">
        <v>0.91208091402582159</v>
      </c>
    </row>
    <row r="3408" spans="1:14" x14ac:dyDescent="0.2">
      <c r="A3408" s="2" t="s">
        <v>10068</v>
      </c>
      <c r="B3408" s="15">
        <v>1137</v>
      </c>
      <c r="C3408" s="15">
        <v>7</v>
      </c>
      <c r="D3408" s="15">
        <v>40261241</v>
      </c>
      <c r="E3408" s="15">
        <v>41415925</v>
      </c>
      <c r="F3408" s="15">
        <v>2334</v>
      </c>
      <c r="G3408" s="8" t="s">
        <v>12324</v>
      </c>
      <c r="H3408" s="24" t="s">
        <v>1259</v>
      </c>
      <c r="I3408" s="25">
        <v>27096</v>
      </c>
      <c r="J3408" s="8" t="s">
        <v>1261</v>
      </c>
      <c r="K3408" s="8" t="s">
        <v>10040</v>
      </c>
      <c r="L3408" s="15">
        <v>6.3547400000000004E-2</v>
      </c>
      <c r="M3408" s="15">
        <v>0.70032099999999997</v>
      </c>
      <c r="N3408" s="15">
        <v>0.91208091402582159</v>
      </c>
    </row>
    <row r="3409" spans="1:14" x14ac:dyDescent="0.2">
      <c r="A3409" s="2" t="s">
        <v>10068</v>
      </c>
      <c r="B3409" s="15">
        <v>1724</v>
      </c>
      <c r="C3409" s="15">
        <v>11</v>
      </c>
      <c r="D3409" s="15">
        <v>118901214</v>
      </c>
      <c r="E3409" s="15">
        <v>120064528</v>
      </c>
      <c r="F3409" s="15">
        <v>2724</v>
      </c>
      <c r="G3409" s="8" t="s">
        <v>12324</v>
      </c>
      <c r="H3409" s="24" t="s">
        <v>1259</v>
      </c>
      <c r="I3409" s="25">
        <v>27096</v>
      </c>
      <c r="J3409" s="8" t="s">
        <v>1261</v>
      </c>
      <c r="K3409" s="8" t="s">
        <v>10040</v>
      </c>
      <c r="L3409" s="15">
        <v>9.1983499999999996E-2</v>
      </c>
      <c r="M3409" s="15">
        <v>0.70083099999999998</v>
      </c>
      <c r="N3409" s="15">
        <v>0.91208091402582159</v>
      </c>
    </row>
    <row r="3410" spans="1:14" x14ac:dyDescent="0.2">
      <c r="A3410" s="2" t="s">
        <v>10068</v>
      </c>
      <c r="B3410" s="15">
        <v>1403</v>
      </c>
      <c r="C3410" s="15">
        <v>9</v>
      </c>
      <c r="D3410" s="15">
        <v>26747215</v>
      </c>
      <c r="E3410" s="15">
        <v>27366479</v>
      </c>
      <c r="F3410" s="15">
        <v>2021</v>
      </c>
      <c r="G3410" s="8" t="s">
        <v>12324</v>
      </c>
      <c r="H3410" s="24" t="s">
        <v>6565</v>
      </c>
      <c r="I3410" s="25" t="s">
        <v>6475</v>
      </c>
      <c r="J3410" s="8" t="s">
        <v>6566</v>
      </c>
      <c r="K3410" s="8" t="s">
        <v>10054</v>
      </c>
      <c r="L3410" s="15">
        <v>-0.134987</v>
      </c>
      <c r="M3410" s="15">
        <v>0.70087299999999997</v>
      </c>
      <c r="N3410" s="15">
        <v>0.91208091402582159</v>
      </c>
    </row>
    <row r="3411" spans="1:14" x14ac:dyDescent="0.2">
      <c r="A3411" s="2" t="s">
        <v>10068</v>
      </c>
      <c r="B3411" s="15">
        <v>1960</v>
      </c>
      <c r="C3411" s="15">
        <v>14</v>
      </c>
      <c r="D3411" s="15">
        <v>25585042</v>
      </c>
      <c r="E3411" s="15">
        <v>26395690</v>
      </c>
      <c r="F3411" s="15">
        <v>2230</v>
      </c>
      <c r="G3411" s="8" t="s">
        <v>12324</v>
      </c>
      <c r="H3411" s="24" t="s">
        <v>6565</v>
      </c>
      <c r="I3411" s="25" t="s">
        <v>6475</v>
      </c>
      <c r="J3411" s="8" t="s">
        <v>6566</v>
      </c>
      <c r="K3411" s="8" t="s">
        <v>10054</v>
      </c>
      <c r="L3411" s="15">
        <v>-6.4546300000000001E-2</v>
      </c>
      <c r="M3411" s="15">
        <v>0.70116000000000001</v>
      </c>
      <c r="N3411" s="15">
        <v>0.91218674097975949</v>
      </c>
    </row>
    <row r="3412" spans="1:14" x14ac:dyDescent="0.2">
      <c r="A3412" s="2" t="s">
        <v>10068</v>
      </c>
      <c r="B3412" s="15">
        <v>1773</v>
      </c>
      <c r="C3412" s="15">
        <v>12</v>
      </c>
      <c r="D3412" s="15">
        <v>31797153</v>
      </c>
      <c r="E3412" s="15">
        <v>32368905</v>
      </c>
      <c r="F3412" s="15">
        <v>2272</v>
      </c>
      <c r="G3412" s="8" t="s">
        <v>12324</v>
      </c>
      <c r="H3412" s="24" t="s">
        <v>494</v>
      </c>
      <c r="I3412" s="25">
        <v>25920</v>
      </c>
      <c r="J3412" s="8" t="s">
        <v>496</v>
      </c>
      <c r="K3412" s="8" t="s">
        <v>10040</v>
      </c>
      <c r="L3412" s="15">
        <v>0.12067</v>
      </c>
      <c r="M3412" s="15">
        <v>0.70286199999999999</v>
      </c>
      <c r="N3412" s="15">
        <v>0.91328412617096011</v>
      </c>
    </row>
    <row r="3413" spans="1:14" x14ac:dyDescent="0.2">
      <c r="A3413" s="2" t="s">
        <v>10068</v>
      </c>
      <c r="B3413" s="15">
        <v>1753</v>
      </c>
      <c r="C3413" s="15">
        <v>12</v>
      </c>
      <c r="D3413" s="15">
        <v>12721875</v>
      </c>
      <c r="E3413" s="15">
        <v>13559527</v>
      </c>
      <c r="F3413" s="15">
        <v>2039</v>
      </c>
      <c r="G3413" s="8" t="s">
        <v>12324</v>
      </c>
      <c r="H3413" s="24" t="s">
        <v>599</v>
      </c>
      <c r="I3413" s="25">
        <v>26562</v>
      </c>
      <c r="J3413" s="8" t="s">
        <v>601</v>
      </c>
      <c r="K3413" s="8" t="s">
        <v>10040</v>
      </c>
      <c r="L3413" s="15">
        <v>-6.7113800000000001E-2</v>
      </c>
      <c r="M3413" s="15">
        <v>0.70282800000000001</v>
      </c>
      <c r="N3413" s="15">
        <v>0.91328412617096011</v>
      </c>
    </row>
    <row r="3414" spans="1:14" x14ac:dyDescent="0.2">
      <c r="A3414" s="2" t="s">
        <v>10066</v>
      </c>
      <c r="B3414" s="15">
        <v>205</v>
      </c>
      <c r="C3414" s="15">
        <v>2</v>
      </c>
      <c r="D3414" s="15">
        <v>2680064</v>
      </c>
      <c r="E3414" s="15">
        <v>3314202</v>
      </c>
      <c r="F3414" s="15">
        <v>2199</v>
      </c>
      <c r="G3414" s="8" t="s">
        <v>12324</v>
      </c>
      <c r="H3414" s="24" t="s">
        <v>3164</v>
      </c>
      <c r="I3414" s="25" t="s">
        <v>3165</v>
      </c>
      <c r="J3414" s="8" t="s">
        <v>3166</v>
      </c>
      <c r="K3414" s="8" t="s">
        <v>10042</v>
      </c>
      <c r="L3414" s="15">
        <v>-9.3013700000000005E-2</v>
      </c>
      <c r="M3414" s="15">
        <v>0.70243199999999995</v>
      </c>
      <c r="N3414" s="15">
        <v>0.91328412617096011</v>
      </c>
    </row>
    <row r="3415" spans="1:14" x14ac:dyDescent="0.2">
      <c r="A3415" s="2" t="s">
        <v>10066</v>
      </c>
      <c r="B3415" s="15">
        <v>1517</v>
      </c>
      <c r="C3415" s="15">
        <v>10</v>
      </c>
      <c r="D3415" s="15">
        <v>28734423</v>
      </c>
      <c r="E3415" s="15">
        <v>29393749</v>
      </c>
      <c r="F3415" s="15">
        <v>2141</v>
      </c>
      <c r="G3415" s="8" t="s">
        <v>12324</v>
      </c>
      <c r="H3415" s="24" t="s">
        <v>3164</v>
      </c>
      <c r="I3415" s="25" t="s">
        <v>3165</v>
      </c>
      <c r="J3415" s="8" t="s">
        <v>3166</v>
      </c>
      <c r="K3415" s="8" t="s">
        <v>10042</v>
      </c>
      <c r="L3415" s="15">
        <v>-9.0026099999999998E-2</v>
      </c>
      <c r="M3415" s="15">
        <v>0.70344499999999999</v>
      </c>
      <c r="N3415" s="15">
        <v>0.91328412617096011</v>
      </c>
    </row>
    <row r="3416" spans="1:14" x14ac:dyDescent="0.2">
      <c r="A3416" s="2" t="s">
        <v>10066</v>
      </c>
      <c r="B3416" s="15">
        <v>2184</v>
      </c>
      <c r="C3416" s="15">
        <v>17</v>
      </c>
      <c r="D3416" s="15">
        <v>10572618</v>
      </c>
      <c r="E3416" s="15">
        <v>11778164</v>
      </c>
      <c r="F3416" s="15">
        <v>3164</v>
      </c>
      <c r="G3416" s="8" t="s">
        <v>12324</v>
      </c>
      <c r="H3416" s="24" t="s">
        <v>6008</v>
      </c>
      <c r="I3416" s="25" t="s">
        <v>6009</v>
      </c>
      <c r="J3416" s="8" t="s">
        <v>6010</v>
      </c>
      <c r="K3416" s="8" t="s">
        <v>10051</v>
      </c>
      <c r="L3416" s="15">
        <v>6.3594399999999995E-2</v>
      </c>
      <c r="M3416" s="15">
        <v>0.70259199999999999</v>
      </c>
      <c r="N3416" s="15">
        <v>0.91328412617096011</v>
      </c>
    </row>
    <row r="3417" spans="1:14" x14ac:dyDescent="0.2">
      <c r="A3417" s="2" t="s">
        <v>10066</v>
      </c>
      <c r="B3417" s="15">
        <v>126</v>
      </c>
      <c r="C3417" s="15">
        <v>1</v>
      </c>
      <c r="D3417" s="15">
        <v>168179087</v>
      </c>
      <c r="E3417" s="15">
        <v>169521551</v>
      </c>
      <c r="F3417" s="15">
        <v>3977</v>
      </c>
      <c r="G3417" s="8" t="s">
        <v>12324</v>
      </c>
      <c r="H3417" s="24" t="s">
        <v>6008</v>
      </c>
      <c r="I3417" s="25" t="s">
        <v>6009</v>
      </c>
      <c r="J3417" s="8" t="s">
        <v>6010</v>
      </c>
      <c r="K3417" s="8" t="s">
        <v>10051</v>
      </c>
      <c r="L3417" s="15">
        <v>-6.7139099999999993E-2</v>
      </c>
      <c r="M3417" s="15">
        <v>0.70335199999999998</v>
      </c>
      <c r="N3417" s="15">
        <v>0.91328412617096011</v>
      </c>
    </row>
    <row r="3418" spans="1:14" x14ac:dyDescent="0.2">
      <c r="A3418" s="2" t="s">
        <v>10068</v>
      </c>
      <c r="B3418" s="15">
        <v>717</v>
      </c>
      <c r="C3418" s="15">
        <v>4</v>
      </c>
      <c r="D3418" s="15">
        <v>128321877</v>
      </c>
      <c r="E3418" s="15">
        <v>129625376</v>
      </c>
      <c r="F3418" s="15">
        <v>2314</v>
      </c>
      <c r="G3418" s="8" t="s">
        <v>12324</v>
      </c>
      <c r="H3418" s="24" t="s">
        <v>6565</v>
      </c>
      <c r="I3418" s="25" t="s">
        <v>6475</v>
      </c>
      <c r="J3418" s="8" t="s">
        <v>6566</v>
      </c>
      <c r="K3418" s="8" t="s">
        <v>10054</v>
      </c>
      <c r="L3418" s="15">
        <v>8.3033999999999997E-2</v>
      </c>
      <c r="M3418" s="15">
        <v>0.70331100000000002</v>
      </c>
      <c r="N3418" s="15">
        <v>0.91328412617096011</v>
      </c>
    </row>
    <row r="3419" spans="1:14" x14ac:dyDescent="0.2">
      <c r="A3419" s="2" t="s">
        <v>10068</v>
      </c>
      <c r="B3419" s="15">
        <v>642</v>
      </c>
      <c r="C3419" s="15">
        <v>4</v>
      </c>
      <c r="D3419" s="15">
        <v>41360938</v>
      </c>
      <c r="E3419" s="15">
        <v>42189251</v>
      </c>
      <c r="F3419" s="15">
        <v>2129</v>
      </c>
      <c r="G3419" s="8" t="s">
        <v>12324</v>
      </c>
      <c r="H3419" s="24" t="s">
        <v>494</v>
      </c>
      <c r="I3419" s="25">
        <v>25920</v>
      </c>
      <c r="J3419" s="8" t="s">
        <v>496</v>
      </c>
      <c r="K3419" s="8" t="s">
        <v>10040</v>
      </c>
      <c r="L3419" s="15">
        <v>-0.11151899999999999</v>
      </c>
      <c r="M3419" s="15">
        <v>0.70395700000000005</v>
      </c>
      <c r="N3419" s="15">
        <v>0.91331441976030403</v>
      </c>
    </row>
    <row r="3420" spans="1:14" x14ac:dyDescent="0.2">
      <c r="A3420" s="2" t="s">
        <v>10068</v>
      </c>
      <c r="B3420" s="15">
        <v>1330</v>
      </c>
      <c r="C3420" s="15">
        <v>8</v>
      </c>
      <c r="D3420" s="15">
        <v>101448440</v>
      </c>
      <c r="E3420" s="15">
        <v>102548680</v>
      </c>
      <c r="F3420" s="15">
        <v>2622</v>
      </c>
      <c r="G3420" s="8" t="s">
        <v>12324</v>
      </c>
      <c r="H3420" s="24" t="s">
        <v>494</v>
      </c>
      <c r="I3420" s="25">
        <v>25920</v>
      </c>
      <c r="J3420" s="8" t="s">
        <v>496</v>
      </c>
      <c r="K3420" s="8" t="s">
        <v>10040</v>
      </c>
      <c r="L3420" s="15">
        <v>-5.71925E-2</v>
      </c>
      <c r="M3420" s="15">
        <v>0.70442000000000005</v>
      </c>
      <c r="N3420" s="15">
        <v>0.91331441976030403</v>
      </c>
    </row>
    <row r="3421" spans="1:14" x14ac:dyDescent="0.2">
      <c r="A3421" s="2" t="s">
        <v>10068</v>
      </c>
      <c r="B3421" s="15">
        <v>762</v>
      </c>
      <c r="C3421" s="15">
        <v>4</v>
      </c>
      <c r="D3421" s="15">
        <v>179932392</v>
      </c>
      <c r="E3421" s="15">
        <v>180540877</v>
      </c>
      <c r="F3421" s="15">
        <v>2401</v>
      </c>
      <c r="G3421" s="8" t="s">
        <v>12324</v>
      </c>
      <c r="H3421" s="24" t="s">
        <v>599</v>
      </c>
      <c r="I3421" s="25">
        <v>26562</v>
      </c>
      <c r="J3421" s="8" t="s">
        <v>601</v>
      </c>
      <c r="K3421" s="8" t="s">
        <v>10040</v>
      </c>
      <c r="L3421" s="15">
        <v>-4.7038000000000003E-2</v>
      </c>
      <c r="M3421" s="15">
        <v>0.70408899999999996</v>
      </c>
      <c r="N3421" s="15">
        <v>0.91331441976030403</v>
      </c>
    </row>
    <row r="3422" spans="1:14" x14ac:dyDescent="0.2">
      <c r="A3422" s="2" t="s">
        <v>10069</v>
      </c>
      <c r="B3422" s="15">
        <v>1874</v>
      </c>
      <c r="C3422" s="15">
        <v>13</v>
      </c>
      <c r="D3422" s="15">
        <v>30068526</v>
      </c>
      <c r="E3422" s="15">
        <v>31433218</v>
      </c>
      <c r="F3422" s="15">
        <v>2752</v>
      </c>
      <c r="G3422" s="8" t="s">
        <v>12324</v>
      </c>
      <c r="H3422" s="24" t="s">
        <v>662</v>
      </c>
      <c r="I3422" s="25" t="s">
        <v>663</v>
      </c>
      <c r="J3422" s="8" t="s">
        <v>664</v>
      </c>
      <c r="K3422" s="8" t="s">
        <v>10040</v>
      </c>
      <c r="L3422" s="15">
        <v>0.115577</v>
      </c>
      <c r="M3422" s="15">
        <v>0.70368299999999995</v>
      </c>
      <c r="N3422" s="15">
        <v>0.91331441976030403</v>
      </c>
    </row>
    <row r="3423" spans="1:14" x14ac:dyDescent="0.2">
      <c r="A3423" s="2" t="s">
        <v>10068</v>
      </c>
      <c r="B3423" s="15">
        <v>833</v>
      </c>
      <c r="C3423" s="15">
        <v>5</v>
      </c>
      <c r="D3423" s="15">
        <v>67096192</v>
      </c>
      <c r="E3423" s="15">
        <v>68006993</v>
      </c>
      <c r="F3423" s="15">
        <v>2426</v>
      </c>
      <c r="G3423" s="8" t="s">
        <v>12324</v>
      </c>
      <c r="H3423" s="24" t="s">
        <v>6565</v>
      </c>
      <c r="I3423" s="25" t="s">
        <v>6475</v>
      </c>
      <c r="J3423" s="8" t="s">
        <v>6566</v>
      </c>
      <c r="K3423" s="8" t="s">
        <v>10054</v>
      </c>
      <c r="L3423" s="15">
        <v>-5.7563599999999999E-2</v>
      </c>
      <c r="M3423" s="15">
        <v>0.70449799999999996</v>
      </c>
      <c r="N3423" s="15">
        <v>0.91331441976030403</v>
      </c>
    </row>
    <row r="3424" spans="1:14" x14ac:dyDescent="0.2">
      <c r="A3424" s="2" t="s">
        <v>10068</v>
      </c>
      <c r="B3424" s="15">
        <v>2011</v>
      </c>
      <c r="C3424" s="15">
        <v>14</v>
      </c>
      <c r="D3424" s="15">
        <v>82524786</v>
      </c>
      <c r="E3424" s="15">
        <v>84087372</v>
      </c>
      <c r="F3424" s="15">
        <v>4026</v>
      </c>
      <c r="G3424" s="8" t="s">
        <v>12324</v>
      </c>
      <c r="H3424" s="24" t="s">
        <v>494</v>
      </c>
      <c r="I3424" s="25">
        <v>25920</v>
      </c>
      <c r="J3424" s="8" t="s">
        <v>496</v>
      </c>
      <c r="K3424" s="8" t="s">
        <v>10040</v>
      </c>
      <c r="L3424" s="15">
        <v>-0.14899699999999999</v>
      </c>
      <c r="M3424" s="15">
        <v>0.70607600000000004</v>
      </c>
      <c r="N3424" s="15">
        <v>0.9135243427500721</v>
      </c>
    </row>
    <row r="3425" spans="1:14" x14ac:dyDescent="0.2">
      <c r="A3425" s="2" t="s">
        <v>10068</v>
      </c>
      <c r="B3425" s="15">
        <v>124</v>
      </c>
      <c r="C3425" s="15">
        <v>1</v>
      </c>
      <c r="D3425" s="15">
        <v>166458032</v>
      </c>
      <c r="E3425" s="15">
        <v>167163954</v>
      </c>
      <c r="F3425" s="15">
        <v>2187</v>
      </c>
      <c r="G3425" s="8" t="s">
        <v>12324</v>
      </c>
      <c r="H3425" s="24" t="s">
        <v>494</v>
      </c>
      <c r="I3425" s="25">
        <v>25920</v>
      </c>
      <c r="J3425" s="8" t="s">
        <v>496</v>
      </c>
      <c r="K3425" s="8" t="s">
        <v>10040</v>
      </c>
      <c r="L3425" s="15">
        <v>0.117135</v>
      </c>
      <c r="M3425" s="15">
        <v>0.70655199999999996</v>
      </c>
      <c r="N3425" s="15">
        <v>0.9135243427500721</v>
      </c>
    </row>
    <row r="3426" spans="1:14" x14ac:dyDescent="0.2">
      <c r="A3426" s="2" t="s">
        <v>10068</v>
      </c>
      <c r="B3426" s="15">
        <v>892</v>
      </c>
      <c r="C3426" s="15">
        <v>5</v>
      </c>
      <c r="D3426" s="15">
        <v>139408117</v>
      </c>
      <c r="E3426" s="15">
        <v>141253830</v>
      </c>
      <c r="F3426" s="15">
        <v>3443</v>
      </c>
      <c r="G3426" s="8" t="s">
        <v>12324</v>
      </c>
      <c r="H3426" s="24" t="s">
        <v>494</v>
      </c>
      <c r="I3426" s="25">
        <v>25920</v>
      </c>
      <c r="J3426" s="8" t="s">
        <v>496</v>
      </c>
      <c r="K3426" s="8" t="s">
        <v>10040</v>
      </c>
      <c r="L3426" s="15">
        <v>0.106696</v>
      </c>
      <c r="M3426" s="15">
        <v>0.70749200000000001</v>
      </c>
      <c r="N3426" s="15">
        <v>0.9135243427500721</v>
      </c>
    </row>
    <row r="3427" spans="1:14" x14ac:dyDescent="0.2">
      <c r="A3427" s="2" t="s">
        <v>10068</v>
      </c>
      <c r="B3427" s="15">
        <v>1625</v>
      </c>
      <c r="C3427" s="15">
        <v>11</v>
      </c>
      <c r="D3427" s="15">
        <v>12470450</v>
      </c>
      <c r="E3427" s="15">
        <v>13364727</v>
      </c>
      <c r="F3427" s="15">
        <v>2435</v>
      </c>
      <c r="G3427" s="8" t="s">
        <v>12324</v>
      </c>
      <c r="H3427" s="24" t="s">
        <v>494</v>
      </c>
      <c r="I3427" s="25">
        <v>25920</v>
      </c>
      <c r="J3427" s="8" t="s">
        <v>496</v>
      </c>
      <c r="K3427" s="8" t="s">
        <v>10040</v>
      </c>
      <c r="L3427" s="15">
        <v>-8.8081099999999996E-2</v>
      </c>
      <c r="M3427" s="15">
        <v>0.70987800000000001</v>
      </c>
      <c r="N3427" s="15">
        <v>0.9135243427500721</v>
      </c>
    </row>
    <row r="3428" spans="1:14" x14ac:dyDescent="0.2">
      <c r="A3428" s="2" t="s">
        <v>10068</v>
      </c>
      <c r="B3428" s="15">
        <v>2046</v>
      </c>
      <c r="C3428" s="15">
        <v>15</v>
      </c>
      <c r="D3428" s="15">
        <v>35118928</v>
      </c>
      <c r="E3428" s="15">
        <v>36583327</v>
      </c>
      <c r="F3428" s="15">
        <v>3543</v>
      </c>
      <c r="G3428" s="8" t="s">
        <v>12324</v>
      </c>
      <c r="H3428" s="24" t="s">
        <v>494</v>
      </c>
      <c r="I3428" s="25">
        <v>25920</v>
      </c>
      <c r="J3428" s="8" t="s">
        <v>496</v>
      </c>
      <c r="K3428" s="8" t="s">
        <v>10040</v>
      </c>
      <c r="L3428" s="15">
        <v>8.9550000000000005E-2</v>
      </c>
      <c r="M3428" s="15">
        <v>0.71095399999999997</v>
      </c>
      <c r="N3428" s="15">
        <v>0.9135243427500721</v>
      </c>
    </row>
    <row r="3429" spans="1:14" x14ac:dyDescent="0.2">
      <c r="A3429" s="2" t="s">
        <v>10068</v>
      </c>
      <c r="B3429" s="15">
        <v>515</v>
      </c>
      <c r="C3429" s="15">
        <v>3</v>
      </c>
      <c r="D3429" s="15">
        <v>109519607</v>
      </c>
      <c r="E3429" s="15">
        <v>110935508</v>
      </c>
      <c r="F3429" s="15">
        <v>3306</v>
      </c>
      <c r="G3429" s="8" t="s">
        <v>12324</v>
      </c>
      <c r="H3429" s="24" t="s">
        <v>494</v>
      </c>
      <c r="I3429" s="25">
        <v>25920</v>
      </c>
      <c r="J3429" s="8" t="s">
        <v>496</v>
      </c>
      <c r="K3429" s="8" t="s">
        <v>10040</v>
      </c>
      <c r="L3429" s="15">
        <v>8.4391300000000002E-2</v>
      </c>
      <c r="M3429" s="15">
        <v>0.71138400000000002</v>
      </c>
      <c r="N3429" s="15">
        <v>0.9135243427500721</v>
      </c>
    </row>
    <row r="3430" spans="1:14" x14ac:dyDescent="0.2">
      <c r="A3430" s="2" t="s">
        <v>10068</v>
      </c>
      <c r="B3430" s="15">
        <v>1180</v>
      </c>
      <c r="C3430" s="15">
        <v>7</v>
      </c>
      <c r="D3430" s="15">
        <v>92530166</v>
      </c>
      <c r="E3430" s="15">
        <v>93691725</v>
      </c>
      <c r="F3430" s="15">
        <v>2647</v>
      </c>
      <c r="G3430" s="8" t="s">
        <v>12324</v>
      </c>
      <c r="H3430" s="24" t="s">
        <v>494</v>
      </c>
      <c r="I3430" s="25">
        <v>25920</v>
      </c>
      <c r="J3430" s="8" t="s">
        <v>496</v>
      </c>
      <c r="K3430" s="8" t="s">
        <v>10040</v>
      </c>
      <c r="L3430" s="15">
        <v>-7.74421E-2</v>
      </c>
      <c r="M3430" s="15">
        <v>0.71251500000000001</v>
      </c>
      <c r="N3430" s="15">
        <v>0.9135243427500721</v>
      </c>
    </row>
    <row r="3431" spans="1:14" x14ac:dyDescent="0.2">
      <c r="A3431" s="2" t="s">
        <v>10068</v>
      </c>
      <c r="B3431" s="15">
        <v>1856</v>
      </c>
      <c r="C3431" s="15">
        <v>12</v>
      </c>
      <c r="D3431" s="15">
        <v>128372589</v>
      </c>
      <c r="E3431" s="15">
        <v>129170296</v>
      </c>
      <c r="F3431" s="15">
        <v>2777</v>
      </c>
      <c r="G3431" s="8" t="s">
        <v>12324</v>
      </c>
      <c r="H3431" s="24" t="s">
        <v>494</v>
      </c>
      <c r="I3431" s="25">
        <v>25920</v>
      </c>
      <c r="J3431" s="8" t="s">
        <v>496</v>
      </c>
      <c r="K3431" s="8" t="s">
        <v>10040</v>
      </c>
      <c r="L3431" s="15">
        <v>6.8572300000000003E-2</v>
      </c>
      <c r="M3431" s="15">
        <v>0.71399400000000002</v>
      </c>
      <c r="N3431" s="15">
        <v>0.9135243427500721</v>
      </c>
    </row>
    <row r="3432" spans="1:14" x14ac:dyDescent="0.2">
      <c r="A3432" s="2" t="s">
        <v>10068</v>
      </c>
      <c r="B3432" s="15">
        <v>1343</v>
      </c>
      <c r="C3432" s="15">
        <v>8</v>
      </c>
      <c r="D3432" s="15">
        <v>115334859</v>
      </c>
      <c r="E3432" s="15">
        <v>116094203</v>
      </c>
      <c r="F3432" s="15">
        <v>2243</v>
      </c>
      <c r="G3432" s="8" t="s">
        <v>12324</v>
      </c>
      <c r="H3432" s="24" t="s">
        <v>494</v>
      </c>
      <c r="I3432" s="25">
        <v>25920</v>
      </c>
      <c r="J3432" s="8" t="s">
        <v>496</v>
      </c>
      <c r="K3432" s="8" t="s">
        <v>10040</v>
      </c>
      <c r="L3432" s="15">
        <v>0.106028</v>
      </c>
      <c r="M3432" s="15">
        <v>0.71438599999999997</v>
      </c>
      <c r="N3432" s="15">
        <v>0.9135243427500721</v>
      </c>
    </row>
    <row r="3433" spans="1:14" x14ac:dyDescent="0.2">
      <c r="A3433" s="2" t="s">
        <v>10068</v>
      </c>
      <c r="B3433" s="15">
        <v>1821</v>
      </c>
      <c r="C3433" s="15">
        <v>12</v>
      </c>
      <c r="D3433" s="15">
        <v>88344765</v>
      </c>
      <c r="E3433" s="15">
        <v>90567001</v>
      </c>
      <c r="F3433" s="15">
        <v>3692</v>
      </c>
      <c r="G3433" s="8" t="s">
        <v>12324</v>
      </c>
      <c r="H3433" s="24" t="s">
        <v>494</v>
      </c>
      <c r="I3433" s="25">
        <v>25920</v>
      </c>
      <c r="J3433" s="8" t="s">
        <v>496</v>
      </c>
      <c r="K3433" s="8" t="s">
        <v>10040</v>
      </c>
      <c r="L3433" s="15">
        <v>7.3001399999999994E-2</v>
      </c>
      <c r="M3433" s="15">
        <v>0.71442600000000001</v>
      </c>
      <c r="N3433" s="15">
        <v>0.9135243427500721</v>
      </c>
    </row>
    <row r="3434" spans="1:14" x14ac:dyDescent="0.2">
      <c r="A3434" s="2" t="s">
        <v>10068</v>
      </c>
      <c r="B3434" s="15">
        <v>5</v>
      </c>
      <c r="C3434" s="15">
        <v>1</v>
      </c>
      <c r="D3434" s="15">
        <v>3582048</v>
      </c>
      <c r="E3434" s="15">
        <v>4281476</v>
      </c>
      <c r="F3434" s="15">
        <v>2302</v>
      </c>
      <c r="G3434" s="8" t="s">
        <v>12324</v>
      </c>
      <c r="H3434" s="24" t="s">
        <v>599</v>
      </c>
      <c r="I3434" s="25">
        <v>26562</v>
      </c>
      <c r="J3434" s="8" t="s">
        <v>601</v>
      </c>
      <c r="K3434" s="8" t="s">
        <v>10040</v>
      </c>
      <c r="L3434" s="15">
        <v>7.0610199999999998E-2</v>
      </c>
      <c r="M3434" s="15">
        <v>0.70562499999999995</v>
      </c>
      <c r="N3434" s="15">
        <v>0.9135243427500721</v>
      </c>
    </row>
    <row r="3435" spans="1:14" x14ac:dyDescent="0.2">
      <c r="A3435" s="2" t="s">
        <v>10068</v>
      </c>
      <c r="B3435" s="15">
        <v>629</v>
      </c>
      <c r="C3435" s="15">
        <v>4</v>
      </c>
      <c r="D3435" s="15">
        <v>30455556</v>
      </c>
      <c r="E3435" s="15">
        <v>31395092</v>
      </c>
      <c r="F3435" s="15">
        <v>2877</v>
      </c>
      <c r="G3435" s="8" t="s">
        <v>12324</v>
      </c>
      <c r="H3435" s="24" t="s">
        <v>599</v>
      </c>
      <c r="I3435" s="25">
        <v>26562</v>
      </c>
      <c r="J3435" s="8" t="s">
        <v>601</v>
      </c>
      <c r="K3435" s="8" t="s">
        <v>10040</v>
      </c>
      <c r="L3435" s="15">
        <v>-0.117108</v>
      </c>
      <c r="M3435" s="15">
        <v>0.70586199999999999</v>
      </c>
      <c r="N3435" s="15">
        <v>0.9135243427500721</v>
      </c>
    </row>
    <row r="3436" spans="1:14" x14ac:dyDescent="0.2">
      <c r="A3436" s="2" t="s">
        <v>10068</v>
      </c>
      <c r="B3436" s="15">
        <v>2120</v>
      </c>
      <c r="C3436" s="15">
        <v>16</v>
      </c>
      <c r="D3436" s="15">
        <v>17343278</v>
      </c>
      <c r="E3436" s="15">
        <v>19104257</v>
      </c>
      <c r="F3436" s="15">
        <v>3349</v>
      </c>
      <c r="G3436" s="8" t="s">
        <v>12324</v>
      </c>
      <c r="H3436" s="24" t="s">
        <v>599</v>
      </c>
      <c r="I3436" s="25">
        <v>26562</v>
      </c>
      <c r="J3436" s="8" t="s">
        <v>601</v>
      </c>
      <c r="K3436" s="8" t="s">
        <v>10040</v>
      </c>
      <c r="L3436" s="15">
        <v>6.3533599999999996E-2</v>
      </c>
      <c r="M3436" s="15">
        <v>0.70602200000000004</v>
      </c>
      <c r="N3436" s="15">
        <v>0.9135243427500721</v>
      </c>
    </row>
    <row r="3437" spans="1:14" x14ac:dyDescent="0.2">
      <c r="A3437" s="2" t="s">
        <v>10068</v>
      </c>
      <c r="B3437" s="15">
        <v>1886</v>
      </c>
      <c r="C3437" s="15">
        <v>13</v>
      </c>
      <c r="D3437" s="15">
        <v>42950158</v>
      </c>
      <c r="E3437" s="15">
        <v>43931931</v>
      </c>
      <c r="F3437" s="15">
        <v>2441</v>
      </c>
      <c r="G3437" s="8" t="s">
        <v>12324</v>
      </c>
      <c r="H3437" s="24" t="s">
        <v>599</v>
      </c>
      <c r="I3437" s="25">
        <v>26562</v>
      </c>
      <c r="J3437" s="8" t="s">
        <v>601</v>
      </c>
      <c r="K3437" s="8" t="s">
        <v>10040</v>
      </c>
      <c r="L3437" s="15">
        <v>0.101215</v>
      </c>
      <c r="M3437" s="15">
        <v>0.70664700000000003</v>
      </c>
      <c r="N3437" s="15">
        <v>0.9135243427500721</v>
      </c>
    </row>
    <row r="3438" spans="1:14" x14ac:dyDescent="0.2">
      <c r="A3438" s="2" t="s">
        <v>10068</v>
      </c>
      <c r="B3438" s="15">
        <v>1958</v>
      </c>
      <c r="C3438" s="15">
        <v>14</v>
      </c>
      <c r="D3438" s="15">
        <v>23985937</v>
      </c>
      <c r="E3438" s="15">
        <v>24906056</v>
      </c>
      <c r="F3438" s="15">
        <v>2227</v>
      </c>
      <c r="G3438" s="8" t="s">
        <v>12324</v>
      </c>
      <c r="H3438" s="24" t="s">
        <v>599</v>
      </c>
      <c r="I3438" s="25">
        <v>26562</v>
      </c>
      <c r="J3438" s="8" t="s">
        <v>601</v>
      </c>
      <c r="K3438" s="8" t="s">
        <v>10040</v>
      </c>
      <c r="L3438" s="15">
        <v>-5.20353E-2</v>
      </c>
      <c r="M3438" s="15">
        <v>0.70865199999999995</v>
      </c>
      <c r="N3438" s="15">
        <v>0.9135243427500721</v>
      </c>
    </row>
    <row r="3439" spans="1:14" x14ac:dyDescent="0.2">
      <c r="A3439" s="2" t="s">
        <v>10068</v>
      </c>
      <c r="B3439" s="15">
        <v>2183</v>
      </c>
      <c r="C3439" s="15">
        <v>17</v>
      </c>
      <c r="D3439" s="15">
        <v>9619357</v>
      </c>
      <c r="E3439" s="15">
        <v>10572617</v>
      </c>
      <c r="F3439" s="15">
        <v>3061</v>
      </c>
      <c r="G3439" s="8" t="s">
        <v>12324</v>
      </c>
      <c r="H3439" s="24" t="s">
        <v>599</v>
      </c>
      <c r="I3439" s="25">
        <v>26562</v>
      </c>
      <c r="J3439" s="8" t="s">
        <v>601</v>
      </c>
      <c r="K3439" s="8" t="s">
        <v>10040</v>
      </c>
      <c r="L3439" s="15">
        <v>-5.55164E-2</v>
      </c>
      <c r="M3439" s="15">
        <v>0.71003000000000005</v>
      </c>
      <c r="N3439" s="15">
        <v>0.9135243427500721</v>
      </c>
    </row>
    <row r="3440" spans="1:14" x14ac:dyDescent="0.2">
      <c r="A3440" s="2" t="s">
        <v>10068</v>
      </c>
      <c r="B3440" s="15">
        <v>1104</v>
      </c>
      <c r="C3440" s="15">
        <v>7</v>
      </c>
      <c r="D3440" s="15">
        <v>7926501</v>
      </c>
      <c r="E3440" s="15">
        <v>8718351</v>
      </c>
      <c r="F3440" s="15">
        <v>2800</v>
      </c>
      <c r="G3440" s="8" t="s">
        <v>12324</v>
      </c>
      <c r="H3440" s="24" t="s">
        <v>599</v>
      </c>
      <c r="I3440" s="25">
        <v>26562</v>
      </c>
      <c r="J3440" s="8" t="s">
        <v>601</v>
      </c>
      <c r="K3440" s="8" t="s">
        <v>10040</v>
      </c>
      <c r="L3440" s="15">
        <v>-7.5453300000000001E-2</v>
      </c>
      <c r="M3440" s="15">
        <v>0.71270900000000004</v>
      </c>
      <c r="N3440" s="15">
        <v>0.9135243427500721</v>
      </c>
    </row>
    <row r="3441" spans="1:14" x14ac:dyDescent="0.2">
      <c r="A3441" s="2" t="s">
        <v>10068</v>
      </c>
      <c r="B3441" s="15">
        <v>1071</v>
      </c>
      <c r="C3441" s="15">
        <v>6</v>
      </c>
      <c r="D3441" s="15">
        <v>148184845</v>
      </c>
      <c r="E3441" s="15">
        <v>149278798</v>
      </c>
      <c r="F3441" s="15">
        <v>3633</v>
      </c>
      <c r="G3441" s="8" t="s">
        <v>12324</v>
      </c>
      <c r="H3441" s="24" t="s">
        <v>599</v>
      </c>
      <c r="I3441" s="25">
        <v>26562</v>
      </c>
      <c r="J3441" s="8" t="s">
        <v>601</v>
      </c>
      <c r="K3441" s="8" t="s">
        <v>10040</v>
      </c>
      <c r="L3441" s="15">
        <v>-0.116115</v>
      </c>
      <c r="M3441" s="15">
        <v>0.71334799999999998</v>
      </c>
      <c r="N3441" s="15">
        <v>0.9135243427500721</v>
      </c>
    </row>
    <row r="3442" spans="1:14" x14ac:dyDescent="0.2">
      <c r="A3442" s="2" t="s">
        <v>10068</v>
      </c>
      <c r="B3442" s="15">
        <v>2464</v>
      </c>
      <c r="C3442" s="15">
        <v>22</v>
      </c>
      <c r="D3442" s="15">
        <v>18535226</v>
      </c>
      <c r="E3442" s="15">
        <v>19635654</v>
      </c>
      <c r="F3442" s="15">
        <v>2696</v>
      </c>
      <c r="G3442" s="8" t="s">
        <v>12324</v>
      </c>
      <c r="H3442" s="24" t="s">
        <v>599</v>
      </c>
      <c r="I3442" s="25">
        <v>26562</v>
      </c>
      <c r="J3442" s="8" t="s">
        <v>601</v>
      </c>
      <c r="K3442" s="8" t="s">
        <v>10040</v>
      </c>
      <c r="L3442" s="15">
        <v>6.7844699999999994E-2</v>
      </c>
      <c r="M3442" s="15">
        <v>0.71454700000000004</v>
      </c>
      <c r="N3442" s="15">
        <v>0.9135243427500721</v>
      </c>
    </row>
    <row r="3443" spans="1:14" x14ac:dyDescent="0.2">
      <c r="A3443" s="2" t="s">
        <v>10069</v>
      </c>
      <c r="B3443" s="15">
        <v>1723</v>
      </c>
      <c r="C3443" s="15">
        <v>11</v>
      </c>
      <c r="D3443" s="15">
        <v>117295642</v>
      </c>
      <c r="E3443" s="15">
        <v>118901213</v>
      </c>
      <c r="F3443" s="15">
        <v>2772</v>
      </c>
      <c r="G3443" s="8" t="s">
        <v>12324</v>
      </c>
      <c r="H3443" s="24" t="s">
        <v>662</v>
      </c>
      <c r="I3443" s="25" t="s">
        <v>663</v>
      </c>
      <c r="J3443" s="8" t="s">
        <v>664</v>
      </c>
      <c r="K3443" s="8" t="s">
        <v>10040</v>
      </c>
      <c r="L3443" s="15">
        <v>-8.8065900000000003E-2</v>
      </c>
      <c r="M3443" s="15">
        <v>0.70963799999999999</v>
      </c>
      <c r="N3443" s="15">
        <v>0.9135243427500721</v>
      </c>
    </row>
    <row r="3444" spans="1:14" x14ac:dyDescent="0.2">
      <c r="A3444" s="2" t="s">
        <v>10069</v>
      </c>
      <c r="B3444" s="15">
        <v>1770</v>
      </c>
      <c r="C3444" s="15">
        <v>12</v>
      </c>
      <c r="D3444" s="15">
        <v>29647194</v>
      </c>
      <c r="E3444" s="15">
        <v>30358377</v>
      </c>
      <c r="F3444" s="15">
        <v>1796</v>
      </c>
      <c r="G3444" s="8" t="s">
        <v>12324</v>
      </c>
      <c r="H3444" s="24" t="s">
        <v>662</v>
      </c>
      <c r="I3444" s="25" t="s">
        <v>663</v>
      </c>
      <c r="J3444" s="8" t="s">
        <v>664</v>
      </c>
      <c r="K3444" s="8" t="s">
        <v>10040</v>
      </c>
      <c r="L3444" s="15">
        <v>-0.11666799999999999</v>
      </c>
      <c r="M3444" s="15">
        <v>0.71143900000000004</v>
      </c>
      <c r="N3444" s="15">
        <v>0.9135243427500721</v>
      </c>
    </row>
    <row r="3445" spans="1:14" x14ac:dyDescent="0.2">
      <c r="A3445" s="2" t="s">
        <v>10068</v>
      </c>
      <c r="B3445" s="15">
        <v>2440</v>
      </c>
      <c r="C3445" s="15">
        <v>21</v>
      </c>
      <c r="D3445" s="15">
        <v>24055942</v>
      </c>
      <c r="E3445" s="15">
        <v>25247986</v>
      </c>
      <c r="F3445" s="15">
        <v>3773</v>
      </c>
      <c r="G3445" s="8" t="s">
        <v>12324</v>
      </c>
      <c r="H3445" s="24" t="s">
        <v>1259</v>
      </c>
      <c r="I3445" s="25">
        <v>27096</v>
      </c>
      <c r="J3445" s="8" t="s">
        <v>1261</v>
      </c>
      <c r="K3445" s="8" t="s">
        <v>10040</v>
      </c>
      <c r="L3445" s="15">
        <v>9.6059199999999997E-2</v>
      </c>
      <c r="M3445" s="15">
        <v>0.70604</v>
      </c>
      <c r="N3445" s="15">
        <v>0.9135243427500721</v>
      </c>
    </row>
    <row r="3446" spans="1:14" x14ac:dyDescent="0.2">
      <c r="A3446" s="2" t="s">
        <v>10068</v>
      </c>
      <c r="B3446" s="15">
        <v>842</v>
      </c>
      <c r="C3446" s="15">
        <v>5</v>
      </c>
      <c r="D3446" s="15">
        <v>80448226</v>
      </c>
      <c r="E3446" s="15">
        <v>81710194</v>
      </c>
      <c r="F3446" s="15">
        <v>2427</v>
      </c>
      <c r="G3446" s="8" t="s">
        <v>12324</v>
      </c>
      <c r="H3446" s="24" t="s">
        <v>1259</v>
      </c>
      <c r="I3446" s="25">
        <v>27096</v>
      </c>
      <c r="J3446" s="8" t="s">
        <v>1261</v>
      </c>
      <c r="K3446" s="8" t="s">
        <v>10040</v>
      </c>
      <c r="L3446" s="15">
        <v>8.3311099999999999E-2</v>
      </c>
      <c r="M3446" s="15">
        <v>0.70710899999999999</v>
      </c>
      <c r="N3446" s="15">
        <v>0.9135243427500721</v>
      </c>
    </row>
    <row r="3447" spans="1:14" x14ac:dyDescent="0.2">
      <c r="A3447" s="2" t="s">
        <v>10068</v>
      </c>
      <c r="B3447" s="15">
        <v>907</v>
      </c>
      <c r="C3447" s="15">
        <v>5</v>
      </c>
      <c r="D3447" s="15">
        <v>157191082</v>
      </c>
      <c r="E3447" s="15">
        <v>158484775</v>
      </c>
      <c r="F3447" s="15">
        <v>3215</v>
      </c>
      <c r="G3447" s="8" t="s">
        <v>12324</v>
      </c>
      <c r="H3447" s="24" t="s">
        <v>1259</v>
      </c>
      <c r="I3447" s="25">
        <v>27096</v>
      </c>
      <c r="J3447" s="8" t="s">
        <v>1261</v>
      </c>
      <c r="K3447" s="8" t="s">
        <v>10040</v>
      </c>
      <c r="L3447" s="15">
        <v>0.13354099999999999</v>
      </c>
      <c r="M3447" s="15">
        <v>0.70723800000000003</v>
      </c>
      <c r="N3447" s="15">
        <v>0.9135243427500721</v>
      </c>
    </row>
    <row r="3448" spans="1:14" x14ac:dyDescent="0.2">
      <c r="A3448" s="2" t="s">
        <v>10068</v>
      </c>
      <c r="B3448" s="15">
        <v>924</v>
      </c>
      <c r="C3448" s="15">
        <v>5</v>
      </c>
      <c r="D3448" s="15">
        <v>178595253</v>
      </c>
      <c r="E3448" s="15">
        <v>179794710</v>
      </c>
      <c r="F3448" s="15">
        <v>3844</v>
      </c>
      <c r="G3448" s="8" t="s">
        <v>12324</v>
      </c>
      <c r="H3448" s="24" t="s">
        <v>1259</v>
      </c>
      <c r="I3448" s="25">
        <v>27096</v>
      </c>
      <c r="J3448" s="8" t="s">
        <v>1261</v>
      </c>
      <c r="K3448" s="8" t="s">
        <v>10040</v>
      </c>
      <c r="L3448" s="15">
        <v>8.7516200000000002E-2</v>
      </c>
      <c r="M3448" s="15">
        <v>0.70763500000000001</v>
      </c>
      <c r="N3448" s="15">
        <v>0.9135243427500721</v>
      </c>
    </row>
    <row r="3449" spans="1:14" x14ac:dyDescent="0.2">
      <c r="A3449" s="2" t="s">
        <v>10068</v>
      </c>
      <c r="B3449" s="15">
        <v>2229</v>
      </c>
      <c r="C3449" s="15">
        <v>17</v>
      </c>
      <c r="D3449" s="15">
        <v>72383473</v>
      </c>
      <c r="E3449" s="15">
        <v>73741321</v>
      </c>
      <c r="F3449" s="15">
        <v>3565</v>
      </c>
      <c r="G3449" s="8" t="s">
        <v>12324</v>
      </c>
      <c r="H3449" s="24" t="s">
        <v>1259</v>
      </c>
      <c r="I3449" s="25">
        <v>27096</v>
      </c>
      <c r="J3449" s="8" t="s">
        <v>1261</v>
      </c>
      <c r="K3449" s="8" t="s">
        <v>10040</v>
      </c>
      <c r="L3449" s="15">
        <v>-8.4973000000000007E-2</v>
      </c>
      <c r="M3449" s="15">
        <v>0.70836299999999996</v>
      </c>
      <c r="N3449" s="15">
        <v>0.9135243427500721</v>
      </c>
    </row>
    <row r="3450" spans="1:14" x14ac:dyDescent="0.2">
      <c r="A3450" s="2" t="s">
        <v>10068</v>
      </c>
      <c r="B3450" s="15">
        <v>2347</v>
      </c>
      <c r="C3450" s="15">
        <v>19</v>
      </c>
      <c r="D3450" s="15">
        <v>41004106</v>
      </c>
      <c r="E3450" s="15">
        <v>41733463</v>
      </c>
      <c r="F3450" s="15">
        <v>2120</v>
      </c>
      <c r="G3450" s="8" t="s">
        <v>12324</v>
      </c>
      <c r="H3450" s="24" t="s">
        <v>1259</v>
      </c>
      <c r="I3450" s="25">
        <v>27096</v>
      </c>
      <c r="J3450" s="8" t="s">
        <v>1261</v>
      </c>
      <c r="K3450" s="8" t="s">
        <v>10040</v>
      </c>
      <c r="L3450" s="15">
        <v>7.1825399999999998E-2</v>
      </c>
      <c r="M3450" s="15">
        <v>0.70963399999999999</v>
      </c>
      <c r="N3450" s="15">
        <v>0.9135243427500721</v>
      </c>
    </row>
    <row r="3451" spans="1:14" x14ac:dyDescent="0.2">
      <c r="A3451" s="2" t="s">
        <v>10068</v>
      </c>
      <c r="B3451" s="15">
        <v>658</v>
      </c>
      <c r="C3451" s="15">
        <v>4</v>
      </c>
      <c r="D3451" s="15">
        <v>61971162</v>
      </c>
      <c r="E3451" s="15">
        <v>63337954</v>
      </c>
      <c r="F3451" s="15">
        <v>3110</v>
      </c>
      <c r="G3451" s="8" t="s">
        <v>12324</v>
      </c>
      <c r="H3451" s="24" t="s">
        <v>1259</v>
      </c>
      <c r="I3451" s="25">
        <v>27096</v>
      </c>
      <c r="J3451" s="8" t="s">
        <v>1261</v>
      </c>
      <c r="K3451" s="8" t="s">
        <v>10040</v>
      </c>
      <c r="L3451" s="15">
        <v>0.13874</v>
      </c>
      <c r="M3451" s="15">
        <v>0.71225899999999998</v>
      </c>
      <c r="N3451" s="15">
        <v>0.9135243427500721</v>
      </c>
    </row>
    <row r="3452" spans="1:14" x14ac:dyDescent="0.2">
      <c r="A3452" s="2" t="s">
        <v>10068</v>
      </c>
      <c r="B3452" s="15">
        <v>1037</v>
      </c>
      <c r="C3452" s="15">
        <v>6</v>
      </c>
      <c r="D3452" s="15">
        <v>106053916</v>
      </c>
      <c r="E3452" s="15">
        <v>107309327</v>
      </c>
      <c r="F3452" s="15">
        <v>3679</v>
      </c>
      <c r="G3452" s="8" t="s">
        <v>12324</v>
      </c>
      <c r="H3452" s="24" t="s">
        <v>1259</v>
      </c>
      <c r="I3452" s="25">
        <v>27096</v>
      </c>
      <c r="J3452" s="8" t="s">
        <v>1261</v>
      </c>
      <c r="K3452" s="8" t="s">
        <v>10040</v>
      </c>
      <c r="L3452" s="15">
        <v>5.7726300000000001E-2</v>
      </c>
      <c r="M3452" s="15">
        <v>0.71377400000000002</v>
      </c>
      <c r="N3452" s="15">
        <v>0.9135243427500721</v>
      </c>
    </row>
    <row r="3453" spans="1:14" x14ac:dyDescent="0.2">
      <c r="A3453" s="2" t="s">
        <v>10066</v>
      </c>
      <c r="B3453" s="15">
        <v>1405</v>
      </c>
      <c r="C3453" s="15">
        <v>9</v>
      </c>
      <c r="D3453" s="15">
        <v>28067455</v>
      </c>
      <c r="E3453" s="15">
        <v>28766060</v>
      </c>
      <c r="F3453" s="15">
        <v>2040</v>
      </c>
      <c r="G3453" s="8" t="s">
        <v>12324</v>
      </c>
      <c r="H3453" s="24" t="s">
        <v>3164</v>
      </c>
      <c r="I3453" s="25" t="s">
        <v>3165</v>
      </c>
      <c r="J3453" s="8" t="s">
        <v>3166</v>
      </c>
      <c r="K3453" s="8" t="s">
        <v>10042</v>
      </c>
      <c r="L3453" s="15">
        <v>9.0239200000000006E-2</v>
      </c>
      <c r="M3453" s="15">
        <v>0.709426</v>
      </c>
      <c r="N3453" s="15">
        <v>0.9135243427500721</v>
      </c>
    </row>
    <row r="3454" spans="1:14" x14ac:dyDescent="0.2">
      <c r="A3454" s="2" t="s">
        <v>10066</v>
      </c>
      <c r="B3454" s="15">
        <v>1644</v>
      </c>
      <c r="C3454" s="15">
        <v>11</v>
      </c>
      <c r="D3454" s="15">
        <v>32065772</v>
      </c>
      <c r="E3454" s="15">
        <v>32830422</v>
      </c>
      <c r="F3454" s="15">
        <v>2154</v>
      </c>
      <c r="G3454" s="8" t="s">
        <v>12324</v>
      </c>
      <c r="H3454" s="24" t="s">
        <v>3164</v>
      </c>
      <c r="I3454" s="25" t="s">
        <v>3165</v>
      </c>
      <c r="J3454" s="8" t="s">
        <v>3166</v>
      </c>
      <c r="K3454" s="8" t="s">
        <v>10042</v>
      </c>
      <c r="L3454" s="15">
        <v>0.107058</v>
      </c>
      <c r="M3454" s="15">
        <v>0.70980299999999996</v>
      </c>
      <c r="N3454" s="15">
        <v>0.9135243427500721</v>
      </c>
    </row>
    <row r="3455" spans="1:14" x14ac:dyDescent="0.2">
      <c r="A3455" s="2" t="s">
        <v>10066</v>
      </c>
      <c r="B3455" s="15">
        <v>2315</v>
      </c>
      <c r="C3455" s="15">
        <v>19</v>
      </c>
      <c r="D3455" s="15">
        <v>7249360</v>
      </c>
      <c r="E3455" s="15">
        <v>8199016</v>
      </c>
      <c r="F3455" s="15">
        <v>2963</v>
      </c>
      <c r="G3455" s="8" t="s">
        <v>12324</v>
      </c>
      <c r="H3455" s="24" t="s">
        <v>3164</v>
      </c>
      <c r="I3455" s="25" t="s">
        <v>3165</v>
      </c>
      <c r="J3455" s="8" t="s">
        <v>3166</v>
      </c>
      <c r="K3455" s="8" t="s">
        <v>10042</v>
      </c>
      <c r="L3455" s="15">
        <v>-8.0007200000000001E-2</v>
      </c>
      <c r="M3455" s="15">
        <v>0.71122099999999999</v>
      </c>
      <c r="N3455" s="15">
        <v>0.9135243427500721</v>
      </c>
    </row>
    <row r="3456" spans="1:14" x14ac:dyDescent="0.2">
      <c r="A3456" s="2" t="s">
        <v>10066</v>
      </c>
      <c r="B3456" s="15">
        <v>2361</v>
      </c>
      <c r="C3456" s="15">
        <v>19</v>
      </c>
      <c r="D3456" s="15">
        <v>53431218</v>
      </c>
      <c r="E3456" s="15">
        <v>54042240</v>
      </c>
      <c r="F3456" s="15">
        <v>2836</v>
      </c>
      <c r="G3456" s="8" t="s">
        <v>12324</v>
      </c>
      <c r="H3456" s="24" t="s">
        <v>3164</v>
      </c>
      <c r="I3456" s="25" t="s">
        <v>3165</v>
      </c>
      <c r="J3456" s="8" t="s">
        <v>3166</v>
      </c>
      <c r="K3456" s="8" t="s">
        <v>10042</v>
      </c>
      <c r="L3456" s="15">
        <v>-5.3355899999999998E-2</v>
      </c>
      <c r="M3456" s="15">
        <v>0.71287900000000004</v>
      </c>
      <c r="N3456" s="15">
        <v>0.9135243427500721</v>
      </c>
    </row>
    <row r="3457" spans="1:14" x14ac:dyDescent="0.2">
      <c r="A3457" s="2" t="s">
        <v>10066</v>
      </c>
      <c r="B3457" s="15">
        <v>2006</v>
      </c>
      <c r="C3457" s="15">
        <v>14</v>
      </c>
      <c r="D3457" s="15">
        <v>76694202</v>
      </c>
      <c r="E3457" s="15">
        <v>77425453</v>
      </c>
      <c r="F3457" s="15">
        <v>2147</v>
      </c>
      <c r="G3457" s="8" t="s">
        <v>12324</v>
      </c>
      <c r="H3457" s="24" t="s">
        <v>6008</v>
      </c>
      <c r="I3457" s="25" t="s">
        <v>6009</v>
      </c>
      <c r="J3457" s="8" t="s">
        <v>6010</v>
      </c>
      <c r="K3457" s="8" t="s">
        <v>10051</v>
      </c>
      <c r="L3457" s="15">
        <v>7.1865299999999993E-2</v>
      </c>
      <c r="M3457" s="15">
        <v>0.70599100000000004</v>
      </c>
      <c r="N3457" s="15">
        <v>0.9135243427500721</v>
      </c>
    </row>
    <row r="3458" spans="1:14" x14ac:dyDescent="0.2">
      <c r="A3458" s="2" t="s">
        <v>10066</v>
      </c>
      <c r="B3458" s="15">
        <v>2035</v>
      </c>
      <c r="C3458" s="15">
        <v>15</v>
      </c>
      <c r="D3458" s="15">
        <v>22799927</v>
      </c>
      <c r="E3458" s="15">
        <v>24099946</v>
      </c>
      <c r="F3458" s="15">
        <v>2426</v>
      </c>
      <c r="G3458" s="8" t="s">
        <v>12324</v>
      </c>
      <c r="H3458" s="24" t="s">
        <v>6008</v>
      </c>
      <c r="I3458" s="25" t="s">
        <v>6009</v>
      </c>
      <c r="J3458" s="8" t="s">
        <v>6010</v>
      </c>
      <c r="K3458" s="8" t="s">
        <v>10051</v>
      </c>
      <c r="L3458" s="15">
        <v>6.0923199999999997E-2</v>
      </c>
      <c r="M3458" s="15">
        <v>0.71055199999999996</v>
      </c>
      <c r="N3458" s="15">
        <v>0.9135243427500721</v>
      </c>
    </row>
    <row r="3459" spans="1:14" x14ac:dyDescent="0.2">
      <c r="A3459" s="2" t="s">
        <v>10066</v>
      </c>
      <c r="B3459" s="15">
        <v>76</v>
      </c>
      <c r="C3459" s="15">
        <v>1</v>
      </c>
      <c r="D3459" s="15">
        <v>87667573</v>
      </c>
      <c r="E3459" s="15">
        <v>88656689</v>
      </c>
      <c r="F3459" s="15">
        <v>2205</v>
      </c>
      <c r="G3459" s="8" t="s">
        <v>12324</v>
      </c>
      <c r="H3459" s="24" t="s">
        <v>6008</v>
      </c>
      <c r="I3459" s="25" t="s">
        <v>6009</v>
      </c>
      <c r="J3459" s="8" t="s">
        <v>6010</v>
      </c>
      <c r="K3459" s="8" t="s">
        <v>10051</v>
      </c>
      <c r="L3459" s="15">
        <v>-8.3736599999999994E-2</v>
      </c>
      <c r="M3459" s="15">
        <v>0.71198899999999998</v>
      </c>
      <c r="N3459" s="15">
        <v>0.9135243427500721</v>
      </c>
    </row>
    <row r="3460" spans="1:14" x14ac:dyDescent="0.2">
      <c r="A3460" s="2" t="s">
        <v>10066</v>
      </c>
      <c r="B3460" s="15">
        <v>20</v>
      </c>
      <c r="C3460" s="15">
        <v>1</v>
      </c>
      <c r="D3460" s="15">
        <v>18427821</v>
      </c>
      <c r="E3460" s="15">
        <v>19238924</v>
      </c>
      <c r="F3460" s="15">
        <v>2698</v>
      </c>
      <c r="G3460" s="8" t="s">
        <v>12324</v>
      </c>
      <c r="H3460" s="24" t="s">
        <v>6008</v>
      </c>
      <c r="I3460" s="25" t="s">
        <v>6009</v>
      </c>
      <c r="J3460" s="8" t="s">
        <v>6010</v>
      </c>
      <c r="K3460" s="8" t="s">
        <v>10051</v>
      </c>
      <c r="L3460" s="15">
        <v>-9.3582700000000005E-2</v>
      </c>
      <c r="M3460" s="15">
        <v>0.71235199999999999</v>
      </c>
      <c r="N3460" s="15">
        <v>0.9135243427500721</v>
      </c>
    </row>
    <row r="3461" spans="1:14" x14ac:dyDescent="0.2">
      <c r="A3461" s="2" t="s">
        <v>10066</v>
      </c>
      <c r="B3461" s="15">
        <v>2025</v>
      </c>
      <c r="C3461" s="15">
        <v>14</v>
      </c>
      <c r="D3461" s="15">
        <v>98885323</v>
      </c>
      <c r="E3461" s="15">
        <v>99474533</v>
      </c>
      <c r="F3461" s="15">
        <v>2223</v>
      </c>
      <c r="G3461" s="8" t="s">
        <v>12324</v>
      </c>
      <c r="H3461" s="24" t="s">
        <v>6008</v>
      </c>
      <c r="I3461" s="25" t="s">
        <v>6009</v>
      </c>
      <c r="J3461" s="8" t="s">
        <v>6010</v>
      </c>
      <c r="K3461" s="8" t="s">
        <v>10051</v>
      </c>
      <c r="L3461" s="15">
        <v>-6.11301E-2</v>
      </c>
      <c r="M3461" s="15">
        <v>0.71313400000000005</v>
      </c>
      <c r="N3461" s="15">
        <v>0.9135243427500721</v>
      </c>
    </row>
    <row r="3462" spans="1:14" x14ac:dyDescent="0.2">
      <c r="A3462" s="2" t="s">
        <v>10066</v>
      </c>
      <c r="B3462" s="15">
        <v>1624</v>
      </c>
      <c r="C3462" s="15">
        <v>11</v>
      </c>
      <c r="D3462" s="15">
        <v>11632651</v>
      </c>
      <c r="E3462" s="15">
        <v>12470449</v>
      </c>
      <c r="F3462" s="15">
        <v>2688</v>
      </c>
      <c r="G3462" s="8" t="s">
        <v>12324</v>
      </c>
      <c r="H3462" s="24" t="s">
        <v>6008</v>
      </c>
      <c r="I3462" s="25" t="s">
        <v>6009</v>
      </c>
      <c r="J3462" s="8" t="s">
        <v>6010</v>
      </c>
      <c r="K3462" s="8" t="s">
        <v>10051</v>
      </c>
      <c r="L3462" s="15">
        <v>7.3680599999999999E-2</v>
      </c>
      <c r="M3462" s="15">
        <v>0.71348100000000003</v>
      </c>
      <c r="N3462" s="15">
        <v>0.9135243427500721</v>
      </c>
    </row>
    <row r="3463" spans="1:14" x14ac:dyDescent="0.2">
      <c r="A3463" s="2" t="s">
        <v>10066</v>
      </c>
      <c r="B3463" s="15">
        <v>2023</v>
      </c>
      <c r="C3463" s="15">
        <v>14</v>
      </c>
      <c r="D3463" s="15">
        <v>97174315</v>
      </c>
      <c r="E3463" s="15">
        <v>98268391</v>
      </c>
      <c r="F3463" s="15">
        <v>2882</v>
      </c>
      <c r="G3463" s="8" t="s">
        <v>12324</v>
      </c>
      <c r="H3463" s="24" t="s">
        <v>6008</v>
      </c>
      <c r="I3463" s="25" t="s">
        <v>6009</v>
      </c>
      <c r="J3463" s="8" t="s">
        <v>6010</v>
      </c>
      <c r="K3463" s="8" t="s">
        <v>10051</v>
      </c>
      <c r="L3463" s="15">
        <v>6.2843800000000005E-2</v>
      </c>
      <c r="M3463" s="15">
        <v>0.71448100000000003</v>
      </c>
      <c r="N3463" s="15">
        <v>0.9135243427500721</v>
      </c>
    </row>
    <row r="3464" spans="1:14" x14ac:dyDescent="0.2">
      <c r="A3464" s="2" t="s">
        <v>10068</v>
      </c>
      <c r="B3464" s="15">
        <v>2401</v>
      </c>
      <c r="C3464" s="15">
        <v>20</v>
      </c>
      <c r="D3464" s="15">
        <v>35990262</v>
      </c>
      <c r="E3464" s="15">
        <v>37253657</v>
      </c>
      <c r="F3464" s="15">
        <v>2693</v>
      </c>
      <c r="G3464" s="8" t="s">
        <v>12324</v>
      </c>
      <c r="H3464" s="24" t="s">
        <v>6565</v>
      </c>
      <c r="I3464" s="25" t="s">
        <v>6475</v>
      </c>
      <c r="J3464" s="8" t="s">
        <v>6566</v>
      </c>
      <c r="K3464" s="8" t="s">
        <v>10054</v>
      </c>
      <c r="L3464" s="15">
        <v>-9.0560600000000005E-2</v>
      </c>
      <c r="M3464" s="15">
        <v>0.708395</v>
      </c>
      <c r="N3464" s="15">
        <v>0.9135243427500721</v>
      </c>
    </row>
    <row r="3465" spans="1:14" x14ac:dyDescent="0.2">
      <c r="A3465" s="2" t="s">
        <v>10068</v>
      </c>
      <c r="B3465" s="15">
        <v>700</v>
      </c>
      <c r="C3465" s="15">
        <v>4</v>
      </c>
      <c r="D3465" s="15">
        <v>112830230</v>
      </c>
      <c r="E3465" s="15">
        <v>113916002</v>
      </c>
      <c r="F3465" s="15">
        <v>2328</v>
      </c>
      <c r="G3465" s="8" t="s">
        <v>12324</v>
      </c>
      <c r="H3465" s="24" t="s">
        <v>6565</v>
      </c>
      <c r="I3465" s="25" t="s">
        <v>6475</v>
      </c>
      <c r="J3465" s="8" t="s">
        <v>6566</v>
      </c>
      <c r="K3465" s="8" t="s">
        <v>10054</v>
      </c>
      <c r="L3465" s="15">
        <v>7.4882699999999996E-2</v>
      </c>
      <c r="M3465" s="15">
        <v>0.70862800000000004</v>
      </c>
      <c r="N3465" s="15">
        <v>0.9135243427500721</v>
      </c>
    </row>
    <row r="3466" spans="1:14" x14ac:dyDescent="0.2">
      <c r="A3466" s="2" t="s">
        <v>10068</v>
      </c>
      <c r="B3466" s="15">
        <v>2262</v>
      </c>
      <c r="C3466" s="15">
        <v>18</v>
      </c>
      <c r="D3466" s="15">
        <v>28792735</v>
      </c>
      <c r="E3466" s="15">
        <v>30401128</v>
      </c>
      <c r="F3466" s="15">
        <v>3885</v>
      </c>
      <c r="G3466" s="8" t="s">
        <v>12324</v>
      </c>
      <c r="H3466" s="24" t="s">
        <v>6565</v>
      </c>
      <c r="I3466" s="25" t="s">
        <v>6475</v>
      </c>
      <c r="J3466" s="8" t="s">
        <v>6566</v>
      </c>
      <c r="K3466" s="8" t="s">
        <v>10054</v>
      </c>
      <c r="L3466" s="15">
        <v>-0.12310599999999999</v>
      </c>
      <c r="M3466" s="15">
        <v>0.70988700000000005</v>
      </c>
      <c r="N3466" s="15">
        <v>0.9135243427500721</v>
      </c>
    </row>
    <row r="3467" spans="1:14" x14ac:dyDescent="0.2">
      <c r="A3467" s="2" t="s">
        <v>10068</v>
      </c>
      <c r="B3467" s="15">
        <v>2463</v>
      </c>
      <c r="C3467" s="15">
        <v>22</v>
      </c>
      <c r="D3467" s="15">
        <v>17587475</v>
      </c>
      <c r="E3467" s="15">
        <v>18535225</v>
      </c>
      <c r="F3467" s="15">
        <v>3393</v>
      </c>
      <c r="G3467" s="8" t="s">
        <v>12324</v>
      </c>
      <c r="H3467" s="24" t="s">
        <v>6565</v>
      </c>
      <c r="I3467" s="25" t="s">
        <v>6475</v>
      </c>
      <c r="J3467" s="8" t="s">
        <v>6566</v>
      </c>
      <c r="K3467" s="8" t="s">
        <v>10054</v>
      </c>
      <c r="L3467" s="15">
        <v>-6.6904000000000005E-2</v>
      </c>
      <c r="M3467" s="15">
        <v>0.711893</v>
      </c>
      <c r="N3467" s="15">
        <v>0.9135243427500721</v>
      </c>
    </row>
    <row r="3468" spans="1:14" x14ac:dyDescent="0.2">
      <c r="A3468" s="2" t="s">
        <v>10068</v>
      </c>
      <c r="B3468" s="15">
        <v>1646</v>
      </c>
      <c r="C3468" s="15">
        <v>11</v>
      </c>
      <c r="D3468" s="15">
        <v>33905328</v>
      </c>
      <c r="E3468" s="15">
        <v>34672697</v>
      </c>
      <c r="F3468" s="15">
        <v>2131</v>
      </c>
      <c r="G3468" s="8" t="s">
        <v>12324</v>
      </c>
      <c r="H3468" s="24" t="s">
        <v>6565</v>
      </c>
      <c r="I3468" s="25" t="s">
        <v>6475</v>
      </c>
      <c r="J3468" s="8" t="s">
        <v>6566</v>
      </c>
      <c r="K3468" s="8" t="s">
        <v>10054</v>
      </c>
      <c r="L3468" s="15">
        <v>-0.123871</v>
      </c>
      <c r="M3468" s="15">
        <v>0.71226400000000001</v>
      </c>
      <c r="N3468" s="15">
        <v>0.9135243427500721</v>
      </c>
    </row>
    <row r="3469" spans="1:14" x14ac:dyDescent="0.2">
      <c r="A3469" s="2" t="s">
        <v>10068</v>
      </c>
      <c r="B3469" s="15">
        <v>986</v>
      </c>
      <c r="C3469" s="15">
        <v>6</v>
      </c>
      <c r="D3469" s="15">
        <v>51826424</v>
      </c>
      <c r="E3469" s="15">
        <v>52598879</v>
      </c>
      <c r="F3469" s="15">
        <v>2244</v>
      </c>
      <c r="G3469" s="8" t="s">
        <v>12324</v>
      </c>
      <c r="H3469" s="24" t="s">
        <v>6565</v>
      </c>
      <c r="I3469" s="25" t="s">
        <v>6475</v>
      </c>
      <c r="J3469" s="8" t="s">
        <v>6566</v>
      </c>
      <c r="K3469" s="8" t="s">
        <v>10054</v>
      </c>
      <c r="L3469" s="15">
        <v>9.8236699999999996E-2</v>
      </c>
      <c r="M3469" s="15">
        <v>0.712727</v>
      </c>
      <c r="N3469" s="15">
        <v>0.9135243427500721</v>
      </c>
    </row>
    <row r="3470" spans="1:14" x14ac:dyDescent="0.2">
      <c r="A3470" s="2" t="s">
        <v>10068</v>
      </c>
      <c r="B3470" s="15">
        <v>2345</v>
      </c>
      <c r="C3470" s="15">
        <v>19</v>
      </c>
      <c r="D3470" s="15">
        <v>39370420</v>
      </c>
      <c r="E3470" s="15">
        <v>40171413</v>
      </c>
      <c r="F3470" s="15">
        <v>2192</v>
      </c>
      <c r="G3470" s="8" t="s">
        <v>12324</v>
      </c>
      <c r="H3470" s="24" t="s">
        <v>6565</v>
      </c>
      <c r="I3470" s="25" t="s">
        <v>6475</v>
      </c>
      <c r="J3470" s="8" t="s">
        <v>6566</v>
      </c>
      <c r="K3470" s="8" t="s">
        <v>10054</v>
      </c>
      <c r="L3470" s="15">
        <v>-0.10976900000000001</v>
      </c>
      <c r="M3470" s="15">
        <v>0.71380999999999994</v>
      </c>
      <c r="N3470" s="15">
        <v>0.9135243427500721</v>
      </c>
    </row>
    <row r="3471" spans="1:14" x14ac:dyDescent="0.2">
      <c r="A3471" s="2" t="s">
        <v>10068</v>
      </c>
      <c r="B3471" s="15">
        <v>1062</v>
      </c>
      <c r="C3471" s="15">
        <v>6</v>
      </c>
      <c r="D3471" s="15">
        <v>135544084</v>
      </c>
      <c r="E3471" s="15">
        <v>137553212</v>
      </c>
      <c r="F3471" s="15">
        <v>3653</v>
      </c>
      <c r="G3471" s="8" t="s">
        <v>12324</v>
      </c>
      <c r="H3471" s="24" t="s">
        <v>6565</v>
      </c>
      <c r="I3471" s="25" t="s">
        <v>6475</v>
      </c>
      <c r="J3471" s="8" t="s">
        <v>6566</v>
      </c>
      <c r="K3471" s="8" t="s">
        <v>10054</v>
      </c>
      <c r="L3471" s="15">
        <v>7.7747300000000005E-2</v>
      </c>
      <c r="M3471" s="15">
        <v>0.71401499999999996</v>
      </c>
      <c r="N3471" s="15">
        <v>0.9135243427500721</v>
      </c>
    </row>
    <row r="3472" spans="1:14" x14ac:dyDescent="0.2">
      <c r="A3472" s="2" t="s">
        <v>10068</v>
      </c>
      <c r="B3472" s="15">
        <v>1074</v>
      </c>
      <c r="C3472" s="15">
        <v>6</v>
      </c>
      <c r="D3472" s="15">
        <v>151629955</v>
      </c>
      <c r="E3472" s="15">
        <v>152376499</v>
      </c>
      <c r="F3472" s="15">
        <v>2174</v>
      </c>
      <c r="G3472" s="8" t="s">
        <v>12324</v>
      </c>
      <c r="H3472" s="24" t="s">
        <v>599</v>
      </c>
      <c r="I3472" s="25">
        <v>26562</v>
      </c>
      <c r="J3472" s="8" t="s">
        <v>601</v>
      </c>
      <c r="K3472" s="8" t="s">
        <v>10040</v>
      </c>
      <c r="L3472" s="15">
        <v>-4.7651399999999997E-2</v>
      </c>
      <c r="M3472" s="15">
        <v>0.71500799999999998</v>
      </c>
      <c r="N3472" s="15">
        <v>0.91358700086430411</v>
      </c>
    </row>
    <row r="3473" spans="1:14" x14ac:dyDescent="0.2">
      <c r="A3473" s="2" t="s">
        <v>10066</v>
      </c>
      <c r="B3473" s="15">
        <v>1116</v>
      </c>
      <c r="C3473" s="15">
        <v>7</v>
      </c>
      <c r="D3473" s="15">
        <v>16739014</v>
      </c>
      <c r="E3473" s="15">
        <v>17596578</v>
      </c>
      <c r="F3473" s="15">
        <v>2479</v>
      </c>
      <c r="G3473" s="8" t="s">
        <v>12324</v>
      </c>
      <c r="H3473" s="24" t="s">
        <v>6008</v>
      </c>
      <c r="I3473" s="25" t="s">
        <v>6009</v>
      </c>
      <c r="J3473" s="8" t="s">
        <v>6010</v>
      </c>
      <c r="K3473" s="8" t="s">
        <v>10051</v>
      </c>
      <c r="L3473" s="15">
        <v>-9.3716300000000002E-2</v>
      </c>
      <c r="M3473" s="15">
        <v>0.71493700000000004</v>
      </c>
      <c r="N3473" s="15">
        <v>0.91358700086430411</v>
      </c>
    </row>
    <row r="3474" spans="1:14" x14ac:dyDescent="0.2">
      <c r="A3474" s="2" t="s">
        <v>10068</v>
      </c>
      <c r="B3474" s="15">
        <v>2309</v>
      </c>
      <c r="C3474" s="15">
        <v>19</v>
      </c>
      <c r="D3474" s="15">
        <v>2253175</v>
      </c>
      <c r="E3474" s="15">
        <v>3085446</v>
      </c>
      <c r="F3474" s="15">
        <v>3144</v>
      </c>
      <c r="G3474" s="8" t="s">
        <v>12324</v>
      </c>
      <c r="H3474" s="24" t="s">
        <v>6565</v>
      </c>
      <c r="I3474" s="25" t="s">
        <v>6475</v>
      </c>
      <c r="J3474" s="8" t="s">
        <v>6566</v>
      </c>
      <c r="K3474" s="8" t="s">
        <v>10054</v>
      </c>
      <c r="L3474" s="15">
        <v>4.56873E-2</v>
      </c>
      <c r="M3474" s="15">
        <v>0.71527600000000002</v>
      </c>
      <c r="N3474" s="15">
        <v>0.91366620391705078</v>
      </c>
    </row>
    <row r="3475" spans="1:14" x14ac:dyDescent="0.2">
      <c r="A3475" s="2" t="s">
        <v>10066</v>
      </c>
      <c r="B3475" s="15">
        <v>1275</v>
      </c>
      <c r="C3475" s="15">
        <v>8</v>
      </c>
      <c r="D3475" s="15">
        <v>29744541</v>
      </c>
      <c r="E3475" s="15">
        <v>31134786</v>
      </c>
      <c r="F3475" s="15">
        <v>3034</v>
      </c>
      <c r="G3475" s="8" t="s">
        <v>12324</v>
      </c>
      <c r="H3475" s="24" t="s">
        <v>6008</v>
      </c>
      <c r="I3475" s="25" t="s">
        <v>6009</v>
      </c>
      <c r="J3475" s="8" t="s">
        <v>6010</v>
      </c>
      <c r="K3475" s="8" t="s">
        <v>10051</v>
      </c>
      <c r="L3475" s="15">
        <v>5.0760300000000001E-2</v>
      </c>
      <c r="M3475" s="15">
        <v>0.71558900000000003</v>
      </c>
      <c r="N3475" s="15">
        <v>0.91380282608695651</v>
      </c>
    </row>
    <row r="3476" spans="1:14" x14ac:dyDescent="0.2">
      <c r="A3476" s="2" t="s">
        <v>10068</v>
      </c>
      <c r="B3476" s="15">
        <v>1654</v>
      </c>
      <c r="C3476" s="15">
        <v>11</v>
      </c>
      <c r="D3476" s="15">
        <v>41603196</v>
      </c>
      <c r="E3476" s="15">
        <v>42858197</v>
      </c>
      <c r="F3476" s="15">
        <v>4027</v>
      </c>
      <c r="G3476" s="8" t="s">
        <v>12324</v>
      </c>
      <c r="H3476" s="24" t="s">
        <v>494</v>
      </c>
      <c r="I3476" s="25">
        <v>25920</v>
      </c>
      <c r="J3476" s="8" t="s">
        <v>496</v>
      </c>
      <c r="K3476" s="8" t="s">
        <v>10040</v>
      </c>
      <c r="L3476" s="15">
        <v>6.3614799999999999E-2</v>
      </c>
      <c r="M3476" s="15">
        <v>0.71619500000000003</v>
      </c>
      <c r="N3476" s="15">
        <v>0.91431342112838232</v>
      </c>
    </row>
    <row r="3477" spans="1:14" x14ac:dyDescent="0.2">
      <c r="A3477" s="2" t="s">
        <v>10066</v>
      </c>
      <c r="B3477" s="15">
        <v>776</v>
      </c>
      <c r="C3477" s="15">
        <v>5</v>
      </c>
      <c r="D3477" s="15">
        <v>598321</v>
      </c>
      <c r="E3477" s="15">
        <v>1206609</v>
      </c>
      <c r="F3477" s="15">
        <v>1771</v>
      </c>
      <c r="G3477" s="8" t="s">
        <v>12324</v>
      </c>
      <c r="H3477" s="24" t="s">
        <v>3164</v>
      </c>
      <c r="I3477" s="25" t="s">
        <v>3165</v>
      </c>
      <c r="J3477" s="8" t="s">
        <v>3166</v>
      </c>
      <c r="K3477" s="8" t="s">
        <v>10042</v>
      </c>
      <c r="L3477" s="15">
        <v>6.5247799999999995E-2</v>
      </c>
      <c r="M3477" s="15">
        <v>0.71699100000000004</v>
      </c>
      <c r="N3477" s="15">
        <v>0.91506621151079148</v>
      </c>
    </row>
    <row r="3478" spans="1:14" x14ac:dyDescent="0.2">
      <c r="A3478" s="2" t="s">
        <v>10068</v>
      </c>
      <c r="B3478" s="15">
        <v>2131</v>
      </c>
      <c r="C3478" s="15">
        <v>16</v>
      </c>
      <c r="D3478" s="15">
        <v>35259454</v>
      </c>
      <c r="E3478" s="15">
        <v>49010761</v>
      </c>
      <c r="F3478" s="15">
        <v>3259</v>
      </c>
      <c r="G3478" s="8" t="s">
        <v>12324</v>
      </c>
      <c r="H3478" s="24" t="s">
        <v>1259</v>
      </c>
      <c r="I3478" s="25">
        <v>27096</v>
      </c>
      <c r="J3478" s="8" t="s">
        <v>1261</v>
      </c>
      <c r="K3478" s="8" t="s">
        <v>10040</v>
      </c>
      <c r="L3478" s="15">
        <v>9.5469399999999996E-2</v>
      </c>
      <c r="M3478" s="15">
        <v>0.71787800000000002</v>
      </c>
      <c r="N3478" s="15">
        <v>0.91547045572167907</v>
      </c>
    </row>
    <row r="3479" spans="1:14" x14ac:dyDescent="0.2">
      <c r="A3479" s="2" t="s">
        <v>10068</v>
      </c>
      <c r="B3479" s="15">
        <v>2198</v>
      </c>
      <c r="C3479" s="15">
        <v>17</v>
      </c>
      <c r="D3479" s="15">
        <v>31318754</v>
      </c>
      <c r="E3479" s="15">
        <v>32356061</v>
      </c>
      <c r="F3479" s="15">
        <v>3123</v>
      </c>
      <c r="G3479" s="8" t="s">
        <v>12324</v>
      </c>
      <c r="H3479" s="24" t="s">
        <v>1259</v>
      </c>
      <c r="I3479" s="25">
        <v>27096</v>
      </c>
      <c r="J3479" s="8" t="s">
        <v>1261</v>
      </c>
      <c r="K3479" s="8" t="s">
        <v>10040</v>
      </c>
      <c r="L3479" s="15">
        <v>9.6459799999999998E-2</v>
      </c>
      <c r="M3479" s="15">
        <v>0.71792699999999998</v>
      </c>
      <c r="N3479" s="15">
        <v>0.91547045572167907</v>
      </c>
    </row>
    <row r="3480" spans="1:14" x14ac:dyDescent="0.2">
      <c r="A3480" s="2" t="s">
        <v>10066</v>
      </c>
      <c r="B3480" s="15">
        <v>1832</v>
      </c>
      <c r="C3480" s="15">
        <v>12</v>
      </c>
      <c r="D3480" s="15">
        <v>101825062</v>
      </c>
      <c r="E3480" s="15">
        <v>102966633</v>
      </c>
      <c r="F3480" s="15">
        <v>2831</v>
      </c>
      <c r="G3480" s="8" t="s">
        <v>12324</v>
      </c>
      <c r="H3480" s="24" t="s">
        <v>3164</v>
      </c>
      <c r="I3480" s="25" t="s">
        <v>3165</v>
      </c>
      <c r="J3480" s="8" t="s">
        <v>3166</v>
      </c>
      <c r="K3480" s="8" t="s">
        <v>10042</v>
      </c>
      <c r="L3480" s="15">
        <v>-7.4874999999999997E-2</v>
      </c>
      <c r="M3480" s="15">
        <v>0.71751699999999996</v>
      </c>
      <c r="N3480" s="15">
        <v>0.91547045572167907</v>
      </c>
    </row>
    <row r="3481" spans="1:14" x14ac:dyDescent="0.2">
      <c r="A3481" s="2" t="s">
        <v>10066</v>
      </c>
      <c r="B3481" s="15">
        <v>592</v>
      </c>
      <c r="C3481" s="15">
        <v>3</v>
      </c>
      <c r="D3481" s="15">
        <v>195196790</v>
      </c>
      <c r="E3481" s="15">
        <v>195710290</v>
      </c>
      <c r="F3481" s="15">
        <v>1555</v>
      </c>
      <c r="G3481" s="8" t="s">
        <v>12324</v>
      </c>
      <c r="H3481" s="24" t="s">
        <v>6008</v>
      </c>
      <c r="I3481" s="25" t="s">
        <v>6009</v>
      </c>
      <c r="J3481" s="8" t="s">
        <v>6010</v>
      </c>
      <c r="K3481" s="8" t="s">
        <v>10051</v>
      </c>
      <c r="L3481" s="15">
        <v>-5.9321499999999999E-2</v>
      </c>
      <c r="M3481" s="15">
        <v>0.71931400000000001</v>
      </c>
      <c r="N3481" s="15">
        <v>0.9169754498419086</v>
      </c>
    </row>
    <row r="3482" spans="1:14" x14ac:dyDescent="0.2">
      <c r="A3482" s="2" t="s">
        <v>10068</v>
      </c>
      <c r="B3482" s="15">
        <v>2073</v>
      </c>
      <c r="C3482" s="15">
        <v>15</v>
      </c>
      <c r="D3482" s="15">
        <v>70767984</v>
      </c>
      <c r="E3482" s="15">
        <v>72058129</v>
      </c>
      <c r="F3482" s="15">
        <v>2884</v>
      </c>
      <c r="G3482" s="8" t="s">
        <v>12324</v>
      </c>
      <c r="H3482" s="24" t="s">
        <v>599</v>
      </c>
      <c r="I3482" s="25">
        <v>26562</v>
      </c>
      <c r="J3482" s="8" t="s">
        <v>601</v>
      </c>
      <c r="K3482" s="8" t="s">
        <v>10040</v>
      </c>
      <c r="L3482" s="15">
        <v>6.3283400000000004E-2</v>
      </c>
      <c r="M3482" s="15">
        <v>0.72000900000000001</v>
      </c>
      <c r="N3482" s="15">
        <v>0.91708937822349579</v>
      </c>
    </row>
    <row r="3483" spans="1:14" x14ac:dyDescent="0.2">
      <c r="A3483" s="2" t="s">
        <v>10068</v>
      </c>
      <c r="B3483" s="15">
        <v>1389</v>
      </c>
      <c r="C3483" s="15">
        <v>9</v>
      </c>
      <c r="D3483" s="15">
        <v>14244748</v>
      </c>
      <c r="E3483" s="15">
        <v>14902924</v>
      </c>
      <c r="F3483" s="15">
        <v>2096</v>
      </c>
      <c r="G3483" s="8" t="s">
        <v>12324</v>
      </c>
      <c r="H3483" s="24" t="s">
        <v>599</v>
      </c>
      <c r="I3483" s="25">
        <v>26562</v>
      </c>
      <c r="J3483" s="8" t="s">
        <v>601</v>
      </c>
      <c r="K3483" s="8" t="s">
        <v>10040</v>
      </c>
      <c r="L3483" s="15">
        <v>-5.9166400000000001E-2</v>
      </c>
      <c r="M3483" s="15">
        <v>0.72167800000000004</v>
      </c>
      <c r="N3483" s="15">
        <v>0.91708937822349579</v>
      </c>
    </row>
    <row r="3484" spans="1:14" x14ac:dyDescent="0.2">
      <c r="A3484" s="2" t="s">
        <v>10069</v>
      </c>
      <c r="B3484" s="15">
        <v>2311</v>
      </c>
      <c r="C3484" s="15">
        <v>19</v>
      </c>
      <c r="D3484" s="15">
        <v>3893910</v>
      </c>
      <c r="E3484" s="15">
        <v>4741718</v>
      </c>
      <c r="F3484" s="15">
        <v>1443</v>
      </c>
      <c r="G3484" s="8" t="s">
        <v>12324</v>
      </c>
      <c r="H3484" s="24" t="s">
        <v>662</v>
      </c>
      <c r="I3484" s="25" t="s">
        <v>663</v>
      </c>
      <c r="J3484" s="8" t="s">
        <v>664</v>
      </c>
      <c r="K3484" s="8" t="s">
        <v>10040</v>
      </c>
      <c r="L3484" s="15">
        <v>8.3104899999999995E-2</v>
      </c>
      <c r="M3484" s="15">
        <v>0.72112699999999996</v>
      </c>
      <c r="N3484" s="15">
        <v>0.91708937822349579</v>
      </c>
    </row>
    <row r="3485" spans="1:14" x14ac:dyDescent="0.2">
      <c r="A3485" s="2" t="s">
        <v>10068</v>
      </c>
      <c r="B3485" s="15">
        <v>475</v>
      </c>
      <c r="C3485" s="15">
        <v>3</v>
      </c>
      <c r="D3485" s="15">
        <v>62609819</v>
      </c>
      <c r="E3485" s="15">
        <v>63670803</v>
      </c>
      <c r="F3485" s="15">
        <v>3557</v>
      </c>
      <c r="G3485" s="8" t="s">
        <v>12324</v>
      </c>
      <c r="H3485" s="24" t="s">
        <v>1259</v>
      </c>
      <c r="I3485" s="25">
        <v>27096</v>
      </c>
      <c r="J3485" s="8" t="s">
        <v>1261</v>
      </c>
      <c r="K3485" s="8" t="s">
        <v>10040</v>
      </c>
      <c r="L3485" s="15">
        <v>-6.1449499999999997E-2</v>
      </c>
      <c r="M3485" s="15">
        <v>0.72029100000000001</v>
      </c>
      <c r="N3485" s="15">
        <v>0.91708937822349579</v>
      </c>
    </row>
    <row r="3486" spans="1:14" x14ac:dyDescent="0.2">
      <c r="A3486" s="2" t="s">
        <v>10068</v>
      </c>
      <c r="B3486" s="15">
        <v>24</v>
      </c>
      <c r="C3486" s="15">
        <v>1</v>
      </c>
      <c r="D3486" s="15">
        <v>22145630</v>
      </c>
      <c r="E3486" s="15">
        <v>22740287</v>
      </c>
      <c r="F3486" s="15">
        <v>2190</v>
      </c>
      <c r="G3486" s="8" t="s">
        <v>12324</v>
      </c>
      <c r="H3486" s="24" t="s">
        <v>1259</v>
      </c>
      <c r="I3486" s="25">
        <v>27096</v>
      </c>
      <c r="J3486" s="8" t="s">
        <v>1261</v>
      </c>
      <c r="K3486" s="8" t="s">
        <v>10040</v>
      </c>
      <c r="L3486" s="15">
        <v>-8.5291599999999995E-2</v>
      </c>
      <c r="M3486" s="15">
        <v>0.72137700000000005</v>
      </c>
      <c r="N3486" s="15">
        <v>0.91708937822349579</v>
      </c>
    </row>
    <row r="3487" spans="1:14" x14ac:dyDescent="0.2">
      <c r="A3487" s="2" t="s">
        <v>10068</v>
      </c>
      <c r="B3487" s="15">
        <v>2244</v>
      </c>
      <c r="C3487" s="15">
        <v>18</v>
      </c>
      <c r="D3487" s="15">
        <v>5575813</v>
      </c>
      <c r="E3487" s="15">
        <v>6756496</v>
      </c>
      <c r="F3487" s="15">
        <v>3184</v>
      </c>
      <c r="G3487" s="8" t="s">
        <v>12324</v>
      </c>
      <c r="H3487" s="24" t="s">
        <v>1259</v>
      </c>
      <c r="I3487" s="25">
        <v>27096</v>
      </c>
      <c r="J3487" s="8" t="s">
        <v>1261</v>
      </c>
      <c r="K3487" s="8" t="s">
        <v>10040</v>
      </c>
      <c r="L3487" s="15">
        <v>-5.9664599999999998E-2</v>
      </c>
      <c r="M3487" s="15">
        <v>0.72160800000000003</v>
      </c>
      <c r="N3487" s="15">
        <v>0.91708937822349579</v>
      </c>
    </row>
    <row r="3488" spans="1:14" x14ac:dyDescent="0.2">
      <c r="A3488" s="2" t="s">
        <v>10066</v>
      </c>
      <c r="B3488" s="15">
        <v>2175</v>
      </c>
      <c r="C3488" s="15">
        <v>17</v>
      </c>
      <c r="D3488" s="15">
        <v>1480057</v>
      </c>
      <c r="E3488" s="15">
        <v>2699135</v>
      </c>
      <c r="F3488" s="15">
        <v>3285</v>
      </c>
      <c r="G3488" s="8" t="s">
        <v>12324</v>
      </c>
      <c r="H3488" s="24" t="s">
        <v>6008</v>
      </c>
      <c r="I3488" s="25" t="s">
        <v>6009</v>
      </c>
      <c r="J3488" s="8" t="s">
        <v>6010</v>
      </c>
      <c r="K3488" s="8" t="s">
        <v>10051</v>
      </c>
      <c r="L3488" s="15">
        <v>-6.0763499999999998E-2</v>
      </c>
      <c r="M3488" s="15">
        <v>0.72024299999999997</v>
      </c>
      <c r="N3488" s="15">
        <v>0.91708937822349579</v>
      </c>
    </row>
    <row r="3489" spans="1:14" x14ac:dyDescent="0.2">
      <c r="A3489" s="2" t="s">
        <v>10066</v>
      </c>
      <c r="B3489" s="15">
        <v>1495</v>
      </c>
      <c r="C3489" s="15">
        <v>10</v>
      </c>
      <c r="D3489" s="15">
        <v>7659873</v>
      </c>
      <c r="E3489" s="15">
        <v>8771920</v>
      </c>
      <c r="F3489" s="15">
        <v>3818</v>
      </c>
      <c r="G3489" s="8" t="s">
        <v>12324</v>
      </c>
      <c r="H3489" s="24" t="s">
        <v>6008</v>
      </c>
      <c r="I3489" s="25" t="s">
        <v>6009</v>
      </c>
      <c r="J3489" s="8" t="s">
        <v>6010</v>
      </c>
      <c r="K3489" s="8" t="s">
        <v>10051</v>
      </c>
      <c r="L3489" s="15">
        <v>-7.9269599999999996E-2</v>
      </c>
      <c r="M3489" s="15">
        <v>0.72038899999999995</v>
      </c>
      <c r="N3489" s="15">
        <v>0.91708937822349579</v>
      </c>
    </row>
    <row r="3490" spans="1:14" x14ac:dyDescent="0.2">
      <c r="A3490" s="2" t="s">
        <v>10066</v>
      </c>
      <c r="B3490" s="15">
        <v>2229</v>
      </c>
      <c r="C3490" s="15">
        <v>17</v>
      </c>
      <c r="D3490" s="15">
        <v>72383473</v>
      </c>
      <c r="E3490" s="15">
        <v>73741321</v>
      </c>
      <c r="F3490" s="15">
        <v>3552</v>
      </c>
      <c r="G3490" s="8" t="s">
        <v>12324</v>
      </c>
      <c r="H3490" s="24" t="s">
        <v>6008</v>
      </c>
      <c r="I3490" s="25" t="s">
        <v>6009</v>
      </c>
      <c r="J3490" s="8" t="s">
        <v>6010</v>
      </c>
      <c r="K3490" s="8" t="s">
        <v>10051</v>
      </c>
      <c r="L3490" s="15">
        <v>-0.12587400000000001</v>
      </c>
      <c r="M3490" s="15">
        <v>0.72121100000000005</v>
      </c>
      <c r="N3490" s="15">
        <v>0.91708937822349579</v>
      </c>
    </row>
    <row r="3491" spans="1:14" x14ac:dyDescent="0.2">
      <c r="A3491" s="2" t="s">
        <v>10068</v>
      </c>
      <c r="B3491" s="15">
        <v>1712</v>
      </c>
      <c r="C3491" s="15">
        <v>11</v>
      </c>
      <c r="D3491" s="15">
        <v>103495636</v>
      </c>
      <c r="E3491" s="15">
        <v>104875270</v>
      </c>
      <c r="F3491" s="15">
        <v>3367</v>
      </c>
      <c r="G3491" s="8" t="s">
        <v>12324</v>
      </c>
      <c r="H3491" s="24" t="s">
        <v>6565</v>
      </c>
      <c r="I3491" s="25" t="s">
        <v>6475</v>
      </c>
      <c r="J3491" s="8" t="s">
        <v>6566</v>
      </c>
      <c r="K3491" s="8" t="s">
        <v>10054</v>
      </c>
      <c r="L3491" s="15">
        <v>-0.10281800000000001</v>
      </c>
      <c r="M3491" s="15">
        <v>0.721607</v>
      </c>
      <c r="N3491" s="15">
        <v>0.91708937822349579</v>
      </c>
    </row>
    <row r="3492" spans="1:14" x14ac:dyDescent="0.2">
      <c r="A3492" s="2" t="s">
        <v>10068</v>
      </c>
      <c r="B3492" s="15">
        <v>1271</v>
      </c>
      <c r="C3492" s="15">
        <v>8</v>
      </c>
      <c r="D3492" s="15">
        <v>25859278</v>
      </c>
      <c r="E3492" s="15">
        <v>26679135</v>
      </c>
      <c r="F3492" s="15">
        <v>2879</v>
      </c>
      <c r="G3492" s="8" t="s">
        <v>12324</v>
      </c>
      <c r="H3492" s="24" t="s">
        <v>6565</v>
      </c>
      <c r="I3492" s="25" t="s">
        <v>6475</v>
      </c>
      <c r="J3492" s="8" t="s">
        <v>6566</v>
      </c>
      <c r="K3492" s="8" t="s">
        <v>10054</v>
      </c>
      <c r="L3492" s="15">
        <v>7.6307700000000006E-2</v>
      </c>
      <c r="M3492" s="15">
        <v>0.72162300000000001</v>
      </c>
      <c r="N3492" s="15">
        <v>0.91708937822349579</v>
      </c>
    </row>
    <row r="3493" spans="1:14" x14ac:dyDescent="0.2">
      <c r="A3493" s="2" t="s">
        <v>10068</v>
      </c>
      <c r="B3493" s="15">
        <v>731</v>
      </c>
      <c r="C3493" s="15">
        <v>4</v>
      </c>
      <c r="D3493" s="15">
        <v>146174872</v>
      </c>
      <c r="E3493" s="15">
        <v>147161042</v>
      </c>
      <c r="F3493" s="15">
        <v>2376</v>
      </c>
      <c r="G3493" s="8" t="s">
        <v>12324</v>
      </c>
      <c r="H3493" s="24" t="s">
        <v>494</v>
      </c>
      <c r="I3493" s="25">
        <v>25920</v>
      </c>
      <c r="J3493" s="8" t="s">
        <v>496</v>
      </c>
      <c r="K3493" s="8" t="s">
        <v>10040</v>
      </c>
      <c r="L3493" s="15">
        <v>-7.4809700000000007E-2</v>
      </c>
      <c r="M3493" s="15">
        <v>0.72350199999999998</v>
      </c>
      <c r="N3493" s="15">
        <v>0.91719474714285709</v>
      </c>
    </row>
    <row r="3494" spans="1:14" x14ac:dyDescent="0.2">
      <c r="A3494" s="2" t="s">
        <v>10068</v>
      </c>
      <c r="B3494" s="15">
        <v>193</v>
      </c>
      <c r="C3494" s="15">
        <v>1</v>
      </c>
      <c r="D3494" s="15">
        <v>241813535</v>
      </c>
      <c r="E3494" s="15">
        <v>242417923</v>
      </c>
      <c r="F3494" s="15">
        <v>2175</v>
      </c>
      <c r="G3494" s="8" t="s">
        <v>12324</v>
      </c>
      <c r="H3494" s="24" t="s">
        <v>599</v>
      </c>
      <c r="I3494" s="25">
        <v>26562</v>
      </c>
      <c r="J3494" s="8" t="s">
        <v>601</v>
      </c>
      <c r="K3494" s="8" t="s">
        <v>10040</v>
      </c>
      <c r="L3494" s="15">
        <v>0.102918</v>
      </c>
      <c r="M3494" s="15">
        <v>0.72203399999999995</v>
      </c>
      <c r="N3494" s="15">
        <v>0.91719474714285709</v>
      </c>
    </row>
    <row r="3495" spans="1:14" x14ac:dyDescent="0.2">
      <c r="A3495" s="2" t="s">
        <v>10068</v>
      </c>
      <c r="B3495" s="15">
        <v>851</v>
      </c>
      <c r="C3495" s="15">
        <v>5</v>
      </c>
      <c r="D3495" s="15">
        <v>90793805</v>
      </c>
      <c r="E3495" s="15">
        <v>91956905</v>
      </c>
      <c r="F3495" s="15">
        <v>2136</v>
      </c>
      <c r="G3495" s="8" t="s">
        <v>12324</v>
      </c>
      <c r="H3495" s="24" t="s">
        <v>599</v>
      </c>
      <c r="I3495" s="25">
        <v>26562</v>
      </c>
      <c r="J3495" s="8" t="s">
        <v>601</v>
      </c>
      <c r="K3495" s="8" t="s">
        <v>10040</v>
      </c>
      <c r="L3495" s="15">
        <v>0.124057</v>
      </c>
      <c r="M3495" s="15">
        <v>0.72262700000000002</v>
      </c>
      <c r="N3495" s="15">
        <v>0.91719474714285709</v>
      </c>
    </row>
    <row r="3496" spans="1:14" x14ac:dyDescent="0.2">
      <c r="A3496" s="2" t="s">
        <v>10068</v>
      </c>
      <c r="B3496" s="15">
        <v>1607</v>
      </c>
      <c r="C3496" s="15">
        <v>10</v>
      </c>
      <c r="D3496" s="15">
        <v>133111171</v>
      </c>
      <c r="E3496" s="15">
        <v>133818036</v>
      </c>
      <c r="F3496" s="15">
        <v>2483</v>
      </c>
      <c r="G3496" s="8" t="s">
        <v>12324</v>
      </c>
      <c r="H3496" s="24" t="s">
        <v>599</v>
      </c>
      <c r="I3496" s="25">
        <v>26562</v>
      </c>
      <c r="J3496" s="8" t="s">
        <v>601</v>
      </c>
      <c r="K3496" s="8" t="s">
        <v>10040</v>
      </c>
      <c r="L3496" s="15">
        <v>5.9210100000000002E-2</v>
      </c>
      <c r="M3496" s="15">
        <v>0.72325300000000003</v>
      </c>
      <c r="N3496" s="15">
        <v>0.91719474714285709</v>
      </c>
    </row>
    <row r="3497" spans="1:14" x14ac:dyDescent="0.2">
      <c r="A3497" s="2" t="s">
        <v>10068</v>
      </c>
      <c r="B3497" s="15">
        <v>38</v>
      </c>
      <c r="C3497" s="15">
        <v>1</v>
      </c>
      <c r="D3497" s="15">
        <v>41093876</v>
      </c>
      <c r="E3497" s="15">
        <v>41977966</v>
      </c>
      <c r="F3497" s="15">
        <v>2437</v>
      </c>
      <c r="G3497" s="8" t="s">
        <v>12324</v>
      </c>
      <c r="H3497" s="24" t="s">
        <v>1259</v>
      </c>
      <c r="I3497" s="25">
        <v>27096</v>
      </c>
      <c r="J3497" s="8" t="s">
        <v>1261</v>
      </c>
      <c r="K3497" s="8" t="s">
        <v>10040</v>
      </c>
      <c r="L3497" s="15">
        <v>0.10574799999999999</v>
      </c>
      <c r="M3497" s="15">
        <v>0.72345300000000001</v>
      </c>
      <c r="N3497" s="15">
        <v>0.91719474714285709</v>
      </c>
    </row>
    <row r="3498" spans="1:14" x14ac:dyDescent="0.2">
      <c r="A3498" s="2" t="s">
        <v>10068</v>
      </c>
      <c r="B3498" s="15">
        <v>1433</v>
      </c>
      <c r="C3498" s="15">
        <v>9</v>
      </c>
      <c r="D3498" s="15">
        <v>89171797</v>
      </c>
      <c r="E3498" s="15">
        <v>90135154</v>
      </c>
      <c r="F3498" s="15">
        <v>2761</v>
      </c>
      <c r="G3498" s="8" t="s">
        <v>12324</v>
      </c>
      <c r="H3498" s="24" t="s">
        <v>1259</v>
      </c>
      <c r="I3498" s="25">
        <v>27096</v>
      </c>
      <c r="J3498" s="8" t="s">
        <v>1261</v>
      </c>
      <c r="K3498" s="8" t="s">
        <v>10040</v>
      </c>
      <c r="L3498" s="15">
        <v>-0.12507499999999999</v>
      </c>
      <c r="M3498" s="15">
        <v>0.72353900000000004</v>
      </c>
      <c r="N3498" s="15">
        <v>0.91719474714285709</v>
      </c>
    </row>
    <row r="3499" spans="1:14" x14ac:dyDescent="0.2">
      <c r="A3499" s="2" t="s">
        <v>10068</v>
      </c>
      <c r="B3499" s="15">
        <v>157</v>
      </c>
      <c r="C3499" s="15">
        <v>1</v>
      </c>
      <c r="D3499" s="15">
        <v>204092538</v>
      </c>
      <c r="E3499" s="15">
        <v>205009623</v>
      </c>
      <c r="F3499" s="15">
        <v>2263</v>
      </c>
      <c r="G3499" s="8" t="s">
        <v>12324</v>
      </c>
      <c r="H3499" s="24" t="s">
        <v>1259</v>
      </c>
      <c r="I3499" s="25">
        <v>27096</v>
      </c>
      <c r="J3499" s="8" t="s">
        <v>1261</v>
      </c>
      <c r="K3499" s="8" t="s">
        <v>10040</v>
      </c>
      <c r="L3499" s="15">
        <v>9.9853499999999998E-2</v>
      </c>
      <c r="M3499" s="15">
        <v>0.723769</v>
      </c>
      <c r="N3499" s="15">
        <v>0.91719474714285709</v>
      </c>
    </row>
    <row r="3500" spans="1:14" x14ac:dyDescent="0.2">
      <c r="A3500" s="2" t="s">
        <v>10066</v>
      </c>
      <c r="B3500" s="15">
        <v>1082</v>
      </c>
      <c r="C3500" s="15">
        <v>6</v>
      </c>
      <c r="D3500" s="15">
        <v>158952061</v>
      </c>
      <c r="E3500" s="15">
        <v>159604052</v>
      </c>
      <c r="F3500" s="15">
        <v>2180</v>
      </c>
      <c r="G3500" s="8" t="s">
        <v>12324</v>
      </c>
      <c r="H3500" s="24" t="s">
        <v>3164</v>
      </c>
      <c r="I3500" s="25" t="s">
        <v>3165</v>
      </c>
      <c r="J3500" s="8" t="s">
        <v>3166</v>
      </c>
      <c r="K3500" s="8" t="s">
        <v>10042</v>
      </c>
      <c r="L3500" s="15">
        <v>-9.3829200000000001E-2</v>
      </c>
      <c r="M3500" s="15">
        <v>0.72382899999999994</v>
      </c>
      <c r="N3500" s="15">
        <v>0.91719474714285709</v>
      </c>
    </row>
    <row r="3501" spans="1:14" x14ac:dyDescent="0.2">
      <c r="A3501" s="2" t="s">
        <v>10068</v>
      </c>
      <c r="B3501" s="15">
        <v>1490</v>
      </c>
      <c r="C3501" s="15">
        <v>10</v>
      </c>
      <c r="D3501" s="15">
        <v>3880323</v>
      </c>
      <c r="E3501" s="15">
        <v>4813182</v>
      </c>
      <c r="F3501" s="15">
        <v>2821</v>
      </c>
      <c r="G3501" s="8" t="s">
        <v>12324</v>
      </c>
      <c r="H3501" s="24" t="s">
        <v>6565</v>
      </c>
      <c r="I3501" s="25" t="s">
        <v>6475</v>
      </c>
      <c r="J3501" s="8" t="s">
        <v>6566</v>
      </c>
      <c r="K3501" s="8" t="s">
        <v>10054</v>
      </c>
      <c r="L3501" s="15">
        <v>8.8623400000000005E-2</v>
      </c>
      <c r="M3501" s="15">
        <v>0.72231800000000002</v>
      </c>
      <c r="N3501" s="15">
        <v>0.91719474714285709</v>
      </c>
    </row>
    <row r="3502" spans="1:14" x14ac:dyDescent="0.2">
      <c r="A3502" s="2" t="s">
        <v>10068</v>
      </c>
      <c r="B3502" s="15">
        <v>1821</v>
      </c>
      <c r="C3502" s="15">
        <v>12</v>
      </c>
      <c r="D3502" s="15">
        <v>88344765</v>
      </c>
      <c r="E3502" s="15">
        <v>90567001</v>
      </c>
      <c r="F3502" s="15">
        <v>3692</v>
      </c>
      <c r="G3502" s="8" t="s">
        <v>12324</v>
      </c>
      <c r="H3502" s="24" t="s">
        <v>6565</v>
      </c>
      <c r="I3502" s="25" t="s">
        <v>6475</v>
      </c>
      <c r="J3502" s="8" t="s">
        <v>6566</v>
      </c>
      <c r="K3502" s="8" t="s">
        <v>10054</v>
      </c>
      <c r="L3502" s="15">
        <v>-7.9586699999999996E-2</v>
      </c>
      <c r="M3502" s="15">
        <v>0.72252799999999995</v>
      </c>
      <c r="N3502" s="15">
        <v>0.91719474714285709</v>
      </c>
    </row>
    <row r="3503" spans="1:14" x14ac:dyDescent="0.2">
      <c r="A3503" s="2" t="s">
        <v>10068</v>
      </c>
      <c r="B3503" s="15">
        <v>2017</v>
      </c>
      <c r="C3503" s="15">
        <v>14</v>
      </c>
      <c r="D3503" s="15">
        <v>89482884</v>
      </c>
      <c r="E3503" s="15">
        <v>90662836</v>
      </c>
      <c r="F3503" s="15">
        <v>3107</v>
      </c>
      <c r="G3503" s="8" t="s">
        <v>12324</v>
      </c>
      <c r="H3503" s="24" t="s">
        <v>1259</v>
      </c>
      <c r="I3503" s="25">
        <v>27096</v>
      </c>
      <c r="J3503" s="8" t="s">
        <v>1261</v>
      </c>
      <c r="K3503" s="8" t="s">
        <v>10040</v>
      </c>
      <c r="L3503" s="15">
        <v>9.4968999999999998E-2</v>
      </c>
      <c r="M3503" s="15">
        <v>0.72458299999999998</v>
      </c>
      <c r="N3503" s="15">
        <v>0.91788791916595258</v>
      </c>
    </row>
    <row r="3504" spans="1:14" x14ac:dyDescent="0.2">
      <c r="A3504" s="2" t="s">
        <v>10068</v>
      </c>
      <c r="B3504" s="15">
        <v>402</v>
      </c>
      <c r="C3504" s="15">
        <v>2</v>
      </c>
      <c r="D3504" s="15">
        <v>224938732</v>
      </c>
      <c r="E3504" s="15">
        <v>226242842</v>
      </c>
      <c r="F3504" s="15">
        <v>3538</v>
      </c>
      <c r="G3504" s="8" t="s">
        <v>12324</v>
      </c>
      <c r="H3504" s="24" t="s">
        <v>494</v>
      </c>
      <c r="I3504" s="25">
        <v>25920</v>
      </c>
      <c r="J3504" s="8" t="s">
        <v>496</v>
      </c>
      <c r="K3504" s="8" t="s">
        <v>10040</v>
      </c>
      <c r="L3504" s="15">
        <v>0.10084700000000001</v>
      </c>
      <c r="M3504" s="15">
        <v>0.72623800000000005</v>
      </c>
      <c r="N3504" s="15">
        <v>0.9180032915360502</v>
      </c>
    </row>
    <row r="3505" spans="1:14" x14ac:dyDescent="0.2">
      <c r="A3505" s="2" t="s">
        <v>10068</v>
      </c>
      <c r="B3505" s="15">
        <v>2224</v>
      </c>
      <c r="C3505" s="15">
        <v>17</v>
      </c>
      <c r="D3505" s="15">
        <v>66757557</v>
      </c>
      <c r="E3505" s="15">
        <v>68176219</v>
      </c>
      <c r="F3505" s="15">
        <v>3008</v>
      </c>
      <c r="G3505" s="8" t="s">
        <v>12324</v>
      </c>
      <c r="H3505" s="24" t="s">
        <v>494</v>
      </c>
      <c r="I3505" s="25">
        <v>25920</v>
      </c>
      <c r="J3505" s="8" t="s">
        <v>496</v>
      </c>
      <c r="K3505" s="8" t="s">
        <v>10040</v>
      </c>
      <c r="L3505" s="15">
        <v>-7.9139000000000001E-2</v>
      </c>
      <c r="M3505" s="15">
        <v>0.72633000000000003</v>
      </c>
      <c r="N3505" s="15">
        <v>0.9180032915360502</v>
      </c>
    </row>
    <row r="3506" spans="1:14" x14ac:dyDescent="0.2">
      <c r="A3506" s="2" t="s">
        <v>10068</v>
      </c>
      <c r="B3506" s="15">
        <v>2039</v>
      </c>
      <c r="C3506" s="15">
        <v>15</v>
      </c>
      <c r="D3506" s="15">
        <v>26392948</v>
      </c>
      <c r="E3506" s="15">
        <v>27563172</v>
      </c>
      <c r="F3506" s="15">
        <v>3051</v>
      </c>
      <c r="G3506" s="8" t="s">
        <v>12324</v>
      </c>
      <c r="H3506" s="24" t="s">
        <v>599</v>
      </c>
      <c r="I3506" s="25">
        <v>26562</v>
      </c>
      <c r="J3506" s="8" t="s">
        <v>601</v>
      </c>
      <c r="K3506" s="8" t="s">
        <v>10040</v>
      </c>
      <c r="L3506" s="15">
        <v>-7.9153899999999999E-2</v>
      </c>
      <c r="M3506" s="15">
        <v>0.72516899999999995</v>
      </c>
      <c r="N3506" s="15">
        <v>0.9180032915360502</v>
      </c>
    </row>
    <row r="3507" spans="1:14" x14ac:dyDescent="0.2">
      <c r="A3507" s="2" t="s">
        <v>10068</v>
      </c>
      <c r="B3507" s="15">
        <v>946</v>
      </c>
      <c r="C3507" s="15">
        <v>6</v>
      </c>
      <c r="D3507" s="15">
        <v>22199714</v>
      </c>
      <c r="E3507" s="15">
        <v>23192337</v>
      </c>
      <c r="F3507" s="15">
        <v>3080</v>
      </c>
      <c r="G3507" s="8" t="s">
        <v>12324</v>
      </c>
      <c r="H3507" s="24" t="s">
        <v>599</v>
      </c>
      <c r="I3507" s="25">
        <v>26562</v>
      </c>
      <c r="J3507" s="8" t="s">
        <v>601</v>
      </c>
      <c r="K3507" s="8" t="s">
        <v>10040</v>
      </c>
      <c r="L3507" s="15">
        <v>8.7561700000000006E-2</v>
      </c>
      <c r="M3507" s="15">
        <v>0.725989</v>
      </c>
      <c r="N3507" s="15">
        <v>0.9180032915360502</v>
      </c>
    </row>
    <row r="3508" spans="1:14" x14ac:dyDescent="0.2">
      <c r="A3508" s="2" t="s">
        <v>10068</v>
      </c>
      <c r="B3508" s="15">
        <v>705</v>
      </c>
      <c r="C3508" s="15">
        <v>4</v>
      </c>
      <c r="D3508" s="15">
        <v>118395263</v>
      </c>
      <c r="E3508" s="15">
        <v>119138097</v>
      </c>
      <c r="F3508" s="15">
        <v>2066</v>
      </c>
      <c r="G3508" s="8" t="s">
        <v>12324</v>
      </c>
      <c r="H3508" s="24" t="s">
        <v>599</v>
      </c>
      <c r="I3508" s="25">
        <v>26562</v>
      </c>
      <c r="J3508" s="8" t="s">
        <v>601</v>
      </c>
      <c r="K3508" s="8" t="s">
        <v>10040</v>
      </c>
      <c r="L3508" s="15">
        <v>-0.14276800000000001</v>
      </c>
      <c r="M3508" s="15">
        <v>0.72618099999999997</v>
      </c>
      <c r="N3508" s="15">
        <v>0.9180032915360502</v>
      </c>
    </row>
    <row r="3509" spans="1:14" x14ac:dyDescent="0.2">
      <c r="A3509" s="2" t="s">
        <v>10069</v>
      </c>
      <c r="B3509" s="15">
        <v>1657</v>
      </c>
      <c r="C3509" s="15">
        <v>11</v>
      </c>
      <c r="D3509" s="15">
        <v>45019560</v>
      </c>
      <c r="E3509" s="15">
        <v>46316005</v>
      </c>
      <c r="F3509" s="15">
        <v>1845</v>
      </c>
      <c r="G3509" s="8" t="s">
        <v>12324</v>
      </c>
      <c r="H3509" s="24" t="s">
        <v>662</v>
      </c>
      <c r="I3509" s="25" t="s">
        <v>663</v>
      </c>
      <c r="J3509" s="8" t="s">
        <v>664</v>
      </c>
      <c r="K3509" s="8" t="s">
        <v>10040</v>
      </c>
      <c r="L3509" s="15">
        <v>0.14347499999999999</v>
      </c>
      <c r="M3509" s="15">
        <v>0.72599800000000003</v>
      </c>
      <c r="N3509" s="15">
        <v>0.9180032915360502</v>
      </c>
    </row>
    <row r="3510" spans="1:14" x14ac:dyDescent="0.2">
      <c r="A3510" s="2" t="s">
        <v>10068</v>
      </c>
      <c r="B3510" s="15">
        <v>420</v>
      </c>
      <c r="C3510" s="15">
        <v>2</v>
      </c>
      <c r="D3510" s="15">
        <v>241910367</v>
      </c>
      <c r="E3510" s="15">
        <v>243188366</v>
      </c>
      <c r="F3510" s="15">
        <v>2900</v>
      </c>
      <c r="G3510" s="8" t="s">
        <v>12324</v>
      </c>
      <c r="H3510" s="24" t="s">
        <v>1259</v>
      </c>
      <c r="I3510" s="25">
        <v>27096</v>
      </c>
      <c r="J3510" s="8" t="s">
        <v>1261</v>
      </c>
      <c r="K3510" s="8" t="s">
        <v>10040</v>
      </c>
      <c r="L3510" s="15">
        <v>-5.55586E-2</v>
      </c>
      <c r="M3510" s="15">
        <v>0.72565000000000002</v>
      </c>
      <c r="N3510" s="15">
        <v>0.9180032915360502</v>
      </c>
    </row>
    <row r="3511" spans="1:14" x14ac:dyDescent="0.2">
      <c r="A3511" s="2" t="s">
        <v>10068</v>
      </c>
      <c r="B3511" s="15">
        <v>20</v>
      </c>
      <c r="C3511" s="15">
        <v>1</v>
      </c>
      <c r="D3511" s="15">
        <v>18427821</v>
      </c>
      <c r="E3511" s="15">
        <v>19238924</v>
      </c>
      <c r="F3511" s="15">
        <v>2703</v>
      </c>
      <c r="G3511" s="8" t="s">
        <v>12324</v>
      </c>
      <c r="H3511" s="24" t="s">
        <v>6565</v>
      </c>
      <c r="I3511" s="25" t="s">
        <v>6475</v>
      </c>
      <c r="J3511" s="8" t="s">
        <v>6566</v>
      </c>
      <c r="K3511" s="8" t="s">
        <v>10054</v>
      </c>
      <c r="L3511" s="15">
        <v>-6.8968299999999996E-2</v>
      </c>
      <c r="M3511" s="15">
        <v>0.72558199999999995</v>
      </c>
      <c r="N3511" s="15">
        <v>0.9180032915360502</v>
      </c>
    </row>
    <row r="3512" spans="1:14" x14ac:dyDescent="0.2">
      <c r="A3512" s="2" t="s">
        <v>10066</v>
      </c>
      <c r="B3512" s="15">
        <v>2350</v>
      </c>
      <c r="C3512" s="15">
        <v>19</v>
      </c>
      <c r="D3512" s="15">
        <v>43960959</v>
      </c>
      <c r="E3512" s="15">
        <v>45040932</v>
      </c>
      <c r="F3512" s="15">
        <v>2979</v>
      </c>
      <c r="G3512" s="8" t="s">
        <v>12324</v>
      </c>
      <c r="H3512" s="24" t="s">
        <v>3164</v>
      </c>
      <c r="I3512" s="25" t="s">
        <v>3165</v>
      </c>
      <c r="J3512" s="8" t="s">
        <v>3166</v>
      </c>
      <c r="K3512" s="8" t="s">
        <v>10042</v>
      </c>
      <c r="L3512" s="15">
        <v>-0.102051</v>
      </c>
      <c r="M3512" s="15">
        <v>0.72678699999999996</v>
      </c>
      <c r="N3512" s="15">
        <v>0.91831918660968659</v>
      </c>
    </row>
    <row r="3513" spans="1:14" x14ac:dyDescent="0.2">
      <c r="A3513" s="2" t="s">
        <v>10068</v>
      </c>
      <c r="B3513" s="15">
        <v>417</v>
      </c>
      <c r="C3513" s="15">
        <v>2</v>
      </c>
      <c r="D3513" s="15">
        <v>239634351</v>
      </c>
      <c r="E3513" s="15">
        <v>240325600</v>
      </c>
      <c r="F3513" s="15">
        <v>2175</v>
      </c>
      <c r="G3513" s="8" t="s">
        <v>12324</v>
      </c>
      <c r="H3513" s="24" t="s">
        <v>494</v>
      </c>
      <c r="I3513" s="25">
        <v>25920</v>
      </c>
      <c r="J3513" s="8" t="s">
        <v>496</v>
      </c>
      <c r="K3513" s="8" t="s">
        <v>10040</v>
      </c>
      <c r="L3513" s="15">
        <v>-4.9355700000000002E-2</v>
      </c>
      <c r="M3513" s="15">
        <v>0.72805600000000004</v>
      </c>
      <c r="N3513" s="15">
        <v>0.91936426416168515</v>
      </c>
    </row>
    <row r="3514" spans="1:14" x14ac:dyDescent="0.2">
      <c r="A3514" s="2" t="s">
        <v>10068</v>
      </c>
      <c r="B3514" s="15">
        <v>1939</v>
      </c>
      <c r="C3514" s="15">
        <v>13</v>
      </c>
      <c r="D3514" s="15">
        <v>100470869</v>
      </c>
      <c r="E3514" s="15">
        <v>101573736</v>
      </c>
      <c r="F3514" s="15">
        <v>2568</v>
      </c>
      <c r="G3514" s="8" t="s">
        <v>12324</v>
      </c>
      <c r="H3514" s="24" t="s">
        <v>1259</v>
      </c>
      <c r="I3514" s="25">
        <v>27096</v>
      </c>
      <c r="J3514" s="8" t="s">
        <v>1261</v>
      </c>
      <c r="K3514" s="8" t="s">
        <v>10040</v>
      </c>
      <c r="L3514" s="15">
        <v>-8.2321500000000006E-2</v>
      </c>
      <c r="M3514" s="15">
        <v>0.72791899999999998</v>
      </c>
      <c r="N3514" s="15">
        <v>0.91936426416168515</v>
      </c>
    </row>
    <row r="3515" spans="1:14" x14ac:dyDescent="0.2">
      <c r="A3515" s="2" t="s">
        <v>10068</v>
      </c>
      <c r="B3515" s="15">
        <v>1366</v>
      </c>
      <c r="C3515" s="15">
        <v>8</v>
      </c>
      <c r="D3515" s="15">
        <v>141527882</v>
      </c>
      <c r="E3515" s="15">
        <v>142611889</v>
      </c>
      <c r="F3515" s="15">
        <v>2816</v>
      </c>
      <c r="G3515" s="8" t="s">
        <v>12324</v>
      </c>
      <c r="H3515" s="24" t="s">
        <v>6565</v>
      </c>
      <c r="I3515" s="25" t="s">
        <v>6475</v>
      </c>
      <c r="J3515" s="8" t="s">
        <v>6566</v>
      </c>
      <c r="K3515" s="8" t="s">
        <v>10054</v>
      </c>
      <c r="L3515" s="15">
        <v>-5.3756699999999998E-2</v>
      </c>
      <c r="M3515" s="15">
        <v>0.72823599999999999</v>
      </c>
      <c r="N3515" s="15">
        <v>0.91936426416168515</v>
      </c>
    </row>
    <row r="3516" spans="1:14" x14ac:dyDescent="0.2">
      <c r="A3516" s="2" t="s">
        <v>10066</v>
      </c>
      <c r="B3516" s="15">
        <v>606</v>
      </c>
      <c r="C3516" s="15">
        <v>4</v>
      </c>
      <c r="D3516" s="15">
        <v>8309827</v>
      </c>
      <c r="E3516" s="15">
        <v>8882616</v>
      </c>
      <c r="F3516" s="15">
        <v>2126</v>
      </c>
      <c r="G3516" s="8" t="s">
        <v>12324</v>
      </c>
      <c r="H3516" s="24" t="s">
        <v>3164</v>
      </c>
      <c r="I3516" s="25" t="s">
        <v>3165</v>
      </c>
      <c r="J3516" s="8" t="s">
        <v>3166</v>
      </c>
      <c r="K3516" s="8" t="s">
        <v>10042</v>
      </c>
      <c r="L3516" s="15">
        <v>-5.15795E-2</v>
      </c>
      <c r="M3516" s="15">
        <v>0.728464</v>
      </c>
      <c r="N3516" s="15">
        <v>0.9193903927148549</v>
      </c>
    </row>
    <row r="3517" spans="1:14" x14ac:dyDescent="0.2">
      <c r="A3517" s="2" t="s">
        <v>10068</v>
      </c>
      <c r="B3517" s="15">
        <v>1645</v>
      </c>
      <c r="C3517" s="15">
        <v>11</v>
      </c>
      <c r="D3517" s="15">
        <v>32830423</v>
      </c>
      <c r="E3517" s="15">
        <v>33905327</v>
      </c>
      <c r="F3517" s="15">
        <v>2632</v>
      </c>
      <c r="G3517" s="8" t="s">
        <v>12324</v>
      </c>
      <c r="H3517" s="24" t="s">
        <v>494</v>
      </c>
      <c r="I3517" s="25">
        <v>25920</v>
      </c>
      <c r="J3517" s="8" t="s">
        <v>496</v>
      </c>
      <c r="K3517" s="8" t="s">
        <v>10040</v>
      </c>
      <c r="L3517" s="15">
        <v>-0.11601</v>
      </c>
      <c r="M3517" s="15">
        <v>0.72980900000000004</v>
      </c>
      <c r="N3517" s="15">
        <v>0.92028267055144974</v>
      </c>
    </row>
    <row r="3518" spans="1:14" x14ac:dyDescent="0.2">
      <c r="A3518" s="2" t="s">
        <v>10068</v>
      </c>
      <c r="B3518" s="15">
        <v>76</v>
      </c>
      <c r="C3518" s="15">
        <v>1</v>
      </c>
      <c r="D3518" s="15">
        <v>87667573</v>
      </c>
      <c r="E3518" s="15">
        <v>88656689</v>
      </c>
      <c r="F3518" s="15">
        <v>2207</v>
      </c>
      <c r="G3518" s="8" t="s">
        <v>12324</v>
      </c>
      <c r="H3518" s="24" t="s">
        <v>599</v>
      </c>
      <c r="I3518" s="25">
        <v>26562</v>
      </c>
      <c r="J3518" s="8" t="s">
        <v>601</v>
      </c>
      <c r="K3518" s="8" t="s">
        <v>10040</v>
      </c>
      <c r="L3518" s="15">
        <v>4.9430000000000002E-2</v>
      </c>
      <c r="M3518" s="15">
        <v>0.72993300000000005</v>
      </c>
      <c r="N3518" s="15">
        <v>0.92028267055144974</v>
      </c>
    </row>
    <row r="3519" spans="1:14" x14ac:dyDescent="0.2">
      <c r="A3519" s="2" t="s">
        <v>10069</v>
      </c>
      <c r="B3519" s="15">
        <v>27</v>
      </c>
      <c r="C3519" s="15">
        <v>1</v>
      </c>
      <c r="D3519" s="15">
        <v>25885139</v>
      </c>
      <c r="E3519" s="15">
        <v>27992665</v>
      </c>
      <c r="F3519" s="15">
        <v>2257</v>
      </c>
      <c r="G3519" s="8" t="s">
        <v>12324</v>
      </c>
      <c r="H3519" s="24" t="s">
        <v>662</v>
      </c>
      <c r="I3519" s="25" t="s">
        <v>663</v>
      </c>
      <c r="J3519" s="8" t="s">
        <v>664</v>
      </c>
      <c r="K3519" s="8" t="s">
        <v>10040</v>
      </c>
      <c r="L3519" s="15">
        <v>-9.8548399999999994E-2</v>
      </c>
      <c r="M3519" s="15">
        <v>0.729877</v>
      </c>
      <c r="N3519" s="15">
        <v>0.92028267055144974</v>
      </c>
    </row>
    <row r="3520" spans="1:14" x14ac:dyDescent="0.2">
      <c r="A3520" s="2" t="s">
        <v>10069</v>
      </c>
      <c r="B3520" s="15">
        <v>35</v>
      </c>
      <c r="C3520" s="15">
        <v>1</v>
      </c>
      <c r="D3520" s="15">
        <v>36855140</v>
      </c>
      <c r="E3520" s="15">
        <v>38474036</v>
      </c>
      <c r="F3520" s="15">
        <v>2624</v>
      </c>
      <c r="G3520" s="8" t="s">
        <v>12324</v>
      </c>
      <c r="H3520" s="24" t="s">
        <v>662</v>
      </c>
      <c r="I3520" s="25" t="s">
        <v>663</v>
      </c>
      <c r="J3520" s="8" t="s">
        <v>664</v>
      </c>
      <c r="K3520" s="8" t="s">
        <v>10040</v>
      </c>
      <c r="L3520" s="15">
        <v>0.113368</v>
      </c>
      <c r="M3520" s="15">
        <v>0.73000100000000001</v>
      </c>
      <c r="N3520" s="15">
        <v>0.92028267055144974</v>
      </c>
    </row>
    <row r="3521" spans="1:14" x14ac:dyDescent="0.2">
      <c r="A3521" s="2" t="s">
        <v>10068</v>
      </c>
      <c r="B3521" s="15">
        <v>691</v>
      </c>
      <c r="C3521" s="15">
        <v>4</v>
      </c>
      <c r="D3521" s="15">
        <v>101132996</v>
      </c>
      <c r="E3521" s="15">
        <v>102544803</v>
      </c>
      <c r="F3521" s="15">
        <v>3821</v>
      </c>
      <c r="G3521" s="8" t="s">
        <v>12324</v>
      </c>
      <c r="H3521" s="24" t="s">
        <v>1259</v>
      </c>
      <c r="I3521" s="25">
        <v>27096</v>
      </c>
      <c r="J3521" s="8" t="s">
        <v>1261</v>
      </c>
      <c r="K3521" s="8" t="s">
        <v>10040</v>
      </c>
      <c r="L3521" s="15">
        <v>8.5487400000000005E-2</v>
      </c>
      <c r="M3521" s="15">
        <v>0.73030099999999998</v>
      </c>
      <c r="N3521" s="15">
        <v>0.92039924268258022</v>
      </c>
    </row>
    <row r="3522" spans="1:14" x14ac:dyDescent="0.2">
      <c r="A3522" s="2" t="s">
        <v>10068</v>
      </c>
      <c r="B3522" s="15">
        <v>2043</v>
      </c>
      <c r="C3522" s="15">
        <v>15</v>
      </c>
      <c r="D3522" s="15">
        <v>32177321</v>
      </c>
      <c r="E3522" s="15">
        <v>33484267</v>
      </c>
      <c r="F3522" s="15">
        <v>2760</v>
      </c>
      <c r="G3522" s="8" t="s">
        <v>12324</v>
      </c>
      <c r="H3522" s="24" t="s">
        <v>494</v>
      </c>
      <c r="I3522" s="25">
        <v>25920</v>
      </c>
      <c r="J3522" s="8" t="s">
        <v>496</v>
      </c>
      <c r="K3522" s="8" t="s">
        <v>10040</v>
      </c>
      <c r="L3522" s="15">
        <v>-5.5315900000000001E-2</v>
      </c>
      <c r="M3522" s="15">
        <v>0.73112600000000005</v>
      </c>
      <c r="N3522" s="15">
        <v>0.92045860544217684</v>
      </c>
    </row>
    <row r="3523" spans="1:14" x14ac:dyDescent="0.2">
      <c r="A3523" s="2" t="s">
        <v>10068</v>
      </c>
      <c r="B3523" s="15">
        <v>1388</v>
      </c>
      <c r="C3523" s="15">
        <v>9</v>
      </c>
      <c r="D3523" s="15">
        <v>13512853</v>
      </c>
      <c r="E3523" s="15">
        <v>14244747</v>
      </c>
      <c r="F3523" s="15">
        <v>2397</v>
      </c>
      <c r="G3523" s="8" t="s">
        <v>12324</v>
      </c>
      <c r="H3523" s="24" t="s">
        <v>1259</v>
      </c>
      <c r="I3523" s="25">
        <v>27096</v>
      </c>
      <c r="J3523" s="8" t="s">
        <v>1261</v>
      </c>
      <c r="K3523" s="8" t="s">
        <v>10040</v>
      </c>
      <c r="L3523" s="15">
        <v>-9.6526600000000004E-2</v>
      </c>
      <c r="M3523" s="15">
        <v>0.73102800000000001</v>
      </c>
      <c r="N3523" s="15">
        <v>0.92045860544217684</v>
      </c>
    </row>
    <row r="3524" spans="1:14" x14ac:dyDescent="0.2">
      <c r="A3524" s="2" t="s">
        <v>10068</v>
      </c>
      <c r="B3524" s="15">
        <v>438</v>
      </c>
      <c r="C3524" s="15">
        <v>3</v>
      </c>
      <c r="D3524" s="15">
        <v>16084006</v>
      </c>
      <c r="E3524" s="15">
        <v>17182494</v>
      </c>
      <c r="F3524" s="15">
        <v>3352</v>
      </c>
      <c r="G3524" s="8" t="s">
        <v>12324</v>
      </c>
      <c r="H3524" s="24" t="s">
        <v>1259</v>
      </c>
      <c r="I3524" s="25">
        <v>27096</v>
      </c>
      <c r="J3524" s="8" t="s">
        <v>1261</v>
      </c>
      <c r="K3524" s="8" t="s">
        <v>10040</v>
      </c>
      <c r="L3524" s="15">
        <v>-0.117534</v>
      </c>
      <c r="M3524" s="15">
        <v>0.73181700000000005</v>
      </c>
      <c r="N3524" s="15">
        <v>0.92045860544217684</v>
      </c>
    </row>
    <row r="3525" spans="1:14" x14ac:dyDescent="0.2">
      <c r="A3525" s="2" t="s">
        <v>10066</v>
      </c>
      <c r="B3525" s="15">
        <v>1567</v>
      </c>
      <c r="C3525" s="15">
        <v>10</v>
      </c>
      <c r="D3525" s="15">
        <v>87287936</v>
      </c>
      <c r="E3525" s="15">
        <v>88443652</v>
      </c>
      <c r="F3525" s="15">
        <v>3138</v>
      </c>
      <c r="G3525" s="8" t="s">
        <v>12324</v>
      </c>
      <c r="H3525" s="24" t="s">
        <v>3164</v>
      </c>
      <c r="I3525" s="25" t="s">
        <v>3165</v>
      </c>
      <c r="J3525" s="8" t="s">
        <v>3166</v>
      </c>
      <c r="K3525" s="8" t="s">
        <v>10042</v>
      </c>
      <c r="L3525" s="15">
        <v>9.6304500000000001E-2</v>
      </c>
      <c r="M3525" s="15">
        <v>0.73072800000000004</v>
      </c>
      <c r="N3525" s="15">
        <v>0.92045860544217684</v>
      </c>
    </row>
    <row r="3526" spans="1:14" x14ac:dyDescent="0.2">
      <c r="A3526" s="2" t="s">
        <v>10066</v>
      </c>
      <c r="B3526" s="15">
        <v>1994</v>
      </c>
      <c r="C3526" s="15">
        <v>14</v>
      </c>
      <c r="D3526" s="15">
        <v>62717986</v>
      </c>
      <c r="E3526" s="15">
        <v>64033237</v>
      </c>
      <c r="F3526" s="15">
        <v>3742</v>
      </c>
      <c r="G3526" s="8" t="s">
        <v>12324</v>
      </c>
      <c r="H3526" s="24" t="s">
        <v>6008</v>
      </c>
      <c r="I3526" s="25" t="s">
        <v>6009</v>
      </c>
      <c r="J3526" s="8" t="s">
        <v>6010</v>
      </c>
      <c r="K3526" s="8" t="s">
        <v>10051</v>
      </c>
      <c r="L3526" s="15">
        <v>-6.9752499999999995E-2</v>
      </c>
      <c r="M3526" s="15">
        <v>0.73180500000000004</v>
      </c>
      <c r="N3526" s="15">
        <v>0.92045860544217684</v>
      </c>
    </row>
    <row r="3527" spans="1:14" x14ac:dyDescent="0.2">
      <c r="A3527" s="2" t="s">
        <v>10066</v>
      </c>
      <c r="B3527" s="15">
        <v>1875</v>
      </c>
      <c r="C3527" s="15">
        <v>13</v>
      </c>
      <c r="D3527" s="15">
        <v>31433219</v>
      </c>
      <c r="E3527" s="15">
        <v>32986686</v>
      </c>
      <c r="F3527" s="15">
        <v>4075</v>
      </c>
      <c r="G3527" s="8" t="s">
        <v>12324</v>
      </c>
      <c r="H3527" s="24" t="s">
        <v>6008</v>
      </c>
      <c r="I3527" s="25" t="s">
        <v>6009</v>
      </c>
      <c r="J3527" s="8" t="s">
        <v>6010</v>
      </c>
      <c r="K3527" s="8" t="s">
        <v>10051</v>
      </c>
      <c r="L3527" s="15">
        <v>-7.8679700000000005E-2</v>
      </c>
      <c r="M3527" s="15">
        <v>0.73221599999999998</v>
      </c>
      <c r="N3527" s="15">
        <v>0.92045860544217684</v>
      </c>
    </row>
    <row r="3528" spans="1:14" x14ac:dyDescent="0.2">
      <c r="A3528" s="2" t="s">
        <v>10068</v>
      </c>
      <c r="B3528" s="15">
        <v>272</v>
      </c>
      <c r="C3528" s="15">
        <v>2</v>
      </c>
      <c r="D3528" s="15">
        <v>65938003</v>
      </c>
      <c r="E3528" s="15">
        <v>67224027</v>
      </c>
      <c r="F3528" s="15">
        <v>3312</v>
      </c>
      <c r="G3528" s="8" t="s">
        <v>12324</v>
      </c>
      <c r="H3528" s="24" t="s">
        <v>6565</v>
      </c>
      <c r="I3528" s="25" t="s">
        <v>6475</v>
      </c>
      <c r="J3528" s="8" t="s">
        <v>6566</v>
      </c>
      <c r="K3528" s="8" t="s">
        <v>10054</v>
      </c>
      <c r="L3528" s="15">
        <v>0.12171999999999999</v>
      </c>
      <c r="M3528" s="15">
        <v>0.73128599999999999</v>
      </c>
      <c r="N3528" s="15">
        <v>0.92045860544217684</v>
      </c>
    </row>
    <row r="3529" spans="1:14" x14ac:dyDescent="0.2">
      <c r="A3529" s="2" t="s">
        <v>10068</v>
      </c>
      <c r="B3529" s="15">
        <v>1085</v>
      </c>
      <c r="C3529" s="15">
        <v>6</v>
      </c>
      <c r="D3529" s="15">
        <v>161371015</v>
      </c>
      <c r="E3529" s="15">
        <v>162254229</v>
      </c>
      <c r="F3529" s="15">
        <v>2715</v>
      </c>
      <c r="G3529" s="8" t="s">
        <v>12324</v>
      </c>
      <c r="H3529" s="24" t="s">
        <v>6565</v>
      </c>
      <c r="I3529" s="25" t="s">
        <v>6475</v>
      </c>
      <c r="J3529" s="8" t="s">
        <v>6566</v>
      </c>
      <c r="K3529" s="8" t="s">
        <v>10054</v>
      </c>
      <c r="L3529" s="15">
        <v>6.8771399999999996E-2</v>
      </c>
      <c r="M3529" s="15">
        <v>0.73205100000000001</v>
      </c>
      <c r="N3529" s="15">
        <v>0.92045860544217684</v>
      </c>
    </row>
    <row r="3530" spans="1:14" x14ac:dyDescent="0.2">
      <c r="A3530" s="2" t="s">
        <v>10068</v>
      </c>
      <c r="B3530" s="15">
        <v>883</v>
      </c>
      <c r="C3530" s="15">
        <v>5</v>
      </c>
      <c r="D3530" s="15">
        <v>126054698</v>
      </c>
      <c r="E3530" s="15">
        <v>126992836</v>
      </c>
      <c r="F3530" s="15">
        <v>2518</v>
      </c>
      <c r="G3530" s="8" t="s">
        <v>12324</v>
      </c>
      <c r="H3530" s="24" t="s">
        <v>6565</v>
      </c>
      <c r="I3530" s="25" t="s">
        <v>6475</v>
      </c>
      <c r="J3530" s="8" t="s">
        <v>6566</v>
      </c>
      <c r="K3530" s="8" t="s">
        <v>10054</v>
      </c>
      <c r="L3530" s="15">
        <v>-9.22206E-2</v>
      </c>
      <c r="M3530" s="15">
        <v>0.73206599999999999</v>
      </c>
      <c r="N3530" s="15">
        <v>0.92045860544217684</v>
      </c>
    </row>
    <row r="3531" spans="1:14" x14ac:dyDescent="0.2">
      <c r="A3531" s="2" t="s">
        <v>10068</v>
      </c>
      <c r="B3531" s="15">
        <v>2466</v>
      </c>
      <c r="C3531" s="15">
        <v>22</v>
      </c>
      <c r="D3531" s="15">
        <v>20969185</v>
      </c>
      <c r="E3531" s="15">
        <v>22404422</v>
      </c>
      <c r="F3531" s="15">
        <v>2630</v>
      </c>
      <c r="G3531" s="8" t="s">
        <v>12324</v>
      </c>
      <c r="H3531" s="24" t="s">
        <v>494</v>
      </c>
      <c r="I3531" s="25">
        <v>25920</v>
      </c>
      <c r="J3531" s="8" t="s">
        <v>496</v>
      </c>
      <c r="K3531" s="8" t="s">
        <v>10040</v>
      </c>
      <c r="L3531" s="15">
        <v>7.7281199999999994E-2</v>
      </c>
      <c r="M3531" s="15">
        <v>0.73311499999999996</v>
      </c>
      <c r="N3531" s="15">
        <v>0.92073839609286512</v>
      </c>
    </row>
    <row r="3532" spans="1:14" x14ac:dyDescent="0.2">
      <c r="A3532" s="2" t="s">
        <v>10068</v>
      </c>
      <c r="B3532" s="15">
        <v>1849</v>
      </c>
      <c r="C3532" s="15">
        <v>12</v>
      </c>
      <c r="D3532" s="15">
        <v>120567741</v>
      </c>
      <c r="E3532" s="15">
        <v>121817509</v>
      </c>
      <c r="F3532" s="15">
        <v>3403</v>
      </c>
      <c r="G3532" s="8" t="s">
        <v>12324</v>
      </c>
      <c r="H3532" s="24" t="s">
        <v>599</v>
      </c>
      <c r="I3532" s="25">
        <v>26562</v>
      </c>
      <c r="J3532" s="8" t="s">
        <v>601</v>
      </c>
      <c r="K3532" s="8" t="s">
        <v>10040</v>
      </c>
      <c r="L3532" s="15">
        <v>9.8374500000000004E-2</v>
      </c>
      <c r="M3532" s="15">
        <v>0.73271799999999998</v>
      </c>
      <c r="N3532" s="15">
        <v>0.92073839609286512</v>
      </c>
    </row>
    <row r="3533" spans="1:14" x14ac:dyDescent="0.2">
      <c r="A3533" s="2" t="s">
        <v>10066</v>
      </c>
      <c r="B3533" s="15">
        <v>1993</v>
      </c>
      <c r="C3533" s="15">
        <v>14</v>
      </c>
      <c r="D3533" s="15">
        <v>61652817</v>
      </c>
      <c r="E3533" s="15">
        <v>62717985</v>
      </c>
      <c r="F3533" s="15">
        <v>2776</v>
      </c>
      <c r="G3533" s="8" t="s">
        <v>12324</v>
      </c>
      <c r="H3533" s="24" t="s">
        <v>3164</v>
      </c>
      <c r="I3533" s="25" t="s">
        <v>3165</v>
      </c>
      <c r="J3533" s="8" t="s">
        <v>3166</v>
      </c>
      <c r="K3533" s="8" t="s">
        <v>10042</v>
      </c>
      <c r="L3533" s="15">
        <v>-9.1908400000000001E-2</v>
      </c>
      <c r="M3533" s="15">
        <v>0.73326899999999995</v>
      </c>
      <c r="N3533" s="15">
        <v>0.92073839609286512</v>
      </c>
    </row>
    <row r="3534" spans="1:14" x14ac:dyDescent="0.2">
      <c r="A3534" s="2" t="s">
        <v>10068</v>
      </c>
      <c r="B3534" s="15">
        <v>781</v>
      </c>
      <c r="C3534" s="15">
        <v>5</v>
      </c>
      <c r="D3534" s="15">
        <v>4636543</v>
      </c>
      <c r="E3534" s="15">
        <v>5828694</v>
      </c>
      <c r="F3534" s="15">
        <v>3827</v>
      </c>
      <c r="G3534" s="8" t="s">
        <v>12324</v>
      </c>
      <c r="H3534" s="24" t="s">
        <v>6565</v>
      </c>
      <c r="I3534" s="25" t="s">
        <v>6475</v>
      </c>
      <c r="J3534" s="8" t="s">
        <v>6566</v>
      </c>
      <c r="K3534" s="8" t="s">
        <v>10054</v>
      </c>
      <c r="L3534" s="15">
        <v>9.9557900000000005E-2</v>
      </c>
      <c r="M3534" s="15">
        <v>0.73304199999999997</v>
      </c>
      <c r="N3534" s="15">
        <v>0.92073839609286512</v>
      </c>
    </row>
    <row r="3535" spans="1:14" x14ac:dyDescent="0.2">
      <c r="A3535" s="2" t="s">
        <v>10068</v>
      </c>
      <c r="B3535" s="15">
        <v>1453</v>
      </c>
      <c r="C3535" s="15">
        <v>9</v>
      </c>
      <c r="D3535" s="15">
        <v>109150718</v>
      </c>
      <c r="E3535" s="15">
        <v>110630150</v>
      </c>
      <c r="F3535" s="15">
        <v>3963</v>
      </c>
      <c r="G3535" s="8" t="s">
        <v>12324</v>
      </c>
      <c r="H3535" s="24" t="s">
        <v>599</v>
      </c>
      <c r="I3535" s="25">
        <v>26562</v>
      </c>
      <c r="J3535" s="8" t="s">
        <v>601</v>
      </c>
      <c r="K3535" s="8" t="s">
        <v>10040</v>
      </c>
      <c r="L3535" s="15">
        <v>-7.1983000000000005E-2</v>
      </c>
      <c r="M3535" s="15">
        <v>0.73377800000000004</v>
      </c>
      <c r="N3535" s="15">
        <v>0.92108574844368984</v>
      </c>
    </row>
    <row r="3536" spans="1:14" x14ac:dyDescent="0.2">
      <c r="A3536" s="2" t="s">
        <v>10068</v>
      </c>
      <c r="B3536" s="15">
        <v>917</v>
      </c>
      <c r="C3536" s="15">
        <v>5</v>
      </c>
      <c r="D3536" s="15">
        <v>169506967</v>
      </c>
      <c r="E3536" s="15">
        <v>170898340</v>
      </c>
      <c r="F3536" s="15">
        <v>3576</v>
      </c>
      <c r="G3536" s="8" t="s">
        <v>12324</v>
      </c>
      <c r="H3536" s="24" t="s">
        <v>1259</v>
      </c>
      <c r="I3536" s="25">
        <v>27096</v>
      </c>
      <c r="J3536" s="8" t="s">
        <v>1261</v>
      </c>
      <c r="K3536" s="8" t="s">
        <v>10040</v>
      </c>
      <c r="L3536" s="15">
        <v>9.1177099999999997E-2</v>
      </c>
      <c r="M3536" s="15">
        <v>0.73396099999999997</v>
      </c>
      <c r="N3536" s="15">
        <v>0.92108574844368984</v>
      </c>
    </row>
    <row r="3537" spans="1:14" x14ac:dyDescent="0.2">
      <c r="A3537" s="2" t="s">
        <v>10068</v>
      </c>
      <c r="B3537" s="15">
        <v>1224</v>
      </c>
      <c r="C3537" s="15">
        <v>7</v>
      </c>
      <c r="D3537" s="15">
        <v>150897819</v>
      </c>
      <c r="E3537" s="15">
        <v>152253294</v>
      </c>
      <c r="F3537" s="15">
        <v>3162</v>
      </c>
      <c r="G3537" s="8" t="s">
        <v>12324</v>
      </c>
      <c r="H3537" s="24" t="s">
        <v>599</v>
      </c>
      <c r="I3537" s="25">
        <v>26562</v>
      </c>
      <c r="J3537" s="8" t="s">
        <v>601</v>
      </c>
      <c r="K3537" s="8" t="s">
        <v>10040</v>
      </c>
      <c r="L3537" s="15">
        <v>6.1925099999999997E-2</v>
      </c>
      <c r="M3537" s="15">
        <v>0.73451299999999997</v>
      </c>
      <c r="N3537" s="15">
        <v>0.9215177241867043</v>
      </c>
    </row>
    <row r="3538" spans="1:14" x14ac:dyDescent="0.2">
      <c r="A3538" s="2" t="s">
        <v>10068</v>
      </c>
      <c r="B3538" s="15">
        <v>1755</v>
      </c>
      <c r="C3538" s="15">
        <v>12</v>
      </c>
      <c r="D3538" s="15">
        <v>14656850</v>
      </c>
      <c r="E3538" s="15">
        <v>16136742</v>
      </c>
      <c r="F3538" s="15">
        <v>2812</v>
      </c>
      <c r="G3538" s="8" t="s">
        <v>12324</v>
      </c>
      <c r="H3538" s="24" t="s">
        <v>494</v>
      </c>
      <c r="I3538" s="25">
        <v>25920</v>
      </c>
      <c r="J3538" s="8" t="s">
        <v>496</v>
      </c>
      <c r="K3538" s="8" t="s">
        <v>10040</v>
      </c>
      <c r="L3538" s="15">
        <v>7.5554300000000005E-2</v>
      </c>
      <c r="M3538" s="15">
        <v>0.735788</v>
      </c>
      <c r="N3538" s="15">
        <v>0.92233229184307075</v>
      </c>
    </row>
    <row r="3539" spans="1:14" x14ac:dyDescent="0.2">
      <c r="A3539" s="2" t="s">
        <v>10068</v>
      </c>
      <c r="B3539" s="15">
        <v>1490</v>
      </c>
      <c r="C3539" s="15">
        <v>10</v>
      </c>
      <c r="D3539" s="15">
        <v>3880323</v>
      </c>
      <c r="E3539" s="15">
        <v>4813182</v>
      </c>
      <c r="F3539" s="15">
        <v>2821</v>
      </c>
      <c r="G3539" s="8" t="s">
        <v>12324</v>
      </c>
      <c r="H3539" s="24" t="s">
        <v>599</v>
      </c>
      <c r="I3539" s="25">
        <v>26562</v>
      </c>
      <c r="J3539" s="8" t="s">
        <v>601</v>
      </c>
      <c r="K3539" s="8" t="s">
        <v>10040</v>
      </c>
      <c r="L3539" s="15">
        <v>-9.6472199999999994E-2</v>
      </c>
      <c r="M3539" s="15">
        <v>0.73583900000000002</v>
      </c>
      <c r="N3539" s="15">
        <v>0.92233229184307075</v>
      </c>
    </row>
    <row r="3540" spans="1:14" x14ac:dyDescent="0.2">
      <c r="A3540" s="2" t="s">
        <v>10068</v>
      </c>
      <c r="B3540" s="15">
        <v>2376</v>
      </c>
      <c r="C3540" s="15">
        <v>20</v>
      </c>
      <c r="D3540" s="15">
        <v>6128359</v>
      </c>
      <c r="E3540" s="15">
        <v>7231796</v>
      </c>
      <c r="F3540" s="15">
        <v>3062</v>
      </c>
      <c r="G3540" s="8" t="s">
        <v>12324</v>
      </c>
      <c r="H3540" s="24" t="s">
        <v>1259</v>
      </c>
      <c r="I3540" s="25">
        <v>27096</v>
      </c>
      <c r="J3540" s="8" t="s">
        <v>1261</v>
      </c>
      <c r="K3540" s="8" t="s">
        <v>10040</v>
      </c>
      <c r="L3540" s="15">
        <v>6.5015299999999998E-2</v>
      </c>
      <c r="M3540" s="15">
        <v>0.73660700000000001</v>
      </c>
      <c r="N3540" s="15">
        <v>0.92233229184307075</v>
      </c>
    </row>
    <row r="3541" spans="1:14" x14ac:dyDescent="0.2">
      <c r="A3541" s="2" t="s">
        <v>10068</v>
      </c>
      <c r="B3541" s="15">
        <v>1790</v>
      </c>
      <c r="C3541" s="15">
        <v>12</v>
      </c>
      <c r="D3541" s="15">
        <v>51769420</v>
      </c>
      <c r="E3541" s="15">
        <v>53039987</v>
      </c>
      <c r="F3541" s="15">
        <v>3571</v>
      </c>
      <c r="G3541" s="8" t="s">
        <v>12324</v>
      </c>
      <c r="H3541" s="24" t="s">
        <v>1259</v>
      </c>
      <c r="I3541" s="25">
        <v>27096</v>
      </c>
      <c r="J3541" s="8" t="s">
        <v>1261</v>
      </c>
      <c r="K3541" s="8" t="s">
        <v>10040</v>
      </c>
      <c r="L3541" s="15">
        <v>6.3181399999999999E-2</v>
      </c>
      <c r="M3541" s="15">
        <v>0.73680000000000001</v>
      </c>
      <c r="N3541" s="15">
        <v>0.92233229184307075</v>
      </c>
    </row>
    <row r="3542" spans="1:14" x14ac:dyDescent="0.2">
      <c r="A3542" s="2" t="s">
        <v>10066</v>
      </c>
      <c r="B3542" s="15">
        <v>322</v>
      </c>
      <c r="C3542" s="15">
        <v>2</v>
      </c>
      <c r="D3542" s="15">
        <v>130485399</v>
      </c>
      <c r="E3542" s="15">
        <v>131760638</v>
      </c>
      <c r="F3542" s="15">
        <v>1966</v>
      </c>
      <c r="G3542" s="8" t="s">
        <v>12324</v>
      </c>
      <c r="H3542" s="24" t="s">
        <v>3164</v>
      </c>
      <c r="I3542" s="25" t="s">
        <v>3165</v>
      </c>
      <c r="J3542" s="8" t="s">
        <v>3166</v>
      </c>
      <c r="K3542" s="8" t="s">
        <v>10042</v>
      </c>
      <c r="L3542" s="15">
        <v>-7.7188499999999993E-2</v>
      </c>
      <c r="M3542" s="15">
        <v>0.73540799999999995</v>
      </c>
      <c r="N3542" s="15">
        <v>0.92233229184307075</v>
      </c>
    </row>
    <row r="3543" spans="1:14" x14ac:dyDescent="0.2">
      <c r="A3543" s="2" t="s">
        <v>10068</v>
      </c>
      <c r="B3543" s="15">
        <v>2336</v>
      </c>
      <c r="C3543" s="15">
        <v>19</v>
      </c>
      <c r="D3543" s="15">
        <v>29389091</v>
      </c>
      <c r="E3543" s="15">
        <v>30375792</v>
      </c>
      <c r="F3543" s="15">
        <v>3159</v>
      </c>
      <c r="G3543" s="8" t="s">
        <v>12324</v>
      </c>
      <c r="H3543" s="24" t="s">
        <v>6565</v>
      </c>
      <c r="I3543" s="25" t="s">
        <v>6475</v>
      </c>
      <c r="J3543" s="8" t="s">
        <v>6566</v>
      </c>
      <c r="K3543" s="8" t="s">
        <v>10054</v>
      </c>
      <c r="L3543" s="15">
        <v>7.6749300000000006E-2</v>
      </c>
      <c r="M3543" s="15">
        <v>0.736321</v>
      </c>
      <c r="N3543" s="15">
        <v>0.92233229184307075</v>
      </c>
    </row>
    <row r="3544" spans="1:14" x14ac:dyDescent="0.2">
      <c r="A3544" s="2" t="s">
        <v>10068</v>
      </c>
      <c r="B3544" s="15">
        <v>758</v>
      </c>
      <c r="C3544" s="15">
        <v>4</v>
      </c>
      <c r="D3544" s="15">
        <v>175959698</v>
      </c>
      <c r="E3544" s="15">
        <v>177129678</v>
      </c>
      <c r="F3544" s="15">
        <v>3054</v>
      </c>
      <c r="G3544" s="8" t="s">
        <v>12324</v>
      </c>
      <c r="H3544" s="24" t="s">
        <v>6565</v>
      </c>
      <c r="I3544" s="25" t="s">
        <v>6475</v>
      </c>
      <c r="J3544" s="8" t="s">
        <v>6566</v>
      </c>
      <c r="K3544" s="8" t="s">
        <v>10054</v>
      </c>
      <c r="L3544" s="15">
        <v>-0.103559</v>
      </c>
      <c r="M3544" s="15">
        <v>0.73678500000000002</v>
      </c>
      <c r="N3544" s="15">
        <v>0.92233229184307075</v>
      </c>
    </row>
    <row r="3545" spans="1:14" x14ac:dyDescent="0.2">
      <c r="A3545" s="2" t="s">
        <v>10068</v>
      </c>
      <c r="B3545" s="15">
        <v>1601</v>
      </c>
      <c r="C3545" s="15">
        <v>10</v>
      </c>
      <c r="D3545" s="15">
        <v>127997709</v>
      </c>
      <c r="E3545" s="15">
        <v>129134738</v>
      </c>
      <c r="F3545" s="15">
        <v>2774</v>
      </c>
      <c r="G3545" s="8" t="s">
        <v>12324</v>
      </c>
      <c r="H3545" s="24" t="s">
        <v>6565</v>
      </c>
      <c r="I3545" s="25" t="s">
        <v>6475</v>
      </c>
      <c r="J3545" s="8" t="s">
        <v>6566</v>
      </c>
      <c r="K3545" s="8" t="s">
        <v>10054</v>
      </c>
      <c r="L3545" s="15">
        <v>-9.6079899999999996E-2</v>
      </c>
      <c r="M3545" s="15">
        <v>0.73682599999999998</v>
      </c>
      <c r="N3545" s="15">
        <v>0.92233229184307075</v>
      </c>
    </row>
    <row r="3546" spans="1:14" x14ac:dyDescent="0.2">
      <c r="A3546" s="2" t="s">
        <v>10068</v>
      </c>
      <c r="B3546" s="15">
        <v>2432</v>
      </c>
      <c r="C3546" s="15">
        <v>21</v>
      </c>
      <c r="D3546" s="15">
        <v>15840034</v>
      </c>
      <c r="E3546" s="15">
        <v>16873443</v>
      </c>
      <c r="F3546" s="15">
        <v>2649</v>
      </c>
      <c r="G3546" s="8" t="s">
        <v>12324</v>
      </c>
      <c r="H3546" s="24" t="s">
        <v>494</v>
      </c>
      <c r="I3546" s="25">
        <v>25920</v>
      </c>
      <c r="J3546" s="8" t="s">
        <v>496</v>
      </c>
      <c r="K3546" s="8" t="s">
        <v>10040</v>
      </c>
      <c r="L3546" s="15">
        <v>-7.1987899999999994E-2</v>
      </c>
      <c r="M3546" s="15">
        <v>0.73775800000000002</v>
      </c>
      <c r="N3546" s="15">
        <v>0.92240004507042239</v>
      </c>
    </row>
    <row r="3547" spans="1:14" x14ac:dyDescent="0.2">
      <c r="A3547" s="2" t="s">
        <v>10068</v>
      </c>
      <c r="B3547" s="15">
        <v>1246</v>
      </c>
      <c r="C3547" s="15">
        <v>8</v>
      </c>
      <c r="D3547" s="15">
        <v>8064601</v>
      </c>
      <c r="E3547" s="15">
        <v>8589770</v>
      </c>
      <c r="F3547" s="15">
        <v>1889</v>
      </c>
      <c r="G3547" s="8" t="s">
        <v>12324</v>
      </c>
      <c r="H3547" s="24" t="s">
        <v>599</v>
      </c>
      <c r="I3547" s="25">
        <v>26562</v>
      </c>
      <c r="J3547" s="8" t="s">
        <v>601</v>
      </c>
      <c r="K3547" s="8" t="s">
        <v>10040</v>
      </c>
      <c r="L3547" s="15">
        <v>-5.6208899999999999E-2</v>
      </c>
      <c r="M3547" s="15">
        <v>0.73786200000000002</v>
      </c>
      <c r="N3547" s="15">
        <v>0.92240004507042239</v>
      </c>
    </row>
    <row r="3548" spans="1:14" x14ac:dyDescent="0.2">
      <c r="A3548" s="2" t="s">
        <v>10069</v>
      </c>
      <c r="B3548" s="15">
        <v>678</v>
      </c>
      <c r="C3548" s="15">
        <v>4</v>
      </c>
      <c r="D3548" s="15">
        <v>86931671</v>
      </c>
      <c r="E3548" s="15">
        <v>88502717</v>
      </c>
      <c r="F3548" s="15">
        <v>2418</v>
      </c>
      <c r="G3548" s="8" t="s">
        <v>12324</v>
      </c>
      <c r="H3548" s="24" t="s">
        <v>662</v>
      </c>
      <c r="I3548" s="25" t="s">
        <v>663</v>
      </c>
      <c r="J3548" s="8" t="s">
        <v>664</v>
      </c>
      <c r="K3548" s="8" t="s">
        <v>10040</v>
      </c>
      <c r="L3548" s="15">
        <v>0.113607</v>
      </c>
      <c r="M3548" s="15">
        <v>0.73833599999999999</v>
      </c>
      <c r="N3548" s="15">
        <v>0.92240004507042239</v>
      </c>
    </row>
    <row r="3549" spans="1:14" x14ac:dyDescent="0.2">
      <c r="A3549" s="2" t="s">
        <v>10068</v>
      </c>
      <c r="B3549" s="15">
        <v>933</v>
      </c>
      <c r="C3549" s="15">
        <v>6</v>
      </c>
      <c r="D3549" s="15">
        <v>7808324</v>
      </c>
      <c r="E3549" s="15">
        <v>9020710</v>
      </c>
      <c r="F3549" s="15">
        <v>3670</v>
      </c>
      <c r="G3549" s="8" t="s">
        <v>12324</v>
      </c>
      <c r="H3549" s="24" t="s">
        <v>1259</v>
      </c>
      <c r="I3549" s="25">
        <v>27096</v>
      </c>
      <c r="J3549" s="8" t="s">
        <v>1261</v>
      </c>
      <c r="K3549" s="8" t="s">
        <v>10040</v>
      </c>
      <c r="L3549" s="15">
        <v>-6.2987199999999993E-2</v>
      </c>
      <c r="M3549" s="15">
        <v>0.73833400000000005</v>
      </c>
      <c r="N3549" s="15">
        <v>0.92240004507042239</v>
      </c>
    </row>
    <row r="3550" spans="1:14" x14ac:dyDescent="0.2">
      <c r="A3550" s="2" t="s">
        <v>10066</v>
      </c>
      <c r="B3550" s="15">
        <v>1617</v>
      </c>
      <c r="C3550" s="15">
        <v>11</v>
      </c>
      <c r="D3550" s="15">
        <v>5533058</v>
      </c>
      <c r="E3550" s="15">
        <v>6180840</v>
      </c>
      <c r="F3550" s="15">
        <v>2894</v>
      </c>
      <c r="G3550" s="8" t="s">
        <v>12324</v>
      </c>
      <c r="H3550" s="24" t="s">
        <v>3164</v>
      </c>
      <c r="I3550" s="25" t="s">
        <v>3165</v>
      </c>
      <c r="J3550" s="8" t="s">
        <v>3166</v>
      </c>
      <c r="K3550" s="8" t="s">
        <v>10042</v>
      </c>
      <c r="L3550" s="15">
        <v>-0.14016000000000001</v>
      </c>
      <c r="M3550" s="15">
        <v>0.73812699999999998</v>
      </c>
      <c r="N3550" s="15">
        <v>0.92240004507042239</v>
      </c>
    </row>
    <row r="3551" spans="1:14" x14ac:dyDescent="0.2">
      <c r="A3551" s="2" t="s">
        <v>10068</v>
      </c>
      <c r="B3551" s="15">
        <v>1911</v>
      </c>
      <c r="C3551" s="15">
        <v>13</v>
      </c>
      <c r="D3551" s="15">
        <v>71010209</v>
      </c>
      <c r="E3551" s="15">
        <v>71976862</v>
      </c>
      <c r="F3551" s="15">
        <v>2934</v>
      </c>
      <c r="G3551" s="8" t="s">
        <v>12324</v>
      </c>
      <c r="H3551" s="24" t="s">
        <v>6565</v>
      </c>
      <c r="I3551" s="25" t="s">
        <v>6475</v>
      </c>
      <c r="J3551" s="8" t="s">
        <v>6566</v>
      </c>
      <c r="K3551" s="8" t="s">
        <v>10054</v>
      </c>
      <c r="L3551" s="15">
        <v>5.00045E-2</v>
      </c>
      <c r="M3551" s="15">
        <v>0.73719800000000002</v>
      </c>
      <c r="N3551" s="15">
        <v>0.92240004507042239</v>
      </c>
    </row>
    <row r="3552" spans="1:14" x14ac:dyDescent="0.2">
      <c r="A3552" s="2" t="s">
        <v>10068</v>
      </c>
      <c r="B3552" s="15">
        <v>1191</v>
      </c>
      <c r="C3552" s="15">
        <v>7</v>
      </c>
      <c r="D3552" s="15">
        <v>105312564</v>
      </c>
      <c r="E3552" s="15">
        <v>106399739</v>
      </c>
      <c r="F3552" s="15">
        <v>3039</v>
      </c>
      <c r="G3552" s="8" t="s">
        <v>12324</v>
      </c>
      <c r="H3552" s="24" t="s">
        <v>6565</v>
      </c>
      <c r="I3552" s="25" t="s">
        <v>6475</v>
      </c>
      <c r="J3552" s="8" t="s">
        <v>6566</v>
      </c>
      <c r="K3552" s="8" t="s">
        <v>10054</v>
      </c>
      <c r="L3552" s="15">
        <v>-6.2998999999999999E-2</v>
      </c>
      <c r="M3552" s="15">
        <v>0.73738499999999996</v>
      </c>
      <c r="N3552" s="15">
        <v>0.92240004507042239</v>
      </c>
    </row>
    <row r="3553" spans="1:14" x14ac:dyDescent="0.2">
      <c r="A3553" s="2" t="s">
        <v>10068</v>
      </c>
      <c r="B3553" s="15">
        <v>2358</v>
      </c>
      <c r="C3553" s="15">
        <v>19</v>
      </c>
      <c r="D3553" s="15">
        <v>51259179</v>
      </c>
      <c r="E3553" s="15">
        <v>51903804</v>
      </c>
      <c r="F3553" s="15">
        <v>2095</v>
      </c>
      <c r="G3553" s="8" t="s">
        <v>12324</v>
      </c>
      <c r="H3553" s="24" t="s">
        <v>1259</v>
      </c>
      <c r="I3553" s="25">
        <v>27096</v>
      </c>
      <c r="J3553" s="8" t="s">
        <v>1261</v>
      </c>
      <c r="K3553" s="8" t="s">
        <v>10040</v>
      </c>
      <c r="L3553" s="15">
        <v>4.7414600000000001E-2</v>
      </c>
      <c r="M3553" s="15">
        <v>0.73929199999999995</v>
      </c>
      <c r="N3553" s="15">
        <v>0.92307432995495498</v>
      </c>
    </row>
    <row r="3554" spans="1:14" x14ac:dyDescent="0.2">
      <c r="A3554" s="2" t="s">
        <v>10066</v>
      </c>
      <c r="B3554" s="15">
        <v>2262</v>
      </c>
      <c r="C3554" s="15">
        <v>18</v>
      </c>
      <c r="D3554" s="15">
        <v>28792735</v>
      </c>
      <c r="E3554" s="15">
        <v>30401128</v>
      </c>
      <c r="F3554" s="15">
        <v>3887</v>
      </c>
      <c r="G3554" s="8" t="s">
        <v>12324</v>
      </c>
      <c r="H3554" s="24" t="s">
        <v>3164</v>
      </c>
      <c r="I3554" s="25" t="s">
        <v>3165</v>
      </c>
      <c r="J3554" s="8" t="s">
        <v>3166</v>
      </c>
      <c r="K3554" s="8" t="s">
        <v>10042</v>
      </c>
      <c r="L3554" s="15">
        <v>7.3589600000000005E-2</v>
      </c>
      <c r="M3554" s="15">
        <v>0.73914599999999997</v>
      </c>
      <c r="N3554" s="15">
        <v>0.92307432995495498</v>
      </c>
    </row>
    <row r="3555" spans="1:14" x14ac:dyDescent="0.2">
      <c r="A3555" s="2" t="s">
        <v>10068</v>
      </c>
      <c r="B3555" s="15">
        <v>738</v>
      </c>
      <c r="C3555" s="15">
        <v>4</v>
      </c>
      <c r="D3555" s="15">
        <v>155044410</v>
      </c>
      <c r="E3555" s="15">
        <v>156520288</v>
      </c>
      <c r="F3555" s="15">
        <v>3599</v>
      </c>
      <c r="G3555" s="8" t="s">
        <v>12324</v>
      </c>
      <c r="H3555" s="24" t="s">
        <v>599</v>
      </c>
      <c r="I3555" s="25">
        <v>26562</v>
      </c>
      <c r="J3555" s="8" t="s">
        <v>601</v>
      </c>
      <c r="K3555" s="8" t="s">
        <v>10040</v>
      </c>
      <c r="L3555" s="15">
        <v>-8.5471800000000001E-2</v>
      </c>
      <c r="M3555" s="15">
        <v>0.74039100000000002</v>
      </c>
      <c r="N3555" s="15">
        <v>0.92309060691205391</v>
      </c>
    </row>
    <row r="3556" spans="1:14" x14ac:dyDescent="0.2">
      <c r="A3556" s="2" t="s">
        <v>10069</v>
      </c>
      <c r="B3556" s="15">
        <v>1138</v>
      </c>
      <c r="C3556" s="15">
        <v>7</v>
      </c>
      <c r="D3556" s="15">
        <v>41415926</v>
      </c>
      <c r="E3556" s="15">
        <v>42494806</v>
      </c>
      <c r="F3556" s="15">
        <v>1704</v>
      </c>
      <c r="G3556" s="8" t="s">
        <v>12324</v>
      </c>
      <c r="H3556" s="24" t="s">
        <v>662</v>
      </c>
      <c r="I3556" s="25" t="s">
        <v>663</v>
      </c>
      <c r="J3556" s="8" t="s">
        <v>664</v>
      </c>
      <c r="K3556" s="8" t="s">
        <v>10040</v>
      </c>
      <c r="L3556" s="15">
        <v>0.11865000000000001</v>
      </c>
      <c r="M3556" s="15">
        <v>0.73987499999999995</v>
      </c>
      <c r="N3556" s="15">
        <v>0.92309060691205391</v>
      </c>
    </row>
    <row r="3557" spans="1:14" x14ac:dyDescent="0.2">
      <c r="A3557" s="2" t="s">
        <v>10069</v>
      </c>
      <c r="B3557" s="15">
        <v>532</v>
      </c>
      <c r="C3557" s="15">
        <v>3</v>
      </c>
      <c r="D3557" s="15">
        <v>125992651</v>
      </c>
      <c r="E3557" s="15">
        <v>127495173</v>
      </c>
      <c r="F3557" s="15">
        <v>2532</v>
      </c>
      <c r="G3557" s="8" t="s">
        <v>12324</v>
      </c>
      <c r="H3557" s="24" t="s">
        <v>662</v>
      </c>
      <c r="I3557" s="25" t="s">
        <v>663</v>
      </c>
      <c r="J3557" s="8" t="s">
        <v>664</v>
      </c>
      <c r="K3557" s="8" t="s">
        <v>10040</v>
      </c>
      <c r="L3557" s="15">
        <v>7.1632199999999993E-2</v>
      </c>
      <c r="M3557" s="15">
        <v>0.74005200000000004</v>
      </c>
      <c r="N3557" s="15">
        <v>0.92309060691205391</v>
      </c>
    </row>
    <row r="3558" spans="1:14" x14ac:dyDescent="0.2">
      <c r="A3558" s="2" t="s">
        <v>10069</v>
      </c>
      <c r="B3558" s="15">
        <v>2066</v>
      </c>
      <c r="C3558" s="15">
        <v>15</v>
      </c>
      <c r="D3558" s="15">
        <v>61130596</v>
      </c>
      <c r="E3558" s="15">
        <v>62106138</v>
      </c>
      <c r="F3558" s="15">
        <v>1859</v>
      </c>
      <c r="G3558" s="8" t="s">
        <v>12324</v>
      </c>
      <c r="H3558" s="24" t="s">
        <v>662</v>
      </c>
      <c r="I3558" s="25" t="s">
        <v>663</v>
      </c>
      <c r="J3558" s="8" t="s">
        <v>664</v>
      </c>
      <c r="K3558" s="8" t="s">
        <v>10040</v>
      </c>
      <c r="L3558" s="15">
        <v>6.9175100000000003E-2</v>
      </c>
      <c r="M3558" s="15">
        <v>0.74076200000000003</v>
      </c>
      <c r="N3558" s="15">
        <v>0.92309060691205391</v>
      </c>
    </row>
    <row r="3559" spans="1:14" x14ac:dyDescent="0.2">
      <c r="A3559" s="2" t="s">
        <v>10068</v>
      </c>
      <c r="B3559" s="15">
        <v>1494</v>
      </c>
      <c r="C3559" s="15">
        <v>10</v>
      </c>
      <c r="D3559" s="15">
        <v>6897038</v>
      </c>
      <c r="E3559" s="15">
        <v>7659872</v>
      </c>
      <c r="F3559" s="15">
        <v>2747</v>
      </c>
      <c r="G3559" s="8" t="s">
        <v>12324</v>
      </c>
      <c r="H3559" s="24" t="s">
        <v>1259</v>
      </c>
      <c r="I3559" s="25">
        <v>27096</v>
      </c>
      <c r="J3559" s="8" t="s">
        <v>1261</v>
      </c>
      <c r="K3559" s="8" t="s">
        <v>10040</v>
      </c>
      <c r="L3559" s="15">
        <v>8.22301E-2</v>
      </c>
      <c r="M3559" s="15">
        <v>0.74066299999999996</v>
      </c>
      <c r="N3559" s="15">
        <v>0.92309060691205391</v>
      </c>
    </row>
    <row r="3560" spans="1:14" x14ac:dyDescent="0.2">
      <c r="A3560" s="2" t="s">
        <v>10066</v>
      </c>
      <c r="B3560" s="15">
        <v>809</v>
      </c>
      <c r="C3560" s="15">
        <v>5</v>
      </c>
      <c r="D3560" s="15">
        <v>37925488</v>
      </c>
      <c r="E3560" s="15">
        <v>39438985</v>
      </c>
      <c r="F3560" s="15">
        <v>3790</v>
      </c>
      <c r="G3560" s="8" t="s">
        <v>12324</v>
      </c>
      <c r="H3560" s="24" t="s">
        <v>3164</v>
      </c>
      <c r="I3560" s="25" t="s">
        <v>3165</v>
      </c>
      <c r="J3560" s="8" t="s">
        <v>3166</v>
      </c>
      <c r="K3560" s="8" t="s">
        <v>10042</v>
      </c>
      <c r="L3560" s="15">
        <v>-3.8943499999999999E-2</v>
      </c>
      <c r="M3560" s="15">
        <v>0.73994199999999999</v>
      </c>
      <c r="N3560" s="15">
        <v>0.92309060691205391</v>
      </c>
    </row>
    <row r="3561" spans="1:14" x14ac:dyDescent="0.2">
      <c r="A3561" s="2" t="s">
        <v>10066</v>
      </c>
      <c r="B3561" s="15">
        <v>1943</v>
      </c>
      <c r="C3561" s="15">
        <v>13</v>
      </c>
      <c r="D3561" s="15">
        <v>105672501</v>
      </c>
      <c r="E3561" s="15">
        <v>106313847</v>
      </c>
      <c r="F3561" s="15">
        <v>2036</v>
      </c>
      <c r="G3561" s="8" t="s">
        <v>12324</v>
      </c>
      <c r="H3561" s="24" t="s">
        <v>6008</v>
      </c>
      <c r="I3561" s="25" t="s">
        <v>6009</v>
      </c>
      <c r="J3561" s="8" t="s">
        <v>6010</v>
      </c>
      <c r="K3561" s="8" t="s">
        <v>10051</v>
      </c>
      <c r="L3561" s="15">
        <v>-0.105221</v>
      </c>
      <c r="M3561" s="15">
        <v>0.74016499999999996</v>
      </c>
      <c r="N3561" s="15">
        <v>0.92309060691205391</v>
      </c>
    </row>
    <row r="3562" spans="1:14" x14ac:dyDescent="0.2">
      <c r="A3562" s="2" t="s">
        <v>10068</v>
      </c>
      <c r="B3562" s="15">
        <v>1266</v>
      </c>
      <c r="C3562" s="15">
        <v>8</v>
      </c>
      <c r="D3562" s="15">
        <v>20812108</v>
      </c>
      <c r="E3562" s="15">
        <v>21650453</v>
      </c>
      <c r="F3562" s="15">
        <v>2689</v>
      </c>
      <c r="G3562" s="8" t="s">
        <v>12324</v>
      </c>
      <c r="H3562" s="24" t="s">
        <v>494</v>
      </c>
      <c r="I3562" s="25">
        <v>25920</v>
      </c>
      <c r="J3562" s="8" t="s">
        <v>496</v>
      </c>
      <c r="K3562" s="8" t="s">
        <v>10040</v>
      </c>
      <c r="L3562" s="15">
        <v>7.0634500000000003E-2</v>
      </c>
      <c r="M3562" s="15">
        <v>0.74102400000000002</v>
      </c>
      <c r="N3562" s="15">
        <v>0.9231577078651686</v>
      </c>
    </row>
    <row r="3563" spans="1:14" x14ac:dyDescent="0.2">
      <c r="A3563" s="2" t="s">
        <v>10068</v>
      </c>
      <c r="B3563" s="15">
        <v>2257</v>
      </c>
      <c r="C3563" s="15">
        <v>18</v>
      </c>
      <c r="D3563" s="15">
        <v>22746154</v>
      </c>
      <c r="E3563" s="15">
        <v>24088163</v>
      </c>
      <c r="F3563" s="15">
        <v>3080</v>
      </c>
      <c r="G3563" s="8" t="s">
        <v>12324</v>
      </c>
      <c r="H3563" s="24" t="s">
        <v>1259</v>
      </c>
      <c r="I3563" s="25">
        <v>27096</v>
      </c>
      <c r="J3563" s="8" t="s">
        <v>1261</v>
      </c>
      <c r="K3563" s="8" t="s">
        <v>10040</v>
      </c>
      <c r="L3563" s="15">
        <v>7.7850100000000005E-2</v>
      </c>
      <c r="M3563" s="15">
        <v>0.74166100000000001</v>
      </c>
      <c r="N3563" s="15">
        <v>0.9234324915777653</v>
      </c>
    </row>
    <row r="3564" spans="1:14" x14ac:dyDescent="0.2">
      <c r="A3564" s="2" t="s">
        <v>10068</v>
      </c>
      <c r="B3564" s="15">
        <v>2177</v>
      </c>
      <c r="C3564" s="15">
        <v>17</v>
      </c>
      <c r="D3564" s="15">
        <v>3430441</v>
      </c>
      <c r="E3564" s="15">
        <v>4463971</v>
      </c>
      <c r="F3564" s="15">
        <v>3173</v>
      </c>
      <c r="G3564" s="8" t="s">
        <v>12324</v>
      </c>
      <c r="H3564" s="24" t="s">
        <v>6565</v>
      </c>
      <c r="I3564" s="25" t="s">
        <v>6475</v>
      </c>
      <c r="J3564" s="8" t="s">
        <v>6566</v>
      </c>
      <c r="K3564" s="8" t="s">
        <v>10054</v>
      </c>
      <c r="L3564" s="15">
        <v>-5.3258300000000001E-2</v>
      </c>
      <c r="M3564" s="15">
        <v>0.74148700000000001</v>
      </c>
      <c r="N3564" s="15">
        <v>0.9234324915777653</v>
      </c>
    </row>
    <row r="3565" spans="1:14" x14ac:dyDescent="0.2">
      <c r="A3565" s="2" t="s">
        <v>10069</v>
      </c>
      <c r="B3565" s="15">
        <v>2188</v>
      </c>
      <c r="C3565" s="15">
        <v>17</v>
      </c>
      <c r="D3565" s="15">
        <v>14508611</v>
      </c>
      <c r="E3565" s="15">
        <v>15308722</v>
      </c>
      <c r="F3565" s="15">
        <v>1996</v>
      </c>
      <c r="G3565" s="8" t="s">
        <v>12324</v>
      </c>
      <c r="H3565" s="24" t="s">
        <v>662</v>
      </c>
      <c r="I3565" s="25" t="s">
        <v>663</v>
      </c>
      <c r="J3565" s="8" t="s">
        <v>664</v>
      </c>
      <c r="K3565" s="8" t="s">
        <v>10040</v>
      </c>
      <c r="L3565" s="15">
        <v>-0.12006699999999999</v>
      </c>
      <c r="M3565" s="15">
        <v>0.74234500000000003</v>
      </c>
      <c r="N3565" s="15">
        <v>0.92350633239831692</v>
      </c>
    </row>
    <row r="3566" spans="1:14" x14ac:dyDescent="0.2">
      <c r="A3566" s="2" t="s">
        <v>10068</v>
      </c>
      <c r="B3566" s="15">
        <v>1727</v>
      </c>
      <c r="C3566" s="15">
        <v>11</v>
      </c>
      <c r="D3566" s="15">
        <v>122589225</v>
      </c>
      <c r="E3566" s="15">
        <v>123398882</v>
      </c>
      <c r="F3566" s="15">
        <v>2519</v>
      </c>
      <c r="G3566" s="8" t="s">
        <v>12324</v>
      </c>
      <c r="H3566" s="24" t="s">
        <v>1259</v>
      </c>
      <c r="I3566" s="25">
        <v>27096</v>
      </c>
      <c r="J3566" s="8" t="s">
        <v>1261</v>
      </c>
      <c r="K3566" s="8" t="s">
        <v>10040</v>
      </c>
      <c r="L3566" s="15">
        <v>-8.4454100000000004E-2</v>
      </c>
      <c r="M3566" s="15">
        <v>0.74228499999999997</v>
      </c>
      <c r="N3566" s="15">
        <v>0.92350633239831692</v>
      </c>
    </row>
    <row r="3567" spans="1:14" x14ac:dyDescent="0.2">
      <c r="A3567" s="2" t="s">
        <v>10068</v>
      </c>
      <c r="B3567" s="15">
        <v>1092</v>
      </c>
      <c r="C3567" s="15">
        <v>6</v>
      </c>
      <c r="D3567" s="15">
        <v>168707339</v>
      </c>
      <c r="E3567" s="15">
        <v>169667886</v>
      </c>
      <c r="F3567" s="15">
        <v>4059</v>
      </c>
      <c r="G3567" s="8" t="s">
        <v>12324</v>
      </c>
      <c r="H3567" s="24" t="s">
        <v>6565</v>
      </c>
      <c r="I3567" s="25" t="s">
        <v>6475</v>
      </c>
      <c r="J3567" s="8" t="s">
        <v>6566</v>
      </c>
      <c r="K3567" s="8" t="s">
        <v>10054</v>
      </c>
      <c r="L3567" s="15">
        <v>9.8364400000000005E-2</v>
      </c>
      <c r="M3567" s="15">
        <v>0.74224299999999999</v>
      </c>
      <c r="N3567" s="15">
        <v>0.92350633239831692</v>
      </c>
    </row>
    <row r="3568" spans="1:14" x14ac:dyDescent="0.2">
      <c r="A3568" s="2" t="s">
        <v>10068</v>
      </c>
      <c r="B3568" s="15">
        <v>2187</v>
      </c>
      <c r="C3568" s="15">
        <v>17</v>
      </c>
      <c r="D3568" s="15">
        <v>13648447</v>
      </c>
      <c r="E3568" s="15">
        <v>14508610</v>
      </c>
      <c r="F3568" s="15">
        <v>2927</v>
      </c>
      <c r="G3568" s="8" t="s">
        <v>12324</v>
      </c>
      <c r="H3568" s="24" t="s">
        <v>599</v>
      </c>
      <c r="I3568" s="25">
        <v>26562</v>
      </c>
      <c r="J3568" s="8" t="s">
        <v>601</v>
      </c>
      <c r="K3568" s="8" t="s">
        <v>10040</v>
      </c>
      <c r="L3568" s="15">
        <v>2.8709100000000001E-2</v>
      </c>
      <c r="M3568" s="15">
        <v>0.74378599999999995</v>
      </c>
      <c r="N3568" s="15">
        <v>0.92478018222596003</v>
      </c>
    </row>
    <row r="3569" spans="1:14" x14ac:dyDescent="0.2">
      <c r="A3569" s="2" t="s">
        <v>10068</v>
      </c>
      <c r="B3569" s="15">
        <v>355</v>
      </c>
      <c r="C3569" s="15">
        <v>2</v>
      </c>
      <c r="D3569" s="15">
        <v>170865766</v>
      </c>
      <c r="E3569" s="15">
        <v>171566482</v>
      </c>
      <c r="F3569" s="15">
        <v>2231</v>
      </c>
      <c r="G3569" s="8" t="s">
        <v>12324</v>
      </c>
      <c r="H3569" s="24" t="s">
        <v>6565</v>
      </c>
      <c r="I3569" s="25" t="s">
        <v>6475</v>
      </c>
      <c r="J3569" s="8" t="s">
        <v>6566</v>
      </c>
      <c r="K3569" s="8" t="s">
        <v>10054</v>
      </c>
      <c r="L3569" s="15">
        <v>9.5637299999999995E-2</v>
      </c>
      <c r="M3569" s="15">
        <v>0.74370599999999998</v>
      </c>
      <c r="N3569" s="15">
        <v>0.92478018222596003</v>
      </c>
    </row>
    <row r="3570" spans="1:14" x14ac:dyDescent="0.2">
      <c r="A3570" s="2" t="s">
        <v>10066</v>
      </c>
      <c r="B3570" s="15">
        <v>676</v>
      </c>
      <c r="C3570" s="15">
        <v>4</v>
      </c>
      <c r="D3570" s="15">
        <v>84003063</v>
      </c>
      <c r="E3570" s="15">
        <v>85437805</v>
      </c>
      <c r="F3570" s="15">
        <v>3245</v>
      </c>
      <c r="G3570" s="8" t="s">
        <v>12324</v>
      </c>
      <c r="H3570" s="24" t="s">
        <v>6008</v>
      </c>
      <c r="I3570" s="25" t="s">
        <v>6009</v>
      </c>
      <c r="J3570" s="8" t="s">
        <v>6010</v>
      </c>
      <c r="K3570" s="8" t="s">
        <v>10051</v>
      </c>
      <c r="L3570" s="15">
        <v>5.4459500000000001E-2</v>
      </c>
      <c r="M3570" s="15">
        <v>0.74455099999999996</v>
      </c>
      <c r="N3570" s="15">
        <v>0.92547188480941689</v>
      </c>
    </row>
    <row r="3571" spans="1:14" x14ac:dyDescent="0.2">
      <c r="A3571" s="2" t="s">
        <v>10068</v>
      </c>
      <c r="B3571" s="15">
        <v>53</v>
      </c>
      <c r="C3571" s="15">
        <v>1</v>
      </c>
      <c r="D3571" s="15">
        <v>61377616</v>
      </c>
      <c r="E3571" s="15">
        <v>62778733</v>
      </c>
      <c r="F3571" s="15">
        <v>3834</v>
      </c>
      <c r="G3571" s="8" t="s">
        <v>12324</v>
      </c>
      <c r="H3571" s="24" t="s">
        <v>1259</v>
      </c>
      <c r="I3571" s="25">
        <v>27096</v>
      </c>
      <c r="J3571" s="8" t="s">
        <v>1261</v>
      </c>
      <c r="K3571" s="8" t="s">
        <v>10040</v>
      </c>
      <c r="L3571" s="15">
        <v>7.6673500000000006E-2</v>
      </c>
      <c r="M3571" s="15">
        <v>0.74497899999999995</v>
      </c>
      <c r="N3571" s="15">
        <v>0.92574442841131965</v>
      </c>
    </row>
    <row r="3572" spans="1:14" x14ac:dyDescent="0.2">
      <c r="A3572" s="2" t="s">
        <v>10068</v>
      </c>
      <c r="B3572" s="15">
        <v>1743</v>
      </c>
      <c r="C3572" s="15">
        <v>12</v>
      </c>
      <c r="D3572" s="15">
        <v>3069507</v>
      </c>
      <c r="E3572" s="15">
        <v>3871114</v>
      </c>
      <c r="F3572" s="15">
        <v>2708</v>
      </c>
      <c r="G3572" s="8" t="s">
        <v>12324</v>
      </c>
      <c r="H3572" s="24" t="s">
        <v>494</v>
      </c>
      <c r="I3572" s="25">
        <v>25920</v>
      </c>
      <c r="J3572" s="8" t="s">
        <v>496</v>
      </c>
      <c r="K3572" s="8" t="s">
        <v>10040</v>
      </c>
      <c r="L3572" s="15">
        <v>6.5444000000000002E-2</v>
      </c>
      <c r="M3572" s="15">
        <v>0.74584099999999998</v>
      </c>
      <c r="N3572" s="15">
        <v>0.92644678521422585</v>
      </c>
    </row>
    <row r="3573" spans="1:14" x14ac:dyDescent="0.2">
      <c r="A3573" s="2" t="s">
        <v>10068</v>
      </c>
      <c r="B3573" s="15">
        <v>1113</v>
      </c>
      <c r="C3573" s="15">
        <v>7</v>
      </c>
      <c r="D3573" s="15">
        <v>13676748</v>
      </c>
      <c r="E3573" s="15">
        <v>15013694</v>
      </c>
      <c r="F3573" s="15">
        <v>3958</v>
      </c>
      <c r="G3573" s="8" t="s">
        <v>12324</v>
      </c>
      <c r="H3573" s="24" t="s">
        <v>6565</v>
      </c>
      <c r="I3573" s="25" t="s">
        <v>6475</v>
      </c>
      <c r="J3573" s="8" t="s">
        <v>6566</v>
      </c>
      <c r="K3573" s="8" t="s">
        <v>10054</v>
      </c>
      <c r="L3573" s="15">
        <v>8.3306099999999994E-2</v>
      </c>
      <c r="M3573" s="15">
        <v>0.74596200000000001</v>
      </c>
      <c r="N3573" s="15">
        <v>0.92644678521422585</v>
      </c>
    </row>
    <row r="3574" spans="1:14" x14ac:dyDescent="0.2">
      <c r="A3574" s="2" t="s">
        <v>10068</v>
      </c>
      <c r="B3574" s="15">
        <v>326</v>
      </c>
      <c r="C3574" s="15">
        <v>2</v>
      </c>
      <c r="D3574" s="15">
        <v>134359060</v>
      </c>
      <c r="E3574" s="15">
        <v>135160197</v>
      </c>
      <c r="F3574" s="15">
        <v>2184</v>
      </c>
      <c r="G3574" s="8" t="s">
        <v>12324</v>
      </c>
      <c r="H3574" s="24" t="s">
        <v>494</v>
      </c>
      <c r="I3574" s="25">
        <v>25920</v>
      </c>
      <c r="J3574" s="8" t="s">
        <v>496</v>
      </c>
      <c r="K3574" s="8" t="s">
        <v>10040</v>
      </c>
      <c r="L3574" s="15">
        <v>5.6924099999999998E-2</v>
      </c>
      <c r="M3574" s="15">
        <v>0.74749399999999999</v>
      </c>
      <c r="N3574" s="15">
        <v>0.92712813774797442</v>
      </c>
    </row>
    <row r="3575" spans="1:14" x14ac:dyDescent="0.2">
      <c r="A3575" s="2" t="s">
        <v>10068</v>
      </c>
      <c r="B3575" s="15">
        <v>1766</v>
      </c>
      <c r="C3575" s="15">
        <v>12</v>
      </c>
      <c r="D3575" s="15">
        <v>25990814</v>
      </c>
      <c r="E3575" s="15">
        <v>26958056</v>
      </c>
      <c r="F3575" s="15">
        <v>2959</v>
      </c>
      <c r="G3575" s="8" t="s">
        <v>12324</v>
      </c>
      <c r="H3575" s="24" t="s">
        <v>494</v>
      </c>
      <c r="I3575" s="25">
        <v>25920</v>
      </c>
      <c r="J3575" s="8" t="s">
        <v>496</v>
      </c>
      <c r="K3575" s="8" t="s">
        <v>10040</v>
      </c>
      <c r="L3575" s="15">
        <v>-8.1592999999999999E-2</v>
      </c>
      <c r="M3575" s="15">
        <v>0.74789600000000001</v>
      </c>
      <c r="N3575" s="15">
        <v>0.92712813774797442</v>
      </c>
    </row>
    <row r="3576" spans="1:14" x14ac:dyDescent="0.2">
      <c r="A3576" s="2" t="s">
        <v>10068</v>
      </c>
      <c r="B3576" s="15">
        <v>119</v>
      </c>
      <c r="C3576" s="15">
        <v>1</v>
      </c>
      <c r="D3576" s="15">
        <v>161945443</v>
      </c>
      <c r="E3576" s="15">
        <v>163141862</v>
      </c>
      <c r="F3576" s="15">
        <v>3428</v>
      </c>
      <c r="G3576" s="8" t="s">
        <v>12324</v>
      </c>
      <c r="H3576" s="24" t="s">
        <v>599</v>
      </c>
      <c r="I3576" s="25">
        <v>26562</v>
      </c>
      <c r="J3576" s="8" t="s">
        <v>601</v>
      </c>
      <c r="K3576" s="8" t="s">
        <v>10040</v>
      </c>
      <c r="L3576" s="15">
        <v>-6.2974600000000006E-2</v>
      </c>
      <c r="M3576" s="15">
        <v>0.74811899999999998</v>
      </c>
      <c r="N3576" s="15">
        <v>0.92712813774797442</v>
      </c>
    </row>
    <row r="3577" spans="1:14" x14ac:dyDescent="0.2">
      <c r="A3577" s="2" t="s">
        <v>10069</v>
      </c>
      <c r="B3577" s="15">
        <v>1647</v>
      </c>
      <c r="C3577" s="15">
        <v>11</v>
      </c>
      <c r="D3577" s="15">
        <v>34672698</v>
      </c>
      <c r="E3577" s="15">
        <v>35500367</v>
      </c>
      <c r="F3577" s="15">
        <v>1825</v>
      </c>
      <c r="G3577" s="8" t="s">
        <v>12324</v>
      </c>
      <c r="H3577" s="24" t="s">
        <v>662</v>
      </c>
      <c r="I3577" s="25" t="s">
        <v>663</v>
      </c>
      <c r="J3577" s="8" t="s">
        <v>664</v>
      </c>
      <c r="K3577" s="8" t="s">
        <v>10040</v>
      </c>
      <c r="L3577" s="15">
        <v>0.10013</v>
      </c>
      <c r="M3577" s="15">
        <v>0.74793500000000002</v>
      </c>
      <c r="N3577" s="15">
        <v>0.92712813774797442</v>
      </c>
    </row>
    <row r="3578" spans="1:14" x14ac:dyDescent="0.2">
      <c r="A3578" s="2" t="s">
        <v>10066</v>
      </c>
      <c r="B3578" s="15">
        <v>671</v>
      </c>
      <c r="C3578" s="15">
        <v>4</v>
      </c>
      <c r="D3578" s="15">
        <v>78045638</v>
      </c>
      <c r="E3578" s="15">
        <v>78967715</v>
      </c>
      <c r="F3578" s="15">
        <v>2590</v>
      </c>
      <c r="G3578" s="8" t="s">
        <v>12324</v>
      </c>
      <c r="H3578" s="24" t="s">
        <v>3164</v>
      </c>
      <c r="I3578" s="25" t="s">
        <v>3165</v>
      </c>
      <c r="J3578" s="8" t="s">
        <v>3166</v>
      </c>
      <c r="K3578" s="8" t="s">
        <v>10042</v>
      </c>
      <c r="L3578" s="15">
        <v>6.1283299999999999E-2</v>
      </c>
      <c r="M3578" s="15">
        <v>0.74804700000000002</v>
      </c>
      <c r="N3578" s="15">
        <v>0.92712813774797442</v>
      </c>
    </row>
    <row r="3579" spans="1:14" x14ac:dyDescent="0.2">
      <c r="A3579" s="2" t="s">
        <v>10066</v>
      </c>
      <c r="B3579" s="15">
        <v>899</v>
      </c>
      <c r="C3579" s="15">
        <v>5</v>
      </c>
      <c r="D3579" s="15">
        <v>149850204</v>
      </c>
      <c r="E3579" s="15">
        <v>150981934</v>
      </c>
      <c r="F3579" s="15">
        <v>3195</v>
      </c>
      <c r="G3579" s="8" t="s">
        <v>12324</v>
      </c>
      <c r="H3579" s="24" t="s">
        <v>6008</v>
      </c>
      <c r="I3579" s="25" t="s">
        <v>6009</v>
      </c>
      <c r="J3579" s="8" t="s">
        <v>6010</v>
      </c>
      <c r="K3579" s="8" t="s">
        <v>10051</v>
      </c>
      <c r="L3579" s="15">
        <v>-5.9779600000000002E-2</v>
      </c>
      <c r="M3579" s="15">
        <v>0.74751000000000001</v>
      </c>
      <c r="N3579" s="15">
        <v>0.92712813774797442</v>
      </c>
    </row>
    <row r="3580" spans="1:14" x14ac:dyDescent="0.2">
      <c r="A3580" s="2" t="s">
        <v>10066</v>
      </c>
      <c r="B3580" s="15">
        <v>2206</v>
      </c>
      <c r="C3580" s="15">
        <v>17</v>
      </c>
      <c r="D3580" s="15">
        <v>42348004</v>
      </c>
      <c r="E3580" s="15">
        <v>43460500</v>
      </c>
      <c r="F3580" s="15">
        <v>2253</v>
      </c>
      <c r="G3580" s="8" t="s">
        <v>12324</v>
      </c>
      <c r="H3580" s="24" t="s">
        <v>6008</v>
      </c>
      <c r="I3580" s="25" t="s">
        <v>6009</v>
      </c>
      <c r="J3580" s="8" t="s">
        <v>6010</v>
      </c>
      <c r="K3580" s="8" t="s">
        <v>10051</v>
      </c>
      <c r="L3580" s="15">
        <v>8.8697200000000004E-2</v>
      </c>
      <c r="M3580" s="15">
        <v>0.74818300000000004</v>
      </c>
      <c r="N3580" s="15">
        <v>0.92712813774797442</v>
      </c>
    </row>
    <row r="3581" spans="1:14" x14ac:dyDescent="0.2">
      <c r="A3581" s="2" t="s">
        <v>10068</v>
      </c>
      <c r="B3581" s="15">
        <v>303</v>
      </c>
      <c r="C3581" s="15">
        <v>2</v>
      </c>
      <c r="D3581" s="15">
        <v>107412296</v>
      </c>
      <c r="E3581" s="15">
        <v>108417773</v>
      </c>
      <c r="F3581" s="15">
        <v>2737</v>
      </c>
      <c r="G3581" s="8" t="s">
        <v>12324</v>
      </c>
      <c r="H3581" s="24" t="s">
        <v>6565</v>
      </c>
      <c r="I3581" s="25" t="s">
        <v>6475</v>
      </c>
      <c r="J3581" s="8" t="s">
        <v>6566</v>
      </c>
      <c r="K3581" s="8" t="s">
        <v>10054</v>
      </c>
      <c r="L3581" s="15">
        <v>0.123408</v>
      </c>
      <c r="M3581" s="15">
        <v>0.74817999999999996</v>
      </c>
      <c r="N3581" s="15">
        <v>0.92712813774797442</v>
      </c>
    </row>
    <row r="3582" spans="1:14" x14ac:dyDescent="0.2">
      <c r="A3582" s="2" t="s">
        <v>10068</v>
      </c>
      <c r="B3582" s="15">
        <v>394</v>
      </c>
      <c r="C3582" s="15">
        <v>2</v>
      </c>
      <c r="D3582" s="15">
        <v>217566012</v>
      </c>
      <c r="E3582" s="15">
        <v>218396258</v>
      </c>
      <c r="F3582" s="15">
        <v>2381</v>
      </c>
      <c r="G3582" s="8" t="s">
        <v>12324</v>
      </c>
      <c r="H3582" s="24" t="s">
        <v>6565</v>
      </c>
      <c r="I3582" s="25" t="s">
        <v>6475</v>
      </c>
      <c r="J3582" s="8" t="s">
        <v>6566</v>
      </c>
      <c r="K3582" s="8" t="s">
        <v>10054</v>
      </c>
      <c r="L3582" s="15">
        <v>0.108057</v>
      </c>
      <c r="M3582" s="15">
        <v>0.748915</v>
      </c>
      <c r="N3582" s="15">
        <v>0.92777598463687139</v>
      </c>
    </row>
    <row r="3583" spans="1:14" x14ac:dyDescent="0.2">
      <c r="A3583" s="2" t="s">
        <v>10066</v>
      </c>
      <c r="B3583" s="15">
        <v>1043</v>
      </c>
      <c r="C3583" s="15">
        <v>6</v>
      </c>
      <c r="D3583" s="15">
        <v>113705004</v>
      </c>
      <c r="E3583" s="15">
        <v>115062811</v>
      </c>
      <c r="F3583" s="15">
        <v>2786</v>
      </c>
      <c r="G3583" s="8" t="s">
        <v>12324</v>
      </c>
      <c r="H3583" s="24" t="s">
        <v>3164</v>
      </c>
      <c r="I3583" s="25" t="s">
        <v>3165</v>
      </c>
      <c r="J3583" s="8" t="s">
        <v>3166</v>
      </c>
      <c r="K3583" s="8" t="s">
        <v>10042</v>
      </c>
      <c r="L3583" s="15">
        <v>9.5230300000000004E-2</v>
      </c>
      <c r="M3583" s="15">
        <v>0.74915799999999999</v>
      </c>
      <c r="N3583" s="15">
        <v>0.92781785255515214</v>
      </c>
    </row>
    <row r="3584" spans="1:14" x14ac:dyDescent="0.2">
      <c r="A3584" s="2" t="s">
        <v>10069</v>
      </c>
      <c r="B3584" s="15">
        <v>1283</v>
      </c>
      <c r="C3584" s="15">
        <v>8</v>
      </c>
      <c r="D3584" s="15">
        <v>40974255</v>
      </c>
      <c r="E3584" s="15">
        <v>41725002</v>
      </c>
      <c r="F3584" s="15">
        <v>1436</v>
      </c>
      <c r="G3584" s="8" t="s">
        <v>12324</v>
      </c>
      <c r="H3584" s="24" t="s">
        <v>662</v>
      </c>
      <c r="I3584" s="25" t="s">
        <v>663</v>
      </c>
      <c r="J3584" s="8" t="s">
        <v>664</v>
      </c>
      <c r="K3584" s="8" t="s">
        <v>10040</v>
      </c>
      <c r="L3584" s="15">
        <v>-8.4286299999999995E-2</v>
      </c>
      <c r="M3584" s="15">
        <v>0.74985500000000005</v>
      </c>
      <c r="N3584" s="15">
        <v>0.9284218104410944</v>
      </c>
    </row>
    <row r="3585" spans="1:14" x14ac:dyDescent="0.2">
      <c r="A3585" s="2" t="s">
        <v>10068</v>
      </c>
      <c r="B3585" s="15">
        <v>1995</v>
      </c>
      <c r="C3585" s="15">
        <v>14</v>
      </c>
      <c r="D3585" s="15">
        <v>64033238</v>
      </c>
      <c r="E3585" s="15">
        <v>65229391</v>
      </c>
      <c r="F3585" s="15">
        <v>2615</v>
      </c>
      <c r="G3585" s="8" t="s">
        <v>12324</v>
      </c>
      <c r="H3585" s="24" t="s">
        <v>494</v>
      </c>
      <c r="I3585" s="25">
        <v>25920</v>
      </c>
      <c r="J3585" s="8" t="s">
        <v>496</v>
      </c>
      <c r="K3585" s="8" t="s">
        <v>10040</v>
      </c>
      <c r="L3585" s="15">
        <v>7.2247900000000004E-2</v>
      </c>
      <c r="M3585" s="15">
        <v>0.75057200000000002</v>
      </c>
      <c r="N3585" s="15">
        <v>0.9288503627232142</v>
      </c>
    </row>
    <row r="3586" spans="1:14" x14ac:dyDescent="0.2">
      <c r="A3586" s="2" t="s">
        <v>10068</v>
      </c>
      <c r="B3586" s="15">
        <v>217</v>
      </c>
      <c r="C3586" s="15">
        <v>2</v>
      </c>
      <c r="D3586" s="15">
        <v>11995766</v>
      </c>
      <c r="E3586" s="15">
        <v>12732506</v>
      </c>
      <c r="F3586" s="15">
        <v>2216</v>
      </c>
      <c r="G3586" s="8" t="s">
        <v>12324</v>
      </c>
      <c r="H3586" s="24" t="s">
        <v>6565</v>
      </c>
      <c r="I3586" s="25" t="s">
        <v>6475</v>
      </c>
      <c r="J3586" s="8" t="s">
        <v>6566</v>
      </c>
      <c r="K3586" s="8" t="s">
        <v>10054</v>
      </c>
      <c r="L3586" s="15">
        <v>3.8996900000000001E-2</v>
      </c>
      <c r="M3586" s="15">
        <v>0.75061999999999995</v>
      </c>
      <c r="N3586" s="15">
        <v>0.9288503627232142</v>
      </c>
    </row>
    <row r="3587" spans="1:14" x14ac:dyDescent="0.2">
      <c r="A3587" s="2" t="s">
        <v>10068</v>
      </c>
      <c r="B3587" s="15">
        <v>1837</v>
      </c>
      <c r="C3587" s="15">
        <v>12</v>
      </c>
      <c r="D3587" s="15">
        <v>106964978</v>
      </c>
      <c r="E3587" s="15">
        <v>108183188</v>
      </c>
      <c r="F3587" s="15">
        <v>2709</v>
      </c>
      <c r="G3587" s="8" t="s">
        <v>12324</v>
      </c>
      <c r="H3587" s="24" t="s">
        <v>6565</v>
      </c>
      <c r="I3587" s="25" t="s">
        <v>6475</v>
      </c>
      <c r="J3587" s="8" t="s">
        <v>6566</v>
      </c>
      <c r="K3587" s="8" t="s">
        <v>10054</v>
      </c>
      <c r="L3587" s="15">
        <v>4.6431800000000002E-2</v>
      </c>
      <c r="M3587" s="15">
        <v>0.75106899999999999</v>
      </c>
      <c r="N3587" s="15">
        <v>0.92914672663877274</v>
      </c>
    </row>
    <row r="3588" spans="1:14" x14ac:dyDescent="0.2">
      <c r="A3588" s="2" t="s">
        <v>10066</v>
      </c>
      <c r="B3588" s="15">
        <v>2188</v>
      </c>
      <c r="C3588" s="15">
        <v>17</v>
      </c>
      <c r="D3588" s="15">
        <v>14508611</v>
      </c>
      <c r="E3588" s="15">
        <v>15308722</v>
      </c>
      <c r="F3588" s="15">
        <v>2860</v>
      </c>
      <c r="G3588" s="8" t="s">
        <v>12324</v>
      </c>
      <c r="H3588" s="24" t="s">
        <v>3164</v>
      </c>
      <c r="I3588" s="25" t="s">
        <v>3165</v>
      </c>
      <c r="J3588" s="8" t="s">
        <v>3166</v>
      </c>
      <c r="K3588" s="8" t="s">
        <v>10042</v>
      </c>
      <c r="L3588" s="15">
        <v>-6.7875099999999994E-2</v>
      </c>
      <c r="M3588" s="15">
        <v>0.75148300000000001</v>
      </c>
      <c r="N3588" s="15">
        <v>0.92939963887339649</v>
      </c>
    </row>
    <row r="3589" spans="1:14" x14ac:dyDescent="0.2">
      <c r="A3589" s="2" t="s">
        <v>10068</v>
      </c>
      <c r="B3589" s="15">
        <v>379</v>
      </c>
      <c r="C3589" s="15">
        <v>2</v>
      </c>
      <c r="D3589" s="15">
        <v>199654970</v>
      </c>
      <c r="E3589" s="15">
        <v>201324132</v>
      </c>
      <c r="F3589" s="15">
        <v>2783</v>
      </c>
      <c r="G3589" s="8" t="s">
        <v>12324</v>
      </c>
      <c r="H3589" s="24" t="s">
        <v>494</v>
      </c>
      <c r="I3589" s="25">
        <v>25920</v>
      </c>
      <c r="J3589" s="8" t="s">
        <v>496</v>
      </c>
      <c r="K3589" s="8" t="s">
        <v>10040</v>
      </c>
      <c r="L3589" s="15">
        <v>6.6043000000000004E-2</v>
      </c>
      <c r="M3589" s="15">
        <v>0.75174600000000003</v>
      </c>
      <c r="N3589" s="15">
        <v>0.92940783546770611</v>
      </c>
    </row>
    <row r="3590" spans="1:14" x14ac:dyDescent="0.2">
      <c r="A3590" s="2" t="s">
        <v>10068</v>
      </c>
      <c r="B3590" s="15">
        <v>761</v>
      </c>
      <c r="C3590" s="15">
        <v>4</v>
      </c>
      <c r="D3590" s="15">
        <v>179233906</v>
      </c>
      <c r="E3590" s="15">
        <v>179932391</v>
      </c>
      <c r="F3590" s="15">
        <v>2247</v>
      </c>
      <c r="G3590" s="8" t="s">
        <v>12324</v>
      </c>
      <c r="H3590" s="24" t="s">
        <v>494</v>
      </c>
      <c r="I3590" s="25">
        <v>25920</v>
      </c>
      <c r="J3590" s="8" t="s">
        <v>496</v>
      </c>
      <c r="K3590" s="8" t="s">
        <v>10040</v>
      </c>
      <c r="L3590" s="15">
        <v>4.4325299999999998E-2</v>
      </c>
      <c r="M3590" s="15">
        <v>0.75235600000000002</v>
      </c>
      <c r="N3590" s="15">
        <v>0.92940783546770611</v>
      </c>
    </row>
    <row r="3591" spans="1:14" x14ac:dyDescent="0.2">
      <c r="A3591" s="2" t="s">
        <v>10068</v>
      </c>
      <c r="B3591" s="15">
        <v>1737</v>
      </c>
      <c r="C3591" s="15">
        <v>11</v>
      </c>
      <c r="D3591" s="15">
        <v>132584402</v>
      </c>
      <c r="E3591" s="15">
        <v>133521642</v>
      </c>
      <c r="F3591" s="15">
        <v>2749</v>
      </c>
      <c r="G3591" s="8" t="s">
        <v>12324</v>
      </c>
      <c r="H3591" s="24" t="s">
        <v>494</v>
      </c>
      <c r="I3591" s="25">
        <v>25920</v>
      </c>
      <c r="J3591" s="8" t="s">
        <v>496</v>
      </c>
      <c r="K3591" s="8" t="s">
        <v>10040</v>
      </c>
      <c r="L3591" s="15">
        <v>-6.5466200000000002E-2</v>
      </c>
      <c r="M3591" s="15">
        <v>0.75254600000000005</v>
      </c>
      <c r="N3591" s="15">
        <v>0.92940783546770611</v>
      </c>
    </row>
    <row r="3592" spans="1:14" x14ac:dyDescent="0.2">
      <c r="A3592" s="2" t="s">
        <v>10068</v>
      </c>
      <c r="B3592" s="15">
        <v>185</v>
      </c>
      <c r="C3592" s="15">
        <v>1</v>
      </c>
      <c r="D3592" s="15">
        <v>235097114</v>
      </c>
      <c r="E3592" s="15">
        <v>236199671</v>
      </c>
      <c r="F3592" s="15">
        <v>2347</v>
      </c>
      <c r="G3592" s="8" t="s">
        <v>12324</v>
      </c>
      <c r="H3592" s="24" t="s">
        <v>599</v>
      </c>
      <c r="I3592" s="25">
        <v>26562</v>
      </c>
      <c r="J3592" s="8" t="s">
        <v>601</v>
      </c>
      <c r="K3592" s="8" t="s">
        <v>10040</v>
      </c>
      <c r="L3592" s="15">
        <v>-7.2991899999999998E-2</v>
      </c>
      <c r="M3592" s="15">
        <v>0.75274700000000005</v>
      </c>
      <c r="N3592" s="15">
        <v>0.92940783546770611</v>
      </c>
    </row>
    <row r="3593" spans="1:14" x14ac:dyDescent="0.2">
      <c r="A3593" s="2" t="s">
        <v>10066</v>
      </c>
      <c r="B3593" s="15">
        <v>155</v>
      </c>
      <c r="C3593" s="15">
        <v>1</v>
      </c>
      <c r="D3593" s="15">
        <v>201067953</v>
      </c>
      <c r="E3593" s="15">
        <v>202583884</v>
      </c>
      <c r="F3593" s="15">
        <v>3795</v>
      </c>
      <c r="G3593" s="8" t="s">
        <v>12324</v>
      </c>
      <c r="H3593" s="24" t="s">
        <v>6008</v>
      </c>
      <c r="I3593" s="25" t="s">
        <v>6009</v>
      </c>
      <c r="J3593" s="8" t="s">
        <v>6010</v>
      </c>
      <c r="K3593" s="8" t="s">
        <v>10051</v>
      </c>
      <c r="L3593" s="15">
        <v>-0.10508099999999999</v>
      </c>
      <c r="M3593" s="15">
        <v>0.75206499999999998</v>
      </c>
      <c r="N3593" s="15">
        <v>0.92940783546770611</v>
      </c>
    </row>
    <row r="3594" spans="1:14" x14ac:dyDescent="0.2">
      <c r="A3594" s="2" t="s">
        <v>10068</v>
      </c>
      <c r="B3594" s="15">
        <v>747</v>
      </c>
      <c r="C3594" s="15">
        <v>4</v>
      </c>
      <c r="D3594" s="15">
        <v>164781848</v>
      </c>
      <c r="E3594" s="15">
        <v>165824650</v>
      </c>
      <c r="F3594" s="15">
        <v>3690</v>
      </c>
      <c r="G3594" s="8" t="s">
        <v>12324</v>
      </c>
      <c r="H3594" s="24" t="s">
        <v>6565</v>
      </c>
      <c r="I3594" s="25" t="s">
        <v>6475</v>
      </c>
      <c r="J3594" s="8" t="s">
        <v>6566</v>
      </c>
      <c r="K3594" s="8" t="s">
        <v>10054</v>
      </c>
      <c r="L3594" s="15">
        <v>8.9773699999999998E-2</v>
      </c>
      <c r="M3594" s="15">
        <v>0.75224299999999999</v>
      </c>
      <c r="N3594" s="15">
        <v>0.92940783546770611</v>
      </c>
    </row>
    <row r="3595" spans="1:14" x14ac:dyDescent="0.2">
      <c r="A3595" s="2" t="s">
        <v>10069</v>
      </c>
      <c r="B3595" s="15">
        <v>1453</v>
      </c>
      <c r="C3595" s="15">
        <v>9</v>
      </c>
      <c r="D3595" s="15">
        <v>109150718</v>
      </c>
      <c r="E3595" s="15">
        <v>110630150</v>
      </c>
      <c r="F3595" s="15">
        <v>2569</v>
      </c>
      <c r="G3595" s="8" t="s">
        <v>12324</v>
      </c>
      <c r="H3595" s="24" t="s">
        <v>662</v>
      </c>
      <c r="I3595" s="25" t="s">
        <v>663</v>
      </c>
      <c r="J3595" s="8" t="s">
        <v>664</v>
      </c>
      <c r="K3595" s="8" t="s">
        <v>10040</v>
      </c>
      <c r="L3595" s="15">
        <v>-5.3873799999999999E-2</v>
      </c>
      <c r="M3595" s="15">
        <v>0.75332399999999999</v>
      </c>
      <c r="N3595" s="15">
        <v>0.92954269123783029</v>
      </c>
    </row>
    <row r="3596" spans="1:14" x14ac:dyDescent="0.2">
      <c r="A3596" s="2" t="s">
        <v>10068</v>
      </c>
      <c r="B3596" s="15">
        <v>657</v>
      </c>
      <c r="C3596" s="15">
        <v>4</v>
      </c>
      <c r="D3596" s="15">
        <v>60746710</v>
      </c>
      <c r="E3596" s="15">
        <v>61971161</v>
      </c>
      <c r="F3596" s="15">
        <v>4220</v>
      </c>
      <c r="G3596" s="8" t="s">
        <v>12324</v>
      </c>
      <c r="H3596" s="24" t="s">
        <v>6565</v>
      </c>
      <c r="I3596" s="25" t="s">
        <v>6475</v>
      </c>
      <c r="J3596" s="8" t="s">
        <v>6566</v>
      </c>
      <c r="K3596" s="8" t="s">
        <v>10054</v>
      </c>
      <c r="L3596" s="15">
        <v>0.13664299999999999</v>
      </c>
      <c r="M3596" s="15">
        <v>0.75328799999999996</v>
      </c>
      <c r="N3596" s="15">
        <v>0.92954269123783029</v>
      </c>
    </row>
    <row r="3597" spans="1:14" x14ac:dyDescent="0.2">
      <c r="A3597" s="2" t="s">
        <v>10068</v>
      </c>
      <c r="B3597" s="15">
        <v>1079</v>
      </c>
      <c r="C3597" s="15">
        <v>6</v>
      </c>
      <c r="D3597" s="15">
        <v>155523958</v>
      </c>
      <c r="E3597" s="15">
        <v>156762740</v>
      </c>
      <c r="F3597" s="15">
        <v>3556</v>
      </c>
      <c r="G3597" s="8" t="s">
        <v>12324</v>
      </c>
      <c r="H3597" s="24" t="s">
        <v>6565</v>
      </c>
      <c r="I3597" s="25" t="s">
        <v>6475</v>
      </c>
      <c r="J3597" s="8" t="s">
        <v>6566</v>
      </c>
      <c r="K3597" s="8" t="s">
        <v>10054</v>
      </c>
      <c r="L3597" s="15">
        <v>-9.6412499999999998E-2</v>
      </c>
      <c r="M3597" s="15">
        <v>0.75348499999999996</v>
      </c>
      <c r="N3597" s="15">
        <v>0.92954269123783029</v>
      </c>
    </row>
    <row r="3598" spans="1:14" x14ac:dyDescent="0.2">
      <c r="A3598" s="2" t="s">
        <v>10069</v>
      </c>
      <c r="B3598" s="15">
        <v>74</v>
      </c>
      <c r="C3598" s="15">
        <v>1</v>
      </c>
      <c r="D3598" s="15">
        <v>86017268</v>
      </c>
      <c r="E3598" s="15">
        <v>86761554</v>
      </c>
      <c r="F3598" s="15">
        <v>1402</v>
      </c>
      <c r="G3598" s="8" t="s">
        <v>12324</v>
      </c>
      <c r="H3598" s="24" t="s">
        <v>662</v>
      </c>
      <c r="I3598" s="25" t="s">
        <v>663</v>
      </c>
      <c r="J3598" s="8" t="s">
        <v>664</v>
      </c>
      <c r="K3598" s="8" t="s">
        <v>10040</v>
      </c>
      <c r="L3598" s="15">
        <v>-0.100157</v>
      </c>
      <c r="M3598" s="15">
        <v>0.75460799999999995</v>
      </c>
      <c r="N3598" s="15">
        <v>0.93058330461367433</v>
      </c>
    </row>
    <row r="3599" spans="1:14" x14ac:dyDescent="0.2">
      <c r="A3599" s="2" t="s">
        <v>10068</v>
      </c>
      <c r="B3599" s="15">
        <v>422</v>
      </c>
      <c r="C3599" s="15">
        <v>3</v>
      </c>
      <c r="D3599" s="15">
        <v>795747</v>
      </c>
      <c r="E3599" s="15">
        <v>1440048</v>
      </c>
      <c r="F3599" s="15">
        <v>2295</v>
      </c>
      <c r="G3599" s="8" t="s">
        <v>12324</v>
      </c>
      <c r="H3599" s="24" t="s">
        <v>1259</v>
      </c>
      <c r="I3599" s="25">
        <v>27096</v>
      </c>
      <c r="J3599" s="8" t="s">
        <v>1261</v>
      </c>
      <c r="K3599" s="8" t="s">
        <v>10040</v>
      </c>
      <c r="L3599" s="15">
        <v>-8.65837E-2</v>
      </c>
      <c r="M3599" s="15">
        <v>0.75495800000000002</v>
      </c>
      <c r="N3599" s="15">
        <v>0.93058330461367433</v>
      </c>
    </row>
    <row r="3600" spans="1:14" x14ac:dyDescent="0.2">
      <c r="A3600" s="2" t="s">
        <v>10066</v>
      </c>
      <c r="B3600" s="15">
        <v>1552</v>
      </c>
      <c r="C3600" s="15">
        <v>10</v>
      </c>
      <c r="D3600" s="15">
        <v>71050505</v>
      </c>
      <c r="E3600" s="15">
        <v>71672997</v>
      </c>
      <c r="F3600" s="15">
        <v>2328</v>
      </c>
      <c r="G3600" s="8" t="s">
        <v>12324</v>
      </c>
      <c r="H3600" s="24" t="s">
        <v>3164</v>
      </c>
      <c r="I3600" s="25" t="s">
        <v>3165</v>
      </c>
      <c r="J3600" s="8" t="s">
        <v>3166</v>
      </c>
      <c r="K3600" s="8" t="s">
        <v>10042</v>
      </c>
      <c r="L3600" s="15">
        <v>0.10363</v>
      </c>
      <c r="M3600" s="15">
        <v>0.75490400000000002</v>
      </c>
      <c r="N3600" s="15">
        <v>0.93058330461367433</v>
      </c>
    </row>
    <row r="3601" spans="1:14" x14ac:dyDescent="0.2">
      <c r="A3601" s="2" t="s">
        <v>10068</v>
      </c>
      <c r="B3601" s="15">
        <v>205</v>
      </c>
      <c r="C3601" s="15">
        <v>2</v>
      </c>
      <c r="D3601" s="15">
        <v>2680064</v>
      </c>
      <c r="E3601" s="15">
        <v>3314202</v>
      </c>
      <c r="F3601" s="15">
        <v>2197</v>
      </c>
      <c r="G3601" s="8" t="s">
        <v>12324</v>
      </c>
      <c r="H3601" s="24" t="s">
        <v>494</v>
      </c>
      <c r="I3601" s="25">
        <v>25920</v>
      </c>
      <c r="J3601" s="8" t="s">
        <v>496</v>
      </c>
      <c r="K3601" s="8" t="s">
        <v>10040</v>
      </c>
      <c r="L3601" s="15">
        <v>-4.5737899999999998E-2</v>
      </c>
      <c r="M3601" s="15">
        <v>0.755629</v>
      </c>
      <c r="N3601" s="15">
        <v>0.93063443904470977</v>
      </c>
    </row>
    <row r="3602" spans="1:14" x14ac:dyDescent="0.2">
      <c r="A3602" s="2" t="s">
        <v>10068</v>
      </c>
      <c r="B3602" s="15">
        <v>385</v>
      </c>
      <c r="C3602" s="15">
        <v>2</v>
      </c>
      <c r="D3602" s="15">
        <v>207726595</v>
      </c>
      <c r="E3602" s="15">
        <v>208674588</v>
      </c>
      <c r="F3602" s="15">
        <v>2241</v>
      </c>
      <c r="G3602" s="8" t="s">
        <v>12324</v>
      </c>
      <c r="H3602" s="24" t="s">
        <v>599</v>
      </c>
      <c r="I3602" s="25">
        <v>26562</v>
      </c>
      <c r="J3602" s="8" t="s">
        <v>601</v>
      </c>
      <c r="K3602" s="8" t="s">
        <v>10040</v>
      </c>
      <c r="L3602" s="15">
        <v>6.0359999999999997E-2</v>
      </c>
      <c r="M3602" s="15">
        <v>0.755579</v>
      </c>
      <c r="N3602" s="15">
        <v>0.93063443904470977</v>
      </c>
    </row>
    <row r="3603" spans="1:14" x14ac:dyDescent="0.2">
      <c r="A3603" s="2" t="s">
        <v>10068</v>
      </c>
      <c r="B3603" s="15">
        <v>604</v>
      </c>
      <c r="C3603" s="15">
        <v>4</v>
      </c>
      <c r="D3603" s="15">
        <v>7135820</v>
      </c>
      <c r="E3603" s="15">
        <v>7726034</v>
      </c>
      <c r="F3603" s="15">
        <v>2929</v>
      </c>
      <c r="G3603" s="8" t="s">
        <v>12324</v>
      </c>
      <c r="H3603" s="24" t="s">
        <v>1259</v>
      </c>
      <c r="I3603" s="25">
        <v>27096</v>
      </c>
      <c r="J3603" s="8" t="s">
        <v>1261</v>
      </c>
      <c r="K3603" s="8" t="s">
        <v>10040</v>
      </c>
      <c r="L3603" s="15">
        <v>0.143405</v>
      </c>
      <c r="M3603" s="15">
        <v>0.75543000000000005</v>
      </c>
      <c r="N3603" s="15">
        <v>0.93063443904470977</v>
      </c>
    </row>
    <row r="3604" spans="1:14" x14ac:dyDescent="0.2">
      <c r="A3604" s="2" t="s">
        <v>10066</v>
      </c>
      <c r="B3604" s="15">
        <v>2269</v>
      </c>
      <c r="C3604" s="15">
        <v>18</v>
      </c>
      <c r="D3604" s="15">
        <v>39410166</v>
      </c>
      <c r="E3604" s="15">
        <v>40471407</v>
      </c>
      <c r="F3604" s="15">
        <v>2522</v>
      </c>
      <c r="G3604" s="8" t="s">
        <v>12324</v>
      </c>
      <c r="H3604" s="24" t="s">
        <v>6008</v>
      </c>
      <c r="I3604" s="25" t="s">
        <v>6009</v>
      </c>
      <c r="J3604" s="8" t="s">
        <v>6010</v>
      </c>
      <c r="K3604" s="8" t="s">
        <v>10051</v>
      </c>
      <c r="L3604" s="15">
        <v>-5.7768300000000002E-2</v>
      </c>
      <c r="M3604" s="15">
        <v>0.75624899999999995</v>
      </c>
      <c r="N3604" s="15">
        <v>0.931139454469739</v>
      </c>
    </row>
    <row r="3605" spans="1:14" x14ac:dyDescent="0.2">
      <c r="A3605" s="2" t="s">
        <v>10068</v>
      </c>
      <c r="B3605" s="15">
        <v>616</v>
      </c>
      <c r="C3605" s="15">
        <v>4</v>
      </c>
      <c r="D3605" s="15">
        <v>15910802</v>
      </c>
      <c r="E3605" s="15">
        <v>17290236</v>
      </c>
      <c r="F3605" s="15">
        <v>3817</v>
      </c>
      <c r="G3605" s="8" t="s">
        <v>12324</v>
      </c>
      <c r="H3605" s="24" t="s">
        <v>6565</v>
      </c>
      <c r="I3605" s="25" t="s">
        <v>6475</v>
      </c>
      <c r="J3605" s="8" t="s">
        <v>6566</v>
      </c>
      <c r="K3605" s="8" t="s">
        <v>10054</v>
      </c>
      <c r="L3605" s="15">
        <v>-4.7806700000000001E-2</v>
      </c>
      <c r="M3605" s="15">
        <v>0.75682700000000003</v>
      </c>
      <c r="N3605" s="15">
        <v>0.93159249097973906</v>
      </c>
    </row>
    <row r="3606" spans="1:14" x14ac:dyDescent="0.2">
      <c r="A3606" s="2" t="s">
        <v>10068</v>
      </c>
      <c r="B3606" s="15">
        <v>738</v>
      </c>
      <c r="C3606" s="15">
        <v>4</v>
      </c>
      <c r="D3606" s="15">
        <v>155044410</v>
      </c>
      <c r="E3606" s="15">
        <v>156520288</v>
      </c>
      <c r="F3606" s="15">
        <v>3599</v>
      </c>
      <c r="G3606" s="8" t="s">
        <v>12324</v>
      </c>
      <c r="H3606" s="24" t="s">
        <v>494</v>
      </c>
      <c r="I3606" s="25">
        <v>25920</v>
      </c>
      <c r="J3606" s="8" t="s">
        <v>496</v>
      </c>
      <c r="K3606" s="8" t="s">
        <v>10040</v>
      </c>
      <c r="L3606" s="15">
        <v>-8.5167099999999996E-2</v>
      </c>
      <c r="M3606" s="15">
        <v>0.75770999999999999</v>
      </c>
      <c r="N3606" s="15">
        <v>0.93164509287496533</v>
      </c>
    </row>
    <row r="3607" spans="1:14" x14ac:dyDescent="0.2">
      <c r="A3607" s="2" t="s">
        <v>10068</v>
      </c>
      <c r="B3607" s="15">
        <v>1451</v>
      </c>
      <c r="C3607" s="15">
        <v>9</v>
      </c>
      <c r="D3607" s="15">
        <v>107061020</v>
      </c>
      <c r="E3607" s="15">
        <v>108203095</v>
      </c>
      <c r="F3607" s="15">
        <v>3591</v>
      </c>
      <c r="G3607" s="8" t="s">
        <v>12324</v>
      </c>
      <c r="H3607" s="24" t="s">
        <v>599</v>
      </c>
      <c r="I3607" s="25">
        <v>26562</v>
      </c>
      <c r="J3607" s="8" t="s">
        <v>601</v>
      </c>
      <c r="K3607" s="8" t="s">
        <v>10040</v>
      </c>
      <c r="L3607" s="15">
        <v>-5.1922799999999998E-2</v>
      </c>
      <c r="M3607" s="15">
        <v>0.75748499999999996</v>
      </c>
      <c r="N3607" s="15">
        <v>0.93164509287496533</v>
      </c>
    </row>
    <row r="3608" spans="1:14" x14ac:dyDescent="0.2">
      <c r="A3608" s="2" t="s">
        <v>10066</v>
      </c>
      <c r="B3608" s="15">
        <v>2186</v>
      </c>
      <c r="C3608" s="15">
        <v>17</v>
      </c>
      <c r="D3608" s="15">
        <v>12676354</v>
      </c>
      <c r="E3608" s="15">
        <v>13648446</v>
      </c>
      <c r="F3608" s="15">
        <v>3479</v>
      </c>
      <c r="G3608" s="8" t="s">
        <v>12324</v>
      </c>
      <c r="H3608" s="24" t="s">
        <v>3164</v>
      </c>
      <c r="I3608" s="25" t="s">
        <v>3165</v>
      </c>
      <c r="J3608" s="8" t="s">
        <v>3166</v>
      </c>
      <c r="K3608" s="8" t="s">
        <v>10042</v>
      </c>
      <c r="L3608" s="15">
        <v>-6.2341599999999997E-2</v>
      </c>
      <c r="M3608" s="15">
        <v>0.75713399999999997</v>
      </c>
      <c r="N3608" s="15">
        <v>0.93164509287496533</v>
      </c>
    </row>
    <row r="3609" spans="1:14" x14ac:dyDescent="0.2">
      <c r="A3609" s="2" t="s">
        <v>10066</v>
      </c>
      <c r="B3609" s="15">
        <v>1057</v>
      </c>
      <c r="C3609" s="15">
        <v>6</v>
      </c>
      <c r="D3609" s="15">
        <v>129850179</v>
      </c>
      <c r="E3609" s="15">
        <v>130550137</v>
      </c>
      <c r="F3609" s="15">
        <v>2133</v>
      </c>
      <c r="G3609" s="8" t="s">
        <v>12324</v>
      </c>
      <c r="H3609" s="24" t="s">
        <v>6008</v>
      </c>
      <c r="I3609" s="25" t="s">
        <v>6009</v>
      </c>
      <c r="J3609" s="8" t="s">
        <v>6010</v>
      </c>
      <c r="K3609" s="8" t="s">
        <v>10051</v>
      </c>
      <c r="L3609" s="15">
        <v>-8.5285100000000003E-2</v>
      </c>
      <c r="M3609" s="15">
        <v>0.75754999999999995</v>
      </c>
      <c r="N3609" s="15">
        <v>0.93164509287496533</v>
      </c>
    </row>
    <row r="3610" spans="1:14" x14ac:dyDescent="0.2">
      <c r="A3610" s="2" t="s">
        <v>10066</v>
      </c>
      <c r="B3610" s="15">
        <v>1834</v>
      </c>
      <c r="C3610" s="15">
        <v>12</v>
      </c>
      <c r="D3610" s="15">
        <v>104140832</v>
      </c>
      <c r="E3610" s="15">
        <v>105079100</v>
      </c>
      <c r="F3610" s="15">
        <v>3058</v>
      </c>
      <c r="G3610" s="8" t="s">
        <v>12324</v>
      </c>
      <c r="H3610" s="24" t="s">
        <v>3164</v>
      </c>
      <c r="I3610" s="25" t="s">
        <v>3165</v>
      </c>
      <c r="J3610" s="8" t="s">
        <v>3166</v>
      </c>
      <c r="K3610" s="8" t="s">
        <v>10042</v>
      </c>
      <c r="L3610" s="15">
        <v>-4.66443E-2</v>
      </c>
      <c r="M3610" s="15">
        <v>0.75793500000000003</v>
      </c>
      <c r="N3610" s="15">
        <v>0.93166344927937916</v>
      </c>
    </row>
    <row r="3611" spans="1:14" x14ac:dyDescent="0.2">
      <c r="A3611" s="2" t="s">
        <v>10069</v>
      </c>
      <c r="B3611" s="15">
        <v>1326</v>
      </c>
      <c r="C3611" s="15">
        <v>8</v>
      </c>
      <c r="D3611" s="15">
        <v>96175631</v>
      </c>
      <c r="E3611" s="15">
        <v>96900513</v>
      </c>
      <c r="F3611" s="15">
        <v>1539</v>
      </c>
      <c r="G3611" s="8" t="s">
        <v>12324</v>
      </c>
      <c r="H3611" s="24" t="s">
        <v>662</v>
      </c>
      <c r="I3611" s="25" t="s">
        <v>663</v>
      </c>
      <c r="J3611" s="8" t="s">
        <v>664</v>
      </c>
      <c r="K3611" s="8" t="s">
        <v>10040</v>
      </c>
      <c r="L3611" s="15">
        <v>0.11397599999999999</v>
      </c>
      <c r="M3611" s="15">
        <v>0.75873699999999999</v>
      </c>
      <c r="N3611" s="15">
        <v>0.93214486011080322</v>
      </c>
    </row>
    <row r="3612" spans="1:14" x14ac:dyDescent="0.2">
      <c r="A3612" s="2" t="s">
        <v>10068</v>
      </c>
      <c r="B3612" s="15">
        <v>1804</v>
      </c>
      <c r="C3612" s="15">
        <v>12</v>
      </c>
      <c r="D3612" s="15">
        <v>68839662</v>
      </c>
      <c r="E3612" s="15">
        <v>70097805</v>
      </c>
      <c r="F3612" s="15">
        <v>3449</v>
      </c>
      <c r="G3612" s="8" t="s">
        <v>12324</v>
      </c>
      <c r="H3612" s="24" t="s">
        <v>6565</v>
      </c>
      <c r="I3612" s="25" t="s">
        <v>6475</v>
      </c>
      <c r="J3612" s="8" t="s">
        <v>6566</v>
      </c>
      <c r="K3612" s="8" t="s">
        <v>10054</v>
      </c>
      <c r="L3612" s="15">
        <v>-8.5266300000000003E-2</v>
      </c>
      <c r="M3612" s="15">
        <v>0.75874699999999995</v>
      </c>
      <c r="N3612" s="15">
        <v>0.93214486011080322</v>
      </c>
    </row>
    <row r="3613" spans="1:14" x14ac:dyDescent="0.2">
      <c r="A3613" s="2" t="s">
        <v>10068</v>
      </c>
      <c r="B3613" s="15">
        <v>25</v>
      </c>
      <c r="C3613" s="15">
        <v>1</v>
      </c>
      <c r="D3613" s="15">
        <v>22740288</v>
      </c>
      <c r="E3613" s="15">
        <v>23907045</v>
      </c>
      <c r="F3613" s="15">
        <v>2339</v>
      </c>
      <c r="G3613" s="8" t="s">
        <v>12324</v>
      </c>
      <c r="H3613" s="24" t="s">
        <v>494</v>
      </c>
      <c r="I3613" s="25">
        <v>25920</v>
      </c>
      <c r="J3613" s="8" t="s">
        <v>496</v>
      </c>
      <c r="K3613" s="8" t="s">
        <v>10040</v>
      </c>
      <c r="L3613" s="15">
        <v>-9.2210299999999995E-2</v>
      </c>
      <c r="M3613" s="15">
        <v>0.75933200000000001</v>
      </c>
      <c r="N3613" s="15">
        <v>0.93256891918073637</v>
      </c>
    </row>
    <row r="3614" spans="1:14" x14ac:dyDescent="0.2">
      <c r="A3614" s="2" t="s">
        <v>10068</v>
      </c>
      <c r="B3614" s="15">
        <v>2312</v>
      </c>
      <c r="C3614" s="15">
        <v>19</v>
      </c>
      <c r="D3614" s="15">
        <v>4741719</v>
      </c>
      <c r="E3614" s="15">
        <v>5478684</v>
      </c>
      <c r="F3614" s="15">
        <v>2416</v>
      </c>
      <c r="G3614" s="8" t="s">
        <v>12324</v>
      </c>
      <c r="H3614" s="24" t="s">
        <v>494</v>
      </c>
      <c r="I3614" s="25">
        <v>25920</v>
      </c>
      <c r="J3614" s="8" t="s">
        <v>496</v>
      </c>
      <c r="K3614" s="8" t="s">
        <v>10040</v>
      </c>
      <c r="L3614" s="15">
        <v>7.8844800000000007E-2</v>
      </c>
      <c r="M3614" s="15">
        <v>0.75969600000000004</v>
      </c>
      <c r="N3614" s="15">
        <v>0.93256891918073637</v>
      </c>
    </row>
    <row r="3615" spans="1:14" x14ac:dyDescent="0.2">
      <c r="A3615" s="2" t="s">
        <v>10068</v>
      </c>
      <c r="B3615" s="15">
        <v>1859</v>
      </c>
      <c r="C3615" s="15">
        <v>12</v>
      </c>
      <c r="D3615" s="15">
        <v>130629841</v>
      </c>
      <c r="E3615" s="15">
        <v>131404042</v>
      </c>
      <c r="F3615" s="15">
        <v>2999</v>
      </c>
      <c r="G3615" s="8" t="s">
        <v>12324</v>
      </c>
      <c r="H3615" s="24" t="s">
        <v>6565</v>
      </c>
      <c r="I3615" s="25" t="s">
        <v>6475</v>
      </c>
      <c r="J3615" s="8" t="s">
        <v>6566</v>
      </c>
      <c r="K3615" s="8" t="s">
        <v>10054</v>
      </c>
      <c r="L3615" s="15">
        <v>-4.8783399999999998E-2</v>
      </c>
      <c r="M3615" s="15">
        <v>0.75972300000000004</v>
      </c>
      <c r="N3615" s="15">
        <v>0.93256891918073637</v>
      </c>
    </row>
    <row r="3616" spans="1:14" x14ac:dyDescent="0.2">
      <c r="A3616" s="2" t="s">
        <v>10068</v>
      </c>
      <c r="B3616" s="15">
        <v>1884</v>
      </c>
      <c r="C3616" s="15">
        <v>13</v>
      </c>
      <c r="D3616" s="15">
        <v>41003944</v>
      </c>
      <c r="E3616" s="15">
        <v>42037054</v>
      </c>
      <c r="F3616" s="15">
        <v>2153</v>
      </c>
      <c r="G3616" s="8" t="s">
        <v>12324</v>
      </c>
      <c r="H3616" s="24" t="s">
        <v>599</v>
      </c>
      <c r="I3616" s="25">
        <v>26562</v>
      </c>
      <c r="J3616" s="8" t="s">
        <v>601</v>
      </c>
      <c r="K3616" s="8" t="s">
        <v>10040</v>
      </c>
      <c r="L3616" s="15">
        <v>-8.0463999999999994E-2</v>
      </c>
      <c r="M3616" s="15">
        <v>0.75998900000000003</v>
      </c>
      <c r="N3616" s="15">
        <v>0.93259611725663727</v>
      </c>
    </row>
    <row r="3617" spans="1:14" x14ac:dyDescent="0.2">
      <c r="A3617" s="2" t="s">
        <v>10066</v>
      </c>
      <c r="B3617" s="15">
        <v>2024</v>
      </c>
      <c r="C3617" s="15">
        <v>14</v>
      </c>
      <c r="D3617" s="15">
        <v>98268392</v>
      </c>
      <c r="E3617" s="15">
        <v>98885322</v>
      </c>
      <c r="F3617" s="15">
        <v>2188</v>
      </c>
      <c r="G3617" s="8" t="s">
        <v>12324</v>
      </c>
      <c r="H3617" s="24" t="s">
        <v>3164</v>
      </c>
      <c r="I3617" s="25" t="s">
        <v>3165</v>
      </c>
      <c r="J3617" s="8" t="s">
        <v>3166</v>
      </c>
      <c r="K3617" s="8" t="s">
        <v>10042</v>
      </c>
      <c r="L3617" s="15">
        <v>-0.106667</v>
      </c>
      <c r="M3617" s="15">
        <v>0.76030399999999998</v>
      </c>
      <c r="N3617" s="15">
        <v>0.93259611725663727</v>
      </c>
    </row>
    <row r="3618" spans="1:14" x14ac:dyDescent="0.2">
      <c r="A3618" s="2" t="s">
        <v>10068</v>
      </c>
      <c r="B3618" s="15">
        <v>1794</v>
      </c>
      <c r="C3618" s="15">
        <v>12</v>
      </c>
      <c r="D3618" s="15">
        <v>56987106</v>
      </c>
      <c r="E3618" s="15">
        <v>58748139</v>
      </c>
      <c r="F3618" s="15">
        <v>3108</v>
      </c>
      <c r="G3618" s="8" t="s">
        <v>12324</v>
      </c>
      <c r="H3618" s="24" t="s">
        <v>6565</v>
      </c>
      <c r="I3618" s="25" t="s">
        <v>6475</v>
      </c>
      <c r="J3618" s="8" t="s">
        <v>6566</v>
      </c>
      <c r="K3618" s="8" t="s">
        <v>10054</v>
      </c>
      <c r="L3618" s="15">
        <v>-7.0344900000000002E-2</v>
      </c>
      <c r="M3618" s="15">
        <v>0.76037600000000005</v>
      </c>
      <c r="N3618" s="15">
        <v>0.93259611725663727</v>
      </c>
    </row>
    <row r="3619" spans="1:14" x14ac:dyDescent="0.2">
      <c r="A3619" s="2" t="s">
        <v>10069</v>
      </c>
      <c r="B3619" s="15">
        <v>1147</v>
      </c>
      <c r="C3619" s="15">
        <v>7</v>
      </c>
      <c r="D3619" s="15">
        <v>50894509</v>
      </c>
      <c r="E3619" s="15">
        <v>51951647</v>
      </c>
      <c r="F3619" s="15">
        <v>1759</v>
      </c>
      <c r="G3619" s="8" t="s">
        <v>12324</v>
      </c>
      <c r="H3619" s="24" t="s">
        <v>662</v>
      </c>
      <c r="I3619" s="25" t="s">
        <v>663</v>
      </c>
      <c r="J3619" s="8" t="s">
        <v>664</v>
      </c>
      <c r="K3619" s="8" t="s">
        <v>10040</v>
      </c>
      <c r="L3619" s="15">
        <v>0.10294</v>
      </c>
      <c r="M3619" s="15">
        <v>0.76137200000000005</v>
      </c>
      <c r="N3619" s="15">
        <v>0.93355952999723535</v>
      </c>
    </row>
    <row r="3620" spans="1:14" x14ac:dyDescent="0.2">
      <c r="A3620" s="2" t="s">
        <v>10068</v>
      </c>
      <c r="B3620" s="15">
        <v>2406</v>
      </c>
      <c r="C3620" s="15">
        <v>20</v>
      </c>
      <c r="D3620" s="15">
        <v>42185672</v>
      </c>
      <c r="E3620" s="15">
        <v>43008890</v>
      </c>
      <c r="F3620" s="15">
        <v>2081</v>
      </c>
      <c r="G3620" s="8" t="s">
        <v>12324</v>
      </c>
      <c r="H3620" s="24" t="s">
        <v>1259</v>
      </c>
      <c r="I3620" s="25">
        <v>27096</v>
      </c>
      <c r="J3620" s="8" t="s">
        <v>1261</v>
      </c>
      <c r="K3620" s="8" t="s">
        <v>10040</v>
      </c>
      <c r="L3620" s="15">
        <v>4.65999E-2</v>
      </c>
      <c r="M3620" s="15">
        <v>0.76240200000000002</v>
      </c>
      <c r="N3620" s="15">
        <v>0.93456408789386403</v>
      </c>
    </row>
    <row r="3621" spans="1:14" x14ac:dyDescent="0.2">
      <c r="A3621" s="2" t="s">
        <v>10068</v>
      </c>
      <c r="B3621" s="15">
        <v>388</v>
      </c>
      <c r="C3621" s="15">
        <v>2</v>
      </c>
      <c r="D3621" s="15">
        <v>210842458</v>
      </c>
      <c r="E3621" s="15">
        <v>212520453</v>
      </c>
      <c r="F3621" s="15">
        <v>3877</v>
      </c>
      <c r="G3621" s="8" t="s">
        <v>12324</v>
      </c>
      <c r="H3621" s="24" t="s">
        <v>494</v>
      </c>
      <c r="I3621" s="25">
        <v>25920</v>
      </c>
      <c r="J3621" s="8" t="s">
        <v>496</v>
      </c>
      <c r="K3621" s="8" t="s">
        <v>10040</v>
      </c>
      <c r="L3621" s="15">
        <v>9.3081700000000003E-2</v>
      </c>
      <c r="M3621" s="15">
        <v>0.762737</v>
      </c>
      <c r="N3621" s="15">
        <v>0.93471638436032056</v>
      </c>
    </row>
    <row r="3622" spans="1:14" x14ac:dyDescent="0.2">
      <c r="A3622" s="2" t="s">
        <v>10068</v>
      </c>
      <c r="B3622" s="15">
        <v>2437</v>
      </c>
      <c r="C3622" s="15">
        <v>21</v>
      </c>
      <c r="D3622" s="15">
        <v>21632917</v>
      </c>
      <c r="E3622" s="15">
        <v>22201890</v>
      </c>
      <c r="F3622" s="15">
        <v>2228</v>
      </c>
      <c r="G3622" s="8" t="s">
        <v>12324</v>
      </c>
      <c r="H3622" s="24" t="s">
        <v>1259</v>
      </c>
      <c r="I3622" s="25">
        <v>27096</v>
      </c>
      <c r="J3622" s="8" t="s">
        <v>1261</v>
      </c>
      <c r="K3622" s="8" t="s">
        <v>10040</v>
      </c>
      <c r="L3622" s="15">
        <v>-7.2746099999999994E-2</v>
      </c>
      <c r="M3622" s="15">
        <v>0.76361299999999999</v>
      </c>
      <c r="N3622" s="15">
        <v>0.93553139640883964</v>
      </c>
    </row>
    <row r="3623" spans="1:14" x14ac:dyDescent="0.2">
      <c r="A3623" s="2" t="s">
        <v>10068</v>
      </c>
      <c r="B3623" s="15">
        <v>1062</v>
      </c>
      <c r="C3623" s="15">
        <v>6</v>
      </c>
      <c r="D3623" s="15">
        <v>135544084</v>
      </c>
      <c r="E3623" s="15">
        <v>137553212</v>
      </c>
      <c r="F3623" s="15">
        <v>3653</v>
      </c>
      <c r="G3623" s="8" t="s">
        <v>12324</v>
      </c>
      <c r="H3623" s="24" t="s">
        <v>599</v>
      </c>
      <c r="I3623" s="25">
        <v>26562</v>
      </c>
      <c r="J3623" s="8" t="s">
        <v>601</v>
      </c>
      <c r="K3623" s="8" t="s">
        <v>10040</v>
      </c>
      <c r="L3623" s="15">
        <v>-7.7099000000000001E-2</v>
      </c>
      <c r="M3623" s="15">
        <v>0.76460899999999998</v>
      </c>
      <c r="N3623" s="15">
        <v>0.93630805869385514</v>
      </c>
    </row>
    <row r="3624" spans="1:14" x14ac:dyDescent="0.2">
      <c r="A3624" s="2" t="s">
        <v>10068</v>
      </c>
      <c r="B3624" s="15">
        <v>388</v>
      </c>
      <c r="C3624" s="15">
        <v>2</v>
      </c>
      <c r="D3624" s="15">
        <v>210842458</v>
      </c>
      <c r="E3624" s="15">
        <v>212520453</v>
      </c>
      <c r="F3624" s="15">
        <v>3877</v>
      </c>
      <c r="G3624" s="8" t="s">
        <v>12324</v>
      </c>
      <c r="H3624" s="24" t="s">
        <v>599</v>
      </c>
      <c r="I3624" s="25">
        <v>26562</v>
      </c>
      <c r="J3624" s="8" t="s">
        <v>601</v>
      </c>
      <c r="K3624" s="8" t="s">
        <v>10040</v>
      </c>
      <c r="L3624" s="15">
        <v>-0.110496</v>
      </c>
      <c r="M3624" s="15">
        <v>0.76529400000000003</v>
      </c>
      <c r="N3624" s="15">
        <v>0.93630805869385514</v>
      </c>
    </row>
    <row r="3625" spans="1:14" x14ac:dyDescent="0.2">
      <c r="A3625" s="2" t="s">
        <v>10068</v>
      </c>
      <c r="B3625" s="15">
        <v>2298</v>
      </c>
      <c r="C3625" s="15">
        <v>18</v>
      </c>
      <c r="D3625" s="15">
        <v>70540350</v>
      </c>
      <c r="E3625" s="15">
        <v>71491860</v>
      </c>
      <c r="F3625" s="15">
        <v>3353</v>
      </c>
      <c r="G3625" s="8" t="s">
        <v>12324</v>
      </c>
      <c r="H3625" s="24" t="s">
        <v>599</v>
      </c>
      <c r="I3625" s="25">
        <v>26562</v>
      </c>
      <c r="J3625" s="8" t="s">
        <v>601</v>
      </c>
      <c r="K3625" s="8" t="s">
        <v>10040</v>
      </c>
      <c r="L3625" s="15">
        <v>-6.2318999999999999E-2</v>
      </c>
      <c r="M3625" s="15">
        <v>0.76598599999999994</v>
      </c>
      <c r="N3625" s="15">
        <v>0.93630805869385514</v>
      </c>
    </row>
    <row r="3626" spans="1:14" x14ac:dyDescent="0.2">
      <c r="A3626" s="2" t="s">
        <v>10068</v>
      </c>
      <c r="B3626" s="15">
        <v>1089</v>
      </c>
      <c r="C3626" s="15">
        <v>6</v>
      </c>
      <c r="D3626" s="15">
        <v>165835954</v>
      </c>
      <c r="E3626" s="15">
        <v>166853325</v>
      </c>
      <c r="F3626" s="15">
        <v>3414</v>
      </c>
      <c r="G3626" s="8" t="s">
        <v>12324</v>
      </c>
      <c r="H3626" s="24" t="s">
        <v>599</v>
      </c>
      <c r="I3626" s="25">
        <v>26562</v>
      </c>
      <c r="J3626" s="8" t="s">
        <v>601</v>
      </c>
      <c r="K3626" s="8" t="s">
        <v>10040</v>
      </c>
      <c r="L3626" s="15">
        <v>6.4899100000000001E-2</v>
      </c>
      <c r="M3626" s="15">
        <v>0.76614700000000002</v>
      </c>
      <c r="N3626" s="15">
        <v>0.93630805869385514</v>
      </c>
    </row>
    <row r="3627" spans="1:14" x14ac:dyDescent="0.2">
      <c r="A3627" s="2" t="s">
        <v>10069</v>
      </c>
      <c r="B3627" s="15">
        <v>1492</v>
      </c>
      <c r="C3627" s="15">
        <v>10</v>
      </c>
      <c r="D3627" s="15">
        <v>5396243</v>
      </c>
      <c r="E3627" s="15">
        <v>6234718</v>
      </c>
      <c r="F3627" s="15">
        <v>1822</v>
      </c>
      <c r="G3627" s="8" t="s">
        <v>12324</v>
      </c>
      <c r="H3627" s="24" t="s">
        <v>662</v>
      </c>
      <c r="I3627" s="25" t="s">
        <v>663</v>
      </c>
      <c r="J3627" s="8" t="s">
        <v>664</v>
      </c>
      <c r="K3627" s="8" t="s">
        <v>10040</v>
      </c>
      <c r="L3627" s="15">
        <v>-0.104254</v>
      </c>
      <c r="M3627" s="15">
        <v>0.76477700000000004</v>
      </c>
      <c r="N3627" s="15">
        <v>0.93630805869385514</v>
      </c>
    </row>
    <row r="3628" spans="1:14" x14ac:dyDescent="0.2">
      <c r="A3628" s="2" t="s">
        <v>10068</v>
      </c>
      <c r="B3628" s="15">
        <v>2067</v>
      </c>
      <c r="C3628" s="15">
        <v>15</v>
      </c>
      <c r="D3628" s="15">
        <v>62106139</v>
      </c>
      <c r="E3628" s="15">
        <v>63218978</v>
      </c>
      <c r="F3628" s="15">
        <v>2858</v>
      </c>
      <c r="G3628" s="8" t="s">
        <v>12324</v>
      </c>
      <c r="H3628" s="24" t="s">
        <v>1259</v>
      </c>
      <c r="I3628" s="25">
        <v>27096</v>
      </c>
      <c r="J3628" s="8" t="s">
        <v>1261</v>
      </c>
      <c r="K3628" s="8" t="s">
        <v>10040</v>
      </c>
      <c r="L3628" s="15">
        <v>-6.29189E-2</v>
      </c>
      <c r="M3628" s="15">
        <v>0.76537299999999997</v>
      </c>
      <c r="N3628" s="15">
        <v>0.93630805869385514</v>
      </c>
    </row>
    <row r="3629" spans="1:14" x14ac:dyDescent="0.2">
      <c r="A3629" s="2" t="s">
        <v>10068</v>
      </c>
      <c r="B3629" s="15">
        <v>60</v>
      </c>
      <c r="C3629" s="15">
        <v>1</v>
      </c>
      <c r="D3629" s="15">
        <v>69438910</v>
      </c>
      <c r="E3629" s="15">
        <v>70992905</v>
      </c>
      <c r="F3629" s="15">
        <v>3255</v>
      </c>
      <c r="G3629" s="8" t="s">
        <v>12324</v>
      </c>
      <c r="H3629" s="24" t="s">
        <v>1259</v>
      </c>
      <c r="I3629" s="25">
        <v>27096</v>
      </c>
      <c r="J3629" s="8" t="s">
        <v>1261</v>
      </c>
      <c r="K3629" s="8" t="s">
        <v>10040</v>
      </c>
      <c r="L3629" s="15">
        <v>6.0917800000000001E-2</v>
      </c>
      <c r="M3629" s="15">
        <v>0.76568499999999995</v>
      </c>
      <c r="N3629" s="15">
        <v>0.93630805869385514</v>
      </c>
    </row>
    <row r="3630" spans="1:14" x14ac:dyDescent="0.2">
      <c r="A3630" s="2" t="s">
        <v>10068</v>
      </c>
      <c r="B3630" s="15">
        <v>2239</v>
      </c>
      <c r="C3630" s="15">
        <v>18</v>
      </c>
      <c r="D3630" s="15">
        <v>848351</v>
      </c>
      <c r="E3630" s="15">
        <v>1940211</v>
      </c>
      <c r="F3630" s="15">
        <v>3191</v>
      </c>
      <c r="G3630" s="8" t="s">
        <v>12324</v>
      </c>
      <c r="H3630" s="24" t="s">
        <v>1259</v>
      </c>
      <c r="I3630" s="25">
        <v>27096</v>
      </c>
      <c r="J3630" s="8" t="s">
        <v>1261</v>
      </c>
      <c r="K3630" s="8" t="s">
        <v>10040</v>
      </c>
      <c r="L3630" s="15">
        <v>-4.81935E-2</v>
      </c>
      <c r="M3630" s="15">
        <v>0.76588699999999998</v>
      </c>
      <c r="N3630" s="15">
        <v>0.93630805869385514</v>
      </c>
    </row>
    <row r="3631" spans="1:14" x14ac:dyDescent="0.2">
      <c r="A3631" s="2" t="s">
        <v>10066</v>
      </c>
      <c r="B3631" s="15">
        <v>1443</v>
      </c>
      <c r="C3631" s="15">
        <v>9</v>
      </c>
      <c r="D3631" s="15">
        <v>97418634</v>
      </c>
      <c r="E3631" s="15">
        <v>98885862</v>
      </c>
      <c r="F3631" s="15">
        <v>3179</v>
      </c>
      <c r="G3631" s="8" t="s">
        <v>12324</v>
      </c>
      <c r="H3631" s="24" t="s">
        <v>3164</v>
      </c>
      <c r="I3631" s="25" t="s">
        <v>3165</v>
      </c>
      <c r="J3631" s="8" t="s">
        <v>3166</v>
      </c>
      <c r="K3631" s="8" t="s">
        <v>10042</v>
      </c>
      <c r="L3631" s="15">
        <v>-9.0629199999999993E-2</v>
      </c>
      <c r="M3631" s="15">
        <v>0.76608799999999999</v>
      </c>
      <c r="N3631" s="15">
        <v>0.93630805869385514</v>
      </c>
    </row>
    <row r="3632" spans="1:14" x14ac:dyDescent="0.2">
      <c r="A3632" s="2" t="s">
        <v>10066</v>
      </c>
      <c r="B3632" s="15">
        <v>2376</v>
      </c>
      <c r="C3632" s="15">
        <v>20</v>
      </c>
      <c r="D3632" s="15">
        <v>6128359</v>
      </c>
      <c r="E3632" s="15">
        <v>7231796</v>
      </c>
      <c r="F3632" s="15">
        <v>3058</v>
      </c>
      <c r="G3632" s="8" t="s">
        <v>12324</v>
      </c>
      <c r="H3632" s="24" t="s">
        <v>3164</v>
      </c>
      <c r="I3632" s="25" t="s">
        <v>3165</v>
      </c>
      <c r="J3632" s="8" t="s">
        <v>3166</v>
      </c>
      <c r="K3632" s="8" t="s">
        <v>10042</v>
      </c>
      <c r="L3632" s="15">
        <v>5.9263299999999998E-2</v>
      </c>
      <c r="M3632" s="15">
        <v>0.76653099999999996</v>
      </c>
      <c r="N3632" s="15">
        <v>0.93651927961432502</v>
      </c>
    </row>
    <row r="3633" spans="1:14" x14ac:dyDescent="0.2">
      <c r="A3633" s="2" t="s">
        <v>10068</v>
      </c>
      <c r="B3633" s="15">
        <v>770</v>
      </c>
      <c r="C3633" s="15">
        <v>4</v>
      </c>
      <c r="D3633" s="15">
        <v>186232883</v>
      </c>
      <c r="E3633" s="15">
        <v>186881568</v>
      </c>
      <c r="F3633" s="15">
        <v>2216</v>
      </c>
      <c r="G3633" s="8" t="s">
        <v>12324</v>
      </c>
      <c r="H3633" s="24" t="s">
        <v>494</v>
      </c>
      <c r="I3633" s="25">
        <v>25920</v>
      </c>
      <c r="J3633" s="8" t="s">
        <v>496</v>
      </c>
      <c r="K3633" s="8" t="s">
        <v>10040</v>
      </c>
      <c r="L3633" s="15">
        <v>5.6381300000000002E-2</v>
      </c>
      <c r="M3633" s="15">
        <v>0.76766699999999999</v>
      </c>
      <c r="N3633" s="15">
        <v>0.93713271263418674</v>
      </c>
    </row>
    <row r="3634" spans="1:14" x14ac:dyDescent="0.2">
      <c r="A3634" s="2" t="s">
        <v>10068</v>
      </c>
      <c r="B3634" s="15">
        <v>182</v>
      </c>
      <c r="C3634" s="15">
        <v>1</v>
      </c>
      <c r="D3634" s="15">
        <v>232954943</v>
      </c>
      <c r="E3634" s="15">
        <v>233639473</v>
      </c>
      <c r="F3634" s="15">
        <v>2127</v>
      </c>
      <c r="G3634" s="8" t="s">
        <v>12324</v>
      </c>
      <c r="H3634" s="24" t="s">
        <v>1259</v>
      </c>
      <c r="I3634" s="25">
        <v>27096</v>
      </c>
      <c r="J3634" s="8" t="s">
        <v>1261</v>
      </c>
      <c r="K3634" s="8" t="s">
        <v>10040</v>
      </c>
      <c r="L3634" s="15">
        <v>-5.8825599999999999E-2</v>
      </c>
      <c r="M3634" s="15">
        <v>0.76729000000000003</v>
      </c>
      <c r="N3634" s="15">
        <v>0.93713271263418674</v>
      </c>
    </row>
    <row r="3635" spans="1:14" x14ac:dyDescent="0.2">
      <c r="A3635" s="2" t="s">
        <v>10068</v>
      </c>
      <c r="B3635" s="15">
        <v>2093</v>
      </c>
      <c r="C3635" s="15">
        <v>15</v>
      </c>
      <c r="D3635" s="15">
        <v>93707011</v>
      </c>
      <c r="E3635" s="15">
        <v>94565521</v>
      </c>
      <c r="F3635" s="15">
        <v>3254</v>
      </c>
      <c r="G3635" s="8" t="s">
        <v>12324</v>
      </c>
      <c r="H3635" s="24" t="s">
        <v>1259</v>
      </c>
      <c r="I3635" s="25">
        <v>27096</v>
      </c>
      <c r="J3635" s="8" t="s">
        <v>1261</v>
      </c>
      <c r="K3635" s="8" t="s">
        <v>10040</v>
      </c>
      <c r="L3635" s="15">
        <v>8.3542000000000005E-2</v>
      </c>
      <c r="M3635" s="15">
        <v>0.76757699999999995</v>
      </c>
      <c r="N3635" s="15">
        <v>0.93713271263418674</v>
      </c>
    </row>
    <row r="3636" spans="1:14" x14ac:dyDescent="0.2">
      <c r="A3636" s="2" t="s">
        <v>10069</v>
      </c>
      <c r="B3636" s="15">
        <v>2256</v>
      </c>
      <c r="C3636" s="15">
        <v>18</v>
      </c>
      <c r="D3636" s="15">
        <v>21622717</v>
      </c>
      <c r="E3636" s="15">
        <v>22746153</v>
      </c>
      <c r="F3636" s="15">
        <v>1915</v>
      </c>
      <c r="G3636" s="8" t="s">
        <v>12324</v>
      </c>
      <c r="H3636" s="24" t="s">
        <v>662</v>
      </c>
      <c r="I3636" s="25" t="s">
        <v>663</v>
      </c>
      <c r="J3636" s="8" t="s">
        <v>664</v>
      </c>
      <c r="K3636" s="8" t="s">
        <v>10040</v>
      </c>
      <c r="L3636" s="15">
        <v>-0.10340299999999999</v>
      </c>
      <c r="M3636" s="15">
        <v>0.768621</v>
      </c>
      <c r="N3636" s="15">
        <v>0.9374283150082463</v>
      </c>
    </row>
    <row r="3637" spans="1:14" x14ac:dyDescent="0.2">
      <c r="A3637" s="2" t="s">
        <v>10069</v>
      </c>
      <c r="B3637" s="15">
        <v>1939</v>
      </c>
      <c r="C3637" s="15">
        <v>13</v>
      </c>
      <c r="D3637" s="15">
        <v>100470869</v>
      </c>
      <c r="E3637" s="15">
        <v>101573736</v>
      </c>
      <c r="F3637" s="15">
        <v>1782</v>
      </c>
      <c r="G3637" s="8" t="s">
        <v>12324</v>
      </c>
      <c r="H3637" s="24" t="s">
        <v>662</v>
      </c>
      <c r="I3637" s="25" t="s">
        <v>663</v>
      </c>
      <c r="J3637" s="8" t="s">
        <v>664</v>
      </c>
      <c r="K3637" s="8" t="s">
        <v>10040</v>
      </c>
      <c r="L3637" s="15">
        <v>0.11791600000000001</v>
      </c>
      <c r="M3637" s="15">
        <v>0.76896600000000004</v>
      </c>
      <c r="N3637" s="15">
        <v>0.9374283150082463</v>
      </c>
    </row>
    <row r="3638" spans="1:14" x14ac:dyDescent="0.2">
      <c r="A3638" s="2" t="s">
        <v>10066</v>
      </c>
      <c r="B3638" s="15">
        <v>444</v>
      </c>
      <c r="C3638" s="15">
        <v>3</v>
      </c>
      <c r="D3638" s="15">
        <v>23426045</v>
      </c>
      <c r="E3638" s="15">
        <v>24270189</v>
      </c>
      <c r="F3638" s="15">
        <v>2189</v>
      </c>
      <c r="G3638" s="8" t="s">
        <v>12324</v>
      </c>
      <c r="H3638" s="24" t="s">
        <v>6008</v>
      </c>
      <c r="I3638" s="25" t="s">
        <v>6009</v>
      </c>
      <c r="J3638" s="8" t="s">
        <v>6010</v>
      </c>
      <c r="K3638" s="8" t="s">
        <v>10051</v>
      </c>
      <c r="L3638" s="15">
        <v>0.105292</v>
      </c>
      <c r="M3638" s="15">
        <v>0.768895</v>
      </c>
      <c r="N3638" s="15">
        <v>0.9374283150082463</v>
      </c>
    </row>
    <row r="3639" spans="1:14" x14ac:dyDescent="0.2">
      <c r="A3639" s="2" t="s">
        <v>10068</v>
      </c>
      <c r="B3639" s="15">
        <v>1305</v>
      </c>
      <c r="C3639" s="15">
        <v>8</v>
      </c>
      <c r="D3639" s="15">
        <v>70004666</v>
      </c>
      <c r="E3639" s="15">
        <v>70872088</v>
      </c>
      <c r="F3639" s="15">
        <v>2207</v>
      </c>
      <c r="G3639" s="8" t="s">
        <v>12324</v>
      </c>
      <c r="H3639" s="24" t="s">
        <v>6565</v>
      </c>
      <c r="I3639" s="25" t="s">
        <v>6475</v>
      </c>
      <c r="J3639" s="8" t="s">
        <v>6566</v>
      </c>
      <c r="K3639" s="8" t="s">
        <v>10054</v>
      </c>
      <c r="L3639" s="15">
        <v>5.9047799999999998E-2</v>
      </c>
      <c r="M3639" s="15">
        <v>0.76844800000000002</v>
      </c>
      <c r="N3639" s="15">
        <v>0.9374283150082463</v>
      </c>
    </row>
    <row r="3640" spans="1:14" x14ac:dyDescent="0.2">
      <c r="A3640" s="2" t="s">
        <v>10068</v>
      </c>
      <c r="B3640" s="15">
        <v>1192</v>
      </c>
      <c r="C3640" s="15">
        <v>7</v>
      </c>
      <c r="D3640" s="15">
        <v>106399740</v>
      </c>
      <c r="E3640" s="15">
        <v>107658603</v>
      </c>
      <c r="F3640" s="15">
        <v>2655</v>
      </c>
      <c r="G3640" s="8" t="s">
        <v>12324</v>
      </c>
      <c r="H3640" s="24" t="s">
        <v>6565</v>
      </c>
      <c r="I3640" s="25" t="s">
        <v>6475</v>
      </c>
      <c r="J3640" s="8" t="s">
        <v>6566</v>
      </c>
      <c r="K3640" s="8" t="s">
        <v>10054</v>
      </c>
      <c r="L3640" s="15">
        <v>5.2174400000000003E-2</v>
      </c>
      <c r="M3640" s="15">
        <v>0.76848899999999998</v>
      </c>
      <c r="N3640" s="15">
        <v>0.9374283150082463</v>
      </c>
    </row>
    <row r="3641" spans="1:14" x14ac:dyDescent="0.2">
      <c r="A3641" s="2" t="s">
        <v>10068</v>
      </c>
      <c r="B3641" s="15">
        <v>1266</v>
      </c>
      <c r="C3641" s="15">
        <v>8</v>
      </c>
      <c r="D3641" s="15">
        <v>20812108</v>
      </c>
      <c r="E3641" s="15">
        <v>21650453</v>
      </c>
      <c r="F3641" s="15">
        <v>2689</v>
      </c>
      <c r="G3641" s="8" t="s">
        <v>12324</v>
      </c>
      <c r="H3641" s="24" t="s">
        <v>599</v>
      </c>
      <c r="I3641" s="25">
        <v>26562</v>
      </c>
      <c r="J3641" s="8" t="s">
        <v>601</v>
      </c>
      <c r="K3641" s="8" t="s">
        <v>10040</v>
      </c>
      <c r="L3641" s="15">
        <v>-6.9808800000000004E-2</v>
      </c>
      <c r="M3641" s="15">
        <v>0.76937999999999995</v>
      </c>
      <c r="N3641" s="15">
        <v>0.93767526793075018</v>
      </c>
    </row>
    <row r="3642" spans="1:14" x14ac:dyDescent="0.2">
      <c r="A3642" s="2" t="s">
        <v>10068</v>
      </c>
      <c r="B3642" s="15">
        <v>1032</v>
      </c>
      <c r="C3642" s="15">
        <v>6</v>
      </c>
      <c r="D3642" s="15">
        <v>101793543</v>
      </c>
      <c r="E3642" s="15">
        <v>102637706</v>
      </c>
      <c r="F3642" s="15">
        <v>2161</v>
      </c>
      <c r="G3642" s="8" t="s">
        <v>12324</v>
      </c>
      <c r="H3642" s="24" t="s">
        <v>494</v>
      </c>
      <c r="I3642" s="25">
        <v>25920</v>
      </c>
      <c r="J3642" s="8" t="s">
        <v>496</v>
      </c>
      <c r="K3642" s="8" t="s">
        <v>10040</v>
      </c>
      <c r="L3642" s="15">
        <v>-4.9930299999999997E-2</v>
      </c>
      <c r="M3642" s="15">
        <v>0.76985700000000001</v>
      </c>
      <c r="N3642" s="15">
        <v>0.93799884478021966</v>
      </c>
    </row>
    <row r="3643" spans="1:14" x14ac:dyDescent="0.2">
      <c r="A3643" s="2" t="s">
        <v>10069</v>
      </c>
      <c r="B3643" s="15">
        <v>2197</v>
      </c>
      <c r="C3643" s="15">
        <v>17</v>
      </c>
      <c r="D3643" s="15">
        <v>29783142</v>
      </c>
      <c r="E3643" s="15">
        <v>31318753</v>
      </c>
      <c r="F3643" s="15">
        <v>2185</v>
      </c>
      <c r="G3643" s="8" t="s">
        <v>12324</v>
      </c>
      <c r="H3643" s="24" t="s">
        <v>662</v>
      </c>
      <c r="I3643" s="25" t="s">
        <v>663</v>
      </c>
      <c r="J3643" s="8" t="s">
        <v>664</v>
      </c>
      <c r="K3643" s="8" t="s">
        <v>10040</v>
      </c>
      <c r="L3643" s="15">
        <v>7.3505100000000004E-2</v>
      </c>
      <c r="M3643" s="15">
        <v>0.77007899999999996</v>
      </c>
      <c r="N3643" s="15">
        <v>0.93801163553968681</v>
      </c>
    </row>
    <row r="3644" spans="1:14" x14ac:dyDescent="0.2">
      <c r="A3644" s="2" t="s">
        <v>10069</v>
      </c>
      <c r="B3644" s="15">
        <v>2458</v>
      </c>
      <c r="C3644" s="15">
        <v>21</v>
      </c>
      <c r="D3644" s="15">
        <v>43812792</v>
      </c>
      <c r="E3644" s="15">
        <v>44815008</v>
      </c>
      <c r="F3644" s="15">
        <v>2580</v>
      </c>
      <c r="G3644" s="8" t="s">
        <v>12324</v>
      </c>
      <c r="H3644" s="24" t="s">
        <v>662</v>
      </c>
      <c r="I3644" s="25" t="s">
        <v>663</v>
      </c>
      <c r="J3644" s="8" t="s">
        <v>664</v>
      </c>
      <c r="K3644" s="8" t="s">
        <v>10040</v>
      </c>
      <c r="L3644" s="15">
        <v>-0.114241</v>
      </c>
      <c r="M3644" s="15">
        <v>0.77081699999999997</v>
      </c>
      <c r="N3644" s="15">
        <v>0.93813759467617996</v>
      </c>
    </row>
    <row r="3645" spans="1:14" x14ac:dyDescent="0.2">
      <c r="A3645" s="2" t="s">
        <v>10068</v>
      </c>
      <c r="B3645" s="15">
        <v>2249</v>
      </c>
      <c r="C3645" s="15">
        <v>18</v>
      </c>
      <c r="D3645" s="15">
        <v>10675549</v>
      </c>
      <c r="E3645" s="15">
        <v>11872226</v>
      </c>
      <c r="F3645" s="15">
        <v>3838</v>
      </c>
      <c r="G3645" s="8" t="s">
        <v>12324</v>
      </c>
      <c r="H3645" s="24" t="s">
        <v>1259</v>
      </c>
      <c r="I3645" s="25">
        <v>27096</v>
      </c>
      <c r="J3645" s="8" t="s">
        <v>1261</v>
      </c>
      <c r="K3645" s="8" t="s">
        <v>10040</v>
      </c>
      <c r="L3645" s="15">
        <v>-0.103445</v>
      </c>
      <c r="M3645" s="15">
        <v>0.77074399999999998</v>
      </c>
      <c r="N3645" s="15">
        <v>0.93813759467617996</v>
      </c>
    </row>
    <row r="3646" spans="1:14" x14ac:dyDescent="0.2">
      <c r="A3646" s="2" t="s">
        <v>10066</v>
      </c>
      <c r="B3646" s="15">
        <v>2387</v>
      </c>
      <c r="C3646" s="15">
        <v>20</v>
      </c>
      <c r="D3646" s="15">
        <v>16661517</v>
      </c>
      <c r="E3646" s="15">
        <v>17359290</v>
      </c>
      <c r="F3646" s="15">
        <v>2175</v>
      </c>
      <c r="G3646" s="8" t="s">
        <v>12324</v>
      </c>
      <c r="H3646" s="24" t="s">
        <v>3164</v>
      </c>
      <c r="I3646" s="25" t="s">
        <v>3165</v>
      </c>
      <c r="J3646" s="8" t="s">
        <v>3166</v>
      </c>
      <c r="K3646" s="8" t="s">
        <v>10042</v>
      </c>
      <c r="L3646" s="15">
        <v>-5.6717900000000002E-2</v>
      </c>
      <c r="M3646" s="15">
        <v>0.77064299999999997</v>
      </c>
      <c r="N3646" s="15">
        <v>0.93813759467617996</v>
      </c>
    </row>
    <row r="3647" spans="1:14" x14ac:dyDescent="0.2">
      <c r="A3647" s="2" t="s">
        <v>10068</v>
      </c>
      <c r="B3647" s="15">
        <v>1283</v>
      </c>
      <c r="C3647" s="15">
        <v>8</v>
      </c>
      <c r="D3647" s="15">
        <v>40974255</v>
      </c>
      <c r="E3647" s="15">
        <v>41725002</v>
      </c>
      <c r="F3647" s="15">
        <v>2288</v>
      </c>
      <c r="G3647" s="8" t="s">
        <v>12324</v>
      </c>
      <c r="H3647" s="24" t="s">
        <v>494</v>
      </c>
      <c r="I3647" s="25">
        <v>25920</v>
      </c>
      <c r="J3647" s="8" t="s">
        <v>496</v>
      </c>
      <c r="K3647" s="8" t="s">
        <v>10040</v>
      </c>
      <c r="L3647" s="15">
        <v>-0.112355</v>
      </c>
      <c r="M3647" s="15">
        <v>0.77126099999999997</v>
      </c>
      <c r="N3647" s="15">
        <v>0.93842044855967077</v>
      </c>
    </row>
    <row r="3648" spans="1:14" x14ac:dyDescent="0.2">
      <c r="A3648" s="2" t="s">
        <v>10066</v>
      </c>
      <c r="B3648" s="15">
        <v>1731</v>
      </c>
      <c r="C3648" s="15">
        <v>11</v>
      </c>
      <c r="D3648" s="15">
        <v>126304241</v>
      </c>
      <c r="E3648" s="15">
        <v>127306871</v>
      </c>
      <c r="F3648" s="15">
        <v>2956</v>
      </c>
      <c r="G3648" s="8" t="s">
        <v>12324</v>
      </c>
      <c r="H3648" s="24" t="s">
        <v>6008</v>
      </c>
      <c r="I3648" s="25" t="s">
        <v>6009</v>
      </c>
      <c r="J3648" s="8" t="s">
        <v>6010</v>
      </c>
      <c r="K3648" s="8" t="s">
        <v>10051</v>
      </c>
      <c r="L3648" s="15">
        <v>5.3650099999999999E-2</v>
      </c>
      <c r="M3648" s="15">
        <v>0.77157699999999996</v>
      </c>
      <c r="N3648" s="15">
        <v>0.93854744788809652</v>
      </c>
    </row>
    <row r="3649" spans="1:14" x14ac:dyDescent="0.2">
      <c r="A3649" s="2" t="s">
        <v>10068</v>
      </c>
      <c r="B3649" s="15">
        <v>2091</v>
      </c>
      <c r="C3649" s="15">
        <v>15</v>
      </c>
      <c r="D3649" s="15">
        <v>91593624</v>
      </c>
      <c r="E3649" s="15">
        <v>92675405</v>
      </c>
      <c r="F3649" s="15">
        <v>3014</v>
      </c>
      <c r="G3649" s="8" t="s">
        <v>12324</v>
      </c>
      <c r="H3649" s="24" t="s">
        <v>494</v>
      </c>
      <c r="I3649" s="25">
        <v>25920</v>
      </c>
      <c r="J3649" s="8" t="s">
        <v>496</v>
      </c>
      <c r="K3649" s="8" t="s">
        <v>10040</v>
      </c>
      <c r="L3649" s="15">
        <v>-7.5875200000000004E-2</v>
      </c>
      <c r="M3649" s="15">
        <v>0.77211399999999997</v>
      </c>
      <c r="N3649" s="15">
        <v>0.93868574287280693</v>
      </c>
    </row>
    <row r="3650" spans="1:14" x14ac:dyDescent="0.2">
      <c r="A3650" s="2" t="s">
        <v>10069</v>
      </c>
      <c r="B3650" s="15">
        <v>301</v>
      </c>
      <c r="C3650" s="15">
        <v>2</v>
      </c>
      <c r="D3650" s="15">
        <v>105120579</v>
      </c>
      <c r="E3650" s="15">
        <v>106546524</v>
      </c>
      <c r="F3650" s="15">
        <v>2605</v>
      </c>
      <c r="G3650" s="8" t="s">
        <v>12324</v>
      </c>
      <c r="H3650" s="24" t="s">
        <v>662</v>
      </c>
      <c r="I3650" s="25" t="s">
        <v>663</v>
      </c>
      <c r="J3650" s="8" t="s">
        <v>664</v>
      </c>
      <c r="K3650" s="8" t="s">
        <v>10040</v>
      </c>
      <c r="L3650" s="15">
        <v>-9.7605600000000001E-2</v>
      </c>
      <c r="M3650" s="15">
        <v>0.77190599999999998</v>
      </c>
      <c r="N3650" s="15">
        <v>0.93868574287280693</v>
      </c>
    </row>
    <row r="3651" spans="1:14" x14ac:dyDescent="0.2">
      <c r="A3651" s="2" t="s">
        <v>10068</v>
      </c>
      <c r="B3651" s="15">
        <v>938</v>
      </c>
      <c r="C3651" s="15">
        <v>6</v>
      </c>
      <c r="D3651" s="15">
        <v>15069422</v>
      </c>
      <c r="E3651" s="15">
        <v>16566882</v>
      </c>
      <c r="F3651" s="15">
        <v>4116</v>
      </c>
      <c r="G3651" s="8" t="s">
        <v>12324</v>
      </c>
      <c r="H3651" s="24" t="s">
        <v>1259</v>
      </c>
      <c r="I3651" s="25">
        <v>27096</v>
      </c>
      <c r="J3651" s="8" t="s">
        <v>1261</v>
      </c>
      <c r="K3651" s="8" t="s">
        <v>10040</v>
      </c>
      <c r="L3651" s="15">
        <v>-9.4512499999999999E-2</v>
      </c>
      <c r="M3651" s="15">
        <v>0.772401</v>
      </c>
      <c r="N3651" s="15">
        <v>0.93877731844340917</v>
      </c>
    </row>
    <row r="3652" spans="1:14" x14ac:dyDescent="0.2">
      <c r="A3652" s="2" t="s">
        <v>10068</v>
      </c>
      <c r="B3652" s="15">
        <v>1913</v>
      </c>
      <c r="C3652" s="15">
        <v>13</v>
      </c>
      <c r="D3652" s="15">
        <v>73114510</v>
      </c>
      <c r="E3652" s="15">
        <v>74437635</v>
      </c>
      <c r="F3652" s="15">
        <v>3725</v>
      </c>
      <c r="G3652" s="8" t="s">
        <v>12324</v>
      </c>
      <c r="H3652" s="24" t="s">
        <v>494</v>
      </c>
      <c r="I3652" s="25">
        <v>25920</v>
      </c>
      <c r="J3652" s="8" t="s">
        <v>496</v>
      </c>
      <c r="K3652" s="8" t="s">
        <v>10040</v>
      </c>
      <c r="L3652" s="15">
        <v>-5.7433199999999997E-2</v>
      </c>
      <c r="M3652" s="15">
        <v>0.77282799999999996</v>
      </c>
      <c r="N3652" s="15">
        <v>0.93894678845101265</v>
      </c>
    </row>
    <row r="3653" spans="1:14" x14ac:dyDescent="0.2">
      <c r="A3653" s="2" t="s">
        <v>10068</v>
      </c>
      <c r="B3653" s="15">
        <v>175</v>
      </c>
      <c r="C3653" s="15">
        <v>1</v>
      </c>
      <c r="D3653" s="15">
        <v>224943338</v>
      </c>
      <c r="E3653" s="15">
        <v>226534711</v>
      </c>
      <c r="F3653" s="15">
        <v>3828</v>
      </c>
      <c r="G3653" s="8" t="s">
        <v>12324</v>
      </c>
      <c r="H3653" s="24" t="s">
        <v>599</v>
      </c>
      <c r="I3653" s="25">
        <v>26562</v>
      </c>
      <c r="J3653" s="8" t="s">
        <v>601</v>
      </c>
      <c r="K3653" s="8" t="s">
        <v>10040</v>
      </c>
      <c r="L3653" s="15">
        <v>6.8213800000000005E-2</v>
      </c>
      <c r="M3653" s="15">
        <v>0.77314899999999998</v>
      </c>
      <c r="N3653" s="15">
        <v>0.93894678845101265</v>
      </c>
    </row>
    <row r="3654" spans="1:14" x14ac:dyDescent="0.2">
      <c r="A3654" s="2" t="s">
        <v>10068</v>
      </c>
      <c r="B3654" s="15">
        <v>673</v>
      </c>
      <c r="C3654" s="15">
        <v>4</v>
      </c>
      <c r="D3654" s="15">
        <v>79880102</v>
      </c>
      <c r="E3654" s="15">
        <v>81206182</v>
      </c>
      <c r="F3654" s="15">
        <v>3146</v>
      </c>
      <c r="G3654" s="8" t="s">
        <v>12324</v>
      </c>
      <c r="H3654" s="24" t="s">
        <v>599</v>
      </c>
      <c r="I3654" s="25">
        <v>26562</v>
      </c>
      <c r="J3654" s="8" t="s">
        <v>601</v>
      </c>
      <c r="K3654" s="8" t="s">
        <v>10040</v>
      </c>
      <c r="L3654" s="15">
        <v>5.1259199999999998E-2</v>
      </c>
      <c r="M3654" s="15">
        <v>0.77345200000000003</v>
      </c>
      <c r="N3654" s="15">
        <v>0.93894678845101265</v>
      </c>
    </row>
    <row r="3655" spans="1:14" x14ac:dyDescent="0.2">
      <c r="A3655" s="2" t="s">
        <v>10069</v>
      </c>
      <c r="B3655" s="15">
        <v>2271</v>
      </c>
      <c r="C3655" s="15">
        <v>18</v>
      </c>
      <c r="D3655" s="15">
        <v>41425455</v>
      </c>
      <c r="E3655" s="15">
        <v>42974165</v>
      </c>
      <c r="F3655" s="15">
        <v>2195</v>
      </c>
      <c r="G3655" s="8" t="s">
        <v>12324</v>
      </c>
      <c r="H3655" s="24" t="s">
        <v>662</v>
      </c>
      <c r="I3655" s="25" t="s">
        <v>663</v>
      </c>
      <c r="J3655" s="8" t="s">
        <v>664</v>
      </c>
      <c r="K3655" s="8" t="s">
        <v>10040</v>
      </c>
      <c r="L3655" s="15">
        <v>-9.5874200000000007E-2</v>
      </c>
      <c r="M3655" s="15">
        <v>0.77359900000000004</v>
      </c>
      <c r="N3655" s="15">
        <v>0.93894678845101265</v>
      </c>
    </row>
    <row r="3656" spans="1:14" x14ac:dyDescent="0.2">
      <c r="A3656" s="2" t="s">
        <v>10068</v>
      </c>
      <c r="B3656" s="15">
        <v>1937</v>
      </c>
      <c r="C3656" s="15">
        <v>13</v>
      </c>
      <c r="D3656" s="15">
        <v>98527336</v>
      </c>
      <c r="E3656" s="15">
        <v>99402294</v>
      </c>
      <c r="F3656" s="15">
        <v>2673</v>
      </c>
      <c r="G3656" s="8" t="s">
        <v>12324</v>
      </c>
      <c r="H3656" s="24" t="s">
        <v>1259</v>
      </c>
      <c r="I3656" s="25">
        <v>27096</v>
      </c>
      <c r="J3656" s="8" t="s">
        <v>1261</v>
      </c>
      <c r="K3656" s="8" t="s">
        <v>10040</v>
      </c>
      <c r="L3656" s="15">
        <v>4.6936899999999997E-2</v>
      </c>
      <c r="M3656" s="15">
        <v>0.77339000000000002</v>
      </c>
      <c r="N3656" s="15">
        <v>0.93894678845101265</v>
      </c>
    </row>
    <row r="3657" spans="1:14" x14ac:dyDescent="0.2">
      <c r="A3657" s="2" t="s">
        <v>10068</v>
      </c>
      <c r="B3657" s="15">
        <v>589</v>
      </c>
      <c r="C3657" s="15">
        <v>3</v>
      </c>
      <c r="D3657" s="15">
        <v>192049689</v>
      </c>
      <c r="E3657" s="15">
        <v>193122090</v>
      </c>
      <c r="F3657" s="15">
        <v>2947</v>
      </c>
      <c r="G3657" s="8" t="s">
        <v>12324</v>
      </c>
      <c r="H3657" s="24" t="s">
        <v>494</v>
      </c>
      <c r="I3657" s="25">
        <v>25920</v>
      </c>
      <c r="J3657" s="8" t="s">
        <v>496</v>
      </c>
      <c r="K3657" s="8" t="s">
        <v>10040</v>
      </c>
      <c r="L3657" s="15">
        <v>4.7381399999999997E-2</v>
      </c>
      <c r="M3657" s="15">
        <v>0.77410999999999996</v>
      </c>
      <c r="N3657" s="15">
        <v>0.939053022428884</v>
      </c>
    </row>
    <row r="3658" spans="1:14" x14ac:dyDescent="0.2">
      <c r="A3658" s="2" t="s">
        <v>10068</v>
      </c>
      <c r="B3658" s="15">
        <v>1843</v>
      </c>
      <c r="C3658" s="15">
        <v>12</v>
      </c>
      <c r="D3658" s="15">
        <v>114685671</v>
      </c>
      <c r="E3658" s="15">
        <v>115439451</v>
      </c>
      <c r="F3658" s="15">
        <v>2286</v>
      </c>
      <c r="G3658" s="8" t="s">
        <v>12324</v>
      </c>
      <c r="H3658" s="24" t="s">
        <v>6565</v>
      </c>
      <c r="I3658" s="25" t="s">
        <v>6475</v>
      </c>
      <c r="J3658" s="8" t="s">
        <v>6566</v>
      </c>
      <c r="K3658" s="8" t="s">
        <v>10054</v>
      </c>
      <c r="L3658" s="15">
        <v>-5.3106E-2</v>
      </c>
      <c r="M3658" s="15">
        <v>0.77408999999999994</v>
      </c>
      <c r="N3658" s="15">
        <v>0.939053022428884</v>
      </c>
    </row>
    <row r="3659" spans="1:14" x14ac:dyDescent="0.2">
      <c r="A3659" s="2" t="s">
        <v>10068</v>
      </c>
      <c r="B3659" s="15">
        <v>1482</v>
      </c>
      <c r="C3659" s="15">
        <v>9</v>
      </c>
      <c r="D3659" s="15">
        <v>138202113</v>
      </c>
      <c r="E3659" s="15">
        <v>138995791</v>
      </c>
      <c r="F3659" s="15">
        <v>2601</v>
      </c>
      <c r="G3659" s="8" t="s">
        <v>12324</v>
      </c>
      <c r="H3659" s="24" t="s">
        <v>1259</v>
      </c>
      <c r="I3659" s="25">
        <v>27096</v>
      </c>
      <c r="J3659" s="8" t="s">
        <v>1261</v>
      </c>
      <c r="K3659" s="8" t="s">
        <v>10040</v>
      </c>
      <c r="L3659" s="15">
        <v>4.6236899999999997E-2</v>
      </c>
      <c r="M3659" s="15">
        <v>0.77475799999999995</v>
      </c>
      <c r="N3659" s="15">
        <v>0.93958209734755249</v>
      </c>
    </row>
    <row r="3660" spans="1:14" x14ac:dyDescent="0.2">
      <c r="A3660" s="2" t="s">
        <v>10066</v>
      </c>
      <c r="B3660" s="15">
        <v>1753</v>
      </c>
      <c r="C3660" s="15">
        <v>12</v>
      </c>
      <c r="D3660" s="15">
        <v>12721875</v>
      </c>
      <c r="E3660" s="15">
        <v>13559527</v>
      </c>
      <c r="F3660" s="15">
        <v>2036</v>
      </c>
      <c r="G3660" s="8" t="s">
        <v>12324</v>
      </c>
      <c r="H3660" s="24" t="s">
        <v>6008</v>
      </c>
      <c r="I3660" s="25" t="s">
        <v>6009</v>
      </c>
      <c r="J3660" s="8" t="s">
        <v>6010</v>
      </c>
      <c r="K3660" s="8" t="s">
        <v>10051</v>
      </c>
      <c r="L3660" s="15">
        <v>5.0764700000000003E-2</v>
      </c>
      <c r="M3660" s="15">
        <v>0.77508699999999997</v>
      </c>
      <c r="N3660" s="15">
        <v>0.93972412383816295</v>
      </c>
    </row>
    <row r="3661" spans="1:14" x14ac:dyDescent="0.2">
      <c r="A3661" s="2" t="s">
        <v>10066</v>
      </c>
      <c r="B3661" s="15">
        <v>123</v>
      </c>
      <c r="C3661" s="15">
        <v>1</v>
      </c>
      <c r="D3661" s="15">
        <v>165553813</v>
      </c>
      <c r="E3661" s="15">
        <v>166458031</v>
      </c>
      <c r="F3661" s="15">
        <v>2176</v>
      </c>
      <c r="G3661" s="8" t="s">
        <v>12324</v>
      </c>
      <c r="H3661" s="24" t="s">
        <v>6008</v>
      </c>
      <c r="I3661" s="25" t="s">
        <v>6009</v>
      </c>
      <c r="J3661" s="8" t="s">
        <v>6010</v>
      </c>
      <c r="K3661" s="8" t="s">
        <v>10051</v>
      </c>
      <c r="L3661" s="15">
        <v>-6.6673999999999997E-2</v>
      </c>
      <c r="M3661" s="15">
        <v>0.77531300000000003</v>
      </c>
      <c r="N3661" s="15">
        <v>0.93974122847772623</v>
      </c>
    </row>
    <row r="3662" spans="1:14" x14ac:dyDescent="0.2">
      <c r="A3662" s="2" t="s">
        <v>10068</v>
      </c>
      <c r="B3662" s="15">
        <v>2385</v>
      </c>
      <c r="C3662" s="15">
        <v>20</v>
      </c>
      <c r="D3662" s="15">
        <v>15238520</v>
      </c>
      <c r="E3662" s="15">
        <v>15962576</v>
      </c>
      <c r="F3662" s="15">
        <v>2161</v>
      </c>
      <c r="G3662" s="8" t="s">
        <v>12324</v>
      </c>
      <c r="H3662" s="24" t="s">
        <v>494</v>
      </c>
      <c r="I3662" s="25">
        <v>25920</v>
      </c>
      <c r="J3662" s="8" t="s">
        <v>496</v>
      </c>
      <c r="K3662" s="8" t="s">
        <v>10040</v>
      </c>
      <c r="L3662" s="15">
        <v>3.6472200000000003E-2</v>
      </c>
      <c r="M3662" s="15">
        <v>0.775559</v>
      </c>
      <c r="N3662" s="15">
        <v>0.9397825587431694</v>
      </c>
    </row>
    <row r="3663" spans="1:14" x14ac:dyDescent="0.2">
      <c r="A3663" s="2" t="s">
        <v>10066</v>
      </c>
      <c r="B3663" s="15">
        <v>2215</v>
      </c>
      <c r="C3663" s="15">
        <v>17</v>
      </c>
      <c r="D3663" s="15">
        <v>53468007</v>
      </c>
      <c r="E3663" s="15">
        <v>54950107</v>
      </c>
      <c r="F3663" s="15">
        <v>3507</v>
      </c>
      <c r="G3663" s="8" t="s">
        <v>12324</v>
      </c>
      <c r="H3663" s="24" t="s">
        <v>6008</v>
      </c>
      <c r="I3663" s="25" t="s">
        <v>6009</v>
      </c>
      <c r="J3663" s="8" t="s">
        <v>6010</v>
      </c>
      <c r="K3663" s="8" t="s">
        <v>10051</v>
      </c>
      <c r="L3663" s="15">
        <v>-5.34682E-2</v>
      </c>
      <c r="M3663" s="15">
        <v>0.77582799999999996</v>
      </c>
      <c r="N3663" s="15">
        <v>0.93985172903578251</v>
      </c>
    </row>
    <row r="3664" spans="1:14" x14ac:dyDescent="0.2">
      <c r="A3664" s="2" t="s">
        <v>10066</v>
      </c>
      <c r="B3664" s="15">
        <v>1954</v>
      </c>
      <c r="C3664" s="15">
        <v>14</v>
      </c>
      <c r="D3664" s="15">
        <v>19000059</v>
      </c>
      <c r="E3664" s="15">
        <v>20876080</v>
      </c>
      <c r="F3664" s="15">
        <v>2271</v>
      </c>
      <c r="G3664" s="8" t="s">
        <v>12324</v>
      </c>
      <c r="H3664" s="24" t="s">
        <v>3164</v>
      </c>
      <c r="I3664" s="25" t="s">
        <v>3165</v>
      </c>
      <c r="J3664" s="8" t="s">
        <v>3166</v>
      </c>
      <c r="K3664" s="8" t="s">
        <v>10042</v>
      </c>
      <c r="L3664" s="15">
        <v>3.5420699999999999E-2</v>
      </c>
      <c r="M3664" s="15">
        <v>0.77665399999999996</v>
      </c>
      <c r="N3664" s="15">
        <v>0.94059543691971603</v>
      </c>
    </row>
    <row r="3665" spans="1:14" x14ac:dyDescent="0.2">
      <c r="A3665" s="2" t="s">
        <v>10068</v>
      </c>
      <c r="B3665" s="15">
        <v>224</v>
      </c>
      <c r="C3665" s="15">
        <v>2</v>
      </c>
      <c r="D3665" s="15">
        <v>20064518</v>
      </c>
      <c r="E3665" s="15">
        <v>21084898</v>
      </c>
      <c r="F3665" s="15">
        <v>2702</v>
      </c>
      <c r="G3665" s="8" t="s">
        <v>12324</v>
      </c>
      <c r="H3665" s="24" t="s">
        <v>599</v>
      </c>
      <c r="I3665" s="25">
        <v>26562</v>
      </c>
      <c r="J3665" s="8" t="s">
        <v>601</v>
      </c>
      <c r="K3665" s="8" t="s">
        <v>10040</v>
      </c>
      <c r="L3665" s="15">
        <v>-7.2377999999999998E-2</v>
      </c>
      <c r="M3665" s="15">
        <v>0.77734999999999999</v>
      </c>
      <c r="N3665" s="15">
        <v>0.94091217462482957</v>
      </c>
    </row>
    <row r="3666" spans="1:14" x14ac:dyDescent="0.2">
      <c r="A3666" s="2" t="s">
        <v>10069</v>
      </c>
      <c r="B3666" s="15">
        <v>1934</v>
      </c>
      <c r="C3666" s="15">
        <v>13</v>
      </c>
      <c r="D3666" s="15">
        <v>94925137</v>
      </c>
      <c r="E3666" s="15">
        <v>96132647</v>
      </c>
      <c r="F3666" s="15">
        <v>2756</v>
      </c>
      <c r="G3666" s="8" t="s">
        <v>12324</v>
      </c>
      <c r="H3666" s="24" t="s">
        <v>662</v>
      </c>
      <c r="I3666" s="25" t="s">
        <v>663</v>
      </c>
      <c r="J3666" s="8" t="s">
        <v>664</v>
      </c>
      <c r="K3666" s="8" t="s">
        <v>10040</v>
      </c>
      <c r="L3666" s="15">
        <v>-8.3022700000000005E-2</v>
      </c>
      <c r="M3666" s="15">
        <v>0.77729899999999996</v>
      </c>
      <c r="N3666" s="15">
        <v>0.94091217462482957</v>
      </c>
    </row>
    <row r="3667" spans="1:14" x14ac:dyDescent="0.2">
      <c r="A3667" s="2" t="s">
        <v>10066</v>
      </c>
      <c r="B3667" s="15">
        <v>1481</v>
      </c>
      <c r="C3667" s="15">
        <v>9</v>
      </c>
      <c r="D3667" s="15">
        <v>137593528</v>
      </c>
      <c r="E3667" s="15">
        <v>138202112</v>
      </c>
      <c r="F3667" s="15">
        <v>2654</v>
      </c>
      <c r="G3667" s="8" t="s">
        <v>12324</v>
      </c>
      <c r="H3667" s="24" t="s">
        <v>3164</v>
      </c>
      <c r="I3667" s="25" t="s">
        <v>3165</v>
      </c>
      <c r="J3667" s="8" t="s">
        <v>3166</v>
      </c>
      <c r="K3667" s="8" t="s">
        <v>10042</v>
      </c>
      <c r="L3667" s="15">
        <v>5.6550599999999999E-2</v>
      </c>
      <c r="M3667" s="15">
        <v>0.77755200000000002</v>
      </c>
      <c r="N3667" s="15">
        <v>0.94091217462482957</v>
      </c>
    </row>
    <row r="3668" spans="1:14" x14ac:dyDescent="0.2">
      <c r="A3668" s="2" t="s">
        <v>10068</v>
      </c>
      <c r="B3668" s="15">
        <v>1859</v>
      </c>
      <c r="C3668" s="15">
        <v>12</v>
      </c>
      <c r="D3668" s="15">
        <v>130629841</v>
      </c>
      <c r="E3668" s="15">
        <v>131404042</v>
      </c>
      <c r="F3668" s="15">
        <v>2999</v>
      </c>
      <c r="G3668" s="8" t="s">
        <v>12324</v>
      </c>
      <c r="H3668" s="24" t="s">
        <v>599</v>
      </c>
      <c r="I3668" s="25">
        <v>26562</v>
      </c>
      <c r="J3668" s="8" t="s">
        <v>601</v>
      </c>
      <c r="K3668" s="8" t="s">
        <v>10040</v>
      </c>
      <c r="L3668" s="15">
        <v>3.3963800000000002E-2</v>
      </c>
      <c r="M3668" s="15">
        <v>0.777895</v>
      </c>
      <c r="N3668" s="15">
        <v>0.94094566130351798</v>
      </c>
    </row>
    <row r="3669" spans="1:14" x14ac:dyDescent="0.2">
      <c r="A3669" s="2" t="s">
        <v>10068</v>
      </c>
      <c r="B3669" s="15">
        <v>1685</v>
      </c>
      <c r="C3669" s="15">
        <v>11</v>
      </c>
      <c r="D3669" s="15">
        <v>78912253</v>
      </c>
      <c r="E3669" s="15">
        <v>79802286</v>
      </c>
      <c r="F3669" s="15">
        <v>2492</v>
      </c>
      <c r="G3669" s="8" t="s">
        <v>12324</v>
      </c>
      <c r="H3669" s="24" t="s">
        <v>1259</v>
      </c>
      <c r="I3669" s="25">
        <v>27096</v>
      </c>
      <c r="J3669" s="8" t="s">
        <v>1261</v>
      </c>
      <c r="K3669" s="8" t="s">
        <v>10040</v>
      </c>
      <c r="L3669" s="15">
        <v>9.3910599999999997E-2</v>
      </c>
      <c r="M3669" s="15">
        <v>0.77800400000000003</v>
      </c>
      <c r="N3669" s="15">
        <v>0.94094566130351798</v>
      </c>
    </row>
    <row r="3670" spans="1:14" x14ac:dyDescent="0.2">
      <c r="A3670" s="2" t="s">
        <v>10068</v>
      </c>
      <c r="B3670" s="15">
        <v>2226</v>
      </c>
      <c r="C3670" s="15">
        <v>17</v>
      </c>
      <c r="D3670" s="15">
        <v>69245591</v>
      </c>
      <c r="E3670" s="15">
        <v>70495119</v>
      </c>
      <c r="F3670" s="15">
        <v>3010</v>
      </c>
      <c r="G3670" s="8" t="s">
        <v>12324</v>
      </c>
      <c r="H3670" s="24" t="s">
        <v>6565</v>
      </c>
      <c r="I3670" s="25" t="s">
        <v>6475</v>
      </c>
      <c r="J3670" s="8" t="s">
        <v>6566</v>
      </c>
      <c r="K3670" s="8" t="s">
        <v>10054</v>
      </c>
      <c r="L3670" s="15">
        <v>6.2688499999999994E-2</v>
      </c>
      <c r="M3670" s="15">
        <v>0.77841800000000005</v>
      </c>
      <c r="N3670" s="15">
        <v>0.94118970283533276</v>
      </c>
    </row>
    <row r="3671" spans="1:14" x14ac:dyDescent="0.2">
      <c r="A3671" s="2" t="s">
        <v>10068</v>
      </c>
      <c r="B3671" s="15">
        <v>908</v>
      </c>
      <c r="C3671" s="15">
        <v>5</v>
      </c>
      <c r="D3671" s="15">
        <v>158484776</v>
      </c>
      <c r="E3671" s="15">
        <v>159663733</v>
      </c>
      <c r="F3671" s="15">
        <v>3099</v>
      </c>
      <c r="G3671" s="8" t="s">
        <v>12324</v>
      </c>
      <c r="H3671" s="24" t="s">
        <v>599</v>
      </c>
      <c r="I3671" s="25">
        <v>26562</v>
      </c>
      <c r="J3671" s="8" t="s">
        <v>601</v>
      </c>
      <c r="K3671" s="8" t="s">
        <v>10040</v>
      </c>
      <c r="L3671" s="15">
        <v>3.5716299999999999E-2</v>
      </c>
      <c r="M3671" s="15">
        <v>0.77863099999999996</v>
      </c>
      <c r="N3671" s="15">
        <v>0.94119064731534463</v>
      </c>
    </row>
    <row r="3672" spans="1:14" x14ac:dyDescent="0.2">
      <c r="A3672" s="2" t="s">
        <v>10068</v>
      </c>
      <c r="B3672" s="15">
        <v>2426</v>
      </c>
      <c r="C3672" s="15">
        <v>20</v>
      </c>
      <c r="D3672" s="15">
        <v>60125334</v>
      </c>
      <c r="E3672" s="15">
        <v>60766557</v>
      </c>
      <c r="F3672" s="15">
        <v>2324</v>
      </c>
      <c r="G3672" s="8" t="s">
        <v>12324</v>
      </c>
      <c r="H3672" s="24" t="s">
        <v>494</v>
      </c>
      <c r="I3672" s="25">
        <v>25920</v>
      </c>
      <c r="J3672" s="8" t="s">
        <v>496</v>
      </c>
      <c r="K3672" s="8" t="s">
        <v>10040</v>
      </c>
      <c r="L3672" s="15">
        <v>-7.4413699999999999E-2</v>
      </c>
      <c r="M3672" s="15">
        <v>0.77925800000000001</v>
      </c>
      <c r="N3672" s="15">
        <v>0.9414353663851811</v>
      </c>
    </row>
    <row r="3673" spans="1:14" x14ac:dyDescent="0.2">
      <c r="A3673" s="2" t="s">
        <v>10066</v>
      </c>
      <c r="B3673" s="15">
        <v>33</v>
      </c>
      <c r="C3673" s="15">
        <v>1</v>
      </c>
      <c r="D3673" s="15">
        <v>34371023</v>
      </c>
      <c r="E3673" s="15">
        <v>35201626</v>
      </c>
      <c r="F3673" s="15">
        <v>2402</v>
      </c>
      <c r="G3673" s="8" t="s">
        <v>12324</v>
      </c>
      <c r="H3673" s="24" t="s">
        <v>3164</v>
      </c>
      <c r="I3673" s="25" t="s">
        <v>3165</v>
      </c>
      <c r="J3673" s="8" t="s">
        <v>3166</v>
      </c>
      <c r="K3673" s="8" t="s">
        <v>10042</v>
      </c>
      <c r="L3673" s="15">
        <v>7.1751899999999993E-2</v>
      </c>
      <c r="M3673" s="15">
        <v>0.77919700000000003</v>
      </c>
      <c r="N3673" s="15">
        <v>0.9414353663851811</v>
      </c>
    </row>
    <row r="3674" spans="1:14" x14ac:dyDescent="0.2">
      <c r="A3674" s="2" t="s">
        <v>10066</v>
      </c>
      <c r="B3674" s="15">
        <v>2149</v>
      </c>
      <c r="C3674" s="15">
        <v>16</v>
      </c>
      <c r="D3674" s="15">
        <v>71062713</v>
      </c>
      <c r="E3674" s="15">
        <v>72089511</v>
      </c>
      <c r="F3674" s="15">
        <v>2016</v>
      </c>
      <c r="G3674" s="8" t="s">
        <v>12324</v>
      </c>
      <c r="H3674" s="24" t="s">
        <v>6008</v>
      </c>
      <c r="I3674" s="25" t="s">
        <v>6009</v>
      </c>
      <c r="J3674" s="8" t="s">
        <v>6010</v>
      </c>
      <c r="K3674" s="8" t="s">
        <v>10051</v>
      </c>
      <c r="L3674" s="15">
        <v>8.9005100000000004E-2</v>
      </c>
      <c r="M3674" s="15">
        <v>0.77957799999999999</v>
      </c>
      <c r="N3674" s="15">
        <v>0.94156547657952072</v>
      </c>
    </row>
    <row r="3675" spans="1:14" x14ac:dyDescent="0.2">
      <c r="A3675" s="2" t="s">
        <v>10066</v>
      </c>
      <c r="B3675" s="15">
        <v>79</v>
      </c>
      <c r="C3675" s="15">
        <v>1</v>
      </c>
      <c r="D3675" s="15">
        <v>90941550</v>
      </c>
      <c r="E3675" s="15">
        <v>91870059</v>
      </c>
      <c r="F3675" s="15">
        <v>2243</v>
      </c>
      <c r="G3675" s="8" t="s">
        <v>12324</v>
      </c>
      <c r="H3675" s="24" t="s">
        <v>6008</v>
      </c>
      <c r="I3675" s="25" t="s">
        <v>6009</v>
      </c>
      <c r="J3675" s="8" t="s">
        <v>6010</v>
      </c>
      <c r="K3675" s="8" t="s">
        <v>10051</v>
      </c>
      <c r="L3675" s="15">
        <v>-9.0609400000000007E-2</v>
      </c>
      <c r="M3675" s="15">
        <v>0.78009899999999999</v>
      </c>
      <c r="N3675" s="15">
        <v>0.94193821535529543</v>
      </c>
    </row>
    <row r="3676" spans="1:14" x14ac:dyDescent="0.2">
      <c r="A3676" s="2" t="s">
        <v>10068</v>
      </c>
      <c r="B3676" s="15">
        <v>1813</v>
      </c>
      <c r="C3676" s="15">
        <v>12</v>
      </c>
      <c r="D3676" s="15">
        <v>79315179</v>
      </c>
      <c r="E3676" s="15">
        <v>80952472</v>
      </c>
      <c r="F3676" s="15">
        <v>3081</v>
      </c>
      <c r="G3676" s="8" t="s">
        <v>12324</v>
      </c>
      <c r="H3676" s="24" t="s">
        <v>599</v>
      </c>
      <c r="I3676" s="25">
        <v>26562</v>
      </c>
      <c r="J3676" s="8" t="s">
        <v>601</v>
      </c>
      <c r="K3676" s="8" t="s">
        <v>10040</v>
      </c>
      <c r="L3676" s="15">
        <v>-8.38531E-2</v>
      </c>
      <c r="M3676" s="15">
        <v>0.78102700000000003</v>
      </c>
      <c r="N3676" s="15">
        <v>0.94205454854500947</v>
      </c>
    </row>
    <row r="3677" spans="1:14" x14ac:dyDescent="0.2">
      <c r="A3677" s="2" t="s">
        <v>10066</v>
      </c>
      <c r="B3677" s="15">
        <v>1763</v>
      </c>
      <c r="C3677" s="15">
        <v>12</v>
      </c>
      <c r="D3677" s="15">
        <v>22928056</v>
      </c>
      <c r="E3677" s="15">
        <v>23923798</v>
      </c>
      <c r="F3677" s="15">
        <v>2272</v>
      </c>
      <c r="G3677" s="8" t="s">
        <v>12324</v>
      </c>
      <c r="H3677" s="24" t="s">
        <v>6008</v>
      </c>
      <c r="I3677" s="25" t="s">
        <v>6009</v>
      </c>
      <c r="J3677" s="8" t="s">
        <v>6010</v>
      </c>
      <c r="K3677" s="8" t="s">
        <v>10051</v>
      </c>
      <c r="L3677" s="15">
        <v>5.0896700000000003E-2</v>
      </c>
      <c r="M3677" s="15">
        <v>0.780949</v>
      </c>
      <c r="N3677" s="15">
        <v>0.94205454854500947</v>
      </c>
    </row>
    <row r="3678" spans="1:14" x14ac:dyDescent="0.2">
      <c r="A3678" s="2" t="s">
        <v>10068</v>
      </c>
      <c r="B3678" s="15">
        <v>830</v>
      </c>
      <c r="C3678" s="15">
        <v>5</v>
      </c>
      <c r="D3678" s="15">
        <v>63214090</v>
      </c>
      <c r="E3678" s="15">
        <v>64438518</v>
      </c>
      <c r="F3678" s="15">
        <v>2189</v>
      </c>
      <c r="G3678" s="8" t="s">
        <v>12324</v>
      </c>
      <c r="H3678" s="24" t="s">
        <v>6565</v>
      </c>
      <c r="I3678" s="25" t="s">
        <v>6475</v>
      </c>
      <c r="J3678" s="8" t="s">
        <v>6566</v>
      </c>
      <c r="K3678" s="8" t="s">
        <v>10054</v>
      </c>
      <c r="L3678" s="15">
        <v>-9.5081899999999997E-2</v>
      </c>
      <c r="M3678" s="15">
        <v>0.78103800000000001</v>
      </c>
      <c r="N3678" s="15">
        <v>0.94205454854500947</v>
      </c>
    </row>
    <row r="3679" spans="1:14" x14ac:dyDescent="0.2">
      <c r="A3679" s="2" t="s">
        <v>10068</v>
      </c>
      <c r="B3679" s="15">
        <v>1090</v>
      </c>
      <c r="C3679" s="15">
        <v>6</v>
      </c>
      <c r="D3679" s="15">
        <v>166853326</v>
      </c>
      <c r="E3679" s="15">
        <v>167714865</v>
      </c>
      <c r="F3679" s="15">
        <v>3186</v>
      </c>
      <c r="G3679" s="8" t="s">
        <v>12324</v>
      </c>
      <c r="H3679" s="24" t="s">
        <v>6565</v>
      </c>
      <c r="I3679" s="25" t="s">
        <v>6475</v>
      </c>
      <c r="J3679" s="8" t="s">
        <v>6566</v>
      </c>
      <c r="K3679" s="8" t="s">
        <v>10054</v>
      </c>
      <c r="L3679" s="15">
        <v>6.1084100000000002E-2</v>
      </c>
      <c r="M3679" s="15">
        <v>0.78104499999999999</v>
      </c>
      <c r="N3679" s="15">
        <v>0.94205454854500947</v>
      </c>
    </row>
    <row r="3680" spans="1:14" x14ac:dyDescent="0.2">
      <c r="A3680" s="2" t="s">
        <v>10066</v>
      </c>
      <c r="B3680" s="15">
        <v>473</v>
      </c>
      <c r="C3680" s="15">
        <v>3</v>
      </c>
      <c r="D3680" s="15">
        <v>60571140</v>
      </c>
      <c r="E3680" s="15">
        <v>61277587</v>
      </c>
      <c r="F3680" s="15">
        <v>2232</v>
      </c>
      <c r="G3680" s="8" t="s">
        <v>12324</v>
      </c>
      <c r="H3680" s="24" t="s">
        <v>6008</v>
      </c>
      <c r="I3680" s="25" t="s">
        <v>6009</v>
      </c>
      <c r="J3680" s="8" t="s">
        <v>6010</v>
      </c>
      <c r="K3680" s="8" t="s">
        <v>10051</v>
      </c>
      <c r="L3680" s="15">
        <v>6.1212500000000003E-2</v>
      </c>
      <c r="M3680" s="15">
        <v>0.78204600000000002</v>
      </c>
      <c r="N3680" s="15">
        <v>0.94300544045677004</v>
      </c>
    </row>
    <row r="3681" spans="1:14" x14ac:dyDescent="0.2">
      <c r="A3681" s="2" t="s">
        <v>10066</v>
      </c>
      <c r="B3681" s="15">
        <v>191</v>
      </c>
      <c r="C3681" s="15">
        <v>1</v>
      </c>
      <c r="D3681" s="15">
        <v>240248509</v>
      </c>
      <c r="E3681" s="15">
        <v>241033584</v>
      </c>
      <c r="F3681" s="15">
        <v>2221</v>
      </c>
      <c r="G3681" s="8" t="s">
        <v>12324</v>
      </c>
      <c r="H3681" s="24" t="s">
        <v>3164</v>
      </c>
      <c r="I3681" s="25" t="s">
        <v>3165</v>
      </c>
      <c r="J3681" s="8" t="s">
        <v>3166</v>
      </c>
      <c r="K3681" s="8" t="s">
        <v>10042</v>
      </c>
      <c r="L3681" s="15">
        <v>4.0335299999999998E-2</v>
      </c>
      <c r="M3681" s="15">
        <v>0.78276900000000005</v>
      </c>
      <c r="N3681" s="15">
        <v>0.94349924864130452</v>
      </c>
    </row>
    <row r="3682" spans="1:14" x14ac:dyDescent="0.2">
      <c r="A3682" s="2" t="s">
        <v>10068</v>
      </c>
      <c r="B3682" s="15">
        <v>2184</v>
      </c>
      <c r="C3682" s="15">
        <v>17</v>
      </c>
      <c r="D3682" s="15">
        <v>10572618</v>
      </c>
      <c r="E3682" s="15">
        <v>11778164</v>
      </c>
      <c r="F3682" s="15">
        <v>3178</v>
      </c>
      <c r="G3682" s="8" t="s">
        <v>12324</v>
      </c>
      <c r="H3682" s="24" t="s">
        <v>6565</v>
      </c>
      <c r="I3682" s="25" t="s">
        <v>6475</v>
      </c>
      <c r="J3682" s="8" t="s">
        <v>6566</v>
      </c>
      <c r="K3682" s="8" t="s">
        <v>10054</v>
      </c>
      <c r="L3682" s="15">
        <v>6.0264600000000002E-2</v>
      </c>
      <c r="M3682" s="15">
        <v>0.78288100000000005</v>
      </c>
      <c r="N3682" s="15">
        <v>0.94349924864130452</v>
      </c>
    </row>
    <row r="3683" spans="1:14" x14ac:dyDescent="0.2">
      <c r="A3683" s="2" t="s">
        <v>10068</v>
      </c>
      <c r="B3683" s="15">
        <v>2355</v>
      </c>
      <c r="C3683" s="15">
        <v>19</v>
      </c>
      <c r="D3683" s="15">
        <v>48573066</v>
      </c>
      <c r="E3683" s="15">
        <v>49415189</v>
      </c>
      <c r="F3683" s="15">
        <v>2780</v>
      </c>
      <c r="G3683" s="8" t="s">
        <v>12324</v>
      </c>
      <c r="H3683" s="24" t="s">
        <v>1259</v>
      </c>
      <c r="I3683" s="25">
        <v>27096</v>
      </c>
      <c r="J3683" s="8" t="s">
        <v>1261</v>
      </c>
      <c r="K3683" s="8" t="s">
        <v>10040</v>
      </c>
      <c r="L3683" s="15">
        <v>-4.43249E-2</v>
      </c>
      <c r="M3683" s="15">
        <v>0.783528</v>
      </c>
      <c r="N3683" s="15">
        <v>0.94402246128769363</v>
      </c>
    </row>
    <row r="3684" spans="1:14" x14ac:dyDescent="0.2">
      <c r="A3684" s="2" t="s">
        <v>10069</v>
      </c>
      <c r="B3684" s="15">
        <v>2118</v>
      </c>
      <c r="C3684" s="15">
        <v>16</v>
      </c>
      <c r="D3684" s="15">
        <v>13893408</v>
      </c>
      <c r="E3684" s="15">
        <v>15921108</v>
      </c>
      <c r="F3684" s="15">
        <v>1628</v>
      </c>
      <c r="G3684" s="8" t="s">
        <v>12324</v>
      </c>
      <c r="H3684" s="24" t="s">
        <v>662</v>
      </c>
      <c r="I3684" s="25" t="s">
        <v>663</v>
      </c>
      <c r="J3684" s="8" t="s">
        <v>664</v>
      </c>
      <c r="K3684" s="8" t="s">
        <v>10040</v>
      </c>
      <c r="L3684" s="15">
        <v>8.8528200000000001E-2</v>
      </c>
      <c r="M3684" s="15">
        <v>0.78384500000000001</v>
      </c>
      <c r="N3684" s="15">
        <v>0.94414790195545906</v>
      </c>
    </row>
    <row r="3685" spans="1:14" x14ac:dyDescent="0.2">
      <c r="A3685" s="2" t="s">
        <v>10066</v>
      </c>
      <c r="B3685" s="15">
        <v>2477</v>
      </c>
      <c r="C3685" s="15">
        <v>22</v>
      </c>
      <c r="D3685" s="15">
        <v>32662294</v>
      </c>
      <c r="E3685" s="15">
        <v>33501725</v>
      </c>
      <c r="F3685" s="15">
        <v>2805</v>
      </c>
      <c r="G3685" s="8" t="s">
        <v>12324</v>
      </c>
      <c r="H3685" s="24" t="s">
        <v>3164</v>
      </c>
      <c r="I3685" s="25" t="s">
        <v>3165</v>
      </c>
      <c r="J3685" s="8" t="s">
        <v>3166</v>
      </c>
      <c r="K3685" s="8" t="s">
        <v>10042</v>
      </c>
      <c r="L3685" s="15">
        <v>-7.0656300000000005E-2</v>
      </c>
      <c r="M3685" s="15">
        <v>0.78424499999999997</v>
      </c>
      <c r="N3685" s="15">
        <v>0.944373221558512</v>
      </c>
    </row>
    <row r="3686" spans="1:14" x14ac:dyDescent="0.2">
      <c r="A3686" s="2" t="s">
        <v>10068</v>
      </c>
      <c r="B3686" s="15">
        <v>621</v>
      </c>
      <c r="C3686" s="15">
        <v>4</v>
      </c>
      <c r="D3686" s="15">
        <v>22835186</v>
      </c>
      <c r="E3686" s="15">
        <v>23858350</v>
      </c>
      <c r="F3686" s="15">
        <v>2269</v>
      </c>
      <c r="G3686" s="8" t="s">
        <v>12324</v>
      </c>
      <c r="H3686" s="24" t="s">
        <v>1259</v>
      </c>
      <c r="I3686" s="25">
        <v>27096</v>
      </c>
      <c r="J3686" s="8" t="s">
        <v>1261</v>
      </c>
      <c r="K3686" s="8" t="s">
        <v>10040</v>
      </c>
      <c r="L3686" s="15">
        <v>9.5003299999999999E-2</v>
      </c>
      <c r="M3686" s="15">
        <v>0.78542500000000004</v>
      </c>
      <c r="N3686" s="15">
        <v>0.94528083446404343</v>
      </c>
    </row>
    <row r="3687" spans="1:14" x14ac:dyDescent="0.2">
      <c r="A3687" s="2" t="s">
        <v>10068</v>
      </c>
      <c r="B3687" s="15">
        <v>444</v>
      </c>
      <c r="C3687" s="15">
        <v>3</v>
      </c>
      <c r="D3687" s="15">
        <v>23426045</v>
      </c>
      <c r="E3687" s="15">
        <v>24270189</v>
      </c>
      <c r="F3687" s="15">
        <v>2193</v>
      </c>
      <c r="G3687" s="8" t="s">
        <v>12324</v>
      </c>
      <c r="H3687" s="24" t="s">
        <v>6565</v>
      </c>
      <c r="I3687" s="25" t="s">
        <v>6475</v>
      </c>
      <c r="J3687" s="8" t="s">
        <v>6566</v>
      </c>
      <c r="K3687" s="8" t="s">
        <v>10054</v>
      </c>
      <c r="L3687" s="15">
        <v>6.5848599999999993E-2</v>
      </c>
      <c r="M3687" s="15">
        <v>0.78539999999999999</v>
      </c>
      <c r="N3687" s="15">
        <v>0.94528083446404343</v>
      </c>
    </row>
    <row r="3688" spans="1:14" x14ac:dyDescent="0.2">
      <c r="A3688" s="2" t="s">
        <v>10068</v>
      </c>
      <c r="B3688" s="15">
        <v>125</v>
      </c>
      <c r="C3688" s="15">
        <v>1</v>
      </c>
      <c r="D3688" s="15">
        <v>167163955</v>
      </c>
      <c r="E3688" s="15">
        <v>168179086</v>
      </c>
      <c r="F3688" s="15">
        <v>2406</v>
      </c>
      <c r="G3688" s="8" t="s">
        <v>12324</v>
      </c>
      <c r="H3688" s="24" t="s">
        <v>599</v>
      </c>
      <c r="I3688" s="25">
        <v>26562</v>
      </c>
      <c r="J3688" s="8" t="s">
        <v>601</v>
      </c>
      <c r="K3688" s="8" t="s">
        <v>10040</v>
      </c>
      <c r="L3688" s="15">
        <v>-4.58772E-2</v>
      </c>
      <c r="M3688" s="15">
        <v>0.78615599999999997</v>
      </c>
      <c r="N3688" s="15">
        <v>0.94590392295170911</v>
      </c>
    </row>
    <row r="3689" spans="1:14" x14ac:dyDescent="0.2">
      <c r="A3689" s="2" t="s">
        <v>10068</v>
      </c>
      <c r="B3689" s="15">
        <v>58</v>
      </c>
      <c r="C3689" s="15">
        <v>1</v>
      </c>
      <c r="D3689" s="15">
        <v>67761891</v>
      </c>
      <c r="E3689" s="15">
        <v>68633860</v>
      </c>
      <c r="F3689" s="15">
        <v>2142</v>
      </c>
      <c r="G3689" s="8" t="s">
        <v>12324</v>
      </c>
      <c r="H3689" s="24" t="s">
        <v>494</v>
      </c>
      <c r="I3689" s="25">
        <v>25920</v>
      </c>
      <c r="J3689" s="8" t="s">
        <v>496</v>
      </c>
      <c r="K3689" s="8" t="s">
        <v>10040</v>
      </c>
      <c r="L3689" s="15">
        <v>5.6850100000000001E-2</v>
      </c>
      <c r="M3689" s="15">
        <v>0.78683099999999995</v>
      </c>
      <c r="N3689" s="15">
        <v>0.94645931244914561</v>
      </c>
    </row>
    <row r="3690" spans="1:14" x14ac:dyDescent="0.2">
      <c r="A3690" s="2" t="s">
        <v>10068</v>
      </c>
      <c r="B3690" s="15">
        <v>932</v>
      </c>
      <c r="C3690" s="15">
        <v>6</v>
      </c>
      <c r="D3690" s="15">
        <v>6621938</v>
      </c>
      <c r="E3690" s="15">
        <v>7808323</v>
      </c>
      <c r="F3690" s="15">
        <v>3912</v>
      </c>
      <c r="G3690" s="8" t="s">
        <v>12324</v>
      </c>
      <c r="H3690" s="24" t="s">
        <v>1259</v>
      </c>
      <c r="I3690" s="25">
        <v>27096</v>
      </c>
      <c r="J3690" s="8" t="s">
        <v>1261</v>
      </c>
      <c r="K3690" s="8" t="s">
        <v>10040</v>
      </c>
      <c r="L3690" s="15">
        <v>7.5468900000000005E-2</v>
      </c>
      <c r="M3690" s="15">
        <v>0.78727899999999995</v>
      </c>
      <c r="N3690" s="15">
        <v>0.94674142218004331</v>
      </c>
    </row>
    <row r="3691" spans="1:14" x14ac:dyDescent="0.2">
      <c r="A3691" s="2" t="s">
        <v>10068</v>
      </c>
      <c r="B3691" s="15">
        <v>2475</v>
      </c>
      <c r="C3691" s="15">
        <v>22</v>
      </c>
      <c r="D3691" s="15">
        <v>30962256</v>
      </c>
      <c r="E3691" s="15">
        <v>31904549</v>
      </c>
      <c r="F3691" s="15">
        <v>2170</v>
      </c>
      <c r="G3691" s="8" t="s">
        <v>12324</v>
      </c>
      <c r="H3691" s="24" t="s">
        <v>1259</v>
      </c>
      <c r="I3691" s="25">
        <v>27096</v>
      </c>
      <c r="J3691" s="8" t="s">
        <v>1261</v>
      </c>
      <c r="K3691" s="8" t="s">
        <v>10040</v>
      </c>
      <c r="L3691" s="15">
        <v>8.3989400000000006E-2</v>
      </c>
      <c r="M3691" s="15">
        <v>0.788018</v>
      </c>
      <c r="N3691" s="15">
        <v>0.94711648509485091</v>
      </c>
    </row>
    <row r="3692" spans="1:14" x14ac:dyDescent="0.2">
      <c r="A3692" s="2" t="s">
        <v>10068</v>
      </c>
      <c r="B3692" s="15">
        <v>58</v>
      </c>
      <c r="C3692" s="15">
        <v>1</v>
      </c>
      <c r="D3692" s="15">
        <v>67761891</v>
      </c>
      <c r="E3692" s="15">
        <v>68633860</v>
      </c>
      <c r="F3692" s="15">
        <v>2142</v>
      </c>
      <c r="G3692" s="8" t="s">
        <v>12324</v>
      </c>
      <c r="H3692" s="24" t="s">
        <v>6565</v>
      </c>
      <c r="I3692" s="25" t="s">
        <v>6475</v>
      </c>
      <c r="J3692" s="8" t="s">
        <v>6566</v>
      </c>
      <c r="K3692" s="8" t="s">
        <v>10054</v>
      </c>
      <c r="L3692" s="15">
        <v>4.0199899999999997E-2</v>
      </c>
      <c r="M3692" s="15">
        <v>0.78785000000000005</v>
      </c>
      <c r="N3692" s="15">
        <v>0.94711648509485091</v>
      </c>
    </row>
    <row r="3693" spans="1:14" x14ac:dyDescent="0.2">
      <c r="A3693" s="2" t="s">
        <v>10068</v>
      </c>
      <c r="B3693" s="15">
        <v>2039</v>
      </c>
      <c r="C3693" s="15">
        <v>15</v>
      </c>
      <c r="D3693" s="15">
        <v>26392948</v>
      </c>
      <c r="E3693" s="15">
        <v>27563172</v>
      </c>
      <c r="F3693" s="15">
        <v>3051</v>
      </c>
      <c r="G3693" s="8" t="s">
        <v>12324</v>
      </c>
      <c r="H3693" s="24" t="s">
        <v>494</v>
      </c>
      <c r="I3693" s="25">
        <v>25920</v>
      </c>
      <c r="J3693" s="8" t="s">
        <v>496</v>
      </c>
      <c r="K3693" s="8" t="s">
        <v>10040</v>
      </c>
      <c r="L3693" s="15">
        <v>-7.0599499999999996E-2</v>
      </c>
      <c r="M3693" s="15">
        <v>0.78823699999999997</v>
      </c>
      <c r="N3693" s="15">
        <v>0.94712302763478728</v>
      </c>
    </row>
    <row r="3694" spans="1:14" x14ac:dyDescent="0.2">
      <c r="A3694" s="2" t="s">
        <v>10068</v>
      </c>
      <c r="B3694" s="15">
        <v>2470</v>
      </c>
      <c r="C3694" s="15">
        <v>22</v>
      </c>
      <c r="D3694" s="15">
        <v>25282437</v>
      </c>
      <c r="E3694" s="15">
        <v>26166934</v>
      </c>
      <c r="F3694" s="15">
        <v>2758</v>
      </c>
      <c r="G3694" s="8" t="s">
        <v>12324</v>
      </c>
      <c r="H3694" s="24" t="s">
        <v>494</v>
      </c>
      <c r="I3694" s="25">
        <v>25920</v>
      </c>
      <c r="J3694" s="8" t="s">
        <v>496</v>
      </c>
      <c r="K3694" s="8" t="s">
        <v>10040</v>
      </c>
      <c r="L3694" s="15">
        <v>4.9793299999999999E-2</v>
      </c>
      <c r="M3694" s="15">
        <v>0.78848700000000005</v>
      </c>
      <c r="N3694" s="15">
        <v>0.94716680525460462</v>
      </c>
    </row>
    <row r="3695" spans="1:14" x14ac:dyDescent="0.2">
      <c r="A3695" s="2" t="s">
        <v>10068</v>
      </c>
      <c r="B3695" s="15">
        <v>2230</v>
      </c>
      <c r="C3695" s="15">
        <v>17</v>
      </c>
      <c r="D3695" s="15">
        <v>73741322</v>
      </c>
      <c r="E3695" s="15">
        <v>74908266</v>
      </c>
      <c r="F3695" s="15">
        <v>3167</v>
      </c>
      <c r="G3695" s="8" t="s">
        <v>12324</v>
      </c>
      <c r="H3695" s="24" t="s">
        <v>599</v>
      </c>
      <c r="I3695" s="25">
        <v>26562</v>
      </c>
      <c r="J3695" s="8" t="s">
        <v>601</v>
      </c>
      <c r="K3695" s="8" t="s">
        <v>10040</v>
      </c>
      <c r="L3695" s="15">
        <v>4.4636500000000003E-2</v>
      </c>
      <c r="M3695" s="15">
        <v>0.78887799999999997</v>
      </c>
      <c r="N3695" s="15">
        <v>0.94719666080129938</v>
      </c>
    </row>
    <row r="3696" spans="1:14" x14ac:dyDescent="0.2">
      <c r="A3696" s="2" t="s">
        <v>10068</v>
      </c>
      <c r="B3696" s="15">
        <v>779</v>
      </c>
      <c r="C3696" s="15">
        <v>5</v>
      </c>
      <c r="D3696" s="15">
        <v>2960069</v>
      </c>
      <c r="E3696" s="15">
        <v>3677595</v>
      </c>
      <c r="F3696" s="15">
        <v>3310</v>
      </c>
      <c r="G3696" s="8" t="s">
        <v>12324</v>
      </c>
      <c r="H3696" s="24" t="s">
        <v>1259</v>
      </c>
      <c r="I3696" s="25">
        <v>27096</v>
      </c>
      <c r="J3696" s="8" t="s">
        <v>1261</v>
      </c>
      <c r="K3696" s="8" t="s">
        <v>10040</v>
      </c>
      <c r="L3696" s="15">
        <v>-6.7329299999999995E-2</v>
      </c>
      <c r="M3696" s="15">
        <v>0.78893899999999995</v>
      </c>
      <c r="N3696" s="15">
        <v>0.94719666080129938</v>
      </c>
    </row>
    <row r="3697" spans="1:14" x14ac:dyDescent="0.2">
      <c r="A3697" s="2" t="s">
        <v>10069</v>
      </c>
      <c r="B3697" s="15">
        <v>461</v>
      </c>
      <c r="C3697" s="15">
        <v>3</v>
      </c>
      <c r="D3697" s="15">
        <v>42301658</v>
      </c>
      <c r="E3697" s="15">
        <v>44141693</v>
      </c>
      <c r="F3697" s="15">
        <v>2441</v>
      </c>
      <c r="G3697" s="8" t="s">
        <v>12324</v>
      </c>
      <c r="H3697" s="24" t="s">
        <v>662</v>
      </c>
      <c r="I3697" s="25" t="s">
        <v>663</v>
      </c>
      <c r="J3697" s="8" t="s">
        <v>664</v>
      </c>
      <c r="K3697" s="8" t="s">
        <v>10040</v>
      </c>
      <c r="L3697" s="15">
        <v>7.8382199999999999E-2</v>
      </c>
      <c r="M3697" s="15">
        <v>0.78919700000000004</v>
      </c>
      <c r="N3697" s="15">
        <v>0.94724998511502045</v>
      </c>
    </row>
    <row r="3698" spans="1:14" x14ac:dyDescent="0.2">
      <c r="A3698" s="2" t="s">
        <v>10068</v>
      </c>
      <c r="B3698" s="15">
        <v>796</v>
      </c>
      <c r="C3698" s="15">
        <v>5</v>
      </c>
      <c r="D3698" s="15">
        <v>22149043</v>
      </c>
      <c r="E3698" s="15">
        <v>23246745</v>
      </c>
      <c r="F3698" s="15">
        <v>2753</v>
      </c>
      <c r="G3698" s="8" t="s">
        <v>12324</v>
      </c>
      <c r="H3698" s="24" t="s">
        <v>1259</v>
      </c>
      <c r="I3698" s="25">
        <v>27096</v>
      </c>
      <c r="J3698" s="8" t="s">
        <v>1261</v>
      </c>
      <c r="K3698" s="8" t="s">
        <v>10040</v>
      </c>
      <c r="L3698" s="15">
        <v>-5.8579399999999997E-2</v>
      </c>
      <c r="M3698" s="15">
        <v>0.78957599999999994</v>
      </c>
      <c r="N3698" s="15">
        <v>0.9473586834279536</v>
      </c>
    </row>
    <row r="3699" spans="1:14" x14ac:dyDescent="0.2">
      <c r="A3699" s="2" t="s">
        <v>10066</v>
      </c>
      <c r="B3699" s="15">
        <v>917</v>
      </c>
      <c r="C3699" s="15">
        <v>5</v>
      </c>
      <c r="D3699" s="15">
        <v>169506967</v>
      </c>
      <c r="E3699" s="15">
        <v>170898340</v>
      </c>
      <c r="F3699" s="15">
        <v>3573</v>
      </c>
      <c r="G3699" s="8" t="s">
        <v>12324</v>
      </c>
      <c r="H3699" s="24" t="s">
        <v>6008</v>
      </c>
      <c r="I3699" s="25" t="s">
        <v>6009</v>
      </c>
      <c r="J3699" s="8" t="s">
        <v>6010</v>
      </c>
      <c r="K3699" s="8" t="s">
        <v>10051</v>
      </c>
      <c r="L3699" s="15">
        <v>-5.97619E-2</v>
      </c>
      <c r="M3699" s="15">
        <v>0.79011699999999996</v>
      </c>
      <c r="N3699" s="15">
        <v>0.9473586834279536</v>
      </c>
    </row>
    <row r="3700" spans="1:14" x14ac:dyDescent="0.2">
      <c r="A3700" s="2" t="s">
        <v>10068</v>
      </c>
      <c r="B3700" s="15">
        <v>2365</v>
      </c>
      <c r="C3700" s="15">
        <v>19</v>
      </c>
      <c r="D3700" s="15">
        <v>55714086</v>
      </c>
      <c r="E3700" s="15">
        <v>56411086</v>
      </c>
      <c r="F3700" s="15">
        <v>2285</v>
      </c>
      <c r="G3700" s="8" t="s">
        <v>12324</v>
      </c>
      <c r="H3700" s="24" t="s">
        <v>6565</v>
      </c>
      <c r="I3700" s="25" t="s">
        <v>6475</v>
      </c>
      <c r="J3700" s="8" t="s">
        <v>6566</v>
      </c>
      <c r="K3700" s="8" t="s">
        <v>10054</v>
      </c>
      <c r="L3700" s="15">
        <v>5.9062299999999998E-2</v>
      </c>
      <c r="M3700" s="15">
        <v>0.79012099999999996</v>
      </c>
      <c r="N3700" s="15">
        <v>0.9473586834279536</v>
      </c>
    </row>
    <row r="3701" spans="1:14" x14ac:dyDescent="0.2">
      <c r="A3701" s="2" t="s">
        <v>10068</v>
      </c>
      <c r="B3701" s="15">
        <v>1958</v>
      </c>
      <c r="C3701" s="15">
        <v>14</v>
      </c>
      <c r="D3701" s="15">
        <v>23985937</v>
      </c>
      <c r="E3701" s="15">
        <v>24906056</v>
      </c>
      <c r="F3701" s="15">
        <v>2227</v>
      </c>
      <c r="G3701" s="8" t="s">
        <v>12324</v>
      </c>
      <c r="H3701" s="24" t="s">
        <v>6565</v>
      </c>
      <c r="I3701" s="25" t="s">
        <v>6475</v>
      </c>
      <c r="J3701" s="8" t="s">
        <v>6566</v>
      </c>
      <c r="K3701" s="8" t="s">
        <v>10054</v>
      </c>
      <c r="L3701" s="15">
        <v>-4.8688700000000001E-2</v>
      </c>
      <c r="M3701" s="15">
        <v>0.79014200000000001</v>
      </c>
      <c r="N3701" s="15">
        <v>0.9473586834279536</v>
      </c>
    </row>
    <row r="3702" spans="1:14" x14ac:dyDescent="0.2">
      <c r="A3702" s="2" t="s">
        <v>10069</v>
      </c>
      <c r="B3702" s="15">
        <v>895</v>
      </c>
      <c r="C3702" s="15">
        <v>5</v>
      </c>
      <c r="D3702" s="15">
        <v>143605909</v>
      </c>
      <c r="E3702" s="15">
        <v>145319096</v>
      </c>
      <c r="F3702" s="15">
        <v>2385</v>
      </c>
      <c r="G3702" s="8" t="s">
        <v>12324</v>
      </c>
      <c r="H3702" s="24" t="s">
        <v>662</v>
      </c>
      <c r="I3702" s="25" t="s">
        <v>663</v>
      </c>
      <c r="J3702" s="8" t="s">
        <v>664</v>
      </c>
      <c r="K3702" s="8" t="s">
        <v>10040</v>
      </c>
      <c r="L3702" s="15">
        <v>-7.8846299999999994E-2</v>
      </c>
      <c r="M3702" s="15">
        <v>0.79125999999999996</v>
      </c>
      <c r="N3702" s="15">
        <v>0.94804083445854714</v>
      </c>
    </row>
    <row r="3703" spans="1:14" x14ac:dyDescent="0.2">
      <c r="A3703" s="2" t="s">
        <v>10069</v>
      </c>
      <c r="B3703" s="15">
        <v>167</v>
      </c>
      <c r="C3703" s="15">
        <v>1</v>
      </c>
      <c r="D3703" s="15">
        <v>216658127</v>
      </c>
      <c r="E3703" s="15">
        <v>217352165</v>
      </c>
      <c r="F3703" s="15">
        <v>1437</v>
      </c>
      <c r="G3703" s="8" t="s">
        <v>12324</v>
      </c>
      <c r="H3703" s="24" t="s">
        <v>662</v>
      </c>
      <c r="I3703" s="25" t="s">
        <v>663</v>
      </c>
      <c r="J3703" s="8" t="s">
        <v>664</v>
      </c>
      <c r="K3703" s="8" t="s">
        <v>10040</v>
      </c>
      <c r="L3703" s="15">
        <v>-9.0521199999999996E-2</v>
      </c>
      <c r="M3703" s="15">
        <v>0.79156599999999999</v>
      </c>
      <c r="N3703" s="15">
        <v>0.94804083445854714</v>
      </c>
    </row>
    <row r="3704" spans="1:14" x14ac:dyDescent="0.2">
      <c r="A3704" s="2" t="s">
        <v>10066</v>
      </c>
      <c r="B3704" s="15">
        <v>1086</v>
      </c>
      <c r="C3704" s="15">
        <v>6</v>
      </c>
      <c r="D3704" s="15">
        <v>162254230</v>
      </c>
      <c r="E3704" s="15">
        <v>163336361</v>
      </c>
      <c r="F3704" s="15">
        <v>3404</v>
      </c>
      <c r="G3704" s="8" t="s">
        <v>12324</v>
      </c>
      <c r="H3704" s="24" t="s">
        <v>6008</v>
      </c>
      <c r="I3704" s="25" t="s">
        <v>6009</v>
      </c>
      <c r="J3704" s="8" t="s">
        <v>6010</v>
      </c>
      <c r="K3704" s="8" t="s">
        <v>10051</v>
      </c>
      <c r="L3704" s="15">
        <v>-4.6083100000000002E-2</v>
      </c>
      <c r="M3704" s="15">
        <v>0.79133500000000001</v>
      </c>
      <c r="N3704" s="15">
        <v>0.94804083445854714</v>
      </c>
    </row>
    <row r="3705" spans="1:14" x14ac:dyDescent="0.2">
      <c r="A3705" s="2" t="s">
        <v>10068</v>
      </c>
      <c r="B3705" s="15">
        <v>1518</v>
      </c>
      <c r="C3705" s="15">
        <v>10</v>
      </c>
      <c r="D3705" s="15">
        <v>29393750</v>
      </c>
      <c r="E3705" s="15">
        <v>30000223</v>
      </c>
      <c r="F3705" s="15">
        <v>2188</v>
      </c>
      <c r="G3705" s="8" t="s">
        <v>12324</v>
      </c>
      <c r="H3705" s="24" t="s">
        <v>6565</v>
      </c>
      <c r="I3705" s="25" t="s">
        <v>6475</v>
      </c>
      <c r="J3705" s="8" t="s">
        <v>6566</v>
      </c>
      <c r="K3705" s="8" t="s">
        <v>10054</v>
      </c>
      <c r="L3705" s="15">
        <v>-8.6552400000000002E-2</v>
      </c>
      <c r="M3705" s="15">
        <v>0.79153499999999999</v>
      </c>
      <c r="N3705" s="15">
        <v>0.94804083445854714</v>
      </c>
    </row>
    <row r="3706" spans="1:14" x14ac:dyDescent="0.2">
      <c r="A3706" s="2" t="s">
        <v>10069</v>
      </c>
      <c r="B3706" s="15">
        <v>1419</v>
      </c>
      <c r="C3706" s="15">
        <v>9</v>
      </c>
      <c r="D3706" s="15">
        <v>72288879</v>
      </c>
      <c r="E3706" s="15">
        <v>73915494</v>
      </c>
      <c r="F3706" s="15">
        <v>3004</v>
      </c>
      <c r="G3706" s="8" t="s">
        <v>12324</v>
      </c>
      <c r="H3706" s="24" t="s">
        <v>662</v>
      </c>
      <c r="I3706" s="25" t="s">
        <v>663</v>
      </c>
      <c r="J3706" s="8" t="s">
        <v>664</v>
      </c>
      <c r="K3706" s="8" t="s">
        <v>10040</v>
      </c>
      <c r="L3706" s="15">
        <v>-0.118702</v>
      </c>
      <c r="M3706" s="15">
        <v>0.79180700000000004</v>
      </c>
      <c r="N3706" s="15">
        <v>0.94807344627429802</v>
      </c>
    </row>
    <row r="3707" spans="1:14" x14ac:dyDescent="0.2">
      <c r="A3707" s="2" t="s">
        <v>10066</v>
      </c>
      <c r="B3707" s="15">
        <v>1595</v>
      </c>
      <c r="C3707" s="15">
        <v>10</v>
      </c>
      <c r="D3707" s="15">
        <v>121874446</v>
      </c>
      <c r="E3707" s="15">
        <v>122803506</v>
      </c>
      <c r="F3707" s="15">
        <v>2925</v>
      </c>
      <c r="G3707" s="8" t="s">
        <v>12324</v>
      </c>
      <c r="H3707" s="24" t="s">
        <v>3164</v>
      </c>
      <c r="I3707" s="25" t="s">
        <v>3165</v>
      </c>
      <c r="J3707" s="8" t="s">
        <v>3166</v>
      </c>
      <c r="K3707" s="8" t="s">
        <v>10042</v>
      </c>
      <c r="L3707" s="15">
        <v>-5.6542500000000002E-2</v>
      </c>
      <c r="M3707" s="15">
        <v>0.79230199999999995</v>
      </c>
      <c r="N3707" s="15">
        <v>0.94841008636977053</v>
      </c>
    </row>
    <row r="3708" spans="1:14" x14ac:dyDescent="0.2">
      <c r="A3708" s="2" t="s">
        <v>10068</v>
      </c>
      <c r="B3708" s="15">
        <v>137</v>
      </c>
      <c r="C3708" s="15">
        <v>1</v>
      </c>
      <c r="D3708" s="15">
        <v>181324206</v>
      </c>
      <c r="E3708" s="15">
        <v>182420540</v>
      </c>
      <c r="F3708" s="15">
        <v>2692</v>
      </c>
      <c r="G3708" s="8" t="s">
        <v>12324</v>
      </c>
      <c r="H3708" s="24" t="s">
        <v>599</v>
      </c>
      <c r="I3708" s="25">
        <v>26562</v>
      </c>
      <c r="J3708" s="8" t="s">
        <v>601</v>
      </c>
      <c r="K3708" s="8" t="s">
        <v>10040</v>
      </c>
      <c r="L3708" s="15">
        <v>8.6909399999999998E-2</v>
      </c>
      <c r="M3708" s="15">
        <v>0.79277399999999998</v>
      </c>
      <c r="N3708" s="15">
        <v>0.94860546398705137</v>
      </c>
    </row>
    <row r="3709" spans="1:14" x14ac:dyDescent="0.2">
      <c r="A3709" s="2" t="s">
        <v>10066</v>
      </c>
      <c r="B3709" s="15">
        <v>809</v>
      </c>
      <c r="C3709" s="15">
        <v>5</v>
      </c>
      <c r="D3709" s="15">
        <v>37925488</v>
      </c>
      <c r="E3709" s="15">
        <v>39438985</v>
      </c>
      <c r="F3709" s="15">
        <v>3790</v>
      </c>
      <c r="G3709" s="8" t="s">
        <v>12324</v>
      </c>
      <c r="H3709" s="24" t="s">
        <v>6008</v>
      </c>
      <c r="I3709" s="25" t="s">
        <v>6009</v>
      </c>
      <c r="J3709" s="8" t="s">
        <v>6010</v>
      </c>
      <c r="K3709" s="8" t="s">
        <v>10051</v>
      </c>
      <c r="L3709" s="15">
        <v>-3.73075E-2</v>
      </c>
      <c r="M3709" s="15">
        <v>0.79289299999999996</v>
      </c>
      <c r="N3709" s="15">
        <v>0.94860546398705137</v>
      </c>
    </row>
    <row r="3710" spans="1:14" x14ac:dyDescent="0.2">
      <c r="A3710" s="2" t="s">
        <v>10068</v>
      </c>
      <c r="B3710" s="15">
        <v>1883</v>
      </c>
      <c r="C3710" s="15">
        <v>13</v>
      </c>
      <c r="D3710" s="15">
        <v>40091624</v>
      </c>
      <c r="E3710" s="15">
        <v>41003943</v>
      </c>
      <c r="F3710" s="15">
        <v>2417</v>
      </c>
      <c r="G3710" s="8" t="s">
        <v>12324</v>
      </c>
      <c r="H3710" s="24" t="s">
        <v>494</v>
      </c>
      <c r="I3710" s="25">
        <v>25920</v>
      </c>
      <c r="J3710" s="8" t="s">
        <v>496</v>
      </c>
      <c r="K3710" s="8" t="s">
        <v>10040</v>
      </c>
      <c r="L3710" s="15">
        <v>4.9314400000000001E-2</v>
      </c>
      <c r="M3710" s="15">
        <v>0.79388400000000003</v>
      </c>
      <c r="N3710" s="15">
        <v>0.94911869002695415</v>
      </c>
    </row>
    <row r="3711" spans="1:14" x14ac:dyDescent="0.2">
      <c r="A3711" s="2" t="s">
        <v>10069</v>
      </c>
      <c r="B3711" s="15">
        <v>844</v>
      </c>
      <c r="C3711" s="15">
        <v>5</v>
      </c>
      <c r="D3711" s="15">
        <v>82720249</v>
      </c>
      <c r="E3711" s="15">
        <v>84094797</v>
      </c>
      <c r="F3711" s="15">
        <v>1922</v>
      </c>
      <c r="G3711" s="8" t="s">
        <v>12324</v>
      </c>
      <c r="H3711" s="24" t="s">
        <v>662</v>
      </c>
      <c r="I3711" s="25" t="s">
        <v>663</v>
      </c>
      <c r="J3711" s="8" t="s">
        <v>664</v>
      </c>
      <c r="K3711" s="8" t="s">
        <v>10040</v>
      </c>
      <c r="L3711" s="15">
        <v>8.2857899999999998E-2</v>
      </c>
      <c r="M3711" s="15">
        <v>0.79378800000000005</v>
      </c>
      <c r="N3711" s="15">
        <v>0.94911869002695415</v>
      </c>
    </row>
    <row r="3712" spans="1:14" x14ac:dyDescent="0.2">
      <c r="A3712" s="2" t="s">
        <v>10066</v>
      </c>
      <c r="B3712" s="15">
        <v>2110</v>
      </c>
      <c r="C3712" s="15">
        <v>16</v>
      </c>
      <c r="D3712" s="15">
        <v>7704355</v>
      </c>
      <c r="E3712" s="15">
        <v>8341012</v>
      </c>
      <c r="F3712" s="15">
        <v>3197</v>
      </c>
      <c r="G3712" s="8" t="s">
        <v>12324</v>
      </c>
      <c r="H3712" s="24" t="s">
        <v>3164</v>
      </c>
      <c r="I3712" s="25" t="s">
        <v>3165</v>
      </c>
      <c r="J3712" s="8" t="s">
        <v>3166</v>
      </c>
      <c r="K3712" s="8" t="s">
        <v>10042</v>
      </c>
      <c r="L3712" s="15">
        <v>5.1146299999999999E-2</v>
      </c>
      <c r="M3712" s="15">
        <v>0.793964</v>
      </c>
      <c r="N3712" s="15">
        <v>0.94911869002695415</v>
      </c>
    </row>
    <row r="3713" spans="1:14" x14ac:dyDescent="0.2">
      <c r="A3713" s="2" t="s">
        <v>10068</v>
      </c>
      <c r="B3713" s="15">
        <v>1823</v>
      </c>
      <c r="C3713" s="15">
        <v>12</v>
      </c>
      <c r="D3713" s="15">
        <v>92061180</v>
      </c>
      <c r="E3713" s="15">
        <v>93487547</v>
      </c>
      <c r="F3713" s="15">
        <v>3594</v>
      </c>
      <c r="G3713" s="8" t="s">
        <v>12324</v>
      </c>
      <c r="H3713" s="24" t="s">
        <v>599</v>
      </c>
      <c r="I3713" s="25">
        <v>26562</v>
      </c>
      <c r="J3713" s="8" t="s">
        <v>601</v>
      </c>
      <c r="K3713" s="8" t="s">
        <v>10040</v>
      </c>
      <c r="L3713" s="15">
        <v>-7.6958100000000002E-2</v>
      </c>
      <c r="M3713" s="15">
        <v>0.79437199999999997</v>
      </c>
      <c r="N3713" s="15">
        <v>0.94935053085421717</v>
      </c>
    </row>
    <row r="3714" spans="1:14" x14ac:dyDescent="0.2">
      <c r="A3714" s="2" t="s">
        <v>10068</v>
      </c>
      <c r="B3714" s="15">
        <v>756</v>
      </c>
      <c r="C3714" s="15">
        <v>4</v>
      </c>
      <c r="D3714" s="15">
        <v>174470207</v>
      </c>
      <c r="E3714" s="15">
        <v>175295842</v>
      </c>
      <c r="F3714" s="15">
        <v>2079</v>
      </c>
      <c r="G3714" s="8" t="s">
        <v>12324</v>
      </c>
      <c r="H3714" s="24" t="s">
        <v>494</v>
      </c>
      <c r="I3714" s="25">
        <v>25920</v>
      </c>
      <c r="J3714" s="8" t="s">
        <v>496</v>
      </c>
      <c r="K3714" s="8" t="s">
        <v>10040</v>
      </c>
      <c r="L3714" s="15">
        <v>5.8095599999999997E-2</v>
      </c>
      <c r="M3714" s="15">
        <v>0.79508299999999998</v>
      </c>
      <c r="N3714" s="15">
        <v>0.94968842041475887</v>
      </c>
    </row>
    <row r="3715" spans="1:14" x14ac:dyDescent="0.2">
      <c r="A3715" s="2" t="s">
        <v>10066</v>
      </c>
      <c r="B3715" s="15">
        <v>2417</v>
      </c>
      <c r="C3715" s="15">
        <v>20</v>
      </c>
      <c r="D3715" s="15">
        <v>53120335</v>
      </c>
      <c r="E3715" s="15">
        <v>53879803</v>
      </c>
      <c r="F3715" s="15">
        <v>2260</v>
      </c>
      <c r="G3715" s="8" t="s">
        <v>12324</v>
      </c>
      <c r="H3715" s="24" t="s">
        <v>6008</v>
      </c>
      <c r="I3715" s="25" t="s">
        <v>6009</v>
      </c>
      <c r="J3715" s="8" t="s">
        <v>6010</v>
      </c>
      <c r="K3715" s="8" t="s">
        <v>10051</v>
      </c>
      <c r="L3715" s="15">
        <v>6.6580500000000001E-2</v>
      </c>
      <c r="M3715" s="15">
        <v>0.79498899999999995</v>
      </c>
      <c r="N3715" s="15">
        <v>0.94968842041475887</v>
      </c>
    </row>
    <row r="3716" spans="1:14" x14ac:dyDescent="0.2">
      <c r="A3716" s="2" t="s">
        <v>10069</v>
      </c>
      <c r="B3716" s="15">
        <v>2177</v>
      </c>
      <c r="C3716" s="15">
        <v>17</v>
      </c>
      <c r="D3716" s="15">
        <v>3430441</v>
      </c>
      <c r="E3716" s="15">
        <v>4463971</v>
      </c>
      <c r="F3716" s="15">
        <v>2003</v>
      </c>
      <c r="G3716" s="8" t="s">
        <v>12324</v>
      </c>
      <c r="H3716" s="24" t="s">
        <v>662</v>
      </c>
      <c r="I3716" s="25" t="s">
        <v>663</v>
      </c>
      <c r="J3716" s="8" t="s">
        <v>664</v>
      </c>
      <c r="K3716" s="8" t="s">
        <v>10040</v>
      </c>
      <c r="L3716" s="15">
        <v>8.4931199999999998E-2</v>
      </c>
      <c r="M3716" s="15">
        <v>0.796149</v>
      </c>
      <c r="N3716" s="15">
        <v>0.95070565831987075</v>
      </c>
    </row>
    <row r="3717" spans="1:14" x14ac:dyDescent="0.2">
      <c r="A3717" s="2" t="s">
        <v>10068</v>
      </c>
      <c r="B3717" s="15">
        <v>717</v>
      </c>
      <c r="C3717" s="15">
        <v>4</v>
      </c>
      <c r="D3717" s="15">
        <v>128321877</v>
      </c>
      <c r="E3717" s="15">
        <v>129625376</v>
      </c>
      <c r="F3717" s="15">
        <v>2314</v>
      </c>
      <c r="G3717" s="8" t="s">
        <v>12324</v>
      </c>
      <c r="H3717" s="24" t="s">
        <v>494</v>
      </c>
      <c r="I3717" s="25">
        <v>25920</v>
      </c>
      <c r="J3717" s="8" t="s">
        <v>496</v>
      </c>
      <c r="K3717" s="8" t="s">
        <v>10040</v>
      </c>
      <c r="L3717" s="15">
        <v>-4.6729800000000002E-2</v>
      </c>
      <c r="M3717" s="15">
        <v>0.79783899999999996</v>
      </c>
      <c r="N3717" s="15">
        <v>0.95246728532974412</v>
      </c>
    </row>
    <row r="3718" spans="1:14" x14ac:dyDescent="0.2">
      <c r="A3718" s="2" t="s">
        <v>10068</v>
      </c>
      <c r="B3718" s="15">
        <v>1076</v>
      </c>
      <c r="C3718" s="15">
        <v>6</v>
      </c>
      <c r="D3718" s="15">
        <v>153082362</v>
      </c>
      <c r="E3718" s="15">
        <v>153791461</v>
      </c>
      <c r="F3718" s="15">
        <v>2097</v>
      </c>
      <c r="G3718" s="8" t="s">
        <v>12324</v>
      </c>
      <c r="H3718" s="24" t="s">
        <v>494</v>
      </c>
      <c r="I3718" s="25">
        <v>25920</v>
      </c>
      <c r="J3718" s="8" t="s">
        <v>496</v>
      </c>
      <c r="K3718" s="8" t="s">
        <v>10040</v>
      </c>
      <c r="L3718" s="15">
        <v>3.3172300000000002E-2</v>
      </c>
      <c r="M3718" s="15">
        <v>0.79858200000000001</v>
      </c>
      <c r="N3718" s="15">
        <v>0.9528413155770783</v>
      </c>
    </row>
    <row r="3719" spans="1:14" x14ac:dyDescent="0.2">
      <c r="A3719" s="2" t="s">
        <v>10068</v>
      </c>
      <c r="B3719" s="15">
        <v>1396</v>
      </c>
      <c r="C3719" s="15">
        <v>9</v>
      </c>
      <c r="D3719" s="15">
        <v>19463293</v>
      </c>
      <c r="E3719" s="15">
        <v>20483880</v>
      </c>
      <c r="F3719" s="15">
        <v>2661</v>
      </c>
      <c r="G3719" s="8" t="s">
        <v>12324</v>
      </c>
      <c r="H3719" s="24" t="s">
        <v>6565</v>
      </c>
      <c r="I3719" s="25" t="s">
        <v>6475</v>
      </c>
      <c r="J3719" s="8" t="s">
        <v>6566</v>
      </c>
      <c r="K3719" s="8" t="s">
        <v>10054</v>
      </c>
      <c r="L3719" s="15">
        <v>-8.0792100000000006E-2</v>
      </c>
      <c r="M3719" s="15">
        <v>0.79846499999999998</v>
      </c>
      <c r="N3719" s="15">
        <v>0.9528413155770783</v>
      </c>
    </row>
    <row r="3720" spans="1:14" x14ac:dyDescent="0.2">
      <c r="A3720" s="2" t="s">
        <v>10068</v>
      </c>
      <c r="B3720" s="15">
        <v>2494</v>
      </c>
      <c r="C3720" s="15">
        <v>22</v>
      </c>
      <c r="D3720" s="15">
        <v>49559208</v>
      </c>
      <c r="E3720" s="15">
        <v>50347996</v>
      </c>
      <c r="F3720" s="15">
        <v>3306</v>
      </c>
      <c r="G3720" s="8" t="s">
        <v>12324</v>
      </c>
      <c r="H3720" s="24" t="s">
        <v>494</v>
      </c>
      <c r="I3720" s="25">
        <v>25920</v>
      </c>
      <c r="J3720" s="8" t="s">
        <v>496</v>
      </c>
      <c r="K3720" s="8" t="s">
        <v>10040</v>
      </c>
      <c r="L3720" s="15">
        <v>4.1067800000000002E-2</v>
      </c>
      <c r="M3720" s="15">
        <v>0.800597</v>
      </c>
      <c r="N3720" s="15">
        <v>0.95326556776072002</v>
      </c>
    </row>
    <row r="3721" spans="1:14" x14ac:dyDescent="0.2">
      <c r="A3721" s="2" t="s">
        <v>10068</v>
      </c>
      <c r="B3721" s="15">
        <v>2230</v>
      </c>
      <c r="C3721" s="15">
        <v>17</v>
      </c>
      <c r="D3721" s="15">
        <v>73741322</v>
      </c>
      <c r="E3721" s="15">
        <v>74908266</v>
      </c>
      <c r="F3721" s="15">
        <v>3167</v>
      </c>
      <c r="G3721" s="8" t="s">
        <v>12324</v>
      </c>
      <c r="H3721" s="24" t="s">
        <v>494</v>
      </c>
      <c r="I3721" s="25">
        <v>25920</v>
      </c>
      <c r="J3721" s="8" t="s">
        <v>496</v>
      </c>
      <c r="K3721" s="8" t="s">
        <v>10040</v>
      </c>
      <c r="L3721" s="15">
        <v>-5.0800499999999998E-2</v>
      </c>
      <c r="M3721" s="15">
        <v>0.802759</v>
      </c>
      <c r="N3721" s="15">
        <v>0.95326556776072002</v>
      </c>
    </row>
    <row r="3722" spans="1:14" x14ac:dyDescent="0.2">
      <c r="A3722" s="2" t="s">
        <v>10068</v>
      </c>
      <c r="B3722" s="15">
        <v>2305</v>
      </c>
      <c r="C3722" s="15">
        <v>18</v>
      </c>
      <c r="D3722" s="15">
        <v>77148138</v>
      </c>
      <c r="E3722" s="15">
        <v>78017072</v>
      </c>
      <c r="F3722" s="15">
        <v>3018</v>
      </c>
      <c r="G3722" s="8" t="s">
        <v>12324</v>
      </c>
      <c r="H3722" s="24" t="s">
        <v>494</v>
      </c>
      <c r="I3722" s="25">
        <v>25920</v>
      </c>
      <c r="J3722" s="8" t="s">
        <v>496</v>
      </c>
      <c r="K3722" s="8" t="s">
        <v>10040</v>
      </c>
      <c r="L3722" s="15">
        <v>-5.0547099999999998E-2</v>
      </c>
      <c r="M3722" s="15">
        <v>0.803369</v>
      </c>
      <c r="N3722" s="15">
        <v>0.95326556776072002</v>
      </c>
    </row>
    <row r="3723" spans="1:14" x14ac:dyDescent="0.2">
      <c r="A3723" s="2" t="s">
        <v>10068</v>
      </c>
      <c r="B3723" s="15">
        <v>737</v>
      </c>
      <c r="C3723" s="15">
        <v>4</v>
      </c>
      <c r="D3723" s="15">
        <v>153520884</v>
      </c>
      <c r="E3723" s="15">
        <v>155044409</v>
      </c>
      <c r="F3723" s="15">
        <v>4201</v>
      </c>
      <c r="G3723" s="8" t="s">
        <v>12324</v>
      </c>
      <c r="H3723" s="24" t="s">
        <v>494</v>
      </c>
      <c r="I3723" s="25">
        <v>25920</v>
      </c>
      <c r="J3723" s="8" t="s">
        <v>496</v>
      </c>
      <c r="K3723" s="8" t="s">
        <v>10040</v>
      </c>
      <c r="L3723" s="15">
        <v>7.0077799999999996E-2</v>
      </c>
      <c r="M3723" s="15">
        <v>0.80346099999999998</v>
      </c>
      <c r="N3723" s="15">
        <v>0.95326556776072002</v>
      </c>
    </row>
    <row r="3724" spans="1:14" x14ac:dyDescent="0.2">
      <c r="A3724" s="2" t="s">
        <v>10068</v>
      </c>
      <c r="B3724" s="15">
        <v>1429</v>
      </c>
      <c r="C3724" s="15">
        <v>9</v>
      </c>
      <c r="D3724" s="15">
        <v>83455503</v>
      </c>
      <c r="E3724" s="15">
        <v>85135751</v>
      </c>
      <c r="F3724" s="15">
        <v>3685</v>
      </c>
      <c r="G3724" s="8" t="s">
        <v>12324</v>
      </c>
      <c r="H3724" s="24" t="s">
        <v>494</v>
      </c>
      <c r="I3724" s="25">
        <v>25920</v>
      </c>
      <c r="J3724" s="8" t="s">
        <v>496</v>
      </c>
      <c r="K3724" s="8" t="s">
        <v>10040</v>
      </c>
      <c r="L3724" s="15">
        <v>6.0443299999999998E-2</v>
      </c>
      <c r="M3724" s="15">
        <v>0.80477100000000001</v>
      </c>
      <c r="N3724" s="15">
        <v>0.95326556776072002</v>
      </c>
    </row>
    <row r="3725" spans="1:14" x14ac:dyDescent="0.2">
      <c r="A3725" s="2" t="s">
        <v>10068</v>
      </c>
      <c r="B3725" s="15">
        <v>2486</v>
      </c>
      <c r="C3725" s="15">
        <v>22</v>
      </c>
      <c r="D3725" s="15">
        <v>42867928</v>
      </c>
      <c r="E3725" s="15">
        <v>43574017</v>
      </c>
      <c r="F3725" s="15">
        <v>2253</v>
      </c>
      <c r="G3725" s="8" t="s">
        <v>12324</v>
      </c>
      <c r="H3725" s="24" t="s">
        <v>494</v>
      </c>
      <c r="I3725" s="25">
        <v>25920</v>
      </c>
      <c r="J3725" s="8" t="s">
        <v>496</v>
      </c>
      <c r="K3725" s="8" t="s">
        <v>10040</v>
      </c>
      <c r="L3725" s="15">
        <v>4.1717999999999998E-2</v>
      </c>
      <c r="M3725" s="15">
        <v>0.81002799999999997</v>
      </c>
      <c r="N3725" s="15">
        <v>0.95326556776072002</v>
      </c>
    </row>
    <row r="3726" spans="1:14" x14ac:dyDescent="0.2">
      <c r="A3726" s="2" t="s">
        <v>10068</v>
      </c>
      <c r="B3726" s="15">
        <v>1134</v>
      </c>
      <c r="C3726" s="15">
        <v>7</v>
      </c>
      <c r="D3726" s="15">
        <v>36507691</v>
      </c>
      <c r="E3726" s="15">
        <v>37981936</v>
      </c>
      <c r="F3726" s="15">
        <v>4168</v>
      </c>
      <c r="G3726" s="8" t="s">
        <v>12324</v>
      </c>
      <c r="H3726" s="24" t="s">
        <v>494</v>
      </c>
      <c r="I3726" s="25">
        <v>25920</v>
      </c>
      <c r="J3726" s="8" t="s">
        <v>496</v>
      </c>
      <c r="K3726" s="8" t="s">
        <v>10040</v>
      </c>
      <c r="L3726" s="15">
        <v>-3.1921600000000001E-2</v>
      </c>
      <c r="M3726" s="15">
        <v>0.81016200000000005</v>
      </c>
      <c r="N3726" s="15">
        <v>0.95326556776072002</v>
      </c>
    </row>
    <row r="3727" spans="1:14" x14ac:dyDescent="0.2">
      <c r="A3727" s="2" t="s">
        <v>10068</v>
      </c>
      <c r="B3727" s="15">
        <v>162</v>
      </c>
      <c r="C3727" s="15">
        <v>1</v>
      </c>
      <c r="D3727" s="15">
        <v>211082893</v>
      </c>
      <c r="E3727" s="15">
        <v>212347582</v>
      </c>
      <c r="F3727" s="15">
        <v>3792</v>
      </c>
      <c r="G3727" s="8" t="s">
        <v>12324</v>
      </c>
      <c r="H3727" s="24" t="s">
        <v>494</v>
      </c>
      <c r="I3727" s="25">
        <v>25920</v>
      </c>
      <c r="J3727" s="8" t="s">
        <v>496</v>
      </c>
      <c r="K3727" s="8" t="s">
        <v>10040</v>
      </c>
      <c r="L3727" s="15">
        <v>6.07433E-2</v>
      </c>
      <c r="M3727" s="15">
        <v>0.81174400000000002</v>
      </c>
      <c r="N3727" s="15">
        <v>0.95326556776072002</v>
      </c>
    </row>
    <row r="3728" spans="1:14" x14ac:dyDescent="0.2">
      <c r="A3728" s="2" t="s">
        <v>10068</v>
      </c>
      <c r="B3728" s="15">
        <v>2073</v>
      </c>
      <c r="C3728" s="15">
        <v>15</v>
      </c>
      <c r="D3728" s="15">
        <v>70767984</v>
      </c>
      <c r="E3728" s="15">
        <v>72058129</v>
      </c>
      <c r="F3728" s="15">
        <v>2884</v>
      </c>
      <c r="G3728" s="8" t="s">
        <v>12324</v>
      </c>
      <c r="H3728" s="24" t="s">
        <v>494</v>
      </c>
      <c r="I3728" s="25">
        <v>25920</v>
      </c>
      <c r="J3728" s="8" t="s">
        <v>496</v>
      </c>
      <c r="K3728" s="8" t="s">
        <v>10040</v>
      </c>
      <c r="L3728" s="15">
        <v>-5.2603200000000003E-2</v>
      </c>
      <c r="M3728" s="15">
        <v>0.81191199999999997</v>
      </c>
      <c r="N3728" s="15">
        <v>0.95326556776072002</v>
      </c>
    </row>
    <row r="3729" spans="1:14" x14ac:dyDescent="0.2">
      <c r="A3729" s="2" t="s">
        <v>10068</v>
      </c>
      <c r="B3729" s="15">
        <v>2021</v>
      </c>
      <c r="C3729" s="15">
        <v>14</v>
      </c>
      <c r="D3729" s="15">
        <v>94892241</v>
      </c>
      <c r="E3729" s="15">
        <v>95946792</v>
      </c>
      <c r="F3729" s="15">
        <v>3907</v>
      </c>
      <c r="G3729" s="8" t="s">
        <v>12324</v>
      </c>
      <c r="H3729" s="24" t="s">
        <v>599</v>
      </c>
      <c r="I3729" s="25">
        <v>26562</v>
      </c>
      <c r="J3729" s="8" t="s">
        <v>601</v>
      </c>
      <c r="K3729" s="8" t="s">
        <v>10040</v>
      </c>
      <c r="L3729" s="15">
        <v>-6.2627500000000003E-2</v>
      </c>
      <c r="M3729" s="15">
        <v>0.80044199999999999</v>
      </c>
      <c r="N3729" s="15">
        <v>0.95326556776072002</v>
      </c>
    </row>
    <row r="3730" spans="1:14" x14ac:dyDescent="0.2">
      <c r="A3730" s="2" t="s">
        <v>10068</v>
      </c>
      <c r="B3730" s="15">
        <v>1522</v>
      </c>
      <c r="C3730" s="15">
        <v>10</v>
      </c>
      <c r="D3730" s="15">
        <v>33655459</v>
      </c>
      <c r="E3730" s="15">
        <v>35178224</v>
      </c>
      <c r="F3730" s="15">
        <v>3750</v>
      </c>
      <c r="G3730" s="8" t="s">
        <v>12324</v>
      </c>
      <c r="H3730" s="24" t="s">
        <v>599</v>
      </c>
      <c r="I3730" s="25">
        <v>26562</v>
      </c>
      <c r="J3730" s="8" t="s">
        <v>601</v>
      </c>
      <c r="K3730" s="8" t="s">
        <v>10040</v>
      </c>
      <c r="L3730" s="15">
        <v>-5.2433800000000003E-2</v>
      </c>
      <c r="M3730" s="15">
        <v>0.80155399999999999</v>
      </c>
      <c r="N3730" s="15">
        <v>0.95326556776072002</v>
      </c>
    </row>
    <row r="3731" spans="1:14" x14ac:dyDescent="0.2">
      <c r="A3731" s="2" t="s">
        <v>10068</v>
      </c>
      <c r="B3731" s="15">
        <v>2152</v>
      </c>
      <c r="C3731" s="15">
        <v>16</v>
      </c>
      <c r="D3731" s="15">
        <v>74135276</v>
      </c>
      <c r="E3731" s="15">
        <v>74889127</v>
      </c>
      <c r="F3731" s="15">
        <v>2059</v>
      </c>
      <c r="G3731" s="8" t="s">
        <v>12324</v>
      </c>
      <c r="H3731" s="24" t="s">
        <v>599</v>
      </c>
      <c r="I3731" s="25">
        <v>26562</v>
      </c>
      <c r="J3731" s="8" t="s">
        <v>601</v>
      </c>
      <c r="K3731" s="8" t="s">
        <v>10040</v>
      </c>
      <c r="L3731" s="15">
        <v>-5.23145E-2</v>
      </c>
      <c r="M3731" s="15">
        <v>0.80281599999999997</v>
      </c>
      <c r="N3731" s="15">
        <v>0.95326556776072002</v>
      </c>
    </row>
    <row r="3732" spans="1:14" x14ac:dyDescent="0.2">
      <c r="A3732" s="2" t="s">
        <v>10068</v>
      </c>
      <c r="B3732" s="15">
        <v>2465</v>
      </c>
      <c r="C3732" s="15">
        <v>22</v>
      </c>
      <c r="D3732" s="15">
        <v>19635655</v>
      </c>
      <c r="E3732" s="15">
        <v>20969184</v>
      </c>
      <c r="F3732" s="15">
        <v>2781</v>
      </c>
      <c r="G3732" s="8" t="s">
        <v>12324</v>
      </c>
      <c r="H3732" s="24" t="s">
        <v>599</v>
      </c>
      <c r="I3732" s="25">
        <v>26562</v>
      </c>
      <c r="J3732" s="8" t="s">
        <v>601</v>
      </c>
      <c r="K3732" s="8" t="s">
        <v>10040</v>
      </c>
      <c r="L3732" s="15">
        <v>3.9010499999999997E-2</v>
      </c>
      <c r="M3732" s="15">
        <v>0.80320899999999995</v>
      </c>
      <c r="N3732" s="15">
        <v>0.95326556776072002</v>
      </c>
    </row>
    <row r="3733" spans="1:14" x14ac:dyDescent="0.2">
      <c r="A3733" s="2" t="s">
        <v>10068</v>
      </c>
      <c r="B3733" s="15">
        <v>2242</v>
      </c>
      <c r="C3733" s="15">
        <v>18</v>
      </c>
      <c r="D3733" s="15">
        <v>3722829</v>
      </c>
      <c r="E3733" s="15">
        <v>4603961</v>
      </c>
      <c r="F3733" s="15">
        <v>2690</v>
      </c>
      <c r="G3733" s="8" t="s">
        <v>12324</v>
      </c>
      <c r="H3733" s="24" t="s">
        <v>599</v>
      </c>
      <c r="I3733" s="25">
        <v>26562</v>
      </c>
      <c r="J3733" s="8" t="s">
        <v>601</v>
      </c>
      <c r="K3733" s="8" t="s">
        <v>10040</v>
      </c>
      <c r="L3733" s="15">
        <v>4.6531999999999997E-2</v>
      </c>
      <c r="M3733" s="15">
        <v>0.80631600000000003</v>
      </c>
      <c r="N3733" s="15">
        <v>0.95326556776072002</v>
      </c>
    </row>
    <row r="3734" spans="1:14" x14ac:dyDescent="0.2">
      <c r="A3734" s="2" t="s">
        <v>10068</v>
      </c>
      <c r="B3734" s="15">
        <v>894</v>
      </c>
      <c r="C3734" s="15">
        <v>5</v>
      </c>
      <c r="D3734" s="15">
        <v>142532957</v>
      </c>
      <c r="E3734" s="15">
        <v>143605908</v>
      </c>
      <c r="F3734" s="15">
        <v>2436</v>
      </c>
      <c r="G3734" s="8" t="s">
        <v>12324</v>
      </c>
      <c r="H3734" s="24" t="s">
        <v>599</v>
      </c>
      <c r="I3734" s="25">
        <v>26562</v>
      </c>
      <c r="J3734" s="8" t="s">
        <v>601</v>
      </c>
      <c r="K3734" s="8" t="s">
        <v>10040</v>
      </c>
      <c r="L3734" s="15">
        <v>6.9371299999999997E-2</v>
      </c>
      <c r="M3734" s="15">
        <v>0.80713299999999999</v>
      </c>
      <c r="N3734" s="15">
        <v>0.95326556776072002</v>
      </c>
    </row>
    <row r="3735" spans="1:14" x14ac:dyDescent="0.2">
      <c r="A3735" s="2" t="s">
        <v>10068</v>
      </c>
      <c r="B3735" s="15">
        <v>160</v>
      </c>
      <c r="C3735" s="15">
        <v>1</v>
      </c>
      <c r="D3735" s="15">
        <v>208162952</v>
      </c>
      <c r="E3735" s="15">
        <v>209711169</v>
      </c>
      <c r="F3735" s="15">
        <v>3782</v>
      </c>
      <c r="G3735" s="8" t="s">
        <v>12324</v>
      </c>
      <c r="H3735" s="24" t="s">
        <v>599</v>
      </c>
      <c r="I3735" s="25">
        <v>26562</v>
      </c>
      <c r="J3735" s="8" t="s">
        <v>601</v>
      </c>
      <c r="K3735" s="8" t="s">
        <v>10040</v>
      </c>
      <c r="L3735" s="15">
        <v>-8.0658900000000006E-2</v>
      </c>
      <c r="M3735" s="15">
        <v>0.80871099999999996</v>
      </c>
      <c r="N3735" s="15">
        <v>0.95326556776072002</v>
      </c>
    </row>
    <row r="3736" spans="1:14" x14ac:dyDescent="0.2">
      <c r="A3736" s="2" t="s">
        <v>10068</v>
      </c>
      <c r="B3736" s="15">
        <v>1403</v>
      </c>
      <c r="C3736" s="15">
        <v>9</v>
      </c>
      <c r="D3736" s="15">
        <v>26747215</v>
      </c>
      <c r="E3736" s="15">
        <v>27366479</v>
      </c>
      <c r="F3736" s="15">
        <v>2021</v>
      </c>
      <c r="G3736" s="8" t="s">
        <v>12324</v>
      </c>
      <c r="H3736" s="24" t="s">
        <v>599</v>
      </c>
      <c r="I3736" s="25">
        <v>26562</v>
      </c>
      <c r="J3736" s="8" t="s">
        <v>601</v>
      </c>
      <c r="K3736" s="8" t="s">
        <v>10040</v>
      </c>
      <c r="L3736" s="15">
        <v>6.4767400000000003E-2</v>
      </c>
      <c r="M3736" s="15">
        <v>0.80884699999999998</v>
      </c>
      <c r="N3736" s="15">
        <v>0.95326556776072002</v>
      </c>
    </row>
    <row r="3737" spans="1:14" x14ac:dyDescent="0.2">
      <c r="A3737" s="2" t="s">
        <v>10068</v>
      </c>
      <c r="B3737" s="15">
        <v>22</v>
      </c>
      <c r="C3737" s="15">
        <v>1</v>
      </c>
      <c r="D3737" s="15">
        <v>20556203</v>
      </c>
      <c r="E3737" s="15">
        <v>21416121</v>
      </c>
      <c r="F3737" s="15">
        <v>2194</v>
      </c>
      <c r="G3737" s="8" t="s">
        <v>12324</v>
      </c>
      <c r="H3737" s="24" t="s">
        <v>599</v>
      </c>
      <c r="I3737" s="25">
        <v>26562</v>
      </c>
      <c r="J3737" s="8" t="s">
        <v>601</v>
      </c>
      <c r="K3737" s="8" t="s">
        <v>10040</v>
      </c>
      <c r="L3737" s="15">
        <v>-8.5143999999999997E-2</v>
      </c>
      <c r="M3737" s="15">
        <v>0.80980600000000003</v>
      </c>
      <c r="N3737" s="15">
        <v>0.95326556776072002</v>
      </c>
    </row>
    <row r="3738" spans="1:14" x14ac:dyDescent="0.2">
      <c r="A3738" s="2" t="s">
        <v>10068</v>
      </c>
      <c r="B3738" s="15">
        <v>336</v>
      </c>
      <c r="C3738" s="15">
        <v>2</v>
      </c>
      <c r="D3738" s="15">
        <v>145977921</v>
      </c>
      <c r="E3738" s="15">
        <v>147252196</v>
      </c>
      <c r="F3738" s="15">
        <v>2477</v>
      </c>
      <c r="G3738" s="8" t="s">
        <v>12324</v>
      </c>
      <c r="H3738" s="24" t="s">
        <v>599</v>
      </c>
      <c r="I3738" s="25">
        <v>26562</v>
      </c>
      <c r="J3738" s="8" t="s">
        <v>601</v>
      </c>
      <c r="K3738" s="8" t="s">
        <v>10040</v>
      </c>
      <c r="L3738" s="15">
        <v>-3.73181E-2</v>
      </c>
      <c r="M3738" s="15">
        <v>0.81124799999999997</v>
      </c>
      <c r="N3738" s="15">
        <v>0.95326556776072002</v>
      </c>
    </row>
    <row r="3739" spans="1:14" x14ac:dyDescent="0.2">
      <c r="A3739" s="2" t="s">
        <v>10068</v>
      </c>
      <c r="B3739" s="15">
        <v>2375</v>
      </c>
      <c r="C3739" s="15">
        <v>20</v>
      </c>
      <c r="D3739" s="15">
        <v>5379451</v>
      </c>
      <c r="E3739" s="15">
        <v>6128358</v>
      </c>
      <c r="F3739" s="15">
        <v>2575</v>
      </c>
      <c r="G3739" s="8" t="s">
        <v>12324</v>
      </c>
      <c r="H3739" s="24" t="s">
        <v>599</v>
      </c>
      <c r="I3739" s="25">
        <v>26562</v>
      </c>
      <c r="J3739" s="8" t="s">
        <v>601</v>
      </c>
      <c r="K3739" s="8" t="s">
        <v>10040</v>
      </c>
      <c r="L3739" s="15">
        <v>4.28879E-2</v>
      </c>
      <c r="M3739" s="15">
        <v>0.81164400000000003</v>
      </c>
      <c r="N3739" s="15">
        <v>0.95326556776072002</v>
      </c>
    </row>
    <row r="3740" spans="1:14" x14ac:dyDescent="0.2">
      <c r="A3740" s="2" t="s">
        <v>10069</v>
      </c>
      <c r="B3740" s="15">
        <v>733</v>
      </c>
      <c r="C3740" s="15">
        <v>4</v>
      </c>
      <c r="D3740" s="15">
        <v>148462209</v>
      </c>
      <c r="E3740" s="15">
        <v>149998528</v>
      </c>
      <c r="F3740" s="15">
        <v>2119</v>
      </c>
      <c r="G3740" s="8" t="s">
        <v>12324</v>
      </c>
      <c r="H3740" s="24" t="s">
        <v>662</v>
      </c>
      <c r="I3740" s="25" t="s">
        <v>663</v>
      </c>
      <c r="J3740" s="8" t="s">
        <v>664</v>
      </c>
      <c r="K3740" s="8" t="s">
        <v>10040</v>
      </c>
      <c r="L3740" s="15">
        <v>8.4465499999999999E-2</v>
      </c>
      <c r="M3740" s="15">
        <v>0.79981500000000005</v>
      </c>
      <c r="N3740" s="15">
        <v>0.95326556776072002</v>
      </c>
    </row>
    <row r="3741" spans="1:14" x14ac:dyDescent="0.2">
      <c r="A3741" s="2" t="s">
        <v>10069</v>
      </c>
      <c r="B3741" s="15">
        <v>1244</v>
      </c>
      <c r="C3741" s="15">
        <v>8</v>
      </c>
      <c r="D3741" s="15">
        <v>6019164</v>
      </c>
      <c r="E3741" s="15">
        <v>6663427</v>
      </c>
      <c r="F3741" s="15">
        <v>2133</v>
      </c>
      <c r="G3741" s="8" t="s">
        <v>12324</v>
      </c>
      <c r="H3741" s="24" t="s">
        <v>662</v>
      </c>
      <c r="I3741" s="25" t="s">
        <v>663</v>
      </c>
      <c r="J3741" s="8" t="s">
        <v>664</v>
      </c>
      <c r="K3741" s="8" t="s">
        <v>10040</v>
      </c>
      <c r="L3741" s="15">
        <v>-6.4775700000000005E-2</v>
      </c>
      <c r="M3741" s="15">
        <v>0.80176199999999997</v>
      </c>
      <c r="N3741" s="15">
        <v>0.95326556776072002</v>
      </c>
    </row>
    <row r="3742" spans="1:14" x14ac:dyDescent="0.2">
      <c r="A3742" s="2" t="s">
        <v>10069</v>
      </c>
      <c r="B3742" s="15">
        <v>190</v>
      </c>
      <c r="C3742" s="15">
        <v>1</v>
      </c>
      <c r="D3742" s="15">
        <v>239332149</v>
      </c>
      <c r="E3742" s="15">
        <v>240248508</v>
      </c>
      <c r="F3742" s="15">
        <v>1671</v>
      </c>
      <c r="G3742" s="8" t="s">
        <v>12324</v>
      </c>
      <c r="H3742" s="24" t="s">
        <v>662</v>
      </c>
      <c r="I3742" s="25" t="s">
        <v>663</v>
      </c>
      <c r="J3742" s="8" t="s">
        <v>664</v>
      </c>
      <c r="K3742" s="8" t="s">
        <v>10040</v>
      </c>
      <c r="L3742" s="15">
        <v>-8.0547199999999999E-2</v>
      </c>
      <c r="M3742" s="15">
        <v>0.80542400000000003</v>
      </c>
      <c r="N3742" s="15">
        <v>0.95326556776072002</v>
      </c>
    </row>
    <row r="3743" spans="1:14" x14ac:dyDescent="0.2">
      <c r="A3743" s="2" t="s">
        <v>10069</v>
      </c>
      <c r="B3743" s="15">
        <v>2002</v>
      </c>
      <c r="C3743" s="15">
        <v>14</v>
      </c>
      <c r="D3743" s="15">
        <v>72665320</v>
      </c>
      <c r="E3743" s="15">
        <v>73373373</v>
      </c>
      <c r="F3743" s="15">
        <v>1328</v>
      </c>
      <c r="G3743" s="8" t="s">
        <v>12324</v>
      </c>
      <c r="H3743" s="24" t="s">
        <v>662</v>
      </c>
      <c r="I3743" s="25" t="s">
        <v>663</v>
      </c>
      <c r="J3743" s="8" t="s">
        <v>664</v>
      </c>
      <c r="K3743" s="8" t="s">
        <v>10040</v>
      </c>
      <c r="L3743" s="15">
        <v>-6.3214099999999995E-2</v>
      </c>
      <c r="M3743" s="15">
        <v>0.80556000000000005</v>
      </c>
      <c r="N3743" s="15">
        <v>0.95326556776072002</v>
      </c>
    </row>
    <row r="3744" spans="1:14" x14ac:dyDescent="0.2">
      <c r="A3744" s="2" t="s">
        <v>10069</v>
      </c>
      <c r="B3744" s="15">
        <v>78</v>
      </c>
      <c r="C3744" s="15">
        <v>1</v>
      </c>
      <c r="D3744" s="15">
        <v>89753965</v>
      </c>
      <c r="E3744" s="15">
        <v>90941549</v>
      </c>
      <c r="F3744" s="15">
        <v>1576</v>
      </c>
      <c r="G3744" s="8" t="s">
        <v>12324</v>
      </c>
      <c r="H3744" s="24" t="s">
        <v>662</v>
      </c>
      <c r="I3744" s="25" t="s">
        <v>663</v>
      </c>
      <c r="J3744" s="8" t="s">
        <v>664</v>
      </c>
      <c r="K3744" s="8" t="s">
        <v>10040</v>
      </c>
      <c r="L3744" s="15">
        <v>5.6026699999999999E-2</v>
      </c>
      <c r="M3744" s="15">
        <v>0.80743299999999996</v>
      </c>
      <c r="N3744" s="15">
        <v>0.95326556776072002</v>
      </c>
    </row>
    <row r="3745" spans="1:14" x14ac:dyDescent="0.2">
      <c r="A3745" s="2" t="s">
        <v>10069</v>
      </c>
      <c r="B3745" s="15">
        <v>83</v>
      </c>
      <c r="C3745" s="15">
        <v>1</v>
      </c>
      <c r="D3745" s="15">
        <v>95122542</v>
      </c>
      <c r="E3745" s="15">
        <v>96147576</v>
      </c>
      <c r="F3745" s="15">
        <v>1901</v>
      </c>
      <c r="G3745" s="8" t="s">
        <v>12324</v>
      </c>
      <c r="H3745" s="24" t="s">
        <v>662</v>
      </c>
      <c r="I3745" s="25" t="s">
        <v>663</v>
      </c>
      <c r="J3745" s="8" t="s">
        <v>664</v>
      </c>
      <c r="K3745" s="8" t="s">
        <v>10040</v>
      </c>
      <c r="L3745" s="15">
        <v>-9.5207399999999998E-2</v>
      </c>
      <c r="M3745" s="15">
        <v>0.80851099999999998</v>
      </c>
      <c r="N3745" s="15">
        <v>0.95326556776072002</v>
      </c>
    </row>
    <row r="3746" spans="1:14" x14ac:dyDescent="0.2">
      <c r="A3746" s="2" t="s">
        <v>10068</v>
      </c>
      <c r="B3746" s="15">
        <v>32</v>
      </c>
      <c r="C3746" s="15">
        <v>1</v>
      </c>
      <c r="D3746" s="15">
        <v>33066847</v>
      </c>
      <c r="E3746" s="15">
        <v>34371022</v>
      </c>
      <c r="F3746" s="15">
        <v>2539</v>
      </c>
      <c r="G3746" s="8" t="s">
        <v>12324</v>
      </c>
      <c r="H3746" s="24" t="s">
        <v>1259</v>
      </c>
      <c r="I3746" s="25">
        <v>27096</v>
      </c>
      <c r="J3746" s="8" t="s">
        <v>1261</v>
      </c>
      <c r="K3746" s="8" t="s">
        <v>10040</v>
      </c>
      <c r="L3746" s="15">
        <v>5.5226200000000003E-2</v>
      </c>
      <c r="M3746" s="15">
        <v>0.80252199999999996</v>
      </c>
      <c r="N3746" s="15">
        <v>0.95326556776072002</v>
      </c>
    </row>
    <row r="3747" spans="1:14" x14ac:dyDescent="0.2">
      <c r="A3747" s="2" t="s">
        <v>10068</v>
      </c>
      <c r="B3747" s="15">
        <v>1498</v>
      </c>
      <c r="C3747" s="15">
        <v>10</v>
      </c>
      <c r="D3747" s="15">
        <v>10969482</v>
      </c>
      <c r="E3747" s="15">
        <v>11856924</v>
      </c>
      <c r="F3747" s="15">
        <v>2550</v>
      </c>
      <c r="G3747" s="8" t="s">
        <v>12324</v>
      </c>
      <c r="H3747" s="24" t="s">
        <v>1259</v>
      </c>
      <c r="I3747" s="25">
        <v>27096</v>
      </c>
      <c r="J3747" s="8" t="s">
        <v>1261</v>
      </c>
      <c r="K3747" s="8" t="s">
        <v>10040</v>
      </c>
      <c r="L3747" s="15">
        <v>-8.8887099999999997E-2</v>
      </c>
      <c r="M3747" s="15">
        <v>0.802535</v>
      </c>
      <c r="N3747" s="15">
        <v>0.95326556776072002</v>
      </c>
    </row>
    <row r="3748" spans="1:14" x14ac:dyDescent="0.2">
      <c r="A3748" s="2" t="s">
        <v>10068</v>
      </c>
      <c r="B3748" s="15">
        <v>1999</v>
      </c>
      <c r="C3748" s="15">
        <v>14</v>
      </c>
      <c r="D3748" s="15">
        <v>68976913</v>
      </c>
      <c r="E3748" s="15">
        <v>69794542</v>
      </c>
      <c r="F3748" s="15">
        <v>2200</v>
      </c>
      <c r="G3748" s="8" t="s">
        <v>12324</v>
      </c>
      <c r="H3748" s="24" t="s">
        <v>1259</v>
      </c>
      <c r="I3748" s="25">
        <v>27096</v>
      </c>
      <c r="J3748" s="8" t="s">
        <v>1261</v>
      </c>
      <c r="K3748" s="8" t="s">
        <v>10040</v>
      </c>
      <c r="L3748" s="15">
        <v>-6.9571900000000006E-2</v>
      </c>
      <c r="M3748" s="15">
        <v>0.80349099999999996</v>
      </c>
      <c r="N3748" s="15">
        <v>0.95326556776072002</v>
      </c>
    </row>
    <row r="3749" spans="1:14" x14ac:dyDescent="0.2">
      <c r="A3749" s="2" t="s">
        <v>10068</v>
      </c>
      <c r="B3749" s="15">
        <v>126</v>
      </c>
      <c r="C3749" s="15">
        <v>1</v>
      </c>
      <c r="D3749" s="15">
        <v>168179087</v>
      </c>
      <c r="E3749" s="15">
        <v>169521551</v>
      </c>
      <c r="F3749" s="15">
        <v>3984</v>
      </c>
      <c r="G3749" s="8" t="s">
        <v>12324</v>
      </c>
      <c r="H3749" s="24" t="s">
        <v>1259</v>
      </c>
      <c r="I3749" s="25">
        <v>27096</v>
      </c>
      <c r="J3749" s="8" t="s">
        <v>1261</v>
      </c>
      <c r="K3749" s="8" t="s">
        <v>10040</v>
      </c>
      <c r="L3749" s="15">
        <v>-6.1292300000000001E-2</v>
      </c>
      <c r="M3749" s="15">
        <v>0.80388000000000004</v>
      </c>
      <c r="N3749" s="15">
        <v>0.95326556776072002</v>
      </c>
    </row>
    <row r="3750" spans="1:14" x14ac:dyDescent="0.2">
      <c r="A3750" s="2" t="s">
        <v>10068</v>
      </c>
      <c r="B3750" s="15">
        <v>1887</v>
      </c>
      <c r="C3750" s="15">
        <v>13</v>
      </c>
      <c r="D3750" s="15">
        <v>43931932</v>
      </c>
      <c r="E3750" s="15">
        <v>45476446</v>
      </c>
      <c r="F3750" s="15">
        <v>3516</v>
      </c>
      <c r="G3750" s="8" t="s">
        <v>12324</v>
      </c>
      <c r="H3750" s="24" t="s">
        <v>1259</v>
      </c>
      <c r="I3750" s="25">
        <v>27096</v>
      </c>
      <c r="J3750" s="8" t="s">
        <v>1261</v>
      </c>
      <c r="K3750" s="8" t="s">
        <v>10040</v>
      </c>
      <c r="L3750" s="15">
        <v>4.3612999999999999E-2</v>
      </c>
      <c r="M3750" s="15">
        <v>0.80399399999999999</v>
      </c>
      <c r="N3750" s="15">
        <v>0.95326556776072002</v>
      </c>
    </row>
    <row r="3751" spans="1:14" x14ac:dyDescent="0.2">
      <c r="A3751" s="2" t="s">
        <v>10068</v>
      </c>
      <c r="B3751" s="15">
        <v>205</v>
      </c>
      <c r="C3751" s="15">
        <v>2</v>
      </c>
      <c r="D3751" s="15">
        <v>2680064</v>
      </c>
      <c r="E3751" s="15">
        <v>3314202</v>
      </c>
      <c r="F3751" s="15">
        <v>2197</v>
      </c>
      <c r="G3751" s="8" t="s">
        <v>12324</v>
      </c>
      <c r="H3751" s="24" t="s">
        <v>1259</v>
      </c>
      <c r="I3751" s="25">
        <v>27096</v>
      </c>
      <c r="J3751" s="8" t="s">
        <v>1261</v>
      </c>
      <c r="K3751" s="8" t="s">
        <v>10040</v>
      </c>
      <c r="L3751" s="15">
        <v>-5.3749600000000002E-2</v>
      </c>
      <c r="M3751" s="15">
        <v>0.80799699999999997</v>
      </c>
      <c r="N3751" s="15">
        <v>0.95326556776072002</v>
      </c>
    </row>
    <row r="3752" spans="1:14" x14ac:dyDescent="0.2">
      <c r="A3752" s="2" t="s">
        <v>10068</v>
      </c>
      <c r="B3752" s="15">
        <v>1744</v>
      </c>
      <c r="C3752" s="15">
        <v>12</v>
      </c>
      <c r="D3752" s="15">
        <v>3871115</v>
      </c>
      <c r="E3752" s="15">
        <v>4967643</v>
      </c>
      <c r="F3752" s="15">
        <v>2833</v>
      </c>
      <c r="G3752" s="8" t="s">
        <v>12324</v>
      </c>
      <c r="H3752" s="24" t="s">
        <v>1259</v>
      </c>
      <c r="I3752" s="25">
        <v>27096</v>
      </c>
      <c r="J3752" s="8" t="s">
        <v>1261</v>
      </c>
      <c r="K3752" s="8" t="s">
        <v>10040</v>
      </c>
      <c r="L3752" s="15">
        <v>4.3663300000000002E-2</v>
      </c>
      <c r="M3752" s="15">
        <v>0.80920999999999998</v>
      </c>
      <c r="N3752" s="15">
        <v>0.95326556776072002</v>
      </c>
    </row>
    <row r="3753" spans="1:14" x14ac:dyDescent="0.2">
      <c r="A3753" s="2" t="s">
        <v>10068</v>
      </c>
      <c r="B3753" s="15">
        <v>449</v>
      </c>
      <c r="C3753" s="15">
        <v>3</v>
      </c>
      <c r="D3753" s="15">
        <v>28649811</v>
      </c>
      <c r="E3753" s="15">
        <v>29877022</v>
      </c>
      <c r="F3753" s="15">
        <v>4044</v>
      </c>
      <c r="G3753" s="8" t="s">
        <v>12324</v>
      </c>
      <c r="H3753" s="24" t="s">
        <v>1259</v>
      </c>
      <c r="I3753" s="25">
        <v>27096</v>
      </c>
      <c r="J3753" s="8" t="s">
        <v>1261</v>
      </c>
      <c r="K3753" s="8" t="s">
        <v>10040</v>
      </c>
      <c r="L3753" s="15">
        <v>7.4575199999999994E-2</v>
      </c>
      <c r="M3753" s="15">
        <v>0.80981400000000003</v>
      </c>
      <c r="N3753" s="15">
        <v>0.95326556776072002</v>
      </c>
    </row>
    <row r="3754" spans="1:14" x14ac:dyDescent="0.2">
      <c r="A3754" s="2" t="s">
        <v>10068</v>
      </c>
      <c r="B3754" s="15">
        <v>2023</v>
      </c>
      <c r="C3754" s="15">
        <v>14</v>
      </c>
      <c r="D3754" s="15">
        <v>97174315</v>
      </c>
      <c r="E3754" s="15">
        <v>98268391</v>
      </c>
      <c r="F3754" s="15">
        <v>2882</v>
      </c>
      <c r="G3754" s="8" t="s">
        <v>12324</v>
      </c>
      <c r="H3754" s="24" t="s">
        <v>1259</v>
      </c>
      <c r="I3754" s="25">
        <v>27096</v>
      </c>
      <c r="J3754" s="8" t="s">
        <v>1261</v>
      </c>
      <c r="K3754" s="8" t="s">
        <v>10040</v>
      </c>
      <c r="L3754" s="15">
        <v>-5.2401200000000002E-2</v>
      </c>
      <c r="M3754" s="15">
        <v>0.80993300000000001</v>
      </c>
      <c r="N3754" s="15">
        <v>0.95326556776072002</v>
      </c>
    </row>
    <row r="3755" spans="1:14" x14ac:dyDescent="0.2">
      <c r="A3755" s="2" t="s">
        <v>10068</v>
      </c>
      <c r="B3755" s="15">
        <v>234</v>
      </c>
      <c r="C3755" s="15">
        <v>2</v>
      </c>
      <c r="D3755" s="15">
        <v>31457419</v>
      </c>
      <c r="E3755" s="15">
        <v>33123604</v>
      </c>
      <c r="F3755" s="15">
        <v>3820</v>
      </c>
      <c r="G3755" s="8" t="s">
        <v>12324</v>
      </c>
      <c r="H3755" s="24" t="s">
        <v>1259</v>
      </c>
      <c r="I3755" s="25">
        <v>27096</v>
      </c>
      <c r="J3755" s="8" t="s">
        <v>1261</v>
      </c>
      <c r="K3755" s="8" t="s">
        <v>10040</v>
      </c>
      <c r="L3755" s="15">
        <v>8.1331200000000006E-2</v>
      </c>
      <c r="M3755" s="15">
        <v>0.81121200000000004</v>
      </c>
      <c r="N3755" s="15">
        <v>0.95326556776072002</v>
      </c>
    </row>
    <row r="3756" spans="1:14" x14ac:dyDescent="0.2">
      <c r="A3756" s="2" t="s">
        <v>10068</v>
      </c>
      <c r="B3756" s="15">
        <v>119</v>
      </c>
      <c r="C3756" s="15">
        <v>1</v>
      </c>
      <c r="D3756" s="15">
        <v>161945443</v>
      </c>
      <c r="E3756" s="15">
        <v>163141862</v>
      </c>
      <c r="F3756" s="15">
        <v>3428</v>
      </c>
      <c r="G3756" s="8" t="s">
        <v>12324</v>
      </c>
      <c r="H3756" s="24" t="s">
        <v>1259</v>
      </c>
      <c r="I3756" s="25">
        <v>27096</v>
      </c>
      <c r="J3756" s="8" t="s">
        <v>1261</v>
      </c>
      <c r="K3756" s="8" t="s">
        <v>10040</v>
      </c>
      <c r="L3756" s="15">
        <v>-5.01384E-2</v>
      </c>
      <c r="M3756" s="15">
        <v>0.811311</v>
      </c>
      <c r="N3756" s="15">
        <v>0.95326556776072002</v>
      </c>
    </row>
    <row r="3757" spans="1:14" x14ac:dyDescent="0.2">
      <c r="A3757" s="2" t="s">
        <v>10068</v>
      </c>
      <c r="B3757" s="15">
        <v>207</v>
      </c>
      <c r="C3757" s="15">
        <v>2</v>
      </c>
      <c r="D3757" s="15">
        <v>4016105</v>
      </c>
      <c r="E3757" s="15">
        <v>4766969</v>
      </c>
      <c r="F3757" s="15">
        <v>2275</v>
      </c>
      <c r="G3757" s="8" t="s">
        <v>12324</v>
      </c>
      <c r="H3757" s="24" t="s">
        <v>1259</v>
      </c>
      <c r="I3757" s="25">
        <v>27096</v>
      </c>
      <c r="J3757" s="8" t="s">
        <v>1261</v>
      </c>
      <c r="K3757" s="8" t="s">
        <v>10040</v>
      </c>
      <c r="L3757" s="15">
        <v>-5.47476E-2</v>
      </c>
      <c r="M3757" s="15">
        <v>0.811832</v>
      </c>
      <c r="N3757" s="15">
        <v>0.95326556776072002</v>
      </c>
    </row>
    <row r="3758" spans="1:14" x14ac:dyDescent="0.2">
      <c r="A3758" s="2" t="s">
        <v>10066</v>
      </c>
      <c r="B3758" s="15">
        <v>1057</v>
      </c>
      <c r="C3758" s="15">
        <v>6</v>
      </c>
      <c r="D3758" s="15">
        <v>129850179</v>
      </c>
      <c r="E3758" s="15">
        <v>130550137</v>
      </c>
      <c r="F3758" s="15">
        <v>2133</v>
      </c>
      <c r="G3758" s="8" t="s">
        <v>12324</v>
      </c>
      <c r="H3758" s="24" t="s">
        <v>3164</v>
      </c>
      <c r="I3758" s="25" t="s">
        <v>3165</v>
      </c>
      <c r="J3758" s="8" t="s">
        <v>3166</v>
      </c>
      <c r="K3758" s="8" t="s">
        <v>10042</v>
      </c>
      <c r="L3758" s="15">
        <v>-6.1667300000000001E-2</v>
      </c>
      <c r="M3758" s="15">
        <v>0.80072600000000005</v>
      </c>
      <c r="N3758" s="15">
        <v>0.95326556776072002</v>
      </c>
    </row>
    <row r="3759" spans="1:14" x14ac:dyDescent="0.2">
      <c r="A3759" s="2" t="s">
        <v>10066</v>
      </c>
      <c r="B3759" s="15">
        <v>1960</v>
      </c>
      <c r="C3759" s="15">
        <v>14</v>
      </c>
      <c r="D3759" s="15">
        <v>25585042</v>
      </c>
      <c r="E3759" s="15">
        <v>26395690</v>
      </c>
      <c r="F3759" s="15">
        <v>2219</v>
      </c>
      <c r="G3759" s="8" t="s">
        <v>12324</v>
      </c>
      <c r="H3759" s="24" t="s">
        <v>3164</v>
      </c>
      <c r="I3759" s="25" t="s">
        <v>3165</v>
      </c>
      <c r="J3759" s="8" t="s">
        <v>3166</v>
      </c>
      <c r="K3759" s="8" t="s">
        <v>10042</v>
      </c>
      <c r="L3759" s="15">
        <v>3.9841399999999999E-2</v>
      </c>
      <c r="M3759" s="15">
        <v>0.80464999999999998</v>
      </c>
      <c r="N3759" s="15">
        <v>0.95326556776072002</v>
      </c>
    </row>
    <row r="3760" spans="1:14" x14ac:dyDescent="0.2">
      <c r="A3760" s="2" t="s">
        <v>10066</v>
      </c>
      <c r="B3760" s="15">
        <v>195</v>
      </c>
      <c r="C3760" s="15">
        <v>1</v>
      </c>
      <c r="D3760" s="15">
        <v>243048004</v>
      </c>
      <c r="E3760" s="15">
        <v>244723196</v>
      </c>
      <c r="F3760" s="15">
        <v>3471</v>
      </c>
      <c r="G3760" s="8" t="s">
        <v>12324</v>
      </c>
      <c r="H3760" s="24" t="s">
        <v>3164</v>
      </c>
      <c r="I3760" s="25" t="s">
        <v>3165</v>
      </c>
      <c r="J3760" s="8" t="s">
        <v>3166</v>
      </c>
      <c r="K3760" s="8" t="s">
        <v>10042</v>
      </c>
      <c r="L3760" s="15">
        <v>4.7371799999999999E-2</v>
      </c>
      <c r="M3760" s="15">
        <v>0.80605400000000005</v>
      </c>
      <c r="N3760" s="15">
        <v>0.95326556776072002</v>
      </c>
    </row>
    <row r="3761" spans="1:14" x14ac:dyDescent="0.2">
      <c r="A3761" s="2" t="s">
        <v>10066</v>
      </c>
      <c r="B3761" s="15">
        <v>2375</v>
      </c>
      <c r="C3761" s="15">
        <v>20</v>
      </c>
      <c r="D3761" s="15">
        <v>5379451</v>
      </c>
      <c r="E3761" s="15">
        <v>6128358</v>
      </c>
      <c r="F3761" s="15">
        <v>2573</v>
      </c>
      <c r="G3761" s="8" t="s">
        <v>12324</v>
      </c>
      <c r="H3761" s="24" t="s">
        <v>3164</v>
      </c>
      <c r="I3761" s="25" t="s">
        <v>3165</v>
      </c>
      <c r="J3761" s="8" t="s">
        <v>3166</v>
      </c>
      <c r="K3761" s="8" t="s">
        <v>10042</v>
      </c>
      <c r="L3761" s="15">
        <v>-3.26626E-2</v>
      </c>
      <c r="M3761" s="15">
        <v>0.80973300000000004</v>
      </c>
      <c r="N3761" s="15">
        <v>0.95326556776072002</v>
      </c>
    </row>
    <row r="3762" spans="1:14" x14ac:dyDescent="0.2">
      <c r="A3762" s="2" t="s">
        <v>10066</v>
      </c>
      <c r="B3762" s="15">
        <v>2401</v>
      </c>
      <c r="C3762" s="15">
        <v>20</v>
      </c>
      <c r="D3762" s="15">
        <v>35990262</v>
      </c>
      <c r="E3762" s="15">
        <v>37253657</v>
      </c>
      <c r="F3762" s="15">
        <v>2689</v>
      </c>
      <c r="G3762" s="8" t="s">
        <v>12324</v>
      </c>
      <c r="H3762" s="24" t="s">
        <v>3164</v>
      </c>
      <c r="I3762" s="25" t="s">
        <v>3165</v>
      </c>
      <c r="J3762" s="8" t="s">
        <v>3166</v>
      </c>
      <c r="K3762" s="8" t="s">
        <v>10042</v>
      </c>
      <c r="L3762" s="15">
        <v>-4.6920499999999997E-2</v>
      </c>
      <c r="M3762" s="15">
        <v>0.812025</v>
      </c>
      <c r="N3762" s="15">
        <v>0.95326556776072002</v>
      </c>
    </row>
    <row r="3763" spans="1:14" x14ac:dyDescent="0.2">
      <c r="A3763" s="2" t="s">
        <v>10066</v>
      </c>
      <c r="B3763" s="15">
        <v>295</v>
      </c>
      <c r="C3763" s="15">
        <v>2</v>
      </c>
      <c r="D3763" s="15">
        <v>97339302</v>
      </c>
      <c r="E3763" s="15">
        <v>98989360</v>
      </c>
      <c r="F3763" s="15">
        <v>2439</v>
      </c>
      <c r="G3763" s="8" t="s">
        <v>12324</v>
      </c>
      <c r="H3763" s="24" t="s">
        <v>3164</v>
      </c>
      <c r="I3763" s="25" t="s">
        <v>3165</v>
      </c>
      <c r="J3763" s="8" t="s">
        <v>3166</v>
      </c>
      <c r="K3763" s="8" t="s">
        <v>10042</v>
      </c>
      <c r="L3763" s="15">
        <v>4.9429599999999997E-2</v>
      </c>
      <c r="M3763" s="15">
        <v>0.81204900000000002</v>
      </c>
      <c r="N3763" s="15">
        <v>0.95326556776072002</v>
      </c>
    </row>
    <row r="3764" spans="1:14" x14ac:dyDescent="0.2">
      <c r="A3764" s="2" t="s">
        <v>10066</v>
      </c>
      <c r="B3764" s="15">
        <v>1729</v>
      </c>
      <c r="C3764" s="15">
        <v>11</v>
      </c>
      <c r="D3764" s="15">
        <v>124403478</v>
      </c>
      <c r="E3764" s="15">
        <v>125266684</v>
      </c>
      <c r="F3764" s="15">
        <v>2213</v>
      </c>
      <c r="G3764" s="8" t="s">
        <v>12324</v>
      </c>
      <c r="H3764" s="24" t="s">
        <v>6008</v>
      </c>
      <c r="I3764" s="25" t="s">
        <v>6009</v>
      </c>
      <c r="J3764" s="8" t="s">
        <v>6010</v>
      </c>
      <c r="K3764" s="8" t="s">
        <v>10051</v>
      </c>
      <c r="L3764" s="15">
        <v>-7.0780899999999994E-2</v>
      </c>
      <c r="M3764" s="15">
        <v>0.80028600000000005</v>
      </c>
      <c r="N3764" s="15">
        <v>0.95326556776072002</v>
      </c>
    </row>
    <row r="3765" spans="1:14" x14ac:dyDescent="0.2">
      <c r="A3765" s="2" t="s">
        <v>10066</v>
      </c>
      <c r="B3765" s="15">
        <v>2441</v>
      </c>
      <c r="C3765" s="15">
        <v>21</v>
      </c>
      <c r="D3765" s="15">
        <v>25247987</v>
      </c>
      <c r="E3765" s="15">
        <v>26467826</v>
      </c>
      <c r="F3765" s="15">
        <v>3871</v>
      </c>
      <c r="G3765" s="8" t="s">
        <v>12324</v>
      </c>
      <c r="H3765" s="24" t="s">
        <v>6008</v>
      </c>
      <c r="I3765" s="25" t="s">
        <v>6009</v>
      </c>
      <c r="J3765" s="8" t="s">
        <v>6010</v>
      </c>
      <c r="K3765" s="8" t="s">
        <v>10051</v>
      </c>
      <c r="L3765" s="15">
        <v>7.4720300000000003E-2</v>
      </c>
      <c r="M3765" s="15">
        <v>0.80193899999999996</v>
      </c>
      <c r="N3765" s="15">
        <v>0.95326556776072002</v>
      </c>
    </row>
    <row r="3766" spans="1:14" x14ac:dyDescent="0.2">
      <c r="A3766" s="2" t="s">
        <v>10066</v>
      </c>
      <c r="B3766" s="15">
        <v>2082</v>
      </c>
      <c r="C3766" s="15">
        <v>15</v>
      </c>
      <c r="D3766" s="15">
        <v>81077026</v>
      </c>
      <c r="E3766" s="15">
        <v>82191077</v>
      </c>
      <c r="F3766" s="15">
        <v>2240</v>
      </c>
      <c r="G3766" s="8" t="s">
        <v>12324</v>
      </c>
      <c r="H3766" s="24" t="s">
        <v>6008</v>
      </c>
      <c r="I3766" s="25" t="s">
        <v>6009</v>
      </c>
      <c r="J3766" s="8" t="s">
        <v>6010</v>
      </c>
      <c r="K3766" s="8" t="s">
        <v>10051</v>
      </c>
      <c r="L3766" s="15">
        <v>-4.9363799999999999E-2</v>
      </c>
      <c r="M3766" s="15">
        <v>0.80208400000000002</v>
      </c>
      <c r="N3766" s="15">
        <v>0.95326556776072002</v>
      </c>
    </row>
    <row r="3767" spans="1:14" x14ac:dyDescent="0.2">
      <c r="A3767" s="2" t="s">
        <v>10066</v>
      </c>
      <c r="B3767" s="15">
        <v>1798</v>
      </c>
      <c r="C3767" s="15">
        <v>12</v>
      </c>
      <c r="D3767" s="15">
        <v>63055937</v>
      </c>
      <c r="E3767" s="15">
        <v>63764111</v>
      </c>
      <c r="F3767" s="15">
        <v>2107</v>
      </c>
      <c r="G3767" s="8" t="s">
        <v>12324</v>
      </c>
      <c r="H3767" s="24" t="s">
        <v>6008</v>
      </c>
      <c r="I3767" s="25" t="s">
        <v>6009</v>
      </c>
      <c r="J3767" s="8" t="s">
        <v>6010</v>
      </c>
      <c r="K3767" s="8" t="s">
        <v>10051</v>
      </c>
      <c r="L3767" s="15">
        <v>6.0224100000000003E-2</v>
      </c>
      <c r="M3767" s="15">
        <v>0.80232400000000004</v>
      </c>
      <c r="N3767" s="15">
        <v>0.95326556776072002</v>
      </c>
    </row>
    <row r="3768" spans="1:14" x14ac:dyDescent="0.2">
      <c r="A3768" s="2" t="s">
        <v>10066</v>
      </c>
      <c r="B3768" s="15">
        <v>949</v>
      </c>
      <c r="C3768" s="15">
        <v>6</v>
      </c>
      <c r="D3768" s="15">
        <v>24950380</v>
      </c>
      <c r="E3768" s="15">
        <v>25684629</v>
      </c>
      <c r="F3768" s="15">
        <v>2551</v>
      </c>
      <c r="G3768" s="8" t="s">
        <v>12324</v>
      </c>
      <c r="H3768" s="24" t="s">
        <v>6008</v>
      </c>
      <c r="I3768" s="25" t="s">
        <v>6009</v>
      </c>
      <c r="J3768" s="8" t="s">
        <v>6010</v>
      </c>
      <c r="K3768" s="8" t="s">
        <v>10051</v>
      </c>
      <c r="L3768" s="15">
        <v>5.2056999999999999E-2</v>
      </c>
      <c r="M3768" s="15">
        <v>0.80412300000000003</v>
      </c>
      <c r="N3768" s="15">
        <v>0.95326556776072002</v>
      </c>
    </row>
    <row r="3769" spans="1:14" x14ac:dyDescent="0.2">
      <c r="A3769" s="2" t="s">
        <v>10066</v>
      </c>
      <c r="B3769" s="15">
        <v>164</v>
      </c>
      <c r="C3769" s="15">
        <v>1</v>
      </c>
      <c r="D3769" s="15">
        <v>213958293</v>
      </c>
      <c r="E3769" s="15">
        <v>214783872</v>
      </c>
      <c r="F3769" s="15">
        <v>2142</v>
      </c>
      <c r="G3769" s="8" t="s">
        <v>12324</v>
      </c>
      <c r="H3769" s="24" t="s">
        <v>6008</v>
      </c>
      <c r="I3769" s="25" t="s">
        <v>6009</v>
      </c>
      <c r="J3769" s="8" t="s">
        <v>6010</v>
      </c>
      <c r="K3769" s="8" t="s">
        <v>10051</v>
      </c>
      <c r="L3769" s="15">
        <v>6.1020499999999998E-2</v>
      </c>
      <c r="M3769" s="15">
        <v>0.80516900000000002</v>
      </c>
      <c r="N3769" s="15">
        <v>0.95326556776072002</v>
      </c>
    </row>
    <row r="3770" spans="1:14" x14ac:dyDescent="0.2">
      <c r="A3770" s="2" t="s">
        <v>10066</v>
      </c>
      <c r="B3770" s="15">
        <v>572</v>
      </c>
      <c r="C3770" s="15">
        <v>3</v>
      </c>
      <c r="D3770" s="15">
        <v>171134850</v>
      </c>
      <c r="E3770" s="15">
        <v>172004760</v>
      </c>
      <c r="F3770" s="15">
        <v>2311</v>
      </c>
      <c r="G3770" s="8" t="s">
        <v>12324</v>
      </c>
      <c r="H3770" s="24" t="s">
        <v>6008</v>
      </c>
      <c r="I3770" s="25" t="s">
        <v>6009</v>
      </c>
      <c r="J3770" s="8" t="s">
        <v>6010</v>
      </c>
      <c r="K3770" s="8" t="s">
        <v>10051</v>
      </c>
      <c r="L3770" s="15">
        <v>-8.0993099999999998E-2</v>
      </c>
      <c r="M3770" s="15">
        <v>0.80607499999999999</v>
      </c>
      <c r="N3770" s="15">
        <v>0.95326556776072002</v>
      </c>
    </row>
    <row r="3771" spans="1:14" x14ac:dyDescent="0.2">
      <c r="A3771" s="2" t="s">
        <v>10066</v>
      </c>
      <c r="B3771" s="15">
        <v>1512</v>
      </c>
      <c r="C3771" s="15">
        <v>10</v>
      </c>
      <c r="D3771" s="15">
        <v>24489448</v>
      </c>
      <c r="E3771" s="15">
        <v>25577761</v>
      </c>
      <c r="F3771" s="15">
        <v>2521</v>
      </c>
      <c r="G3771" s="8" t="s">
        <v>12324</v>
      </c>
      <c r="H3771" s="24" t="s">
        <v>6008</v>
      </c>
      <c r="I3771" s="25" t="s">
        <v>6009</v>
      </c>
      <c r="J3771" s="8" t="s">
        <v>6010</v>
      </c>
      <c r="K3771" s="8" t="s">
        <v>10051</v>
      </c>
      <c r="L3771" s="15">
        <v>3.5595000000000002E-2</v>
      </c>
      <c r="M3771" s="15">
        <v>0.80608299999999999</v>
      </c>
      <c r="N3771" s="15">
        <v>0.95326556776072002</v>
      </c>
    </row>
    <row r="3772" spans="1:14" x14ac:dyDescent="0.2">
      <c r="A3772" s="2" t="s">
        <v>10066</v>
      </c>
      <c r="B3772" s="15">
        <v>1470</v>
      </c>
      <c r="C3772" s="15">
        <v>9</v>
      </c>
      <c r="D3772" s="15">
        <v>126092932</v>
      </c>
      <c r="E3772" s="15">
        <v>127184582</v>
      </c>
      <c r="F3772" s="15">
        <v>2671</v>
      </c>
      <c r="G3772" s="8" t="s">
        <v>12324</v>
      </c>
      <c r="H3772" s="24" t="s">
        <v>6008</v>
      </c>
      <c r="I3772" s="25" t="s">
        <v>6009</v>
      </c>
      <c r="J3772" s="8" t="s">
        <v>6010</v>
      </c>
      <c r="K3772" s="8" t="s">
        <v>10051</v>
      </c>
      <c r="L3772" s="15">
        <v>7.7529600000000004E-2</v>
      </c>
      <c r="M3772" s="15">
        <v>0.80620800000000004</v>
      </c>
      <c r="N3772" s="15">
        <v>0.95326556776072002</v>
      </c>
    </row>
    <row r="3773" spans="1:14" x14ac:dyDescent="0.2">
      <c r="A3773" s="2" t="s">
        <v>10066</v>
      </c>
      <c r="B3773" s="15">
        <v>1501</v>
      </c>
      <c r="C3773" s="15">
        <v>10</v>
      </c>
      <c r="D3773" s="15">
        <v>13208062</v>
      </c>
      <c r="E3773" s="15">
        <v>14008135</v>
      </c>
      <c r="F3773" s="15">
        <v>2620</v>
      </c>
      <c r="G3773" s="8" t="s">
        <v>12324</v>
      </c>
      <c r="H3773" s="24" t="s">
        <v>6008</v>
      </c>
      <c r="I3773" s="25" t="s">
        <v>6009</v>
      </c>
      <c r="J3773" s="8" t="s">
        <v>6010</v>
      </c>
      <c r="K3773" s="8" t="s">
        <v>10051</v>
      </c>
      <c r="L3773" s="15">
        <v>-8.78134E-2</v>
      </c>
      <c r="M3773" s="15">
        <v>0.80823500000000004</v>
      </c>
      <c r="N3773" s="15">
        <v>0.95326556776072002</v>
      </c>
    </row>
    <row r="3774" spans="1:14" x14ac:dyDescent="0.2">
      <c r="A3774" s="2" t="s">
        <v>10066</v>
      </c>
      <c r="B3774" s="15">
        <v>2307</v>
      </c>
      <c r="C3774" s="15">
        <v>19</v>
      </c>
      <c r="D3774" s="15">
        <v>762047</v>
      </c>
      <c r="E3774" s="15">
        <v>1515920</v>
      </c>
      <c r="F3774" s="15">
        <v>2520</v>
      </c>
      <c r="G3774" s="8" t="s">
        <v>12324</v>
      </c>
      <c r="H3774" s="24" t="s">
        <v>6008</v>
      </c>
      <c r="I3774" s="25" t="s">
        <v>6009</v>
      </c>
      <c r="J3774" s="8" t="s">
        <v>6010</v>
      </c>
      <c r="K3774" s="8" t="s">
        <v>10051</v>
      </c>
      <c r="L3774" s="15">
        <v>-2.9437399999999999E-2</v>
      </c>
      <c r="M3774" s="15">
        <v>0.81190899999999999</v>
      </c>
      <c r="N3774" s="15">
        <v>0.95326556776072002</v>
      </c>
    </row>
    <row r="3775" spans="1:14" x14ac:dyDescent="0.2">
      <c r="A3775" s="2" t="s">
        <v>10068</v>
      </c>
      <c r="B3775" s="15">
        <v>1741</v>
      </c>
      <c r="C3775" s="15">
        <v>12</v>
      </c>
      <c r="D3775" s="15">
        <v>1078398</v>
      </c>
      <c r="E3775" s="15">
        <v>1942426</v>
      </c>
      <c r="F3775" s="15">
        <v>2806</v>
      </c>
      <c r="G3775" s="8" t="s">
        <v>12324</v>
      </c>
      <c r="H3775" s="24" t="s">
        <v>6565</v>
      </c>
      <c r="I3775" s="25" t="s">
        <v>6475</v>
      </c>
      <c r="J3775" s="8" t="s">
        <v>6566</v>
      </c>
      <c r="K3775" s="8" t="s">
        <v>10054</v>
      </c>
      <c r="L3775" s="15">
        <v>-4.0930500000000002E-2</v>
      </c>
      <c r="M3775" s="15">
        <v>0.80076499999999995</v>
      </c>
      <c r="N3775" s="15">
        <v>0.95326556776072002</v>
      </c>
    </row>
    <row r="3776" spans="1:14" x14ac:dyDescent="0.2">
      <c r="A3776" s="2" t="s">
        <v>10068</v>
      </c>
      <c r="B3776" s="15">
        <v>1212</v>
      </c>
      <c r="C3776" s="15">
        <v>7</v>
      </c>
      <c r="D3776" s="15">
        <v>134943222</v>
      </c>
      <c r="E3776" s="15">
        <v>136113467</v>
      </c>
      <c r="F3776" s="15">
        <v>3291</v>
      </c>
      <c r="G3776" s="8" t="s">
        <v>12324</v>
      </c>
      <c r="H3776" s="24" t="s">
        <v>6565</v>
      </c>
      <c r="I3776" s="25" t="s">
        <v>6475</v>
      </c>
      <c r="J3776" s="8" t="s">
        <v>6566</v>
      </c>
      <c r="K3776" s="8" t="s">
        <v>10054</v>
      </c>
      <c r="L3776" s="15">
        <v>-5.3900900000000002E-2</v>
      </c>
      <c r="M3776" s="15">
        <v>0.801651</v>
      </c>
      <c r="N3776" s="15">
        <v>0.95326556776072002</v>
      </c>
    </row>
    <row r="3777" spans="1:14" x14ac:dyDescent="0.2">
      <c r="A3777" s="2" t="s">
        <v>10068</v>
      </c>
      <c r="B3777" s="15">
        <v>95</v>
      </c>
      <c r="C3777" s="15">
        <v>1</v>
      </c>
      <c r="D3777" s="15">
        <v>107874654</v>
      </c>
      <c r="E3777" s="15">
        <v>109271449</v>
      </c>
      <c r="F3777" s="15">
        <v>3341</v>
      </c>
      <c r="G3777" s="8" t="s">
        <v>12324</v>
      </c>
      <c r="H3777" s="24" t="s">
        <v>6565</v>
      </c>
      <c r="I3777" s="25" t="s">
        <v>6475</v>
      </c>
      <c r="J3777" s="8" t="s">
        <v>6566</v>
      </c>
      <c r="K3777" s="8" t="s">
        <v>10054</v>
      </c>
      <c r="L3777" s="15">
        <v>5.1487900000000003E-2</v>
      </c>
      <c r="M3777" s="15">
        <v>0.80221399999999998</v>
      </c>
      <c r="N3777" s="15">
        <v>0.95326556776072002</v>
      </c>
    </row>
    <row r="3778" spans="1:14" x14ac:dyDescent="0.2">
      <c r="A3778" s="2" t="s">
        <v>10068</v>
      </c>
      <c r="B3778" s="15">
        <v>2295</v>
      </c>
      <c r="C3778" s="15">
        <v>18</v>
      </c>
      <c r="D3778" s="15">
        <v>67195981</v>
      </c>
      <c r="E3778" s="15">
        <v>68051035</v>
      </c>
      <c r="F3778" s="15">
        <v>2474</v>
      </c>
      <c r="G3778" s="8" t="s">
        <v>12324</v>
      </c>
      <c r="H3778" s="24" t="s">
        <v>6565</v>
      </c>
      <c r="I3778" s="25" t="s">
        <v>6475</v>
      </c>
      <c r="J3778" s="8" t="s">
        <v>6566</v>
      </c>
      <c r="K3778" s="8" t="s">
        <v>10054</v>
      </c>
      <c r="L3778" s="15">
        <v>-7.73533E-2</v>
      </c>
      <c r="M3778" s="15">
        <v>0.80746700000000005</v>
      </c>
      <c r="N3778" s="15">
        <v>0.95326556776072002</v>
      </c>
    </row>
    <row r="3779" spans="1:14" x14ac:dyDescent="0.2">
      <c r="A3779" s="2" t="s">
        <v>10068</v>
      </c>
      <c r="B3779" s="15">
        <v>2096</v>
      </c>
      <c r="C3779" s="15">
        <v>15</v>
      </c>
      <c r="D3779" s="15">
        <v>96864279</v>
      </c>
      <c r="E3779" s="15">
        <v>98025684</v>
      </c>
      <c r="F3779" s="15">
        <v>2988</v>
      </c>
      <c r="G3779" s="8" t="s">
        <v>12324</v>
      </c>
      <c r="H3779" s="24" t="s">
        <v>6565</v>
      </c>
      <c r="I3779" s="25" t="s">
        <v>6475</v>
      </c>
      <c r="J3779" s="8" t="s">
        <v>6566</v>
      </c>
      <c r="K3779" s="8" t="s">
        <v>10054</v>
      </c>
      <c r="L3779" s="15">
        <v>4.64783E-2</v>
      </c>
      <c r="M3779" s="15">
        <v>0.80981999999999998</v>
      </c>
      <c r="N3779" s="15">
        <v>0.95326556776072002</v>
      </c>
    </row>
    <row r="3780" spans="1:14" x14ac:dyDescent="0.2">
      <c r="A3780" s="2" t="s">
        <v>10068</v>
      </c>
      <c r="B3780" s="15">
        <v>1179</v>
      </c>
      <c r="C3780" s="15">
        <v>7</v>
      </c>
      <c r="D3780" s="15">
        <v>90660832</v>
      </c>
      <c r="E3780" s="15">
        <v>92530165</v>
      </c>
      <c r="F3780" s="15">
        <v>3026</v>
      </c>
      <c r="G3780" s="8" t="s">
        <v>12324</v>
      </c>
      <c r="H3780" s="24" t="s">
        <v>6565</v>
      </c>
      <c r="I3780" s="25" t="s">
        <v>6475</v>
      </c>
      <c r="J3780" s="8" t="s">
        <v>6566</v>
      </c>
      <c r="K3780" s="8" t="s">
        <v>10054</v>
      </c>
      <c r="L3780" s="15">
        <v>-7.4512599999999998E-2</v>
      </c>
      <c r="M3780" s="15">
        <v>0.81032599999999999</v>
      </c>
      <c r="N3780" s="15">
        <v>0.95326556776072002</v>
      </c>
    </row>
    <row r="3781" spans="1:14" x14ac:dyDescent="0.2">
      <c r="A3781" s="2" t="s">
        <v>10069</v>
      </c>
      <c r="B3781" s="15">
        <v>590</v>
      </c>
      <c r="C3781" s="15">
        <v>3</v>
      </c>
      <c r="D3781" s="15">
        <v>193122091</v>
      </c>
      <c r="E3781" s="15">
        <v>194217140</v>
      </c>
      <c r="F3781" s="15">
        <v>1931</v>
      </c>
      <c r="G3781" s="8" t="s">
        <v>12324</v>
      </c>
      <c r="H3781" s="24" t="s">
        <v>662</v>
      </c>
      <c r="I3781" s="25" t="s">
        <v>663</v>
      </c>
      <c r="J3781" s="8" t="s">
        <v>664</v>
      </c>
      <c r="K3781" s="8" t="s">
        <v>10040</v>
      </c>
      <c r="L3781" s="15">
        <v>8.1011200000000005E-2</v>
      </c>
      <c r="M3781" s="15">
        <v>0.81275600000000003</v>
      </c>
      <c r="N3781" s="15">
        <v>0.95384304313310397</v>
      </c>
    </row>
    <row r="3782" spans="1:14" x14ac:dyDescent="0.2">
      <c r="A3782" s="2" t="s">
        <v>10068</v>
      </c>
      <c r="B3782" s="15">
        <v>1043</v>
      </c>
      <c r="C3782" s="15">
        <v>6</v>
      </c>
      <c r="D3782" s="15">
        <v>113705004</v>
      </c>
      <c r="E3782" s="15">
        <v>115062811</v>
      </c>
      <c r="F3782" s="15">
        <v>2785</v>
      </c>
      <c r="G3782" s="8" t="s">
        <v>12324</v>
      </c>
      <c r="H3782" s="24" t="s">
        <v>494</v>
      </c>
      <c r="I3782" s="25">
        <v>25920</v>
      </c>
      <c r="J3782" s="8" t="s">
        <v>496</v>
      </c>
      <c r="K3782" s="8" t="s">
        <v>10040</v>
      </c>
      <c r="L3782" s="15">
        <v>7.25832E-2</v>
      </c>
      <c r="M3782" s="15">
        <v>0.813469</v>
      </c>
      <c r="N3782" s="15">
        <v>0.95442725264550266</v>
      </c>
    </row>
    <row r="3783" spans="1:14" x14ac:dyDescent="0.2">
      <c r="A3783" s="2" t="s">
        <v>10068</v>
      </c>
      <c r="B3783" s="15">
        <v>2022</v>
      </c>
      <c r="C3783" s="15">
        <v>14</v>
      </c>
      <c r="D3783" s="15">
        <v>95946793</v>
      </c>
      <c r="E3783" s="15">
        <v>97174314</v>
      </c>
      <c r="F3783" s="15">
        <v>3921</v>
      </c>
      <c r="G3783" s="8" t="s">
        <v>12324</v>
      </c>
      <c r="H3783" s="24" t="s">
        <v>494</v>
      </c>
      <c r="I3783" s="25">
        <v>25920</v>
      </c>
      <c r="J3783" s="8" t="s">
        <v>496</v>
      </c>
      <c r="K3783" s="8" t="s">
        <v>10040</v>
      </c>
      <c r="L3783" s="15">
        <v>-3.7457900000000002E-2</v>
      </c>
      <c r="M3783" s="15">
        <v>0.81601000000000001</v>
      </c>
      <c r="N3783" s="15">
        <v>0.95492809811122759</v>
      </c>
    </row>
    <row r="3784" spans="1:14" x14ac:dyDescent="0.2">
      <c r="A3784" s="2" t="s">
        <v>10068</v>
      </c>
      <c r="B3784" s="15">
        <v>2045</v>
      </c>
      <c r="C3784" s="15">
        <v>15</v>
      </c>
      <c r="D3784" s="15">
        <v>34410073</v>
      </c>
      <c r="E3784" s="15">
        <v>35118927</v>
      </c>
      <c r="F3784" s="15">
        <v>2172</v>
      </c>
      <c r="G3784" s="8" t="s">
        <v>12324</v>
      </c>
      <c r="H3784" s="24" t="s">
        <v>494</v>
      </c>
      <c r="I3784" s="25">
        <v>25920</v>
      </c>
      <c r="J3784" s="8" t="s">
        <v>496</v>
      </c>
      <c r="K3784" s="8" t="s">
        <v>10040</v>
      </c>
      <c r="L3784" s="15">
        <v>-4.1087100000000001E-2</v>
      </c>
      <c r="M3784" s="15">
        <v>0.81612099999999999</v>
      </c>
      <c r="N3784" s="15">
        <v>0.95492809811122759</v>
      </c>
    </row>
    <row r="3785" spans="1:14" x14ac:dyDescent="0.2">
      <c r="A3785" s="2" t="s">
        <v>10068</v>
      </c>
      <c r="B3785" s="15">
        <v>305</v>
      </c>
      <c r="C3785" s="15">
        <v>2</v>
      </c>
      <c r="D3785" s="15">
        <v>110097869</v>
      </c>
      <c r="E3785" s="15">
        <v>112644828</v>
      </c>
      <c r="F3785" s="15">
        <v>3421</v>
      </c>
      <c r="G3785" s="8" t="s">
        <v>12324</v>
      </c>
      <c r="H3785" s="24" t="s">
        <v>494</v>
      </c>
      <c r="I3785" s="25">
        <v>25920</v>
      </c>
      <c r="J3785" s="8" t="s">
        <v>496</v>
      </c>
      <c r="K3785" s="8" t="s">
        <v>10040</v>
      </c>
      <c r="L3785" s="15">
        <v>4.3685099999999998E-2</v>
      </c>
      <c r="M3785" s="15">
        <v>0.81875299999999995</v>
      </c>
      <c r="N3785" s="15">
        <v>0.95492809811122759</v>
      </c>
    </row>
    <row r="3786" spans="1:14" x14ac:dyDescent="0.2">
      <c r="A3786" s="2" t="s">
        <v>10068</v>
      </c>
      <c r="B3786" s="15">
        <v>2122</v>
      </c>
      <c r="C3786" s="15">
        <v>16</v>
      </c>
      <c r="D3786" s="15">
        <v>20351262</v>
      </c>
      <c r="E3786" s="15">
        <v>22667048</v>
      </c>
      <c r="F3786" s="15">
        <v>3175</v>
      </c>
      <c r="G3786" s="8" t="s">
        <v>12324</v>
      </c>
      <c r="H3786" s="24" t="s">
        <v>599</v>
      </c>
      <c r="I3786" s="25">
        <v>26562</v>
      </c>
      <c r="J3786" s="8" t="s">
        <v>601</v>
      </c>
      <c r="K3786" s="8" t="s">
        <v>10040</v>
      </c>
      <c r="L3786" s="15">
        <v>-5.86331E-2</v>
      </c>
      <c r="M3786" s="15">
        <v>0.815747</v>
      </c>
      <c r="N3786" s="15">
        <v>0.95492809811122759</v>
      </c>
    </row>
    <row r="3787" spans="1:14" x14ac:dyDescent="0.2">
      <c r="A3787" s="2" t="s">
        <v>10068</v>
      </c>
      <c r="B3787" s="15">
        <v>1067</v>
      </c>
      <c r="C3787" s="15">
        <v>6</v>
      </c>
      <c r="D3787" s="15">
        <v>143083348</v>
      </c>
      <c r="E3787" s="15">
        <v>144791455</v>
      </c>
      <c r="F3787" s="15">
        <v>3684</v>
      </c>
      <c r="G3787" s="8" t="s">
        <v>12324</v>
      </c>
      <c r="H3787" s="24" t="s">
        <v>599</v>
      </c>
      <c r="I3787" s="25">
        <v>26562</v>
      </c>
      <c r="J3787" s="8" t="s">
        <v>601</v>
      </c>
      <c r="K3787" s="8" t="s">
        <v>10040</v>
      </c>
      <c r="L3787" s="15">
        <v>-7.8561500000000006E-2</v>
      </c>
      <c r="M3787" s="15">
        <v>0.81880600000000003</v>
      </c>
      <c r="N3787" s="15">
        <v>0.95492809811122759</v>
      </c>
    </row>
    <row r="3788" spans="1:14" x14ac:dyDescent="0.2">
      <c r="A3788" s="2" t="s">
        <v>10068</v>
      </c>
      <c r="B3788" s="15">
        <v>1535</v>
      </c>
      <c r="C3788" s="15">
        <v>10</v>
      </c>
      <c r="D3788" s="15">
        <v>53129610</v>
      </c>
      <c r="E3788" s="15">
        <v>53919161</v>
      </c>
      <c r="F3788" s="15">
        <v>2603</v>
      </c>
      <c r="G3788" s="8" t="s">
        <v>12324</v>
      </c>
      <c r="H3788" s="24" t="s">
        <v>599</v>
      </c>
      <c r="I3788" s="25">
        <v>26562</v>
      </c>
      <c r="J3788" s="8" t="s">
        <v>601</v>
      </c>
      <c r="K3788" s="8" t="s">
        <v>10040</v>
      </c>
      <c r="L3788" s="15">
        <v>9.9622000000000002E-2</v>
      </c>
      <c r="M3788" s="15">
        <v>0.81927399999999995</v>
      </c>
      <c r="N3788" s="15">
        <v>0.95492809811122759</v>
      </c>
    </row>
    <row r="3789" spans="1:14" x14ac:dyDescent="0.2">
      <c r="A3789" s="2" t="s">
        <v>10068</v>
      </c>
      <c r="B3789" s="15">
        <v>2491</v>
      </c>
      <c r="C3789" s="15">
        <v>22</v>
      </c>
      <c r="D3789" s="15">
        <v>47299626</v>
      </c>
      <c r="E3789" s="15">
        <v>48269177</v>
      </c>
      <c r="F3789" s="15">
        <v>3139</v>
      </c>
      <c r="G3789" s="8" t="s">
        <v>12324</v>
      </c>
      <c r="H3789" s="24" t="s">
        <v>599</v>
      </c>
      <c r="I3789" s="25">
        <v>26562</v>
      </c>
      <c r="J3789" s="8" t="s">
        <v>601</v>
      </c>
      <c r="K3789" s="8" t="s">
        <v>10040</v>
      </c>
      <c r="L3789" s="15">
        <v>5.3013699999999997E-2</v>
      </c>
      <c r="M3789" s="15">
        <v>0.81941399999999998</v>
      </c>
      <c r="N3789" s="15">
        <v>0.95492809811122759</v>
      </c>
    </row>
    <row r="3790" spans="1:14" x14ac:dyDescent="0.2">
      <c r="A3790" s="2" t="s">
        <v>10068</v>
      </c>
      <c r="B3790" s="15">
        <v>2210</v>
      </c>
      <c r="C3790" s="15">
        <v>17</v>
      </c>
      <c r="D3790" s="15">
        <v>47516225</v>
      </c>
      <c r="E3790" s="15">
        <v>48722590</v>
      </c>
      <c r="F3790" s="15">
        <v>2637</v>
      </c>
      <c r="G3790" s="8" t="s">
        <v>12324</v>
      </c>
      <c r="H3790" s="24" t="s">
        <v>599</v>
      </c>
      <c r="I3790" s="25">
        <v>26562</v>
      </c>
      <c r="J3790" s="8" t="s">
        <v>601</v>
      </c>
      <c r="K3790" s="8" t="s">
        <v>10040</v>
      </c>
      <c r="L3790" s="15">
        <v>3.5317500000000002E-2</v>
      </c>
      <c r="M3790" s="15">
        <v>0.81952199999999997</v>
      </c>
      <c r="N3790" s="15">
        <v>0.95492809811122759</v>
      </c>
    </row>
    <row r="3791" spans="1:14" x14ac:dyDescent="0.2">
      <c r="A3791" s="2" t="s">
        <v>10068</v>
      </c>
      <c r="B3791" s="15">
        <v>606</v>
      </c>
      <c r="C3791" s="15">
        <v>4</v>
      </c>
      <c r="D3791" s="15">
        <v>8309827</v>
      </c>
      <c r="E3791" s="15">
        <v>8882616</v>
      </c>
      <c r="F3791" s="15">
        <v>2113</v>
      </c>
      <c r="G3791" s="8" t="s">
        <v>12324</v>
      </c>
      <c r="H3791" s="24" t="s">
        <v>599</v>
      </c>
      <c r="I3791" s="25">
        <v>26562</v>
      </c>
      <c r="J3791" s="8" t="s">
        <v>601</v>
      </c>
      <c r="K3791" s="8" t="s">
        <v>10040</v>
      </c>
      <c r="L3791" s="15">
        <v>-2.9312600000000001E-2</v>
      </c>
      <c r="M3791" s="15">
        <v>0.82068300000000005</v>
      </c>
      <c r="N3791" s="15">
        <v>0.95492809811122759</v>
      </c>
    </row>
    <row r="3792" spans="1:14" x14ac:dyDescent="0.2">
      <c r="A3792" s="2" t="s">
        <v>10069</v>
      </c>
      <c r="B3792" s="15">
        <v>939</v>
      </c>
      <c r="C3792" s="15">
        <v>6</v>
      </c>
      <c r="D3792" s="15">
        <v>16566883</v>
      </c>
      <c r="E3792" s="15">
        <v>17391994</v>
      </c>
      <c r="F3792" s="15">
        <v>1314</v>
      </c>
      <c r="G3792" s="8" t="s">
        <v>12324</v>
      </c>
      <c r="H3792" s="24" t="s">
        <v>662</v>
      </c>
      <c r="I3792" s="25" t="s">
        <v>663</v>
      </c>
      <c r="J3792" s="8" t="s">
        <v>664</v>
      </c>
      <c r="K3792" s="8" t="s">
        <v>10040</v>
      </c>
      <c r="L3792" s="15">
        <v>-0.100274</v>
      </c>
      <c r="M3792" s="15">
        <v>0.81674400000000003</v>
      </c>
      <c r="N3792" s="15">
        <v>0.95492809811122759</v>
      </c>
    </row>
    <row r="3793" spans="1:14" x14ac:dyDescent="0.2">
      <c r="A3793" s="2" t="s">
        <v>10069</v>
      </c>
      <c r="B3793" s="15">
        <v>2339</v>
      </c>
      <c r="C3793" s="15">
        <v>19</v>
      </c>
      <c r="D3793" s="15">
        <v>33028100</v>
      </c>
      <c r="E3793" s="15">
        <v>33785835</v>
      </c>
      <c r="F3793" s="15">
        <v>1769</v>
      </c>
      <c r="G3793" s="8" t="s">
        <v>12324</v>
      </c>
      <c r="H3793" s="24" t="s">
        <v>662</v>
      </c>
      <c r="I3793" s="25" t="s">
        <v>663</v>
      </c>
      <c r="J3793" s="8" t="s">
        <v>664</v>
      </c>
      <c r="K3793" s="8" t="s">
        <v>10040</v>
      </c>
      <c r="L3793" s="15">
        <v>-9.1062799999999999E-2</v>
      </c>
      <c r="M3793" s="15">
        <v>0.818666</v>
      </c>
      <c r="N3793" s="15">
        <v>0.95492809811122759</v>
      </c>
    </row>
    <row r="3794" spans="1:14" x14ac:dyDescent="0.2">
      <c r="A3794" s="2" t="s">
        <v>10069</v>
      </c>
      <c r="B3794" s="15">
        <v>1869</v>
      </c>
      <c r="C3794" s="15">
        <v>13</v>
      </c>
      <c r="D3794" s="15">
        <v>24818334</v>
      </c>
      <c r="E3794" s="15">
        <v>25977140</v>
      </c>
      <c r="F3794" s="15">
        <v>2618</v>
      </c>
      <c r="G3794" s="8" t="s">
        <v>12324</v>
      </c>
      <c r="H3794" s="24" t="s">
        <v>662</v>
      </c>
      <c r="I3794" s="25" t="s">
        <v>663</v>
      </c>
      <c r="J3794" s="8" t="s">
        <v>664</v>
      </c>
      <c r="K3794" s="8" t="s">
        <v>10040</v>
      </c>
      <c r="L3794" s="15">
        <v>-7.6418600000000003E-2</v>
      </c>
      <c r="M3794" s="15">
        <v>0.81919200000000003</v>
      </c>
      <c r="N3794" s="15">
        <v>0.95492809811122759</v>
      </c>
    </row>
    <row r="3795" spans="1:14" x14ac:dyDescent="0.2">
      <c r="A3795" s="2" t="s">
        <v>10068</v>
      </c>
      <c r="B3795" s="15">
        <v>881</v>
      </c>
      <c r="C3795" s="15">
        <v>5</v>
      </c>
      <c r="D3795" s="15">
        <v>124109486</v>
      </c>
      <c r="E3795" s="15">
        <v>125131720</v>
      </c>
      <c r="F3795" s="15">
        <v>2937</v>
      </c>
      <c r="G3795" s="8" t="s">
        <v>12324</v>
      </c>
      <c r="H3795" s="24" t="s">
        <v>1259</v>
      </c>
      <c r="I3795" s="25">
        <v>27096</v>
      </c>
      <c r="J3795" s="8" t="s">
        <v>1261</v>
      </c>
      <c r="K3795" s="8" t="s">
        <v>10040</v>
      </c>
      <c r="L3795" s="15">
        <v>-3.7519999999999998E-2</v>
      </c>
      <c r="M3795" s="15">
        <v>0.81626799999999999</v>
      </c>
      <c r="N3795" s="15">
        <v>0.95492809811122759</v>
      </c>
    </row>
    <row r="3796" spans="1:14" x14ac:dyDescent="0.2">
      <c r="A3796" s="2" t="s">
        <v>10068</v>
      </c>
      <c r="B3796" s="15">
        <v>2378</v>
      </c>
      <c r="C3796" s="15">
        <v>20</v>
      </c>
      <c r="D3796" s="15">
        <v>7959829</v>
      </c>
      <c r="E3796" s="15">
        <v>9279550</v>
      </c>
      <c r="F3796" s="15">
        <v>3426</v>
      </c>
      <c r="G3796" s="8" t="s">
        <v>12324</v>
      </c>
      <c r="H3796" s="24" t="s">
        <v>1259</v>
      </c>
      <c r="I3796" s="25">
        <v>27096</v>
      </c>
      <c r="J3796" s="8" t="s">
        <v>1261</v>
      </c>
      <c r="K3796" s="8" t="s">
        <v>10040</v>
      </c>
      <c r="L3796" s="15">
        <v>8.2086900000000004E-2</v>
      </c>
      <c r="M3796" s="15">
        <v>0.81830099999999995</v>
      </c>
      <c r="N3796" s="15">
        <v>0.95492809811122759</v>
      </c>
    </row>
    <row r="3797" spans="1:14" x14ac:dyDescent="0.2">
      <c r="A3797" s="2" t="s">
        <v>10068</v>
      </c>
      <c r="B3797" s="15">
        <v>920</v>
      </c>
      <c r="C3797" s="15">
        <v>5</v>
      </c>
      <c r="D3797" s="15">
        <v>173606996</v>
      </c>
      <c r="E3797" s="15">
        <v>174662885</v>
      </c>
      <c r="F3797" s="15">
        <v>3363</v>
      </c>
      <c r="G3797" s="8" t="s">
        <v>12324</v>
      </c>
      <c r="H3797" s="24" t="s">
        <v>1259</v>
      </c>
      <c r="I3797" s="25">
        <v>27096</v>
      </c>
      <c r="J3797" s="8" t="s">
        <v>1261</v>
      </c>
      <c r="K3797" s="8" t="s">
        <v>10040</v>
      </c>
      <c r="L3797" s="15">
        <v>-4.5870300000000003E-2</v>
      </c>
      <c r="M3797" s="15">
        <v>0.81894500000000003</v>
      </c>
      <c r="N3797" s="15">
        <v>0.95492809811122759</v>
      </c>
    </row>
    <row r="3798" spans="1:14" x14ac:dyDescent="0.2">
      <c r="A3798" s="2" t="s">
        <v>10068</v>
      </c>
      <c r="B3798" s="15">
        <v>1133</v>
      </c>
      <c r="C3798" s="15">
        <v>7</v>
      </c>
      <c r="D3798" s="15">
        <v>35354136</v>
      </c>
      <c r="E3798" s="15">
        <v>36507690</v>
      </c>
      <c r="F3798" s="15">
        <v>3206</v>
      </c>
      <c r="G3798" s="8" t="s">
        <v>12324</v>
      </c>
      <c r="H3798" s="24" t="s">
        <v>1259</v>
      </c>
      <c r="I3798" s="25">
        <v>27096</v>
      </c>
      <c r="J3798" s="8" t="s">
        <v>1261</v>
      </c>
      <c r="K3798" s="8" t="s">
        <v>10040</v>
      </c>
      <c r="L3798" s="15">
        <v>6.1958600000000003E-2</v>
      </c>
      <c r="M3798" s="15">
        <v>0.81918100000000005</v>
      </c>
      <c r="N3798" s="15">
        <v>0.95492809811122759</v>
      </c>
    </row>
    <row r="3799" spans="1:14" x14ac:dyDescent="0.2">
      <c r="A3799" s="2" t="s">
        <v>10068</v>
      </c>
      <c r="B3799" s="15">
        <v>2480</v>
      </c>
      <c r="C3799" s="15">
        <v>22</v>
      </c>
      <c r="D3799" s="15">
        <v>35368342</v>
      </c>
      <c r="E3799" s="15">
        <v>36135968</v>
      </c>
      <c r="F3799" s="15">
        <v>2474</v>
      </c>
      <c r="G3799" s="8" t="s">
        <v>12324</v>
      </c>
      <c r="H3799" s="24" t="s">
        <v>1259</v>
      </c>
      <c r="I3799" s="25">
        <v>27096</v>
      </c>
      <c r="J3799" s="8" t="s">
        <v>1261</v>
      </c>
      <c r="K3799" s="8" t="s">
        <v>10040</v>
      </c>
      <c r="L3799" s="15">
        <v>4.5303400000000001E-2</v>
      </c>
      <c r="M3799" s="15">
        <v>0.81962199999999996</v>
      </c>
      <c r="N3799" s="15">
        <v>0.95492809811122759</v>
      </c>
    </row>
    <row r="3800" spans="1:14" x14ac:dyDescent="0.2">
      <c r="A3800" s="2" t="s">
        <v>10066</v>
      </c>
      <c r="B3800" s="15">
        <v>1314</v>
      </c>
      <c r="C3800" s="15">
        <v>8</v>
      </c>
      <c r="D3800" s="15">
        <v>79756170</v>
      </c>
      <c r="E3800" s="15">
        <v>81340231</v>
      </c>
      <c r="F3800" s="15">
        <v>3867</v>
      </c>
      <c r="G3800" s="8" t="s">
        <v>12324</v>
      </c>
      <c r="H3800" s="24" t="s">
        <v>3164</v>
      </c>
      <c r="I3800" s="25" t="s">
        <v>3165</v>
      </c>
      <c r="J3800" s="8" t="s">
        <v>3166</v>
      </c>
      <c r="K3800" s="8" t="s">
        <v>10042</v>
      </c>
      <c r="L3800" s="15">
        <v>6.0392399999999999E-2</v>
      </c>
      <c r="M3800" s="15">
        <v>0.81590099999999999</v>
      </c>
      <c r="N3800" s="15">
        <v>0.95492809811122759</v>
      </c>
    </row>
    <row r="3801" spans="1:14" x14ac:dyDescent="0.2">
      <c r="A3801" s="2" t="s">
        <v>10066</v>
      </c>
      <c r="B3801" s="15">
        <v>2006</v>
      </c>
      <c r="C3801" s="15">
        <v>14</v>
      </c>
      <c r="D3801" s="15">
        <v>76694202</v>
      </c>
      <c r="E3801" s="15">
        <v>77425453</v>
      </c>
      <c r="F3801" s="15">
        <v>2147</v>
      </c>
      <c r="G3801" s="8" t="s">
        <v>12324</v>
      </c>
      <c r="H3801" s="24" t="s">
        <v>3164</v>
      </c>
      <c r="I3801" s="25" t="s">
        <v>3165</v>
      </c>
      <c r="J3801" s="8" t="s">
        <v>3166</v>
      </c>
      <c r="K3801" s="8" t="s">
        <v>10042</v>
      </c>
      <c r="L3801" s="15">
        <v>4.7934699999999997E-2</v>
      </c>
      <c r="M3801" s="15">
        <v>0.81957400000000002</v>
      </c>
      <c r="N3801" s="15">
        <v>0.95492809811122759</v>
      </c>
    </row>
    <row r="3802" spans="1:14" x14ac:dyDescent="0.2">
      <c r="A3802" s="2" t="s">
        <v>10066</v>
      </c>
      <c r="B3802" s="15">
        <v>2425</v>
      </c>
      <c r="C3802" s="15">
        <v>20</v>
      </c>
      <c r="D3802" s="15">
        <v>59560458</v>
      </c>
      <c r="E3802" s="15">
        <v>60125333</v>
      </c>
      <c r="F3802" s="15">
        <v>2237</v>
      </c>
      <c r="G3802" s="8" t="s">
        <v>12324</v>
      </c>
      <c r="H3802" s="24" t="s">
        <v>3164</v>
      </c>
      <c r="I3802" s="25" t="s">
        <v>3165</v>
      </c>
      <c r="J3802" s="8" t="s">
        <v>3166</v>
      </c>
      <c r="K3802" s="8" t="s">
        <v>10042</v>
      </c>
      <c r="L3802" s="15">
        <v>-4.0250899999999999E-2</v>
      </c>
      <c r="M3802" s="15">
        <v>0.820191</v>
      </c>
      <c r="N3802" s="15">
        <v>0.95492809811122759</v>
      </c>
    </row>
    <row r="3803" spans="1:14" x14ac:dyDescent="0.2">
      <c r="A3803" s="2" t="s">
        <v>10066</v>
      </c>
      <c r="B3803" s="15">
        <v>1426</v>
      </c>
      <c r="C3803" s="15">
        <v>9</v>
      </c>
      <c r="D3803" s="15">
        <v>80137025</v>
      </c>
      <c r="E3803" s="15">
        <v>81161597</v>
      </c>
      <c r="F3803" s="15">
        <v>2392</v>
      </c>
      <c r="G3803" s="8" t="s">
        <v>12324</v>
      </c>
      <c r="H3803" s="24" t="s">
        <v>3164</v>
      </c>
      <c r="I3803" s="25" t="s">
        <v>3165</v>
      </c>
      <c r="J3803" s="8" t="s">
        <v>3166</v>
      </c>
      <c r="K3803" s="8" t="s">
        <v>10042</v>
      </c>
      <c r="L3803" s="15">
        <v>4.8832E-2</v>
      </c>
      <c r="M3803" s="15">
        <v>0.82078600000000002</v>
      </c>
      <c r="N3803" s="15">
        <v>0.95492809811122759</v>
      </c>
    </row>
    <row r="3804" spans="1:14" x14ac:dyDescent="0.2">
      <c r="A3804" s="2" t="s">
        <v>10066</v>
      </c>
      <c r="B3804" s="15">
        <v>2179</v>
      </c>
      <c r="C3804" s="15">
        <v>17</v>
      </c>
      <c r="D3804" s="15">
        <v>5573785</v>
      </c>
      <c r="E3804" s="15">
        <v>6305078</v>
      </c>
      <c r="F3804" s="15">
        <v>2658</v>
      </c>
      <c r="G3804" s="8" t="s">
        <v>12324</v>
      </c>
      <c r="H3804" s="24" t="s">
        <v>6008</v>
      </c>
      <c r="I3804" s="25" t="s">
        <v>6009</v>
      </c>
      <c r="J3804" s="8" t="s">
        <v>6010</v>
      </c>
      <c r="K3804" s="8" t="s">
        <v>10051</v>
      </c>
      <c r="L3804" s="15">
        <v>4.15115E-2</v>
      </c>
      <c r="M3804" s="15">
        <v>0.81486899999999995</v>
      </c>
      <c r="N3804" s="15">
        <v>0.95492809811122759</v>
      </c>
    </row>
    <row r="3805" spans="1:14" x14ac:dyDescent="0.2">
      <c r="A3805" s="2" t="s">
        <v>10066</v>
      </c>
      <c r="B3805" s="15">
        <v>1366</v>
      </c>
      <c r="C3805" s="15">
        <v>8</v>
      </c>
      <c r="D3805" s="15">
        <v>141527882</v>
      </c>
      <c r="E3805" s="15">
        <v>142611889</v>
      </c>
      <c r="F3805" s="15">
        <v>2814</v>
      </c>
      <c r="G3805" s="8" t="s">
        <v>12324</v>
      </c>
      <c r="H3805" s="24" t="s">
        <v>6008</v>
      </c>
      <c r="I3805" s="25" t="s">
        <v>6009</v>
      </c>
      <c r="J3805" s="8" t="s">
        <v>6010</v>
      </c>
      <c r="K3805" s="8" t="s">
        <v>10051</v>
      </c>
      <c r="L3805" s="15">
        <v>-5.1969399999999999E-2</v>
      </c>
      <c r="M3805" s="15">
        <v>0.81512899999999999</v>
      </c>
      <c r="N3805" s="15">
        <v>0.95492809811122759</v>
      </c>
    </row>
    <row r="3806" spans="1:14" x14ac:dyDescent="0.2">
      <c r="A3806" s="2" t="s">
        <v>10066</v>
      </c>
      <c r="B3806" s="15">
        <v>1620</v>
      </c>
      <c r="C3806" s="15">
        <v>11</v>
      </c>
      <c r="D3806" s="15">
        <v>7915072</v>
      </c>
      <c r="E3806" s="15">
        <v>9080939</v>
      </c>
      <c r="F3806" s="15">
        <v>3467</v>
      </c>
      <c r="G3806" s="8" t="s">
        <v>12324</v>
      </c>
      <c r="H3806" s="24" t="s">
        <v>6008</v>
      </c>
      <c r="I3806" s="25" t="s">
        <v>6009</v>
      </c>
      <c r="J3806" s="8" t="s">
        <v>6010</v>
      </c>
      <c r="K3806" s="8" t="s">
        <v>10051</v>
      </c>
      <c r="L3806" s="15">
        <v>-5.92677E-2</v>
      </c>
      <c r="M3806" s="15">
        <v>0.815168</v>
      </c>
      <c r="N3806" s="15">
        <v>0.95492809811122759</v>
      </c>
    </row>
    <row r="3807" spans="1:14" x14ac:dyDescent="0.2">
      <c r="A3807" s="2" t="s">
        <v>10066</v>
      </c>
      <c r="B3807" s="15">
        <v>1554</v>
      </c>
      <c r="C3807" s="15">
        <v>10</v>
      </c>
      <c r="D3807" s="15">
        <v>72659224</v>
      </c>
      <c r="E3807" s="15">
        <v>73514214</v>
      </c>
      <c r="F3807" s="15">
        <v>2745</v>
      </c>
      <c r="G3807" s="8" t="s">
        <v>12324</v>
      </c>
      <c r="H3807" s="24" t="s">
        <v>6008</v>
      </c>
      <c r="I3807" s="25" t="s">
        <v>6009</v>
      </c>
      <c r="J3807" s="8" t="s">
        <v>6010</v>
      </c>
      <c r="K3807" s="8" t="s">
        <v>10051</v>
      </c>
      <c r="L3807" s="15">
        <v>4.7537599999999999E-2</v>
      </c>
      <c r="M3807" s="15">
        <v>0.81591899999999995</v>
      </c>
      <c r="N3807" s="15">
        <v>0.95492809811122759</v>
      </c>
    </row>
    <row r="3808" spans="1:14" x14ac:dyDescent="0.2">
      <c r="A3808" s="2" t="s">
        <v>10066</v>
      </c>
      <c r="B3808" s="15">
        <v>1326</v>
      </c>
      <c r="C3808" s="15">
        <v>8</v>
      </c>
      <c r="D3808" s="15">
        <v>96175631</v>
      </c>
      <c r="E3808" s="15">
        <v>96900513</v>
      </c>
      <c r="F3808" s="15">
        <v>2304</v>
      </c>
      <c r="G3808" s="8" t="s">
        <v>12324</v>
      </c>
      <c r="H3808" s="24" t="s">
        <v>6008</v>
      </c>
      <c r="I3808" s="25" t="s">
        <v>6009</v>
      </c>
      <c r="J3808" s="8" t="s">
        <v>6010</v>
      </c>
      <c r="K3808" s="8" t="s">
        <v>10051</v>
      </c>
      <c r="L3808" s="15">
        <v>9.2200000000000004E-2</v>
      </c>
      <c r="M3808" s="15">
        <v>0.81671800000000006</v>
      </c>
      <c r="N3808" s="15">
        <v>0.95492809811122759</v>
      </c>
    </row>
    <row r="3809" spans="1:14" x14ac:dyDescent="0.2">
      <c r="A3809" s="2" t="s">
        <v>10066</v>
      </c>
      <c r="B3809" s="15">
        <v>1123</v>
      </c>
      <c r="C3809" s="15">
        <v>7</v>
      </c>
      <c r="D3809" s="15">
        <v>24151100</v>
      </c>
      <c r="E3809" s="15">
        <v>24894119</v>
      </c>
      <c r="F3809" s="15">
        <v>2445</v>
      </c>
      <c r="G3809" s="8" t="s">
        <v>12324</v>
      </c>
      <c r="H3809" s="24" t="s">
        <v>6008</v>
      </c>
      <c r="I3809" s="25" t="s">
        <v>6009</v>
      </c>
      <c r="J3809" s="8" t="s">
        <v>6010</v>
      </c>
      <c r="K3809" s="8" t="s">
        <v>10051</v>
      </c>
      <c r="L3809" s="15">
        <v>8.3346600000000007E-2</v>
      </c>
      <c r="M3809" s="15">
        <v>0.81689699999999998</v>
      </c>
      <c r="N3809" s="15">
        <v>0.95492809811122759</v>
      </c>
    </row>
    <row r="3810" spans="1:14" x14ac:dyDescent="0.2">
      <c r="A3810" s="2" t="s">
        <v>10066</v>
      </c>
      <c r="B3810" s="15">
        <v>1063</v>
      </c>
      <c r="C3810" s="15">
        <v>6</v>
      </c>
      <c r="D3810" s="15">
        <v>137553213</v>
      </c>
      <c r="E3810" s="15">
        <v>138825721</v>
      </c>
      <c r="F3810" s="15">
        <v>3515</v>
      </c>
      <c r="G3810" s="8" t="s">
        <v>12324</v>
      </c>
      <c r="H3810" s="24" t="s">
        <v>6008</v>
      </c>
      <c r="I3810" s="25" t="s">
        <v>6009</v>
      </c>
      <c r="J3810" s="8" t="s">
        <v>6010</v>
      </c>
      <c r="K3810" s="8" t="s">
        <v>10051</v>
      </c>
      <c r="L3810" s="15">
        <v>4.9782800000000002E-2</v>
      </c>
      <c r="M3810" s="15">
        <v>0.82053200000000004</v>
      </c>
      <c r="N3810" s="15">
        <v>0.95492809811122759</v>
      </c>
    </row>
    <row r="3811" spans="1:14" x14ac:dyDescent="0.2">
      <c r="A3811" s="2" t="s">
        <v>10068</v>
      </c>
      <c r="B3811" s="15">
        <v>1182</v>
      </c>
      <c r="C3811" s="15">
        <v>7</v>
      </c>
      <c r="D3811" s="15">
        <v>95174848</v>
      </c>
      <c r="E3811" s="15">
        <v>96564981</v>
      </c>
      <c r="F3811" s="15">
        <v>3148</v>
      </c>
      <c r="G3811" s="8" t="s">
        <v>12324</v>
      </c>
      <c r="H3811" s="24" t="s">
        <v>6565</v>
      </c>
      <c r="I3811" s="25" t="s">
        <v>6475</v>
      </c>
      <c r="J3811" s="8" t="s">
        <v>6566</v>
      </c>
      <c r="K3811" s="8" t="s">
        <v>10054</v>
      </c>
      <c r="L3811" s="15">
        <v>6.7775299999999997E-2</v>
      </c>
      <c r="M3811" s="15">
        <v>0.81506000000000001</v>
      </c>
      <c r="N3811" s="15">
        <v>0.95492809811122759</v>
      </c>
    </row>
    <row r="3812" spans="1:14" x14ac:dyDescent="0.2">
      <c r="A3812" s="2" t="s">
        <v>10068</v>
      </c>
      <c r="B3812" s="15">
        <v>1476</v>
      </c>
      <c r="C3812" s="15">
        <v>9</v>
      </c>
      <c r="D3812" s="15">
        <v>132999453</v>
      </c>
      <c r="E3812" s="15">
        <v>134141936</v>
      </c>
      <c r="F3812" s="15">
        <v>2775</v>
      </c>
      <c r="G3812" s="8" t="s">
        <v>12324</v>
      </c>
      <c r="H3812" s="24" t="s">
        <v>6565</v>
      </c>
      <c r="I3812" s="25" t="s">
        <v>6475</v>
      </c>
      <c r="J3812" s="8" t="s">
        <v>6566</v>
      </c>
      <c r="K3812" s="8" t="s">
        <v>10054</v>
      </c>
      <c r="L3812" s="15">
        <v>-3.3767199999999997E-2</v>
      </c>
      <c r="M3812" s="15">
        <v>0.81842800000000004</v>
      </c>
      <c r="N3812" s="15">
        <v>0.95492809811122759</v>
      </c>
    </row>
    <row r="3813" spans="1:14" x14ac:dyDescent="0.2">
      <c r="A3813" s="2" t="s">
        <v>10068</v>
      </c>
      <c r="B3813" s="15">
        <v>1308</v>
      </c>
      <c r="C3813" s="15">
        <v>8</v>
      </c>
      <c r="D3813" s="15">
        <v>72917490</v>
      </c>
      <c r="E3813" s="15">
        <v>73838027</v>
      </c>
      <c r="F3813" s="15">
        <v>2555</v>
      </c>
      <c r="G3813" s="8" t="s">
        <v>12324</v>
      </c>
      <c r="H3813" s="24" t="s">
        <v>6565</v>
      </c>
      <c r="I3813" s="25" t="s">
        <v>6475</v>
      </c>
      <c r="J3813" s="8" t="s">
        <v>6566</v>
      </c>
      <c r="K3813" s="8" t="s">
        <v>10054</v>
      </c>
      <c r="L3813" s="15">
        <v>5.2729400000000003E-2</v>
      </c>
      <c r="M3813" s="15">
        <v>0.82011999999999996</v>
      </c>
      <c r="N3813" s="15">
        <v>0.95492809811122759</v>
      </c>
    </row>
    <row r="3814" spans="1:14" x14ac:dyDescent="0.2">
      <c r="A3814" s="2" t="s">
        <v>10068</v>
      </c>
      <c r="B3814" s="15">
        <v>1824</v>
      </c>
      <c r="C3814" s="15">
        <v>12</v>
      </c>
      <c r="D3814" s="15">
        <v>93487548</v>
      </c>
      <c r="E3814" s="15">
        <v>94385884</v>
      </c>
      <c r="F3814" s="15">
        <v>2239</v>
      </c>
      <c r="G3814" s="8" t="s">
        <v>12324</v>
      </c>
      <c r="H3814" s="24" t="s">
        <v>6565</v>
      </c>
      <c r="I3814" s="25" t="s">
        <v>6475</v>
      </c>
      <c r="J3814" s="8" t="s">
        <v>6566</v>
      </c>
      <c r="K3814" s="8" t="s">
        <v>10054</v>
      </c>
      <c r="L3814" s="15">
        <v>4.9421300000000001E-2</v>
      </c>
      <c r="M3814" s="15">
        <v>0.82073499999999999</v>
      </c>
      <c r="N3814" s="15">
        <v>0.95492809811122759</v>
      </c>
    </row>
    <row r="3815" spans="1:14" x14ac:dyDescent="0.2">
      <c r="A3815" s="2" t="s">
        <v>10068</v>
      </c>
      <c r="B3815" s="15">
        <v>2217</v>
      </c>
      <c r="C3815" s="15">
        <v>17</v>
      </c>
      <c r="D3815" s="15">
        <v>56245228</v>
      </c>
      <c r="E3815" s="15">
        <v>58652809</v>
      </c>
      <c r="F3815" s="15">
        <v>3418</v>
      </c>
      <c r="G3815" s="8" t="s">
        <v>12324</v>
      </c>
      <c r="H3815" s="24" t="s">
        <v>494</v>
      </c>
      <c r="I3815" s="25">
        <v>25920</v>
      </c>
      <c r="J3815" s="8" t="s">
        <v>496</v>
      </c>
      <c r="K3815" s="8" t="s">
        <v>10040</v>
      </c>
      <c r="L3815" s="15">
        <v>6.0033900000000001E-2</v>
      </c>
      <c r="M3815" s="15">
        <v>0.82245800000000002</v>
      </c>
      <c r="N3815" s="15">
        <v>0.95555282631441274</v>
      </c>
    </row>
    <row r="3816" spans="1:14" x14ac:dyDescent="0.2">
      <c r="A3816" s="2" t="s">
        <v>10068</v>
      </c>
      <c r="B3816" s="15">
        <v>1360</v>
      </c>
      <c r="C3816" s="15">
        <v>8</v>
      </c>
      <c r="D3816" s="15">
        <v>135313674</v>
      </c>
      <c r="E3816" s="15">
        <v>136220342</v>
      </c>
      <c r="F3816" s="15">
        <v>2636</v>
      </c>
      <c r="G3816" s="8" t="s">
        <v>12324</v>
      </c>
      <c r="H3816" s="24" t="s">
        <v>494</v>
      </c>
      <c r="I3816" s="25">
        <v>25920</v>
      </c>
      <c r="J3816" s="8" t="s">
        <v>496</v>
      </c>
      <c r="K3816" s="8" t="s">
        <v>10040</v>
      </c>
      <c r="L3816" s="15">
        <v>4.1718900000000003E-2</v>
      </c>
      <c r="M3816" s="15">
        <v>0.823519</v>
      </c>
      <c r="N3816" s="15">
        <v>0.95555282631441274</v>
      </c>
    </row>
    <row r="3817" spans="1:14" x14ac:dyDescent="0.2">
      <c r="A3817" s="2" t="s">
        <v>10068</v>
      </c>
      <c r="B3817" s="15">
        <v>930</v>
      </c>
      <c r="C3817" s="15">
        <v>6</v>
      </c>
      <c r="D3817" s="15">
        <v>4657087</v>
      </c>
      <c r="E3817" s="15">
        <v>5378213</v>
      </c>
      <c r="F3817" s="15">
        <v>2137</v>
      </c>
      <c r="G3817" s="8" t="s">
        <v>12324</v>
      </c>
      <c r="H3817" s="24" t="s">
        <v>494</v>
      </c>
      <c r="I3817" s="25">
        <v>25920</v>
      </c>
      <c r="J3817" s="8" t="s">
        <v>496</v>
      </c>
      <c r="K3817" s="8" t="s">
        <v>10040</v>
      </c>
      <c r="L3817" s="15">
        <v>4.8098399999999999E-2</v>
      </c>
      <c r="M3817" s="15">
        <v>0.82364599999999999</v>
      </c>
      <c r="N3817" s="15">
        <v>0.95555282631441274</v>
      </c>
    </row>
    <row r="3818" spans="1:14" x14ac:dyDescent="0.2">
      <c r="A3818" s="2" t="s">
        <v>10068</v>
      </c>
      <c r="B3818" s="15">
        <v>1883</v>
      </c>
      <c r="C3818" s="15">
        <v>13</v>
      </c>
      <c r="D3818" s="15">
        <v>40091624</v>
      </c>
      <c r="E3818" s="15">
        <v>41003943</v>
      </c>
      <c r="F3818" s="15">
        <v>2417</v>
      </c>
      <c r="G3818" s="8" t="s">
        <v>12324</v>
      </c>
      <c r="H3818" s="24" t="s">
        <v>599</v>
      </c>
      <c r="I3818" s="25">
        <v>26562</v>
      </c>
      <c r="J3818" s="8" t="s">
        <v>601</v>
      </c>
      <c r="K3818" s="8" t="s">
        <v>10040</v>
      </c>
      <c r="L3818" s="15">
        <v>-5.4982700000000002E-2</v>
      </c>
      <c r="M3818" s="15">
        <v>0.82254000000000005</v>
      </c>
      <c r="N3818" s="15">
        <v>0.95555282631441274</v>
      </c>
    </row>
    <row r="3819" spans="1:14" x14ac:dyDescent="0.2">
      <c r="A3819" s="2" t="s">
        <v>10068</v>
      </c>
      <c r="B3819" s="15">
        <v>521</v>
      </c>
      <c r="C3819" s="15">
        <v>3</v>
      </c>
      <c r="D3819" s="15">
        <v>116498571</v>
      </c>
      <c r="E3819" s="15">
        <v>117241644</v>
      </c>
      <c r="F3819" s="15">
        <v>2118</v>
      </c>
      <c r="G3819" s="8" t="s">
        <v>12324</v>
      </c>
      <c r="H3819" s="24" t="s">
        <v>599</v>
      </c>
      <c r="I3819" s="25">
        <v>26562</v>
      </c>
      <c r="J3819" s="8" t="s">
        <v>601</v>
      </c>
      <c r="K3819" s="8" t="s">
        <v>10040</v>
      </c>
      <c r="L3819" s="15">
        <v>5.6262399999999997E-2</v>
      </c>
      <c r="M3819" s="15">
        <v>0.82369300000000001</v>
      </c>
      <c r="N3819" s="15">
        <v>0.95555282631441274</v>
      </c>
    </row>
    <row r="3820" spans="1:14" x14ac:dyDescent="0.2">
      <c r="A3820" s="2" t="s">
        <v>10068</v>
      </c>
      <c r="B3820" s="15">
        <v>2242</v>
      </c>
      <c r="C3820" s="15">
        <v>18</v>
      </c>
      <c r="D3820" s="15">
        <v>3722829</v>
      </c>
      <c r="E3820" s="15">
        <v>4603961</v>
      </c>
      <c r="F3820" s="15">
        <v>2690</v>
      </c>
      <c r="G3820" s="8" t="s">
        <v>12324</v>
      </c>
      <c r="H3820" s="24" t="s">
        <v>1259</v>
      </c>
      <c r="I3820" s="25">
        <v>27096</v>
      </c>
      <c r="J3820" s="8" t="s">
        <v>1261</v>
      </c>
      <c r="K3820" s="8" t="s">
        <v>10040</v>
      </c>
      <c r="L3820" s="15">
        <v>-4.0160899999999999E-2</v>
      </c>
      <c r="M3820" s="15">
        <v>0.82255199999999995</v>
      </c>
      <c r="N3820" s="15">
        <v>0.95555282631441274</v>
      </c>
    </row>
    <row r="3821" spans="1:14" x14ac:dyDescent="0.2">
      <c r="A3821" s="2" t="s">
        <v>10068</v>
      </c>
      <c r="B3821" s="15">
        <v>2094</v>
      </c>
      <c r="C3821" s="15">
        <v>15</v>
      </c>
      <c r="D3821" s="15">
        <v>94565522</v>
      </c>
      <c r="E3821" s="15">
        <v>95662425</v>
      </c>
      <c r="F3821" s="15">
        <v>3167</v>
      </c>
      <c r="G3821" s="8" t="s">
        <v>12324</v>
      </c>
      <c r="H3821" s="24" t="s">
        <v>1259</v>
      </c>
      <c r="I3821" s="25">
        <v>27096</v>
      </c>
      <c r="J3821" s="8" t="s">
        <v>1261</v>
      </c>
      <c r="K3821" s="8" t="s">
        <v>10040</v>
      </c>
      <c r="L3821" s="15">
        <v>-3.0085400000000002E-2</v>
      </c>
      <c r="M3821" s="15">
        <v>0.82346900000000001</v>
      </c>
      <c r="N3821" s="15">
        <v>0.95555282631441274</v>
      </c>
    </row>
    <row r="3822" spans="1:14" x14ac:dyDescent="0.2">
      <c r="A3822" s="2" t="s">
        <v>10066</v>
      </c>
      <c r="B3822" s="15">
        <v>2211</v>
      </c>
      <c r="C3822" s="15">
        <v>17</v>
      </c>
      <c r="D3822" s="15">
        <v>48722591</v>
      </c>
      <c r="E3822" s="15">
        <v>49909298</v>
      </c>
      <c r="F3822" s="15">
        <v>2663</v>
      </c>
      <c r="G3822" s="8" t="s">
        <v>12324</v>
      </c>
      <c r="H3822" s="24" t="s">
        <v>3164</v>
      </c>
      <c r="I3822" s="25" t="s">
        <v>3165</v>
      </c>
      <c r="J3822" s="8" t="s">
        <v>3166</v>
      </c>
      <c r="K3822" s="8" t="s">
        <v>10042</v>
      </c>
      <c r="L3822" s="15">
        <v>5.8965999999999998E-2</v>
      </c>
      <c r="M3822" s="15">
        <v>0.822573</v>
      </c>
      <c r="N3822" s="15">
        <v>0.95555282631441274</v>
      </c>
    </row>
    <row r="3823" spans="1:14" x14ac:dyDescent="0.2">
      <c r="A3823" s="2" t="s">
        <v>10066</v>
      </c>
      <c r="B3823" s="15">
        <v>786</v>
      </c>
      <c r="C3823" s="15">
        <v>5</v>
      </c>
      <c r="D3823" s="15">
        <v>10549030</v>
      </c>
      <c r="E3823" s="15">
        <v>11850850</v>
      </c>
      <c r="F3823" s="15">
        <v>3682</v>
      </c>
      <c r="G3823" s="8" t="s">
        <v>12324</v>
      </c>
      <c r="H3823" s="24" t="s">
        <v>6008</v>
      </c>
      <c r="I3823" s="25" t="s">
        <v>6009</v>
      </c>
      <c r="J3823" s="8" t="s">
        <v>6010</v>
      </c>
      <c r="K3823" s="8" t="s">
        <v>10051</v>
      </c>
      <c r="L3823" s="15">
        <v>4.7226299999999999E-2</v>
      </c>
      <c r="M3823" s="15">
        <v>0.82349700000000003</v>
      </c>
      <c r="N3823" s="15">
        <v>0.95555282631441274</v>
      </c>
    </row>
    <row r="3824" spans="1:14" x14ac:dyDescent="0.2">
      <c r="A3824" s="2" t="s">
        <v>10068</v>
      </c>
      <c r="B3824" s="15">
        <v>1939</v>
      </c>
      <c r="C3824" s="15">
        <v>13</v>
      </c>
      <c r="D3824" s="15">
        <v>100470869</v>
      </c>
      <c r="E3824" s="15">
        <v>101573736</v>
      </c>
      <c r="F3824" s="15">
        <v>2568</v>
      </c>
      <c r="G3824" s="8" t="s">
        <v>12324</v>
      </c>
      <c r="H3824" s="24" t="s">
        <v>6565</v>
      </c>
      <c r="I3824" s="25" t="s">
        <v>6475</v>
      </c>
      <c r="J3824" s="8" t="s">
        <v>6566</v>
      </c>
      <c r="K3824" s="8" t="s">
        <v>10054</v>
      </c>
      <c r="L3824" s="15">
        <v>4.5410300000000001E-2</v>
      </c>
      <c r="M3824" s="15">
        <v>0.82211999999999996</v>
      </c>
      <c r="N3824" s="15">
        <v>0.95555282631441274</v>
      </c>
    </row>
    <row r="3825" spans="1:14" x14ac:dyDescent="0.2">
      <c r="A3825" s="2" t="s">
        <v>10068</v>
      </c>
      <c r="B3825" s="15">
        <v>1196</v>
      </c>
      <c r="C3825" s="15">
        <v>7</v>
      </c>
      <c r="D3825" s="15">
        <v>111795300</v>
      </c>
      <c r="E3825" s="15">
        <v>113339386</v>
      </c>
      <c r="F3825" s="15">
        <v>3475</v>
      </c>
      <c r="G3825" s="8" t="s">
        <v>12324</v>
      </c>
      <c r="H3825" s="24" t="s">
        <v>6565</v>
      </c>
      <c r="I3825" s="25" t="s">
        <v>6475</v>
      </c>
      <c r="J3825" s="8" t="s">
        <v>6566</v>
      </c>
      <c r="K3825" s="8" t="s">
        <v>10054</v>
      </c>
      <c r="L3825" s="15">
        <v>-5.7865899999999998E-2</v>
      </c>
      <c r="M3825" s="15">
        <v>0.82352300000000001</v>
      </c>
      <c r="N3825" s="15">
        <v>0.95555282631441274</v>
      </c>
    </row>
    <row r="3826" spans="1:14" x14ac:dyDescent="0.2">
      <c r="A3826" s="2" t="s">
        <v>10068</v>
      </c>
      <c r="B3826" s="15">
        <v>1359</v>
      </c>
      <c r="C3826" s="15">
        <v>8</v>
      </c>
      <c r="D3826" s="15">
        <v>134509449</v>
      </c>
      <c r="E3826" s="15">
        <v>135313673</v>
      </c>
      <c r="F3826" s="15">
        <v>2949</v>
      </c>
      <c r="G3826" s="8" t="s">
        <v>12324</v>
      </c>
      <c r="H3826" s="24" t="s">
        <v>6565</v>
      </c>
      <c r="I3826" s="25" t="s">
        <v>6475</v>
      </c>
      <c r="J3826" s="8" t="s">
        <v>6566</v>
      </c>
      <c r="K3826" s="8" t="s">
        <v>10054</v>
      </c>
      <c r="L3826" s="15">
        <v>3.8640599999999997E-2</v>
      </c>
      <c r="M3826" s="15">
        <v>0.82413499999999995</v>
      </c>
      <c r="N3826" s="15">
        <v>0.95581556616108787</v>
      </c>
    </row>
    <row r="3827" spans="1:14" x14ac:dyDescent="0.2">
      <c r="A3827" s="2" t="s">
        <v>10068</v>
      </c>
      <c r="B3827" s="15">
        <v>1104</v>
      </c>
      <c r="C3827" s="15">
        <v>7</v>
      </c>
      <c r="D3827" s="15">
        <v>7926501</v>
      </c>
      <c r="E3827" s="15">
        <v>8718351</v>
      </c>
      <c r="F3827" s="15">
        <v>2800</v>
      </c>
      <c r="G3827" s="8" t="s">
        <v>12324</v>
      </c>
      <c r="H3827" s="24" t="s">
        <v>494</v>
      </c>
      <c r="I3827" s="25">
        <v>25920</v>
      </c>
      <c r="J3827" s="8" t="s">
        <v>496</v>
      </c>
      <c r="K3827" s="8" t="s">
        <v>10040</v>
      </c>
      <c r="L3827" s="15">
        <v>4.7604599999999997E-2</v>
      </c>
      <c r="M3827" s="15">
        <v>0.82435800000000004</v>
      </c>
      <c r="N3827" s="15">
        <v>0.955824243137255</v>
      </c>
    </row>
    <row r="3828" spans="1:14" x14ac:dyDescent="0.2">
      <c r="A3828" s="2" t="s">
        <v>10068</v>
      </c>
      <c r="B3828" s="15">
        <v>134</v>
      </c>
      <c r="C3828" s="15">
        <v>1</v>
      </c>
      <c r="D3828" s="15">
        <v>177746473</v>
      </c>
      <c r="E3828" s="15">
        <v>178915113</v>
      </c>
      <c r="F3828" s="15">
        <v>2448</v>
      </c>
      <c r="G3828" s="8" t="s">
        <v>12324</v>
      </c>
      <c r="H3828" s="24" t="s">
        <v>599</v>
      </c>
      <c r="I3828" s="25">
        <v>26562</v>
      </c>
      <c r="J3828" s="8" t="s">
        <v>601</v>
      </c>
      <c r="K3828" s="8" t="s">
        <v>10040</v>
      </c>
      <c r="L3828" s="15">
        <v>-4.37366E-2</v>
      </c>
      <c r="M3828" s="15">
        <v>0.82475299999999996</v>
      </c>
      <c r="N3828" s="15">
        <v>0.95603229351803443</v>
      </c>
    </row>
    <row r="3829" spans="1:14" x14ac:dyDescent="0.2">
      <c r="A3829" s="2" t="s">
        <v>10068</v>
      </c>
      <c r="B3829" s="15">
        <v>1057</v>
      </c>
      <c r="C3829" s="15">
        <v>6</v>
      </c>
      <c r="D3829" s="15">
        <v>129850179</v>
      </c>
      <c r="E3829" s="15">
        <v>130550137</v>
      </c>
      <c r="F3829" s="15">
        <v>2133</v>
      </c>
      <c r="G3829" s="8" t="s">
        <v>12324</v>
      </c>
      <c r="H3829" s="24" t="s">
        <v>6565</v>
      </c>
      <c r="I3829" s="25" t="s">
        <v>6475</v>
      </c>
      <c r="J3829" s="8" t="s">
        <v>6566</v>
      </c>
      <c r="K3829" s="8" t="s">
        <v>10054</v>
      </c>
      <c r="L3829" s="15">
        <v>-7.9486000000000001E-2</v>
      </c>
      <c r="M3829" s="15">
        <v>0.825237</v>
      </c>
      <c r="N3829" s="15">
        <v>0.95634337470603603</v>
      </c>
    </row>
    <row r="3830" spans="1:14" x14ac:dyDescent="0.2">
      <c r="A3830" s="2" t="s">
        <v>10068</v>
      </c>
      <c r="B3830" s="15">
        <v>725</v>
      </c>
      <c r="C3830" s="15">
        <v>4</v>
      </c>
      <c r="D3830" s="15">
        <v>137400032</v>
      </c>
      <c r="E3830" s="15">
        <v>138537344</v>
      </c>
      <c r="F3830" s="15">
        <v>3944</v>
      </c>
      <c r="G3830" s="8" t="s">
        <v>12324</v>
      </c>
      <c r="H3830" s="24" t="s">
        <v>599</v>
      </c>
      <c r="I3830" s="25">
        <v>26562</v>
      </c>
      <c r="J3830" s="8" t="s">
        <v>601</v>
      </c>
      <c r="K3830" s="8" t="s">
        <v>10040</v>
      </c>
      <c r="L3830" s="15">
        <v>5.2558500000000001E-2</v>
      </c>
      <c r="M3830" s="15">
        <v>0.827264</v>
      </c>
      <c r="N3830" s="15">
        <v>0.95697200495049517</v>
      </c>
    </row>
    <row r="3831" spans="1:14" x14ac:dyDescent="0.2">
      <c r="A3831" s="2" t="s">
        <v>10068</v>
      </c>
      <c r="B3831" s="15">
        <v>1413</v>
      </c>
      <c r="C3831" s="15">
        <v>9</v>
      </c>
      <c r="D3831" s="15">
        <v>36749274</v>
      </c>
      <c r="E3831" s="15">
        <v>37687112</v>
      </c>
      <c r="F3831" s="15">
        <v>2295</v>
      </c>
      <c r="G3831" s="8" t="s">
        <v>12324</v>
      </c>
      <c r="H3831" s="24" t="s">
        <v>599</v>
      </c>
      <c r="I3831" s="25">
        <v>26562</v>
      </c>
      <c r="J3831" s="8" t="s">
        <v>601</v>
      </c>
      <c r="K3831" s="8" t="s">
        <v>10040</v>
      </c>
      <c r="L3831" s="15">
        <v>7.5970700000000002E-2</v>
      </c>
      <c r="M3831" s="15">
        <v>0.82787299999999997</v>
      </c>
      <c r="N3831" s="15">
        <v>0.95697200495049517</v>
      </c>
    </row>
    <row r="3832" spans="1:14" x14ac:dyDescent="0.2">
      <c r="A3832" s="2" t="s">
        <v>10069</v>
      </c>
      <c r="B3832" s="15">
        <v>1422</v>
      </c>
      <c r="C3832" s="15">
        <v>9</v>
      </c>
      <c r="D3832" s="15">
        <v>76197745</v>
      </c>
      <c r="E3832" s="15">
        <v>77862308</v>
      </c>
      <c r="F3832" s="15">
        <v>2374</v>
      </c>
      <c r="G3832" s="8" t="s">
        <v>12324</v>
      </c>
      <c r="H3832" s="24" t="s">
        <v>662</v>
      </c>
      <c r="I3832" s="25" t="s">
        <v>663</v>
      </c>
      <c r="J3832" s="8" t="s">
        <v>664</v>
      </c>
      <c r="K3832" s="8" t="s">
        <v>10040</v>
      </c>
      <c r="L3832" s="15">
        <v>-8.16022E-2</v>
      </c>
      <c r="M3832" s="15">
        <v>0.82650199999999996</v>
      </c>
      <c r="N3832" s="15">
        <v>0.95697200495049517</v>
      </c>
    </row>
    <row r="3833" spans="1:14" x14ac:dyDescent="0.2">
      <c r="A3833" s="2" t="s">
        <v>10069</v>
      </c>
      <c r="B3833" s="15">
        <v>1747</v>
      </c>
      <c r="C3833" s="15">
        <v>12</v>
      </c>
      <c r="D3833" s="15">
        <v>6948955</v>
      </c>
      <c r="E3833" s="15">
        <v>8123317</v>
      </c>
      <c r="F3833" s="15">
        <v>1925</v>
      </c>
      <c r="G3833" s="8" t="s">
        <v>12324</v>
      </c>
      <c r="H3833" s="24" t="s">
        <v>662</v>
      </c>
      <c r="I3833" s="25" t="s">
        <v>663</v>
      </c>
      <c r="J3833" s="8" t="s">
        <v>664</v>
      </c>
      <c r="K3833" s="8" t="s">
        <v>10040</v>
      </c>
      <c r="L3833" s="15">
        <v>-7.1353899999999998E-2</v>
      </c>
      <c r="M3833" s="15">
        <v>0.82650699999999999</v>
      </c>
      <c r="N3833" s="15">
        <v>0.95697200495049517</v>
      </c>
    </row>
    <row r="3834" spans="1:14" x14ac:dyDescent="0.2">
      <c r="A3834" s="2" t="s">
        <v>10069</v>
      </c>
      <c r="B3834" s="15">
        <v>1725</v>
      </c>
      <c r="C3834" s="15">
        <v>11</v>
      </c>
      <c r="D3834" s="15">
        <v>120064529</v>
      </c>
      <c r="E3834" s="15">
        <v>121208186</v>
      </c>
      <c r="F3834" s="15">
        <v>1867</v>
      </c>
      <c r="G3834" s="8" t="s">
        <v>12324</v>
      </c>
      <c r="H3834" s="24" t="s">
        <v>662</v>
      </c>
      <c r="I3834" s="25" t="s">
        <v>663</v>
      </c>
      <c r="J3834" s="8" t="s">
        <v>664</v>
      </c>
      <c r="K3834" s="8" t="s">
        <v>10040</v>
      </c>
      <c r="L3834" s="15">
        <v>-7.6964000000000005E-2</v>
      </c>
      <c r="M3834" s="15">
        <v>0.82815300000000003</v>
      </c>
      <c r="N3834" s="15">
        <v>0.95697200495049517</v>
      </c>
    </row>
    <row r="3835" spans="1:14" x14ac:dyDescent="0.2">
      <c r="A3835" s="2" t="s">
        <v>10068</v>
      </c>
      <c r="B3835" s="15">
        <v>489</v>
      </c>
      <c r="C3835" s="15">
        <v>3</v>
      </c>
      <c r="D3835" s="15">
        <v>77507833</v>
      </c>
      <c r="E3835" s="15">
        <v>79023360</v>
      </c>
      <c r="F3835" s="15">
        <v>3255</v>
      </c>
      <c r="G3835" s="8" t="s">
        <v>12324</v>
      </c>
      <c r="H3835" s="24" t="s">
        <v>1259</v>
      </c>
      <c r="I3835" s="25">
        <v>27096</v>
      </c>
      <c r="J3835" s="8" t="s">
        <v>1261</v>
      </c>
      <c r="K3835" s="8" t="s">
        <v>10040</v>
      </c>
      <c r="L3835" s="15">
        <v>-7.4439199999999997E-2</v>
      </c>
      <c r="M3835" s="15">
        <v>0.82617600000000002</v>
      </c>
      <c r="N3835" s="15">
        <v>0.95697200495049517</v>
      </c>
    </row>
    <row r="3836" spans="1:14" x14ac:dyDescent="0.2">
      <c r="A3836" s="2" t="s">
        <v>10068</v>
      </c>
      <c r="B3836" s="15">
        <v>1064</v>
      </c>
      <c r="C3836" s="15">
        <v>6</v>
      </c>
      <c r="D3836" s="15">
        <v>138825722</v>
      </c>
      <c r="E3836" s="15">
        <v>139716713</v>
      </c>
      <c r="F3836" s="15">
        <v>2452</v>
      </c>
      <c r="G3836" s="8" t="s">
        <v>12324</v>
      </c>
      <c r="H3836" s="24" t="s">
        <v>1259</v>
      </c>
      <c r="I3836" s="25">
        <v>27096</v>
      </c>
      <c r="J3836" s="8" t="s">
        <v>1261</v>
      </c>
      <c r="K3836" s="8" t="s">
        <v>10040</v>
      </c>
      <c r="L3836" s="15">
        <v>-3.4867099999999998E-2</v>
      </c>
      <c r="M3836" s="15">
        <v>0.82755999999999996</v>
      </c>
      <c r="N3836" s="15">
        <v>0.95697200495049517</v>
      </c>
    </row>
    <row r="3837" spans="1:14" x14ac:dyDescent="0.2">
      <c r="A3837" s="2" t="s">
        <v>10068</v>
      </c>
      <c r="B3837" s="15">
        <v>2202</v>
      </c>
      <c r="C3837" s="15">
        <v>17</v>
      </c>
      <c r="D3837" s="15">
        <v>36116885</v>
      </c>
      <c r="E3837" s="15">
        <v>37361178</v>
      </c>
      <c r="F3837" s="15">
        <v>2539</v>
      </c>
      <c r="G3837" s="8" t="s">
        <v>12324</v>
      </c>
      <c r="H3837" s="24" t="s">
        <v>1259</v>
      </c>
      <c r="I3837" s="25">
        <v>27096</v>
      </c>
      <c r="J3837" s="8" t="s">
        <v>1261</v>
      </c>
      <c r="K3837" s="8" t="s">
        <v>10040</v>
      </c>
      <c r="L3837" s="15">
        <v>4.6721100000000002E-2</v>
      </c>
      <c r="M3837" s="15">
        <v>0.82769499999999996</v>
      </c>
      <c r="N3837" s="15">
        <v>0.95697200495049517</v>
      </c>
    </row>
    <row r="3838" spans="1:14" x14ac:dyDescent="0.2">
      <c r="A3838" s="2" t="s">
        <v>10068</v>
      </c>
      <c r="B3838" s="15">
        <v>532</v>
      </c>
      <c r="C3838" s="15">
        <v>3</v>
      </c>
      <c r="D3838" s="15">
        <v>125992651</v>
      </c>
      <c r="E3838" s="15">
        <v>127495173</v>
      </c>
      <c r="F3838" s="15">
        <v>4052</v>
      </c>
      <c r="G3838" s="8" t="s">
        <v>12324</v>
      </c>
      <c r="H3838" s="24" t="s">
        <v>1259</v>
      </c>
      <c r="I3838" s="25">
        <v>27096</v>
      </c>
      <c r="J3838" s="8" t="s">
        <v>1261</v>
      </c>
      <c r="K3838" s="8" t="s">
        <v>10040</v>
      </c>
      <c r="L3838" s="15">
        <v>5.5514399999999998E-2</v>
      </c>
      <c r="M3838" s="15">
        <v>0.82801400000000003</v>
      </c>
      <c r="N3838" s="15">
        <v>0.95697200495049517</v>
      </c>
    </row>
    <row r="3839" spans="1:14" x14ac:dyDescent="0.2">
      <c r="A3839" s="2" t="s">
        <v>10066</v>
      </c>
      <c r="B3839" s="15">
        <v>2321</v>
      </c>
      <c r="C3839" s="15">
        <v>19</v>
      </c>
      <c r="D3839" s="15">
        <v>13968320</v>
      </c>
      <c r="E3839" s="15">
        <v>14891100</v>
      </c>
      <c r="F3839" s="15">
        <v>2338</v>
      </c>
      <c r="G3839" s="8" t="s">
        <v>12324</v>
      </c>
      <c r="H3839" s="24" t="s">
        <v>6008</v>
      </c>
      <c r="I3839" s="25" t="s">
        <v>6009</v>
      </c>
      <c r="J3839" s="8" t="s">
        <v>6010</v>
      </c>
      <c r="K3839" s="8" t="s">
        <v>10051</v>
      </c>
      <c r="L3839" s="15">
        <v>3.9260999999999997E-2</v>
      </c>
      <c r="M3839" s="15">
        <v>0.82749600000000001</v>
      </c>
      <c r="N3839" s="15">
        <v>0.95697200495049517</v>
      </c>
    </row>
    <row r="3840" spans="1:14" x14ac:dyDescent="0.2">
      <c r="A3840" s="2" t="s">
        <v>10068</v>
      </c>
      <c r="B3840" s="15">
        <v>429</v>
      </c>
      <c r="C3840" s="15">
        <v>3</v>
      </c>
      <c r="D3840" s="15">
        <v>6421146</v>
      </c>
      <c r="E3840" s="15">
        <v>7529554</v>
      </c>
      <c r="F3840" s="15">
        <v>3529</v>
      </c>
      <c r="G3840" s="8" t="s">
        <v>12324</v>
      </c>
      <c r="H3840" s="24" t="s">
        <v>6565</v>
      </c>
      <c r="I3840" s="25" t="s">
        <v>6475</v>
      </c>
      <c r="J3840" s="8" t="s">
        <v>6566</v>
      </c>
      <c r="K3840" s="8" t="s">
        <v>10054</v>
      </c>
      <c r="L3840" s="15">
        <v>-3.4542799999999999E-2</v>
      </c>
      <c r="M3840" s="15">
        <v>0.82765699999999998</v>
      </c>
      <c r="N3840" s="15">
        <v>0.95697200495049517</v>
      </c>
    </row>
    <row r="3841" spans="1:14" x14ac:dyDescent="0.2">
      <c r="A3841" s="2" t="s">
        <v>10068</v>
      </c>
      <c r="B3841" s="15">
        <v>449</v>
      </c>
      <c r="C3841" s="15">
        <v>3</v>
      </c>
      <c r="D3841" s="15">
        <v>28649811</v>
      </c>
      <c r="E3841" s="15">
        <v>29877022</v>
      </c>
      <c r="F3841" s="15">
        <v>4044</v>
      </c>
      <c r="G3841" s="8" t="s">
        <v>12324</v>
      </c>
      <c r="H3841" s="24" t="s">
        <v>494</v>
      </c>
      <c r="I3841" s="25">
        <v>25920</v>
      </c>
      <c r="J3841" s="8" t="s">
        <v>496</v>
      </c>
      <c r="K3841" s="8" t="s">
        <v>10040</v>
      </c>
      <c r="L3841" s="15">
        <v>6.1148099999999997E-2</v>
      </c>
      <c r="M3841" s="15">
        <v>0.82874300000000001</v>
      </c>
      <c r="N3841" s="15">
        <v>0.95712540733992701</v>
      </c>
    </row>
    <row r="3842" spans="1:14" x14ac:dyDescent="0.2">
      <c r="A3842" s="2" t="s">
        <v>10066</v>
      </c>
      <c r="B3842" s="15">
        <v>2246</v>
      </c>
      <c r="C3842" s="15">
        <v>18</v>
      </c>
      <c r="D3842" s="15">
        <v>7862480</v>
      </c>
      <c r="E3842" s="15">
        <v>8788524</v>
      </c>
      <c r="F3842" s="15">
        <v>3047</v>
      </c>
      <c r="G3842" s="8" t="s">
        <v>12324</v>
      </c>
      <c r="H3842" s="24" t="s">
        <v>3164</v>
      </c>
      <c r="I3842" s="25" t="s">
        <v>3165</v>
      </c>
      <c r="J3842" s="8" t="s">
        <v>3166</v>
      </c>
      <c r="K3842" s="8" t="s">
        <v>10042</v>
      </c>
      <c r="L3842" s="15">
        <v>-5.63689E-2</v>
      </c>
      <c r="M3842" s="15">
        <v>0.82914900000000002</v>
      </c>
      <c r="N3842" s="15">
        <v>0.95712540733992701</v>
      </c>
    </row>
    <row r="3843" spans="1:14" x14ac:dyDescent="0.2">
      <c r="A3843" s="2" t="s">
        <v>10066</v>
      </c>
      <c r="B3843" s="15">
        <v>2251</v>
      </c>
      <c r="C3843" s="15">
        <v>18</v>
      </c>
      <c r="D3843" s="15">
        <v>12735559</v>
      </c>
      <c r="E3843" s="15">
        <v>13641479</v>
      </c>
      <c r="F3843" s="15">
        <v>2391</v>
      </c>
      <c r="G3843" s="8" t="s">
        <v>12324</v>
      </c>
      <c r="H3843" s="24" t="s">
        <v>6008</v>
      </c>
      <c r="I3843" s="25" t="s">
        <v>6009</v>
      </c>
      <c r="J3843" s="8" t="s">
        <v>6010</v>
      </c>
      <c r="K3843" s="8" t="s">
        <v>10051</v>
      </c>
      <c r="L3843" s="15">
        <v>4.2375599999999999E-2</v>
      </c>
      <c r="M3843" s="15">
        <v>0.82888300000000004</v>
      </c>
      <c r="N3843" s="15">
        <v>0.95712540733992701</v>
      </c>
    </row>
    <row r="3844" spans="1:14" x14ac:dyDescent="0.2">
      <c r="A3844" s="2" t="s">
        <v>10068</v>
      </c>
      <c r="B3844" s="15">
        <v>2154</v>
      </c>
      <c r="C3844" s="15">
        <v>16</v>
      </c>
      <c r="D3844" s="15">
        <v>75525960</v>
      </c>
      <c r="E3844" s="15">
        <v>76635467</v>
      </c>
      <c r="F3844" s="15">
        <v>3312</v>
      </c>
      <c r="G3844" s="8" t="s">
        <v>12324</v>
      </c>
      <c r="H3844" s="24" t="s">
        <v>6565</v>
      </c>
      <c r="I3844" s="25" t="s">
        <v>6475</v>
      </c>
      <c r="J3844" s="8" t="s">
        <v>6566</v>
      </c>
      <c r="K3844" s="8" t="s">
        <v>10054</v>
      </c>
      <c r="L3844" s="15">
        <v>-3.26088E-2</v>
      </c>
      <c r="M3844" s="15">
        <v>0.82899</v>
      </c>
      <c r="N3844" s="15">
        <v>0.95712540733992701</v>
      </c>
    </row>
    <row r="3845" spans="1:14" x14ac:dyDescent="0.2">
      <c r="A3845" s="2" t="s">
        <v>10068</v>
      </c>
      <c r="B3845" s="15">
        <v>730</v>
      </c>
      <c r="C3845" s="15">
        <v>4</v>
      </c>
      <c r="D3845" s="15">
        <v>144401043</v>
      </c>
      <c r="E3845" s="15">
        <v>146174871</v>
      </c>
      <c r="F3845" s="15">
        <v>3540</v>
      </c>
      <c r="G3845" s="8" t="s">
        <v>12324</v>
      </c>
      <c r="H3845" s="24" t="s">
        <v>6565</v>
      </c>
      <c r="I3845" s="25" t="s">
        <v>6475</v>
      </c>
      <c r="J3845" s="8" t="s">
        <v>6566</v>
      </c>
      <c r="K3845" s="8" t="s">
        <v>10054</v>
      </c>
      <c r="L3845" s="15">
        <v>-8.6492799999999995E-2</v>
      </c>
      <c r="M3845" s="15">
        <v>0.82990900000000001</v>
      </c>
      <c r="N3845" s="15">
        <v>0.95775342570908151</v>
      </c>
    </row>
    <row r="3846" spans="1:14" x14ac:dyDescent="0.2">
      <c r="A3846" s="2" t="s">
        <v>10068</v>
      </c>
      <c r="B3846" s="15">
        <v>2367</v>
      </c>
      <c r="C3846" s="15">
        <v>19</v>
      </c>
      <c r="D3846" s="15">
        <v>57143510</v>
      </c>
      <c r="E3846" s="15">
        <v>57959952</v>
      </c>
      <c r="F3846" s="15">
        <v>2493</v>
      </c>
      <c r="G3846" s="8" t="s">
        <v>12324</v>
      </c>
      <c r="H3846" s="24" t="s">
        <v>494</v>
      </c>
      <c r="I3846" s="25">
        <v>25920</v>
      </c>
      <c r="J3846" s="8" t="s">
        <v>496</v>
      </c>
      <c r="K3846" s="8" t="s">
        <v>10040</v>
      </c>
      <c r="L3846" s="15">
        <v>4.2545600000000003E-2</v>
      </c>
      <c r="M3846" s="15">
        <v>0.83242000000000005</v>
      </c>
      <c r="N3846" s="15">
        <v>0.95791087454920154</v>
      </c>
    </row>
    <row r="3847" spans="1:14" x14ac:dyDescent="0.2">
      <c r="A3847" s="2" t="s">
        <v>10068</v>
      </c>
      <c r="B3847" s="15">
        <v>670</v>
      </c>
      <c r="C3847" s="15">
        <v>4</v>
      </c>
      <c r="D3847" s="15">
        <v>76497359</v>
      </c>
      <c r="E3847" s="15">
        <v>78045637</v>
      </c>
      <c r="F3847" s="15">
        <v>4213</v>
      </c>
      <c r="G3847" s="8" t="s">
        <v>12324</v>
      </c>
      <c r="H3847" s="24" t="s">
        <v>494</v>
      </c>
      <c r="I3847" s="25">
        <v>25920</v>
      </c>
      <c r="J3847" s="8" t="s">
        <v>496</v>
      </c>
      <c r="K3847" s="8" t="s">
        <v>10040</v>
      </c>
      <c r="L3847" s="15">
        <v>6.4894499999999994E-2</v>
      </c>
      <c r="M3847" s="15">
        <v>0.834588</v>
      </c>
      <c r="N3847" s="15">
        <v>0.95791087454920154</v>
      </c>
    </row>
    <row r="3848" spans="1:14" x14ac:dyDescent="0.2">
      <c r="A3848" s="2" t="s">
        <v>10068</v>
      </c>
      <c r="B3848" s="15">
        <v>1090</v>
      </c>
      <c r="C3848" s="15">
        <v>6</v>
      </c>
      <c r="D3848" s="15">
        <v>166853326</v>
      </c>
      <c r="E3848" s="15">
        <v>167714865</v>
      </c>
      <c r="F3848" s="15">
        <v>3186</v>
      </c>
      <c r="G3848" s="8" t="s">
        <v>12324</v>
      </c>
      <c r="H3848" s="24" t="s">
        <v>494</v>
      </c>
      <c r="I3848" s="25">
        <v>25920</v>
      </c>
      <c r="J3848" s="8" t="s">
        <v>496</v>
      </c>
      <c r="K3848" s="8" t="s">
        <v>10040</v>
      </c>
      <c r="L3848" s="15">
        <v>-4.1917200000000002E-2</v>
      </c>
      <c r="M3848" s="15">
        <v>0.83776700000000004</v>
      </c>
      <c r="N3848" s="15">
        <v>0.95791087454920154</v>
      </c>
    </row>
    <row r="3849" spans="1:14" x14ac:dyDescent="0.2">
      <c r="A3849" s="2" t="s">
        <v>10068</v>
      </c>
      <c r="B3849" s="15">
        <v>2200</v>
      </c>
      <c r="C3849" s="15">
        <v>17</v>
      </c>
      <c r="D3849" s="15">
        <v>33614190</v>
      </c>
      <c r="E3849" s="15">
        <v>34474611</v>
      </c>
      <c r="F3849" s="15">
        <v>2411</v>
      </c>
      <c r="G3849" s="8" t="s">
        <v>12324</v>
      </c>
      <c r="H3849" s="24" t="s">
        <v>494</v>
      </c>
      <c r="I3849" s="25">
        <v>25920</v>
      </c>
      <c r="J3849" s="8" t="s">
        <v>496</v>
      </c>
      <c r="K3849" s="8" t="s">
        <v>10040</v>
      </c>
      <c r="L3849" s="15">
        <v>2.62195E-2</v>
      </c>
      <c r="M3849" s="15">
        <v>0.83832899999999999</v>
      </c>
      <c r="N3849" s="15">
        <v>0.95791087454920154</v>
      </c>
    </row>
    <row r="3850" spans="1:14" x14ac:dyDescent="0.2">
      <c r="A3850" s="2" t="s">
        <v>10068</v>
      </c>
      <c r="B3850" s="15">
        <v>174</v>
      </c>
      <c r="C3850" s="15">
        <v>1</v>
      </c>
      <c r="D3850" s="15">
        <v>223654903</v>
      </c>
      <c r="E3850" s="15">
        <v>224943337</v>
      </c>
      <c r="F3850" s="15">
        <v>2794</v>
      </c>
      <c r="G3850" s="8" t="s">
        <v>12324</v>
      </c>
      <c r="H3850" s="24" t="s">
        <v>494</v>
      </c>
      <c r="I3850" s="25">
        <v>25920</v>
      </c>
      <c r="J3850" s="8" t="s">
        <v>496</v>
      </c>
      <c r="K3850" s="8" t="s">
        <v>10040</v>
      </c>
      <c r="L3850" s="15">
        <v>6.97015E-2</v>
      </c>
      <c r="M3850" s="15">
        <v>0.83844700000000005</v>
      </c>
      <c r="N3850" s="15">
        <v>0.95791087454920154</v>
      </c>
    </row>
    <row r="3851" spans="1:14" x14ac:dyDescent="0.2">
      <c r="A3851" s="2" t="s">
        <v>10068</v>
      </c>
      <c r="B3851" s="15">
        <v>585</v>
      </c>
      <c r="C3851" s="15">
        <v>3</v>
      </c>
      <c r="D3851" s="15">
        <v>187939200</v>
      </c>
      <c r="E3851" s="15">
        <v>189451805</v>
      </c>
      <c r="F3851" s="15">
        <v>4012</v>
      </c>
      <c r="G3851" s="8" t="s">
        <v>12324</v>
      </c>
      <c r="H3851" s="24" t="s">
        <v>599</v>
      </c>
      <c r="I3851" s="25">
        <v>26562</v>
      </c>
      <c r="J3851" s="8" t="s">
        <v>601</v>
      </c>
      <c r="K3851" s="8" t="s">
        <v>10040</v>
      </c>
      <c r="L3851" s="15">
        <v>-6.0230499999999999E-2</v>
      </c>
      <c r="M3851" s="15">
        <v>0.83127499999999999</v>
      </c>
      <c r="N3851" s="15">
        <v>0.95791087454920154</v>
      </c>
    </row>
    <row r="3852" spans="1:14" x14ac:dyDescent="0.2">
      <c r="A3852" s="2" t="s">
        <v>10068</v>
      </c>
      <c r="B3852" s="15">
        <v>758</v>
      </c>
      <c r="C3852" s="15">
        <v>4</v>
      </c>
      <c r="D3852" s="15">
        <v>175959698</v>
      </c>
      <c r="E3852" s="15">
        <v>177129678</v>
      </c>
      <c r="F3852" s="15">
        <v>3054</v>
      </c>
      <c r="G3852" s="8" t="s">
        <v>12324</v>
      </c>
      <c r="H3852" s="24" t="s">
        <v>599</v>
      </c>
      <c r="I3852" s="25">
        <v>26562</v>
      </c>
      <c r="J3852" s="8" t="s">
        <v>601</v>
      </c>
      <c r="K3852" s="8" t="s">
        <v>10040</v>
      </c>
      <c r="L3852" s="15">
        <v>-5.4132899999999998E-2</v>
      </c>
      <c r="M3852" s="15">
        <v>0.83520000000000005</v>
      </c>
      <c r="N3852" s="15">
        <v>0.95791087454920154</v>
      </c>
    </row>
    <row r="3853" spans="1:14" x14ac:dyDescent="0.2">
      <c r="A3853" s="2" t="s">
        <v>10068</v>
      </c>
      <c r="B3853" s="15">
        <v>1993</v>
      </c>
      <c r="C3853" s="15">
        <v>14</v>
      </c>
      <c r="D3853" s="15">
        <v>61652817</v>
      </c>
      <c r="E3853" s="15">
        <v>62717985</v>
      </c>
      <c r="F3853" s="15">
        <v>2776</v>
      </c>
      <c r="G3853" s="8" t="s">
        <v>12324</v>
      </c>
      <c r="H3853" s="24" t="s">
        <v>599</v>
      </c>
      <c r="I3853" s="25">
        <v>26562</v>
      </c>
      <c r="J3853" s="8" t="s">
        <v>601</v>
      </c>
      <c r="K3853" s="8" t="s">
        <v>10040</v>
      </c>
      <c r="L3853" s="15">
        <v>3.0259100000000001E-2</v>
      </c>
      <c r="M3853" s="15">
        <v>0.83732099999999998</v>
      </c>
      <c r="N3853" s="15">
        <v>0.95791087454920154</v>
      </c>
    </row>
    <row r="3854" spans="1:14" x14ac:dyDescent="0.2">
      <c r="A3854" s="2" t="s">
        <v>10069</v>
      </c>
      <c r="B3854" s="15">
        <v>2240</v>
      </c>
      <c r="C3854" s="15">
        <v>18</v>
      </c>
      <c r="D3854" s="15">
        <v>1940212</v>
      </c>
      <c r="E3854" s="15">
        <v>2839842</v>
      </c>
      <c r="F3854" s="15">
        <v>2182</v>
      </c>
      <c r="G3854" s="8" t="s">
        <v>12324</v>
      </c>
      <c r="H3854" s="24" t="s">
        <v>662</v>
      </c>
      <c r="I3854" s="25" t="s">
        <v>663</v>
      </c>
      <c r="J3854" s="8" t="s">
        <v>664</v>
      </c>
      <c r="K3854" s="8" t="s">
        <v>10040</v>
      </c>
      <c r="L3854" s="15">
        <v>7.2370100000000007E-2</v>
      </c>
      <c r="M3854" s="15">
        <v>0.83410799999999996</v>
      </c>
      <c r="N3854" s="15">
        <v>0.95791087454920154</v>
      </c>
    </row>
    <row r="3855" spans="1:14" x14ac:dyDescent="0.2">
      <c r="A3855" s="2" t="s">
        <v>10069</v>
      </c>
      <c r="B3855" s="15">
        <v>1454</v>
      </c>
      <c r="C3855" s="15">
        <v>9</v>
      </c>
      <c r="D3855" s="15">
        <v>110630151</v>
      </c>
      <c r="E3855" s="15">
        <v>111368107</v>
      </c>
      <c r="F3855" s="15">
        <v>1555</v>
      </c>
      <c r="G3855" s="8" t="s">
        <v>12324</v>
      </c>
      <c r="H3855" s="24" t="s">
        <v>662</v>
      </c>
      <c r="I3855" s="25" t="s">
        <v>663</v>
      </c>
      <c r="J3855" s="8" t="s">
        <v>664</v>
      </c>
      <c r="K3855" s="8" t="s">
        <v>10040</v>
      </c>
      <c r="L3855" s="15">
        <v>-8.1858200000000006E-2</v>
      </c>
      <c r="M3855" s="15">
        <v>0.83746699999999996</v>
      </c>
      <c r="N3855" s="15">
        <v>0.95791087454920154</v>
      </c>
    </row>
    <row r="3856" spans="1:14" x14ac:dyDescent="0.2">
      <c r="A3856" s="2" t="s">
        <v>10069</v>
      </c>
      <c r="B3856" s="15">
        <v>1062</v>
      </c>
      <c r="C3856" s="15">
        <v>6</v>
      </c>
      <c r="D3856" s="15">
        <v>135544084</v>
      </c>
      <c r="E3856" s="15">
        <v>137553212</v>
      </c>
      <c r="F3856" s="15">
        <v>1633</v>
      </c>
      <c r="G3856" s="8" t="s">
        <v>12324</v>
      </c>
      <c r="H3856" s="24" t="s">
        <v>662</v>
      </c>
      <c r="I3856" s="25" t="s">
        <v>663</v>
      </c>
      <c r="J3856" s="8" t="s">
        <v>664</v>
      </c>
      <c r="K3856" s="8" t="s">
        <v>10040</v>
      </c>
      <c r="L3856" s="15">
        <v>7.5287499999999993E-2</v>
      </c>
      <c r="M3856" s="15">
        <v>0.83758900000000003</v>
      </c>
      <c r="N3856" s="15">
        <v>0.95791087454920154</v>
      </c>
    </row>
    <row r="3857" spans="1:14" x14ac:dyDescent="0.2">
      <c r="A3857" s="2" t="s">
        <v>10069</v>
      </c>
      <c r="B3857" s="15">
        <v>1164</v>
      </c>
      <c r="C3857" s="15">
        <v>7</v>
      </c>
      <c r="D3857" s="15">
        <v>70144615</v>
      </c>
      <c r="E3857" s="15">
        <v>71215741</v>
      </c>
      <c r="F3857" s="15">
        <v>2272</v>
      </c>
      <c r="G3857" s="8" t="s">
        <v>12324</v>
      </c>
      <c r="H3857" s="24" t="s">
        <v>662</v>
      </c>
      <c r="I3857" s="25" t="s">
        <v>663</v>
      </c>
      <c r="J3857" s="8" t="s">
        <v>664</v>
      </c>
      <c r="K3857" s="8" t="s">
        <v>10040</v>
      </c>
      <c r="L3857" s="15">
        <v>-6.9497699999999996E-2</v>
      </c>
      <c r="M3857" s="15">
        <v>0.83810300000000004</v>
      </c>
      <c r="N3857" s="15">
        <v>0.95791087454920154</v>
      </c>
    </row>
    <row r="3858" spans="1:14" x14ac:dyDescent="0.2">
      <c r="A3858" s="2" t="s">
        <v>10068</v>
      </c>
      <c r="B3858" s="15">
        <v>2184</v>
      </c>
      <c r="C3858" s="15">
        <v>17</v>
      </c>
      <c r="D3858" s="15">
        <v>10572618</v>
      </c>
      <c r="E3858" s="15">
        <v>11778164</v>
      </c>
      <c r="F3858" s="15">
        <v>3178</v>
      </c>
      <c r="G3858" s="8" t="s">
        <v>12324</v>
      </c>
      <c r="H3858" s="24" t="s">
        <v>1259</v>
      </c>
      <c r="I3858" s="25">
        <v>27096</v>
      </c>
      <c r="J3858" s="8" t="s">
        <v>1261</v>
      </c>
      <c r="K3858" s="8" t="s">
        <v>10040</v>
      </c>
      <c r="L3858" s="15">
        <v>-3.9725900000000001E-2</v>
      </c>
      <c r="M3858" s="15">
        <v>0.83085399999999998</v>
      </c>
      <c r="N3858" s="15">
        <v>0.95791087454920154</v>
      </c>
    </row>
    <row r="3859" spans="1:14" x14ac:dyDescent="0.2">
      <c r="A3859" s="2" t="s">
        <v>10068</v>
      </c>
      <c r="B3859" s="15">
        <v>889</v>
      </c>
      <c r="C3859" s="15">
        <v>5</v>
      </c>
      <c r="D3859" s="15">
        <v>134556571</v>
      </c>
      <c r="E3859" s="15">
        <v>135344943</v>
      </c>
      <c r="F3859" s="15">
        <v>2280</v>
      </c>
      <c r="G3859" s="8" t="s">
        <v>12324</v>
      </c>
      <c r="H3859" s="24" t="s">
        <v>1259</v>
      </c>
      <c r="I3859" s="25">
        <v>27096</v>
      </c>
      <c r="J3859" s="8" t="s">
        <v>1261</v>
      </c>
      <c r="K3859" s="8" t="s">
        <v>10040</v>
      </c>
      <c r="L3859" s="15">
        <v>-3.0494299999999998E-2</v>
      </c>
      <c r="M3859" s="15">
        <v>0.83094599999999996</v>
      </c>
      <c r="N3859" s="15">
        <v>0.95791087454920154</v>
      </c>
    </row>
    <row r="3860" spans="1:14" x14ac:dyDescent="0.2">
      <c r="A3860" s="2" t="s">
        <v>10068</v>
      </c>
      <c r="B3860" s="15">
        <v>2468</v>
      </c>
      <c r="C3860" s="15">
        <v>22</v>
      </c>
      <c r="D3860" s="15">
        <v>23143365</v>
      </c>
      <c r="E3860" s="15">
        <v>23950732</v>
      </c>
      <c r="F3860" s="15">
        <v>2599</v>
      </c>
      <c r="G3860" s="8" t="s">
        <v>12324</v>
      </c>
      <c r="H3860" s="24" t="s">
        <v>1259</v>
      </c>
      <c r="I3860" s="25">
        <v>27096</v>
      </c>
      <c r="J3860" s="8" t="s">
        <v>1261</v>
      </c>
      <c r="K3860" s="8" t="s">
        <v>10040</v>
      </c>
      <c r="L3860" s="15">
        <v>-3.5077900000000002E-2</v>
      </c>
      <c r="M3860" s="15">
        <v>0.83280600000000005</v>
      </c>
      <c r="N3860" s="15">
        <v>0.95791087454920154</v>
      </c>
    </row>
    <row r="3861" spans="1:14" x14ac:dyDescent="0.2">
      <c r="A3861" s="2" t="s">
        <v>10068</v>
      </c>
      <c r="B3861" s="15">
        <v>867</v>
      </c>
      <c r="C3861" s="15">
        <v>5</v>
      </c>
      <c r="D3861" s="15">
        <v>109606906</v>
      </c>
      <c r="E3861" s="15">
        <v>110819517</v>
      </c>
      <c r="F3861" s="15">
        <v>2696</v>
      </c>
      <c r="G3861" s="8" t="s">
        <v>12324</v>
      </c>
      <c r="H3861" s="24" t="s">
        <v>1259</v>
      </c>
      <c r="I3861" s="25">
        <v>27096</v>
      </c>
      <c r="J3861" s="8" t="s">
        <v>1261</v>
      </c>
      <c r="K3861" s="8" t="s">
        <v>10040</v>
      </c>
      <c r="L3861" s="15">
        <v>-5.1180400000000001E-2</v>
      </c>
      <c r="M3861" s="15">
        <v>0.835198</v>
      </c>
      <c r="N3861" s="15">
        <v>0.95791087454920154</v>
      </c>
    </row>
    <row r="3862" spans="1:14" x14ac:dyDescent="0.2">
      <c r="A3862" s="2" t="s">
        <v>10068</v>
      </c>
      <c r="B3862" s="15">
        <v>385</v>
      </c>
      <c r="C3862" s="15">
        <v>2</v>
      </c>
      <c r="D3862" s="15">
        <v>207726595</v>
      </c>
      <c r="E3862" s="15">
        <v>208674588</v>
      </c>
      <c r="F3862" s="15">
        <v>2241</v>
      </c>
      <c r="G3862" s="8" t="s">
        <v>12324</v>
      </c>
      <c r="H3862" s="24" t="s">
        <v>1259</v>
      </c>
      <c r="I3862" s="25">
        <v>27096</v>
      </c>
      <c r="J3862" s="8" t="s">
        <v>1261</v>
      </c>
      <c r="K3862" s="8" t="s">
        <v>10040</v>
      </c>
      <c r="L3862" s="15">
        <v>4.6351999999999997E-2</v>
      </c>
      <c r="M3862" s="15">
        <v>0.83765599999999996</v>
      </c>
      <c r="N3862" s="15">
        <v>0.95791087454920154</v>
      </c>
    </row>
    <row r="3863" spans="1:14" x14ac:dyDescent="0.2">
      <c r="A3863" s="2" t="s">
        <v>10066</v>
      </c>
      <c r="B3863" s="15">
        <v>1093</v>
      </c>
      <c r="C3863" s="15">
        <v>6</v>
      </c>
      <c r="D3863" s="15">
        <v>169667887</v>
      </c>
      <c r="E3863" s="15">
        <v>171053405</v>
      </c>
      <c r="F3863" s="15">
        <v>3857</v>
      </c>
      <c r="G3863" s="8" t="s">
        <v>12324</v>
      </c>
      <c r="H3863" s="24" t="s">
        <v>3164</v>
      </c>
      <c r="I3863" s="25" t="s">
        <v>3165</v>
      </c>
      <c r="J3863" s="8" t="s">
        <v>3166</v>
      </c>
      <c r="K3863" s="8" t="s">
        <v>10042</v>
      </c>
      <c r="L3863" s="15">
        <v>-5.5054600000000002E-2</v>
      </c>
      <c r="M3863" s="15">
        <v>0.83190600000000003</v>
      </c>
      <c r="N3863" s="15">
        <v>0.95791087454920154</v>
      </c>
    </row>
    <row r="3864" spans="1:14" x14ac:dyDescent="0.2">
      <c r="A3864" s="2" t="s">
        <v>10066</v>
      </c>
      <c r="B3864" s="15">
        <v>595</v>
      </c>
      <c r="C3864" s="15">
        <v>3</v>
      </c>
      <c r="D3864" s="15">
        <v>197147991</v>
      </c>
      <c r="E3864" s="15">
        <v>197962380</v>
      </c>
      <c r="F3864" s="15">
        <v>1913</v>
      </c>
      <c r="G3864" s="8" t="s">
        <v>12324</v>
      </c>
      <c r="H3864" s="24" t="s">
        <v>3164</v>
      </c>
      <c r="I3864" s="25" t="s">
        <v>3165</v>
      </c>
      <c r="J3864" s="8" t="s">
        <v>3166</v>
      </c>
      <c r="K3864" s="8" t="s">
        <v>10042</v>
      </c>
      <c r="L3864" s="15">
        <v>-4.0178100000000001E-2</v>
      </c>
      <c r="M3864" s="15">
        <v>0.83367199999999997</v>
      </c>
      <c r="N3864" s="15">
        <v>0.95791087454920154</v>
      </c>
    </row>
    <row r="3865" spans="1:14" x14ac:dyDescent="0.2">
      <c r="A3865" s="2" t="s">
        <v>10066</v>
      </c>
      <c r="B3865" s="15">
        <v>2304</v>
      </c>
      <c r="C3865" s="15">
        <v>18</v>
      </c>
      <c r="D3865" s="15">
        <v>76231686</v>
      </c>
      <c r="E3865" s="15">
        <v>77148137</v>
      </c>
      <c r="F3865" s="15">
        <v>3406</v>
      </c>
      <c r="G3865" s="8" t="s">
        <v>12324</v>
      </c>
      <c r="H3865" s="24" t="s">
        <v>3164</v>
      </c>
      <c r="I3865" s="25" t="s">
        <v>3165</v>
      </c>
      <c r="J3865" s="8" t="s">
        <v>3166</v>
      </c>
      <c r="K3865" s="8" t="s">
        <v>10042</v>
      </c>
      <c r="L3865" s="15">
        <v>3.6787100000000003E-2</v>
      </c>
      <c r="M3865" s="15">
        <v>0.83367899999999995</v>
      </c>
      <c r="N3865" s="15">
        <v>0.95791087454920154</v>
      </c>
    </row>
    <row r="3866" spans="1:14" x14ac:dyDescent="0.2">
      <c r="A3866" s="2" t="s">
        <v>10066</v>
      </c>
      <c r="B3866" s="15">
        <v>1969</v>
      </c>
      <c r="C3866" s="15">
        <v>14</v>
      </c>
      <c r="D3866" s="15">
        <v>36422078</v>
      </c>
      <c r="E3866" s="15">
        <v>37282012</v>
      </c>
      <c r="F3866" s="15">
        <v>2210</v>
      </c>
      <c r="G3866" s="8" t="s">
        <v>12324</v>
      </c>
      <c r="H3866" s="24" t="s">
        <v>3164</v>
      </c>
      <c r="I3866" s="25" t="s">
        <v>3165</v>
      </c>
      <c r="J3866" s="8" t="s">
        <v>3166</v>
      </c>
      <c r="K3866" s="8" t="s">
        <v>10042</v>
      </c>
      <c r="L3866" s="15">
        <v>-4.0409300000000002E-2</v>
      </c>
      <c r="M3866" s="15">
        <v>0.83631800000000001</v>
      </c>
      <c r="N3866" s="15">
        <v>0.95791087454920154</v>
      </c>
    </row>
    <row r="3867" spans="1:14" x14ac:dyDescent="0.2">
      <c r="A3867" s="2" t="s">
        <v>10066</v>
      </c>
      <c r="B3867" s="15">
        <v>2044</v>
      </c>
      <c r="C3867" s="15">
        <v>15</v>
      </c>
      <c r="D3867" s="15">
        <v>33484268</v>
      </c>
      <c r="E3867" s="15">
        <v>34410072</v>
      </c>
      <c r="F3867" s="15">
        <v>3209</v>
      </c>
      <c r="G3867" s="8" t="s">
        <v>12324</v>
      </c>
      <c r="H3867" s="24" t="s">
        <v>3164</v>
      </c>
      <c r="I3867" s="25" t="s">
        <v>3165</v>
      </c>
      <c r="J3867" s="8" t="s">
        <v>3166</v>
      </c>
      <c r="K3867" s="8" t="s">
        <v>10042</v>
      </c>
      <c r="L3867" s="15">
        <v>4.2549299999999998E-2</v>
      </c>
      <c r="M3867" s="15">
        <v>0.83667800000000003</v>
      </c>
      <c r="N3867" s="15">
        <v>0.95791087454920154</v>
      </c>
    </row>
    <row r="3868" spans="1:14" x14ac:dyDescent="0.2">
      <c r="A3868" s="2" t="s">
        <v>10066</v>
      </c>
      <c r="B3868" s="15">
        <v>2269</v>
      </c>
      <c r="C3868" s="15">
        <v>18</v>
      </c>
      <c r="D3868" s="15">
        <v>39410166</v>
      </c>
      <c r="E3868" s="15">
        <v>40471407</v>
      </c>
      <c r="F3868" s="15">
        <v>2522</v>
      </c>
      <c r="G3868" s="8" t="s">
        <v>12324</v>
      </c>
      <c r="H3868" s="24" t="s">
        <v>3164</v>
      </c>
      <c r="I3868" s="25" t="s">
        <v>3165</v>
      </c>
      <c r="J3868" s="8" t="s">
        <v>3166</v>
      </c>
      <c r="K3868" s="8" t="s">
        <v>10042</v>
      </c>
      <c r="L3868" s="15">
        <v>-3.7831299999999998E-2</v>
      </c>
      <c r="M3868" s="15">
        <v>0.83711199999999997</v>
      </c>
      <c r="N3868" s="15">
        <v>0.95791087454920154</v>
      </c>
    </row>
    <row r="3869" spans="1:14" x14ac:dyDescent="0.2">
      <c r="A3869" s="2" t="s">
        <v>10066</v>
      </c>
      <c r="B3869" s="15">
        <v>928</v>
      </c>
      <c r="C3869" s="15">
        <v>6</v>
      </c>
      <c r="D3869" s="15">
        <v>2746532</v>
      </c>
      <c r="E3869" s="15">
        <v>3964072</v>
      </c>
      <c r="F3869" s="15">
        <v>3923</v>
      </c>
      <c r="G3869" s="8" t="s">
        <v>12324</v>
      </c>
      <c r="H3869" s="24" t="s">
        <v>3164</v>
      </c>
      <c r="I3869" s="25" t="s">
        <v>3165</v>
      </c>
      <c r="J3869" s="8" t="s">
        <v>3166</v>
      </c>
      <c r="K3869" s="8" t="s">
        <v>10042</v>
      </c>
      <c r="L3869" s="15">
        <v>4.8962800000000001E-2</v>
      </c>
      <c r="M3869" s="15">
        <v>0.83762300000000001</v>
      </c>
      <c r="N3869" s="15">
        <v>0.95791087454920154</v>
      </c>
    </row>
    <row r="3870" spans="1:14" x14ac:dyDescent="0.2">
      <c r="A3870" s="2" t="s">
        <v>10066</v>
      </c>
      <c r="B3870" s="15">
        <v>339</v>
      </c>
      <c r="C3870" s="15">
        <v>2</v>
      </c>
      <c r="D3870" s="15">
        <v>151428989</v>
      </c>
      <c r="E3870" s="15">
        <v>152497375</v>
      </c>
      <c r="F3870" s="15">
        <v>2725</v>
      </c>
      <c r="G3870" s="8" t="s">
        <v>12324</v>
      </c>
      <c r="H3870" s="24" t="s">
        <v>3164</v>
      </c>
      <c r="I3870" s="25" t="s">
        <v>3165</v>
      </c>
      <c r="J3870" s="8" t="s">
        <v>3166</v>
      </c>
      <c r="K3870" s="8" t="s">
        <v>10042</v>
      </c>
      <c r="L3870" s="15">
        <v>6.3602099999999995E-2</v>
      </c>
      <c r="M3870" s="15">
        <v>0.83831500000000003</v>
      </c>
      <c r="N3870" s="15">
        <v>0.95791087454920154</v>
      </c>
    </row>
    <row r="3871" spans="1:14" x14ac:dyDescent="0.2">
      <c r="A3871" s="2" t="s">
        <v>10066</v>
      </c>
      <c r="B3871" s="15">
        <v>1714</v>
      </c>
      <c r="C3871" s="15">
        <v>11</v>
      </c>
      <c r="D3871" s="15">
        <v>105932283</v>
      </c>
      <c r="E3871" s="15">
        <v>107054024</v>
      </c>
      <c r="F3871" s="15">
        <v>2709</v>
      </c>
      <c r="G3871" s="8" t="s">
        <v>12324</v>
      </c>
      <c r="H3871" s="24" t="s">
        <v>3164</v>
      </c>
      <c r="I3871" s="25" t="s">
        <v>3165</v>
      </c>
      <c r="J3871" s="8" t="s">
        <v>3166</v>
      </c>
      <c r="K3871" s="8" t="s">
        <v>10042</v>
      </c>
      <c r="L3871" s="15">
        <v>5.3738099999999997E-2</v>
      </c>
      <c r="M3871" s="15">
        <v>0.83846900000000002</v>
      </c>
      <c r="N3871" s="15">
        <v>0.95791087454920154</v>
      </c>
    </row>
    <row r="3872" spans="1:14" x14ac:dyDescent="0.2">
      <c r="A3872" s="2" t="s">
        <v>10066</v>
      </c>
      <c r="B3872" s="15">
        <v>1238</v>
      </c>
      <c r="C3872" s="15">
        <v>8</v>
      </c>
      <c r="D3872" s="15">
        <v>2970492</v>
      </c>
      <c r="E3872" s="15">
        <v>3386667</v>
      </c>
      <c r="F3872" s="15">
        <v>2827</v>
      </c>
      <c r="G3872" s="8" t="s">
        <v>12324</v>
      </c>
      <c r="H3872" s="24" t="s">
        <v>6008</v>
      </c>
      <c r="I3872" s="25" t="s">
        <v>6009</v>
      </c>
      <c r="J3872" s="8" t="s">
        <v>6010</v>
      </c>
      <c r="K3872" s="8" t="s">
        <v>10051</v>
      </c>
      <c r="L3872" s="15">
        <v>-5.93623E-2</v>
      </c>
      <c r="M3872" s="15">
        <v>0.83092500000000002</v>
      </c>
      <c r="N3872" s="15">
        <v>0.95791087454920154</v>
      </c>
    </row>
    <row r="3873" spans="1:14" x14ac:dyDescent="0.2">
      <c r="A3873" s="2" t="s">
        <v>10066</v>
      </c>
      <c r="B3873" s="15">
        <v>1832</v>
      </c>
      <c r="C3873" s="15">
        <v>12</v>
      </c>
      <c r="D3873" s="15">
        <v>101825062</v>
      </c>
      <c r="E3873" s="15">
        <v>102966633</v>
      </c>
      <c r="F3873" s="15">
        <v>2831</v>
      </c>
      <c r="G3873" s="8" t="s">
        <v>12324</v>
      </c>
      <c r="H3873" s="24" t="s">
        <v>6008</v>
      </c>
      <c r="I3873" s="25" t="s">
        <v>6009</v>
      </c>
      <c r="J3873" s="8" t="s">
        <v>6010</v>
      </c>
      <c r="K3873" s="8" t="s">
        <v>10051</v>
      </c>
      <c r="L3873" s="15">
        <v>-4.90161E-2</v>
      </c>
      <c r="M3873" s="15">
        <v>0.83180399999999999</v>
      </c>
      <c r="N3873" s="15">
        <v>0.95791087454920154</v>
      </c>
    </row>
    <row r="3874" spans="1:14" x14ac:dyDescent="0.2">
      <c r="A3874" s="2" t="s">
        <v>10066</v>
      </c>
      <c r="B3874" s="15">
        <v>226</v>
      </c>
      <c r="C3874" s="15">
        <v>2</v>
      </c>
      <c r="D3874" s="15">
        <v>22429641</v>
      </c>
      <c r="E3874" s="15">
        <v>23538527</v>
      </c>
      <c r="F3874" s="15">
        <v>2663</v>
      </c>
      <c r="G3874" s="8" t="s">
        <v>12324</v>
      </c>
      <c r="H3874" s="24" t="s">
        <v>6008</v>
      </c>
      <c r="I3874" s="25" t="s">
        <v>6009</v>
      </c>
      <c r="J3874" s="8" t="s">
        <v>6010</v>
      </c>
      <c r="K3874" s="8" t="s">
        <v>10051</v>
      </c>
      <c r="L3874" s="15">
        <v>-5.2395799999999999E-2</v>
      </c>
      <c r="M3874" s="15">
        <v>0.83223100000000005</v>
      </c>
      <c r="N3874" s="15">
        <v>0.95791087454920154</v>
      </c>
    </row>
    <row r="3875" spans="1:14" x14ac:dyDescent="0.2">
      <c r="A3875" s="2" t="s">
        <v>10066</v>
      </c>
      <c r="B3875" s="15">
        <v>926</v>
      </c>
      <c r="C3875" s="15">
        <v>6</v>
      </c>
      <c r="D3875" s="15">
        <v>63979</v>
      </c>
      <c r="E3875" s="15">
        <v>1380679</v>
      </c>
      <c r="F3875" s="15">
        <v>3928</v>
      </c>
      <c r="G3875" s="8" t="s">
        <v>12324</v>
      </c>
      <c r="H3875" s="24" t="s">
        <v>6008</v>
      </c>
      <c r="I3875" s="25" t="s">
        <v>6009</v>
      </c>
      <c r="J3875" s="8" t="s">
        <v>6010</v>
      </c>
      <c r="K3875" s="8" t="s">
        <v>10051</v>
      </c>
      <c r="L3875" s="15">
        <v>-2.8530199999999999E-2</v>
      </c>
      <c r="M3875" s="15">
        <v>0.83355800000000002</v>
      </c>
      <c r="N3875" s="15">
        <v>0.95791087454920154</v>
      </c>
    </row>
    <row r="3876" spans="1:14" x14ac:dyDescent="0.2">
      <c r="A3876" s="2" t="s">
        <v>10066</v>
      </c>
      <c r="B3876" s="15">
        <v>1593</v>
      </c>
      <c r="C3876" s="15">
        <v>10</v>
      </c>
      <c r="D3876" s="15">
        <v>119528731</v>
      </c>
      <c r="E3876" s="15">
        <v>120592839</v>
      </c>
      <c r="F3876" s="15">
        <v>2841</v>
      </c>
      <c r="G3876" s="8" t="s">
        <v>12324</v>
      </c>
      <c r="H3876" s="24" t="s">
        <v>6008</v>
      </c>
      <c r="I3876" s="25" t="s">
        <v>6009</v>
      </c>
      <c r="J3876" s="8" t="s">
        <v>6010</v>
      </c>
      <c r="K3876" s="8" t="s">
        <v>10051</v>
      </c>
      <c r="L3876" s="15">
        <v>4.4807800000000002E-2</v>
      </c>
      <c r="M3876" s="15">
        <v>0.83413499999999996</v>
      </c>
      <c r="N3876" s="15">
        <v>0.95791087454920154</v>
      </c>
    </row>
    <row r="3877" spans="1:14" x14ac:dyDescent="0.2">
      <c r="A3877" s="2" t="s">
        <v>10066</v>
      </c>
      <c r="B3877" s="15">
        <v>1723</v>
      </c>
      <c r="C3877" s="15">
        <v>11</v>
      </c>
      <c r="D3877" s="15">
        <v>117295642</v>
      </c>
      <c r="E3877" s="15">
        <v>118901213</v>
      </c>
      <c r="F3877" s="15">
        <v>4276</v>
      </c>
      <c r="G3877" s="8" t="s">
        <v>12324</v>
      </c>
      <c r="H3877" s="24" t="s">
        <v>6008</v>
      </c>
      <c r="I3877" s="25" t="s">
        <v>6009</v>
      </c>
      <c r="J3877" s="8" t="s">
        <v>6010</v>
      </c>
      <c r="K3877" s="8" t="s">
        <v>10051</v>
      </c>
      <c r="L3877" s="15">
        <v>4.5270699999999997E-2</v>
      </c>
      <c r="M3877" s="15">
        <v>0.83473600000000003</v>
      </c>
      <c r="N3877" s="15">
        <v>0.95791087454920154</v>
      </c>
    </row>
    <row r="3878" spans="1:14" x14ac:dyDescent="0.2">
      <c r="A3878" s="2" t="s">
        <v>10066</v>
      </c>
      <c r="B3878" s="15">
        <v>106</v>
      </c>
      <c r="C3878" s="15">
        <v>1</v>
      </c>
      <c r="D3878" s="15">
        <v>120345067</v>
      </c>
      <c r="E3878" s="15">
        <v>145803848</v>
      </c>
      <c r="F3878" s="15">
        <v>1103</v>
      </c>
      <c r="G3878" s="8" t="s">
        <v>12324</v>
      </c>
      <c r="H3878" s="24" t="s">
        <v>6008</v>
      </c>
      <c r="I3878" s="25" t="s">
        <v>6009</v>
      </c>
      <c r="J3878" s="8" t="s">
        <v>6010</v>
      </c>
      <c r="K3878" s="8" t="s">
        <v>10051</v>
      </c>
      <c r="L3878" s="15">
        <v>-3.1650999999999999E-2</v>
      </c>
      <c r="M3878" s="15">
        <v>0.83661099999999999</v>
      </c>
      <c r="N3878" s="15">
        <v>0.95791087454920154</v>
      </c>
    </row>
    <row r="3879" spans="1:14" x14ac:dyDescent="0.2">
      <c r="A3879" s="2" t="s">
        <v>10066</v>
      </c>
      <c r="B3879" s="15">
        <v>1061</v>
      </c>
      <c r="C3879" s="15">
        <v>6</v>
      </c>
      <c r="D3879" s="15">
        <v>134313644</v>
      </c>
      <c r="E3879" s="15">
        <v>135544083</v>
      </c>
      <c r="F3879" s="15">
        <v>3015</v>
      </c>
      <c r="G3879" s="8" t="s">
        <v>12324</v>
      </c>
      <c r="H3879" s="24" t="s">
        <v>6008</v>
      </c>
      <c r="I3879" s="25" t="s">
        <v>6009</v>
      </c>
      <c r="J3879" s="8" t="s">
        <v>6010</v>
      </c>
      <c r="K3879" s="8" t="s">
        <v>10051</v>
      </c>
      <c r="L3879" s="15">
        <v>-5.0264200000000002E-2</v>
      </c>
      <c r="M3879" s="15">
        <v>0.83838199999999996</v>
      </c>
      <c r="N3879" s="15">
        <v>0.95791087454920154</v>
      </c>
    </row>
    <row r="3880" spans="1:14" x14ac:dyDescent="0.2">
      <c r="A3880" s="2" t="s">
        <v>10068</v>
      </c>
      <c r="B3880" s="15">
        <v>209</v>
      </c>
      <c r="C3880" s="15">
        <v>2</v>
      </c>
      <c r="D3880" s="15">
        <v>5568654</v>
      </c>
      <c r="E3880" s="15">
        <v>6306606</v>
      </c>
      <c r="F3880" s="15">
        <v>2472</v>
      </c>
      <c r="G3880" s="8" t="s">
        <v>12324</v>
      </c>
      <c r="H3880" s="24" t="s">
        <v>6565</v>
      </c>
      <c r="I3880" s="25" t="s">
        <v>6475</v>
      </c>
      <c r="J3880" s="8" t="s">
        <v>6566</v>
      </c>
      <c r="K3880" s="8" t="s">
        <v>10054</v>
      </c>
      <c r="L3880" s="15">
        <v>6.7494200000000004E-2</v>
      </c>
      <c r="M3880" s="15">
        <v>0.83060500000000004</v>
      </c>
      <c r="N3880" s="15">
        <v>0.95791087454920154</v>
      </c>
    </row>
    <row r="3881" spans="1:14" x14ac:dyDescent="0.2">
      <c r="A3881" s="2" t="s">
        <v>10068</v>
      </c>
      <c r="B3881" s="15">
        <v>1778</v>
      </c>
      <c r="C3881" s="15">
        <v>12</v>
      </c>
      <c r="D3881" s="15">
        <v>38746761</v>
      </c>
      <c r="E3881" s="15">
        <v>40017396</v>
      </c>
      <c r="F3881" s="15">
        <v>2885</v>
      </c>
      <c r="G3881" s="8" t="s">
        <v>12324</v>
      </c>
      <c r="H3881" s="24" t="s">
        <v>6565</v>
      </c>
      <c r="I3881" s="25" t="s">
        <v>6475</v>
      </c>
      <c r="J3881" s="8" t="s">
        <v>6566</v>
      </c>
      <c r="K3881" s="8" t="s">
        <v>10054</v>
      </c>
      <c r="L3881" s="15">
        <v>-8.6653400000000005E-2</v>
      </c>
      <c r="M3881" s="15">
        <v>0.83386000000000005</v>
      </c>
      <c r="N3881" s="15">
        <v>0.95791087454920154</v>
      </c>
    </row>
    <row r="3882" spans="1:14" x14ac:dyDescent="0.2">
      <c r="A3882" s="2" t="s">
        <v>10068</v>
      </c>
      <c r="B3882" s="15">
        <v>1371</v>
      </c>
      <c r="C3882" s="15">
        <v>9</v>
      </c>
      <c r="D3882" s="15">
        <v>653662</v>
      </c>
      <c r="E3882" s="15">
        <v>1103598</v>
      </c>
      <c r="F3882" s="15">
        <v>1992</v>
      </c>
      <c r="G3882" s="8" t="s">
        <v>12324</v>
      </c>
      <c r="H3882" s="24" t="s">
        <v>6565</v>
      </c>
      <c r="I3882" s="25" t="s">
        <v>6475</v>
      </c>
      <c r="J3882" s="8" t="s">
        <v>6566</v>
      </c>
      <c r="K3882" s="8" t="s">
        <v>10054</v>
      </c>
      <c r="L3882" s="15">
        <v>4.7275600000000001E-2</v>
      </c>
      <c r="M3882" s="15">
        <v>0.83413999999999999</v>
      </c>
      <c r="N3882" s="15">
        <v>0.95791087454920154</v>
      </c>
    </row>
    <row r="3883" spans="1:14" x14ac:dyDescent="0.2">
      <c r="A3883" s="2" t="s">
        <v>10068</v>
      </c>
      <c r="B3883" s="15">
        <v>2468</v>
      </c>
      <c r="C3883" s="15">
        <v>22</v>
      </c>
      <c r="D3883" s="15">
        <v>23143365</v>
      </c>
      <c r="E3883" s="15">
        <v>23950732</v>
      </c>
      <c r="F3883" s="15">
        <v>2599</v>
      </c>
      <c r="G3883" s="8" t="s">
        <v>12324</v>
      </c>
      <c r="H3883" s="24" t="s">
        <v>6565</v>
      </c>
      <c r="I3883" s="25" t="s">
        <v>6475</v>
      </c>
      <c r="J3883" s="8" t="s">
        <v>6566</v>
      </c>
      <c r="K3883" s="8" t="s">
        <v>10054</v>
      </c>
      <c r="L3883" s="15">
        <v>-2.7086300000000001E-2</v>
      </c>
      <c r="M3883" s="15">
        <v>0.835673</v>
      </c>
      <c r="N3883" s="15">
        <v>0.95791087454920154</v>
      </c>
    </row>
    <row r="3884" spans="1:14" x14ac:dyDescent="0.2">
      <c r="A3884" s="2" t="s">
        <v>10068</v>
      </c>
      <c r="B3884" s="15">
        <v>1461</v>
      </c>
      <c r="C3884" s="15">
        <v>9</v>
      </c>
      <c r="D3884" s="15">
        <v>116159541</v>
      </c>
      <c r="E3884" s="15">
        <v>117054909</v>
      </c>
      <c r="F3884" s="15">
        <v>2409</v>
      </c>
      <c r="G3884" s="8" t="s">
        <v>12324</v>
      </c>
      <c r="H3884" s="24" t="s">
        <v>6565</v>
      </c>
      <c r="I3884" s="25" t="s">
        <v>6475</v>
      </c>
      <c r="J3884" s="8" t="s">
        <v>6566</v>
      </c>
      <c r="K3884" s="8" t="s">
        <v>10054</v>
      </c>
      <c r="L3884" s="15">
        <v>5.9204E-2</v>
      </c>
      <c r="M3884" s="15">
        <v>0.83606499999999995</v>
      </c>
      <c r="N3884" s="15">
        <v>0.95791087454920154</v>
      </c>
    </row>
    <row r="3885" spans="1:14" x14ac:dyDescent="0.2">
      <c r="A3885" s="2" t="s">
        <v>10068</v>
      </c>
      <c r="B3885" s="15">
        <v>2187</v>
      </c>
      <c r="C3885" s="15">
        <v>17</v>
      </c>
      <c r="D3885" s="15">
        <v>13648447</v>
      </c>
      <c r="E3885" s="15">
        <v>14508610</v>
      </c>
      <c r="F3885" s="15">
        <v>2927</v>
      </c>
      <c r="G3885" s="8" t="s">
        <v>12324</v>
      </c>
      <c r="H3885" s="24" t="s">
        <v>1259</v>
      </c>
      <c r="I3885" s="25">
        <v>27096</v>
      </c>
      <c r="J3885" s="8" t="s">
        <v>1261</v>
      </c>
      <c r="K3885" s="8" t="s">
        <v>10040</v>
      </c>
      <c r="L3885" s="15">
        <v>-3.3935300000000002E-2</v>
      </c>
      <c r="M3885" s="15">
        <v>0.83876499999999998</v>
      </c>
      <c r="N3885" s="15">
        <v>0.95800225985063092</v>
      </c>
    </row>
    <row r="3886" spans="1:14" x14ac:dyDescent="0.2">
      <c r="A3886" s="2" t="s">
        <v>10068</v>
      </c>
      <c r="B3886" s="15">
        <v>1754</v>
      </c>
      <c r="C3886" s="15">
        <v>12</v>
      </c>
      <c r="D3886" s="15">
        <v>13559528</v>
      </c>
      <c r="E3886" s="15">
        <v>14656849</v>
      </c>
      <c r="F3886" s="15">
        <v>3105</v>
      </c>
      <c r="G3886" s="8" t="s">
        <v>12324</v>
      </c>
      <c r="H3886" s="24" t="s">
        <v>494</v>
      </c>
      <c r="I3886" s="25">
        <v>25920</v>
      </c>
      <c r="J3886" s="8" t="s">
        <v>496</v>
      </c>
      <c r="K3886" s="8" t="s">
        <v>10040</v>
      </c>
      <c r="L3886" s="15">
        <v>-6.1284400000000003E-2</v>
      </c>
      <c r="M3886" s="15">
        <v>0.840368</v>
      </c>
      <c r="N3886" s="15">
        <v>0.95810019660755585</v>
      </c>
    </row>
    <row r="3887" spans="1:14" x14ac:dyDescent="0.2">
      <c r="A3887" s="2" t="s">
        <v>10068</v>
      </c>
      <c r="B3887" s="15">
        <v>637</v>
      </c>
      <c r="C3887" s="15">
        <v>4</v>
      </c>
      <c r="D3887" s="15">
        <v>36671802</v>
      </c>
      <c r="E3887" s="15">
        <v>37880860</v>
      </c>
      <c r="F3887" s="15">
        <v>4231</v>
      </c>
      <c r="G3887" s="8" t="s">
        <v>12324</v>
      </c>
      <c r="H3887" s="24" t="s">
        <v>599</v>
      </c>
      <c r="I3887" s="25">
        <v>26562</v>
      </c>
      <c r="J3887" s="8" t="s">
        <v>601</v>
      </c>
      <c r="K3887" s="8" t="s">
        <v>10040</v>
      </c>
      <c r="L3887" s="15">
        <v>-6.7754200000000001E-2</v>
      </c>
      <c r="M3887" s="15">
        <v>0.83990500000000001</v>
      </c>
      <c r="N3887" s="15">
        <v>0.95810019660755585</v>
      </c>
    </row>
    <row r="3888" spans="1:14" x14ac:dyDescent="0.2">
      <c r="A3888" s="2" t="s">
        <v>10068</v>
      </c>
      <c r="B3888" s="15">
        <v>1041</v>
      </c>
      <c r="C3888" s="15">
        <v>6</v>
      </c>
      <c r="D3888" s="15">
        <v>111363444</v>
      </c>
      <c r="E3888" s="15">
        <v>112342873</v>
      </c>
      <c r="F3888" s="15">
        <v>2149</v>
      </c>
      <c r="G3888" s="8" t="s">
        <v>12324</v>
      </c>
      <c r="H3888" s="24" t="s">
        <v>1259</v>
      </c>
      <c r="I3888" s="25">
        <v>27096</v>
      </c>
      <c r="J3888" s="8" t="s">
        <v>1261</v>
      </c>
      <c r="K3888" s="8" t="s">
        <v>10040</v>
      </c>
      <c r="L3888" s="15">
        <v>-7.3552000000000006E-2</v>
      </c>
      <c r="M3888" s="15">
        <v>0.83948299999999998</v>
      </c>
      <c r="N3888" s="15">
        <v>0.95810019660755585</v>
      </c>
    </row>
    <row r="3889" spans="1:14" x14ac:dyDescent="0.2">
      <c r="A3889" s="2" t="s">
        <v>10068</v>
      </c>
      <c r="B3889" s="15">
        <v>2055</v>
      </c>
      <c r="C3889" s="15">
        <v>15</v>
      </c>
      <c r="D3889" s="15">
        <v>47693317</v>
      </c>
      <c r="E3889" s="15">
        <v>49260006</v>
      </c>
      <c r="F3889" s="15">
        <v>2776</v>
      </c>
      <c r="G3889" s="8" t="s">
        <v>12324</v>
      </c>
      <c r="H3889" s="24" t="s">
        <v>1259</v>
      </c>
      <c r="I3889" s="25">
        <v>27096</v>
      </c>
      <c r="J3889" s="8" t="s">
        <v>1261</v>
      </c>
      <c r="K3889" s="8" t="s">
        <v>10040</v>
      </c>
      <c r="L3889" s="15">
        <v>-4.2806700000000003E-2</v>
      </c>
      <c r="M3889" s="15">
        <v>0.83999599999999996</v>
      </c>
      <c r="N3889" s="15">
        <v>0.95810019660755585</v>
      </c>
    </row>
    <row r="3890" spans="1:14" x14ac:dyDescent="0.2">
      <c r="A3890" s="2" t="s">
        <v>10068</v>
      </c>
      <c r="B3890" s="15">
        <v>2010</v>
      </c>
      <c r="C3890" s="15">
        <v>14</v>
      </c>
      <c r="D3890" s="15">
        <v>81001921</v>
      </c>
      <c r="E3890" s="15">
        <v>82524785</v>
      </c>
      <c r="F3890" s="15">
        <v>3923</v>
      </c>
      <c r="G3890" s="8" t="s">
        <v>12324</v>
      </c>
      <c r="H3890" s="24" t="s">
        <v>1259</v>
      </c>
      <c r="I3890" s="25">
        <v>27096</v>
      </c>
      <c r="J3890" s="8" t="s">
        <v>1261</v>
      </c>
      <c r="K3890" s="8" t="s">
        <v>10040</v>
      </c>
      <c r="L3890" s="15">
        <v>-4.6049899999999998E-2</v>
      </c>
      <c r="M3890" s="15">
        <v>0.84057899999999997</v>
      </c>
      <c r="N3890" s="15">
        <v>0.95810019660755585</v>
      </c>
    </row>
    <row r="3891" spans="1:14" x14ac:dyDescent="0.2">
      <c r="A3891" s="2" t="s">
        <v>10066</v>
      </c>
      <c r="B3891" s="15">
        <v>1602</v>
      </c>
      <c r="C3891" s="15">
        <v>10</v>
      </c>
      <c r="D3891" s="15">
        <v>129134739</v>
      </c>
      <c r="E3891" s="15">
        <v>129831969</v>
      </c>
      <c r="F3891" s="15">
        <v>3052</v>
      </c>
      <c r="G3891" s="8" t="s">
        <v>12324</v>
      </c>
      <c r="H3891" s="24" t="s">
        <v>3164</v>
      </c>
      <c r="I3891" s="25" t="s">
        <v>3165</v>
      </c>
      <c r="J3891" s="8" t="s">
        <v>3166</v>
      </c>
      <c r="K3891" s="8" t="s">
        <v>10042</v>
      </c>
      <c r="L3891" s="15">
        <v>-6.6525299999999996E-2</v>
      </c>
      <c r="M3891" s="15">
        <v>0.839391</v>
      </c>
      <c r="N3891" s="15">
        <v>0.95810019660755585</v>
      </c>
    </row>
    <row r="3892" spans="1:14" x14ac:dyDescent="0.2">
      <c r="A3892" s="2" t="s">
        <v>10066</v>
      </c>
      <c r="B3892" s="15">
        <v>2448</v>
      </c>
      <c r="C3892" s="15">
        <v>21</v>
      </c>
      <c r="D3892" s="15">
        <v>33270273</v>
      </c>
      <c r="E3892" s="15">
        <v>34383794</v>
      </c>
      <c r="F3892" s="15">
        <v>2785</v>
      </c>
      <c r="G3892" s="8" t="s">
        <v>12324</v>
      </c>
      <c r="H3892" s="24" t="s">
        <v>3164</v>
      </c>
      <c r="I3892" s="25" t="s">
        <v>3165</v>
      </c>
      <c r="J3892" s="8" t="s">
        <v>3166</v>
      </c>
      <c r="K3892" s="8" t="s">
        <v>10042</v>
      </c>
      <c r="L3892" s="15">
        <v>-2.4972500000000002E-2</v>
      </c>
      <c r="M3892" s="15">
        <v>0.84043199999999996</v>
      </c>
      <c r="N3892" s="15">
        <v>0.95810019660755585</v>
      </c>
    </row>
    <row r="3893" spans="1:14" x14ac:dyDescent="0.2">
      <c r="A3893" s="2" t="s">
        <v>10066</v>
      </c>
      <c r="B3893" s="15">
        <v>1802</v>
      </c>
      <c r="C3893" s="15">
        <v>12</v>
      </c>
      <c r="D3893" s="15">
        <v>67183621</v>
      </c>
      <c r="E3893" s="15">
        <v>68006682</v>
      </c>
      <c r="F3893" s="15">
        <v>2247</v>
      </c>
      <c r="G3893" s="8" t="s">
        <v>12324</v>
      </c>
      <c r="H3893" s="24" t="s">
        <v>6008</v>
      </c>
      <c r="I3893" s="25" t="s">
        <v>6009</v>
      </c>
      <c r="J3893" s="8" t="s">
        <v>6010</v>
      </c>
      <c r="K3893" s="8" t="s">
        <v>10051</v>
      </c>
      <c r="L3893" s="15">
        <v>5.9197800000000002E-2</v>
      </c>
      <c r="M3893" s="15">
        <v>0.83958900000000003</v>
      </c>
      <c r="N3893" s="15">
        <v>0.95810019660755585</v>
      </c>
    </row>
    <row r="3894" spans="1:14" x14ac:dyDescent="0.2">
      <c r="A3894" s="2" t="s">
        <v>10066</v>
      </c>
      <c r="B3894" s="15">
        <v>1735</v>
      </c>
      <c r="C3894" s="15">
        <v>11</v>
      </c>
      <c r="D3894" s="15">
        <v>130500784</v>
      </c>
      <c r="E3894" s="15">
        <v>131424361</v>
      </c>
      <c r="F3894" s="15">
        <v>2786</v>
      </c>
      <c r="G3894" s="8" t="s">
        <v>12324</v>
      </c>
      <c r="H3894" s="24" t="s">
        <v>3164</v>
      </c>
      <c r="I3894" s="25" t="s">
        <v>3165</v>
      </c>
      <c r="J3894" s="8" t="s">
        <v>3166</v>
      </c>
      <c r="K3894" s="8" t="s">
        <v>10042</v>
      </c>
      <c r="L3894" s="15">
        <v>-3.42159E-2</v>
      </c>
      <c r="M3894" s="15">
        <v>0.84217500000000001</v>
      </c>
      <c r="N3894" s="15">
        <v>0.95967269398766708</v>
      </c>
    </row>
    <row r="3895" spans="1:14" x14ac:dyDescent="0.2">
      <c r="A3895" s="2" t="s">
        <v>10066</v>
      </c>
      <c r="B3895" s="15">
        <v>326</v>
      </c>
      <c r="C3895" s="15">
        <v>2</v>
      </c>
      <c r="D3895" s="15">
        <v>134359060</v>
      </c>
      <c r="E3895" s="15">
        <v>135160197</v>
      </c>
      <c r="F3895" s="15">
        <v>2187</v>
      </c>
      <c r="G3895" s="8" t="s">
        <v>12324</v>
      </c>
      <c r="H3895" s="24" t="s">
        <v>3164</v>
      </c>
      <c r="I3895" s="25" t="s">
        <v>3165</v>
      </c>
      <c r="J3895" s="8" t="s">
        <v>3166</v>
      </c>
      <c r="K3895" s="8" t="s">
        <v>10042</v>
      </c>
      <c r="L3895" s="15">
        <v>-4.5311200000000003E-2</v>
      </c>
      <c r="M3895" s="15">
        <v>0.84295299999999995</v>
      </c>
      <c r="N3895" s="15">
        <v>0.96001865982028234</v>
      </c>
    </row>
    <row r="3896" spans="1:14" x14ac:dyDescent="0.2">
      <c r="A3896" s="2" t="s">
        <v>10066</v>
      </c>
      <c r="B3896" s="15">
        <v>2158</v>
      </c>
      <c r="C3896" s="15">
        <v>16</v>
      </c>
      <c r="D3896" s="15">
        <v>78280637</v>
      </c>
      <c r="E3896" s="15">
        <v>78973580</v>
      </c>
      <c r="F3896" s="15">
        <v>3640</v>
      </c>
      <c r="G3896" s="8" t="s">
        <v>12324</v>
      </c>
      <c r="H3896" s="24" t="s">
        <v>3164</v>
      </c>
      <c r="I3896" s="25" t="s">
        <v>3165</v>
      </c>
      <c r="J3896" s="8" t="s">
        <v>3166</v>
      </c>
      <c r="K3896" s="8" t="s">
        <v>10042</v>
      </c>
      <c r="L3896" s="15">
        <v>3.55264E-2</v>
      </c>
      <c r="M3896" s="15">
        <v>0.84312799999999999</v>
      </c>
      <c r="N3896" s="15">
        <v>0.96001865982028234</v>
      </c>
    </row>
    <row r="3897" spans="1:14" x14ac:dyDescent="0.2">
      <c r="A3897" s="2" t="s">
        <v>10068</v>
      </c>
      <c r="B3897" s="15">
        <v>2379</v>
      </c>
      <c r="C3897" s="15">
        <v>20</v>
      </c>
      <c r="D3897" s="15">
        <v>9279551</v>
      </c>
      <c r="E3897" s="15">
        <v>10279603</v>
      </c>
      <c r="F3897" s="15">
        <v>2702</v>
      </c>
      <c r="G3897" s="8" t="s">
        <v>12324</v>
      </c>
      <c r="H3897" s="24" t="s">
        <v>6565</v>
      </c>
      <c r="I3897" s="25" t="s">
        <v>6475</v>
      </c>
      <c r="J3897" s="8" t="s">
        <v>6566</v>
      </c>
      <c r="K3897" s="8" t="s">
        <v>10054</v>
      </c>
      <c r="L3897" s="15">
        <v>-3.6965999999999999E-2</v>
      </c>
      <c r="M3897" s="15">
        <v>0.84273200000000004</v>
      </c>
      <c r="N3897" s="15">
        <v>0.96001865982028234</v>
      </c>
    </row>
    <row r="3898" spans="1:14" x14ac:dyDescent="0.2">
      <c r="A3898" s="2" t="s">
        <v>10066</v>
      </c>
      <c r="B3898" s="15">
        <v>1937</v>
      </c>
      <c r="C3898" s="15">
        <v>13</v>
      </c>
      <c r="D3898" s="15">
        <v>98527336</v>
      </c>
      <c r="E3898" s="15">
        <v>99402294</v>
      </c>
      <c r="F3898" s="15">
        <v>2673</v>
      </c>
      <c r="G3898" s="8" t="s">
        <v>12324</v>
      </c>
      <c r="H3898" s="24" t="s">
        <v>6008</v>
      </c>
      <c r="I3898" s="25" t="s">
        <v>6009</v>
      </c>
      <c r="J3898" s="8" t="s">
        <v>6010</v>
      </c>
      <c r="K3898" s="8" t="s">
        <v>10051</v>
      </c>
      <c r="L3898" s="15">
        <v>3.6081700000000001E-2</v>
      </c>
      <c r="M3898" s="15">
        <v>0.84412200000000004</v>
      </c>
      <c r="N3898" s="15">
        <v>0.96090376540041067</v>
      </c>
    </row>
    <row r="3899" spans="1:14" x14ac:dyDescent="0.2">
      <c r="A3899" s="2" t="s">
        <v>10068</v>
      </c>
      <c r="B3899" s="15">
        <v>39</v>
      </c>
      <c r="C3899" s="15">
        <v>1</v>
      </c>
      <c r="D3899" s="15">
        <v>41977967</v>
      </c>
      <c r="E3899" s="15">
        <v>43512669</v>
      </c>
      <c r="F3899" s="15">
        <v>3409</v>
      </c>
      <c r="G3899" s="8" t="s">
        <v>12324</v>
      </c>
      <c r="H3899" s="24" t="s">
        <v>494</v>
      </c>
      <c r="I3899" s="25">
        <v>25920</v>
      </c>
      <c r="J3899" s="8" t="s">
        <v>496</v>
      </c>
      <c r="K3899" s="8" t="s">
        <v>10040</v>
      </c>
      <c r="L3899" s="15">
        <v>4.7842099999999999E-2</v>
      </c>
      <c r="M3899" s="15">
        <v>0.84657300000000002</v>
      </c>
      <c r="N3899" s="15">
        <v>0.96127151201431493</v>
      </c>
    </row>
    <row r="3900" spans="1:14" x14ac:dyDescent="0.2">
      <c r="A3900" s="2" t="s">
        <v>10068</v>
      </c>
      <c r="B3900" s="15">
        <v>822</v>
      </c>
      <c r="C3900" s="15">
        <v>5</v>
      </c>
      <c r="D3900" s="15">
        <v>55221399</v>
      </c>
      <c r="E3900" s="15">
        <v>55968966</v>
      </c>
      <c r="F3900" s="15">
        <v>2232</v>
      </c>
      <c r="G3900" s="8" t="s">
        <v>12324</v>
      </c>
      <c r="H3900" s="24" t="s">
        <v>494</v>
      </c>
      <c r="I3900" s="25">
        <v>25920</v>
      </c>
      <c r="J3900" s="8" t="s">
        <v>496</v>
      </c>
      <c r="K3900" s="8" t="s">
        <v>10040</v>
      </c>
      <c r="L3900" s="15">
        <v>-3.4849100000000001E-2</v>
      </c>
      <c r="M3900" s="15">
        <v>0.84687500000000004</v>
      </c>
      <c r="N3900" s="15">
        <v>0.96127151201431493</v>
      </c>
    </row>
    <row r="3901" spans="1:14" x14ac:dyDescent="0.2">
      <c r="A3901" s="2" t="s">
        <v>10068</v>
      </c>
      <c r="B3901" s="15">
        <v>2120</v>
      </c>
      <c r="C3901" s="15">
        <v>16</v>
      </c>
      <c r="D3901" s="15">
        <v>17343278</v>
      </c>
      <c r="E3901" s="15">
        <v>19104257</v>
      </c>
      <c r="F3901" s="15">
        <v>3349</v>
      </c>
      <c r="G3901" s="8" t="s">
        <v>12324</v>
      </c>
      <c r="H3901" s="24" t="s">
        <v>494</v>
      </c>
      <c r="I3901" s="25">
        <v>25920</v>
      </c>
      <c r="J3901" s="8" t="s">
        <v>496</v>
      </c>
      <c r="K3901" s="8" t="s">
        <v>10040</v>
      </c>
      <c r="L3901" s="15">
        <v>3.3445000000000003E-2</v>
      </c>
      <c r="M3901" s="15">
        <v>0.84700799999999998</v>
      </c>
      <c r="N3901" s="15">
        <v>0.96127151201431493</v>
      </c>
    </row>
    <row r="3902" spans="1:14" x14ac:dyDescent="0.2">
      <c r="A3902" s="2" t="s">
        <v>10068</v>
      </c>
      <c r="B3902" s="15">
        <v>1946</v>
      </c>
      <c r="C3902" s="15">
        <v>13</v>
      </c>
      <c r="D3902" s="15">
        <v>108521979</v>
      </c>
      <c r="E3902" s="15">
        <v>109156765</v>
      </c>
      <c r="F3902" s="15">
        <v>2075</v>
      </c>
      <c r="G3902" s="8" t="s">
        <v>12324</v>
      </c>
      <c r="H3902" s="24" t="s">
        <v>599</v>
      </c>
      <c r="I3902" s="25">
        <v>26562</v>
      </c>
      <c r="J3902" s="8" t="s">
        <v>601</v>
      </c>
      <c r="K3902" s="8" t="s">
        <v>10040</v>
      </c>
      <c r="L3902" s="15">
        <v>3.78275E-2</v>
      </c>
      <c r="M3902" s="15">
        <v>0.84522799999999998</v>
      </c>
      <c r="N3902" s="15">
        <v>0.96127151201431493</v>
      </c>
    </row>
    <row r="3903" spans="1:14" x14ac:dyDescent="0.2">
      <c r="A3903" s="2" t="s">
        <v>10068</v>
      </c>
      <c r="B3903" s="15">
        <v>776</v>
      </c>
      <c r="C3903" s="15">
        <v>5</v>
      </c>
      <c r="D3903" s="15">
        <v>598321</v>
      </c>
      <c r="E3903" s="15">
        <v>1206609</v>
      </c>
      <c r="F3903" s="15">
        <v>1774</v>
      </c>
      <c r="G3903" s="8" t="s">
        <v>12324</v>
      </c>
      <c r="H3903" s="24" t="s">
        <v>599</v>
      </c>
      <c r="I3903" s="25">
        <v>26562</v>
      </c>
      <c r="J3903" s="8" t="s">
        <v>601</v>
      </c>
      <c r="K3903" s="8" t="s">
        <v>10040</v>
      </c>
      <c r="L3903" s="15">
        <v>2.63707E-2</v>
      </c>
      <c r="M3903" s="15">
        <v>0.84543599999999997</v>
      </c>
      <c r="N3903" s="15">
        <v>0.96127151201431493</v>
      </c>
    </row>
    <row r="3904" spans="1:14" x14ac:dyDescent="0.2">
      <c r="A3904" s="2" t="s">
        <v>10068</v>
      </c>
      <c r="B3904" s="15">
        <v>1643</v>
      </c>
      <c r="C3904" s="15">
        <v>11</v>
      </c>
      <c r="D3904" s="15">
        <v>30570130</v>
      </c>
      <c r="E3904" s="15">
        <v>32065771</v>
      </c>
      <c r="F3904" s="15">
        <v>2166</v>
      </c>
      <c r="G3904" s="8" t="s">
        <v>12324</v>
      </c>
      <c r="H3904" s="24" t="s">
        <v>599</v>
      </c>
      <c r="I3904" s="25">
        <v>26562</v>
      </c>
      <c r="J3904" s="8" t="s">
        <v>601</v>
      </c>
      <c r="K3904" s="8" t="s">
        <v>10040</v>
      </c>
      <c r="L3904" s="15">
        <v>-3.2890999999999997E-2</v>
      </c>
      <c r="M3904" s="15">
        <v>0.84746699999999997</v>
      </c>
      <c r="N3904" s="15">
        <v>0.96127151201431493</v>
      </c>
    </row>
    <row r="3905" spans="1:14" x14ac:dyDescent="0.2">
      <c r="A3905" s="2" t="s">
        <v>10069</v>
      </c>
      <c r="B3905" s="15">
        <v>251</v>
      </c>
      <c r="C3905" s="15">
        <v>2</v>
      </c>
      <c r="D3905" s="15">
        <v>45850048</v>
      </c>
      <c r="E3905" s="15">
        <v>46499326</v>
      </c>
      <c r="F3905" s="15">
        <v>1462</v>
      </c>
      <c r="G3905" s="8" t="s">
        <v>12324</v>
      </c>
      <c r="H3905" s="24" t="s">
        <v>662</v>
      </c>
      <c r="I3905" s="25" t="s">
        <v>663</v>
      </c>
      <c r="J3905" s="8" t="s">
        <v>664</v>
      </c>
      <c r="K3905" s="8" t="s">
        <v>10040</v>
      </c>
      <c r="L3905" s="15">
        <v>-4.3617099999999999E-2</v>
      </c>
      <c r="M3905" s="15">
        <v>0.84499199999999997</v>
      </c>
      <c r="N3905" s="15">
        <v>0.96127151201431493</v>
      </c>
    </row>
    <row r="3906" spans="1:14" x14ac:dyDescent="0.2">
      <c r="A3906" s="2" t="s">
        <v>10068</v>
      </c>
      <c r="B3906" s="15">
        <v>623</v>
      </c>
      <c r="C3906" s="15">
        <v>4</v>
      </c>
      <c r="D3906" s="15">
        <v>24764725</v>
      </c>
      <c r="E3906" s="15">
        <v>25832018</v>
      </c>
      <c r="F3906" s="15">
        <v>3137</v>
      </c>
      <c r="G3906" s="8" t="s">
        <v>12324</v>
      </c>
      <c r="H3906" s="24" t="s">
        <v>1259</v>
      </c>
      <c r="I3906" s="25">
        <v>27096</v>
      </c>
      <c r="J3906" s="8" t="s">
        <v>1261</v>
      </c>
      <c r="K3906" s="8" t="s">
        <v>10040</v>
      </c>
      <c r="L3906" s="15">
        <v>4.0889300000000003E-2</v>
      </c>
      <c r="M3906" s="15">
        <v>0.84724299999999997</v>
      </c>
      <c r="N3906" s="15">
        <v>0.96127151201431493</v>
      </c>
    </row>
    <row r="3907" spans="1:14" x14ac:dyDescent="0.2">
      <c r="A3907" s="2" t="s">
        <v>10068</v>
      </c>
      <c r="B3907" s="15">
        <v>2494</v>
      </c>
      <c r="C3907" s="15">
        <v>22</v>
      </c>
      <c r="D3907" s="15">
        <v>49559208</v>
      </c>
      <c r="E3907" s="15">
        <v>50347996</v>
      </c>
      <c r="F3907" s="15">
        <v>3306</v>
      </c>
      <c r="G3907" s="8" t="s">
        <v>12324</v>
      </c>
      <c r="H3907" s="24" t="s">
        <v>1259</v>
      </c>
      <c r="I3907" s="25">
        <v>27096</v>
      </c>
      <c r="J3907" s="8" t="s">
        <v>1261</v>
      </c>
      <c r="K3907" s="8" t="s">
        <v>10040</v>
      </c>
      <c r="L3907" s="15">
        <v>2.8721199999999999E-2</v>
      </c>
      <c r="M3907" s="15">
        <v>0.84736500000000003</v>
      </c>
      <c r="N3907" s="15">
        <v>0.96127151201431493</v>
      </c>
    </row>
    <row r="3908" spans="1:14" x14ac:dyDescent="0.2">
      <c r="A3908" s="2" t="s">
        <v>10068</v>
      </c>
      <c r="B3908" s="15">
        <v>1812</v>
      </c>
      <c r="C3908" s="15">
        <v>12</v>
      </c>
      <c r="D3908" s="15">
        <v>77800464</v>
      </c>
      <c r="E3908" s="15">
        <v>79315178</v>
      </c>
      <c r="F3908" s="15">
        <v>3879</v>
      </c>
      <c r="G3908" s="8" t="s">
        <v>12324</v>
      </c>
      <c r="H3908" s="24" t="s">
        <v>1259</v>
      </c>
      <c r="I3908" s="25">
        <v>27096</v>
      </c>
      <c r="J3908" s="8" t="s">
        <v>1261</v>
      </c>
      <c r="K3908" s="8" t="s">
        <v>10040</v>
      </c>
      <c r="L3908" s="15">
        <v>-5.0255399999999999E-2</v>
      </c>
      <c r="M3908" s="15">
        <v>0.84743400000000002</v>
      </c>
      <c r="N3908" s="15">
        <v>0.96127151201431493</v>
      </c>
    </row>
    <row r="3909" spans="1:14" x14ac:dyDescent="0.2">
      <c r="A3909" s="2" t="s">
        <v>10066</v>
      </c>
      <c r="B3909" s="15">
        <v>319</v>
      </c>
      <c r="C3909" s="15">
        <v>2</v>
      </c>
      <c r="D3909" s="15">
        <v>126754028</v>
      </c>
      <c r="E3909" s="15">
        <v>127895644</v>
      </c>
      <c r="F3909" s="15">
        <v>3425</v>
      </c>
      <c r="G3909" s="8" t="s">
        <v>12324</v>
      </c>
      <c r="H3909" s="24" t="s">
        <v>3164</v>
      </c>
      <c r="I3909" s="25" t="s">
        <v>3165</v>
      </c>
      <c r="J3909" s="8" t="s">
        <v>3166</v>
      </c>
      <c r="K3909" s="8" t="s">
        <v>10042</v>
      </c>
      <c r="L3909" s="15">
        <v>-5.4106000000000001E-2</v>
      </c>
      <c r="M3909" s="15">
        <v>0.84667099999999995</v>
      </c>
      <c r="N3909" s="15">
        <v>0.96127151201431493</v>
      </c>
    </row>
    <row r="3910" spans="1:14" x14ac:dyDescent="0.2">
      <c r="A3910" s="2" t="s">
        <v>10066</v>
      </c>
      <c r="B3910" s="15">
        <v>288</v>
      </c>
      <c r="C3910" s="15">
        <v>2</v>
      </c>
      <c r="D3910" s="15">
        <v>81623358</v>
      </c>
      <c r="E3910" s="15">
        <v>82941455</v>
      </c>
      <c r="F3910" s="15">
        <v>3802</v>
      </c>
      <c r="G3910" s="8" t="s">
        <v>12324</v>
      </c>
      <c r="H3910" s="24" t="s">
        <v>3164</v>
      </c>
      <c r="I3910" s="25" t="s">
        <v>3165</v>
      </c>
      <c r="J3910" s="8" t="s">
        <v>3166</v>
      </c>
      <c r="K3910" s="8" t="s">
        <v>10042</v>
      </c>
      <c r="L3910" s="15">
        <v>-7.7641399999999999E-2</v>
      </c>
      <c r="M3910" s="15">
        <v>0.84784400000000004</v>
      </c>
      <c r="N3910" s="15">
        <v>0.96127151201431493</v>
      </c>
    </row>
    <row r="3911" spans="1:14" x14ac:dyDescent="0.2">
      <c r="A3911" s="2" t="s">
        <v>10066</v>
      </c>
      <c r="B3911" s="15">
        <v>2418</v>
      </c>
      <c r="C3911" s="15">
        <v>20</v>
      </c>
      <c r="D3911" s="15">
        <v>53879804</v>
      </c>
      <c r="E3911" s="15">
        <v>54743694</v>
      </c>
      <c r="F3911" s="15">
        <v>2299</v>
      </c>
      <c r="G3911" s="8" t="s">
        <v>12324</v>
      </c>
      <c r="H3911" s="24" t="s">
        <v>6008</v>
      </c>
      <c r="I3911" s="25" t="s">
        <v>6009</v>
      </c>
      <c r="J3911" s="8" t="s">
        <v>6010</v>
      </c>
      <c r="K3911" s="8" t="s">
        <v>10051</v>
      </c>
      <c r="L3911" s="15">
        <v>4.8854099999999998E-2</v>
      </c>
      <c r="M3911" s="15">
        <v>0.84671399999999997</v>
      </c>
      <c r="N3911" s="15">
        <v>0.96127151201431493</v>
      </c>
    </row>
    <row r="3912" spans="1:14" x14ac:dyDescent="0.2">
      <c r="A3912" s="2" t="s">
        <v>10066</v>
      </c>
      <c r="B3912" s="15">
        <v>2204</v>
      </c>
      <c r="C3912" s="15">
        <v>17</v>
      </c>
      <c r="D3912" s="15">
        <v>38880482</v>
      </c>
      <c r="E3912" s="15">
        <v>40233545</v>
      </c>
      <c r="F3912" s="15">
        <v>3878</v>
      </c>
      <c r="G3912" s="8" t="s">
        <v>12324</v>
      </c>
      <c r="H3912" s="24" t="s">
        <v>6008</v>
      </c>
      <c r="I3912" s="25" t="s">
        <v>6009</v>
      </c>
      <c r="J3912" s="8" t="s">
        <v>6010</v>
      </c>
      <c r="K3912" s="8" t="s">
        <v>10051</v>
      </c>
      <c r="L3912" s="15">
        <v>4.3886399999999999E-2</v>
      </c>
      <c r="M3912" s="15">
        <v>0.84765400000000002</v>
      </c>
      <c r="N3912" s="15">
        <v>0.96127151201431493</v>
      </c>
    </row>
    <row r="3913" spans="1:14" x14ac:dyDescent="0.2">
      <c r="A3913" s="2" t="s">
        <v>10068</v>
      </c>
      <c r="B3913" s="15">
        <v>1052</v>
      </c>
      <c r="C3913" s="15">
        <v>6</v>
      </c>
      <c r="D3913" s="15">
        <v>122929291</v>
      </c>
      <c r="E3913" s="15">
        <v>123854857</v>
      </c>
      <c r="F3913" s="15">
        <v>2422</v>
      </c>
      <c r="G3913" s="8" t="s">
        <v>12324</v>
      </c>
      <c r="H3913" s="24" t="s">
        <v>6565</v>
      </c>
      <c r="I3913" s="25" t="s">
        <v>6475</v>
      </c>
      <c r="J3913" s="8" t="s">
        <v>6566</v>
      </c>
      <c r="K3913" s="8" t="s">
        <v>10054</v>
      </c>
      <c r="L3913" s="15">
        <v>4.5095000000000003E-2</v>
      </c>
      <c r="M3913" s="15">
        <v>0.84512200000000004</v>
      </c>
      <c r="N3913" s="15">
        <v>0.96127151201431493</v>
      </c>
    </row>
    <row r="3914" spans="1:14" x14ac:dyDescent="0.2">
      <c r="A3914" s="2" t="s">
        <v>10068</v>
      </c>
      <c r="B3914" s="15">
        <v>1848</v>
      </c>
      <c r="C3914" s="15">
        <v>12</v>
      </c>
      <c r="D3914" s="15">
        <v>119301062</v>
      </c>
      <c r="E3914" s="15">
        <v>120567740</v>
      </c>
      <c r="F3914" s="15">
        <v>3128</v>
      </c>
      <c r="G3914" s="8" t="s">
        <v>12324</v>
      </c>
      <c r="H3914" s="24" t="s">
        <v>6565</v>
      </c>
      <c r="I3914" s="25" t="s">
        <v>6475</v>
      </c>
      <c r="J3914" s="8" t="s">
        <v>6566</v>
      </c>
      <c r="K3914" s="8" t="s">
        <v>10054</v>
      </c>
      <c r="L3914" s="15">
        <v>-6.6504300000000002E-2</v>
      </c>
      <c r="M3914" s="15">
        <v>0.84791300000000003</v>
      </c>
      <c r="N3914" s="15">
        <v>0.96127151201431493</v>
      </c>
    </row>
    <row r="3915" spans="1:14" x14ac:dyDescent="0.2">
      <c r="A3915" s="2" t="s">
        <v>10068</v>
      </c>
      <c r="B3915" s="15">
        <v>1227</v>
      </c>
      <c r="C3915" s="15">
        <v>7</v>
      </c>
      <c r="D3915" s="15">
        <v>154407488</v>
      </c>
      <c r="E3915" s="15">
        <v>155280610</v>
      </c>
      <c r="F3915" s="15">
        <v>3524</v>
      </c>
      <c r="G3915" s="8" t="s">
        <v>12324</v>
      </c>
      <c r="H3915" s="24" t="s">
        <v>494</v>
      </c>
      <c r="I3915" s="25">
        <v>25920</v>
      </c>
      <c r="J3915" s="8" t="s">
        <v>496</v>
      </c>
      <c r="K3915" s="8" t="s">
        <v>10040</v>
      </c>
      <c r="L3915" s="15">
        <v>-4.6187499999999999E-2</v>
      </c>
      <c r="M3915" s="15">
        <v>0.84870199999999996</v>
      </c>
      <c r="N3915" s="15">
        <v>0.96192010477894196</v>
      </c>
    </row>
    <row r="3916" spans="1:14" x14ac:dyDescent="0.2">
      <c r="A3916" s="2" t="s">
        <v>10068</v>
      </c>
      <c r="B3916" s="15">
        <v>457</v>
      </c>
      <c r="C3916" s="15">
        <v>3</v>
      </c>
      <c r="D3916" s="15">
        <v>36840137</v>
      </c>
      <c r="E3916" s="15">
        <v>38729767</v>
      </c>
      <c r="F3916" s="15">
        <v>3845</v>
      </c>
      <c r="G3916" s="8" t="s">
        <v>12324</v>
      </c>
      <c r="H3916" s="24" t="s">
        <v>494</v>
      </c>
      <c r="I3916" s="25">
        <v>25920</v>
      </c>
      <c r="J3916" s="8" t="s">
        <v>496</v>
      </c>
      <c r="K3916" s="8" t="s">
        <v>10040</v>
      </c>
      <c r="L3916" s="15">
        <v>-6.47982E-2</v>
      </c>
      <c r="M3916" s="15">
        <v>0.84928899999999996</v>
      </c>
      <c r="N3916" s="15">
        <v>0.96233947751660709</v>
      </c>
    </row>
    <row r="3917" spans="1:14" x14ac:dyDescent="0.2">
      <c r="A3917" s="2" t="s">
        <v>10069</v>
      </c>
      <c r="B3917" s="15">
        <v>1844</v>
      </c>
      <c r="C3917" s="15">
        <v>12</v>
      </c>
      <c r="D3917" s="15">
        <v>115439452</v>
      </c>
      <c r="E3917" s="15">
        <v>116197675</v>
      </c>
      <c r="F3917" s="15">
        <v>1645</v>
      </c>
      <c r="G3917" s="8" t="s">
        <v>12324</v>
      </c>
      <c r="H3917" s="24" t="s">
        <v>662</v>
      </c>
      <c r="I3917" s="25" t="s">
        <v>663</v>
      </c>
      <c r="J3917" s="8" t="s">
        <v>664</v>
      </c>
      <c r="K3917" s="8" t="s">
        <v>10040</v>
      </c>
      <c r="L3917" s="15">
        <v>7.0807599999999998E-2</v>
      </c>
      <c r="M3917" s="15">
        <v>0.84955099999999995</v>
      </c>
      <c r="N3917" s="15">
        <v>0.96239046871008938</v>
      </c>
    </row>
    <row r="3918" spans="1:14" x14ac:dyDescent="0.2">
      <c r="A3918" s="2" t="s">
        <v>10068</v>
      </c>
      <c r="B3918" s="15">
        <v>399</v>
      </c>
      <c r="C3918" s="15">
        <v>2</v>
      </c>
      <c r="D3918" s="15">
        <v>222327714</v>
      </c>
      <c r="E3918" s="15">
        <v>223353965</v>
      </c>
      <c r="F3918" s="15">
        <v>2142</v>
      </c>
      <c r="G3918" s="8" t="s">
        <v>12324</v>
      </c>
      <c r="H3918" s="24" t="s">
        <v>494</v>
      </c>
      <c r="I3918" s="25">
        <v>25920</v>
      </c>
      <c r="J3918" s="8" t="s">
        <v>496</v>
      </c>
      <c r="K3918" s="8" t="s">
        <v>10040</v>
      </c>
      <c r="L3918" s="15">
        <v>3.4188999999999997E-2</v>
      </c>
      <c r="M3918" s="15">
        <v>0.85070199999999996</v>
      </c>
      <c r="N3918" s="15">
        <v>0.96344825587334004</v>
      </c>
    </row>
    <row r="3919" spans="1:14" x14ac:dyDescent="0.2">
      <c r="A3919" s="2" t="s">
        <v>10068</v>
      </c>
      <c r="B3919" s="15">
        <v>407</v>
      </c>
      <c r="C3919" s="15">
        <v>2</v>
      </c>
      <c r="D3919" s="15">
        <v>230541093</v>
      </c>
      <c r="E3919" s="15">
        <v>231847386</v>
      </c>
      <c r="F3919" s="15">
        <v>3643</v>
      </c>
      <c r="G3919" s="8" t="s">
        <v>12324</v>
      </c>
      <c r="H3919" s="24" t="s">
        <v>494</v>
      </c>
      <c r="I3919" s="25">
        <v>25920</v>
      </c>
      <c r="J3919" s="8" t="s">
        <v>496</v>
      </c>
      <c r="K3919" s="8" t="s">
        <v>10040</v>
      </c>
      <c r="L3919" s="15">
        <v>-4.07164E-2</v>
      </c>
      <c r="M3919" s="15">
        <v>0.85207500000000003</v>
      </c>
      <c r="N3919" s="15">
        <v>0.96405473086734694</v>
      </c>
    </row>
    <row r="3920" spans="1:14" x14ac:dyDescent="0.2">
      <c r="A3920" s="2" t="s">
        <v>10068</v>
      </c>
      <c r="B3920" s="15">
        <v>2346</v>
      </c>
      <c r="C3920" s="15">
        <v>19</v>
      </c>
      <c r="D3920" s="15">
        <v>40171414</v>
      </c>
      <c r="E3920" s="15">
        <v>41004105</v>
      </c>
      <c r="F3920" s="15">
        <v>2104</v>
      </c>
      <c r="G3920" s="8" t="s">
        <v>12324</v>
      </c>
      <c r="H3920" s="24" t="s">
        <v>599</v>
      </c>
      <c r="I3920" s="25">
        <v>26562</v>
      </c>
      <c r="J3920" s="8" t="s">
        <v>601</v>
      </c>
      <c r="K3920" s="8" t="s">
        <v>10040</v>
      </c>
      <c r="L3920" s="15">
        <v>-3.1752299999999997E-2</v>
      </c>
      <c r="M3920" s="15">
        <v>0.85185999999999995</v>
      </c>
      <c r="N3920" s="15">
        <v>0.96405473086734694</v>
      </c>
    </row>
    <row r="3921" spans="1:14" x14ac:dyDescent="0.2">
      <c r="A3921" s="2" t="s">
        <v>10066</v>
      </c>
      <c r="B3921" s="15">
        <v>1563</v>
      </c>
      <c r="C3921" s="15">
        <v>10</v>
      </c>
      <c r="D3921" s="15">
        <v>83596351</v>
      </c>
      <c r="E3921" s="15">
        <v>84679429</v>
      </c>
      <c r="F3921" s="15">
        <v>2729</v>
      </c>
      <c r="G3921" s="8" t="s">
        <v>12324</v>
      </c>
      <c r="H3921" s="24" t="s">
        <v>3164</v>
      </c>
      <c r="I3921" s="25" t="s">
        <v>3165</v>
      </c>
      <c r="J3921" s="8" t="s">
        <v>3166</v>
      </c>
      <c r="K3921" s="8" t="s">
        <v>10042</v>
      </c>
      <c r="L3921" s="15">
        <v>-5.2844500000000003E-2</v>
      </c>
      <c r="M3921" s="15">
        <v>0.851966</v>
      </c>
      <c r="N3921" s="15">
        <v>0.96405473086734694</v>
      </c>
    </row>
    <row r="3922" spans="1:14" x14ac:dyDescent="0.2">
      <c r="A3922" s="2" t="s">
        <v>10066</v>
      </c>
      <c r="B3922" s="15">
        <v>267</v>
      </c>
      <c r="C3922" s="15">
        <v>2</v>
      </c>
      <c r="D3922" s="15">
        <v>59251997</v>
      </c>
      <c r="E3922" s="15">
        <v>60775066</v>
      </c>
      <c r="F3922" s="15">
        <v>3683</v>
      </c>
      <c r="G3922" s="8" t="s">
        <v>12324</v>
      </c>
      <c r="H3922" s="24" t="s">
        <v>3164</v>
      </c>
      <c r="I3922" s="25" t="s">
        <v>3165</v>
      </c>
      <c r="J3922" s="8" t="s">
        <v>3166</v>
      </c>
      <c r="K3922" s="8" t="s">
        <v>10042</v>
      </c>
      <c r="L3922" s="15">
        <v>-4.6016000000000001E-2</v>
      </c>
      <c r="M3922" s="15">
        <v>0.85210699999999995</v>
      </c>
      <c r="N3922" s="15">
        <v>0.96405473086734694</v>
      </c>
    </row>
    <row r="3923" spans="1:14" x14ac:dyDescent="0.2">
      <c r="A3923" s="2" t="s">
        <v>10068</v>
      </c>
      <c r="B3923" s="15">
        <v>1067</v>
      </c>
      <c r="C3923" s="15">
        <v>6</v>
      </c>
      <c r="D3923" s="15">
        <v>143083348</v>
      </c>
      <c r="E3923" s="15">
        <v>144791455</v>
      </c>
      <c r="F3923" s="15">
        <v>3684</v>
      </c>
      <c r="G3923" s="8" t="s">
        <v>12324</v>
      </c>
      <c r="H3923" s="24" t="s">
        <v>494</v>
      </c>
      <c r="I3923" s="25">
        <v>25920</v>
      </c>
      <c r="J3923" s="8" t="s">
        <v>496</v>
      </c>
      <c r="K3923" s="8" t="s">
        <v>10040</v>
      </c>
      <c r="L3923" s="15">
        <v>4.7077000000000001E-2</v>
      </c>
      <c r="M3923" s="15">
        <v>0.85400900000000002</v>
      </c>
      <c r="N3923" s="15">
        <v>0.96471071880536574</v>
      </c>
    </row>
    <row r="3924" spans="1:14" x14ac:dyDescent="0.2">
      <c r="A3924" s="2" t="s">
        <v>10068</v>
      </c>
      <c r="B3924" s="15">
        <v>2425</v>
      </c>
      <c r="C3924" s="15">
        <v>20</v>
      </c>
      <c r="D3924" s="15">
        <v>59560458</v>
      </c>
      <c r="E3924" s="15">
        <v>60125333</v>
      </c>
      <c r="F3924" s="15">
        <v>2238</v>
      </c>
      <c r="G3924" s="8" t="s">
        <v>12324</v>
      </c>
      <c r="H3924" s="24" t="s">
        <v>494</v>
      </c>
      <c r="I3924" s="25">
        <v>25920</v>
      </c>
      <c r="J3924" s="8" t="s">
        <v>496</v>
      </c>
      <c r="K3924" s="8" t="s">
        <v>10040</v>
      </c>
      <c r="L3924" s="15">
        <v>2.9239399999999999E-2</v>
      </c>
      <c r="M3924" s="15">
        <v>0.855132</v>
      </c>
      <c r="N3924" s="15">
        <v>0.96471071880536574</v>
      </c>
    </row>
    <row r="3925" spans="1:14" x14ac:dyDescent="0.2">
      <c r="A3925" s="2" t="s">
        <v>10068</v>
      </c>
      <c r="B3925" s="15">
        <v>1688</v>
      </c>
      <c r="C3925" s="15">
        <v>11</v>
      </c>
      <c r="D3925" s="15">
        <v>81658299</v>
      </c>
      <c r="E3925" s="15">
        <v>82833181</v>
      </c>
      <c r="F3925" s="15">
        <v>3414</v>
      </c>
      <c r="G3925" s="8" t="s">
        <v>12324</v>
      </c>
      <c r="H3925" s="24" t="s">
        <v>494</v>
      </c>
      <c r="I3925" s="25">
        <v>25920</v>
      </c>
      <c r="J3925" s="8" t="s">
        <v>496</v>
      </c>
      <c r="K3925" s="8" t="s">
        <v>10040</v>
      </c>
      <c r="L3925" s="15">
        <v>6.3015199999999993E-2</v>
      </c>
      <c r="M3925" s="15">
        <v>0.85516800000000004</v>
      </c>
      <c r="N3925" s="15">
        <v>0.96471071880536574</v>
      </c>
    </row>
    <row r="3926" spans="1:14" x14ac:dyDescent="0.2">
      <c r="A3926" s="2" t="s">
        <v>10068</v>
      </c>
      <c r="B3926" s="15">
        <v>140</v>
      </c>
      <c r="C3926" s="15">
        <v>1</v>
      </c>
      <c r="D3926" s="15">
        <v>184953090</v>
      </c>
      <c r="E3926" s="15">
        <v>186179447</v>
      </c>
      <c r="F3926" s="15">
        <v>2031</v>
      </c>
      <c r="G3926" s="8" t="s">
        <v>12324</v>
      </c>
      <c r="H3926" s="24" t="s">
        <v>494</v>
      </c>
      <c r="I3926" s="25">
        <v>25920</v>
      </c>
      <c r="J3926" s="8" t="s">
        <v>496</v>
      </c>
      <c r="K3926" s="8" t="s">
        <v>10040</v>
      </c>
      <c r="L3926" s="15">
        <v>-7.2392899999999996E-2</v>
      </c>
      <c r="M3926" s="15">
        <v>0.85662899999999997</v>
      </c>
      <c r="N3926" s="15">
        <v>0.96471071880536574</v>
      </c>
    </row>
    <row r="3927" spans="1:14" x14ac:dyDescent="0.2">
      <c r="A3927" s="2" t="s">
        <v>10068</v>
      </c>
      <c r="B3927" s="15">
        <v>57</v>
      </c>
      <c r="C3927" s="15">
        <v>1</v>
      </c>
      <c r="D3927" s="15">
        <v>66778016</v>
      </c>
      <c r="E3927" s="15">
        <v>67761890</v>
      </c>
      <c r="F3927" s="15">
        <v>2611</v>
      </c>
      <c r="G3927" s="8" t="s">
        <v>12324</v>
      </c>
      <c r="H3927" s="24" t="s">
        <v>494</v>
      </c>
      <c r="I3927" s="25">
        <v>25920</v>
      </c>
      <c r="J3927" s="8" t="s">
        <v>496</v>
      </c>
      <c r="K3927" s="8" t="s">
        <v>10040</v>
      </c>
      <c r="L3927" s="15">
        <v>5.1292400000000002E-2</v>
      </c>
      <c r="M3927" s="15">
        <v>0.85765800000000003</v>
      </c>
      <c r="N3927" s="15">
        <v>0.96471071880536574</v>
      </c>
    </row>
    <row r="3928" spans="1:14" x14ac:dyDescent="0.2">
      <c r="A3928" s="2" t="s">
        <v>10068</v>
      </c>
      <c r="B3928" s="15">
        <v>2227</v>
      </c>
      <c r="C3928" s="15">
        <v>17</v>
      </c>
      <c r="D3928" s="15">
        <v>70495120</v>
      </c>
      <c r="E3928" s="15">
        <v>71466953</v>
      </c>
      <c r="F3928" s="15">
        <v>2899</v>
      </c>
      <c r="G3928" s="8" t="s">
        <v>12324</v>
      </c>
      <c r="H3928" s="24" t="s">
        <v>494</v>
      </c>
      <c r="I3928" s="25">
        <v>25920</v>
      </c>
      <c r="J3928" s="8" t="s">
        <v>496</v>
      </c>
      <c r="K3928" s="8" t="s">
        <v>10040</v>
      </c>
      <c r="L3928" s="15">
        <v>3.0264800000000001E-2</v>
      </c>
      <c r="M3928" s="15">
        <v>0.85819400000000001</v>
      </c>
      <c r="N3928" s="15">
        <v>0.96471071880536574</v>
      </c>
    </row>
    <row r="3929" spans="1:14" x14ac:dyDescent="0.2">
      <c r="A3929" s="2" t="s">
        <v>10068</v>
      </c>
      <c r="B3929" s="15">
        <v>1502</v>
      </c>
      <c r="C3929" s="15">
        <v>10</v>
      </c>
      <c r="D3929" s="15">
        <v>14008136</v>
      </c>
      <c r="E3929" s="15">
        <v>14820755</v>
      </c>
      <c r="F3929" s="15">
        <v>2922</v>
      </c>
      <c r="G3929" s="8" t="s">
        <v>12324</v>
      </c>
      <c r="H3929" s="24" t="s">
        <v>494</v>
      </c>
      <c r="I3929" s="25">
        <v>25920</v>
      </c>
      <c r="J3929" s="8" t="s">
        <v>496</v>
      </c>
      <c r="K3929" s="8" t="s">
        <v>10040</v>
      </c>
      <c r="L3929" s="15">
        <v>3.51261E-2</v>
      </c>
      <c r="M3929" s="15">
        <v>0.858325</v>
      </c>
      <c r="N3929" s="15">
        <v>0.96471071880536574</v>
      </c>
    </row>
    <row r="3930" spans="1:14" x14ac:dyDescent="0.2">
      <c r="A3930" s="2" t="s">
        <v>10068</v>
      </c>
      <c r="B3930" s="15">
        <v>415</v>
      </c>
      <c r="C3930" s="15">
        <v>2</v>
      </c>
      <c r="D3930" s="15">
        <v>238185483</v>
      </c>
      <c r="E3930" s="15">
        <v>238814630</v>
      </c>
      <c r="F3930" s="15">
        <v>2163</v>
      </c>
      <c r="G3930" s="8" t="s">
        <v>12324</v>
      </c>
      <c r="H3930" s="24" t="s">
        <v>599</v>
      </c>
      <c r="I3930" s="25">
        <v>26562</v>
      </c>
      <c r="J3930" s="8" t="s">
        <v>601</v>
      </c>
      <c r="K3930" s="8" t="s">
        <v>10040</v>
      </c>
      <c r="L3930" s="15">
        <v>3.8826699999999999E-2</v>
      </c>
      <c r="M3930" s="15">
        <v>0.85300799999999999</v>
      </c>
      <c r="N3930" s="15">
        <v>0.96471071880536574</v>
      </c>
    </row>
    <row r="3931" spans="1:14" x14ac:dyDescent="0.2">
      <c r="A3931" s="2" t="s">
        <v>10068</v>
      </c>
      <c r="B3931" s="15">
        <v>2466</v>
      </c>
      <c r="C3931" s="15">
        <v>22</v>
      </c>
      <c r="D3931" s="15">
        <v>20969185</v>
      </c>
      <c r="E3931" s="15">
        <v>22404422</v>
      </c>
      <c r="F3931" s="15">
        <v>2630</v>
      </c>
      <c r="G3931" s="8" t="s">
        <v>12324</v>
      </c>
      <c r="H3931" s="24" t="s">
        <v>599</v>
      </c>
      <c r="I3931" s="25">
        <v>26562</v>
      </c>
      <c r="J3931" s="8" t="s">
        <v>601</v>
      </c>
      <c r="K3931" s="8" t="s">
        <v>10040</v>
      </c>
      <c r="L3931" s="15">
        <v>-3.8484600000000001E-2</v>
      </c>
      <c r="M3931" s="15">
        <v>0.85549600000000003</v>
      </c>
      <c r="N3931" s="15">
        <v>0.96471071880536574</v>
      </c>
    </row>
    <row r="3932" spans="1:14" x14ac:dyDescent="0.2">
      <c r="A3932" s="2" t="s">
        <v>10068</v>
      </c>
      <c r="B3932" s="15">
        <v>126</v>
      </c>
      <c r="C3932" s="15">
        <v>1</v>
      </c>
      <c r="D3932" s="15">
        <v>168179087</v>
      </c>
      <c r="E3932" s="15">
        <v>169521551</v>
      </c>
      <c r="F3932" s="15">
        <v>3984</v>
      </c>
      <c r="G3932" s="8" t="s">
        <v>12324</v>
      </c>
      <c r="H3932" s="24" t="s">
        <v>599</v>
      </c>
      <c r="I3932" s="25">
        <v>26562</v>
      </c>
      <c r="J3932" s="8" t="s">
        <v>601</v>
      </c>
      <c r="K3932" s="8" t="s">
        <v>10040</v>
      </c>
      <c r="L3932" s="15">
        <v>3.8943699999999998E-2</v>
      </c>
      <c r="M3932" s="15">
        <v>0.85682499999999995</v>
      </c>
      <c r="N3932" s="15">
        <v>0.96471071880536574</v>
      </c>
    </row>
    <row r="3933" spans="1:14" x14ac:dyDescent="0.2">
      <c r="A3933" s="2" t="s">
        <v>10068</v>
      </c>
      <c r="B3933" s="15">
        <v>1830</v>
      </c>
      <c r="C3933" s="15">
        <v>12</v>
      </c>
      <c r="D3933" s="15">
        <v>99244338</v>
      </c>
      <c r="E3933" s="15">
        <v>100931423</v>
      </c>
      <c r="F3933" s="15">
        <v>3556</v>
      </c>
      <c r="G3933" s="8" t="s">
        <v>12324</v>
      </c>
      <c r="H3933" s="24" t="s">
        <v>599</v>
      </c>
      <c r="I3933" s="25">
        <v>26562</v>
      </c>
      <c r="J3933" s="8" t="s">
        <v>601</v>
      </c>
      <c r="K3933" s="8" t="s">
        <v>10040</v>
      </c>
      <c r="L3933" s="15">
        <v>-5.8192599999999997E-2</v>
      </c>
      <c r="M3933" s="15">
        <v>0.85780299999999998</v>
      </c>
      <c r="N3933" s="15">
        <v>0.96471071880536574</v>
      </c>
    </row>
    <row r="3934" spans="1:14" x14ac:dyDescent="0.2">
      <c r="A3934" s="2" t="s">
        <v>10068</v>
      </c>
      <c r="B3934" s="15">
        <v>2272</v>
      </c>
      <c r="C3934" s="15">
        <v>18</v>
      </c>
      <c r="D3934" s="15">
        <v>42974166</v>
      </c>
      <c r="E3934" s="15">
        <v>44300145</v>
      </c>
      <c r="F3934" s="15">
        <v>3459</v>
      </c>
      <c r="G3934" s="8" t="s">
        <v>12324</v>
      </c>
      <c r="H3934" s="24" t="s">
        <v>599</v>
      </c>
      <c r="I3934" s="25">
        <v>26562</v>
      </c>
      <c r="J3934" s="8" t="s">
        <v>601</v>
      </c>
      <c r="K3934" s="8" t="s">
        <v>10040</v>
      </c>
      <c r="L3934" s="15">
        <v>-4.0603800000000002E-2</v>
      </c>
      <c r="M3934" s="15">
        <v>0.85848999999999998</v>
      </c>
      <c r="N3934" s="15">
        <v>0.96471071880536574</v>
      </c>
    </row>
    <row r="3935" spans="1:14" x14ac:dyDescent="0.2">
      <c r="A3935" s="2" t="s">
        <v>10069</v>
      </c>
      <c r="B3935" s="15">
        <v>1559</v>
      </c>
      <c r="C3935" s="15">
        <v>10</v>
      </c>
      <c r="D3935" s="15">
        <v>79952997</v>
      </c>
      <c r="E3935" s="15">
        <v>81190573</v>
      </c>
      <c r="F3935" s="15">
        <v>2210</v>
      </c>
      <c r="G3935" s="8" t="s">
        <v>12324</v>
      </c>
      <c r="H3935" s="24" t="s">
        <v>662</v>
      </c>
      <c r="I3935" s="25" t="s">
        <v>663</v>
      </c>
      <c r="J3935" s="8" t="s">
        <v>664</v>
      </c>
      <c r="K3935" s="8" t="s">
        <v>10040</v>
      </c>
      <c r="L3935" s="15">
        <v>5.1020200000000002E-2</v>
      </c>
      <c r="M3935" s="15">
        <v>0.85382599999999997</v>
      </c>
      <c r="N3935" s="15">
        <v>0.96471071880536574</v>
      </c>
    </row>
    <row r="3936" spans="1:14" x14ac:dyDescent="0.2">
      <c r="A3936" s="2" t="s">
        <v>10069</v>
      </c>
      <c r="B3936" s="15">
        <v>1726</v>
      </c>
      <c r="C3936" s="15">
        <v>11</v>
      </c>
      <c r="D3936" s="15">
        <v>121208187</v>
      </c>
      <c r="E3936" s="15">
        <v>122589224</v>
      </c>
      <c r="F3936" s="15">
        <v>1964</v>
      </c>
      <c r="G3936" s="8" t="s">
        <v>12324</v>
      </c>
      <c r="H3936" s="24" t="s">
        <v>662</v>
      </c>
      <c r="I3936" s="25" t="s">
        <v>663</v>
      </c>
      <c r="J3936" s="8" t="s">
        <v>664</v>
      </c>
      <c r="K3936" s="8" t="s">
        <v>10040</v>
      </c>
      <c r="L3936" s="15">
        <v>-5.9255000000000002E-2</v>
      </c>
      <c r="M3936" s="15">
        <v>0.85454399999999997</v>
      </c>
      <c r="N3936" s="15">
        <v>0.96471071880536574</v>
      </c>
    </row>
    <row r="3937" spans="1:14" x14ac:dyDescent="0.2">
      <c r="A3937" s="2" t="s">
        <v>10069</v>
      </c>
      <c r="B3937" s="15">
        <v>1948</v>
      </c>
      <c r="C3937" s="15">
        <v>13</v>
      </c>
      <c r="D3937" s="15">
        <v>109813577</v>
      </c>
      <c r="E3937" s="15">
        <v>110995432</v>
      </c>
      <c r="F3937" s="15">
        <v>2466</v>
      </c>
      <c r="G3937" s="8" t="s">
        <v>12324</v>
      </c>
      <c r="H3937" s="24" t="s">
        <v>662</v>
      </c>
      <c r="I3937" s="25" t="s">
        <v>663</v>
      </c>
      <c r="J3937" s="8" t="s">
        <v>664</v>
      </c>
      <c r="K3937" s="8" t="s">
        <v>10040</v>
      </c>
      <c r="L3937" s="15">
        <v>4.69568E-2</v>
      </c>
      <c r="M3937" s="15">
        <v>0.859093</v>
      </c>
      <c r="N3937" s="15">
        <v>0.96471071880536574</v>
      </c>
    </row>
    <row r="3938" spans="1:14" x14ac:dyDescent="0.2">
      <c r="A3938" s="2" t="s">
        <v>10069</v>
      </c>
      <c r="B3938" s="15">
        <v>1875</v>
      </c>
      <c r="C3938" s="15">
        <v>13</v>
      </c>
      <c r="D3938" s="15">
        <v>31433219</v>
      </c>
      <c r="E3938" s="15">
        <v>32986686</v>
      </c>
      <c r="F3938" s="15">
        <v>2742</v>
      </c>
      <c r="G3938" s="8" t="s">
        <v>12324</v>
      </c>
      <c r="H3938" s="24" t="s">
        <v>662</v>
      </c>
      <c r="I3938" s="25" t="s">
        <v>663</v>
      </c>
      <c r="J3938" s="8" t="s">
        <v>664</v>
      </c>
      <c r="K3938" s="8" t="s">
        <v>10040</v>
      </c>
      <c r="L3938" s="15">
        <v>4.20991E-2</v>
      </c>
      <c r="M3938" s="15">
        <v>0.85911800000000005</v>
      </c>
      <c r="N3938" s="15">
        <v>0.96471071880536574</v>
      </c>
    </row>
    <row r="3939" spans="1:14" x14ac:dyDescent="0.2">
      <c r="A3939" s="2" t="s">
        <v>10068</v>
      </c>
      <c r="B3939" s="15">
        <v>1891</v>
      </c>
      <c r="C3939" s="15">
        <v>13</v>
      </c>
      <c r="D3939" s="15">
        <v>48137480</v>
      </c>
      <c r="E3939" s="15">
        <v>49381727</v>
      </c>
      <c r="F3939" s="15">
        <v>3152</v>
      </c>
      <c r="G3939" s="8" t="s">
        <v>12324</v>
      </c>
      <c r="H3939" s="24" t="s">
        <v>1259</v>
      </c>
      <c r="I3939" s="25">
        <v>27096</v>
      </c>
      <c r="J3939" s="8" t="s">
        <v>1261</v>
      </c>
      <c r="K3939" s="8" t="s">
        <v>10040</v>
      </c>
      <c r="L3939" s="15">
        <v>-7.4755699999999994E-2</v>
      </c>
      <c r="M3939" s="15">
        <v>0.85455800000000004</v>
      </c>
      <c r="N3939" s="15">
        <v>0.96471071880536574</v>
      </c>
    </row>
    <row r="3940" spans="1:14" x14ac:dyDescent="0.2">
      <c r="A3940" s="2" t="s">
        <v>10068</v>
      </c>
      <c r="B3940" s="15">
        <v>1963</v>
      </c>
      <c r="C3940" s="15">
        <v>14</v>
      </c>
      <c r="D3940" s="15">
        <v>29029225</v>
      </c>
      <c r="E3940" s="15">
        <v>30831154</v>
      </c>
      <c r="F3940" s="15">
        <v>3385</v>
      </c>
      <c r="G3940" s="8" t="s">
        <v>12324</v>
      </c>
      <c r="H3940" s="24" t="s">
        <v>1259</v>
      </c>
      <c r="I3940" s="25">
        <v>27096</v>
      </c>
      <c r="J3940" s="8" t="s">
        <v>1261</v>
      </c>
      <c r="K3940" s="8" t="s">
        <v>10040</v>
      </c>
      <c r="L3940" s="15">
        <v>4.1580600000000002E-2</v>
      </c>
      <c r="M3940" s="15">
        <v>0.855437</v>
      </c>
      <c r="N3940" s="15">
        <v>0.96471071880536574</v>
      </c>
    </row>
    <row r="3941" spans="1:14" x14ac:dyDescent="0.2">
      <c r="A3941" s="2" t="s">
        <v>10068</v>
      </c>
      <c r="B3941" s="15">
        <v>2233</v>
      </c>
      <c r="C3941" s="15">
        <v>17</v>
      </c>
      <c r="D3941" s="15">
        <v>76596288</v>
      </c>
      <c r="E3941" s="15">
        <v>77412786</v>
      </c>
      <c r="F3941" s="15">
        <v>2894</v>
      </c>
      <c r="G3941" s="8" t="s">
        <v>12324</v>
      </c>
      <c r="H3941" s="24" t="s">
        <v>1259</v>
      </c>
      <c r="I3941" s="25">
        <v>27096</v>
      </c>
      <c r="J3941" s="8" t="s">
        <v>1261</v>
      </c>
      <c r="K3941" s="8" t="s">
        <v>10040</v>
      </c>
      <c r="L3941" s="15">
        <v>-4.03313E-2</v>
      </c>
      <c r="M3941" s="15">
        <v>0.85675299999999999</v>
      </c>
      <c r="N3941" s="15">
        <v>0.96471071880536574</v>
      </c>
    </row>
    <row r="3942" spans="1:14" x14ac:dyDescent="0.2">
      <c r="A3942" s="2" t="s">
        <v>10068</v>
      </c>
      <c r="B3942" s="15">
        <v>655</v>
      </c>
      <c r="C3942" s="15">
        <v>4</v>
      </c>
      <c r="D3942" s="15">
        <v>58940257</v>
      </c>
      <c r="E3942" s="15">
        <v>59692948</v>
      </c>
      <c r="F3942" s="15">
        <v>2420</v>
      </c>
      <c r="G3942" s="8" t="s">
        <v>12324</v>
      </c>
      <c r="H3942" s="24" t="s">
        <v>1259</v>
      </c>
      <c r="I3942" s="25">
        <v>27096</v>
      </c>
      <c r="J3942" s="8" t="s">
        <v>1261</v>
      </c>
      <c r="K3942" s="8" t="s">
        <v>10040</v>
      </c>
      <c r="L3942" s="15">
        <v>7.6778100000000002E-2</v>
      </c>
      <c r="M3942" s="15">
        <v>0.85792000000000002</v>
      </c>
      <c r="N3942" s="15">
        <v>0.96471071880536574</v>
      </c>
    </row>
    <row r="3943" spans="1:14" x14ac:dyDescent="0.2">
      <c r="A3943" s="2" t="s">
        <v>10066</v>
      </c>
      <c r="B3943" s="15">
        <v>1819</v>
      </c>
      <c r="C3943" s="15">
        <v>12</v>
      </c>
      <c r="D3943" s="15">
        <v>85345632</v>
      </c>
      <c r="E3943" s="15">
        <v>86933476</v>
      </c>
      <c r="F3943" s="15">
        <v>3585</v>
      </c>
      <c r="G3943" s="8" t="s">
        <v>12324</v>
      </c>
      <c r="H3943" s="24" t="s">
        <v>3164</v>
      </c>
      <c r="I3943" s="25" t="s">
        <v>3165</v>
      </c>
      <c r="J3943" s="8" t="s">
        <v>3166</v>
      </c>
      <c r="K3943" s="8" t="s">
        <v>10042</v>
      </c>
      <c r="L3943" s="15">
        <v>5.9974199999999998E-2</v>
      </c>
      <c r="M3943" s="15">
        <v>0.85584000000000005</v>
      </c>
      <c r="N3943" s="15">
        <v>0.96471071880536574</v>
      </c>
    </row>
    <row r="3944" spans="1:14" x14ac:dyDescent="0.2">
      <c r="A3944" s="2" t="s">
        <v>10066</v>
      </c>
      <c r="B3944" s="15">
        <v>1886</v>
      </c>
      <c r="C3944" s="15">
        <v>13</v>
      </c>
      <c r="D3944" s="15">
        <v>42950158</v>
      </c>
      <c r="E3944" s="15">
        <v>43931931</v>
      </c>
      <c r="F3944" s="15">
        <v>2441</v>
      </c>
      <c r="G3944" s="8" t="s">
        <v>12324</v>
      </c>
      <c r="H3944" s="24" t="s">
        <v>3164</v>
      </c>
      <c r="I3944" s="25" t="s">
        <v>3165</v>
      </c>
      <c r="J3944" s="8" t="s">
        <v>3166</v>
      </c>
      <c r="K3944" s="8" t="s">
        <v>10042</v>
      </c>
      <c r="L3944" s="15">
        <v>2.84751E-2</v>
      </c>
      <c r="M3944" s="15">
        <v>0.85690500000000003</v>
      </c>
      <c r="N3944" s="15">
        <v>0.96471071880536574</v>
      </c>
    </row>
    <row r="3945" spans="1:14" x14ac:dyDescent="0.2">
      <c r="A3945" s="2" t="s">
        <v>10066</v>
      </c>
      <c r="B3945" s="15">
        <v>673</v>
      </c>
      <c r="C3945" s="15">
        <v>4</v>
      </c>
      <c r="D3945" s="15">
        <v>79880102</v>
      </c>
      <c r="E3945" s="15">
        <v>81206182</v>
      </c>
      <c r="F3945" s="15">
        <v>3141</v>
      </c>
      <c r="G3945" s="8" t="s">
        <v>12324</v>
      </c>
      <c r="H3945" s="24" t="s">
        <v>3164</v>
      </c>
      <c r="I3945" s="25" t="s">
        <v>3165</v>
      </c>
      <c r="J3945" s="8" t="s">
        <v>3166</v>
      </c>
      <c r="K3945" s="8" t="s">
        <v>10042</v>
      </c>
      <c r="L3945" s="15">
        <v>-5.4915899999999997E-2</v>
      </c>
      <c r="M3945" s="15">
        <v>0.85805500000000001</v>
      </c>
      <c r="N3945" s="15">
        <v>0.96471071880536574</v>
      </c>
    </row>
    <row r="3946" spans="1:14" x14ac:dyDescent="0.2">
      <c r="A3946" s="2" t="s">
        <v>10066</v>
      </c>
      <c r="B3946" s="15">
        <v>616</v>
      </c>
      <c r="C3946" s="15">
        <v>4</v>
      </c>
      <c r="D3946" s="15">
        <v>15910802</v>
      </c>
      <c r="E3946" s="15">
        <v>17290236</v>
      </c>
      <c r="F3946" s="15">
        <v>3818</v>
      </c>
      <c r="G3946" s="8" t="s">
        <v>12324</v>
      </c>
      <c r="H3946" s="24" t="s">
        <v>6008</v>
      </c>
      <c r="I3946" s="25" t="s">
        <v>6009</v>
      </c>
      <c r="J3946" s="8" t="s">
        <v>6010</v>
      </c>
      <c r="K3946" s="8" t="s">
        <v>10051</v>
      </c>
      <c r="L3946" s="15">
        <v>-4.25993E-2</v>
      </c>
      <c r="M3946" s="15">
        <v>0.85496000000000005</v>
      </c>
      <c r="N3946" s="15">
        <v>0.96471071880536574</v>
      </c>
    </row>
    <row r="3947" spans="1:14" x14ac:dyDescent="0.2">
      <c r="A3947" s="2" t="s">
        <v>10066</v>
      </c>
      <c r="B3947" s="15">
        <v>697</v>
      </c>
      <c r="C3947" s="15">
        <v>4</v>
      </c>
      <c r="D3947" s="15">
        <v>109122459</v>
      </c>
      <c r="E3947" s="15">
        <v>109978982</v>
      </c>
      <c r="F3947" s="15">
        <v>2333</v>
      </c>
      <c r="G3947" s="8" t="s">
        <v>12324</v>
      </c>
      <c r="H3947" s="24" t="s">
        <v>6008</v>
      </c>
      <c r="I3947" s="25" t="s">
        <v>6009</v>
      </c>
      <c r="J3947" s="8" t="s">
        <v>6010</v>
      </c>
      <c r="K3947" s="8" t="s">
        <v>10051</v>
      </c>
      <c r="L3947" s="15">
        <v>-6.00189E-2</v>
      </c>
      <c r="M3947" s="15">
        <v>0.85777300000000001</v>
      </c>
      <c r="N3947" s="15">
        <v>0.96471071880536574</v>
      </c>
    </row>
    <row r="3948" spans="1:14" x14ac:dyDescent="0.2">
      <c r="A3948" s="2" t="s">
        <v>10066</v>
      </c>
      <c r="B3948" s="15">
        <v>398</v>
      </c>
      <c r="C3948" s="15">
        <v>2</v>
      </c>
      <c r="D3948" s="15">
        <v>221445192</v>
      </c>
      <c r="E3948" s="15">
        <v>222327713</v>
      </c>
      <c r="F3948" s="15">
        <v>2149</v>
      </c>
      <c r="G3948" s="8" t="s">
        <v>12324</v>
      </c>
      <c r="H3948" s="24" t="s">
        <v>6008</v>
      </c>
      <c r="I3948" s="25" t="s">
        <v>6009</v>
      </c>
      <c r="J3948" s="8" t="s">
        <v>6010</v>
      </c>
      <c r="K3948" s="8" t="s">
        <v>10051</v>
      </c>
      <c r="L3948" s="15">
        <v>4.0516299999999998E-2</v>
      </c>
      <c r="M3948" s="15">
        <v>0.85822900000000002</v>
      </c>
      <c r="N3948" s="15">
        <v>0.96471071880536574</v>
      </c>
    </row>
    <row r="3949" spans="1:14" x14ac:dyDescent="0.2">
      <c r="A3949" s="2" t="s">
        <v>10068</v>
      </c>
      <c r="B3949" s="15">
        <v>746</v>
      </c>
      <c r="C3949" s="15">
        <v>4</v>
      </c>
      <c r="D3949" s="15">
        <v>163937104</v>
      </c>
      <c r="E3949" s="15">
        <v>164781847</v>
      </c>
      <c r="F3949" s="15">
        <v>2134</v>
      </c>
      <c r="G3949" s="8" t="s">
        <v>12324</v>
      </c>
      <c r="H3949" s="24" t="s">
        <v>6565</v>
      </c>
      <c r="I3949" s="25" t="s">
        <v>6475</v>
      </c>
      <c r="J3949" s="8" t="s">
        <v>6566</v>
      </c>
      <c r="K3949" s="8" t="s">
        <v>10054</v>
      </c>
      <c r="L3949" s="15">
        <v>-4.7203200000000001E-2</v>
      </c>
      <c r="M3949" s="15">
        <v>0.85371399999999997</v>
      </c>
      <c r="N3949" s="15">
        <v>0.96471071880536574</v>
      </c>
    </row>
    <row r="3950" spans="1:14" x14ac:dyDescent="0.2">
      <c r="A3950" s="2" t="s">
        <v>10068</v>
      </c>
      <c r="B3950" s="15">
        <v>1164</v>
      </c>
      <c r="C3950" s="15">
        <v>7</v>
      </c>
      <c r="D3950" s="15">
        <v>70144615</v>
      </c>
      <c r="E3950" s="15">
        <v>71215741</v>
      </c>
      <c r="F3950" s="15">
        <v>3482</v>
      </c>
      <c r="G3950" s="8" t="s">
        <v>12324</v>
      </c>
      <c r="H3950" s="24" t="s">
        <v>6565</v>
      </c>
      <c r="I3950" s="25" t="s">
        <v>6475</v>
      </c>
      <c r="J3950" s="8" t="s">
        <v>6566</v>
      </c>
      <c r="K3950" s="8" t="s">
        <v>10054</v>
      </c>
      <c r="L3950" s="15">
        <v>-7.3298199999999994E-2</v>
      </c>
      <c r="M3950" s="15">
        <v>0.85727100000000001</v>
      </c>
      <c r="N3950" s="15">
        <v>0.96471071880536574</v>
      </c>
    </row>
    <row r="3951" spans="1:14" x14ac:dyDescent="0.2">
      <c r="A3951" s="2" t="s">
        <v>10068</v>
      </c>
      <c r="B3951" s="15">
        <v>611</v>
      </c>
      <c r="C3951" s="15">
        <v>4</v>
      </c>
      <c r="D3951" s="15">
        <v>11050120</v>
      </c>
      <c r="E3951" s="15">
        <v>12209028</v>
      </c>
      <c r="F3951" s="15">
        <v>3959</v>
      </c>
      <c r="G3951" s="8" t="s">
        <v>12324</v>
      </c>
      <c r="H3951" s="24" t="s">
        <v>6565</v>
      </c>
      <c r="I3951" s="25" t="s">
        <v>6475</v>
      </c>
      <c r="J3951" s="8" t="s">
        <v>6566</v>
      </c>
      <c r="K3951" s="8" t="s">
        <v>10054</v>
      </c>
      <c r="L3951" s="15">
        <v>-5.40273E-2</v>
      </c>
      <c r="M3951" s="15">
        <v>0.85887100000000005</v>
      </c>
      <c r="N3951" s="15">
        <v>0.96471071880536574</v>
      </c>
    </row>
    <row r="3952" spans="1:14" x14ac:dyDescent="0.2">
      <c r="A3952" s="2" t="s">
        <v>10068</v>
      </c>
      <c r="B3952" s="15">
        <v>2199</v>
      </c>
      <c r="C3952" s="15">
        <v>17</v>
      </c>
      <c r="D3952" s="15">
        <v>32356062</v>
      </c>
      <c r="E3952" s="15">
        <v>33614189</v>
      </c>
      <c r="F3952" s="15">
        <v>3183</v>
      </c>
      <c r="G3952" s="8" t="s">
        <v>12324</v>
      </c>
      <c r="H3952" s="24" t="s">
        <v>6565</v>
      </c>
      <c r="I3952" s="25" t="s">
        <v>6475</v>
      </c>
      <c r="J3952" s="8" t="s">
        <v>6566</v>
      </c>
      <c r="K3952" s="8" t="s">
        <v>10054</v>
      </c>
      <c r="L3952" s="15">
        <v>3.5928300000000003E-2</v>
      </c>
      <c r="M3952" s="15">
        <v>0.85922699999999996</v>
      </c>
      <c r="N3952" s="15">
        <v>0.96471071880536574</v>
      </c>
    </row>
    <row r="3953" spans="1:14" x14ac:dyDescent="0.2">
      <c r="A3953" s="2" t="s">
        <v>10068</v>
      </c>
      <c r="B3953" s="15">
        <v>843</v>
      </c>
      <c r="C3953" s="15">
        <v>5</v>
      </c>
      <c r="D3953" s="15">
        <v>81710195</v>
      </c>
      <c r="E3953" s="15">
        <v>82720248</v>
      </c>
      <c r="F3953" s="15">
        <v>2471</v>
      </c>
      <c r="G3953" s="8" t="s">
        <v>12324</v>
      </c>
      <c r="H3953" s="24" t="s">
        <v>6565</v>
      </c>
      <c r="I3953" s="25" t="s">
        <v>6475</v>
      </c>
      <c r="J3953" s="8" t="s">
        <v>6566</v>
      </c>
      <c r="K3953" s="8" t="s">
        <v>10054</v>
      </c>
      <c r="L3953" s="15">
        <v>-3.9450300000000001E-2</v>
      </c>
      <c r="M3953" s="15">
        <v>0.85943000000000003</v>
      </c>
      <c r="N3953" s="15">
        <v>0.96471071880536574</v>
      </c>
    </row>
    <row r="3954" spans="1:14" x14ac:dyDescent="0.2">
      <c r="A3954" s="2" t="s">
        <v>10068</v>
      </c>
      <c r="B3954" s="15">
        <v>867</v>
      </c>
      <c r="C3954" s="15">
        <v>5</v>
      </c>
      <c r="D3954" s="15">
        <v>109606906</v>
      </c>
      <c r="E3954" s="15">
        <v>110819517</v>
      </c>
      <c r="F3954" s="15">
        <v>2696</v>
      </c>
      <c r="G3954" s="8" t="s">
        <v>12324</v>
      </c>
      <c r="H3954" s="24" t="s">
        <v>599</v>
      </c>
      <c r="I3954" s="25">
        <v>26562</v>
      </c>
      <c r="J3954" s="8" t="s">
        <v>601</v>
      </c>
      <c r="K3954" s="8" t="s">
        <v>10040</v>
      </c>
      <c r="L3954" s="15">
        <v>-3.5281100000000003E-2</v>
      </c>
      <c r="M3954" s="15">
        <v>0.85979499999999998</v>
      </c>
      <c r="N3954" s="15">
        <v>0.96487622090080982</v>
      </c>
    </row>
    <row r="3955" spans="1:14" x14ac:dyDescent="0.2">
      <c r="A3955" s="2" t="s">
        <v>10068</v>
      </c>
      <c r="B3955" s="15">
        <v>2055</v>
      </c>
      <c r="C3955" s="15">
        <v>15</v>
      </c>
      <c r="D3955" s="15">
        <v>47693317</v>
      </c>
      <c r="E3955" s="15">
        <v>49260006</v>
      </c>
      <c r="F3955" s="15">
        <v>2776</v>
      </c>
      <c r="G3955" s="8" t="s">
        <v>12324</v>
      </c>
      <c r="H3955" s="24" t="s">
        <v>6565</v>
      </c>
      <c r="I3955" s="25" t="s">
        <v>6475</v>
      </c>
      <c r="J3955" s="8" t="s">
        <v>6566</v>
      </c>
      <c r="K3955" s="8" t="s">
        <v>10054</v>
      </c>
      <c r="L3955" s="15">
        <v>-3.8566700000000002E-2</v>
      </c>
      <c r="M3955" s="15">
        <v>0.86009999999999998</v>
      </c>
      <c r="N3955" s="15">
        <v>0.96497432329876032</v>
      </c>
    </row>
    <row r="3956" spans="1:14" x14ac:dyDescent="0.2">
      <c r="A3956" s="2" t="s">
        <v>10068</v>
      </c>
      <c r="B3956" s="15">
        <v>1546</v>
      </c>
      <c r="C3956" s="15">
        <v>10</v>
      </c>
      <c r="D3956" s="15">
        <v>65400432</v>
      </c>
      <c r="E3956" s="15">
        <v>66510387</v>
      </c>
      <c r="F3956" s="15">
        <v>2457</v>
      </c>
      <c r="G3956" s="8" t="s">
        <v>12324</v>
      </c>
      <c r="H3956" s="24" t="s">
        <v>494</v>
      </c>
      <c r="I3956" s="25">
        <v>25920</v>
      </c>
      <c r="J3956" s="8" t="s">
        <v>496</v>
      </c>
      <c r="K3956" s="8" t="s">
        <v>10040</v>
      </c>
      <c r="L3956" s="15">
        <v>-6.0523599999999997E-2</v>
      </c>
      <c r="M3956" s="15">
        <v>0.86132900000000001</v>
      </c>
      <c r="N3956" s="15">
        <v>0.96508243748421318</v>
      </c>
    </row>
    <row r="3957" spans="1:14" x14ac:dyDescent="0.2">
      <c r="A3957" s="2" t="s">
        <v>10068</v>
      </c>
      <c r="B3957" s="15">
        <v>446</v>
      </c>
      <c r="C3957" s="15">
        <v>3</v>
      </c>
      <c r="D3957" s="15">
        <v>25516194</v>
      </c>
      <c r="E3957" s="15">
        <v>26905340</v>
      </c>
      <c r="F3957" s="15">
        <v>3449</v>
      </c>
      <c r="G3957" s="8" t="s">
        <v>12324</v>
      </c>
      <c r="H3957" s="24" t="s">
        <v>599</v>
      </c>
      <c r="I3957" s="25">
        <v>26562</v>
      </c>
      <c r="J3957" s="8" t="s">
        <v>601</v>
      </c>
      <c r="K3957" s="8" t="s">
        <v>10040</v>
      </c>
      <c r="L3957" s="15">
        <v>-6.8287399999999998E-2</v>
      </c>
      <c r="M3957" s="15">
        <v>0.86076399999999997</v>
      </c>
      <c r="N3957" s="15">
        <v>0.96508243748421318</v>
      </c>
    </row>
    <row r="3958" spans="1:14" x14ac:dyDescent="0.2">
      <c r="A3958" s="2" t="s">
        <v>10068</v>
      </c>
      <c r="B3958" s="15">
        <v>736</v>
      </c>
      <c r="C3958" s="15">
        <v>4</v>
      </c>
      <c r="D3958" s="15">
        <v>152162099</v>
      </c>
      <c r="E3958" s="15">
        <v>153520883</v>
      </c>
      <c r="F3958" s="15">
        <v>3126</v>
      </c>
      <c r="G3958" s="8" t="s">
        <v>12324</v>
      </c>
      <c r="H3958" s="24" t="s">
        <v>599</v>
      </c>
      <c r="I3958" s="25">
        <v>26562</v>
      </c>
      <c r="J3958" s="8" t="s">
        <v>601</v>
      </c>
      <c r="K3958" s="8" t="s">
        <v>10040</v>
      </c>
      <c r="L3958" s="15">
        <v>-6.0264900000000003E-2</v>
      </c>
      <c r="M3958" s="15">
        <v>0.86150199999999999</v>
      </c>
      <c r="N3958" s="15">
        <v>0.96508243748421318</v>
      </c>
    </row>
    <row r="3959" spans="1:14" x14ac:dyDescent="0.2">
      <c r="A3959" s="2" t="s">
        <v>10069</v>
      </c>
      <c r="B3959" s="15">
        <v>920</v>
      </c>
      <c r="C3959" s="15">
        <v>5</v>
      </c>
      <c r="D3959" s="15">
        <v>173606996</v>
      </c>
      <c r="E3959" s="15">
        <v>174662885</v>
      </c>
      <c r="F3959" s="15">
        <v>2251</v>
      </c>
      <c r="G3959" s="8" t="s">
        <v>12324</v>
      </c>
      <c r="H3959" s="24" t="s">
        <v>662</v>
      </c>
      <c r="I3959" s="25" t="s">
        <v>663</v>
      </c>
      <c r="J3959" s="8" t="s">
        <v>664</v>
      </c>
      <c r="K3959" s="8" t="s">
        <v>10040</v>
      </c>
      <c r="L3959" s="15">
        <v>-4.8671399999999997E-2</v>
      </c>
      <c r="M3959" s="15">
        <v>0.86127399999999998</v>
      </c>
      <c r="N3959" s="15">
        <v>0.96508243748421318</v>
      </c>
    </row>
    <row r="3960" spans="1:14" x14ac:dyDescent="0.2">
      <c r="A3960" s="2" t="s">
        <v>10068</v>
      </c>
      <c r="B3960" s="15">
        <v>2117</v>
      </c>
      <c r="C3960" s="15">
        <v>16</v>
      </c>
      <c r="D3960" s="15">
        <v>12793150</v>
      </c>
      <c r="E3960" s="15">
        <v>13893407</v>
      </c>
      <c r="F3960" s="15">
        <v>3816</v>
      </c>
      <c r="G3960" s="8" t="s">
        <v>12324</v>
      </c>
      <c r="H3960" s="24" t="s">
        <v>1259</v>
      </c>
      <c r="I3960" s="25">
        <v>27096</v>
      </c>
      <c r="J3960" s="8" t="s">
        <v>1261</v>
      </c>
      <c r="K3960" s="8" t="s">
        <v>10040</v>
      </c>
      <c r="L3960" s="15">
        <v>-7.1514099999999997E-2</v>
      </c>
      <c r="M3960" s="15">
        <v>0.86115200000000003</v>
      </c>
      <c r="N3960" s="15">
        <v>0.96508243748421318</v>
      </c>
    </row>
    <row r="3961" spans="1:14" x14ac:dyDescent="0.2">
      <c r="A3961" s="2" t="s">
        <v>10066</v>
      </c>
      <c r="B3961" s="15">
        <v>1995</v>
      </c>
      <c r="C3961" s="15">
        <v>14</v>
      </c>
      <c r="D3961" s="15">
        <v>64033238</v>
      </c>
      <c r="E3961" s="15">
        <v>65229391</v>
      </c>
      <c r="F3961" s="15">
        <v>2615</v>
      </c>
      <c r="G3961" s="8" t="s">
        <v>12324</v>
      </c>
      <c r="H3961" s="24" t="s">
        <v>6008</v>
      </c>
      <c r="I3961" s="25" t="s">
        <v>6009</v>
      </c>
      <c r="J3961" s="8" t="s">
        <v>6010</v>
      </c>
      <c r="K3961" s="8" t="s">
        <v>10051</v>
      </c>
      <c r="L3961" s="15">
        <v>5.1631000000000003E-2</v>
      </c>
      <c r="M3961" s="15">
        <v>0.860711</v>
      </c>
      <c r="N3961" s="15">
        <v>0.96508243748421318</v>
      </c>
    </row>
    <row r="3962" spans="1:14" x14ac:dyDescent="0.2">
      <c r="A3962" s="2" t="s">
        <v>10068</v>
      </c>
      <c r="B3962" s="15">
        <v>2367</v>
      </c>
      <c r="C3962" s="15">
        <v>19</v>
      </c>
      <c r="D3962" s="15">
        <v>57143510</v>
      </c>
      <c r="E3962" s="15">
        <v>57959952</v>
      </c>
      <c r="F3962" s="15">
        <v>2493</v>
      </c>
      <c r="G3962" s="8" t="s">
        <v>12324</v>
      </c>
      <c r="H3962" s="24" t="s">
        <v>599</v>
      </c>
      <c r="I3962" s="25">
        <v>26562</v>
      </c>
      <c r="J3962" s="8" t="s">
        <v>601</v>
      </c>
      <c r="K3962" s="8" t="s">
        <v>10040</v>
      </c>
      <c r="L3962" s="15">
        <v>-3.6772399999999997E-2</v>
      </c>
      <c r="M3962" s="15">
        <v>0.86260099999999995</v>
      </c>
      <c r="N3962" s="15">
        <v>0.965443433005299</v>
      </c>
    </row>
    <row r="3963" spans="1:14" x14ac:dyDescent="0.2">
      <c r="A3963" s="2" t="s">
        <v>10069</v>
      </c>
      <c r="B3963" s="15">
        <v>770</v>
      </c>
      <c r="C3963" s="15">
        <v>4</v>
      </c>
      <c r="D3963" s="15">
        <v>186232883</v>
      </c>
      <c r="E3963" s="15">
        <v>186881568</v>
      </c>
      <c r="F3963" s="15">
        <v>1453</v>
      </c>
      <c r="G3963" s="8" t="s">
        <v>12324</v>
      </c>
      <c r="H3963" s="24" t="s">
        <v>662</v>
      </c>
      <c r="I3963" s="25" t="s">
        <v>663</v>
      </c>
      <c r="J3963" s="8" t="s">
        <v>664</v>
      </c>
      <c r="K3963" s="8" t="s">
        <v>10040</v>
      </c>
      <c r="L3963" s="15">
        <v>-4.0007300000000003E-2</v>
      </c>
      <c r="M3963" s="15">
        <v>0.86249500000000001</v>
      </c>
      <c r="N3963" s="15">
        <v>0.965443433005299</v>
      </c>
    </row>
    <row r="3964" spans="1:14" x14ac:dyDescent="0.2">
      <c r="A3964" s="2" t="s">
        <v>10068</v>
      </c>
      <c r="B3964" s="15">
        <v>2101</v>
      </c>
      <c r="C3964" s="15">
        <v>15</v>
      </c>
      <c r="D3964" s="15">
        <v>101550751</v>
      </c>
      <c r="E3964" s="15">
        <v>102520975</v>
      </c>
      <c r="F3964" s="15">
        <v>2801</v>
      </c>
      <c r="G3964" s="8" t="s">
        <v>12324</v>
      </c>
      <c r="H3964" s="24" t="s">
        <v>1259</v>
      </c>
      <c r="I3964" s="25">
        <v>27096</v>
      </c>
      <c r="J3964" s="8" t="s">
        <v>1261</v>
      </c>
      <c r="K3964" s="8" t="s">
        <v>10040</v>
      </c>
      <c r="L3964" s="15">
        <v>3.14703E-2</v>
      </c>
      <c r="M3964" s="15">
        <v>0.86269499999999999</v>
      </c>
      <c r="N3964" s="15">
        <v>0.965443433005299</v>
      </c>
    </row>
    <row r="3965" spans="1:14" x14ac:dyDescent="0.2">
      <c r="A3965" s="2" t="s">
        <v>10066</v>
      </c>
      <c r="B3965" s="15">
        <v>2118</v>
      </c>
      <c r="C3965" s="15">
        <v>16</v>
      </c>
      <c r="D3965" s="15">
        <v>13893408</v>
      </c>
      <c r="E3965" s="15">
        <v>15921108</v>
      </c>
      <c r="F3965" s="15">
        <v>3354</v>
      </c>
      <c r="G3965" s="8" t="s">
        <v>12324</v>
      </c>
      <c r="H3965" s="24" t="s">
        <v>6008</v>
      </c>
      <c r="I3965" s="25" t="s">
        <v>6009</v>
      </c>
      <c r="J3965" s="8" t="s">
        <v>6010</v>
      </c>
      <c r="K3965" s="8" t="s">
        <v>10051</v>
      </c>
      <c r="L3965" s="15">
        <v>-4.8245099999999999E-2</v>
      </c>
      <c r="M3965" s="15">
        <v>0.86268800000000001</v>
      </c>
      <c r="N3965" s="15">
        <v>0.965443433005299</v>
      </c>
    </row>
    <row r="3966" spans="1:14" x14ac:dyDescent="0.2">
      <c r="A3966" s="2" t="s">
        <v>10068</v>
      </c>
      <c r="B3966" s="15">
        <v>1675</v>
      </c>
      <c r="C3966" s="15">
        <v>11</v>
      </c>
      <c r="D3966" s="15">
        <v>66782662</v>
      </c>
      <c r="E3966" s="15">
        <v>68000949</v>
      </c>
      <c r="F3966" s="15">
        <v>2796</v>
      </c>
      <c r="G3966" s="8" t="s">
        <v>12324</v>
      </c>
      <c r="H3966" s="24" t="s">
        <v>6565</v>
      </c>
      <c r="I3966" s="25" t="s">
        <v>6475</v>
      </c>
      <c r="J3966" s="8" t="s">
        <v>6566</v>
      </c>
      <c r="K3966" s="8" t="s">
        <v>10054</v>
      </c>
      <c r="L3966" s="15">
        <v>4.74464E-2</v>
      </c>
      <c r="M3966" s="15">
        <v>0.86352700000000004</v>
      </c>
      <c r="N3966" s="15">
        <v>0.96613073789101933</v>
      </c>
    </row>
    <row r="3967" spans="1:14" x14ac:dyDescent="0.2">
      <c r="A3967" s="2" t="s">
        <v>10068</v>
      </c>
      <c r="B3967" s="15">
        <v>2350</v>
      </c>
      <c r="C3967" s="15">
        <v>19</v>
      </c>
      <c r="D3967" s="15">
        <v>43960959</v>
      </c>
      <c r="E3967" s="15">
        <v>45040932</v>
      </c>
      <c r="F3967" s="15">
        <v>2980</v>
      </c>
      <c r="G3967" s="8" t="s">
        <v>12324</v>
      </c>
      <c r="H3967" s="24" t="s">
        <v>599</v>
      </c>
      <c r="I3967" s="25">
        <v>26562</v>
      </c>
      <c r="J3967" s="8" t="s">
        <v>601</v>
      </c>
      <c r="K3967" s="8" t="s">
        <v>10040</v>
      </c>
      <c r="L3967" s="15">
        <v>-4.0092799999999998E-2</v>
      </c>
      <c r="M3967" s="15">
        <v>0.86460899999999996</v>
      </c>
      <c r="N3967" s="15">
        <v>0.96685348335854771</v>
      </c>
    </row>
    <row r="3968" spans="1:14" x14ac:dyDescent="0.2">
      <c r="A3968" s="2" t="s">
        <v>10066</v>
      </c>
      <c r="B3968" s="15">
        <v>445</v>
      </c>
      <c r="C3968" s="15">
        <v>3</v>
      </c>
      <c r="D3968" s="15">
        <v>24270190</v>
      </c>
      <c r="E3968" s="15">
        <v>25516193</v>
      </c>
      <c r="F3968" s="15">
        <v>3986</v>
      </c>
      <c r="G3968" s="8" t="s">
        <v>12324</v>
      </c>
      <c r="H3968" s="24" t="s">
        <v>6008</v>
      </c>
      <c r="I3968" s="25" t="s">
        <v>6009</v>
      </c>
      <c r="J3968" s="8" t="s">
        <v>6010</v>
      </c>
      <c r="K3968" s="8" t="s">
        <v>10051</v>
      </c>
      <c r="L3968" s="15">
        <v>-5.1834499999999999E-2</v>
      </c>
      <c r="M3968" s="15">
        <v>0.86439100000000002</v>
      </c>
      <c r="N3968" s="15">
        <v>0.96685348335854771</v>
      </c>
    </row>
    <row r="3969" spans="1:14" x14ac:dyDescent="0.2">
      <c r="A3969" s="2" t="s">
        <v>10068</v>
      </c>
      <c r="B3969" s="15">
        <v>15</v>
      </c>
      <c r="C3969" s="15">
        <v>1</v>
      </c>
      <c r="D3969" s="15">
        <v>13481026</v>
      </c>
      <c r="E3969" s="15">
        <v>14720131</v>
      </c>
      <c r="F3969" s="15">
        <v>3288</v>
      </c>
      <c r="G3969" s="8" t="s">
        <v>12324</v>
      </c>
      <c r="H3969" s="24" t="s">
        <v>494</v>
      </c>
      <c r="I3969" s="25">
        <v>25920</v>
      </c>
      <c r="J3969" s="8" t="s">
        <v>496</v>
      </c>
      <c r="K3969" s="8" t="s">
        <v>10040</v>
      </c>
      <c r="L3969" s="15">
        <v>3.85987E-2</v>
      </c>
      <c r="M3969" s="15">
        <v>0.86550700000000003</v>
      </c>
      <c r="N3969" s="15">
        <v>0.96712603904282113</v>
      </c>
    </row>
    <row r="3970" spans="1:14" x14ac:dyDescent="0.2">
      <c r="A3970" s="2" t="s">
        <v>10068</v>
      </c>
      <c r="B3970" s="15">
        <v>1721</v>
      </c>
      <c r="C3970" s="15">
        <v>11</v>
      </c>
      <c r="D3970" s="15">
        <v>114742318</v>
      </c>
      <c r="E3970" s="15">
        <v>116247377</v>
      </c>
      <c r="F3970" s="15">
        <v>3428</v>
      </c>
      <c r="G3970" s="8" t="s">
        <v>12324</v>
      </c>
      <c r="H3970" s="24" t="s">
        <v>494</v>
      </c>
      <c r="I3970" s="25">
        <v>25920</v>
      </c>
      <c r="J3970" s="8" t="s">
        <v>496</v>
      </c>
      <c r="K3970" s="8" t="s">
        <v>10040</v>
      </c>
      <c r="L3970" s="15">
        <v>5.0304099999999997E-2</v>
      </c>
      <c r="M3970" s="15">
        <v>0.865533</v>
      </c>
      <c r="N3970" s="15">
        <v>0.96712603904282113</v>
      </c>
    </row>
    <row r="3971" spans="1:14" x14ac:dyDescent="0.2">
      <c r="A3971" s="2" t="s">
        <v>10068</v>
      </c>
      <c r="B3971" s="15">
        <v>1761</v>
      </c>
      <c r="C3971" s="15">
        <v>12</v>
      </c>
      <c r="D3971" s="15">
        <v>20866286</v>
      </c>
      <c r="E3971" s="15">
        <v>21572252</v>
      </c>
      <c r="F3971" s="15">
        <v>2689</v>
      </c>
      <c r="G3971" s="8" t="s">
        <v>12324</v>
      </c>
      <c r="H3971" s="24" t="s">
        <v>1259</v>
      </c>
      <c r="I3971" s="25">
        <v>27096</v>
      </c>
      <c r="J3971" s="8" t="s">
        <v>1261</v>
      </c>
      <c r="K3971" s="8" t="s">
        <v>10040</v>
      </c>
      <c r="L3971" s="15">
        <v>-5.7563099999999999E-2</v>
      </c>
      <c r="M3971" s="15">
        <v>0.86516700000000002</v>
      </c>
      <c r="N3971" s="15">
        <v>0.96712603904282113</v>
      </c>
    </row>
    <row r="3972" spans="1:14" x14ac:dyDescent="0.2">
      <c r="A3972" s="2" t="s">
        <v>10068</v>
      </c>
      <c r="B3972" s="15">
        <v>2060</v>
      </c>
      <c r="C3972" s="15">
        <v>15</v>
      </c>
      <c r="D3972" s="15">
        <v>54332800</v>
      </c>
      <c r="E3972" s="15">
        <v>55136717</v>
      </c>
      <c r="F3972" s="15">
        <v>2989</v>
      </c>
      <c r="G3972" s="8" t="s">
        <v>12324</v>
      </c>
      <c r="H3972" s="24" t="s">
        <v>6565</v>
      </c>
      <c r="I3972" s="25" t="s">
        <v>6475</v>
      </c>
      <c r="J3972" s="8" t="s">
        <v>6566</v>
      </c>
      <c r="K3972" s="8" t="s">
        <v>10054</v>
      </c>
      <c r="L3972" s="15">
        <v>5.7063799999999998E-2</v>
      </c>
      <c r="M3972" s="15">
        <v>0.86572499999999997</v>
      </c>
      <c r="N3972" s="15">
        <v>0.96712603904282113</v>
      </c>
    </row>
    <row r="3973" spans="1:14" x14ac:dyDescent="0.2">
      <c r="A3973" s="2" t="s">
        <v>10068</v>
      </c>
      <c r="B3973" s="15">
        <v>2188</v>
      </c>
      <c r="C3973" s="15">
        <v>17</v>
      </c>
      <c r="D3973" s="15">
        <v>14508611</v>
      </c>
      <c r="E3973" s="15">
        <v>15308722</v>
      </c>
      <c r="F3973" s="15">
        <v>2867</v>
      </c>
      <c r="G3973" s="8" t="s">
        <v>12324</v>
      </c>
      <c r="H3973" s="24" t="s">
        <v>494</v>
      </c>
      <c r="I3973" s="25">
        <v>25920</v>
      </c>
      <c r="J3973" s="8" t="s">
        <v>496</v>
      </c>
      <c r="K3973" s="8" t="s">
        <v>10040</v>
      </c>
      <c r="L3973" s="15">
        <v>3.7499699999999997E-2</v>
      </c>
      <c r="M3973" s="15">
        <v>0.86667000000000005</v>
      </c>
      <c r="N3973" s="15">
        <v>0.96745065441731704</v>
      </c>
    </row>
    <row r="3974" spans="1:14" x14ac:dyDescent="0.2">
      <c r="A3974" s="2" t="s">
        <v>10068</v>
      </c>
      <c r="B3974" s="15">
        <v>583</v>
      </c>
      <c r="C3974" s="15">
        <v>3</v>
      </c>
      <c r="D3974" s="15">
        <v>185709997</v>
      </c>
      <c r="E3974" s="15">
        <v>186602045</v>
      </c>
      <c r="F3974" s="15">
        <v>2253</v>
      </c>
      <c r="G3974" s="8" t="s">
        <v>12324</v>
      </c>
      <c r="H3974" s="24" t="s">
        <v>599</v>
      </c>
      <c r="I3974" s="25">
        <v>26562</v>
      </c>
      <c r="J3974" s="8" t="s">
        <v>601</v>
      </c>
      <c r="K3974" s="8" t="s">
        <v>10040</v>
      </c>
      <c r="L3974" s="15">
        <v>-4.4880700000000003E-2</v>
      </c>
      <c r="M3974" s="15">
        <v>0.866317</v>
      </c>
      <c r="N3974" s="15">
        <v>0.96745065441731704</v>
      </c>
    </row>
    <row r="3975" spans="1:14" x14ac:dyDescent="0.2">
      <c r="A3975" s="2" t="s">
        <v>10068</v>
      </c>
      <c r="B3975" s="15">
        <v>2320</v>
      </c>
      <c r="C3975" s="15">
        <v>19</v>
      </c>
      <c r="D3975" s="15">
        <v>13213187</v>
      </c>
      <c r="E3975" s="15">
        <v>13968319</v>
      </c>
      <c r="F3975" s="15">
        <v>2121</v>
      </c>
      <c r="G3975" s="8" t="s">
        <v>12324</v>
      </c>
      <c r="H3975" s="24" t="s">
        <v>1259</v>
      </c>
      <c r="I3975" s="25">
        <v>27096</v>
      </c>
      <c r="J3975" s="8" t="s">
        <v>1261</v>
      </c>
      <c r="K3975" s="8" t="s">
        <v>10040</v>
      </c>
      <c r="L3975" s="15">
        <v>4.4017899999999999E-2</v>
      </c>
      <c r="M3975" s="15">
        <v>0.86659399999999998</v>
      </c>
      <c r="N3975" s="15">
        <v>0.96745065441731704</v>
      </c>
    </row>
    <row r="3976" spans="1:14" x14ac:dyDescent="0.2">
      <c r="A3976" s="2" t="s">
        <v>10068</v>
      </c>
      <c r="B3976" s="15">
        <v>483</v>
      </c>
      <c r="C3976" s="15">
        <v>3</v>
      </c>
      <c r="D3976" s="15">
        <v>71223282</v>
      </c>
      <c r="E3976" s="15">
        <v>72334704</v>
      </c>
      <c r="F3976" s="15">
        <v>2929</v>
      </c>
      <c r="G3976" s="8" t="s">
        <v>12324</v>
      </c>
      <c r="H3976" s="24" t="s">
        <v>494</v>
      </c>
      <c r="I3976" s="25">
        <v>25920</v>
      </c>
      <c r="J3976" s="8" t="s">
        <v>496</v>
      </c>
      <c r="K3976" s="8" t="s">
        <v>10040</v>
      </c>
      <c r="L3976" s="15">
        <v>6.8826399999999996E-2</v>
      </c>
      <c r="M3976" s="15">
        <v>0.86788500000000002</v>
      </c>
      <c r="N3976" s="15">
        <v>0.96817687641296157</v>
      </c>
    </row>
    <row r="3977" spans="1:14" x14ac:dyDescent="0.2">
      <c r="A3977" s="2" t="s">
        <v>10068</v>
      </c>
      <c r="B3977" s="15">
        <v>1624</v>
      </c>
      <c r="C3977" s="15">
        <v>11</v>
      </c>
      <c r="D3977" s="15">
        <v>11632651</v>
      </c>
      <c r="E3977" s="15">
        <v>12470449</v>
      </c>
      <c r="F3977" s="15">
        <v>2689</v>
      </c>
      <c r="G3977" s="8" t="s">
        <v>12324</v>
      </c>
      <c r="H3977" s="24" t="s">
        <v>599</v>
      </c>
      <c r="I3977" s="25">
        <v>26562</v>
      </c>
      <c r="J3977" s="8" t="s">
        <v>601</v>
      </c>
      <c r="K3977" s="8" t="s">
        <v>10040</v>
      </c>
      <c r="L3977" s="15">
        <v>-6.1475599999999998E-2</v>
      </c>
      <c r="M3977" s="15">
        <v>0.86855400000000005</v>
      </c>
      <c r="N3977" s="15">
        <v>0.96817687641296157</v>
      </c>
    </row>
    <row r="3978" spans="1:14" x14ac:dyDescent="0.2">
      <c r="A3978" s="2" t="s">
        <v>10068</v>
      </c>
      <c r="B3978" s="15">
        <v>246</v>
      </c>
      <c r="C3978" s="15">
        <v>2</v>
      </c>
      <c r="D3978" s="15">
        <v>41540440</v>
      </c>
      <c r="E3978" s="15">
        <v>42307418</v>
      </c>
      <c r="F3978" s="15">
        <v>2706</v>
      </c>
      <c r="G3978" s="8" t="s">
        <v>12324</v>
      </c>
      <c r="H3978" s="24" t="s">
        <v>599</v>
      </c>
      <c r="I3978" s="25">
        <v>26562</v>
      </c>
      <c r="J3978" s="8" t="s">
        <v>601</v>
      </c>
      <c r="K3978" s="8" t="s">
        <v>10040</v>
      </c>
      <c r="L3978" s="15">
        <v>-2.3659099999999999E-2</v>
      </c>
      <c r="M3978" s="15">
        <v>0.86906700000000003</v>
      </c>
      <c r="N3978" s="15">
        <v>0.96817687641296157</v>
      </c>
    </row>
    <row r="3979" spans="1:14" x14ac:dyDescent="0.2">
      <c r="A3979" s="2" t="s">
        <v>10069</v>
      </c>
      <c r="B3979" s="15">
        <v>673</v>
      </c>
      <c r="C3979" s="15">
        <v>4</v>
      </c>
      <c r="D3979" s="15">
        <v>79880102</v>
      </c>
      <c r="E3979" s="15">
        <v>81206182</v>
      </c>
      <c r="F3979" s="15">
        <v>2141</v>
      </c>
      <c r="G3979" s="8" t="s">
        <v>12324</v>
      </c>
      <c r="H3979" s="24" t="s">
        <v>662</v>
      </c>
      <c r="I3979" s="25" t="s">
        <v>663</v>
      </c>
      <c r="J3979" s="8" t="s">
        <v>664</v>
      </c>
      <c r="K3979" s="8" t="s">
        <v>10040</v>
      </c>
      <c r="L3979" s="15">
        <v>-6.8914500000000004E-2</v>
      </c>
      <c r="M3979" s="15">
        <v>0.86848599999999998</v>
      </c>
      <c r="N3979" s="15">
        <v>0.96817687641296157</v>
      </c>
    </row>
    <row r="3980" spans="1:14" x14ac:dyDescent="0.2">
      <c r="A3980" s="2" t="s">
        <v>10069</v>
      </c>
      <c r="B3980" s="15">
        <v>2187</v>
      </c>
      <c r="C3980" s="15">
        <v>17</v>
      </c>
      <c r="D3980" s="15">
        <v>13648447</v>
      </c>
      <c r="E3980" s="15">
        <v>14508610</v>
      </c>
      <c r="F3980" s="15">
        <v>1883</v>
      </c>
      <c r="G3980" s="8" t="s">
        <v>12324</v>
      </c>
      <c r="H3980" s="24" t="s">
        <v>662</v>
      </c>
      <c r="I3980" s="25" t="s">
        <v>663</v>
      </c>
      <c r="J3980" s="8" t="s">
        <v>664</v>
      </c>
      <c r="K3980" s="8" t="s">
        <v>10040</v>
      </c>
      <c r="L3980" s="15">
        <v>-6.4819000000000002E-2</v>
      </c>
      <c r="M3980" s="15">
        <v>0.86849600000000005</v>
      </c>
      <c r="N3980" s="15">
        <v>0.96817687641296157</v>
      </c>
    </row>
    <row r="3981" spans="1:14" x14ac:dyDescent="0.2">
      <c r="A3981" s="2" t="s">
        <v>10069</v>
      </c>
      <c r="B3981" s="15">
        <v>15</v>
      </c>
      <c r="C3981" s="15">
        <v>1</v>
      </c>
      <c r="D3981" s="15">
        <v>13481026</v>
      </c>
      <c r="E3981" s="15">
        <v>14720131</v>
      </c>
      <c r="F3981" s="15">
        <v>2133</v>
      </c>
      <c r="G3981" s="8" t="s">
        <v>12324</v>
      </c>
      <c r="H3981" s="24" t="s">
        <v>662</v>
      </c>
      <c r="I3981" s="25" t="s">
        <v>663</v>
      </c>
      <c r="J3981" s="8" t="s">
        <v>664</v>
      </c>
      <c r="K3981" s="8" t="s">
        <v>10040</v>
      </c>
      <c r="L3981" s="15">
        <v>3.8956699999999997E-2</v>
      </c>
      <c r="M3981" s="15">
        <v>0.86890500000000004</v>
      </c>
      <c r="N3981" s="15">
        <v>0.96817687641296157</v>
      </c>
    </row>
    <row r="3982" spans="1:14" x14ac:dyDescent="0.2">
      <c r="A3982" s="2" t="s">
        <v>10068</v>
      </c>
      <c r="B3982" s="15">
        <v>2119</v>
      </c>
      <c r="C3982" s="15">
        <v>16</v>
      </c>
      <c r="D3982" s="15">
        <v>15921109</v>
      </c>
      <c r="E3982" s="15">
        <v>17343277</v>
      </c>
      <c r="F3982" s="15">
        <v>3028</v>
      </c>
      <c r="G3982" s="8" t="s">
        <v>12324</v>
      </c>
      <c r="H3982" s="24" t="s">
        <v>1259</v>
      </c>
      <c r="I3982" s="25">
        <v>27096</v>
      </c>
      <c r="J3982" s="8" t="s">
        <v>1261</v>
      </c>
      <c r="K3982" s="8" t="s">
        <v>10040</v>
      </c>
      <c r="L3982" s="15">
        <v>-2.21738E-2</v>
      </c>
      <c r="M3982" s="15">
        <v>0.86818399999999996</v>
      </c>
      <c r="N3982" s="15">
        <v>0.96817687641296157</v>
      </c>
    </row>
    <row r="3983" spans="1:14" x14ac:dyDescent="0.2">
      <c r="A3983" s="2" t="s">
        <v>10068</v>
      </c>
      <c r="B3983" s="15">
        <v>2198</v>
      </c>
      <c r="C3983" s="15">
        <v>17</v>
      </c>
      <c r="D3983" s="15">
        <v>31318754</v>
      </c>
      <c r="E3983" s="15">
        <v>32356061</v>
      </c>
      <c r="F3983" s="15">
        <v>3123</v>
      </c>
      <c r="G3983" s="8" t="s">
        <v>12324</v>
      </c>
      <c r="H3983" s="24" t="s">
        <v>6565</v>
      </c>
      <c r="I3983" s="25" t="s">
        <v>6475</v>
      </c>
      <c r="J3983" s="8" t="s">
        <v>6566</v>
      </c>
      <c r="K3983" s="8" t="s">
        <v>10054</v>
      </c>
      <c r="L3983" s="15">
        <v>3.6250400000000002E-2</v>
      </c>
      <c r="M3983" s="15">
        <v>0.86888699999999996</v>
      </c>
      <c r="N3983" s="15">
        <v>0.96817687641296157</v>
      </c>
    </row>
    <row r="3984" spans="1:14" x14ac:dyDescent="0.2">
      <c r="A3984" s="2" t="s">
        <v>10066</v>
      </c>
      <c r="B3984" s="15">
        <v>2338</v>
      </c>
      <c r="C3984" s="15">
        <v>19</v>
      </c>
      <c r="D3984" s="15">
        <v>31763009</v>
      </c>
      <c r="E3984" s="15">
        <v>33028099</v>
      </c>
      <c r="F3984" s="15">
        <v>2832</v>
      </c>
      <c r="G3984" s="8" t="s">
        <v>12324</v>
      </c>
      <c r="H3984" s="24" t="s">
        <v>3164</v>
      </c>
      <c r="I3984" s="25" t="s">
        <v>3165</v>
      </c>
      <c r="J3984" s="8" t="s">
        <v>3166</v>
      </c>
      <c r="K3984" s="8" t="s">
        <v>10042</v>
      </c>
      <c r="L3984" s="15">
        <v>-3.0816799999999998E-2</v>
      </c>
      <c r="M3984" s="15">
        <v>0.870228</v>
      </c>
      <c r="N3984" s="15">
        <v>0.96922681567051727</v>
      </c>
    </row>
    <row r="3985" spans="1:14" x14ac:dyDescent="0.2">
      <c r="A3985" s="2" t="s">
        <v>10068</v>
      </c>
      <c r="B3985" s="15">
        <v>1726</v>
      </c>
      <c r="C3985" s="15">
        <v>11</v>
      </c>
      <c r="D3985" s="15">
        <v>121208187</v>
      </c>
      <c r="E3985" s="15">
        <v>122589224</v>
      </c>
      <c r="F3985" s="15">
        <v>3110</v>
      </c>
      <c r="G3985" s="8" t="s">
        <v>12324</v>
      </c>
      <c r="H3985" s="24" t="s">
        <v>494</v>
      </c>
      <c r="I3985" s="25">
        <v>25920</v>
      </c>
      <c r="J3985" s="8" t="s">
        <v>496</v>
      </c>
      <c r="K3985" s="8" t="s">
        <v>10040</v>
      </c>
      <c r="L3985" s="15">
        <v>-4.2978099999999998E-2</v>
      </c>
      <c r="M3985" s="15">
        <v>0.87151999999999996</v>
      </c>
      <c r="N3985" s="15">
        <v>0.96944850764986201</v>
      </c>
    </row>
    <row r="3986" spans="1:14" x14ac:dyDescent="0.2">
      <c r="A3986" s="2" t="s">
        <v>10068</v>
      </c>
      <c r="B3986" s="15">
        <v>2292</v>
      </c>
      <c r="C3986" s="15">
        <v>18</v>
      </c>
      <c r="D3986" s="15">
        <v>64253144</v>
      </c>
      <c r="E3986" s="15">
        <v>65294195</v>
      </c>
      <c r="F3986" s="15">
        <v>3098</v>
      </c>
      <c r="G3986" s="8" t="s">
        <v>12324</v>
      </c>
      <c r="H3986" s="24" t="s">
        <v>1259</v>
      </c>
      <c r="I3986" s="25">
        <v>27096</v>
      </c>
      <c r="J3986" s="8" t="s">
        <v>1261</v>
      </c>
      <c r="K3986" s="8" t="s">
        <v>10040</v>
      </c>
      <c r="L3986" s="15">
        <v>-3.5329800000000001E-2</v>
      </c>
      <c r="M3986" s="15">
        <v>0.87111099999999997</v>
      </c>
      <c r="N3986" s="15">
        <v>0.96944850764986201</v>
      </c>
    </row>
    <row r="3987" spans="1:14" x14ac:dyDescent="0.2">
      <c r="A3987" s="2" t="s">
        <v>10066</v>
      </c>
      <c r="B3987" s="15">
        <v>2233</v>
      </c>
      <c r="C3987" s="15">
        <v>17</v>
      </c>
      <c r="D3987" s="15">
        <v>76596288</v>
      </c>
      <c r="E3987" s="15">
        <v>77412786</v>
      </c>
      <c r="F3987" s="15">
        <v>2890</v>
      </c>
      <c r="G3987" s="8" t="s">
        <v>12324</v>
      </c>
      <c r="H3987" s="24" t="s">
        <v>3164</v>
      </c>
      <c r="I3987" s="25" t="s">
        <v>3165</v>
      </c>
      <c r="J3987" s="8" t="s">
        <v>3166</v>
      </c>
      <c r="K3987" s="8" t="s">
        <v>10042</v>
      </c>
      <c r="L3987" s="15">
        <v>3.92973E-2</v>
      </c>
      <c r="M3987" s="15">
        <v>0.87117500000000003</v>
      </c>
      <c r="N3987" s="15">
        <v>0.96944850764986201</v>
      </c>
    </row>
    <row r="3988" spans="1:14" x14ac:dyDescent="0.2">
      <c r="A3988" s="2" t="s">
        <v>10066</v>
      </c>
      <c r="B3988" s="15">
        <v>1022</v>
      </c>
      <c r="C3988" s="15">
        <v>6</v>
      </c>
      <c r="D3988" s="15">
        <v>89974268</v>
      </c>
      <c r="E3988" s="15">
        <v>91097024</v>
      </c>
      <c r="F3988" s="15">
        <v>2305</v>
      </c>
      <c r="G3988" s="8" t="s">
        <v>12324</v>
      </c>
      <c r="H3988" s="24" t="s">
        <v>6008</v>
      </c>
      <c r="I3988" s="25" t="s">
        <v>6009</v>
      </c>
      <c r="J3988" s="8" t="s">
        <v>6010</v>
      </c>
      <c r="K3988" s="8" t="s">
        <v>10051</v>
      </c>
      <c r="L3988" s="15">
        <v>-2.4433300000000002E-2</v>
      </c>
      <c r="M3988" s="15">
        <v>0.87136400000000003</v>
      </c>
      <c r="N3988" s="15">
        <v>0.96944850764986201</v>
      </c>
    </row>
    <row r="3989" spans="1:14" x14ac:dyDescent="0.2">
      <c r="A3989" s="2" t="s">
        <v>10068</v>
      </c>
      <c r="B3989" s="15">
        <v>1702</v>
      </c>
      <c r="C3989" s="15">
        <v>11</v>
      </c>
      <c r="D3989" s="15">
        <v>95327211</v>
      </c>
      <c r="E3989" s="15">
        <v>96150134</v>
      </c>
      <c r="F3989" s="15">
        <v>2211</v>
      </c>
      <c r="G3989" s="8" t="s">
        <v>12324</v>
      </c>
      <c r="H3989" s="24" t="s">
        <v>6565</v>
      </c>
      <c r="I3989" s="25" t="s">
        <v>6475</v>
      </c>
      <c r="J3989" s="8" t="s">
        <v>6566</v>
      </c>
      <c r="K3989" s="8" t="s">
        <v>10054</v>
      </c>
      <c r="L3989" s="15">
        <v>4.6054400000000002E-2</v>
      </c>
      <c r="M3989" s="15">
        <v>0.87077400000000005</v>
      </c>
      <c r="N3989" s="15">
        <v>0.96944850764986201</v>
      </c>
    </row>
    <row r="3990" spans="1:14" x14ac:dyDescent="0.2">
      <c r="A3990" s="2" t="s">
        <v>10066</v>
      </c>
      <c r="B3990" s="15">
        <v>1884</v>
      </c>
      <c r="C3990" s="15">
        <v>13</v>
      </c>
      <c r="D3990" s="15">
        <v>41003944</v>
      </c>
      <c r="E3990" s="15">
        <v>42037054</v>
      </c>
      <c r="F3990" s="15">
        <v>2153</v>
      </c>
      <c r="G3990" s="8" t="s">
        <v>12324</v>
      </c>
      <c r="H3990" s="24" t="s">
        <v>3164</v>
      </c>
      <c r="I3990" s="25" t="s">
        <v>3165</v>
      </c>
      <c r="J3990" s="8" t="s">
        <v>3166</v>
      </c>
      <c r="K3990" s="8" t="s">
        <v>10042</v>
      </c>
      <c r="L3990" s="15">
        <v>-6.3926999999999998E-2</v>
      </c>
      <c r="M3990" s="15">
        <v>0.87209000000000003</v>
      </c>
      <c r="N3990" s="15">
        <v>0.96957769924812021</v>
      </c>
    </row>
    <row r="3991" spans="1:14" x14ac:dyDescent="0.2">
      <c r="A3991" s="2" t="s">
        <v>10066</v>
      </c>
      <c r="B3991" s="15">
        <v>359</v>
      </c>
      <c r="C3991" s="15">
        <v>2</v>
      </c>
      <c r="D3991" s="15">
        <v>174118390</v>
      </c>
      <c r="E3991" s="15">
        <v>174927563</v>
      </c>
      <c r="F3991" s="15">
        <v>2119</v>
      </c>
      <c r="G3991" s="8" t="s">
        <v>12324</v>
      </c>
      <c r="H3991" s="24" t="s">
        <v>3164</v>
      </c>
      <c r="I3991" s="25" t="s">
        <v>3165</v>
      </c>
      <c r="J3991" s="8" t="s">
        <v>3166</v>
      </c>
      <c r="K3991" s="8" t="s">
        <v>10042</v>
      </c>
      <c r="L3991" s="15">
        <v>-2.4070100000000001E-2</v>
      </c>
      <c r="M3991" s="15">
        <v>0.87229199999999996</v>
      </c>
      <c r="N3991" s="15">
        <v>0.96957769924812021</v>
      </c>
    </row>
    <row r="3992" spans="1:14" x14ac:dyDescent="0.2">
      <c r="A3992" s="2" t="s">
        <v>10068</v>
      </c>
      <c r="B3992" s="15">
        <v>2246</v>
      </c>
      <c r="C3992" s="15">
        <v>18</v>
      </c>
      <c r="D3992" s="15">
        <v>7862480</v>
      </c>
      <c r="E3992" s="15">
        <v>8788524</v>
      </c>
      <c r="F3992" s="15">
        <v>3052</v>
      </c>
      <c r="G3992" s="8" t="s">
        <v>12324</v>
      </c>
      <c r="H3992" s="24" t="s">
        <v>6565</v>
      </c>
      <c r="I3992" s="25" t="s">
        <v>6475</v>
      </c>
      <c r="J3992" s="8" t="s">
        <v>6566</v>
      </c>
      <c r="K3992" s="8" t="s">
        <v>10054</v>
      </c>
      <c r="L3992" s="15">
        <v>4.3127499999999999E-2</v>
      </c>
      <c r="M3992" s="15">
        <v>0.87187599999999998</v>
      </c>
      <c r="N3992" s="15">
        <v>0.96957769924812021</v>
      </c>
    </row>
    <row r="3993" spans="1:14" x14ac:dyDescent="0.2">
      <c r="A3993" s="2" t="s">
        <v>10068</v>
      </c>
      <c r="B3993" s="15">
        <v>575</v>
      </c>
      <c r="C3993" s="15">
        <v>3</v>
      </c>
      <c r="D3993" s="15">
        <v>174684708</v>
      </c>
      <c r="E3993" s="15">
        <v>175671424</v>
      </c>
      <c r="F3993" s="15">
        <v>2984</v>
      </c>
      <c r="G3993" s="8" t="s">
        <v>12324</v>
      </c>
      <c r="H3993" s="24" t="s">
        <v>599</v>
      </c>
      <c r="I3993" s="25">
        <v>26562</v>
      </c>
      <c r="J3993" s="8" t="s">
        <v>601</v>
      </c>
      <c r="K3993" s="8" t="s">
        <v>10040</v>
      </c>
      <c r="L3993" s="15">
        <v>3.6105900000000003E-2</v>
      </c>
      <c r="M3993" s="15">
        <v>0.87260400000000005</v>
      </c>
      <c r="N3993" s="15">
        <v>0.9696814683036834</v>
      </c>
    </row>
    <row r="3994" spans="1:14" x14ac:dyDescent="0.2">
      <c r="A3994" s="2" t="s">
        <v>10068</v>
      </c>
      <c r="B3994" s="15">
        <v>1844</v>
      </c>
      <c r="C3994" s="15">
        <v>12</v>
      </c>
      <c r="D3994" s="15">
        <v>115439452</v>
      </c>
      <c r="E3994" s="15">
        <v>116197675</v>
      </c>
      <c r="F3994" s="15">
        <v>2298</v>
      </c>
      <c r="G3994" s="8" t="s">
        <v>12324</v>
      </c>
      <c r="H3994" s="24" t="s">
        <v>1259</v>
      </c>
      <c r="I3994" s="25">
        <v>27096</v>
      </c>
      <c r="J3994" s="8" t="s">
        <v>1261</v>
      </c>
      <c r="K3994" s="8" t="s">
        <v>10040</v>
      </c>
      <c r="L3994" s="15">
        <v>-4.3798900000000002E-2</v>
      </c>
      <c r="M3994" s="15">
        <v>0.87289300000000003</v>
      </c>
      <c r="N3994" s="15">
        <v>0.96970336463811679</v>
      </c>
    </row>
    <row r="3995" spans="1:14" x14ac:dyDescent="0.2">
      <c r="A3995" s="2" t="s">
        <v>10068</v>
      </c>
      <c r="B3995" s="15">
        <v>2465</v>
      </c>
      <c r="C3995" s="15">
        <v>22</v>
      </c>
      <c r="D3995" s="15">
        <v>19635655</v>
      </c>
      <c r="E3995" s="15">
        <v>20969184</v>
      </c>
      <c r="F3995" s="15">
        <v>2781</v>
      </c>
      <c r="G3995" s="8" t="s">
        <v>12324</v>
      </c>
      <c r="H3995" s="24" t="s">
        <v>6565</v>
      </c>
      <c r="I3995" s="25" t="s">
        <v>6475</v>
      </c>
      <c r="J3995" s="8" t="s">
        <v>6566</v>
      </c>
      <c r="K3995" s="8" t="s">
        <v>10054</v>
      </c>
      <c r="L3995" s="15">
        <v>-2.2235700000000001E-2</v>
      </c>
      <c r="M3995" s="15">
        <v>0.87306099999999998</v>
      </c>
      <c r="N3995" s="15">
        <v>0.96970336463811679</v>
      </c>
    </row>
    <row r="3996" spans="1:14" x14ac:dyDescent="0.2">
      <c r="A3996" s="2" t="s">
        <v>10069</v>
      </c>
      <c r="B3996" s="15">
        <v>2181</v>
      </c>
      <c r="C3996" s="15">
        <v>17</v>
      </c>
      <c r="D3996" s="15">
        <v>7264459</v>
      </c>
      <c r="E3996" s="15">
        <v>8554763</v>
      </c>
      <c r="F3996" s="15">
        <v>1839</v>
      </c>
      <c r="G3996" s="8" t="s">
        <v>12324</v>
      </c>
      <c r="H3996" s="24" t="s">
        <v>662</v>
      </c>
      <c r="I3996" s="25" t="s">
        <v>663</v>
      </c>
      <c r="J3996" s="8" t="s">
        <v>664</v>
      </c>
      <c r="K3996" s="8" t="s">
        <v>10040</v>
      </c>
      <c r="L3996" s="15">
        <v>4.1566100000000002E-2</v>
      </c>
      <c r="M3996" s="15">
        <v>0.87372000000000005</v>
      </c>
      <c r="N3996" s="15">
        <v>0.9699494868585733</v>
      </c>
    </row>
    <row r="3997" spans="1:14" x14ac:dyDescent="0.2">
      <c r="A3997" s="2" t="s">
        <v>10068</v>
      </c>
      <c r="B3997" s="15">
        <v>431</v>
      </c>
      <c r="C3997" s="15">
        <v>3</v>
      </c>
      <c r="D3997" s="15">
        <v>8664893</v>
      </c>
      <c r="E3997" s="15">
        <v>9970731</v>
      </c>
      <c r="F3997" s="15">
        <v>3534</v>
      </c>
      <c r="G3997" s="8" t="s">
        <v>12324</v>
      </c>
      <c r="H3997" s="24" t="s">
        <v>1259</v>
      </c>
      <c r="I3997" s="25">
        <v>27096</v>
      </c>
      <c r="J3997" s="8" t="s">
        <v>1261</v>
      </c>
      <c r="K3997" s="8" t="s">
        <v>10040</v>
      </c>
      <c r="L3997" s="15">
        <v>-5.4082900000000003E-2</v>
      </c>
      <c r="M3997" s="15">
        <v>0.87352700000000005</v>
      </c>
      <c r="N3997" s="15">
        <v>0.9699494868585733</v>
      </c>
    </row>
    <row r="3998" spans="1:14" x14ac:dyDescent="0.2">
      <c r="A3998" s="2" t="s">
        <v>10068</v>
      </c>
      <c r="B3998" s="15">
        <v>1215</v>
      </c>
      <c r="C3998" s="15">
        <v>7</v>
      </c>
      <c r="D3998" s="15">
        <v>138755108</v>
      </c>
      <c r="E3998" s="15">
        <v>140217630</v>
      </c>
      <c r="F3998" s="15">
        <v>3477</v>
      </c>
      <c r="G3998" s="8" t="s">
        <v>12324</v>
      </c>
      <c r="H3998" s="24" t="s">
        <v>494</v>
      </c>
      <c r="I3998" s="25">
        <v>25920</v>
      </c>
      <c r="J3998" s="8" t="s">
        <v>496</v>
      </c>
      <c r="K3998" s="8" t="s">
        <v>10040</v>
      </c>
      <c r="L3998" s="15">
        <v>-3.6493900000000003E-2</v>
      </c>
      <c r="M3998" s="15">
        <v>0.87465599999999999</v>
      </c>
      <c r="N3998" s="15">
        <v>0.97032896437346439</v>
      </c>
    </row>
    <row r="3999" spans="1:14" x14ac:dyDescent="0.2">
      <c r="A3999" s="2" t="s">
        <v>10068</v>
      </c>
      <c r="B3999" s="15">
        <v>754</v>
      </c>
      <c r="C3999" s="15">
        <v>4</v>
      </c>
      <c r="D3999" s="15">
        <v>171643020</v>
      </c>
      <c r="E3999" s="15">
        <v>172555990</v>
      </c>
      <c r="F3999" s="15">
        <v>2824</v>
      </c>
      <c r="G3999" s="8" t="s">
        <v>12324</v>
      </c>
      <c r="H3999" s="24" t="s">
        <v>494</v>
      </c>
      <c r="I3999" s="25">
        <v>25920</v>
      </c>
      <c r="J3999" s="8" t="s">
        <v>496</v>
      </c>
      <c r="K3999" s="8" t="s">
        <v>10040</v>
      </c>
      <c r="L3999" s="15">
        <v>5.9615300000000003E-2</v>
      </c>
      <c r="M3999" s="15">
        <v>0.875641</v>
      </c>
      <c r="N3999" s="15">
        <v>0.97032896437346439</v>
      </c>
    </row>
    <row r="4000" spans="1:14" x14ac:dyDescent="0.2">
      <c r="A4000" s="2" t="s">
        <v>10068</v>
      </c>
      <c r="B4000" s="15">
        <v>1093</v>
      </c>
      <c r="C4000" s="15">
        <v>6</v>
      </c>
      <c r="D4000" s="15">
        <v>169667887</v>
      </c>
      <c r="E4000" s="15">
        <v>171053405</v>
      </c>
      <c r="F4000" s="15">
        <v>3867</v>
      </c>
      <c r="G4000" s="8" t="s">
        <v>12324</v>
      </c>
      <c r="H4000" s="24" t="s">
        <v>494</v>
      </c>
      <c r="I4000" s="25">
        <v>25920</v>
      </c>
      <c r="J4000" s="8" t="s">
        <v>496</v>
      </c>
      <c r="K4000" s="8" t="s">
        <v>10040</v>
      </c>
      <c r="L4000" s="15">
        <v>-4.6810900000000003E-2</v>
      </c>
      <c r="M4000" s="15">
        <v>0.877359</v>
      </c>
      <c r="N4000" s="15">
        <v>0.97032896437346439</v>
      </c>
    </row>
    <row r="4001" spans="1:14" x14ac:dyDescent="0.2">
      <c r="A4001" s="2" t="s">
        <v>10068</v>
      </c>
      <c r="B4001" s="15">
        <v>313</v>
      </c>
      <c r="C4001" s="15">
        <v>2</v>
      </c>
      <c r="D4001" s="15">
        <v>121073753</v>
      </c>
      <c r="E4001" s="15">
        <v>122026817</v>
      </c>
      <c r="F4001" s="15">
        <v>2636</v>
      </c>
      <c r="G4001" s="8" t="s">
        <v>12324</v>
      </c>
      <c r="H4001" s="24" t="s">
        <v>494</v>
      </c>
      <c r="I4001" s="25">
        <v>25920</v>
      </c>
      <c r="J4001" s="8" t="s">
        <v>496</v>
      </c>
      <c r="K4001" s="8" t="s">
        <v>10040</v>
      </c>
      <c r="L4001" s="15">
        <v>-2.5577300000000001E-2</v>
      </c>
      <c r="M4001" s="15">
        <v>0.87748800000000005</v>
      </c>
      <c r="N4001" s="15">
        <v>0.97032896437346439</v>
      </c>
    </row>
    <row r="4002" spans="1:14" x14ac:dyDescent="0.2">
      <c r="A4002" s="2" t="s">
        <v>10068</v>
      </c>
      <c r="B4002" s="15">
        <v>2081</v>
      </c>
      <c r="C4002" s="15">
        <v>15</v>
      </c>
      <c r="D4002" s="15">
        <v>79998207</v>
      </c>
      <c r="E4002" s="15">
        <v>81077025</v>
      </c>
      <c r="F4002" s="15">
        <v>3046</v>
      </c>
      <c r="G4002" s="8" t="s">
        <v>12324</v>
      </c>
      <c r="H4002" s="24" t="s">
        <v>494</v>
      </c>
      <c r="I4002" s="25">
        <v>25920</v>
      </c>
      <c r="J4002" s="8" t="s">
        <v>496</v>
      </c>
      <c r="K4002" s="8" t="s">
        <v>10040</v>
      </c>
      <c r="L4002" s="15">
        <v>3.9354600000000003E-2</v>
      </c>
      <c r="M4002" s="15">
        <v>0.87820299999999996</v>
      </c>
      <c r="N4002" s="15">
        <v>0.97032896437346439</v>
      </c>
    </row>
    <row r="4003" spans="1:14" x14ac:dyDescent="0.2">
      <c r="A4003" s="2" t="s">
        <v>10068</v>
      </c>
      <c r="B4003" s="15">
        <v>2342</v>
      </c>
      <c r="C4003" s="15">
        <v>19</v>
      </c>
      <c r="D4003" s="15">
        <v>35649344</v>
      </c>
      <c r="E4003" s="15">
        <v>36638122</v>
      </c>
      <c r="F4003" s="15">
        <v>2732</v>
      </c>
      <c r="G4003" s="8" t="s">
        <v>12324</v>
      </c>
      <c r="H4003" s="24" t="s">
        <v>494</v>
      </c>
      <c r="I4003" s="25">
        <v>25920</v>
      </c>
      <c r="J4003" s="8" t="s">
        <v>496</v>
      </c>
      <c r="K4003" s="8" t="s">
        <v>10040</v>
      </c>
      <c r="L4003" s="15">
        <v>2.9123599999999999E-2</v>
      </c>
      <c r="M4003" s="15">
        <v>0.88122599999999995</v>
      </c>
      <c r="N4003" s="15">
        <v>0.97032896437346439</v>
      </c>
    </row>
    <row r="4004" spans="1:14" x14ac:dyDescent="0.2">
      <c r="A4004" s="2" t="s">
        <v>10068</v>
      </c>
      <c r="B4004" s="15">
        <v>1088</v>
      </c>
      <c r="C4004" s="15">
        <v>6</v>
      </c>
      <c r="D4004" s="15">
        <v>164687463</v>
      </c>
      <c r="E4004" s="15">
        <v>165835953</v>
      </c>
      <c r="F4004" s="15">
        <v>3985</v>
      </c>
      <c r="G4004" s="8" t="s">
        <v>12324</v>
      </c>
      <c r="H4004" s="24" t="s">
        <v>494</v>
      </c>
      <c r="I4004" s="25">
        <v>25920</v>
      </c>
      <c r="J4004" s="8" t="s">
        <v>496</v>
      </c>
      <c r="K4004" s="8" t="s">
        <v>10040</v>
      </c>
      <c r="L4004" s="15">
        <v>3.1763699999999999E-2</v>
      </c>
      <c r="M4004" s="15">
        <v>0.88313799999999998</v>
      </c>
      <c r="N4004" s="15">
        <v>0.97032896437346439</v>
      </c>
    </row>
    <row r="4005" spans="1:14" x14ac:dyDescent="0.2">
      <c r="A4005" s="2" t="s">
        <v>10068</v>
      </c>
      <c r="B4005" s="15">
        <v>2072</v>
      </c>
      <c r="C4005" s="15">
        <v>15</v>
      </c>
      <c r="D4005" s="15">
        <v>69089816</v>
      </c>
      <c r="E4005" s="15">
        <v>70767983</v>
      </c>
      <c r="F4005" s="15">
        <v>3934</v>
      </c>
      <c r="G4005" s="8" t="s">
        <v>12324</v>
      </c>
      <c r="H4005" s="24" t="s">
        <v>494</v>
      </c>
      <c r="I4005" s="25">
        <v>25920</v>
      </c>
      <c r="J4005" s="8" t="s">
        <v>496</v>
      </c>
      <c r="K4005" s="8" t="s">
        <v>10040</v>
      </c>
      <c r="L4005" s="15">
        <v>3.5834999999999999E-2</v>
      </c>
      <c r="M4005" s="15">
        <v>0.88561100000000004</v>
      </c>
      <c r="N4005" s="15">
        <v>0.97032896437346439</v>
      </c>
    </row>
    <row r="4006" spans="1:14" x14ac:dyDescent="0.2">
      <c r="A4006" s="2" t="s">
        <v>10068</v>
      </c>
      <c r="B4006" s="15">
        <v>2353</v>
      </c>
      <c r="C4006" s="15">
        <v>19</v>
      </c>
      <c r="D4006" s="15">
        <v>46765061</v>
      </c>
      <c r="E4006" s="15">
        <v>47752727</v>
      </c>
      <c r="F4006" s="15">
        <v>2450</v>
      </c>
      <c r="G4006" s="8" t="s">
        <v>12324</v>
      </c>
      <c r="H4006" s="24" t="s">
        <v>494</v>
      </c>
      <c r="I4006" s="25">
        <v>25920</v>
      </c>
      <c r="J4006" s="8" t="s">
        <v>496</v>
      </c>
      <c r="K4006" s="8" t="s">
        <v>10040</v>
      </c>
      <c r="L4006" s="15">
        <v>-2.5186099999999999E-2</v>
      </c>
      <c r="M4006" s="15">
        <v>0.88783299999999998</v>
      </c>
      <c r="N4006" s="15">
        <v>0.97032896437346439</v>
      </c>
    </row>
    <row r="4007" spans="1:14" x14ac:dyDescent="0.2">
      <c r="A4007" s="2" t="s">
        <v>10068</v>
      </c>
      <c r="B4007" s="15">
        <v>2044</v>
      </c>
      <c r="C4007" s="15">
        <v>15</v>
      </c>
      <c r="D4007" s="15">
        <v>33484268</v>
      </c>
      <c r="E4007" s="15">
        <v>34410072</v>
      </c>
      <c r="F4007" s="15">
        <v>3215</v>
      </c>
      <c r="G4007" s="8" t="s">
        <v>12324</v>
      </c>
      <c r="H4007" s="24" t="s">
        <v>599</v>
      </c>
      <c r="I4007" s="25">
        <v>26562</v>
      </c>
      <c r="J4007" s="8" t="s">
        <v>601</v>
      </c>
      <c r="K4007" s="8" t="s">
        <v>10040</v>
      </c>
      <c r="L4007" s="15">
        <v>-3.9458E-2</v>
      </c>
      <c r="M4007" s="15">
        <v>0.87482800000000005</v>
      </c>
      <c r="N4007" s="15">
        <v>0.97032896437346439</v>
      </c>
    </row>
    <row r="4008" spans="1:14" x14ac:dyDescent="0.2">
      <c r="A4008" s="2" t="s">
        <v>10068</v>
      </c>
      <c r="B4008" s="15">
        <v>2443</v>
      </c>
      <c r="C4008" s="15">
        <v>21</v>
      </c>
      <c r="D4008" s="15">
        <v>27774351</v>
      </c>
      <c r="E4008" s="15">
        <v>28616539</v>
      </c>
      <c r="F4008" s="15">
        <v>2900</v>
      </c>
      <c r="G4008" s="8" t="s">
        <v>12324</v>
      </c>
      <c r="H4008" s="24" t="s">
        <v>599</v>
      </c>
      <c r="I4008" s="25">
        <v>26562</v>
      </c>
      <c r="J4008" s="8" t="s">
        <v>601</v>
      </c>
      <c r="K4008" s="8" t="s">
        <v>10040</v>
      </c>
      <c r="L4008" s="15">
        <v>3.0963000000000001E-2</v>
      </c>
      <c r="M4008" s="15">
        <v>0.87537500000000001</v>
      </c>
      <c r="N4008" s="15">
        <v>0.97032896437346439</v>
      </c>
    </row>
    <row r="4009" spans="1:14" x14ac:dyDescent="0.2">
      <c r="A4009" s="2" t="s">
        <v>10068</v>
      </c>
      <c r="B4009" s="15">
        <v>1141</v>
      </c>
      <c r="C4009" s="15">
        <v>7</v>
      </c>
      <c r="D4009" s="15">
        <v>44989572</v>
      </c>
      <c r="E4009" s="15">
        <v>46247335</v>
      </c>
      <c r="F4009" s="15">
        <v>3861</v>
      </c>
      <c r="G4009" s="8" t="s">
        <v>12324</v>
      </c>
      <c r="H4009" s="24" t="s">
        <v>599</v>
      </c>
      <c r="I4009" s="25">
        <v>26562</v>
      </c>
      <c r="J4009" s="8" t="s">
        <v>601</v>
      </c>
      <c r="K4009" s="8" t="s">
        <v>10040</v>
      </c>
      <c r="L4009" s="15">
        <v>4.7273000000000003E-2</v>
      </c>
      <c r="M4009" s="15">
        <v>0.88129000000000002</v>
      </c>
      <c r="N4009" s="15">
        <v>0.97032896437346439</v>
      </c>
    </row>
    <row r="4010" spans="1:14" x14ac:dyDescent="0.2">
      <c r="A4010" s="2" t="s">
        <v>10068</v>
      </c>
      <c r="B4010" s="15">
        <v>1822</v>
      </c>
      <c r="C4010" s="15">
        <v>12</v>
      </c>
      <c r="D4010" s="15">
        <v>90567002</v>
      </c>
      <c r="E4010" s="15">
        <v>92061179</v>
      </c>
      <c r="F4010" s="15">
        <v>3443</v>
      </c>
      <c r="G4010" s="8" t="s">
        <v>12324</v>
      </c>
      <c r="H4010" s="24" t="s">
        <v>599</v>
      </c>
      <c r="I4010" s="25">
        <v>26562</v>
      </c>
      <c r="J4010" s="8" t="s">
        <v>601</v>
      </c>
      <c r="K4010" s="8" t="s">
        <v>10040</v>
      </c>
      <c r="L4010" s="15">
        <v>-3.01821E-2</v>
      </c>
      <c r="M4010" s="15">
        <v>0.88250200000000001</v>
      </c>
      <c r="N4010" s="15">
        <v>0.97032896437346439</v>
      </c>
    </row>
    <row r="4011" spans="1:14" x14ac:dyDescent="0.2">
      <c r="A4011" s="2" t="s">
        <v>10068</v>
      </c>
      <c r="B4011" s="15">
        <v>2369</v>
      </c>
      <c r="C4011" s="15">
        <v>20</v>
      </c>
      <c r="D4011" s="15">
        <v>60795</v>
      </c>
      <c r="E4011" s="15">
        <v>884241</v>
      </c>
      <c r="F4011" s="15">
        <v>2902</v>
      </c>
      <c r="G4011" s="8" t="s">
        <v>12324</v>
      </c>
      <c r="H4011" s="24" t="s">
        <v>599</v>
      </c>
      <c r="I4011" s="25">
        <v>26562</v>
      </c>
      <c r="J4011" s="8" t="s">
        <v>601</v>
      </c>
      <c r="K4011" s="8" t="s">
        <v>10040</v>
      </c>
      <c r="L4011" s="15">
        <v>-2.7777699999999999E-2</v>
      </c>
      <c r="M4011" s="15">
        <v>0.88264900000000002</v>
      </c>
      <c r="N4011" s="15">
        <v>0.97032896437346439</v>
      </c>
    </row>
    <row r="4012" spans="1:14" x14ac:dyDescent="0.2">
      <c r="A4012" s="2" t="s">
        <v>10068</v>
      </c>
      <c r="B4012" s="15">
        <v>1208</v>
      </c>
      <c r="C4012" s="15">
        <v>7</v>
      </c>
      <c r="D4012" s="15">
        <v>128779174</v>
      </c>
      <c r="E4012" s="15">
        <v>130418704</v>
      </c>
      <c r="F4012" s="15">
        <v>3730</v>
      </c>
      <c r="G4012" s="8" t="s">
        <v>12324</v>
      </c>
      <c r="H4012" s="24" t="s">
        <v>599</v>
      </c>
      <c r="I4012" s="25">
        <v>26562</v>
      </c>
      <c r="J4012" s="8" t="s">
        <v>601</v>
      </c>
      <c r="K4012" s="8" t="s">
        <v>10040</v>
      </c>
      <c r="L4012" s="15">
        <v>4.0739600000000001E-2</v>
      </c>
      <c r="M4012" s="15">
        <v>0.88393299999999997</v>
      </c>
      <c r="N4012" s="15">
        <v>0.97032896437346439</v>
      </c>
    </row>
    <row r="4013" spans="1:14" x14ac:dyDescent="0.2">
      <c r="A4013" s="2" t="s">
        <v>10068</v>
      </c>
      <c r="B4013" s="15">
        <v>2322</v>
      </c>
      <c r="C4013" s="15">
        <v>19</v>
      </c>
      <c r="D4013" s="15">
        <v>14891101</v>
      </c>
      <c r="E4013" s="15">
        <v>15650185</v>
      </c>
      <c r="F4013" s="15">
        <v>2310</v>
      </c>
      <c r="G4013" s="8" t="s">
        <v>12324</v>
      </c>
      <c r="H4013" s="24" t="s">
        <v>599</v>
      </c>
      <c r="I4013" s="25">
        <v>26562</v>
      </c>
      <c r="J4013" s="8" t="s">
        <v>601</v>
      </c>
      <c r="K4013" s="8" t="s">
        <v>10040</v>
      </c>
      <c r="L4013" s="15">
        <v>-2.1005099999999999E-2</v>
      </c>
      <c r="M4013" s="15">
        <v>0.88398699999999997</v>
      </c>
      <c r="N4013" s="15">
        <v>0.97032896437346439</v>
      </c>
    </row>
    <row r="4014" spans="1:14" x14ac:dyDescent="0.2">
      <c r="A4014" s="2" t="s">
        <v>10068</v>
      </c>
      <c r="B4014" s="15">
        <v>1239</v>
      </c>
      <c r="C4014" s="15">
        <v>8</v>
      </c>
      <c r="D4014" s="15">
        <v>3386668</v>
      </c>
      <c r="E4014" s="15">
        <v>3787248</v>
      </c>
      <c r="F4014" s="15">
        <v>2841</v>
      </c>
      <c r="G4014" s="8" t="s">
        <v>12324</v>
      </c>
      <c r="H4014" s="24" t="s">
        <v>599</v>
      </c>
      <c r="I4014" s="25">
        <v>26562</v>
      </c>
      <c r="J4014" s="8" t="s">
        <v>601</v>
      </c>
      <c r="K4014" s="8" t="s">
        <v>10040</v>
      </c>
      <c r="L4014" s="15">
        <v>-2.83868E-2</v>
      </c>
      <c r="M4014" s="15">
        <v>0.88603799999999999</v>
      </c>
      <c r="N4014" s="15">
        <v>0.97032896437346439</v>
      </c>
    </row>
    <row r="4015" spans="1:14" x14ac:dyDescent="0.2">
      <c r="A4015" s="2" t="s">
        <v>10068</v>
      </c>
      <c r="B4015" s="15">
        <v>413</v>
      </c>
      <c r="C4015" s="15">
        <v>2</v>
      </c>
      <c r="D4015" s="15">
        <v>236276288</v>
      </c>
      <c r="E4015" s="15">
        <v>237194297</v>
      </c>
      <c r="F4015" s="15">
        <v>2280</v>
      </c>
      <c r="G4015" s="8" t="s">
        <v>12324</v>
      </c>
      <c r="H4015" s="24" t="s">
        <v>599</v>
      </c>
      <c r="I4015" s="25">
        <v>26562</v>
      </c>
      <c r="J4015" s="8" t="s">
        <v>601</v>
      </c>
      <c r="K4015" s="8" t="s">
        <v>10040</v>
      </c>
      <c r="L4015" s="15">
        <v>-4.1313299999999997E-2</v>
      </c>
      <c r="M4015" s="15">
        <v>0.88839999999999997</v>
      </c>
      <c r="N4015" s="15">
        <v>0.97032896437346439</v>
      </c>
    </row>
    <row r="4016" spans="1:14" x14ac:dyDescent="0.2">
      <c r="A4016" s="2" t="s">
        <v>10068</v>
      </c>
      <c r="B4016" s="15">
        <v>410</v>
      </c>
      <c r="C4016" s="15">
        <v>2</v>
      </c>
      <c r="D4016" s="15">
        <v>234115093</v>
      </c>
      <c r="E4016" s="15">
        <v>234945577</v>
      </c>
      <c r="F4016" s="15">
        <v>2135</v>
      </c>
      <c r="G4016" s="8" t="s">
        <v>12324</v>
      </c>
      <c r="H4016" s="24" t="s">
        <v>599</v>
      </c>
      <c r="I4016" s="25">
        <v>26562</v>
      </c>
      <c r="J4016" s="8" t="s">
        <v>601</v>
      </c>
      <c r="K4016" s="8" t="s">
        <v>10040</v>
      </c>
      <c r="L4016" s="15">
        <v>2.7360499999999999E-2</v>
      </c>
      <c r="M4016" s="15">
        <v>0.88934000000000002</v>
      </c>
      <c r="N4016" s="15">
        <v>0.97032896437346439</v>
      </c>
    </row>
    <row r="4017" spans="1:14" x14ac:dyDescent="0.2">
      <c r="A4017" s="2" t="s">
        <v>10068</v>
      </c>
      <c r="B4017" s="15">
        <v>756</v>
      </c>
      <c r="C4017" s="15">
        <v>4</v>
      </c>
      <c r="D4017" s="15">
        <v>174470207</v>
      </c>
      <c r="E4017" s="15">
        <v>175295842</v>
      </c>
      <c r="F4017" s="15">
        <v>2079</v>
      </c>
      <c r="G4017" s="8" t="s">
        <v>12324</v>
      </c>
      <c r="H4017" s="24" t="s">
        <v>599</v>
      </c>
      <c r="I4017" s="25">
        <v>26562</v>
      </c>
      <c r="J4017" s="8" t="s">
        <v>601</v>
      </c>
      <c r="K4017" s="8" t="s">
        <v>10040</v>
      </c>
      <c r="L4017" s="15">
        <v>4.1516900000000002E-2</v>
      </c>
      <c r="M4017" s="15">
        <v>0.88941599999999998</v>
      </c>
      <c r="N4017" s="15">
        <v>0.97032896437346439</v>
      </c>
    </row>
    <row r="4018" spans="1:14" x14ac:dyDescent="0.2">
      <c r="A4018" s="2" t="s">
        <v>10068</v>
      </c>
      <c r="B4018" s="15">
        <v>589</v>
      </c>
      <c r="C4018" s="15">
        <v>3</v>
      </c>
      <c r="D4018" s="15">
        <v>192049689</v>
      </c>
      <c r="E4018" s="15">
        <v>193122090</v>
      </c>
      <c r="F4018" s="15">
        <v>2947</v>
      </c>
      <c r="G4018" s="8" t="s">
        <v>12324</v>
      </c>
      <c r="H4018" s="24" t="s">
        <v>599</v>
      </c>
      <c r="I4018" s="25">
        <v>26562</v>
      </c>
      <c r="J4018" s="8" t="s">
        <v>601</v>
      </c>
      <c r="K4018" s="8" t="s">
        <v>10040</v>
      </c>
      <c r="L4018" s="15">
        <v>-2.0384800000000002E-2</v>
      </c>
      <c r="M4018" s="15">
        <v>0.88945300000000005</v>
      </c>
      <c r="N4018" s="15">
        <v>0.97032896437346439</v>
      </c>
    </row>
    <row r="4019" spans="1:14" x14ac:dyDescent="0.2">
      <c r="A4019" s="2" t="s">
        <v>10068</v>
      </c>
      <c r="B4019" s="15">
        <v>412</v>
      </c>
      <c r="C4019" s="15">
        <v>2</v>
      </c>
      <c r="D4019" s="15">
        <v>235625790</v>
      </c>
      <c r="E4019" s="15">
        <v>236276287</v>
      </c>
      <c r="F4019" s="15">
        <v>2341</v>
      </c>
      <c r="G4019" s="8" t="s">
        <v>12324</v>
      </c>
      <c r="H4019" s="24" t="s">
        <v>599</v>
      </c>
      <c r="I4019" s="25">
        <v>26562</v>
      </c>
      <c r="J4019" s="8" t="s">
        <v>601</v>
      </c>
      <c r="K4019" s="8" t="s">
        <v>10040</v>
      </c>
      <c r="L4019" s="15">
        <v>2.0529499999999999E-2</v>
      </c>
      <c r="M4019" s="15">
        <v>0.890042</v>
      </c>
      <c r="N4019" s="15">
        <v>0.97032896437346439</v>
      </c>
    </row>
    <row r="4020" spans="1:14" x14ac:dyDescent="0.2">
      <c r="A4020" s="2" t="s">
        <v>10068</v>
      </c>
      <c r="B4020" s="15">
        <v>2223</v>
      </c>
      <c r="C4020" s="15">
        <v>17</v>
      </c>
      <c r="D4020" s="15">
        <v>65582328</v>
      </c>
      <c r="E4020" s="15">
        <v>66757556</v>
      </c>
      <c r="F4020" s="15">
        <v>2936</v>
      </c>
      <c r="G4020" s="8" t="s">
        <v>12324</v>
      </c>
      <c r="H4020" s="24" t="s">
        <v>599</v>
      </c>
      <c r="I4020" s="25">
        <v>26562</v>
      </c>
      <c r="J4020" s="8" t="s">
        <v>601</v>
      </c>
      <c r="K4020" s="8" t="s">
        <v>10040</v>
      </c>
      <c r="L4020" s="15">
        <v>3.61666E-2</v>
      </c>
      <c r="M4020" s="15">
        <v>0.89026700000000003</v>
      </c>
      <c r="N4020" s="15">
        <v>0.97032896437346439</v>
      </c>
    </row>
    <row r="4021" spans="1:14" x14ac:dyDescent="0.2">
      <c r="A4021" s="2" t="s">
        <v>10068</v>
      </c>
      <c r="B4021" s="15">
        <v>271</v>
      </c>
      <c r="C4021" s="15">
        <v>2</v>
      </c>
      <c r="D4021" s="15">
        <v>64696090</v>
      </c>
      <c r="E4021" s="15">
        <v>65938002</v>
      </c>
      <c r="F4021" s="15">
        <v>3152</v>
      </c>
      <c r="G4021" s="8" t="s">
        <v>12324</v>
      </c>
      <c r="H4021" s="24" t="s">
        <v>599</v>
      </c>
      <c r="I4021" s="25">
        <v>26562</v>
      </c>
      <c r="J4021" s="8" t="s">
        <v>601</v>
      </c>
      <c r="K4021" s="8" t="s">
        <v>10040</v>
      </c>
      <c r="L4021" s="15">
        <v>2.2872099999999999E-2</v>
      </c>
      <c r="M4021" s="15">
        <v>0.89047100000000001</v>
      </c>
      <c r="N4021" s="15">
        <v>0.97032896437346439</v>
      </c>
    </row>
    <row r="4022" spans="1:14" x14ac:dyDescent="0.2">
      <c r="A4022" s="2" t="s">
        <v>10069</v>
      </c>
      <c r="B4022" s="15">
        <v>105</v>
      </c>
      <c r="C4022" s="15">
        <v>1</v>
      </c>
      <c r="D4022" s="15">
        <v>119408889</v>
      </c>
      <c r="E4022" s="15">
        <v>120345066</v>
      </c>
      <c r="F4022" s="15">
        <v>1468</v>
      </c>
      <c r="G4022" s="8" t="s">
        <v>12324</v>
      </c>
      <c r="H4022" s="24" t="s">
        <v>662</v>
      </c>
      <c r="I4022" s="25" t="s">
        <v>663</v>
      </c>
      <c r="J4022" s="8" t="s">
        <v>664</v>
      </c>
      <c r="K4022" s="8" t="s">
        <v>10040</v>
      </c>
      <c r="L4022" s="15">
        <v>5.3149500000000002E-2</v>
      </c>
      <c r="M4022" s="15">
        <v>0.87665899999999997</v>
      </c>
      <c r="N4022" s="15">
        <v>0.97032896437346439</v>
      </c>
    </row>
    <row r="4023" spans="1:14" x14ac:dyDescent="0.2">
      <c r="A4023" s="2" t="s">
        <v>10069</v>
      </c>
      <c r="B4023" s="15">
        <v>21</v>
      </c>
      <c r="C4023" s="15">
        <v>1</v>
      </c>
      <c r="D4023" s="15">
        <v>19238925</v>
      </c>
      <c r="E4023" s="15">
        <v>20556202</v>
      </c>
      <c r="F4023" s="15">
        <v>2524</v>
      </c>
      <c r="G4023" s="8" t="s">
        <v>12324</v>
      </c>
      <c r="H4023" s="24" t="s">
        <v>662</v>
      </c>
      <c r="I4023" s="25" t="s">
        <v>663</v>
      </c>
      <c r="J4023" s="8" t="s">
        <v>664</v>
      </c>
      <c r="K4023" s="8" t="s">
        <v>10040</v>
      </c>
      <c r="L4023" s="15">
        <v>-5.0627499999999999E-2</v>
      </c>
      <c r="M4023" s="15">
        <v>0.87901300000000004</v>
      </c>
      <c r="N4023" s="15">
        <v>0.97032896437346439</v>
      </c>
    </row>
    <row r="4024" spans="1:14" x14ac:dyDescent="0.2">
      <c r="A4024" s="2" t="s">
        <v>10069</v>
      </c>
      <c r="B4024" s="15">
        <v>2378</v>
      </c>
      <c r="C4024" s="15">
        <v>20</v>
      </c>
      <c r="D4024" s="15">
        <v>7959829</v>
      </c>
      <c r="E4024" s="15">
        <v>9279550</v>
      </c>
      <c r="F4024" s="15">
        <v>2364</v>
      </c>
      <c r="G4024" s="8" t="s">
        <v>12324</v>
      </c>
      <c r="H4024" s="24" t="s">
        <v>662</v>
      </c>
      <c r="I4024" s="25" t="s">
        <v>663</v>
      </c>
      <c r="J4024" s="8" t="s">
        <v>664</v>
      </c>
      <c r="K4024" s="8" t="s">
        <v>10040</v>
      </c>
      <c r="L4024" s="15">
        <v>-3.4527599999999999E-2</v>
      </c>
      <c r="M4024" s="15">
        <v>0.88018799999999997</v>
      </c>
      <c r="N4024" s="15">
        <v>0.97032896437346439</v>
      </c>
    </row>
    <row r="4025" spans="1:14" x14ac:dyDescent="0.2">
      <c r="A4025" s="2" t="s">
        <v>10069</v>
      </c>
      <c r="B4025" s="15">
        <v>2163</v>
      </c>
      <c r="C4025" s="15">
        <v>16</v>
      </c>
      <c r="D4025" s="15">
        <v>82310205</v>
      </c>
      <c r="E4025" s="15">
        <v>83077869</v>
      </c>
      <c r="F4025" s="15">
        <v>2214</v>
      </c>
      <c r="G4025" s="8" t="s">
        <v>12324</v>
      </c>
      <c r="H4025" s="24" t="s">
        <v>662</v>
      </c>
      <c r="I4025" s="25" t="s">
        <v>663</v>
      </c>
      <c r="J4025" s="8" t="s">
        <v>664</v>
      </c>
      <c r="K4025" s="8" t="s">
        <v>10040</v>
      </c>
      <c r="L4025" s="15">
        <v>4.8604599999999998E-2</v>
      </c>
      <c r="M4025" s="15">
        <v>0.88454699999999997</v>
      </c>
      <c r="N4025" s="15">
        <v>0.97032896437346439</v>
      </c>
    </row>
    <row r="4026" spans="1:14" x14ac:dyDescent="0.2">
      <c r="A4026" s="2" t="s">
        <v>10069</v>
      </c>
      <c r="B4026" s="15">
        <v>1221</v>
      </c>
      <c r="C4026" s="15">
        <v>7</v>
      </c>
      <c r="D4026" s="15">
        <v>147352172</v>
      </c>
      <c r="E4026" s="15">
        <v>148622913</v>
      </c>
      <c r="F4026" s="15">
        <v>2500</v>
      </c>
      <c r="G4026" s="8" t="s">
        <v>12324</v>
      </c>
      <c r="H4026" s="24" t="s">
        <v>662</v>
      </c>
      <c r="I4026" s="25" t="s">
        <v>663</v>
      </c>
      <c r="J4026" s="8" t="s">
        <v>664</v>
      </c>
      <c r="K4026" s="8" t="s">
        <v>10040</v>
      </c>
      <c r="L4026" s="15">
        <v>-5.5474799999999998E-2</v>
      </c>
      <c r="M4026" s="15">
        <v>0.89046099999999995</v>
      </c>
      <c r="N4026" s="15">
        <v>0.97032896437346439</v>
      </c>
    </row>
    <row r="4027" spans="1:14" x14ac:dyDescent="0.2">
      <c r="A4027" s="2" t="s">
        <v>10068</v>
      </c>
      <c r="B4027" s="15">
        <v>58</v>
      </c>
      <c r="C4027" s="15">
        <v>1</v>
      </c>
      <c r="D4027" s="15">
        <v>67761891</v>
      </c>
      <c r="E4027" s="15">
        <v>68633860</v>
      </c>
      <c r="F4027" s="15">
        <v>2142</v>
      </c>
      <c r="G4027" s="8" t="s">
        <v>12324</v>
      </c>
      <c r="H4027" s="24" t="s">
        <v>1259</v>
      </c>
      <c r="I4027" s="25">
        <v>27096</v>
      </c>
      <c r="J4027" s="8" t="s">
        <v>1261</v>
      </c>
      <c r="K4027" s="8" t="s">
        <v>10040</v>
      </c>
      <c r="L4027" s="15">
        <v>2.7762100000000001E-2</v>
      </c>
      <c r="M4027" s="15">
        <v>0.87579600000000002</v>
      </c>
      <c r="N4027" s="15">
        <v>0.97032896437346439</v>
      </c>
    </row>
    <row r="4028" spans="1:14" x14ac:dyDescent="0.2">
      <c r="A4028" s="2" t="s">
        <v>10068</v>
      </c>
      <c r="B4028" s="15">
        <v>1684</v>
      </c>
      <c r="C4028" s="15">
        <v>11</v>
      </c>
      <c r="D4028" s="15">
        <v>77719871</v>
      </c>
      <c r="E4028" s="15">
        <v>78912252</v>
      </c>
      <c r="F4028" s="15">
        <v>2693</v>
      </c>
      <c r="G4028" s="8" t="s">
        <v>12324</v>
      </c>
      <c r="H4028" s="24" t="s">
        <v>1259</v>
      </c>
      <c r="I4028" s="25">
        <v>27096</v>
      </c>
      <c r="J4028" s="8" t="s">
        <v>1261</v>
      </c>
      <c r="K4028" s="8" t="s">
        <v>10040</v>
      </c>
      <c r="L4028" s="15">
        <v>3.3307700000000003E-2</v>
      </c>
      <c r="M4028" s="15">
        <v>0.87582400000000005</v>
      </c>
      <c r="N4028" s="15">
        <v>0.97032896437346439</v>
      </c>
    </row>
    <row r="4029" spans="1:14" x14ac:dyDescent="0.2">
      <c r="A4029" s="2" t="s">
        <v>10068</v>
      </c>
      <c r="B4029" s="15">
        <v>352</v>
      </c>
      <c r="C4029" s="15">
        <v>2</v>
      </c>
      <c r="D4029" s="15">
        <v>168437446</v>
      </c>
      <c r="E4029" s="15">
        <v>169224445</v>
      </c>
      <c r="F4029" s="15">
        <v>2152</v>
      </c>
      <c r="G4029" s="8" t="s">
        <v>12324</v>
      </c>
      <c r="H4029" s="24" t="s">
        <v>1259</v>
      </c>
      <c r="I4029" s="25">
        <v>27096</v>
      </c>
      <c r="J4029" s="8" t="s">
        <v>1261</v>
      </c>
      <c r="K4029" s="8" t="s">
        <v>10040</v>
      </c>
      <c r="L4029" s="15">
        <v>-1.8239600000000002E-2</v>
      </c>
      <c r="M4029" s="15">
        <v>0.87758700000000001</v>
      </c>
      <c r="N4029" s="15">
        <v>0.97032896437346439</v>
      </c>
    </row>
    <row r="4030" spans="1:14" x14ac:dyDescent="0.2">
      <c r="A4030" s="2" t="s">
        <v>10068</v>
      </c>
      <c r="B4030" s="15">
        <v>590</v>
      </c>
      <c r="C4030" s="15">
        <v>3</v>
      </c>
      <c r="D4030" s="15">
        <v>193122091</v>
      </c>
      <c r="E4030" s="15">
        <v>194217140</v>
      </c>
      <c r="F4030" s="15">
        <v>3265</v>
      </c>
      <c r="G4030" s="8" t="s">
        <v>12324</v>
      </c>
      <c r="H4030" s="24" t="s">
        <v>1259</v>
      </c>
      <c r="I4030" s="25">
        <v>27096</v>
      </c>
      <c r="J4030" s="8" t="s">
        <v>1261</v>
      </c>
      <c r="K4030" s="8" t="s">
        <v>10040</v>
      </c>
      <c r="L4030" s="15">
        <v>3.3080999999999999E-2</v>
      </c>
      <c r="M4030" s="15">
        <v>0.87911499999999998</v>
      </c>
      <c r="N4030" s="15">
        <v>0.97032896437346439</v>
      </c>
    </row>
    <row r="4031" spans="1:14" x14ac:dyDescent="0.2">
      <c r="A4031" s="2" t="s">
        <v>10068</v>
      </c>
      <c r="B4031" s="15">
        <v>1425</v>
      </c>
      <c r="C4031" s="15">
        <v>9</v>
      </c>
      <c r="D4031" s="15">
        <v>79451036</v>
      </c>
      <c r="E4031" s="15">
        <v>80137024</v>
      </c>
      <c r="F4031" s="15">
        <v>2261</v>
      </c>
      <c r="G4031" s="8" t="s">
        <v>12324</v>
      </c>
      <c r="H4031" s="24" t="s">
        <v>1259</v>
      </c>
      <c r="I4031" s="25">
        <v>27096</v>
      </c>
      <c r="J4031" s="8" t="s">
        <v>1261</v>
      </c>
      <c r="K4031" s="8" t="s">
        <v>10040</v>
      </c>
      <c r="L4031" s="15">
        <v>2.3643299999999999E-2</v>
      </c>
      <c r="M4031" s="15">
        <v>0.87978800000000001</v>
      </c>
      <c r="N4031" s="15">
        <v>0.97032896437346439</v>
      </c>
    </row>
    <row r="4032" spans="1:14" x14ac:dyDescent="0.2">
      <c r="A4032" s="2" t="s">
        <v>10068</v>
      </c>
      <c r="B4032" s="15">
        <v>679</v>
      </c>
      <c r="C4032" s="15">
        <v>4</v>
      </c>
      <c r="D4032" s="15">
        <v>88502718</v>
      </c>
      <c r="E4032" s="15">
        <v>89244554</v>
      </c>
      <c r="F4032" s="15">
        <v>2361</v>
      </c>
      <c r="G4032" s="8" t="s">
        <v>12324</v>
      </c>
      <c r="H4032" s="24" t="s">
        <v>1259</v>
      </c>
      <c r="I4032" s="25">
        <v>27096</v>
      </c>
      <c r="J4032" s="8" t="s">
        <v>1261</v>
      </c>
      <c r="K4032" s="8" t="s">
        <v>10040</v>
      </c>
      <c r="L4032" s="15">
        <v>4.6996900000000001E-2</v>
      </c>
      <c r="M4032" s="15">
        <v>0.88163599999999998</v>
      </c>
      <c r="N4032" s="15">
        <v>0.97032896437346439</v>
      </c>
    </row>
    <row r="4033" spans="1:14" x14ac:dyDescent="0.2">
      <c r="A4033" s="2" t="s">
        <v>10068</v>
      </c>
      <c r="B4033" s="15">
        <v>505</v>
      </c>
      <c r="C4033" s="15">
        <v>3</v>
      </c>
      <c r="D4033" s="15">
        <v>98212869</v>
      </c>
      <c r="E4033" s="15">
        <v>99045104</v>
      </c>
      <c r="F4033" s="15">
        <v>2566</v>
      </c>
      <c r="G4033" s="8" t="s">
        <v>12324</v>
      </c>
      <c r="H4033" s="24" t="s">
        <v>1259</v>
      </c>
      <c r="I4033" s="25">
        <v>27096</v>
      </c>
      <c r="J4033" s="8" t="s">
        <v>1261</v>
      </c>
      <c r="K4033" s="8" t="s">
        <v>10040</v>
      </c>
      <c r="L4033" s="15">
        <v>4.5451699999999998E-2</v>
      </c>
      <c r="M4033" s="15">
        <v>0.88230200000000003</v>
      </c>
      <c r="N4033" s="15">
        <v>0.97032896437346439</v>
      </c>
    </row>
    <row r="4034" spans="1:14" x14ac:dyDescent="0.2">
      <c r="A4034" s="2" t="s">
        <v>10068</v>
      </c>
      <c r="B4034" s="15">
        <v>1504</v>
      </c>
      <c r="C4034" s="15">
        <v>10</v>
      </c>
      <c r="D4034" s="15">
        <v>15946678</v>
      </c>
      <c r="E4034" s="15">
        <v>17065860</v>
      </c>
      <c r="F4034" s="15">
        <v>3107</v>
      </c>
      <c r="G4034" s="8" t="s">
        <v>12324</v>
      </c>
      <c r="H4034" s="24" t="s">
        <v>1259</v>
      </c>
      <c r="I4034" s="25">
        <v>27096</v>
      </c>
      <c r="J4034" s="8" t="s">
        <v>1261</v>
      </c>
      <c r="K4034" s="8" t="s">
        <v>10040</v>
      </c>
      <c r="L4034" s="15">
        <v>-2.9457799999999999E-2</v>
      </c>
      <c r="M4034" s="15">
        <v>0.88263000000000003</v>
      </c>
      <c r="N4034" s="15">
        <v>0.97032896437346439</v>
      </c>
    </row>
    <row r="4035" spans="1:14" x14ac:dyDescent="0.2">
      <c r="A4035" s="2" t="s">
        <v>10068</v>
      </c>
      <c r="B4035" s="15">
        <v>2218</v>
      </c>
      <c r="C4035" s="15">
        <v>17</v>
      </c>
      <c r="D4035" s="15">
        <v>58652810</v>
      </c>
      <c r="E4035" s="15">
        <v>60453120</v>
      </c>
      <c r="F4035" s="15">
        <v>2939</v>
      </c>
      <c r="G4035" s="8" t="s">
        <v>12324</v>
      </c>
      <c r="H4035" s="24" t="s">
        <v>1259</v>
      </c>
      <c r="I4035" s="25">
        <v>27096</v>
      </c>
      <c r="J4035" s="8" t="s">
        <v>1261</v>
      </c>
      <c r="K4035" s="8" t="s">
        <v>10040</v>
      </c>
      <c r="L4035" s="15">
        <v>2.8303999999999999E-2</v>
      </c>
      <c r="M4035" s="15">
        <v>0.88464500000000001</v>
      </c>
      <c r="N4035" s="15">
        <v>0.97032896437346439</v>
      </c>
    </row>
    <row r="4036" spans="1:14" x14ac:dyDescent="0.2">
      <c r="A4036" s="2" t="s">
        <v>10068</v>
      </c>
      <c r="B4036" s="15">
        <v>362</v>
      </c>
      <c r="C4036" s="15">
        <v>2</v>
      </c>
      <c r="D4036" s="15">
        <v>178149982</v>
      </c>
      <c r="E4036" s="15">
        <v>179224870</v>
      </c>
      <c r="F4036" s="15">
        <v>3058</v>
      </c>
      <c r="G4036" s="8" t="s">
        <v>12324</v>
      </c>
      <c r="H4036" s="24" t="s">
        <v>1259</v>
      </c>
      <c r="I4036" s="25">
        <v>27096</v>
      </c>
      <c r="J4036" s="8" t="s">
        <v>1261</v>
      </c>
      <c r="K4036" s="8" t="s">
        <v>10040</v>
      </c>
      <c r="L4036" s="15">
        <v>3.3093400000000002E-2</v>
      </c>
      <c r="M4036" s="15">
        <v>0.88562700000000005</v>
      </c>
      <c r="N4036" s="15">
        <v>0.97032896437346439</v>
      </c>
    </row>
    <row r="4037" spans="1:14" x14ac:dyDescent="0.2">
      <c r="A4037" s="2" t="s">
        <v>10068</v>
      </c>
      <c r="B4037" s="15">
        <v>1434</v>
      </c>
      <c r="C4037" s="15">
        <v>9</v>
      </c>
      <c r="D4037" s="15">
        <v>90135155</v>
      </c>
      <c r="E4037" s="15">
        <v>90890979</v>
      </c>
      <c r="F4037" s="15">
        <v>2376</v>
      </c>
      <c r="G4037" s="8" t="s">
        <v>12324</v>
      </c>
      <c r="H4037" s="24" t="s">
        <v>1259</v>
      </c>
      <c r="I4037" s="25">
        <v>27096</v>
      </c>
      <c r="J4037" s="8" t="s">
        <v>1261</v>
      </c>
      <c r="K4037" s="8" t="s">
        <v>10040</v>
      </c>
      <c r="L4037" s="15">
        <v>-4.0918200000000002E-2</v>
      </c>
      <c r="M4037" s="15">
        <v>0.88678500000000005</v>
      </c>
      <c r="N4037" s="15">
        <v>0.97032896437346439</v>
      </c>
    </row>
    <row r="4038" spans="1:14" x14ac:dyDescent="0.2">
      <c r="A4038" s="2" t="s">
        <v>10068</v>
      </c>
      <c r="B4038" s="15">
        <v>52</v>
      </c>
      <c r="C4038" s="15">
        <v>1</v>
      </c>
      <c r="D4038" s="15">
        <v>59889046</v>
      </c>
      <c r="E4038" s="15">
        <v>61377615</v>
      </c>
      <c r="F4038" s="15">
        <v>3283</v>
      </c>
      <c r="G4038" s="8" t="s">
        <v>12324</v>
      </c>
      <c r="H4038" s="24" t="s">
        <v>1259</v>
      </c>
      <c r="I4038" s="25">
        <v>27096</v>
      </c>
      <c r="J4038" s="8" t="s">
        <v>1261</v>
      </c>
      <c r="K4038" s="8" t="s">
        <v>10040</v>
      </c>
      <c r="L4038" s="15">
        <v>-3.8591399999999998E-2</v>
      </c>
      <c r="M4038" s="15">
        <v>0.88860300000000003</v>
      </c>
      <c r="N4038" s="15">
        <v>0.97032896437346439</v>
      </c>
    </row>
    <row r="4039" spans="1:14" x14ac:dyDescent="0.2">
      <c r="A4039" s="2" t="s">
        <v>10068</v>
      </c>
      <c r="B4039" s="15">
        <v>9</v>
      </c>
      <c r="C4039" s="15">
        <v>1</v>
      </c>
      <c r="D4039" s="15">
        <v>6136815</v>
      </c>
      <c r="E4039" s="15">
        <v>7711794</v>
      </c>
      <c r="F4039" s="15">
        <v>4051</v>
      </c>
      <c r="G4039" s="8" t="s">
        <v>12324</v>
      </c>
      <c r="H4039" s="24" t="s">
        <v>1259</v>
      </c>
      <c r="I4039" s="25">
        <v>27096</v>
      </c>
      <c r="J4039" s="8" t="s">
        <v>1261</v>
      </c>
      <c r="K4039" s="8" t="s">
        <v>10040</v>
      </c>
      <c r="L4039" s="15">
        <v>-2.7678600000000001E-2</v>
      </c>
      <c r="M4039" s="15">
        <v>0.88959999999999995</v>
      </c>
      <c r="N4039" s="15">
        <v>0.97032896437346439</v>
      </c>
    </row>
    <row r="4040" spans="1:14" x14ac:dyDescent="0.2">
      <c r="A4040" s="2" t="s">
        <v>10066</v>
      </c>
      <c r="B4040" s="15">
        <v>2373</v>
      </c>
      <c r="C4040" s="15">
        <v>20</v>
      </c>
      <c r="D4040" s="15">
        <v>3736552</v>
      </c>
      <c r="E4040" s="15">
        <v>4591847</v>
      </c>
      <c r="F4040" s="15">
        <v>2781</v>
      </c>
      <c r="G4040" s="8" t="s">
        <v>12324</v>
      </c>
      <c r="H4040" s="24" t="s">
        <v>3164</v>
      </c>
      <c r="I4040" s="25" t="s">
        <v>3165</v>
      </c>
      <c r="J4040" s="8" t="s">
        <v>3166</v>
      </c>
      <c r="K4040" s="8" t="s">
        <v>10042</v>
      </c>
      <c r="L4040" s="15">
        <v>-4.4001499999999999E-2</v>
      </c>
      <c r="M4040" s="15">
        <v>0.87573900000000005</v>
      </c>
      <c r="N4040" s="15">
        <v>0.97032896437346439</v>
      </c>
    </row>
    <row r="4041" spans="1:14" x14ac:dyDescent="0.2">
      <c r="A4041" s="2" t="s">
        <v>10066</v>
      </c>
      <c r="B4041" s="15">
        <v>1053</v>
      </c>
      <c r="C4041" s="15">
        <v>6</v>
      </c>
      <c r="D4041" s="15">
        <v>123854858</v>
      </c>
      <c r="E4041" s="15">
        <v>125365054</v>
      </c>
      <c r="F4041" s="15">
        <v>3843</v>
      </c>
      <c r="G4041" s="8" t="s">
        <v>12324</v>
      </c>
      <c r="H4041" s="24" t="s">
        <v>3164</v>
      </c>
      <c r="I4041" s="25" t="s">
        <v>3165</v>
      </c>
      <c r="J4041" s="8" t="s">
        <v>3166</v>
      </c>
      <c r="K4041" s="8" t="s">
        <v>10042</v>
      </c>
      <c r="L4041" s="15">
        <v>3.4117599999999998E-2</v>
      </c>
      <c r="M4041" s="15">
        <v>0.87624199999999997</v>
      </c>
      <c r="N4041" s="15">
        <v>0.97032896437346439</v>
      </c>
    </row>
    <row r="4042" spans="1:14" x14ac:dyDescent="0.2">
      <c r="A4042" s="2" t="s">
        <v>10066</v>
      </c>
      <c r="B4042" s="15">
        <v>2200</v>
      </c>
      <c r="C4042" s="15">
        <v>17</v>
      </c>
      <c r="D4042" s="15">
        <v>33614190</v>
      </c>
      <c r="E4042" s="15">
        <v>34474611</v>
      </c>
      <c r="F4042" s="15">
        <v>2412</v>
      </c>
      <c r="G4042" s="8" t="s">
        <v>12324</v>
      </c>
      <c r="H4042" s="24" t="s">
        <v>3164</v>
      </c>
      <c r="I4042" s="25" t="s">
        <v>3165</v>
      </c>
      <c r="J4042" s="8" t="s">
        <v>3166</v>
      </c>
      <c r="K4042" s="8" t="s">
        <v>10042</v>
      </c>
      <c r="L4042" s="15">
        <v>2.2038200000000001E-2</v>
      </c>
      <c r="M4042" s="15">
        <v>0.88017000000000001</v>
      </c>
      <c r="N4042" s="15">
        <v>0.97032896437346439</v>
      </c>
    </row>
    <row r="4043" spans="1:14" x14ac:dyDescent="0.2">
      <c r="A4043" s="2" t="s">
        <v>10066</v>
      </c>
      <c r="B4043" s="15">
        <v>472</v>
      </c>
      <c r="C4043" s="15">
        <v>3</v>
      </c>
      <c r="D4043" s="15">
        <v>59998584</v>
      </c>
      <c r="E4043" s="15">
        <v>60571139</v>
      </c>
      <c r="F4043" s="15">
        <v>2331</v>
      </c>
      <c r="G4043" s="8" t="s">
        <v>12324</v>
      </c>
      <c r="H4043" s="24" t="s">
        <v>3164</v>
      </c>
      <c r="I4043" s="25" t="s">
        <v>3165</v>
      </c>
      <c r="J4043" s="8" t="s">
        <v>3166</v>
      </c>
      <c r="K4043" s="8" t="s">
        <v>10042</v>
      </c>
      <c r="L4043" s="15">
        <v>-2.25466E-2</v>
      </c>
      <c r="M4043" s="15">
        <v>0.88129599999999997</v>
      </c>
      <c r="N4043" s="15">
        <v>0.97032896437346439</v>
      </c>
    </row>
    <row r="4044" spans="1:14" x14ac:dyDescent="0.2">
      <c r="A4044" s="2" t="s">
        <v>10066</v>
      </c>
      <c r="B4044" s="15">
        <v>1420</v>
      </c>
      <c r="C4044" s="15">
        <v>9</v>
      </c>
      <c r="D4044" s="15">
        <v>73915495</v>
      </c>
      <c r="E4044" s="15">
        <v>74950318</v>
      </c>
      <c r="F4044" s="15">
        <v>2308</v>
      </c>
      <c r="G4044" s="8" t="s">
        <v>12324</v>
      </c>
      <c r="H4044" s="24" t="s">
        <v>3164</v>
      </c>
      <c r="I4044" s="25" t="s">
        <v>3165</v>
      </c>
      <c r="J4044" s="8" t="s">
        <v>3166</v>
      </c>
      <c r="K4044" s="8" t="s">
        <v>10042</v>
      </c>
      <c r="L4044" s="15">
        <v>4.42788E-2</v>
      </c>
      <c r="M4044" s="15">
        <v>0.88266299999999998</v>
      </c>
      <c r="N4044" s="15">
        <v>0.97032896437346439</v>
      </c>
    </row>
    <row r="4045" spans="1:14" x14ac:dyDescent="0.2">
      <c r="A4045" s="2" t="s">
        <v>10066</v>
      </c>
      <c r="B4045" s="15">
        <v>1859</v>
      </c>
      <c r="C4045" s="15">
        <v>12</v>
      </c>
      <c r="D4045" s="15">
        <v>130629841</v>
      </c>
      <c r="E4045" s="15">
        <v>131404042</v>
      </c>
      <c r="F4045" s="15">
        <v>2997</v>
      </c>
      <c r="G4045" s="8" t="s">
        <v>12324</v>
      </c>
      <c r="H4045" s="24" t="s">
        <v>3164</v>
      </c>
      <c r="I4045" s="25" t="s">
        <v>3165</v>
      </c>
      <c r="J4045" s="8" t="s">
        <v>3166</v>
      </c>
      <c r="K4045" s="8" t="s">
        <v>10042</v>
      </c>
      <c r="L4045" s="15">
        <v>2.43389E-2</v>
      </c>
      <c r="M4045" s="15">
        <v>0.88362300000000005</v>
      </c>
      <c r="N4045" s="15">
        <v>0.97032896437346439</v>
      </c>
    </row>
    <row r="4046" spans="1:14" x14ac:dyDescent="0.2">
      <c r="A4046" s="2" t="s">
        <v>10066</v>
      </c>
      <c r="B4046" s="15">
        <v>2227</v>
      </c>
      <c r="C4046" s="15">
        <v>17</v>
      </c>
      <c r="D4046" s="15">
        <v>70495120</v>
      </c>
      <c r="E4046" s="15">
        <v>71466953</v>
      </c>
      <c r="F4046" s="15">
        <v>2895</v>
      </c>
      <c r="G4046" s="8" t="s">
        <v>12324</v>
      </c>
      <c r="H4046" s="24" t="s">
        <v>3164</v>
      </c>
      <c r="I4046" s="25" t="s">
        <v>3165</v>
      </c>
      <c r="J4046" s="8" t="s">
        <v>3166</v>
      </c>
      <c r="K4046" s="8" t="s">
        <v>10042</v>
      </c>
      <c r="L4046" s="15">
        <v>2.96131E-2</v>
      </c>
      <c r="M4046" s="15">
        <v>0.88412000000000002</v>
      </c>
      <c r="N4046" s="15">
        <v>0.97032896437346439</v>
      </c>
    </row>
    <row r="4047" spans="1:14" x14ac:dyDescent="0.2">
      <c r="A4047" s="2" t="s">
        <v>10066</v>
      </c>
      <c r="B4047" s="15">
        <v>1811</v>
      </c>
      <c r="C4047" s="15">
        <v>12</v>
      </c>
      <c r="D4047" s="15">
        <v>76524574</v>
      </c>
      <c r="E4047" s="15">
        <v>77800463</v>
      </c>
      <c r="F4047" s="15">
        <v>3413</v>
      </c>
      <c r="G4047" s="8" t="s">
        <v>12324</v>
      </c>
      <c r="H4047" s="24" t="s">
        <v>3164</v>
      </c>
      <c r="I4047" s="25" t="s">
        <v>3165</v>
      </c>
      <c r="J4047" s="8" t="s">
        <v>3166</v>
      </c>
      <c r="K4047" s="8" t="s">
        <v>10042</v>
      </c>
      <c r="L4047" s="15">
        <v>4.1775699999999999E-2</v>
      </c>
      <c r="M4047" s="15">
        <v>0.885517</v>
      </c>
      <c r="N4047" s="15">
        <v>0.97032896437346439</v>
      </c>
    </row>
    <row r="4048" spans="1:14" x14ac:dyDescent="0.2">
      <c r="A4048" s="2" t="s">
        <v>10066</v>
      </c>
      <c r="B4048" s="15">
        <v>2094</v>
      </c>
      <c r="C4048" s="15">
        <v>15</v>
      </c>
      <c r="D4048" s="15">
        <v>94565522</v>
      </c>
      <c r="E4048" s="15">
        <v>95662425</v>
      </c>
      <c r="F4048" s="15">
        <v>3166</v>
      </c>
      <c r="G4048" s="8" t="s">
        <v>12324</v>
      </c>
      <c r="H4048" s="24" t="s">
        <v>3164</v>
      </c>
      <c r="I4048" s="25" t="s">
        <v>3165</v>
      </c>
      <c r="J4048" s="8" t="s">
        <v>3166</v>
      </c>
      <c r="K4048" s="8" t="s">
        <v>10042</v>
      </c>
      <c r="L4048" s="15">
        <v>2.8164600000000001E-2</v>
      </c>
      <c r="M4048" s="15">
        <v>0.88562300000000005</v>
      </c>
      <c r="N4048" s="15">
        <v>0.97032896437346439</v>
      </c>
    </row>
    <row r="4049" spans="1:14" x14ac:dyDescent="0.2">
      <c r="A4049" s="2" t="s">
        <v>10066</v>
      </c>
      <c r="B4049" s="15">
        <v>1041</v>
      </c>
      <c r="C4049" s="15">
        <v>6</v>
      </c>
      <c r="D4049" s="15">
        <v>111363444</v>
      </c>
      <c r="E4049" s="15">
        <v>112342873</v>
      </c>
      <c r="F4049" s="15">
        <v>2149</v>
      </c>
      <c r="G4049" s="8" t="s">
        <v>12324</v>
      </c>
      <c r="H4049" s="24" t="s">
        <v>3164</v>
      </c>
      <c r="I4049" s="25" t="s">
        <v>3165</v>
      </c>
      <c r="J4049" s="8" t="s">
        <v>3166</v>
      </c>
      <c r="K4049" s="8" t="s">
        <v>10042</v>
      </c>
      <c r="L4049" s="15">
        <v>5.3029800000000002E-2</v>
      </c>
      <c r="M4049" s="15">
        <v>0.88573100000000005</v>
      </c>
      <c r="N4049" s="15">
        <v>0.97032896437346439</v>
      </c>
    </row>
    <row r="4050" spans="1:14" x14ac:dyDescent="0.2">
      <c r="A4050" s="2" t="s">
        <v>10066</v>
      </c>
      <c r="B4050" s="15">
        <v>1431</v>
      </c>
      <c r="C4050" s="15">
        <v>9</v>
      </c>
      <c r="D4050" s="15">
        <v>86769887</v>
      </c>
      <c r="E4050" s="15">
        <v>87815449</v>
      </c>
      <c r="F4050" s="15">
        <v>2971</v>
      </c>
      <c r="G4050" s="8" t="s">
        <v>12324</v>
      </c>
      <c r="H4050" s="24" t="s">
        <v>3164</v>
      </c>
      <c r="I4050" s="25" t="s">
        <v>3165</v>
      </c>
      <c r="J4050" s="8" t="s">
        <v>3166</v>
      </c>
      <c r="K4050" s="8" t="s">
        <v>10042</v>
      </c>
      <c r="L4050" s="15">
        <v>-4.5814199999999999E-2</v>
      </c>
      <c r="M4050" s="15">
        <v>0.88973500000000005</v>
      </c>
      <c r="N4050" s="15">
        <v>0.97032896437346439</v>
      </c>
    </row>
    <row r="4051" spans="1:14" x14ac:dyDescent="0.2">
      <c r="A4051" s="2" t="s">
        <v>10066</v>
      </c>
      <c r="B4051" s="15">
        <v>578</v>
      </c>
      <c r="C4051" s="15">
        <v>3</v>
      </c>
      <c r="D4051" s="15">
        <v>178110323</v>
      </c>
      <c r="E4051" s="15">
        <v>179372165</v>
      </c>
      <c r="F4051" s="15">
        <v>3026</v>
      </c>
      <c r="G4051" s="8" t="s">
        <v>12324</v>
      </c>
      <c r="H4051" s="24" t="s">
        <v>3164</v>
      </c>
      <c r="I4051" s="25" t="s">
        <v>3165</v>
      </c>
      <c r="J4051" s="8" t="s">
        <v>3166</v>
      </c>
      <c r="K4051" s="8" t="s">
        <v>10042</v>
      </c>
      <c r="L4051" s="15">
        <v>-2.5850499999999998E-2</v>
      </c>
      <c r="M4051" s="15">
        <v>0.89019700000000002</v>
      </c>
      <c r="N4051" s="15">
        <v>0.97032896437346439</v>
      </c>
    </row>
    <row r="4052" spans="1:14" x14ac:dyDescent="0.2">
      <c r="A4052" s="2" t="s">
        <v>10066</v>
      </c>
      <c r="B4052" s="15">
        <v>836</v>
      </c>
      <c r="C4052" s="15">
        <v>5</v>
      </c>
      <c r="D4052" s="15">
        <v>73314062</v>
      </c>
      <c r="E4052" s="15">
        <v>74245354</v>
      </c>
      <c r="F4052" s="15">
        <v>2402</v>
      </c>
      <c r="G4052" s="8" t="s">
        <v>12324</v>
      </c>
      <c r="H4052" s="24" t="s">
        <v>3164</v>
      </c>
      <c r="I4052" s="25" t="s">
        <v>3165</v>
      </c>
      <c r="J4052" s="8" t="s">
        <v>3166</v>
      </c>
      <c r="K4052" s="8" t="s">
        <v>10042</v>
      </c>
      <c r="L4052" s="15">
        <v>2.2425400000000002E-2</v>
      </c>
      <c r="M4052" s="15">
        <v>0.89030699999999996</v>
      </c>
      <c r="N4052" s="15">
        <v>0.97032896437346439</v>
      </c>
    </row>
    <row r="4053" spans="1:14" x14ac:dyDescent="0.2">
      <c r="A4053" s="2" t="s">
        <v>10066</v>
      </c>
      <c r="B4053" s="15">
        <v>1702</v>
      </c>
      <c r="C4053" s="15">
        <v>11</v>
      </c>
      <c r="D4053" s="15">
        <v>95327211</v>
      </c>
      <c r="E4053" s="15">
        <v>96150134</v>
      </c>
      <c r="F4053" s="15">
        <v>2211</v>
      </c>
      <c r="G4053" s="8" t="s">
        <v>12324</v>
      </c>
      <c r="H4053" s="24" t="s">
        <v>6008</v>
      </c>
      <c r="I4053" s="25" t="s">
        <v>6009</v>
      </c>
      <c r="J4053" s="8" t="s">
        <v>6010</v>
      </c>
      <c r="K4053" s="8" t="s">
        <v>10051</v>
      </c>
      <c r="L4053" s="15">
        <v>4.0272200000000001E-2</v>
      </c>
      <c r="M4053" s="15">
        <v>0.87751599999999996</v>
      </c>
      <c r="N4053" s="15">
        <v>0.97032896437346439</v>
      </c>
    </row>
    <row r="4054" spans="1:14" x14ac:dyDescent="0.2">
      <c r="A4054" s="2" t="s">
        <v>10066</v>
      </c>
      <c r="B4054" s="15">
        <v>2366</v>
      </c>
      <c r="C4054" s="15">
        <v>19</v>
      </c>
      <c r="D4054" s="15">
        <v>56411087</v>
      </c>
      <c r="E4054" s="15">
        <v>57143509</v>
      </c>
      <c r="F4054" s="15">
        <v>2598</v>
      </c>
      <c r="G4054" s="8" t="s">
        <v>12324</v>
      </c>
      <c r="H4054" s="24" t="s">
        <v>6008</v>
      </c>
      <c r="I4054" s="25" t="s">
        <v>6009</v>
      </c>
      <c r="J4054" s="8" t="s">
        <v>6010</v>
      </c>
      <c r="K4054" s="8" t="s">
        <v>10051</v>
      </c>
      <c r="L4054" s="15">
        <v>-2.7721300000000001E-2</v>
      </c>
      <c r="M4054" s="15">
        <v>0.87819400000000003</v>
      </c>
      <c r="N4054" s="15">
        <v>0.97032896437346439</v>
      </c>
    </row>
    <row r="4055" spans="1:14" x14ac:dyDescent="0.2">
      <c r="A4055" s="2" t="s">
        <v>10066</v>
      </c>
      <c r="B4055" s="15">
        <v>1176</v>
      </c>
      <c r="C4055" s="15">
        <v>7</v>
      </c>
      <c r="D4055" s="15">
        <v>86446539</v>
      </c>
      <c r="E4055" s="15">
        <v>87836641</v>
      </c>
      <c r="F4055" s="15">
        <v>2664</v>
      </c>
      <c r="G4055" s="8" t="s">
        <v>12324</v>
      </c>
      <c r="H4055" s="24" t="s">
        <v>6008</v>
      </c>
      <c r="I4055" s="25" t="s">
        <v>6009</v>
      </c>
      <c r="J4055" s="8" t="s">
        <v>6010</v>
      </c>
      <c r="K4055" s="8" t="s">
        <v>10051</v>
      </c>
      <c r="L4055" s="15">
        <v>-5.8047099999999997E-2</v>
      </c>
      <c r="M4055" s="15">
        <v>0.87819599999999998</v>
      </c>
      <c r="N4055" s="15">
        <v>0.97032896437346439</v>
      </c>
    </row>
    <row r="4056" spans="1:14" x14ac:dyDescent="0.2">
      <c r="A4056" s="2" t="s">
        <v>10066</v>
      </c>
      <c r="B4056" s="15">
        <v>1005</v>
      </c>
      <c r="C4056" s="15">
        <v>6</v>
      </c>
      <c r="D4056" s="15">
        <v>72290724</v>
      </c>
      <c r="E4056" s="15">
        <v>73170168</v>
      </c>
      <c r="F4056" s="15">
        <v>2247</v>
      </c>
      <c r="G4056" s="8" t="s">
        <v>12324</v>
      </c>
      <c r="H4056" s="24" t="s">
        <v>6008</v>
      </c>
      <c r="I4056" s="25" t="s">
        <v>6009</v>
      </c>
      <c r="J4056" s="8" t="s">
        <v>6010</v>
      </c>
      <c r="K4056" s="8" t="s">
        <v>10051</v>
      </c>
      <c r="L4056" s="15">
        <v>-3.4532500000000001E-2</v>
      </c>
      <c r="M4056" s="15">
        <v>0.882629</v>
      </c>
      <c r="N4056" s="15">
        <v>0.97032896437346439</v>
      </c>
    </row>
    <row r="4057" spans="1:14" x14ac:dyDescent="0.2">
      <c r="A4057" s="2" t="s">
        <v>10066</v>
      </c>
      <c r="B4057" s="15">
        <v>2355</v>
      </c>
      <c r="C4057" s="15">
        <v>19</v>
      </c>
      <c r="D4057" s="15">
        <v>48573066</v>
      </c>
      <c r="E4057" s="15">
        <v>49415189</v>
      </c>
      <c r="F4057" s="15">
        <v>2766</v>
      </c>
      <c r="G4057" s="8" t="s">
        <v>12324</v>
      </c>
      <c r="H4057" s="24" t="s">
        <v>6008</v>
      </c>
      <c r="I4057" s="25" t="s">
        <v>6009</v>
      </c>
      <c r="J4057" s="8" t="s">
        <v>6010</v>
      </c>
      <c r="K4057" s="8" t="s">
        <v>10051</v>
      </c>
      <c r="L4057" s="15">
        <v>4.1297E-2</v>
      </c>
      <c r="M4057" s="15">
        <v>0.88372799999999996</v>
      </c>
      <c r="N4057" s="15">
        <v>0.97032896437346439</v>
      </c>
    </row>
    <row r="4058" spans="1:14" x14ac:dyDescent="0.2">
      <c r="A4058" s="2" t="s">
        <v>10066</v>
      </c>
      <c r="B4058" s="15">
        <v>1307</v>
      </c>
      <c r="C4058" s="15">
        <v>8</v>
      </c>
      <c r="D4058" s="15">
        <v>72013185</v>
      </c>
      <c r="E4058" s="15">
        <v>72917489</v>
      </c>
      <c r="F4058" s="15">
        <v>2488</v>
      </c>
      <c r="G4058" s="8" t="s">
        <v>12324</v>
      </c>
      <c r="H4058" s="24" t="s">
        <v>6008</v>
      </c>
      <c r="I4058" s="25" t="s">
        <v>6009</v>
      </c>
      <c r="J4058" s="8" t="s">
        <v>6010</v>
      </c>
      <c r="K4058" s="8" t="s">
        <v>10051</v>
      </c>
      <c r="L4058" s="15">
        <v>3.2752000000000003E-2</v>
      </c>
      <c r="M4058" s="15">
        <v>0.88505</v>
      </c>
      <c r="N4058" s="15">
        <v>0.97032896437346439</v>
      </c>
    </row>
    <row r="4059" spans="1:14" x14ac:dyDescent="0.2">
      <c r="A4059" s="2" t="s">
        <v>10066</v>
      </c>
      <c r="B4059" s="15">
        <v>849</v>
      </c>
      <c r="C4059" s="15">
        <v>5</v>
      </c>
      <c r="D4059" s="15">
        <v>87943483</v>
      </c>
      <c r="E4059" s="15">
        <v>89584466</v>
      </c>
      <c r="F4059" s="15">
        <v>2359</v>
      </c>
      <c r="G4059" s="8" t="s">
        <v>12324</v>
      </c>
      <c r="H4059" s="24" t="s">
        <v>6008</v>
      </c>
      <c r="I4059" s="25" t="s">
        <v>6009</v>
      </c>
      <c r="J4059" s="8" t="s">
        <v>6010</v>
      </c>
      <c r="K4059" s="8" t="s">
        <v>10051</v>
      </c>
      <c r="L4059" s="15">
        <v>2.93736E-2</v>
      </c>
      <c r="M4059" s="15">
        <v>0.88513600000000003</v>
      </c>
      <c r="N4059" s="15">
        <v>0.97032896437346439</v>
      </c>
    </row>
    <row r="4060" spans="1:14" x14ac:dyDescent="0.2">
      <c r="A4060" s="2" t="s">
        <v>10066</v>
      </c>
      <c r="B4060" s="15">
        <v>406</v>
      </c>
      <c r="C4060" s="15">
        <v>2</v>
      </c>
      <c r="D4060" s="15">
        <v>229764919</v>
      </c>
      <c r="E4060" s="15">
        <v>230541092</v>
      </c>
      <c r="F4060" s="15">
        <v>2365</v>
      </c>
      <c r="G4060" s="8" t="s">
        <v>12324</v>
      </c>
      <c r="H4060" s="24" t="s">
        <v>6008</v>
      </c>
      <c r="I4060" s="25" t="s">
        <v>6009</v>
      </c>
      <c r="J4060" s="8" t="s">
        <v>6010</v>
      </c>
      <c r="K4060" s="8" t="s">
        <v>10051</v>
      </c>
      <c r="L4060" s="15">
        <v>-5.2559500000000002E-2</v>
      </c>
      <c r="M4060" s="15">
        <v>0.88711200000000001</v>
      </c>
      <c r="N4060" s="15">
        <v>0.97032896437346439</v>
      </c>
    </row>
    <row r="4061" spans="1:14" x14ac:dyDescent="0.2">
      <c r="A4061" s="2" t="s">
        <v>10066</v>
      </c>
      <c r="B4061" s="15">
        <v>251</v>
      </c>
      <c r="C4061" s="15">
        <v>2</v>
      </c>
      <c r="D4061" s="15">
        <v>45850048</v>
      </c>
      <c r="E4061" s="15">
        <v>46499326</v>
      </c>
      <c r="F4061" s="15">
        <v>2136</v>
      </c>
      <c r="G4061" s="8" t="s">
        <v>12324</v>
      </c>
      <c r="H4061" s="24" t="s">
        <v>6008</v>
      </c>
      <c r="I4061" s="25" t="s">
        <v>6009</v>
      </c>
      <c r="J4061" s="8" t="s">
        <v>6010</v>
      </c>
      <c r="K4061" s="8" t="s">
        <v>10051</v>
      </c>
      <c r="L4061" s="15">
        <v>3.1587999999999998E-2</v>
      </c>
      <c r="M4061" s="15">
        <v>0.88767200000000002</v>
      </c>
      <c r="N4061" s="15">
        <v>0.97032896437346439</v>
      </c>
    </row>
    <row r="4062" spans="1:14" x14ac:dyDescent="0.2">
      <c r="A4062" s="2" t="s">
        <v>10066</v>
      </c>
      <c r="B4062" s="15">
        <v>1944</v>
      </c>
      <c r="C4062" s="15">
        <v>13</v>
      </c>
      <c r="D4062" s="15">
        <v>106313848</v>
      </c>
      <c r="E4062" s="15">
        <v>107037864</v>
      </c>
      <c r="F4062" s="15">
        <v>2221</v>
      </c>
      <c r="G4062" s="8" t="s">
        <v>12324</v>
      </c>
      <c r="H4062" s="24" t="s">
        <v>6008</v>
      </c>
      <c r="I4062" s="25" t="s">
        <v>6009</v>
      </c>
      <c r="J4062" s="8" t="s">
        <v>6010</v>
      </c>
      <c r="K4062" s="8" t="s">
        <v>10051</v>
      </c>
      <c r="L4062" s="15">
        <v>3.72498E-2</v>
      </c>
      <c r="M4062" s="15">
        <v>0.88806499999999999</v>
      </c>
      <c r="N4062" s="15">
        <v>0.97032896437346439</v>
      </c>
    </row>
    <row r="4063" spans="1:14" x14ac:dyDescent="0.2">
      <c r="A4063" s="2" t="s">
        <v>10066</v>
      </c>
      <c r="B4063" s="15">
        <v>21</v>
      </c>
      <c r="C4063" s="15">
        <v>1</v>
      </c>
      <c r="D4063" s="15">
        <v>19238925</v>
      </c>
      <c r="E4063" s="15">
        <v>20556202</v>
      </c>
      <c r="F4063" s="15">
        <v>3799</v>
      </c>
      <c r="G4063" s="8" t="s">
        <v>12324</v>
      </c>
      <c r="H4063" s="24" t="s">
        <v>6008</v>
      </c>
      <c r="I4063" s="25" t="s">
        <v>6009</v>
      </c>
      <c r="J4063" s="8" t="s">
        <v>6010</v>
      </c>
      <c r="K4063" s="8" t="s">
        <v>10051</v>
      </c>
      <c r="L4063" s="15">
        <v>-2.98245E-2</v>
      </c>
      <c r="M4063" s="15">
        <v>0.89024300000000001</v>
      </c>
      <c r="N4063" s="15">
        <v>0.97032896437346439</v>
      </c>
    </row>
    <row r="4064" spans="1:14" x14ac:dyDescent="0.2">
      <c r="A4064" s="2" t="s">
        <v>10068</v>
      </c>
      <c r="B4064" s="15">
        <v>2112</v>
      </c>
      <c r="C4064" s="15">
        <v>16</v>
      </c>
      <c r="D4064" s="15">
        <v>9104470</v>
      </c>
      <c r="E4064" s="15">
        <v>9754796</v>
      </c>
      <c r="F4064" s="15">
        <v>2412</v>
      </c>
      <c r="G4064" s="8" t="s">
        <v>12324</v>
      </c>
      <c r="H4064" s="24" t="s">
        <v>6565</v>
      </c>
      <c r="I4064" s="25" t="s">
        <v>6475</v>
      </c>
      <c r="J4064" s="8" t="s">
        <v>6566</v>
      </c>
      <c r="K4064" s="8" t="s">
        <v>10054</v>
      </c>
      <c r="L4064" s="15">
        <v>5.2270799999999999E-2</v>
      </c>
      <c r="M4064" s="15">
        <v>0.87637500000000002</v>
      </c>
      <c r="N4064" s="15">
        <v>0.97032896437346439</v>
      </c>
    </row>
    <row r="4065" spans="1:14" x14ac:dyDescent="0.2">
      <c r="A4065" s="2" t="s">
        <v>10068</v>
      </c>
      <c r="B4065" s="15">
        <v>89</v>
      </c>
      <c r="C4065" s="15">
        <v>1</v>
      </c>
      <c r="D4065" s="15">
        <v>102424612</v>
      </c>
      <c r="E4065" s="15">
        <v>103148412</v>
      </c>
      <c r="F4065" s="15">
        <v>2341</v>
      </c>
      <c r="G4065" s="8" t="s">
        <v>12324</v>
      </c>
      <c r="H4065" s="24" t="s">
        <v>6565</v>
      </c>
      <c r="I4065" s="25" t="s">
        <v>6475</v>
      </c>
      <c r="J4065" s="8" t="s">
        <v>6566</v>
      </c>
      <c r="K4065" s="8" t="s">
        <v>10054</v>
      </c>
      <c r="L4065" s="15">
        <v>-5.0466900000000002E-2</v>
      </c>
      <c r="M4065" s="15">
        <v>0.88039900000000004</v>
      </c>
      <c r="N4065" s="15">
        <v>0.97032896437346439</v>
      </c>
    </row>
    <row r="4066" spans="1:14" x14ac:dyDescent="0.2">
      <c r="A4066" s="2" t="s">
        <v>10068</v>
      </c>
      <c r="B4066" s="15">
        <v>1105</v>
      </c>
      <c r="C4066" s="15">
        <v>7</v>
      </c>
      <c r="D4066" s="15">
        <v>8718352</v>
      </c>
      <c r="E4066" s="15">
        <v>9225106</v>
      </c>
      <c r="F4066" s="15">
        <v>2166</v>
      </c>
      <c r="G4066" s="8" t="s">
        <v>12324</v>
      </c>
      <c r="H4066" s="24" t="s">
        <v>6565</v>
      </c>
      <c r="I4066" s="25" t="s">
        <v>6475</v>
      </c>
      <c r="J4066" s="8" t="s">
        <v>6566</v>
      </c>
      <c r="K4066" s="8" t="s">
        <v>10054</v>
      </c>
      <c r="L4066" s="15">
        <v>3.4639200000000002E-2</v>
      </c>
      <c r="M4066" s="15">
        <v>0.88175800000000004</v>
      </c>
      <c r="N4066" s="15">
        <v>0.97032896437346439</v>
      </c>
    </row>
    <row r="4067" spans="1:14" x14ac:dyDescent="0.2">
      <c r="A4067" s="2" t="s">
        <v>10068</v>
      </c>
      <c r="B4067" s="15">
        <v>1571</v>
      </c>
      <c r="C4067" s="15">
        <v>10</v>
      </c>
      <c r="D4067" s="15">
        <v>91960436</v>
      </c>
      <c r="E4067" s="15">
        <v>92911506</v>
      </c>
      <c r="F4067" s="15">
        <v>2633</v>
      </c>
      <c r="G4067" s="8" t="s">
        <v>12324</v>
      </c>
      <c r="H4067" s="24" t="s">
        <v>6565</v>
      </c>
      <c r="I4067" s="25" t="s">
        <v>6475</v>
      </c>
      <c r="J4067" s="8" t="s">
        <v>6566</v>
      </c>
      <c r="K4067" s="8" t="s">
        <v>10054</v>
      </c>
      <c r="L4067" s="15">
        <v>-5.4566799999999999E-2</v>
      </c>
      <c r="M4067" s="15">
        <v>0.88185199999999997</v>
      </c>
      <c r="N4067" s="15">
        <v>0.97032896437346439</v>
      </c>
    </row>
    <row r="4068" spans="1:14" x14ac:dyDescent="0.2">
      <c r="A4068" s="2" t="s">
        <v>10068</v>
      </c>
      <c r="B4068" s="15">
        <v>528</v>
      </c>
      <c r="C4068" s="15">
        <v>3</v>
      </c>
      <c r="D4068" s="15">
        <v>122340833</v>
      </c>
      <c r="E4068" s="15">
        <v>123518507</v>
      </c>
      <c r="F4068" s="15">
        <v>2842</v>
      </c>
      <c r="G4068" s="8" t="s">
        <v>12324</v>
      </c>
      <c r="H4068" s="24" t="s">
        <v>6565</v>
      </c>
      <c r="I4068" s="25" t="s">
        <v>6475</v>
      </c>
      <c r="J4068" s="8" t="s">
        <v>6566</v>
      </c>
      <c r="K4068" s="8" t="s">
        <v>10054</v>
      </c>
      <c r="L4068" s="15">
        <v>4.50237E-2</v>
      </c>
      <c r="M4068" s="15">
        <v>0.88207800000000003</v>
      </c>
      <c r="N4068" s="15">
        <v>0.97032896437346439</v>
      </c>
    </row>
    <row r="4069" spans="1:14" x14ac:dyDescent="0.2">
      <c r="A4069" s="2" t="s">
        <v>10068</v>
      </c>
      <c r="B4069" s="15">
        <v>1474</v>
      </c>
      <c r="C4069" s="15">
        <v>9</v>
      </c>
      <c r="D4069" s="15">
        <v>130902728</v>
      </c>
      <c r="E4069" s="15">
        <v>132193798</v>
      </c>
      <c r="F4069" s="15">
        <v>2367</v>
      </c>
      <c r="G4069" s="8" t="s">
        <v>12324</v>
      </c>
      <c r="H4069" s="24" t="s">
        <v>6565</v>
      </c>
      <c r="I4069" s="25" t="s">
        <v>6475</v>
      </c>
      <c r="J4069" s="8" t="s">
        <v>6566</v>
      </c>
      <c r="K4069" s="8" t="s">
        <v>10054</v>
      </c>
      <c r="L4069" s="15">
        <v>3.3381300000000003E-2</v>
      </c>
      <c r="M4069" s="15">
        <v>0.88304899999999997</v>
      </c>
      <c r="N4069" s="15">
        <v>0.97032896437346439</v>
      </c>
    </row>
    <row r="4070" spans="1:14" x14ac:dyDescent="0.2">
      <c r="A4070" s="2" t="s">
        <v>10068</v>
      </c>
      <c r="B4070" s="15">
        <v>1737</v>
      </c>
      <c r="C4070" s="15">
        <v>11</v>
      </c>
      <c r="D4070" s="15">
        <v>132584402</v>
      </c>
      <c r="E4070" s="15">
        <v>133521642</v>
      </c>
      <c r="F4070" s="15">
        <v>2749</v>
      </c>
      <c r="G4070" s="8" t="s">
        <v>12324</v>
      </c>
      <c r="H4070" s="24" t="s">
        <v>6565</v>
      </c>
      <c r="I4070" s="25" t="s">
        <v>6475</v>
      </c>
      <c r="J4070" s="8" t="s">
        <v>6566</v>
      </c>
      <c r="K4070" s="8" t="s">
        <v>10054</v>
      </c>
      <c r="L4070" s="15">
        <v>-3.2302699999999997E-2</v>
      </c>
      <c r="M4070" s="15">
        <v>0.88526000000000005</v>
      </c>
      <c r="N4070" s="15">
        <v>0.97032896437346439</v>
      </c>
    </row>
    <row r="4071" spans="1:14" x14ac:dyDescent="0.2">
      <c r="A4071" s="2" t="s">
        <v>10068</v>
      </c>
      <c r="B4071" s="15">
        <v>1250</v>
      </c>
      <c r="C4071" s="15">
        <v>8</v>
      </c>
      <c r="D4071" s="15">
        <v>10478852</v>
      </c>
      <c r="E4071" s="15">
        <v>11466761</v>
      </c>
      <c r="F4071" s="15">
        <v>3181</v>
      </c>
      <c r="G4071" s="8" t="s">
        <v>12324</v>
      </c>
      <c r="H4071" s="24" t="s">
        <v>6565</v>
      </c>
      <c r="I4071" s="25" t="s">
        <v>6475</v>
      </c>
      <c r="J4071" s="8" t="s">
        <v>6566</v>
      </c>
      <c r="K4071" s="8" t="s">
        <v>10054</v>
      </c>
      <c r="L4071" s="15">
        <v>2.8266099999999999E-2</v>
      </c>
      <c r="M4071" s="15">
        <v>0.88671900000000003</v>
      </c>
      <c r="N4071" s="15">
        <v>0.97032896437346439</v>
      </c>
    </row>
    <row r="4072" spans="1:14" x14ac:dyDescent="0.2">
      <c r="A4072" s="2" t="s">
        <v>10068</v>
      </c>
      <c r="B4072" s="15">
        <v>1492</v>
      </c>
      <c r="C4072" s="15">
        <v>10</v>
      </c>
      <c r="D4072" s="15">
        <v>5396243</v>
      </c>
      <c r="E4072" s="15">
        <v>6234718</v>
      </c>
      <c r="F4072" s="15">
        <v>3063</v>
      </c>
      <c r="G4072" s="8" t="s">
        <v>12324</v>
      </c>
      <c r="H4072" s="24" t="s">
        <v>6565</v>
      </c>
      <c r="I4072" s="25" t="s">
        <v>6475</v>
      </c>
      <c r="J4072" s="8" t="s">
        <v>6566</v>
      </c>
      <c r="K4072" s="8" t="s">
        <v>10054</v>
      </c>
      <c r="L4072" s="15">
        <v>-4.0880300000000001E-2</v>
      </c>
      <c r="M4072" s="15">
        <v>0.88797099999999995</v>
      </c>
      <c r="N4072" s="15">
        <v>0.97032896437346439</v>
      </c>
    </row>
    <row r="4073" spans="1:14" x14ac:dyDescent="0.2">
      <c r="A4073" s="2" t="s">
        <v>10068</v>
      </c>
      <c r="B4073" s="15">
        <v>1842</v>
      </c>
      <c r="C4073" s="15">
        <v>12</v>
      </c>
      <c r="D4073" s="15">
        <v>113947984</v>
      </c>
      <c r="E4073" s="15">
        <v>114685670</v>
      </c>
      <c r="F4073" s="15">
        <v>2478</v>
      </c>
      <c r="G4073" s="8" t="s">
        <v>12324</v>
      </c>
      <c r="H4073" s="24" t="s">
        <v>494</v>
      </c>
      <c r="I4073" s="25">
        <v>25920</v>
      </c>
      <c r="J4073" s="8" t="s">
        <v>496</v>
      </c>
      <c r="K4073" s="8" t="s">
        <v>10040</v>
      </c>
      <c r="L4073" s="15">
        <v>2.9872300000000001E-2</v>
      </c>
      <c r="M4073" s="15">
        <v>0.89083800000000002</v>
      </c>
      <c r="N4073" s="15">
        <v>0.97041437745579573</v>
      </c>
    </row>
    <row r="4074" spans="1:14" x14ac:dyDescent="0.2">
      <c r="A4074" s="2" t="s">
        <v>10068</v>
      </c>
      <c r="B4074" s="15">
        <v>95</v>
      </c>
      <c r="C4074" s="15">
        <v>1</v>
      </c>
      <c r="D4074" s="15">
        <v>107874654</v>
      </c>
      <c r="E4074" s="15">
        <v>109271449</v>
      </c>
      <c r="F4074" s="15">
        <v>3341</v>
      </c>
      <c r="G4074" s="8" t="s">
        <v>12324</v>
      </c>
      <c r="H4074" s="24" t="s">
        <v>599</v>
      </c>
      <c r="I4074" s="25">
        <v>26562</v>
      </c>
      <c r="J4074" s="8" t="s">
        <v>601</v>
      </c>
      <c r="K4074" s="8" t="s">
        <v>10040</v>
      </c>
      <c r="L4074" s="15">
        <v>2.2438099999999999E-2</v>
      </c>
      <c r="M4074" s="15">
        <v>0.89098699999999997</v>
      </c>
      <c r="N4074" s="15">
        <v>0.97041437745579573</v>
      </c>
    </row>
    <row r="4075" spans="1:14" x14ac:dyDescent="0.2">
      <c r="A4075" s="2" t="s">
        <v>10068</v>
      </c>
      <c r="B4075" s="15">
        <v>433</v>
      </c>
      <c r="C4075" s="15">
        <v>3</v>
      </c>
      <c r="D4075" s="15">
        <v>11226368</v>
      </c>
      <c r="E4075" s="15">
        <v>11997658</v>
      </c>
      <c r="F4075" s="15">
        <v>2129</v>
      </c>
      <c r="G4075" s="8" t="s">
        <v>12324</v>
      </c>
      <c r="H4075" s="24" t="s">
        <v>494</v>
      </c>
      <c r="I4075" s="25">
        <v>25920</v>
      </c>
      <c r="J4075" s="8" t="s">
        <v>496</v>
      </c>
      <c r="K4075" s="8" t="s">
        <v>10040</v>
      </c>
      <c r="L4075" s="15">
        <v>5.1936900000000001E-2</v>
      </c>
      <c r="M4075" s="15">
        <v>0.89170099999999997</v>
      </c>
      <c r="N4075" s="15">
        <v>0.97044459028459273</v>
      </c>
    </row>
    <row r="4076" spans="1:14" x14ac:dyDescent="0.2">
      <c r="A4076" s="2" t="s">
        <v>10068</v>
      </c>
      <c r="B4076" s="15">
        <v>1512</v>
      </c>
      <c r="C4076" s="15">
        <v>10</v>
      </c>
      <c r="D4076" s="15">
        <v>24489448</v>
      </c>
      <c r="E4076" s="15">
        <v>25577761</v>
      </c>
      <c r="F4076" s="15">
        <v>2521</v>
      </c>
      <c r="G4076" s="8" t="s">
        <v>12324</v>
      </c>
      <c r="H4076" s="24" t="s">
        <v>599</v>
      </c>
      <c r="I4076" s="25">
        <v>26562</v>
      </c>
      <c r="J4076" s="8" t="s">
        <v>601</v>
      </c>
      <c r="K4076" s="8" t="s">
        <v>10040</v>
      </c>
      <c r="L4076" s="15">
        <v>-2.65267E-2</v>
      </c>
      <c r="M4076" s="15">
        <v>0.89178500000000005</v>
      </c>
      <c r="N4076" s="15">
        <v>0.97044459028459273</v>
      </c>
    </row>
    <row r="4077" spans="1:14" x14ac:dyDescent="0.2">
      <c r="A4077" s="2" t="s">
        <v>10068</v>
      </c>
      <c r="B4077" s="15">
        <v>2357</v>
      </c>
      <c r="C4077" s="15">
        <v>19</v>
      </c>
      <c r="D4077" s="15">
        <v>50451926</v>
      </c>
      <c r="E4077" s="15">
        <v>51259178</v>
      </c>
      <c r="F4077" s="15">
        <v>2121</v>
      </c>
      <c r="G4077" s="8" t="s">
        <v>12324</v>
      </c>
      <c r="H4077" s="24" t="s">
        <v>1259</v>
      </c>
      <c r="I4077" s="25">
        <v>27096</v>
      </c>
      <c r="J4077" s="8" t="s">
        <v>1261</v>
      </c>
      <c r="K4077" s="8" t="s">
        <v>10040</v>
      </c>
      <c r="L4077" s="15">
        <v>-3.7871099999999998E-2</v>
      </c>
      <c r="M4077" s="15">
        <v>0.89167600000000002</v>
      </c>
      <c r="N4077" s="15">
        <v>0.97044459028459273</v>
      </c>
    </row>
    <row r="4078" spans="1:14" x14ac:dyDescent="0.2">
      <c r="A4078" s="2" t="s">
        <v>10066</v>
      </c>
      <c r="B4078" s="15">
        <v>2108</v>
      </c>
      <c r="C4078" s="15">
        <v>16</v>
      </c>
      <c r="D4078" s="15">
        <v>6446082</v>
      </c>
      <c r="E4078" s="15">
        <v>7051429</v>
      </c>
      <c r="F4078" s="15">
        <v>3116</v>
      </c>
      <c r="G4078" s="8" t="s">
        <v>12324</v>
      </c>
      <c r="H4078" s="24" t="s">
        <v>6008</v>
      </c>
      <c r="I4078" s="25" t="s">
        <v>6009</v>
      </c>
      <c r="J4078" s="8" t="s">
        <v>6010</v>
      </c>
      <c r="K4078" s="8" t="s">
        <v>10051</v>
      </c>
      <c r="L4078" s="15">
        <v>-3.1021400000000001E-2</v>
      </c>
      <c r="M4078" s="15">
        <v>0.89188999999999996</v>
      </c>
      <c r="N4078" s="15">
        <v>0.97044459028459273</v>
      </c>
    </row>
    <row r="4079" spans="1:14" x14ac:dyDescent="0.2">
      <c r="A4079" s="2" t="s">
        <v>10068</v>
      </c>
      <c r="B4079" s="15">
        <v>1462</v>
      </c>
      <c r="C4079" s="15">
        <v>9</v>
      </c>
      <c r="D4079" s="15">
        <v>117054910</v>
      </c>
      <c r="E4079" s="15">
        <v>117989017</v>
      </c>
      <c r="F4079" s="15">
        <v>2568</v>
      </c>
      <c r="G4079" s="8" t="s">
        <v>12324</v>
      </c>
      <c r="H4079" s="24" t="s">
        <v>494</v>
      </c>
      <c r="I4079" s="25">
        <v>25920</v>
      </c>
      <c r="J4079" s="8" t="s">
        <v>496</v>
      </c>
      <c r="K4079" s="8" t="s">
        <v>10040</v>
      </c>
      <c r="L4079" s="15">
        <v>-2.7334799999999999E-2</v>
      </c>
      <c r="M4079" s="15">
        <v>0.89238499999999998</v>
      </c>
      <c r="N4079" s="15">
        <v>0.97054504659146634</v>
      </c>
    </row>
    <row r="4080" spans="1:14" x14ac:dyDescent="0.2">
      <c r="A4080" s="2" t="s">
        <v>10066</v>
      </c>
      <c r="B4080" s="15">
        <v>596</v>
      </c>
      <c r="C4080" s="15">
        <v>4</v>
      </c>
      <c r="D4080" s="15">
        <v>10227</v>
      </c>
      <c r="E4080" s="15">
        <v>812415</v>
      </c>
      <c r="F4080" s="15">
        <v>2120</v>
      </c>
      <c r="G4080" s="8" t="s">
        <v>12324</v>
      </c>
      <c r="H4080" s="24" t="s">
        <v>6008</v>
      </c>
      <c r="I4080" s="25" t="s">
        <v>6009</v>
      </c>
      <c r="J4080" s="8" t="s">
        <v>6010</v>
      </c>
      <c r="K4080" s="8" t="s">
        <v>10051</v>
      </c>
      <c r="L4080" s="15">
        <v>-3.6761299999999997E-2</v>
      </c>
      <c r="M4080" s="15">
        <v>0.89241999999999999</v>
      </c>
      <c r="N4080" s="15">
        <v>0.97054504659146634</v>
      </c>
    </row>
    <row r="4081" spans="1:14" x14ac:dyDescent="0.2">
      <c r="A4081" s="2" t="s">
        <v>10066</v>
      </c>
      <c r="B4081" s="15">
        <v>1966</v>
      </c>
      <c r="C4081" s="15">
        <v>14</v>
      </c>
      <c r="D4081" s="15">
        <v>33591114</v>
      </c>
      <c r="E4081" s="15">
        <v>34695195</v>
      </c>
      <c r="F4081" s="15">
        <v>3220</v>
      </c>
      <c r="G4081" s="8" t="s">
        <v>12324</v>
      </c>
      <c r="H4081" s="24" t="s">
        <v>3164</v>
      </c>
      <c r="I4081" s="25" t="s">
        <v>3165</v>
      </c>
      <c r="J4081" s="8" t="s">
        <v>3166</v>
      </c>
      <c r="K4081" s="8" t="s">
        <v>10042</v>
      </c>
      <c r="L4081" s="15">
        <v>-4.2186500000000002E-2</v>
      </c>
      <c r="M4081" s="15">
        <v>0.89324000000000003</v>
      </c>
      <c r="N4081" s="15">
        <v>0.97119867614611421</v>
      </c>
    </row>
    <row r="4082" spans="1:14" x14ac:dyDescent="0.2">
      <c r="A4082" s="2" t="s">
        <v>10066</v>
      </c>
      <c r="B4082" s="15">
        <v>1413</v>
      </c>
      <c r="C4082" s="15">
        <v>9</v>
      </c>
      <c r="D4082" s="15">
        <v>36749274</v>
      </c>
      <c r="E4082" s="15">
        <v>37687112</v>
      </c>
      <c r="F4082" s="15">
        <v>2293</v>
      </c>
      <c r="G4082" s="8" t="s">
        <v>12324</v>
      </c>
      <c r="H4082" s="24" t="s">
        <v>6008</v>
      </c>
      <c r="I4082" s="25" t="s">
        <v>6009</v>
      </c>
      <c r="J4082" s="8" t="s">
        <v>6010</v>
      </c>
      <c r="K4082" s="8" t="s">
        <v>10051</v>
      </c>
      <c r="L4082" s="15">
        <v>3.8636700000000003E-2</v>
      </c>
      <c r="M4082" s="15">
        <v>0.89346300000000001</v>
      </c>
      <c r="N4082" s="15">
        <v>0.97120304044117645</v>
      </c>
    </row>
    <row r="4083" spans="1:14" x14ac:dyDescent="0.2">
      <c r="A4083" s="2" t="s">
        <v>10068</v>
      </c>
      <c r="B4083" s="15">
        <v>2287</v>
      </c>
      <c r="C4083" s="15">
        <v>18</v>
      </c>
      <c r="D4083" s="15">
        <v>58527237</v>
      </c>
      <c r="E4083" s="15">
        <v>59449422</v>
      </c>
      <c r="F4083" s="15">
        <v>2310</v>
      </c>
      <c r="G4083" s="8" t="s">
        <v>12324</v>
      </c>
      <c r="H4083" s="24" t="s">
        <v>6565</v>
      </c>
      <c r="I4083" s="25" t="s">
        <v>6475</v>
      </c>
      <c r="J4083" s="8" t="s">
        <v>6566</v>
      </c>
      <c r="K4083" s="8" t="s">
        <v>10054</v>
      </c>
      <c r="L4083" s="15">
        <v>-4.0204900000000002E-2</v>
      </c>
      <c r="M4083" s="15">
        <v>0.89371</v>
      </c>
      <c r="N4083" s="15">
        <v>0.97123348444008817</v>
      </c>
    </row>
    <row r="4084" spans="1:14" x14ac:dyDescent="0.2">
      <c r="A4084" s="2" t="s">
        <v>10068</v>
      </c>
      <c r="B4084" s="15">
        <v>339</v>
      </c>
      <c r="C4084" s="15">
        <v>2</v>
      </c>
      <c r="D4084" s="15">
        <v>151428989</v>
      </c>
      <c r="E4084" s="15">
        <v>152497375</v>
      </c>
      <c r="F4084" s="15">
        <v>2725</v>
      </c>
      <c r="G4084" s="8" t="s">
        <v>12324</v>
      </c>
      <c r="H4084" s="24" t="s">
        <v>6565</v>
      </c>
      <c r="I4084" s="25" t="s">
        <v>6475</v>
      </c>
      <c r="J4084" s="8" t="s">
        <v>6566</v>
      </c>
      <c r="K4084" s="8" t="s">
        <v>10054</v>
      </c>
      <c r="L4084" s="15">
        <v>2.92959E-2</v>
      </c>
      <c r="M4084" s="15">
        <v>0.89405299999999999</v>
      </c>
      <c r="N4084" s="15">
        <v>0.97136821533561979</v>
      </c>
    </row>
    <row r="4085" spans="1:14" x14ac:dyDescent="0.2">
      <c r="A4085" s="2" t="s">
        <v>10068</v>
      </c>
      <c r="B4085" s="15">
        <v>622</v>
      </c>
      <c r="C4085" s="15">
        <v>4</v>
      </c>
      <c r="D4085" s="15">
        <v>23858351</v>
      </c>
      <c r="E4085" s="15">
        <v>24764724</v>
      </c>
      <c r="F4085" s="15">
        <v>2263</v>
      </c>
      <c r="G4085" s="8" t="s">
        <v>12324</v>
      </c>
      <c r="H4085" s="24" t="s">
        <v>494</v>
      </c>
      <c r="I4085" s="25">
        <v>25920</v>
      </c>
      <c r="J4085" s="8" t="s">
        <v>496</v>
      </c>
      <c r="K4085" s="8" t="s">
        <v>10040</v>
      </c>
      <c r="L4085" s="15">
        <v>2.0395099999999999E-2</v>
      </c>
      <c r="M4085" s="15">
        <v>0.89592300000000002</v>
      </c>
      <c r="N4085" s="15">
        <v>0.97226439086914063</v>
      </c>
    </row>
    <row r="4086" spans="1:14" x14ac:dyDescent="0.2">
      <c r="A4086" s="2" t="s">
        <v>10068</v>
      </c>
      <c r="B4086" s="15">
        <v>1324</v>
      </c>
      <c r="C4086" s="15">
        <v>8</v>
      </c>
      <c r="D4086" s="15">
        <v>92876621</v>
      </c>
      <c r="E4086" s="15">
        <v>94999066</v>
      </c>
      <c r="F4086" s="15">
        <v>3963</v>
      </c>
      <c r="G4086" s="8" t="s">
        <v>12324</v>
      </c>
      <c r="H4086" s="24" t="s">
        <v>599</v>
      </c>
      <c r="I4086" s="25">
        <v>26562</v>
      </c>
      <c r="J4086" s="8" t="s">
        <v>601</v>
      </c>
      <c r="K4086" s="8" t="s">
        <v>10040</v>
      </c>
      <c r="L4086" s="15">
        <v>2.9355200000000001E-2</v>
      </c>
      <c r="M4086" s="15">
        <v>0.89768700000000001</v>
      </c>
      <c r="N4086" s="15">
        <v>0.97226439086914063</v>
      </c>
    </row>
    <row r="4087" spans="1:14" x14ac:dyDescent="0.2">
      <c r="A4087" s="2" t="s">
        <v>10069</v>
      </c>
      <c r="B4087" s="15">
        <v>169</v>
      </c>
      <c r="C4087" s="15">
        <v>1</v>
      </c>
      <c r="D4087" s="15">
        <v>218563961</v>
      </c>
      <c r="E4087" s="15">
        <v>220073132</v>
      </c>
      <c r="F4087" s="15">
        <v>2849</v>
      </c>
      <c r="G4087" s="8" t="s">
        <v>12324</v>
      </c>
      <c r="H4087" s="24" t="s">
        <v>662</v>
      </c>
      <c r="I4087" s="25" t="s">
        <v>663</v>
      </c>
      <c r="J4087" s="8" t="s">
        <v>664</v>
      </c>
      <c r="K4087" s="8" t="s">
        <v>10040</v>
      </c>
      <c r="L4087" s="15">
        <v>-4.5225799999999997E-2</v>
      </c>
      <c r="M4087" s="15">
        <v>0.89590099999999995</v>
      </c>
      <c r="N4087" s="15">
        <v>0.97226439086914063</v>
      </c>
    </row>
    <row r="4088" spans="1:14" x14ac:dyDescent="0.2">
      <c r="A4088" s="2" t="s">
        <v>10069</v>
      </c>
      <c r="B4088" s="15">
        <v>2302</v>
      </c>
      <c r="C4088" s="15">
        <v>18</v>
      </c>
      <c r="D4088" s="15">
        <v>74471746</v>
      </c>
      <c r="E4088" s="15">
        <v>75240760</v>
      </c>
      <c r="F4088" s="15">
        <v>1953</v>
      </c>
      <c r="G4088" s="8" t="s">
        <v>12324</v>
      </c>
      <c r="H4088" s="24" t="s">
        <v>662</v>
      </c>
      <c r="I4088" s="25" t="s">
        <v>663</v>
      </c>
      <c r="J4088" s="8" t="s">
        <v>664</v>
      </c>
      <c r="K4088" s="8" t="s">
        <v>10040</v>
      </c>
      <c r="L4088" s="15">
        <v>4.3060399999999999E-2</v>
      </c>
      <c r="M4088" s="15">
        <v>0.89785300000000001</v>
      </c>
      <c r="N4088" s="15">
        <v>0.97226439086914063</v>
      </c>
    </row>
    <row r="4089" spans="1:14" x14ac:dyDescent="0.2">
      <c r="A4089" s="2" t="s">
        <v>10068</v>
      </c>
      <c r="B4089" s="15">
        <v>574</v>
      </c>
      <c r="C4089" s="15">
        <v>3</v>
      </c>
      <c r="D4089" s="15">
        <v>173415592</v>
      </c>
      <c r="E4089" s="15">
        <v>174684707</v>
      </c>
      <c r="F4089" s="15">
        <v>3224</v>
      </c>
      <c r="G4089" s="8" t="s">
        <v>12324</v>
      </c>
      <c r="H4089" s="24" t="s">
        <v>1259</v>
      </c>
      <c r="I4089" s="25">
        <v>27096</v>
      </c>
      <c r="J4089" s="8" t="s">
        <v>1261</v>
      </c>
      <c r="K4089" s="8" t="s">
        <v>10040</v>
      </c>
      <c r="L4089" s="15">
        <v>-3.6194200000000003E-2</v>
      </c>
      <c r="M4089" s="15">
        <v>0.89649599999999996</v>
      </c>
      <c r="N4089" s="15">
        <v>0.97226439086914063</v>
      </c>
    </row>
    <row r="4090" spans="1:14" x14ac:dyDescent="0.2">
      <c r="A4090" s="2" t="s">
        <v>10068</v>
      </c>
      <c r="B4090" s="15">
        <v>2316</v>
      </c>
      <c r="C4090" s="15">
        <v>19</v>
      </c>
      <c r="D4090" s="15">
        <v>8199017</v>
      </c>
      <c r="E4090" s="15">
        <v>9105577</v>
      </c>
      <c r="F4090" s="15">
        <v>2612</v>
      </c>
      <c r="G4090" s="8" t="s">
        <v>12324</v>
      </c>
      <c r="H4090" s="24" t="s">
        <v>1259</v>
      </c>
      <c r="I4090" s="25">
        <v>27096</v>
      </c>
      <c r="J4090" s="8" t="s">
        <v>1261</v>
      </c>
      <c r="K4090" s="8" t="s">
        <v>10040</v>
      </c>
      <c r="L4090" s="15">
        <v>-2.4741200000000001E-2</v>
      </c>
      <c r="M4090" s="15">
        <v>0.89778500000000006</v>
      </c>
      <c r="N4090" s="15">
        <v>0.97226439086914063</v>
      </c>
    </row>
    <row r="4091" spans="1:14" x14ac:dyDescent="0.2">
      <c r="A4091" s="2" t="s">
        <v>10068</v>
      </c>
      <c r="B4091" s="15">
        <v>1888</v>
      </c>
      <c r="C4091" s="15">
        <v>13</v>
      </c>
      <c r="D4091" s="15">
        <v>45476447</v>
      </c>
      <c r="E4091" s="15">
        <v>46493236</v>
      </c>
      <c r="F4091" s="15">
        <v>2335</v>
      </c>
      <c r="G4091" s="8" t="s">
        <v>12324</v>
      </c>
      <c r="H4091" s="24" t="s">
        <v>1259</v>
      </c>
      <c r="I4091" s="25">
        <v>27096</v>
      </c>
      <c r="J4091" s="8" t="s">
        <v>1261</v>
      </c>
      <c r="K4091" s="8" t="s">
        <v>10040</v>
      </c>
      <c r="L4091" s="15">
        <v>-3.4692899999999999E-2</v>
      </c>
      <c r="M4091" s="15">
        <v>0.89794700000000005</v>
      </c>
      <c r="N4091" s="15">
        <v>0.97226439086914063</v>
      </c>
    </row>
    <row r="4092" spans="1:14" x14ac:dyDescent="0.2">
      <c r="A4092" s="2" t="s">
        <v>10066</v>
      </c>
      <c r="B4092" s="15">
        <v>1396</v>
      </c>
      <c r="C4092" s="15">
        <v>9</v>
      </c>
      <c r="D4092" s="15">
        <v>19463293</v>
      </c>
      <c r="E4092" s="15">
        <v>20483880</v>
      </c>
      <c r="F4092" s="15">
        <v>2660</v>
      </c>
      <c r="G4092" s="8" t="s">
        <v>12324</v>
      </c>
      <c r="H4092" s="24" t="s">
        <v>3164</v>
      </c>
      <c r="I4092" s="25" t="s">
        <v>3165</v>
      </c>
      <c r="J4092" s="8" t="s">
        <v>3166</v>
      </c>
      <c r="K4092" s="8" t="s">
        <v>10042</v>
      </c>
      <c r="L4092" s="15">
        <v>-3.26276E-2</v>
      </c>
      <c r="M4092" s="15">
        <v>0.89660499999999999</v>
      </c>
      <c r="N4092" s="15">
        <v>0.97226439086914063</v>
      </c>
    </row>
    <row r="4093" spans="1:14" x14ac:dyDescent="0.2">
      <c r="A4093" s="2" t="s">
        <v>10066</v>
      </c>
      <c r="B4093" s="15">
        <v>2073</v>
      </c>
      <c r="C4093" s="15">
        <v>15</v>
      </c>
      <c r="D4093" s="15">
        <v>70767984</v>
      </c>
      <c r="E4093" s="15">
        <v>72058129</v>
      </c>
      <c r="F4093" s="15">
        <v>2882</v>
      </c>
      <c r="G4093" s="8" t="s">
        <v>12324</v>
      </c>
      <c r="H4093" s="24" t="s">
        <v>3164</v>
      </c>
      <c r="I4093" s="25" t="s">
        <v>3165</v>
      </c>
      <c r="J4093" s="8" t="s">
        <v>3166</v>
      </c>
      <c r="K4093" s="8" t="s">
        <v>10042</v>
      </c>
      <c r="L4093" s="15">
        <v>3.4425499999999998E-2</v>
      </c>
      <c r="M4093" s="15">
        <v>0.89773800000000004</v>
      </c>
      <c r="N4093" s="15">
        <v>0.97226439086914063</v>
      </c>
    </row>
    <row r="4094" spans="1:14" x14ac:dyDescent="0.2">
      <c r="A4094" s="2" t="s">
        <v>10066</v>
      </c>
      <c r="B4094" s="15">
        <v>1438</v>
      </c>
      <c r="C4094" s="15">
        <v>9</v>
      </c>
      <c r="D4094" s="15">
        <v>93441051</v>
      </c>
      <c r="E4094" s="15">
        <v>94175374</v>
      </c>
      <c r="F4094" s="15">
        <v>2264</v>
      </c>
      <c r="G4094" s="8" t="s">
        <v>12324</v>
      </c>
      <c r="H4094" s="24" t="s">
        <v>6008</v>
      </c>
      <c r="I4094" s="25" t="s">
        <v>6009</v>
      </c>
      <c r="J4094" s="8" t="s">
        <v>6010</v>
      </c>
      <c r="K4094" s="8" t="s">
        <v>10051</v>
      </c>
      <c r="L4094" s="15">
        <v>5.25797E-2</v>
      </c>
      <c r="M4094" s="15">
        <v>0.89617500000000005</v>
      </c>
      <c r="N4094" s="15">
        <v>0.97226439086914063</v>
      </c>
    </row>
    <row r="4095" spans="1:14" x14ac:dyDescent="0.2">
      <c r="A4095" s="2" t="s">
        <v>10066</v>
      </c>
      <c r="B4095" s="15">
        <v>977</v>
      </c>
      <c r="C4095" s="15">
        <v>6</v>
      </c>
      <c r="D4095" s="15">
        <v>42103739</v>
      </c>
      <c r="E4095" s="15">
        <v>43770626</v>
      </c>
      <c r="F4095" s="15">
        <v>3514</v>
      </c>
      <c r="G4095" s="8" t="s">
        <v>12324</v>
      </c>
      <c r="H4095" s="24" t="s">
        <v>6008</v>
      </c>
      <c r="I4095" s="25" t="s">
        <v>6009</v>
      </c>
      <c r="J4095" s="8" t="s">
        <v>6010</v>
      </c>
      <c r="K4095" s="8" t="s">
        <v>10051</v>
      </c>
      <c r="L4095" s="15">
        <v>2.1804E-2</v>
      </c>
      <c r="M4095" s="15">
        <v>0.89710000000000001</v>
      </c>
      <c r="N4095" s="15">
        <v>0.97226439086914063</v>
      </c>
    </row>
    <row r="4096" spans="1:14" x14ac:dyDescent="0.2">
      <c r="A4096" s="2" t="s">
        <v>10066</v>
      </c>
      <c r="B4096" s="15">
        <v>1603</v>
      </c>
      <c r="C4096" s="15">
        <v>10</v>
      </c>
      <c r="D4096" s="15">
        <v>129831970</v>
      </c>
      <c r="E4096" s="15">
        <v>130694008</v>
      </c>
      <c r="F4096" s="15">
        <v>2882</v>
      </c>
      <c r="G4096" s="8" t="s">
        <v>12324</v>
      </c>
      <c r="H4096" s="24" t="s">
        <v>6008</v>
      </c>
      <c r="I4096" s="25" t="s">
        <v>6009</v>
      </c>
      <c r="J4096" s="8" t="s">
        <v>6010</v>
      </c>
      <c r="K4096" s="8" t="s">
        <v>10051</v>
      </c>
      <c r="L4096" s="15">
        <v>2.7801300000000001E-2</v>
      </c>
      <c r="M4096" s="15">
        <v>0.89712899999999995</v>
      </c>
      <c r="N4096" s="15">
        <v>0.97226439086914063</v>
      </c>
    </row>
    <row r="4097" spans="1:14" x14ac:dyDescent="0.2">
      <c r="A4097" s="2" t="s">
        <v>10068</v>
      </c>
      <c r="B4097" s="15">
        <v>1692</v>
      </c>
      <c r="C4097" s="15">
        <v>11</v>
      </c>
      <c r="D4097" s="15">
        <v>85869060</v>
      </c>
      <c r="E4097" s="15">
        <v>86629333</v>
      </c>
      <c r="F4097" s="15">
        <v>2396</v>
      </c>
      <c r="G4097" s="8" t="s">
        <v>12324</v>
      </c>
      <c r="H4097" s="24" t="s">
        <v>6565</v>
      </c>
      <c r="I4097" s="25" t="s">
        <v>6475</v>
      </c>
      <c r="J4097" s="8" t="s">
        <v>6566</v>
      </c>
      <c r="K4097" s="8" t="s">
        <v>10054</v>
      </c>
      <c r="L4097" s="15">
        <v>3.9456100000000001E-2</v>
      </c>
      <c r="M4097" s="15">
        <v>0.89698</v>
      </c>
      <c r="N4097" s="15">
        <v>0.97226439086914063</v>
      </c>
    </row>
    <row r="4098" spans="1:14" x14ac:dyDescent="0.2">
      <c r="A4098" s="2" t="s">
        <v>10068</v>
      </c>
      <c r="B4098" s="15">
        <v>1352</v>
      </c>
      <c r="C4098" s="15">
        <v>8</v>
      </c>
      <c r="D4098" s="15">
        <v>126766828</v>
      </c>
      <c r="E4098" s="15">
        <v>128073654</v>
      </c>
      <c r="F4098" s="15">
        <v>3626</v>
      </c>
      <c r="G4098" s="8" t="s">
        <v>12324</v>
      </c>
      <c r="H4098" s="24" t="s">
        <v>6565</v>
      </c>
      <c r="I4098" s="25" t="s">
        <v>6475</v>
      </c>
      <c r="J4098" s="8" t="s">
        <v>6566</v>
      </c>
      <c r="K4098" s="8" t="s">
        <v>10054</v>
      </c>
      <c r="L4098" s="15">
        <v>3.03912E-2</v>
      </c>
      <c r="M4098" s="15">
        <v>0.89716600000000002</v>
      </c>
      <c r="N4098" s="15">
        <v>0.97226439086914063</v>
      </c>
    </row>
    <row r="4099" spans="1:14" x14ac:dyDescent="0.2">
      <c r="A4099" s="2" t="s">
        <v>10066</v>
      </c>
      <c r="B4099" s="15">
        <v>1479</v>
      </c>
      <c r="C4099" s="15">
        <v>9</v>
      </c>
      <c r="D4099" s="15">
        <v>136042491</v>
      </c>
      <c r="E4099" s="15">
        <v>136770926</v>
      </c>
      <c r="F4099" s="15">
        <v>2767</v>
      </c>
      <c r="G4099" s="8" t="s">
        <v>12324</v>
      </c>
      <c r="H4099" s="24" t="s">
        <v>3164</v>
      </c>
      <c r="I4099" s="25" t="s">
        <v>3165</v>
      </c>
      <c r="J4099" s="8" t="s">
        <v>3166</v>
      </c>
      <c r="K4099" s="8" t="s">
        <v>10042</v>
      </c>
      <c r="L4099" s="15">
        <v>3.2556500000000002E-2</v>
      </c>
      <c r="M4099" s="15">
        <v>0.898289</v>
      </c>
      <c r="N4099" s="15">
        <v>0.97239729436172806</v>
      </c>
    </row>
    <row r="4100" spans="1:14" x14ac:dyDescent="0.2">
      <c r="A4100" s="2" t="s">
        <v>10066</v>
      </c>
      <c r="B4100" s="15">
        <v>61</v>
      </c>
      <c r="C4100" s="15">
        <v>1</v>
      </c>
      <c r="D4100" s="15">
        <v>70992906</v>
      </c>
      <c r="E4100" s="15">
        <v>72513119</v>
      </c>
      <c r="F4100" s="15">
        <v>3100</v>
      </c>
      <c r="G4100" s="8" t="s">
        <v>12324</v>
      </c>
      <c r="H4100" s="24" t="s">
        <v>6008</v>
      </c>
      <c r="I4100" s="25" t="s">
        <v>6009</v>
      </c>
      <c r="J4100" s="8" t="s">
        <v>6010</v>
      </c>
      <c r="K4100" s="8" t="s">
        <v>10051</v>
      </c>
      <c r="L4100" s="15">
        <v>3.7062299999999999E-2</v>
      </c>
      <c r="M4100" s="15">
        <v>0.89925900000000003</v>
      </c>
      <c r="N4100" s="15">
        <v>0.97320977672035136</v>
      </c>
    </row>
    <row r="4101" spans="1:14" x14ac:dyDescent="0.2">
      <c r="A4101" s="2" t="s">
        <v>10068</v>
      </c>
      <c r="B4101" s="15">
        <v>20</v>
      </c>
      <c r="C4101" s="15">
        <v>1</v>
      </c>
      <c r="D4101" s="15">
        <v>18427821</v>
      </c>
      <c r="E4101" s="15">
        <v>19238924</v>
      </c>
      <c r="F4101" s="15">
        <v>2703</v>
      </c>
      <c r="G4101" s="8" t="s">
        <v>12324</v>
      </c>
      <c r="H4101" s="24" t="s">
        <v>494</v>
      </c>
      <c r="I4101" s="25">
        <v>25920</v>
      </c>
      <c r="J4101" s="8" t="s">
        <v>496</v>
      </c>
      <c r="K4101" s="8" t="s">
        <v>10040</v>
      </c>
      <c r="L4101" s="15">
        <v>-2.1696799999999999E-2</v>
      </c>
      <c r="M4101" s="15">
        <v>0.901258</v>
      </c>
      <c r="N4101" s="15">
        <v>0.97363292122538303</v>
      </c>
    </row>
    <row r="4102" spans="1:14" x14ac:dyDescent="0.2">
      <c r="A4102" s="2" t="s">
        <v>10068</v>
      </c>
      <c r="B4102" s="15">
        <v>1760</v>
      </c>
      <c r="C4102" s="15">
        <v>12</v>
      </c>
      <c r="D4102" s="15">
        <v>20074931</v>
      </c>
      <c r="E4102" s="15">
        <v>20866285</v>
      </c>
      <c r="F4102" s="15">
        <v>2330</v>
      </c>
      <c r="G4102" s="8" t="s">
        <v>12324</v>
      </c>
      <c r="H4102" s="24" t="s">
        <v>494</v>
      </c>
      <c r="I4102" s="25">
        <v>25920</v>
      </c>
      <c r="J4102" s="8" t="s">
        <v>496</v>
      </c>
      <c r="K4102" s="8" t="s">
        <v>10040</v>
      </c>
      <c r="L4102" s="15">
        <v>-4.4284200000000003E-2</v>
      </c>
      <c r="M4102" s="15">
        <v>0.90224800000000005</v>
      </c>
      <c r="N4102" s="15">
        <v>0.97363292122538303</v>
      </c>
    </row>
    <row r="4103" spans="1:14" x14ac:dyDescent="0.2">
      <c r="A4103" s="2" t="s">
        <v>10068</v>
      </c>
      <c r="B4103" s="15">
        <v>2246</v>
      </c>
      <c r="C4103" s="15">
        <v>18</v>
      </c>
      <c r="D4103" s="15">
        <v>7862480</v>
      </c>
      <c r="E4103" s="15">
        <v>8788524</v>
      </c>
      <c r="F4103" s="15">
        <v>3052</v>
      </c>
      <c r="G4103" s="8" t="s">
        <v>12324</v>
      </c>
      <c r="H4103" s="24" t="s">
        <v>599</v>
      </c>
      <c r="I4103" s="25">
        <v>26562</v>
      </c>
      <c r="J4103" s="8" t="s">
        <v>601</v>
      </c>
      <c r="K4103" s="8" t="s">
        <v>10040</v>
      </c>
      <c r="L4103" s="15">
        <v>3.6165799999999998E-2</v>
      </c>
      <c r="M4103" s="15">
        <v>0.90200599999999997</v>
      </c>
      <c r="N4103" s="15">
        <v>0.97363292122538303</v>
      </c>
    </row>
    <row r="4104" spans="1:14" x14ac:dyDescent="0.2">
      <c r="A4104" s="2" t="s">
        <v>10068</v>
      </c>
      <c r="B4104" s="15">
        <v>1944</v>
      </c>
      <c r="C4104" s="15">
        <v>13</v>
      </c>
      <c r="D4104" s="15">
        <v>106313848</v>
      </c>
      <c r="E4104" s="15">
        <v>107037864</v>
      </c>
      <c r="F4104" s="15">
        <v>2224</v>
      </c>
      <c r="G4104" s="8" t="s">
        <v>12324</v>
      </c>
      <c r="H4104" s="24" t="s">
        <v>599</v>
      </c>
      <c r="I4104" s="25">
        <v>26562</v>
      </c>
      <c r="J4104" s="8" t="s">
        <v>601</v>
      </c>
      <c r="K4104" s="8" t="s">
        <v>10040</v>
      </c>
      <c r="L4104" s="15">
        <v>3.4439499999999998E-2</v>
      </c>
      <c r="M4104" s="15">
        <v>0.90225</v>
      </c>
      <c r="N4104" s="15">
        <v>0.97363292122538303</v>
      </c>
    </row>
    <row r="4105" spans="1:14" x14ac:dyDescent="0.2">
      <c r="A4105" s="2" t="s">
        <v>10069</v>
      </c>
      <c r="B4105" s="15">
        <v>1686</v>
      </c>
      <c r="C4105" s="15">
        <v>11</v>
      </c>
      <c r="D4105" s="15">
        <v>79802287</v>
      </c>
      <c r="E4105" s="15">
        <v>80726012</v>
      </c>
      <c r="F4105" s="15">
        <v>1604</v>
      </c>
      <c r="G4105" s="8" t="s">
        <v>12324</v>
      </c>
      <c r="H4105" s="24" t="s">
        <v>662</v>
      </c>
      <c r="I4105" s="25" t="s">
        <v>663</v>
      </c>
      <c r="J4105" s="8" t="s">
        <v>664</v>
      </c>
      <c r="K4105" s="8" t="s">
        <v>10040</v>
      </c>
      <c r="L4105" s="15">
        <v>4.8488000000000003E-2</v>
      </c>
      <c r="M4105" s="15">
        <v>0.9012</v>
      </c>
      <c r="N4105" s="15">
        <v>0.97363292122538303</v>
      </c>
    </row>
    <row r="4106" spans="1:14" x14ac:dyDescent="0.2">
      <c r="A4106" s="2" t="s">
        <v>10069</v>
      </c>
      <c r="B4106" s="15">
        <v>2422</v>
      </c>
      <c r="C4106" s="15">
        <v>20</v>
      </c>
      <c r="D4106" s="15">
        <v>56951774</v>
      </c>
      <c r="E4106" s="15">
        <v>57924037</v>
      </c>
      <c r="F4106" s="15">
        <v>1425</v>
      </c>
      <c r="G4106" s="8" t="s">
        <v>12324</v>
      </c>
      <c r="H4106" s="24" t="s">
        <v>662</v>
      </c>
      <c r="I4106" s="25" t="s">
        <v>663</v>
      </c>
      <c r="J4106" s="8" t="s">
        <v>664</v>
      </c>
      <c r="K4106" s="8" t="s">
        <v>10040</v>
      </c>
      <c r="L4106" s="15">
        <v>4.0565999999999998E-2</v>
      </c>
      <c r="M4106" s="15">
        <v>0.90257200000000004</v>
      </c>
      <c r="N4106" s="15">
        <v>0.97363292122538303</v>
      </c>
    </row>
    <row r="4107" spans="1:14" x14ac:dyDescent="0.2">
      <c r="A4107" s="2" t="s">
        <v>10068</v>
      </c>
      <c r="B4107" s="15">
        <v>2114</v>
      </c>
      <c r="C4107" s="15">
        <v>16</v>
      </c>
      <c r="D4107" s="15">
        <v>10351809</v>
      </c>
      <c r="E4107" s="15">
        <v>11022542</v>
      </c>
      <c r="F4107" s="15">
        <v>2217</v>
      </c>
      <c r="G4107" s="8" t="s">
        <v>12324</v>
      </c>
      <c r="H4107" s="24" t="s">
        <v>1259</v>
      </c>
      <c r="I4107" s="25">
        <v>27096</v>
      </c>
      <c r="J4107" s="8" t="s">
        <v>1261</v>
      </c>
      <c r="K4107" s="8" t="s">
        <v>10040</v>
      </c>
      <c r="L4107" s="15">
        <v>1.4697399999999999E-2</v>
      </c>
      <c r="M4107" s="15">
        <v>0.90227400000000002</v>
      </c>
      <c r="N4107" s="15">
        <v>0.97363292122538303</v>
      </c>
    </row>
    <row r="4108" spans="1:14" x14ac:dyDescent="0.2">
      <c r="A4108" s="2" t="s">
        <v>10066</v>
      </c>
      <c r="B4108" s="15">
        <v>2324</v>
      </c>
      <c r="C4108" s="15">
        <v>19</v>
      </c>
      <c r="D4108" s="15">
        <v>16079007</v>
      </c>
      <c r="E4108" s="15">
        <v>17045963</v>
      </c>
      <c r="F4108" s="15">
        <v>2507</v>
      </c>
      <c r="G4108" s="8" t="s">
        <v>12324</v>
      </c>
      <c r="H4108" s="24" t="s">
        <v>3164</v>
      </c>
      <c r="I4108" s="25" t="s">
        <v>3165</v>
      </c>
      <c r="J4108" s="8" t="s">
        <v>3166</v>
      </c>
      <c r="K4108" s="8" t="s">
        <v>10042</v>
      </c>
      <c r="L4108" s="15">
        <v>-2.47117E-2</v>
      </c>
      <c r="M4108" s="15">
        <v>0.901146</v>
      </c>
      <c r="N4108" s="15">
        <v>0.97363292122538303</v>
      </c>
    </row>
    <row r="4109" spans="1:14" x14ac:dyDescent="0.2">
      <c r="A4109" s="2" t="s">
        <v>10066</v>
      </c>
      <c r="B4109" s="15">
        <v>78</v>
      </c>
      <c r="C4109" s="15">
        <v>1</v>
      </c>
      <c r="D4109" s="15">
        <v>89753965</v>
      </c>
      <c r="E4109" s="15">
        <v>90941549</v>
      </c>
      <c r="F4109" s="15">
        <v>2531</v>
      </c>
      <c r="G4109" s="8" t="s">
        <v>12324</v>
      </c>
      <c r="H4109" s="24" t="s">
        <v>3164</v>
      </c>
      <c r="I4109" s="25" t="s">
        <v>3165</v>
      </c>
      <c r="J4109" s="8" t="s">
        <v>3166</v>
      </c>
      <c r="K4109" s="8" t="s">
        <v>10042</v>
      </c>
      <c r="L4109" s="15">
        <v>-2.3868899999999998E-2</v>
      </c>
      <c r="M4109" s="15">
        <v>0.90287799999999996</v>
      </c>
      <c r="N4109" s="15">
        <v>0.97363292122538303</v>
      </c>
    </row>
    <row r="4110" spans="1:14" x14ac:dyDescent="0.2">
      <c r="A4110" s="2" t="s">
        <v>10066</v>
      </c>
      <c r="B4110" s="15">
        <v>358</v>
      </c>
      <c r="C4110" s="15">
        <v>2</v>
      </c>
      <c r="D4110" s="15">
        <v>173287858</v>
      </c>
      <c r="E4110" s="15">
        <v>174118389</v>
      </c>
      <c r="F4110" s="15">
        <v>2407</v>
      </c>
      <c r="G4110" s="8" t="s">
        <v>12324</v>
      </c>
      <c r="H4110" s="24" t="s">
        <v>3164</v>
      </c>
      <c r="I4110" s="25" t="s">
        <v>3165</v>
      </c>
      <c r="J4110" s="8" t="s">
        <v>3166</v>
      </c>
      <c r="K4110" s="8" t="s">
        <v>10042</v>
      </c>
      <c r="L4110" s="15">
        <v>2.3821599999999998E-2</v>
      </c>
      <c r="M4110" s="15">
        <v>0.90294300000000005</v>
      </c>
      <c r="N4110" s="15">
        <v>0.97363292122538303</v>
      </c>
    </row>
    <row r="4111" spans="1:14" x14ac:dyDescent="0.2">
      <c r="A4111" s="2" t="s">
        <v>10066</v>
      </c>
      <c r="B4111" s="15">
        <v>2471</v>
      </c>
      <c r="C4111" s="15">
        <v>22</v>
      </c>
      <c r="D4111" s="15">
        <v>26166935</v>
      </c>
      <c r="E4111" s="15">
        <v>27192923</v>
      </c>
      <c r="F4111" s="15">
        <v>3174</v>
      </c>
      <c r="G4111" s="8" t="s">
        <v>12324</v>
      </c>
      <c r="H4111" s="24" t="s">
        <v>6008</v>
      </c>
      <c r="I4111" s="25" t="s">
        <v>6009</v>
      </c>
      <c r="J4111" s="8" t="s">
        <v>6010</v>
      </c>
      <c r="K4111" s="8" t="s">
        <v>10051</v>
      </c>
      <c r="L4111" s="15">
        <v>3.2254900000000003E-2</v>
      </c>
      <c r="M4111" s="15">
        <v>0.90020299999999998</v>
      </c>
      <c r="N4111" s="15">
        <v>0.97363292122538303</v>
      </c>
    </row>
    <row r="4112" spans="1:14" x14ac:dyDescent="0.2">
      <c r="A4112" s="2" t="s">
        <v>10066</v>
      </c>
      <c r="B4112" s="15">
        <v>352</v>
      </c>
      <c r="C4112" s="15">
        <v>2</v>
      </c>
      <c r="D4112" s="15">
        <v>168437446</v>
      </c>
      <c r="E4112" s="15">
        <v>169224445</v>
      </c>
      <c r="F4112" s="15">
        <v>2143</v>
      </c>
      <c r="G4112" s="8" t="s">
        <v>12324</v>
      </c>
      <c r="H4112" s="24" t="s">
        <v>6008</v>
      </c>
      <c r="I4112" s="25" t="s">
        <v>6009</v>
      </c>
      <c r="J4112" s="8" t="s">
        <v>6010</v>
      </c>
      <c r="K4112" s="8" t="s">
        <v>10051</v>
      </c>
      <c r="L4112" s="15">
        <v>2.2047500000000001E-2</v>
      </c>
      <c r="M4112" s="15">
        <v>0.90102000000000004</v>
      </c>
      <c r="N4112" s="15">
        <v>0.97363292122538303</v>
      </c>
    </row>
    <row r="4113" spans="1:14" x14ac:dyDescent="0.2">
      <c r="A4113" s="2" t="s">
        <v>10066</v>
      </c>
      <c r="B4113" s="15">
        <v>1545</v>
      </c>
      <c r="C4113" s="15">
        <v>10</v>
      </c>
      <c r="D4113" s="15">
        <v>64069688</v>
      </c>
      <c r="E4113" s="15">
        <v>65400431</v>
      </c>
      <c r="F4113" s="15">
        <v>3243</v>
      </c>
      <c r="G4113" s="8" t="s">
        <v>12324</v>
      </c>
      <c r="H4113" s="24" t="s">
        <v>6008</v>
      </c>
      <c r="I4113" s="25" t="s">
        <v>6009</v>
      </c>
      <c r="J4113" s="8" t="s">
        <v>6010</v>
      </c>
      <c r="K4113" s="8" t="s">
        <v>10051</v>
      </c>
      <c r="L4113" s="15">
        <v>-3.8887699999999997E-2</v>
      </c>
      <c r="M4113" s="15">
        <v>0.90173099999999995</v>
      </c>
      <c r="N4113" s="15">
        <v>0.97363292122538303</v>
      </c>
    </row>
    <row r="4114" spans="1:14" x14ac:dyDescent="0.2">
      <c r="A4114" s="2" t="s">
        <v>10066</v>
      </c>
      <c r="B4114" s="15">
        <v>1764</v>
      </c>
      <c r="C4114" s="15">
        <v>12</v>
      </c>
      <c r="D4114" s="15">
        <v>23923799</v>
      </c>
      <c r="E4114" s="15">
        <v>25058714</v>
      </c>
      <c r="F4114" s="15">
        <v>3116</v>
      </c>
      <c r="G4114" s="8" t="s">
        <v>12324</v>
      </c>
      <c r="H4114" s="24" t="s">
        <v>6008</v>
      </c>
      <c r="I4114" s="25" t="s">
        <v>6009</v>
      </c>
      <c r="J4114" s="8" t="s">
        <v>6010</v>
      </c>
      <c r="K4114" s="8" t="s">
        <v>10051</v>
      </c>
      <c r="L4114" s="15">
        <v>3.4651899999999999E-2</v>
      </c>
      <c r="M4114" s="15">
        <v>0.90190599999999999</v>
      </c>
      <c r="N4114" s="15">
        <v>0.97363292122538303</v>
      </c>
    </row>
    <row r="4115" spans="1:14" x14ac:dyDescent="0.2">
      <c r="A4115" s="2" t="s">
        <v>10068</v>
      </c>
      <c r="B4115" s="15">
        <v>2459</v>
      </c>
      <c r="C4115" s="15">
        <v>21</v>
      </c>
      <c r="D4115" s="15">
        <v>44815009</v>
      </c>
      <c r="E4115" s="15">
        <v>46045433</v>
      </c>
      <c r="F4115" s="15">
        <v>3349</v>
      </c>
      <c r="G4115" s="8" t="s">
        <v>12324</v>
      </c>
      <c r="H4115" s="24" t="s">
        <v>6565</v>
      </c>
      <c r="I4115" s="25" t="s">
        <v>6475</v>
      </c>
      <c r="J4115" s="8" t="s">
        <v>6566</v>
      </c>
      <c r="K4115" s="8" t="s">
        <v>10054</v>
      </c>
      <c r="L4115" s="15">
        <v>2.5595300000000001E-2</v>
      </c>
      <c r="M4115" s="15">
        <v>0.90274200000000004</v>
      </c>
      <c r="N4115" s="15">
        <v>0.97363292122538303</v>
      </c>
    </row>
    <row r="4116" spans="1:14" x14ac:dyDescent="0.2">
      <c r="A4116" s="2" t="s">
        <v>10069</v>
      </c>
      <c r="B4116" s="15">
        <v>1728</v>
      </c>
      <c r="C4116" s="15">
        <v>11</v>
      </c>
      <c r="D4116" s="15">
        <v>123398883</v>
      </c>
      <c r="E4116" s="15">
        <v>124403477</v>
      </c>
      <c r="F4116" s="15">
        <v>2383</v>
      </c>
      <c r="G4116" s="8" t="s">
        <v>12324</v>
      </c>
      <c r="H4116" s="24" t="s">
        <v>662</v>
      </c>
      <c r="I4116" s="25" t="s">
        <v>663</v>
      </c>
      <c r="J4116" s="8" t="s">
        <v>664</v>
      </c>
      <c r="K4116" s="8" t="s">
        <v>10040</v>
      </c>
      <c r="L4116" s="15">
        <v>4.65128E-2</v>
      </c>
      <c r="M4116" s="15">
        <v>0.90356599999999998</v>
      </c>
      <c r="N4116" s="15">
        <v>0.9740678682547399</v>
      </c>
    </row>
    <row r="4117" spans="1:14" x14ac:dyDescent="0.2">
      <c r="A4117" s="2" t="s">
        <v>10068</v>
      </c>
      <c r="B4117" s="15">
        <v>1742</v>
      </c>
      <c r="C4117" s="15">
        <v>12</v>
      </c>
      <c r="D4117" s="15">
        <v>1942427</v>
      </c>
      <c r="E4117" s="15">
        <v>3069506</v>
      </c>
      <c r="F4117" s="15">
        <v>2942</v>
      </c>
      <c r="G4117" s="8" t="s">
        <v>12324</v>
      </c>
      <c r="H4117" s="24" t="s">
        <v>494</v>
      </c>
      <c r="I4117" s="25">
        <v>25920</v>
      </c>
      <c r="J4117" s="8" t="s">
        <v>496</v>
      </c>
      <c r="K4117" s="8" t="s">
        <v>10040</v>
      </c>
      <c r="L4117" s="15">
        <v>2.3201900000000001E-2</v>
      </c>
      <c r="M4117" s="15">
        <v>0.90421300000000004</v>
      </c>
      <c r="N4117" s="15">
        <v>0.97411799320553261</v>
      </c>
    </row>
    <row r="4118" spans="1:14" x14ac:dyDescent="0.2">
      <c r="A4118" s="2" t="s">
        <v>10068</v>
      </c>
      <c r="B4118" s="15">
        <v>584</v>
      </c>
      <c r="C4118" s="15">
        <v>3</v>
      </c>
      <c r="D4118" s="15">
        <v>186602046</v>
      </c>
      <c r="E4118" s="15">
        <v>187939199</v>
      </c>
      <c r="F4118" s="15">
        <v>3978</v>
      </c>
      <c r="G4118" s="8" t="s">
        <v>12324</v>
      </c>
      <c r="H4118" s="24" t="s">
        <v>599</v>
      </c>
      <c r="I4118" s="25">
        <v>26562</v>
      </c>
      <c r="J4118" s="8" t="s">
        <v>601</v>
      </c>
      <c r="K4118" s="8" t="s">
        <v>10040</v>
      </c>
      <c r="L4118" s="15">
        <v>1.8525199999999999E-2</v>
      </c>
      <c r="M4118" s="15">
        <v>0.90487099999999998</v>
      </c>
      <c r="N4118" s="15">
        <v>0.97411799320553261</v>
      </c>
    </row>
    <row r="4119" spans="1:14" x14ac:dyDescent="0.2">
      <c r="A4119" s="2" t="s">
        <v>10069</v>
      </c>
      <c r="B4119" s="15">
        <v>2063</v>
      </c>
      <c r="C4119" s="15">
        <v>15</v>
      </c>
      <c r="D4119" s="15">
        <v>57641165</v>
      </c>
      <c r="E4119" s="15">
        <v>58712954</v>
      </c>
      <c r="F4119" s="15">
        <v>2239</v>
      </c>
      <c r="G4119" s="8" t="s">
        <v>12324</v>
      </c>
      <c r="H4119" s="24" t="s">
        <v>662</v>
      </c>
      <c r="I4119" s="25" t="s">
        <v>663</v>
      </c>
      <c r="J4119" s="8" t="s">
        <v>664</v>
      </c>
      <c r="K4119" s="8" t="s">
        <v>10040</v>
      </c>
      <c r="L4119" s="15">
        <v>-4.6712299999999998E-2</v>
      </c>
      <c r="M4119" s="15">
        <v>0.90464699999999998</v>
      </c>
      <c r="N4119" s="15">
        <v>0.97411799320553261</v>
      </c>
    </row>
    <row r="4120" spans="1:14" x14ac:dyDescent="0.2">
      <c r="A4120" s="2" t="s">
        <v>10068</v>
      </c>
      <c r="B4120" s="15">
        <v>461</v>
      </c>
      <c r="C4120" s="15">
        <v>3</v>
      </c>
      <c r="D4120" s="15">
        <v>42301658</v>
      </c>
      <c r="E4120" s="15">
        <v>44141693</v>
      </c>
      <c r="F4120" s="15">
        <v>3895</v>
      </c>
      <c r="G4120" s="8" t="s">
        <v>12324</v>
      </c>
      <c r="H4120" s="24" t="s">
        <v>1259</v>
      </c>
      <c r="I4120" s="25">
        <v>27096</v>
      </c>
      <c r="J4120" s="8" t="s">
        <v>1261</v>
      </c>
      <c r="K4120" s="8" t="s">
        <v>10040</v>
      </c>
      <c r="L4120" s="15">
        <v>-1.8707600000000001E-2</v>
      </c>
      <c r="M4120" s="15">
        <v>0.90481599999999995</v>
      </c>
      <c r="N4120" s="15">
        <v>0.97411799320553261</v>
      </c>
    </row>
    <row r="4121" spans="1:14" x14ac:dyDescent="0.2">
      <c r="A4121" s="2" t="s">
        <v>10068</v>
      </c>
      <c r="B4121" s="15">
        <v>398</v>
      </c>
      <c r="C4121" s="15">
        <v>2</v>
      </c>
      <c r="D4121" s="15">
        <v>221445192</v>
      </c>
      <c r="E4121" s="15">
        <v>222327713</v>
      </c>
      <c r="F4121" s="15">
        <v>2149</v>
      </c>
      <c r="G4121" s="8" t="s">
        <v>12324</v>
      </c>
      <c r="H4121" s="24" t="s">
        <v>1259</v>
      </c>
      <c r="I4121" s="25">
        <v>27096</v>
      </c>
      <c r="J4121" s="8" t="s">
        <v>1261</v>
      </c>
      <c r="K4121" s="8" t="s">
        <v>10040</v>
      </c>
      <c r="L4121" s="15">
        <v>-3.5022400000000002E-2</v>
      </c>
      <c r="M4121" s="15">
        <v>0.90498699999999999</v>
      </c>
      <c r="N4121" s="15">
        <v>0.97411799320553261</v>
      </c>
    </row>
    <row r="4122" spans="1:14" x14ac:dyDescent="0.2">
      <c r="A4122" s="2" t="s">
        <v>10068</v>
      </c>
      <c r="B4122" s="15">
        <v>182</v>
      </c>
      <c r="C4122" s="15">
        <v>1</v>
      </c>
      <c r="D4122" s="15">
        <v>232954943</v>
      </c>
      <c r="E4122" s="15">
        <v>233639473</v>
      </c>
      <c r="F4122" s="15">
        <v>2127</v>
      </c>
      <c r="G4122" s="8" t="s">
        <v>12324</v>
      </c>
      <c r="H4122" s="24" t="s">
        <v>6565</v>
      </c>
      <c r="I4122" s="25" t="s">
        <v>6475</v>
      </c>
      <c r="J4122" s="8" t="s">
        <v>6566</v>
      </c>
      <c r="K4122" s="8" t="s">
        <v>10054</v>
      </c>
      <c r="L4122" s="15">
        <v>-1.7205600000000001E-2</v>
      </c>
      <c r="M4122" s="15">
        <v>0.90480899999999997</v>
      </c>
      <c r="N4122" s="15">
        <v>0.97411799320553261</v>
      </c>
    </row>
    <row r="4123" spans="1:14" x14ac:dyDescent="0.2">
      <c r="A4123" s="2" t="s">
        <v>10068</v>
      </c>
      <c r="B4123" s="15">
        <v>193</v>
      </c>
      <c r="C4123" s="15">
        <v>1</v>
      </c>
      <c r="D4123" s="15">
        <v>241813535</v>
      </c>
      <c r="E4123" s="15">
        <v>242417923</v>
      </c>
      <c r="F4123" s="15">
        <v>2175</v>
      </c>
      <c r="G4123" s="8" t="s">
        <v>12324</v>
      </c>
      <c r="H4123" s="24" t="s">
        <v>6565</v>
      </c>
      <c r="I4123" s="25" t="s">
        <v>6475</v>
      </c>
      <c r="J4123" s="8" t="s">
        <v>6566</v>
      </c>
      <c r="K4123" s="8" t="s">
        <v>10054</v>
      </c>
      <c r="L4123" s="15">
        <v>3.7563699999999998E-2</v>
      </c>
      <c r="M4123" s="15">
        <v>0.90515000000000001</v>
      </c>
      <c r="N4123" s="15">
        <v>0.97411799320553261</v>
      </c>
    </row>
    <row r="4124" spans="1:14" x14ac:dyDescent="0.2">
      <c r="A4124" s="2" t="s">
        <v>10068</v>
      </c>
      <c r="B4124" s="15">
        <v>1891</v>
      </c>
      <c r="C4124" s="15">
        <v>13</v>
      </c>
      <c r="D4124" s="15">
        <v>48137480</v>
      </c>
      <c r="E4124" s="15">
        <v>49381727</v>
      </c>
      <c r="F4124" s="15">
        <v>3152</v>
      </c>
      <c r="G4124" s="8" t="s">
        <v>12324</v>
      </c>
      <c r="H4124" s="24" t="s">
        <v>494</v>
      </c>
      <c r="I4124" s="25">
        <v>25920</v>
      </c>
      <c r="J4124" s="8" t="s">
        <v>496</v>
      </c>
      <c r="K4124" s="8" t="s">
        <v>10040</v>
      </c>
      <c r="L4124" s="15">
        <v>-4.2994999999999998E-2</v>
      </c>
      <c r="M4124" s="15">
        <v>0.90748099999999998</v>
      </c>
      <c r="N4124" s="15">
        <v>0.97436672010607528</v>
      </c>
    </row>
    <row r="4125" spans="1:14" x14ac:dyDescent="0.2">
      <c r="A4125" s="2" t="s">
        <v>10068</v>
      </c>
      <c r="B4125" s="15">
        <v>521</v>
      </c>
      <c r="C4125" s="15">
        <v>3</v>
      </c>
      <c r="D4125" s="15">
        <v>116498571</v>
      </c>
      <c r="E4125" s="15">
        <v>117241644</v>
      </c>
      <c r="F4125" s="15">
        <v>2118</v>
      </c>
      <c r="G4125" s="8" t="s">
        <v>12324</v>
      </c>
      <c r="H4125" s="24" t="s">
        <v>494</v>
      </c>
      <c r="I4125" s="25">
        <v>25920</v>
      </c>
      <c r="J4125" s="8" t="s">
        <v>496</v>
      </c>
      <c r="K4125" s="8" t="s">
        <v>10040</v>
      </c>
      <c r="L4125" s="15">
        <v>-2.2312599999999998E-2</v>
      </c>
      <c r="M4125" s="15">
        <v>0.91057900000000003</v>
      </c>
      <c r="N4125" s="15">
        <v>0.97436672010607528</v>
      </c>
    </row>
    <row r="4126" spans="1:14" x14ac:dyDescent="0.2">
      <c r="A4126" s="2" t="s">
        <v>10068</v>
      </c>
      <c r="B4126" s="15">
        <v>2283</v>
      </c>
      <c r="C4126" s="15">
        <v>18</v>
      </c>
      <c r="D4126" s="15">
        <v>54957868</v>
      </c>
      <c r="E4126" s="15">
        <v>55809315</v>
      </c>
      <c r="F4126" s="15">
        <v>2737</v>
      </c>
      <c r="G4126" s="8" t="s">
        <v>12324</v>
      </c>
      <c r="H4126" s="24" t="s">
        <v>599</v>
      </c>
      <c r="I4126" s="25">
        <v>26562</v>
      </c>
      <c r="J4126" s="8" t="s">
        <v>601</v>
      </c>
      <c r="K4126" s="8" t="s">
        <v>10040</v>
      </c>
      <c r="L4126" s="15">
        <v>2.0682900000000001E-2</v>
      </c>
      <c r="M4126" s="15">
        <v>0.90694699999999995</v>
      </c>
      <c r="N4126" s="15">
        <v>0.97436672010607528</v>
      </c>
    </row>
    <row r="4127" spans="1:14" x14ac:dyDescent="0.2">
      <c r="A4127" s="2" t="s">
        <v>10068</v>
      </c>
      <c r="B4127" s="15">
        <v>914</v>
      </c>
      <c r="C4127" s="15">
        <v>5</v>
      </c>
      <c r="D4127" s="15">
        <v>165289212</v>
      </c>
      <c r="E4127" s="15">
        <v>166863413</v>
      </c>
      <c r="F4127" s="15">
        <v>3478</v>
      </c>
      <c r="G4127" s="8" t="s">
        <v>12324</v>
      </c>
      <c r="H4127" s="24" t="s">
        <v>599</v>
      </c>
      <c r="I4127" s="25">
        <v>26562</v>
      </c>
      <c r="J4127" s="8" t="s">
        <v>601</v>
      </c>
      <c r="K4127" s="8" t="s">
        <v>10040</v>
      </c>
      <c r="L4127" s="15">
        <v>2.1115100000000001E-2</v>
      </c>
      <c r="M4127" s="15">
        <v>0.90837999999999997</v>
      </c>
      <c r="N4127" s="15">
        <v>0.97436672010607528</v>
      </c>
    </row>
    <row r="4128" spans="1:14" x14ac:dyDescent="0.2">
      <c r="A4128" s="2" t="s">
        <v>10068</v>
      </c>
      <c r="B4128" s="15">
        <v>939</v>
      </c>
      <c r="C4128" s="15">
        <v>6</v>
      </c>
      <c r="D4128" s="15">
        <v>16566883</v>
      </c>
      <c r="E4128" s="15">
        <v>17391994</v>
      </c>
      <c r="F4128" s="15">
        <v>2131</v>
      </c>
      <c r="G4128" s="8" t="s">
        <v>12324</v>
      </c>
      <c r="H4128" s="24" t="s">
        <v>599</v>
      </c>
      <c r="I4128" s="25">
        <v>26562</v>
      </c>
      <c r="J4128" s="8" t="s">
        <v>601</v>
      </c>
      <c r="K4128" s="8" t="s">
        <v>10040</v>
      </c>
      <c r="L4128" s="15">
        <v>-4.0509099999999999E-2</v>
      </c>
      <c r="M4128" s="15">
        <v>0.91073700000000002</v>
      </c>
      <c r="N4128" s="15">
        <v>0.97436672010607528</v>
      </c>
    </row>
    <row r="4129" spans="1:14" x14ac:dyDescent="0.2">
      <c r="A4129" s="2" t="s">
        <v>10069</v>
      </c>
      <c r="B4129" s="15">
        <v>1495</v>
      </c>
      <c r="C4129" s="15">
        <v>10</v>
      </c>
      <c r="D4129" s="15">
        <v>7659873</v>
      </c>
      <c r="E4129" s="15">
        <v>8771920</v>
      </c>
      <c r="F4129" s="15">
        <v>2710</v>
      </c>
      <c r="G4129" s="8" t="s">
        <v>12324</v>
      </c>
      <c r="H4129" s="24" t="s">
        <v>662</v>
      </c>
      <c r="I4129" s="25" t="s">
        <v>663</v>
      </c>
      <c r="J4129" s="8" t="s">
        <v>664</v>
      </c>
      <c r="K4129" s="8" t="s">
        <v>10040</v>
      </c>
      <c r="L4129" s="15">
        <v>2.8702100000000001E-2</v>
      </c>
      <c r="M4129" s="15">
        <v>0.90836399999999995</v>
      </c>
      <c r="N4129" s="15">
        <v>0.97436672010607528</v>
      </c>
    </row>
    <row r="4130" spans="1:14" x14ac:dyDescent="0.2">
      <c r="A4130" s="2" t="s">
        <v>10069</v>
      </c>
      <c r="B4130" s="15">
        <v>1133</v>
      </c>
      <c r="C4130" s="15">
        <v>7</v>
      </c>
      <c r="D4130" s="15">
        <v>35354136</v>
      </c>
      <c r="E4130" s="15">
        <v>36507690</v>
      </c>
      <c r="F4130" s="15">
        <v>2206</v>
      </c>
      <c r="G4130" s="8" t="s">
        <v>12324</v>
      </c>
      <c r="H4130" s="24" t="s">
        <v>662</v>
      </c>
      <c r="I4130" s="25" t="s">
        <v>663</v>
      </c>
      <c r="J4130" s="8" t="s">
        <v>664</v>
      </c>
      <c r="K4130" s="8" t="s">
        <v>10040</v>
      </c>
      <c r="L4130" s="15">
        <v>-2.9126900000000001E-2</v>
      </c>
      <c r="M4130" s="15">
        <v>0.910381</v>
      </c>
      <c r="N4130" s="15">
        <v>0.97436672010607528</v>
      </c>
    </row>
    <row r="4131" spans="1:14" x14ac:dyDescent="0.2">
      <c r="A4131" s="2" t="s">
        <v>10069</v>
      </c>
      <c r="B4131" s="15">
        <v>1554</v>
      </c>
      <c r="C4131" s="15">
        <v>10</v>
      </c>
      <c r="D4131" s="15">
        <v>72659224</v>
      </c>
      <c r="E4131" s="15">
        <v>73514214</v>
      </c>
      <c r="F4131" s="15">
        <v>1929</v>
      </c>
      <c r="G4131" s="8" t="s">
        <v>12324</v>
      </c>
      <c r="H4131" s="24" t="s">
        <v>662</v>
      </c>
      <c r="I4131" s="25" t="s">
        <v>663</v>
      </c>
      <c r="J4131" s="8" t="s">
        <v>664</v>
      </c>
      <c r="K4131" s="8" t="s">
        <v>10040</v>
      </c>
      <c r="L4131" s="15">
        <v>3.4753199999999998E-2</v>
      </c>
      <c r="M4131" s="15">
        <v>0.910686</v>
      </c>
      <c r="N4131" s="15">
        <v>0.97436672010607528</v>
      </c>
    </row>
    <row r="4132" spans="1:14" x14ac:dyDescent="0.2">
      <c r="A4132" s="2" t="s">
        <v>10069</v>
      </c>
      <c r="B4132" s="15">
        <v>2358</v>
      </c>
      <c r="C4132" s="15">
        <v>19</v>
      </c>
      <c r="D4132" s="15">
        <v>51259179</v>
      </c>
      <c r="E4132" s="15">
        <v>51903804</v>
      </c>
      <c r="F4132" s="15">
        <v>1374</v>
      </c>
      <c r="G4132" s="8" t="s">
        <v>12324</v>
      </c>
      <c r="H4132" s="24" t="s">
        <v>662</v>
      </c>
      <c r="I4132" s="25" t="s">
        <v>663</v>
      </c>
      <c r="J4132" s="8" t="s">
        <v>664</v>
      </c>
      <c r="K4132" s="8" t="s">
        <v>10040</v>
      </c>
      <c r="L4132" s="15">
        <v>2.32622E-2</v>
      </c>
      <c r="M4132" s="15">
        <v>0.91128600000000004</v>
      </c>
      <c r="N4132" s="15">
        <v>0.97436672010607528</v>
      </c>
    </row>
    <row r="4133" spans="1:14" x14ac:dyDescent="0.2">
      <c r="A4133" s="2" t="s">
        <v>10068</v>
      </c>
      <c r="B4133" s="15">
        <v>1562</v>
      </c>
      <c r="C4133" s="15">
        <v>10</v>
      </c>
      <c r="D4133" s="15">
        <v>82378049</v>
      </c>
      <c r="E4133" s="15">
        <v>83596350</v>
      </c>
      <c r="F4133" s="15">
        <v>3828</v>
      </c>
      <c r="G4133" s="8" t="s">
        <v>12324</v>
      </c>
      <c r="H4133" s="24" t="s">
        <v>1259</v>
      </c>
      <c r="I4133" s="25">
        <v>27096</v>
      </c>
      <c r="J4133" s="8" t="s">
        <v>1261</v>
      </c>
      <c r="K4133" s="8" t="s">
        <v>10040</v>
      </c>
      <c r="L4133" s="15">
        <v>-2.4999299999999999E-2</v>
      </c>
      <c r="M4133" s="15">
        <v>0.90934700000000002</v>
      </c>
      <c r="N4133" s="15">
        <v>0.97436672010607528</v>
      </c>
    </row>
    <row r="4134" spans="1:14" x14ac:dyDescent="0.2">
      <c r="A4134" s="2" t="s">
        <v>10068</v>
      </c>
      <c r="B4134" s="15">
        <v>224</v>
      </c>
      <c r="C4134" s="15">
        <v>2</v>
      </c>
      <c r="D4134" s="15">
        <v>20064518</v>
      </c>
      <c r="E4134" s="15">
        <v>21084898</v>
      </c>
      <c r="F4134" s="15">
        <v>2702</v>
      </c>
      <c r="G4134" s="8" t="s">
        <v>12324</v>
      </c>
      <c r="H4134" s="24" t="s">
        <v>1259</v>
      </c>
      <c r="I4134" s="25">
        <v>27096</v>
      </c>
      <c r="J4134" s="8" t="s">
        <v>1261</v>
      </c>
      <c r="K4134" s="8" t="s">
        <v>10040</v>
      </c>
      <c r="L4134" s="15">
        <v>-2.5293800000000002E-2</v>
      </c>
      <c r="M4134" s="15">
        <v>0.91104300000000005</v>
      </c>
      <c r="N4134" s="15">
        <v>0.97436672010607528</v>
      </c>
    </row>
    <row r="4135" spans="1:14" x14ac:dyDescent="0.2">
      <c r="A4135" s="2" t="s">
        <v>10066</v>
      </c>
      <c r="B4135" s="15">
        <v>1252</v>
      </c>
      <c r="C4135" s="15">
        <v>8</v>
      </c>
      <c r="D4135" s="15">
        <v>12296850</v>
      </c>
      <c r="E4135" s="15">
        <v>12947935</v>
      </c>
      <c r="F4135" s="15">
        <v>1872</v>
      </c>
      <c r="G4135" s="8" t="s">
        <v>12324</v>
      </c>
      <c r="H4135" s="24" t="s">
        <v>3164</v>
      </c>
      <c r="I4135" s="25" t="s">
        <v>3165</v>
      </c>
      <c r="J4135" s="8" t="s">
        <v>3166</v>
      </c>
      <c r="K4135" s="8" t="s">
        <v>10042</v>
      </c>
      <c r="L4135" s="15">
        <v>1.8138399999999999E-2</v>
      </c>
      <c r="M4135" s="15">
        <v>0.905918</v>
      </c>
      <c r="N4135" s="15">
        <v>0.97436672010607528</v>
      </c>
    </row>
    <row r="4136" spans="1:14" x14ac:dyDescent="0.2">
      <c r="A4136" s="2" t="s">
        <v>10066</v>
      </c>
      <c r="B4136" s="15">
        <v>1731</v>
      </c>
      <c r="C4136" s="15">
        <v>11</v>
      </c>
      <c r="D4136" s="15">
        <v>126304241</v>
      </c>
      <c r="E4136" s="15">
        <v>127306871</v>
      </c>
      <c r="F4136" s="15">
        <v>2956</v>
      </c>
      <c r="G4136" s="8" t="s">
        <v>12324</v>
      </c>
      <c r="H4136" s="24" t="s">
        <v>3164</v>
      </c>
      <c r="I4136" s="25" t="s">
        <v>3165</v>
      </c>
      <c r="J4136" s="8" t="s">
        <v>3166</v>
      </c>
      <c r="K4136" s="8" t="s">
        <v>10042</v>
      </c>
      <c r="L4136" s="15">
        <v>-1.83771E-2</v>
      </c>
      <c r="M4136" s="15">
        <v>0.907636</v>
      </c>
      <c r="N4136" s="15">
        <v>0.97436672010607528</v>
      </c>
    </row>
    <row r="4137" spans="1:14" x14ac:dyDescent="0.2">
      <c r="A4137" s="2" t="s">
        <v>10066</v>
      </c>
      <c r="B4137" s="15">
        <v>2114</v>
      </c>
      <c r="C4137" s="15">
        <v>16</v>
      </c>
      <c r="D4137" s="15">
        <v>10351809</v>
      </c>
      <c r="E4137" s="15">
        <v>11022542</v>
      </c>
      <c r="F4137" s="15">
        <v>2214</v>
      </c>
      <c r="G4137" s="8" t="s">
        <v>12324</v>
      </c>
      <c r="H4137" s="24" t="s">
        <v>3164</v>
      </c>
      <c r="I4137" s="25" t="s">
        <v>3165</v>
      </c>
      <c r="J4137" s="8" t="s">
        <v>3166</v>
      </c>
      <c r="K4137" s="8" t="s">
        <v>10042</v>
      </c>
      <c r="L4137" s="15">
        <v>-1.59556E-2</v>
      </c>
      <c r="M4137" s="15">
        <v>0.90853899999999999</v>
      </c>
      <c r="N4137" s="15">
        <v>0.97436672010607528</v>
      </c>
    </row>
    <row r="4138" spans="1:14" x14ac:dyDescent="0.2">
      <c r="A4138" s="2" t="s">
        <v>10066</v>
      </c>
      <c r="B4138" s="15">
        <v>2467</v>
      </c>
      <c r="C4138" s="15">
        <v>22</v>
      </c>
      <c r="D4138" s="15">
        <v>22404423</v>
      </c>
      <c r="E4138" s="15">
        <v>23143364</v>
      </c>
      <c r="F4138" s="15">
        <v>3341</v>
      </c>
      <c r="G4138" s="8" t="s">
        <v>12324</v>
      </c>
      <c r="H4138" s="24" t="s">
        <v>3164</v>
      </c>
      <c r="I4138" s="25" t="s">
        <v>3165</v>
      </c>
      <c r="J4138" s="8" t="s">
        <v>3166</v>
      </c>
      <c r="K4138" s="8" t="s">
        <v>10042</v>
      </c>
      <c r="L4138" s="15">
        <v>1.18303E-2</v>
      </c>
      <c r="M4138" s="15">
        <v>0.90896399999999999</v>
      </c>
      <c r="N4138" s="15">
        <v>0.97436672010607528</v>
      </c>
    </row>
    <row r="4139" spans="1:14" x14ac:dyDescent="0.2">
      <c r="A4139" s="2" t="s">
        <v>10066</v>
      </c>
      <c r="B4139" s="15">
        <v>2408</v>
      </c>
      <c r="C4139" s="15">
        <v>20</v>
      </c>
      <c r="D4139" s="15">
        <v>44072211</v>
      </c>
      <c r="E4139" s="15">
        <v>45673603</v>
      </c>
      <c r="F4139" s="15">
        <v>4130</v>
      </c>
      <c r="G4139" s="8" t="s">
        <v>12324</v>
      </c>
      <c r="H4139" s="24" t="s">
        <v>3164</v>
      </c>
      <c r="I4139" s="25" t="s">
        <v>3165</v>
      </c>
      <c r="J4139" s="8" t="s">
        <v>3166</v>
      </c>
      <c r="K4139" s="8" t="s">
        <v>10042</v>
      </c>
      <c r="L4139" s="15">
        <v>2.5544399999999998E-2</v>
      </c>
      <c r="M4139" s="15">
        <v>0.91001799999999999</v>
      </c>
      <c r="N4139" s="15">
        <v>0.97436672010607528</v>
      </c>
    </row>
    <row r="4140" spans="1:14" x14ac:dyDescent="0.2">
      <c r="A4140" s="2" t="s">
        <v>10066</v>
      </c>
      <c r="B4140" s="15">
        <v>1116</v>
      </c>
      <c r="C4140" s="15">
        <v>7</v>
      </c>
      <c r="D4140" s="15">
        <v>16739014</v>
      </c>
      <c r="E4140" s="15">
        <v>17596578</v>
      </c>
      <c r="F4140" s="15">
        <v>2479</v>
      </c>
      <c r="G4140" s="8" t="s">
        <v>12324</v>
      </c>
      <c r="H4140" s="24" t="s">
        <v>3164</v>
      </c>
      <c r="I4140" s="25" t="s">
        <v>3165</v>
      </c>
      <c r="J4140" s="8" t="s">
        <v>3166</v>
      </c>
      <c r="K4140" s="8" t="s">
        <v>10042</v>
      </c>
      <c r="L4140" s="15">
        <v>3.5491399999999999E-2</v>
      </c>
      <c r="M4140" s="15">
        <v>0.91084299999999996</v>
      </c>
      <c r="N4140" s="15">
        <v>0.97436672010607528</v>
      </c>
    </row>
    <row r="4141" spans="1:14" x14ac:dyDescent="0.2">
      <c r="A4141" s="2" t="s">
        <v>10066</v>
      </c>
      <c r="B4141" s="15">
        <v>1727</v>
      </c>
      <c r="C4141" s="15">
        <v>11</v>
      </c>
      <c r="D4141" s="15">
        <v>122589225</v>
      </c>
      <c r="E4141" s="15">
        <v>123398882</v>
      </c>
      <c r="F4141" s="15">
        <v>2518</v>
      </c>
      <c r="G4141" s="8" t="s">
        <v>12324</v>
      </c>
      <c r="H4141" s="24" t="s">
        <v>3164</v>
      </c>
      <c r="I4141" s="25" t="s">
        <v>3165</v>
      </c>
      <c r="J4141" s="8" t="s">
        <v>3166</v>
      </c>
      <c r="K4141" s="8" t="s">
        <v>10042</v>
      </c>
      <c r="L4141" s="15">
        <v>-2.0260899999999998E-2</v>
      </c>
      <c r="M4141" s="15">
        <v>0.91131300000000004</v>
      </c>
      <c r="N4141" s="15">
        <v>0.97436672010607528</v>
      </c>
    </row>
    <row r="4142" spans="1:14" x14ac:dyDescent="0.2">
      <c r="A4142" s="2" t="s">
        <v>10066</v>
      </c>
      <c r="B4142" s="15">
        <v>679</v>
      </c>
      <c r="C4142" s="15">
        <v>4</v>
      </c>
      <c r="D4142" s="15">
        <v>88502718</v>
      </c>
      <c r="E4142" s="15">
        <v>89244554</v>
      </c>
      <c r="F4142" s="15">
        <v>2362</v>
      </c>
      <c r="G4142" s="8" t="s">
        <v>12324</v>
      </c>
      <c r="H4142" s="24" t="s">
        <v>6008</v>
      </c>
      <c r="I4142" s="25" t="s">
        <v>6009</v>
      </c>
      <c r="J4142" s="8" t="s">
        <v>6010</v>
      </c>
      <c r="K4142" s="8" t="s">
        <v>10051</v>
      </c>
      <c r="L4142" s="15">
        <v>-3.3224999999999998E-2</v>
      </c>
      <c r="M4142" s="15">
        <v>0.90586100000000003</v>
      </c>
      <c r="N4142" s="15">
        <v>0.97436672010607528</v>
      </c>
    </row>
    <row r="4143" spans="1:14" x14ac:dyDescent="0.2">
      <c r="A4143" s="2" t="s">
        <v>10066</v>
      </c>
      <c r="B4143" s="15">
        <v>2119</v>
      </c>
      <c r="C4143" s="15">
        <v>16</v>
      </c>
      <c r="D4143" s="15">
        <v>15921109</v>
      </c>
      <c r="E4143" s="15">
        <v>17343277</v>
      </c>
      <c r="F4143" s="15">
        <v>3028</v>
      </c>
      <c r="G4143" s="8" t="s">
        <v>12324</v>
      </c>
      <c r="H4143" s="24" t="s">
        <v>6008</v>
      </c>
      <c r="I4143" s="25" t="s">
        <v>6009</v>
      </c>
      <c r="J4143" s="8" t="s">
        <v>6010</v>
      </c>
      <c r="K4143" s="8" t="s">
        <v>10051</v>
      </c>
      <c r="L4143" s="15">
        <v>1.28024E-2</v>
      </c>
      <c r="M4143" s="15">
        <v>0.906246</v>
      </c>
      <c r="N4143" s="15">
        <v>0.97436672010607528</v>
      </c>
    </row>
    <row r="4144" spans="1:14" x14ac:dyDescent="0.2">
      <c r="A4144" s="2" t="s">
        <v>10066</v>
      </c>
      <c r="B4144" s="15">
        <v>2376</v>
      </c>
      <c r="C4144" s="15">
        <v>20</v>
      </c>
      <c r="D4144" s="15">
        <v>6128359</v>
      </c>
      <c r="E4144" s="15">
        <v>7231796</v>
      </c>
      <c r="F4144" s="15">
        <v>3058</v>
      </c>
      <c r="G4144" s="8" t="s">
        <v>12324</v>
      </c>
      <c r="H4144" s="24" t="s">
        <v>6008</v>
      </c>
      <c r="I4144" s="25" t="s">
        <v>6009</v>
      </c>
      <c r="J4144" s="8" t="s">
        <v>6010</v>
      </c>
      <c r="K4144" s="8" t="s">
        <v>10051</v>
      </c>
      <c r="L4144" s="15">
        <v>2.3095500000000001E-2</v>
      </c>
      <c r="M4144" s="15">
        <v>0.90659699999999999</v>
      </c>
      <c r="N4144" s="15">
        <v>0.97436672010607528</v>
      </c>
    </row>
    <row r="4145" spans="1:14" x14ac:dyDescent="0.2">
      <c r="A4145" s="2" t="s">
        <v>10066</v>
      </c>
      <c r="B4145" s="15">
        <v>2300</v>
      </c>
      <c r="C4145" s="15">
        <v>18</v>
      </c>
      <c r="D4145" s="15">
        <v>72785207</v>
      </c>
      <c r="E4145" s="15">
        <v>73568260</v>
      </c>
      <c r="F4145" s="15">
        <v>2547</v>
      </c>
      <c r="G4145" s="8" t="s">
        <v>12324</v>
      </c>
      <c r="H4145" s="24" t="s">
        <v>6008</v>
      </c>
      <c r="I4145" s="25" t="s">
        <v>6009</v>
      </c>
      <c r="J4145" s="8" t="s">
        <v>6010</v>
      </c>
      <c r="K4145" s="8" t="s">
        <v>10051</v>
      </c>
      <c r="L4145" s="15">
        <v>-2.4890599999999999E-2</v>
      </c>
      <c r="M4145" s="15">
        <v>0.908501</v>
      </c>
      <c r="N4145" s="15">
        <v>0.97436672010607528</v>
      </c>
    </row>
    <row r="4146" spans="1:14" x14ac:dyDescent="0.2">
      <c r="A4146" s="2" t="s">
        <v>10066</v>
      </c>
      <c r="B4146" s="15">
        <v>1078</v>
      </c>
      <c r="C4146" s="15">
        <v>6</v>
      </c>
      <c r="D4146" s="15">
        <v>154462011</v>
      </c>
      <c r="E4146" s="15">
        <v>155523957</v>
      </c>
      <c r="F4146" s="15">
        <v>3233</v>
      </c>
      <c r="G4146" s="8" t="s">
        <v>12324</v>
      </c>
      <c r="H4146" s="24" t="s">
        <v>6008</v>
      </c>
      <c r="I4146" s="25" t="s">
        <v>6009</v>
      </c>
      <c r="J4146" s="8" t="s">
        <v>6010</v>
      </c>
      <c r="K4146" s="8" t="s">
        <v>10051</v>
      </c>
      <c r="L4146" s="15">
        <v>4.1217799999999999E-2</v>
      </c>
      <c r="M4146" s="15">
        <v>0.91053300000000004</v>
      </c>
      <c r="N4146" s="15">
        <v>0.97436672010607528</v>
      </c>
    </row>
    <row r="4147" spans="1:14" x14ac:dyDescent="0.2">
      <c r="A4147" s="2" t="s">
        <v>10066</v>
      </c>
      <c r="B4147" s="15">
        <v>98</v>
      </c>
      <c r="C4147" s="15">
        <v>1</v>
      </c>
      <c r="D4147" s="15">
        <v>111134063</v>
      </c>
      <c r="E4147" s="15">
        <v>112489248</v>
      </c>
      <c r="F4147" s="15">
        <v>3868</v>
      </c>
      <c r="G4147" s="8" t="s">
        <v>12324</v>
      </c>
      <c r="H4147" s="24" t="s">
        <v>6008</v>
      </c>
      <c r="I4147" s="25" t="s">
        <v>6009</v>
      </c>
      <c r="J4147" s="8" t="s">
        <v>6010</v>
      </c>
      <c r="K4147" s="8" t="s">
        <v>10051</v>
      </c>
      <c r="L4147" s="15">
        <v>-3.7016599999999997E-2</v>
      </c>
      <c r="M4147" s="15">
        <v>0.91123799999999999</v>
      </c>
      <c r="N4147" s="15">
        <v>0.97436672010607528</v>
      </c>
    </row>
    <row r="4148" spans="1:14" x14ac:dyDescent="0.2">
      <c r="A4148" s="2" t="s">
        <v>10068</v>
      </c>
      <c r="B4148" s="15">
        <v>251</v>
      </c>
      <c r="C4148" s="15">
        <v>2</v>
      </c>
      <c r="D4148" s="15">
        <v>45850048</v>
      </c>
      <c r="E4148" s="15">
        <v>46499326</v>
      </c>
      <c r="F4148" s="15">
        <v>2138</v>
      </c>
      <c r="G4148" s="8" t="s">
        <v>12324</v>
      </c>
      <c r="H4148" s="24" t="s">
        <v>6565</v>
      </c>
      <c r="I4148" s="25" t="s">
        <v>6475</v>
      </c>
      <c r="J4148" s="8" t="s">
        <v>6566</v>
      </c>
      <c r="K4148" s="8" t="s">
        <v>10054</v>
      </c>
      <c r="L4148" s="15">
        <v>2.16861E-2</v>
      </c>
      <c r="M4148" s="15">
        <v>0.908474</v>
      </c>
      <c r="N4148" s="15">
        <v>0.97436672010607528</v>
      </c>
    </row>
    <row r="4149" spans="1:14" x14ac:dyDescent="0.2">
      <c r="A4149" s="2" t="s">
        <v>10068</v>
      </c>
      <c r="B4149" s="15">
        <v>867</v>
      </c>
      <c r="C4149" s="15">
        <v>5</v>
      </c>
      <c r="D4149" s="15">
        <v>109606906</v>
      </c>
      <c r="E4149" s="15">
        <v>110819517</v>
      </c>
      <c r="F4149" s="15">
        <v>2696</v>
      </c>
      <c r="G4149" s="8" t="s">
        <v>12324</v>
      </c>
      <c r="H4149" s="24" t="s">
        <v>6565</v>
      </c>
      <c r="I4149" s="25" t="s">
        <v>6475</v>
      </c>
      <c r="J4149" s="8" t="s">
        <v>6566</v>
      </c>
      <c r="K4149" s="8" t="s">
        <v>10054</v>
      </c>
      <c r="L4149" s="15">
        <v>-2.9239600000000001E-2</v>
      </c>
      <c r="M4149" s="15">
        <v>0.91071999999999997</v>
      </c>
      <c r="N4149" s="15">
        <v>0.97436672010607528</v>
      </c>
    </row>
    <row r="4150" spans="1:14" x14ac:dyDescent="0.2">
      <c r="A4150" s="2" t="s">
        <v>10068</v>
      </c>
      <c r="B4150" s="15">
        <v>431</v>
      </c>
      <c r="C4150" s="15">
        <v>3</v>
      </c>
      <c r="D4150" s="15">
        <v>8664893</v>
      </c>
      <c r="E4150" s="15">
        <v>9970731</v>
      </c>
      <c r="F4150" s="15">
        <v>3534</v>
      </c>
      <c r="G4150" s="8" t="s">
        <v>12324</v>
      </c>
      <c r="H4150" s="24" t="s">
        <v>6565</v>
      </c>
      <c r="I4150" s="25" t="s">
        <v>6475</v>
      </c>
      <c r="J4150" s="8" t="s">
        <v>6566</v>
      </c>
      <c r="K4150" s="8" t="s">
        <v>10054</v>
      </c>
      <c r="L4150" s="15">
        <v>-3.3821700000000003E-2</v>
      </c>
      <c r="M4150" s="15">
        <v>0.91105199999999997</v>
      </c>
      <c r="N4150" s="15">
        <v>0.97436672010607528</v>
      </c>
    </row>
    <row r="4151" spans="1:14" x14ac:dyDescent="0.2">
      <c r="A4151" s="2" t="s">
        <v>10068</v>
      </c>
      <c r="B4151" s="15">
        <v>2473</v>
      </c>
      <c r="C4151" s="15">
        <v>22</v>
      </c>
      <c r="D4151" s="15">
        <v>27952442</v>
      </c>
      <c r="E4151" s="15">
        <v>29457601</v>
      </c>
      <c r="F4151" s="15">
        <v>3126</v>
      </c>
      <c r="G4151" s="8" t="s">
        <v>12324</v>
      </c>
      <c r="H4151" s="24" t="s">
        <v>494</v>
      </c>
      <c r="I4151" s="25">
        <v>25920</v>
      </c>
      <c r="J4151" s="8" t="s">
        <v>496</v>
      </c>
      <c r="K4151" s="8" t="s">
        <v>10040</v>
      </c>
      <c r="L4151" s="15">
        <v>1.65065E-2</v>
      </c>
      <c r="M4151" s="15">
        <v>0.91299699999999995</v>
      </c>
      <c r="N4151" s="15">
        <v>0.97471017797017789</v>
      </c>
    </row>
    <row r="4152" spans="1:14" x14ac:dyDescent="0.2">
      <c r="A4152" s="2" t="s">
        <v>10068</v>
      </c>
      <c r="B4152" s="15">
        <v>2000</v>
      </c>
      <c r="C4152" s="15">
        <v>14</v>
      </c>
      <c r="D4152" s="15">
        <v>69794543</v>
      </c>
      <c r="E4152" s="15">
        <v>71140426</v>
      </c>
      <c r="F4152" s="15">
        <v>3694</v>
      </c>
      <c r="G4152" s="8" t="s">
        <v>12324</v>
      </c>
      <c r="H4152" s="24" t="s">
        <v>494</v>
      </c>
      <c r="I4152" s="25">
        <v>25920</v>
      </c>
      <c r="J4152" s="8" t="s">
        <v>496</v>
      </c>
      <c r="K4152" s="8" t="s">
        <v>10040</v>
      </c>
      <c r="L4152" s="15">
        <v>2.8020900000000001E-2</v>
      </c>
      <c r="M4152" s="15">
        <v>0.91340500000000002</v>
      </c>
      <c r="N4152" s="15">
        <v>0.97471017797017789</v>
      </c>
    </row>
    <row r="4153" spans="1:14" x14ac:dyDescent="0.2">
      <c r="A4153" s="2" t="s">
        <v>10068</v>
      </c>
      <c r="B4153" s="15">
        <v>339</v>
      </c>
      <c r="C4153" s="15">
        <v>2</v>
      </c>
      <c r="D4153" s="15">
        <v>151428989</v>
      </c>
      <c r="E4153" s="15">
        <v>152497375</v>
      </c>
      <c r="F4153" s="15">
        <v>2725</v>
      </c>
      <c r="G4153" s="8" t="s">
        <v>12324</v>
      </c>
      <c r="H4153" s="24" t="s">
        <v>599</v>
      </c>
      <c r="I4153" s="25">
        <v>26562</v>
      </c>
      <c r="J4153" s="8" t="s">
        <v>601</v>
      </c>
      <c r="K4153" s="8" t="s">
        <v>10040</v>
      </c>
      <c r="L4153" s="15">
        <v>-3.3063200000000001E-2</v>
      </c>
      <c r="M4153" s="15">
        <v>0.91287300000000005</v>
      </c>
      <c r="N4153" s="15">
        <v>0.97471017797017789</v>
      </c>
    </row>
    <row r="4154" spans="1:14" x14ac:dyDescent="0.2">
      <c r="A4154" s="2" t="s">
        <v>10068</v>
      </c>
      <c r="B4154" s="15">
        <v>2433</v>
      </c>
      <c r="C4154" s="15">
        <v>21</v>
      </c>
      <c r="D4154" s="15">
        <v>16873444</v>
      </c>
      <c r="E4154" s="15">
        <v>18222037</v>
      </c>
      <c r="F4154" s="15">
        <v>2705</v>
      </c>
      <c r="G4154" s="8" t="s">
        <v>12324</v>
      </c>
      <c r="H4154" s="24" t="s">
        <v>599</v>
      </c>
      <c r="I4154" s="25">
        <v>26562</v>
      </c>
      <c r="J4154" s="8" t="s">
        <v>601</v>
      </c>
      <c r="K4154" s="8" t="s">
        <v>10040</v>
      </c>
      <c r="L4154" s="15">
        <v>1.3931499999999999E-2</v>
      </c>
      <c r="M4154" s="15">
        <v>0.91374500000000003</v>
      </c>
      <c r="N4154" s="15">
        <v>0.97471017797017789</v>
      </c>
    </row>
    <row r="4155" spans="1:14" x14ac:dyDescent="0.2">
      <c r="A4155" s="2" t="s">
        <v>10068</v>
      </c>
      <c r="B4155" s="15">
        <v>2267</v>
      </c>
      <c r="C4155" s="15">
        <v>18</v>
      </c>
      <c r="D4155" s="15">
        <v>37679128</v>
      </c>
      <c r="E4155" s="15">
        <v>38498381</v>
      </c>
      <c r="F4155" s="15">
        <v>2460</v>
      </c>
      <c r="G4155" s="8" t="s">
        <v>12324</v>
      </c>
      <c r="H4155" s="24" t="s">
        <v>1259</v>
      </c>
      <c r="I4155" s="25">
        <v>27096</v>
      </c>
      <c r="J4155" s="8" t="s">
        <v>1261</v>
      </c>
      <c r="K4155" s="8" t="s">
        <v>10040</v>
      </c>
      <c r="L4155" s="15">
        <v>-3.1374600000000002E-2</v>
      </c>
      <c r="M4155" s="15">
        <v>0.91355399999999998</v>
      </c>
      <c r="N4155" s="15">
        <v>0.97471017797017789</v>
      </c>
    </row>
    <row r="4156" spans="1:14" x14ac:dyDescent="0.2">
      <c r="A4156" s="2" t="s">
        <v>10066</v>
      </c>
      <c r="B4156" s="15">
        <v>669</v>
      </c>
      <c r="C4156" s="15">
        <v>4</v>
      </c>
      <c r="D4156" s="15">
        <v>74885901</v>
      </c>
      <c r="E4156" s="15">
        <v>76497358</v>
      </c>
      <c r="F4156" s="15">
        <v>4113</v>
      </c>
      <c r="G4156" s="8" t="s">
        <v>12324</v>
      </c>
      <c r="H4156" s="24" t="s">
        <v>3164</v>
      </c>
      <c r="I4156" s="25" t="s">
        <v>3165</v>
      </c>
      <c r="J4156" s="8" t="s">
        <v>3166</v>
      </c>
      <c r="K4156" s="8" t="s">
        <v>10042</v>
      </c>
      <c r="L4156" s="15">
        <v>2.9063499999999999E-2</v>
      </c>
      <c r="M4156" s="15">
        <v>0.91242999999999996</v>
      </c>
      <c r="N4156" s="15">
        <v>0.97471017797017789</v>
      </c>
    </row>
    <row r="4157" spans="1:14" x14ac:dyDescent="0.2">
      <c r="A4157" s="2" t="s">
        <v>10066</v>
      </c>
      <c r="B4157" s="15">
        <v>2289</v>
      </c>
      <c r="C4157" s="15">
        <v>18</v>
      </c>
      <c r="D4157" s="15">
        <v>60780195</v>
      </c>
      <c r="E4157" s="15">
        <v>62074993</v>
      </c>
      <c r="F4157" s="15">
        <v>3545</v>
      </c>
      <c r="G4157" s="8" t="s">
        <v>12324</v>
      </c>
      <c r="H4157" s="24" t="s">
        <v>3164</v>
      </c>
      <c r="I4157" s="25" t="s">
        <v>3165</v>
      </c>
      <c r="J4157" s="8" t="s">
        <v>3166</v>
      </c>
      <c r="K4157" s="8" t="s">
        <v>10042</v>
      </c>
      <c r="L4157" s="15">
        <v>2.8488099999999999E-2</v>
      </c>
      <c r="M4157" s="15">
        <v>0.91354199999999997</v>
      </c>
      <c r="N4157" s="15">
        <v>0.97471017797017789</v>
      </c>
    </row>
    <row r="4158" spans="1:14" x14ac:dyDescent="0.2">
      <c r="A4158" s="2" t="s">
        <v>10066</v>
      </c>
      <c r="B4158" s="15">
        <v>2107</v>
      </c>
      <c r="C4158" s="15">
        <v>16</v>
      </c>
      <c r="D4158" s="15">
        <v>5782969</v>
      </c>
      <c r="E4158" s="15">
        <v>6446081</v>
      </c>
      <c r="F4158" s="15">
        <v>2566</v>
      </c>
      <c r="G4158" s="8" t="s">
        <v>12324</v>
      </c>
      <c r="H4158" s="24" t="s">
        <v>6008</v>
      </c>
      <c r="I4158" s="25" t="s">
        <v>6009</v>
      </c>
      <c r="J4158" s="8" t="s">
        <v>6010</v>
      </c>
      <c r="K4158" s="8" t="s">
        <v>10051</v>
      </c>
      <c r="L4158" s="15">
        <v>1.6437E-2</v>
      </c>
      <c r="M4158" s="15">
        <v>0.91273599999999999</v>
      </c>
      <c r="N4158" s="15">
        <v>0.97471017797017789</v>
      </c>
    </row>
    <row r="4159" spans="1:14" x14ac:dyDescent="0.2">
      <c r="A4159" s="2" t="s">
        <v>10066</v>
      </c>
      <c r="B4159" s="15">
        <v>194</v>
      </c>
      <c r="C4159" s="15">
        <v>1</v>
      </c>
      <c r="D4159" s="15">
        <v>242417924</v>
      </c>
      <c r="E4159" s="15">
        <v>243048003</v>
      </c>
      <c r="F4159" s="15">
        <v>2162</v>
      </c>
      <c r="G4159" s="8" t="s">
        <v>12324</v>
      </c>
      <c r="H4159" s="24" t="s">
        <v>6008</v>
      </c>
      <c r="I4159" s="25" t="s">
        <v>6009</v>
      </c>
      <c r="J4159" s="8" t="s">
        <v>6010</v>
      </c>
      <c r="K4159" s="8" t="s">
        <v>10051</v>
      </c>
      <c r="L4159" s="15">
        <v>-2.3884699999999998E-2</v>
      </c>
      <c r="M4159" s="15">
        <v>0.91295400000000004</v>
      </c>
      <c r="N4159" s="15">
        <v>0.97471017797017789</v>
      </c>
    </row>
    <row r="4160" spans="1:14" x14ac:dyDescent="0.2">
      <c r="A4160" s="2" t="s">
        <v>10068</v>
      </c>
      <c r="B4160" s="15">
        <v>64</v>
      </c>
      <c r="C4160" s="15">
        <v>1</v>
      </c>
      <c r="D4160" s="15">
        <v>75132093</v>
      </c>
      <c r="E4160" s="15">
        <v>76097247</v>
      </c>
      <c r="F4160" s="15">
        <v>2147</v>
      </c>
      <c r="G4160" s="8" t="s">
        <v>12324</v>
      </c>
      <c r="H4160" s="24" t="s">
        <v>6565</v>
      </c>
      <c r="I4160" s="25" t="s">
        <v>6475</v>
      </c>
      <c r="J4160" s="8" t="s">
        <v>6566</v>
      </c>
      <c r="K4160" s="8" t="s">
        <v>10054</v>
      </c>
      <c r="L4160" s="15">
        <v>-3.0377000000000001E-2</v>
      </c>
      <c r="M4160" s="15">
        <v>0.91383199999999998</v>
      </c>
      <c r="N4160" s="15">
        <v>0.97471017797017789</v>
      </c>
    </row>
    <row r="4161" spans="1:14" x14ac:dyDescent="0.2">
      <c r="A4161" s="2" t="s">
        <v>10068</v>
      </c>
      <c r="B4161" s="15">
        <v>249</v>
      </c>
      <c r="C4161" s="15">
        <v>2</v>
      </c>
      <c r="D4161" s="15">
        <v>44104111</v>
      </c>
      <c r="E4161" s="15">
        <v>45189468</v>
      </c>
      <c r="F4161" s="15">
        <v>2642</v>
      </c>
      <c r="G4161" s="8" t="s">
        <v>12324</v>
      </c>
      <c r="H4161" s="24" t="s">
        <v>1259</v>
      </c>
      <c r="I4161" s="25">
        <v>27096</v>
      </c>
      <c r="J4161" s="8" t="s">
        <v>1261</v>
      </c>
      <c r="K4161" s="8" t="s">
        <v>10040</v>
      </c>
      <c r="L4161" s="15">
        <v>-2.55651E-2</v>
      </c>
      <c r="M4161" s="15">
        <v>0.91425900000000004</v>
      </c>
      <c r="N4161" s="15">
        <v>0.97493115292137544</v>
      </c>
    </row>
    <row r="4162" spans="1:14" x14ac:dyDescent="0.2">
      <c r="A4162" s="2" t="s">
        <v>10068</v>
      </c>
      <c r="B4162" s="15">
        <v>1418</v>
      </c>
      <c r="C4162" s="15">
        <v>9</v>
      </c>
      <c r="D4162" s="15">
        <v>70939678</v>
      </c>
      <c r="E4162" s="15">
        <v>72288878</v>
      </c>
      <c r="F4162" s="15">
        <v>3507</v>
      </c>
      <c r="G4162" s="8" t="s">
        <v>12324</v>
      </c>
      <c r="H4162" s="24" t="s">
        <v>494</v>
      </c>
      <c r="I4162" s="25">
        <v>25920</v>
      </c>
      <c r="J4162" s="8" t="s">
        <v>496</v>
      </c>
      <c r="K4162" s="8" t="s">
        <v>10040</v>
      </c>
      <c r="L4162" s="15">
        <v>-2.6454399999999999E-2</v>
      </c>
      <c r="M4162" s="15">
        <v>0.91504799999999997</v>
      </c>
      <c r="N4162" s="15">
        <v>0.97535474771744357</v>
      </c>
    </row>
    <row r="4163" spans="1:14" x14ac:dyDescent="0.2">
      <c r="A4163" s="2" t="s">
        <v>10068</v>
      </c>
      <c r="B4163" s="15">
        <v>1086</v>
      </c>
      <c r="C4163" s="15">
        <v>6</v>
      </c>
      <c r="D4163" s="15">
        <v>162254230</v>
      </c>
      <c r="E4163" s="15">
        <v>163336361</v>
      </c>
      <c r="F4163" s="15">
        <v>3406</v>
      </c>
      <c r="G4163" s="8" t="s">
        <v>12324</v>
      </c>
      <c r="H4163" s="24" t="s">
        <v>599</v>
      </c>
      <c r="I4163" s="25">
        <v>26562</v>
      </c>
      <c r="J4163" s="8" t="s">
        <v>601</v>
      </c>
      <c r="K4163" s="8" t="s">
        <v>10040</v>
      </c>
      <c r="L4163" s="15">
        <v>-2.9283099999999999E-2</v>
      </c>
      <c r="M4163" s="15">
        <v>0.91523399999999999</v>
      </c>
      <c r="N4163" s="15">
        <v>0.97535474771744357</v>
      </c>
    </row>
    <row r="4164" spans="1:14" x14ac:dyDescent="0.2">
      <c r="A4164" s="2" t="s">
        <v>10066</v>
      </c>
      <c r="B4164" s="15">
        <v>2418</v>
      </c>
      <c r="C4164" s="15">
        <v>20</v>
      </c>
      <c r="D4164" s="15">
        <v>53879804</v>
      </c>
      <c r="E4164" s="15">
        <v>54743694</v>
      </c>
      <c r="F4164" s="15">
        <v>2299</v>
      </c>
      <c r="G4164" s="8" t="s">
        <v>12324</v>
      </c>
      <c r="H4164" s="24" t="s">
        <v>3164</v>
      </c>
      <c r="I4164" s="25" t="s">
        <v>3165</v>
      </c>
      <c r="J4164" s="8" t="s">
        <v>3166</v>
      </c>
      <c r="K4164" s="8" t="s">
        <v>10042</v>
      </c>
      <c r="L4164" s="15">
        <v>-2.1911099999999999E-2</v>
      </c>
      <c r="M4164" s="15">
        <v>0.91531600000000002</v>
      </c>
      <c r="N4164" s="15">
        <v>0.97535474771744357</v>
      </c>
    </row>
    <row r="4165" spans="1:14" x14ac:dyDescent="0.2">
      <c r="A4165" s="2" t="s">
        <v>10066</v>
      </c>
      <c r="B4165" s="15">
        <v>1488</v>
      </c>
      <c r="C4165" s="15">
        <v>10</v>
      </c>
      <c r="D4165" s="15">
        <v>2637066</v>
      </c>
      <c r="E4165" s="15">
        <v>3225336</v>
      </c>
      <c r="F4165" s="15">
        <v>2369</v>
      </c>
      <c r="G4165" s="8" t="s">
        <v>12324</v>
      </c>
      <c r="H4165" s="24" t="s">
        <v>3164</v>
      </c>
      <c r="I4165" s="25" t="s">
        <v>3165</v>
      </c>
      <c r="J4165" s="8" t="s">
        <v>3166</v>
      </c>
      <c r="K4165" s="8" t="s">
        <v>10042</v>
      </c>
      <c r="L4165" s="15">
        <v>-2.4985299999999998E-2</v>
      </c>
      <c r="M4165" s="15">
        <v>0.91601200000000005</v>
      </c>
      <c r="N4165" s="15">
        <v>0.97586193129954368</v>
      </c>
    </row>
    <row r="4166" spans="1:14" x14ac:dyDescent="0.2">
      <c r="A4166" s="2" t="s">
        <v>10068</v>
      </c>
      <c r="B4166" s="15">
        <v>2142</v>
      </c>
      <c r="C4166" s="15">
        <v>16</v>
      </c>
      <c r="D4166" s="15">
        <v>62607091</v>
      </c>
      <c r="E4166" s="15">
        <v>64207176</v>
      </c>
      <c r="F4166" s="15">
        <v>3685</v>
      </c>
      <c r="G4166" s="8" t="s">
        <v>12324</v>
      </c>
      <c r="H4166" s="24" t="s">
        <v>6565</v>
      </c>
      <c r="I4166" s="25" t="s">
        <v>6475</v>
      </c>
      <c r="J4166" s="8" t="s">
        <v>6566</v>
      </c>
      <c r="K4166" s="8" t="s">
        <v>10054</v>
      </c>
      <c r="L4166" s="15">
        <v>2.3018E-2</v>
      </c>
      <c r="M4166" s="15">
        <v>0.91626799999999997</v>
      </c>
      <c r="N4166" s="15">
        <v>0.97590023535062431</v>
      </c>
    </row>
    <row r="4167" spans="1:14" x14ac:dyDescent="0.2">
      <c r="A4167" s="2" t="s">
        <v>10068</v>
      </c>
      <c r="B4167" s="15">
        <v>2368</v>
      </c>
      <c r="C4167" s="15">
        <v>19</v>
      </c>
      <c r="D4167" s="15">
        <v>57959953</v>
      </c>
      <c r="E4167" s="15">
        <v>59118811</v>
      </c>
      <c r="F4167" s="15">
        <v>2914</v>
      </c>
      <c r="G4167" s="8" t="s">
        <v>12324</v>
      </c>
      <c r="H4167" s="24" t="s">
        <v>494</v>
      </c>
      <c r="I4167" s="25">
        <v>25920</v>
      </c>
      <c r="J4167" s="8" t="s">
        <v>496</v>
      </c>
      <c r="K4167" s="8" t="s">
        <v>10040</v>
      </c>
      <c r="L4167" s="15">
        <v>-1.857E-2</v>
      </c>
      <c r="M4167" s="15">
        <v>0.91777900000000001</v>
      </c>
      <c r="N4167" s="15">
        <v>0.97633721875749568</v>
      </c>
    </row>
    <row r="4168" spans="1:14" x14ac:dyDescent="0.2">
      <c r="A4168" s="2" t="s">
        <v>10068</v>
      </c>
      <c r="B4168" s="15">
        <v>654</v>
      </c>
      <c r="C4168" s="15">
        <v>4</v>
      </c>
      <c r="D4168" s="15">
        <v>58011086</v>
      </c>
      <c r="E4168" s="15">
        <v>58940256</v>
      </c>
      <c r="F4168" s="15">
        <v>2949</v>
      </c>
      <c r="G4168" s="8" t="s">
        <v>12324</v>
      </c>
      <c r="H4168" s="24" t="s">
        <v>599</v>
      </c>
      <c r="I4168" s="25">
        <v>26562</v>
      </c>
      <c r="J4168" s="8" t="s">
        <v>601</v>
      </c>
      <c r="K4168" s="8" t="s">
        <v>10040</v>
      </c>
      <c r="L4168" s="15">
        <v>3.02657E-2</v>
      </c>
      <c r="M4168" s="15">
        <v>0.91755200000000003</v>
      </c>
      <c r="N4168" s="15">
        <v>0.97633721875749568</v>
      </c>
    </row>
    <row r="4169" spans="1:14" x14ac:dyDescent="0.2">
      <c r="A4169" s="2" t="s">
        <v>10068</v>
      </c>
      <c r="B4169" s="15">
        <v>1032</v>
      </c>
      <c r="C4169" s="15">
        <v>6</v>
      </c>
      <c r="D4169" s="15">
        <v>101793543</v>
      </c>
      <c r="E4169" s="15">
        <v>102637706</v>
      </c>
      <c r="F4169" s="15">
        <v>2161</v>
      </c>
      <c r="G4169" s="8" t="s">
        <v>12324</v>
      </c>
      <c r="H4169" s="24" t="s">
        <v>1259</v>
      </c>
      <c r="I4169" s="25">
        <v>27096</v>
      </c>
      <c r="J4169" s="8" t="s">
        <v>1261</v>
      </c>
      <c r="K4169" s="8" t="s">
        <v>10040</v>
      </c>
      <c r="L4169" s="15">
        <v>1.9068600000000002E-2</v>
      </c>
      <c r="M4169" s="15">
        <v>0.91765099999999999</v>
      </c>
      <c r="N4169" s="15">
        <v>0.97633721875749568</v>
      </c>
    </row>
    <row r="4170" spans="1:14" x14ac:dyDescent="0.2">
      <c r="A4170" s="2" t="s">
        <v>10066</v>
      </c>
      <c r="B4170" s="15">
        <v>2026</v>
      </c>
      <c r="C4170" s="15">
        <v>14</v>
      </c>
      <c r="D4170" s="15">
        <v>99474534</v>
      </c>
      <c r="E4170" s="15">
        <v>100786189</v>
      </c>
      <c r="F4170" s="15">
        <v>3323</v>
      </c>
      <c r="G4170" s="8" t="s">
        <v>12324</v>
      </c>
      <c r="H4170" s="24" t="s">
        <v>6008</v>
      </c>
      <c r="I4170" s="25" t="s">
        <v>6009</v>
      </c>
      <c r="J4170" s="8" t="s">
        <v>6010</v>
      </c>
      <c r="K4170" s="8" t="s">
        <v>10051</v>
      </c>
      <c r="L4170" s="15">
        <v>-2.2861300000000001E-2</v>
      </c>
      <c r="M4170" s="15">
        <v>0.91697099999999998</v>
      </c>
      <c r="N4170" s="15">
        <v>0.97633721875749568</v>
      </c>
    </row>
    <row r="4171" spans="1:14" x14ac:dyDescent="0.2">
      <c r="A4171" s="2" t="s">
        <v>10068</v>
      </c>
      <c r="B4171" s="15">
        <v>278</v>
      </c>
      <c r="C4171" s="15">
        <v>2</v>
      </c>
      <c r="D4171" s="15">
        <v>72160303</v>
      </c>
      <c r="E4171" s="15">
        <v>73544290</v>
      </c>
      <c r="F4171" s="15">
        <v>2347</v>
      </c>
      <c r="G4171" s="8" t="s">
        <v>12324</v>
      </c>
      <c r="H4171" s="24" t="s">
        <v>6565</v>
      </c>
      <c r="I4171" s="25" t="s">
        <v>6475</v>
      </c>
      <c r="J4171" s="8" t="s">
        <v>6566</v>
      </c>
      <c r="K4171" s="8" t="s">
        <v>10054</v>
      </c>
      <c r="L4171" s="15">
        <v>2.4377800000000002E-2</v>
      </c>
      <c r="M4171" s="15">
        <v>0.91726300000000005</v>
      </c>
      <c r="N4171" s="15">
        <v>0.97633721875749568</v>
      </c>
    </row>
    <row r="4172" spans="1:14" x14ac:dyDescent="0.2">
      <c r="A4172" s="2" t="s">
        <v>10068</v>
      </c>
      <c r="B4172" s="15">
        <v>2202</v>
      </c>
      <c r="C4172" s="15">
        <v>17</v>
      </c>
      <c r="D4172" s="15">
        <v>36116885</v>
      </c>
      <c r="E4172" s="15">
        <v>37361178</v>
      </c>
      <c r="F4172" s="15">
        <v>2539</v>
      </c>
      <c r="G4172" s="8" t="s">
        <v>12324</v>
      </c>
      <c r="H4172" s="24" t="s">
        <v>494</v>
      </c>
      <c r="I4172" s="25">
        <v>25920</v>
      </c>
      <c r="J4172" s="8" t="s">
        <v>496</v>
      </c>
      <c r="K4172" s="8" t="s">
        <v>10040</v>
      </c>
      <c r="L4172" s="15">
        <v>1.89794E-2</v>
      </c>
      <c r="M4172" s="15">
        <v>0.91857900000000003</v>
      </c>
      <c r="N4172" s="15">
        <v>0.97639931224538712</v>
      </c>
    </row>
    <row r="4173" spans="1:14" x14ac:dyDescent="0.2">
      <c r="A4173" s="2" t="s">
        <v>10068</v>
      </c>
      <c r="B4173" s="15">
        <v>2423</v>
      </c>
      <c r="C4173" s="15">
        <v>20</v>
      </c>
      <c r="D4173" s="15">
        <v>57924038</v>
      </c>
      <c r="E4173" s="15">
        <v>58780894</v>
      </c>
      <c r="F4173" s="15">
        <v>2371</v>
      </c>
      <c r="G4173" s="8" t="s">
        <v>12324</v>
      </c>
      <c r="H4173" s="24" t="s">
        <v>599</v>
      </c>
      <c r="I4173" s="25">
        <v>26562</v>
      </c>
      <c r="J4173" s="8" t="s">
        <v>601</v>
      </c>
      <c r="K4173" s="8" t="s">
        <v>10040</v>
      </c>
      <c r="L4173" s="15">
        <v>1.8183999999999999E-2</v>
      </c>
      <c r="M4173" s="15">
        <v>0.91846899999999998</v>
      </c>
      <c r="N4173" s="15">
        <v>0.97639931224538712</v>
      </c>
    </row>
    <row r="4174" spans="1:14" x14ac:dyDescent="0.2">
      <c r="A4174" s="2" t="s">
        <v>10068</v>
      </c>
      <c r="B4174" s="15">
        <v>1716</v>
      </c>
      <c r="C4174" s="15">
        <v>11</v>
      </c>
      <c r="D4174" s="15">
        <v>107846825</v>
      </c>
      <c r="E4174" s="15">
        <v>109891837</v>
      </c>
      <c r="F4174" s="15">
        <v>3763</v>
      </c>
      <c r="G4174" s="8" t="s">
        <v>12324</v>
      </c>
      <c r="H4174" s="24" t="s">
        <v>1259</v>
      </c>
      <c r="I4174" s="25">
        <v>27096</v>
      </c>
      <c r="J4174" s="8" t="s">
        <v>1261</v>
      </c>
      <c r="K4174" s="8" t="s">
        <v>10040</v>
      </c>
      <c r="L4174" s="15">
        <v>-1.70949E-2</v>
      </c>
      <c r="M4174" s="15">
        <v>0.91871800000000003</v>
      </c>
      <c r="N4174" s="15">
        <v>0.97639931224538712</v>
      </c>
    </row>
    <row r="4175" spans="1:14" x14ac:dyDescent="0.2">
      <c r="A4175" s="2" t="s">
        <v>10068</v>
      </c>
      <c r="B4175" s="15">
        <v>1430</v>
      </c>
      <c r="C4175" s="15">
        <v>9</v>
      </c>
      <c r="D4175" s="15">
        <v>85135752</v>
      </c>
      <c r="E4175" s="15">
        <v>86769886</v>
      </c>
      <c r="F4175" s="15">
        <v>4031</v>
      </c>
      <c r="G4175" s="8" t="s">
        <v>12324</v>
      </c>
      <c r="H4175" s="24" t="s">
        <v>6565</v>
      </c>
      <c r="I4175" s="25" t="s">
        <v>6475</v>
      </c>
      <c r="J4175" s="8" t="s">
        <v>6566</v>
      </c>
      <c r="K4175" s="8" t="s">
        <v>10054</v>
      </c>
      <c r="L4175" s="15">
        <v>3.07943E-2</v>
      </c>
      <c r="M4175" s="15">
        <v>0.91852800000000001</v>
      </c>
      <c r="N4175" s="15">
        <v>0.97639931224538712</v>
      </c>
    </row>
    <row r="4176" spans="1:14" x14ac:dyDescent="0.2">
      <c r="A4176" s="2" t="s">
        <v>10068</v>
      </c>
      <c r="B4176" s="15">
        <v>2449</v>
      </c>
      <c r="C4176" s="15">
        <v>21</v>
      </c>
      <c r="D4176" s="15">
        <v>34383795</v>
      </c>
      <c r="E4176" s="15">
        <v>35729261</v>
      </c>
      <c r="F4176" s="15">
        <v>3023</v>
      </c>
      <c r="G4176" s="8" t="s">
        <v>12324</v>
      </c>
      <c r="H4176" s="24" t="s">
        <v>599</v>
      </c>
      <c r="I4176" s="25">
        <v>26562</v>
      </c>
      <c r="J4176" s="8" t="s">
        <v>601</v>
      </c>
      <c r="K4176" s="8" t="s">
        <v>10040</v>
      </c>
      <c r="L4176" s="15">
        <v>3.0725700000000002E-2</v>
      </c>
      <c r="M4176" s="15">
        <v>0.91913500000000004</v>
      </c>
      <c r="N4176" s="15">
        <v>0.97660846310493532</v>
      </c>
    </row>
    <row r="4177" spans="1:14" x14ac:dyDescent="0.2">
      <c r="A4177" s="2" t="s">
        <v>10068</v>
      </c>
      <c r="B4177" s="15">
        <v>2001</v>
      </c>
      <c r="C4177" s="15">
        <v>14</v>
      </c>
      <c r="D4177" s="15">
        <v>71140427</v>
      </c>
      <c r="E4177" s="15">
        <v>72665319</v>
      </c>
      <c r="F4177" s="15">
        <v>3708</v>
      </c>
      <c r="G4177" s="8" t="s">
        <v>12324</v>
      </c>
      <c r="H4177" s="24" t="s">
        <v>494</v>
      </c>
      <c r="I4177" s="25">
        <v>25920</v>
      </c>
      <c r="J4177" s="8" t="s">
        <v>496</v>
      </c>
      <c r="K4177" s="8" t="s">
        <v>10040</v>
      </c>
      <c r="L4177" s="15">
        <v>-2.16341E-2</v>
      </c>
      <c r="M4177" s="15">
        <v>0.92059500000000005</v>
      </c>
      <c r="N4177" s="15">
        <v>0.97678540789473678</v>
      </c>
    </row>
    <row r="4178" spans="1:14" x14ac:dyDescent="0.2">
      <c r="A4178" s="2" t="s">
        <v>10068</v>
      </c>
      <c r="B4178" s="15">
        <v>1064</v>
      </c>
      <c r="C4178" s="15">
        <v>6</v>
      </c>
      <c r="D4178" s="15">
        <v>138825722</v>
      </c>
      <c r="E4178" s="15">
        <v>139716713</v>
      </c>
      <c r="F4178" s="15">
        <v>2452</v>
      </c>
      <c r="G4178" s="8" t="s">
        <v>12324</v>
      </c>
      <c r="H4178" s="24" t="s">
        <v>599</v>
      </c>
      <c r="I4178" s="25">
        <v>26562</v>
      </c>
      <c r="J4178" s="8" t="s">
        <v>601</v>
      </c>
      <c r="K4178" s="8" t="s">
        <v>10040</v>
      </c>
      <c r="L4178" s="15">
        <v>-1.7058299999999998E-2</v>
      </c>
      <c r="M4178" s="15">
        <v>0.92062299999999997</v>
      </c>
      <c r="N4178" s="15">
        <v>0.97678540789473678</v>
      </c>
    </row>
    <row r="4179" spans="1:14" x14ac:dyDescent="0.2">
      <c r="A4179" s="2" t="s">
        <v>10069</v>
      </c>
      <c r="B4179" s="15">
        <v>53</v>
      </c>
      <c r="C4179" s="15">
        <v>1</v>
      </c>
      <c r="D4179" s="15">
        <v>61377616</v>
      </c>
      <c r="E4179" s="15">
        <v>62778733</v>
      </c>
      <c r="F4179" s="15">
        <v>2360</v>
      </c>
      <c r="G4179" s="8" t="s">
        <v>12324</v>
      </c>
      <c r="H4179" s="24" t="s">
        <v>662</v>
      </c>
      <c r="I4179" s="25" t="s">
        <v>663</v>
      </c>
      <c r="J4179" s="8" t="s">
        <v>664</v>
      </c>
      <c r="K4179" s="8" t="s">
        <v>10040</v>
      </c>
      <c r="L4179" s="15">
        <v>2.2122099999999999E-2</v>
      </c>
      <c r="M4179" s="15">
        <v>0.91965200000000003</v>
      </c>
      <c r="N4179" s="15">
        <v>0.97678540789473678</v>
      </c>
    </row>
    <row r="4180" spans="1:14" x14ac:dyDescent="0.2">
      <c r="A4180" s="2" t="s">
        <v>10068</v>
      </c>
      <c r="B4180" s="15">
        <v>2464</v>
      </c>
      <c r="C4180" s="15">
        <v>22</v>
      </c>
      <c r="D4180" s="15">
        <v>18535226</v>
      </c>
      <c r="E4180" s="15">
        <v>19635654</v>
      </c>
      <c r="F4180" s="15">
        <v>2696</v>
      </c>
      <c r="G4180" s="8" t="s">
        <v>12324</v>
      </c>
      <c r="H4180" s="24" t="s">
        <v>1259</v>
      </c>
      <c r="I4180" s="25">
        <v>27096</v>
      </c>
      <c r="J4180" s="8" t="s">
        <v>1261</v>
      </c>
      <c r="K4180" s="8" t="s">
        <v>10040</v>
      </c>
      <c r="L4180" s="15">
        <v>-1.9793600000000001E-2</v>
      </c>
      <c r="M4180" s="15">
        <v>0.92051799999999995</v>
      </c>
      <c r="N4180" s="15">
        <v>0.97678540789473678</v>
      </c>
    </row>
    <row r="4181" spans="1:14" x14ac:dyDescent="0.2">
      <c r="A4181" s="2" t="s">
        <v>10066</v>
      </c>
      <c r="B4181" s="15">
        <v>2462</v>
      </c>
      <c r="C4181" s="15">
        <v>22</v>
      </c>
      <c r="D4181" s="15">
        <v>16050213</v>
      </c>
      <c r="E4181" s="15">
        <v>17587474</v>
      </c>
      <c r="F4181" s="15">
        <v>1608</v>
      </c>
      <c r="G4181" s="8" t="s">
        <v>12324</v>
      </c>
      <c r="H4181" s="24" t="s">
        <v>6008</v>
      </c>
      <c r="I4181" s="25" t="s">
        <v>6009</v>
      </c>
      <c r="J4181" s="8" t="s">
        <v>6010</v>
      </c>
      <c r="K4181" s="8" t="s">
        <v>10051</v>
      </c>
      <c r="L4181" s="15">
        <v>-1.14447E-2</v>
      </c>
      <c r="M4181" s="15">
        <v>0.92022300000000001</v>
      </c>
      <c r="N4181" s="15">
        <v>0.97678540789473678</v>
      </c>
    </row>
    <row r="4182" spans="1:14" x14ac:dyDescent="0.2">
      <c r="A4182" s="2" t="s">
        <v>10068</v>
      </c>
      <c r="B4182" s="15">
        <v>1220</v>
      </c>
      <c r="C4182" s="15">
        <v>7</v>
      </c>
      <c r="D4182" s="15">
        <v>146574328</v>
      </c>
      <c r="E4182" s="15">
        <v>147352171</v>
      </c>
      <c r="F4182" s="15">
        <v>2579</v>
      </c>
      <c r="G4182" s="8" t="s">
        <v>12324</v>
      </c>
      <c r="H4182" s="24" t="s">
        <v>6565</v>
      </c>
      <c r="I4182" s="25" t="s">
        <v>6475</v>
      </c>
      <c r="J4182" s="8" t="s">
        <v>6566</v>
      </c>
      <c r="K4182" s="8" t="s">
        <v>10054</v>
      </c>
      <c r="L4182" s="15">
        <v>-3.99621E-2</v>
      </c>
      <c r="M4182" s="15">
        <v>0.92000700000000002</v>
      </c>
      <c r="N4182" s="15">
        <v>0.97678540789473678</v>
      </c>
    </row>
    <row r="4183" spans="1:14" x14ac:dyDescent="0.2">
      <c r="A4183" s="2" t="s">
        <v>10068</v>
      </c>
      <c r="B4183" s="15">
        <v>2271</v>
      </c>
      <c r="C4183" s="15">
        <v>18</v>
      </c>
      <c r="D4183" s="15">
        <v>41425455</v>
      </c>
      <c r="E4183" s="15">
        <v>42974165</v>
      </c>
      <c r="F4183" s="15">
        <v>3269</v>
      </c>
      <c r="G4183" s="8" t="s">
        <v>12324</v>
      </c>
      <c r="H4183" s="24" t="s">
        <v>6565</v>
      </c>
      <c r="I4183" s="25" t="s">
        <v>6475</v>
      </c>
      <c r="J4183" s="8" t="s">
        <v>6566</v>
      </c>
      <c r="K4183" s="8" t="s">
        <v>10054</v>
      </c>
      <c r="L4183" s="15">
        <v>-3.05296E-2</v>
      </c>
      <c r="M4183" s="15">
        <v>0.92105099999999995</v>
      </c>
      <c r="N4183" s="15">
        <v>0.97700578450131537</v>
      </c>
    </row>
    <row r="4184" spans="1:14" x14ac:dyDescent="0.2">
      <c r="A4184" s="2" t="s">
        <v>10068</v>
      </c>
      <c r="B4184" s="15">
        <v>1946</v>
      </c>
      <c r="C4184" s="15">
        <v>13</v>
      </c>
      <c r="D4184" s="15">
        <v>108521979</v>
      </c>
      <c r="E4184" s="15">
        <v>109156765</v>
      </c>
      <c r="F4184" s="15">
        <v>2075</v>
      </c>
      <c r="G4184" s="8" t="s">
        <v>12324</v>
      </c>
      <c r="H4184" s="24" t="s">
        <v>494</v>
      </c>
      <c r="I4184" s="25">
        <v>25920</v>
      </c>
      <c r="J4184" s="8" t="s">
        <v>496</v>
      </c>
      <c r="K4184" s="8" t="s">
        <v>10040</v>
      </c>
      <c r="L4184" s="15">
        <v>-1.7297900000000001E-2</v>
      </c>
      <c r="M4184" s="15">
        <v>0.92359199999999997</v>
      </c>
      <c r="N4184" s="15">
        <v>0.97722099451466737</v>
      </c>
    </row>
    <row r="4185" spans="1:14" x14ac:dyDescent="0.2">
      <c r="A4185" s="2" t="s">
        <v>10068</v>
      </c>
      <c r="B4185" s="15">
        <v>919</v>
      </c>
      <c r="C4185" s="15">
        <v>5</v>
      </c>
      <c r="D4185" s="15">
        <v>172285683</v>
      </c>
      <c r="E4185" s="15">
        <v>173606995</v>
      </c>
      <c r="F4185" s="15">
        <v>3780</v>
      </c>
      <c r="G4185" s="8" t="s">
        <v>12324</v>
      </c>
      <c r="H4185" s="24" t="s">
        <v>599</v>
      </c>
      <c r="I4185" s="25">
        <v>26562</v>
      </c>
      <c r="J4185" s="8" t="s">
        <v>601</v>
      </c>
      <c r="K4185" s="8" t="s">
        <v>10040</v>
      </c>
      <c r="L4185" s="15">
        <v>1.7838099999999999E-2</v>
      </c>
      <c r="M4185" s="15">
        <v>0.92168799999999995</v>
      </c>
      <c r="N4185" s="15">
        <v>0.97722099451466737</v>
      </c>
    </row>
    <row r="4186" spans="1:14" x14ac:dyDescent="0.2">
      <c r="A4186" s="2" t="s">
        <v>10068</v>
      </c>
      <c r="B4186" s="15">
        <v>250</v>
      </c>
      <c r="C4186" s="15">
        <v>2</v>
      </c>
      <c r="D4186" s="15">
        <v>45189469</v>
      </c>
      <c r="E4186" s="15">
        <v>45850047</v>
      </c>
      <c r="F4186" s="15">
        <v>2112</v>
      </c>
      <c r="G4186" s="8" t="s">
        <v>12324</v>
      </c>
      <c r="H4186" s="24" t="s">
        <v>599</v>
      </c>
      <c r="I4186" s="25">
        <v>26562</v>
      </c>
      <c r="J4186" s="8" t="s">
        <v>601</v>
      </c>
      <c r="K4186" s="8" t="s">
        <v>10040</v>
      </c>
      <c r="L4186" s="15">
        <v>2.7965899999999998E-2</v>
      </c>
      <c r="M4186" s="15">
        <v>0.92213199999999995</v>
      </c>
      <c r="N4186" s="15">
        <v>0.97722099451466737</v>
      </c>
    </row>
    <row r="4187" spans="1:14" x14ac:dyDescent="0.2">
      <c r="A4187" s="2" t="s">
        <v>10068</v>
      </c>
      <c r="B4187" s="15">
        <v>922</v>
      </c>
      <c r="C4187" s="15">
        <v>5</v>
      </c>
      <c r="D4187" s="15">
        <v>176180302</v>
      </c>
      <c r="E4187" s="15">
        <v>177659902</v>
      </c>
      <c r="F4187" s="15">
        <v>3201</v>
      </c>
      <c r="G4187" s="8" t="s">
        <v>12324</v>
      </c>
      <c r="H4187" s="24" t="s">
        <v>599</v>
      </c>
      <c r="I4187" s="25">
        <v>26562</v>
      </c>
      <c r="J4187" s="8" t="s">
        <v>601</v>
      </c>
      <c r="K4187" s="8" t="s">
        <v>10040</v>
      </c>
      <c r="L4187" s="15">
        <v>1.9672499999999999E-2</v>
      </c>
      <c r="M4187" s="15">
        <v>0.92246499999999998</v>
      </c>
      <c r="N4187" s="15">
        <v>0.97722099451466737</v>
      </c>
    </row>
    <row r="4188" spans="1:14" x14ac:dyDescent="0.2">
      <c r="A4188" s="2" t="s">
        <v>10068</v>
      </c>
      <c r="B4188" s="15">
        <v>18</v>
      </c>
      <c r="C4188" s="15">
        <v>1</v>
      </c>
      <c r="D4188" s="15">
        <v>16732169</v>
      </c>
      <c r="E4188" s="15">
        <v>17557746</v>
      </c>
      <c r="F4188" s="15">
        <v>1452</v>
      </c>
      <c r="G4188" s="8" t="s">
        <v>12324</v>
      </c>
      <c r="H4188" s="24" t="s">
        <v>599</v>
      </c>
      <c r="I4188" s="25">
        <v>26562</v>
      </c>
      <c r="J4188" s="8" t="s">
        <v>601</v>
      </c>
      <c r="K4188" s="8" t="s">
        <v>10040</v>
      </c>
      <c r="L4188" s="15">
        <v>1.50595E-2</v>
      </c>
      <c r="M4188" s="15">
        <v>0.92274</v>
      </c>
      <c r="N4188" s="15">
        <v>0.97722099451466737</v>
      </c>
    </row>
    <row r="4189" spans="1:14" x14ac:dyDescent="0.2">
      <c r="A4189" s="2" t="s">
        <v>10068</v>
      </c>
      <c r="B4189" s="15">
        <v>1493</v>
      </c>
      <c r="C4189" s="15">
        <v>10</v>
      </c>
      <c r="D4189" s="15">
        <v>6234719</v>
      </c>
      <c r="E4189" s="15">
        <v>6897037</v>
      </c>
      <c r="F4189" s="15">
        <v>2339</v>
      </c>
      <c r="G4189" s="8" t="s">
        <v>12324</v>
      </c>
      <c r="H4189" s="24" t="s">
        <v>599</v>
      </c>
      <c r="I4189" s="25">
        <v>26562</v>
      </c>
      <c r="J4189" s="8" t="s">
        <v>601</v>
      </c>
      <c r="K4189" s="8" t="s">
        <v>10040</v>
      </c>
      <c r="L4189" s="15">
        <v>-1.4592900000000001E-2</v>
      </c>
      <c r="M4189" s="15">
        <v>0.92310400000000004</v>
      </c>
      <c r="N4189" s="15">
        <v>0.97722099451466737</v>
      </c>
    </row>
    <row r="4190" spans="1:14" x14ac:dyDescent="0.2">
      <c r="A4190" s="2" t="s">
        <v>10068</v>
      </c>
      <c r="B4190" s="15">
        <v>122</v>
      </c>
      <c r="C4190" s="15">
        <v>1</v>
      </c>
      <c r="D4190" s="15">
        <v>164726580</v>
      </c>
      <c r="E4190" s="15">
        <v>165553812</v>
      </c>
      <c r="F4190" s="15">
        <v>2324</v>
      </c>
      <c r="G4190" s="8" t="s">
        <v>12324</v>
      </c>
      <c r="H4190" s="24" t="s">
        <v>599</v>
      </c>
      <c r="I4190" s="25">
        <v>26562</v>
      </c>
      <c r="J4190" s="8" t="s">
        <v>601</v>
      </c>
      <c r="K4190" s="8" t="s">
        <v>10040</v>
      </c>
      <c r="L4190" s="15">
        <v>-2.11224E-2</v>
      </c>
      <c r="M4190" s="15">
        <v>0.92320999999999998</v>
      </c>
      <c r="N4190" s="15">
        <v>0.97722099451466737</v>
      </c>
    </row>
    <row r="4191" spans="1:14" x14ac:dyDescent="0.2">
      <c r="A4191" s="2" t="s">
        <v>10069</v>
      </c>
      <c r="B4191" s="15">
        <v>2073</v>
      </c>
      <c r="C4191" s="15">
        <v>15</v>
      </c>
      <c r="D4191" s="15">
        <v>70767984</v>
      </c>
      <c r="E4191" s="15">
        <v>72058129</v>
      </c>
      <c r="F4191" s="15">
        <v>1920</v>
      </c>
      <c r="G4191" s="8" t="s">
        <v>12324</v>
      </c>
      <c r="H4191" s="24" t="s">
        <v>662</v>
      </c>
      <c r="I4191" s="25" t="s">
        <v>663</v>
      </c>
      <c r="J4191" s="8" t="s">
        <v>664</v>
      </c>
      <c r="K4191" s="8" t="s">
        <v>10040</v>
      </c>
      <c r="L4191" s="15">
        <v>-3.3246400000000002E-2</v>
      </c>
      <c r="M4191" s="15">
        <v>0.92379599999999995</v>
      </c>
      <c r="N4191" s="15">
        <v>0.97722099451466737</v>
      </c>
    </row>
    <row r="4192" spans="1:14" x14ac:dyDescent="0.2">
      <c r="A4192" s="2" t="s">
        <v>10066</v>
      </c>
      <c r="B4192" s="15">
        <v>1105</v>
      </c>
      <c r="C4192" s="15">
        <v>7</v>
      </c>
      <c r="D4192" s="15">
        <v>8718352</v>
      </c>
      <c r="E4192" s="15">
        <v>9225106</v>
      </c>
      <c r="F4192" s="15">
        <v>2170</v>
      </c>
      <c r="G4192" s="8" t="s">
        <v>12324</v>
      </c>
      <c r="H4192" s="24" t="s">
        <v>3164</v>
      </c>
      <c r="I4192" s="25" t="s">
        <v>3165</v>
      </c>
      <c r="J4192" s="8" t="s">
        <v>3166</v>
      </c>
      <c r="K4192" s="8" t="s">
        <v>10042</v>
      </c>
      <c r="L4192" s="15">
        <v>-2.18357E-2</v>
      </c>
      <c r="M4192" s="15">
        <v>0.92185600000000001</v>
      </c>
      <c r="N4192" s="15">
        <v>0.97722099451466737</v>
      </c>
    </row>
    <row r="4193" spans="1:14" x14ac:dyDescent="0.2">
      <c r="A4193" s="2" t="s">
        <v>10066</v>
      </c>
      <c r="B4193" s="15">
        <v>2270</v>
      </c>
      <c r="C4193" s="15">
        <v>18</v>
      </c>
      <c r="D4193" s="15">
        <v>40471408</v>
      </c>
      <c r="E4193" s="15">
        <v>41425454</v>
      </c>
      <c r="F4193" s="15">
        <v>2268</v>
      </c>
      <c r="G4193" s="8" t="s">
        <v>12324</v>
      </c>
      <c r="H4193" s="24" t="s">
        <v>3164</v>
      </c>
      <c r="I4193" s="25" t="s">
        <v>3165</v>
      </c>
      <c r="J4193" s="8" t="s">
        <v>3166</v>
      </c>
      <c r="K4193" s="8" t="s">
        <v>10042</v>
      </c>
      <c r="L4193" s="15">
        <v>-2.8787900000000002E-2</v>
      </c>
      <c r="M4193" s="15">
        <v>0.92252999999999996</v>
      </c>
      <c r="N4193" s="15">
        <v>0.97722099451466737</v>
      </c>
    </row>
    <row r="4194" spans="1:14" x14ac:dyDescent="0.2">
      <c r="A4194" s="2" t="s">
        <v>10066</v>
      </c>
      <c r="B4194" s="15">
        <v>2126</v>
      </c>
      <c r="C4194" s="15">
        <v>16</v>
      </c>
      <c r="D4194" s="15">
        <v>26154123</v>
      </c>
      <c r="E4194" s="15">
        <v>27443061</v>
      </c>
      <c r="F4194" s="15">
        <v>4082</v>
      </c>
      <c r="G4194" s="8" t="s">
        <v>12324</v>
      </c>
      <c r="H4194" s="24" t="s">
        <v>3164</v>
      </c>
      <c r="I4194" s="25" t="s">
        <v>3165</v>
      </c>
      <c r="J4194" s="8" t="s">
        <v>3166</v>
      </c>
      <c r="K4194" s="8" t="s">
        <v>10042</v>
      </c>
      <c r="L4194" s="15">
        <v>2.1493999999999999E-2</v>
      </c>
      <c r="M4194" s="15">
        <v>0.92385099999999998</v>
      </c>
      <c r="N4194" s="15">
        <v>0.97722099451466737</v>
      </c>
    </row>
    <row r="4195" spans="1:14" x14ac:dyDescent="0.2">
      <c r="A4195" s="2" t="s">
        <v>10066</v>
      </c>
      <c r="B4195" s="15">
        <v>1476</v>
      </c>
      <c r="C4195" s="15">
        <v>9</v>
      </c>
      <c r="D4195" s="15">
        <v>132999453</v>
      </c>
      <c r="E4195" s="15">
        <v>134141936</v>
      </c>
      <c r="F4195" s="15">
        <v>2778</v>
      </c>
      <c r="G4195" s="8" t="s">
        <v>12324</v>
      </c>
      <c r="H4195" s="24" t="s">
        <v>3164</v>
      </c>
      <c r="I4195" s="25" t="s">
        <v>3165</v>
      </c>
      <c r="J4195" s="8" t="s">
        <v>3166</v>
      </c>
      <c r="K4195" s="8" t="s">
        <v>10042</v>
      </c>
      <c r="L4195" s="15">
        <v>-1.54542E-2</v>
      </c>
      <c r="M4195" s="15">
        <v>0.923898</v>
      </c>
      <c r="N4195" s="15">
        <v>0.97722099451466737</v>
      </c>
    </row>
    <row r="4196" spans="1:14" x14ac:dyDescent="0.2">
      <c r="A4196" s="2" t="s">
        <v>10066</v>
      </c>
      <c r="B4196" s="15">
        <v>1843</v>
      </c>
      <c r="C4196" s="15">
        <v>12</v>
      </c>
      <c r="D4196" s="15">
        <v>114685671</v>
      </c>
      <c r="E4196" s="15">
        <v>115439451</v>
      </c>
      <c r="F4196" s="15">
        <v>2285</v>
      </c>
      <c r="G4196" s="8" t="s">
        <v>12324</v>
      </c>
      <c r="H4196" s="24" t="s">
        <v>3164</v>
      </c>
      <c r="I4196" s="25" t="s">
        <v>3165</v>
      </c>
      <c r="J4196" s="8" t="s">
        <v>3166</v>
      </c>
      <c r="K4196" s="8" t="s">
        <v>10042</v>
      </c>
      <c r="L4196" s="15">
        <v>-1.7806099999999998E-2</v>
      </c>
      <c r="M4196" s="15">
        <v>0.925508</v>
      </c>
      <c r="N4196" s="15">
        <v>0.97869050548402481</v>
      </c>
    </row>
    <row r="4197" spans="1:14" x14ac:dyDescent="0.2">
      <c r="A4197" s="2" t="s">
        <v>10068</v>
      </c>
      <c r="B4197" s="15">
        <v>1</v>
      </c>
      <c r="C4197" s="15">
        <v>1</v>
      </c>
      <c r="D4197" s="15">
        <v>10539</v>
      </c>
      <c r="E4197" s="15">
        <v>1376204</v>
      </c>
      <c r="F4197" s="15">
        <v>1896</v>
      </c>
      <c r="G4197" s="8" t="s">
        <v>12324</v>
      </c>
      <c r="H4197" s="24" t="s">
        <v>599</v>
      </c>
      <c r="I4197" s="25">
        <v>26562</v>
      </c>
      <c r="J4197" s="8" t="s">
        <v>601</v>
      </c>
      <c r="K4197" s="8" t="s">
        <v>10040</v>
      </c>
      <c r="L4197" s="15">
        <v>1.5233399999999999E-2</v>
      </c>
      <c r="M4197" s="15">
        <v>0.92611900000000003</v>
      </c>
      <c r="N4197" s="15">
        <v>0.97880671908506078</v>
      </c>
    </row>
    <row r="4198" spans="1:14" x14ac:dyDescent="0.2">
      <c r="A4198" s="2" t="s">
        <v>10066</v>
      </c>
      <c r="B4198" s="15">
        <v>1475</v>
      </c>
      <c r="C4198" s="15">
        <v>9</v>
      </c>
      <c r="D4198" s="15">
        <v>132193799</v>
      </c>
      <c r="E4198" s="15">
        <v>132999452</v>
      </c>
      <c r="F4198" s="15">
        <v>2826</v>
      </c>
      <c r="G4198" s="8" t="s">
        <v>12324</v>
      </c>
      <c r="H4198" s="24" t="s">
        <v>3164</v>
      </c>
      <c r="I4198" s="25" t="s">
        <v>3165</v>
      </c>
      <c r="J4198" s="8" t="s">
        <v>3166</v>
      </c>
      <c r="K4198" s="8" t="s">
        <v>10042</v>
      </c>
      <c r="L4198" s="15">
        <v>-1.53638E-2</v>
      </c>
      <c r="M4198" s="15">
        <v>0.92627999999999999</v>
      </c>
      <c r="N4198" s="15">
        <v>0.97880671908506078</v>
      </c>
    </row>
    <row r="4199" spans="1:14" x14ac:dyDescent="0.2">
      <c r="A4199" s="2" t="s">
        <v>10068</v>
      </c>
      <c r="B4199" s="15">
        <v>1225</v>
      </c>
      <c r="C4199" s="15">
        <v>7</v>
      </c>
      <c r="D4199" s="15">
        <v>152253295</v>
      </c>
      <c r="E4199" s="15">
        <v>153241228</v>
      </c>
      <c r="F4199" s="15">
        <v>3855</v>
      </c>
      <c r="G4199" s="8" t="s">
        <v>12324</v>
      </c>
      <c r="H4199" s="24" t="s">
        <v>6565</v>
      </c>
      <c r="I4199" s="25" t="s">
        <v>6475</v>
      </c>
      <c r="J4199" s="8" t="s">
        <v>6566</v>
      </c>
      <c r="K4199" s="8" t="s">
        <v>10054</v>
      </c>
      <c r="L4199" s="15">
        <v>2.2563199999999999E-2</v>
      </c>
      <c r="M4199" s="15">
        <v>0.92610700000000001</v>
      </c>
      <c r="N4199" s="15">
        <v>0.97880671908506078</v>
      </c>
    </row>
    <row r="4200" spans="1:14" x14ac:dyDescent="0.2">
      <c r="A4200" s="2" t="s">
        <v>10068</v>
      </c>
      <c r="B4200" s="15">
        <v>974</v>
      </c>
      <c r="C4200" s="15">
        <v>6</v>
      </c>
      <c r="D4200" s="15">
        <v>38688721</v>
      </c>
      <c r="E4200" s="15">
        <v>39785907</v>
      </c>
      <c r="F4200" s="15">
        <v>3443</v>
      </c>
      <c r="G4200" s="8" t="s">
        <v>12324</v>
      </c>
      <c r="H4200" s="24" t="s">
        <v>6565</v>
      </c>
      <c r="I4200" s="25" t="s">
        <v>6475</v>
      </c>
      <c r="J4200" s="8" t="s">
        <v>6566</v>
      </c>
      <c r="K4200" s="8" t="s">
        <v>10054</v>
      </c>
      <c r="L4200" s="15">
        <v>-3.2696000000000003E-2</v>
      </c>
      <c r="M4200" s="15">
        <v>0.92696800000000001</v>
      </c>
      <c r="N4200" s="15">
        <v>0.97930040019056697</v>
      </c>
    </row>
    <row r="4201" spans="1:14" x14ac:dyDescent="0.2">
      <c r="A4201" s="2" t="s">
        <v>10068</v>
      </c>
      <c r="B4201" s="15">
        <v>1457</v>
      </c>
      <c r="C4201" s="15">
        <v>9</v>
      </c>
      <c r="D4201" s="15">
        <v>112865521</v>
      </c>
      <c r="E4201" s="15">
        <v>113646149</v>
      </c>
      <c r="F4201" s="15">
        <v>2561</v>
      </c>
      <c r="G4201" s="8" t="s">
        <v>12324</v>
      </c>
      <c r="H4201" s="24" t="s">
        <v>494</v>
      </c>
      <c r="I4201" s="25">
        <v>25920</v>
      </c>
      <c r="J4201" s="8" t="s">
        <v>496</v>
      </c>
      <c r="K4201" s="8" t="s">
        <v>10040</v>
      </c>
      <c r="L4201" s="15">
        <v>2.19531E-2</v>
      </c>
      <c r="M4201" s="15">
        <v>0.92821799999999999</v>
      </c>
      <c r="N4201" s="15">
        <v>0.97968748929081384</v>
      </c>
    </row>
    <row r="4202" spans="1:14" x14ac:dyDescent="0.2">
      <c r="A4202" s="2" t="s">
        <v>10068</v>
      </c>
      <c r="B4202" s="15">
        <v>2354</v>
      </c>
      <c r="C4202" s="15">
        <v>19</v>
      </c>
      <c r="D4202" s="15">
        <v>47752728</v>
      </c>
      <c r="E4202" s="15">
        <v>48573065</v>
      </c>
      <c r="F4202" s="15">
        <v>2486</v>
      </c>
      <c r="G4202" s="8" t="s">
        <v>12324</v>
      </c>
      <c r="H4202" s="24" t="s">
        <v>1259</v>
      </c>
      <c r="I4202" s="25">
        <v>27096</v>
      </c>
      <c r="J4202" s="8" t="s">
        <v>1261</v>
      </c>
      <c r="K4202" s="8" t="s">
        <v>10040</v>
      </c>
      <c r="L4202" s="15">
        <v>-1.8915499999999998E-2</v>
      </c>
      <c r="M4202" s="15">
        <v>0.92764000000000002</v>
      </c>
      <c r="N4202" s="15">
        <v>0.97968748929081384</v>
      </c>
    </row>
    <row r="4203" spans="1:14" x14ac:dyDescent="0.2">
      <c r="A4203" s="2" t="s">
        <v>10066</v>
      </c>
      <c r="B4203" s="15">
        <v>975</v>
      </c>
      <c r="C4203" s="15">
        <v>6</v>
      </c>
      <c r="D4203" s="15">
        <v>39785908</v>
      </c>
      <c r="E4203" s="15">
        <v>40778401</v>
      </c>
      <c r="F4203" s="15">
        <v>3054</v>
      </c>
      <c r="G4203" s="8" t="s">
        <v>12324</v>
      </c>
      <c r="H4203" s="24" t="s">
        <v>6008</v>
      </c>
      <c r="I4203" s="25" t="s">
        <v>6009</v>
      </c>
      <c r="J4203" s="8" t="s">
        <v>6010</v>
      </c>
      <c r="K4203" s="8" t="s">
        <v>10051</v>
      </c>
      <c r="L4203" s="15">
        <v>-1.6490299999999999E-2</v>
      </c>
      <c r="M4203" s="15">
        <v>0.92804200000000003</v>
      </c>
      <c r="N4203" s="15">
        <v>0.97968748929081384</v>
      </c>
    </row>
    <row r="4204" spans="1:14" x14ac:dyDescent="0.2">
      <c r="A4204" s="2" t="s">
        <v>10068</v>
      </c>
      <c r="B4204" s="15">
        <v>2422</v>
      </c>
      <c r="C4204" s="15">
        <v>20</v>
      </c>
      <c r="D4204" s="15">
        <v>56951774</v>
      </c>
      <c r="E4204" s="15">
        <v>57924037</v>
      </c>
      <c r="F4204" s="15">
        <v>2293</v>
      </c>
      <c r="G4204" s="8" t="s">
        <v>12324</v>
      </c>
      <c r="H4204" s="24" t="s">
        <v>6565</v>
      </c>
      <c r="I4204" s="25" t="s">
        <v>6475</v>
      </c>
      <c r="J4204" s="8" t="s">
        <v>6566</v>
      </c>
      <c r="K4204" s="8" t="s">
        <v>10054</v>
      </c>
      <c r="L4204" s="15">
        <v>-1.5802099999999999E-2</v>
      </c>
      <c r="M4204" s="15">
        <v>0.92812499999999998</v>
      </c>
      <c r="N4204" s="15">
        <v>0.97968748929081384</v>
      </c>
    </row>
    <row r="4205" spans="1:14" x14ac:dyDescent="0.2">
      <c r="A4205" s="2" t="s">
        <v>10068</v>
      </c>
      <c r="B4205" s="15">
        <v>1335</v>
      </c>
      <c r="C4205" s="15">
        <v>8</v>
      </c>
      <c r="D4205" s="15">
        <v>106500951</v>
      </c>
      <c r="E4205" s="15">
        <v>107787163</v>
      </c>
      <c r="F4205" s="15">
        <v>2944</v>
      </c>
      <c r="G4205" s="8" t="s">
        <v>12324</v>
      </c>
      <c r="H4205" s="24" t="s">
        <v>599</v>
      </c>
      <c r="I4205" s="25">
        <v>26562</v>
      </c>
      <c r="J4205" s="8" t="s">
        <v>601</v>
      </c>
      <c r="K4205" s="8" t="s">
        <v>10040</v>
      </c>
      <c r="L4205" s="15">
        <v>2.3934E-2</v>
      </c>
      <c r="M4205" s="15">
        <v>0.92878899999999998</v>
      </c>
      <c r="N4205" s="15">
        <v>0.98005691529859618</v>
      </c>
    </row>
    <row r="4206" spans="1:14" x14ac:dyDescent="0.2">
      <c r="A4206" s="2" t="s">
        <v>10066</v>
      </c>
      <c r="B4206" s="15">
        <v>2458</v>
      </c>
      <c r="C4206" s="15">
        <v>21</v>
      </c>
      <c r="D4206" s="15">
        <v>43812792</v>
      </c>
      <c r="E4206" s="15">
        <v>44815008</v>
      </c>
      <c r="F4206" s="15">
        <v>3592</v>
      </c>
      <c r="G4206" s="8" t="s">
        <v>12324</v>
      </c>
      <c r="H4206" s="24" t="s">
        <v>6008</v>
      </c>
      <c r="I4206" s="25" t="s">
        <v>6009</v>
      </c>
      <c r="J4206" s="8" t="s">
        <v>6010</v>
      </c>
      <c r="K4206" s="8" t="s">
        <v>10051</v>
      </c>
      <c r="L4206" s="15">
        <v>1.55357E-2</v>
      </c>
      <c r="M4206" s="15">
        <v>0.92927800000000005</v>
      </c>
      <c r="N4206" s="15">
        <v>0.98012023424494654</v>
      </c>
    </row>
    <row r="4207" spans="1:14" x14ac:dyDescent="0.2">
      <c r="A4207" s="2" t="s">
        <v>10066</v>
      </c>
      <c r="B4207" s="15">
        <v>1294</v>
      </c>
      <c r="C4207" s="15">
        <v>8</v>
      </c>
      <c r="D4207" s="15">
        <v>57436723</v>
      </c>
      <c r="E4207" s="15">
        <v>58675117</v>
      </c>
      <c r="F4207" s="15">
        <v>3833</v>
      </c>
      <c r="G4207" s="8" t="s">
        <v>12324</v>
      </c>
      <c r="H4207" s="24" t="s">
        <v>6008</v>
      </c>
      <c r="I4207" s="25" t="s">
        <v>6009</v>
      </c>
      <c r="J4207" s="8" t="s">
        <v>6010</v>
      </c>
      <c r="K4207" s="8" t="s">
        <v>10051</v>
      </c>
      <c r="L4207" s="15">
        <v>2.24865E-2</v>
      </c>
      <c r="M4207" s="15">
        <v>0.92929099999999998</v>
      </c>
      <c r="N4207" s="15">
        <v>0.98012023424494654</v>
      </c>
    </row>
    <row r="4208" spans="1:14" x14ac:dyDescent="0.2">
      <c r="A4208" s="2" t="s">
        <v>10068</v>
      </c>
      <c r="B4208" s="15">
        <v>313</v>
      </c>
      <c r="C4208" s="15">
        <v>2</v>
      </c>
      <c r="D4208" s="15">
        <v>121073753</v>
      </c>
      <c r="E4208" s="15">
        <v>122026817</v>
      </c>
      <c r="F4208" s="15">
        <v>2636</v>
      </c>
      <c r="G4208" s="8" t="s">
        <v>12324</v>
      </c>
      <c r="H4208" s="24" t="s">
        <v>6565</v>
      </c>
      <c r="I4208" s="25" t="s">
        <v>6475</v>
      </c>
      <c r="J4208" s="8" t="s">
        <v>6566</v>
      </c>
      <c r="K4208" s="8" t="s">
        <v>10054</v>
      </c>
      <c r="L4208" s="15">
        <v>1.28883E-2</v>
      </c>
      <c r="M4208" s="15">
        <v>0.92986500000000005</v>
      </c>
      <c r="N4208" s="15">
        <v>0.98049245720399436</v>
      </c>
    </row>
    <row r="4209" spans="1:14" x14ac:dyDescent="0.2">
      <c r="A4209" s="2" t="s">
        <v>10068</v>
      </c>
      <c r="B4209" s="15">
        <v>1789</v>
      </c>
      <c r="C4209" s="15">
        <v>12</v>
      </c>
      <c r="D4209" s="15">
        <v>50344347</v>
      </c>
      <c r="E4209" s="15">
        <v>51769419</v>
      </c>
      <c r="F4209" s="15">
        <v>2644</v>
      </c>
      <c r="G4209" s="8" t="s">
        <v>12324</v>
      </c>
      <c r="H4209" s="24" t="s">
        <v>494</v>
      </c>
      <c r="I4209" s="25">
        <v>25920</v>
      </c>
      <c r="J4209" s="8" t="s">
        <v>496</v>
      </c>
      <c r="K4209" s="8" t="s">
        <v>10040</v>
      </c>
      <c r="L4209" s="15">
        <v>-1.28512E-2</v>
      </c>
      <c r="M4209" s="15">
        <v>0.93316399999999999</v>
      </c>
      <c r="N4209" s="15">
        <v>0.98125714641080297</v>
      </c>
    </row>
    <row r="4210" spans="1:14" x14ac:dyDescent="0.2">
      <c r="A4210" s="2" t="s">
        <v>10068</v>
      </c>
      <c r="B4210" s="15">
        <v>1902</v>
      </c>
      <c r="C4210" s="15">
        <v>13</v>
      </c>
      <c r="D4210" s="15">
        <v>62135828</v>
      </c>
      <c r="E4210" s="15">
        <v>63206535</v>
      </c>
      <c r="F4210" s="15">
        <v>3242</v>
      </c>
      <c r="G4210" s="8" t="s">
        <v>12324</v>
      </c>
      <c r="H4210" s="24" t="s">
        <v>494</v>
      </c>
      <c r="I4210" s="25">
        <v>25920</v>
      </c>
      <c r="J4210" s="8" t="s">
        <v>496</v>
      </c>
      <c r="K4210" s="8" t="s">
        <v>10040</v>
      </c>
      <c r="L4210" s="15">
        <v>3.3660099999999998E-2</v>
      </c>
      <c r="M4210" s="15">
        <v>0.93366000000000005</v>
      </c>
      <c r="N4210" s="15">
        <v>0.98125714641080297</v>
      </c>
    </row>
    <row r="4211" spans="1:14" x14ac:dyDescent="0.2">
      <c r="A4211" s="2" t="s">
        <v>10068</v>
      </c>
      <c r="B4211" s="15">
        <v>2167</v>
      </c>
      <c r="C4211" s="15">
        <v>16</v>
      </c>
      <c r="D4211" s="15">
        <v>85146806</v>
      </c>
      <c r="E4211" s="15">
        <v>86058597</v>
      </c>
      <c r="F4211" s="15">
        <v>2987</v>
      </c>
      <c r="G4211" s="8" t="s">
        <v>12324</v>
      </c>
      <c r="H4211" s="24" t="s">
        <v>494</v>
      </c>
      <c r="I4211" s="25">
        <v>25920</v>
      </c>
      <c r="J4211" s="8" t="s">
        <v>496</v>
      </c>
      <c r="K4211" s="8" t="s">
        <v>10040</v>
      </c>
      <c r="L4211" s="15">
        <v>-1.59306E-2</v>
      </c>
      <c r="M4211" s="15">
        <v>0.93387900000000001</v>
      </c>
      <c r="N4211" s="15">
        <v>0.98125714641080297</v>
      </c>
    </row>
    <row r="4212" spans="1:14" x14ac:dyDescent="0.2">
      <c r="A4212" s="2" t="s">
        <v>10068</v>
      </c>
      <c r="B4212" s="15">
        <v>536</v>
      </c>
      <c r="C4212" s="15">
        <v>3</v>
      </c>
      <c r="D4212" s="15">
        <v>131373471</v>
      </c>
      <c r="E4212" s="15">
        <v>132124018</v>
      </c>
      <c r="F4212" s="15">
        <v>2767</v>
      </c>
      <c r="G4212" s="8" t="s">
        <v>12324</v>
      </c>
      <c r="H4212" s="24" t="s">
        <v>599</v>
      </c>
      <c r="I4212" s="25">
        <v>26562</v>
      </c>
      <c r="J4212" s="8" t="s">
        <v>601</v>
      </c>
      <c r="K4212" s="8" t="s">
        <v>10040</v>
      </c>
      <c r="L4212" s="15">
        <v>2.2607100000000001E-2</v>
      </c>
      <c r="M4212" s="15">
        <v>0.93211900000000003</v>
      </c>
      <c r="N4212" s="15">
        <v>0.98125714641080297</v>
      </c>
    </row>
    <row r="4213" spans="1:14" x14ac:dyDescent="0.2">
      <c r="A4213" s="2" t="s">
        <v>10069</v>
      </c>
      <c r="B4213" s="15">
        <v>621</v>
      </c>
      <c r="C4213" s="15">
        <v>4</v>
      </c>
      <c r="D4213" s="15">
        <v>22835186</v>
      </c>
      <c r="E4213" s="15">
        <v>23858350</v>
      </c>
      <c r="F4213" s="15">
        <v>1575</v>
      </c>
      <c r="G4213" s="8" t="s">
        <v>12324</v>
      </c>
      <c r="H4213" s="24" t="s">
        <v>662</v>
      </c>
      <c r="I4213" s="25" t="s">
        <v>663</v>
      </c>
      <c r="J4213" s="8" t="s">
        <v>664</v>
      </c>
      <c r="K4213" s="8" t="s">
        <v>10040</v>
      </c>
      <c r="L4213" s="15">
        <v>3.6038800000000003E-2</v>
      </c>
      <c r="M4213" s="15">
        <v>0.93296900000000005</v>
      </c>
      <c r="N4213" s="15">
        <v>0.98125714641080297</v>
      </c>
    </row>
    <row r="4214" spans="1:14" x14ac:dyDescent="0.2">
      <c r="A4214" s="2" t="s">
        <v>10068</v>
      </c>
      <c r="B4214" s="15">
        <v>1198</v>
      </c>
      <c r="C4214" s="15">
        <v>7</v>
      </c>
      <c r="D4214" s="15">
        <v>115321302</v>
      </c>
      <c r="E4214" s="15">
        <v>116835336</v>
      </c>
      <c r="F4214" s="15">
        <v>2998</v>
      </c>
      <c r="G4214" s="8" t="s">
        <v>12324</v>
      </c>
      <c r="H4214" s="24" t="s">
        <v>1259</v>
      </c>
      <c r="I4214" s="25">
        <v>27096</v>
      </c>
      <c r="J4214" s="8" t="s">
        <v>1261</v>
      </c>
      <c r="K4214" s="8" t="s">
        <v>10040</v>
      </c>
      <c r="L4214" s="15">
        <v>1.7148299999999998E-2</v>
      </c>
      <c r="M4214" s="15">
        <v>0.93176899999999996</v>
      </c>
      <c r="N4214" s="15">
        <v>0.98125714641080297</v>
      </c>
    </row>
    <row r="4215" spans="1:14" x14ac:dyDescent="0.2">
      <c r="A4215" s="2" t="s">
        <v>10068</v>
      </c>
      <c r="B4215" s="15">
        <v>1738</v>
      </c>
      <c r="C4215" s="15">
        <v>11</v>
      </c>
      <c r="D4215" s="15">
        <v>133521643</v>
      </c>
      <c r="E4215" s="15">
        <v>134351064</v>
      </c>
      <c r="F4215" s="15">
        <v>2238</v>
      </c>
      <c r="G4215" s="8" t="s">
        <v>12324</v>
      </c>
      <c r="H4215" s="24" t="s">
        <v>1259</v>
      </c>
      <c r="I4215" s="25">
        <v>27096</v>
      </c>
      <c r="J4215" s="8" t="s">
        <v>1261</v>
      </c>
      <c r="K4215" s="8" t="s">
        <v>10040</v>
      </c>
      <c r="L4215" s="15">
        <v>1.07159E-2</v>
      </c>
      <c r="M4215" s="15">
        <v>0.93191000000000002</v>
      </c>
      <c r="N4215" s="15">
        <v>0.98125714641080297</v>
      </c>
    </row>
    <row r="4216" spans="1:14" x14ac:dyDescent="0.2">
      <c r="A4216" s="2" t="s">
        <v>10068</v>
      </c>
      <c r="B4216" s="15">
        <v>300</v>
      </c>
      <c r="C4216" s="15">
        <v>2</v>
      </c>
      <c r="D4216" s="15">
        <v>103305258</v>
      </c>
      <c r="E4216" s="15">
        <v>105120578</v>
      </c>
      <c r="F4216" s="15">
        <v>3613</v>
      </c>
      <c r="G4216" s="8" t="s">
        <v>12324</v>
      </c>
      <c r="H4216" s="24" t="s">
        <v>1259</v>
      </c>
      <c r="I4216" s="25">
        <v>27096</v>
      </c>
      <c r="J4216" s="8" t="s">
        <v>1261</v>
      </c>
      <c r="K4216" s="8" t="s">
        <v>10040</v>
      </c>
      <c r="L4216" s="15">
        <v>1.83748E-2</v>
      </c>
      <c r="M4216" s="15">
        <v>0.93307200000000001</v>
      </c>
      <c r="N4216" s="15">
        <v>0.98125714641080297</v>
      </c>
    </row>
    <row r="4217" spans="1:14" x14ac:dyDescent="0.2">
      <c r="A4217" s="2" t="s">
        <v>10068</v>
      </c>
      <c r="B4217" s="15">
        <v>1571</v>
      </c>
      <c r="C4217" s="15">
        <v>10</v>
      </c>
      <c r="D4217" s="15">
        <v>91960436</v>
      </c>
      <c r="E4217" s="15">
        <v>92911506</v>
      </c>
      <c r="F4217" s="15">
        <v>2633</v>
      </c>
      <c r="G4217" s="8" t="s">
        <v>12324</v>
      </c>
      <c r="H4217" s="24" t="s">
        <v>1259</v>
      </c>
      <c r="I4217" s="25">
        <v>27096</v>
      </c>
      <c r="J4217" s="8" t="s">
        <v>1261</v>
      </c>
      <c r="K4217" s="8" t="s">
        <v>10040</v>
      </c>
      <c r="L4217" s="15">
        <v>-2.50044E-2</v>
      </c>
      <c r="M4217" s="15">
        <v>0.93371099999999996</v>
      </c>
      <c r="N4217" s="15">
        <v>0.98125714641080297</v>
      </c>
    </row>
    <row r="4218" spans="1:14" x14ac:dyDescent="0.2">
      <c r="A4218" s="2" t="s">
        <v>10068</v>
      </c>
      <c r="B4218" s="15">
        <v>1315</v>
      </c>
      <c r="C4218" s="15">
        <v>8</v>
      </c>
      <c r="D4218" s="15">
        <v>81340232</v>
      </c>
      <c r="E4218" s="15">
        <v>82878769</v>
      </c>
      <c r="F4218" s="15">
        <v>3330</v>
      </c>
      <c r="G4218" s="8" t="s">
        <v>12324</v>
      </c>
      <c r="H4218" s="24" t="s">
        <v>1259</v>
      </c>
      <c r="I4218" s="25">
        <v>27096</v>
      </c>
      <c r="J4218" s="8" t="s">
        <v>1261</v>
      </c>
      <c r="K4218" s="8" t="s">
        <v>10040</v>
      </c>
      <c r="L4218" s="15">
        <v>-2.71074E-2</v>
      </c>
      <c r="M4218" s="15">
        <v>0.93390899999999999</v>
      </c>
      <c r="N4218" s="15">
        <v>0.98125714641080297</v>
      </c>
    </row>
    <row r="4219" spans="1:14" x14ac:dyDescent="0.2">
      <c r="A4219" s="2" t="s">
        <v>10066</v>
      </c>
      <c r="B4219" s="15">
        <v>1763</v>
      </c>
      <c r="C4219" s="15">
        <v>12</v>
      </c>
      <c r="D4219" s="15">
        <v>22928056</v>
      </c>
      <c r="E4219" s="15">
        <v>23923798</v>
      </c>
      <c r="F4219" s="15">
        <v>2272</v>
      </c>
      <c r="G4219" s="8" t="s">
        <v>12324</v>
      </c>
      <c r="H4219" s="24" t="s">
        <v>3164</v>
      </c>
      <c r="I4219" s="25" t="s">
        <v>3165</v>
      </c>
      <c r="J4219" s="8" t="s">
        <v>3166</v>
      </c>
      <c r="K4219" s="8" t="s">
        <v>10042</v>
      </c>
      <c r="L4219" s="15">
        <v>1.7778100000000002E-2</v>
      </c>
      <c r="M4219" s="15">
        <v>0.93174699999999999</v>
      </c>
      <c r="N4219" s="15">
        <v>0.98125714641080297</v>
      </c>
    </row>
    <row r="4220" spans="1:14" x14ac:dyDescent="0.2">
      <c r="A4220" s="2" t="s">
        <v>10066</v>
      </c>
      <c r="B4220" s="15">
        <v>484</v>
      </c>
      <c r="C4220" s="15">
        <v>3</v>
      </c>
      <c r="D4220" s="15">
        <v>72334705</v>
      </c>
      <c r="E4220" s="15">
        <v>73606612</v>
      </c>
      <c r="F4220" s="15">
        <v>3015</v>
      </c>
      <c r="G4220" s="8" t="s">
        <v>12324</v>
      </c>
      <c r="H4220" s="24" t="s">
        <v>6008</v>
      </c>
      <c r="I4220" s="25" t="s">
        <v>6009</v>
      </c>
      <c r="J4220" s="8" t="s">
        <v>6010</v>
      </c>
      <c r="K4220" s="8" t="s">
        <v>10051</v>
      </c>
      <c r="L4220" s="15">
        <v>-2.6523000000000001E-2</v>
      </c>
      <c r="M4220" s="15">
        <v>0.93165900000000001</v>
      </c>
      <c r="N4220" s="15">
        <v>0.98125714641080297</v>
      </c>
    </row>
    <row r="4221" spans="1:14" x14ac:dyDescent="0.2">
      <c r="A4221" s="2" t="s">
        <v>10068</v>
      </c>
      <c r="B4221" s="15">
        <v>905</v>
      </c>
      <c r="C4221" s="15">
        <v>5</v>
      </c>
      <c r="D4221" s="15">
        <v>155459557</v>
      </c>
      <c r="E4221" s="15">
        <v>156345451</v>
      </c>
      <c r="F4221" s="15">
        <v>2355</v>
      </c>
      <c r="G4221" s="8" t="s">
        <v>12324</v>
      </c>
      <c r="H4221" s="24" t="s">
        <v>6565</v>
      </c>
      <c r="I4221" s="25" t="s">
        <v>6475</v>
      </c>
      <c r="J4221" s="8" t="s">
        <v>6566</v>
      </c>
      <c r="K4221" s="8" t="s">
        <v>10054</v>
      </c>
      <c r="L4221" s="15">
        <v>-2.22714E-2</v>
      </c>
      <c r="M4221" s="15">
        <v>0.93096100000000004</v>
      </c>
      <c r="N4221" s="15">
        <v>0.98125714641080297</v>
      </c>
    </row>
    <row r="4222" spans="1:14" x14ac:dyDescent="0.2">
      <c r="A4222" s="2" t="s">
        <v>10068</v>
      </c>
      <c r="B4222" s="15">
        <v>2493</v>
      </c>
      <c r="C4222" s="15">
        <v>22</v>
      </c>
      <c r="D4222" s="15">
        <v>48977539</v>
      </c>
      <c r="E4222" s="15">
        <v>49559207</v>
      </c>
      <c r="F4222" s="15">
        <v>3471</v>
      </c>
      <c r="G4222" s="8" t="s">
        <v>12324</v>
      </c>
      <c r="H4222" s="24" t="s">
        <v>6565</v>
      </c>
      <c r="I4222" s="25" t="s">
        <v>6475</v>
      </c>
      <c r="J4222" s="8" t="s">
        <v>6566</v>
      </c>
      <c r="K4222" s="8" t="s">
        <v>10054</v>
      </c>
      <c r="L4222" s="15">
        <v>1.7436500000000001E-2</v>
      </c>
      <c r="M4222" s="15">
        <v>0.93235400000000002</v>
      </c>
      <c r="N4222" s="15">
        <v>0.98125714641080297</v>
      </c>
    </row>
    <row r="4223" spans="1:14" x14ac:dyDescent="0.2">
      <c r="A4223" s="2" t="s">
        <v>10068</v>
      </c>
      <c r="B4223" s="15">
        <v>1722</v>
      </c>
      <c r="C4223" s="15">
        <v>11</v>
      </c>
      <c r="D4223" s="15">
        <v>116247378</v>
      </c>
      <c r="E4223" s="15">
        <v>117295641</v>
      </c>
      <c r="F4223" s="15">
        <v>3128</v>
      </c>
      <c r="G4223" s="8" t="s">
        <v>12324</v>
      </c>
      <c r="H4223" s="24" t="s">
        <v>6565</v>
      </c>
      <c r="I4223" s="25" t="s">
        <v>6475</v>
      </c>
      <c r="J4223" s="8" t="s">
        <v>6566</v>
      </c>
      <c r="K4223" s="8" t="s">
        <v>10054</v>
      </c>
      <c r="L4223" s="15">
        <v>-3.02078E-2</v>
      </c>
      <c r="M4223" s="15">
        <v>0.93347800000000003</v>
      </c>
      <c r="N4223" s="15">
        <v>0.98125714641080297</v>
      </c>
    </row>
    <row r="4224" spans="1:14" x14ac:dyDescent="0.2">
      <c r="A4224" s="2" t="s">
        <v>10066</v>
      </c>
      <c r="B4224" s="15">
        <v>529</v>
      </c>
      <c r="C4224" s="15">
        <v>3</v>
      </c>
      <c r="D4224" s="15">
        <v>123518508</v>
      </c>
      <c r="E4224" s="15">
        <v>124823006</v>
      </c>
      <c r="F4224" s="15">
        <v>3504</v>
      </c>
      <c r="G4224" s="8" t="s">
        <v>12324</v>
      </c>
      <c r="H4224" s="24" t="s">
        <v>3164</v>
      </c>
      <c r="I4224" s="25" t="s">
        <v>3165</v>
      </c>
      <c r="J4224" s="8" t="s">
        <v>3166</v>
      </c>
      <c r="K4224" s="8" t="s">
        <v>10042</v>
      </c>
      <c r="L4224" s="15">
        <v>-3.0473900000000002E-2</v>
      </c>
      <c r="M4224" s="15">
        <v>0.93440800000000002</v>
      </c>
      <c r="N4224" s="15">
        <v>0.98141309495619222</v>
      </c>
    </row>
    <row r="4225" spans="1:14" x14ac:dyDescent="0.2">
      <c r="A4225" s="2" t="s">
        <v>10066</v>
      </c>
      <c r="B4225" s="15">
        <v>2377</v>
      </c>
      <c r="C4225" s="15">
        <v>20</v>
      </c>
      <c r="D4225" s="15">
        <v>7231797</v>
      </c>
      <c r="E4225" s="15">
        <v>7959828</v>
      </c>
      <c r="F4225" s="15">
        <v>2112</v>
      </c>
      <c r="G4225" s="8" t="s">
        <v>12324</v>
      </c>
      <c r="H4225" s="24" t="s">
        <v>6008</v>
      </c>
      <c r="I4225" s="25" t="s">
        <v>6009</v>
      </c>
      <c r="J4225" s="8" t="s">
        <v>6010</v>
      </c>
      <c r="K4225" s="8" t="s">
        <v>10051</v>
      </c>
      <c r="L4225" s="15">
        <v>1.29902E-2</v>
      </c>
      <c r="M4225" s="15">
        <v>0.9345</v>
      </c>
      <c r="N4225" s="15">
        <v>0.98141309495619222</v>
      </c>
    </row>
    <row r="4226" spans="1:14" x14ac:dyDescent="0.2">
      <c r="A4226" s="2" t="s">
        <v>10068</v>
      </c>
      <c r="B4226" s="15">
        <v>2239</v>
      </c>
      <c r="C4226" s="15">
        <v>18</v>
      </c>
      <c r="D4226" s="15">
        <v>848351</v>
      </c>
      <c r="E4226" s="15">
        <v>1940211</v>
      </c>
      <c r="F4226" s="15">
        <v>3191</v>
      </c>
      <c r="G4226" s="8" t="s">
        <v>12324</v>
      </c>
      <c r="H4226" s="24" t="s">
        <v>494</v>
      </c>
      <c r="I4226" s="25">
        <v>25920</v>
      </c>
      <c r="J4226" s="8" t="s">
        <v>496</v>
      </c>
      <c r="K4226" s="8" t="s">
        <v>10040</v>
      </c>
      <c r="L4226" s="15">
        <v>1.4978200000000001E-2</v>
      </c>
      <c r="M4226" s="15">
        <v>0.93667900000000004</v>
      </c>
      <c r="N4226" s="15">
        <v>0.98190858120868729</v>
      </c>
    </row>
    <row r="4227" spans="1:14" x14ac:dyDescent="0.2">
      <c r="A4227" s="2" t="s">
        <v>10068</v>
      </c>
      <c r="B4227" s="15">
        <v>1957</v>
      </c>
      <c r="C4227" s="15">
        <v>14</v>
      </c>
      <c r="D4227" s="15">
        <v>22760701</v>
      </c>
      <c r="E4227" s="15">
        <v>23985936</v>
      </c>
      <c r="F4227" s="15">
        <v>3277</v>
      </c>
      <c r="G4227" s="8" t="s">
        <v>12324</v>
      </c>
      <c r="H4227" s="24" t="s">
        <v>599</v>
      </c>
      <c r="I4227" s="25">
        <v>26562</v>
      </c>
      <c r="J4227" s="8" t="s">
        <v>601</v>
      </c>
      <c r="K4227" s="8" t="s">
        <v>10040</v>
      </c>
      <c r="L4227" s="15">
        <v>-1.7240599999999998E-2</v>
      </c>
      <c r="M4227" s="15">
        <v>0.937415</v>
      </c>
      <c r="N4227" s="15">
        <v>0.98190858120868729</v>
      </c>
    </row>
    <row r="4228" spans="1:14" x14ac:dyDescent="0.2">
      <c r="A4228" s="2" t="s">
        <v>10068</v>
      </c>
      <c r="B4228" s="15">
        <v>1475</v>
      </c>
      <c r="C4228" s="15">
        <v>9</v>
      </c>
      <c r="D4228" s="15">
        <v>132193799</v>
      </c>
      <c r="E4228" s="15">
        <v>132999452</v>
      </c>
      <c r="F4228" s="15">
        <v>2828</v>
      </c>
      <c r="G4228" s="8" t="s">
        <v>12324</v>
      </c>
      <c r="H4228" s="24" t="s">
        <v>599</v>
      </c>
      <c r="I4228" s="25">
        <v>26562</v>
      </c>
      <c r="J4228" s="8" t="s">
        <v>601</v>
      </c>
      <c r="K4228" s="8" t="s">
        <v>10040</v>
      </c>
      <c r="L4228" s="15">
        <v>-2.23327E-2</v>
      </c>
      <c r="M4228" s="15">
        <v>0.937809</v>
      </c>
      <c r="N4228" s="15">
        <v>0.98190858120868729</v>
      </c>
    </row>
    <row r="4229" spans="1:14" x14ac:dyDescent="0.2">
      <c r="A4229" s="2" t="s">
        <v>10069</v>
      </c>
      <c r="B4229" s="15">
        <v>1304</v>
      </c>
      <c r="C4229" s="15">
        <v>8</v>
      </c>
      <c r="D4229" s="15">
        <v>68683824</v>
      </c>
      <c r="E4229" s="15">
        <v>70004665</v>
      </c>
      <c r="F4229" s="15">
        <v>2506</v>
      </c>
      <c r="G4229" s="8" t="s">
        <v>12324</v>
      </c>
      <c r="H4229" s="24" t="s">
        <v>662</v>
      </c>
      <c r="I4229" s="25" t="s">
        <v>663</v>
      </c>
      <c r="J4229" s="8" t="s">
        <v>664</v>
      </c>
      <c r="K4229" s="8" t="s">
        <v>10040</v>
      </c>
      <c r="L4229" s="15">
        <v>3.14428E-2</v>
      </c>
      <c r="M4229" s="15">
        <v>0.935693</v>
      </c>
      <c r="N4229" s="15">
        <v>0.98190858120868729</v>
      </c>
    </row>
    <row r="4230" spans="1:14" x14ac:dyDescent="0.2">
      <c r="A4230" s="2" t="s">
        <v>10069</v>
      </c>
      <c r="B4230" s="15">
        <v>1119</v>
      </c>
      <c r="C4230" s="15">
        <v>7</v>
      </c>
      <c r="D4230" s="15">
        <v>20122180</v>
      </c>
      <c r="E4230" s="15">
        <v>21390644</v>
      </c>
      <c r="F4230" s="15">
        <v>2607</v>
      </c>
      <c r="G4230" s="8" t="s">
        <v>12324</v>
      </c>
      <c r="H4230" s="24" t="s">
        <v>662</v>
      </c>
      <c r="I4230" s="25" t="s">
        <v>663</v>
      </c>
      <c r="J4230" s="8" t="s">
        <v>664</v>
      </c>
      <c r="K4230" s="8" t="s">
        <v>10040</v>
      </c>
      <c r="L4230" s="15">
        <v>3.1420499999999997E-2</v>
      </c>
      <c r="M4230" s="15">
        <v>0.93576499999999996</v>
      </c>
      <c r="N4230" s="15">
        <v>0.98190858120868729</v>
      </c>
    </row>
    <row r="4231" spans="1:14" x14ac:dyDescent="0.2">
      <c r="A4231" s="2" t="s">
        <v>10068</v>
      </c>
      <c r="B4231" s="15">
        <v>1841</v>
      </c>
      <c r="C4231" s="15">
        <v>12</v>
      </c>
      <c r="D4231" s="15">
        <v>111592382</v>
      </c>
      <c r="E4231" s="15">
        <v>113947983</v>
      </c>
      <c r="F4231" s="15">
        <v>3573</v>
      </c>
      <c r="G4231" s="8" t="s">
        <v>12324</v>
      </c>
      <c r="H4231" s="24" t="s">
        <v>1259</v>
      </c>
      <c r="I4231" s="25">
        <v>27096</v>
      </c>
      <c r="J4231" s="8" t="s">
        <v>1261</v>
      </c>
      <c r="K4231" s="8" t="s">
        <v>10040</v>
      </c>
      <c r="L4231" s="15">
        <v>-1.60614E-2</v>
      </c>
      <c r="M4231" s="15">
        <v>0.93587600000000004</v>
      </c>
      <c r="N4231" s="15">
        <v>0.98190858120868729</v>
      </c>
    </row>
    <row r="4232" spans="1:14" x14ac:dyDescent="0.2">
      <c r="A4232" s="2" t="s">
        <v>10068</v>
      </c>
      <c r="B4232" s="15">
        <v>1337</v>
      </c>
      <c r="C4232" s="15">
        <v>8</v>
      </c>
      <c r="D4232" s="15">
        <v>108647464</v>
      </c>
      <c r="E4232" s="15">
        <v>109920827</v>
      </c>
      <c r="F4232" s="15">
        <v>3309</v>
      </c>
      <c r="G4232" s="8" t="s">
        <v>12324</v>
      </c>
      <c r="H4232" s="24" t="s">
        <v>1259</v>
      </c>
      <c r="I4232" s="25">
        <v>27096</v>
      </c>
      <c r="J4232" s="8" t="s">
        <v>1261</v>
      </c>
      <c r="K4232" s="8" t="s">
        <v>10040</v>
      </c>
      <c r="L4232" s="15">
        <v>-1.92569E-2</v>
      </c>
      <c r="M4232" s="15">
        <v>0.93740299999999999</v>
      </c>
      <c r="N4232" s="15">
        <v>0.98190858120868729</v>
      </c>
    </row>
    <row r="4233" spans="1:14" x14ac:dyDescent="0.2">
      <c r="A4233" s="2" t="s">
        <v>10066</v>
      </c>
      <c r="B4233" s="15">
        <v>2342</v>
      </c>
      <c r="C4233" s="15">
        <v>19</v>
      </c>
      <c r="D4233" s="15">
        <v>35649344</v>
      </c>
      <c r="E4233" s="15">
        <v>36638122</v>
      </c>
      <c r="F4233" s="15">
        <v>2731</v>
      </c>
      <c r="G4233" s="8" t="s">
        <v>12324</v>
      </c>
      <c r="H4233" s="24" t="s">
        <v>3164</v>
      </c>
      <c r="I4233" s="25" t="s">
        <v>3165</v>
      </c>
      <c r="J4233" s="8" t="s">
        <v>3166</v>
      </c>
      <c r="K4233" s="8" t="s">
        <v>10042</v>
      </c>
      <c r="L4233" s="15">
        <v>-1.23804E-2</v>
      </c>
      <c r="M4233" s="15">
        <v>0.93653399999999998</v>
      </c>
      <c r="N4233" s="15">
        <v>0.98190858120868729</v>
      </c>
    </row>
    <row r="4234" spans="1:14" x14ac:dyDescent="0.2">
      <c r="A4234" s="2" t="s">
        <v>10066</v>
      </c>
      <c r="B4234" s="15">
        <v>2165</v>
      </c>
      <c r="C4234" s="15">
        <v>16</v>
      </c>
      <c r="D4234" s="15">
        <v>83778372</v>
      </c>
      <c r="E4234" s="15">
        <v>84440154</v>
      </c>
      <c r="F4234" s="15">
        <v>3168</v>
      </c>
      <c r="G4234" s="8" t="s">
        <v>12324</v>
      </c>
      <c r="H4234" s="24" t="s">
        <v>3164</v>
      </c>
      <c r="I4234" s="25" t="s">
        <v>3165</v>
      </c>
      <c r="J4234" s="8" t="s">
        <v>3166</v>
      </c>
      <c r="K4234" s="8" t="s">
        <v>10042</v>
      </c>
      <c r="L4234" s="15">
        <v>1.5504199999999999E-2</v>
      </c>
      <c r="M4234" s="15">
        <v>0.93696800000000002</v>
      </c>
      <c r="N4234" s="15">
        <v>0.98190858120868729</v>
      </c>
    </row>
    <row r="4235" spans="1:14" x14ac:dyDescent="0.2">
      <c r="A4235" s="2" t="s">
        <v>10066</v>
      </c>
      <c r="B4235" s="15">
        <v>130</v>
      </c>
      <c r="C4235" s="15">
        <v>1</v>
      </c>
      <c r="D4235" s="15">
        <v>172465154</v>
      </c>
      <c r="E4235" s="15">
        <v>173582511</v>
      </c>
      <c r="F4235" s="15">
        <v>2150</v>
      </c>
      <c r="G4235" s="8" t="s">
        <v>12324</v>
      </c>
      <c r="H4235" s="24" t="s">
        <v>3164</v>
      </c>
      <c r="I4235" s="25" t="s">
        <v>3165</v>
      </c>
      <c r="J4235" s="8" t="s">
        <v>3166</v>
      </c>
      <c r="K4235" s="8" t="s">
        <v>10042</v>
      </c>
      <c r="L4235" s="15">
        <v>-2.3119899999999999E-2</v>
      </c>
      <c r="M4235" s="15">
        <v>0.93712399999999996</v>
      </c>
      <c r="N4235" s="15">
        <v>0.98190858120868729</v>
      </c>
    </row>
    <row r="4236" spans="1:14" x14ac:dyDescent="0.2">
      <c r="A4236" s="2" t="s">
        <v>10066</v>
      </c>
      <c r="B4236" s="15">
        <v>2201</v>
      </c>
      <c r="C4236" s="15">
        <v>17</v>
      </c>
      <c r="D4236" s="15">
        <v>34474612</v>
      </c>
      <c r="E4236" s="15">
        <v>36116884</v>
      </c>
      <c r="F4236" s="15">
        <v>2615</v>
      </c>
      <c r="G4236" s="8" t="s">
        <v>12324</v>
      </c>
      <c r="H4236" s="24" t="s">
        <v>3164</v>
      </c>
      <c r="I4236" s="25" t="s">
        <v>3165</v>
      </c>
      <c r="J4236" s="8" t="s">
        <v>3166</v>
      </c>
      <c r="K4236" s="8" t="s">
        <v>10042</v>
      </c>
      <c r="L4236" s="15">
        <v>-1.3268200000000001E-2</v>
      </c>
      <c r="M4236" s="15">
        <v>0.93784999999999996</v>
      </c>
      <c r="N4236" s="15">
        <v>0.98190858120868729</v>
      </c>
    </row>
    <row r="4237" spans="1:14" x14ac:dyDescent="0.2">
      <c r="A4237" s="2" t="s">
        <v>10066</v>
      </c>
      <c r="B4237" s="15">
        <v>1623</v>
      </c>
      <c r="C4237" s="15">
        <v>11</v>
      </c>
      <c r="D4237" s="15">
        <v>11081300</v>
      </c>
      <c r="E4237" s="15">
        <v>11632650</v>
      </c>
      <c r="F4237" s="15">
        <v>2222</v>
      </c>
      <c r="G4237" s="8" t="s">
        <v>12324</v>
      </c>
      <c r="H4237" s="24" t="s">
        <v>6008</v>
      </c>
      <c r="I4237" s="25" t="s">
        <v>6009</v>
      </c>
      <c r="J4237" s="8" t="s">
        <v>6010</v>
      </c>
      <c r="K4237" s="8" t="s">
        <v>10051</v>
      </c>
      <c r="L4237" s="15">
        <v>1.54284E-2</v>
      </c>
      <c r="M4237" s="15">
        <v>0.93578499999999998</v>
      </c>
      <c r="N4237" s="15">
        <v>0.98190858120868729</v>
      </c>
    </row>
    <row r="4238" spans="1:14" x14ac:dyDescent="0.2">
      <c r="A4238" s="2" t="s">
        <v>10066</v>
      </c>
      <c r="B4238" s="15">
        <v>436</v>
      </c>
      <c r="C4238" s="15">
        <v>3</v>
      </c>
      <c r="D4238" s="15">
        <v>14312008</v>
      </c>
      <c r="E4238" s="15">
        <v>15150876</v>
      </c>
      <c r="F4238" s="15">
        <v>2349</v>
      </c>
      <c r="G4238" s="8" t="s">
        <v>12324</v>
      </c>
      <c r="H4238" s="24" t="s">
        <v>6008</v>
      </c>
      <c r="I4238" s="25" t="s">
        <v>6009</v>
      </c>
      <c r="J4238" s="8" t="s">
        <v>6010</v>
      </c>
      <c r="K4238" s="8" t="s">
        <v>10051</v>
      </c>
      <c r="L4238" s="15">
        <v>1.6153299999999999E-2</v>
      </c>
      <c r="M4238" s="15">
        <v>0.93781499999999995</v>
      </c>
      <c r="N4238" s="15">
        <v>0.98190858120868729</v>
      </c>
    </row>
    <row r="4239" spans="1:14" x14ac:dyDescent="0.2">
      <c r="A4239" s="2" t="s">
        <v>10066</v>
      </c>
      <c r="B4239" s="15">
        <v>2242</v>
      </c>
      <c r="C4239" s="15">
        <v>18</v>
      </c>
      <c r="D4239" s="15">
        <v>3722829</v>
      </c>
      <c r="E4239" s="15">
        <v>4603961</v>
      </c>
      <c r="F4239" s="15">
        <v>2678</v>
      </c>
      <c r="G4239" s="8" t="s">
        <v>12324</v>
      </c>
      <c r="H4239" s="24" t="s">
        <v>6008</v>
      </c>
      <c r="I4239" s="25" t="s">
        <v>6009</v>
      </c>
      <c r="J4239" s="8" t="s">
        <v>6010</v>
      </c>
      <c r="K4239" s="8" t="s">
        <v>10051</v>
      </c>
      <c r="L4239" s="15">
        <v>1.4458199999999999E-2</v>
      </c>
      <c r="M4239" s="15">
        <v>0.93815000000000004</v>
      </c>
      <c r="N4239" s="15">
        <v>0.98199085437809774</v>
      </c>
    </row>
    <row r="4240" spans="1:14" x14ac:dyDescent="0.2">
      <c r="A4240" s="2" t="s">
        <v>10068</v>
      </c>
      <c r="B4240" s="15">
        <v>2176</v>
      </c>
      <c r="C4240" s="15">
        <v>17</v>
      </c>
      <c r="D4240" s="15">
        <v>2699136</v>
      </c>
      <c r="E4240" s="15">
        <v>3430440</v>
      </c>
      <c r="F4240" s="15">
        <v>2496</v>
      </c>
      <c r="G4240" s="8" t="s">
        <v>12324</v>
      </c>
      <c r="H4240" s="24" t="s">
        <v>494</v>
      </c>
      <c r="I4240" s="25">
        <v>25920</v>
      </c>
      <c r="J4240" s="8" t="s">
        <v>496</v>
      </c>
      <c r="K4240" s="8" t="s">
        <v>10040</v>
      </c>
      <c r="L4240" s="15">
        <v>1.35937E-2</v>
      </c>
      <c r="M4240" s="15">
        <v>0.93860600000000005</v>
      </c>
      <c r="N4240" s="15">
        <v>0.98200836910377343</v>
      </c>
    </row>
    <row r="4241" spans="1:14" x14ac:dyDescent="0.2">
      <c r="A4241" s="2" t="s">
        <v>10068</v>
      </c>
      <c r="B4241" s="15">
        <v>1129</v>
      </c>
      <c r="C4241" s="15">
        <v>7</v>
      </c>
      <c r="D4241" s="15">
        <v>31730555</v>
      </c>
      <c r="E4241" s="15">
        <v>32460228</v>
      </c>
      <c r="F4241" s="15">
        <v>2507</v>
      </c>
      <c r="G4241" s="8" t="s">
        <v>12324</v>
      </c>
      <c r="H4241" s="24" t="s">
        <v>599</v>
      </c>
      <c r="I4241" s="25">
        <v>26562</v>
      </c>
      <c r="J4241" s="8" t="s">
        <v>601</v>
      </c>
      <c r="K4241" s="8" t="s">
        <v>10040</v>
      </c>
      <c r="L4241" s="15">
        <v>-2.6562599999999999E-2</v>
      </c>
      <c r="M4241" s="15">
        <v>0.938693</v>
      </c>
      <c r="N4241" s="15">
        <v>0.98200836910377343</v>
      </c>
    </row>
    <row r="4242" spans="1:14" x14ac:dyDescent="0.2">
      <c r="A4242" s="2" t="s">
        <v>10068</v>
      </c>
      <c r="B4242" s="15">
        <v>1816</v>
      </c>
      <c r="C4242" s="15">
        <v>12</v>
      </c>
      <c r="D4242" s="15">
        <v>82576130</v>
      </c>
      <c r="E4242" s="15">
        <v>83551125</v>
      </c>
      <c r="F4242" s="15">
        <v>2261</v>
      </c>
      <c r="G4242" s="8" t="s">
        <v>12324</v>
      </c>
      <c r="H4242" s="24" t="s">
        <v>599</v>
      </c>
      <c r="I4242" s="25">
        <v>26562</v>
      </c>
      <c r="J4242" s="8" t="s">
        <v>601</v>
      </c>
      <c r="K4242" s="8" t="s">
        <v>10040</v>
      </c>
      <c r="L4242" s="15">
        <v>3.2871299999999999E-2</v>
      </c>
      <c r="M4242" s="15">
        <v>0.93883099999999997</v>
      </c>
      <c r="N4242" s="15">
        <v>0.98200836910377343</v>
      </c>
    </row>
    <row r="4243" spans="1:14" x14ac:dyDescent="0.2">
      <c r="A4243" s="2" t="s">
        <v>10068</v>
      </c>
      <c r="B4243" s="15">
        <v>1204</v>
      </c>
      <c r="C4243" s="15">
        <v>7</v>
      </c>
      <c r="D4243" s="15">
        <v>123859747</v>
      </c>
      <c r="E4243" s="15">
        <v>125389586</v>
      </c>
      <c r="F4243" s="15">
        <v>4211</v>
      </c>
      <c r="G4243" s="8" t="s">
        <v>12324</v>
      </c>
      <c r="H4243" s="24" t="s">
        <v>494</v>
      </c>
      <c r="I4243" s="25">
        <v>25920</v>
      </c>
      <c r="J4243" s="8" t="s">
        <v>496</v>
      </c>
      <c r="K4243" s="8" t="s">
        <v>10040</v>
      </c>
      <c r="L4243" s="15">
        <v>-1.6497100000000001E-2</v>
      </c>
      <c r="M4243" s="15">
        <v>0.93910400000000005</v>
      </c>
      <c r="N4243" s="15">
        <v>0.98206230605989164</v>
      </c>
    </row>
    <row r="4244" spans="1:14" x14ac:dyDescent="0.2">
      <c r="A4244" s="2" t="s">
        <v>10069</v>
      </c>
      <c r="B4244" s="15">
        <v>436</v>
      </c>
      <c r="C4244" s="15">
        <v>3</v>
      </c>
      <c r="D4244" s="15">
        <v>14312008</v>
      </c>
      <c r="E4244" s="15">
        <v>15150876</v>
      </c>
      <c r="F4244" s="15">
        <v>1643</v>
      </c>
      <c r="G4244" s="8" t="s">
        <v>12324</v>
      </c>
      <c r="H4244" s="24" t="s">
        <v>662</v>
      </c>
      <c r="I4244" s="25" t="s">
        <v>663</v>
      </c>
      <c r="J4244" s="8" t="s">
        <v>664</v>
      </c>
      <c r="K4244" s="8" t="s">
        <v>10040</v>
      </c>
      <c r="L4244" s="15">
        <v>1.7713400000000001E-2</v>
      </c>
      <c r="M4244" s="15">
        <v>0.93989199999999995</v>
      </c>
      <c r="N4244" s="15">
        <v>0.98233055490103682</v>
      </c>
    </row>
    <row r="4245" spans="1:14" x14ac:dyDescent="0.2">
      <c r="A4245" s="2" t="s">
        <v>10066</v>
      </c>
      <c r="B4245" s="15">
        <v>2256</v>
      </c>
      <c r="C4245" s="15">
        <v>18</v>
      </c>
      <c r="D4245" s="15">
        <v>21622717</v>
      </c>
      <c r="E4245" s="15">
        <v>22746153</v>
      </c>
      <c r="F4245" s="15">
        <v>2879</v>
      </c>
      <c r="G4245" s="8" t="s">
        <v>12324</v>
      </c>
      <c r="H4245" s="24" t="s">
        <v>6008</v>
      </c>
      <c r="I4245" s="25" t="s">
        <v>6009</v>
      </c>
      <c r="J4245" s="8" t="s">
        <v>6010</v>
      </c>
      <c r="K4245" s="8" t="s">
        <v>10051</v>
      </c>
      <c r="L4245" s="15">
        <v>3.3341799999999998E-2</v>
      </c>
      <c r="M4245" s="15">
        <v>0.93989599999999995</v>
      </c>
      <c r="N4245" s="15">
        <v>0.98233055490103682</v>
      </c>
    </row>
    <row r="4246" spans="1:14" x14ac:dyDescent="0.2">
      <c r="A4246" s="2" t="s">
        <v>10068</v>
      </c>
      <c r="B4246" s="15">
        <v>96</v>
      </c>
      <c r="C4246" s="15">
        <v>1</v>
      </c>
      <c r="D4246" s="15">
        <v>109271450</v>
      </c>
      <c r="E4246" s="15">
        <v>110224230</v>
      </c>
      <c r="F4246" s="15">
        <v>2188</v>
      </c>
      <c r="G4246" s="8" t="s">
        <v>12324</v>
      </c>
      <c r="H4246" s="24" t="s">
        <v>6565</v>
      </c>
      <c r="I4246" s="25" t="s">
        <v>6475</v>
      </c>
      <c r="J4246" s="8" t="s">
        <v>6566</v>
      </c>
      <c r="K4246" s="8" t="s">
        <v>10054</v>
      </c>
      <c r="L4246" s="15">
        <v>1.7603500000000001E-2</v>
      </c>
      <c r="M4246" s="15">
        <v>0.940025</v>
      </c>
      <c r="N4246" s="15">
        <v>0.98233055490103682</v>
      </c>
    </row>
    <row r="4247" spans="1:14" x14ac:dyDescent="0.2">
      <c r="A4247" s="2" t="s">
        <v>10068</v>
      </c>
      <c r="B4247" s="15">
        <v>928</v>
      </c>
      <c r="C4247" s="15">
        <v>6</v>
      </c>
      <c r="D4247" s="15">
        <v>2746532</v>
      </c>
      <c r="E4247" s="15">
        <v>3964072</v>
      </c>
      <c r="F4247" s="15">
        <v>3926</v>
      </c>
      <c r="G4247" s="8" t="s">
        <v>12324</v>
      </c>
      <c r="H4247" s="24" t="s">
        <v>1259</v>
      </c>
      <c r="I4247" s="25">
        <v>27096</v>
      </c>
      <c r="J4247" s="8" t="s">
        <v>1261</v>
      </c>
      <c r="K4247" s="8" t="s">
        <v>10040</v>
      </c>
      <c r="L4247" s="15">
        <v>-1.3539300000000001E-2</v>
      </c>
      <c r="M4247" s="15">
        <v>0.94044499999999998</v>
      </c>
      <c r="N4247" s="15">
        <v>0.98253794464075395</v>
      </c>
    </row>
    <row r="4248" spans="1:14" x14ac:dyDescent="0.2">
      <c r="A4248" s="2" t="s">
        <v>10068</v>
      </c>
      <c r="B4248" s="15">
        <v>1271</v>
      </c>
      <c r="C4248" s="15">
        <v>8</v>
      </c>
      <c r="D4248" s="15">
        <v>25859278</v>
      </c>
      <c r="E4248" s="15">
        <v>26679135</v>
      </c>
      <c r="F4248" s="15">
        <v>2879</v>
      </c>
      <c r="G4248" s="8" t="s">
        <v>12324</v>
      </c>
      <c r="H4248" s="24" t="s">
        <v>599</v>
      </c>
      <c r="I4248" s="25">
        <v>26562</v>
      </c>
      <c r="J4248" s="8" t="s">
        <v>601</v>
      </c>
      <c r="K4248" s="8" t="s">
        <v>10040</v>
      </c>
      <c r="L4248" s="15">
        <v>1.36434E-2</v>
      </c>
      <c r="M4248" s="15">
        <v>0.94252599999999997</v>
      </c>
      <c r="N4248" s="15">
        <v>0.98285981895132857</v>
      </c>
    </row>
    <row r="4249" spans="1:14" x14ac:dyDescent="0.2">
      <c r="A4249" s="2" t="s">
        <v>10069</v>
      </c>
      <c r="B4249" s="15">
        <v>106</v>
      </c>
      <c r="C4249" s="15">
        <v>1</v>
      </c>
      <c r="D4249" s="15">
        <v>120345067</v>
      </c>
      <c r="E4249" s="15">
        <v>145803848</v>
      </c>
      <c r="F4249" s="15">
        <v>436</v>
      </c>
      <c r="G4249" s="8" t="s">
        <v>12324</v>
      </c>
      <c r="H4249" s="24" t="s">
        <v>662</v>
      </c>
      <c r="I4249" s="25" t="s">
        <v>663</v>
      </c>
      <c r="J4249" s="8" t="s">
        <v>664</v>
      </c>
      <c r="K4249" s="8" t="s">
        <v>10040</v>
      </c>
      <c r="L4249" s="15">
        <v>2.1113E-2</v>
      </c>
      <c r="M4249" s="15">
        <v>0.94105799999999995</v>
      </c>
      <c r="N4249" s="15">
        <v>0.98285981895132857</v>
      </c>
    </row>
    <row r="4250" spans="1:14" x14ac:dyDescent="0.2">
      <c r="A4250" s="2" t="s">
        <v>10068</v>
      </c>
      <c r="B4250" s="15">
        <v>185</v>
      </c>
      <c r="C4250" s="15">
        <v>1</v>
      </c>
      <c r="D4250" s="15">
        <v>235097114</v>
      </c>
      <c r="E4250" s="15">
        <v>236199671</v>
      </c>
      <c r="F4250" s="15">
        <v>2347</v>
      </c>
      <c r="G4250" s="8" t="s">
        <v>12324</v>
      </c>
      <c r="H4250" s="24" t="s">
        <v>1259</v>
      </c>
      <c r="I4250" s="25">
        <v>27096</v>
      </c>
      <c r="J4250" s="8" t="s">
        <v>1261</v>
      </c>
      <c r="K4250" s="8" t="s">
        <v>10040</v>
      </c>
      <c r="L4250" s="15">
        <v>-1.7986200000000001E-2</v>
      </c>
      <c r="M4250" s="15">
        <v>0.942442</v>
      </c>
      <c r="N4250" s="15">
        <v>0.98285981895132857</v>
      </c>
    </row>
    <row r="4251" spans="1:14" x14ac:dyDescent="0.2">
      <c r="A4251" s="2" t="s">
        <v>10066</v>
      </c>
      <c r="B4251" s="15">
        <v>2325</v>
      </c>
      <c r="C4251" s="15">
        <v>19</v>
      </c>
      <c r="D4251" s="15">
        <v>17045964</v>
      </c>
      <c r="E4251" s="15">
        <v>17750518</v>
      </c>
      <c r="F4251" s="15">
        <v>2354</v>
      </c>
      <c r="G4251" s="8" t="s">
        <v>12324</v>
      </c>
      <c r="H4251" s="24" t="s">
        <v>6008</v>
      </c>
      <c r="I4251" s="25" t="s">
        <v>6009</v>
      </c>
      <c r="J4251" s="8" t="s">
        <v>6010</v>
      </c>
      <c r="K4251" s="8" t="s">
        <v>10051</v>
      </c>
      <c r="L4251" s="15">
        <v>-1.05518E-2</v>
      </c>
      <c r="M4251" s="15">
        <v>0.94157000000000002</v>
      </c>
      <c r="N4251" s="15">
        <v>0.98285981895132857</v>
      </c>
    </row>
    <row r="4252" spans="1:14" x14ac:dyDescent="0.2">
      <c r="A4252" s="2" t="s">
        <v>10066</v>
      </c>
      <c r="B4252" s="15">
        <v>2186</v>
      </c>
      <c r="C4252" s="15">
        <v>17</v>
      </c>
      <c r="D4252" s="15">
        <v>12676354</v>
      </c>
      <c r="E4252" s="15">
        <v>13648446</v>
      </c>
      <c r="F4252" s="15">
        <v>3479</v>
      </c>
      <c r="G4252" s="8" t="s">
        <v>12324</v>
      </c>
      <c r="H4252" s="24" t="s">
        <v>6008</v>
      </c>
      <c r="I4252" s="25" t="s">
        <v>6009</v>
      </c>
      <c r="J4252" s="8" t="s">
        <v>6010</v>
      </c>
      <c r="K4252" s="8" t="s">
        <v>10051</v>
      </c>
      <c r="L4252" s="15">
        <v>-1.39934E-2</v>
      </c>
      <c r="M4252" s="15">
        <v>0.942164</v>
      </c>
      <c r="N4252" s="15">
        <v>0.98285981895132857</v>
      </c>
    </row>
    <row r="4253" spans="1:14" x14ac:dyDescent="0.2">
      <c r="A4253" s="2" t="s">
        <v>10066</v>
      </c>
      <c r="B4253" s="15">
        <v>1950</v>
      </c>
      <c r="C4253" s="15">
        <v>13</v>
      </c>
      <c r="D4253" s="15">
        <v>111621245</v>
      </c>
      <c r="E4253" s="15">
        <v>112319064</v>
      </c>
      <c r="F4253" s="15">
        <v>2442</v>
      </c>
      <c r="G4253" s="8" t="s">
        <v>12324</v>
      </c>
      <c r="H4253" s="24" t="s">
        <v>6008</v>
      </c>
      <c r="I4253" s="25" t="s">
        <v>6009</v>
      </c>
      <c r="J4253" s="8" t="s">
        <v>6010</v>
      </c>
      <c r="K4253" s="8" t="s">
        <v>10051</v>
      </c>
      <c r="L4253" s="15">
        <v>-1.83333E-2</v>
      </c>
      <c r="M4253" s="15">
        <v>0.94235599999999997</v>
      </c>
      <c r="N4253" s="15">
        <v>0.98285981895132857</v>
      </c>
    </row>
    <row r="4254" spans="1:14" x14ac:dyDescent="0.2">
      <c r="A4254" s="2" t="s">
        <v>10068</v>
      </c>
      <c r="B4254" s="15">
        <v>1208</v>
      </c>
      <c r="C4254" s="15">
        <v>7</v>
      </c>
      <c r="D4254" s="15">
        <v>128779174</v>
      </c>
      <c r="E4254" s="15">
        <v>130418704</v>
      </c>
      <c r="F4254" s="15">
        <v>3730</v>
      </c>
      <c r="G4254" s="8" t="s">
        <v>12324</v>
      </c>
      <c r="H4254" s="24" t="s">
        <v>6565</v>
      </c>
      <c r="I4254" s="25" t="s">
        <v>6475</v>
      </c>
      <c r="J4254" s="8" t="s">
        <v>6566</v>
      </c>
      <c r="K4254" s="8" t="s">
        <v>10054</v>
      </c>
      <c r="L4254" s="15">
        <v>-2.3884300000000001E-2</v>
      </c>
      <c r="M4254" s="15">
        <v>0.94190499999999999</v>
      </c>
      <c r="N4254" s="15">
        <v>0.98285981895132857</v>
      </c>
    </row>
    <row r="4255" spans="1:14" x14ac:dyDescent="0.2">
      <c r="A4255" s="2" t="s">
        <v>10068</v>
      </c>
      <c r="B4255" s="15">
        <v>1128</v>
      </c>
      <c r="C4255" s="15">
        <v>7</v>
      </c>
      <c r="D4255" s="15">
        <v>30175114</v>
      </c>
      <c r="E4255" s="15">
        <v>31730554</v>
      </c>
      <c r="F4255" s="15">
        <v>4048</v>
      </c>
      <c r="G4255" s="8" t="s">
        <v>12324</v>
      </c>
      <c r="H4255" s="24" t="s">
        <v>6565</v>
      </c>
      <c r="I4255" s="25" t="s">
        <v>6475</v>
      </c>
      <c r="J4255" s="8" t="s">
        <v>6566</v>
      </c>
      <c r="K4255" s="8" t="s">
        <v>10054</v>
      </c>
      <c r="L4255" s="15">
        <v>1.9271E-2</v>
      </c>
      <c r="M4255" s="15">
        <v>0.94198899999999997</v>
      </c>
      <c r="N4255" s="15">
        <v>0.98285981895132857</v>
      </c>
    </row>
    <row r="4256" spans="1:14" x14ac:dyDescent="0.2">
      <c r="A4256" s="2" t="s">
        <v>10066</v>
      </c>
      <c r="B4256" s="15">
        <v>596</v>
      </c>
      <c r="C4256" s="15">
        <v>4</v>
      </c>
      <c r="D4256" s="15">
        <v>10227</v>
      </c>
      <c r="E4256" s="15">
        <v>812415</v>
      </c>
      <c r="F4256" s="15">
        <v>2120</v>
      </c>
      <c r="G4256" s="8" t="s">
        <v>12324</v>
      </c>
      <c r="H4256" s="24" t="s">
        <v>3164</v>
      </c>
      <c r="I4256" s="25" t="s">
        <v>3165</v>
      </c>
      <c r="J4256" s="8" t="s">
        <v>3166</v>
      </c>
      <c r="K4256" s="8" t="s">
        <v>10042</v>
      </c>
      <c r="L4256" s="15">
        <v>-1.9125E-2</v>
      </c>
      <c r="M4256" s="15">
        <v>0.94294800000000001</v>
      </c>
      <c r="N4256" s="15">
        <v>0.98306873060648803</v>
      </c>
    </row>
    <row r="4257" spans="1:14" x14ac:dyDescent="0.2">
      <c r="A4257" s="2" t="s">
        <v>10066</v>
      </c>
      <c r="B4257" s="15">
        <v>773</v>
      </c>
      <c r="C4257" s="15">
        <v>4</v>
      </c>
      <c r="D4257" s="15">
        <v>189153280</v>
      </c>
      <c r="E4257" s="15">
        <v>189899573</v>
      </c>
      <c r="F4257" s="15">
        <v>3899</v>
      </c>
      <c r="G4257" s="8" t="s">
        <v>12324</v>
      </c>
      <c r="H4257" s="24" t="s">
        <v>3164</v>
      </c>
      <c r="I4257" s="25" t="s">
        <v>3165</v>
      </c>
      <c r="J4257" s="8" t="s">
        <v>3166</v>
      </c>
      <c r="K4257" s="8" t="s">
        <v>10042</v>
      </c>
      <c r="L4257" s="15">
        <v>2.1950799999999999E-2</v>
      </c>
      <c r="M4257" s="15">
        <v>0.94352199999999997</v>
      </c>
      <c r="N4257" s="15">
        <v>0.98319688982851772</v>
      </c>
    </row>
    <row r="4258" spans="1:14" x14ac:dyDescent="0.2">
      <c r="A4258" s="2" t="s">
        <v>10066</v>
      </c>
      <c r="B4258" s="15">
        <v>1822</v>
      </c>
      <c r="C4258" s="15">
        <v>12</v>
      </c>
      <c r="D4258" s="15">
        <v>90567002</v>
      </c>
      <c r="E4258" s="15">
        <v>92061179</v>
      </c>
      <c r="F4258" s="15">
        <v>3444</v>
      </c>
      <c r="G4258" s="8" t="s">
        <v>12324</v>
      </c>
      <c r="H4258" s="24" t="s">
        <v>6008</v>
      </c>
      <c r="I4258" s="25" t="s">
        <v>6009</v>
      </c>
      <c r="J4258" s="8" t="s">
        <v>6010</v>
      </c>
      <c r="K4258" s="8" t="s">
        <v>10051</v>
      </c>
      <c r="L4258" s="15">
        <v>-2.85487E-2</v>
      </c>
      <c r="M4258" s="15">
        <v>0.94373600000000002</v>
      </c>
      <c r="N4258" s="15">
        <v>0.98319688982851772</v>
      </c>
    </row>
    <row r="4259" spans="1:14" x14ac:dyDescent="0.2">
      <c r="A4259" s="2" t="s">
        <v>10068</v>
      </c>
      <c r="B4259" s="15">
        <v>1066</v>
      </c>
      <c r="C4259" s="15">
        <v>6</v>
      </c>
      <c r="D4259" s="15">
        <v>141449454</v>
      </c>
      <c r="E4259" s="15">
        <v>143083347</v>
      </c>
      <c r="F4259" s="15">
        <v>3442</v>
      </c>
      <c r="G4259" s="8" t="s">
        <v>12324</v>
      </c>
      <c r="H4259" s="24" t="s">
        <v>6565</v>
      </c>
      <c r="I4259" s="25" t="s">
        <v>6475</v>
      </c>
      <c r="J4259" s="8" t="s">
        <v>6566</v>
      </c>
      <c r="K4259" s="8" t="s">
        <v>10054</v>
      </c>
      <c r="L4259" s="15">
        <v>-2.5902600000000001E-2</v>
      </c>
      <c r="M4259" s="15">
        <v>0.94357500000000005</v>
      </c>
      <c r="N4259" s="15">
        <v>0.98319688982851772</v>
      </c>
    </row>
    <row r="4260" spans="1:14" x14ac:dyDescent="0.2">
      <c r="A4260" s="2" t="s">
        <v>10066</v>
      </c>
      <c r="B4260" s="15">
        <v>1328</v>
      </c>
      <c r="C4260" s="15">
        <v>8</v>
      </c>
      <c r="D4260" s="15">
        <v>98132520</v>
      </c>
      <c r="E4260" s="15">
        <v>99388944</v>
      </c>
      <c r="F4260" s="15">
        <v>3227</v>
      </c>
      <c r="G4260" s="8" t="s">
        <v>12324</v>
      </c>
      <c r="H4260" s="24" t="s">
        <v>6008</v>
      </c>
      <c r="I4260" s="25" t="s">
        <v>6009</v>
      </c>
      <c r="J4260" s="8" t="s">
        <v>6010</v>
      </c>
      <c r="K4260" s="8" t="s">
        <v>10051</v>
      </c>
      <c r="L4260" s="15">
        <v>2.17457E-2</v>
      </c>
      <c r="M4260" s="15">
        <v>0.94426399999999999</v>
      </c>
      <c r="N4260" s="15">
        <v>0.98351593236261159</v>
      </c>
    </row>
    <row r="4261" spans="1:14" x14ac:dyDescent="0.2">
      <c r="A4261" s="2" t="s">
        <v>10068</v>
      </c>
      <c r="B4261" s="15">
        <v>570</v>
      </c>
      <c r="C4261" s="15">
        <v>3</v>
      </c>
      <c r="D4261" s="15">
        <v>168972663</v>
      </c>
      <c r="E4261" s="15">
        <v>170174578</v>
      </c>
      <c r="F4261" s="15">
        <v>2770</v>
      </c>
      <c r="G4261" s="8" t="s">
        <v>12324</v>
      </c>
      <c r="H4261" s="24" t="s">
        <v>494</v>
      </c>
      <c r="I4261" s="25">
        <v>25920</v>
      </c>
      <c r="J4261" s="8" t="s">
        <v>496</v>
      </c>
      <c r="K4261" s="8" t="s">
        <v>10040</v>
      </c>
      <c r="L4261" s="15">
        <v>1.5719500000000001E-2</v>
      </c>
      <c r="M4261" s="15">
        <v>0.94552800000000004</v>
      </c>
      <c r="N4261" s="15">
        <v>0.98424467658776671</v>
      </c>
    </row>
    <row r="4262" spans="1:14" x14ac:dyDescent="0.2">
      <c r="A4262" s="2" t="s">
        <v>10068</v>
      </c>
      <c r="B4262" s="15">
        <v>2123</v>
      </c>
      <c r="C4262" s="15">
        <v>16</v>
      </c>
      <c r="D4262" s="15">
        <v>22667049</v>
      </c>
      <c r="E4262" s="15">
        <v>24014705</v>
      </c>
      <c r="F4262" s="15">
        <v>3438</v>
      </c>
      <c r="G4262" s="8" t="s">
        <v>12324</v>
      </c>
      <c r="H4262" s="24" t="s">
        <v>494</v>
      </c>
      <c r="I4262" s="25">
        <v>25920</v>
      </c>
      <c r="J4262" s="8" t="s">
        <v>496</v>
      </c>
      <c r="K4262" s="8" t="s">
        <v>10040</v>
      </c>
      <c r="L4262" s="15">
        <v>-1.22638E-2</v>
      </c>
      <c r="M4262" s="15">
        <v>0.94620499999999996</v>
      </c>
      <c r="N4262" s="15">
        <v>0.98424467658776671</v>
      </c>
    </row>
    <row r="4263" spans="1:14" x14ac:dyDescent="0.2">
      <c r="A4263" s="2" t="s">
        <v>10068</v>
      </c>
      <c r="B4263" s="15">
        <v>2097</v>
      </c>
      <c r="C4263" s="15">
        <v>15</v>
      </c>
      <c r="D4263" s="15">
        <v>98025685</v>
      </c>
      <c r="E4263" s="15">
        <v>98828261</v>
      </c>
      <c r="F4263" s="15">
        <v>3002</v>
      </c>
      <c r="G4263" s="8" t="s">
        <v>12324</v>
      </c>
      <c r="H4263" s="24" t="s">
        <v>494</v>
      </c>
      <c r="I4263" s="25">
        <v>25920</v>
      </c>
      <c r="J4263" s="8" t="s">
        <v>496</v>
      </c>
      <c r="K4263" s="8" t="s">
        <v>10040</v>
      </c>
      <c r="L4263" s="15">
        <v>6.2202400000000001E-3</v>
      </c>
      <c r="M4263" s="15">
        <v>0.94691899999999996</v>
      </c>
      <c r="N4263" s="15">
        <v>0.98424467658776671</v>
      </c>
    </row>
    <row r="4264" spans="1:14" x14ac:dyDescent="0.2">
      <c r="A4264" s="2" t="s">
        <v>10068</v>
      </c>
      <c r="B4264" s="15">
        <v>2023</v>
      </c>
      <c r="C4264" s="15">
        <v>14</v>
      </c>
      <c r="D4264" s="15">
        <v>97174315</v>
      </c>
      <c r="E4264" s="15">
        <v>98268391</v>
      </c>
      <c r="F4264" s="15">
        <v>2882</v>
      </c>
      <c r="G4264" s="8" t="s">
        <v>12324</v>
      </c>
      <c r="H4264" s="24" t="s">
        <v>599</v>
      </c>
      <c r="I4264" s="25">
        <v>26562</v>
      </c>
      <c r="J4264" s="8" t="s">
        <v>601</v>
      </c>
      <c r="K4264" s="8" t="s">
        <v>10040</v>
      </c>
      <c r="L4264" s="15">
        <v>-1.18704E-2</v>
      </c>
      <c r="M4264" s="15">
        <v>0.94696100000000005</v>
      </c>
      <c r="N4264" s="15">
        <v>0.98424467658776671</v>
      </c>
    </row>
    <row r="4265" spans="1:14" x14ac:dyDescent="0.2">
      <c r="A4265" s="2" t="s">
        <v>10068</v>
      </c>
      <c r="B4265" s="15">
        <v>571</v>
      </c>
      <c r="C4265" s="15">
        <v>3</v>
      </c>
      <c r="D4265" s="15">
        <v>170174579</v>
      </c>
      <c r="E4265" s="15">
        <v>171134849</v>
      </c>
      <c r="F4265" s="15">
        <v>2192</v>
      </c>
      <c r="G4265" s="8" t="s">
        <v>12324</v>
      </c>
      <c r="H4265" s="24" t="s">
        <v>1259</v>
      </c>
      <c r="I4265" s="25">
        <v>27096</v>
      </c>
      <c r="J4265" s="8" t="s">
        <v>1261</v>
      </c>
      <c r="K4265" s="8" t="s">
        <v>10040</v>
      </c>
      <c r="L4265" s="15">
        <v>2.3842499999999999E-2</v>
      </c>
      <c r="M4265" s="15">
        <v>0.94613599999999998</v>
      </c>
      <c r="N4265" s="15">
        <v>0.98424467658776671</v>
      </c>
    </row>
    <row r="4266" spans="1:14" x14ac:dyDescent="0.2">
      <c r="A4266" s="2" t="s">
        <v>10068</v>
      </c>
      <c r="B4266" s="15">
        <v>361</v>
      </c>
      <c r="C4266" s="15">
        <v>2</v>
      </c>
      <c r="D4266" s="15">
        <v>176734751</v>
      </c>
      <c r="E4266" s="15">
        <v>178149981</v>
      </c>
      <c r="F4266" s="15">
        <v>3306</v>
      </c>
      <c r="G4266" s="8" t="s">
        <v>12324</v>
      </c>
      <c r="H4266" s="24" t="s">
        <v>1259</v>
      </c>
      <c r="I4266" s="25">
        <v>27096</v>
      </c>
      <c r="J4266" s="8" t="s">
        <v>1261</v>
      </c>
      <c r="K4266" s="8" t="s">
        <v>10040</v>
      </c>
      <c r="L4266" s="15">
        <v>-1.24035E-2</v>
      </c>
      <c r="M4266" s="15">
        <v>0.94674499999999995</v>
      </c>
      <c r="N4266" s="15">
        <v>0.98424467658776671</v>
      </c>
    </row>
    <row r="4267" spans="1:14" x14ac:dyDescent="0.2">
      <c r="A4267" s="2" t="s">
        <v>10068</v>
      </c>
      <c r="B4267" s="15">
        <v>399</v>
      </c>
      <c r="C4267" s="15">
        <v>2</v>
      </c>
      <c r="D4267" s="15">
        <v>222327714</v>
      </c>
      <c r="E4267" s="15">
        <v>223353965</v>
      </c>
      <c r="F4267" s="15">
        <v>2142</v>
      </c>
      <c r="G4267" s="8" t="s">
        <v>12324</v>
      </c>
      <c r="H4267" s="24" t="s">
        <v>1259</v>
      </c>
      <c r="I4267" s="25">
        <v>27096</v>
      </c>
      <c r="J4267" s="8" t="s">
        <v>1261</v>
      </c>
      <c r="K4267" s="8" t="s">
        <v>10040</v>
      </c>
      <c r="L4267" s="15">
        <v>-1.35797E-2</v>
      </c>
      <c r="M4267" s="15">
        <v>0.94691599999999998</v>
      </c>
      <c r="N4267" s="15">
        <v>0.98424467658776671</v>
      </c>
    </row>
    <row r="4268" spans="1:14" x14ac:dyDescent="0.2">
      <c r="A4268" s="2" t="s">
        <v>10066</v>
      </c>
      <c r="B4268" s="15">
        <v>2385</v>
      </c>
      <c r="C4268" s="15">
        <v>20</v>
      </c>
      <c r="D4268" s="15">
        <v>15238520</v>
      </c>
      <c r="E4268" s="15">
        <v>15962576</v>
      </c>
      <c r="F4268" s="15">
        <v>2161</v>
      </c>
      <c r="G4268" s="8" t="s">
        <v>12324</v>
      </c>
      <c r="H4268" s="24" t="s">
        <v>6008</v>
      </c>
      <c r="I4268" s="25" t="s">
        <v>6009</v>
      </c>
      <c r="J4268" s="8" t="s">
        <v>6010</v>
      </c>
      <c r="K4268" s="8" t="s">
        <v>10051</v>
      </c>
      <c r="L4268" s="15">
        <v>9.1964000000000004E-3</v>
      </c>
      <c r="M4268" s="15">
        <v>0.945581</v>
      </c>
      <c r="N4268" s="15">
        <v>0.98424467658776671</v>
      </c>
    </row>
    <row r="4269" spans="1:14" x14ac:dyDescent="0.2">
      <c r="A4269" s="2" t="s">
        <v>10068</v>
      </c>
      <c r="B4269" s="15">
        <v>2361</v>
      </c>
      <c r="C4269" s="15">
        <v>19</v>
      </c>
      <c r="D4269" s="15">
        <v>53431218</v>
      </c>
      <c r="E4269" s="15">
        <v>54042240</v>
      </c>
      <c r="F4269" s="15">
        <v>2842</v>
      </c>
      <c r="G4269" s="8" t="s">
        <v>12324</v>
      </c>
      <c r="H4269" s="24" t="s">
        <v>6565</v>
      </c>
      <c r="I4269" s="25" t="s">
        <v>6475</v>
      </c>
      <c r="J4269" s="8" t="s">
        <v>6566</v>
      </c>
      <c r="K4269" s="8" t="s">
        <v>10054</v>
      </c>
      <c r="L4269" s="15">
        <v>-1.76534E-2</v>
      </c>
      <c r="M4269" s="15">
        <v>0.94694100000000003</v>
      </c>
      <c r="N4269" s="15">
        <v>0.98424467658776671</v>
      </c>
    </row>
    <row r="4270" spans="1:14" x14ac:dyDescent="0.2">
      <c r="A4270" s="2" t="s">
        <v>10066</v>
      </c>
      <c r="B4270" s="15">
        <v>1197</v>
      </c>
      <c r="C4270" s="15">
        <v>7</v>
      </c>
      <c r="D4270" s="15">
        <v>113339387</v>
      </c>
      <c r="E4270" s="15">
        <v>115321301</v>
      </c>
      <c r="F4270" s="15">
        <v>3407</v>
      </c>
      <c r="G4270" s="8" t="s">
        <v>12324</v>
      </c>
      <c r="H4270" s="24" t="s">
        <v>3164</v>
      </c>
      <c r="I4270" s="25" t="s">
        <v>3165</v>
      </c>
      <c r="J4270" s="8" t="s">
        <v>3166</v>
      </c>
      <c r="K4270" s="8" t="s">
        <v>10042</v>
      </c>
      <c r="L4270" s="15">
        <v>1.48623E-2</v>
      </c>
      <c r="M4270" s="15">
        <v>0.947631</v>
      </c>
      <c r="N4270" s="15">
        <v>0.98471028233364577</v>
      </c>
    </row>
    <row r="4271" spans="1:14" x14ac:dyDescent="0.2">
      <c r="A4271" s="2" t="s">
        <v>10066</v>
      </c>
      <c r="B4271" s="15">
        <v>1268</v>
      </c>
      <c r="C4271" s="15">
        <v>8</v>
      </c>
      <c r="D4271" s="15">
        <v>22895019</v>
      </c>
      <c r="E4271" s="15">
        <v>23788494</v>
      </c>
      <c r="F4271" s="15">
        <v>3136</v>
      </c>
      <c r="G4271" s="8" t="s">
        <v>12324</v>
      </c>
      <c r="H4271" s="24" t="s">
        <v>3164</v>
      </c>
      <c r="I4271" s="25" t="s">
        <v>3165</v>
      </c>
      <c r="J4271" s="8" t="s">
        <v>3166</v>
      </c>
      <c r="K4271" s="8" t="s">
        <v>10042</v>
      </c>
      <c r="L4271" s="15">
        <v>1.12458E-2</v>
      </c>
      <c r="M4271" s="15">
        <v>0.94819799999999999</v>
      </c>
      <c r="N4271" s="15">
        <v>0.98478910208382109</v>
      </c>
    </row>
    <row r="4272" spans="1:14" x14ac:dyDescent="0.2">
      <c r="A4272" s="2" t="s">
        <v>10066</v>
      </c>
      <c r="B4272" s="15">
        <v>1719</v>
      </c>
      <c r="C4272" s="15">
        <v>11</v>
      </c>
      <c r="D4272" s="15">
        <v>112755447</v>
      </c>
      <c r="E4272" s="15">
        <v>113889019</v>
      </c>
      <c r="F4272" s="15">
        <v>2815</v>
      </c>
      <c r="G4272" s="8" t="s">
        <v>12324</v>
      </c>
      <c r="H4272" s="24" t="s">
        <v>3164</v>
      </c>
      <c r="I4272" s="25" t="s">
        <v>3165</v>
      </c>
      <c r="J4272" s="8" t="s">
        <v>3166</v>
      </c>
      <c r="K4272" s="8" t="s">
        <v>10042</v>
      </c>
      <c r="L4272" s="15">
        <v>-1.34311E-2</v>
      </c>
      <c r="M4272" s="15">
        <v>0.948326</v>
      </c>
      <c r="N4272" s="15">
        <v>0.98478910208382109</v>
      </c>
    </row>
    <row r="4273" spans="1:14" x14ac:dyDescent="0.2">
      <c r="A4273" s="2" t="s">
        <v>10066</v>
      </c>
      <c r="B4273" s="15">
        <v>2456</v>
      </c>
      <c r="C4273" s="15">
        <v>21</v>
      </c>
      <c r="D4273" s="15">
        <v>42187153</v>
      </c>
      <c r="E4273" s="15">
        <v>43081434</v>
      </c>
      <c r="F4273" s="15">
        <v>2819</v>
      </c>
      <c r="G4273" s="8" t="s">
        <v>12324</v>
      </c>
      <c r="H4273" s="24" t="s">
        <v>6008</v>
      </c>
      <c r="I4273" s="25" t="s">
        <v>6009</v>
      </c>
      <c r="J4273" s="8" t="s">
        <v>6010</v>
      </c>
      <c r="K4273" s="8" t="s">
        <v>10051</v>
      </c>
      <c r="L4273" s="15">
        <v>-1.3365200000000001E-2</v>
      </c>
      <c r="M4273" s="15">
        <v>0.94837300000000002</v>
      </c>
      <c r="N4273" s="15">
        <v>0.98478910208382109</v>
      </c>
    </row>
    <row r="4274" spans="1:14" x14ac:dyDescent="0.2">
      <c r="A4274" s="2" t="s">
        <v>10068</v>
      </c>
      <c r="B4274" s="15">
        <v>2079</v>
      </c>
      <c r="C4274" s="15">
        <v>15</v>
      </c>
      <c r="D4274" s="15">
        <v>78514102</v>
      </c>
      <c r="E4274" s="15">
        <v>79292536</v>
      </c>
      <c r="F4274" s="15">
        <v>2115</v>
      </c>
      <c r="G4274" s="8" t="s">
        <v>12324</v>
      </c>
      <c r="H4274" s="24" t="s">
        <v>494</v>
      </c>
      <c r="I4274" s="25">
        <v>25920</v>
      </c>
      <c r="J4274" s="8" t="s">
        <v>496</v>
      </c>
      <c r="K4274" s="8" t="s">
        <v>10040</v>
      </c>
      <c r="L4274" s="15">
        <v>-1.19057E-2</v>
      </c>
      <c r="M4274" s="15">
        <v>0.95372400000000002</v>
      </c>
      <c r="N4274" s="15">
        <v>0.98583421101341961</v>
      </c>
    </row>
    <row r="4275" spans="1:14" x14ac:dyDescent="0.2">
      <c r="A4275" s="2" t="s">
        <v>10068</v>
      </c>
      <c r="B4275" s="15">
        <v>1552</v>
      </c>
      <c r="C4275" s="15">
        <v>10</v>
      </c>
      <c r="D4275" s="15">
        <v>71050505</v>
      </c>
      <c r="E4275" s="15">
        <v>71672997</v>
      </c>
      <c r="F4275" s="15">
        <v>2329</v>
      </c>
      <c r="G4275" s="8" t="s">
        <v>12324</v>
      </c>
      <c r="H4275" s="24" t="s">
        <v>494</v>
      </c>
      <c r="I4275" s="25">
        <v>25920</v>
      </c>
      <c r="J4275" s="8" t="s">
        <v>496</v>
      </c>
      <c r="K4275" s="8" t="s">
        <v>10040</v>
      </c>
      <c r="L4275" s="15">
        <v>-1.8124399999999999E-2</v>
      </c>
      <c r="M4275" s="15">
        <v>0.95410300000000003</v>
      </c>
      <c r="N4275" s="15">
        <v>0.98583421101341961</v>
      </c>
    </row>
    <row r="4276" spans="1:14" x14ac:dyDescent="0.2">
      <c r="A4276" s="2" t="s">
        <v>10068</v>
      </c>
      <c r="B4276" s="15">
        <v>1057</v>
      </c>
      <c r="C4276" s="15">
        <v>6</v>
      </c>
      <c r="D4276" s="15">
        <v>129850179</v>
      </c>
      <c r="E4276" s="15">
        <v>130550137</v>
      </c>
      <c r="F4276" s="15">
        <v>2133</v>
      </c>
      <c r="G4276" s="8" t="s">
        <v>12324</v>
      </c>
      <c r="H4276" s="24" t="s">
        <v>494</v>
      </c>
      <c r="I4276" s="25">
        <v>25920</v>
      </c>
      <c r="J4276" s="8" t="s">
        <v>496</v>
      </c>
      <c r="K4276" s="8" t="s">
        <v>10040</v>
      </c>
      <c r="L4276" s="15">
        <v>-2.27336E-2</v>
      </c>
      <c r="M4276" s="15">
        <v>0.95502299999999996</v>
      </c>
      <c r="N4276" s="15">
        <v>0.98583421101341961</v>
      </c>
    </row>
    <row r="4277" spans="1:14" x14ac:dyDescent="0.2">
      <c r="A4277" s="2" t="s">
        <v>10068</v>
      </c>
      <c r="B4277" s="15">
        <v>1627</v>
      </c>
      <c r="C4277" s="15">
        <v>11</v>
      </c>
      <c r="D4277" s="15">
        <v>15126768</v>
      </c>
      <c r="E4277" s="15">
        <v>16383386</v>
      </c>
      <c r="F4277" s="15">
        <v>2669</v>
      </c>
      <c r="G4277" s="8" t="s">
        <v>12324</v>
      </c>
      <c r="H4277" s="24" t="s">
        <v>494</v>
      </c>
      <c r="I4277" s="25">
        <v>25920</v>
      </c>
      <c r="J4277" s="8" t="s">
        <v>496</v>
      </c>
      <c r="K4277" s="8" t="s">
        <v>10040</v>
      </c>
      <c r="L4277" s="15">
        <v>1.10227E-2</v>
      </c>
      <c r="M4277" s="15">
        <v>0.95682999999999996</v>
      </c>
      <c r="N4277" s="15">
        <v>0.98583421101341961</v>
      </c>
    </row>
    <row r="4278" spans="1:14" x14ac:dyDescent="0.2">
      <c r="A4278" s="2" t="s">
        <v>10068</v>
      </c>
      <c r="B4278" s="15">
        <v>1857</v>
      </c>
      <c r="C4278" s="15">
        <v>12</v>
      </c>
      <c r="D4278" s="15">
        <v>129170297</v>
      </c>
      <c r="E4278" s="15">
        <v>129887418</v>
      </c>
      <c r="F4278" s="15">
        <v>2776</v>
      </c>
      <c r="G4278" s="8" t="s">
        <v>12324</v>
      </c>
      <c r="H4278" s="24" t="s">
        <v>494</v>
      </c>
      <c r="I4278" s="25">
        <v>25920</v>
      </c>
      <c r="J4278" s="8" t="s">
        <v>496</v>
      </c>
      <c r="K4278" s="8" t="s">
        <v>10040</v>
      </c>
      <c r="L4278" s="15">
        <v>-8.6585299999999994E-3</v>
      </c>
      <c r="M4278" s="15">
        <v>0.95722600000000002</v>
      </c>
      <c r="N4278" s="15">
        <v>0.98583421101341961</v>
      </c>
    </row>
    <row r="4279" spans="1:14" x14ac:dyDescent="0.2">
      <c r="A4279" s="2" t="s">
        <v>10068</v>
      </c>
      <c r="B4279" s="15">
        <v>1308</v>
      </c>
      <c r="C4279" s="15">
        <v>8</v>
      </c>
      <c r="D4279" s="15">
        <v>72917490</v>
      </c>
      <c r="E4279" s="15">
        <v>73838027</v>
      </c>
      <c r="F4279" s="15">
        <v>2555</v>
      </c>
      <c r="G4279" s="8" t="s">
        <v>12324</v>
      </c>
      <c r="H4279" s="24" t="s">
        <v>494</v>
      </c>
      <c r="I4279" s="25">
        <v>25920</v>
      </c>
      <c r="J4279" s="8" t="s">
        <v>496</v>
      </c>
      <c r="K4279" s="8" t="s">
        <v>10040</v>
      </c>
      <c r="L4279" s="15">
        <v>-1.27475E-2</v>
      </c>
      <c r="M4279" s="15">
        <v>0.96041799999999999</v>
      </c>
      <c r="N4279" s="15">
        <v>0.98583421101341961</v>
      </c>
    </row>
    <row r="4280" spans="1:14" x14ac:dyDescent="0.2">
      <c r="A4280" s="2" t="s">
        <v>10068</v>
      </c>
      <c r="B4280" s="15">
        <v>693</v>
      </c>
      <c r="C4280" s="15">
        <v>4</v>
      </c>
      <c r="D4280" s="15">
        <v>104384535</v>
      </c>
      <c r="E4280" s="15">
        <v>105319195</v>
      </c>
      <c r="F4280" s="15">
        <v>2149</v>
      </c>
      <c r="G4280" s="8" t="s">
        <v>12324</v>
      </c>
      <c r="H4280" s="24" t="s">
        <v>599</v>
      </c>
      <c r="I4280" s="25">
        <v>26562</v>
      </c>
      <c r="J4280" s="8" t="s">
        <v>601</v>
      </c>
      <c r="K4280" s="8" t="s">
        <v>10040</v>
      </c>
      <c r="L4280" s="15">
        <v>-8.5258599999999997E-3</v>
      </c>
      <c r="M4280" s="15">
        <v>0.95342499999999997</v>
      </c>
      <c r="N4280" s="15">
        <v>0.98583421101341961</v>
      </c>
    </row>
    <row r="4281" spans="1:14" x14ac:dyDescent="0.2">
      <c r="A4281" s="2" t="s">
        <v>10068</v>
      </c>
      <c r="B4281" s="15">
        <v>20</v>
      </c>
      <c r="C4281" s="15">
        <v>1</v>
      </c>
      <c r="D4281" s="15">
        <v>18427821</v>
      </c>
      <c r="E4281" s="15">
        <v>19238924</v>
      </c>
      <c r="F4281" s="15">
        <v>2703</v>
      </c>
      <c r="G4281" s="8" t="s">
        <v>12324</v>
      </c>
      <c r="H4281" s="24" t="s">
        <v>599</v>
      </c>
      <c r="I4281" s="25">
        <v>26562</v>
      </c>
      <c r="J4281" s="8" t="s">
        <v>601</v>
      </c>
      <c r="K4281" s="8" t="s">
        <v>10040</v>
      </c>
      <c r="L4281" s="15">
        <v>9.8314400000000003E-3</v>
      </c>
      <c r="M4281" s="15">
        <v>0.95580900000000002</v>
      </c>
      <c r="N4281" s="15">
        <v>0.98583421101341961</v>
      </c>
    </row>
    <row r="4282" spans="1:14" x14ac:dyDescent="0.2">
      <c r="A4282" s="2" t="s">
        <v>10068</v>
      </c>
      <c r="B4282" s="15">
        <v>285</v>
      </c>
      <c r="C4282" s="15">
        <v>2</v>
      </c>
      <c r="D4282" s="15">
        <v>79019677</v>
      </c>
      <c r="E4282" s="15">
        <v>79900055</v>
      </c>
      <c r="F4282" s="15">
        <v>2715</v>
      </c>
      <c r="G4282" s="8" t="s">
        <v>12324</v>
      </c>
      <c r="H4282" s="24" t="s">
        <v>599</v>
      </c>
      <c r="I4282" s="25">
        <v>26562</v>
      </c>
      <c r="J4282" s="8" t="s">
        <v>601</v>
      </c>
      <c r="K4282" s="8" t="s">
        <v>10040</v>
      </c>
      <c r="L4282" s="15">
        <v>-1.7572600000000001E-2</v>
      </c>
      <c r="M4282" s="15">
        <v>0.95801199999999997</v>
      </c>
      <c r="N4282" s="15">
        <v>0.98583421101341961</v>
      </c>
    </row>
    <row r="4283" spans="1:14" x14ac:dyDescent="0.2">
      <c r="A4283" s="2" t="s">
        <v>10068</v>
      </c>
      <c r="B4283" s="15">
        <v>1265</v>
      </c>
      <c r="C4283" s="15">
        <v>8</v>
      </c>
      <c r="D4283" s="15">
        <v>20135629</v>
      </c>
      <c r="E4283" s="15">
        <v>20812107</v>
      </c>
      <c r="F4283" s="15">
        <v>2138</v>
      </c>
      <c r="G4283" s="8" t="s">
        <v>12324</v>
      </c>
      <c r="H4283" s="24" t="s">
        <v>599</v>
      </c>
      <c r="I4283" s="25">
        <v>26562</v>
      </c>
      <c r="J4283" s="8" t="s">
        <v>601</v>
      </c>
      <c r="K4283" s="8" t="s">
        <v>10040</v>
      </c>
      <c r="L4283" s="15">
        <v>2.1091499999999999E-2</v>
      </c>
      <c r="M4283" s="15">
        <v>0.95857700000000001</v>
      </c>
      <c r="N4283" s="15">
        <v>0.98583421101341961</v>
      </c>
    </row>
    <row r="4284" spans="1:14" x14ac:dyDescent="0.2">
      <c r="A4284" s="2" t="s">
        <v>10068</v>
      </c>
      <c r="B4284" s="15">
        <v>767</v>
      </c>
      <c r="C4284" s="15">
        <v>4</v>
      </c>
      <c r="D4284" s="15">
        <v>183603893</v>
      </c>
      <c r="E4284" s="15">
        <v>184338584</v>
      </c>
      <c r="F4284" s="15">
        <v>2217</v>
      </c>
      <c r="G4284" s="8" t="s">
        <v>12324</v>
      </c>
      <c r="H4284" s="24" t="s">
        <v>599</v>
      </c>
      <c r="I4284" s="25">
        <v>26562</v>
      </c>
      <c r="J4284" s="8" t="s">
        <v>601</v>
      </c>
      <c r="K4284" s="8" t="s">
        <v>10040</v>
      </c>
      <c r="L4284" s="15">
        <v>1.32763E-2</v>
      </c>
      <c r="M4284" s="15">
        <v>0.95936399999999999</v>
      </c>
      <c r="N4284" s="15">
        <v>0.98583421101341961</v>
      </c>
    </row>
    <row r="4285" spans="1:14" x14ac:dyDescent="0.2">
      <c r="A4285" s="2" t="s">
        <v>10068</v>
      </c>
      <c r="B4285" s="15">
        <v>1361</v>
      </c>
      <c r="C4285" s="15">
        <v>8</v>
      </c>
      <c r="D4285" s="15">
        <v>136220343</v>
      </c>
      <c r="E4285" s="15">
        <v>137527617</v>
      </c>
      <c r="F4285" s="15">
        <v>3549</v>
      </c>
      <c r="G4285" s="8" t="s">
        <v>12324</v>
      </c>
      <c r="H4285" s="24" t="s">
        <v>599</v>
      </c>
      <c r="I4285" s="25">
        <v>26562</v>
      </c>
      <c r="J4285" s="8" t="s">
        <v>601</v>
      </c>
      <c r="K4285" s="8" t="s">
        <v>10040</v>
      </c>
      <c r="L4285" s="15">
        <v>-1.25471E-2</v>
      </c>
      <c r="M4285" s="15">
        <v>0.96071499999999999</v>
      </c>
      <c r="N4285" s="15">
        <v>0.98583421101341961</v>
      </c>
    </row>
    <row r="4286" spans="1:14" x14ac:dyDescent="0.2">
      <c r="A4286" s="2" t="s">
        <v>10069</v>
      </c>
      <c r="B4286" s="15">
        <v>1879</v>
      </c>
      <c r="C4286" s="15">
        <v>13</v>
      </c>
      <c r="D4286" s="15">
        <v>36579414</v>
      </c>
      <c r="E4286" s="15">
        <v>37499810</v>
      </c>
      <c r="F4286" s="15">
        <v>1529</v>
      </c>
      <c r="G4286" s="8" t="s">
        <v>12324</v>
      </c>
      <c r="H4286" s="24" t="s">
        <v>662</v>
      </c>
      <c r="I4286" s="25" t="s">
        <v>663</v>
      </c>
      <c r="J4286" s="8" t="s">
        <v>664</v>
      </c>
      <c r="K4286" s="8" t="s">
        <v>10040</v>
      </c>
      <c r="L4286" s="15">
        <v>-2.11849E-2</v>
      </c>
      <c r="M4286" s="15">
        <v>0.95955800000000002</v>
      </c>
      <c r="N4286" s="15">
        <v>0.98583421101341961</v>
      </c>
    </row>
    <row r="4287" spans="1:14" x14ac:dyDescent="0.2">
      <c r="A4287" s="2" t="s">
        <v>10069</v>
      </c>
      <c r="B4287" s="15">
        <v>898</v>
      </c>
      <c r="C4287" s="15">
        <v>5</v>
      </c>
      <c r="D4287" s="15">
        <v>148662215</v>
      </c>
      <c r="E4287" s="15">
        <v>149850203</v>
      </c>
      <c r="F4287" s="15">
        <v>1933</v>
      </c>
      <c r="G4287" s="8" t="s">
        <v>12324</v>
      </c>
      <c r="H4287" s="24" t="s">
        <v>662</v>
      </c>
      <c r="I4287" s="25" t="s">
        <v>663</v>
      </c>
      <c r="J4287" s="8" t="s">
        <v>664</v>
      </c>
      <c r="K4287" s="8" t="s">
        <v>10040</v>
      </c>
      <c r="L4287" s="15">
        <v>-1.0057099999999999E-2</v>
      </c>
      <c r="M4287" s="15">
        <v>0.96001599999999998</v>
      </c>
      <c r="N4287" s="15">
        <v>0.98583421101341961</v>
      </c>
    </row>
    <row r="4288" spans="1:14" x14ac:dyDescent="0.2">
      <c r="A4288" s="2" t="s">
        <v>10069</v>
      </c>
      <c r="B4288" s="15">
        <v>1088</v>
      </c>
      <c r="C4288" s="15">
        <v>6</v>
      </c>
      <c r="D4288" s="15">
        <v>164687463</v>
      </c>
      <c r="E4288" s="15">
        <v>165835953</v>
      </c>
      <c r="F4288" s="15">
        <v>2674</v>
      </c>
      <c r="G4288" s="8" t="s">
        <v>12324</v>
      </c>
      <c r="H4288" s="24" t="s">
        <v>662</v>
      </c>
      <c r="I4288" s="25" t="s">
        <v>663</v>
      </c>
      <c r="J4288" s="8" t="s">
        <v>664</v>
      </c>
      <c r="K4288" s="8" t="s">
        <v>10040</v>
      </c>
      <c r="L4288" s="15">
        <v>1.6552000000000001E-2</v>
      </c>
      <c r="M4288" s="15">
        <v>0.96038800000000002</v>
      </c>
      <c r="N4288" s="15">
        <v>0.98583421101341961</v>
      </c>
    </row>
    <row r="4289" spans="1:14" x14ac:dyDescent="0.2">
      <c r="A4289" s="2" t="s">
        <v>10069</v>
      </c>
      <c r="B4289" s="15">
        <v>1625</v>
      </c>
      <c r="C4289" s="15">
        <v>11</v>
      </c>
      <c r="D4289" s="15">
        <v>12470450</v>
      </c>
      <c r="E4289" s="15">
        <v>13364727</v>
      </c>
      <c r="F4289" s="15">
        <v>1760</v>
      </c>
      <c r="G4289" s="8" t="s">
        <v>12324</v>
      </c>
      <c r="H4289" s="24" t="s">
        <v>662</v>
      </c>
      <c r="I4289" s="25" t="s">
        <v>663</v>
      </c>
      <c r="J4289" s="8" t="s">
        <v>664</v>
      </c>
      <c r="K4289" s="8" t="s">
        <v>10040</v>
      </c>
      <c r="L4289" s="15">
        <v>-1.0631099999999999E-2</v>
      </c>
      <c r="M4289" s="15">
        <v>0.96039399999999997</v>
      </c>
      <c r="N4289" s="15">
        <v>0.98583421101341961</v>
      </c>
    </row>
    <row r="4290" spans="1:14" x14ac:dyDescent="0.2">
      <c r="A4290" s="2" t="s">
        <v>10068</v>
      </c>
      <c r="B4290" s="15">
        <v>739</v>
      </c>
      <c r="C4290" s="15">
        <v>4</v>
      </c>
      <c r="D4290" s="15">
        <v>156520289</v>
      </c>
      <c r="E4290" s="15">
        <v>157597309</v>
      </c>
      <c r="F4290" s="15">
        <v>3774</v>
      </c>
      <c r="G4290" s="8" t="s">
        <v>12324</v>
      </c>
      <c r="H4290" s="24" t="s">
        <v>1259</v>
      </c>
      <c r="I4290" s="25">
        <v>27096</v>
      </c>
      <c r="J4290" s="8" t="s">
        <v>1261</v>
      </c>
      <c r="K4290" s="8" t="s">
        <v>10040</v>
      </c>
      <c r="L4290" s="15">
        <v>-2.1529400000000001E-2</v>
      </c>
      <c r="M4290" s="15">
        <v>0.95078200000000002</v>
      </c>
      <c r="N4290" s="15">
        <v>0.98583421101341961</v>
      </c>
    </row>
    <row r="4291" spans="1:14" x14ac:dyDescent="0.2">
      <c r="A4291" s="2" t="s">
        <v>10068</v>
      </c>
      <c r="B4291" s="15">
        <v>990</v>
      </c>
      <c r="C4291" s="15">
        <v>6</v>
      </c>
      <c r="D4291" s="15">
        <v>55469138</v>
      </c>
      <c r="E4291" s="15">
        <v>56200985</v>
      </c>
      <c r="F4291" s="15">
        <v>2410</v>
      </c>
      <c r="G4291" s="8" t="s">
        <v>12324</v>
      </c>
      <c r="H4291" s="24" t="s">
        <v>1259</v>
      </c>
      <c r="I4291" s="25">
        <v>27096</v>
      </c>
      <c r="J4291" s="8" t="s">
        <v>1261</v>
      </c>
      <c r="K4291" s="8" t="s">
        <v>10040</v>
      </c>
      <c r="L4291" s="15">
        <v>1.3250400000000001E-2</v>
      </c>
      <c r="M4291" s="15">
        <v>0.95089400000000002</v>
      </c>
      <c r="N4291" s="15">
        <v>0.98583421101341961</v>
      </c>
    </row>
    <row r="4292" spans="1:14" x14ac:dyDescent="0.2">
      <c r="A4292" s="2" t="s">
        <v>10068</v>
      </c>
      <c r="B4292" s="15">
        <v>139</v>
      </c>
      <c r="C4292" s="15">
        <v>1</v>
      </c>
      <c r="D4292" s="15">
        <v>183920617</v>
      </c>
      <c r="E4292" s="15">
        <v>184953089</v>
      </c>
      <c r="F4292" s="15">
        <v>2209</v>
      </c>
      <c r="G4292" s="8" t="s">
        <v>12324</v>
      </c>
      <c r="H4292" s="24" t="s">
        <v>1259</v>
      </c>
      <c r="I4292" s="25">
        <v>27096</v>
      </c>
      <c r="J4292" s="8" t="s">
        <v>1261</v>
      </c>
      <c r="K4292" s="8" t="s">
        <v>10040</v>
      </c>
      <c r="L4292" s="15">
        <v>-2.4554900000000001E-2</v>
      </c>
      <c r="M4292" s="15">
        <v>0.952291</v>
      </c>
      <c r="N4292" s="15">
        <v>0.98583421101341961</v>
      </c>
    </row>
    <row r="4293" spans="1:14" x14ac:dyDescent="0.2">
      <c r="A4293" s="2" t="s">
        <v>10068</v>
      </c>
      <c r="B4293" s="15">
        <v>1447</v>
      </c>
      <c r="C4293" s="15">
        <v>9</v>
      </c>
      <c r="D4293" s="15">
        <v>103165726</v>
      </c>
      <c r="E4293" s="15">
        <v>104222848</v>
      </c>
      <c r="F4293" s="15">
        <v>2767</v>
      </c>
      <c r="G4293" s="8" t="s">
        <v>12324</v>
      </c>
      <c r="H4293" s="24" t="s">
        <v>1259</v>
      </c>
      <c r="I4293" s="25">
        <v>27096</v>
      </c>
      <c r="J4293" s="8" t="s">
        <v>1261</v>
      </c>
      <c r="K4293" s="8" t="s">
        <v>10040</v>
      </c>
      <c r="L4293" s="15">
        <v>-1.6982000000000001E-2</v>
      </c>
      <c r="M4293" s="15">
        <v>0.95402399999999998</v>
      </c>
      <c r="N4293" s="15">
        <v>0.98583421101341961</v>
      </c>
    </row>
    <row r="4294" spans="1:14" x14ac:dyDescent="0.2">
      <c r="A4294" s="2" t="s">
        <v>10068</v>
      </c>
      <c r="B4294" s="15">
        <v>652</v>
      </c>
      <c r="C4294" s="15">
        <v>4</v>
      </c>
      <c r="D4294" s="15">
        <v>55681702</v>
      </c>
      <c r="E4294" s="15">
        <v>57103100</v>
      </c>
      <c r="F4294" s="15">
        <v>4191</v>
      </c>
      <c r="G4294" s="8" t="s">
        <v>12324</v>
      </c>
      <c r="H4294" s="24" t="s">
        <v>1259</v>
      </c>
      <c r="I4294" s="25">
        <v>27096</v>
      </c>
      <c r="J4294" s="8" t="s">
        <v>1261</v>
      </c>
      <c r="K4294" s="8" t="s">
        <v>10040</v>
      </c>
      <c r="L4294" s="15">
        <v>1.1615E-2</v>
      </c>
      <c r="M4294" s="15">
        <v>0.95633400000000002</v>
      </c>
      <c r="N4294" s="15">
        <v>0.98583421101341961</v>
      </c>
    </row>
    <row r="4295" spans="1:14" x14ac:dyDescent="0.2">
      <c r="A4295" s="2" t="s">
        <v>10068</v>
      </c>
      <c r="B4295" s="15">
        <v>1965</v>
      </c>
      <c r="C4295" s="15">
        <v>14</v>
      </c>
      <c r="D4295" s="15">
        <v>32382246</v>
      </c>
      <c r="E4295" s="15">
        <v>33591113</v>
      </c>
      <c r="F4295" s="15">
        <v>3271</v>
      </c>
      <c r="G4295" s="8" t="s">
        <v>12324</v>
      </c>
      <c r="H4295" s="24" t="s">
        <v>1259</v>
      </c>
      <c r="I4295" s="25">
        <v>27096</v>
      </c>
      <c r="J4295" s="8" t="s">
        <v>1261</v>
      </c>
      <c r="K4295" s="8" t="s">
        <v>10040</v>
      </c>
      <c r="L4295" s="15">
        <v>-8.3854199999999993E-3</v>
      </c>
      <c r="M4295" s="15">
        <v>0.95698399999999995</v>
      </c>
      <c r="N4295" s="15">
        <v>0.98583421101341961</v>
      </c>
    </row>
    <row r="4296" spans="1:14" x14ac:dyDescent="0.2">
      <c r="A4296" s="2" t="s">
        <v>10068</v>
      </c>
      <c r="B4296" s="15">
        <v>1961</v>
      </c>
      <c r="C4296" s="15">
        <v>14</v>
      </c>
      <c r="D4296" s="15">
        <v>26395691</v>
      </c>
      <c r="E4296" s="15">
        <v>27720240</v>
      </c>
      <c r="F4296" s="15">
        <v>3046</v>
      </c>
      <c r="G4296" s="8" t="s">
        <v>12324</v>
      </c>
      <c r="H4296" s="24" t="s">
        <v>1259</v>
      </c>
      <c r="I4296" s="25">
        <v>27096</v>
      </c>
      <c r="J4296" s="8" t="s">
        <v>1261</v>
      </c>
      <c r="K4296" s="8" t="s">
        <v>10040</v>
      </c>
      <c r="L4296" s="15">
        <v>-1.15598E-2</v>
      </c>
      <c r="M4296" s="15">
        <v>0.95877800000000002</v>
      </c>
      <c r="N4296" s="15">
        <v>0.98583421101341961</v>
      </c>
    </row>
    <row r="4297" spans="1:14" x14ac:dyDescent="0.2">
      <c r="A4297" s="2" t="s">
        <v>10068</v>
      </c>
      <c r="B4297" s="15">
        <v>192</v>
      </c>
      <c r="C4297" s="15">
        <v>1</v>
      </c>
      <c r="D4297" s="15">
        <v>241033585</v>
      </c>
      <c r="E4297" s="15">
        <v>241813534</v>
      </c>
      <c r="F4297" s="15">
        <v>2304</v>
      </c>
      <c r="G4297" s="8" t="s">
        <v>12324</v>
      </c>
      <c r="H4297" s="24" t="s">
        <v>1259</v>
      </c>
      <c r="I4297" s="25">
        <v>27096</v>
      </c>
      <c r="J4297" s="8" t="s">
        <v>1261</v>
      </c>
      <c r="K4297" s="8" t="s">
        <v>10040</v>
      </c>
      <c r="L4297" s="15">
        <v>-1.6698299999999999E-2</v>
      </c>
      <c r="M4297" s="15">
        <v>0.95958900000000003</v>
      </c>
      <c r="N4297" s="15">
        <v>0.98583421101341961</v>
      </c>
    </row>
    <row r="4298" spans="1:14" x14ac:dyDescent="0.2">
      <c r="A4298" s="2" t="s">
        <v>10066</v>
      </c>
      <c r="B4298" s="15">
        <v>2319</v>
      </c>
      <c r="C4298" s="15">
        <v>19</v>
      </c>
      <c r="D4298" s="15">
        <v>11681979</v>
      </c>
      <c r="E4298" s="15">
        <v>13213186</v>
      </c>
      <c r="F4298" s="15">
        <v>3353</v>
      </c>
      <c r="G4298" s="8" t="s">
        <v>12324</v>
      </c>
      <c r="H4298" s="24" t="s">
        <v>3164</v>
      </c>
      <c r="I4298" s="25" t="s">
        <v>3165</v>
      </c>
      <c r="J4298" s="8" t="s">
        <v>3166</v>
      </c>
      <c r="K4298" s="8" t="s">
        <v>10042</v>
      </c>
      <c r="L4298" s="15">
        <v>2.1499000000000001E-2</v>
      </c>
      <c r="M4298" s="15">
        <v>0.95039399999999996</v>
      </c>
      <c r="N4298" s="15">
        <v>0.98583421101341961</v>
      </c>
    </row>
    <row r="4299" spans="1:14" x14ac:dyDescent="0.2">
      <c r="A4299" s="2" t="s">
        <v>10066</v>
      </c>
      <c r="B4299" s="15">
        <v>1494</v>
      </c>
      <c r="C4299" s="15">
        <v>10</v>
      </c>
      <c r="D4299" s="15">
        <v>6897038</v>
      </c>
      <c r="E4299" s="15">
        <v>7659872</v>
      </c>
      <c r="F4299" s="15">
        <v>2745</v>
      </c>
      <c r="G4299" s="8" t="s">
        <v>12324</v>
      </c>
      <c r="H4299" s="24" t="s">
        <v>3164</v>
      </c>
      <c r="I4299" s="25" t="s">
        <v>3165</v>
      </c>
      <c r="J4299" s="8" t="s">
        <v>3166</v>
      </c>
      <c r="K4299" s="8" t="s">
        <v>10042</v>
      </c>
      <c r="L4299" s="15">
        <v>-1.5163899999999999E-2</v>
      </c>
      <c r="M4299" s="15">
        <v>0.95059099999999996</v>
      </c>
      <c r="N4299" s="15">
        <v>0.98583421101341961</v>
      </c>
    </row>
    <row r="4300" spans="1:14" x14ac:dyDescent="0.2">
      <c r="A4300" s="2" t="s">
        <v>10066</v>
      </c>
      <c r="B4300" s="15">
        <v>2282</v>
      </c>
      <c r="C4300" s="15">
        <v>18</v>
      </c>
      <c r="D4300" s="15">
        <v>53762997</v>
      </c>
      <c r="E4300" s="15">
        <v>54957867</v>
      </c>
      <c r="F4300" s="15">
        <v>2781</v>
      </c>
      <c r="G4300" s="8" t="s">
        <v>12324</v>
      </c>
      <c r="H4300" s="24" t="s">
        <v>3164</v>
      </c>
      <c r="I4300" s="25" t="s">
        <v>3165</v>
      </c>
      <c r="J4300" s="8" t="s">
        <v>3166</v>
      </c>
      <c r="K4300" s="8" t="s">
        <v>10042</v>
      </c>
      <c r="L4300" s="15">
        <v>1.45609E-2</v>
      </c>
      <c r="M4300" s="15">
        <v>0.95106599999999997</v>
      </c>
      <c r="N4300" s="15">
        <v>0.98583421101341961</v>
      </c>
    </row>
    <row r="4301" spans="1:14" x14ac:dyDescent="0.2">
      <c r="A4301" s="2" t="s">
        <v>10066</v>
      </c>
      <c r="B4301" s="15">
        <v>2481</v>
      </c>
      <c r="C4301" s="15">
        <v>22</v>
      </c>
      <c r="D4301" s="15">
        <v>36135969</v>
      </c>
      <c r="E4301" s="15">
        <v>37364004</v>
      </c>
      <c r="F4301" s="15">
        <v>3366</v>
      </c>
      <c r="G4301" s="8" t="s">
        <v>12324</v>
      </c>
      <c r="H4301" s="24" t="s">
        <v>3164</v>
      </c>
      <c r="I4301" s="25" t="s">
        <v>3165</v>
      </c>
      <c r="J4301" s="8" t="s">
        <v>3166</v>
      </c>
      <c r="K4301" s="8" t="s">
        <v>10042</v>
      </c>
      <c r="L4301" s="15">
        <v>-1.6709499999999999E-2</v>
      </c>
      <c r="M4301" s="15">
        <v>0.95114600000000005</v>
      </c>
      <c r="N4301" s="15">
        <v>0.98583421101341961</v>
      </c>
    </row>
    <row r="4302" spans="1:14" x14ac:dyDescent="0.2">
      <c r="A4302" s="2" t="s">
        <v>10066</v>
      </c>
      <c r="B4302" s="15">
        <v>1273</v>
      </c>
      <c r="C4302" s="15">
        <v>8</v>
      </c>
      <c r="D4302" s="15">
        <v>27406512</v>
      </c>
      <c r="E4302" s="15">
        <v>28344176</v>
      </c>
      <c r="F4302" s="15">
        <v>2621</v>
      </c>
      <c r="G4302" s="8" t="s">
        <v>12324</v>
      </c>
      <c r="H4302" s="24" t="s">
        <v>3164</v>
      </c>
      <c r="I4302" s="25" t="s">
        <v>3165</v>
      </c>
      <c r="J4302" s="8" t="s">
        <v>3166</v>
      </c>
      <c r="K4302" s="8" t="s">
        <v>10042</v>
      </c>
      <c r="L4302" s="15">
        <v>-1.3545E-2</v>
      </c>
      <c r="M4302" s="15">
        <v>0.95152000000000003</v>
      </c>
      <c r="N4302" s="15">
        <v>0.98583421101341961</v>
      </c>
    </row>
    <row r="4303" spans="1:14" x14ac:dyDescent="0.2">
      <c r="A4303" s="2" t="s">
        <v>10066</v>
      </c>
      <c r="B4303" s="15">
        <v>978</v>
      </c>
      <c r="C4303" s="15">
        <v>6</v>
      </c>
      <c r="D4303" s="15">
        <v>43770627</v>
      </c>
      <c r="E4303" s="15">
        <v>44596897</v>
      </c>
      <c r="F4303" s="15">
        <v>2314</v>
      </c>
      <c r="G4303" s="8" t="s">
        <v>12324</v>
      </c>
      <c r="H4303" s="24" t="s">
        <v>3164</v>
      </c>
      <c r="I4303" s="25" t="s">
        <v>3165</v>
      </c>
      <c r="J4303" s="8" t="s">
        <v>3166</v>
      </c>
      <c r="K4303" s="8" t="s">
        <v>10042</v>
      </c>
      <c r="L4303" s="15">
        <v>-9.28848E-3</v>
      </c>
      <c r="M4303" s="15">
        <v>0.95787599999999995</v>
      </c>
      <c r="N4303" s="15">
        <v>0.98583421101341961</v>
      </c>
    </row>
    <row r="4304" spans="1:14" x14ac:dyDescent="0.2">
      <c r="A4304" s="2" t="s">
        <v>10066</v>
      </c>
      <c r="B4304" s="15">
        <v>1270</v>
      </c>
      <c r="C4304" s="15">
        <v>8</v>
      </c>
      <c r="D4304" s="15">
        <v>24863244</v>
      </c>
      <c r="E4304" s="15">
        <v>25859277</v>
      </c>
      <c r="F4304" s="15">
        <v>2700</v>
      </c>
      <c r="G4304" s="8" t="s">
        <v>12324</v>
      </c>
      <c r="H4304" s="24" t="s">
        <v>3164</v>
      </c>
      <c r="I4304" s="25" t="s">
        <v>3165</v>
      </c>
      <c r="J4304" s="8" t="s">
        <v>3166</v>
      </c>
      <c r="K4304" s="8" t="s">
        <v>10042</v>
      </c>
      <c r="L4304" s="15">
        <v>-1.6484700000000001E-2</v>
      </c>
      <c r="M4304" s="15">
        <v>0.96044600000000002</v>
      </c>
      <c r="N4304" s="15">
        <v>0.98583421101341961</v>
      </c>
    </row>
    <row r="4305" spans="1:14" x14ac:dyDescent="0.2">
      <c r="A4305" s="2" t="s">
        <v>10066</v>
      </c>
      <c r="B4305" s="15">
        <v>1749</v>
      </c>
      <c r="C4305" s="15">
        <v>12</v>
      </c>
      <c r="D4305" s="15">
        <v>8760629</v>
      </c>
      <c r="E4305" s="15">
        <v>10176713</v>
      </c>
      <c r="F4305" s="15">
        <v>3742</v>
      </c>
      <c r="G4305" s="8" t="s">
        <v>12324</v>
      </c>
      <c r="H4305" s="24" t="s">
        <v>6008</v>
      </c>
      <c r="I4305" s="25" t="s">
        <v>6009</v>
      </c>
      <c r="J4305" s="8" t="s">
        <v>6010</v>
      </c>
      <c r="K4305" s="8" t="s">
        <v>10051</v>
      </c>
      <c r="L4305" s="15">
        <v>2.5292700000000001E-2</v>
      </c>
      <c r="M4305" s="15">
        <v>0.95171499999999998</v>
      </c>
      <c r="N4305" s="15">
        <v>0.98583421101341961</v>
      </c>
    </row>
    <row r="4306" spans="1:14" x14ac:dyDescent="0.2">
      <c r="A4306" s="2" t="s">
        <v>10066</v>
      </c>
      <c r="B4306" s="15">
        <v>1886</v>
      </c>
      <c r="C4306" s="15">
        <v>13</v>
      </c>
      <c r="D4306" s="15">
        <v>42950158</v>
      </c>
      <c r="E4306" s="15">
        <v>43931931</v>
      </c>
      <c r="F4306" s="15">
        <v>2441</v>
      </c>
      <c r="G4306" s="8" t="s">
        <v>12324</v>
      </c>
      <c r="H4306" s="24" t="s">
        <v>6008</v>
      </c>
      <c r="I4306" s="25" t="s">
        <v>6009</v>
      </c>
      <c r="J4306" s="8" t="s">
        <v>6010</v>
      </c>
      <c r="K4306" s="8" t="s">
        <v>10051</v>
      </c>
      <c r="L4306" s="15">
        <v>1.0368199999999999E-2</v>
      </c>
      <c r="M4306" s="15">
        <v>0.952206</v>
      </c>
      <c r="N4306" s="15">
        <v>0.98583421101341961</v>
      </c>
    </row>
    <row r="4307" spans="1:14" x14ac:dyDescent="0.2">
      <c r="A4307" s="2" t="s">
        <v>10066</v>
      </c>
      <c r="B4307" s="15">
        <v>208</v>
      </c>
      <c r="C4307" s="15">
        <v>2</v>
      </c>
      <c r="D4307" s="15">
        <v>4766970</v>
      </c>
      <c r="E4307" s="15">
        <v>5568653</v>
      </c>
      <c r="F4307" s="15">
        <v>2068</v>
      </c>
      <c r="G4307" s="8" t="s">
        <v>12324</v>
      </c>
      <c r="H4307" s="24" t="s">
        <v>6008</v>
      </c>
      <c r="I4307" s="25" t="s">
        <v>6009</v>
      </c>
      <c r="J4307" s="8" t="s">
        <v>6010</v>
      </c>
      <c r="K4307" s="8" t="s">
        <v>10051</v>
      </c>
      <c r="L4307" s="15">
        <v>-1.0427000000000001E-2</v>
      </c>
      <c r="M4307" s="15">
        <v>0.95281000000000005</v>
      </c>
      <c r="N4307" s="15">
        <v>0.98583421101341961</v>
      </c>
    </row>
    <row r="4308" spans="1:14" x14ac:dyDescent="0.2">
      <c r="A4308" s="2" t="s">
        <v>10066</v>
      </c>
      <c r="B4308" s="15">
        <v>1334</v>
      </c>
      <c r="C4308" s="15">
        <v>8</v>
      </c>
      <c r="D4308" s="15">
        <v>105370131</v>
      </c>
      <c r="E4308" s="15">
        <v>106500950</v>
      </c>
      <c r="F4308" s="15">
        <v>2483</v>
      </c>
      <c r="G4308" s="8" t="s">
        <v>12324</v>
      </c>
      <c r="H4308" s="24" t="s">
        <v>6008</v>
      </c>
      <c r="I4308" s="25" t="s">
        <v>6009</v>
      </c>
      <c r="J4308" s="8" t="s">
        <v>6010</v>
      </c>
      <c r="K4308" s="8" t="s">
        <v>10051</v>
      </c>
      <c r="L4308" s="15">
        <v>1.9655200000000001E-2</v>
      </c>
      <c r="M4308" s="15">
        <v>0.95492999999999995</v>
      </c>
      <c r="N4308" s="15">
        <v>0.98583421101341961</v>
      </c>
    </row>
    <row r="4309" spans="1:14" x14ac:dyDescent="0.2">
      <c r="A4309" s="2" t="s">
        <v>10066</v>
      </c>
      <c r="B4309" s="15">
        <v>2241</v>
      </c>
      <c r="C4309" s="15">
        <v>18</v>
      </c>
      <c r="D4309" s="15">
        <v>2839843</v>
      </c>
      <c r="E4309" s="15">
        <v>3722828</v>
      </c>
      <c r="F4309" s="15">
        <v>2851</v>
      </c>
      <c r="G4309" s="8" t="s">
        <v>12324</v>
      </c>
      <c r="H4309" s="24" t="s">
        <v>6008</v>
      </c>
      <c r="I4309" s="25" t="s">
        <v>6009</v>
      </c>
      <c r="J4309" s="8" t="s">
        <v>6010</v>
      </c>
      <c r="K4309" s="8" t="s">
        <v>10051</v>
      </c>
      <c r="L4309" s="15">
        <v>-1.06239E-2</v>
      </c>
      <c r="M4309" s="15">
        <v>0.955098</v>
      </c>
      <c r="N4309" s="15">
        <v>0.98583421101341961</v>
      </c>
    </row>
    <row r="4310" spans="1:14" x14ac:dyDescent="0.2">
      <c r="A4310" s="2" t="s">
        <v>10066</v>
      </c>
      <c r="B4310" s="15">
        <v>1789</v>
      </c>
      <c r="C4310" s="15">
        <v>12</v>
      </c>
      <c r="D4310" s="15">
        <v>50344347</v>
      </c>
      <c r="E4310" s="15">
        <v>51769419</v>
      </c>
      <c r="F4310" s="15">
        <v>2645</v>
      </c>
      <c r="G4310" s="8" t="s">
        <v>12324</v>
      </c>
      <c r="H4310" s="24" t="s">
        <v>6008</v>
      </c>
      <c r="I4310" s="25" t="s">
        <v>6009</v>
      </c>
      <c r="J4310" s="8" t="s">
        <v>6010</v>
      </c>
      <c r="K4310" s="8" t="s">
        <v>10051</v>
      </c>
      <c r="L4310" s="15">
        <v>1.2073E-2</v>
      </c>
      <c r="M4310" s="15">
        <v>0.95519299999999996</v>
      </c>
      <c r="N4310" s="15">
        <v>0.98583421101341961</v>
      </c>
    </row>
    <row r="4311" spans="1:14" x14ac:dyDescent="0.2">
      <c r="A4311" s="2" t="s">
        <v>10066</v>
      </c>
      <c r="B4311" s="15">
        <v>2310</v>
      </c>
      <c r="C4311" s="15">
        <v>19</v>
      </c>
      <c r="D4311" s="15">
        <v>3085447</v>
      </c>
      <c r="E4311" s="15">
        <v>3893909</v>
      </c>
      <c r="F4311" s="15">
        <v>2668</v>
      </c>
      <c r="G4311" s="8" t="s">
        <v>12324</v>
      </c>
      <c r="H4311" s="24" t="s">
        <v>6008</v>
      </c>
      <c r="I4311" s="25" t="s">
        <v>6009</v>
      </c>
      <c r="J4311" s="8" t="s">
        <v>6010</v>
      </c>
      <c r="K4311" s="8" t="s">
        <v>10051</v>
      </c>
      <c r="L4311" s="15">
        <v>-9.7774100000000003E-3</v>
      </c>
      <c r="M4311" s="15">
        <v>0.955345</v>
      </c>
      <c r="N4311" s="15">
        <v>0.98583421101341961</v>
      </c>
    </row>
    <row r="4312" spans="1:14" x14ac:dyDescent="0.2">
      <c r="A4312" s="2" t="s">
        <v>10066</v>
      </c>
      <c r="B4312" s="15">
        <v>2104</v>
      </c>
      <c r="C4312" s="15">
        <v>16</v>
      </c>
      <c r="D4312" s="15">
        <v>1996493</v>
      </c>
      <c r="E4312" s="15">
        <v>3379996</v>
      </c>
      <c r="F4312" s="15">
        <v>2776</v>
      </c>
      <c r="G4312" s="8" t="s">
        <v>12324</v>
      </c>
      <c r="H4312" s="24" t="s">
        <v>6008</v>
      </c>
      <c r="I4312" s="25" t="s">
        <v>6009</v>
      </c>
      <c r="J4312" s="8" t="s">
        <v>6010</v>
      </c>
      <c r="K4312" s="8" t="s">
        <v>10051</v>
      </c>
      <c r="L4312" s="15">
        <v>-1.15481E-2</v>
      </c>
      <c r="M4312" s="15">
        <v>0.95603400000000005</v>
      </c>
      <c r="N4312" s="15">
        <v>0.98583421101341961</v>
      </c>
    </row>
    <row r="4313" spans="1:14" x14ac:dyDescent="0.2">
      <c r="A4313" s="2" t="s">
        <v>10066</v>
      </c>
      <c r="B4313" s="15">
        <v>682</v>
      </c>
      <c r="C4313" s="15">
        <v>4</v>
      </c>
      <c r="D4313" s="15">
        <v>91309864</v>
      </c>
      <c r="E4313" s="15">
        <v>92219192</v>
      </c>
      <c r="F4313" s="15">
        <v>2687</v>
      </c>
      <c r="G4313" s="8" t="s">
        <v>12324</v>
      </c>
      <c r="H4313" s="24" t="s">
        <v>6008</v>
      </c>
      <c r="I4313" s="25" t="s">
        <v>6009</v>
      </c>
      <c r="J4313" s="8" t="s">
        <v>6010</v>
      </c>
      <c r="K4313" s="8" t="s">
        <v>10051</v>
      </c>
      <c r="L4313" s="15">
        <v>1.8367100000000001E-2</v>
      </c>
      <c r="M4313" s="15">
        <v>0.958403</v>
      </c>
      <c r="N4313" s="15">
        <v>0.98583421101341961</v>
      </c>
    </row>
    <row r="4314" spans="1:14" x14ac:dyDescent="0.2">
      <c r="A4314" s="2" t="s">
        <v>10066</v>
      </c>
      <c r="B4314" s="15">
        <v>7</v>
      </c>
      <c r="C4314" s="15">
        <v>1</v>
      </c>
      <c r="D4314" s="15">
        <v>4773404</v>
      </c>
      <c r="E4314" s="15">
        <v>5362404</v>
      </c>
      <c r="F4314" s="15">
        <v>2209</v>
      </c>
      <c r="G4314" s="8" t="s">
        <v>12324</v>
      </c>
      <c r="H4314" s="24" t="s">
        <v>6008</v>
      </c>
      <c r="I4314" s="25" t="s">
        <v>6009</v>
      </c>
      <c r="J4314" s="8" t="s">
        <v>6010</v>
      </c>
      <c r="K4314" s="8" t="s">
        <v>10051</v>
      </c>
      <c r="L4314" s="15">
        <v>1.02483E-2</v>
      </c>
      <c r="M4314" s="15">
        <v>0.95883300000000005</v>
      </c>
      <c r="N4314" s="15">
        <v>0.98583421101341961</v>
      </c>
    </row>
    <row r="4315" spans="1:14" x14ac:dyDescent="0.2">
      <c r="A4315" s="2" t="s">
        <v>10066</v>
      </c>
      <c r="B4315" s="15">
        <v>943</v>
      </c>
      <c r="C4315" s="15">
        <v>6</v>
      </c>
      <c r="D4315" s="15">
        <v>19449153</v>
      </c>
      <c r="E4315" s="15">
        <v>20418020</v>
      </c>
      <c r="F4315" s="15">
        <v>2736</v>
      </c>
      <c r="G4315" s="8" t="s">
        <v>12324</v>
      </c>
      <c r="H4315" s="24" t="s">
        <v>6008</v>
      </c>
      <c r="I4315" s="25" t="s">
        <v>6009</v>
      </c>
      <c r="J4315" s="8" t="s">
        <v>6010</v>
      </c>
      <c r="K4315" s="8" t="s">
        <v>10051</v>
      </c>
      <c r="L4315" s="15">
        <v>1.24753E-2</v>
      </c>
      <c r="M4315" s="15">
        <v>0.95892599999999995</v>
      </c>
      <c r="N4315" s="15">
        <v>0.98583421101341961</v>
      </c>
    </row>
    <row r="4316" spans="1:14" x14ac:dyDescent="0.2">
      <c r="A4316" s="2" t="s">
        <v>10066</v>
      </c>
      <c r="B4316" s="15">
        <v>1420</v>
      </c>
      <c r="C4316" s="15">
        <v>9</v>
      </c>
      <c r="D4316" s="15">
        <v>73915495</v>
      </c>
      <c r="E4316" s="15">
        <v>74950318</v>
      </c>
      <c r="F4316" s="15">
        <v>2308</v>
      </c>
      <c r="G4316" s="8" t="s">
        <v>12324</v>
      </c>
      <c r="H4316" s="24" t="s">
        <v>6008</v>
      </c>
      <c r="I4316" s="25" t="s">
        <v>6009</v>
      </c>
      <c r="J4316" s="8" t="s">
        <v>6010</v>
      </c>
      <c r="K4316" s="8" t="s">
        <v>10051</v>
      </c>
      <c r="L4316" s="15">
        <v>1.5024600000000001E-2</v>
      </c>
      <c r="M4316" s="15">
        <v>0.96002200000000004</v>
      </c>
      <c r="N4316" s="15">
        <v>0.98583421101341961</v>
      </c>
    </row>
    <row r="4317" spans="1:14" x14ac:dyDescent="0.2">
      <c r="A4317" s="2" t="s">
        <v>10066</v>
      </c>
      <c r="B4317" s="15">
        <v>1836</v>
      </c>
      <c r="C4317" s="15">
        <v>12</v>
      </c>
      <c r="D4317" s="15">
        <v>106153788</v>
      </c>
      <c r="E4317" s="15">
        <v>106964977</v>
      </c>
      <c r="F4317" s="15">
        <v>2092</v>
      </c>
      <c r="G4317" s="8" t="s">
        <v>12324</v>
      </c>
      <c r="H4317" s="24" t="s">
        <v>6008</v>
      </c>
      <c r="I4317" s="25" t="s">
        <v>6009</v>
      </c>
      <c r="J4317" s="8" t="s">
        <v>6010</v>
      </c>
      <c r="K4317" s="8" t="s">
        <v>10051</v>
      </c>
      <c r="L4317" s="15">
        <v>7.5980199999999996E-3</v>
      </c>
      <c r="M4317" s="15">
        <v>0.96015899999999998</v>
      </c>
      <c r="N4317" s="15">
        <v>0.98583421101341961</v>
      </c>
    </row>
    <row r="4318" spans="1:14" x14ac:dyDescent="0.2">
      <c r="A4318" s="2" t="s">
        <v>10068</v>
      </c>
      <c r="B4318" s="15">
        <v>76</v>
      </c>
      <c r="C4318" s="15">
        <v>1</v>
      </c>
      <c r="D4318" s="15">
        <v>87667573</v>
      </c>
      <c r="E4318" s="15">
        <v>88656689</v>
      </c>
      <c r="F4318" s="15">
        <v>2207</v>
      </c>
      <c r="G4318" s="8" t="s">
        <v>12324</v>
      </c>
      <c r="H4318" s="24" t="s">
        <v>6565</v>
      </c>
      <c r="I4318" s="25" t="s">
        <v>6475</v>
      </c>
      <c r="J4318" s="8" t="s">
        <v>6566</v>
      </c>
      <c r="K4318" s="8" t="s">
        <v>10054</v>
      </c>
      <c r="L4318" s="15">
        <v>-8.8820300000000008E-3</v>
      </c>
      <c r="M4318" s="15">
        <v>0.95531600000000005</v>
      </c>
      <c r="N4318" s="15">
        <v>0.98583421101341961</v>
      </c>
    </row>
    <row r="4319" spans="1:14" x14ac:dyDescent="0.2">
      <c r="A4319" s="2" t="s">
        <v>10068</v>
      </c>
      <c r="B4319" s="15">
        <v>1070</v>
      </c>
      <c r="C4319" s="15">
        <v>6</v>
      </c>
      <c r="D4319" s="15">
        <v>147015883</v>
      </c>
      <c r="E4319" s="15">
        <v>148184844</v>
      </c>
      <c r="F4319" s="15">
        <v>2706</v>
      </c>
      <c r="G4319" s="8" t="s">
        <v>12324</v>
      </c>
      <c r="H4319" s="24" t="s">
        <v>6565</v>
      </c>
      <c r="I4319" s="25" t="s">
        <v>6475</v>
      </c>
      <c r="J4319" s="8" t="s">
        <v>6566</v>
      </c>
      <c r="K4319" s="8" t="s">
        <v>10054</v>
      </c>
      <c r="L4319" s="15">
        <v>1.50309E-2</v>
      </c>
      <c r="M4319" s="15">
        <v>0.95727899999999999</v>
      </c>
      <c r="N4319" s="15">
        <v>0.98583421101341961</v>
      </c>
    </row>
    <row r="4320" spans="1:14" x14ac:dyDescent="0.2">
      <c r="A4320" s="2" t="s">
        <v>10068</v>
      </c>
      <c r="B4320" s="15">
        <v>419</v>
      </c>
      <c r="C4320" s="15">
        <v>2</v>
      </c>
      <c r="D4320" s="15">
        <v>241113280</v>
      </c>
      <c r="E4320" s="15">
        <v>241910366</v>
      </c>
      <c r="F4320" s="15">
        <v>2997</v>
      </c>
      <c r="G4320" s="8" t="s">
        <v>12324</v>
      </c>
      <c r="H4320" s="24" t="s">
        <v>6565</v>
      </c>
      <c r="I4320" s="25" t="s">
        <v>6475</v>
      </c>
      <c r="J4320" s="8" t="s">
        <v>6566</v>
      </c>
      <c r="K4320" s="8" t="s">
        <v>10054</v>
      </c>
      <c r="L4320" s="15">
        <v>-1.44023E-2</v>
      </c>
      <c r="M4320" s="15">
        <v>0.95779700000000001</v>
      </c>
      <c r="N4320" s="15">
        <v>0.98583421101341961</v>
      </c>
    </row>
    <row r="4321" spans="1:14" x14ac:dyDescent="0.2">
      <c r="A4321" s="2" t="s">
        <v>10068</v>
      </c>
      <c r="B4321" s="15">
        <v>114</v>
      </c>
      <c r="C4321" s="15">
        <v>1</v>
      </c>
      <c r="D4321" s="15">
        <v>156813846</v>
      </c>
      <c r="E4321" s="15">
        <v>158081627</v>
      </c>
      <c r="F4321" s="15">
        <v>3524</v>
      </c>
      <c r="G4321" s="8" t="s">
        <v>12324</v>
      </c>
      <c r="H4321" s="24" t="s">
        <v>6565</v>
      </c>
      <c r="I4321" s="25" t="s">
        <v>6475</v>
      </c>
      <c r="J4321" s="8" t="s">
        <v>6566</v>
      </c>
      <c r="K4321" s="8" t="s">
        <v>10054</v>
      </c>
      <c r="L4321" s="15">
        <v>-1.30619E-2</v>
      </c>
      <c r="M4321" s="15">
        <v>0.95793200000000001</v>
      </c>
      <c r="N4321" s="15">
        <v>0.98583421101341961</v>
      </c>
    </row>
    <row r="4322" spans="1:14" x14ac:dyDescent="0.2">
      <c r="A4322" s="2" t="s">
        <v>10068</v>
      </c>
      <c r="B4322" s="15">
        <v>2068</v>
      </c>
      <c r="C4322" s="15">
        <v>15</v>
      </c>
      <c r="D4322" s="15">
        <v>63218979</v>
      </c>
      <c r="E4322" s="15">
        <v>64339945</v>
      </c>
      <c r="F4322" s="15">
        <v>2961</v>
      </c>
      <c r="G4322" s="8" t="s">
        <v>12324</v>
      </c>
      <c r="H4322" s="24" t="s">
        <v>6565</v>
      </c>
      <c r="I4322" s="25" t="s">
        <v>6475</v>
      </c>
      <c r="J4322" s="8" t="s">
        <v>6566</v>
      </c>
      <c r="K4322" s="8" t="s">
        <v>10054</v>
      </c>
      <c r="L4322" s="15">
        <v>1.9879399999999998E-2</v>
      </c>
      <c r="M4322" s="15">
        <v>0.95967800000000003</v>
      </c>
      <c r="N4322" s="15">
        <v>0.98583421101341961</v>
      </c>
    </row>
    <row r="4323" spans="1:14" x14ac:dyDescent="0.2">
      <c r="A4323" s="2" t="s">
        <v>10068</v>
      </c>
      <c r="B4323" s="15">
        <v>685</v>
      </c>
      <c r="C4323" s="15">
        <v>4</v>
      </c>
      <c r="D4323" s="15">
        <v>94757266</v>
      </c>
      <c r="E4323" s="15">
        <v>96183801</v>
      </c>
      <c r="F4323" s="15">
        <v>3740</v>
      </c>
      <c r="G4323" s="8" t="s">
        <v>12324</v>
      </c>
      <c r="H4323" s="24" t="s">
        <v>6565</v>
      </c>
      <c r="I4323" s="25" t="s">
        <v>6475</v>
      </c>
      <c r="J4323" s="8" t="s">
        <v>6566</v>
      </c>
      <c r="K4323" s="8" t="s">
        <v>10054</v>
      </c>
      <c r="L4323" s="15">
        <v>-1.03518E-2</v>
      </c>
      <c r="M4323" s="15">
        <v>0.95988300000000004</v>
      </c>
      <c r="N4323" s="15">
        <v>0.98583421101341961</v>
      </c>
    </row>
    <row r="4324" spans="1:14" x14ac:dyDescent="0.2">
      <c r="A4324" s="2" t="s">
        <v>10068</v>
      </c>
      <c r="B4324" s="15">
        <v>2372</v>
      </c>
      <c r="C4324" s="15">
        <v>20</v>
      </c>
      <c r="D4324" s="15">
        <v>2668109</v>
      </c>
      <c r="E4324" s="15">
        <v>3736551</v>
      </c>
      <c r="F4324" s="15">
        <v>2803</v>
      </c>
      <c r="G4324" s="8" t="s">
        <v>12324</v>
      </c>
      <c r="H4324" s="24" t="s">
        <v>6565</v>
      </c>
      <c r="I4324" s="25" t="s">
        <v>6475</v>
      </c>
      <c r="J4324" s="8" t="s">
        <v>6566</v>
      </c>
      <c r="K4324" s="8" t="s">
        <v>10054</v>
      </c>
      <c r="L4324" s="15">
        <v>8.6243699999999993E-3</v>
      </c>
      <c r="M4324" s="15">
        <v>0.96071600000000001</v>
      </c>
      <c r="N4324" s="15">
        <v>0.98583421101341961</v>
      </c>
    </row>
    <row r="4325" spans="1:14" x14ac:dyDescent="0.2">
      <c r="A4325" s="2" t="s">
        <v>10068</v>
      </c>
      <c r="B4325" s="15">
        <v>2002</v>
      </c>
      <c r="C4325" s="15">
        <v>14</v>
      </c>
      <c r="D4325" s="15">
        <v>72665320</v>
      </c>
      <c r="E4325" s="15">
        <v>73373373</v>
      </c>
      <c r="F4325" s="15">
        <v>2101</v>
      </c>
      <c r="G4325" s="8" t="s">
        <v>12324</v>
      </c>
      <c r="H4325" s="24" t="s">
        <v>599</v>
      </c>
      <c r="I4325" s="25">
        <v>26562</v>
      </c>
      <c r="J4325" s="8" t="s">
        <v>601</v>
      </c>
      <c r="K4325" s="8" t="s">
        <v>10040</v>
      </c>
      <c r="L4325" s="15">
        <v>-1.6924700000000001E-2</v>
      </c>
      <c r="M4325" s="15">
        <v>0.96194100000000005</v>
      </c>
      <c r="N4325" s="15">
        <v>0.98615048763577529</v>
      </c>
    </row>
    <row r="4326" spans="1:14" x14ac:dyDescent="0.2">
      <c r="A4326" s="2" t="s">
        <v>10069</v>
      </c>
      <c r="B4326" s="15">
        <v>214</v>
      </c>
      <c r="C4326" s="15">
        <v>2</v>
      </c>
      <c r="D4326" s="15">
        <v>9960671</v>
      </c>
      <c r="E4326" s="15">
        <v>10611654</v>
      </c>
      <c r="F4326" s="15">
        <v>1812</v>
      </c>
      <c r="G4326" s="8" t="s">
        <v>12324</v>
      </c>
      <c r="H4326" s="24" t="s">
        <v>662</v>
      </c>
      <c r="I4326" s="25" t="s">
        <v>663</v>
      </c>
      <c r="J4326" s="8" t="s">
        <v>664</v>
      </c>
      <c r="K4326" s="8" t="s">
        <v>10040</v>
      </c>
      <c r="L4326" s="15">
        <v>1.3835800000000001E-2</v>
      </c>
      <c r="M4326" s="15">
        <v>0.96201000000000003</v>
      </c>
      <c r="N4326" s="15">
        <v>0.98615048763577529</v>
      </c>
    </row>
    <row r="4327" spans="1:14" x14ac:dyDescent="0.2">
      <c r="A4327" s="2" t="s">
        <v>10069</v>
      </c>
      <c r="B4327" s="15">
        <v>1999</v>
      </c>
      <c r="C4327" s="15">
        <v>14</v>
      </c>
      <c r="D4327" s="15">
        <v>68976913</v>
      </c>
      <c r="E4327" s="15">
        <v>69794542</v>
      </c>
      <c r="F4327" s="15">
        <v>1618</v>
      </c>
      <c r="G4327" s="8" t="s">
        <v>12324</v>
      </c>
      <c r="H4327" s="24" t="s">
        <v>662</v>
      </c>
      <c r="I4327" s="25" t="s">
        <v>663</v>
      </c>
      <c r="J4327" s="8" t="s">
        <v>664</v>
      </c>
      <c r="K4327" s="8" t="s">
        <v>10040</v>
      </c>
      <c r="L4327" s="15">
        <v>-1.6986600000000001E-2</v>
      </c>
      <c r="M4327" s="15">
        <v>0.96213599999999999</v>
      </c>
      <c r="N4327" s="15">
        <v>0.98615048763577529</v>
      </c>
    </row>
    <row r="4328" spans="1:14" x14ac:dyDescent="0.2">
      <c r="A4328" s="2" t="s">
        <v>10066</v>
      </c>
      <c r="B4328" s="15">
        <v>597</v>
      </c>
      <c r="C4328" s="15">
        <v>4</v>
      </c>
      <c r="D4328" s="15">
        <v>812416</v>
      </c>
      <c r="E4328" s="15">
        <v>1529267</v>
      </c>
      <c r="F4328" s="15">
        <v>2322</v>
      </c>
      <c r="G4328" s="8" t="s">
        <v>12324</v>
      </c>
      <c r="H4328" s="24" t="s">
        <v>3164</v>
      </c>
      <c r="I4328" s="25" t="s">
        <v>3165</v>
      </c>
      <c r="J4328" s="8" t="s">
        <v>3166</v>
      </c>
      <c r="K4328" s="8" t="s">
        <v>10042</v>
      </c>
      <c r="L4328" s="15">
        <v>1.05085E-2</v>
      </c>
      <c r="M4328" s="15">
        <v>0.96156799999999998</v>
      </c>
      <c r="N4328" s="15">
        <v>0.98615048763577529</v>
      </c>
    </row>
    <row r="4329" spans="1:14" x14ac:dyDescent="0.2">
      <c r="A4329" s="2" t="s">
        <v>10068</v>
      </c>
      <c r="B4329" s="15">
        <v>185</v>
      </c>
      <c r="C4329" s="15">
        <v>1</v>
      </c>
      <c r="D4329" s="15">
        <v>235097114</v>
      </c>
      <c r="E4329" s="15">
        <v>236199671</v>
      </c>
      <c r="F4329" s="15">
        <v>2347</v>
      </c>
      <c r="G4329" s="8" t="s">
        <v>12324</v>
      </c>
      <c r="H4329" s="24" t="s">
        <v>6565</v>
      </c>
      <c r="I4329" s="25" t="s">
        <v>6475</v>
      </c>
      <c r="J4329" s="8" t="s">
        <v>6566</v>
      </c>
      <c r="K4329" s="8" t="s">
        <v>10054</v>
      </c>
      <c r="L4329" s="15">
        <v>8.4791899999999993E-3</v>
      </c>
      <c r="M4329" s="15">
        <v>0.96176099999999998</v>
      </c>
      <c r="N4329" s="15">
        <v>0.98615048763577529</v>
      </c>
    </row>
    <row r="4330" spans="1:14" x14ac:dyDescent="0.2">
      <c r="A4330" s="2" t="s">
        <v>10068</v>
      </c>
      <c r="B4330" s="15">
        <v>339</v>
      </c>
      <c r="C4330" s="15">
        <v>2</v>
      </c>
      <c r="D4330" s="15">
        <v>151428989</v>
      </c>
      <c r="E4330" s="15">
        <v>152497375</v>
      </c>
      <c r="F4330" s="15">
        <v>2725</v>
      </c>
      <c r="G4330" s="8" t="s">
        <v>12324</v>
      </c>
      <c r="H4330" s="24" t="s">
        <v>1259</v>
      </c>
      <c r="I4330" s="25">
        <v>27096</v>
      </c>
      <c r="J4330" s="8" t="s">
        <v>1261</v>
      </c>
      <c r="K4330" s="8" t="s">
        <v>10040</v>
      </c>
      <c r="L4330" s="15">
        <v>9.9634300000000005E-3</v>
      </c>
      <c r="M4330" s="15">
        <v>0.96298300000000003</v>
      </c>
      <c r="N4330" s="15">
        <v>0.98679057416820692</v>
      </c>
    </row>
    <row r="4331" spans="1:14" x14ac:dyDescent="0.2">
      <c r="A4331" s="2" t="s">
        <v>10068</v>
      </c>
      <c r="B4331" s="15">
        <v>227</v>
      </c>
      <c r="C4331" s="15">
        <v>2</v>
      </c>
      <c r="D4331" s="15">
        <v>23538528</v>
      </c>
      <c r="E4331" s="15">
        <v>24669224</v>
      </c>
      <c r="F4331" s="15">
        <v>3133</v>
      </c>
      <c r="G4331" s="8" t="s">
        <v>12324</v>
      </c>
      <c r="H4331" s="24" t="s">
        <v>494</v>
      </c>
      <c r="I4331" s="25">
        <v>25920</v>
      </c>
      <c r="J4331" s="8" t="s">
        <v>496</v>
      </c>
      <c r="K4331" s="8" t="s">
        <v>10040</v>
      </c>
      <c r="L4331" s="15">
        <v>1.0590499999999999E-2</v>
      </c>
      <c r="M4331" s="15">
        <v>0.96355199999999996</v>
      </c>
      <c r="N4331" s="15">
        <v>0.98703434411085456</v>
      </c>
    </row>
    <row r="4332" spans="1:14" x14ac:dyDescent="0.2">
      <c r="A4332" s="2" t="s">
        <v>10068</v>
      </c>
      <c r="B4332" s="15">
        <v>1078</v>
      </c>
      <c r="C4332" s="15">
        <v>6</v>
      </c>
      <c r="D4332" s="15">
        <v>154462011</v>
      </c>
      <c r="E4332" s="15">
        <v>155523957</v>
      </c>
      <c r="F4332" s="15">
        <v>3234</v>
      </c>
      <c r="G4332" s="8" t="s">
        <v>12324</v>
      </c>
      <c r="H4332" s="24" t="s">
        <v>599</v>
      </c>
      <c r="I4332" s="25">
        <v>26562</v>
      </c>
      <c r="J4332" s="8" t="s">
        <v>601</v>
      </c>
      <c r="K4332" s="8" t="s">
        <v>10040</v>
      </c>
      <c r="L4332" s="15">
        <v>8.5071299999999999E-3</v>
      </c>
      <c r="M4332" s="15">
        <v>0.96366600000000002</v>
      </c>
      <c r="N4332" s="15">
        <v>0.98703434411085456</v>
      </c>
    </row>
    <row r="4333" spans="1:14" x14ac:dyDescent="0.2">
      <c r="A4333" s="2" t="s">
        <v>10068</v>
      </c>
      <c r="B4333" s="15">
        <v>1603</v>
      </c>
      <c r="C4333" s="15">
        <v>10</v>
      </c>
      <c r="D4333" s="15">
        <v>129831970</v>
      </c>
      <c r="E4333" s="15">
        <v>130694008</v>
      </c>
      <c r="F4333" s="15">
        <v>2884</v>
      </c>
      <c r="G4333" s="8" t="s">
        <v>12324</v>
      </c>
      <c r="H4333" s="24" t="s">
        <v>6565</v>
      </c>
      <c r="I4333" s="25" t="s">
        <v>6475</v>
      </c>
      <c r="J4333" s="8" t="s">
        <v>6566</v>
      </c>
      <c r="K4333" s="8" t="s">
        <v>10054</v>
      </c>
      <c r="L4333" s="15">
        <v>-9.7384099999999994E-3</v>
      </c>
      <c r="M4333" s="15">
        <v>0.96409599999999995</v>
      </c>
      <c r="N4333" s="15">
        <v>0.98724676979912263</v>
      </c>
    </row>
    <row r="4334" spans="1:14" x14ac:dyDescent="0.2">
      <c r="A4334" s="2" t="s">
        <v>10068</v>
      </c>
      <c r="B4334" s="15">
        <v>2005</v>
      </c>
      <c r="C4334" s="15">
        <v>14</v>
      </c>
      <c r="D4334" s="15">
        <v>75699502</v>
      </c>
      <c r="E4334" s="15">
        <v>76694201</v>
      </c>
      <c r="F4334" s="15">
        <v>2376</v>
      </c>
      <c r="G4334" s="8" t="s">
        <v>12324</v>
      </c>
      <c r="H4334" s="24" t="s">
        <v>6565</v>
      </c>
      <c r="I4334" s="25" t="s">
        <v>6475</v>
      </c>
      <c r="J4334" s="8" t="s">
        <v>6566</v>
      </c>
      <c r="K4334" s="8" t="s">
        <v>10054</v>
      </c>
      <c r="L4334" s="15">
        <v>8.5720299999999996E-3</v>
      </c>
      <c r="M4334" s="15">
        <v>0.96467899999999995</v>
      </c>
      <c r="N4334" s="15">
        <v>0.98761573522622337</v>
      </c>
    </row>
    <row r="4335" spans="1:14" x14ac:dyDescent="0.2">
      <c r="A4335" s="2" t="s">
        <v>10068</v>
      </c>
      <c r="B4335" s="15">
        <v>4</v>
      </c>
      <c r="C4335" s="15">
        <v>1</v>
      </c>
      <c r="D4335" s="15">
        <v>2983520</v>
      </c>
      <c r="E4335" s="15">
        <v>3582047</v>
      </c>
      <c r="F4335" s="15">
        <v>2078</v>
      </c>
      <c r="G4335" s="8" t="s">
        <v>12324</v>
      </c>
      <c r="H4335" s="24" t="s">
        <v>494</v>
      </c>
      <c r="I4335" s="25">
        <v>25920</v>
      </c>
      <c r="J4335" s="8" t="s">
        <v>496</v>
      </c>
      <c r="K4335" s="8" t="s">
        <v>10040</v>
      </c>
      <c r="L4335" s="15">
        <v>6.6820999999999998E-3</v>
      </c>
      <c r="M4335" s="15">
        <v>0.96607699999999996</v>
      </c>
      <c r="N4335" s="15">
        <v>0.98821946494464952</v>
      </c>
    </row>
    <row r="4336" spans="1:14" x14ac:dyDescent="0.2">
      <c r="A4336" s="2" t="s">
        <v>10068</v>
      </c>
      <c r="B4336" s="15">
        <v>429</v>
      </c>
      <c r="C4336" s="15">
        <v>3</v>
      </c>
      <c r="D4336" s="15">
        <v>6421146</v>
      </c>
      <c r="E4336" s="15">
        <v>7529554</v>
      </c>
      <c r="F4336" s="15">
        <v>3529</v>
      </c>
      <c r="G4336" s="8" t="s">
        <v>12324</v>
      </c>
      <c r="H4336" s="24" t="s">
        <v>599</v>
      </c>
      <c r="I4336" s="25">
        <v>26562</v>
      </c>
      <c r="J4336" s="8" t="s">
        <v>601</v>
      </c>
      <c r="K4336" s="8" t="s">
        <v>10040</v>
      </c>
      <c r="L4336" s="15">
        <v>8.5222200000000005E-3</v>
      </c>
      <c r="M4336" s="15">
        <v>0.96579700000000002</v>
      </c>
      <c r="N4336" s="15">
        <v>0.98821946494464952</v>
      </c>
    </row>
    <row r="4337" spans="1:14" x14ac:dyDescent="0.2">
      <c r="A4337" s="2" t="s">
        <v>10068</v>
      </c>
      <c r="B4337" s="15">
        <v>106</v>
      </c>
      <c r="C4337" s="15">
        <v>1</v>
      </c>
      <c r="D4337" s="15">
        <v>120345067</v>
      </c>
      <c r="E4337" s="15">
        <v>145803848</v>
      </c>
      <c r="F4337" s="15">
        <v>1104</v>
      </c>
      <c r="G4337" s="8" t="s">
        <v>12324</v>
      </c>
      <c r="H4337" s="24" t="s">
        <v>1259</v>
      </c>
      <c r="I4337" s="25">
        <v>27096</v>
      </c>
      <c r="J4337" s="8" t="s">
        <v>1261</v>
      </c>
      <c r="K4337" s="8" t="s">
        <v>10040</v>
      </c>
      <c r="L4337" s="15">
        <v>-7.0885699999999998E-3</v>
      </c>
      <c r="M4337" s="15">
        <v>0.96609500000000004</v>
      </c>
      <c r="N4337" s="15">
        <v>0.98821946494464952</v>
      </c>
    </row>
    <row r="4338" spans="1:14" x14ac:dyDescent="0.2">
      <c r="A4338" s="2" t="s">
        <v>10066</v>
      </c>
      <c r="B4338" s="15">
        <v>2202</v>
      </c>
      <c r="C4338" s="15">
        <v>17</v>
      </c>
      <c r="D4338" s="15">
        <v>36116885</v>
      </c>
      <c r="E4338" s="15">
        <v>37361178</v>
      </c>
      <c r="F4338" s="15">
        <v>2541</v>
      </c>
      <c r="G4338" s="8" t="s">
        <v>12324</v>
      </c>
      <c r="H4338" s="24" t="s">
        <v>3164</v>
      </c>
      <c r="I4338" s="25" t="s">
        <v>3165</v>
      </c>
      <c r="J4338" s="8" t="s">
        <v>3166</v>
      </c>
      <c r="K4338" s="8" t="s">
        <v>10042</v>
      </c>
      <c r="L4338" s="15">
        <v>5.5393700000000001E-3</v>
      </c>
      <c r="M4338" s="15">
        <v>0.96616000000000002</v>
      </c>
      <c r="N4338" s="15">
        <v>0.98821946494464952</v>
      </c>
    </row>
    <row r="4339" spans="1:14" x14ac:dyDescent="0.2">
      <c r="A4339" s="2" t="s">
        <v>10068</v>
      </c>
      <c r="B4339" s="15">
        <v>442</v>
      </c>
      <c r="C4339" s="15">
        <v>3</v>
      </c>
      <c r="D4339" s="15">
        <v>21790868</v>
      </c>
      <c r="E4339" s="15">
        <v>22648001</v>
      </c>
      <c r="F4339" s="15">
        <v>3524</v>
      </c>
      <c r="G4339" s="8" t="s">
        <v>12324</v>
      </c>
      <c r="H4339" s="24" t="s">
        <v>494</v>
      </c>
      <c r="I4339" s="25">
        <v>25920</v>
      </c>
      <c r="J4339" s="8" t="s">
        <v>496</v>
      </c>
      <c r="K4339" s="8" t="s">
        <v>10040</v>
      </c>
      <c r="L4339" s="15">
        <v>-1.13539E-2</v>
      </c>
      <c r="M4339" s="15">
        <v>0.96686099999999997</v>
      </c>
      <c r="N4339" s="15">
        <v>0.98823360715924746</v>
      </c>
    </row>
    <row r="4340" spans="1:14" x14ac:dyDescent="0.2">
      <c r="A4340" s="2" t="s">
        <v>10068</v>
      </c>
      <c r="B4340" s="15">
        <v>385</v>
      </c>
      <c r="C4340" s="15">
        <v>2</v>
      </c>
      <c r="D4340" s="15">
        <v>207726595</v>
      </c>
      <c r="E4340" s="15">
        <v>208674588</v>
      </c>
      <c r="F4340" s="15">
        <v>2241</v>
      </c>
      <c r="G4340" s="8" t="s">
        <v>12324</v>
      </c>
      <c r="H4340" s="24" t="s">
        <v>494</v>
      </c>
      <c r="I4340" s="25">
        <v>25920</v>
      </c>
      <c r="J4340" s="8" t="s">
        <v>496</v>
      </c>
      <c r="K4340" s="8" t="s">
        <v>10040</v>
      </c>
      <c r="L4340" s="15">
        <v>-7.5060200000000004E-3</v>
      </c>
      <c r="M4340" s="15">
        <v>0.96866300000000005</v>
      </c>
      <c r="N4340" s="15">
        <v>0.98823360715924746</v>
      </c>
    </row>
    <row r="4341" spans="1:14" x14ac:dyDescent="0.2">
      <c r="A4341" s="2" t="s">
        <v>10068</v>
      </c>
      <c r="B4341" s="15">
        <v>1355</v>
      </c>
      <c r="C4341" s="15">
        <v>8</v>
      </c>
      <c r="D4341" s="15">
        <v>130383564</v>
      </c>
      <c r="E4341" s="15">
        <v>131545725</v>
      </c>
      <c r="F4341" s="15">
        <v>3097</v>
      </c>
      <c r="G4341" s="8" t="s">
        <v>12324</v>
      </c>
      <c r="H4341" s="24" t="s">
        <v>494</v>
      </c>
      <c r="I4341" s="25">
        <v>25920</v>
      </c>
      <c r="J4341" s="8" t="s">
        <v>496</v>
      </c>
      <c r="K4341" s="8" t="s">
        <v>10040</v>
      </c>
      <c r="L4341" s="15">
        <v>8.4492300000000003E-3</v>
      </c>
      <c r="M4341" s="15">
        <v>0.97018000000000004</v>
      </c>
      <c r="N4341" s="15">
        <v>0.98823360715924746</v>
      </c>
    </row>
    <row r="4342" spans="1:14" x14ac:dyDescent="0.2">
      <c r="A4342" s="2" t="s">
        <v>10068</v>
      </c>
      <c r="B4342" s="15">
        <v>190</v>
      </c>
      <c r="C4342" s="15">
        <v>1</v>
      </c>
      <c r="D4342" s="15">
        <v>239332149</v>
      </c>
      <c r="E4342" s="15">
        <v>240248508</v>
      </c>
      <c r="F4342" s="15">
        <v>2596</v>
      </c>
      <c r="G4342" s="8" t="s">
        <v>12324</v>
      </c>
      <c r="H4342" s="24" t="s">
        <v>494</v>
      </c>
      <c r="I4342" s="25">
        <v>25920</v>
      </c>
      <c r="J4342" s="8" t="s">
        <v>496</v>
      </c>
      <c r="K4342" s="8" t="s">
        <v>10040</v>
      </c>
      <c r="L4342" s="15">
        <v>9.4787199999999995E-3</v>
      </c>
      <c r="M4342" s="15">
        <v>0.97067499999999995</v>
      </c>
      <c r="N4342" s="15">
        <v>0.98823360715924746</v>
      </c>
    </row>
    <row r="4343" spans="1:14" x14ac:dyDescent="0.2">
      <c r="A4343" s="2" t="s">
        <v>10068</v>
      </c>
      <c r="B4343" s="15">
        <v>2190</v>
      </c>
      <c r="C4343" s="15">
        <v>17</v>
      </c>
      <c r="D4343" s="15">
        <v>16405208</v>
      </c>
      <c r="E4343" s="15">
        <v>17326540</v>
      </c>
      <c r="F4343" s="15">
        <v>2172</v>
      </c>
      <c r="G4343" s="8" t="s">
        <v>12324</v>
      </c>
      <c r="H4343" s="24" t="s">
        <v>494</v>
      </c>
      <c r="I4343" s="25">
        <v>25920</v>
      </c>
      <c r="J4343" s="8" t="s">
        <v>496</v>
      </c>
      <c r="K4343" s="8" t="s">
        <v>10040</v>
      </c>
      <c r="L4343" s="15">
        <v>1.30203E-2</v>
      </c>
      <c r="M4343" s="15">
        <v>0.97103799999999996</v>
      </c>
      <c r="N4343" s="15">
        <v>0.98823360715924746</v>
      </c>
    </row>
    <row r="4344" spans="1:14" x14ac:dyDescent="0.2">
      <c r="A4344" s="2" t="s">
        <v>10068</v>
      </c>
      <c r="B4344" s="15">
        <v>396</v>
      </c>
      <c r="C4344" s="15">
        <v>2</v>
      </c>
      <c r="D4344" s="15">
        <v>219678784</v>
      </c>
      <c r="E4344" s="15">
        <v>220771552</v>
      </c>
      <c r="F4344" s="15">
        <v>2231</v>
      </c>
      <c r="G4344" s="8" t="s">
        <v>12324</v>
      </c>
      <c r="H4344" s="24" t="s">
        <v>494</v>
      </c>
      <c r="I4344" s="25">
        <v>25920</v>
      </c>
      <c r="J4344" s="8" t="s">
        <v>496</v>
      </c>
      <c r="K4344" s="8" t="s">
        <v>10040</v>
      </c>
      <c r="L4344" s="15">
        <v>7.1069899999999997E-3</v>
      </c>
      <c r="M4344" s="15">
        <v>0.97107600000000005</v>
      </c>
      <c r="N4344" s="15">
        <v>0.98823360715924746</v>
      </c>
    </row>
    <row r="4345" spans="1:14" x14ac:dyDescent="0.2">
      <c r="A4345" s="2" t="s">
        <v>10068</v>
      </c>
      <c r="B4345" s="15">
        <v>1557</v>
      </c>
      <c r="C4345" s="15">
        <v>10</v>
      </c>
      <c r="D4345" s="15">
        <v>77144962</v>
      </c>
      <c r="E4345" s="15">
        <v>78665481</v>
      </c>
      <c r="F4345" s="15">
        <v>3061</v>
      </c>
      <c r="G4345" s="8" t="s">
        <v>12324</v>
      </c>
      <c r="H4345" s="24" t="s">
        <v>599</v>
      </c>
      <c r="I4345" s="25">
        <v>26562</v>
      </c>
      <c r="J4345" s="8" t="s">
        <v>601</v>
      </c>
      <c r="K4345" s="8" t="s">
        <v>10040</v>
      </c>
      <c r="L4345" s="15">
        <v>-8.4944400000000007E-3</v>
      </c>
      <c r="M4345" s="15">
        <v>0.96892999999999996</v>
      </c>
      <c r="N4345" s="15">
        <v>0.98823360715924746</v>
      </c>
    </row>
    <row r="4346" spans="1:14" x14ac:dyDescent="0.2">
      <c r="A4346" s="2" t="s">
        <v>10069</v>
      </c>
      <c r="B4346" s="15">
        <v>2325</v>
      </c>
      <c r="C4346" s="15">
        <v>19</v>
      </c>
      <c r="D4346" s="15">
        <v>17045964</v>
      </c>
      <c r="E4346" s="15">
        <v>17750518</v>
      </c>
      <c r="F4346" s="15">
        <v>1585</v>
      </c>
      <c r="G4346" s="8" t="s">
        <v>12324</v>
      </c>
      <c r="H4346" s="24" t="s">
        <v>662</v>
      </c>
      <c r="I4346" s="25" t="s">
        <v>663</v>
      </c>
      <c r="J4346" s="8" t="s">
        <v>664</v>
      </c>
      <c r="K4346" s="8" t="s">
        <v>10040</v>
      </c>
      <c r="L4346" s="15">
        <v>7.6520599999999996E-3</v>
      </c>
      <c r="M4346" s="15">
        <v>0.96737899999999999</v>
      </c>
      <c r="N4346" s="15">
        <v>0.98823360715924746</v>
      </c>
    </row>
    <row r="4347" spans="1:14" x14ac:dyDescent="0.2">
      <c r="A4347" s="2" t="s">
        <v>10069</v>
      </c>
      <c r="B4347" s="15">
        <v>1345</v>
      </c>
      <c r="C4347" s="15">
        <v>8</v>
      </c>
      <c r="D4347" s="15">
        <v>118300069</v>
      </c>
      <c r="E4347" s="15">
        <v>119423298</v>
      </c>
      <c r="F4347" s="15">
        <v>1574</v>
      </c>
      <c r="G4347" s="8" t="s">
        <v>12324</v>
      </c>
      <c r="H4347" s="24" t="s">
        <v>662</v>
      </c>
      <c r="I4347" s="25" t="s">
        <v>663</v>
      </c>
      <c r="J4347" s="8" t="s">
        <v>664</v>
      </c>
      <c r="K4347" s="8" t="s">
        <v>10040</v>
      </c>
      <c r="L4347" s="15">
        <v>-1.32525E-2</v>
      </c>
      <c r="M4347" s="15">
        <v>0.970055</v>
      </c>
      <c r="N4347" s="15">
        <v>0.98823360715924746</v>
      </c>
    </row>
    <row r="4348" spans="1:14" x14ac:dyDescent="0.2">
      <c r="A4348" s="2" t="s">
        <v>10068</v>
      </c>
      <c r="B4348" s="15">
        <v>961</v>
      </c>
      <c r="C4348" s="15">
        <v>6</v>
      </c>
      <c r="D4348" s="15">
        <v>31427210</v>
      </c>
      <c r="E4348" s="15">
        <v>32208901</v>
      </c>
      <c r="F4348" s="15">
        <v>2545</v>
      </c>
      <c r="G4348" s="8" t="s">
        <v>12324</v>
      </c>
      <c r="H4348" s="24" t="s">
        <v>1259</v>
      </c>
      <c r="I4348" s="25">
        <v>27096</v>
      </c>
      <c r="J4348" s="8" t="s">
        <v>1261</v>
      </c>
      <c r="K4348" s="8" t="s">
        <v>10040</v>
      </c>
      <c r="L4348" s="15">
        <v>-8.1445800000000002E-3</v>
      </c>
      <c r="M4348" s="15">
        <v>0.96714199999999995</v>
      </c>
      <c r="N4348" s="15">
        <v>0.98823360715924746</v>
      </c>
    </row>
    <row r="4349" spans="1:14" x14ac:dyDescent="0.2">
      <c r="A4349" s="2" t="s">
        <v>10068</v>
      </c>
      <c r="B4349" s="15">
        <v>2363</v>
      </c>
      <c r="C4349" s="15">
        <v>19</v>
      </c>
      <c r="D4349" s="15">
        <v>54602371</v>
      </c>
      <c r="E4349" s="15">
        <v>55182973</v>
      </c>
      <c r="F4349" s="15">
        <v>2310</v>
      </c>
      <c r="G4349" s="8" t="s">
        <v>12324</v>
      </c>
      <c r="H4349" s="24" t="s">
        <v>1259</v>
      </c>
      <c r="I4349" s="25">
        <v>27096</v>
      </c>
      <c r="J4349" s="8" t="s">
        <v>1261</v>
      </c>
      <c r="K4349" s="8" t="s">
        <v>10040</v>
      </c>
      <c r="L4349" s="15">
        <v>-7.1703499999999998E-3</v>
      </c>
      <c r="M4349" s="15">
        <v>0.96766200000000002</v>
      </c>
      <c r="N4349" s="15">
        <v>0.98823360715924746</v>
      </c>
    </row>
    <row r="4350" spans="1:14" x14ac:dyDescent="0.2">
      <c r="A4350" s="2" t="s">
        <v>10068</v>
      </c>
      <c r="B4350" s="15">
        <v>267</v>
      </c>
      <c r="C4350" s="15">
        <v>2</v>
      </c>
      <c r="D4350" s="15">
        <v>59251997</v>
      </c>
      <c r="E4350" s="15">
        <v>60775066</v>
      </c>
      <c r="F4350" s="15">
        <v>3682</v>
      </c>
      <c r="G4350" s="8" t="s">
        <v>12324</v>
      </c>
      <c r="H4350" s="24" t="s">
        <v>1259</v>
      </c>
      <c r="I4350" s="25">
        <v>27096</v>
      </c>
      <c r="J4350" s="8" t="s">
        <v>1261</v>
      </c>
      <c r="K4350" s="8" t="s">
        <v>10040</v>
      </c>
      <c r="L4350" s="15">
        <v>-1.1214099999999999E-2</v>
      </c>
      <c r="M4350" s="15">
        <v>0.969723</v>
      </c>
      <c r="N4350" s="15">
        <v>0.98823360715924746</v>
      </c>
    </row>
    <row r="4351" spans="1:14" x14ac:dyDescent="0.2">
      <c r="A4351" s="2" t="s">
        <v>10068</v>
      </c>
      <c r="B4351" s="15">
        <v>1931</v>
      </c>
      <c r="C4351" s="15">
        <v>13</v>
      </c>
      <c r="D4351" s="15">
        <v>90518148</v>
      </c>
      <c r="E4351" s="15">
        <v>91764204</v>
      </c>
      <c r="F4351" s="15">
        <v>3683</v>
      </c>
      <c r="G4351" s="8" t="s">
        <v>12324</v>
      </c>
      <c r="H4351" s="24" t="s">
        <v>1259</v>
      </c>
      <c r="I4351" s="25">
        <v>27096</v>
      </c>
      <c r="J4351" s="8" t="s">
        <v>1261</v>
      </c>
      <c r="K4351" s="8" t="s">
        <v>10040</v>
      </c>
      <c r="L4351" s="15">
        <v>8.9100199999999994E-3</v>
      </c>
      <c r="M4351" s="15">
        <v>0.97074499999999997</v>
      </c>
      <c r="N4351" s="15">
        <v>0.98823360715924746</v>
      </c>
    </row>
    <row r="4352" spans="1:14" x14ac:dyDescent="0.2">
      <c r="A4352" s="2" t="s">
        <v>10068</v>
      </c>
      <c r="B4352" s="15">
        <v>764</v>
      </c>
      <c r="C4352" s="15">
        <v>4</v>
      </c>
      <c r="D4352" s="15">
        <v>181122434</v>
      </c>
      <c r="E4352" s="15">
        <v>182065646</v>
      </c>
      <c r="F4352" s="15">
        <v>3220</v>
      </c>
      <c r="G4352" s="8" t="s">
        <v>12324</v>
      </c>
      <c r="H4352" s="24" t="s">
        <v>1259</v>
      </c>
      <c r="I4352" s="25">
        <v>27096</v>
      </c>
      <c r="J4352" s="8" t="s">
        <v>1261</v>
      </c>
      <c r="K4352" s="8" t="s">
        <v>10040</v>
      </c>
      <c r="L4352" s="15">
        <v>1.08056E-2</v>
      </c>
      <c r="M4352" s="15">
        <v>0.97101899999999997</v>
      </c>
      <c r="N4352" s="15">
        <v>0.98823360715924746</v>
      </c>
    </row>
    <row r="4353" spans="1:14" x14ac:dyDescent="0.2">
      <c r="A4353" s="2" t="s">
        <v>10066</v>
      </c>
      <c r="B4353" s="15">
        <v>1852</v>
      </c>
      <c r="C4353" s="15">
        <v>12</v>
      </c>
      <c r="D4353" s="15">
        <v>124843769</v>
      </c>
      <c r="E4353" s="15">
        <v>126079935</v>
      </c>
      <c r="F4353" s="15">
        <v>3827</v>
      </c>
      <c r="G4353" s="8" t="s">
        <v>12324</v>
      </c>
      <c r="H4353" s="24" t="s">
        <v>3164</v>
      </c>
      <c r="I4353" s="25" t="s">
        <v>3165</v>
      </c>
      <c r="J4353" s="8" t="s">
        <v>3166</v>
      </c>
      <c r="K4353" s="8" t="s">
        <v>10042</v>
      </c>
      <c r="L4353" s="15">
        <v>-1.15049E-2</v>
      </c>
      <c r="M4353" s="15">
        <v>0.96787100000000004</v>
      </c>
      <c r="N4353" s="15">
        <v>0.98823360715924746</v>
      </c>
    </row>
    <row r="4354" spans="1:14" x14ac:dyDescent="0.2">
      <c r="A4354" s="2" t="s">
        <v>10066</v>
      </c>
      <c r="B4354" s="15">
        <v>921</v>
      </c>
      <c r="C4354" s="15">
        <v>5</v>
      </c>
      <c r="D4354" s="15">
        <v>174662886</v>
      </c>
      <c r="E4354" s="15">
        <v>176180301</v>
      </c>
      <c r="F4354" s="15">
        <v>3329</v>
      </c>
      <c r="G4354" s="8" t="s">
        <v>12324</v>
      </c>
      <c r="H4354" s="24" t="s">
        <v>3164</v>
      </c>
      <c r="I4354" s="25" t="s">
        <v>3165</v>
      </c>
      <c r="J4354" s="8" t="s">
        <v>3166</v>
      </c>
      <c r="K4354" s="8" t="s">
        <v>10042</v>
      </c>
      <c r="L4354" s="15">
        <v>6.7555899999999997E-3</v>
      </c>
      <c r="M4354" s="15">
        <v>0.96978399999999998</v>
      </c>
      <c r="N4354" s="15">
        <v>0.98823360715924746</v>
      </c>
    </row>
    <row r="4355" spans="1:14" x14ac:dyDescent="0.2">
      <c r="A4355" s="2" t="s">
        <v>10066</v>
      </c>
      <c r="B4355" s="15">
        <v>777</v>
      </c>
      <c r="C4355" s="15">
        <v>5</v>
      </c>
      <c r="D4355" s="15">
        <v>1206610</v>
      </c>
      <c r="E4355" s="15">
        <v>2106885</v>
      </c>
      <c r="F4355" s="15">
        <v>3617</v>
      </c>
      <c r="G4355" s="8" t="s">
        <v>12324</v>
      </c>
      <c r="H4355" s="24" t="s">
        <v>3164</v>
      </c>
      <c r="I4355" s="25" t="s">
        <v>3165</v>
      </c>
      <c r="J4355" s="8" t="s">
        <v>3166</v>
      </c>
      <c r="K4355" s="8" t="s">
        <v>10042</v>
      </c>
      <c r="L4355" s="15">
        <v>-1.06788E-2</v>
      </c>
      <c r="M4355" s="15">
        <v>0.97012500000000002</v>
      </c>
      <c r="N4355" s="15">
        <v>0.98823360715924746</v>
      </c>
    </row>
    <row r="4356" spans="1:14" x14ac:dyDescent="0.2">
      <c r="A4356" s="2" t="s">
        <v>10066</v>
      </c>
      <c r="B4356" s="15">
        <v>1225</v>
      </c>
      <c r="C4356" s="15">
        <v>7</v>
      </c>
      <c r="D4356" s="15">
        <v>152253295</v>
      </c>
      <c r="E4356" s="15">
        <v>153241228</v>
      </c>
      <c r="F4356" s="15">
        <v>3849</v>
      </c>
      <c r="G4356" s="8" t="s">
        <v>12324</v>
      </c>
      <c r="H4356" s="24" t="s">
        <v>6008</v>
      </c>
      <c r="I4356" s="25" t="s">
        <v>6009</v>
      </c>
      <c r="J4356" s="8" t="s">
        <v>6010</v>
      </c>
      <c r="K4356" s="8" t="s">
        <v>10051</v>
      </c>
      <c r="L4356" s="15">
        <v>7.5180000000000004E-3</v>
      </c>
      <c r="M4356" s="15">
        <v>0.96643400000000002</v>
      </c>
      <c r="N4356" s="15">
        <v>0.98823360715924746</v>
      </c>
    </row>
    <row r="4357" spans="1:14" x14ac:dyDescent="0.2">
      <c r="A4357" s="2" t="s">
        <v>10066</v>
      </c>
      <c r="B4357" s="15">
        <v>421</v>
      </c>
      <c r="C4357" s="15">
        <v>3</v>
      </c>
      <c r="D4357" s="15">
        <v>60197</v>
      </c>
      <c r="E4357" s="15">
        <v>795746</v>
      </c>
      <c r="F4357" s="15">
        <v>2175</v>
      </c>
      <c r="G4357" s="8" t="s">
        <v>12324</v>
      </c>
      <c r="H4357" s="24" t="s">
        <v>6008</v>
      </c>
      <c r="I4357" s="25" t="s">
        <v>6009</v>
      </c>
      <c r="J4357" s="8" t="s">
        <v>6010</v>
      </c>
      <c r="K4357" s="8" t="s">
        <v>10051</v>
      </c>
      <c r="L4357" s="15">
        <v>1.7046700000000001E-2</v>
      </c>
      <c r="M4357" s="15">
        <v>0.96779199999999999</v>
      </c>
      <c r="N4357" s="15">
        <v>0.98823360715924746</v>
      </c>
    </row>
    <row r="4358" spans="1:14" x14ac:dyDescent="0.2">
      <c r="A4358" s="2" t="s">
        <v>10066</v>
      </c>
      <c r="B4358" s="15">
        <v>1431</v>
      </c>
      <c r="C4358" s="15">
        <v>9</v>
      </c>
      <c r="D4358" s="15">
        <v>86769887</v>
      </c>
      <c r="E4358" s="15">
        <v>87815449</v>
      </c>
      <c r="F4358" s="15">
        <v>2971</v>
      </c>
      <c r="G4358" s="8" t="s">
        <v>12324</v>
      </c>
      <c r="H4358" s="24" t="s">
        <v>6008</v>
      </c>
      <c r="I4358" s="25" t="s">
        <v>6009</v>
      </c>
      <c r="J4358" s="8" t="s">
        <v>6010</v>
      </c>
      <c r="K4358" s="8" t="s">
        <v>10051</v>
      </c>
      <c r="L4358" s="15">
        <v>1.4038699999999999E-2</v>
      </c>
      <c r="M4358" s="15">
        <v>0.96871799999999997</v>
      </c>
      <c r="N4358" s="15">
        <v>0.98823360715924746</v>
      </c>
    </row>
    <row r="4359" spans="1:14" x14ac:dyDescent="0.2">
      <c r="A4359" s="2" t="s">
        <v>10066</v>
      </c>
      <c r="B4359" s="15">
        <v>1619</v>
      </c>
      <c r="C4359" s="15">
        <v>11</v>
      </c>
      <c r="D4359" s="15">
        <v>7191231</v>
      </c>
      <c r="E4359" s="15">
        <v>7915071</v>
      </c>
      <c r="F4359" s="15">
        <v>2754</v>
      </c>
      <c r="G4359" s="8" t="s">
        <v>12324</v>
      </c>
      <c r="H4359" s="24" t="s">
        <v>6008</v>
      </c>
      <c r="I4359" s="25" t="s">
        <v>6009</v>
      </c>
      <c r="J4359" s="8" t="s">
        <v>6010</v>
      </c>
      <c r="K4359" s="8" t="s">
        <v>10051</v>
      </c>
      <c r="L4359" s="15">
        <v>-1.06146E-2</v>
      </c>
      <c r="M4359" s="15">
        <v>0.97055999999999998</v>
      </c>
      <c r="N4359" s="15">
        <v>0.98823360715924746</v>
      </c>
    </row>
    <row r="4360" spans="1:14" x14ac:dyDescent="0.2">
      <c r="A4360" s="2" t="s">
        <v>10068</v>
      </c>
      <c r="B4360" s="15">
        <v>71</v>
      </c>
      <c r="C4360" s="15">
        <v>1</v>
      </c>
      <c r="D4360" s="15">
        <v>82123369</v>
      </c>
      <c r="E4360" s="15">
        <v>83461215</v>
      </c>
      <c r="F4360" s="15">
        <v>3459</v>
      </c>
      <c r="G4360" s="8" t="s">
        <v>12324</v>
      </c>
      <c r="H4360" s="24" t="s">
        <v>6565</v>
      </c>
      <c r="I4360" s="25" t="s">
        <v>6475</v>
      </c>
      <c r="J4360" s="8" t="s">
        <v>6566</v>
      </c>
      <c r="K4360" s="8" t="s">
        <v>10054</v>
      </c>
      <c r="L4360" s="15">
        <v>1.3003000000000001E-2</v>
      </c>
      <c r="M4360" s="15">
        <v>0.97088200000000002</v>
      </c>
      <c r="N4360" s="15">
        <v>0.98823360715924746</v>
      </c>
    </row>
    <row r="4361" spans="1:14" x14ac:dyDescent="0.2">
      <c r="A4361" s="2" t="s">
        <v>10068</v>
      </c>
      <c r="B4361" s="15">
        <v>737</v>
      </c>
      <c r="C4361" s="15">
        <v>4</v>
      </c>
      <c r="D4361" s="15">
        <v>153520884</v>
      </c>
      <c r="E4361" s="15">
        <v>155044409</v>
      </c>
      <c r="F4361" s="15">
        <v>4201</v>
      </c>
      <c r="G4361" s="8" t="s">
        <v>12324</v>
      </c>
      <c r="H4361" s="24" t="s">
        <v>599</v>
      </c>
      <c r="I4361" s="25">
        <v>26562</v>
      </c>
      <c r="J4361" s="8" t="s">
        <v>601</v>
      </c>
      <c r="K4361" s="8" t="s">
        <v>10040</v>
      </c>
      <c r="L4361" s="15">
        <v>1.2149500000000001E-2</v>
      </c>
      <c r="M4361" s="15">
        <v>0.97184899999999996</v>
      </c>
      <c r="N4361" s="15">
        <v>0.98845787090116943</v>
      </c>
    </row>
    <row r="4362" spans="1:14" x14ac:dyDescent="0.2">
      <c r="A4362" s="2" t="s">
        <v>10068</v>
      </c>
      <c r="B4362" s="15">
        <v>414</v>
      </c>
      <c r="C4362" s="15">
        <v>2</v>
      </c>
      <c r="D4362" s="15">
        <v>237194298</v>
      </c>
      <c r="E4362" s="15">
        <v>238185482</v>
      </c>
      <c r="F4362" s="15">
        <v>2673</v>
      </c>
      <c r="G4362" s="8" t="s">
        <v>12324</v>
      </c>
      <c r="H4362" s="24" t="s">
        <v>599</v>
      </c>
      <c r="I4362" s="25">
        <v>26562</v>
      </c>
      <c r="J4362" s="8" t="s">
        <v>601</v>
      </c>
      <c r="K4362" s="8" t="s">
        <v>10040</v>
      </c>
      <c r="L4362" s="15">
        <v>-1.3774399999999999E-2</v>
      </c>
      <c r="M4362" s="15">
        <v>0.97196499999999997</v>
      </c>
      <c r="N4362" s="15">
        <v>0.98845787090116943</v>
      </c>
    </row>
    <row r="4363" spans="1:14" x14ac:dyDescent="0.2">
      <c r="A4363" s="2" t="s">
        <v>10066</v>
      </c>
      <c r="B4363" s="15">
        <v>252</v>
      </c>
      <c r="C4363" s="15">
        <v>2</v>
      </c>
      <c r="D4363" s="15">
        <v>46499327</v>
      </c>
      <c r="E4363" s="15">
        <v>47320114</v>
      </c>
      <c r="F4363" s="15">
        <v>2530</v>
      </c>
      <c r="G4363" s="8" t="s">
        <v>12324</v>
      </c>
      <c r="H4363" s="24" t="s">
        <v>3164</v>
      </c>
      <c r="I4363" s="25" t="s">
        <v>3165</v>
      </c>
      <c r="J4363" s="8" t="s">
        <v>3166</v>
      </c>
      <c r="K4363" s="8" t="s">
        <v>10042</v>
      </c>
      <c r="L4363" s="15">
        <v>1.35324E-2</v>
      </c>
      <c r="M4363" s="15">
        <v>0.97190799999999999</v>
      </c>
      <c r="N4363" s="15">
        <v>0.98845787090116943</v>
      </c>
    </row>
    <row r="4364" spans="1:14" x14ac:dyDescent="0.2">
      <c r="A4364" s="2" t="s">
        <v>10069</v>
      </c>
      <c r="B4364" s="15">
        <v>1955</v>
      </c>
      <c r="C4364" s="15">
        <v>14</v>
      </c>
      <c r="D4364" s="15">
        <v>20876081</v>
      </c>
      <c r="E4364" s="15">
        <v>21982654</v>
      </c>
      <c r="F4364" s="15">
        <v>2009</v>
      </c>
      <c r="G4364" s="8" t="s">
        <v>12324</v>
      </c>
      <c r="H4364" s="24" t="s">
        <v>662</v>
      </c>
      <c r="I4364" s="25" t="s">
        <v>663</v>
      </c>
      <c r="J4364" s="8" t="s">
        <v>664</v>
      </c>
      <c r="K4364" s="8" t="s">
        <v>10040</v>
      </c>
      <c r="L4364" s="15">
        <v>-6.4973899999999996E-3</v>
      </c>
      <c r="M4364" s="15">
        <v>0.97242200000000001</v>
      </c>
      <c r="N4364" s="15">
        <v>0.98869591242549293</v>
      </c>
    </row>
    <row r="4365" spans="1:14" x14ac:dyDescent="0.2">
      <c r="A4365" s="2" t="s">
        <v>10069</v>
      </c>
      <c r="B4365" s="15">
        <v>593</v>
      </c>
      <c r="C4365" s="15">
        <v>3</v>
      </c>
      <c r="D4365" s="15">
        <v>195710291</v>
      </c>
      <c r="E4365" s="15">
        <v>196383152</v>
      </c>
      <c r="F4365" s="15">
        <v>1354</v>
      </c>
      <c r="G4365" s="8" t="s">
        <v>12324</v>
      </c>
      <c r="H4365" s="24" t="s">
        <v>662</v>
      </c>
      <c r="I4365" s="25" t="s">
        <v>663</v>
      </c>
      <c r="J4365" s="8" t="s">
        <v>664</v>
      </c>
      <c r="K4365" s="8" t="s">
        <v>10040</v>
      </c>
      <c r="L4365" s="15">
        <v>1.46152E-2</v>
      </c>
      <c r="M4365" s="15">
        <v>0.97294400000000003</v>
      </c>
      <c r="N4365" s="15">
        <v>0.98899991748796712</v>
      </c>
    </row>
    <row r="4366" spans="1:14" x14ac:dyDescent="0.2">
      <c r="A4366" s="2" t="s">
        <v>10068</v>
      </c>
      <c r="B4366" s="15">
        <v>683</v>
      </c>
      <c r="C4366" s="15">
        <v>4</v>
      </c>
      <c r="D4366" s="15">
        <v>92219193</v>
      </c>
      <c r="E4366" s="15">
        <v>93451599</v>
      </c>
      <c r="F4366" s="15">
        <v>2524</v>
      </c>
      <c r="G4366" s="8" t="s">
        <v>12324</v>
      </c>
      <c r="H4366" s="24" t="s">
        <v>599</v>
      </c>
      <c r="I4366" s="25">
        <v>26562</v>
      </c>
      <c r="J4366" s="8" t="s">
        <v>601</v>
      </c>
      <c r="K4366" s="8" t="s">
        <v>10040</v>
      </c>
      <c r="L4366" s="15">
        <v>-1.22124E-2</v>
      </c>
      <c r="M4366" s="15">
        <v>0.97340199999999999</v>
      </c>
      <c r="N4366" s="15">
        <v>0.98923874197983508</v>
      </c>
    </row>
    <row r="4367" spans="1:14" x14ac:dyDescent="0.2">
      <c r="A4367" s="2" t="s">
        <v>10068</v>
      </c>
      <c r="B4367" s="15">
        <v>1517</v>
      </c>
      <c r="C4367" s="15">
        <v>10</v>
      </c>
      <c r="D4367" s="15">
        <v>28734423</v>
      </c>
      <c r="E4367" s="15">
        <v>29393749</v>
      </c>
      <c r="F4367" s="15">
        <v>2145</v>
      </c>
      <c r="G4367" s="8" t="s">
        <v>12324</v>
      </c>
      <c r="H4367" s="24" t="s">
        <v>599</v>
      </c>
      <c r="I4367" s="25">
        <v>26562</v>
      </c>
      <c r="J4367" s="8" t="s">
        <v>601</v>
      </c>
      <c r="K4367" s="8" t="s">
        <v>10040</v>
      </c>
      <c r="L4367" s="15">
        <v>1.07834E-2</v>
      </c>
      <c r="M4367" s="15">
        <v>0.97413400000000006</v>
      </c>
      <c r="N4367" s="15">
        <v>0.98975585108820163</v>
      </c>
    </row>
    <row r="4368" spans="1:14" x14ac:dyDescent="0.2">
      <c r="A4368" s="2" t="s">
        <v>10068</v>
      </c>
      <c r="B4368" s="15">
        <v>1124</v>
      </c>
      <c r="C4368" s="15">
        <v>7</v>
      </c>
      <c r="D4368" s="15">
        <v>24894120</v>
      </c>
      <c r="E4368" s="15">
        <v>25671575</v>
      </c>
      <c r="F4368" s="15">
        <v>2376</v>
      </c>
      <c r="G4368" s="8" t="s">
        <v>12324</v>
      </c>
      <c r="H4368" s="24" t="s">
        <v>599</v>
      </c>
      <c r="I4368" s="25">
        <v>26562</v>
      </c>
      <c r="J4368" s="8" t="s">
        <v>601</v>
      </c>
      <c r="K4368" s="8" t="s">
        <v>10040</v>
      </c>
      <c r="L4368" s="15">
        <v>8.3627700000000003E-3</v>
      </c>
      <c r="M4368" s="15">
        <v>0.97478200000000004</v>
      </c>
      <c r="N4368" s="15">
        <v>0.99010359661172154</v>
      </c>
    </row>
    <row r="4369" spans="1:14" x14ac:dyDescent="0.2">
      <c r="A4369" s="2" t="s">
        <v>10069</v>
      </c>
      <c r="B4369" s="15">
        <v>298</v>
      </c>
      <c r="C4369" s="15">
        <v>2</v>
      </c>
      <c r="D4369" s="15">
        <v>101556800</v>
      </c>
      <c r="E4369" s="15">
        <v>102494487</v>
      </c>
      <c r="F4369" s="15">
        <v>1550</v>
      </c>
      <c r="G4369" s="8" t="s">
        <v>12324</v>
      </c>
      <c r="H4369" s="24" t="s">
        <v>662</v>
      </c>
      <c r="I4369" s="25" t="s">
        <v>663</v>
      </c>
      <c r="J4369" s="8" t="s">
        <v>664</v>
      </c>
      <c r="K4369" s="8" t="s">
        <v>10040</v>
      </c>
      <c r="L4369" s="15">
        <v>-9.2886199999999992E-3</v>
      </c>
      <c r="M4369" s="15">
        <v>0.97514100000000004</v>
      </c>
      <c r="N4369" s="15">
        <v>0.99010359661172154</v>
      </c>
    </row>
    <row r="4370" spans="1:14" x14ac:dyDescent="0.2">
      <c r="A4370" s="2" t="s">
        <v>10068</v>
      </c>
      <c r="B4370" s="15">
        <v>1853</v>
      </c>
      <c r="C4370" s="15">
        <v>12</v>
      </c>
      <c r="D4370" s="15">
        <v>126079936</v>
      </c>
      <c r="E4370" s="15">
        <v>126871452</v>
      </c>
      <c r="F4370" s="15">
        <v>2428</v>
      </c>
      <c r="G4370" s="8" t="s">
        <v>12324</v>
      </c>
      <c r="H4370" s="24" t="s">
        <v>6565</v>
      </c>
      <c r="I4370" s="25" t="s">
        <v>6475</v>
      </c>
      <c r="J4370" s="8" t="s">
        <v>6566</v>
      </c>
      <c r="K4370" s="8" t="s">
        <v>10054</v>
      </c>
      <c r="L4370" s="15">
        <v>7.2606399999999996E-3</v>
      </c>
      <c r="M4370" s="15">
        <v>0.97514599999999996</v>
      </c>
      <c r="N4370" s="15">
        <v>0.99010359661172154</v>
      </c>
    </row>
    <row r="4371" spans="1:14" x14ac:dyDescent="0.2">
      <c r="A4371" s="2" t="s">
        <v>10068</v>
      </c>
      <c r="B4371" s="15">
        <v>2312</v>
      </c>
      <c r="C4371" s="15">
        <v>19</v>
      </c>
      <c r="D4371" s="15">
        <v>4741719</v>
      </c>
      <c r="E4371" s="15">
        <v>5478684</v>
      </c>
      <c r="F4371" s="15">
        <v>2416</v>
      </c>
      <c r="G4371" s="8" t="s">
        <v>12324</v>
      </c>
      <c r="H4371" s="24" t="s">
        <v>599</v>
      </c>
      <c r="I4371" s="25">
        <v>26562</v>
      </c>
      <c r="J4371" s="8" t="s">
        <v>601</v>
      </c>
      <c r="K4371" s="8" t="s">
        <v>10040</v>
      </c>
      <c r="L4371" s="15">
        <v>-9.8997900000000003E-3</v>
      </c>
      <c r="M4371" s="15">
        <v>0.97566399999999998</v>
      </c>
      <c r="N4371" s="15">
        <v>0.99040280155642013</v>
      </c>
    </row>
    <row r="4372" spans="1:14" x14ac:dyDescent="0.2">
      <c r="A4372" s="2" t="s">
        <v>10068</v>
      </c>
      <c r="B4372" s="15">
        <v>2046</v>
      </c>
      <c r="C4372" s="15">
        <v>15</v>
      </c>
      <c r="D4372" s="15">
        <v>35118928</v>
      </c>
      <c r="E4372" s="15">
        <v>36583327</v>
      </c>
      <c r="F4372" s="15">
        <v>3543</v>
      </c>
      <c r="G4372" s="8" t="s">
        <v>12324</v>
      </c>
      <c r="H4372" s="24" t="s">
        <v>1259</v>
      </c>
      <c r="I4372" s="25">
        <v>27096</v>
      </c>
      <c r="J4372" s="8" t="s">
        <v>1261</v>
      </c>
      <c r="K4372" s="8" t="s">
        <v>10040</v>
      </c>
      <c r="L4372" s="15">
        <v>-5.62731E-3</v>
      </c>
      <c r="M4372" s="15">
        <v>0.97603799999999996</v>
      </c>
      <c r="N4372" s="15">
        <v>0.99055572768878719</v>
      </c>
    </row>
    <row r="4373" spans="1:14" x14ac:dyDescent="0.2">
      <c r="A4373" s="2" t="s">
        <v>10069</v>
      </c>
      <c r="B4373" s="15">
        <v>267</v>
      </c>
      <c r="C4373" s="15">
        <v>2</v>
      </c>
      <c r="D4373" s="15">
        <v>59251997</v>
      </c>
      <c r="E4373" s="15">
        <v>60775066</v>
      </c>
      <c r="F4373" s="15">
        <v>2190</v>
      </c>
      <c r="G4373" s="8" t="s">
        <v>12324</v>
      </c>
      <c r="H4373" s="24" t="s">
        <v>662</v>
      </c>
      <c r="I4373" s="25" t="s">
        <v>663</v>
      </c>
      <c r="J4373" s="8" t="s">
        <v>664</v>
      </c>
      <c r="K4373" s="8" t="s">
        <v>10040</v>
      </c>
      <c r="L4373" s="15">
        <v>6.5378199999999997E-3</v>
      </c>
      <c r="M4373" s="15">
        <v>0.97700600000000004</v>
      </c>
      <c r="N4373" s="15">
        <v>0.99108454025617565</v>
      </c>
    </row>
    <row r="4374" spans="1:14" x14ac:dyDescent="0.2">
      <c r="A4374" s="2" t="s">
        <v>10066</v>
      </c>
      <c r="B4374" s="15">
        <v>22</v>
      </c>
      <c r="C4374" s="15">
        <v>1</v>
      </c>
      <c r="D4374" s="15">
        <v>20556203</v>
      </c>
      <c r="E4374" s="15">
        <v>21416121</v>
      </c>
      <c r="F4374" s="15">
        <v>2197</v>
      </c>
      <c r="G4374" s="8" t="s">
        <v>12324</v>
      </c>
      <c r="H4374" s="24" t="s">
        <v>3164</v>
      </c>
      <c r="I4374" s="25" t="s">
        <v>3165</v>
      </c>
      <c r="J4374" s="8" t="s">
        <v>3166</v>
      </c>
      <c r="K4374" s="8" t="s">
        <v>10042</v>
      </c>
      <c r="L4374" s="15">
        <v>-7.0731400000000003E-3</v>
      </c>
      <c r="M4374" s="15">
        <v>0.97699199999999997</v>
      </c>
      <c r="N4374" s="15">
        <v>0.99108454025617565</v>
      </c>
    </row>
    <row r="4375" spans="1:14" x14ac:dyDescent="0.2">
      <c r="A4375" s="2" t="s">
        <v>10068</v>
      </c>
      <c r="B4375" s="15">
        <v>2339</v>
      </c>
      <c r="C4375" s="15">
        <v>19</v>
      </c>
      <c r="D4375" s="15">
        <v>33028100</v>
      </c>
      <c r="E4375" s="15">
        <v>33785835</v>
      </c>
      <c r="F4375" s="15">
        <v>2504</v>
      </c>
      <c r="G4375" s="8" t="s">
        <v>12324</v>
      </c>
      <c r="H4375" s="24" t="s">
        <v>494</v>
      </c>
      <c r="I4375" s="25">
        <v>25920</v>
      </c>
      <c r="J4375" s="8" t="s">
        <v>496</v>
      </c>
      <c r="K4375" s="8" t="s">
        <v>10040</v>
      </c>
      <c r="L4375" s="15">
        <v>6.1765600000000002E-3</v>
      </c>
      <c r="M4375" s="15">
        <v>0.977634</v>
      </c>
      <c r="N4375" s="15">
        <v>0.99149480676880852</v>
      </c>
    </row>
    <row r="4376" spans="1:14" x14ac:dyDescent="0.2">
      <c r="A4376" s="2" t="s">
        <v>10068</v>
      </c>
      <c r="B4376" s="15">
        <v>1447</v>
      </c>
      <c r="C4376" s="15">
        <v>9</v>
      </c>
      <c r="D4376" s="15">
        <v>103165726</v>
      </c>
      <c r="E4376" s="15">
        <v>104222848</v>
      </c>
      <c r="F4376" s="15">
        <v>2767</v>
      </c>
      <c r="G4376" s="8" t="s">
        <v>12324</v>
      </c>
      <c r="H4376" s="24" t="s">
        <v>599</v>
      </c>
      <c r="I4376" s="25">
        <v>26562</v>
      </c>
      <c r="J4376" s="8" t="s">
        <v>601</v>
      </c>
      <c r="K4376" s="8" t="s">
        <v>10040</v>
      </c>
      <c r="L4376" s="15">
        <v>-9.5716399999999993E-3</v>
      </c>
      <c r="M4376" s="15">
        <v>0.97846699999999998</v>
      </c>
      <c r="N4376" s="15">
        <v>0.99165931101462523</v>
      </c>
    </row>
    <row r="4377" spans="1:14" x14ac:dyDescent="0.2">
      <c r="A4377" s="2" t="s">
        <v>10068</v>
      </c>
      <c r="B4377" s="15">
        <v>440</v>
      </c>
      <c r="C4377" s="15">
        <v>3</v>
      </c>
      <c r="D4377" s="15">
        <v>19030989</v>
      </c>
      <c r="E4377" s="15">
        <v>20754842</v>
      </c>
      <c r="F4377" s="15">
        <v>4224</v>
      </c>
      <c r="G4377" s="8" t="s">
        <v>12324</v>
      </c>
      <c r="H4377" s="24" t="s">
        <v>1259</v>
      </c>
      <c r="I4377" s="25">
        <v>27096</v>
      </c>
      <c r="J4377" s="8" t="s">
        <v>1261</v>
      </c>
      <c r="K4377" s="8" t="s">
        <v>10040</v>
      </c>
      <c r="L4377" s="15">
        <v>9.5822000000000008E-3</v>
      </c>
      <c r="M4377" s="15">
        <v>0.97839600000000004</v>
      </c>
      <c r="N4377" s="15">
        <v>0.99165931101462523</v>
      </c>
    </row>
    <row r="4378" spans="1:14" x14ac:dyDescent="0.2">
      <c r="A4378" s="2" t="s">
        <v>10068</v>
      </c>
      <c r="B4378" s="15">
        <v>1575</v>
      </c>
      <c r="C4378" s="15">
        <v>10</v>
      </c>
      <c r="D4378" s="15">
        <v>97040173</v>
      </c>
      <c r="E4378" s="15">
        <v>98005994</v>
      </c>
      <c r="F4378" s="15">
        <v>2643</v>
      </c>
      <c r="G4378" s="8" t="s">
        <v>12324</v>
      </c>
      <c r="H4378" s="24" t="s">
        <v>6565</v>
      </c>
      <c r="I4378" s="25" t="s">
        <v>6475</v>
      </c>
      <c r="J4378" s="8" t="s">
        <v>6566</v>
      </c>
      <c r="K4378" s="8" t="s">
        <v>10054</v>
      </c>
      <c r="L4378" s="15">
        <v>-8.3267199999999993E-3</v>
      </c>
      <c r="M4378" s="15">
        <v>0.97807900000000003</v>
      </c>
      <c r="N4378" s="15">
        <v>0.99165931101462523</v>
      </c>
    </row>
    <row r="4379" spans="1:14" x14ac:dyDescent="0.2">
      <c r="A4379" s="2" t="s">
        <v>10068</v>
      </c>
      <c r="B4379" s="15">
        <v>2211</v>
      </c>
      <c r="C4379" s="15">
        <v>17</v>
      </c>
      <c r="D4379" s="15">
        <v>48722591</v>
      </c>
      <c r="E4379" s="15">
        <v>49909298</v>
      </c>
      <c r="F4379" s="15">
        <v>2669</v>
      </c>
      <c r="G4379" s="8" t="s">
        <v>12324</v>
      </c>
      <c r="H4379" s="24" t="s">
        <v>1259</v>
      </c>
      <c r="I4379" s="25">
        <v>27096</v>
      </c>
      <c r="J4379" s="8" t="s">
        <v>1261</v>
      </c>
      <c r="K4379" s="8" t="s">
        <v>10040</v>
      </c>
      <c r="L4379" s="15">
        <v>-8.0829700000000001E-3</v>
      </c>
      <c r="M4379" s="15">
        <v>0.97916000000000003</v>
      </c>
      <c r="N4379" s="15">
        <v>0.99213493260223895</v>
      </c>
    </row>
    <row r="4380" spans="1:14" x14ac:dyDescent="0.2">
      <c r="A4380" s="2" t="s">
        <v>10066</v>
      </c>
      <c r="B4380" s="15">
        <v>1042</v>
      </c>
      <c r="C4380" s="15">
        <v>6</v>
      </c>
      <c r="D4380" s="15">
        <v>112342874</v>
      </c>
      <c r="E4380" s="15">
        <v>113705003</v>
      </c>
      <c r="F4380" s="15">
        <v>2869</v>
      </c>
      <c r="G4380" s="8" t="s">
        <v>12324</v>
      </c>
      <c r="H4380" s="24" t="s">
        <v>6008</v>
      </c>
      <c r="I4380" s="25" t="s">
        <v>6009</v>
      </c>
      <c r="J4380" s="8" t="s">
        <v>6010</v>
      </c>
      <c r="K4380" s="8" t="s">
        <v>10051</v>
      </c>
      <c r="L4380" s="15">
        <v>-7.9855099999999995E-3</v>
      </c>
      <c r="M4380" s="15">
        <v>0.97962300000000002</v>
      </c>
      <c r="N4380" s="15">
        <v>0.99237734239378717</v>
      </c>
    </row>
    <row r="4381" spans="1:14" x14ac:dyDescent="0.2">
      <c r="A4381" s="2" t="s">
        <v>10068</v>
      </c>
      <c r="B4381" s="15">
        <v>213</v>
      </c>
      <c r="C4381" s="15">
        <v>2</v>
      </c>
      <c r="D4381" s="15">
        <v>8978799</v>
      </c>
      <c r="E4381" s="15">
        <v>9960670</v>
      </c>
      <c r="F4381" s="15">
        <v>2266</v>
      </c>
      <c r="G4381" s="8" t="s">
        <v>12324</v>
      </c>
      <c r="H4381" s="24" t="s">
        <v>1259</v>
      </c>
      <c r="I4381" s="25">
        <v>27096</v>
      </c>
      <c r="J4381" s="8" t="s">
        <v>1261</v>
      </c>
      <c r="K4381" s="8" t="s">
        <v>10040</v>
      </c>
      <c r="L4381" s="15">
        <v>5.46372E-3</v>
      </c>
      <c r="M4381" s="15">
        <v>0.98009900000000005</v>
      </c>
      <c r="N4381" s="15">
        <v>0.99263280771865736</v>
      </c>
    </row>
    <row r="4382" spans="1:14" x14ac:dyDescent="0.2">
      <c r="A4382" s="2" t="s">
        <v>10068</v>
      </c>
      <c r="B4382" s="15">
        <v>253</v>
      </c>
      <c r="C4382" s="15">
        <v>2</v>
      </c>
      <c r="D4382" s="15">
        <v>47320115</v>
      </c>
      <c r="E4382" s="15">
        <v>48171058</v>
      </c>
      <c r="F4382" s="15">
        <v>2311</v>
      </c>
      <c r="G4382" s="8" t="s">
        <v>12324</v>
      </c>
      <c r="H4382" s="24" t="s">
        <v>494</v>
      </c>
      <c r="I4382" s="25">
        <v>25920</v>
      </c>
      <c r="J4382" s="8" t="s">
        <v>496</v>
      </c>
      <c r="K4382" s="8" t="s">
        <v>10040</v>
      </c>
      <c r="L4382" s="15">
        <v>6.3385899999999998E-3</v>
      </c>
      <c r="M4382" s="15">
        <v>0.98137300000000005</v>
      </c>
      <c r="N4382" s="15">
        <v>0.99292947458399827</v>
      </c>
    </row>
    <row r="4383" spans="1:14" x14ac:dyDescent="0.2">
      <c r="A4383" s="2" t="s">
        <v>10068</v>
      </c>
      <c r="B4383" s="15">
        <v>836</v>
      </c>
      <c r="C4383" s="15">
        <v>5</v>
      </c>
      <c r="D4383" s="15">
        <v>73314062</v>
      </c>
      <c r="E4383" s="15">
        <v>74245354</v>
      </c>
      <c r="F4383" s="15">
        <v>2403</v>
      </c>
      <c r="G4383" s="8" t="s">
        <v>12324</v>
      </c>
      <c r="H4383" s="24" t="s">
        <v>494</v>
      </c>
      <c r="I4383" s="25">
        <v>25920</v>
      </c>
      <c r="J4383" s="8" t="s">
        <v>496</v>
      </c>
      <c r="K4383" s="8" t="s">
        <v>10040</v>
      </c>
      <c r="L4383" s="15">
        <v>-2.6435299999999998E-3</v>
      </c>
      <c r="M4383" s="15">
        <v>0.98176600000000003</v>
      </c>
      <c r="N4383" s="15">
        <v>0.99292947458399827</v>
      </c>
    </row>
    <row r="4384" spans="1:14" x14ac:dyDescent="0.2">
      <c r="A4384" s="2" t="s">
        <v>10068</v>
      </c>
      <c r="B4384" s="15">
        <v>2082</v>
      </c>
      <c r="C4384" s="15">
        <v>15</v>
      </c>
      <c r="D4384" s="15">
        <v>81077026</v>
      </c>
      <c r="E4384" s="15">
        <v>82191077</v>
      </c>
      <c r="F4384" s="15">
        <v>2247</v>
      </c>
      <c r="G4384" s="8" t="s">
        <v>12324</v>
      </c>
      <c r="H4384" s="24" t="s">
        <v>494</v>
      </c>
      <c r="I4384" s="25">
        <v>25920</v>
      </c>
      <c r="J4384" s="8" t="s">
        <v>496</v>
      </c>
      <c r="K4384" s="8" t="s">
        <v>10040</v>
      </c>
      <c r="L4384" s="15">
        <v>5.6921300000000001E-3</v>
      </c>
      <c r="M4384" s="15">
        <v>0.98218300000000003</v>
      </c>
      <c r="N4384" s="15">
        <v>0.99292947458399827</v>
      </c>
    </row>
    <row r="4385" spans="1:14" x14ac:dyDescent="0.2">
      <c r="A4385" s="2" t="s">
        <v>10068</v>
      </c>
      <c r="B4385" s="15">
        <v>785</v>
      </c>
      <c r="C4385" s="15">
        <v>5</v>
      </c>
      <c r="D4385" s="15">
        <v>9203856</v>
      </c>
      <c r="E4385" s="15">
        <v>10549029</v>
      </c>
      <c r="F4385" s="15">
        <v>3798</v>
      </c>
      <c r="G4385" s="8" t="s">
        <v>12324</v>
      </c>
      <c r="H4385" s="24" t="s">
        <v>599</v>
      </c>
      <c r="I4385" s="25">
        <v>26562</v>
      </c>
      <c r="J4385" s="8" t="s">
        <v>601</v>
      </c>
      <c r="K4385" s="8" t="s">
        <v>10040</v>
      </c>
      <c r="L4385" s="15">
        <v>-4.4489200000000003E-3</v>
      </c>
      <c r="M4385" s="15">
        <v>0.98141299999999998</v>
      </c>
      <c r="N4385" s="15">
        <v>0.99292947458399827</v>
      </c>
    </row>
    <row r="4386" spans="1:14" x14ac:dyDescent="0.2">
      <c r="A4386" s="2" t="s">
        <v>10068</v>
      </c>
      <c r="B4386" s="15">
        <v>2019</v>
      </c>
      <c r="C4386" s="15">
        <v>14</v>
      </c>
      <c r="D4386" s="15">
        <v>92101229</v>
      </c>
      <c r="E4386" s="15">
        <v>93386328</v>
      </c>
      <c r="F4386" s="15">
        <v>3910</v>
      </c>
      <c r="G4386" s="8" t="s">
        <v>12324</v>
      </c>
      <c r="H4386" s="24" t="s">
        <v>599</v>
      </c>
      <c r="I4386" s="25">
        <v>26562</v>
      </c>
      <c r="J4386" s="8" t="s">
        <v>601</v>
      </c>
      <c r="K4386" s="8" t="s">
        <v>10040</v>
      </c>
      <c r="L4386" s="15">
        <v>-6.7179099999999997E-3</v>
      </c>
      <c r="M4386" s="15">
        <v>0.98164099999999999</v>
      </c>
      <c r="N4386" s="15">
        <v>0.99292947458399827</v>
      </c>
    </row>
    <row r="4387" spans="1:14" x14ac:dyDescent="0.2">
      <c r="A4387" s="2" t="s">
        <v>10068</v>
      </c>
      <c r="B4387" s="15">
        <v>2140</v>
      </c>
      <c r="C4387" s="15">
        <v>16</v>
      </c>
      <c r="D4387" s="15">
        <v>59885500</v>
      </c>
      <c r="E4387" s="15">
        <v>61092844</v>
      </c>
      <c r="F4387" s="15">
        <v>3224</v>
      </c>
      <c r="G4387" s="8" t="s">
        <v>12324</v>
      </c>
      <c r="H4387" s="24" t="s">
        <v>1259</v>
      </c>
      <c r="I4387" s="25">
        <v>27096</v>
      </c>
      <c r="J4387" s="8" t="s">
        <v>1261</v>
      </c>
      <c r="K4387" s="8" t="s">
        <v>10040</v>
      </c>
      <c r="L4387" s="15">
        <v>-7.4410700000000001E-3</v>
      </c>
      <c r="M4387" s="15">
        <v>0.98192299999999999</v>
      </c>
      <c r="N4387" s="15">
        <v>0.99292947458399827</v>
      </c>
    </row>
    <row r="4388" spans="1:14" x14ac:dyDescent="0.2">
      <c r="A4388" s="2" t="s">
        <v>10066</v>
      </c>
      <c r="B4388" s="15">
        <v>2421</v>
      </c>
      <c r="C4388" s="15">
        <v>20</v>
      </c>
      <c r="D4388" s="15">
        <v>56172844</v>
      </c>
      <c r="E4388" s="15">
        <v>56951773</v>
      </c>
      <c r="F4388" s="15">
        <v>2402</v>
      </c>
      <c r="G4388" s="8" t="s">
        <v>12324</v>
      </c>
      <c r="H4388" s="24" t="s">
        <v>3164</v>
      </c>
      <c r="I4388" s="25" t="s">
        <v>3165</v>
      </c>
      <c r="J4388" s="8" t="s">
        <v>3166</v>
      </c>
      <c r="K4388" s="8" t="s">
        <v>10042</v>
      </c>
      <c r="L4388" s="15">
        <v>3.8060799999999999E-3</v>
      </c>
      <c r="M4388" s="15">
        <v>0.98203300000000004</v>
      </c>
      <c r="N4388" s="15">
        <v>0.99292947458399827</v>
      </c>
    </row>
    <row r="4389" spans="1:14" x14ac:dyDescent="0.2">
      <c r="A4389" s="2" t="s">
        <v>10068</v>
      </c>
      <c r="B4389" s="15">
        <v>2404</v>
      </c>
      <c r="C4389" s="15">
        <v>20</v>
      </c>
      <c r="D4389" s="15">
        <v>40272391</v>
      </c>
      <c r="E4389" s="15">
        <v>41351514</v>
      </c>
      <c r="F4389" s="15">
        <v>3113</v>
      </c>
      <c r="G4389" s="8" t="s">
        <v>12324</v>
      </c>
      <c r="H4389" s="24" t="s">
        <v>6565</v>
      </c>
      <c r="I4389" s="25" t="s">
        <v>6475</v>
      </c>
      <c r="J4389" s="8" t="s">
        <v>6566</v>
      </c>
      <c r="K4389" s="8" t="s">
        <v>10054</v>
      </c>
      <c r="L4389" s="15">
        <v>-7.1002399999999999E-3</v>
      </c>
      <c r="M4389" s="15">
        <v>0.981159</v>
      </c>
      <c r="N4389" s="15">
        <v>0.99292947458399827</v>
      </c>
    </row>
    <row r="4390" spans="1:14" x14ac:dyDescent="0.2">
      <c r="A4390" s="2" t="s">
        <v>10068</v>
      </c>
      <c r="B4390" s="15">
        <v>1074</v>
      </c>
      <c r="C4390" s="15">
        <v>6</v>
      </c>
      <c r="D4390" s="15">
        <v>151629955</v>
      </c>
      <c r="E4390" s="15">
        <v>152376499</v>
      </c>
      <c r="F4390" s="15">
        <v>2174</v>
      </c>
      <c r="G4390" s="8" t="s">
        <v>12324</v>
      </c>
      <c r="H4390" s="24" t="s">
        <v>1259</v>
      </c>
      <c r="I4390" s="25">
        <v>27096</v>
      </c>
      <c r="J4390" s="8" t="s">
        <v>1261</v>
      </c>
      <c r="K4390" s="8" t="s">
        <v>10040</v>
      </c>
      <c r="L4390" s="15">
        <v>2.9953599999999999E-3</v>
      </c>
      <c r="M4390" s="15">
        <v>0.98283900000000002</v>
      </c>
      <c r="N4390" s="15">
        <v>0.99303387927107056</v>
      </c>
    </row>
    <row r="4391" spans="1:14" x14ac:dyDescent="0.2">
      <c r="A4391" s="2" t="s">
        <v>10066</v>
      </c>
      <c r="B4391" s="15">
        <v>1349</v>
      </c>
      <c r="C4391" s="15">
        <v>8</v>
      </c>
      <c r="D4391" s="15">
        <v>122622805</v>
      </c>
      <c r="E4391" s="15">
        <v>124001019</v>
      </c>
      <c r="F4391" s="15">
        <v>2998</v>
      </c>
      <c r="G4391" s="8" t="s">
        <v>12324</v>
      </c>
      <c r="H4391" s="24" t="s">
        <v>3164</v>
      </c>
      <c r="I4391" s="25" t="s">
        <v>3165</v>
      </c>
      <c r="J4391" s="8" t="s">
        <v>3166</v>
      </c>
      <c r="K4391" s="8" t="s">
        <v>10042</v>
      </c>
      <c r="L4391" s="15">
        <v>6.1046499999999997E-3</v>
      </c>
      <c r="M4391" s="15">
        <v>0.98271200000000003</v>
      </c>
      <c r="N4391" s="15">
        <v>0.99303387927107056</v>
      </c>
    </row>
    <row r="4392" spans="1:14" x14ac:dyDescent="0.2">
      <c r="A4392" s="2" t="s">
        <v>10068</v>
      </c>
      <c r="B4392" s="15">
        <v>1854</v>
      </c>
      <c r="C4392" s="15">
        <v>12</v>
      </c>
      <c r="D4392" s="15">
        <v>126871453</v>
      </c>
      <c r="E4392" s="15">
        <v>127545377</v>
      </c>
      <c r="F4392" s="15">
        <v>2232</v>
      </c>
      <c r="G4392" s="8" t="s">
        <v>12324</v>
      </c>
      <c r="H4392" s="24" t="s">
        <v>6565</v>
      </c>
      <c r="I4392" s="25" t="s">
        <v>6475</v>
      </c>
      <c r="J4392" s="8" t="s">
        <v>6566</v>
      </c>
      <c r="K4392" s="8" t="s">
        <v>10054</v>
      </c>
      <c r="L4392" s="15">
        <v>3.1049699999999999E-3</v>
      </c>
      <c r="M4392" s="15">
        <v>0.982958</v>
      </c>
      <c r="N4392" s="15">
        <v>0.99303387927107056</v>
      </c>
    </row>
    <row r="4393" spans="1:14" x14ac:dyDescent="0.2">
      <c r="A4393" s="2" t="s">
        <v>10069</v>
      </c>
      <c r="B4393" s="15">
        <v>449</v>
      </c>
      <c r="C4393" s="15">
        <v>3</v>
      </c>
      <c r="D4393" s="15">
        <v>28649811</v>
      </c>
      <c r="E4393" s="15">
        <v>29877022</v>
      </c>
      <c r="F4393" s="15">
        <v>2652</v>
      </c>
      <c r="G4393" s="8" t="s">
        <v>12324</v>
      </c>
      <c r="H4393" s="24" t="s">
        <v>662</v>
      </c>
      <c r="I4393" s="25" t="s">
        <v>663</v>
      </c>
      <c r="J4393" s="8" t="s">
        <v>664</v>
      </c>
      <c r="K4393" s="8" t="s">
        <v>10040</v>
      </c>
      <c r="L4393" s="15">
        <v>6.80578E-3</v>
      </c>
      <c r="M4393" s="15">
        <v>0.98341500000000004</v>
      </c>
      <c r="N4393" s="15">
        <v>0.99326930653609657</v>
      </c>
    </row>
    <row r="4394" spans="1:14" x14ac:dyDescent="0.2">
      <c r="A4394" s="2" t="s">
        <v>10068</v>
      </c>
      <c r="B4394" s="15">
        <v>977</v>
      </c>
      <c r="C4394" s="15">
        <v>6</v>
      </c>
      <c r="D4394" s="15">
        <v>42103739</v>
      </c>
      <c r="E4394" s="15">
        <v>43770626</v>
      </c>
      <c r="F4394" s="15">
        <v>3516</v>
      </c>
      <c r="G4394" s="8" t="s">
        <v>12324</v>
      </c>
      <c r="H4394" s="24" t="s">
        <v>599</v>
      </c>
      <c r="I4394" s="25">
        <v>26562</v>
      </c>
      <c r="J4394" s="8" t="s">
        <v>601</v>
      </c>
      <c r="K4394" s="8" t="s">
        <v>10040</v>
      </c>
      <c r="L4394" s="15">
        <v>-3.4074299999999999E-3</v>
      </c>
      <c r="M4394" s="15">
        <v>0.98403099999999999</v>
      </c>
      <c r="N4394" s="15">
        <v>0.9933289736003641</v>
      </c>
    </row>
    <row r="4395" spans="1:14" x14ac:dyDescent="0.2">
      <c r="A4395" s="2" t="s">
        <v>10068</v>
      </c>
      <c r="B4395" s="15">
        <v>1721</v>
      </c>
      <c r="C4395" s="15">
        <v>11</v>
      </c>
      <c r="D4395" s="15">
        <v>114742318</v>
      </c>
      <c r="E4395" s="15">
        <v>116247377</v>
      </c>
      <c r="F4395" s="15">
        <v>3428</v>
      </c>
      <c r="G4395" s="8" t="s">
        <v>12324</v>
      </c>
      <c r="H4395" s="24" t="s">
        <v>1259</v>
      </c>
      <c r="I4395" s="25">
        <v>27096</v>
      </c>
      <c r="J4395" s="8" t="s">
        <v>1261</v>
      </c>
      <c r="K4395" s="8" t="s">
        <v>10040</v>
      </c>
      <c r="L4395" s="15">
        <v>5.2764800000000001E-3</v>
      </c>
      <c r="M4395" s="15">
        <v>0.98373699999999997</v>
      </c>
      <c r="N4395" s="15">
        <v>0.9933289736003641</v>
      </c>
    </row>
    <row r="4396" spans="1:14" x14ac:dyDescent="0.2">
      <c r="A4396" s="2" t="s">
        <v>10068</v>
      </c>
      <c r="B4396" s="15">
        <v>856</v>
      </c>
      <c r="C4396" s="15">
        <v>5</v>
      </c>
      <c r="D4396" s="15">
        <v>97316602</v>
      </c>
      <c r="E4396" s="15">
        <v>98567769</v>
      </c>
      <c r="F4396" s="15">
        <v>3217</v>
      </c>
      <c r="G4396" s="8" t="s">
        <v>12324</v>
      </c>
      <c r="H4396" s="24" t="s">
        <v>1259</v>
      </c>
      <c r="I4396" s="25">
        <v>27096</v>
      </c>
      <c r="J4396" s="8" t="s">
        <v>1261</v>
      </c>
      <c r="K4396" s="8" t="s">
        <v>10040</v>
      </c>
      <c r="L4396" s="15">
        <v>-7.1873099999999997E-3</v>
      </c>
      <c r="M4396" s="15">
        <v>0.98414599999999997</v>
      </c>
      <c r="N4396" s="15">
        <v>0.9933289736003641</v>
      </c>
    </row>
    <row r="4397" spans="1:14" x14ac:dyDescent="0.2">
      <c r="A4397" s="2" t="s">
        <v>10068</v>
      </c>
      <c r="B4397" s="15">
        <v>1937</v>
      </c>
      <c r="C4397" s="15">
        <v>13</v>
      </c>
      <c r="D4397" s="15">
        <v>98527336</v>
      </c>
      <c r="E4397" s="15">
        <v>99402294</v>
      </c>
      <c r="F4397" s="15">
        <v>2673</v>
      </c>
      <c r="G4397" s="8" t="s">
        <v>12324</v>
      </c>
      <c r="H4397" s="24" t="s">
        <v>494</v>
      </c>
      <c r="I4397" s="25">
        <v>25920</v>
      </c>
      <c r="J4397" s="8" t="s">
        <v>496</v>
      </c>
      <c r="K4397" s="8" t="s">
        <v>10040</v>
      </c>
      <c r="L4397" s="15">
        <v>-4.1718199999999997E-3</v>
      </c>
      <c r="M4397" s="15">
        <v>0.984649</v>
      </c>
      <c r="N4397" s="15">
        <v>0.99351465650591442</v>
      </c>
    </row>
    <row r="4398" spans="1:14" x14ac:dyDescent="0.2">
      <c r="A4398" s="2" t="s">
        <v>10068</v>
      </c>
      <c r="B4398" s="15">
        <v>1404</v>
      </c>
      <c r="C4398" s="15">
        <v>9</v>
      </c>
      <c r="D4398" s="15">
        <v>27366480</v>
      </c>
      <c r="E4398" s="15">
        <v>28067454</v>
      </c>
      <c r="F4398" s="15">
        <v>2075</v>
      </c>
      <c r="G4398" s="8" t="s">
        <v>12324</v>
      </c>
      <c r="H4398" s="24" t="s">
        <v>1259</v>
      </c>
      <c r="I4398" s="25">
        <v>27096</v>
      </c>
      <c r="J4398" s="8" t="s">
        <v>1261</v>
      </c>
      <c r="K4398" s="8" t="s">
        <v>10040</v>
      </c>
      <c r="L4398" s="15">
        <v>4.57312E-3</v>
      </c>
      <c r="M4398" s="15">
        <v>0.98477800000000004</v>
      </c>
      <c r="N4398" s="15">
        <v>0.99351465650591442</v>
      </c>
    </row>
    <row r="4399" spans="1:14" x14ac:dyDescent="0.2">
      <c r="A4399" s="2" t="s">
        <v>10068</v>
      </c>
      <c r="B4399" s="15">
        <v>1085</v>
      </c>
      <c r="C4399" s="15">
        <v>6</v>
      </c>
      <c r="D4399" s="15">
        <v>161371015</v>
      </c>
      <c r="E4399" s="15">
        <v>162254229</v>
      </c>
      <c r="F4399" s="15">
        <v>2715</v>
      </c>
      <c r="G4399" s="8" t="s">
        <v>12324</v>
      </c>
      <c r="H4399" s="24" t="s">
        <v>494</v>
      </c>
      <c r="I4399" s="25">
        <v>25920</v>
      </c>
      <c r="J4399" s="8" t="s">
        <v>496</v>
      </c>
      <c r="K4399" s="8" t="s">
        <v>10040</v>
      </c>
      <c r="L4399" s="15">
        <v>-2.6157099999999998E-3</v>
      </c>
      <c r="M4399" s="15">
        <v>0.985097</v>
      </c>
      <c r="N4399" s="15">
        <v>0.99361046054127811</v>
      </c>
    </row>
    <row r="4400" spans="1:14" x14ac:dyDescent="0.2">
      <c r="A4400" s="2" t="s">
        <v>10068</v>
      </c>
      <c r="B4400" s="15">
        <v>164</v>
      </c>
      <c r="C4400" s="15">
        <v>1</v>
      </c>
      <c r="D4400" s="15">
        <v>213958293</v>
      </c>
      <c r="E4400" s="15">
        <v>214783872</v>
      </c>
      <c r="F4400" s="15">
        <v>2139</v>
      </c>
      <c r="G4400" s="8" t="s">
        <v>12324</v>
      </c>
      <c r="H4400" s="24" t="s">
        <v>6565</v>
      </c>
      <c r="I4400" s="25" t="s">
        <v>6475</v>
      </c>
      <c r="J4400" s="8" t="s">
        <v>6566</v>
      </c>
      <c r="K4400" s="8" t="s">
        <v>10054</v>
      </c>
      <c r="L4400" s="15">
        <v>6.4764899999999997E-3</v>
      </c>
      <c r="M4400" s="15">
        <v>0.98589300000000002</v>
      </c>
      <c r="N4400" s="15">
        <v>0.99418723396998643</v>
      </c>
    </row>
    <row r="4401" spans="1:14" x14ac:dyDescent="0.2">
      <c r="A4401" s="2" t="s">
        <v>10068</v>
      </c>
      <c r="B4401" s="15">
        <v>1945</v>
      </c>
      <c r="C4401" s="15">
        <v>13</v>
      </c>
      <c r="D4401" s="15">
        <v>107037865</v>
      </c>
      <c r="E4401" s="15">
        <v>108521978</v>
      </c>
      <c r="F4401" s="15">
        <v>4034</v>
      </c>
      <c r="G4401" s="8" t="s">
        <v>12324</v>
      </c>
      <c r="H4401" s="24" t="s">
        <v>599</v>
      </c>
      <c r="I4401" s="25">
        <v>26562</v>
      </c>
      <c r="J4401" s="8" t="s">
        <v>601</v>
      </c>
      <c r="K4401" s="8" t="s">
        <v>10040</v>
      </c>
      <c r="L4401" s="15">
        <v>-4.3092199999999999E-3</v>
      </c>
      <c r="M4401" s="15">
        <v>0.98612299999999997</v>
      </c>
      <c r="N4401" s="15">
        <v>0.99419311320754711</v>
      </c>
    </row>
    <row r="4402" spans="1:14" x14ac:dyDescent="0.2">
      <c r="A4402" s="2" t="s">
        <v>10066</v>
      </c>
      <c r="B4402" s="15">
        <v>1041</v>
      </c>
      <c r="C4402" s="15">
        <v>6</v>
      </c>
      <c r="D4402" s="15">
        <v>111363444</v>
      </c>
      <c r="E4402" s="15">
        <v>112342873</v>
      </c>
      <c r="F4402" s="15">
        <v>2149</v>
      </c>
      <c r="G4402" s="8" t="s">
        <v>12324</v>
      </c>
      <c r="H4402" s="24" t="s">
        <v>6008</v>
      </c>
      <c r="I4402" s="25" t="s">
        <v>6009</v>
      </c>
      <c r="J4402" s="8" t="s">
        <v>6010</v>
      </c>
      <c r="K4402" s="8" t="s">
        <v>10051</v>
      </c>
      <c r="L4402" s="15">
        <v>-5.0569100000000004E-3</v>
      </c>
      <c r="M4402" s="15">
        <v>0.986433</v>
      </c>
      <c r="N4402" s="15">
        <v>0.99427962613636378</v>
      </c>
    </row>
    <row r="4403" spans="1:14" x14ac:dyDescent="0.2">
      <c r="A4403" s="2" t="s">
        <v>10068</v>
      </c>
      <c r="B4403" s="15">
        <v>663</v>
      </c>
      <c r="C4403" s="15">
        <v>4</v>
      </c>
      <c r="D4403" s="15">
        <v>67616363</v>
      </c>
      <c r="E4403" s="15">
        <v>68742859</v>
      </c>
      <c r="F4403" s="15">
        <v>3007</v>
      </c>
      <c r="G4403" s="8" t="s">
        <v>12324</v>
      </c>
      <c r="H4403" s="24" t="s">
        <v>494</v>
      </c>
      <c r="I4403" s="25">
        <v>25920</v>
      </c>
      <c r="J4403" s="8" t="s">
        <v>496</v>
      </c>
      <c r="K4403" s="8" t="s">
        <v>10040</v>
      </c>
      <c r="L4403" s="15">
        <v>5.0352499999999998E-3</v>
      </c>
      <c r="M4403" s="15">
        <v>0.98757200000000001</v>
      </c>
      <c r="N4403" s="15">
        <v>0.99474944810356569</v>
      </c>
    </row>
    <row r="4404" spans="1:14" x14ac:dyDescent="0.2">
      <c r="A4404" s="2" t="s">
        <v>10068</v>
      </c>
      <c r="B4404" s="15">
        <v>778</v>
      </c>
      <c r="C4404" s="15">
        <v>5</v>
      </c>
      <c r="D4404" s="15">
        <v>2106886</v>
      </c>
      <c r="E4404" s="15">
        <v>2960068</v>
      </c>
      <c r="F4404" s="15">
        <v>3324</v>
      </c>
      <c r="G4404" s="8" t="s">
        <v>12324</v>
      </c>
      <c r="H4404" s="24" t="s">
        <v>599</v>
      </c>
      <c r="I4404" s="25">
        <v>26562</v>
      </c>
      <c r="J4404" s="8" t="s">
        <v>601</v>
      </c>
      <c r="K4404" s="8" t="s">
        <v>10040</v>
      </c>
      <c r="L4404" s="15">
        <v>4.5063899999999999E-3</v>
      </c>
      <c r="M4404" s="15">
        <v>0.98738400000000004</v>
      </c>
      <c r="N4404" s="15">
        <v>0.99474944810356569</v>
      </c>
    </row>
    <row r="4405" spans="1:14" x14ac:dyDescent="0.2">
      <c r="A4405" s="2" t="s">
        <v>10068</v>
      </c>
      <c r="B4405" s="15">
        <v>571</v>
      </c>
      <c r="C4405" s="15">
        <v>3</v>
      </c>
      <c r="D4405" s="15">
        <v>170174579</v>
      </c>
      <c r="E4405" s="15">
        <v>171134849</v>
      </c>
      <c r="F4405" s="15">
        <v>2192</v>
      </c>
      <c r="G4405" s="8" t="s">
        <v>12324</v>
      </c>
      <c r="H4405" s="24" t="s">
        <v>6565</v>
      </c>
      <c r="I4405" s="25" t="s">
        <v>6475</v>
      </c>
      <c r="J4405" s="8" t="s">
        <v>6566</v>
      </c>
      <c r="K4405" s="8" t="s">
        <v>10054</v>
      </c>
      <c r="L4405" s="15">
        <v>4.5048299999999996E-3</v>
      </c>
      <c r="M4405" s="15">
        <v>0.987201</v>
      </c>
      <c r="N4405" s="15">
        <v>0.99474944810356569</v>
      </c>
    </row>
    <row r="4406" spans="1:14" x14ac:dyDescent="0.2">
      <c r="A4406" s="2" t="s">
        <v>10068</v>
      </c>
      <c r="B4406" s="15">
        <v>2382</v>
      </c>
      <c r="C4406" s="15">
        <v>20</v>
      </c>
      <c r="D4406" s="15">
        <v>12353962</v>
      </c>
      <c r="E4406" s="15">
        <v>13202335</v>
      </c>
      <c r="F4406" s="15">
        <v>2829</v>
      </c>
      <c r="G4406" s="8" t="s">
        <v>12324</v>
      </c>
      <c r="H4406" s="24" t="s">
        <v>1259</v>
      </c>
      <c r="I4406" s="25">
        <v>27096</v>
      </c>
      <c r="J4406" s="8" t="s">
        <v>1261</v>
      </c>
      <c r="K4406" s="8" t="s">
        <v>10040</v>
      </c>
      <c r="L4406" s="15">
        <v>3.0620700000000001E-3</v>
      </c>
      <c r="M4406" s="15">
        <v>0.987842</v>
      </c>
      <c r="N4406" s="15">
        <v>0.99479547456857398</v>
      </c>
    </row>
    <row r="4407" spans="1:14" x14ac:dyDescent="0.2">
      <c r="A4407" s="2" t="s">
        <v>10066</v>
      </c>
      <c r="B4407" s="15">
        <v>1844</v>
      </c>
      <c r="C4407" s="15">
        <v>12</v>
      </c>
      <c r="D4407" s="15">
        <v>115439452</v>
      </c>
      <c r="E4407" s="15">
        <v>116197675</v>
      </c>
      <c r="F4407" s="15">
        <v>2296</v>
      </c>
      <c r="G4407" s="8" t="s">
        <v>12324</v>
      </c>
      <c r="H4407" s="24" t="s">
        <v>6008</v>
      </c>
      <c r="I4407" s="25" t="s">
        <v>6009</v>
      </c>
      <c r="J4407" s="8" t="s">
        <v>6010</v>
      </c>
      <c r="K4407" s="8" t="s">
        <v>10051</v>
      </c>
      <c r="L4407" s="15">
        <v>-3.45262E-3</v>
      </c>
      <c r="M4407" s="15">
        <v>0.98829</v>
      </c>
      <c r="N4407" s="15">
        <v>0.99502069239500557</v>
      </c>
    </row>
    <row r="4408" spans="1:14" x14ac:dyDescent="0.2">
      <c r="A4408" s="2" t="s">
        <v>10068</v>
      </c>
      <c r="B4408" s="15">
        <v>1770</v>
      </c>
      <c r="C4408" s="15">
        <v>12</v>
      </c>
      <c r="D4408" s="15">
        <v>29647194</v>
      </c>
      <c r="E4408" s="15">
        <v>30358377</v>
      </c>
      <c r="F4408" s="15">
        <v>2568</v>
      </c>
      <c r="G4408" s="8" t="s">
        <v>12324</v>
      </c>
      <c r="H4408" s="24" t="s">
        <v>599</v>
      </c>
      <c r="I4408" s="25">
        <v>26562</v>
      </c>
      <c r="J4408" s="8" t="s">
        <v>601</v>
      </c>
      <c r="K4408" s="8" t="s">
        <v>10040</v>
      </c>
      <c r="L4408" s="15">
        <v>4.0684500000000004E-3</v>
      </c>
      <c r="M4408" s="15">
        <v>0.98858299999999999</v>
      </c>
      <c r="N4408" s="15">
        <v>0.99507331177671887</v>
      </c>
    </row>
    <row r="4409" spans="1:14" x14ac:dyDescent="0.2">
      <c r="A4409" s="2" t="s">
        <v>10068</v>
      </c>
      <c r="B4409" s="15">
        <v>2249</v>
      </c>
      <c r="C4409" s="15">
        <v>18</v>
      </c>
      <c r="D4409" s="15">
        <v>10675549</v>
      </c>
      <c r="E4409" s="15">
        <v>11872226</v>
      </c>
      <c r="F4409" s="15">
        <v>3838</v>
      </c>
      <c r="G4409" s="8" t="s">
        <v>12324</v>
      </c>
      <c r="H4409" s="24" t="s">
        <v>6565</v>
      </c>
      <c r="I4409" s="25" t="s">
        <v>6475</v>
      </c>
      <c r="J4409" s="8" t="s">
        <v>6566</v>
      </c>
      <c r="K4409" s="8" t="s">
        <v>10054</v>
      </c>
      <c r="L4409" s="15">
        <v>3.3768299999999999E-3</v>
      </c>
      <c r="M4409" s="15">
        <v>0.98879099999999998</v>
      </c>
      <c r="N4409" s="15">
        <v>0.99507331177671887</v>
      </c>
    </row>
    <row r="4410" spans="1:14" x14ac:dyDescent="0.2">
      <c r="A4410" s="2" t="s">
        <v>10068</v>
      </c>
      <c r="B4410" s="15">
        <v>1466</v>
      </c>
      <c r="C4410" s="15">
        <v>9</v>
      </c>
      <c r="D4410" s="15">
        <v>121008530</v>
      </c>
      <c r="E4410" s="15">
        <v>122677719</v>
      </c>
      <c r="F4410" s="15">
        <v>3842</v>
      </c>
      <c r="G4410" s="8" t="s">
        <v>12324</v>
      </c>
      <c r="H4410" s="24" t="s">
        <v>494</v>
      </c>
      <c r="I4410" s="25">
        <v>25920</v>
      </c>
      <c r="J4410" s="8" t="s">
        <v>496</v>
      </c>
      <c r="K4410" s="8" t="s">
        <v>10040</v>
      </c>
      <c r="L4410" s="15">
        <v>3.1745800000000002E-3</v>
      </c>
      <c r="M4410" s="15">
        <v>0.98967499999999997</v>
      </c>
      <c r="N4410" s="15">
        <v>0.99565397936039901</v>
      </c>
    </row>
    <row r="4411" spans="1:14" x14ac:dyDescent="0.2">
      <c r="A4411" s="2" t="s">
        <v>10068</v>
      </c>
      <c r="B4411" s="15">
        <v>2348</v>
      </c>
      <c r="C4411" s="15">
        <v>19</v>
      </c>
      <c r="D4411" s="15">
        <v>41733464</v>
      </c>
      <c r="E4411" s="15">
        <v>43317282</v>
      </c>
      <c r="F4411" s="15">
        <v>2557</v>
      </c>
      <c r="G4411" s="8" t="s">
        <v>12324</v>
      </c>
      <c r="H4411" s="24" t="s">
        <v>6565</v>
      </c>
      <c r="I4411" s="25" t="s">
        <v>6475</v>
      </c>
      <c r="J4411" s="8" t="s">
        <v>6566</v>
      </c>
      <c r="K4411" s="8" t="s">
        <v>10054</v>
      </c>
      <c r="L4411" s="15">
        <v>2.97605E-3</v>
      </c>
      <c r="M4411" s="15">
        <v>0.98981699999999995</v>
      </c>
      <c r="N4411" s="15">
        <v>0.99565397936039901</v>
      </c>
    </row>
    <row r="4412" spans="1:14" x14ac:dyDescent="0.2">
      <c r="A4412" s="2" t="s">
        <v>10068</v>
      </c>
      <c r="B4412" s="15">
        <v>1470</v>
      </c>
      <c r="C4412" s="15">
        <v>9</v>
      </c>
      <c r="D4412" s="15">
        <v>126092932</v>
      </c>
      <c r="E4412" s="15">
        <v>127184582</v>
      </c>
      <c r="F4412" s="15">
        <v>2671</v>
      </c>
      <c r="G4412" s="8" t="s">
        <v>12324</v>
      </c>
      <c r="H4412" s="24" t="s">
        <v>1259</v>
      </c>
      <c r="I4412" s="25">
        <v>27096</v>
      </c>
      <c r="J4412" s="8" t="s">
        <v>1261</v>
      </c>
      <c r="K4412" s="8" t="s">
        <v>10040</v>
      </c>
      <c r="L4412" s="15">
        <v>-3.3292600000000001E-3</v>
      </c>
      <c r="M4412" s="15">
        <v>0.99009100000000005</v>
      </c>
      <c r="N4412" s="15">
        <v>0.99570376077097511</v>
      </c>
    </row>
    <row r="4413" spans="1:14" x14ac:dyDescent="0.2">
      <c r="A4413" s="2" t="s">
        <v>10066</v>
      </c>
      <c r="B4413" s="15">
        <v>1887</v>
      </c>
      <c r="C4413" s="15">
        <v>13</v>
      </c>
      <c r="D4413" s="15">
        <v>43931932</v>
      </c>
      <c r="E4413" s="15">
        <v>45476446</v>
      </c>
      <c r="F4413" s="15">
        <v>3514</v>
      </c>
      <c r="G4413" s="8" t="s">
        <v>12324</v>
      </c>
      <c r="H4413" s="24" t="s">
        <v>3164</v>
      </c>
      <c r="I4413" s="25" t="s">
        <v>3165</v>
      </c>
      <c r="J4413" s="8" t="s">
        <v>3166</v>
      </c>
      <c r="K4413" s="8" t="s">
        <v>10042</v>
      </c>
      <c r="L4413" s="15">
        <v>-2.3468600000000001E-3</v>
      </c>
      <c r="M4413" s="15">
        <v>0.99073900000000004</v>
      </c>
      <c r="N4413" s="15">
        <v>0.99612955452278396</v>
      </c>
    </row>
    <row r="4414" spans="1:14" x14ac:dyDescent="0.2">
      <c r="A4414" s="2" t="s">
        <v>10068</v>
      </c>
      <c r="B4414" s="15">
        <v>130</v>
      </c>
      <c r="C4414" s="15">
        <v>1</v>
      </c>
      <c r="D4414" s="15">
        <v>172465154</v>
      </c>
      <c r="E4414" s="15">
        <v>173582511</v>
      </c>
      <c r="F4414" s="15">
        <v>2152</v>
      </c>
      <c r="G4414" s="8" t="s">
        <v>12324</v>
      </c>
      <c r="H4414" s="24" t="s">
        <v>6565</v>
      </c>
      <c r="I4414" s="25" t="s">
        <v>6475</v>
      </c>
      <c r="J4414" s="8" t="s">
        <v>6566</v>
      </c>
      <c r="K4414" s="8" t="s">
        <v>10054</v>
      </c>
      <c r="L4414" s="15">
        <v>-2.2679699999999998E-3</v>
      </c>
      <c r="M4414" s="15">
        <v>0.99221800000000004</v>
      </c>
      <c r="N4414" s="15">
        <v>0.9973885871289373</v>
      </c>
    </row>
    <row r="4415" spans="1:14" x14ac:dyDescent="0.2">
      <c r="A4415" s="2" t="s">
        <v>10068</v>
      </c>
      <c r="B4415" s="15">
        <v>1844</v>
      </c>
      <c r="C4415" s="15">
        <v>12</v>
      </c>
      <c r="D4415" s="15">
        <v>115439452</v>
      </c>
      <c r="E4415" s="15">
        <v>116197675</v>
      </c>
      <c r="F4415" s="15">
        <v>2298</v>
      </c>
      <c r="G4415" s="8" t="s">
        <v>12324</v>
      </c>
      <c r="H4415" s="24" t="s">
        <v>6565</v>
      </c>
      <c r="I4415" s="25" t="s">
        <v>6475</v>
      </c>
      <c r="J4415" s="8" t="s">
        <v>6566</v>
      </c>
      <c r="K4415" s="8" t="s">
        <v>10054</v>
      </c>
      <c r="L4415" s="15">
        <v>2.6177599999999998E-3</v>
      </c>
      <c r="M4415" s="15">
        <v>0.99244100000000002</v>
      </c>
      <c r="N4415" s="15">
        <v>0.9973885871289373</v>
      </c>
    </row>
    <row r="4416" spans="1:14" x14ac:dyDescent="0.2">
      <c r="A4416" s="2" t="s">
        <v>10069</v>
      </c>
      <c r="B4416" s="15">
        <v>2110</v>
      </c>
      <c r="C4416" s="15">
        <v>16</v>
      </c>
      <c r="D4416" s="15">
        <v>7704355</v>
      </c>
      <c r="E4416" s="15">
        <v>8341012</v>
      </c>
      <c r="F4416" s="15">
        <v>1958</v>
      </c>
      <c r="G4416" s="8" t="s">
        <v>12324</v>
      </c>
      <c r="H4416" s="24" t="s">
        <v>662</v>
      </c>
      <c r="I4416" s="25" t="s">
        <v>663</v>
      </c>
      <c r="J4416" s="8" t="s">
        <v>664</v>
      </c>
      <c r="K4416" s="8" t="s">
        <v>10040</v>
      </c>
      <c r="L4416" s="15">
        <v>3.83272E-3</v>
      </c>
      <c r="M4416" s="15">
        <v>0.99268000000000001</v>
      </c>
      <c r="N4416" s="15">
        <v>0.99740276393294069</v>
      </c>
    </row>
    <row r="4417" spans="1:14" x14ac:dyDescent="0.2">
      <c r="A4417" s="2" t="s">
        <v>10069</v>
      </c>
      <c r="B4417" s="15">
        <v>2232</v>
      </c>
      <c r="C4417" s="15">
        <v>17</v>
      </c>
      <c r="D4417" s="15">
        <v>75619257</v>
      </c>
      <c r="E4417" s="15">
        <v>76596287</v>
      </c>
      <c r="F4417" s="15">
        <v>2162</v>
      </c>
      <c r="G4417" s="8" t="s">
        <v>12324</v>
      </c>
      <c r="H4417" s="24" t="s">
        <v>662</v>
      </c>
      <c r="I4417" s="25" t="s">
        <v>663</v>
      </c>
      <c r="J4417" s="8" t="s">
        <v>664</v>
      </c>
      <c r="K4417" s="8" t="s">
        <v>10040</v>
      </c>
      <c r="L4417" s="15">
        <v>2.5672999999999998E-3</v>
      </c>
      <c r="M4417" s="15">
        <v>0.99355599999999999</v>
      </c>
      <c r="N4417" s="15">
        <v>0.99747154446707409</v>
      </c>
    </row>
    <row r="4418" spans="1:14" x14ac:dyDescent="0.2">
      <c r="A4418" s="2" t="s">
        <v>10068</v>
      </c>
      <c r="B4418" s="15">
        <v>2095</v>
      </c>
      <c r="C4418" s="15">
        <v>15</v>
      </c>
      <c r="D4418" s="15">
        <v>95662426</v>
      </c>
      <c r="E4418" s="15">
        <v>96864278</v>
      </c>
      <c r="F4418" s="15">
        <v>3059</v>
      </c>
      <c r="G4418" s="8" t="s">
        <v>12324</v>
      </c>
      <c r="H4418" s="24" t="s">
        <v>1259</v>
      </c>
      <c r="I4418" s="25">
        <v>27096</v>
      </c>
      <c r="J4418" s="8" t="s">
        <v>1261</v>
      </c>
      <c r="K4418" s="8" t="s">
        <v>10040</v>
      </c>
      <c r="L4418" s="15">
        <v>-1.6610799999999999E-3</v>
      </c>
      <c r="M4418" s="15">
        <v>0.99302500000000005</v>
      </c>
      <c r="N4418" s="15">
        <v>0.99747154446707409</v>
      </c>
    </row>
    <row r="4419" spans="1:14" x14ac:dyDescent="0.2">
      <c r="A4419" s="2" t="s">
        <v>10068</v>
      </c>
      <c r="B4419" s="15">
        <v>429</v>
      </c>
      <c r="C4419" s="15">
        <v>3</v>
      </c>
      <c r="D4419" s="15">
        <v>6421146</v>
      </c>
      <c r="E4419" s="15">
        <v>7529554</v>
      </c>
      <c r="F4419" s="15">
        <v>3529</v>
      </c>
      <c r="G4419" s="8" t="s">
        <v>12324</v>
      </c>
      <c r="H4419" s="24" t="s">
        <v>1259</v>
      </c>
      <c r="I4419" s="25">
        <v>27096</v>
      </c>
      <c r="J4419" s="8" t="s">
        <v>1261</v>
      </c>
      <c r="K4419" s="8" t="s">
        <v>10040</v>
      </c>
      <c r="L4419" s="15">
        <v>1.5535200000000001E-3</v>
      </c>
      <c r="M4419" s="15">
        <v>0.99387300000000001</v>
      </c>
      <c r="N4419" s="15">
        <v>0.99747154446707409</v>
      </c>
    </row>
    <row r="4420" spans="1:14" x14ac:dyDescent="0.2">
      <c r="A4420" s="2" t="s">
        <v>10066</v>
      </c>
      <c r="B4420" s="15">
        <v>193</v>
      </c>
      <c r="C4420" s="15">
        <v>1</v>
      </c>
      <c r="D4420" s="15">
        <v>241813535</v>
      </c>
      <c r="E4420" s="15">
        <v>242417923</v>
      </c>
      <c r="F4420" s="15">
        <v>2177</v>
      </c>
      <c r="G4420" s="8" t="s">
        <v>12324</v>
      </c>
      <c r="H4420" s="24" t="s">
        <v>6008</v>
      </c>
      <c r="I4420" s="25" t="s">
        <v>6009</v>
      </c>
      <c r="J4420" s="8" t="s">
        <v>6010</v>
      </c>
      <c r="K4420" s="8" t="s">
        <v>10051</v>
      </c>
      <c r="L4420" s="15">
        <v>2.1723599999999999E-3</v>
      </c>
      <c r="M4420" s="15">
        <v>0.99334800000000001</v>
      </c>
      <c r="N4420" s="15">
        <v>0.99747154446707409</v>
      </c>
    </row>
    <row r="4421" spans="1:14" x14ac:dyDescent="0.2">
      <c r="A4421" s="2" t="s">
        <v>10068</v>
      </c>
      <c r="B4421" s="15">
        <v>225</v>
      </c>
      <c r="C4421" s="15">
        <v>2</v>
      </c>
      <c r="D4421" s="15">
        <v>21084899</v>
      </c>
      <c r="E4421" s="15">
        <v>22429640</v>
      </c>
      <c r="F4421" s="15">
        <v>2610</v>
      </c>
      <c r="G4421" s="8" t="s">
        <v>12324</v>
      </c>
      <c r="H4421" s="24" t="s">
        <v>6565</v>
      </c>
      <c r="I4421" s="25" t="s">
        <v>6475</v>
      </c>
      <c r="J4421" s="8" t="s">
        <v>6566</v>
      </c>
      <c r="K4421" s="8" t="s">
        <v>10054</v>
      </c>
      <c r="L4421" s="15">
        <v>-2.1411500000000001E-3</v>
      </c>
      <c r="M4421" s="15">
        <v>0.99384499999999998</v>
      </c>
      <c r="N4421" s="15">
        <v>0.99747154446707409</v>
      </c>
    </row>
    <row r="4422" spans="1:14" x14ac:dyDescent="0.2">
      <c r="A4422" s="2" t="s">
        <v>10068</v>
      </c>
      <c r="B4422" s="15">
        <v>1869</v>
      </c>
      <c r="C4422" s="15">
        <v>13</v>
      </c>
      <c r="D4422" s="15">
        <v>24818334</v>
      </c>
      <c r="E4422" s="15">
        <v>25977140</v>
      </c>
      <c r="F4422" s="15">
        <v>3896</v>
      </c>
      <c r="G4422" s="8" t="s">
        <v>12324</v>
      </c>
      <c r="H4422" s="24" t="s">
        <v>6565</v>
      </c>
      <c r="I4422" s="25" t="s">
        <v>6475</v>
      </c>
      <c r="J4422" s="8" t="s">
        <v>6566</v>
      </c>
      <c r="K4422" s="8" t="s">
        <v>10054</v>
      </c>
      <c r="L4422" s="15">
        <v>2.35359E-3</v>
      </c>
      <c r="M4422" s="15">
        <v>0.99470800000000004</v>
      </c>
      <c r="N4422" s="15">
        <v>0.99808370588235296</v>
      </c>
    </row>
    <row r="4423" spans="1:14" x14ac:dyDescent="0.2">
      <c r="A4423" s="2" t="s">
        <v>10068</v>
      </c>
      <c r="B4423" s="15">
        <v>640</v>
      </c>
      <c r="C4423" s="15">
        <v>4</v>
      </c>
      <c r="D4423" s="15">
        <v>39820062</v>
      </c>
      <c r="E4423" s="15">
        <v>40590541</v>
      </c>
      <c r="F4423" s="15">
        <v>2209</v>
      </c>
      <c r="G4423" s="8" t="s">
        <v>12324</v>
      </c>
      <c r="H4423" s="24" t="s">
        <v>494</v>
      </c>
      <c r="I4423" s="25">
        <v>25920</v>
      </c>
      <c r="J4423" s="8" t="s">
        <v>496</v>
      </c>
      <c r="K4423" s="8" t="s">
        <v>10040</v>
      </c>
      <c r="L4423" s="15">
        <v>-1.18924E-3</v>
      </c>
      <c r="M4423" s="15">
        <v>0.99515399999999998</v>
      </c>
      <c r="N4423" s="15">
        <v>0.99830535851617275</v>
      </c>
    </row>
    <row r="4424" spans="1:14" x14ac:dyDescent="0.2">
      <c r="A4424" s="2" t="s">
        <v>10068</v>
      </c>
      <c r="B4424" s="15">
        <v>871</v>
      </c>
      <c r="C4424" s="15">
        <v>5</v>
      </c>
      <c r="D4424" s="15">
        <v>113998533</v>
      </c>
      <c r="E4424" s="15">
        <v>115117631</v>
      </c>
      <c r="F4424" s="15">
        <v>3140</v>
      </c>
      <c r="G4424" s="8" t="s">
        <v>12324</v>
      </c>
      <c r="H4424" s="24" t="s">
        <v>599</v>
      </c>
      <c r="I4424" s="25">
        <v>26562</v>
      </c>
      <c r="J4424" s="8" t="s">
        <v>601</v>
      </c>
      <c r="K4424" s="8" t="s">
        <v>10040</v>
      </c>
      <c r="L4424" s="15">
        <v>1.9800400000000002E-3</v>
      </c>
      <c r="M4424" s="15">
        <v>0.99553800000000003</v>
      </c>
      <c r="N4424" s="15">
        <v>0.99846472862957936</v>
      </c>
    </row>
    <row r="4425" spans="1:14" x14ac:dyDescent="0.2">
      <c r="A4425" s="2" t="s">
        <v>10068</v>
      </c>
      <c r="B4425" s="15">
        <v>761</v>
      </c>
      <c r="C4425" s="15">
        <v>4</v>
      </c>
      <c r="D4425" s="15">
        <v>179233906</v>
      </c>
      <c r="E4425" s="15">
        <v>179932391</v>
      </c>
      <c r="F4425" s="15">
        <v>2247</v>
      </c>
      <c r="G4425" s="8" t="s">
        <v>12324</v>
      </c>
      <c r="H4425" s="24" t="s">
        <v>599</v>
      </c>
      <c r="I4425" s="25">
        <v>26562</v>
      </c>
      <c r="J4425" s="8" t="s">
        <v>601</v>
      </c>
      <c r="K4425" s="8" t="s">
        <v>10040</v>
      </c>
      <c r="L4425" s="15">
        <v>7.00441E-4</v>
      </c>
      <c r="M4425" s="15">
        <v>0.99598399999999998</v>
      </c>
      <c r="N4425" s="15">
        <v>0.99868619489034605</v>
      </c>
    </row>
    <row r="4426" spans="1:14" x14ac:dyDescent="0.2">
      <c r="A4426" s="2" t="s">
        <v>10068</v>
      </c>
      <c r="B4426" s="15">
        <v>23</v>
      </c>
      <c r="C4426" s="15">
        <v>1</v>
      </c>
      <c r="D4426" s="15">
        <v>21416122</v>
      </c>
      <c r="E4426" s="15">
        <v>22145629</v>
      </c>
      <c r="F4426" s="15">
        <v>2197</v>
      </c>
      <c r="G4426" s="8" t="s">
        <v>12324</v>
      </c>
      <c r="H4426" s="24" t="s">
        <v>599</v>
      </c>
      <c r="I4426" s="25">
        <v>26562</v>
      </c>
      <c r="J4426" s="8" t="s">
        <v>601</v>
      </c>
      <c r="K4426" s="8" t="s">
        <v>10040</v>
      </c>
      <c r="L4426" s="15">
        <v>1.40953E-3</v>
      </c>
      <c r="M4426" s="15">
        <v>0.99710600000000005</v>
      </c>
      <c r="N4426" s="15">
        <v>0.99890786311271762</v>
      </c>
    </row>
    <row r="4427" spans="1:14" x14ac:dyDescent="0.2">
      <c r="A4427" s="2" t="s">
        <v>10069</v>
      </c>
      <c r="B4427" s="15">
        <v>550</v>
      </c>
      <c r="C4427" s="15">
        <v>3</v>
      </c>
      <c r="D4427" s="15">
        <v>147358244</v>
      </c>
      <c r="E4427" s="15">
        <v>148638308</v>
      </c>
      <c r="F4427" s="15">
        <v>1934</v>
      </c>
      <c r="G4427" s="8" t="s">
        <v>12324</v>
      </c>
      <c r="H4427" s="24" t="s">
        <v>662</v>
      </c>
      <c r="I4427" s="25" t="s">
        <v>663</v>
      </c>
      <c r="J4427" s="8" t="s">
        <v>664</v>
      </c>
      <c r="K4427" s="8" t="s">
        <v>10040</v>
      </c>
      <c r="L4427" s="15">
        <v>-1.6491100000000001E-3</v>
      </c>
      <c r="M4427" s="15">
        <v>0.996946</v>
      </c>
      <c r="N4427" s="15">
        <v>0.99890786311271762</v>
      </c>
    </row>
    <row r="4428" spans="1:14" x14ac:dyDescent="0.2">
      <c r="A4428" s="2" t="s">
        <v>10066</v>
      </c>
      <c r="B4428" s="15">
        <v>2491</v>
      </c>
      <c r="C4428" s="15">
        <v>22</v>
      </c>
      <c r="D4428" s="15">
        <v>47299626</v>
      </c>
      <c r="E4428" s="15">
        <v>48269177</v>
      </c>
      <c r="F4428" s="15">
        <v>3132</v>
      </c>
      <c r="G4428" s="8" t="s">
        <v>12324</v>
      </c>
      <c r="H4428" s="24" t="s">
        <v>6008</v>
      </c>
      <c r="I4428" s="25" t="s">
        <v>6009</v>
      </c>
      <c r="J4428" s="8" t="s">
        <v>6010</v>
      </c>
      <c r="K4428" s="8" t="s">
        <v>10051</v>
      </c>
      <c r="L4428" s="15">
        <v>6.1593399999999995E-4</v>
      </c>
      <c r="M4428" s="15">
        <v>0.99701799999999996</v>
      </c>
      <c r="N4428" s="15">
        <v>0.99890786311271762</v>
      </c>
    </row>
    <row r="4429" spans="1:14" x14ac:dyDescent="0.2">
      <c r="A4429" s="2" t="s">
        <v>10068</v>
      </c>
      <c r="B4429" s="15">
        <v>919</v>
      </c>
      <c r="C4429" s="15">
        <v>5</v>
      </c>
      <c r="D4429" s="15">
        <v>172285683</v>
      </c>
      <c r="E4429" s="15">
        <v>173606995</v>
      </c>
      <c r="F4429" s="15">
        <v>3780</v>
      </c>
      <c r="G4429" s="8" t="s">
        <v>12324</v>
      </c>
      <c r="H4429" s="24" t="s">
        <v>6565</v>
      </c>
      <c r="I4429" s="25" t="s">
        <v>6475</v>
      </c>
      <c r="J4429" s="8" t="s">
        <v>6566</v>
      </c>
      <c r="K4429" s="8" t="s">
        <v>10054</v>
      </c>
      <c r="L4429" s="15">
        <v>9.7017399999999997E-4</v>
      </c>
      <c r="M4429" s="15">
        <v>0.99652799999999997</v>
      </c>
      <c r="N4429" s="15">
        <v>0.99890786311271762</v>
      </c>
    </row>
    <row r="4430" spans="1:14" x14ac:dyDescent="0.2">
      <c r="A4430" s="2" t="s">
        <v>10068</v>
      </c>
      <c r="B4430" s="15">
        <v>2368</v>
      </c>
      <c r="C4430" s="15">
        <v>19</v>
      </c>
      <c r="D4430" s="15">
        <v>57959953</v>
      </c>
      <c r="E4430" s="15">
        <v>59118811</v>
      </c>
      <c r="F4430" s="15">
        <v>2914</v>
      </c>
      <c r="G4430" s="8" t="s">
        <v>12324</v>
      </c>
      <c r="H4430" s="24" t="s">
        <v>599</v>
      </c>
      <c r="I4430" s="25">
        <v>26562</v>
      </c>
      <c r="J4430" s="8" t="s">
        <v>601</v>
      </c>
      <c r="K4430" s="8" t="s">
        <v>10040</v>
      </c>
      <c r="L4430" s="15">
        <v>4.5337799999999999E-4</v>
      </c>
      <c r="M4430" s="15">
        <v>0.99797599999999997</v>
      </c>
      <c r="N4430" s="15">
        <v>0.99904805800045138</v>
      </c>
    </row>
    <row r="4431" spans="1:14" x14ac:dyDescent="0.2">
      <c r="A4431" s="2" t="s">
        <v>10068</v>
      </c>
      <c r="B4431" s="15">
        <v>2325</v>
      </c>
      <c r="C4431" s="15">
        <v>19</v>
      </c>
      <c r="D4431" s="15">
        <v>17045964</v>
      </c>
      <c r="E4431" s="15">
        <v>17750518</v>
      </c>
      <c r="F4431" s="15">
        <v>2356</v>
      </c>
      <c r="G4431" s="8" t="s">
        <v>12324</v>
      </c>
      <c r="H4431" s="24" t="s">
        <v>1259</v>
      </c>
      <c r="I4431" s="25">
        <v>27096</v>
      </c>
      <c r="J4431" s="8" t="s">
        <v>1261</v>
      </c>
      <c r="K4431" s="8" t="s">
        <v>10040</v>
      </c>
      <c r="L4431" s="15">
        <v>4.7963599999999997E-4</v>
      </c>
      <c r="M4431" s="15">
        <v>0.99814700000000001</v>
      </c>
      <c r="N4431" s="15">
        <v>0.99904805800045138</v>
      </c>
    </row>
    <row r="4432" spans="1:14" x14ac:dyDescent="0.2">
      <c r="A4432" s="2" t="s">
        <v>10066</v>
      </c>
      <c r="B4432" s="15">
        <v>1618</v>
      </c>
      <c r="C4432" s="15">
        <v>11</v>
      </c>
      <c r="D4432" s="15">
        <v>6180841</v>
      </c>
      <c r="E4432" s="15">
        <v>7191230</v>
      </c>
      <c r="F4432" s="15">
        <v>2910</v>
      </c>
      <c r="G4432" s="8" t="s">
        <v>12324</v>
      </c>
      <c r="H4432" s="24" t="s">
        <v>6008</v>
      </c>
      <c r="I4432" s="25" t="s">
        <v>6009</v>
      </c>
      <c r="J4432" s="8" t="s">
        <v>6010</v>
      </c>
      <c r="K4432" s="8" t="s">
        <v>10051</v>
      </c>
      <c r="L4432" s="15">
        <v>-1.1772499999999999E-3</v>
      </c>
      <c r="M4432" s="15">
        <v>0.99767099999999997</v>
      </c>
      <c r="N4432" s="15">
        <v>0.99904805800045138</v>
      </c>
    </row>
    <row r="4433" spans="1:14" x14ac:dyDescent="0.2">
      <c r="A4433" s="2" t="s">
        <v>10068</v>
      </c>
      <c r="B4433" s="15">
        <v>181</v>
      </c>
      <c r="C4433" s="15">
        <v>1</v>
      </c>
      <c r="D4433" s="15">
        <v>232177705</v>
      </c>
      <c r="E4433" s="15">
        <v>232954942</v>
      </c>
      <c r="F4433" s="15">
        <v>2429</v>
      </c>
      <c r="G4433" s="8" t="s">
        <v>12324</v>
      </c>
      <c r="H4433" s="24" t="s">
        <v>6565</v>
      </c>
      <c r="I4433" s="25" t="s">
        <v>6475</v>
      </c>
      <c r="J4433" s="8" t="s">
        <v>6566</v>
      </c>
      <c r="K4433" s="8" t="s">
        <v>10054</v>
      </c>
      <c r="L4433" s="15">
        <v>7.6982600000000004E-4</v>
      </c>
      <c r="M4433" s="15">
        <v>0.99802800000000003</v>
      </c>
      <c r="N4433" s="15">
        <v>0.99904805800045138</v>
      </c>
    </row>
    <row r="4434" spans="1:14" x14ac:dyDescent="0.2">
      <c r="A4434" s="2" t="s">
        <v>10068</v>
      </c>
      <c r="B4434" s="15">
        <v>1765</v>
      </c>
      <c r="C4434" s="15">
        <v>12</v>
      </c>
      <c r="D4434" s="15">
        <v>25058715</v>
      </c>
      <c r="E4434" s="15">
        <v>25990813</v>
      </c>
      <c r="F4434" s="15">
        <v>2855</v>
      </c>
      <c r="G4434" s="8" t="s">
        <v>12324</v>
      </c>
      <c r="H4434" s="24" t="s">
        <v>494</v>
      </c>
      <c r="I4434" s="25">
        <v>25920</v>
      </c>
      <c r="J4434" s="8" t="s">
        <v>496</v>
      </c>
      <c r="K4434" s="8" t="s">
        <v>10040</v>
      </c>
      <c r="L4434" s="15">
        <v>2.40803E-5</v>
      </c>
      <c r="M4434" s="15">
        <v>0.99994000000000005</v>
      </c>
      <c r="N4434" s="15">
        <v>0.99994000000000005</v>
      </c>
    </row>
    <row r="4435" spans="1:14" x14ac:dyDescent="0.2">
      <c r="A4435" s="2" t="s">
        <v>10069</v>
      </c>
      <c r="B4435" s="15">
        <v>2379</v>
      </c>
      <c r="C4435" s="15">
        <v>20</v>
      </c>
      <c r="D4435" s="15">
        <v>9279551</v>
      </c>
      <c r="E4435" s="15">
        <v>10279603</v>
      </c>
      <c r="F4435" s="15">
        <v>1901</v>
      </c>
      <c r="G4435" s="8" t="s">
        <v>12324</v>
      </c>
      <c r="H4435" s="24" t="s">
        <v>662</v>
      </c>
      <c r="I4435" s="25" t="s">
        <v>663</v>
      </c>
      <c r="J4435" s="8" t="s">
        <v>664</v>
      </c>
      <c r="K4435" s="8" t="s">
        <v>10040</v>
      </c>
      <c r="L4435" s="15">
        <v>-3.54092E-5</v>
      </c>
      <c r="M4435" s="15">
        <v>0.99990800000000002</v>
      </c>
      <c r="N4435" s="15">
        <v>0.99994000000000005</v>
      </c>
    </row>
    <row r="4436" spans="1:14" x14ac:dyDescent="0.2">
      <c r="A4436" s="2" t="s">
        <v>10066</v>
      </c>
      <c r="B4436" s="15">
        <v>573</v>
      </c>
      <c r="C4436" s="15">
        <v>3</v>
      </c>
      <c r="D4436" s="15">
        <v>172004761</v>
      </c>
      <c r="E4436" s="15">
        <v>173415591</v>
      </c>
      <c r="F4436" s="15">
        <v>3404</v>
      </c>
      <c r="G4436" s="8" t="s">
        <v>12324</v>
      </c>
      <c r="H4436" s="24" t="s">
        <v>6008</v>
      </c>
      <c r="I4436" s="25" t="s">
        <v>6009</v>
      </c>
      <c r="J4436" s="8" t="s">
        <v>6010</v>
      </c>
      <c r="K4436" s="8" t="s">
        <v>10051</v>
      </c>
      <c r="L4436" s="15">
        <v>1.03404E-4</v>
      </c>
      <c r="M4436" s="15">
        <v>0.99978500000000003</v>
      </c>
      <c r="N4436" s="15">
        <v>0.99994000000000005</v>
      </c>
    </row>
    <row r="4437" spans="1:14" x14ac:dyDescent="0.2">
      <c r="A4437" s="2" t="s">
        <v>10068</v>
      </c>
      <c r="B4437" s="15">
        <v>1768</v>
      </c>
      <c r="C4437" s="15">
        <v>12</v>
      </c>
      <c r="D4437" s="15">
        <v>27797263</v>
      </c>
      <c r="E4437" s="15">
        <v>28753585</v>
      </c>
      <c r="F4437" s="15">
        <v>2396</v>
      </c>
      <c r="G4437" s="8" t="s">
        <v>12324</v>
      </c>
      <c r="H4437" s="24" t="s">
        <v>6565</v>
      </c>
      <c r="I4437" s="25" t="s">
        <v>6475</v>
      </c>
      <c r="J4437" s="8" t="s">
        <v>6566</v>
      </c>
      <c r="K4437" s="8" t="s">
        <v>10054</v>
      </c>
      <c r="L4437" s="15">
        <v>-1.9335399999999999E-4</v>
      </c>
      <c r="M4437" s="15">
        <v>0.99943800000000005</v>
      </c>
      <c r="N4437" s="15">
        <v>0.99994000000000005</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2559F-4A4F-4324-BF5C-BBD85A98E30C}">
  <dimension ref="A1:K9974"/>
  <sheetViews>
    <sheetView workbookViewId="0"/>
  </sheetViews>
  <sheetFormatPr defaultColWidth="9" defaultRowHeight="14.25" x14ac:dyDescent="0.2"/>
  <cols>
    <col min="1" max="1" width="10.28515625" style="2" customWidth="1"/>
    <col min="2" max="2" width="4.28515625" style="2" bestFit="1" customWidth="1"/>
    <col min="3" max="4" width="11.28515625" style="2" bestFit="1" customWidth="1"/>
    <col min="5" max="5" width="9.42578125" style="2" bestFit="1" customWidth="1"/>
    <col min="6" max="6" width="18.42578125" style="2" bestFit="1" customWidth="1"/>
    <col min="7" max="7" width="16.28515625" style="2" bestFit="1" customWidth="1"/>
    <col min="8" max="8" width="15.28515625" style="2" bestFit="1" customWidth="1"/>
    <col min="9" max="9" width="15.85546875" style="2" bestFit="1" customWidth="1"/>
    <col min="10" max="10" width="30.28515625" style="2" bestFit="1" customWidth="1"/>
    <col min="11" max="11" width="14.85546875" style="2" bestFit="1" customWidth="1"/>
    <col min="12" max="16384" width="9" style="2"/>
  </cols>
  <sheetData>
    <row r="1" spans="1:11" s="8" customFormat="1" x14ac:dyDescent="0.2">
      <c r="A1" s="1" t="s">
        <v>12339</v>
      </c>
    </row>
    <row r="2" spans="1:11" s="8" customFormat="1" ht="15" x14ac:dyDescent="0.25">
      <c r="A2" s="10" t="s">
        <v>10106</v>
      </c>
      <c r="B2" s="10" t="s">
        <v>10105</v>
      </c>
      <c r="C2" s="10" t="s">
        <v>10104</v>
      </c>
      <c r="D2" s="10" t="s">
        <v>10103</v>
      </c>
      <c r="E2" s="10" t="s">
        <v>10102</v>
      </c>
      <c r="F2" s="10" t="s">
        <v>10101</v>
      </c>
      <c r="G2" s="10" t="s">
        <v>10100</v>
      </c>
      <c r="H2" s="10" t="s">
        <v>10099</v>
      </c>
      <c r="I2" s="10" t="s">
        <v>10098</v>
      </c>
      <c r="J2" s="10" t="s">
        <v>10097</v>
      </c>
      <c r="K2" s="10" t="s">
        <v>10096</v>
      </c>
    </row>
    <row r="3" spans="1:11" x14ac:dyDescent="0.2">
      <c r="A3" s="2">
        <v>261</v>
      </c>
      <c r="B3" s="2">
        <v>2</v>
      </c>
      <c r="C3" s="2">
        <v>53852121</v>
      </c>
      <c r="D3" s="2">
        <v>54688234</v>
      </c>
      <c r="E3" s="2">
        <v>1</v>
      </c>
      <c r="F3" s="2" t="s">
        <v>12322</v>
      </c>
      <c r="G3" s="2">
        <v>0.65980000000000005</v>
      </c>
      <c r="H3" s="2">
        <v>0.76549999999999996</v>
      </c>
      <c r="I3" s="2" t="s">
        <v>10093</v>
      </c>
      <c r="J3" s="2">
        <v>0.99960000000000004</v>
      </c>
    </row>
    <row r="4" spans="1:11" x14ac:dyDescent="0.2">
      <c r="A4" s="2">
        <v>1441</v>
      </c>
      <c r="B4" s="2">
        <v>9</v>
      </c>
      <c r="C4" s="2">
        <v>95854926</v>
      </c>
      <c r="D4" s="2">
        <v>96670171</v>
      </c>
      <c r="E4" s="2">
        <v>1</v>
      </c>
      <c r="F4" s="2" t="s">
        <v>12323</v>
      </c>
      <c r="G4" s="2">
        <v>0.56110000000000004</v>
      </c>
      <c r="H4" s="2">
        <v>0.56110000000000004</v>
      </c>
      <c r="I4" s="2" t="s">
        <v>10092</v>
      </c>
      <c r="J4" s="2">
        <v>0.81859999999999999</v>
      </c>
    </row>
    <row r="5" spans="1:11" x14ac:dyDescent="0.2">
      <c r="A5" s="2">
        <v>1849</v>
      </c>
      <c r="B5" s="2">
        <v>12</v>
      </c>
      <c r="C5" s="2">
        <v>120567741</v>
      </c>
      <c r="D5" s="2">
        <v>121817509</v>
      </c>
      <c r="E5" s="2">
        <v>1</v>
      </c>
      <c r="F5" s="2" t="s">
        <v>10091</v>
      </c>
      <c r="G5" s="2">
        <v>0.75170000000000003</v>
      </c>
      <c r="H5" s="2">
        <v>0.75170000000000003</v>
      </c>
      <c r="I5" s="2" t="s">
        <v>10090</v>
      </c>
      <c r="J5" s="2">
        <v>0.25679999999999997</v>
      </c>
    </row>
    <row r="6" spans="1:11" x14ac:dyDescent="0.2">
      <c r="A6" s="2">
        <v>40</v>
      </c>
      <c r="B6" s="2">
        <v>1</v>
      </c>
      <c r="C6" s="2">
        <v>43512670</v>
      </c>
      <c r="D6" s="2">
        <v>45167235</v>
      </c>
      <c r="E6" s="2">
        <v>1</v>
      </c>
      <c r="F6" s="2" t="s">
        <v>10095</v>
      </c>
      <c r="G6" s="2">
        <v>0.52149999999999996</v>
      </c>
      <c r="H6" s="2">
        <v>0.52149999999999996</v>
      </c>
      <c r="I6" s="2" t="s">
        <v>10094</v>
      </c>
      <c r="J6" s="2">
        <v>0.21929999999999999</v>
      </c>
    </row>
    <row r="7" spans="1:11" x14ac:dyDescent="0.2">
      <c r="A7" s="2">
        <v>1</v>
      </c>
      <c r="B7" s="2">
        <v>1</v>
      </c>
      <c r="C7" s="2">
        <v>10539</v>
      </c>
      <c r="D7" s="2">
        <v>1376204</v>
      </c>
      <c r="E7" s="2">
        <v>1</v>
      </c>
      <c r="F7" s="2" t="s">
        <v>10086</v>
      </c>
      <c r="H7" s="2">
        <v>1.1000000000000001E-3</v>
      </c>
      <c r="K7" s="2" t="s">
        <v>10089</v>
      </c>
    </row>
    <row r="8" spans="1:11" x14ac:dyDescent="0.2">
      <c r="A8" s="2">
        <v>1</v>
      </c>
      <c r="B8" s="2">
        <v>1</v>
      </c>
      <c r="C8" s="2">
        <v>10539</v>
      </c>
      <c r="D8" s="2">
        <v>1376204</v>
      </c>
      <c r="E8" s="2">
        <v>2</v>
      </c>
      <c r="F8" s="2" t="s">
        <v>10086</v>
      </c>
      <c r="H8" s="2">
        <v>1.6999999999999999E-3</v>
      </c>
      <c r="K8" s="2" t="s">
        <v>12324</v>
      </c>
    </row>
    <row r="9" spans="1:11" x14ac:dyDescent="0.2">
      <c r="A9" s="2">
        <v>1</v>
      </c>
      <c r="B9" s="2">
        <v>1</v>
      </c>
      <c r="C9" s="2">
        <v>10539</v>
      </c>
      <c r="D9" s="2">
        <v>1376204</v>
      </c>
      <c r="E9" s="2">
        <v>3</v>
      </c>
      <c r="F9" s="2" t="s">
        <v>10086</v>
      </c>
      <c r="H9" s="2">
        <v>1E-3</v>
      </c>
      <c r="K9" s="2" t="s">
        <v>10085</v>
      </c>
    </row>
    <row r="10" spans="1:11" x14ac:dyDescent="0.2">
      <c r="A10" s="2">
        <v>1</v>
      </c>
      <c r="B10" s="2">
        <v>1</v>
      </c>
      <c r="C10" s="2">
        <v>10539</v>
      </c>
      <c r="D10" s="2">
        <v>1376204</v>
      </c>
      <c r="E10" s="2">
        <v>4</v>
      </c>
      <c r="F10" s="2" t="s">
        <v>10086</v>
      </c>
      <c r="H10" s="2">
        <v>1E-3</v>
      </c>
      <c r="K10" s="2" t="s">
        <v>10088</v>
      </c>
    </row>
    <row r="11" spans="1:11" x14ac:dyDescent="0.2">
      <c r="A11" s="2">
        <v>2</v>
      </c>
      <c r="B11" s="2">
        <v>1</v>
      </c>
      <c r="C11" s="2">
        <v>1376205</v>
      </c>
      <c r="D11" s="2">
        <v>2215495</v>
      </c>
      <c r="E11" s="2">
        <v>1</v>
      </c>
      <c r="F11" s="2" t="s">
        <v>10086</v>
      </c>
      <c r="H11" s="2">
        <v>1.4E-3</v>
      </c>
      <c r="K11" s="2" t="s">
        <v>10085</v>
      </c>
    </row>
    <row r="12" spans="1:11" x14ac:dyDescent="0.2">
      <c r="A12" s="2">
        <v>2</v>
      </c>
      <c r="B12" s="2">
        <v>1</v>
      </c>
      <c r="C12" s="2">
        <v>1376205</v>
      </c>
      <c r="D12" s="2">
        <v>2215495</v>
      </c>
      <c r="E12" s="2">
        <v>2</v>
      </c>
      <c r="F12" s="2" t="s">
        <v>10086</v>
      </c>
      <c r="H12" s="2">
        <v>1.2999999999999999E-3</v>
      </c>
      <c r="K12" s="2" t="s">
        <v>10088</v>
      </c>
    </row>
    <row r="13" spans="1:11" x14ac:dyDescent="0.2">
      <c r="A13" s="2">
        <v>2</v>
      </c>
      <c r="B13" s="2">
        <v>1</v>
      </c>
      <c r="C13" s="2">
        <v>1376205</v>
      </c>
      <c r="D13" s="2">
        <v>2215495</v>
      </c>
      <c r="E13" s="2">
        <v>3</v>
      </c>
      <c r="F13" s="2" t="s">
        <v>10086</v>
      </c>
      <c r="H13" s="3">
        <v>5.9999999999999995E-4</v>
      </c>
      <c r="K13" s="2" t="s">
        <v>10089</v>
      </c>
    </row>
    <row r="14" spans="1:11" x14ac:dyDescent="0.2">
      <c r="A14" s="2">
        <v>2</v>
      </c>
      <c r="B14" s="2">
        <v>1</v>
      </c>
      <c r="C14" s="2">
        <v>1376205</v>
      </c>
      <c r="D14" s="2">
        <v>2215495</v>
      </c>
      <c r="E14" s="2">
        <v>4</v>
      </c>
      <c r="F14" s="2" t="s">
        <v>10086</v>
      </c>
      <c r="H14" s="3">
        <v>5.0000000000000001E-4</v>
      </c>
      <c r="K14" s="2" t="s">
        <v>10087</v>
      </c>
    </row>
    <row r="15" spans="1:11" x14ac:dyDescent="0.2">
      <c r="A15" s="2">
        <v>3</v>
      </c>
      <c r="B15" s="2">
        <v>1</v>
      </c>
      <c r="C15" s="2">
        <v>2215496</v>
      </c>
      <c r="D15" s="2">
        <v>2983519</v>
      </c>
      <c r="E15" s="2">
        <v>1</v>
      </c>
      <c r="F15" s="2" t="s">
        <v>10086</v>
      </c>
      <c r="H15" s="2">
        <v>4.5999999999999999E-3</v>
      </c>
      <c r="K15" s="2" t="s">
        <v>10088</v>
      </c>
    </row>
    <row r="16" spans="1:11" x14ac:dyDescent="0.2">
      <c r="A16" s="2">
        <v>3</v>
      </c>
      <c r="B16" s="2">
        <v>1</v>
      </c>
      <c r="C16" s="2">
        <v>2215496</v>
      </c>
      <c r="D16" s="2">
        <v>2983519</v>
      </c>
      <c r="E16" s="2">
        <v>2</v>
      </c>
      <c r="F16" s="2" t="s">
        <v>10086</v>
      </c>
      <c r="H16" s="2">
        <v>2.7000000000000001E-3</v>
      </c>
      <c r="K16" s="2" t="s">
        <v>10089</v>
      </c>
    </row>
    <row r="17" spans="1:11" x14ac:dyDescent="0.2">
      <c r="A17" s="2">
        <v>3</v>
      </c>
      <c r="B17" s="2">
        <v>1</v>
      </c>
      <c r="C17" s="2">
        <v>2215496</v>
      </c>
      <c r="D17" s="2">
        <v>2983519</v>
      </c>
      <c r="E17" s="2">
        <v>3</v>
      </c>
      <c r="F17" s="2" t="s">
        <v>10086</v>
      </c>
      <c r="H17" s="2">
        <v>1E-3</v>
      </c>
      <c r="K17" s="2" t="s">
        <v>10087</v>
      </c>
    </row>
    <row r="18" spans="1:11" x14ac:dyDescent="0.2">
      <c r="A18" s="2">
        <v>3</v>
      </c>
      <c r="B18" s="2">
        <v>1</v>
      </c>
      <c r="C18" s="2">
        <v>2215496</v>
      </c>
      <c r="D18" s="2">
        <v>2983519</v>
      </c>
      <c r="E18" s="2">
        <v>4</v>
      </c>
      <c r="F18" s="2" t="s">
        <v>10086</v>
      </c>
      <c r="H18" s="3">
        <v>5.9999999999999995E-4</v>
      </c>
      <c r="K18" s="2" t="s">
        <v>10085</v>
      </c>
    </row>
    <row r="19" spans="1:11" x14ac:dyDescent="0.2">
      <c r="A19" s="2">
        <v>4</v>
      </c>
      <c r="B19" s="2">
        <v>1</v>
      </c>
      <c r="C19" s="2">
        <v>2983520</v>
      </c>
      <c r="D19" s="2">
        <v>3582047</v>
      </c>
      <c r="E19" s="2">
        <v>1</v>
      </c>
      <c r="F19" s="2" t="s">
        <v>10086</v>
      </c>
      <c r="H19" s="2">
        <v>2.5000000000000001E-3</v>
      </c>
      <c r="K19" s="2" t="s">
        <v>10087</v>
      </c>
    </row>
    <row r="20" spans="1:11" x14ac:dyDescent="0.2">
      <c r="A20" s="2">
        <v>4</v>
      </c>
      <c r="B20" s="2">
        <v>1</v>
      </c>
      <c r="C20" s="2">
        <v>2983520</v>
      </c>
      <c r="D20" s="2">
        <v>3582047</v>
      </c>
      <c r="E20" s="2">
        <v>2</v>
      </c>
      <c r="F20" s="2" t="s">
        <v>10086</v>
      </c>
      <c r="H20" s="2">
        <v>1.2999999999999999E-3</v>
      </c>
      <c r="K20" s="2" t="s">
        <v>10085</v>
      </c>
    </row>
    <row r="21" spans="1:11" x14ac:dyDescent="0.2">
      <c r="A21" s="2">
        <v>4</v>
      </c>
      <c r="B21" s="2">
        <v>1</v>
      </c>
      <c r="C21" s="2">
        <v>2983520</v>
      </c>
      <c r="D21" s="2">
        <v>3582047</v>
      </c>
      <c r="E21" s="2">
        <v>3</v>
      </c>
      <c r="F21" s="2" t="s">
        <v>10086</v>
      </c>
      <c r="H21" s="2">
        <v>1.1000000000000001E-3</v>
      </c>
      <c r="K21" s="2" t="s">
        <v>10088</v>
      </c>
    </row>
    <row r="22" spans="1:11" x14ac:dyDescent="0.2">
      <c r="A22" s="2">
        <v>4</v>
      </c>
      <c r="B22" s="2">
        <v>1</v>
      </c>
      <c r="C22" s="2">
        <v>2983520</v>
      </c>
      <c r="D22" s="2">
        <v>3582047</v>
      </c>
      <c r="E22" s="2">
        <v>4</v>
      </c>
      <c r="F22" s="2" t="s">
        <v>10086</v>
      </c>
      <c r="H22" s="3">
        <v>5.0000000000000001E-4</v>
      </c>
      <c r="K22" s="2" t="s">
        <v>10089</v>
      </c>
    </row>
    <row r="23" spans="1:11" x14ac:dyDescent="0.2">
      <c r="A23" s="2">
        <v>5</v>
      </c>
      <c r="B23" s="2">
        <v>1</v>
      </c>
      <c r="C23" s="2">
        <v>3582048</v>
      </c>
      <c r="D23" s="2">
        <v>4281476</v>
      </c>
      <c r="E23" s="2">
        <v>1</v>
      </c>
      <c r="F23" s="2" t="s">
        <v>10086</v>
      </c>
      <c r="H23" s="2">
        <v>2.5999999999999999E-3</v>
      </c>
      <c r="K23" s="2" t="s">
        <v>10089</v>
      </c>
    </row>
    <row r="24" spans="1:11" x14ac:dyDescent="0.2">
      <c r="A24" s="2">
        <v>5</v>
      </c>
      <c r="B24" s="2">
        <v>1</v>
      </c>
      <c r="C24" s="2">
        <v>3582048</v>
      </c>
      <c r="D24" s="2">
        <v>4281476</v>
      </c>
      <c r="E24" s="2">
        <v>2</v>
      </c>
      <c r="F24" s="2" t="s">
        <v>10086</v>
      </c>
      <c r="H24" s="2">
        <v>1.1000000000000001E-3</v>
      </c>
      <c r="K24" s="2" t="s">
        <v>10085</v>
      </c>
    </row>
    <row r="25" spans="1:11" x14ac:dyDescent="0.2">
      <c r="A25" s="2">
        <v>5</v>
      </c>
      <c r="B25" s="2">
        <v>1</v>
      </c>
      <c r="C25" s="2">
        <v>3582048</v>
      </c>
      <c r="D25" s="2">
        <v>4281476</v>
      </c>
      <c r="E25" s="2">
        <v>3</v>
      </c>
      <c r="F25" s="2" t="s">
        <v>10086</v>
      </c>
      <c r="H25" s="2">
        <v>1.6000000000000001E-3</v>
      </c>
      <c r="K25" s="2" t="s">
        <v>10087</v>
      </c>
    </row>
    <row r="26" spans="1:11" x14ac:dyDescent="0.2">
      <c r="A26" s="2">
        <v>5</v>
      </c>
      <c r="B26" s="2">
        <v>1</v>
      </c>
      <c r="C26" s="2">
        <v>3582048</v>
      </c>
      <c r="D26" s="2">
        <v>4281476</v>
      </c>
      <c r="E26" s="2">
        <v>4</v>
      </c>
      <c r="F26" s="2" t="s">
        <v>10086</v>
      </c>
      <c r="H26" s="3">
        <v>2.9999999999999997E-4</v>
      </c>
      <c r="K26" s="2" t="s">
        <v>10088</v>
      </c>
    </row>
    <row r="27" spans="1:11" x14ac:dyDescent="0.2">
      <c r="A27" s="2">
        <v>6</v>
      </c>
      <c r="B27" s="2">
        <v>1</v>
      </c>
      <c r="C27" s="2">
        <v>4281477</v>
      </c>
      <c r="D27" s="2">
        <v>4773403</v>
      </c>
      <c r="E27" s="2">
        <v>1</v>
      </c>
      <c r="F27" s="2" t="s">
        <v>10086</v>
      </c>
      <c r="H27" s="2">
        <v>2.0999999999999999E-3</v>
      </c>
      <c r="K27" s="2" t="s">
        <v>10088</v>
      </c>
    </row>
    <row r="28" spans="1:11" x14ac:dyDescent="0.2">
      <c r="A28" s="2">
        <v>6</v>
      </c>
      <c r="B28" s="2">
        <v>1</v>
      </c>
      <c r="C28" s="2">
        <v>4281477</v>
      </c>
      <c r="D28" s="2">
        <v>4773403</v>
      </c>
      <c r="E28" s="2">
        <v>2</v>
      </c>
      <c r="F28" s="2" t="s">
        <v>10086</v>
      </c>
      <c r="H28" s="2">
        <v>1.1999999999999999E-3</v>
      </c>
      <c r="K28" s="2" t="s">
        <v>10089</v>
      </c>
    </row>
    <row r="29" spans="1:11" x14ac:dyDescent="0.2">
      <c r="A29" s="2">
        <v>6</v>
      </c>
      <c r="B29" s="2">
        <v>1</v>
      </c>
      <c r="C29" s="2">
        <v>4281477</v>
      </c>
      <c r="D29" s="2">
        <v>4773403</v>
      </c>
      <c r="E29" s="2">
        <v>3</v>
      </c>
      <c r="F29" s="2" t="s">
        <v>10086</v>
      </c>
      <c r="H29" s="3">
        <v>5.9999999999999995E-4</v>
      </c>
      <c r="K29" s="2" t="s">
        <v>10085</v>
      </c>
    </row>
    <row r="30" spans="1:11" x14ac:dyDescent="0.2">
      <c r="A30" s="2">
        <v>6</v>
      </c>
      <c r="B30" s="2">
        <v>1</v>
      </c>
      <c r="C30" s="2">
        <v>4281477</v>
      </c>
      <c r="D30" s="2">
        <v>4773403</v>
      </c>
      <c r="E30" s="2">
        <v>4</v>
      </c>
      <c r="F30" s="2" t="s">
        <v>10086</v>
      </c>
      <c r="H30" s="3">
        <v>2.9999999999999997E-4</v>
      </c>
      <c r="K30" s="2" t="s">
        <v>10087</v>
      </c>
    </row>
    <row r="31" spans="1:11" x14ac:dyDescent="0.2">
      <c r="A31" s="2">
        <v>7</v>
      </c>
      <c r="B31" s="2">
        <v>1</v>
      </c>
      <c r="C31" s="2">
        <v>4773404</v>
      </c>
      <c r="D31" s="2">
        <v>5362404</v>
      </c>
      <c r="E31" s="2">
        <v>1</v>
      </c>
      <c r="F31" s="2" t="s">
        <v>10086</v>
      </c>
      <c r="H31" s="2">
        <v>1.2E-2</v>
      </c>
      <c r="K31" s="2" t="s">
        <v>12324</v>
      </c>
    </row>
    <row r="32" spans="1:11" x14ac:dyDescent="0.2">
      <c r="A32" s="2">
        <v>7</v>
      </c>
      <c r="B32" s="2">
        <v>1</v>
      </c>
      <c r="C32" s="2">
        <v>4773404</v>
      </c>
      <c r="D32" s="2">
        <v>5362404</v>
      </c>
      <c r="E32" s="2">
        <v>2</v>
      </c>
      <c r="F32" s="2" t="s">
        <v>10086</v>
      </c>
      <c r="H32" s="2">
        <v>1.6000000000000001E-3</v>
      </c>
      <c r="K32" s="2" t="s">
        <v>10088</v>
      </c>
    </row>
    <row r="33" spans="1:11" x14ac:dyDescent="0.2">
      <c r="A33" s="2">
        <v>7</v>
      </c>
      <c r="B33" s="2">
        <v>1</v>
      </c>
      <c r="C33" s="2">
        <v>4773404</v>
      </c>
      <c r="D33" s="2">
        <v>5362404</v>
      </c>
      <c r="E33" s="2">
        <v>3</v>
      </c>
      <c r="F33" s="2" t="s">
        <v>10086</v>
      </c>
      <c r="H33" s="3">
        <v>8.0000000000000004E-4</v>
      </c>
      <c r="K33" s="2" t="s">
        <v>10089</v>
      </c>
    </row>
    <row r="34" spans="1:11" x14ac:dyDescent="0.2">
      <c r="A34" s="2">
        <v>7</v>
      </c>
      <c r="B34" s="2">
        <v>1</v>
      </c>
      <c r="C34" s="2">
        <v>4773404</v>
      </c>
      <c r="D34" s="2">
        <v>5362404</v>
      </c>
      <c r="E34" s="2">
        <v>4</v>
      </c>
      <c r="F34" s="2" t="s">
        <v>10086</v>
      </c>
      <c r="H34" s="3">
        <v>8.0000000000000004E-4</v>
      </c>
      <c r="K34" s="2" t="s">
        <v>10085</v>
      </c>
    </row>
    <row r="35" spans="1:11" x14ac:dyDescent="0.2">
      <c r="A35" s="2">
        <v>8</v>
      </c>
      <c r="B35" s="2">
        <v>1</v>
      </c>
      <c r="C35" s="2">
        <v>5362405</v>
      </c>
      <c r="D35" s="2">
        <v>6136814</v>
      </c>
      <c r="E35" s="2">
        <v>1</v>
      </c>
      <c r="F35" s="2" t="s">
        <v>10086</v>
      </c>
      <c r="H35" s="2">
        <v>1.1000000000000001E-3</v>
      </c>
      <c r="K35" s="2" t="s">
        <v>10088</v>
      </c>
    </row>
    <row r="36" spans="1:11" x14ac:dyDescent="0.2">
      <c r="A36" s="2">
        <v>8</v>
      </c>
      <c r="B36" s="2">
        <v>1</v>
      </c>
      <c r="C36" s="2">
        <v>5362405</v>
      </c>
      <c r="D36" s="2">
        <v>6136814</v>
      </c>
      <c r="E36" s="2">
        <v>2</v>
      </c>
      <c r="F36" s="2" t="s">
        <v>10086</v>
      </c>
      <c r="H36" s="3">
        <v>8.0000000000000004E-4</v>
      </c>
      <c r="K36" s="2" t="s">
        <v>10087</v>
      </c>
    </row>
    <row r="37" spans="1:11" x14ac:dyDescent="0.2">
      <c r="A37" s="2">
        <v>8</v>
      </c>
      <c r="B37" s="2">
        <v>1</v>
      </c>
      <c r="C37" s="2">
        <v>5362405</v>
      </c>
      <c r="D37" s="2">
        <v>6136814</v>
      </c>
      <c r="E37" s="2">
        <v>3</v>
      </c>
      <c r="F37" s="2" t="s">
        <v>10086</v>
      </c>
      <c r="H37" s="3">
        <v>8.0000000000000004E-4</v>
      </c>
      <c r="K37" s="2" t="s">
        <v>10089</v>
      </c>
    </row>
    <row r="38" spans="1:11" x14ac:dyDescent="0.2">
      <c r="A38" s="2">
        <v>8</v>
      </c>
      <c r="B38" s="2">
        <v>1</v>
      </c>
      <c r="C38" s="2">
        <v>5362405</v>
      </c>
      <c r="D38" s="2">
        <v>6136814</v>
      </c>
      <c r="E38" s="2">
        <v>4</v>
      </c>
      <c r="F38" s="2" t="s">
        <v>10086</v>
      </c>
      <c r="H38" s="3">
        <v>5.9999999999999995E-4</v>
      </c>
      <c r="K38" s="2" t="s">
        <v>10085</v>
      </c>
    </row>
    <row r="39" spans="1:11" x14ac:dyDescent="0.2">
      <c r="A39" s="2">
        <v>9</v>
      </c>
      <c r="B39" s="2">
        <v>1</v>
      </c>
      <c r="C39" s="2">
        <v>6136815</v>
      </c>
      <c r="D39" s="2">
        <v>7711794</v>
      </c>
      <c r="E39" s="2">
        <v>1</v>
      </c>
      <c r="F39" s="2" t="s">
        <v>10086</v>
      </c>
      <c r="H39" s="2">
        <v>8.8000000000000005E-3</v>
      </c>
      <c r="K39" s="2" t="s">
        <v>10087</v>
      </c>
    </row>
    <row r="40" spans="1:11" x14ac:dyDescent="0.2">
      <c r="A40" s="2">
        <v>9</v>
      </c>
      <c r="B40" s="2">
        <v>1</v>
      </c>
      <c r="C40" s="2">
        <v>6136815</v>
      </c>
      <c r="D40" s="2">
        <v>7711794</v>
      </c>
      <c r="E40" s="2">
        <v>2</v>
      </c>
      <c r="F40" s="2" t="s">
        <v>10086</v>
      </c>
      <c r="H40" s="2">
        <v>2.7000000000000001E-3</v>
      </c>
      <c r="K40" s="2" t="s">
        <v>12324</v>
      </c>
    </row>
    <row r="41" spans="1:11" x14ac:dyDescent="0.2">
      <c r="A41" s="2">
        <v>9</v>
      </c>
      <c r="B41" s="2">
        <v>1</v>
      </c>
      <c r="C41" s="2">
        <v>6136815</v>
      </c>
      <c r="D41" s="2">
        <v>7711794</v>
      </c>
      <c r="E41" s="2">
        <v>3</v>
      </c>
      <c r="F41" s="2" t="s">
        <v>10086</v>
      </c>
      <c r="H41" s="2">
        <v>1.6000000000000001E-3</v>
      </c>
      <c r="K41" s="2" t="s">
        <v>10085</v>
      </c>
    </row>
    <row r="42" spans="1:11" x14ac:dyDescent="0.2">
      <c r="A42" s="2">
        <v>9</v>
      </c>
      <c r="B42" s="2">
        <v>1</v>
      </c>
      <c r="C42" s="2">
        <v>6136815</v>
      </c>
      <c r="D42" s="2">
        <v>7711794</v>
      </c>
      <c r="E42" s="2">
        <v>4</v>
      </c>
      <c r="F42" s="2" t="s">
        <v>10086</v>
      </c>
      <c r="H42" s="2">
        <v>1.1999999999999999E-3</v>
      </c>
      <c r="K42" s="2" t="s">
        <v>10089</v>
      </c>
    </row>
    <row r="43" spans="1:11" x14ac:dyDescent="0.2">
      <c r="A43" s="2">
        <v>10</v>
      </c>
      <c r="B43" s="2">
        <v>1</v>
      </c>
      <c r="C43" s="2">
        <v>7711795</v>
      </c>
      <c r="D43" s="2">
        <v>8580987</v>
      </c>
      <c r="E43" s="2">
        <v>1</v>
      </c>
      <c r="F43" s="2" t="s">
        <v>10086</v>
      </c>
      <c r="H43" s="2">
        <v>2.3E-3</v>
      </c>
      <c r="K43" s="2" t="s">
        <v>10088</v>
      </c>
    </row>
    <row r="44" spans="1:11" x14ac:dyDescent="0.2">
      <c r="A44" s="2">
        <v>10</v>
      </c>
      <c r="B44" s="2">
        <v>1</v>
      </c>
      <c r="C44" s="2">
        <v>7711795</v>
      </c>
      <c r="D44" s="2">
        <v>8580987</v>
      </c>
      <c r="E44" s="2">
        <v>2</v>
      </c>
      <c r="F44" s="2" t="s">
        <v>10086</v>
      </c>
      <c r="H44" s="3">
        <v>8.9999999999999998E-4</v>
      </c>
      <c r="K44" s="2" t="s">
        <v>10089</v>
      </c>
    </row>
    <row r="45" spans="1:11" x14ac:dyDescent="0.2">
      <c r="A45" s="2">
        <v>10</v>
      </c>
      <c r="B45" s="2">
        <v>1</v>
      </c>
      <c r="C45" s="2">
        <v>7711795</v>
      </c>
      <c r="D45" s="2">
        <v>8580987</v>
      </c>
      <c r="E45" s="2">
        <v>3</v>
      </c>
      <c r="F45" s="2" t="s">
        <v>10086</v>
      </c>
      <c r="H45" s="3">
        <v>5.9999999999999995E-4</v>
      </c>
      <c r="K45" s="2" t="s">
        <v>10085</v>
      </c>
    </row>
    <row r="46" spans="1:11" x14ac:dyDescent="0.2">
      <c r="A46" s="2">
        <v>10</v>
      </c>
      <c r="B46" s="2">
        <v>1</v>
      </c>
      <c r="C46" s="2">
        <v>7711795</v>
      </c>
      <c r="D46" s="2">
        <v>8580987</v>
      </c>
      <c r="E46" s="2">
        <v>4</v>
      </c>
      <c r="F46" s="2" t="s">
        <v>10086</v>
      </c>
      <c r="H46" s="3">
        <v>2.9999999999999997E-4</v>
      </c>
      <c r="K46" s="2" t="s">
        <v>10087</v>
      </c>
    </row>
    <row r="47" spans="1:11" x14ac:dyDescent="0.2">
      <c r="A47" s="2">
        <v>11</v>
      </c>
      <c r="B47" s="2">
        <v>1</v>
      </c>
      <c r="C47" s="2">
        <v>8580988</v>
      </c>
      <c r="D47" s="2">
        <v>9475966</v>
      </c>
      <c r="E47" s="2">
        <v>1</v>
      </c>
      <c r="F47" s="2" t="s">
        <v>10086</v>
      </c>
      <c r="H47" s="3">
        <v>8.9999999999999998E-4</v>
      </c>
      <c r="K47" s="2" t="s">
        <v>10087</v>
      </c>
    </row>
    <row r="48" spans="1:11" x14ac:dyDescent="0.2">
      <c r="A48" s="2">
        <v>11</v>
      </c>
      <c r="B48" s="2">
        <v>1</v>
      </c>
      <c r="C48" s="2">
        <v>8580988</v>
      </c>
      <c r="D48" s="2">
        <v>9475966</v>
      </c>
      <c r="E48" s="2">
        <v>2</v>
      </c>
      <c r="F48" s="2" t="s">
        <v>10086</v>
      </c>
      <c r="H48" s="3">
        <v>8.9999999999999998E-4</v>
      </c>
      <c r="K48" s="2" t="s">
        <v>10088</v>
      </c>
    </row>
    <row r="49" spans="1:11" x14ac:dyDescent="0.2">
      <c r="A49" s="2">
        <v>11</v>
      </c>
      <c r="B49" s="2">
        <v>1</v>
      </c>
      <c r="C49" s="2">
        <v>8580988</v>
      </c>
      <c r="D49" s="2">
        <v>9475966</v>
      </c>
      <c r="E49" s="2">
        <v>3</v>
      </c>
      <c r="F49" s="2" t="s">
        <v>10086</v>
      </c>
      <c r="H49" s="3">
        <v>8.0000000000000004E-4</v>
      </c>
      <c r="K49" s="2" t="s">
        <v>10089</v>
      </c>
    </row>
    <row r="50" spans="1:11" x14ac:dyDescent="0.2">
      <c r="A50" s="2">
        <v>11</v>
      </c>
      <c r="B50" s="2">
        <v>1</v>
      </c>
      <c r="C50" s="2">
        <v>8580988</v>
      </c>
      <c r="D50" s="2">
        <v>9475966</v>
      </c>
      <c r="E50" s="2">
        <v>4</v>
      </c>
      <c r="F50" s="2" t="s">
        <v>10086</v>
      </c>
      <c r="H50" s="3">
        <v>4.0000000000000002E-4</v>
      </c>
      <c r="K50" s="2" t="s">
        <v>10085</v>
      </c>
    </row>
    <row r="51" spans="1:11" x14ac:dyDescent="0.2">
      <c r="A51" s="2">
        <v>12</v>
      </c>
      <c r="B51" s="2">
        <v>1</v>
      </c>
      <c r="C51" s="2">
        <v>9475967</v>
      </c>
      <c r="D51" s="2">
        <v>10753427</v>
      </c>
      <c r="E51" s="2">
        <v>1</v>
      </c>
      <c r="F51" s="2" t="s">
        <v>10086</v>
      </c>
      <c r="H51" s="2">
        <v>1.0800000000000001E-2</v>
      </c>
      <c r="K51" s="2" t="s">
        <v>10089</v>
      </c>
    </row>
    <row r="52" spans="1:11" x14ac:dyDescent="0.2">
      <c r="A52" s="2">
        <v>12</v>
      </c>
      <c r="B52" s="2">
        <v>1</v>
      </c>
      <c r="C52" s="2">
        <v>9475967</v>
      </c>
      <c r="D52" s="2">
        <v>10753427</v>
      </c>
      <c r="E52" s="2">
        <v>2</v>
      </c>
      <c r="F52" s="2" t="s">
        <v>10086</v>
      </c>
      <c r="H52" s="2">
        <v>2.5999999999999999E-3</v>
      </c>
      <c r="K52" s="2" t="s">
        <v>10085</v>
      </c>
    </row>
    <row r="53" spans="1:11" x14ac:dyDescent="0.2">
      <c r="A53" s="2">
        <v>12</v>
      </c>
      <c r="B53" s="2">
        <v>1</v>
      </c>
      <c r="C53" s="2">
        <v>9475967</v>
      </c>
      <c r="D53" s="2">
        <v>10753427</v>
      </c>
      <c r="E53" s="2">
        <v>3</v>
      </c>
      <c r="F53" s="2" t="s">
        <v>10086</v>
      </c>
      <c r="H53" s="2">
        <v>1.1000000000000001E-3</v>
      </c>
      <c r="K53" s="2" t="s">
        <v>12324</v>
      </c>
    </row>
    <row r="54" spans="1:11" x14ac:dyDescent="0.2">
      <c r="A54" s="2">
        <v>12</v>
      </c>
      <c r="B54" s="2">
        <v>1</v>
      </c>
      <c r="C54" s="2">
        <v>9475967</v>
      </c>
      <c r="D54" s="2">
        <v>10753427</v>
      </c>
      <c r="E54" s="2">
        <v>4</v>
      </c>
      <c r="F54" s="2" t="s">
        <v>10086</v>
      </c>
      <c r="H54" s="3">
        <v>8.9999999999999998E-4</v>
      </c>
      <c r="K54" s="2" t="s">
        <v>10087</v>
      </c>
    </row>
    <row r="55" spans="1:11" x14ac:dyDescent="0.2">
      <c r="A55" s="2">
        <v>13</v>
      </c>
      <c r="B55" s="2">
        <v>1</v>
      </c>
      <c r="C55" s="2">
        <v>10753428</v>
      </c>
      <c r="D55" s="2">
        <v>11709173</v>
      </c>
      <c r="E55" s="2">
        <v>1</v>
      </c>
      <c r="F55" s="2" t="s">
        <v>10086</v>
      </c>
      <c r="H55" s="2">
        <v>1.4E-3</v>
      </c>
      <c r="K55" s="2" t="s">
        <v>10085</v>
      </c>
    </row>
    <row r="56" spans="1:11" x14ac:dyDescent="0.2">
      <c r="A56" s="2">
        <v>13</v>
      </c>
      <c r="B56" s="2">
        <v>1</v>
      </c>
      <c r="C56" s="2">
        <v>10753428</v>
      </c>
      <c r="D56" s="2">
        <v>11709173</v>
      </c>
      <c r="E56" s="2">
        <v>2</v>
      </c>
      <c r="F56" s="2" t="s">
        <v>10086</v>
      </c>
      <c r="H56" s="2">
        <v>1.1000000000000001E-3</v>
      </c>
      <c r="K56" s="2" t="s">
        <v>10087</v>
      </c>
    </row>
    <row r="57" spans="1:11" x14ac:dyDescent="0.2">
      <c r="A57" s="2">
        <v>13</v>
      </c>
      <c r="B57" s="2">
        <v>1</v>
      </c>
      <c r="C57" s="2">
        <v>10753428</v>
      </c>
      <c r="D57" s="2">
        <v>11709173</v>
      </c>
      <c r="E57" s="2">
        <v>3</v>
      </c>
      <c r="F57" s="2" t="s">
        <v>10086</v>
      </c>
      <c r="H57" s="3">
        <v>8.0000000000000004E-4</v>
      </c>
      <c r="K57" s="2" t="s">
        <v>10089</v>
      </c>
    </row>
    <row r="58" spans="1:11" x14ac:dyDescent="0.2">
      <c r="A58" s="2">
        <v>13</v>
      </c>
      <c r="B58" s="2">
        <v>1</v>
      </c>
      <c r="C58" s="2">
        <v>10753428</v>
      </c>
      <c r="D58" s="2">
        <v>11709173</v>
      </c>
      <c r="E58" s="2">
        <v>4</v>
      </c>
      <c r="F58" s="2" t="s">
        <v>10086</v>
      </c>
      <c r="H58" s="3">
        <v>4.0000000000000002E-4</v>
      </c>
      <c r="K58" s="2" t="s">
        <v>10088</v>
      </c>
    </row>
    <row r="59" spans="1:11" x14ac:dyDescent="0.2">
      <c r="A59" s="2">
        <v>14</v>
      </c>
      <c r="B59" s="2">
        <v>1</v>
      </c>
      <c r="C59" s="2">
        <v>11709174</v>
      </c>
      <c r="D59" s="2">
        <v>13481025</v>
      </c>
      <c r="E59" s="2">
        <v>1</v>
      </c>
      <c r="F59" s="2" t="s">
        <v>10086</v>
      </c>
      <c r="H59" s="2">
        <v>3.0000000000000001E-3</v>
      </c>
      <c r="K59" s="2" t="s">
        <v>10089</v>
      </c>
    </row>
    <row r="60" spans="1:11" x14ac:dyDescent="0.2">
      <c r="A60" s="2">
        <v>14</v>
      </c>
      <c r="B60" s="2">
        <v>1</v>
      </c>
      <c r="C60" s="2">
        <v>11709174</v>
      </c>
      <c r="D60" s="2">
        <v>13481025</v>
      </c>
      <c r="E60" s="2">
        <v>2</v>
      </c>
      <c r="F60" s="2" t="s">
        <v>10086</v>
      </c>
      <c r="H60" s="2">
        <v>2.3999999999999998E-3</v>
      </c>
      <c r="K60" s="2" t="s">
        <v>10088</v>
      </c>
    </row>
    <row r="61" spans="1:11" x14ac:dyDescent="0.2">
      <c r="A61" s="2">
        <v>14</v>
      </c>
      <c r="B61" s="2">
        <v>1</v>
      </c>
      <c r="C61" s="2">
        <v>11709174</v>
      </c>
      <c r="D61" s="2">
        <v>13481025</v>
      </c>
      <c r="E61" s="2">
        <v>3</v>
      </c>
      <c r="F61" s="2" t="s">
        <v>10086</v>
      </c>
      <c r="H61" s="3">
        <v>8.9999999999999998E-4</v>
      </c>
      <c r="K61" s="2" t="s">
        <v>10087</v>
      </c>
    </row>
    <row r="62" spans="1:11" x14ac:dyDescent="0.2">
      <c r="A62" s="2">
        <v>14</v>
      </c>
      <c r="B62" s="2">
        <v>1</v>
      </c>
      <c r="C62" s="2">
        <v>11709174</v>
      </c>
      <c r="D62" s="2">
        <v>13481025</v>
      </c>
      <c r="E62" s="2">
        <v>4</v>
      </c>
      <c r="F62" s="2" t="s">
        <v>10086</v>
      </c>
      <c r="H62" s="3">
        <v>5.9999999999999995E-4</v>
      </c>
      <c r="K62" s="2" t="s">
        <v>10085</v>
      </c>
    </row>
    <row r="63" spans="1:11" x14ac:dyDescent="0.2">
      <c r="A63" s="2">
        <v>15</v>
      </c>
      <c r="B63" s="2">
        <v>1</v>
      </c>
      <c r="C63" s="2">
        <v>13481026</v>
      </c>
      <c r="D63" s="2">
        <v>14720131</v>
      </c>
      <c r="E63" s="2">
        <v>1</v>
      </c>
      <c r="F63" s="2" t="s">
        <v>10086</v>
      </c>
      <c r="H63" s="2">
        <v>1.6999999999999999E-3</v>
      </c>
      <c r="K63" s="2" t="s">
        <v>10088</v>
      </c>
    </row>
    <row r="64" spans="1:11" x14ac:dyDescent="0.2">
      <c r="A64" s="2">
        <v>15</v>
      </c>
      <c r="B64" s="2">
        <v>1</v>
      </c>
      <c r="C64" s="2">
        <v>13481026</v>
      </c>
      <c r="D64" s="2">
        <v>14720131</v>
      </c>
      <c r="E64" s="2">
        <v>2</v>
      </c>
      <c r="F64" s="2" t="s">
        <v>10086</v>
      </c>
      <c r="H64" s="2">
        <v>1.5E-3</v>
      </c>
      <c r="K64" s="2" t="s">
        <v>10087</v>
      </c>
    </row>
    <row r="65" spans="1:11" x14ac:dyDescent="0.2">
      <c r="A65" s="2">
        <v>15</v>
      </c>
      <c r="B65" s="2">
        <v>1</v>
      </c>
      <c r="C65" s="2">
        <v>13481026</v>
      </c>
      <c r="D65" s="2">
        <v>14720131</v>
      </c>
      <c r="E65" s="2">
        <v>3</v>
      </c>
      <c r="F65" s="2" t="s">
        <v>10086</v>
      </c>
      <c r="H65" s="2">
        <v>1.1999999999999999E-3</v>
      </c>
      <c r="K65" s="2" t="s">
        <v>10089</v>
      </c>
    </row>
    <row r="66" spans="1:11" x14ac:dyDescent="0.2">
      <c r="A66" s="2">
        <v>15</v>
      </c>
      <c r="B66" s="2">
        <v>1</v>
      </c>
      <c r="C66" s="2">
        <v>13481026</v>
      </c>
      <c r="D66" s="2">
        <v>14720131</v>
      </c>
      <c r="E66" s="2">
        <v>4</v>
      </c>
      <c r="F66" s="2" t="s">
        <v>10086</v>
      </c>
      <c r="H66" s="3">
        <v>8.0000000000000004E-4</v>
      </c>
      <c r="K66" s="2" t="s">
        <v>10085</v>
      </c>
    </row>
    <row r="67" spans="1:11" x14ac:dyDescent="0.2">
      <c r="A67" s="2">
        <v>16</v>
      </c>
      <c r="B67" s="2">
        <v>1</v>
      </c>
      <c r="C67" s="2">
        <v>14720132</v>
      </c>
      <c r="D67" s="2">
        <v>15755230</v>
      </c>
      <c r="E67" s="2">
        <v>1</v>
      </c>
      <c r="F67" s="2" t="s">
        <v>10086</v>
      </c>
      <c r="H67" s="2">
        <v>4.3E-3</v>
      </c>
      <c r="K67" s="2" t="s">
        <v>12324</v>
      </c>
    </row>
    <row r="68" spans="1:11" x14ac:dyDescent="0.2">
      <c r="A68" s="2">
        <v>16</v>
      </c>
      <c r="B68" s="2">
        <v>1</v>
      </c>
      <c r="C68" s="2">
        <v>14720132</v>
      </c>
      <c r="D68" s="2">
        <v>15755230</v>
      </c>
      <c r="E68" s="2">
        <v>2</v>
      </c>
      <c r="F68" s="2" t="s">
        <v>10086</v>
      </c>
      <c r="H68" s="2">
        <v>1.9E-3</v>
      </c>
      <c r="K68" s="2" t="s">
        <v>10087</v>
      </c>
    </row>
    <row r="69" spans="1:11" x14ac:dyDescent="0.2">
      <c r="A69" s="2">
        <v>16</v>
      </c>
      <c r="B69" s="2">
        <v>1</v>
      </c>
      <c r="C69" s="2">
        <v>14720132</v>
      </c>
      <c r="D69" s="2">
        <v>15755230</v>
      </c>
      <c r="E69" s="2">
        <v>3</v>
      </c>
      <c r="F69" s="2" t="s">
        <v>10086</v>
      </c>
      <c r="H69" s="2">
        <v>1.8E-3</v>
      </c>
      <c r="K69" s="2" t="s">
        <v>10088</v>
      </c>
    </row>
    <row r="70" spans="1:11" x14ac:dyDescent="0.2">
      <c r="A70" s="2">
        <v>16</v>
      </c>
      <c r="B70" s="2">
        <v>1</v>
      </c>
      <c r="C70" s="2">
        <v>14720132</v>
      </c>
      <c r="D70" s="2">
        <v>15755230</v>
      </c>
      <c r="E70" s="2">
        <v>4</v>
      </c>
      <c r="F70" s="2" t="s">
        <v>10086</v>
      </c>
      <c r="H70" s="2">
        <v>1.5E-3</v>
      </c>
      <c r="K70" s="2" t="s">
        <v>10085</v>
      </c>
    </row>
    <row r="71" spans="1:11" x14ac:dyDescent="0.2">
      <c r="A71" s="2">
        <v>17</v>
      </c>
      <c r="B71" s="2">
        <v>1</v>
      </c>
      <c r="C71" s="2">
        <v>15755231</v>
      </c>
      <c r="D71" s="2">
        <v>16732168</v>
      </c>
      <c r="E71" s="2">
        <v>1</v>
      </c>
      <c r="F71" s="2" t="s">
        <v>10086</v>
      </c>
      <c r="H71" s="2">
        <v>1.55E-2</v>
      </c>
      <c r="K71" s="2" t="s">
        <v>10089</v>
      </c>
    </row>
    <row r="72" spans="1:11" x14ac:dyDescent="0.2">
      <c r="A72" s="2">
        <v>17</v>
      </c>
      <c r="B72" s="2">
        <v>1</v>
      </c>
      <c r="C72" s="2">
        <v>15755231</v>
      </c>
      <c r="D72" s="2">
        <v>16732168</v>
      </c>
      <c r="E72" s="2">
        <v>2</v>
      </c>
      <c r="F72" s="2" t="s">
        <v>10086</v>
      </c>
      <c r="H72" s="2">
        <v>1.1999999999999999E-3</v>
      </c>
      <c r="K72" s="2" t="s">
        <v>10088</v>
      </c>
    </row>
    <row r="73" spans="1:11" x14ac:dyDescent="0.2">
      <c r="A73" s="2">
        <v>17</v>
      </c>
      <c r="B73" s="2">
        <v>1</v>
      </c>
      <c r="C73" s="2">
        <v>15755231</v>
      </c>
      <c r="D73" s="2">
        <v>16732168</v>
      </c>
      <c r="E73" s="2">
        <v>3</v>
      </c>
      <c r="F73" s="2" t="s">
        <v>10086</v>
      </c>
      <c r="H73" s="3">
        <v>8.9999999999999998E-4</v>
      </c>
      <c r="K73" s="2" t="s">
        <v>10085</v>
      </c>
    </row>
    <row r="74" spans="1:11" x14ac:dyDescent="0.2">
      <c r="A74" s="2">
        <v>17</v>
      </c>
      <c r="B74" s="2">
        <v>1</v>
      </c>
      <c r="C74" s="2">
        <v>15755231</v>
      </c>
      <c r="D74" s="2">
        <v>16732168</v>
      </c>
      <c r="E74" s="2">
        <v>4</v>
      </c>
      <c r="F74" s="2" t="s">
        <v>10086</v>
      </c>
      <c r="H74" s="3">
        <v>2.9999999999999997E-4</v>
      </c>
      <c r="K74" s="2" t="s">
        <v>10087</v>
      </c>
    </row>
    <row r="75" spans="1:11" x14ac:dyDescent="0.2">
      <c r="A75" s="2">
        <v>18</v>
      </c>
      <c r="B75" s="2">
        <v>1</v>
      </c>
      <c r="C75" s="2">
        <v>16732169</v>
      </c>
      <c r="D75" s="2">
        <v>17557746</v>
      </c>
      <c r="E75" s="2">
        <v>1</v>
      </c>
      <c r="F75" s="2" t="s">
        <v>10086</v>
      </c>
      <c r="H75" s="2">
        <v>3.3E-3</v>
      </c>
      <c r="K75" s="2" t="s">
        <v>10088</v>
      </c>
    </row>
    <row r="76" spans="1:11" x14ac:dyDescent="0.2">
      <c r="A76" s="2">
        <v>18</v>
      </c>
      <c r="B76" s="2">
        <v>1</v>
      </c>
      <c r="C76" s="2">
        <v>16732169</v>
      </c>
      <c r="D76" s="2">
        <v>17557746</v>
      </c>
      <c r="E76" s="2">
        <v>2</v>
      </c>
      <c r="F76" s="2" t="s">
        <v>10086</v>
      </c>
      <c r="H76" s="2">
        <v>1.1999999999999999E-3</v>
      </c>
      <c r="K76" s="2" t="s">
        <v>10085</v>
      </c>
    </row>
    <row r="77" spans="1:11" x14ac:dyDescent="0.2">
      <c r="A77" s="2">
        <v>18</v>
      </c>
      <c r="B77" s="2">
        <v>1</v>
      </c>
      <c r="C77" s="2">
        <v>16732169</v>
      </c>
      <c r="D77" s="2">
        <v>17557746</v>
      </c>
      <c r="E77" s="2">
        <v>3</v>
      </c>
      <c r="F77" s="2" t="s">
        <v>10086</v>
      </c>
      <c r="H77" s="2">
        <v>1E-3</v>
      </c>
      <c r="K77" s="2" t="s">
        <v>10089</v>
      </c>
    </row>
    <row r="78" spans="1:11" x14ac:dyDescent="0.2">
      <c r="A78" s="2">
        <v>18</v>
      </c>
      <c r="B78" s="2">
        <v>1</v>
      </c>
      <c r="C78" s="2">
        <v>16732169</v>
      </c>
      <c r="D78" s="2">
        <v>17557746</v>
      </c>
      <c r="E78" s="2">
        <v>4</v>
      </c>
      <c r="F78" s="2" t="s">
        <v>10086</v>
      </c>
      <c r="H78" s="3">
        <v>5.0000000000000001E-4</v>
      </c>
      <c r="K78" s="2" t="s">
        <v>10087</v>
      </c>
    </row>
    <row r="79" spans="1:11" x14ac:dyDescent="0.2">
      <c r="A79" s="2">
        <v>19</v>
      </c>
      <c r="B79" s="2">
        <v>1</v>
      </c>
      <c r="C79" s="2">
        <v>17557747</v>
      </c>
      <c r="D79" s="2">
        <v>18427820</v>
      </c>
      <c r="E79" s="2">
        <v>1</v>
      </c>
      <c r="F79" s="2" t="s">
        <v>10086</v>
      </c>
      <c r="H79" s="2">
        <v>1.5E-3</v>
      </c>
      <c r="K79" s="2" t="s">
        <v>10087</v>
      </c>
    </row>
    <row r="80" spans="1:11" x14ac:dyDescent="0.2">
      <c r="A80" s="2">
        <v>19</v>
      </c>
      <c r="B80" s="2">
        <v>1</v>
      </c>
      <c r="C80" s="2">
        <v>17557747</v>
      </c>
      <c r="D80" s="2">
        <v>18427820</v>
      </c>
      <c r="E80" s="2">
        <v>2</v>
      </c>
      <c r="F80" s="2" t="s">
        <v>10086</v>
      </c>
      <c r="H80" s="3">
        <v>8.0000000000000004E-4</v>
      </c>
      <c r="K80" s="2" t="s">
        <v>10085</v>
      </c>
    </row>
    <row r="81" spans="1:11" x14ac:dyDescent="0.2">
      <c r="A81" s="2">
        <v>19</v>
      </c>
      <c r="B81" s="2">
        <v>1</v>
      </c>
      <c r="C81" s="2">
        <v>17557747</v>
      </c>
      <c r="D81" s="2">
        <v>18427820</v>
      </c>
      <c r="E81" s="2">
        <v>3</v>
      </c>
      <c r="F81" s="2" t="s">
        <v>10086</v>
      </c>
      <c r="H81" s="3">
        <v>6.9999999999999999E-4</v>
      </c>
      <c r="K81" s="2" t="s">
        <v>10088</v>
      </c>
    </row>
    <row r="82" spans="1:11" x14ac:dyDescent="0.2">
      <c r="A82" s="2">
        <v>19</v>
      </c>
      <c r="B82" s="2">
        <v>1</v>
      </c>
      <c r="C82" s="2">
        <v>17557747</v>
      </c>
      <c r="D82" s="2">
        <v>18427820</v>
      </c>
      <c r="E82" s="2">
        <v>4</v>
      </c>
      <c r="F82" s="2" t="s">
        <v>10086</v>
      </c>
      <c r="H82" s="3">
        <v>4.0000000000000002E-4</v>
      </c>
      <c r="K82" s="2" t="s">
        <v>12324</v>
      </c>
    </row>
    <row r="83" spans="1:11" x14ac:dyDescent="0.2">
      <c r="A83" s="2">
        <v>20</v>
      </c>
      <c r="B83" s="2">
        <v>1</v>
      </c>
      <c r="C83" s="2">
        <v>18427821</v>
      </c>
      <c r="D83" s="2">
        <v>19238924</v>
      </c>
      <c r="E83" s="2">
        <v>1</v>
      </c>
      <c r="F83" s="2" t="s">
        <v>10086</v>
      </c>
      <c r="H83" s="2">
        <v>7.7000000000000002E-3</v>
      </c>
      <c r="K83" s="2" t="s">
        <v>10085</v>
      </c>
    </row>
    <row r="84" spans="1:11" x14ac:dyDescent="0.2">
      <c r="A84" s="2">
        <v>20</v>
      </c>
      <c r="B84" s="2">
        <v>1</v>
      </c>
      <c r="C84" s="2">
        <v>18427821</v>
      </c>
      <c r="D84" s="2">
        <v>19238924</v>
      </c>
      <c r="E84" s="2">
        <v>2</v>
      </c>
      <c r="F84" s="2" t="s">
        <v>10086</v>
      </c>
      <c r="H84" s="2">
        <v>1.8E-3</v>
      </c>
      <c r="K84" s="2" t="s">
        <v>10089</v>
      </c>
    </row>
    <row r="85" spans="1:11" x14ac:dyDescent="0.2">
      <c r="A85" s="2">
        <v>20</v>
      </c>
      <c r="B85" s="2">
        <v>1</v>
      </c>
      <c r="C85" s="2">
        <v>18427821</v>
      </c>
      <c r="D85" s="2">
        <v>19238924</v>
      </c>
      <c r="E85" s="2">
        <v>3</v>
      </c>
      <c r="F85" s="2" t="s">
        <v>10086</v>
      </c>
      <c r="H85" s="2">
        <v>1.6000000000000001E-3</v>
      </c>
      <c r="K85" s="2" t="s">
        <v>10088</v>
      </c>
    </row>
    <row r="86" spans="1:11" x14ac:dyDescent="0.2">
      <c r="A86" s="2">
        <v>20</v>
      </c>
      <c r="B86" s="2">
        <v>1</v>
      </c>
      <c r="C86" s="2">
        <v>18427821</v>
      </c>
      <c r="D86" s="2">
        <v>19238924</v>
      </c>
      <c r="E86" s="2">
        <v>4</v>
      </c>
      <c r="F86" s="2" t="s">
        <v>10086</v>
      </c>
      <c r="H86" s="3">
        <v>5.0000000000000001E-4</v>
      </c>
      <c r="K86" s="2" t="s">
        <v>10087</v>
      </c>
    </row>
    <row r="87" spans="1:11" x14ac:dyDescent="0.2">
      <c r="A87" s="2">
        <v>21</v>
      </c>
      <c r="B87" s="2">
        <v>1</v>
      </c>
      <c r="C87" s="2">
        <v>19238925</v>
      </c>
      <c r="D87" s="2">
        <v>20556202</v>
      </c>
      <c r="E87" s="2">
        <v>1</v>
      </c>
      <c r="F87" s="2" t="s">
        <v>10086</v>
      </c>
      <c r="H87" s="2">
        <v>7.6E-3</v>
      </c>
      <c r="K87" s="2" t="s">
        <v>10087</v>
      </c>
    </row>
    <row r="88" spans="1:11" x14ac:dyDescent="0.2">
      <c r="A88" s="2">
        <v>21</v>
      </c>
      <c r="B88" s="2">
        <v>1</v>
      </c>
      <c r="C88" s="2">
        <v>19238925</v>
      </c>
      <c r="D88" s="2">
        <v>20556202</v>
      </c>
      <c r="E88" s="2">
        <v>2</v>
      </c>
      <c r="F88" s="2" t="s">
        <v>10086</v>
      </c>
      <c r="H88" s="2">
        <v>2.3999999999999998E-3</v>
      </c>
      <c r="K88" s="2" t="s">
        <v>10089</v>
      </c>
    </row>
    <row r="89" spans="1:11" x14ac:dyDescent="0.2">
      <c r="A89" s="2">
        <v>21</v>
      </c>
      <c r="B89" s="2">
        <v>1</v>
      </c>
      <c r="C89" s="2">
        <v>19238925</v>
      </c>
      <c r="D89" s="2">
        <v>20556202</v>
      </c>
      <c r="E89" s="2">
        <v>3</v>
      </c>
      <c r="F89" s="2" t="s">
        <v>10086</v>
      </c>
      <c r="H89" s="2">
        <v>1.2999999999999999E-3</v>
      </c>
      <c r="K89" s="2" t="s">
        <v>12324</v>
      </c>
    </row>
    <row r="90" spans="1:11" x14ac:dyDescent="0.2">
      <c r="A90" s="2">
        <v>21</v>
      </c>
      <c r="B90" s="2">
        <v>1</v>
      </c>
      <c r="C90" s="2">
        <v>19238925</v>
      </c>
      <c r="D90" s="2">
        <v>20556202</v>
      </c>
      <c r="E90" s="2">
        <v>4</v>
      </c>
      <c r="F90" s="2" t="s">
        <v>10086</v>
      </c>
      <c r="H90" s="2">
        <v>1.1999999999999999E-3</v>
      </c>
      <c r="K90" s="2" t="s">
        <v>10085</v>
      </c>
    </row>
    <row r="91" spans="1:11" x14ac:dyDescent="0.2">
      <c r="A91" s="2">
        <v>22</v>
      </c>
      <c r="B91" s="2">
        <v>1</v>
      </c>
      <c r="C91" s="2">
        <v>20556203</v>
      </c>
      <c r="D91" s="2">
        <v>21416121</v>
      </c>
      <c r="E91" s="2">
        <v>1</v>
      </c>
      <c r="F91" s="2" t="s">
        <v>10086</v>
      </c>
      <c r="H91" s="2">
        <v>4.7000000000000002E-3</v>
      </c>
      <c r="K91" s="2" t="s">
        <v>10088</v>
      </c>
    </row>
    <row r="92" spans="1:11" x14ac:dyDescent="0.2">
      <c r="A92" s="2">
        <v>22</v>
      </c>
      <c r="B92" s="2">
        <v>1</v>
      </c>
      <c r="C92" s="2">
        <v>20556203</v>
      </c>
      <c r="D92" s="2">
        <v>21416121</v>
      </c>
      <c r="E92" s="2">
        <v>2</v>
      </c>
      <c r="F92" s="2" t="s">
        <v>10086</v>
      </c>
      <c r="H92" s="3">
        <v>8.0000000000000004E-4</v>
      </c>
      <c r="K92" s="2" t="s">
        <v>10085</v>
      </c>
    </row>
    <row r="93" spans="1:11" x14ac:dyDescent="0.2">
      <c r="A93" s="2">
        <v>22</v>
      </c>
      <c r="B93" s="2">
        <v>1</v>
      </c>
      <c r="C93" s="2">
        <v>20556203</v>
      </c>
      <c r="D93" s="2">
        <v>21416121</v>
      </c>
      <c r="E93" s="2">
        <v>3</v>
      </c>
      <c r="F93" s="2" t="s">
        <v>10086</v>
      </c>
      <c r="H93" s="3">
        <v>5.9999999999999995E-4</v>
      </c>
      <c r="K93" s="2" t="s">
        <v>10089</v>
      </c>
    </row>
    <row r="94" spans="1:11" x14ac:dyDescent="0.2">
      <c r="A94" s="2">
        <v>22</v>
      </c>
      <c r="B94" s="2">
        <v>1</v>
      </c>
      <c r="C94" s="2">
        <v>20556203</v>
      </c>
      <c r="D94" s="2">
        <v>21416121</v>
      </c>
      <c r="E94" s="2">
        <v>4</v>
      </c>
      <c r="F94" s="2" t="s">
        <v>10086</v>
      </c>
      <c r="H94" s="3">
        <v>2.0000000000000001E-4</v>
      </c>
      <c r="K94" s="2" t="s">
        <v>10087</v>
      </c>
    </row>
    <row r="95" spans="1:11" x14ac:dyDescent="0.2">
      <c r="A95" s="2">
        <v>23</v>
      </c>
      <c r="B95" s="2">
        <v>1</v>
      </c>
      <c r="C95" s="2">
        <v>21416122</v>
      </c>
      <c r="D95" s="2">
        <v>22145629</v>
      </c>
      <c r="E95" s="2">
        <v>1</v>
      </c>
      <c r="F95" s="2" t="s">
        <v>10086</v>
      </c>
      <c r="H95" s="2">
        <v>2.5000000000000001E-3</v>
      </c>
      <c r="K95" s="2" t="s">
        <v>10088</v>
      </c>
    </row>
    <row r="96" spans="1:11" x14ac:dyDescent="0.2">
      <c r="A96" s="2">
        <v>23</v>
      </c>
      <c r="B96" s="2">
        <v>1</v>
      </c>
      <c r="C96" s="2">
        <v>21416122</v>
      </c>
      <c r="D96" s="2">
        <v>22145629</v>
      </c>
      <c r="E96" s="2">
        <v>2</v>
      </c>
      <c r="F96" s="2" t="s">
        <v>10086</v>
      </c>
      <c r="H96" s="3">
        <v>8.0000000000000004E-4</v>
      </c>
      <c r="K96" s="2" t="s">
        <v>10087</v>
      </c>
    </row>
    <row r="97" spans="1:11" x14ac:dyDescent="0.2">
      <c r="A97" s="2">
        <v>23</v>
      </c>
      <c r="B97" s="2">
        <v>1</v>
      </c>
      <c r="C97" s="2">
        <v>21416122</v>
      </c>
      <c r="D97" s="2">
        <v>22145629</v>
      </c>
      <c r="E97" s="2">
        <v>3</v>
      </c>
      <c r="F97" s="2" t="s">
        <v>10086</v>
      </c>
      <c r="H97" s="3">
        <v>5.9999999999999995E-4</v>
      </c>
      <c r="K97" s="2" t="s">
        <v>10085</v>
      </c>
    </row>
    <row r="98" spans="1:11" x14ac:dyDescent="0.2">
      <c r="A98" s="2">
        <v>23</v>
      </c>
      <c r="B98" s="2">
        <v>1</v>
      </c>
      <c r="C98" s="2">
        <v>21416122</v>
      </c>
      <c r="D98" s="2">
        <v>22145629</v>
      </c>
      <c r="E98" s="2">
        <v>4</v>
      </c>
      <c r="F98" s="2" t="s">
        <v>10086</v>
      </c>
      <c r="H98" s="3">
        <v>2.9999999999999997E-4</v>
      </c>
      <c r="K98" s="2" t="s">
        <v>10089</v>
      </c>
    </row>
    <row r="99" spans="1:11" x14ac:dyDescent="0.2">
      <c r="A99" s="2">
        <v>24</v>
      </c>
      <c r="B99" s="2">
        <v>1</v>
      </c>
      <c r="C99" s="2">
        <v>22145630</v>
      </c>
      <c r="D99" s="2">
        <v>22740287</v>
      </c>
      <c r="E99" s="2">
        <v>1</v>
      </c>
      <c r="F99" s="2" t="s">
        <v>10086</v>
      </c>
      <c r="H99" s="2">
        <v>4.4000000000000003E-3</v>
      </c>
      <c r="K99" s="2" t="s">
        <v>10088</v>
      </c>
    </row>
    <row r="100" spans="1:11" x14ac:dyDescent="0.2">
      <c r="A100" s="2">
        <v>24</v>
      </c>
      <c r="B100" s="2">
        <v>1</v>
      </c>
      <c r="C100" s="2">
        <v>22145630</v>
      </c>
      <c r="D100" s="2">
        <v>22740287</v>
      </c>
      <c r="E100" s="2">
        <v>2</v>
      </c>
      <c r="F100" s="2" t="s">
        <v>10086</v>
      </c>
      <c r="H100" s="2">
        <v>9.4999999999999998E-3</v>
      </c>
      <c r="K100" s="2" t="s">
        <v>10085</v>
      </c>
    </row>
    <row r="101" spans="1:11" x14ac:dyDescent="0.2">
      <c r="A101" s="2">
        <v>24</v>
      </c>
      <c r="B101" s="2">
        <v>1</v>
      </c>
      <c r="C101" s="2">
        <v>22145630</v>
      </c>
      <c r="D101" s="2">
        <v>22740287</v>
      </c>
      <c r="E101" s="2">
        <v>3</v>
      </c>
      <c r="F101" s="2" t="s">
        <v>10086</v>
      </c>
      <c r="H101" s="2">
        <v>1.4E-3</v>
      </c>
      <c r="K101" s="2" t="s">
        <v>10089</v>
      </c>
    </row>
    <row r="102" spans="1:11" x14ac:dyDescent="0.2">
      <c r="A102" s="2">
        <v>24</v>
      </c>
      <c r="B102" s="2">
        <v>1</v>
      </c>
      <c r="C102" s="2">
        <v>22145630</v>
      </c>
      <c r="D102" s="2">
        <v>22740287</v>
      </c>
      <c r="E102" s="2">
        <v>4</v>
      </c>
      <c r="F102" s="2" t="s">
        <v>10086</v>
      </c>
      <c r="H102" s="2">
        <v>1E-3</v>
      </c>
      <c r="K102" s="2" t="s">
        <v>12324</v>
      </c>
    </row>
    <row r="103" spans="1:11" x14ac:dyDescent="0.2">
      <c r="A103" s="2">
        <v>25</v>
      </c>
      <c r="B103" s="2">
        <v>1</v>
      </c>
      <c r="C103" s="2">
        <v>22740288</v>
      </c>
      <c r="D103" s="2">
        <v>23907045</v>
      </c>
      <c r="E103" s="2">
        <v>1</v>
      </c>
      <c r="F103" s="2" t="s">
        <v>10086</v>
      </c>
      <c r="H103" s="2">
        <v>2.8999999999999998E-3</v>
      </c>
      <c r="K103" s="2" t="s">
        <v>10089</v>
      </c>
    </row>
    <row r="104" spans="1:11" x14ac:dyDescent="0.2">
      <c r="A104" s="2">
        <v>25</v>
      </c>
      <c r="B104" s="2">
        <v>1</v>
      </c>
      <c r="C104" s="2">
        <v>22740288</v>
      </c>
      <c r="D104" s="2">
        <v>23907045</v>
      </c>
      <c r="E104" s="2">
        <v>2</v>
      </c>
      <c r="F104" s="2" t="s">
        <v>10086</v>
      </c>
      <c r="H104" s="2">
        <v>1.2999999999999999E-3</v>
      </c>
      <c r="K104" s="2" t="s">
        <v>10087</v>
      </c>
    </row>
    <row r="105" spans="1:11" x14ac:dyDescent="0.2">
      <c r="A105" s="2">
        <v>25</v>
      </c>
      <c r="B105" s="2">
        <v>1</v>
      </c>
      <c r="C105" s="2">
        <v>22740288</v>
      </c>
      <c r="D105" s="2">
        <v>23907045</v>
      </c>
      <c r="E105" s="2">
        <v>3</v>
      </c>
      <c r="F105" s="2" t="s">
        <v>10086</v>
      </c>
      <c r="H105" s="2">
        <v>1.2999999999999999E-3</v>
      </c>
      <c r="K105" s="2" t="s">
        <v>12324</v>
      </c>
    </row>
    <row r="106" spans="1:11" x14ac:dyDescent="0.2">
      <c r="A106" s="2">
        <v>25</v>
      </c>
      <c r="B106" s="2">
        <v>1</v>
      </c>
      <c r="C106" s="2">
        <v>22740288</v>
      </c>
      <c r="D106" s="2">
        <v>23907045</v>
      </c>
      <c r="E106" s="2">
        <v>4</v>
      </c>
      <c r="F106" s="2" t="s">
        <v>10086</v>
      </c>
      <c r="H106" s="2">
        <v>1.1999999999999999E-3</v>
      </c>
      <c r="K106" s="2" t="s">
        <v>10088</v>
      </c>
    </row>
    <row r="107" spans="1:11" x14ac:dyDescent="0.2">
      <c r="A107" s="2">
        <v>26</v>
      </c>
      <c r="B107" s="2">
        <v>1</v>
      </c>
      <c r="C107" s="2">
        <v>23907046</v>
      </c>
      <c r="D107" s="2">
        <v>25885138</v>
      </c>
      <c r="E107" s="2">
        <v>1</v>
      </c>
      <c r="F107" s="2" t="s">
        <v>10086</v>
      </c>
      <c r="H107" s="2">
        <v>4.8999999999999998E-3</v>
      </c>
      <c r="K107" s="2" t="s">
        <v>10085</v>
      </c>
    </row>
    <row r="108" spans="1:11" x14ac:dyDescent="0.2">
      <c r="A108" s="2">
        <v>26</v>
      </c>
      <c r="B108" s="2">
        <v>1</v>
      </c>
      <c r="C108" s="2">
        <v>23907046</v>
      </c>
      <c r="D108" s="2">
        <v>25885138</v>
      </c>
      <c r="E108" s="2">
        <v>2</v>
      </c>
      <c r="F108" s="2" t="s">
        <v>10086</v>
      </c>
      <c r="H108" s="2">
        <v>1E-3</v>
      </c>
      <c r="K108" s="2" t="s">
        <v>12324</v>
      </c>
    </row>
    <row r="109" spans="1:11" x14ac:dyDescent="0.2">
      <c r="A109" s="2">
        <v>26</v>
      </c>
      <c r="B109" s="2">
        <v>1</v>
      </c>
      <c r="C109" s="2">
        <v>23907046</v>
      </c>
      <c r="D109" s="2">
        <v>25885138</v>
      </c>
      <c r="E109" s="2">
        <v>3</v>
      </c>
      <c r="F109" s="2" t="s">
        <v>10086</v>
      </c>
      <c r="H109" s="2">
        <v>1.5E-3</v>
      </c>
      <c r="K109" s="2" t="s">
        <v>10087</v>
      </c>
    </row>
    <row r="110" spans="1:11" x14ac:dyDescent="0.2">
      <c r="A110" s="2">
        <v>26</v>
      </c>
      <c r="B110" s="2">
        <v>1</v>
      </c>
      <c r="C110" s="2">
        <v>23907046</v>
      </c>
      <c r="D110" s="2">
        <v>25885138</v>
      </c>
      <c r="E110" s="2">
        <v>4</v>
      </c>
      <c r="F110" s="2" t="s">
        <v>10086</v>
      </c>
      <c r="H110" s="2">
        <v>1.1999999999999999E-3</v>
      </c>
      <c r="K110" s="2" t="s">
        <v>10088</v>
      </c>
    </row>
    <row r="111" spans="1:11" x14ac:dyDescent="0.2">
      <c r="A111" s="2">
        <v>27</v>
      </c>
      <c r="B111" s="2">
        <v>1</v>
      </c>
      <c r="C111" s="2">
        <v>25885139</v>
      </c>
      <c r="D111" s="2">
        <v>27992665</v>
      </c>
      <c r="E111" s="2">
        <v>1</v>
      </c>
      <c r="F111" s="2" t="s">
        <v>10086</v>
      </c>
      <c r="H111" s="2">
        <v>3.0999999999999999E-3</v>
      </c>
      <c r="K111" s="2" t="s">
        <v>10087</v>
      </c>
    </row>
    <row r="112" spans="1:11" x14ac:dyDescent="0.2">
      <c r="A112" s="2">
        <v>27</v>
      </c>
      <c r="B112" s="2">
        <v>1</v>
      </c>
      <c r="C112" s="2">
        <v>25885139</v>
      </c>
      <c r="D112" s="2">
        <v>27992665</v>
      </c>
      <c r="E112" s="2">
        <v>2</v>
      </c>
      <c r="F112" s="2" t="s">
        <v>10086</v>
      </c>
      <c r="H112" s="2">
        <v>2.8E-3</v>
      </c>
      <c r="K112" s="2" t="s">
        <v>10085</v>
      </c>
    </row>
    <row r="113" spans="1:11" x14ac:dyDescent="0.2">
      <c r="A113" s="2">
        <v>27</v>
      </c>
      <c r="B113" s="2">
        <v>1</v>
      </c>
      <c r="C113" s="2">
        <v>25885139</v>
      </c>
      <c r="D113" s="2">
        <v>27992665</v>
      </c>
      <c r="E113" s="2">
        <v>3</v>
      </c>
      <c r="F113" s="2" t="s">
        <v>10086</v>
      </c>
      <c r="H113" s="2">
        <v>6.1000000000000004E-3</v>
      </c>
      <c r="K113" s="2" t="s">
        <v>10088</v>
      </c>
    </row>
    <row r="114" spans="1:11" x14ac:dyDescent="0.2">
      <c r="A114" s="2">
        <v>27</v>
      </c>
      <c r="B114" s="2">
        <v>1</v>
      </c>
      <c r="C114" s="2">
        <v>25885139</v>
      </c>
      <c r="D114" s="2">
        <v>27992665</v>
      </c>
      <c r="E114" s="2">
        <v>4</v>
      </c>
      <c r="F114" s="2" t="s">
        <v>10086</v>
      </c>
      <c r="H114" s="2">
        <v>1.4E-3</v>
      </c>
      <c r="K114" s="2" t="s">
        <v>12324</v>
      </c>
    </row>
    <row r="115" spans="1:11" x14ac:dyDescent="0.2">
      <c r="A115" s="2">
        <v>28</v>
      </c>
      <c r="B115" s="2">
        <v>1</v>
      </c>
      <c r="C115" s="2">
        <v>27992666</v>
      </c>
      <c r="D115" s="2">
        <v>29188426</v>
      </c>
      <c r="E115" s="2">
        <v>1</v>
      </c>
      <c r="F115" s="2" t="s">
        <v>10086</v>
      </c>
      <c r="H115" s="2">
        <v>1.9E-3</v>
      </c>
      <c r="K115" s="2" t="s">
        <v>10088</v>
      </c>
    </row>
    <row r="116" spans="1:11" x14ac:dyDescent="0.2">
      <c r="A116" s="2">
        <v>28</v>
      </c>
      <c r="B116" s="2">
        <v>1</v>
      </c>
      <c r="C116" s="2">
        <v>27992666</v>
      </c>
      <c r="D116" s="2">
        <v>29188426</v>
      </c>
      <c r="E116" s="2">
        <v>2</v>
      </c>
      <c r="F116" s="2" t="s">
        <v>10086</v>
      </c>
      <c r="H116" s="2">
        <v>1E-3</v>
      </c>
      <c r="K116" s="2" t="s">
        <v>10089</v>
      </c>
    </row>
    <row r="117" spans="1:11" x14ac:dyDescent="0.2">
      <c r="A117" s="2">
        <v>28</v>
      </c>
      <c r="B117" s="2">
        <v>1</v>
      </c>
      <c r="C117" s="2">
        <v>27992666</v>
      </c>
      <c r="D117" s="2">
        <v>29188426</v>
      </c>
      <c r="E117" s="2">
        <v>3</v>
      </c>
      <c r="F117" s="2" t="s">
        <v>10086</v>
      </c>
      <c r="H117" s="3">
        <v>8.9999999999999998E-4</v>
      </c>
      <c r="K117" s="2" t="s">
        <v>10085</v>
      </c>
    </row>
    <row r="118" spans="1:11" x14ac:dyDescent="0.2">
      <c r="A118" s="2">
        <v>28</v>
      </c>
      <c r="B118" s="2">
        <v>1</v>
      </c>
      <c r="C118" s="2">
        <v>27992666</v>
      </c>
      <c r="D118" s="2">
        <v>29188426</v>
      </c>
      <c r="E118" s="2">
        <v>4</v>
      </c>
      <c r="F118" s="2" t="s">
        <v>10086</v>
      </c>
      <c r="H118" s="3">
        <v>5.0000000000000001E-4</v>
      </c>
      <c r="K118" s="2" t="s">
        <v>10087</v>
      </c>
    </row>
    <row r="119" spans="1:11" x14ac:dyDescent="0.2">
      <c r="A119" s="2">
        <v>29</v>
      </c>
      <c r="B119" s="2">
        <v>1</v>
      </c>
      <c r="C119" s="2">
        <v>29188427</v>
      </c>
      <c r="D119" s="2">
        <v>30405182</v>
      </c>
      <c r="E119" s="2">
        <v>1</v>
      </c>
      <c r="F119" s="2" t="s">
        <v>10086</v>
      </c>
      <c r="H119" s="2">
        <v>1.4E-3</v>
      </c>
      <c r="K119" s="2" t="s">
        <v>10089</v>
      </c>
    </row>
    <row r="120" spans="1:11" x14ac:dyDescent="0.2">
      <c r="A120" s="2">
        <v>29</v>
      </c>
      <c r="B120" s="2">
        <v>1</v>
      </c>
      <c r="C120" s="2">
        <v>29188427</v>
      </c>
      <c r="D120" s="2">
        <v>30405182</v>
      </c>
      <c r="E120" s="2">
        <v>2</v>
      </c>
      <c r="F120" s="2" t="s">
        <v>10086</v>
      </c>
      <c r="H120" s="2">
        <v>1E-3</v>
      </c>
      <c r="K120" s="2" t="s">
        <v>10088</v>
      </c>
    </row>
    <row r="121" spans="1:11" x14ac:dyDescent="0.2">
      <c r="A121" s="2">
        <v>29</v>
      </c>
      <c r="B121" s="2">
        <v>1</v>
      </c>
      <c r="C121" s="2">
        <v>29188427</v>
      </c>
      <c r="D121" s="2">
        <v>30405182</v>
      </c>
      <c r="E121" s="2">
        <v>3</v>
      </c>
      <c r="F121" s="2" t="s">
        <v>10086</v>
      </c>
      <c r="H121" s="3">
        <v>8.0000000000000004E-4</v>
      </c>
      <c r="K121" s="2" t="s">
        <v>12324</v>
      </c>
    </row>
    <row r="122" spans="1:11" x14ac:dyDescent="0.2">
      <c r="A122" s="2">
        <v>29</v>
      </c>
      <c r="B122" s="2">
        <v>1</v>
      </c>
      <c r="C122" s="2">
        <v>29188427</v>
      </c>
      <c r="D122" s="2">
        <v>30405182</v>
      </c>
      <c r="E122" s="2">
        <v>4</v>
      </c>
      <c r="F122" s="2" t="s">
        <v>10086</v>
      </c>
      <c r="H122" s="3">
        <v>5.9999999999999995E-4</v>
      </c>
      <c r="K122" s="2" t="s">
        <v>10085</v>
      </c>
    </row>
    <row r="123" spans="1:11" x14ac:dyDescent="0.2">
      <c r="A123" s="2">
        <v>30</v>
      </c>
      <c r="B123" s="2">
        <v>1</v>
      </c>
      <c r="C123" s="2">
        <v>30405183</v>
      </c>
      <c r="D123" s="2">
        <v>31639217</v>
      </c>
      <c r="E123" s="2">
        <v>1</v>
      </c>
      <c r="F123" s="2" t="s">
        <v>10086</v>
      </c>
      <c r="H123" s="2">
        <v>3.0999999999999999E-3</v>
      </c>
      <c r="K123" s="2" t="s">
        <v>10088</v>
      </c>
    </row>
    <row r="124" spans="1:11" x14ac:dyDescent="0.2">
      <c r="A124" s="2">
        <v>30</v>
      </c>
      <c r="B124" s="2">
        <v>1</v>
      </c>
      <c r="C124" s="2">
        <v>30405183</v>
      </c>
      <c r="D124" s="2">
        <v>31639217</v>
      </c>
      <c r="E124" s="2">
        <v>2</v>
      </c>
      <c r="F124" s="2" t="s">
        <v>10086</v>
      </c>
      <c r="H124" s="2">
        <v>1.5E-3</v>
      </c>
      <c r="K124" s="2" t="s">
        <v>10085</v>
      </c>
    </row>
    <row r="125" spans="1:11" x14ac:dyDescent="0.2">
      <c r="A125" s="2">
        <v>30</v>
      </c>
      <c r="B125" s="2">
        <v>1</v>
      </c>
      <c r="C125" s="2">
        <v>30405183</v>
      </c>
      <c r="D125" s="2">
        <v>31639217</v>
      </c>
      <c r="E125" s="2">
        <v>3</v>
      </c>
      <c r="F125" s="2" t="s">
        <v>10086</v>
      </c>
      <c r="H125" s="2">
        <v>1.2999999999999999E-3</v>
      </c>
      <c r="K125" s="2" t="s">
        <v>10089</v>
      </c>
    </row>
    <row r="126" spans="1:11" x14ac:dyDescent="0.2">
      <c r="A126" s="2">
        <v>30</v>
      </c>
      <c r="B126" s="2">
        <v>1</v>
      </c>
      <c r="C126" s="2">
        <v>30405183</v>
      </c>
      <c r="D126" s="2">
        <v>31639217</v>
      </c>
      <c r="E126" s="2">
        <v>4</v>
      </c>
      <c r="F126" s="2" t="s">
        <v>10086</v>
      </c>
      <c r="H126" s="3">
        <v>6.9999999999999999E-4</v>
      </c>
      <c r="K126" s="2" t="s">
        <v>10087</v>
      </c>
    </row>
    <row r="127" spans="1:11" x14ac:dyDescent="0.2">
      <c r="A127" s="2">
        <v>31</v>
      </c>
      <c r="B127" s="2">
        <v>1</v>
      </c>
      <c r="C127" s="2">
        <v>31639218</v>
      </c>
      <c r="D127" s="2">
        <v>33066846</v>
      </c>
      <c r="E127" s="2">
        <v>1</v>
      </c>
      <c r="F127" s="2" t="s">
        <v>10086</v>
      </c>
      <c r="H127" s="2">
        <v>1.4E-3</v>
      </c>
      <c r="K127" s="2" t="s">
        <v>10088</v>
      </c>
    </row>
    <row r="128" spans="1:11" x14ac:dyDescent="0.2">
      <c r="A128" s="2">
        <v>31</v>
      </c>
      <c r="B128" s="2">
        <v>1</v>
      </c>
      <c r="C128" s="2">
        <v>31639218</v>
      </c>
      <c r="D128" s="2">
        <v>33066846</v>
      </c>
      <c r="E128" s="2">
        <v>2</v>
      </c>
      <c r="F128" s="2" t="s">
        <v>10086</v>
      </c>
      <c r="H128" s="2">
        <v>1.4E-3</v>
      </c>
      <c r="K128" s="2" t="s">
        <v>10089</v>
      </c>
    </row>
    <row r="129" spans="1:11" x14ac:dyDescent="0.2">
      <c r="A129" s="2">
        <v>31</v>
      </c>
      <c r="B129" s="2">
        <v>1</v>
      </c>
      <c r="C129" s="2">
        <v>31639218</v>
      </c>
      <c r="D129" s="2">
        <v>33066846</v>
      </c>
      <c r="E129" s="2">
        <v>3</v>
      </c>
      <c r="F129" s="2" t="s">
        <v>10086</v>
      </c>
      <c r="H129" s="3">
        <v>8.0000000000000004E-4</v>
      </c>
      <c r="K129" s="2" t="s">
        <v>12324</v>
      </c>
    </row>
    <row r="130" spans="1:11" x14ac:dyDescent="0.2">
      <c r="A130" s="2">
        <v>31</v>
      </c>
      <c r="B130" s="2">
        <v>1</v>
      </c>
      <c r="C130" s="2">
        <v>31639218</v>
      </c>
      <c r="D130" s="2">
        <v>33066846</v>
      </c>
      <c r="E130" s="2">
        <v>4</v>
      </c>
      <c r="F130" s="2" t="s">
        <v>10086</v>
      </c>
      <c r="H130" s="3">
        <v>8.0000000000000004E-4</v>
      </c>
      <c r="K130" s="2" t="s">
        <v>10087</v>
      </c>
    </row>
    <row r="131" spans="1:11" x14ac:dyDescent="0.2">
      <c r="A131" s="2">
        <v>32</v>
      </c>
      <c r="B131" s="2">
        <v>1</v>
      </c>
      <c r="C131" s="2">
        <v>33066847</v>
      </c>
      <c r="D131" s="2">
        <v>34371022</v>
      </c>
      <c r="E131" s="2">
        <v>1</v>
      </c>
      <c r="F131" s="2" t="s">
        <v>10086</v>
      </c>
      <c r="H131" s="2">
        <v>1.2999999999999999E-3</v>
      </c>
      <c r="K131" s="2" t="s">
        <v>10089</v>
      </c>
    </row>
    <row r="132" spans="1:11" x14ac:dyDescent="0.2">
      <c r="A132" s="2">
        <v>32</v>
      </c>
      <c r="B132" s="2">
        <v>1</v>
      </c>
      <c r="C132" s="2">
        <v>33066847</v>
      </c>
      <c r="D132" s="2">
        <v>34371022</v>
      </c>
      <c r="E132" s="2">
        <v>2</v>
      </c>
      <c r="F132" s="2" t="s">
        <v>10086</v>
      </c>
      <c r="H132" s="2">
        <v>1E-3</v>
      </c>
      <c r="K132" s="2" t="s">
        <v>10087</v>
      </c>
    </row>
    <row r="133" spans="1:11" x14ac:dyDescent="0.2">
      <c r="A133" s="2">
        <v>32</v>
      </c>
      <c r="B133" s="2">
        <v>1</v>
      </c>
      <c r="C133" s="2">
        <v>33066847</v>
      </c>
      <c r="D133" s="2">
        <v>34371022</v>
      </c>
      <c r="E133" s="2">
        <v>3</v>
      </c>
      <c r="F133" s="2" t="s">
        <v>10086</v>
      </c>
      <c r="H133" s="3">
        <v>6.9999999999999999E-4</v>
      </c>
      <c r="K133" s="2" t="s">
        <v>10085</v>
      </c>
    </row>
    <row r="134" spans="1:11" x14ac:dyDescent="0.2">
      <c r="A134" s="2">
        <v>32</v>
      </c>
      <c r="B134" s="2">
        <v>1</v>
      </c>
      <c r="C134" s="2">
        <v>33066847</v>
      </c>
      <c r="D134" s="2">
        <v>34371022</v>
      </c>
      <c r="E134" s="2">
        <v>4</v>
      </c>
      <c r="F134" s="2" t="s">
        <v>10086</v>
      </c>
      <c r="H134" s="3">
        <v>6.9999999999999999E-4</v>
      </c>
      <c r="K134" s="2" t="s">
        <v>12324</v>
      </c>
    </row>
    <row r="135" spans="1:11" x14ac:dyDescent="0.2">
      <c r="A135" s="2">
        <v>33</v>
      </c>
      <c r="B135" s="2">
        <v>1</v>
      </c>
      <c r="C135" s="2">
        <v>34371023</v>
      </c>
      <c r="D135" s="2">
        <v>35201626</v>
      </c>
      <c r="E135" s="2">
        <v>1</v>
      </c>
      <c r="F135" s="2" t="s">
        <v>10086</v>
      </c>
      <c r="H135" s="3">
        <v>8.9999999999999998E-4</v>
      </c>
      <c r="K135" s="2" t="s">
        <v>10089</v>
      </c>
    </row>
    <row r="136" spans="1:11" x14ac:dyDescent="0.2">
      <c r="A136" s="2">
        <v>33</v>
      </c>
      <c r="B136" s="2">
        <v>1</v>
      </c>
      <c r="C136" s="2">
        <v>34371023</v>
      </c>
      <c r="D136" s="2">
        <v>35201626</v>
      </c>
      <c r="E136" s="2">
        <v>2</v>
      </c>
      <c r="F136" s="2" t="s">
        <v>10086</v>
      </c>
      <c r="H136" s="3">
        <v>8.0000000000000004E-4</v>
      </c>
      <c r="K136" s="2" t="s">
        <v>10088</v>
      </c>
    </row>
    <row r="137" spans="1:11" x14ac:dyDescent="0.2">
      <c r="A137" s="2">
        <v>33</v>
      </c>
      <c r="B137" s="2">
        <v>1</v>
      </c>
      <c r="C137" s="2">
        <v>34371023</v>
      </c>
      <c r="D137" s="2">
        <v>35201626</v>
      </c>
      <c r="E137" s="2">
        <v>3</v>
      </c>
      <c r="F137" s="2" t="s">
        <v>10086</v>
      </c>
      <c r="H137" s="3">
        <v>8.0000000000000004E-4</v>
      </c>
      <c r="K137" s="2" t="s">
        <v>10085</v>
      </c>
    </row>
    <row r="138" spans="1:11" x14ac:dyDescent="0.2">
      <c r="A138" s="2">
        <v>33</v>
      </c>
      <c r="B138" s="2">
        <v>1</v>
      </c>
      <c r="C138" s="2">
        <v>34371023</v>
      </c>
      <c r="D138" s="2">
        <v>35201626</v>
      </c>
      <c r="E138" s="2">
        <v>4</v>
      </c>
      <c r="F138" s="2" t="s">
        <v>10086</v>
      </c>
      <c r="H138" s="3">
        <v>5.9999999999999995E-4</v>
      </c>
      <c r="K138" s="2" t="s">
        <v>10087</v>
      </c>
    </row>
    <row r="139" spans="1:11" x14ac:dyDescent="0.2">
      <c r="A139" s="2">
        <v>34</v>
      </c>
      <c r="B139" s="2">
        <v>1</v>
      </c>
      <c r="C139" s="2">
        <v>35201627</v>
      </c>
      <c r="D139" s="2">
        <v>36855139</v>
      </c>
      <c r="E139" s="2">
        <v>1</v>
      </c>
      <c r="F139" s="2" t="s">
        <v>10086</v>
      </c>
      <c r="H139" s="2">
        <v>2.2000000000000001E-3</v>
      </c>
      <c r="K139" s="2" t="s">
        <v>10085</v>
      </c>
    </row>
    <row r="140" spans="1:11" x14ac:dyDescent="0.2">
      <c r="A140" s="2">
        <v>34</v>
      </c>
      <c r="B140" s="2">
        <v>1</v>
      </c>
      <c r="C140" s="2">
        <v>35201627</v>
      </c>
      <c r="D140" s="2">
        <v>36855139</v>
      </c>
      <c r="E140" s="2">
        <v>2</v>
      </c>
      <c r="F140" s="2" t="s">
        <v>10086</v>
      </c>
      <c r="H140" s="2">
        <v>1.1000000000000001E-3</v>
      </c>
      <c r="K140" s="2" t="s">
        <v>10089</v>
      </c>
    </row>
    <row r="141" spans="1:11" x14ac:dyDescent="0.2">
      <c r="A141" s="2">
        <v>34</v>
      </c>
      <c r="B141" s="2">
        <v>1</v>
      </c>
      <c r="C141" s="2">
        <v>35201627</v>
      </c>
      <c r="D141" s="2">
        <v>36855139</v>
      </c>
      <c r="E141" s="2">
        <v>3</v>
      </c>
      <c r="F141" s="2" t="s">
        <v>10086</v>
      </c>
      <c r="H141" s="3">
        <v>8.9999999999999998E-4</v>
      </c>
      <c r="K141" s="2" t="s">
        <v>10088</v>
      </c>
    </row>
    <row r="142" spans="1:11" x14ac:dyDescent="0.2">
      <c r="A142" s="2">
        <v>34</v>
      </c>
      <c r="B142" s="2">
        <v>1</v>
      </c>
      <c r="C142" s="2">
        <v>35201627</v>
      </c>
      <c r="D142" s="2">
        <v>36855139</v>
      </c>
      <c r="E142" s="2">
        <v>4</v>
      </c>
      <c r="F142" s="2" t="s">
        <v>10086</v>
      </c>
      <c r="H142" s="3">
        <v>5.0000000000000001E-4</v>
      </c>
      <c r="K142" s="2" t="s">
        <v>10087</v>
      </c>
    </row>
    <row r="143" spans="1:11" x14ac:dyDescent="0.2">
      <c r="A143" s="2">
        <v>35</v>
      </c>
      <c r="B143" s="2">
        <v>1</v>
      </c>
      <c r="C143" s="2">
        <v>36855140</v>
      </c>
      <c r="D143" s="2">
        <v>38474036</v>
      </c>
      <c r="E143" s="2">
        <v>1</v>
      </c>
      <c r="F143" s="2" t="s">
        <v>10086</v>
      </c>
      <c r="H143" s="2">
        <v>2.2000000000000001E-3</v>
      </c>
      <c r="K143" s="2" t="s">
        <v>10087</v>
      </c>
    </row>
    <row r="144" spans="1:11" x14ac:dyDescent="0.2">
      <c r="A144" s="2">
        <v>35</v>
      </c>
      <c r="B144" s="2">
        <v>1</v>
      </c>
      <c r="C144" s="2">
        <v>36855140</v>
      </c>
      <c r="D144" s="2">
        <v>38474036</v>
      </c>
      <c r="E144" s="2">
        <v>2</v>
      </c>
      <c r="F144" s="2" t="s">
        <v>10086</v>
      </c>
      <c r="H144" s="2">
        <v>1.2999999999999999E-3</v>
      </c>
      <c r="K144" s="2" t="s">
        <v>10088</v>
      </c>
    </row>
    <row r="145" spans="1:11" x14ac:dyDescent="0.2">
      <c r="A145" s="2">
        <v>35</v>
      </c>
      <c r="B145" s="2">
        <v>1</v>
      </c>
      <c r="C145" s="2">
        <v>36855140</v>
      </c>
      <c r="D145" s="2">
        <v>38474036</v>
      </c>
      <c r="E145" s="2">
        <v>3</v>
      </c>
      <c r="F145" s="2" t="s">
        <v>10086</v>
      </c>
      <c r="H145" s="3">
        <v>8.9999999999999998E-4</v>
      </c>
      <c r="K145" s="2" t="s">
        <v>10085</v>
      </c>
    </row>
    <row r="146" spans="1:11" x14ac:dyDescent="0.2">
      <c r="A146" s="2">
        <v>35</v>
      </c>
      <c r="B146" s="2">
        <v>1</v>
      </c>
      <c r="C146" s="2">
        <v>36855140</v>
      </c>
      <c r="D146" s="2">
        <v>38474036</v>
      </c>
      <c r="E146" s="2">
        <v>4</v>
      </c>
      <c r="F146" s="2" t="s">
        <v>10086</v>
      </c>
      <c r="H146" s="3">
        <v>5.0000000000000001E-4</v>
      </c>
      <c r="K146" s="2" t="s">
        <v>10089</v>
      </c>
    </row>
    <row r="147" spans="1:11" x14ac:dyDescent="0.2">
      <c r="A147" s="2">
        <v>36</v>
      </c>
      <c r="B147" s="2">
        <v>1</v>
      </c>
      <c r="C147" s="2">
        <v>38474037</v>
      </c>
      <c r="D147" s="2">
        <v>40200950</v>
      </c>
      <c r="E147" s="2">
        <v>1</v>
      </c>
      <c r="F147" s="2" t="s">
        <v>10086</v>
      </c>
      <c r="H147" s="2">
        <v>4.1000000000000003E-3</v>
      </c>
      <c r="K147" s="2" t="s">
        <v>10088</v>
      </c>
    </row>
    <row r="148" spans="1:11" x14ac:dyDescent="0.2">
      <c r="A148" s="2">
        <v>36</v>
      </c>
      <c r="B148" s="2">
        <v>1</v>
      </c>
      <c r="C148" s="2">
        <v>38474037</v>
      </c>
      <c r="D148" s="2">
        <v>40200950</v>
      </c>
      <c r="E148" s="2">
        <v>2</v>
      </c>
      <c r="F148" s="2" t="s">
        <v>10086</v>
      </c>
      <c r="H148" s="2">
        <v>2.3999999999999998E-3</v>
      </c>
      <c r="K148" s="2" t="s">
        <v>10087</v>
      </c>
    </row>
    <row r="149" spans="1:11" x14ac:dyDescent="0.2">
      <c r="A149" s="2">
        <v>36</v>
      </c>
      <c r="B149" s="2">
        <v>1</v>
      </c>
      <c r="C149" s="2">
        <v>38474037</v>
      </c>
      <c r="D149" s="2">
        <v>40200950</v>
      </c>
      <c r="E149" s="2">
        <v>3</v>
      </c>
      <c r="F149" s="2" t="s">
        <v>10086</v>
      </c>
      <c r="H149" s="2">
        <v>1.5E-3</v>
      </c>
      <c r="K149" s="2" t="s">
        <v>10085</v>
      </c>
    </row>
    <row r="150" spans="1:11" x14ac:dyDescent="0.2">
      <c r="A150" s="2">
        <v>36</v>
      </c>
      <c r="B150" s="2">
        <v>1</v>
      </c>
      <c r="C150" s="2">
        <v>38474037</v>
      </c>
      <c r="D150" s="2">
        <v>40200950</v>
      </c>
      <c r="E150" s="2">
        <v>4</v>
      </c>
      <c r="F150" s="2" t="s">
        <v>10086</v>
      </c>
      <c r="H150" s="2">
        <v>1.2999999999999999E-3</v>
      </c>
      <c r="K150" s="2" t="s">
        <v>10089</v>
      </c>
    </row>
    <row r="151" spans="1:11" x14ac:dyDescent="0.2">
      <c r="A151" s="2">
        <v>37</v>
      </c>
      <c r="B151" s="2">
        <v>1</v>
      </c>
      <c r="C151" s="2">
        <v>40200951</v>
      </c>
      <c r="D151" s="2">
        <v>41093875</v>
      </c>
      <c r="E151" s="2">
        <v>1</v>
      </c>
      <c r="F151" s="2" t="s">
        <v>10086</v>
      </c>
      <c r="H151" s="3">
        <v>8.0000000000000004E-4</v>
      </c>
      <c r="K151" s="2" t="s">
        <v>10089</v>
      </c>
    </row>
    <row r="152" spans="1:11" x14ac:dyDescent="0.2">
      <c r="A152" s="2">
        <v>37</v>
      </c>
      <c r="B152" s="2">
        <v>1</v>
      </c>
      <c r="C152" s="2">
        <v>40200951</v>
      </c>
      <c r="D152" s="2">
        <v>41093875</v>
      </c>
      <c r="E152" s="2">
        <v>2</v>
      </c>
      <c r="F152" s="2" t="s">
        <v>10086</v>
      </c>
      <c r="H152" s="3">
        <v>8.9999999999999998E-4</v>
      </c>
      <c r="K152" s="2" t="s">
        <v>10088</v>
      </c>
    </row>
    <row r="153" spans="1:11" x14ac:dyDescent="0.2">
      <c r="A153" s="2">
        <v>37</v>
      </c>
      <c r="B153" s="2">
        <v>1</v>
      </c>
      <c r="C153" s="2">
        <v>40200951</v>
      </c>
      <c r="D153" s="2">
        <v>41093875</v>
      </c>
      <c r="E153" s="2">
        <v>3</v>
      </c>
      <c r="F153" s="2" t="s">
        <v>10086</v>
      </c>
      <c r="H153" s="3">
        <v>8.0000000000000004E-4</v>
      </c>
      <c r="K153" s="2" t="s">
        <v>10087</v>
      </c>
    </row>
    <row r="154" spans="1:11" x14ac:dyDescent="0.2">
      <c r="A154" s="2">
        <v>37</v>
      </c>
      <c r="B154" s="2">
        <v>1</v>
      </c>
      <c r="C154" s="2">
        <v>40200951</v>
      </c>
      <c r="D154" s="2">
        <v>41093875</v>
      </c>
      <c r="E154" s="2">
        <v>4</v>
      </c>
      <c r="F154" s="2" t="s">
        <v>10086</v>
      </c>
      <c r="H154" s="3">
        <v>5.0000000000000001E-4</v>
      </c>
      <c r="K154" s="2" t="s">
        <v>10085</v>
      </c>
    </row>
    <row r="155" spans="1:11" x14ac:dyDescent="0.2">
      <c r="A155" s="2">
        <v>38</v>
      </c>
      <c r="B155" s="2">
        <v>1</v>
      </c>
      <c r="C155" s="2">
        <v>41093876</v>
      </c>
      <c r="D155" s="2">
        <v>41977966</v>
      </c>
      <c r="E155" s="2">
        <v>1</v>
      </c>
      <c r="F155" s="2" t="s">
        <v>10086</v>
      </c>
      <c r="H155" s="2">
        <v>2.8999999999999998E-3</v>
      </c>
      <c r="K155" s="2" t="s">
        <v>10085</v>
      </c>
    </row>
    <row r="156" spans="1:11" x14ac:dyDescent="0.2">
      <c r="A156" s="2">
        <v>38</v>
      </c>
      <c r="B156" s="2">
        <v>1</v>
      </c>
      <c r="C156" s="2">
        <v>41093876</v>
      </c>
      <c r="D156" s="2">
        <v>41977966</v>
      </c>
      <c r="E156" s="2">
        <v>2</v>
      </c>
      <c r="F156" s="2" t="s">
        <v>10086</v>
      </c>
      <c r="H156" s="2">
        <v>1.6999999999999999E-3</v>
      </c>
      <c r="K156" s="2" t="s">
        <v>10088</v>
      </c>
    </row>
    <row r="157" spans="1:11" x14ac:dyDescent="0.2">
      <c r="A157" s="2">
        <v>38</v>
      </c>
      <c r="B157" s="2">
        <v>1</v>
      </c>
      <c r="C157" s="2">
        <v>41093876</v>
      </c>
      <c r="D157" s="2">
        <v>41977966</v>
      </c>
      <c r="E157" s="2">
        <v>3</v>
      </c>
      <c r="F157" s="2" t="s">
        <v>10086</v>
      </c>
      <c r="H157" s="3">
        <v>5.9999999999999995E-4</v>
      </c>
      <c r="K157" s="2" t="s">
        <v>10089</v>
      </c>
    </row>
    <row r="158" spans="1:11" x14ac:dyDescent="0.2">
      <c r="A158" s="2">
        <v>38</v>
      </c>
      <c r="B158" s="2">
        <v>1</v>
      </c>
      <c r="C158" s="2">
        <v>41093876</v>
      </c>
      <c r="D158" s="2">
        <v>41977966</v>
      </c>
      <c r="E158" s="2">
        <v>4</v>
      </c>
      <c r="F158" s="2" t="s">
        <v>10086</v>
      </c>
      <c r="H158" s="3">
        <v>4.0000000000000002E-4</v>
      </c>
      <c r="K158" s="2" t="s">
        <v>12324</v>
      </c>
    </row>
    <row r="159" spans="1:11" x14ac:dyDescent="0.2">
      <c r="A159" s="2">
        <v>39</v>
      </c>
      <c r="B159" s="2">
        <v>1</v>
      </c>
      <c r="C159" s="2">
        <v>41977967</v>
      </c>
      <c r="D159" s="2">
        <v>43512669</v>
      </c>
      <c r="E159" s="2">
        <v>1</v>
      </c>
      <c r="F159" s="2" t="s">
        <v>10086</v>
      </c>
      <c r="H159" s="2">
        <v>1.4E-3</v>
      </c>
      <c r="K159" s="2" t="s">
        <v>10088</v>
      </c>
    </row>
    <row r="160" spans="1:11" x14ac:dyDescent="0.2">
      <c r="A160" s="2">
        <v>39</v>
      </c>
      <c r="B160" s="2">
        <v>1</v>
      </c>
      <c r="C160" s="2">
        <v>41977967</v>
      </c>
      <c r="D160" s="2">
        <v>43512669</v>
      </c>
      <c r="E160" s="2">
        <v>2</v>
      </c>
      <c r="F160" s="2" t="s">
        <v>10086</v>
      </c>
      <c r="H160" s="2">
        <v>1.4E-3</v>
      </c>
      <c r="K160" s="2" t="s">
        <v>10087</v>
      </c>
    </row>
    <row r="161" spans="1:11" x14ac:dyDescent="0.2">
      <c r="A161" s="2">
        <v>39</v>
      </c>
      <c r="B161" s="2">
        <v>1</v>
      </c>
      <c r="C161" s="2">
        <v>41977967</v>
      </c>
      <c r="D161" s="2">
        <v>43512669</v>
      </c>
      <c r="E161" s="2">
        <v>3</v>
      </c>
      <c r="F161" s="2" t="s">
        <v>10086</v>
      </c>
      <c r="H161" s="2">
        <v>1.1000000000000001E-3</v>
      </c>
      <c r="K161" s="2" t="s">
        <v>10089</v>
      </c>
    </row>
    <row r="162" spans="1:11" x14ac:dyDescent="0.2">
      <c r="A162" s="2">
        <v>39</v>
      </c>
      <c r="B162" s="2">
        <v>1</v>
      </c>
      <c r="C162" s="2">
        <v>41977967</v>
      </c>
      <c r="D162" s="2">
        <v>43512669</v>
      </c>
      <c r="E162" s="2">
        <v>4</v>
      </c>
      <c r="F162" s="2" t="s">
        <v>10086</v>
      </c>
      <c r="H162" s="3">
        <v>4.0000000000000002E-4</v>
      </c>
      <c r="K162" s="2" t="s">
        <v>10085</v>
      </c>
    </row>
    <row r="163" spans="1:11" x14ac:dyDescent="0.2">
      <c r="A163" s="2">
        <v>40</v>
      </c>
      <c r="B163" s="2">
        <v>1</v>
      </c>
      <c r="C163" s="2">
        <v>43512670</v>
      </c>
      <c r="D163" s="2">
        <v>45167235</v>
      </c>
      <c r="E163" s="2">
        <v>2</v>
      </c>
      <c r="F163" s="2" t="s">
        <v>10086</v>
      </c>
      <c r="H163" s="2">
        <v>2.3999999999999998E-3</v>
      </c>
      <c r="K163" s="2" t="s">
        <v>10087</v>
      </c>
    </row>
    <row r="164" spans="1:11" x14ac:dyDescent="0.2">
      <c r="A164" s="2">
        <v>40</v>
      </c>
      <c r="B164" s="2">
        <v>1</v>
      </c>
      <c r="C164" s="2">
        <v>43512670</v>
      </c>
      <c r="D164" s="2">
        <v>45167235</v>
      </c>
      <c r="E164" s="2">
        <v>3</v>
      </c>
      <c r="F164" s="2" t="s">
        <v>10086</v>
      </c>
      <c r="H164" s="3">
        <v>5.0000000000000001E-4</v>
      </c>
      <c r="K164" s="2" t="s">
        <v>10089</v>
      </c>
    </row>
    <row r="165" spans="1:11" x14ac:dyDescent="0.2">
      <c r="A165" s="2">
        <v>41</v>
      </c>
      <c r="B165" s="2">
        <v>1</v>
      </c>
      <c r="C165" s="2">
        <v>45167236</v>
      </c>
      <c r="D165" s="2">
        <v>47257261</v>
      </c>
      <c r="E165" s="2">
        <v>1</v>
      </c>
      <c r="F165" s="2" t="s">
        <v>10086</v>
      </c>
      <c r="H165" s="2">
        <v>3.8999999999999998E-3</v>
      </c>
      <c r="K165" s="2" t="s">
        <v>12324</v>
      </c>
    </row>
    <row r="166" spans="1:11" x14ac:dyDescent="0.2">
      <c r="A166" s="2">
        <v>41</v>
      </c>
      <c r="B166" s="2">
        <v>1</v>
      </c>
      <c r="C166" s="2">
        <v>45167236</v>
      </c>
      <c r="D166" s="2">
        <v>47257261</v>
      </c>
      <c r="E166" s="2">
        <v>2</v>
      </c>
      <c r="F166" s="2" t="s">
        <v>10086</v>
      </c>
      <c r="H166" s="2">
        <v>3.0000000000000001E-3</v>
      </c>
      <c r="K166" s="2" t="s">
        <v>10088</v>
      </c>
    </row>
    <row r="167" spans="1:11" x14ac:dyDescent="0.2">
      <c r="A167" s="2">
        <v>41</v>
      </c>
      <c r="B167" s="2">
        <v>1</v>
      </c>
      <c r="C167" s="2">
        <v>45167236</v>
      </c>
      <c r="D167" s="2">
        <v>47257261</v>
      </c>
      <c r="E167" s="2">
        <v>3</v>
      </c>
      <c r="F167" s="2" t="s">
        <v>10086</v>
      </c>
      <c r="H167" s="2">
        <v>1.5E-3</v>
      </c>
      <c r="K167" s="2" t="s">
        <v>10089</v>
      </c>
    </row>
    <row r="168" spans="1:11" x14ac:dyDescent="0.2">
      <c r="A168" s="2">
        <v>41</v>
      </c>
      <c r="B168" s="2">
        <v>1</v>
      </c>
      <c r="C168" s="2">
        <v>45167236</v>
      </c>
      <c r="D168" s="2">
        <v>47257261</v>
      </c>
      <c r="E168" s="2">
        <v>4</v>
      </c>
      <c r="F168" s="2" t="s">
        <v>10086</v>
      </c>
      <c r="H168" s="2">
        <v>1.1999999999999999E-3</v>
      </c>
      <c r="K168" s="2" t="s">
        <v>10085</v>
      </c>
    </row>
    <row r="169" spans="1:11" x14ac:dyDescent="0.2">
      <c r="A169" s="2">
        <v>42</v>
      </c>
      <c r="B169" s="2">
        <v>1</v>
      </c>
      <c r="C169" s="2">
        <v>47257262</v>
      </c>
      <c r="D169" s="2">
        <v>48105233</v>
      </c>
      <c r="E169" s="2">
        <v>1</v>
      </c>
      <c r="F169" s="2" t="s">
        <v>10086</v>
      </c>
      <c r="H169" s="2">
        <v>5.5999999999999999E-3</v>
      </c>
      <c r="K169" s="2" t="s">
        <v>10089</v>
      </c>
    </row>
    <row r="170" spans="1:11" x14ac:dyDescent="0.2">
      <c r="A170" s="2">
        <v>42</v>
      </c>
      <c r="B170" s="2">
        <v>1</v>
      </c>
      <c r="C170" s="2">
        <v>47257262</v>
      </c>
      <c r="D170" s="2">
        <v>48105233</v>
      </c>
      <c r="E170" s="2">
        <v>2</v>
      </c>
      <c r="F170" s="2" t="s">
        <v>10086</v>
      </c>
      <c r="H170" s="2">
        <v>1.1999999999999999E-3</v>
      </c>
      <c r="K170" s="2" t="s">
        <v>10088</v>
      </c>
    </row>
    <row r="171" spans="1:11" x14ac:dyDescent="0.2">
      <c r="A171" s="2">
        <v>42</v>
      </c>
      <c r="B171" s="2">
        <v>1</v>
      </c>
      <c r="C171" s="2">
        <v>47257262</v>
      </c>
      <c r="D171" s="2">
        <v>48105233</v>
      </c>
      <c r="E171" s="2">
        <v>3</v>
      </c>
      <c r="F171" s="2" t="s">
        <v>10086</v>
      </c>
      <c r="H171" s="2">
        <v>1E-3</v>
      </c>
      <c r="K171" s="2" t="s">
        <v>10085</v>
      </c>
    </row>
    <row r="172" spans="1:11" x14ac:dyDescent="0.2">
      <c r="A172" s="2">
        <v>42</v>
      </c>
      <c r="B172" s="2">
        <v>1</v>
      </c>
      <c r="C172" s="2">
        <v>47257262</v>
      </c>
      <c r="D172" s="2">
        <v>48105233</v>
      </c>
      <c r="E172" s="2">
        <v>4</v>
      </c>
      <c r="F172" s="2" t="s">
        <v>10086</v>
      </c>
      <c r="H172" s="3">
        <v>2.9999999999999997E-4</v>
      </c>
      <c r="K172" s="2" t="s">
        <v>10087</v>
      </c>
    </row>
    <row r="173" spans="1:11" x14ac:dyDescent="0.2">
      <c r="A173" s="2">
        <v>43</v>
      </c>
      <c r="B173" s="2">
        <v>1</v>
      </c>
      <c r="C173" s="2">
        <v>48105234</v>
      </c>
      <c r="D173" s="2">
        <v>49185414</v>
      </c>
      <c r="E173" s="2">
        <v>1</v>
      </c>
      <c r="F173" s="2" t="s">
        <v>10086</v>
      </c>
      <c r="H173" s="2">
        <v>1.6000000000000001E-3</v>
      </c>
      <c r="K173" s="2" t="s">
        <v>10087</v>
      </c>
    </row>
    <row r="174" spans="1:11" x14ac:dyDescent="0.2">
      <c r="A174" s="2">
        <v>43</v>
      </c>
      <c r="B174" s="2">
        <v>1</v>
      </c>
      <c r="C174" s="2">
        <v>48105234</v>
      </c>
      <c r="D174" s="2">
        <v>49185414</v>
      </c>
      <c r="E174" s="2">
        <v>2</v>
      </c>
      <c r="F174" s="2" t="s">
        <v>10086</v>
      </c>
      <c r="H174" s="2">
        <v>1.1000000000000001E-3</v>
      </c>
      <c r="K174" s="2" t="s">
        <v>10088</v>
      </c>
    </row>
    <row r="175" spans="1:11" x14ac:dyDescent="0.2">
      <c r="A175" s="2">
        <v>43</v>
      </c>
      <c r="B175" s="2">
        <v>1</v>
      </c>
      <c r="C175" s="2">
        <v>48105234</v>
      </c>
      <c r="D175" s="2">
        <v>49185414</v>
      </c>
      <c r="E175" s="2">
        <v>3</v>
      </c>
      <c r="F175" s="2" t="s">
        <v>10086</v>
      </c>
      <c r="H175" s="3">
        <v>6.9999999999999999E-4</v>
      </c>
      <c r="K175" s="2" t="s">
        <v>10089</v>
      </c>
    </row>
    <row r="176" spans="1:11" x14ac:dyDescent="0.2">
      <c r="A176" s="2">
        <v>43</v>
      </c>
      <c r="B176" s="2">
        <v>1</v>
      </c>
      <c r="C176" s="2">
        <v>48105234</v>
      </c>
      <c r="D176" s="2">
        <v>49185414</v>
      </c>
      <c r="E176" s="2">
        <v>4</v>
      </c>
      <c r="F176" s="2" t="s">
        <v>10086</v>
      </c>
      <c r="H176" s="3">
        <v>2.9999999999999997E-4</v>
      </c>
      <c r="K176" s="2" t="s">
        <v>10085</v>
      </c>
    </row>
    <row r="177" spans="1:11" x14ac:dyDescent="0.2">
      <c r="A177" s="2">
        <v>44</v>
      </c>
      <c r="B177" s="2">
        <v>1</v>
      </c>
      <c r="C177" s="2">
        <v>49185415</v>
      </c>
      <c r="D177" s="2">
        <v>51777577</v>
      </c>
      <c r="E177" s="2">
        <v>1</v>
      </c>
      <c r="F177" s="2" t="s">
        <v>10086</v>
      </c>
      <c r="H177" s="2">
        <v>1.5E-3</v>
      </c>
      <c r="K177" s="2" t="s">
        <v>10089</v>
      </c>
    </row>
    <row r="178" spans="1:11" x14ac:dyDescent="0.2">
      <c r="A178" s="2">
        <v>44</v>
      </c>
      <c r="B178" s="2">
        <v>1</v>
      </c>
      <c r="C178" s="2">
        <v>49185415</v>
      </c>
      <c r="D178" s="2">
        <v>51777577</v>
      </c>
      <c r="E178" s="2">
        <v>2</v>
      </c>
      <c r="F178" s="2" t="s">
        <v>10086</v>
      </c>
      <c r="H178" s="2">
        <v>4.5999999999999999E-3</v>
      </c>
      <c r="K178" s="2" t="s">
        <v>12324</v>
      </c>
    </row>
    <row r="179" spans="1:11" x14ac:dyDescent="0.2">
      <c r="A179" s="2">
        <v>44</v>
      </c>
      <c r="B179" s="2">
        <v>1</v>
      </c>
      <c r="C179" s="2">
        <v>49185415</v>
      </c>
      <c r="D179" s="2">
        <v>51777577</v>
      </c>
      <c r="E179" s="2">
        <v>3</v>
      </c>
      <c r="F179" s="2" t="s">
        <v>10086</v>
      </c>
      <c r="H179" s="2">
        <v>1.1000000000000001E-3</v>
      </c>
      <c r="K179" s="2" t="s">
        <v>10085</v>
      </c>
    </row>
    <row r="180" spans="1:11" x14ac:dyDescent="0.2">
      <c r="A180" s="2">
        <v>44</v>
      </c>
      <c r="B180" s="2">
        <v>1</v>
      </c>
      <c r="C180" s="2">
        <v>49185415</v>
      </c>
      <c r="D180" s="2">
        <v>51777577</v>
      </c>
      <c r="E180" s="2">
        <v>4</v>
      </c>
      <c r="F180" s="2" t="s">
        <v>10086</v>
      </c>
      <c r="H180" s="3">
        <v>8.0000000000000004E-4</v>
      </c>
      <c r="K180" s="2" t="s">
        <v>10087</v>
      </c>
    </row>
    <row r="181" spans="1:11" x14ac:dyDescent="0.2">
      <c r="A181" s="2">
        <v>45</v>
      </c>
      <c r="B181" s="2">
        <v>1</v>
      </c>
      <c r="C181" s="2">
        <v>51777578</v>
      </c>
      <c r="D181" s="2">
        <v>53114186</v>
      </c>
      <c r="E181" s="2">
        <v>1</v>
      </c>
      <c r="F181" s="2" t="s">
        <v>10086</v>
      </c>
      <c r="H181" s="2">
        <v>3.3999999999999998E-3</v>
      </c>
      <c r="K181" s="2" t="s">
        <v>10085</v>
      </c>
    </row>
    <row r="182" spans="1:11" x14ac:dyDescent="0.2">
      <c r="A182" s="2">
        <v>45</v>
      </c>
      <c r="B182" s="2">
        <v>1</v>
      </c>
      <c r="C182" s="2">
        <v>51777578</v>
      </c>
      <c r="D182" s="2">
        <v>53114186</v>
      </c>
      <c r="E182" s="2">
        <v>2</v>
      </c>
      <c r="F182" s="2" t="s">
        <v>10086</v>
      </c>
      <c r="H182" s="2">
        <v>1.4E-3</v>
      </c>
      <c r="K182" s="2" t="s">
        <v>10087</v>
      </c>
    </row>
    <row r="183" spans="1:11" x14ac:dyDescent="0.2">
      <c r="A183" s="2">
        <v>45</v>
      </c>
      <c r="B183" s="2">
        <v>1</v>
      </c>
      <c r="C183" s="2">
        <v>51777578</v>
      </c>
      <c r="D183" s="2">
        <v>53114186</v>
      </c>
      <c r="E183" s="2">
        <v>3</v>
      </c>
      <c r="F183" s="2" t="s">
        <v>10086</v>
      </c>
      <c r="H183" s="2">
        <v>1.1000000000000001E-3</v>
      </c>
      <c r="K183" s="2" t="s">
        <v>10088</v>
      </c>
    </row>
    <row r="184" spans="1:11" x14ac:dyDescent="0.2">
      <c r="A184" s="2">
        <v>45</v>
      </c>
      <c r="B184" s="2">
        <v>1</v>
      </c>
      <c r="C184" s="2">
        <v>51777578</v>
      </c>
      <c r="D184" s="2">
        <v>53114186</v>
      </c>
      <c r="E184" s="2">
        <v>4</v>
      </c>
      <c r="F184" s="2" t="s">
        <v>10086</v>
      </c>
      <c r="H184" s="3">
        <v>6.9999999999999999E-4</v>
      </c>
      <c r="K184" s="2" t="s">
        <v>10089</v>
      </c>
    </row>
    <row r="185" spans="1:11" x14ac:dyDescent="0.2">
      <c r="A185" s="2">
        <v>46</v>
      </c>
      <c r="B185" s="2">
        <v>1</v>
      </c>
      <c r="C185" s="2">
        <v>53114187</v>
      </c>
      <c r="D185" s="2">
        <v>54771293</v>
      </c>
      <c r="E185" s="2">
        <v>1</v>
      </c>
      <c r="F185" s="2" t="s">
        <v>10086</v>
      </c>
      <c r="H185" s="2">
        <v>3.7000000000000002E-3</v>
      </c>
      <c r="K185" s="2" t="s">
        <v>10088</v>
      </c>
    </row>
    <row r="186" spans="1:11" x14ac:dyDescent="0.2">
      <c r="A186" s="2">
        <v>46</v>
      </c>
      <c r="B186" s="2">
        <v>1</v>
      </c>
      <c r="C186" s="2">
        <v>53114187</v>
      </c>
      <c r="D186" s="2">
        <v>54771293</v>
      </c>
      <c r="E186" s="2">
        <v>2</v>
      </c>
      <c r="F186" s="2" t="s">
        <v>10086</v>
      </c>
      <c r="H186" s="2">
        <v>2.2000000000000001E-3</v>
      </c>
      <c r="K186" s="2" t="s">
        <v>12324</v>
      </c>
    </row>
    <row r="187" spans="1:11" x14ac:dyDescent="0.2">
      <c r="A187" s="2">
        <v>46</v>
      </c>
      <c r="B187" s="2">
        <v>1</v>
      </c>
      <c r="C187" s="2">
        <v>53114187</v>
      </c>
      <c r="D187" s="2">
        <v>54771293</v>
      </c>
      <c r="E187" s="2">
        <v>3</v>
      </c>
      <c r="F187" s="2" t="s">
        <v>10086</v>
      </c>
      <c r="H187" s="2">
        <v>2.2000000000000001E-3</v>
      </c>
      <c r="K187" s="2" t="s">
        <v>10085</v>
      </c>
    </row>
    <row r="188" spans="1:11" x14ac:dyDescent="0.2">
      <c r="A188" s="2">
        <v>46</v>
      </c>
      <c r="B188" s="2">
        <v>1</v>
      </c>
      <c r="C188" s="2">
        <v>53114187</v>
      </c>
      <c r="D188" s="2">
        <v>54771293</v>
      </c>
      <c r="E188" s="2">
        <v>4</v>
      </c>
      <c r="F188" s="2" t="s">
        <v>10086</v>
      </c>
      <c r="H188" s="2">
        <v>1.2999999999999999E-3</v>
      </c>
      <c r="K188" s="2" t="s">
        <v>10089</v>
      </c>
    </row>
    <row r="189" spans="1:11" x14ac:dyDescent="0.2">
      <c r="A189" s="2">
        <v>47</v>
      </c>
      <c r="B189" s="2">
        <v>1</v>
      </c>
      <c r="C189" s="2">
        <v>54771294</v>
      </c>
      <c r="D189" s="2">
        <v>55727134</v>
      </c>
      <c r="E189" s="2">
        <v>1</v>
      </c>
      <c r="F189" s="2" t="s">
        <v>10086</v>
      </c>
      <c r="H189" s="2">
        <v>6.1000000000000004E-3</v>
      </c>
      <c r="K189" s="2" t="s">
        <v>10089</v>
      </c>
    </row>
    <row r="190" spans="1:11" x14ac:dyDescent="0.2">
      <c r="A190" s="2">
        <v>47</v>
      </c>
      <c r="B190" s="2">
        <v>1</v>
      </c>
      <c r="C190" s="2">
        <v>54771294</v>
      </c>
      <c r="D190" s="2">
        <v>55727134</v>
      </c>
      <c r="E190" s="2">
        <v>2</v>
      </c>
      <c r="F190" s="2" t="s">
        <v>10086</v>
      </c>
      <c r="H190" s="2">
        <v>2.3999999999999998E-3</v>
      </c>
      <c r="K190" s="2" t="s">
        <v>10088</v>
      </c>
    </row>
    <row r="191" spans="1:11" x14ac:dyDescent="0.2">
      <c r="A191" s="2">
        <v>47</v>
      </c>
      <c r="B191" s="2">
        <v>1</v>
      </c>
      <c r="C191" s="2">
        <v>54771294</v>
      </c>
      <c r="D191" s="2">
        <v>55727134</v>
      </c>
      <c r="E191" s="2">
        <v>3</v>
      </c>
      <c r="F191" s="2" t="s">
        <v>10086</v>
      </c>
      <c r="H191" s="2">
        <v>1E-3</v>
      </c>
      <c r="K191" s="2" t="s">
        <v>10087</v>
      </c>
    </row>
    <row r="192" spans="1:11" x14ac:dyDescent="0.2">
      <c r="A192" s="2">
        <v>47</v>
      </c>
      <c r="B192" s="2">
        <v>1</v>
      </c>
      <c r="C192" s="2">
        <v>54771294</v>
      </c>
      <c r="D192" s="2">
        <v>55727134</v>
      </c>
      <c r="E192" s="2">
        <v>4</v>
      </c>
      <c r="F192" s="2" t="s">
        <v>10086</v>
      </c>
      <c r="H192" s="3">
        <v>5.9999999999999995E-4</v>
      </c>
      <c r="K192" s="2" t="s">
        <v>10085</v>
      </c>
    </row>
    <row r="193" spans="1:11" x14ac:dyDescent="0.2">
      <c r="A193" s="2">
        <v>48</v>
      </c>
      <c r="B193" s="2">
        <v>1</v>
      </c>
      <c r="C193" s="2">
        <v>55727135</v>
      </c>
      <c r="D193" s="2">
        <v>56799636</v>
      </c>
      <c r="E193" s="2">
        <v>1</v>
      </c>
      <c r="F193" s="2" t="s">
        <v>10086</v>
      </c>
      <c r="H193" s="2">
        <v>1.8E-3</v>
      </c>
      <c r="K193" s="2" t="s">
        <v>10087</v>
      </c>
    </row>
    <row r="194" spans="1:11" x14ac:dyDescent="0.2">
      <c r="A194" s="2">
        <v>48</v>
      </c>
      <c r="B194" s="2">
        <v>1</v>
      </c>
      <c r="C194" s="2">
        <v>55727135</v>
      </c>
      <c r="D194" s="2">
        <v>56799636</v>
      </c>
      <c r="E194" s="2">
        <v>2</v>
      </c>
      <c r="F194" s="2" t="s">
        <v>10086</v>
      </c>
      <c r="H194" s="2">
        <v>1.1999999999999999E-3</v>
      </c>
      <c r="K194" s="2" t="s">
        <v>10085</v>
      </c>
    </row>
    <row r="195" spans="1:11" x14ac:dyDescent="0.2">
      <c r="A195" s="2">
        <v>48</v>
      </c>
      <c r="B195" s="2">
        <v>1</v>
      </c>
      <c r="C195" s="2">
        <v>55727135</v>
      </c>
      <c r="D195" s="2">
        <v>56799636</v>
      </c>
      <c r="E195" s="2">
        <v>3</v>
      </c>
      <c r="F195" s="2" t="s">
        <v>10086</v>
      </c>
      <c r="H195" s="2">
        <v>1.1000000000000001E-3</v>
      </c>
      <c r="K195" s="2" t="s">
        <v>10088</v>
      </c>
    </row>
    <row r="196" spans="1:11" x14ac:dyDescent="0.2">
      <c r="A196" s="2">
        <v>48</v>
      </c>
      <c r="B196" s="2">
        <v>1</v>
      </c>
      <c r="C196" s="2">
        <v>55727135</v>
      </c>
      <c r="D196" s="2">
        <v>56799636</v>
      </c>
      <c r="E196" s="2">
        <v>4</v>
      </c>
      <c r="F196" s="2" t="s">
        <v>10086</v>
      </c>
      <c r="H196" s="3">
        <v>5.9999999999999995E-4</v>
      </c>
      <c r="K196" s="2" t="s">
        <v>10089</v>
      </c>
    </row>
    <row r="197" spans="1:11" x14ac:dyDescent="0.2">
      <c r="A197" s="2">
        <v>49</v>
      </c>
      <c r="B197" s="2">
        <v>1</v>
      </c>
      <c r="C197" s="2">
        <v>56799637</v>
      </c>
      <c r="D197" s="2">
        <v>57529670</v>
      </c>
      <c r="E197" s="2">
        <v>1</v>
      </c>
      <c r="F197" s="2" t="s">
        <v>10086</v>
      </c>
      <c r="H197" s="2">
        <v>1.6000000000000001E-3</v>
      </c>
      <c r="K197" s="2" t="s">
        <v>10089</v>
      </c>
    </row>
    <row r="198" spans="1:11" x14ac:dyDescent="0.2">
      <c r="A198" s="2">
        <v>49</v>
      </c>
      <c r="B198" s="2">
        <v>1</v>
      </c>
      <c r="C198" s="2">
        <v>56799637</v>
      </c>
      <c r="D198" s="2">
        <v>57529670</v>
      </c>
      <c r="E198" s="2">
        <v>2</v>
      </c>
      <c r="F198" s="2" t="s">
        <v>10086</v>
      </c>
      <c r="H198" s="2">
        <v>1.9E-3</v>
      </c>
      <c r="K198" s="2" t="s">
        <v>10088</v>
      </c>
    </row>
    <row r="199" spans="1:11" x14ac:dyDescent="0.2">
      <c r="A199" s="2">
        <v>49</v>
      </c>
      <c r="B199" s="2">
        <v>1</v>
      </c>
      <c r="C199" s="2">
        <v>56799637</v>
      </c>
      <c r="D199" s="2">
        <v>57529670</v>
      </c>
      <c r="E199" s="2">
        <v>3</v>
      </c>
      <c r="F199" s="2" t="s">
        <v>10086</v>
      </c>
      <c r="H199" s="3">
        <v>8.9999999999999998E-4</v>
      </c>
      <c r="K199" s="2" t="s">
        <v>10085</v>
      </c>
    </row>
    <row r="200" spans="1:11" x14ac:dyDescent="0.2">
      <c r="A200" s="2">
        <v>49</v>
      </c>
      <c r="B200" s="2">
        <v>1</v>
      </c>
      <c r="C200" s="2">
        <v>56799637</v>
      </c>
      <c r="D200" s="2">
        <v>57529670</v>
      </c>
      <c r="E200" s="2">
        <v>4</v>
      </c>
      <c r="F200" s="2" t="s">
        <v>10086</v>
      </c>
      <c r="H200" s="3">
        <v>2.9999999999999997E-4</v>
      </c>
      <c r="K200" s="2" t="s">
        <v>10087</v>
      </c>
    </row>
    <row r="201" spans="1:11" x14ac:dyDescent="0.2">
      <c r="A201" s="2">
        <v>50</v>
      </c>
      <c r="B201" s="2">
        <v>1</v>
      </c>
      <c r="C201" s="2">
        <v>57529671</v>
      </c>
      <c r="D201" s="2">
        <v>58387483</v>
      </c>
      <c r="E201" s="2">
        <v>1</v>
      </c>
      <c r="F201" s="2" t="s">
        <v>10086</v>
      </c>
      <c r="H201" s="2">
        <v>1.2999999999999999E-3</v>
      </c>
      <c r="K201" s="2" t="s">
        <v>10087</v>
      </c>
    </row>
    <row r="202" spans="1:11" x14ac:dyDescent="0.2">
      <c r="A202" s="2">
        <v>50</v>
      </c>
      <c r="B202" s="2">
        <v>1</v>
      </c>
      <c r="C202" s="2">
        <v>57529671</v>
      </c>
      <c r="D202" s="2">
        <v>58387483</v>
      </c>
      <c r="E202" s="2">
        <v>2</v>
      </c>
      <c r="F202" s="2" t="s">
        <v>10086</v>
      </c>
      <c r="H202" s="2">
        <v>2.0999999999999999E-3</v>
      </c>
      <c r="K202" s="2" t="s">
        <v>10088</v>
      </c>
    </row>
    <row r="203" spans="1:11" x14ac:dyDescent="0.2">
      <c r="A203" s="2">
        <v>50</v>
      </c>
      <c r="B203" s="2">
        <v>1</v>
      </c>
      <c r="C203" s="2">
        <v>57529671</v>
      </c>
      <c r="D203" s="2">
        <v>58387483</v>
      </c>
      <c r="E203" s="2">
        <v>3</v>
      </c>
      <c r="F203" s="2" t="s">
        <v>10086</v>
      </c>
      <c r="H203" s="3">
        <v>8.9999999999999998E-4</v>
      </c>
      <c r="K203" s="2" t="s">
        <v>10085</v>
      </c>
    </row>
    <row r="204" spans="1:11" x14ac:dyDescent="0.2">
      <c r="A204" s="2">
        <v>50</v>
      </c>
      <c r="B204" s="2">
        <v>1</v>
      </c>
      <c r="C204" s="2">
        <v>57529671</v>
      </c>
      <c r="D204" s="2">
        <v>58387483</v>
      </c>
      <c r="E204" s="2">
        <v>4</v>
      </c>
      <c r="F204" s="2" t="s">
        <v>10086</v>
      </c>
      <c r="H204" s="3">
        <v>4.0000000000000002E-4</v>
      </c>
      <c r="K204" s="2" t="s">
        <v>10089</v>
      </c>
    </row>
    <row r="205" spans="1:11" x14ac:dyDescent="0.2">
      <c r="A205" s="2">
        <v>51</v>
      </c>
      <c r="B205" s="2">
        <v>1</v>
      </c>
      <c r="C205" s="2">
        <v>58387484</v>
      </c>
      <c r="D205" s="2">
        <v>59889045</v>
      </c>
      <c r="E205" s="2">
        <v>1</v>
      </c>
      <c r="F205" s="2" t="s">
        <v>10086</v>
      </c>
      <c r="H205" s="2">
        <v>6.8999999999999999E-3</v>
      </c>
      <c r="K205" s="2" t="s">
        <v>10088</v>
      </c>
    </row>
    <row r="206" spans="1:11" x14ac:dyDescent="0.2">
      <c r="A206" s="2">
        <v>51</v>
      </c>
      <c r="B206" s="2">
        <v>1</v>
      </c>
      <c r="C206" s="2">
        <v>58387484</v>
      </c>
      <c r="D206" s="2">
        <v>59889045</v>
      </c>
      <c r="E206" s="2">
        <v>2</v>
      </c>
      <c r="F206" s="2" t="s">
        <v>10086</v>
      </c>
      <c r="H206" s="2">
        <v>4.1999999999999997E-3</v>
      </c>
      <c r="K206" s="2" t="s">
        <v>10089</v>
      </c>
    </row>
    <row r="207" spans="1:11" x14ac:dyDescent="0.2">
      <c r="A207" s="2">
        <v>51</v>
      </c>
      <c r="B207" s="2">
        <v>1</v>
      </c>
      <c r="C207" s="2">
        <v>58387484</v>
      </c>
      <c r="D207" s="2">
        <v>59889045</v>
      </c>
      <c r="E207" s="2">
        <v>3</v>
      </c>
      <c r="F207" s="2" t="s">
        <v>10086</v>
      </c>
      <c r="H207" s="2">
        <v>1.5E-3</v>
      </c>
      <c r="K207" s="2" t="s">
        <v>10085</v>
      </c>
    </row>
    <row r="208" spans="1:11" x14ac:dyDescent="0.2">
      <c r="A208" s="2">
        <v>51</v>
      </c>
      <c r="B208" s="2">
        <v>1</v>
      </c>
      <c r="C208" s="2">
        <v>58387484</v>
      </c>
      <c r="D208" s="2">
        <v>59889045</v>
      </c>
      <c r="E208" s="2">
        <v>4</v>
      </c>
      <c r="F208" s="2" t="s">
        <v>10086</v>
      </c>
      <c r="H208" s="3">
        <v>5.9999999999999995E-4</v>
      </c>
      <c r="K208" s="2" t="s">
        <v>10087</v>
      </c>
    </row>
    <row r="209" spans="1:11" x14ac:dyDescent="0.2">
      <c r="A209" s="2">
        <v>52</v>
      </c>
      <c r="B209" s="2">
        <v>1</v>
      </c>
      <c r="C209" s="2">
        <v>59889046</v>
      </c>
      <c r="D209" s="2">
        <v>61377615</v>
      </c>
      <c r="E209" s="2">
        <v>1</v>
      </c>
      <c r="F209" s="2" t="s">
        <v>10086</v>
      </c>
      <c r="H209" s="2">
        <v>5.5999999999999999E-3</v>
      </c>
      <c r="K209" s="2" t="s">
        <v>10087</v>
      </c>
    </row>
    <row r="210" spans="1:11" x14ac:dyDescent="0.2">
      <c r="A210" s="2">
        <v>52</v>
      </c>
      <c r="B210" s="2">
        <v>1</v>
      </c>
      <c r="C210" s="2">
        <v>59889046</v>
      </c>
      <c r="D210" s="2">
        <v>61377615</v>
      </c>
      <c r="E210" s="2">
        <v>2</v>
      </c>
      <c r="F210" s="2" t="s">
        <v>10086</v>
      </c>
      <c r="H210" s="2">
        <v>2.8E-3</v>
      </c>
      <c r="K210" s="2" t="s">
        <v>10088</v>
      </c>
    </row>
    <row r="211" spans="1:11" x14ac:dyDescent="0.2">
      <c r="A211" s="2">
        <v>52</v>
      </c>
      <c r="B211" s="2">
        <v>1</v>
      </c>
      <c r="C211" s="2">
        <v>59889046</v>
      </c>
      <c r="D211" s="2">
        <v>61377615</v>
      </c>
      <c r="E211" s="2">
        <v>3</v>
      </c>
      <c r="F211" s="2" t="s">
        <v>10086</v>
      </c>
      <c r="H211" s="2">
        <v>1.1000000000000001E-3</v>
      </c>
      <c r="K211" s="2" t="s">
        <v>10089</v>
      </c>
    </row>
    <row r="212" spans="1:11" x14ac:dyDescent="0.2">
      <c r="A212" s="2">
        <v>52</v>
      </c>
      <c r="B212" s="2">
        <v>1</v>
      </c>
      <c r="C212" s="2">
        <v>59889046</v>
      </c>
      <c r="D212" s="2">
        <v>61377615</v>
      </c>
      <c r="E212" s="2">
        <v>4</v>
      </c>
      <c r="F212" s="2" t="s">
        <v>10086</v>
      </c>
      <c r="H212" s="3">
        <v>5.0000000000000001E-4</v>
      </c>
      <c r="K212" s="2" t="s">
        <v>10085</v>
      </c>
    </row>
    <row r="213" spans="1:11" x14ac:dyDescent="0.2">
      <c r="A213" s="2">
        <v>53</v>
      </c>
      <c r="B213" s="2">
        <v>1</v>
      </c>
      <c r="C213" s="2">
        <v>61377616</v>
      </c>
      <c r="D213" s="2">
        <v>62778733</v>
      </c>
      <c r="E213" s="2">
        <v>1</v>
      </c>
      <c r="F213" s="2" t="s">
        <v>10086</v>
      </c>
      <c r="H213" s="2">
        <v>2.5999999999999999E-3</v>
      </c>
      <c r="K213" s="2" t="s">
        <v>10089</v>
      </c>
    </row>
    <row r="214" spans="1:11" x14ac:dyDescent="0.2">
      <c r="A214" s="2">
        <v>53</v>
      </c>
      <c r="B214" s="2">
        <v>1</v>
      </c>
      <c r="C214" s="2">
        <v>61377616</v>
      </c>
      <c r="D214" s="2">
        <v>62778733</v>
      </c>
      <c r="E214" s="2">
        <v>2</v>
      </c>
      <c r="F214" s="2" t="s">
        <v>10086</v>
      </c>
      <c r="H214" s="2">
        <v>2.0999999999999999E-3</v>
      </c>
      <c r="K214" s="2" t="s">
        <v>10085</v>
      </c>
    </row>
    <row r="215" spans="1:11" x14ac:dyDescent="0.2">
      <c r="A215" s="2">
        <v>53</v>
      </c>
      <c r="B215" s="2">
        <v>1</v>
      </c>
      <c r="C215" s="2">
        <v>61377616</v>
      </c>
      <c r="D215" s="2">
        <v>62778733</v>
      </c>
      <c r="E215" s="2">
        <v>3</v>
      </c>
      <c r="F215" s="2" t="s">
        <v>10086</v>
      </c>
      <c r="H215" s="2">
        <v>1.9E-3</v>
      </c>
      <c r="K215" s="2" t="s">
        <v>10088</v>
      </c>
    </row>
    <row r="216" spans="1:11" x14ac:dyDescent="0.2">
      <c r="A216" s="2">
        <v>53</v>
      </c>
      <c r="B216" s="2">
        <v>1</v>
      </c>
      <c r="C216" s="2">
        <v>61377616</v>
      </c>
      <c r="D216" s="2">
        <v>62778733</v>
      </c>
      <c r="E216" s="2">
        <v>4</v>
      </c>
      <c r="F216" s="2" t="s">
        <v>10086</v>
      </c>
      <c r="H216" s="2">
        <v>1.1999999999999999E-3</v>
      </c>
      <c r="K216" s="2" t="s">
        <v>10087</v>
      </c>
    </row>
    <row r="217" spans="1:11" x14ac:dyDescent="0.2">
      <c r="A217" s="2">
        <v>54</v>
      </c>
      <c r="B217" s="2">
        <v>1</v>
      </c>
      <c r="C217" s="2">
        <v>62778734</v>
      </c>
      <c r="D217" s="2">
        <v>64344226</v>
      </c>
      <c r="E217" s="2">
        <v>1</v>
      </c>
      <c r="F217" s="2" t="s">
        <v>10086</v>
      </c>
      <c r="H217" s="2">
        <v>3.0000000000000001E-3</v>
      </c>
      <c r="K217" s="2" t="s">
        <v>10089</v>
      </c>
    </row>
    <row r="218" spans="1:11" x14ac:dyDescent="0.2">
      <c r="A218" s="2">
        <v>54</v>
      </c>
      <c r="B218" s="2">
        <v>1</v>
      </c>
      <c r="C218" s="2">
        <v>62778734</v>
      </c>
      <c r="D218" s="2">
        <v>64344226</v>
      </c>
      <c r="E218" s="2">
        <v>2</v>
      </c>
      <c r="F218" s="2" t="s">
        <v>10086</v>
      </c>
      <c r="H218" s="2">
        <v>2.8E-3</v>
      </c>
      <c r="K218" s="2" t="s">
        <v>10087</v>
      </c>
    </row>
    <row r="219" spans="1:11" x14ac:dyDescent="0.2">
      <c r="A219" s="2">
        <v>54</v>
      </c>
      <c r="B219" s="2">
        <v>1</v>
      </c>
      <c r="C219" s="2">
        <v>62778734</v>
      </c>
      <c r="D219" s="2">
        <v>64344226</v>
      </c>
      <c r="E219" s="2">
        <v>3</v>
      </c>
      <c r="F219" s="2" t="s">
        <v>10086</v>
      </c>
      <c r="H219" s="2">
        <v>1.6000000000000001E-3</v>
      </c>
      <c r="K219" s="2" t="s">
        <v>10085</v>
      </c>
    </row>
    <row r="220" spans="1:11" x14ac:dyDescent="0.2">
      <c r="A220" s="2">
        <v>54</v>
      </c>
      <c r="B220" s="2">
        <v>1</v>
      </c>
      <c r="C220" s="2">
        <v>62778734</v>
      </c>
      <c r="D220" s="2">
        <v>64344226</v>
      </c>
      <c r="E220" s="2">
        <v>4</v>
      </c>
      <c r="F220" s="2" t="s">
        <v>10086</v>
      </c>
      <c r="H220" s="3">
        <v>5.9999999999999995E-4</v>
      </c>
      <c r="K220" s="2" t="s">
        <v>10088</v>
      </c>
    </row>
    <row r="221" spans="1:11" x14ac:dyDescent="0.2">
      <c r="A221" s="2">
        <v>55</v>
      </c>
      <c r="B221" s="2">
        <v>1</v>
      </c>
      <c r="C221" s="2">
        <v>64344227</v>
      </c>
      <c r="D221" s="2">
        <v>65894184</v>
      </c>
      <c r="E221" s="2">
        <v>1</v>
      </c>
      <c r="F221" s="2" t="s">
        <v>10086</v>
      </c>
      <c r="H221" s="2">
        <v>4.4000000000000003E-3</v>
      </c>
      <c r="K221" s="2" t="s">
        <v>10087</v>
      </c>
    </row>
    <row r="222" spans="1:11" x14ac:dyDescent="0.2">
      <c r="A222" s="2">
        <v>55</v>
      </c>
      <c r="B222" s="2">
        <v>1</v>
      </c>
      <c r="C222" s="2">
        <v>64344227</v>
      </c>
      <c r="D222" s="2">
        <v>65894184</v>
      </c>
      <c r="E222" s="2">
        <v>2</v>
      </c>
      <c r="F222" s="2" t="s">
        <v>10086</v>
      </c>
      <c r="H222" s="2">
        <v>2.7000000000000001E-3</v>
      </c>
      <c r="K222" s="2" t="s">
        <v>10088</v>
      </c>
    </row>
    <row r="223" spans="1:11" x14ac:dyDescent="0.2">
      <c r="A223" s="2">
        <v>55</v>
      </c>
      <c r="B223" s="2">
        <v>1</v>
      </c>
      <c r="C223" s="2">
        <v>64344227</v>
      </c>
      <c r="D223" s="2">
        <v>65894184</v>
      </c>
      <c r="E223" s="2">
        <v>3</v>
      </c>
      <c r="F223" s="2" t="s">
        <v>10086</v>
      </c>
      <c r="H223" s="2">
        <v>1.9E-3</v>
      </c>
      <c r="K223" s="2" t="s">
        <v>10089</v>
      </c>
    </row>
    <row r="224" spans="1:11" x14ac:dyDescent="0.2">
      <c r="A224" s="2">
        <v>55</v>
      </c>
      <c r="B224" s="2">
        <v>1</v>
      </c>
      <c r="C224" s="2">
        <v>64344227</v>
      </c>
      <c r="D224" s="2">
        <v>65894184</v>
      </c>
      <c r="E224" s="2">
        <v>4</v>
      </c>
      <c r="F224" s="2" t="s">
        <v>10086</v>
      </c>
      <c r="H224" s="3">
        <v>8.0000000000000004E-4</v>
      </c>
      <c r="K224" s="2" t="s">
        <v>10085</v>
      </c>
    </row>
    <row r="225" spans="1:11" x14ac:dyDescent="0.2">
      <c r="A225" s="2">
        <v>56</v>
      </c>
      <c r="B225" s="2">
        <v>1</v>
      </c>
      <c r="C225" s="2">
        <v>65894185</v>
      </c>
      <c r="D225" s="2">
        <v>66778015</v>
      </c>
      <c r="E225" s="2">
        <v>1</v>
      </c>
      <c r="F225" s="2" t="s">
        <v>10086</v>
      </c>
      <c r="H225" s="2">
        <v>2.5000000000000001E-3</v>
      </c>
      <c r="K225" s="2" t="s">
        <v>10088</v>
      </c>
    </row>
    <row r="226" spans="1:11" x14ac:dyDescent="0.2">
      <c r="A226" s="2">
        <v>56</v>
      </c>
      <c r="B226" s="2">
        <v>1</v>
      </c>
      <c r="C226" s="2">
        <v>65894185</v>
      </c>
      <c r="D226" s="2">
        <v>66778015</v>
      </c>
      <c r="E226" s="2">
        <v>2</v>
      </c>
      <c r="F226" s="2" t="s">
        <v>10086</v>
      </c>
      <c r="H226" s="3">
        <v>8.0000000000000004E-4</v>
      </c>
      <c r="K226" s="2" t="s">
        <v>10085</v>
      </c>
    </row>
    <row r="227" spans="1:11" x14ac:dyDescent="0.2">
      <c r="A227" s="2">
        <v>56</v>
      </c>
      <c r="B227" s="2">
        <v>1</v>
      </c>
      <c r="C227" s="2">
        <v>65894185</v>
      </c>
      <c r="D227" s="2">
        <v>66778015</v>
      </c>
      <c r="E227" s="2">
        <v>3</v>
      </c>
      <c r="F227" s="2" t="s">
        <v>10086</v>
      </c>
      <c r="H227" s="3">
        <v>8.0000000000000004E-4</v>
      </c>
      <c r="K227" s="2" t="s">
        <v>10087</v>
      </c>
    </row>
    <row r="228" spans="1:11" x14ac:dyDescent="0.2">
      <c r="A228" s="2">
        <v>56</v>
      </c>
      <c r="B228" s="2">
        <v>1</v>
      </c>
      <c r="C228" s="2">
        <v>65894185</v>
      </c>
      <c r="D228" s="2">
        <v>66778015</v>
      </c>
      <c r="E228" s="2">
        <v>4</v>
      </c>
      <c r="F228" s="2" t="s">
        <v>10086</v>
      </c>
      <c r="H228" s="3">
        <v>4.0000000000000002E-4</v>
      </c>
      <c r="K228" s="2" t="s">
        <v>10089</v>
      </c>
    </row>
    <row r="229" spans="1:11" x14ac:dyDescent="0.2">
      <c r="A229" s="2">
        <v>57</v>
      </c>
      <c r="B229" s="2">
        <v>1</v>
      </c>
      <c r="C229" s="2">
        <v>66778016</v>
      </c>
      <c r="D229" s="2">
        <v>67761890</v>
      </c>
      <c r="E229" s="2">
        <v>1</v>
      </c>
      <c r="F229" s="2" t="s">
        <v>10086</v>
      </c>
      <c r="H229" s="2">
        <v>2E-3</v>
      </c>
      <c r="K229" s="2" t="s">
        <v>10088</v>
      </c>
    </row>
    <row r="230" spans="1:11" x14ac:dyDescent="0.2">
      <c r="A230" s="2">
        <v>57</v>
      </c>
      <c r="B230" s="2">
        <v>1</v>
      </c>
      <c r="C230" s="2">
        <v>66778016</v>
      </c>
      <c r="D230" s="2">
        <v>67761890</v>
      </c>
      <c r="E230" s="2">
        <v>2</v>
      </c>
      <c r="F230" s="2" t="s">
        <v>10086</v>
      </c>
      <c r="H230" s="2">
        <v>1.5E-3</v>
      </c>
      <c r="K230" s="2" t="s">
        <v>12324</v>
      </c>
    </row>
    <row r="231" spans="1:11" x14ac:dyDescent="0.2">
      <c r="A231" s="2">
        <v>57</v>
      </c>
      <c r="B231" s="2">
        <v>1</v>
      </c>
      <c r="C231" s="2">
        <v>66778016</v>
      </c>
      <c r="D231" s="2">
        <v>67761890</v>
      </c>
      <c r="E231" s="2">
        <v>3</v>
      </c>
      <c r="F231" s="2" t="s">
        <v>10086</v>
      </c>
      <c r="H231" s="3">
        <v>6.9999999999999999E-4</v>
      </c>
      <c r="K231" s="2" t="s">
        <v>10089</v>
      </c>
    </row>
    <row r="232" spans="1:11" x14ac:dyDescent="0.2">
      <c r="A232" s="2">
        <v>57</v>
      </c>
      <c r="B232" s="2">
        <v>1</v>
      </c>
      <c r="C232" s="2">
        <v>66778016</v>
      </c>
      <c r="D232" s="2">
        <v>67761890</v>
      </c>
      <c r="E232" s="2">
        <v>4</v>
      </c>
      <c r="F232" s="2" t="s">
        <v>10086</v>
      </c>
      <c r="H232" s="3">
        <v>5.9999999999999995E-4</v>
      </c>
      <c r="K232" s="2" t="s">
        <v>10087</v>
      </c>
    </row>
    <row r="233" spans="1:11" x14ac:dyDescent="0.2">
      <c r="A233" s="2">
        <v>58</v>
      </c>
      <c r="B233" s="2">
        <v>1</v>
      </c>
      <c r="C233" s="2">
        <v>67761891</v>
      </c>
      <c r="D233" s="2">
        <v>68633860</v>
      </c>
      <c r="E233" s="2">
        <v>1</v>
      </c>
      <c r="F233" s="2" t="s">
        <v>10086</v>
      </c>
      <c r="H233" s="2">
        <v>1.8E-3</v>
      </c>
      <c r="K233" s="2" t="s">
        <v>10088</v>
      </c>
    </row>
    <row r="234" spans="1:11" x14ac:dyDescent="0.2">
      <c r="A234" s="2">
        <v>58</v>
      </c>
      <c r="B234" s="2">
        <v>1</v>
      </c>
      <c r="C234" s="2">
        <v>67761891</v>
      </c>
      <c r="D234" s="2">
        <v>68633860</v>
      </c>
      <c r="E234" s="2">
        <v>2</v>
      </c>
      <c r="F234" s="2" t="s">
        <v>10086</v>
      </c>
      <c r="H234" s="2">
        <v>1.8E-3</v>
      </c>
      <c r="K234" s="2" t="s">
        <v>10089</v>
      </c>
    </row>
    <row r="235" spans="1:11" x14ac:dyDescent="0.2">
      <c r="A235" s="2">
        <v>58</v>
      </c>
      <c r="B235" s="2">
        <v>1</v>
      </c>
      <c r="C235" s="2">
        <v>67761891</v>
      </c>
      <c r="D235" s="2">
        <v>68633860</v>
      </c>
      <c r="E235" s="2">
        <v>3</v>
      </c>
      <c r="F235" s="2" t="s">
        <v>10086</v>
      </c>
      <c r="H235" s="2">
        <v>1E-3</v>
      </c>
      <c r="K235" s="2" t="s">
        <v>10087</v>
      </c>
    </row>
    <row r="236" spans="1:11" x14ac:dyDescent="0.2">
      <c r="A236" s="2">
        <v>58</v>
      </c>
      <c r="B236" s="2">
        <v>1</v>
      </c>
      <c r="C236" s="2">
        <v>67761891</v>
      </c>
      <c r="D236" s="2">
        <v>68633860</v>
      </c>
      <c r="E236" s="2">
        <v>4</v>
      </c>
      <c r="F236" s="2" t="s">
        <v>10086</v>
      </c>
      <c r="H236" s="3">
        <v>2.9999999999999997E-4</v>
      </c>
      <c r="K236" s="2" t="s">
        <v>10085</v>
      </c>
    </row>
    <row r="237" spans="1:11" x14ac:dyDescent="0.2">
      <c r="A237" s="2">
        <v>59</v>
      </c>
      <c r="B237" s="2">
        <v>1</v>
      </c>
      <c r="C237" s="2">
        <v>68633861</v>
      </c>
      <c r="D237" s="2">
        <v>69438909</v>
      </c>
      <c r="E237" s="2">
        <v>1</v>
      </c>
      <c r="F237" s="2" t="s">
        <v>10086</v>
      </c>
      <c r="H237" s="2">
        <v>1.6000000000000001E-3</v>
      </c>
      <c r="K237" s="2" t="s">
        <v>10085</v>
      </c>
    </row>
    <row r="238" spans="1:11" x14ac:dyDescent="0.2">
      <c r="A238" s="2">
        <v>59</v>
      </c>
      <c r="B238" s="2">
        <v>1</v>
      </c>
      <c r="C238" s="2">
        <v>68633861</v>
      </c>
      <c r="D238" s="2">
        <v>69438909</v>
      </c>
      <c r="E238" s="2">
        <v>2</v>
      </c>
      <c r="F238" s="2" t="s">
        <v>10086</v>
      </c>
      <c r="H238" s="2">
        <v>1.5E-3</v>
      </c>
      <c r="K238" s="2" t="s">
        <v>10089</v>
      </c>
    </row>
    <row r="239" spans="1:11" x14ac:dyDescent="0.2">
      <c r="A239" s="2">
        <v>59</v>
      </c>
      <c r="B239" s="2">
        <v>1</v>
      </c>
      <c r="C239" s="2">
        <v>68633861</v>
      </c>
      <c r="D239" s="2">
        <v>69438909</v>
      </c>
      <c r="E239" s="2">
        <v>3</v>
      </c>
      <c r="F239" s="2" t="s">
        <v>10086</v>
      </c>
      <c r="H239" s="2">
        <v>1.8E-3</v>
      </c>
      <c r="K239" s="2" t="s">
        <v>10087</v>
      </c>
    </row>
    <row r="240" spans="1:11" x14ac:dyDescent="0.2">
      <c r="A240" s="2">
        <v>59</v>
      </c>
      <c r="B240" s="2">
        <v>1</v>
      </c>
      <c r="C240" s="2">
        <v>68633861</v>
      </c>
      <c r="D240" s="2">
        <v>69438909</v>
      </c>
      <c r="E240" s="2">
        <v>4</v>
      </c>
      <c r="F240" s="2" t="s">
        <v>10086</v>
      </c>
      <c r="H240" s="3">
        <v>2.9999999999999997E-4</v>
      </c>
      <c r="K240" s="2" t="s">
        <v>10088</v>
      </c>
    </row>
    <row r="241" spans="1:11" x14ac:dyDescent="0.2">
      <c r="A241" s="2">
        <v>60</v>
      </c>
      <c r="B241" s="2">
        <v>1</v>
      </c>
      <c r="C241" s="2">
        <v>69438910</v>
      </c>
      <c r="D241" s="2">
        <v>70992905</v>
      </c>
      <c r="E241" s="2">
        <v>1</v>
      </c>
      <c r="F241" s="2" t="s">
        <v>10086</v>
      </c>
      <c r="H241" s="2">
        <v>1E-3</v>
      </c>
      <c r="K241" s="2" t="s">
        <v>10087</v>
      </c>
    </row>
    <row r="242" spans="1:11" x14ac:dyDescent="0.2">
      <c r="A242" s="2">
        <v>60</v>
      </c>
      <c r="B242" s="2">
        <v>1</v>
      </c>
      <c r="C242" s="2">
        <v>69438910</v>
      </c>
      <c r="D242" s="2">
        <v>70992905</v>
      </c>
      <c r="E242" s="2">
        <v>2</v>
      </c>
      <c r="F242" s="2" t="s">
        <v>10086</v>
      </c>
      <c r="H242" s="2">
        <v>1.2999999999999999E-3</v>
      </c>
      <c r="K242" s="2" t="s">
        <v>10089</v>
      </c>
    </row>
    <row r="243" spans="1:11" x14ac:dyDescent="0.2">
      <c r="A243" s="2">
        <v>60</v>
      </c>
      <c r="B243" s="2">
        <v>1</v>
      </c>
      <c r="C243" s="2">
        <v>69438910</v>
      </c>
      <c r="D243" s="2">
        <v>70992905</v>
      </c>
      <c r="E243" s="2">
        <v>3</v>
      </c>
      <c r="F243" s="2" t="s">
        <v>10086</v>
      </c>
      <c r="H243" s="2">
        <v>1E-3</v>
      </c>
      <c r="K243" s="2" t="s">
        <v>10085</v>
      </c>
    </row>
    <row r="244" spans="1:11" x14ac:dyDescent="0.2">
      <c r="A244" s="2">
        <v>60</v>
      </c>
      <c r="B244" s="2">
        <v>1</v>
      </c>
      <c r="C244" s="2">
        <v>69438910</v>
      </c>
      <c r="D244" s="2">
        <v>70992905</v>
      </c>
      <c r="E244" s="2">
        <v>4</v>
      </c>
      <c r="F244" s="2" t="s">
        <v>10086</v>
      </c>
      <c r="H244" s="3">
        <v>6.9999999999999999E-4</v>
      </c>
      <c r="K244" s="2" t="s">
        <v>10088</v>
      </c>
    </row>
    <row r="245" spans="1:11" x14ac:dyDescent="0.2">
      <c r="A245" s="2">
        <v>61</v>
      </c>
      <c r="B245" s="2">
        <v>1</v>
      </c>
      <c r="C245" s="2">
        <v>70992906</v>
      </c>
      <c r="D245" s="2">
        <v>72513119</v>
      </c>
      <c r="E245" s="2">
        <v>1</v>
      </c>
      <c r="F245" s="2" t="s">
        <v>10086</v>
      </c>
      <c r="H245" s="2">
        <v>1.9E-3</v>
      </c>
      <c r="K245" s="2" t="s">
        <v>10085</v>
      </c>
    </row>
    <row r="246" spans="1:11" x14ac:dyDescent="0.2">
      <c r="A246" s="2">
        <v>61</v>
      </c>
      <c r="B246" s="2">
        <v>1</v>
      </c>
      <c r="C246" s="2">
        <v>70992906</v>
      </c>
      <c r="D246" s="2">
        <v>72513119</v>
      </c>
      <c r="E246" s="2">
        <v>2</v>
      </c>
      <c r="F246" s="2" t="s">
        <v>10086</v>
      </c>
      <c r="H246" s="2">
        <v>1.2999999999999999E-3</v>
      </c>
      <c r="K246" s="2" t="s">
        <v>10089</v>
      </c>
    </row>
    <row r="247" spans="1:11" x14ac:dyDescent="0.2">
      <c r="A247" s="2">
        <v>61</v>
      </c>
      <c r="B247" s="2">
        <v>1</v>
      </c>
      <c r="C247" s="2">
        <v>70992906</v>
      </c>
      <c r="D247" s="2">
        <v>72513119</v>
      </c>
      <c r="E247" s="2">
        <v>3</v>
      </c>
      <c r="F247" s="2" t="s">
        <v>10086</v>
      </c>
      <c r="H247" s="2">
        <v>1.2999999999999999E-3</v>
      </c>
      <c r="K247" s="2" t="s">
        <v>12324</v>
      </c>
    </row>
    <row r="248" spans="1:11" x14ac:dyDescent="0.2">
      <c r="A248" s="2">
        <v>61</v>
      </c>
      <c r="B248" s="2">
        <v>1</v>
      </c>
      <c r="C248" s="2">
        <v>70992906</v>
      </c>
      <c r="D248" s="2">
        <v>72513119</v>
      </c>
      <c r="E248" s="2">
        <v>4</v>
      </c>
      <c r="F248" s="2" t="s">
        <v>10086</v>
      </c>
      <c r="H248" s="3">
        <v>8.9999999999999998E-4</v>
      </c>
      <c r="K248" s="2" t="s">
        <v>10088</v>
      </c>
    </row>
    <row r="249" spans="1:11" x14ac:dyDescent="0.2">
      <c r="A249" s="2">
        <v>62</v>
      </c>
      <c r="B249" s="2">
        <v>1</v>
      </c>
      <c r="C249" s="2">
        <v>72513120</v>
      </c>
      <c r="D249" s="2">
        <v>73992170</v>
      </c>
      <c r="E249" s="2">
        <v>1</v>
      </c>
      <c r="F249" s="2" t="s">
        <v>10086</v>
      </c>
      <c r="H249" s="2">
        <v>1.1999999999999999E-3</v>
      </c>
      <c r="K249" s="2" t="s">
        <v>10085</v>
      </c>
    </row>
    <row r="250" spans="1:11" x14ac:dyDescent="0.2">
      <c r="A250" s="2">
        <v>62</v>
      </c>
      <c r="B250" s="2">
        <v>1</v>
      </c>
      <c r="C250" s="2">
        <v>72513120</v>
      </c>
      <c r="D250" s="2">
        <v>73992170</v>
      </c>
      <c r="E250" s="2">
        <v>2</v>
      </c>
      <c r="F250" s="2" t="s">
        <v>10086</v>
      </c>
      <c r="H250" s="2">
        <v>1.1000000000000001E-3</v>
      </c>
      <c r="K250" s="2" t="s">
        <v>10088</v>
      </c>
    </row>
    <row r="251" spans="1:11" x14ac:dyDescent="0.2">
      <c r="A251" s="2">
        <v>62</v>
      </c>
      <c r="B251" s="2">
        <v>1</v>
      </c>
      <c r="C251" s="2">
        <v>72513120</v>
      </c>
      <c r="D251" s="2">
        <v>73992170</v>
      </c>
      <c r="E251" s="2">
        <v>3</v>
      </c>
      <c r="F251" s="2" t="s">
        <v>10086</v>
      </c>
      <c r="H251" s="2">
        <v>1.1000000000000001E-3</v>
      </c>
      <c r="K251" s="2" t="s">
        <v>10087</v>
      </c>
    </row>
    <row r="252" spans="1:11" x14ac:dyDescent="0.2">
      <c r="A252" s="2">
        <v>62</v>
      </c>
      <c r="B252" s="2">
        <v>1</v>
      </c>
      <c r="C252" s="2">
        <v>72513120</v>
      </c>
      <c r="D252" s="2">
        <v>73992170</v>
      </c>
      <c r="E252" s="2">
        <v>4</v>
      </c>
      <c r="F252" s="2" t="s">
        <v>10086</v>
      </c>
      <c r="H252" s="3">
        <v>6.9999999999999999E-4</v>
      </c>
      <c r="K252" s="2" t="s">
        <v>10089</v>
      </c>
    </row>
    <row r="253" spans="1:11" x14ac:dyDescent="0.2">
      <c r="A253" s="2">
        <v>63</v>
      </c>
      <c r="B253" s="2">
        <v>1</v>
      </c>
      <c r="C253" s="2">
        <v>73992171</v>
      </c>
      <c r="D253" s="2">
        <v>75132092</v>
      </c>
      <c r="E253" s="2">
        <v>1</v>
      </c>
      <c r="F253" s="2" t="s">
        <v>10086</v>
      </c>
      <c r="H253" s="2">
        <v>1.1999999999999999E-3</v>
      </c>
      <c r="K253" s="2" t="s">
        <v>10088</v>
      </c>
    </row>
    <row r="254" spans="1:11" x14ac:dyDescent="0.2">
      <c r="A254" s="2">
        <v>63</v>
      </c>
      <c r="B254" s="2">
        <v>1</v>
      </c>
      <c r="C254" s="2">
        <v>73992171</v>
      </c>
      <c r="D254" s="2">
        <v>75132092</v>
      </c>
      <c r="E254" s="2">
        <v>2</v>
      </c>
      <c r="F254" s="2" t="s">
        <v>10086</v>
      </c>
      <c r="H254" s="3">
        <v>8.9999999999999998E-4</v>
      </c>
      <c r="K254" s="2" t="s">
        <v>10085</v>
      </c>
    </row>
    <row r="255" spans="1:11" x14ac:dyDescent="0.2">
      <c r="A255" s="2">
        <v>63</v>
      </c>
      <c r="B255" s="2">
        <v>1</v>
      </c>
      <c r="C255" s="2">
        <v>73992171</v>
      </c>
      <c r="D255" s="2">
        <v>75132092</v>
      </c>
      <c r="E255" s="2">
        <v>3</v>
      </c>
      <c r="F255" s="2" t="s">
        <v>10086</v>
      </c>
      <c r="H255" s="3">
        <v>8.0000000000000004E-4</v>
      </c>
      <c r="K255" s="2" t="s">
        <v>10089</v>
      </c>
    </row>
    <row r="256" spans="1:11" x14ac:dyDescent="0.2">
      <c r="A256" s="2">
        <v>63</v>
      </c>
      <c r="B256" s="2">
        <v>1</v>
      </c>
      <c r="C256" s="2">
        <v>73992171</v>
      </c>
      <c r="D256" s="2">
        <v>75132092</v>
      </c>
      <c r="E256" s="2">
        <v>4</v>
      </c>
      <c r="F256" s="2" t="s">
        <v>10086</v>
      </c>
      <c r="H256" s="3">
        <v>5.0000000000000001E-4</v>
      </c>
      <c r="K256" s="2" t="s">
        <v>10087</v>
      </c>
    </row>
    <row r="257" spans="1:11" x14ac:dyDescent="0.2">
      <c r="A257" s="2">
        <v>64</v>
      </c>
      <c r="B257" s="2">
        <v>1</v>
      </c>
      <c r="C257" s="2">
        <v>75132093</v>
      </c>
      <c r="D257" s="2">
        <v>76097247</v>
      </c>
      <c r="E257" s="2">
        <v>1</v>
      </c>
      <c r="F257" s="2" t="s">
        <v>10086</v>
      </c>
      <c r="H257" s="2">
        <v>1.4E-3</v>
      </c>
      <c r="K257" s="2" t="s">
        <v>10085</v>
      </c>
    </row>
    <row r="258" spans="1:11" x14ac:dyDescent="0.2">
      <c r="A258" s="2">
        <v>64</v>
      </c>
      <c r="B258" s="2">
        <v>1</v>
      </c>
      <c r="C258" s="2">
        <v>75132093</v>
      </c>
      <c r="D258" s="2">
        <v>76097247</v>
      </c>
      <c r="E258" s="2">
        <v>2</v>
      </c>
      <c r="F258" s="2" t="s">
        <v>10086</v>
      </c>
      <c r="H258" s="2">
        <v>1.6000000000000001E-3</v>
      </c>
      <c r="K258" s="2" t="s">
        <v>10088</v>
      </c>
    </row>
    <row r="259" spans="1:11" x14ac:dyDescent="0.2">
      <c r="A259" s="2">
        <v>64</v>
      </c>
      <c r="B259" s="2">
        <v>1</v>
      </c>
      <c r="C259" s="2">
        <v>75132093</v>
      </c>
      <c r="D259" s="2">
        <v>76097247</v>
      </c>
      <c r="E259" s="2">
        <v>3</v>
      </c>
      <c r="F259" s="2" t="s">
        <v>10086</v>
      </c>
      <c r="H259" s="3">
        <v>8.9999999999999998E-4</v>
      </c>
      <c r="K259" s="2" t="s">
        <v>10087</v>
      </c>
    </row>
    <row r="260" spans="1:11" x14ac:dyDescent="0.2">
      <c r="A260" s="2">
        <v>64</v>
      </c>
      <c r="B260" s="2">
        <v>1</v>
      </c>
      <c r="C260" s="2">
        <v>75132093</v>
      </c>
      <c r="D260" s="2">
        <v>76097247</v>
      </c>
      <c r="E260" s="2">
        <v>4</v>
      </c>
      <c r="F260" s="2" t="s">
        <v>10086</v>
      </c>
      <c r="H260" s="3">
        <v>5.0000000000000001E-4</v>
      </c>
      <c r="K260" s="2" t="s">
        <v>10089</v>
      </c>
    </row>
    <row r="261" spans="1:11" x14ac:dyDescent="0.2">
      <c r="A261" s="2">
        <v>65</v>
      </c>
      <c r="B261" s="2">
        <v>1</v>
      </c>
      <c r="C261" s="2">
        <v>76097248</v>
      </c>
      <c r="D261" s="2">
        <v>76977915</v>
      </c>
      <c r="E261" s="2">
        <v>1</v>
      </c>
      <c r="F261" s="2" t="s">
        <v>10086</v>
      </c>
      <c r="H261" s="2">
        <v>6.1999999999999998E-3</v>
      </c>
      <c r="K261" s="2" t="s">
        <v>10087</v>
      </c>
    </row>
    <row r="262" spans="1:11" x14ac:dyDescent="0.2">
      <c r="A262" s="2">
        <v>65</v>
      </c>
      <c r="B262" s="2">
        <v>1</v>
      </c>
      <c r="C262" s="2">
        <v>76097248</v>
      </c>
      <c r="D262" s="2">
        <v>76977915</v>
      </c>
      <c r="E262" s="2">
        <v>2</v>
      </c>
      <c r="F262" s="2" t="s">
        <v>10086</v>
      </c>
      <c r="H262" s="3">
        <v>8.9999999999999998E-4</v>
      </c>
      <c r="K262" s="2" t="s">
        <v>10085</v>
      </c>
    </row>
    <row r="263" spans="1:11" x14ac:dyDescent="0.2">
      <c r="A263" s="2">
        <v>65</v>
      </c>
      <c r="B263" s="2">
        <v>1</v>
      </c>
      <c r="C263" s="2">
        <v>76097248</v>
      </c>
      <c r="D263" s="2">
        <v>76977915</v>
      </c>
      <c r="E263" s="2">
        <v>3</v>
      </c>
      <c r="F263" s="2" t="s">
        <v>10086</v>
      </c>
      <c r="H263" s="3">
        <v>8.0000000000000004E-4</v>
      </c>
      <c r="K263" s="2" t="s">
        <v>10088</v>
      </c>
    </row>
    <row r="264" spans="1:11" x14ac:dyDescent="0.2">
      <c r="A264" s="2">
        <v>65</v>
      </c>
      <c r="B264" s="2">
        <v>1</v>
      </c>
      <c r="C264" s="2">
        <v>76097248</v>
      </c>
      <c r="D264" s="2">
        <v>76977915</v>
      </c>
      <c r="E264" s="2">
        <v>4</v>
      </c>
      <c r="F264" s="2" t="s">
        <v>10086</v>
      </c>
      <c r="H264" s="3">
        <v>4.0000000000000002E-4</v>
      </c>
      <c r="K264" s="2" t="s">
        <v>10089</v>
      </c>
    </row>
    <row r="265" spans="1:11" x14ac:dyDescent="0.2">
      <c r="A265" s="2">
        <v>66</v>
      </c>
      <c r="B265" s="2">
        <v>1</v>
      </c>
      <c r="C265" s="2">
        <v>76977916</v>
      </c>
      <c r="D265" s="2">
        <v>77895394</v>
      </c>
      <c r="E265" s="2">
        <v>1</v>
      </c>
      <c r="F265" s="2" t="s">
        <v>10086</v>
      </c>
      <c r="H265" s="2">
        <v>1.2999999999999999E-3</v>
      </c>
      <c r="K265" s="2" t="s">
        <v>10088</v>
      </c>
    </row>
    <row r="266" spans="1:11" x14ac:dyDescent="0.2">
      <c r="A266" s="2">
        <v>66</v>
      </c>
      <c r="B266" s="2">
        <v>1</v>
      </c>
      <c r="C266" s="2">
        <v>76977916</v>
      </c>
      <c r="D266" s="2">
        <v>77895394</v>
      </c>
      <c r="E266" s="2">
        <v>2</v>
      </c>
      <c r="F266" s="2" t="s">
        <v>10086</v>
      </c>
      <c r="H266" s="2">
        <v>1.1000000000000001E-3</v>
      </c>
      <c r="K266" s="2" t="s">
        <v>10087</v>
      </c>
    </row>
    <row r="267" spans="1:11" x14ac:dyDescent="0.2">
      <c r="A267" s="2">
        <v>66</v>
      </c>
      <c r="B267" s="2">
        <v>1</v>
      </c>
      <c r="C267" s="2">
        <v>76977916</v>
      </c>
      <c r="D267" s="2">
        <v>77895394</v>
      </c>
      <c r="E267" s="2">
        <v>3</v>
      </c>
      <c r="F267" s="2" t="s">
        <v>10086</v>
      </c>
      <c r="H267" s="3">
        <v>8.0000000000000004E-4</v>
      </c>
      <c r="K267" s="2" t="s">
        <v>10085</v>
      </c>
    </row>
    <row r="268" spans="1:11" x14ac:dyDescent="0.2">
      <c r="A268" s="2">
        <v>66</v>
      </c>
      <c r="B268" s="2">
        <v>1</v>
      </c>
      <c r="C268" s="2">
        <v>76977916</v>
      </c>
      <c r="D268" s="2">
        <v>77895394</v>
      </c>
      <c r="E268" s="2">
        <v>4</v>
      </c>
      <c r="F268" s="2" t="s">
        <v>10086</v>
      </c>
      <c r="H268" s="3">
        <v>4.0000000000000002E-4</v>
      </c>
      <c r="K268" s="2" t="s">
        <v>10089</v>
      </c>
    </row>
    <row r="269" spans="1:11" x14ac:dyDescent="0.2">
      <c r="A269" s="2">
        <v>67</v>
      </c>
      <c r="B269" s="2">
        <v>1</v>
      </c>
      <c r="C269" s="2">
        <v>77895395</v>
      </c>
      <c r="D269" s="2">
        <v>79065286</v>
      </c>
      <c r="E269" s="2">
        <v>1</v>
      </c>
      <c r="F269" s="2" t="s">
        <v>10086</v>
      </c>
      <c r="H269" s="2">
        <v>2.5999999999999999E-3</v>
      </c>
      <c r="K269" s="2" t="s">
        <v>10089</v>
      </c>
    </row>
    <row r="270" spans="1:11" x14ac:dyDescent="0.2">
      <c r="A270" s="2">
        <v>67</v>
      </c>
      <c r="B270" s="2">
        <v>1</v>
      </c>
      <c r="C270" s="2">
        <v>77895395</v>
      </c>
      <c r="D270" s="2">
        <v>79065286</v>
      </c>
      <c r="E270" s="2">
        <v>2</v>
      </c>
      <c r="F270" s="2" t="s">
        <v>10086</v>
      </c>
      <c r="H270" s="2">
        <v>1.6999999999999999E-3</v>
      </c>
      <c r="K270" s="2" t="s">
        <v>10087</v>
      </c>
    </row>
    <row r="271" spans="1:11" x14ac:dyDescent="0.2">
      <c r="A271" s="2">
        <v>67</v>
      </c>
      <c r="B271" s="2">
        <v>1</v>
      </c>
      <c r="C271" s="2">
        <v>77895395</v>
      </c>
      <c r="D271" s="2">
        <v>79065286</v>
      </c>
      <c r="E271" s="2">
        <v>3</v>
      </c>
      <c r="F271" s="2" t="s">
        <v>10086</v>
      </c>
      <c r="H271" s="2">
        <v>1E-3</v>
      </c>
      <c r="K271" s="2" t="s">
        <v>10085</v>
      </c>
    </row>
    <row r="272" spans="1:11" x14ac:dyDescent="0.2">
      <c r="A272" s="2">
        <v>67</v>
      </c>
      <c r="B272" s="2">
        <v>1</v>
      </c>
      <c r="C272" s="2">
        <v>77895395</v>
      </c>
      <c r="D272" s="2">
        <v>79065286</v>
      </c>
      <c r="E272" s="2">
        <v>4</v>
      </c>
      <c r="F272" s="2" t="s">
        <v>10086</v>
      </c>
      <c r="H272" s="3">
        <v>4.0000000000000002E-4</v>
      </c>
      <c r="K272" s="2" t="s">
        <v>10088</v>
      </c>
    </row>
    <row r="273" spans="1:11" x14ac:dyDescent="0.2">
      <c r="A273" s="2">
        <v>68</v>
      </c>
      <c r="B273" s="2">
        <v>1</v>
      </c>
      <c r="C273" s="2">
        <v>79065287</v>
      </c>
      <c r="D273" s="2">
        <v>80099353</v>
      </c>
      <c r="E273" s="2">
        <v>1</v>
      </c>
      <c r="F273" s="2" t="s">
        <v>10086</v>
      </c>
      <c r="H273" s="2">
        <v>1.1000000000000001E-3</v>
      </c>
      <c r="K273" s="2" t="s">
        <v>10088</v>
      </c>
    </row>
    <row r="274" spans="1:11" x14ac:dyDescent="0.2">
      <c r="A274" s="2">
        <v>68</v>
      </c>
      <c r="B274" s="2">
        <v>1</v>
      </c>
      <c r="C274" s="2">
        <v>79065287</v>
      </c>
      <c r="D274" s="2">
        <v>80099353</v>
      </c>
      <c r="E274" s="2">
        <v>2</v>
      </c>
      <c r="F274" s="2" t="s">
        <v>10086</v>
      </c>
      <c r="H274" s="2">
        <v>1.1000000000000001E-3</v>
      </c>
      <c r="K274" s="2" t="s">
        <v>10089</v>
      </c>
    </row>
    <row r="275" spans="1:11" x14ac:dyDescent="0.2">
      <c r="A275" s="2">
        <v>68</v>
      </c>
      <c r="B275" s="2">
        <v>1</v>
      </c>
      <c r="C275" s="2">
        <v>79065287</v>
      </c>
      <c r="D275" s="2">
        <v>80099353</v>
      </c>
      <c r="E275" s="2">
        <v>3</v>
      </c>
      <c r="F275" s="2" t="s">
        <v>10086</v>
      </c>
      <c r="H275" s="2">
        <v>1.1000000000000001E-3</v>
      </c>
      <c r="K275" s="2" t="s">
        <v>10085</v>
      </c>
    </row>
    <row r="276" spans="1:11" x14ac:dyDescent="0.2">
      <c r="A276" s="2">
        <v>68</v>
      </c>
      <c r="B276" s="2">
        <v>1</v>
      </c>
      <c r="C276" s="2">
        <v>79065287</v>
      </c>
      <c r="D276" s="2">
        <v>80099353</v>
      </c>
      <c r="E276" s="2">
        <v>4</v>
      </c>
      <c r="F276" s="2" t="s">
        <v>10086</v>
      </c>
      <c r="H276" s="3">
        <v>8.9999999999999998E-4</v>
      </c>
      <c r="K276" s="2" t="s">
        <v>10087</v>
      </c>
    </row>
    <row r="277" spans="1:11" x14ac:dyDescent="0.2">
      <c r="A277" s="2">
        <v>69</v>
      </c>
      <c r="B277" s="2">
        <v>1</v>
      </c>
      <c r="C277" s="2">
        <v>80099354</v>
      </c>
      <c r="D277" s="2">
        <v>80781442</v>
      </c>
      <c r="E277" s="2">
        <v>1</v>
      </c>
      <c r="F277" s="2" t="s">
        <v>10086</v>
      </c>
      <c r="H277" s="2">
        <v>5.7000000000000002E-3</v>
      </c>
      <c r="K277" s="2" t="s">
        <v>10089</v>
      </c>
    </row>
    <row r="278" spans="1:11" x14ac:dyDescent="0.2">
      <c r="A278" s="2">
        <v>69</v>
      </c>
      <c r="B278" s="2">
        <v>1</v>
      </c>
      <c r="C278" s="2">
        <v>80099354</v>
      </c>
      <c r="D278" s="2">
        <v>80781442</v>
      </c>
      <c r="E278" s="2">
        <v>2</v>
      </c>
      <c r="F278" s="2" t="s">
        <v>10086</v>
      </c>
      <c r="H278" s="2">
        <v>1.1999999999999999E-3</v>
      </c>
      <c r="K278" s="2" t="s">
        <v>10088</v>
      </c>
    </row>
    <row r="279" spans="1:11" x14ac:dyDescent="0.2">
      <c r="A279" s="2">
        <v>69</v>
      </c>
      <c r="B279" s="2">
        <v>1</v>
      </c>
      <c r="C279" s="2">
        <v>80099354</v>
      </c>
      <c r="D279" s="2">
        <v>80781442</v>
      </c>
      <c r="E279" s="2">
        <v>3</v>
      </c>
      <c r="F279" s="2" t="s">
        <v>10086</v>
      </c>
      <c r="H279" s="2">
        <v>1.2999999999999999E-3</v>
      </c>
      <c r="K279" s="2" t="s">
        <v>10085</v>
      </c>
    </row>
    <row r="280" spans="1:11" x14ac:dyDescent="0.2">
      <c r="A280" s="2">
        <v>69</v>
      </c>
      <c r="B280" s="2">
        <v>1</v>
      </c>
      <c r="C280" s="2">
        <v>80099354</v>
      </c>
      <c r="D280" s="2">
        <v>80781442</v>
      </c>
      <c r="E280" s="2">
        <v>4</v>
      </c>
      <c r="F280" s="2" t="s">
        <v>10086</v>
      </c>
      <c r="H280" s="2">
        <v>1.1999999999999999E-3</v>
      </c>
      <c r="K280" s="2" t="s">
        <v>12324</v>
      </c>
    </row>
    <row r="281" spans="1:11" x14ac:dyDescent="0.2">
      <c r="A281" s="2">
        <v>70</v>
      </c>
      <c r="B281" s="2">
        <v>1</v>
      </c>
      <c r="C281" s="2">
        <v>80781443</v>
      </c>
      <c r="D281" s="2">
        <v>82123368</v>
      </c>
      <c r="E281" s="2">
        <v>1</v>
      </c>
      <c r="F281" s="2" t="s">
        <v>10086</v>
      </c>
      <c r="H281" s="2">
        <v>4.4000000000000003E-3</v>
      </c>
      <c r="K281" s="2" t="s">
        <v>10089</v>
      </c>
    </row>
    <row r="282" spans="1:11" x14ac:dyDescent="0.2">
      <c r="A282" s="2">
        <v>70</v>
      </c>
      <c r="B282" s="2">
        <v>1</v>
      </c>
      <c r="C282" s="2">
        <v>80781443</v>
      </c>
      <c r="D282" s="2">
        <v>82123368</v>
      </c>
      <c r="E282" s="2">
        <v>2</v>
      </c>
      <c r="F282" s="2" t="s">
        <v>10086</v>
      </c>
      <c r="H282" s="2">
        <v>1.9E-3</v>
      </c>
      <c r="K282" s="2" t="s">
        <v>10085</v>
      </c>
    </row>
    <row r="283" spans="1:11" x14ac:dyDescent="0.2">
      <c r="A283" s="2">
        <v>70</v>
      </c>
      <c r="B283" s="2">
        <v>1</v>
      </c>
      <c r="C283" s="2">
        <v>80781443</v>
      </c>
      <c r="D283" s="2">
        <v>82123368</v>
      </c>
      <c r="E283" s="2">
        <v>3</v>
      </c>
      <c r="F283" s="2" t="s">
        <v>10086</v>
      </c>
      <c r="H283" s="2">
        <v>1.6999999999999999E-3</v>
      </c>
      <c r="K283" s="2" t="s">
        <v>10088</v>
      </c>
    </row>
    <row r="284" spans="1:11" x14ac:dyDescent="0.2">
      <c r="A284" s="2">
        <v>70</v>
      </c>
      <c r="B284" s="2">
        <v>1</v>
      </c>
      <c r="C284" s="2">
        <v>80781443</v>
      </c>
      <c r="D284" s="2">
        <v>82123368</v>
      </c>
      <c r="E284" s="2">
        <v>4</v>
      </c>
      <c r="F284" s="2" t="s">
        <v>10086</v>
      </c>
      <c r="H284" s="3">
        <v>6.9999999999999999E-4</v>
      </c>
      <c r="K284" s="2" t="s">
        <v>10087</v>
      </c>
    </row>
    <row r="285" spans="1:11" x14ac:dyDescent="0.2">
      <c r="A285" s="2">
        <v>71</v>
      </c>
      <c r="B285" s="2">
        <v>1</v>
      </c>
      <c r="C285" s="2">
        <v>82123369</v>
      </c>
      <c r="D285" s="2">
        <v>83461215</v>
      </c>
      <c r="E285" s="2">
        <v>1</v>
      </c>
      <c r="F285" s="2" t="s">
        <v>10086</v>
      </c>
      <c r="H285" s="2">
        <v>2E-3</v>
      </c>
      <c r="K285" s="2" t="s">
        <v>10089</v>
      </c>
    </row>
    <row r="286" spans="1:11" x14ac:dyDescent="0.2">
      <c r="A286" s="2">
        <v>71</v>
      </c>
      <c r="B286" s="2">
        <v>1</v>
      </c>
      <c r="C286" s="2">
        <v>82123369</v>
      </c>
      <c r="D286" s="2">
        <v>83461215</v>
      </c>
      <c r="E286" s="2">
        <v>2</v>
      </c>
      <c r="F286" s="2" t="s">
        <v>10086</v>
      </c>
      <c r="H286" s="2">
        <v>1.2999999999999999E-3</v>
      </c>
      <c r="K286" s="2" t="s">
        <v>10088</v>
      </c>
    </row>
    <row r="287" spans="1:11" x14ac:dyDescent="0.2">
      <c r="A287" s="2">
        <v>71</v>
      </c>
      <c r="B287" s="2">
        <v>1</v>
      </c>
      <c r="C287" s="2">
        <v>82123369</v>
      </c>
      <c r="D287" s="2">
        <v>83461215</v>
      </c>
      <c r="E287" s="2">
        <v>3</v>
      </c>
      <c r="F287" s="2" t="s">
        <v>10086</v>
      </c>
      <c r="H287" s="2">
        <v>1E-3</v>
      </c>
      <c r="K287" s="2" t="s">
        <v>10085</v>
      </c>
    </row>
    <row r="288" spans="1:11" x14ac:dyDescent="0.2">
      <c r="A288" s="2">
        <v>71</v>
      </c>
      <c r="B288" s="2">
        <v>1</v>
      </c>
      <c r="C288" s="2">
        <v>82123369</v>
      </c>
      <c r="D288" s="2">
        <v>83461215</v>
      </c>
      <c r="E288" s="2">
        <v>4</v>
      </c>
      <c r="F288" s="2" t="s">
        <v>10086</v>
      </c>
      <c r="H288" s="3">
        <v>5.0000000000000001E-4</v>
      </c>
      <c r="K288" s="2" t="s">
        <v>10087</v>
      </c>
    </row>
    <row r="289" spans="1:11" x14ac:dyDescent="0.2">
      <c r="A289" s="2">
        <v>72</v>
      </c>
      <c r="B289" s="2">
        <v>1</v>
      </c>
      <c r="C289" s="2">
        <v>83461216</v>
      </c>
      <c r="D289" s="2">
        <v>84728347</v>
      </c>
      <c r="E289" s="2">
        <v>1</v>
      </c>
      <c r="F289" s="2" t="s">
        <v>10086</v>
      </c>
      <c r="H289" s="2">
        <v>1.4E-3</v>
      </c>
      <c r="K289" s="2" t="s">
        <v>10089</v>
      </c>
    </row>
    <row r="290" spans="1:11" x14ac:dyDescent="0.2">
      <c r="A290" s="2">
        <v>72</v>
      </c>
      <c r="B290" s="2">
        <v>1</v>
      </c>
      <c r="C290" s="2">
        <v>83461216</v>
      </c>
      <c r="D290" s="2">
        <v>84728347</v>
      </c>
      <c r="E290" s="2">
        <v>2</v>
      </c>
      <c r="F290" s="2" t="s">
        <v>10086</v>
      </c>
      <c r="H290" s="2">
        <v>1.1000000000000001E-3</v>
      </c>
      <c r="K290" s="2" t="s">
        <v>10087</v>
      </c>
    </row>
    <row r="291" spans="1:11" x14ac:dyDescent="0.2">
      <c r="A291" s="2">
        <v>72</v>
      </c>
      <c r="B291" s="2">
        <v>1</v>
      </c>
      <c r="C291" s="2">
        <v>83461216</v>
      </c>
      <c r="D291" s="2">
        <v>84728347</v>
      </c>
      <c r="E291" s="2">
        <v>3</v>
      </c>
      <c r="F291" s="2" t="s">
        <v>10086</v>
      </c>
      <c r="H291" s="3">
        <v>6.9999999999999999E-4</v>
      </c>
      <c r="K291" s="2" t="s">
        <v>10088</v>
      </c>
    </row>
    <row r="292" spans="1:11" x14ac:dyDescent="0.2">
      <c r="A292" s="2">
        <v>72</v>
      </c>
      <c r="B292" s="2">
        <v>1</v>
      </c>
      <c r="C292" s="2">
        <v>83461216</v>
      </c>
      <c r="D292" s="2">
        <v>84728347</v>
      </c>
      <c r="E292" s="2">
        <v>4</v>
      </c>
      <c r="F292" s="2" t="s">
        <v>10086</v>
      </c>
      <c r="H292" s="3">
        <v>2.9999999999999997E-4</v>
      </c>
      <c r="K292" s="2" t="s">
        <v>10085</v>
      </c>
    </row>
    <row r="293" spans="1:11" x14ac:dyDescent="0.2">
      <c r="A293" s="2">
        <v>73</v>
      </c>
      <c r="B293" s="2">
        <v>1</v>
      </c>
      <c r="C293" s="2">
        <v>84728348</v>
      </c>
      <c r="D293" s="2">
        <v>86017267</v>
      </c>
      <c r="E293" s="2">
        <v>1</v>
      </c>
      <c r="F293" s="2" t="s">
        <v>10086</v>
      </c>
      <c r="H293" s="2">
        <v>1.5E-3</v>
      </c>
      <c r="K293" s="2" t="s">
        <v>10085</v>
      </c>
    </row>
    <row r="294" spans="1:11" x14ac:dyDescent="0.2">
      <c r="A294" s="2">
        <v>73</v>
      </c>
      <c r="B294" s="2">
        <v>1</v>
      </c>
      <c r="C294" s="2">
        <v>84728348</v>
      </c>
      <c r="D294" s="2">
        <v>86017267</v>
      </c>
      <c r="E294" s="2">
        <v>2</v>
      </c>
      <c r="F294" s="2" t="s">
        <v>10086</v>
      </c>
      <c r="H294" s="2">
        <v>1.5E-3</v>
      </c>
      <c r="K294" s="2" t="s">
        <v>10088</v>
      </c>
    </row>
    <row r="295" spans="1:11" x14ac:dyDescent="0.2">
      <c r="A295" s="2">
        <v>73</v>
      </c>
      <c r="B295" s="2">
        <v>1</v>
      </c>
      <c r="C295" s="2">
        <v>84728348</v>
      </c>
      <c r="D295" s="2">
        <v>86017267</v>
      </c>
      <c r="E295" s="2">
        <v>3</v>
      </c>
      <c r="F295" s="2" t="s">
        <v>10086</v>
      </c>
      <c r="H295" s="2">
        <v>1.1000000000000001E-3</v>
      </c>
      <c r="K295" s="2" t="s">
        <v>10087</v>
      </c>
    </row>
    <row r="296" spans="1:11" x14ac:dyDescent="0.2">
      <c r="A296" s="2">
        <v>73</v>
      </c>
      <c r="B296" s="2">
        <v>1</v>
      </c>
      <c r="C296" s="2">
        <v>84728348</v>
      </c>
      <c r="D296" s="2">
        <v>86017267</v>
      </c>
      <c r="E296" s="2">
        <v>4</v>
      </c>
      <c r="F296" s="2" t="s">
        <v>10086</v>
      </c>
      <c r="H296" s="3">
        <v>8.0000000000000004E-4</v>
      </c>
      <c r="K296" s="2" t="s">
        <v>10089</v>
      </c>
    </row>
    <row r="297" spans="1:11" x14ac:dyDescent="0.2">
      <c r="A297" s="2">
        <v>74</v>
      </c>
      <c r="B297" s="2">
        <v>1</v>
      </c>
      <c r="C297" s="2">
        <v>86017268</v>
      </c>
      <c r="D297" s="2">
        <v>86761554</v>
      </c>
      <c r="E297" s="2">
        <v>1</v>
      </c>
      <c r="F297" s="2" t="s">
        <v>10086</v>
      </c>
      <c r="H297" s="3">
        <v>5.9999999999999995E-4</v>
      </c>
      <c r="K297" s="2" t="s">
        <v>10088</v>
      </c>
    </row>
    <row r="298" spans="1:11" x14ac:dyDescent="0.2">
      <c r="A298" s="2">
        <v>74</v>
      </c>
      <c r="B298" s="2">
        <v>1</v>
      </c>
      <c r="C298" s="2">
        <v>86017268</v>
      </c>
      <c r="D298" s="2">
        <v>86761554</v>
      </c>
      <c r="E298" s="2">
        <v>2</v>
      </c>
      <c r="F298" s="2" t="s">
        <v>10086</v>
      </c>
      <c r="H298" s="2">
        <v>1.4E-3</v>
      </c>
      <c r="K298" s="2" t="s">
        <v>10087</v>
      </c>
    </row>
    <row r="299" spans="1:11" x14ac:dyDescent="0.2">
      <c r="A299" s="2">
        <v>74</v>
      </c>
      <c r="B299" s="2">
        <v>1</v>
      </c>
      <c r="C299" s="2">
        <v>86017268</v>
      </c>
      <c r="D299" s="2">
        <v>86761554</v>
      </c>
      <c r="E299" s="2">
        <v>3</v>
      </c>
      <c r="F299" s="2" t="s">
        <v>10086</v>
      </c>
      <c r="H299" s="3">
        <v>5.0000000000000001E-4</v>
      </c>
      <c r="K299" s="2" t="s">
        <v>10089</v>
      </c>
    </row>
    <row r="300" spans="1:11" x14ac:dyDescent="0.2">
      <c r="A300" s="2">
        <v>74</v>
      </c>
      <c r="B300" s="2">
        <v>1</v>
      </c>
      <c r="C300" s="2">
        <v>86017268</v>
      </c>
      <c r="D300" s="2">
        <v>86761554</v>
      </c>
      <c r="E300" s="2">
        <v>4</v>
      </c>
      <c r="F300" s="2" t="s">
        <v>10086</v>
      </c>
      <c r="H300" s="3">
        <v>2.9999999999999997E-4</v>
      </c>
      <c r="K300" s="2" t="s">
        <v>10085</v>
      </c>
    </row>
    <row r="301" spans="1:11" x14ac:dyDescent="0.2">
      <c r="A301" s="2">
        <v>75</v>
      </c>
      <c r="B301" s="2">
        <v>1</v>
      </c>
      <c r="C301" s="2">
        <v>86761555</v>
      </c>
      <c r="D301" s="2">
        <v>87667572</v>
      </c>
      <c r="E301" s="2">
        <v>1</v>
      </c>
      <c r="F301" s="2" t="s">
        <v>10086</v>
      </c>
      <c r="H301" s="2">
        <v>5.3E-3</v>
      </c>
      <c r="K301" s="2" t="s">
        <v>10085</v>
      </c>
    </row>
    <row r="302" spans="1:11" x14ac:dyDescent="0.2">
      <c r="A302" s="2">
        <v>75</v>
      </c>
      <c r="B302" s="2">
        <v>1</v>
      </c>
      <c r="C302" s="2">
        <v>86761555</v>
      </c>
      <c r="D302" s="2">
        <v>87667572</v>
      </c>
      <c r="E302" s="2">
        <v>2</v>
      </c>
      <c r="F302" s="2" t="s">
        <v>10086</v>
      </c>
      <c r="H302" s="3">
        <v>8.0000000000000004E-4</v>
      </c>
      <c r="K302" s="2" t="s">
        <v>10088</v>
      </c>
    </row>
    <row r="303" spans="1:11" x14ac:dyDescent="0.2">
      <c r="A303" s="2">
        <v>75</v>
      </c>
      <c r="B303" s="2">
        <v>1</v>
      </c>
      <c r="C303" s="2">
        <v>86761555</v>
      </c>
      <c r="D303" s="2">
        <v>87667572</v>
      </c>
      <c r="E303" s="2">
        <v>3</v>
      </c>
      <c r="F303" s="2" t="s">
        <v>10086</v>
      </c>
      <c r="H303" s="3">
        <v>5.9999999999999995E-4</v>
      </c>
      <c r="K303" s="2" t="s">
        <v>10089</v>
      </c>
    </row>
    <row r="304" spans="1:11" x14ac:dyDescent="0.2">
      <c r="A304" s="2">
        <v>75</v>
      </c>
      <c r="B304" s="2">
        <v>1</v>
      </c>
      <c r="C304" s="2">
        <v>86761555</v>
      </c>
      <c r="D304" s="2">
        <v>87667572</v>
      </c>
      <c r="E304" s="2">
        <v>4</v>
      </c>
      <c r="F304" s="2" t="s">
        <v>10086</v>
      </c>
      <c r="H304" s="3">
        <v>4.0000000000000002E-4</v>
      </c>
      <c r="K304" s="2" t="s">
        <v>10087</v>
      </c>
    </row>
    <row r="305" spans="1:11" x14ac:dyDescent="0.2">
      <c r="A305" s="2">
        <v>76</v>
      </c>
      <c r="B305" s="2">
        <v>1</v>
      </c>
      <c r="C305" s="2">
        <v>87667573</v>
      </c>
      <c r="D305" s="2">
        <v>88656689</v>
      </c>
      <c r="E305" s="2">
        <v>1</v>
      </c>
      <c r="F305" s="2" t="s">
        <v>10086</v>
      </c>
      <c r="H305" s="2">
        <v>2.0999999999999999E-3</v>
      </c>
      <c r="K305" s="2" t="s">
        <v>10085</v>
      </c>
    </row>
    <row r="306" spans="1:11" x14ac:dyDescent="0.2">
      <c r="A306" s="2">
        <v>76</v>
      </c>
      <c r="B306" s="2">
        <v>1</v>
      </c>
      <c r="C306" s="2">
        <v>87667573</v>
      </c>
      <c r="D306" s="2">
        <v>88656689</v>
      </c>
      <c r="E306" s="2">
        <v>2</v>
      </c>
      <c r="F306" s="2" t="s">
        <v>10086</v>
      </c>
      <c r="H306" s="2">
        <v>2.2000000000000001E-3</v>
      </c>
      <c r="K306" s="2" t="s">
        <v>10087</v>
      </c>
    </row>
    <row r="307" spans="1:11" x14ac:dyDescent="0.2">
      <c r="A307" s="2">
        <v>76</v>
      </c>
      <c r="B307" s="2">
        <v>1</v>
      </c>
      <c r="C307" s="2">
        <v>87667573</v>
      </c>
      <c r="D307" s="2">
        <v>88656689</v>
      </c>
      <c r="E307" s="2">
        <v>3</v>
      </c>
      <c r="F307" s="2" t="s">
        <v>10086</v>
      </c>
      <c r="H307" s="2">
        <v>1.1000000000000001E-3</v>
      </c>
      <c r="K307" s="2" t="s">
        <v>10089</v>
      </c>
    </row>
    <row r="308" spans="1:11" x14ac:dyDescent="0.2">
      <c r="A308" s="2">
        <v>76</v>
      </c>
      <c r="B308" s="2">
        <v>1</v>
      </c>
      <c r="C308" s="2">
        <v>87667573</v>
      </c>
      <c r="D308" s="2">
        <v>88656689</v>
      </c>
      <c r="E308" s="2">
        <v>4</v>
      </c>
      <c r="F308" s="2" t="s">
        <v>10086</v>
      </c>
      <c r="H308" s="3">
        <v>8.9999999999999998E-4</v>
      </c>
      <c r="K308" s="2" t="s">
        <v>12324</v>
      </c>
    </row>
    <row r="309" spans="1:11" x14ac:dyDescent="0.2">
      <c r="A309" s="2">
        <v>77</v>
      </c>
      <c r="B309" s="2">
        <v>1</v>
      </c>
      <c r="C309" s="2">
        <v>88656690</v>
      </c>
      <c r="D309" s="2">
        <v>89753964</v>
      </c>
      <c r="E309" s="2">
        <v>1</v>
      </c>
      <c r="F309" s="2" t="s">
        <v>10086</v>
      </c>
      <c r="H309" s="2">
        <v>2.5999999999999999E-3</v>
      </c>
      <c r="K309" s="2" t="s">
        <v>10085</v>
      </c>
    </row>
    <row r="310" spans="1:11" x14ac:dyDescent="0.2">
      <c r="A310" s="2">
        <v>77</v>
      </c>
      <c r="B310" s="2">
        <v>1</v>
      </c>
      <c r="C310" s="2">
        <v>88656690</v>
      </c>
      <c r="D310" s="2">
        <v>89753964</v>
      </c>
      <c r="E310" s="2">
        <v>2</v>
      </c>
      <c r="F310" s="2" t="s">
        <v>10086</v>
      </c>
      <c r="H310" s="2">
        <v>4.7999999999999996E-3</v>
      </c>
      <c r="K310" s="2" t="s">
        <v>10087</v>
      </c>
    </row>
    <row r="311" spans="1:11" x14ac:dyDescent="0.2">
      <c r="A311" s="2">
        <v>77</v>
      </c>
      <c r="B311" s="2">
        <v>1</v>
      </c>
      <c r="C311" s="2">
        <v>88656690</v>
      </c>
      <c r="D311" s="2">
        <v>89753964</v>
      </c>
      <c r="E311" s="2">
        <v>3</v>
      </c>
      <c r="F311" s="2" t="s">
        <v>10086</v>
      </c>
      <c r="H311" s="2">
        <v>2.7000000000000001E-3</v>
      </c>
      <c r="K311" s="2" t="s">
        <v>12324</v>
      </c>
    </row>
    <row r="312" spans="1:11" x14ac:dyDescent="0.2">
      <c r="A312" s="2">
        <v>77</v>
      </c>
      <c r="B312" s="2">
        <v>1</v>
      </c>
      <c r="C312" s="2">
        <v>88656690</v>
      </c>
      <c r="D312" s="2">
        <v>89753964</v>
      </c>
      <c r="E312" s="2">
        <v>4</v>
      </c>
      <c r="F312" s="2" t="s">
        <v>10086</v>
      </c>
      <c r="H312" s="2">
        <v>1.6999999999999999E-3</v>
      </c>
      <c r="K312" s="2" t="s">
        <v>10088</v>
      </c>
    </row>
    <row r="313" spans="1:11" x14ac:dyDescent="0.2">
      <c r="A313" s="2">
        <v>78</v>
      </c>
      <c r="B313" s="2">
        <v>1</v>
      </c>
      <c r="C313" s="2">
        <v>89753965</v>
      </c>
      <c r="D313" s="2">
        <v>90941549</v>
      </c>
      <c r="E313" s="2">
        <v>1</v>
      </c>
      <c r="F313" s="2" t="s">
        <v>10086</v>
      </c>
      <c r="H313" s="2">
        <v>1.8E-3</v>
      </c>
      <c r="K313" s="2" t="s">
        <v>10087</v>
      </c>
    </row>
    <row r="314" spans="1:11" x14ac:dyDescent="0.2">
      <c r="A314" s="2">
        <v>78</v>
      </c>
      <c r="B314" s="2">
        <v>1</v>
      </c>
      <c r="C314" s="2">
        <v>89753965</v>
      </c>
      <c r="D314" s="2">
        <v>90941549</v>
      </c>
      <c r="E314" s="2">
        <v>2</v>
      </c>
      <c r="F314" s="2" t="s">
        <v>10086</v>
      </c>
      <c r="H314" s="2">
        <v>1.2999999999999999E-3</v>
      </c>
      <c r="K314" s="2" t="s">
        <v>10089</v>
      </c>
    </row>
    <row r="315" spans="1:11" x14ac:dyDescent="0.2">
      <c r="A315" s="2">
        <v>78</v>
      </c>
      <c r="B315" s="2">
        <v>1</v>
      </c>
      <c r="C315" s="2">
        <v>89753965</v>
      </c>
      <c r="D315" s="2">
        <v>90941549</v>
      </c>
      <c r="E315" s="2">
        <v>3</v>
      </c>
      <c r="F315" s="2" t="s">
        <v>10086</v>
      </c>
      <c r="H315" s="3">
        <v>8.0000000000000004E-4</v>
      </c>
      <c r="K315" s="2" t="s">
        <v>10085</v>
      </c>
    </row>
    <row r="316" spans="1:11" x14ac:dyDescent="0.2">
      <c r="A316" s="2">
        <v>78</v>
      </c>
      <c r="B316" s="2">
        <v>1</v>
      </c>
      <c r="C316" s="2">
        <v>89753965</v>
      </c>
      <c r="D316" s="2">
        <v>90941549</v>
      </c>
      <c r="E316" s="2">
        <v>4</v>
      </c>
      <c r="F316" s="2" t="s">
        <v>10086</v>
      </c>
      <c r="H316" s="3">
        <v>5.0000000000000001E-4</v>
      </c>
      <c r="K316" s="2" t="s">
        <v>10088</v>
      </c>
    </row>
    <row r="317" spans="1:11" x14ac:dyDescent="0.2">
      <c r="A317" s="2">
        <v>79</v>
      </c>
      <c r="B317" s="2">
        <v>1</v>
      </c>
      <c r="C317" s="2">
        <v>90941550</v>
      </c>
      <c r="D317" s="2">
        <v>91870059</v>
      </c>
      <c r="E317" s="2">
        <v>1</v>
      </c>
      <c r="F317" s="2" t="s">
        <v>10086</v>
      </c>
      <c r="H317" s="2">
        <v>1.6000000000000001E-3</v>
      </c>
      <c r="K317" s="2" t="s">
        <v>10085</v>
      </c>
    </row>
    <row r="318" spans="1:11" x14ac:dyDescent="0.2">
      <c r="A318" s="2">
        <v>79</v>
      </c>
      <c r="B318" s="2">
        <v>1</v>
      </c>
      <c r="C318" s="2">
        <v>90941550</v>
      </c>
      <c r="D318" s="2">
        <v>91870059</v>
      </c>
      <c r="E318" s="2">
        <v>2</v>
      </c>
      <c r="F318" s="2" t="s">
        <v>10086</v>
      </c>
      <c r="H318" s="2">
        <v>1E-3</v>
      </c>
      <c r="K318" s="2" t="s">
        <v>10088</v>
      </c>
    </row>
    <row r="319" spans="1:11" x14ac:dyDescent="0.2">
      <c r="A319" s="2">
        <v>79</v>
      </c>
      <c r="B319" s="2">
        <v>1</v>
      </c>
      <c r="C319" s="2">
        <v>90941550</v>
      </c>
      <c r="D319" s="2">
        <v>91870059</v>
      </c>
      <c r="E319" s="2">
        <v>3</v>
      </c>
      <c r="F319" s="2" t="s">
        <v>10086</v>
      </c>
      <c r="H319" s="3">
        <v>8.0000000000000004E-4</v>
      </c>
      <c r="K319" s="2" t="s">
        <v>10089</v>
      </c>
    </row>
    <row r="320" spans="1:11" x14ac:dyDescent="0.2">
      <c r="A320" s="2">
        <v>79</v>
      </c>
      <c r="B320" s="2">
        <v>1</v>
      </c>
      <c r="C320" s="2">
        <v>90941550</v>
      </c>
      <c r="D320" s="2">
        <v>91870059</v>
      </c>
      <c r="E320" s="2">
        <v>4</v>
      </c>
      <c r="F320" s="2" t="s">
        <v>10086</v>
      </c>
      <c r="H320" s="3">
        <v>4.0000000000000002E-4</v>
      </c>
      <c r="K320" s="2" t="s">
        <v>10087</v>
      </c>
    </row>
    <row r="321" spans="1:11" x14ac:dyDescent="0.2">
      <c r="A321" s="2">
        <v>80</v>
      </c>
      <c r="B321" s="2">
        <v>1</v>
      </c>
      <c r="C321" s="2">
        <v>91870060</v>
      </c>
      <c r="D321" s="2">
        <v>92904465</v>
      </c>
      <c r="E321" s="2">
        <v>1</v>
      </c>
      <c r="F321" s="2" t="s">
        <v>10086</v>
      </c>
      <c r="H321" s="2">
        <v>1.1000000000000001E-3</v>
      </c>
      <c r="K321" s="2" t="s">
        <v>10085</v>
      </c>
    </row>
    <row r="322" spans="1:11" x14ac:dyDescent="0.2">
      <c r="A322" s="2">
        <v>80</v>
      </c>
      <c r="B322" s="2">
        <v>1</v>
      </c>
      <c r="C322" s="2">
        <v>91870060</v>
      </c>
      <c r="D322" s="2">
        <v>92904465</v>
      </c>
      <c r="E322" s="2">
        <v>2</v>
      </c>
      <c r="F322" s="2" t="s">
        <v>10086</v>
      </c>
      <c r="H322" s="3">
        <v>8.9999999999999998E-4</v>
      </c>
      <c r="K322" s="2" t="s">
        <v>10088</v>
      </c>
    </row>
    <row r="323" spans="1:11" x14ac:dyDescent="0.2">
      <c r="A323" s="2">
        <v>80</v>
      </c>
      <c r="B323" s="2">
        <v>1</v>
      </c>
      <c r="C323" s="2">
        <v>91870060</v>
      </c>
      <c r="D323" s="2">
        <v>92904465</v>
      </c>
      <c r="E323" s="2">
        <v>3</v>
      </c>
      <c r="F323" s="2" t="s">
        <v>10086</v>
      </c>
      <c r="H323" s="3">
        <v>8.9999999999999998E-4</v>
      </c>
      <c r="K323" s="2" t="s">
        <v>10089</v>
      </c>
    </row>
    <row r="324" spans="1:11" x14ac:dyDescent="0.2">
      <c r="A324" s="2">
        <v>80</v>
      </c>
      <c r="B324" s="2">
        <v>1</v>
      </c>
      <c r="C324" s="2">
        <v>91870060</v>
      </c>
      <c r="D324" s="2">
        <v>92904465</v>
      </c>
      <c r="E324" s="2">
        <v>4</v>
      </c>
      <c r="F324" s="2" t="s">
        <v>10086</v>
      </c>
      <c r="H324" s="3">
        <v>2.9999999999999997E-4</v>
      </c>
      <c r="K324" s="2" t="s">
        <v>10087</v>
      </c>
    </row>
    <row r="325" spans="1:11" x14ac:dyDescent="0.2">
      <c r="A325" s="2">
        <v>81</v>
      </c>
      <c r="B325" s="2">
        <v>1</v>
      </c>
      <c r="C325" s="2">
        <v>92904466</v>
      </c>
      <c r="D325" s="2">
        <v>94168576</v>
      </c>
      <c r="E325" s="2">
        <v>1</v>
      </c>
      <c r="F325" s="2" t="s">
        <v>10086</v>
      </c>
      <c r="H325" s="2">
        <v>1.6999999999999999E-3</v>
      </c>
      <c r="K325" s="2" t="s">
        <v>10087</v>
      </c>
    </row>
    <row r="326" spans="1:11" x14ac:dyDescent="0.2">
      <c r="A326" s="2">
        <v>81</v>
      </c>
      <c r="B326" s="2">
        <v>1</v>
      </c>
      <c r="C326" s="2">
        <v>92904466</v>
      </c>
      <c r="D326" s="2">
        <v>94168576</v>
      </c>
      <c r="E326" s="2">
        <v>2</v>
      </c>
      <c r="F326" s="2" t="s">
        <v>10086</v>
      </c>
      <c r="H326" s="2">
        <v>2.0999999999999999E-3</v>
      </c>
      <c r="K326" s="2" t="s">
        <v>10088</v>
      </c>
    </row>
    <row r="327" spans="1:11" x14ac:dyDescent="0.2">
      <c r="A327" s="2">
        <v>81</v>
      </c>
      <c r="B327" s="2">
        <v>1</v>
      </c>
      <c r="C327" s="2">
        <v>92904466</v>
      </c>
      <c r="D327" s="2">
        <v>94168576</v>
      </c>
      <c r="E327" s="2">
        <v>3</v>
      </c>
      <c r="F327" s="2" t="s">
        <v>10086</v>
      </c>
      <c r="H327" s="3">
        <v>6.9999999999999999E-4</v>
      </c>
      <c r="K327" s="2" t="s">
        <v>10089</v>
      </c>
    </row>
    <row r="328" spans="1:11" x14ac:dyDescent="0.2">
      <c r="A328" s="2">
        <v>81</v>
      </c>
      <c r="B328" s="2">
        <v>1</v>
      </c>
      <c r="C328" s="2">
        <v>92904466</v>
      </c>
      <c r="D328" s="2">
        <v>94168576</v>
      </c>
      <c r="E328" s="2">
        <v>4</v>
      </c>
      <c r="F328" s="2" t="s">
        <v>10086</v>
      </c>
      <c r="H328" s="3">
        <v>2.9999999999999997E-4</v>
      </c>
      <c r="K328" s="2" t="s">
        <v>10085</v>
      </c>
    </row>
    <row r="329" spans="1:11" x14ac:dyDescent="0.2">
      <c r="A329" s="2">
        <v>82</v>
      </c>
      <c r="B329" s="2">
        <v>1</v>
      </c>
      <c r="C329" s="2">
        <v>94168577</v>
      </c>
      <c r="D329" s="2">
        <v>95122541</v>
      </c>
      <c r="E329" s="2">
        <v>1</v>
      </c>
      <c r="F329" s="2" t="s">
        <v>10086</v>
      </c>
      <c r="H329" s="2">
        <v>1.6999999999999999E-3</v>
      </c>
      <c r="K329" s="2" t="s">
        <v>10088</v>
      </c>
    </row>
    <row r="330" spans="1:11" x14ac:dyDescent="0.2">
      <c r="A330" s="2">
        <v>82</v>
      </c>
      <c r="B330" s="2">
        <v>1</v>
      </c>
      <c r="C330" s="2">
        <v>94168577</v>
      </c>
      <c r="D330" s="2">
        <v>95122541</v>
      </c>
      <c r="E330" s="2">
        <v>2</v>
      </c>
      <c r="F330" s="2" t="s">
        <v>10086</v>
      </c>
      <c r="H330" s="3">
        <v>8.0000000000000004E-4</v>
      </c>
      <c r="K330" s="2" t="s">
        <v>10085</v>
      </c>
    </row>
    <row r="331" spans="1:11" x14ac:dyDescent="0.2">
      <c r="A331" s="2">
        <v>82</v>
      </c>
      <c r="B331" s="2">
        <v>1</v>
      </c>
      <c r="C331" s="2">
        <v>94168577</v>
      </c>
      <c r="D331" s="2">
        <v>95122541</v>
      </c>
      <c r="E331" s="2">
        <v>3</v>
      </c>
      <c r="F331" s="2" t="s">
        <v>10086</v>
      </c>
      <c r="H331" s="3">
        <v>5.9999999999999995E-4</v>
      </c>
      <c r="K331" s="2" t="s">
        <v>10087</v>
      </c>
    </row>
    <row r="332" spans="1:11" x14ac:dyDescent="0.2">
      <c r="A332" s="2">
        <v>82</v>
      </c>
      <c r="B332" s="2">
        <v>1</v>
      </c>
      <c r="C332" s="2">
        <v>94168577</v>
      </c>
      <c r="D332" s="2">
        <v>95122541</v>
      </c>
      <c r="E332" s="2">
        <v>4</v>
      </c>
      <c r="F332" s="2" t="s">
        <v>10086</v>
      </c>
      <c r="H332" s="3">
        <v>2.9999999999999997E-4</v>
      </c>
      <c r="K332" s="2" t="s">
        <v>10089</v>
      </c>
    </row>
    <row r="333" spans="1:11" x14ac:dyDescent="0.2">
      <c r="A333" s="2">
        <v>83</v>
      </c>
      <c r="B333" s="2">
        <v>1</v>
      </c>
      <c r="C333" s="2">
        <v>95122542</v>
      </c>
      <c r="D333" s="2">
        <v>96147576</v>
      </c>
      <c r="E333" s="2">
        <v>1</v>
      </c>
      <c r="F333" s="2" t="s">
        <v>10086</v>
      </c>
      <c r="H333" s="2">
        <v>2E-3</v>
      </c>
      <c r="K333" s="2" t="s">
        <v>10087</v>
      </c>
    </row>
    <row r="334" spans="1:11" x14ac:dyDescent="0.2">
      <c r="A334" s="2">
        <v>83</v>
      </c>
      <c r="B334" s="2">
        <v>1</v>
      </c>
      <c r="C334" s="2">
        <v>95122542</v>
      </c>
      <c r="D334" s="2">
        <v>96147576</v>
      </c>
      <c r="E334" s="2">
        <v>2</v>
      </c>
      <c r="F334" s="2" t="s">
        <v>10086</v>
      </c>
      <c r="H334" s="2">
        <v>2.2000000000000001E-3</v>
      </c>
      <c r="K334" s="2" t="s">
        <v>10089</v>
      </c>
    </row>
    <row r="335" spans="1:11" x14ac:dyDescent="0.2">
      <c r="A335" s="2">
        <v>83</v>
      </c>
      <c r="B335" s="2">
        <v>1</v>
      </c>
      <c r="C335" s="2">
        <v>95122542</v>
      </c>
      <c r="D335" s="2">
        <v>96147576</v>
      </c>
      <c r="E335" s="2">
        <v>3</v>
      </c>
      <c r="F335" s="2" t="s">
        <v>10086</v>
      </c>
      <c r="H335" s="2">
        <v>1.1999999999999999E-3</v>
      </c>
      <c r="K335" s="2" t="s">
        <v>10085</v>
      </c>
    </row>
    <row r="336" spans="1:11" x14ac:dyDescent="0.2">
      <c r="A336" s="2">
        <v>83</v>
      </c>
      <c r="B336" s="2">
        <v>1</v>
      </c>
      <c r="C336" s="2">
        <v>95122542</v>
      </c>
      <c r="D336" s="2">
        <v>96147576</v>
      </c>
      <c r="E336" s="2">
        <v>4</v>
      </c>
      <c r="F336" s="2" t="s">
        <v>10086</v>
      </c>
      <c r="H336" s="3">
        <v>5.0000000000000001E-4</v>
      </c>
      <c r="K336" s="2" t="s">
        <v>10088</v>
      </c>
    </row>
    <row r="337" spans="1:11" x14ac:dyDescent="0.2">
      <c r="A337" s="2">
        <v>84</v>
      </c>
      <c r="B337" s="2">
        <v>1</v>
      </c>
      <c r="C337" s="2">
        <v>96147577</v>
      </c>
      <c r="D337" s="2">
        <v>97721186</v>
      </c>
      <c r="E337" s="2">
        <v>1</v>
      </c>
      <c r="F337" s="2" t="s">
        <v>10086</v>
      </c>
      <c r="H337" s="2">
        <v>1.1999999999999999E-3</v>
      </c>
      <c r="K337" s="2" t="s">
        <v>10085</v>
      </c>
    </row>
    <row r="338" spans="1:11" x14ac:dyDescent="0.2">
      <c r="A338" s="2">
        <v>84</v>
      </c>
      <c r="B338" s="2">
        <v>1</v>
      </c>
      <c r="C338" s="2">
        <v>96147577</v>
      </c>
      <c r="D338" s="2">
        <v>97721186</v>
      </c>
      <c r="E338" s="2">
        <v>2</v>
      </c>
      <c r="F338" s="2" t="s">
        <v>10086</v>
      </c>
      <c r="H338" s="2">
        <v>1.2999999999999999E-3</v>
      </c>
      <c r="K338" s="2" t="s">
        <v>10087</v>
      </c>
    </row>
    <row r="339" spans="1:11" x14ac:dyDescent="0.2">
      <c r="A339" s="2">
        <v>84</v>
      </c>
      <c r="B339" s="2">
        <v>1</v>
      </c>
      <c r="C339" s="2">
        <v>96147577</v>
      </c>
      <c r="D339" s="2">
        <v>97721186</v>
      </c>
      <c r="E339" s="2">
        <v>3</v>
      </c>
      <c r="F339" s="2" t="s">
        <v>10086</v>
      </c>
      <c r="H339" s="2">
        <v>1E-3</v>
      </c>
      <c r="K339" s="2" t="s">
        <v>10089</v>
      </c>
    </row>
    <row r="340" spans="1:11" x14ac:dyDescent="0.2">
      <c r="A340" s="2">
        <v>84</v>
      </c>
      <c r="B340" s="2">
        <v>1</v>
      </c>
      <c r="C340" s="2">
        <v>96147577</v>
      </c>
      <c r="D340" s="2">
        <v>97721186</v>
      </c>
      <c r="E340" s="2">
        <v>4</v>
      </c>
      <c r="F340" s="2" t="s">
        <v>10086</v>
      </c>
      <c r="H340" s="3">
        <v>5.0000000000000001E-4</v>
      </c>
      <c r="K340" s="2" t="s">
        <v>10088</v>
      </c>
    </row>
    <row r="341" spans="1:11" x14ac:dyDescent="0.2">
      <c r="A341" s="2">
        <v>85</v>
      </c>
      <c r="B341" s="2">
        <v>1</v>
      </c>
      <c r="C341" s="2">
        <v>97721187</v>
      </c>
      <c r="D341" s="2">
        <v>99425000</v>
      </c>
      <c r="E341" s="2">
        <v>1</v>
      </c>
      <c r="F341" s="2" t="s">
        <v>10086</v>
      </c>
      <c r="H341" s="2">
        <v>2.0999999999999999E-3</v>
      </c>
      <c r="K341" s="2" t="s">
        <v>10089</v>
      </c>
    </row>
    <row r="342" spans="1:11" x14ac:dyDescent="0.2">
      <c r="A342" s="2">
        <v>85</v>
      </c>
      <c r="B342" s="2">
        <v>1</v>
      </c>
      <c r="C342" s="2">
        <v>97721187</v>
      </c>
      <c r="D342" s="2">
        <v>99425000</v>
      </c>
      <c r="E342" s="2">
        <v>2</v>
      </c>
      <c r="F342" s="2" t="s">
        <v>10086</v>
      </c>
      <c r="H342" s="2">
        <v>1.8E-3</v>
      </c>
      <c r="K342" s="2" t="s">
        <v>10088</v>
      </c>
    </row>
    <row r="343" spans="1:11" x14ac:dyDescent="0.2">
      <c r="A343" s="2">
        <v>85</v>
      </c>
      <c r="B343" s="2">
        <v>1</v>
      </c>
      <c r="C343" s="2">
        <v>97721187</v>
      </c>
      <c r="D343" s="2">
        <v>99425000</v>
      </c>
      <c r="E343" s="2">
        <v>3</v>
      </c>
      <c r="F343" s="2" t="s">
        <v>10086</v>
      </c>
      <c r="H343" s="2">
        <v>1.2999999999999999E-3</v>
      </c>
      <c r="K343" s="2" t="s">
        <v>10085</v>
      </c>
    </row>
    <row r="344" spans="1:11" x14ac:dyDescent="0.2">
      <c r="A344" s="2">
        <v>85</v>
      </c>
      <c r="B344" s="2">
        <v>1</v>
      </c>
      <c r="C344" s="2">
        <v>97721187</v>
      </c>
      <c r="D344" s="2">
        <v>99425000</v>
      </c>
      <c r="E344" s="2">
        <v>4</v>
      </c>
      <c r="F344" s="2" t="s">
        <v>10086</v>
      </c>
      <c r="H344" s="3">
        <v>5.9999999999999995E-4</v>
      </c>
      <c r="K344" s="2" t="s">
        <v>10087</v>
      </c>
    </row>
    <row r="345" spans="1:11" x14ac:dyDescent="0.2">
      <c r="A345" s="2">
        <v>86</v>
      </c>
      <c r="B345" s="2">
        <v>1</v>
      </c>
      <c r="C345" s="2">
        <v>99425001</v>
      </c>
      <c r="D345" s="2">
        <v>100269207</v>
      </c>
      <c r="E345" s="2">
        <v>1</v>
      </c>
      <c r="F345" s="2" t="s">
        <v>10086</v>
      </c>
      <c r="H345" s="2">
        <v>3.7000000000000002E-3</v>
      </c>
      <c r="K345" s="2" t="s">
        <v>10087</v>
      </c>
    </row>
    <row r="346" spans="1:11" x14ac:dyDescent="0.2">
      <c r="A346" s="2">
        <v>86</v>
      </c>
      <c r="B346" s="2">
        <v>1</v>
      </c>
      <c r="C346" s="2">
        <v>99425001</v>
      </c>
      <c r="D346" s="2">
        <v>100269207</v>
      </c>
      <c r="E346" s="2">
        <v>2</v>
      </c>
      <c r="F346" s="2" t="s">
        <v>10086</v>
      </c>
      <c r="H346" s="2">
        <v>1.1999999999999999E-3</v>
      </c>
      <c r="K346" s="2" t="s">
        <v>10088</v>
      </c>
    </row>
    <row r="347" spans="1:11" x14ac:dyDescent="0.2">
      <c r="A347" s="2">
        <v>86</v>
      </c>
      <c r="B347" s="2">
        <v>1</v>
      </c>
      <c r="C347" s="2">
        <v>99425001</v>
      </c>
      <c r="D347" s="2">
        <v>100269207</v>
      </c>
      <c r="E347" s="2">
        <v>3</v>
      </c>
      <c r="F347" s="2" t="s">
        <v>10086</v>
      </c>
      <c r="H347" s="3">
        <v>8.0000000000000004E-4</v>
      </c>
      <c r="K347" s="2" t="s">
        <v>10085</v>
      </c>
    </row>
    <row r="348" spans="1:11" x14ac:dyDescent="0.2">
      <c r="A348" s="2">
        <v>86</v>
      </c>
      <c r="B348" s="2">
        <v>1</v>
      </c>
      <c r="C348" s="2">
        <v>99425001</v>
      </c>
      <c r="D348" s="2">
        <v>100269207</v>
      </c>
      <c r="E348" s="2">
        <v>4</v>
      </c>
      <c r="F348" s="2" t="s">
        <v>10086</v>
      </c>
      <c r="H348" s="3">
        <v>5.0000000000000001E-4</v>
      </c>
      <c r="K348" s="2" t="s">
        <v>10089</v>
      </c>
    </row>
    <row r="349" spans="1:11" x14ac:dyDescent="0.2">
      <c r="A349" s="2">
        <v>87</v>
      </c>
      <c r="B349" s="2">
        <v>1</v>
      </c>
      <c r="C349" s="2">
        <v>100269208</v>
      </c>
      <c r="D349" s="2">
        <v>101188315</v>
      </c>
      <c r="E349" s="2">
        <v>1</v>
      </c>
      <c r="F349" s="2" t="s">
        <v>10086</v>
      </c>
      <c r="H349" s="3">
        <v>8.9999999999999998E-4</v>
      </c>
      <c r="K349" s="2" t="s">
        <v>10088</v>
      </c>
    </row>
    <row r="350" spans="1:11" x14ac:dyDescent="0.2">
      <c r="A350" s="2">
        <v>87</v>
      </c>
      <c r="B350" s="2">
        <v>1</v>
      </c>
      <c r="C350" s="2">
        <v>100269208</v>
      </c>
      <c r="D350" s="2">
        <v>101188315</v>
      </c>
      <c r="E350" s="2">
        <v>2</v>
      </c>
      <c r="F350" s="2" t="s">
        <v>10086</v>
      </c>
      <c r="H350" s="3">
        <v>6.9999999999999999E-4</v>
      </c>
      <c r="K350" s="2" t="s">
        <v>10089</v>
      </c>
    </row>
    <row r="351" spans="1:11" x14ac:dyDescent="0.2">
      <c r="A351" s="2">
        <v>87</v>
      </c>
      <c r="B351" s="2">
        <v>1</v>
      </c>
      <c r="C351" s="2">
        <v>100269208</v>
      </c>
      <c r="D351" s="2">
        <v>101188315</v>
      </c>
      <c r="E351" s="2">
        <v>3</v>
      </c>
      <c r="F351" s="2" t="s">
        <v>10086</v>
      </c>
      <c r="H351" s="3">
        <v>5.9999999999999995E-4</v>
      </c>
      <c r="K351" s="2" t="s">
        <v>10085</v>
      </c>
    </row>
    <row r="352" spans="1:11" x14ac:dyDescent="0.2">
      <c r="A352" s="2">
        <v>87</v>
      </c>
      <c r="B352" s="2">
        <v>1</v>
      </c>
      <c r="C352" s="2">
        <v>100269208</v>
      </c>
      <c r="D352" s="2">
        <v>101188315</v>
      </c>
      <c r="E352" s="2">
        <v>4</v>
      </c>
      <c r="F352" s="2" t="s">
        <v>10086</v>
      </c>
      <c r="H352" s="3">
        <v>4.0000000000000002E-4</v>
      </c>
      <c r="K352" s="2" t="s">
        <v>10087</v>
      </c>
    </row>
    <row r="353" spans="1:11" x14ac:dyDescent="0.2">
      <c r="A353" s="2">
        <v>88</v>
      </c>
      <c r="B353" s="2">
        <v>1</v>
      </c>
      <c r="C353" s="2">
        <v>101188316</v>
      </c>
      <c r="D353" s="2">
        <v>102424611</v>
      </c>
      <c r="E353" s="2">
        <v>1</v>
      </c>
      <c r="F353" s="2" t="s">
        <v>10086</v>
      </c>
      <c r="H353" s="2">
        <v>3.8E-3</v>
      </c>
      <c r="K353" s="2" t="s">
        <v>10088</v>
      </c>
    </row>
    <row r="354" spans="1:11" x14ac:dyDescent="0.2">
      <c r="A354" s="2">
        <v>88</v>
      </c>
      <c r="B354" s="2">
        <v>1</v>
      </c>
      <c r="C354" s="2">
        <v>101188316</v>
      </c>
      <c r="D354" s="2">
        <v>102424611</v>
      </c>
      <c r="E354" s="2">
        <v>2</v>
      </c>
      <c r="F354" s="2" t="s">
        <v>10086</v>
      </c>
      <c r="H354" s="3">
        <v>8.9999999999999998E-4</v>
      </c>
      <c r="K354" s="2" t="s">
        <v>10085</v>
      </c>
    </row>
    <row r="355" spans="1:11" x14ac:dyDescent="0.2">
      <c r="A355" s="2">
        <v>88</v>
      </c>
      <c r="B355" s="2">
        <v>1</v>
      </c>
      <c r="C355" s="2">
        <v>101188316</v>
      </c>
      <c r="D355" s="2">
        <v>102424611</v>
      </c>
      <c r="E355" s="2">
        <v>3</v>
      </c>
      <c r="F355" s="2" t="s">
        <v>10086</v>
      </c>
      <c r="H355" s="3">
        <v>8.0000000000000004E-4</v>
      </c>
      <c r="K355" s="2" t="s">
        <v>10089</v>
      </c>
    </row>
    <row r="356" spans="1:11" x14ac:dyDescent="0.2">
      <c r="A356" s="2">
        <v>88</v>
      </c>
      <c r="B356" s="2">
        <v>1</v>
      </c>
      <c r="C356" s="2">
        <v>101188316</v>
      </c>
      <c r="D356" s="2">
        <v>102424611</v>
      </c>
      <c r="E356" s="2">
        <v>4</v>
      </c>
      <c r="F356" s="2" t="s">
        <v>10086</v>
      </c>
      <c r="H356" s="3">
        <v>5.0000000000000001E-4</v>
      </c>
      <c r="K356" s="2" t="s">
        <v>12324</v>
      </c>
    </row>
    <row r="357" spans="1:11" x14ac:dyDescent="0.2">
      <c r="A357" s="2">
        <v>89</v>
      </c>
      <c r="B357" s="2">
        <v>1</v>
      </c>
      <c r="C357" s="2">
        <v>102424612</v>
      </c>
      <c r="D357" s="2">
        <v>103148412</v>
      </c>
      <c r="E357" s="2">
        <v>1</v>
      </c>
      <c r="F357" s="2" t="s">
        <v>10086</v>
      </c>
      <c r="H357" s="2">
        <v>2.3E-3</v>
      </c>
      <c r="K357" s="2" t="s">
        <v>10085</v>
      </c>
    </row>
    <row r="358" spans="1:11" x14ac:dyDescent="0.2">
      <c r="A358" s="2">
        <v>89</v>
      </c>
      <c r="B358" s="2">
        <v>1</v>
      </c>
      <c r="C358" s="2">
        <v>102424612</v>
      </c>
      <c r="D358" s="2">
        <v>103148412</v>
      </c>
      <c r="E358" s="2">
        <v>2</v>
      </c>
      <c r="F358" s="2" t="s">
        <v>10086</v>
      </c>
      <c r="H358" s="2">
        <v>2.0999999999999999E-3</v>
      </c>
      <c r="K358" s="2" t="s">
        <v>10087</v>
      </c>
    </row>
    <row r="359" spans="1:11" x14ac:dyDescent="0.2">
      <c r="A359" s="2">
        <v>89</v>
      </c>
      <c r="B359" s="2">
        <v>1</v>
      </c>
      <c r="C359" s="2">
        <v>102424612</v>
      </c>
      <c r="D359" s="2">
        <v>103148412</v>
      </c>
      <c r="E359" s="2">
        <v>3</v>
      </c>
      <c r="F359" s="2" t="s">
        <v>10086</v>
      </c>
      <c r="H359" s="3">
        <v>6.9999999999999999E-4</v>
      </c>
      <c r="K359" s="2" t="s">
        <v>10089</v>
      </c>
    </row>
    <row r="360" spans="1:11" x14ac:dyDescent="0.2">
      <c r="A360" s="2">
        <v>89</v>
      </c>
      <c r="B360" s="2">
        <v>1</v>
      </c>
      <c r="C360" s="2">
        <v>102424612</v>
      </c>
      <c r="D360" s="2">
        <v>103148412</v>
      </c>
      <c r="E360" s="2">
        <v>4</v>
      </c>
      <c r="F360" s="2" t="s">
        <v>10086</v>
      </c>
      <c r="H360" s="3">
        <v>5.0000000000000001E-4</v>
      </c>
      <c r="K360" s="2" t="s">
        <v>10088</v>
      </c>
    </row>
    <row r="361" spans="1:11" x14ac:dyDescent="0.2">
      <c r="A361" s="2">
        <v>90</v>
      </c>
      <c r="B361" s="2">
        <v>1</v>
      </c>
      <c r="C361" s="2">
        <v>103148413</v>
      </c>
      <c r="D361" s="2">
        <v>103784541</v>
      </c>
      <c r="E361" s="2">
        <v>1</v>
      </c>
      <c r="F361" s="2" t="s">
        <v>10086</v>
      </c>
      <c r="H361" s="2">
        <v>1.9E-3</v>
      </c>
      <c r="K361" s="2" t="s">
        <v>10087</v>
      </c>
    </row>
    <row r="362" spans="1:11" x14ac:dyDescent="0.2">
      <c r="A362" s="2">
        <v>90</v>
      </c>
      <c r="B362" s="2">
        <v>1</v>
      </c>
      <c r="C362" s="2">
        <v>103148413</v>
      </c>
      <c r="D362" s="2">
        <v>103784541</v>
      </c>
      <c r="E362" s="2">
        <v>2</v>
      </c>
      <c r="F362" s="2" t="s">
        <v>10086</v>
      </c>
      <c r="H362" s="3">
        <v>8.9999999999999998E-4</v>
      </c>
      <c r="K362" s="2" t="s">
        <v>10089</v>
      </c>
    </row>
    <row r="363" spans="1:11" x14ac:dyDescent="0.2">
      <c r="A363" s="2">
        <v>90</v>
      </c>
      <c r="B363" s="2">
        <v>1</v>
      </c>
      <c r="C363" s="2">
        <v>103148413</v>
      </c>
      <c r="D363" s="2">
        <v>103784541</v>
      </c>
      <c r="E363" s="2">
        <v>3</v>
      </c>
      <c r="F363" s="2" t="s">
        <v>10086</v>
      </c>
      <c r="H363" s="3">
        <v>5.0000000000000001E-4</v>
      </c>
      <c r="K363" s="2" t="s">
        <v>10088</v>
      </c>
    </row>
    <row r="364" spans="1:11" x14ac:dyDescent="0.2">
      <c r="A364" s="2">
        <v>90</v>
      </c>
      <c r="B364" s="2">
        <v>1</v>
      </c>
      <c r="C364" s="2">
        <v>103148413</v>
      </c>
      <c r="D364" s="2">
        <v>103784541</v>
      </c>
      <c r="E364" s="2">
        <v>4</v>
      </c>
      <c r="F364" s="2" t="s">
        <v>10086</v>
      </c>
      <c r="H364" s="3">
        <v>2.9999999999999997E-4</v>
      </c>
      <c r="K364" s="2" t="s">
        <v>10085</v>
      </c>
    </row>
    <row r="365" spans="1:11" x14ac:dyDescent="0.2">
      <c r="A365" s="2">
        <v>91</v>
      </c>
      <c r="B365" s="2">
        <v>1</v>
      </c>
      <c r="C365" s="2">
        <v>103784542</v>
      </c>
      <c r="D365" s="2">
        <v>104984435</v>
      </c>
      <c r="E365" s="2">
        <v>1</v>
      </c>
      <c r="F365" s="2" t="s">
        <v>10086</v>
      </c>
      <c r="H365" s="2">
        <v>4.0000000000000001E-3</v>
      </c>
      <c r="K365" s="2" t="s">
        <v>10089</v>
      </c>
    </row>
    <row r="366" spans="1:11" x14ac:dyDescent="0.2">
      <c r="A366" s="2">
        <v>91</v>
      </c>
      <c r="B366" s="2">
        <v>1</v>
      </c>
      <c r="C366" s="2">
        <v>103784542</v>
      </c>
      <c r="D366" s="2">
        <v>104984435</v>
      </c>
      <c r="E366" s="2">
        <v>2</v>
      </c>
      <c r="F366" s="2" t="s">
        <v>10086</v>
      </c>
      <c r="H366" s="3">
        <v>8.0000000000000004E-4</v>
      </c>
      <c r="K366" s="2" t="s">
        <v>10087</v>
      </c>
    </row>
    <row r="367" spans="1:11" x14ac:dyDescent="0.2">
      <c r="A367" s="2">
        <v>91</v>
      </c>
      <c r="B367" s="2">
        <v>1</v>
      </c>
      <c r="C367" s="2">
        <v>103784542</v>
      </c>
      <c r="D367" s="2">
        <v>104984435</v>
      </c>
      <c r="E367" s="2">
        <v>3</v>
      </c>
      <c r="F367" s="2" t="s">
        <v>10086</v>
      </c>
      <c r="H367" s="3">
        <v>5.0000000000000001E-4</v>
      </c>
      <c r="K367" s="2" t="s">
        <v>10085</v>
      </c>
    </row>
    <row r="368" spans="1:11" x14ac:dyDescent="0.2">
      <c r="A368" s="2">
        <v>91</v>
      </c>
      <c r="B368" s="2">
        <v>1</v>
      </c>
      <c r="C368" s="2">
        <v>103784542</v>
      </c>
      <c r="D368" s="2">
        <v>104984435</v>
      </c>
      <c r="E368" s="2">
        <v>4</v>
      </c>
      <c r="F368" s="2" t="s">
        <v>10086</v>
      </c>
      <c r="H368" s="3">
        <v>2.9999999999999997E-4</v>
      </c>
      <c r="K368" s="2" t="s">
        <v>10088</v>
      </c>
    </row>
    <row r="369" spans="1:11" x14ac:dyDescent="0.2">
      <c r="A369" s="2">
        <v>92</v>
      </c>
      <c r="B369" s="2">
        <v>1</v>
      </c>
      <c r="C369" s="2">
        <v>104984436</v>
      </c>
      <c r="D369" s="2">
        <v>106089656</v>
      </c>
      <c r="E369" s="2">
        <v>1</v>
      </c>
      <c r="F369" s="2" t="s">
        <v>10086</v>
      </c>
      <c r="H369" s="2">
        <v>2.1499999999999998E-2</v>
      </c>
      <c r="K369" s="2" t="s">
        <v>12324</v>
      </c>
    </row>
    <row r="370" spans="1:11" x14ac:dyDescent="0.2">
      <c r="A370" s="2">
        <v>92</v>
      </c>
      <c r="B370" s="2">
        <v>1</v>
      </c>
      <c r="C370" s="2">
        <v>104984436</v>
      </c>
      <c r="D370" s="2">
        <v>106089656</v>
      </c>
      <c r="E370" s="2">
        <v>2</v>
      </c>
      <c r="F370" s="2" t="s">
        <v>10086</v>
      </c>
      <c r="H370" s="2">
        <v>3.3999999999999998E-3</v>
      </c>
      <c r="K370" s="2" t="s">
        <v>10089</v>
      </c>
    </row>
    <row r="371" spans="1:11" x14ac:dyDescent="0.2">
      <c r="A371" s="2">
        <v>92</v>
      </c>
      <c r="B371" s="2">
        <v>1</v>
      </c>
      <c r="C371" s="2">
        <v>104984436</v>
      </c>
      <c r="D371" s="2">
        <v>106089656</v>
      </c>
      <c r="E371" s="2">
        <v>3</v>
      </c>
      <c r="F371" s="2" t="s">
        <v>10086</v>
      </c>
      <c r="H371" s="2">
        <v>1.1999999999999999E-3</v>
      </c>
      <c r="K371" s="2" t="s">
        <v>10088</v>
      </c>
    </row>
    <row r="372" spans="1:11" x14ac:dyDescent="0.2">
      <c r="A372" s="2">
        <v>92</v>
      </c>
      <c r="B372" s="2">
        <v>1</v>
      </c>
      <c r="C372" s="2">
        <v>104984436</v>
      </c>
      <c r="D372" s="2">
        <v>106089656</v>
      </c>
      <c r="E372" s="2">
        <v>4</v>
      </c>
      <c r="F372" s="2" t="s">
        <v>10086</v>
      </c>
      <c r="H372" s="2">
        <v>1.1000000000000001E-3</v>
      </c>
      <c r="K372" s="2" t="s">
        <v>10085</v>
      </c>
    </row>
    <row r="373" spans="1:11" x14ac:dyDescent="0.2">
      <c r="A373" s="2">
        <v>93</v>
      </c>
      <c r="B373" s="2">
        <v>1</v>
      </c>
      <c r="C373" s="2">
        <v>106089657</v>
      </c>
      <c r="D373" s="2">
        <v>106864947</v>
      </c>
      <c r="E373" s="2">
        <v>1</v>
      </c>
      <c r="F373" s="2" t="s">
        <v>10086</v>
      </c>
      <c r="H373" s="2">
        <v>6.7000000000000002E-3</v>
      </c>
      <c r="K373" s="2" t="s">
        <v>10089</v>
      </c>
    </row>
    <row r="374" spans="1:11" x14ac:dyDescent="0.2">
      <c r="A374" s="2">
        <v>93</v>
      </c>
      <c r="B374" s="2">
        <v>1</v>
      </c>
      <c r="C374" s="2">
        <v>106089657</v>
      </c>
      <c r="D374" s="2">
        <v>106864947</v>
      </c>
      <c r="E374" s="2">
        <v>2</v>
      </c>
      <c r="F374" s="2" t="s">
        <v>10086</v>
      </c>
      <c r="H374" s="3">
        <v>8.0000000000000004E-4</v>
      </c>
      <c r="K374" s="2" t="s">
        <v>10087</v>
      </c>
    </row>
    <row r="375" spans="1:11" x14ac:dyDescent="0.2">
      <c r="A375" s="2">
        <v>93</v>
      </c>
      <c r="B375" s="2">
        <v>1</v>
      </c>
      <c r="C375" s="2">
        <v>106089657</v>
      </c>
      <c r="D375" s="2">
        <v>106864947</v>
      </c>
      <c r="E375" s="2">
        <v>3</v>
      </c>
      <c r="F375" s="2" t="s">
        <v>10086</v>
      </c>
      <c r="H375" s="3">
        <v>5.9999999999999995E-4</v>
      </c>
      <c r="K375" s="2" t="s">
        <v>10085</v>
      </c>
    </row>
    <row r="376" spans="1:11" x14ac:dyDescent="0.2">
      <c r="A376" s="2">
        <v>93</v>
      </c>
      <c r="B376" s="2">
        <v>1</v>
      </c>
      <c r="C376" s="2">
        <v>106089657</v>
      </c>
      <c r="D376" s="2">
        <v>106864947</v>
      </c>
      <c r="E376" s="2">
        <v>4</v>
      </c>
      <c r="F376" s="2" t="s">
        <v>10086</v>
      </c>
      <c r="H376" s="3">
        <v>4.0000000000000002E-4</v>
      </c>
      <c r="K376" s="2" t="s">
        <v>12324</v>
      </c>
    </row>
    <row r="377" spans="1:11" x14ac:dyDescent="0.2">
      <c r="A377" s="2">
        <v>94</v>
      </c>
      <c r="B377" s="2">
        <v>1</v>
      </c>
      <c r="C377" s="2">
        <v>106864948</v>
      </c>
      <c r="D377" s="2">
        <v>107874653</v>
      </c>
      <c r="E377" s="2">
        <v>1</v>
      </c>
      <c r="F377" s="2" t="s">
        <v>10086</v>
      </c>
      <c r="H377" s="2">
        <v>2E-3</v>
      </c>
      <c r="K377" s="2" t="s">
        <v>10089</v>
      </c>
    </row>
    <row r="378" spans="1:11" x14ac:dyDescent="0.2">
      <c r="A378" s="2">
        <v>94</v>
      </c>
      <c r="B378" s="2">
        <v>1</v>
      </c>
      <c r="C378" s="2">
        <v>106864948</v>
      </c>
      <c r="D378" s="2">
        <v>107874653</v>
      </c>
      <c r="E378" s="2">
        <v>2</v>
      </c>
      <c r="F378" s="2" t="s">
        <v>10086</v>
      </c>
      <c r="H378" s="3">
        <v>8.9999999999999998E-4</v>
      </c>
      <c r="K378" s="2" t="s">
        <v>10085</v>
      </c>
    </row>
    <row r="379" spans="1:11" x14ac:dyDescent="0.2">
      <c r="A379" s="2">
        <v>94</v>
      </c>
      <c r="B379" s="2">
        <v>1</v>
      </c>
      <c r="C379" s="2">
        <v>106864948</v>
      </c>
      <c r="D379" s="2">
        <v>107874653</v>
      </c>
      <c r="E379" s="2">
        <v>3</v>
      </c>
      <c r="F379" s="2" t="s">
        <v>10086</v>
      </c>
      <c r="H379" s="3">
        <v>6.9999999999999999E-4</v>
      </c>
      <c r="K379" s="2" t="s">
        <v>10087</v>
      </c>
    </row>
    <row r="380" spans="1:11" x14ac:dyDescent="0.2">
      <c r="A380" s="2">
        <v>94</v>
      </c>
      <c r="B380" s="2">
        <v>1</v>
      </c>
      <c r="C380" s="2">
        <v>106864948</v>
      </c>
      <c r="D380" s="2">
        <v>107874653</v>
      </c>
      <c r="E380" s="2">
        <v>4</v>
      </c>
      <c r="F380" s="2" t="s">
        <v>10086</v>
      </c>
      <c r="H380" s="3">
        <v>4.0000000000000002E-4</v>
      </c>
      <c r="K380" s="2" t="s">
        <v>12324</v>
      </c>
    </row>
    <row r="381" spans="1:11" x14ac:dyDescent="0.2">
      <c r="A381" s="2">
        <v>95</v>
      </c>
      <c r="B381" s="2">
        <v>1</v>
      </c>
      <c r="C381" s="2">
        <v>107874654</v>
      </c>
      <c r="D381" s="2">
        <v>109271449</v>
      </c>
      <c r="E381" s="2">
        <v>1</v>
      </c>
      <c r="F381" s="2" t="s">
        <v>10086</v>
      </c>
      <c r="H381" s="2">
        <v>1.2999999999999999E-3</v>
      </c>
      <c r="K381" s="2" t="s">
        <v>10087</v>
      </c>
    </row>
    <row r="382" spans="1:11" x14ac:dyDescent="0.2">
      <c r="A382" s="2">
        <v>95</v>
      </c>
      <c r="B382" s="2">
        <v>1</v>
      </c>
      <c r="C382" s="2">
        <v>107874654</v>
      </c>
      <c r="D382" s="2">
        <v>109271449</v>
      </c>
      <c r="E382" s="2">
        <v>2</v>
      </c>
      <c r="F382" s="2" t="s">
        <v>10086</v>
      </c>
      <c r="H382" s="2">
        <v>1.4E-3</v>
      </c>
      <c r="K382" s="2" t="s">
        <v>10088</v>
      </c>
    </row>
    <row r="383" spans="1:11" x14ac:dyDescent="0.2">
      <c r="A383" s="2">
        <v>95</v>
      </c>
      <c r="B383" s="2">
        <v>1</v>
      </c>
      <c r="C383" s="2">
        <v>107874654</v>
      </c>
      <c r="D383" s="2">
        <v>109271449</v>
      </c>
      <c r="E383" s="2">
        <v>3</v>
      </c>
      <c r="F383" s="2" t="s">
        <v>10086</v>
      </c>
      <c r="H383" s="2">
        <v>1.4E-3</v>
      </c>
      <c r="K383" s="2" t="s">
        <v>10085</v>
      </c>
    </row>
    <row r="384" spans="1:11" x14ac:dyDescent="0.2">
      <c r="A384" s="2">
        <v>95</v>
      </c>
      <c r="B384" s="2">
        <v>1</v>
      </c>
      <c r="C384" s="2">
        <v>107874654</v>
      </c>
      <c r="D384" s="2">
        <v>109271449</v>
      </c>
      <c r="E384" s="2">
        <v>4</v>
      </c>
      <c r="F384" s="2" t="s">
        <v>10086</v>
      </c>
      <c r="H384" s="3">
        <v>5.9999999999999995E-4</v>
      </c>
      <c r="K384" s="2" t="s">
        <v>10089</v>
      </c>
    </row>
    <row r="385" spans="1:11" x14ac:dyDescent="0.2">
      <c r="A385" s="2">
        <v>96</v>
      </c>
      <c r="B385" s="2">
        <v>1</v>
      </c>
      <c r="C385" s="2">
        <v>109271450</v>
      </c>
      <c r="D385" s="2">
        <v>110224230</v>
      </c>
      <c r="E385" s="2">
        <v>1</v>
      </c>
      <c r="F385" s="2" t="s">
        <v>10086</v>
      </c>
      <c r="H385" s="2">
        <v>2.3E-3</v>
      </c>
      <c r="K385" s="2" t="s">
        <v>10087</v>
      </c>
    </row>
    <row r="386" spans="1:11" x14ac:dyDescent="0.2">
      <c r="A386" s="2">
        <v>96</v>
      </c>
      <c r="B386" s="2">
        <v>1</v>
      </c>
      <c r="C386" s="2">
        <v>109271450</v>
      </c>
      <c r="D386" s="2">
        <v>110224230</v>
      </c>
      <c r="E386" s="2">
        <v>2</v>
      </c>
      <c r="F386" s="2" t="s">
        <v>10086</v>
      </c>
      <c r="H386" s="2">
        <v>1.2999999999999999E-3</v>
      </c>
      <c r="K386" s="2" t="s">
        <v>10088</v>
      </c>
    </row>
    <row r="387" spans="1:11" x14ac:dyDescent="0.2">
      <c r="A387" s="2">
        <v>96</v>
      </c>
      <c r="B387" s="2">
        <v>1</v>
      </c>
      <c r="C387" s="2">
        <v>109271450</v>
      </c>
      <c r="D387" s="2">
        <v>110224230</v>
      </c>
      <c r="E387" s="2">
        <v>3</v>
      </c>
      <c r="F387" s="2" t="s">
        <v>10086</v>
      </c>
      <c r="H387" s="3">
        <v>8.9999999999999998E-4</v>
      </c>
      <c r="K387" s="2" t="s">
        <v>12324</v>
      </c>
    </row>
    <row r="388" spans="1:11" x14ac:dyDescent="0.2">
      <c r="A388" s="2">
        <v>96</v>
      </c>
      <c r="B388" s="2">
        <v>1</v>
      </c>
      <c r="C388" s="2">
        <v>109271450</v>
      </c>
      <c r="D388" s="2">
        <v>110224230</v>
      </c>
      <c r="E388" s="2">
        <v>4</v>
      </c>
      <c r="F388" s="2" t="s">
        <v>10086</v>
      </c>
      <c r="H388" s="2">
        <v>1E-3</v>
      </c>
      <c r="K388" s="2" t="s">
        <v>10085</v>
      </c>
    </row>
    <row r="389" spans="1:11" x14ac:dyDescent="0.2">
      <c r="A389" s="2">
        <v>97</v>
      </c>
      <c r="B389" s="2">
        <v>1</v>
      </c>
      <c r="C389" s="2">
        <v>110224231</v>
      </c>
      <c r="D389" s="2">
        <v>111134062</v>
      </c>
      <c r="E389" s="2">
        <v>1</v>
      </c>
      <c r="F389" s="2" t="s">
        <v>10086</v>
      </c>
      <c r="H389" s="2">
        <v>2.2000000000000001E-3</v>
      </c>
      <c r="K389" s="2" t="s">
        <v>10089</v>
      </c>
    </row>
    <row r="390" spans="1:11" x14ac:dyDescent="0.2">
      <c r="A390" s="2">
        <v>97</v>
      </c>
      <c r="B390" s="2">
        <v>1</v>
      </c>
      <c r="C390" s="2">
        <v>110224231</v>
      </c>
      <c r="D390" s="2">
        <v>111134062</v>
      </c>
      <c r="E390" s="2">
        <v>2</v>
      </c>
      <c r="F390" s="2" t="s">
        <v>10086</v>
      </c>
      <c r="H390" s="2">
        <v>1.5E-3</v>
      </c>
      <c r="K390" s="2" t="s">
        <v>10088</v>
      </c>
    </row>
    <row r="391" spans="1:11" x14ac:dyDescent="0.2">
      <c r="A391" s="2">
        <v>97</v>
      </c>
      <c r="B391" s="2">
        <v>1</v>
      </c>
      <c r="C391" s="2">
        <v>110224231</v>
      </c>
      <c r="D391" s="2">
        <v>111134062</v>
      </c>
      <c r="E391" s="2">
        <v>3</v>
      </c>
      <c r="F391" s="2" t="s">
        <v>10086</v>
      </c>
      <c r="H391" s="2">
        <v>1E-3</v>
      </c>
      <c r="K391" s="2" t="s">
        <v>10087</v>
      </c>
    </row>
    <row r="392" spans="1:11" x14ac:dyDescent="0.2">
      <c r="A392" s="2">
        <v>97</v>
      </c>
      <c r="B392" s="2">
        <v>1</v>
      </c>
      <c r="C392" s="2">
        <v>110224231</v>
      </c>
      <c r="D392" s="2">
        <v>111134062</v>
      </c>
      <c r="E392" s="2">
        <v>4</v>
      </c>
      <c r="F392" s="2" t="s">
        <v>10086</v>
      </c>
      <c r="H392" s="3">
        <v>5.9999999999999995E-4</v>
      </c>
      <c r="K392" s="2" t="s">
        <v>10085</v>
      </c>
    </row>
    <row r="393" spans="1:11" x14ac:dyDescent="0.2">
      <c r="A393" s="2">
        <v>98</v>
      </c>
      <c r="B393" s="2">
        <v>1</v>
      </c>
      <c r="C393" s="2">
        <v>111134063</v>
      </c>
      <c r="D393" s="2">
        <v>112489248</v>
      </c>
      <c r="E393" s="2">
        <v>1</v>
      </c>
      <c r="F393" s="2" t="s">
        <v>10086</v>
      </c>
      <c r="H393" s="2">
        <v>1.2999999999999999E-3</v>
      </c>
      <c r="K393" s="2" t="s">
        <v>10088</v>
      </c>
    </row>
    <row r="394" spans="1:11" x14ac:dyDescent="0.2">
      <c r="A394" s="2">
        <v>98</v>
      </c>
      <c r="B394" s="2">
        <v>1</v>
      </c>
      <c r="C394" s="2">
        <v>111134063</v>
      </c>
      <c r="D394" s="2">
        <v>112489248</v>
      </c>
      <c r="E394" s="2">
        <v>2</v>
      </c>
      <c r="F394" s="2" t="s">
        <v>10086</v>
      </c>
      <c r="H394" s="2">
        <v>1.1000000000000001E-3</v>
      </c>
      <c r="K394" s="2" t="s">
        <v>10085</v>
      </c>
    </row>
    <row r="395" spans="1:11" x14ac:dyDescent="0.2">
      <c r="A395" s="2">
        <v>98</v>
      </c>
      <c r="B395" s="2">
        <v>1</v>
      </c>
      <c r="C395" s="2">
        <v>111134063</v>
      </c>
      <c r="D395" s="2">
        <v>112489248</v>
      </c>
      <c r="E395" s="2">
        <v>3</v>
      </c>
      <c r="F395" s="2" t="s">
        <v>10086</v>
      </c>
      <c r="H395" s="2">
        <v>1E-3</v>
      </c>
      <c r="K395" s="2" t="s">
        <v>10089</v>
      </c>
    </row>
    <row r="396" spans="1:11" x14ac:dyDescent="0.2">
      <c r="A396" s="2">
        <v>98</v>
      </c>
      <c r="B396" s="2">
        <v>1</v>
      </c>
      <c r="C396" s="2">
        <v>111134063</v>
      </c>
      <c r="D396" s="2">
        <v>112489248</v>
      </c>
      <c r="E396" s="2">
        <v>4</v>
      </c>
      <c r="F396" s="2" t="s">
        <v>10086</v>
      </c>
      <c r="H396" s="3">
        <v>5.0000000000000001E-4</v>
      </c>
      <c r="K396" s="2" t="s">
        <v>10087</v>
      </c>
    </row>
    <row r="397" spans="1:11" x14ac:dyDescent="0.2">
      <c r="A397" s="2">
        <v>99</v>
      </c>
      <c r="B397" s="2">
        <v>1</v>
      </c>
      <c r="C397" s="2">
        <v>112489249</v>
      </c>
      <c r="D397" s="2">
        <v>113418037</v>
      </c>
      <c r="E397" s="2">
        <v>1</v>
      </c>
      <c r="F397" s="2" t="s">
        <v>10086</v>
      </c>
      <c r="H397" s="2">
        <v>2.8E-3</v>
      </c>
      <c r="K397" s="2" t="s">
        <v>10089</v>
      </c>
    </row>
    <row r="398" spans="1:11" x14ac:dyDescent="0.2">
      <c r="A398" s="2">
        <v>99</v>
      </c>
      <c r="B398" s="2">
        <v>1</v>
      </c>
      <c r="C398" s="2">
        <v>112489249</v>
      </c>
      <c r="D398" s="2">
        <v>113418037</v>
      </c>
      <c r="E398" s="2">
        <v>2</v>
      </c>
      <c r="F398" s="2" t="s">
        <v>10086</v>
      </c>
      <c r="H398" s="2">
        <v>2.3E-3</v>
      </c>
      <c r="K398" s="2" t="s">
        <v>10087</v>
      </c>
    </row>
    <row r="399" spans="1:11" x14ac:dyDescent="0.2">
      <c r="A399" s="2">
        <v>99</v>
      </c>
      <c r="B399" s="2">
        <v>1</v>
      </c>
      <c r="C399" s="2">
        <v>112489249</v>
      </c>
      <c r="D399" s="2">
        <v>113418037</v>
      </c>
      <c r="E399" s="2">
        <v>3</v>
      </c>
      <c r="F399" s="2" t="s">
        <v>10086</v>
      </c>
      <c r="H399" s="2">
        <v>1.4E-3</v>
      </c>
      <c r="K399" s="2" t="s">
        <v>10085</v>
      </c>
    </row>
    <row r="400" spans="1:11" x14ac:dyDescent="0.2">
      <c r="A400" s="2">
        <v>99</v>
      </c>
      <c r="B400" s="2">
        <v>1</v>
      </c>
      <c r="C400" s="2">
        <v>112489249</v>
      </c>
      <c r="D400" s="2">
        <v>113418037</v>
      </c>
      <c r="E400" s="2">
        <v>4</v>
      </c>
      <c r="F400" s="2" t="s">
        <v>10086</v>
      </c>
      <c r="H400" s="3">
        <v>2.9999999999999997E-4</v>
      </c>
      <c r="K400" s="2" t="s">
        <v>10088</v>
      </c>
    </row>
    <row r="401" spans="1:11" x14ac:dyDescent="0.2">
      <c r="A401" s="2">
        <v>100</v>
      </c>
      <c r="B401" s="2">
        <v>1</v>
      </c>
      <c r="C401" s="2">
        <v>113418038</v>
      </c>
      <c r="D401" s="2">
        <v>114664387</v>
      </c>
      <c r="E401" s="2">
        <v>1</v>
      </c>
      <c r="F401" s="2" t="s">
        <v>10086</v>
      </c>
      <c r="H401" s="2">
        <v>1.1000000000000001E-3</v>
      </c>
      <c r="K401" s="2" t="s">
        <v>10088</v>
      </c>
    </row>
    <row r="402" spans="1:11" x14ac:dyDescent="0.2">
      <c r="A402" s="2">
        <v>100</v>
      </c>
      <c r="B402" s="2">
        <v>1</v>
      </c>
      <c r="C402" s="2">
        <v>113418038</v>
      </c>
      <c r="D402" s="2">
        <v>114664387</v>
      </c>
      <c r="E402" s="2">
        <v>2</v>
      </c>
      <c r="F402" s="2" t="s">
        <v>10086</v>
      </c>
      <c r="H402" s="2">
        <v>1.1000000000000001E-3</v>
      </c>
      <c r="K402" s="2" t="s">
        <v>10087</v>
      </c>
    </row>
    <row r="403" spans="1:11" x14ac:dyDescent="0.2">
      <c r="A403" s="2">
        <v>100</v>
      </c>
      <c r="B403" s="2">
        <v>1</v>
      </c>
      <c r="C403" s="2">
        <v>113418038</v>
      </c>
      <c r="D403" s="2">
        <v>114664387</v>
      </c>
      <c r="E403" s="2">
        <v>3</v>
      </c>
      <c r="F403" s="2" t="s">
        <v>10086</v>
      </c>
      <c r="H403" s="3">
        <v>5.9999999999999995E-4</v>
      </c>
      <c r="K403" s="2" t="s">
        <v>10089</v>
      </c>
    </row>
    <row r="404" spans="1:11" x14ac:dyDescent="0.2">
      <c r="A404" s="2">
        <v>100</v>
      </c>
      <c r="B404" s="2">
        <v>1</v>
      </c>
      <c r="C404" s="2">
        <v>113418038</v>
      </c>
      <c r="D404" s="2">
        <v>114664387</v>
      </c>
      <c r="E404" s="2">
        <v>4</v>
      </c>
      <c r="F404" s="2" t="s">
        <v>10086</v>
      </c>
      <c r="H404" s="3">
        <v>2.9999999999999997E-4</v>
      </c>
      <c r="K404" s="2" t="s">
        <v>10085</v>
      </c>
    </row>
    <row r="405" spans="1:11" x14ac:dyDescent="0.2">
      <c r="A405" s="2">
        <v>101</v>
      </c>
      <c r="B405" s="2">
        <v>1</v>
      </c>
      <c r="C405" s="2">
        <v>114664388</v>
      </c>
      <c r="D405" s="2">
        <v>116207297</v>
      </c>
      <c r="E405" s="2">
        <v>1</v>
      </c>
      <c r="F405" s="2" t="s">
        <v>10086</v>
      </c>
      <c r="H405" s="2">
        <v>2E-3</v>
      </c>
      <c r="K405" s="2" t="s">
        <v>10087</v>
      </c>
    </row>
    <row r="406" spans="1:11" x14ac:dyDescent="0.2">
      <c r="A406" s="2">
        <v>101</v>
      </c>
      <c r="B406" s="2">
        <v>1</v>
      </c>
      <c r="C406" s="2">
        <v>114664388</v>
      </c>
      <c r="D406" s="2">
        <v>116207297</v>
      </c>
      <c r="E406" s="2">
        <v>2</v>
      </c>
      <c r="F406" s="2" t="s">
        <v>10086</v>
      </c>
      <c r="H406" s="2">
        <v>1.2999999999999999E-3</v>
      </c>
      <c r="K406" s="2" t="s">
        <v>10088</v>
      </c>
    </row>
    <row r="407" spans="1:11" x14ac:dyDescent="0.2">
      <c r="A407" s="2">
        <v>101</v>
      </c>
      <c r="B407" s="2">
        <v>1</v>
      </c>
      <c r="C407" s="2">
        <v>114664388</v>
      </c>
      <c r="D407" s="2">
        <v>116207297</v>
      </c>
      <c r="E407" s="2">
        <v>3</v>
      </c>
      <c r="F407" s="2" t="s">
        <v>10086</v>
      </c>
      <c r="H407" s="2">
        <v>1.1000000000000001E-3</v>
      </c>
      <c r="K407" s="2" t="s">
        <v>12324</v>
      </c>
    </row>
    <row r="408" spans="1:11" x14ac:dyDescent="0.2">
      <c r="A408" s="2">
        <v>101</v>
      </c>
      <c r="B408" s="2">
        <v>1</v>
      </c>
      <c r="C408" s="2">
        <v>114664388</v>
      </c>
      <c r="D408" s="2">
        <v>116207297</v>
      </c>
      <c r="E408" s="2">
        <v>4</v>
      </c>
      <c r="F408" s="2" t="s">
        <v>10086</v>
      </c>
      <c r="H408" s="2">
        <v>1E-3</v>
      </c>
      <c r="K408" s="2" t="s">
        <v>10089</v>
      </c>
    </row>
    <row r="409" spans="1:11" x14ac:dyDescent="0.2">
      <c r="A409" s="2">
        <v>102</v>
      </c>
      <c r="B409" s="2">
        <v>1</v>
      </c>
      <c r="C409" s="2">
        <v>116207298</v>
      </c>
      <c r="D409" s="2">
        <v>117046311</v>
      </c>
      <c r="E409" s="2">
        <v>1</v>
      </c>
      <c r="F409" s="2" t="s">
        <v>10086</v>
      </c>
      <c r="H409" s="2">
        <v>2.5000000000000001E-3</v>
      </c>
      <c r="K409" s="2" t="s">
        <v>10089</v>
      </c>
    </row>
    <row r="410" spans="1:11" x14ac:dyDescent="0.2">
      <c r="A410" s="2">
        <v>102</v>
      </c>
      <c r="B410" s="2">
        <v>1</v>
      </c>
      <c r="C410" s="2">
        <v>116207298</v>
      </c>
      <c r="D410" s="2">
        <v>117046311</v>
      </c>
      <c r="E410" s="2">
        <v>2</v>
      </c>
      <c r="F410" s="2" t="s">
        <v>10086</v>
      </c>
      <c r="H410" s="2">
        <v>1.1999999999999999E-3</v>
      </c>
      <c r="K410" s="2" t="s">
        <v>10087</v>
      </c>
    </row>
    <row r="411" spans="1:11" x14ac:dyDescent="0.2">
      <c r="A411" s="2">
        <v>102</v>
      </c>
      <c r="B411" s="2">
        <v>1</v>
      </c>
      <c r="C411" s="2">
        <v>116207298</v>
      </c>
      <c r="D411" s="2">
        <v>117046311</v>
      </c>
      <c r="E411" s="2">
        <v>3</v>
      </c>
      <c r="F411" s="2" t="s">
        <v>10086</v>
      </c>
      <c r="H411" s="3">
        <v>6.9999999999999999E-4</v>
      </c>
      <c r="K411" s="2" t="s">
        <v>10088</v>
      </c>
    </row>
    <row r="412" spans="1:11" x14ac:dyDescent="0.2">
      <c r="A412" s="2">
        <v>102</v>
      </c>
      <c r="B412" s="2">
        <v>1</v>
      </c>
      <c r="C412" s="2">
        <v>116207298</v>
      </c>
      <c r="D412" s="2">
        <v>117046311</v>
      </c>
      <c r="E412" s="2">
        <v>4</v>
      </c>
      <c r="F412" s="2" t="s">
        <v>10086</v>
      </c>
      <c r="H412" s="3">
        <v>4.0000000000000002E-4</v>
      </c>
      <c r="K412" s="2" t="s">
        <v>10085</v>
      </c>
    </row>
    <row r="413" spans="1:11" x14ac:dyDescent="0.2">
      <c r="A413" s="2">
        <v>103</v>
      </c>
      <c r="B413" s="2">
        <v>1</v>
      </c>
      <c r="C413" s="2">
        <v>117046312</v>
      </c>
      <c r="D413" s="2">
        <v>118118667</v>
      </c>
      <c r="E413" s="2">
        <v>1</v>
      </c>
      <c r="F413" s="2" t="s">
        <v>10086</v>
      </c>
      <c r="H413" s="2">
        <v>2.3999999999999998E-3</v>
      </c>
      <c r="K413" s="2" t="s">
        <v>10085</v>
      </c>
    </row>
    <row r="414" spans="1:11" x14ac:dyDescent="0.2">
      <c r="A414" s="2">
        <v>103</v>
      </c>
      <c r="B414" s="2">
        <v>1</v>
      </c>
      <c r="C414" s="2">
        <v>117046312</v>
      </c>
      <c r="D414" s="2">
        <v>118118667</v>
      </c>
      <c r="E414" s="2">
        <v>2</v>
      </c>
      <c r="F414" s="2" t="s">
        <v>10086</v>
      </c>
      <c r="H414" s="2">
        <v>1.4E-3</v>
      </c>
      <c r="K414" s="2" t="s">
        <v>10088</v>
      </c>
    </row>
    <row r="415" spans="1:11" x14ac:dyDescent="0.2">
      <c r="A415" s="2">
        <v>103</v>
      </c>
      <c r="B415" s="2">
        <v>1</v>
      </c>
      <c r="C415" s="2">
        <v>117046312</v>
      </c>
      <c r="D415" s="2">
        <v>118118667</v>
      </c>
      <c r="E415" s="2">
        <v>3</v>
      </c>
      <c r="F415" s="2" t="s">
        <v>10086</v>
      </c>
      <c r="H415" s="2">
        <v>1E-3</v>
      </c>
      <c r="K415" s="2" t="s">
        <v>10089</v>
      </c>
    </row>
    <row r="416" spans="1:11" x14ac:dyDescent="0.2">
      <c r="A416" s="2">
        <v>103</v>
      </c>
      <c r="B416" s="2">
        <v>1</v>
      </c>
      <c r="C416" s="2">
        <v>117046312</v>
      </c>
      <c r="D416" s="2">
        <v>118118667</v>
      </c>
      <c r="E416" s="2">
        <v>4</v>
      </c>
      <c r="F416" s="2" t="s">
        <v>10086</v>
      </c>
      <c r="H416" s="3">
        <v>6.9999999999999999E-4</v>
      </c>
      <c r="K416" s="2" t="s">
        <v>10087</v>
      </c>
    </row>
    <row r="417" spans="1:11" x14ac:dyDescent="0.2">
      <c r="A417" s="2">
        <v>104</v>
      </c>
      <c r="B417" s="2">
        <v>1</v>
      </c>
      <c r="C417" s="2">
        <v>118118668</v>
      </c>
      <c r="D417" s="2">
        <v>119408888</v>
      </c>
      <c r="E417" s="2">
        <v>1</v>
      </c>
      <c r="F417" s="2" t="s">
        <v>10086</v>
      </c>
      <c r="H417" s="2">
        <v>1.9E-3</v>
      </c>
      <c r="K417" s="2" t="s">
        <v>10085</v>
      </c>
    </row>
    <row r="418" spans="1:11" x14ac:dyDescent="0.2">
      <c r="A418" s="2">
        <v>104</v>
      </c>
      <c r="B418" s="2">
        <v>1</v>
      </c>
      <c r="C418" s="2">
        <v>118118668</v>
      </c>
      <c r="D418" s="2">
        <v>119408888</v>
      </c>
      <c r="E418" s="2">
        <v>2</v>
      </c>
      <c r="F418" s="2" t="s">
        <v>10086</v>
      </c>
      <c r="H418" s="2">
        <v>1.2999999999999999E-3</v>
      </c>
      <c r="K418" s="2" t="s">
        <v>10089</v>
      </c>
    </row>
    <row r="419" spans="1:11" x14ac:dyDescent="0.2">
      <c r="A419" s="2">
        <v>104</v>
      </c>
      <c r="B419" s="2">
        <v>1</v>
      </c>
      <c r="C419" s="2">
        <v>118118668</v>
      </c>
      <c r="D419" s="2">
        <v>119408888</v>
      </c>
      <c r="E419" s="2">
        <v>3</v>
      </c>
      <c r="F419" s="2" t="s">
        <v>10086</v>
      </c>
      <c r="H419" s="3">
        <v>8.9999999999999998E-4</v>
      </c>
      <c r="K419" s="2" t="s">
        <v>10087</v>
      </c>
    </row>
    <row r="420" spans="1:11" x14ac:dyDescent="0.2">
      <c r="A420" s="2">
        <v>104</v>
      </c>
      <c r="B420" s="2">
        <v>1</v>
      </c>
      <c r="C420" s="2">
        <v>118118668</v>
      </c>
      <c r="D420" s="2">
        <v>119408888</v>
      </c>
      <c r="E420" s="2">
        <v>4</v>
      </c>
      <c r="F420" s="2" t="s">
        <v>10086</v>
      </c>
      <c r="H420" s="3">
        <v>5.9999999999999995E-4</v>
      </c>
      <c r="K420" s="2" t="s">
        <v>12324</v>
      </c>
    </row>
    <row r="421" spans="1:11" x14ac:dyDescent="0.2">
      <c r="A421" s="2">
        <v>105</v>
      </c>
      <c r="B421" s="2">
        <v>1</v>
      </c>
      <c r="C421" s="2">
        <v>119408889</v>
      </c>
      <c r="D421" s="2">
        <v>120345066</v>
      </c>
      <c r="E421" s="2">
        <v>1</v>
      </c>
      <c r="F421" s="2" t="s">
        <v>10086</v>
      </c>
      <c r="H421" s="3">
        <v>8.9999999999999998E-4</v>
      </c>
      <c r="K421" s="2" t="s">
        <v>10089</v>
      </c>
    </row>
    <row r="422" spans="1:11" x14ac:dyDescent="0.2">
      <c r="A422" s="2">
        <v>105</v>
      </c>
      <c r="B422" s="2">
        <v>1</v>
      </c>
      <c r="C422" s="2">
        <v>119408889</v>
      </c>
      <c r="D422" s="2">
        <v>120345066</v>
      </c>
      <c r="E422" s="2">
        <v>2</v>
      </c>
      <c r="F422" s="2" t="s">
        <v>10086</v>
      </c>
      <c r="H422" s="2">
        <v>1E-3</v>
      </c>
      <c r="K422" s="2" t="s">
        <v>10085</v>
      </c>
    </row>
    <row r="423" spans="1:11" x14ac:dyDescent="0.2">
      <c r="A423" s="2">
        <v>105</v>
      </c>
      <c r="B423" s="2">
        <v>1</v>
      </c>
      <c r="C423" s="2">
        <v>119408889</v>
      </c>
      <c r="D423" s="2">
        <v>120345066</v>
      </c>
      <c r="E423" s="2">
        <v>3</v>
      </c>
      <c r="F423" s="2" t="s">
        <v>10086</v>
      </c>
      <c r="H423" s="3">
        <v>6.9999999999999999E-4</v>
      </c>
      <c r="K423" s="2" t="s">
        <v>10088</v>
      </c>
    </row>
    <row r="424" spans="1:11" x14ac:dyDescent="0.2">
      <c r="A424" s="2">
        <v>105</v>
      </c>
      <c r="B424" s="2">
        <v>1</v>
      </c>
      <c r="C424" s="2">
        <v>119408889</v>
      </c>
      <c r="D424" s="2">
        <v>120345066</v>
      </c>
      <c r="E424" s="2">
        <v>4</v>
      </c>
      <c r="F424" s="2" t="s">
        <v>10086</v>
      </c>
      <c r="H424" s="3">
        <v>2.9999999999999997E-4</v>
      </c>
      <c r="K424" s="2" t="s">
        <v>10087</v>
      </c>
    </row>
    <row r="425" spans="1:11" x14ac:dyDescent="0.2">
      <c r="A425" s="2">
        <v>106</v>
      </c>
      <c r="B425" s="2">
        <v>1</v>
      </c>
      <c r="C425" s="2">
        <v>120345067</v>
      </c>
      <c r="D425" s="2">
        <v>145803848</v>
      </c>
      <c r="E425" s="2">
        <v>1</v>
      </c>
      <c r="F425" s="2" t="s">
        <v>10086</v>
      </c>
      <c r="H425" s="2">
        <v>1.9E-3</v>
      </c>
      <c r="K425" s="2" t="s">
        <v>12324</v>
      </c>
    </row>
    <row r="426" spans="1:11" x14ac:dyDescent="0.2">
      <c r="A426" s="2">
        <v>106</v>
      </c>
      <c r="B426" s="2">
        <v>1</v>
      </c>
      <c r="C426" s="2">
        <v>120345067</v>
      </c>
      <c r="D426" s="2">
        <v>145803848</v>
      </c>
      <c r="E426" s="2">
        <v>2</v>
      </c>
      <c r="F426" s="2" t="s">
        <v>10086</v>
      </c>
      <c r="H426" s="2">
        <v>1.4E-3</v>
      </c>
      <c r="K426" s="2" t="s">
        <v>10089</v>
      </c>
    </row>
    <row r="427" spans="1:11" x14ac:dyDescent="0.2">
      <c r="A427" s="2">
        <v>106</v>
      </c>
      <c r="B427" s="2">
        <v>1</v>
      </c>
      <c r="C427" s="2">
        <v>120345067</v>
      </c>
      <c r="D427" s="2">
        <v>145803848</v>
      </c>
      <c r="E427" s="2">
        <v>3</v>
      </c>
      <c r="F427" s="2" t="s">
        <v>10086</v>
      </c>
      <c r="H427" s="3">
        <v>5.9999999999999995E-4</v>
      </c>
      <c r="K427" s="2" t="s">
        <v>10085</v>
      </c>
    </row>
    <row r="428" spans="1:11" x14ac:dyDescent="0.2">
      <c r="A428" s="2">
        <v>106</v>
      </c>
      <c r="B428" s="2">
        <v>1</v>
      </c>
      <c r="C428" s="2">
        <v>120345067</v>
      </c>
      <c r="D428" s="2">
        <v>145803848</v>
      </c>
      <c r="E428" s="2">
        <v>4</v>
      </c>
      <c r="F428" s="2" t="s">
        <v>10086</v>
      </c>
      <c r="H428" s="3">
        <v>8.9999999999999998E-4</v>
      </c>
      <c r="K428" s="2" t="s">
        <v>10088</v>
      </c>
    </row>
    <row r="429" spans="1:11" x14ac:dyDescent="0.2">
      <c r="A429" s="2">
        <v>107</v>
      </c>
      <c r="B429" s="2">
        <v>1</v>
      </c>
      <c r="C429" s="2">
        <v>145803849</v>
      </c>
      <c r="D429" s="2">
        <v>147083835</v>
      </c>
      <c r="E429" s="2">
        <v>1</v>
      </c>
      <c r="F429" s="2" t="s">
        <v>10086</v>
      </c>
      <c r="H429" s="2">
        <v>1.1000000000000001E-3</v>
      </c>
      <c r="K429" s="2" t="s">
        <v>10087</v>
      </c>
    </row>
    <row r="430" spans="1:11" x14ac:dyDescent="0.2">
      <c r="A430" s="2">
        <v>107</v>
      </c>
      <c r="B430" s="2">
        <v>1</v>
      </c>
      <c r="C430" s="2">
        <v>145803849</v>
      </c>
      <c r="D430" s="2">
        <v>147083835</v>
      </c>
      <c r="E430" s="2">
        <v>2</v>
      </c>
      <c r="F430" s="2" t="s">
        <v>10086</v>
      </c>
      <c r="H430" s="3">
        <v>8.0000000000000004E-4</v>
      </c>
      <c r="K430" s="2" t="s">
        <v>10089</v>
      </c>
    </row>
    <row r="431" spans="1:11" x14ac:dyDescent="0.2">
      <c r="A431" s="2">
        <v>107</v>
      </c>
      <c r="B431" s="2">
        <v>1</v>
      </c>
      <c r="C431" s="2">
        <v>145803849</v>
      </c>
      <c r="D431" s="2">
        <v>147083835</v>
      </c>
      <c r="E431" s="2">
        <v>3</v>
      </c>
      <c r="F431" s="2" t="s">
        <v>10086</v>
      </c>
      <c r="H431" s="3">
        <v>5.0000000000000001E-4</v>
      </c>
      <c r="K431" s="2" t="s">
        <v>10088</v>
      </c>
    </row>
    <row r="432" spans="1:11" x14ac:dyDescent="0.2">
      <c r="A432" s="2">
        <v>107</v>
      </c>
      <c r="B432" s="2">
        <v>1</v>
      </c>
      <c r="C432" s="2">
        <v>145803849</v>
      </c>
      <c r="D432" s="2">
        <v>147083835</v>
      </c>
      <c r="E432" s="2">
        <v>4</v>
      </c>
      <c r="F432" s="2" t="s">
        <v>10086</v>
      </c>
      <c r="H432" s="3">
        <v>2.0000000000000001E-4</v>
      </c>
      <c r="K432" s="2" t="s">
        <v>10085</v>
      </c>
    </row>
    <row r="433" spans="1:11" x14ac:dyDescent="0.2">
      <c r="A433" s="2">
        <v>108</v>
      </c>
      <c r="B433" s="2">
        <v>1</v>
      </c>
      <c r="C433" s="2">
        <v>147083836</v>
      </c>
      <c r="D433" s="2">
        <v>149716037</v>
      </c>
      <c r="E433" s="2">
        <v>1</v>
      </c>
      <c r="F433" s="2" t="s">
        <v>10086</v>
      </c>
      <c r="H433" s="3">
        <v>8.0000000000000004E-4</v>
      </c>
      <c r="K433" s="2" t="s">
        <v>10085</v>
      </c>
    </row>
    <row r="434" spans="1:11" x14ac:dyDescent="0.2">
      <c r="A434" s="2">
        <v>108</v>
      </c>
      <c r="B434" s="2">
        <v>1</v>
      </c>
      <c r="C434" s="2">
        <v>147083836</v>
      </c>
      <c r="D434" s="2">
        <v>149716037</v>
      </c>
      <c r="E434" s="2">
        <v>2</v>
      </c>
      <c r="F434" s="2" t="s">
        <v>10086</v>
      </c>
      <c r="H434" s="3">
        <v>5.9999999999999995E-4</v>
      </c>
      <c r="K434" s="2" t="s">
        <v>10088</v>
      </c>
    </row>
    <row r="435" spans="1:11" x14ac:dyDescent="0.2">
      <c r="A435" s="2">
        <v>108</v>
      </c>
      <c r="B435" s="2">
        <v>1</v>
      </c>
      <c r="C435" s="2">
        <v>147083836</v>
      </c>
      <c r="D435" s="2">
        <v>149716037</v>
      </c>
      <c r="E435" s="2">
        <v>3</v>
      </c>
      <c r="F435" s="2" t="s">
        <v>10086</v>
      </c>
      <c r="H435" s="3">
        <v>5.0000000000000001E-4</v>
      </c>
      <c r="K435" s="2" t="s">
        <v>10089</v>
      </c>
    </row>
    <row r="436" spans="1:11" x14ac:dyDescent="0.2">
      <c r="A436" s="2">
        <v>108</v>
      </c>
      <c r="B436" s="2">
        <v>1</v>
      </c>
      <c r="C436" s="2">
        <v>147083836</v>
      </c>
      <c r="D436" s="2">
        <v>149716037</v>
      </c>
      <c r="E436" s="2">
        <v>4</v>
      </c>
      <c r="F436" s="2" t="s">
        <v>10086</v>
      </c>
      <c r="H436" s="3">
        <v>2.9999999999999997E-4</v>
      </c>
      <c r="K436" s="2" t="s">
        <v>10087</v>
      </c>
    </row>
    <row r="437" spans="1:11" x14ac:dyDescent="0.2">
      <c r="A437" s="2">
        <v>110</v>
      </c>
      <c r="B437" s="2">
        <v>1</v>
      </c>
      <c r="C437" s="2">
        <v>151146408</v>
      </c>
      <c r="D437" s="2">
        <v>152535630</v>
      </c>
      <c r="E437" s="2">
        <v>1</v>
      </c>
      <c r="F437" s="2" t="s">
        <v>10086</v>
      </c>
      <c r="H437" s="2">
        <v>1.4E-3</v>
      </c>
      <c r="K437" s="2" t="s">
        <v>10085</v>
      </c>
    </row>
    <row r="438" spans="1:11" x14ac:dyDescent="0.2">
      <c r="A438" s="2">
        <v>110</v>
      </c>
      <c r="B438" s="2">
        <v>1</v>
      </c>
      <c r="C438" s="2">
        <v>151146408</v>
      </c>
      <c r="D438" s="2">
        <v>152535630</v>
      </c>
      <c r="E438" s="2">
        <v>2</v>
      </c>
      <c r="F438" s="2" t="s">
        <v>10086</v>
      </c>
      <c r="H438" s="3">
        <v>8.9999999999999998E-4</v>
      </c>
      <c r="K438" s="2" t="s">
        <v>10088</v>
      </c>
    </row>
    <row r="439" spans="1:11" x14ac:dyDescent="0.2">
      <c r="A439" s="2">
        <v>110</v>
      </c>
      <c r="B439" s="2">
        <v>1</v>
      </c>
      <c r="C439" s="2">
        <v>151146408</v>
      </c>
      <c r="D439" s="2">
        <v>152535630</v>
      </c>
      <c r="E439" s="2">
        <v>3</v>
      </c>
      <c r="F439" s="2" t="s">
        <v>10086</v>
      </c>
      <c r="H439" s="3">
        <v>6.9999999999999999E-4</v>
      </c>
      <c r="K439" s="2" t="s">
        <v>10087</v>
      </c>
    </row>
    <row r="440" spans="1:11" x14ac:dyDescent="0.2">
      <c r="A440" s="2">
        <v>110</v>
      </c>
      <c r="B440" s="2">
        <v>1</v>
      </c>
      <c r="C440" s="2">
        <v>151146408</v>
      </c>
      <c r="D440" s="2">
        <v>152535630</v>
      </c>
      <c r="E440" s="2">
        <v>4</v>
      </c>
      <c r="F440" s="2" t="s">
        <v>10086</v>
      </c>
      <c r="H440" s="3">
        <v>4.0000000000000002E-4</v>
      </c>
      <c r="K440" s="2" t="s">
        <v>10089</v>
      </c>
    </row>
    <row r="441" spans="1:11" x14ac:dyDescent="0.2">
      <c r="A441" s="2">
        <v>111</v>
      </c>
      <c r="B441" s="2">
        <v>1</v>
      </c>
      <c r="C441" s="2">
        <v>152535631</v>
      </c>
      <c r="D441" s="2">
        <v>153410809</v>
      </c>
      <c r="E441" s="2">
        <v>1</v>
      </c>
      <c r="F441" s="2" t="s">
        <v>10086</v>
      </c>
      <c r="H441" s="3">
        <v>5.9999999999999995E-4</v>
      </c>
      <c r="K441" s="2" t="s">
        <v>10089</v>
      </c>
    </row>
    <row r="442" spans="1:11" x14ac:dyDescent="0.2">
      <c r="A442" s="2">
        <v>111</v>
      </c>
      <c r="B442" s="2">
        <v>1</v>
      </c>
      <c r="C442" s="2">
        <v>152535631</v>
      </c>
      <c r="D442" s="2">
        <v>153410809</v>
      </c>
      <c r="E442" s="2">
        <v>2</v>
      </c>
      <c r="F442" s="2" t="s">
        <v>10086</v>
      </c>
      <c r="H442" s="3">
        <v>5.9999999999999995E-4</v>
      </c>
      <c r="K442" s="2" t="s">
        <v>10088</v>
      </c>
    </row>
    <row r="443" spans="1:11" x14ac:dyDescent="0.2">
      <c r="A443" s="2">
        <v>111</v>
      </c>
      <c r="B443" s="2">
        <v>1</v>
      </c>
      <c r="C443" s="2">
        <v>152535631</v>
      </c>
      <c r="D443" s="2">
        <v>153410809</v>
      </c>
      <c r="E443" s="2">
        <v>3</v>
      </c>
      <c r="F443" s="2" t="s">
        <v>10086</v>
      </c>
      <c r="H443" s="3">
        <v>5.0000000000000001E-4</v>
      </c>
      <c r="K443" s="2" t="s">
        <v>10085</v>
      </c>
    </row>
    <row r="444" spans="1:11" x14ac:dyDescent="0.2">
      <c r="A444" s="2">
        <v>111</v>
      </c>
      <c r="B444" s="2">
        <v>1</v>
      </c>
      <c r="C444" s="2">
        <v>152535631</v>
      </c>
      <c r="D444" s="2">
        <v>153410809</v>
      </c>
      <c r="E444" s="2">
        <v>4</v>
      </c>
      <c r="F444" s="2" t="s">
        <v>10086</v>
      </c>
      <c r="H444" s="3">
        <v>2.0000000000000001E-4</v>
      </c>
      <c r="K444" s="2" t="s">
        <v>10087</v>
      </c>
    </row>
    <row r="445" spans="1:11" x14ac:dyDescent="0.2">
      <c r="A445" s="2">
        <v>112</v>
      </c>
      <c r="B445" s="2">
        <v>1</v>
      </c>
      <c r="C445" s="2">
        <v>153410810</v>
      </c>
      <c r="D445" s="2">
        <v>154685545</v>
      </c>
      <c r="E445" s="2">
        <v>1</v>
      </c>
      <c r="F445" s="2" t="s">
        <v>10086</v>
      </c>
      <c r="H445" s="2">
        <v>2.7000000000000001E-3</v>
      </c>
      <c r="K445" s="2" t="s">
        <v>10088</v>
      </c>
    </row>
    <row r="446" spans="1:11" x14ac:dyDescent="0.2">
      <c r="A446" s="2">
        <v>112</v>
      </c>
      <c r="B446" s="2">
        <v>1</v>
      </c>
      <c r="C446" s="2">
        <v>153410810</v>
      </c>
      <c r="D446" s="2">
        <v>154685545</v>
      </c>
      <c r="E446" s="2">
        <v>2</v>
      </c>
      <c r="F446" s="2" t="s">
        <v>10086</v>
      </c>
      <c r="H446" s="2">
        <v>1.4E-3</v>
      </c>
      <c r="K446" s="2" t="s">
        <v>10087</v>
      </c>
    </row>
    <row r="447" spans="1:11" x14ac:dyDescent="0.2">
      <c r="A447" s="2">
        <v>112</v>
      </c>
      <c r="B447" s="2">
        <v>1</v>
      </c>
      <c r="C447" s="2">
        <v>153410810</v>
      </c>
      <c r="D447" s="2">
        <v>154685545</v>
      </c>
      <c r="E447" s="2">
        <v>3</v>
      </c>
      <c r="F447" s="2" t="s">
        <v>10086</v>
      </c>
      <c r="H447" s="3">
        <v>8.9999999999999998E-4</v>
      </c>
      <c r="K447" s="2" t="s">
        <v>10085</v>
      </c>
    </row>
    <row r="448" spans="1:11" x14ac:dyDescent="0.2">
      <c r="A448" s="2">
        <v>112</v>
      </c>
      <c r="B448" s="2">
        <v>1</v>
      </c>
      <c r="C448" s="2">
        <v>153410810</v>
      </c>
      <c r="D448" s="2">
        <v>154685545</v>
      </c>
      <c r="E448" s="2">
        <v>4</v>
      </c>
      <c r="F448" s="2" t="s">
        <v>10086</v>
      </c>
      <c r="H448" s="3">
        <v>2.9999999999999997E-4</v>
      </c>
      <c r="K448" s="2" t="s">
        <v>10089</v>
      </c>
    </row>
    <row r="449" spans="1:11" x14ac:dyDescent="0.2">
      <c r="A449" s="2">
        <v>113</v>
      </c>
      <c r="B449" s="2">
        <v>1</v>
      </c>
      <c r="C449" s="2">
        <v>154685546</v>
      </c>
      <c r="D449" s="2">
        <v>156813845</v>
      </c>
      <c r="E449" s="2">
        <v>1</v>
      </c>
      <c r="F449" s="2" t="s">
        <v>10086</v>
      </c>
      <c r="H449" s="2">
        <v>1.9E-3</v>
      </c>
      <c r="K449" s="2" t="s">
        <v>10085</v>
      </c>
    </row>
    <row r="450" spans="1:11" x14ac:dyDescent="0.2">
      <c r="A450" s="2">
        <v>113</v>
      </c>
      <c r="B450" s="2">
        <v>1</v>
      </c>
      <c r="C450" s="2">
        <v>154685546</v>
      </c>
      <c r="D450" s="2">
        <v>156813845</v>
      </c>
      <c r="E450" s="2">
        <v>2</v>
      </c>
      <c r="F450" s="2" t="s">
        <v>10086</v>
      </c>
      <c r="H450" s="2">
        <v>2.2000000000000001E-3</v>
      </c>
      <c r="K450" s="2" t="s">
        <v>10087</v>
      </c>
    </row>
    <row r="451" spans="1:11" x14ac:dyDescent="0.2">
      <c r="A451" s="2">
        <v>113</v>
      </c>
      <c r="B451" s="2">
        <v>1</v>
      </c>
      <c r="C451" s="2">
        <v>154685546</v>
      </c>
      <c r="D451" s="2">
        <v>156813845</v>
      </c>
      <c r="E451" s="2">
        <v>3</v>
      </c>
      <c r="F451" s="2" t="s">
        <v>10086</v>
      </c>
      <c r="H451" s="2">
        <v>1.6000000000000001E-3</v>
      </c>
      <c r="K451" s="2" t="s">
        <v>10089</v>
      </c>
    </row>
    <row r="452" spans="1:11" x14ac:dyDescent="0.2">
      <c r="A452" s="2">
        <v>113</v>
      </c>
      <c r="B452" s="2">
        <v>1</v>
      </c>
      <c r="C452" s="2">
        <v>154685546</v>
      </c>
      <c r="D452" s="2">
        <v>156813845</v>
      </c>
      <c r="E452" s="2">
        <v>4</v>
      </c>
      <c r="F452" s="2" t="s">
        <v>10086</v>
      </c>
      <c r="H452" s="3">
        <v>8.0000000000000004E-4</v>
      </c>
      <c r="K452" s="2" t="s">
        <v>10088</v>
      </c>
    </row>
    <row r="453" spans="1:11" x14ac:dyDescent="0.2">
      <c r="A453" s="2">
        <v>114</v>
      </c>
      <c r="B453" s="2">
        <v>1</v>
      </c>
      <c r="C453" s="2">
        <v>156813846</v>
      </c>
      <c r="D453" s="2">
        <v>158081627</v>
      </c>
      <c r="E453" s="2">
        <v>1</v>
      </c>
      <c r="F453" s="2" t="s">
        <v>10086</v>
      </c>
      <c r="H453" s="2">
        <v>1.2999999999999999E-3</v>
      </c>
      <c r="K453" s="2" t="s">
        <v>10089</v>
      </c>
    </row>
    <row r="454" spans="1:11" x14ac:dyDescent="0.2">
      <c r="A454" s="2">
        <v>114</v>
      </c>
      <c r="B454" s="2">
        <v>1</v>
      </c>
      <c r="C454" s="2">
        <v>156813846</v>
      </c>
      <c r="D454" s="2">
        <v>158081627</v>
      </c>
      <c r="E454" s="2">
        <v>2</v>
      </c>
      <c r="F454" s="2" t="s">
        <v>10086</v>
      </c>
      <c r="H454" s="2">
        <v>1.1000000000000001E-3</v>
      </c>
      <c r="K454" s="2" t="s">
        <v>10085</v>
      </c>
    </row>
    <row r="455" spans="1:11" x14ac:dyDescent="0.2">
      <c r="A455" s="2">
        <v>114</v>
      </c>
      <c r="B455" s="2">
        <v>1</v>
      </c>
      <c r="C455" s="2">
        <v>156813846</v>
      </c>
      <c r="D455" s="2">
        <v>158081627</v>
      </c>
      <c r="E455" s="2">
        <v>3</v>
      </c>
      <c r="F455" s="2" t="s">
        <v>10086</v>
      </c>
      <c r="H455" s="2">
        <v>1.1999999999999999E-3</v>
      </c>
      <c r="K455" s="2" t="s">
        <v>12324</v>
      </c>
    </row>
    <row r="456" spans="1:11" x14ac:dyDescent="0.2">
      <c r="A456" s="2">
        <v>114</v>
      </c>
      <c r="B456" s="2">
        <v>1</v>
      </c>
      <c r="C456" s="2">
        <v>156813846</v>
      </c>
      <c r="D456" s="2">
        <v>158081627</v>
      </c>
      <c r="E456" s="2">
        <v>4</v>
      </c>
      <c r="F456" s="2" t="s">
        <v>10086</v>
      </c>
      <c r="H456" s="2">
        <v>1.1999999999999999E-3</v>
      </c>
      <c r="K456" s="2" t="s">
        <v>10087</v>
      </c>
    </row>
    <row r="457" spans="1:11" x14ac:dyDescent="0.2">
      <c r="A457" s="2">
        <v>115</v>
      </c>
      <c r="B457" s="2">
        <v>1</v>
      </c>
      <c r="C457" s="2">
        <v>158081628</v>
      </c>
      <c r="D457" s="2">
        <v>158900369</v>
      </c>
      <c r="E457" s="2">
        <v>1</v>
      </c>
      <c r="F457" s="2" t="s">
        <v>10086</v>
      </c>
      <c r="H457" s="2">
        <v>2.3999999999999998E-3</v>
      </c>
      <c r="K457" s="2" t="s">
        <v>10088</v>
      </c>
    </row>
    <row r="458" spans="1:11" x14ac:dyDescent="0.2">
      <c r="A458" s="2">
        <v>115</v>
      </c>
      <c r="B458" s="2">
        <v>1</v>
      </c>
      <c r="C458" s="2">
        <v>158081628</v>
      </c>
      <c r="D458" s="2">
        <v>158900369</v>
      </c>
      <c r="E458" s="2">
        <v>2</v>
      </c>
      <c r="F458" s="2" t="s">
        <v>10086</v>
      </c>
      <c r="H458" s="3">
        <v>6.9999999999999999E-4</v>
      </c>
      <c r="K458" s="2" t="s">
        <v>10087</v>
      </c>
    </row>
    <row r="459" spans="1:11" x14ac:dyDescent="0.2">
      <c r="A459" s="2">
        <v>115</v>
      </c>
      <c r="B459" s="2">
        <v>1</v>
      </c>
      <c r="C459" s="2">
        <v>158081628</v>
      </c>
      <c r="D459" s="2">
        <v>158900369</v>
      </c>
      <c r="E459" s="2">
        <v>3</v>
      </c>
      <c r="F459" s="2" t="s">
        <v>10086</v>
      </c>
      <c r="H459" s="3">
        <v>5.9999999999999995E-4</v>
      </c>
      <c r="K459" s="2" t="s">
        <v>10085</v>
      </c>
    </row>
    <row r="460" spans="1:11" x14ac:dyDescent="0.2">
      <c r="A460" s="2">
        <v>115</v>
      </c>
      <c r="B460" s="2">
        <v>1</v>
      </c>
      <c r="C460" s="2">
        <v>158081628</v>
      </c>
      <c r="D460" s="2">
        <v>158900369</v>
      </c>
      <c r="E460" s="2">
        <v>4</v>
      </c>
      <c r="F460" s="2" t="s">
        <v>10086</v>
      </c>
      <c r="H460" s="3">
        <v>4.0000000000000002E-4</v>
      </c>
      <c r="K460" s="2" t="s">
        <v>10089</v>
      </c>
    </row>
    <row r="461" spans="1:11" x14ac:dyDescent="0.2">
      <c r="A461" s="2">
        <v>116</v>
      </c>
      <c r="B461" s="2">
        <v>1</v>
      </c>
      <c r="C461" s="2">
        <v>158900370</v>
      </c>
      <c r="D461" s="2">
        <v>159882515</v>
      </c>
      <c r="E461" s="2">
        <v>1</v>
      </c>
      <c r="F461" s="2" t="s">
        <v>10086</v>
      </c>
      <c r="H461" s="2">
        <v>1.7999999999999999E-2</v>
      </c>
      <c r="K461" s="2" t="s">
        <v>10087</v>
      </c>
    </row>
    <row r="462" spans="1:11" x14ac:dyDescent="0.2">
      <c r="A462" s="2">
        <v>116</v>
      </c>
      <c r="B462" s="2">
        <v>1</v>
      </c>
      <c r="C462" s="2">
        <v>158900370</v>
      </c>
      <c r="D462" s="2">
        <v>159882515</v>
      </c>
      <c r="E462" s="2">
        <v>2</v>
      </c>
      <c r="F462" s="2" t="s">
        <v>10086</v>
      </c>
      <c r="H462" s="2">
        <v>3.0999999999999999E-3</v>
      </c>
      <c r="K462" s="2" t="s">
        <v>10089</v>
      </c>
    </row>
    <row r="463" spans="1:11" x14ac:dyDescent="0.2">
      <c r="A463" s="2">
        <v>116</v>
      </c>
      <c r="B463" s="2">
        <v>1</v>
      </c>
      <c r="C463" s="2">
        <v>158900370</v>
      </c>
      <c r="D463" s="2">
        <v>159882515</v>
      </c>
      <c r="E463" s="2">
        <v>3</v>
      </c>
      <c r="F463" s="2" t="s">
        <v>10086</v>
      </c>
      <c r="H463" s="2">
        <v>1.6999999999999999E-3</v>
      </c>
      <c r="K463" s="2" t="s">
        <v>10085</v>
      </c>
    </row>
    <row r="464" spans="1:11" x14ac:dyDescent="0.2">
      <c r="A464" s="2">
        <v>116</v>
      </c>
      <c r="B464" s="2">
        <v>1</v>
      </c>
      <c r="C464" s="2">
        <v>158900370</v>
      </c>
      <c r="D464" s="2">
        <v>159882515</v>
      </c>
      <c r="E464" s="2">
        <v>4</v>
      </c>
      <c r="F464" s="2" t="s">
        <v>10086</v>
      </c>
      <c r="H464" s="3">
        <v>5.0000000000000001E-4</v>
      </c>
      <c r="K464" s="2" t="s">
        <v>10088</v>
      </c>
    </row>
    <row r="465" spans="1:11" x14ac:dyDescent="0.2">
      <c r="A465" s="2">
        <v>117</v>
      </c>
      <c r="B465" s="2">
        <v>1</v>
      </c>
      <c r="C465" s="2">
        <v>159882516</v>
      </c>
      <c r="D465" s="2">
        <v>161054076</v>
      </c>
      <c r="E465" s="2">
        <v>1</v>
      </c>
      <c r="F465" s="2" t="s">
        <v>10086</v>
      </c>
      <c r="H465" s="2">
        <v>1.2999999999999999E-3</v>
      </c>
      <c r="K465" s="2" t="s">
        <v>10087</v>
      </c>
    </row>
    <row r="466" spans="1:11" x14ac:dyDescent="0.2">
      <c r="A466" s="2">
        <v>117</v>
      </c>
      <c r="B466" s="2">
        <v>1</v>
      </c>
      <c r="C466" s="2">
        <v>159882516</v>
      </c>
      <c r="D466" s="2">
        <v>161054076</v>
      </c>
      <c r="E466" s="2">
        <v>2</v>
      </c>
      <c r="F466" s="2" t="s">
        <v>10086</v>
      </c>
      <c r="H466" s="2">
        <v>1.1999999999999999E-3</v>
      </c>
      <c r="K466" s="2" t="s">
        <v>10088</v>
      </c>
    </row>
    <row r="467" spans="1:11" x14ac:dyDescent="0.2">
      <c r="A467" s="2">
        <v>117</v>
      </c>
      <c r="B467" s="2">
        <v>1</v>
      </c>
      <c r="C467" s="2">
        <v>159882516</v>
      </c>
      <c r="D467" s="2">
        <v>161054076</v>
      </c>
      <c r="E467" s="2">
        <v>3</v>
      </c>
      <c r="F467" s="2" t="s">
        <v>10086</v>
      </c>
      <c r="H467" s="2">
        <v>1.1000000000000001E-3</v>
      </c>
      <c r="K467" s="2" t="s">
        <v>10089</v>
      </c>
    </row>
    <row r="468" spans="1:11" x14ac:dyDescent="0.2">
      <c r="A468" s="2">
        <v>117</v>
      </c>
      <c r="B468" s="2">
        <v>1</v>
      </c>
      <c r="C468" s="2">
        <v>159882516</v>
      </c>
      <c r="D468" s="2">
        <v>161054076</v>
      </c>
      <c r="E468" s="2">
        <v>4</v>
      </c>
      <c r="F468" s="2" t="s">
        <v>10086</v>
      </c>
      <c r="H468" s="3">
        <v>6.9999999999999999E-4</v>
      </c>
      <c r="K468" s="2" t="s">
        <v>10085</v>
      </c>
    </row>
    <row r="469" spans="1:11" x14ac:dyDescent="0.2">
      <c r="A469" s="2">
        <v>118</v>
      </c>
      <c r="B469" s="2">
        <v>1</v>
      </c>
      <c r="C469" s="2">
        <v>161054077</v>
      </c>
      <c r="D469" s="2">
        <v>161945442</v>
      </c>
      <c r="E469" s="2">
        <v>1</v>
      </c>
      <c r="F469" s="2" t="s">
        <v>10086</v>
      </c>
      <c r="H469" s="2">
        <v>1.2999999999999999E-3</v>
      </c>
      <c r="K469" s="2" t="s">
        <v>10087</v>
      </c>
    </row>
    <row r="470" spans="1:11" x14ac:dyDescent="0.2">
      <c r="A470" s="2">
        <v>118</v>
      </c>
      <c r="B470" s="2">
        <v>1</v>
      </c>
      <c r="C470" s="2">
        <v>161054077</v>
      </c>
      <c r="D470" s="2">
        <v>161945442</v>
      </c>
      <c r="E470" s="2">
        <v>2</v>
      </c>
      <c r="F470" s="2" t="s">
        <v>10086</v>
      </c>
      <c r="H470" s="3">
        <v>6.9999999999999999E-4</v>
      </c>
      <c r="K470" s="2" t="s">
        <v>10085</v>
      </c>
    </row>
    <row r="471" spans="1:11" x14ac:dyDescent="0.2">
      <c r="A471" s="2">
        <v>118</v>
      </c>
      <c r="B471" s="2">
        <v>1</v>
      </c>
      <c r="C471" s="2">
        <v>161054077</v>
      </c>
      <c r="D471" s="2">
        <v>161945442</v>
      </c>
      <c r="E471" s="2">
        <v>3</v>
      </c>
      <c r="F471" s="2" t="s">
        <v>10086</v>
      </c>
      <c r="H471" s="3">
        <v>5.0000000000000001E-4</v>
      </c>
      <c r="K471" s="2" t="s">
        <v>10088</v>
      </c>
    </row>
    <row r="472" spans="1:11" x14ac:dyDescent="0.2">
      <c r="A472" s="2">
        <v>118</v>
      </c>
      <c r="B472" s="2">
        <v>1</v>
      </c>
      <c r="C472" s="2">
        <v>161054077</v>
      </c>
      <c r="D472" s="2">
        <v>161945442</v>
      </c>
      <c r="E472" s="2">
        <v>4</v>
      </c>
      <c r="F472" s="2" t="s">
        <v>10086</v>
      </c>
      <c r="H472" s="3">
        <v>2.9999999999999997E-4</v>
      </c>
      <c r="K472" s="2" t="s">
        <v>10089</v>
      </c>
    </row>
    <row r="473" spans="1:11" x14ac:dyDescent="0.2">
      <c r="A473" s="2">
        <v>119</v>
      </c>
      <c r="B473" s="2">
        <v>1</v>
      </c>
      <c r="C473" s="2">
        <v>161945443</v>
      </c>
      <c r="D473" s="2">
        <v>163141862</v>
      </c>
      <c r="E473" s="2">
        <v>1</v>
      </c>
      <c r="F473" s="2" t="s">
        <v>10086</v>
      </c>
      <c r="H473" s="2">
        <v>3.8999999999999998E-3</v>
      </c>
      <c r="K473" s="2" t="s">
        <v>10089</v>
      </c>
    </row>
    <row r="474" spans="1:11" x14ac:dyDescent="0.2">
      <c r="A474" s="2">
        <v>119</v>
      </c>
      <c r="B474" s="2">
        <v>1</v>
      </c>
      <c r="C474" s="2">
        <v>161945443</v>
      </c>
      <c r="D474" s="2">
        <v>163141862</v>
      </c>
      <c r="E474" s="2">
        <v>2</v>
      </c>
      <c r="F474" s="2" t="s">
        <v>10086</v>
      </c>
      <c r="H474" s="2">
        <v>1.9E-3</v>
      </c>
      <c r="K474" s="2" t="s">
        <v>10087</v>
      </c>
    </row>
    <row r="475" spans="1:11" x14ac:dyDescent="0.2">
      <c r="A475" s="2">
        <v>119</v>
      </c>
      <c r="B475" s="2">
        <v>1</v>
      </c>
      <c r="C475" s="2">
        <v>161945443</v>
      </c>
      <c r="D475" s="2">
        <v>163141862</v>
      </c>
      <c r="E475" s="2">
        <v>3</v>
      </c>
      <c r="F475" s="2" t="s">
        <v>10086</v>
      </c>
      <c r="H475" s="2">
        <v>2.3999999999999998E-3</v>
      </c>
      <c r="K475" s="2" t="s">
        <v>10088</v>
      </c>
    </row>
    <row r="476" spans="1:11" x14ac:dyDescent="0.2">
      <c r="A476" s="2">
        <v>119</v>
      </c>
      <c r="B476" s="2">
        <v>1</v>
      </c>
      <c r="C476" s="2">
        <v>161945443</v>
      </c>
      <c r="D476" s="2">
        <v>163141862</v>
      </c>
      <c r="E476" s="2">
        <v>4</v>
      </c>
      <c r="F476" s="2" t="s">
        <v>10086</v>
      </c>
      <c r="H476" s="2">
        <v>1.1000000000000001E-3</v>
      </c>
      <c r="K476" s="2" t="s">
        <v>12324</v>
      </c>
    </row>
    <row r="477" spans="1:11" x14ac:dyDescent="0.2">
      <c r="A477" s="2">
        <v>120</v>
      </c>
      <c r="B477" s="2">
        <v>1</v>
      </c>
      <c r="C477" s="2">
        <v>163141863</v>
      </c>
      <c r="D477" s="2">
        <v>163854567</v>
      </c>
      <c r="E477" s="2">
        <v>1</v>
      </c>
      <c r="F477" s="2" t="s">
        <v>10086</v>
      </c>
      <c r="H477" s="2">
        <v>1.6999999999999999E-3</v>
      </c>
      <c r="K477" s="2" t="s">
        <v>10087</v>
      </c>
    </row>
    <row r="478" spans="1:11" x14ac:dyDescent="0.2">
      <c r="A478" s="2">
        <v>120</v>
      </c>
      <c r="B478" s="2">
        <v>1</v>
      </c>
      <c r="C478" s="2">
        <v>163141863</v>
      </c>
      <c r="D478" s="2">
        <v>163854567</v>
      </c>
      <c r="E478" s="2">
        <v>2</v>
      </c>
      <c r="F478" s="2" t="s">
        <v>10086</v>
      </c>
      <c r="H478" s="3">
        <v>8.0000000000000004E-4</v>
      </c>
      <c r="K478" s="2" t="s">
        <v>12324</v>
      </c>
    </row>
    <row r="479" spans="1:11" x14ac:dyDescent="0.2">
      <c r="A479" s="2">
        <v>120</v>
      </c>
      <c r="B479" s="2">
        <v>1</v>
      </c>
      <c r="C479" s="2">
        <v>163141863</v>
      </c>
      <c r="D479" s="2">
        <v>163854567</v>
      </c>
      <c r="E479" s="2">
        <v>3</v>
      </c>
      <c r="F479" s="2" t="s">
        <v>10086</v>
      </c>
      <c r="H479" s="3">
        <v>6.9999999999999999E-4</v>
      </c>
      <c r="K479" s="2" t="s">
        <v>10089</v>
      </c>
    </row>
    <row r="480" spans="1:11" x14ac:dyDescent="0.2">
      <c r="A480" s="2">
        <v>120</v>
      </c>
      <c r="B480" s="2">
        <v>1</v>
      </c>
      <c r="C480" s="2">
        <v>163141863</v>
      </c>
      <c r="D480" s="2">
        <v>163854567</v>
      </c>
      <c r="E480" s="2">
        <v>4</v>
      </c>
      <c r="F480" s="2" t="s">
        <v>10086</v>
      </c>
      <c r="H480" s="3">
        <v>5.0000000000000001E-4</v>
      </c>
      <c r="K480" s="2" t="s">
        <v>10088</v>
      </c>
    </row>
    <row r="481" spans="1:11" x14ac:dyDescent="0.2">
      <c r="A481" s="2">
        <v>121</v>
      </c>
      <c r="B481" s="2">
        <v>1</v>
      </c>
      <c r="C481" s="2">
        <v>163854568</v>
      </c>
      <c r="D481" s="2">
        <v>164726579</v>
      </c>
      <c r="E481" s="2">
        <v>1</v>
      </c>
      <c r="F481" s="2" t="s">
        <v>10086</v>
      </c>
      <c r="H481" s="2">
        <v>1.1999999999999999E-3</v>
      </c>
      <c r="K481" s="2" t="s">
        <v>10085</v>
      </c>
    </row>
    <row r="482" spans="1:11" x14ac:dyDescent="0.2">
      <c r="A482" s="2">
        <v>121</v>
      </c>
      <c r="B482" s="2">
        <v>1</v>
      </c>
      <c r="C482" s="2">
        <v>163854568</v>
      </c>
      <c r="D482" s="2">
        <v>164726579</v>
      </c>
      <c r="E482" s="2">
        <v>2</v>
      </c>
      <c r="F482" s="2" t="s">
        <v>10086</v>
      </c>
      <c r="H482" s="2">
        <v>1.5E-3</v>
      </c>
      <c r="K482" s="2" t="s">
        <v>10088</v>
      </c>
    </row>
    <row r="483" spans="1:11" x14ac:dyDescent="0.2">
      <c r="A483" s="2">
        <v>121</v>
      </c>
      <c r="B483" s="2">
        <v>1</v>
      </c>
      <c r="C483" s="2">
        <v>163854568</v>
      </c>
      <c r="D483" s="2">
        <v>164726579</v>
      </c>
      <c r="E483" s="2">
        <v>3</v>
      </c>
      <c r="F483" s="2" t="s">
        <v>10086</v>
      </c>
      <c r="H483" s="3">
        <v>8.9999999999999998E-4</v>
      </c>
      <c r="K483" s="2" t="s">
        <v>10089</v>
      </c>
    </row>
    <row r="484" spans="1:11" x14ac:dyDescent="0.2">
      <c r="A484" s="2">
        <v>121</v>
      </c>
      <c r="B484" s="2">
        <v>1</v>
      </c>
      <c r="C484" s="2">
        <v>163854568</v>
      </c>
      <c r="D484" s="2">
        <v>164726579</v>
      </c>
      <c r="E484" s="2">
        <v>4</v>
      </c>
      <c r="F484" s="2" t="s">
        <v>10086</v>
      </c>
      <c r="H484" s="3">
        <v>2.9999999999999997E-4</v>
      </c>
      <c r="K484" s="2" t="s">
        <v>10087</v>
      </c>
    </row>
    <row r="485" spans="1:11" x14ac:dyDescent="0.2">
      <c r="A485" s="2">
        <v>122</v>
      </c>
      <c r="B485" s="2">
        <v>1</v>
      </c>
      <c r="C485" s="2">
        <v>164726580</v>
      </c>
      <c r="D485" s="2">
        <v>165553812</v>
      </c>
      <c r="E485" s="2">
        <v>1</v>
      </c>
      <c r="F485" s="2" t="s">
        <v>10086</v>
      </c>
      <c r="H485" s="2">
        <v>8.3000000000000001E-3</v>
      </c>
      <c r="K485" s="2" t="s">
        <v>12324</v>
      </c>
    </row>
    <row r="486" spans="1:11" x14ac:dyDescent="0.2">
      <c r="A486" s="2">
        <v>122</v>
      </c>
      <c r="B486" s="2">
        <v>1</v>
      </c>
      <c r="C486" s="2">
        <v>164726580</v>
      </c>
      <c r="D486" s="2">
        <v>165553812</v>
      </c>
      <c r="E486" s="2">
        <v>2</v>
      </c>
      <c r="F486" s="2" t="s">
        <v>10086</v>
      </c>
      <c r="H486" s="2">
        <v>1.2999999999999999E-3</v>
      </c>
      <c r="K486" s="2" t="s">
        <v>10088</v>
      </c>
    </row>
    <row r="487" spans="1:11" x14ac:dyDescent="0.2">
      <c r="A487" s="2">
        <v>122</v>
      </c>
      <c r="B487" s="2">
        <v>1</v>
      </c>
      <c r="C487" s="2">
        <v>164726580</v>
      </c>
      <c r="D487" s="2">
        <v>165553812</v>
      </c>
      <c r="E487" s="2">
        <v>3</v>
      </c>
      <c r="F487" s="2" t="s">
        <v>10086</v>
      </c>
      <c r="H487" s="3">
        <v>8.0000000000000004E-4</v>
      </c>
      <c r="K487" s="2" t="s">
        <v>10085</v>
      </c>
    </row>
    <row r="488" spans="1:11" x14ac:dyDescent="0.2">
      <c r="A488" s="2">
        <v>122</v>
      </c>
      <c r="B488" s="2">
        <v>1</v>
      </c>
      <c r="C488" s="2">
        <v>164726580</v>
      </c>
      <c r="D488" s="2">
        <v>165553812</v>
      </c>
      <c r="E488" s="2">
        <v>4</v>
      </c>
      <c r="F488" s="2" t="s">
        <v>10086</v>
      </c>
      <c r="H488" s="3">
        <v>6.9999999999999999E-4</v>
      </c>
      <c r="K488" s="2" t="s">
        <v>10089</v>
      </c>
    </row>
    <row r="489" spans="1:11" x14ac:dyDescent="0.2">
      <c r="A489" s="2">
        <v>123</v>
      </c>
      <c r="B489" s="2">
        <v>1</v>
      </c>
      <c r="C489" s="2">
        <v>165553813</v>
      </c>
      <c r="D489" s="2">
        <v>166458031</v>
      </c>
      <c r="E489" s="2">
        <v>1</v>
      </c>
      <c r="F489" s="2" t="s">
        <v>10086</v>
      </c>
      <c r="H489" s="2">
        <v>8.9999999999999993E-3</v>
      </c>
      <c r="K489" s="2" t="s">
        <v>10085</v>
      </c>
    </row>
    <row r="490" spans="1:11" x14ac:dyDescent="0.2">
      <c r="A490" s="2">
        <v>123</v>
      </c>
      <c r="B490" s="2">
        <v>1</v>
      </c>
      <c r="C490" s="2">
        <v>165553813</v>
      </c>
      <c r="D490" s="2">
        <v>166458031</v>
      </c>
      <c r="E490" s="2">
        <v>2</v>
      </c>
      <c r="F490" s="2" t="s">
        <v>10086</v>
      </c>
      <c r="H490" s="2">
        <v>1.8E-3</v>
      </c>
      <c r="K490" s="2" t="s">
        <v>12324</v>
      </c>
    </row>
    <row r="491" spans="1:11" x14ac:dyDescent="0.2">
      <c r="A491" s="2">
        <v>123</v>
      </c>
      <c r="B491" s="2">
        <v>1</v>
      </c>
      <c r="C491" s="2">
        <v>165553813</v>
      </c>
      <c r="D491" s="2">
        <v>166458031</v>
      </c>
      <c r="E491" s="2">
        <v>3</v>
      </c>
      <c r="F491" s="2" t="s">
        <v>10086</v>
      </c>
      <c r="H491" s="3">
        <v>8.0000000000000004E-4</v>
      </c>
      <c r="K491" s="2" t="s">
        <v>10089</v>
      </c>
    </row>
    <row r="492" spans="1:11" x14ac:dyDescent="0.2">
      <c r="A492" s="2">
        <v>123</v>
      </c>
      <c r="B492" s="2">
        <v>1</v>
      </c>
      <c r="C492" s="2">
        <v>165553813</v>
      </c>
      <c r="D492" s="2">
        <v>166458031</v>
      </c>
      <c r="E492" s="2">
        <v>4</v>
      </c>
      <c r="F492" s="2" t="s">
        <v>10086</v>
      </c>
      <c r="H492" s="3">
        <v>8.0000000000000004E-4</v>
      </c>
      <c r="K492" s="2" t="s">
        <v>10088</v>
      </c>
    </row>
    <row r="493" spans="1:11" x14ac:dyDescent="0.2">
      <c r="A493" s="2">
        <v>124</v>
      </c>
      <c r="B493" s="2">
        <v>1</v>
      </c>
      <c r="C493" s="2">
        <v>166458032</v>
      </c>
      <c r="D493" s="2">
        <v>167163954</v>
      </c>
      <c r="E493" s="2">
        <v>1</v>
      </c>
      <c r="F493" s="2" t="s">
        <v>10086</v>
      </c>
      <c r="H493" s="3">
        <v>8.9999999999999998E-4</v>
      </c>
      <c r="K493" s="2" t="s">
        <v>10088</v>
      </c>
    </row>
    <row r="494" spans="1:11" x14ac:dyDescent="0.2">
      <c r="A494" s="2">
        <v>124</v>
      </c>
      <c r="B494" s="2">
        <v>1</v>
      </c>
      <c r="C494" s="2">
        <v>166458032</v>
      </c>
      <c r="D494" s="2">
        <v>167163954</v>
      </c>
      <c r="E494" s="2">
        <v>2</v>
      </c>
      <c r="F494" s="2" t="s">
        <v>10086</v>
      </c>
      <c r="H494" s="3">
        <v>5.0000000000000001E-4</v>
      </c>
      <c r="K494" s="2" t="s">
        <v>10087</v>
      </c>
    </row>
    <row r="495" spans="1:11" x14ac:dyDescent="0.2">
      <c r="A495" s="2">
        <v>124</v>
      </c>
      <c r="B495" s="2">
        <v>1</v>
      </c>
      <c r="C495" s="2">
        <v>166458032</v>
      </c>
      <c r="D495" s="2">
        <v>167163954</v>
      </c>
      <c r="E495" s="2">
        <v>3</v>
      </c>
      <c r="F495" s="2" t="s">
        <v>10086</v>
      </c>
      <c r="H495" s="3">
        <v>4.0000000000000002E-4</v>
      </c>
      <c r="K495" s="2" t="s">
        <v>10085</v>
      </c>
    </row>
    <row r="496" spans="1:11" x14ac:dyDescent="0.2">
      <c r="A496" s="2">
        <v>124</v>
      </c>
      <c r="B496" s="2">
        <v>1</v>
      </c>
      <c r="C496" s="2">
        <v>166458032</v>
      </c>
      <c r="D496" s="2">
        <v>167163954</v>
      </c>
      <c r="E496" s="2">
        <v>4</v>
      </c>
      <c r="F496" s="2" t="s">
        <v>10086</v>
      </c>
      <c r="H496" s="3">
        <v>2.0000000000000001E-4</v>
      </c>
      <c r="K496" s="2" t="s">
        <v>10089</v>
      </c>
    </row>
    <row r="497" spans="1:11" x14ac:dyDescent="0.2">
      <c r="A497" s="2">
        <v>125</v>
      </c>
      <c r="B497" s="2">
        <v>1</v>
      </c>
      <c r="C497" s="2">
        <v>167163955</v>
      </c>
      <c r="D497" s="2">
        <v>168179086</v>
      </c>
      <c r="E497" s="2">
        <v>1</v>
      </c>
      <c r="F497" s="2" t="s">
        <v>10086</v>
      </c>
      <c r="H497" s="2">
        <v>2E-3</v>
      </c>
      <c r="K497" s="2" t="s">
        <v>10088</v>
      </c>
    </row>
    <row r="498" spans="1:11" x14ac:dyDescent="0.2">
      <c r="A498" s="2">
        <v>125</v>
      </c>
      <c r="B498" s="2">
        <v>1</v>
      </c>
      <c r="C498" s="2">
        <v>167163955</v>
      </c>
      <c r="D498" s="2">
        <v>168179086</v>
      </c>
      <c r="E498" s="2">
        <v>2</v>
      </c>
      <c r="F498" s="2" t="s">
        <v>10086</v>
      </c>
      <c r="H498" s="3">
        <v>8.9999999999999998E-4</v>
      </c>
      <c r="K498" s="2" t="s">
        <v>10085</v>
      </c>
    </row>
    <row r="499" spans="1:11" x14ac:dyDescent="0.2">
      <c r="A499" s="2">
        <v>125</v>
      </c>
      <c r="B499" s="2">
        <v>1</v>
      </c>
      <c r="C499" s="2">
        <v>167163955</v>
      </c>
      <c r="D499" s="2">
        <v>168179086</v>
      </c>
      <c r="E499" s="2">
        <v>3</v>
      </c>
      <c r="F499" s="2" t="s">
        <v>10086</v>
      </c>
      <c r="H499" s="3">
        <v>6.9999999999999999E-4</v>
      </c>
      <c r="K499" s="2" t="s">
        <v>10089</v>
      </c>
    </row>
    <row r="500" spans="1:11" x14ac:dyDescent="0.2">
      <c r="A500" s="2">
        <v>125</v>
      </c>
      <c r="B500" s="2">
        <v>1</v>
      </c>
      <c r="C500" s="2">
        <v>167163955</v>
      </c>
      <c r="D500" s="2">
        <v>168179086</v>
      </c>
      <c r="E500" s="2">
        <v>4</v>
      </c>
      <c r="F500" s="2" t="s">
        <v>10086</v>
      </c>
      <c r="H500" s="3">
        <v>5.9999999999999995E-4</v>
      </c>
      <c r="K500" s="2" t="s">
        <v>10087</v>
      </c>
    </row>
    <row r="501" spans="1:11" x14ac:dyDescent="0.2">
      <c r="A501" s="2">
        <v>126</v>
      </c>
      <c r="B501" s="2">
        <v>1</v>
      </c>
      <c r="C501" s="2">
        <v>168179087</v>
      </c>
      <c r="D501" s="2">
        <v>169521551</v>
      </c>
      <c r="E501" s="2">
        <v>1</v>
      </c>
      <c r="F501" s="2" t="s">
        <v>10086</v>
      </c>
      <c r="H501" s="2">
        <v>3.7000000000000002E-3</v>
      </c>
      <c r="K501" s="2" t="s">
        <v>10085</v>
      </c>
    </row>
    <row r="502" spans="1:11" x14ac:dyDescent="0.2">
      <c r="A502" s="2">
        <v>126</v>
      </c>
      <c r="B502" s="2">
        <v>1</v>
      </c>
      <c r="C502" s="2">
        <v>168179087</v>
      </c>
      <c r="D502" s="2">
        <v>169521551</v>
      </c>
      <c r="E502" s="2">
        <v>2</v>
      </c>
      <c r="F502" s="2" t="s">
        <v>10086</v>
      </c>
      <c r="H502" s="2">
        <v>2.0999999999999999E-3</v>
      </c>
      <c r="K502" s="2" t="s">
        <v>10087</v>
      </c>
    </row>
    <row r="503" spans="1:11" x14ac:dyDescent="0.2">
      <c r="A503" s="2">
        <v>126</v>
      </c>
      <c r="B503" s="2">
        <v>1</v>
      </c>
      <c r="C503" s="2">
        <v>168179087</v>
      </c>
      <c r="D503" s="2">
        <v>169521551</v>
      </c>
      <c r="E503" s="2">
        <v>3</v>
      </c>
      <c r="F503" s="2" t="s">
        <v>10086</v>
      </c>
      <c r="H503" s="2">
        <v>1.5E-3</v>
      </c>
      <c r="K503" s="2" t="s">
        <v>10088</v>
      </c>
    </row>
    <row r="504" spans="1:11" x14ac:dyDescent="0.2">
      <c r="A504" s="2">
        <v>126</v>
      </c>
      <c r="B504" s="2">
        <v>1</v>
      </c>
      <c r="C504" s="2">
        <v>168179087</v>
      </c>
      <c r="D504" s="2">
        <v>169521551</v>
      </c>
      <c r="E504" s="2">
        <v>4</v>
      </c>
      <c r="F504" s="2" t="s">
        <v>10086</v>
      </c>
      <c r="H504" s="2">
        <v>1.1000000000000001E-3</v>
      </c>
      <c r="K504" s="2" t="s">
        <v>10089</v>
      </c>
    </row>
    <row r="505" spans="1:11" x14ac:dyDescent="0.2">
      <c r="A505" s="2">
        <v>127</v>
      </c>
      <c r="B505" s="2">
        <v>1</v>
      </c>
      <c r="C505" s="2">
        <v>169521552</v>
      </c>
      <c r="D505" s="2">
        <v>170193207</v>
      </c>
      <c r="E505" s="2">
        <v>1</v>
      </c>
      <c r="F505" s="2" t="s">
        <v>10086</v>
      </c>
      <c r="H505" s="2">
        <v>1.9E-3</v>
      </c>
      <c r="K505" s="2" t="s">
        <v>10085</v>
      </c>
    </row>
    <row r="506" spans="1:11" x14ac:dyDescent="0.2">
      <c r="A506" s="2">
        <v>127</v>
      </c>
      <c r="B506" s="2">
        <v>1</v>
      </c>
      <c r="C506" s="2">
        <v>169521552</v>
      </c>
      <c r="D506" s="2">
        <v>170193207</v>
      </c>
      <c r="E506" s="2">
        <v>2</v>
      </c>
      <c r="F506" s="2" t="s">
        <v>10086</v>
      </c>
      <c r="H506" s="3">
        <v>5.9999999999999995E-4</v>
      </c>
      <c r="K506" s="2" t="s">
        <v>10087</v>
      </c>
    </row>
    <row r="507" spans="1:11" x14ac:dyDescent="0.2">
      <c r="A507" s="2">
        <v>127</v>
      </c>
      <c r="B507" s="2">
        <v>1</v>
      </c>
      <c r="C507" s="2">
        <v>169521552</v>
      </c>
      <c r="D507" s="2">
        <v>170193207</v>
      </c>
      <c r="E507" s="2">
        <v>3</v>
      </c>
      <c r="F507" s="2" t="s">
        <v>10086</v>
      </c>
      <c r="H507" s="3">
        <v>5.9999999999999995E-4</v>
      </c>
      <c r="K507" s="2" t="s">
        <v>10089</v>
      </c>
    </row>
    <row r="508" spans="1:11" x14ac:dyDescent="0.2">
      <c r="A508" s="2">
        <v>127</v>
      </c>
      <c r="B508" s="2">
        <v>1</v>
      </c>
      <c r="C508" s="2">
        <v>169521552</v>
      </c>
      <c r="D508" s="2">
        <v>170193207</v>
      </c>
      <c r="E508" s="2">
        <v>4</v>
      </c>
      <c r="F508" s="2" t="s">
        <v>10086</v>
      </c>
      <c r="H508" s="3">
        <v>2.9999999999999997E-4</v>
      </c>
      <c r="K508" s="2" t="s">
        <v>10088</v>
      </c>
    </row>
    <row r="509" spans="1:11" x14ac:dyDescent="0.2">
      <c r="A509" s="2">
        <v>128</v>
      </c>
      <c r="B509" s="2">
        <v>1</v>
      </c>
      <c r="C509" s="2">
        <v>170193208</v>
      </c>
      <c r="D509" s="2">
        <v>171044255</v>
      </c>
      <c r="E509" s="2">
        <v>1</v>
      </c>
      <c r="F509" s="2" t="s">
        <v>10086</v>
      </c>
      <c r="H509" s="3">
        <v>8.9999999999999998E-4</v>
      </c>
      <c r="K509" s="2" t="s">
        <v>10085</v>
      </c>
    </row>
    <row r="510" spans="1:11" x14ac:dyDescent="0.2">
      <c r="A510" s="2">
        <v>128</v>
      </c>
      <c r="B510" s="2">
        <v>1</v>
      </c>
      <c r="C510" s="2">
        <v>170193208</v>
      </c>
      <c r="D510" s="2">
        <v>171044255</v>
      </c>
      <c r="E510" s="2">
        <v>2</v>
      </c>
      <c r="F510" s="2" t="s">
        <v>10086</v>
      </c>
      <c r="H510" s="3">
        <v>5.9999999999999995E-4</v>
      </c>
      <c r="K510" s="2" t="s">
        <v>10089</v>
      </c>
    </row>
    <row r="511" spans="1:11" x14ac:dyDescent="0.2">
      <c r="A511" s="2">
        <v>128</v>
      </c>
      <c r="B511" s="2">
        <v>1</v>
      </c>
      <c r="C511" s="2">
        <v>170193208</v>
      </c>
      <c r="D511" s="2">
        <v>171044255</v>
      </c>
      <c r="E511" s="2">
        <v>3</v>
      </c>
      <c r="F511" s="2" t="s">
        <v>10086</v>
      </c>
      <c r="H511" s="3">
        <v>6.9999999999999999E-4</v>
      </c>
      <c r="K511" s="2" t="s">
        <v>10087</v>
      </c>
    </row>
    <row r="512" spans="1:11" x14ac:dyDescent="0.2">
      <c r="A512" s="2">
        <v>128</v>
      </c>
      <c r="B512" s="2">
        <v>1</v>
      </c>
      <c r="C512" s="2">
        <v>170193208</v>
      </c>
      <c r="D512" s="2">
        <v>171044255</v>
      </c>
      <c r="E512" s="2">
        <v>4</v>
      </c>
      <c r="F512" s="2" t="s">
        <v>10086</v>
      </c>
      <c r="H512" s="3">
        <v>2.9999999999999997E-4</v>
      </c>
      <c r="K512" s="2" t="s">
        <v>10088</v>
      </c>
    </row>
    <row r="513" spans="1:11" x14ac:dyDescent="0.2">
      <c r="A513" s="2">
        <v>129</v>
      </c>
      <c r="B513" s="2">
        <v>1</v>
      </c>
      <c r="C513" s="2">
        <v>171044256</v>
      </c>
      <c r="D513" s="2">
        <v>172465153</v>
      </c>
      <c r="E513" s="2">
        <v>1</v>
      </c>
      <c r="F513" s="2" t="s">
        <v>10086</v>
      </c>
      <c r="H513" s="2">
        <v>1.2999999999999999E-3</v>
      </c>
      <c r="K513" s="2" t="s">
        <v>10089</v>
      </c>
    </row>
    <row r="514" spans="1:11" x14ac:dyDescent="0.2">
      <c r="A514" s="2">
        <v>129</v>
      </c>
      <c r="B514" s="2">
        <v>1</v>
      </c>
      <c r="C514" s="2">
        <v>171044256</v>
      </c>
      <c r="D514" s="2">
        <v>172465153</v>
      </c>
      <c r="E514" s="2">
        <v>2</v>
      </c>
      <c r="F514" s="2" t="s">
        <v>10086</v>
      </c>
      <c r="H514" s="2">
        <v>1.1000000000000001E-3</v>
      </c>
      <c r="K514" s="2" t="s">
        <v>10088</v>
      </c>
    </row>
    <row r="515" spans="1:11" x14ac:dyDescent="0.2">
      <c r="A515" s="2">
        <v>129</v>
      </c>
      <c r="B515" s="2">
        <v>1</v>
      </c>
      <c r="C515" s="2">
        <v>171044256</v>
      </c>
      <c r="D515" s="2">
        <v>172465153</v>
      </c>
      <c r="E515" s="2">
        <v>3</v>
      </c>
      <c r="F515" s="2" t="s">
        <v>10086</v>
      </c>
      <c r="H515" s="3">
        <v>6.9999999999999999E-4</v>
      </c>
      <c r="K515" s="2" t="s">
        <v>10087</v>
      </c>
    </row>
    <row r="516" spans="1:11" x14ac:dyDescent="0.2">
      <c r="A516" s="2">
        <v>129</v>
      </c>
      <c r="B516" s="2">
        <v>1</v>
      </c>
      <c r="C516" s="2">
        <v>171044256</v>
      </c>
      <c r="D516" s="2">
        <v>172465153</v>
      </c>
      <c r="E516" s="2">
        <v>4</v>
      </c>
      <c r="F516" s="2" t="s">
        <v>10086</v>
      </c>
      <c r="H516" s="3">
        <v>4.0000000000000002E-4</v>
      </c>
      <c r="K516" s="2" t="s">
        <v>10085</v>
      </c>
    </row>
    <row r="517" spans="1:11" x14ac:dyDescent="0.2">
      <c r="A517" s="2">
        <v>130</v>
      </c>
      <c r="B517" s="2">
        <v>1</v>
      </c>
      <c r="C517" s="2">
        <v>172465154</v>
      </c>
      <c r="D517" s="2">
        <v>173582511</v>
      </c>
      <c r="E517" s="2">
        <v>1</v>
      </c>
      <c r="F517" s="2" t="s">
        <v>10086</v>
      </c>
      <c r="H517" s="2">
        <v>2.5000000000000001E-3</v>
      </c>
      <c r="K517" s="2" t="s">
        <v>10085</v>
      </c>
    </row>
    <row r="518" spans="1:11" x14ac:dyDescent="0.2">
      <c r="A518" s="2">
        <v>130</v>
      </c>
      <c r="B518" s="2">
        <v>1</v>
      </c>
      <c r="C518" s="2">
        <v>172465154</v>
      </c>
      <c r="D518" s="2">
        <v>173582511</v>
      </c>
      <c r="E518" s="2">
        <v>2</v>
      </c>
      <c r="F518" s="2" t="s">
        <v>10086</v>
      </c>
      <c r="H518" s="2">
        <v>3.2000000000000002E-3</v>
      </c>
      <c r="K518" s="2" t="s">
        <v>10087</v>
      </c>
    </row>
    <row r="519" spans="1:11" x14ac:dyDescent="0.2">
      <c r="A519" s="2">
        <v>130</v>
      </c>
      <c r="B519" s="2">
        <v>1</v>
      </c>
      <c r="C519" s="2">
        <v>172465154</v>
      </c>
      <c r="D519" s="2">
        <v>173582511</v>
      </c>
      <c r="E519" s="2">
        <v>3</v>
      </c>
      <c r="F519" s="2" t="s">
        <v>10086</v>
      </c>
      <c r="H519" s="2">
        <v>1.1999999999999999E-3</v>
      </c>
      <c r="K519" s="2" t="s">
        <v>10089</v>
      </c>
    </row>
    <row r="520" spans="1:11" x14ac:dyDescent="0.2">
      <c r="A520" s="2">
        <v>130</v>
      </c>
      <c r="B520" s="2">
        <v>1</v>
      </c>
      <c r="C520" s="2">
        <v>172465154</v>
      </c>
      <c r="D520" s="2">
        <v>173582511</v>
      </c>
      <c r="E520" s="2">
        <v>4</v>
      </c>
      <c r="F520" s="2" t="s">
        <v>10086</v>
      </c>
      <c r="H520" s="3">
        <v>5.9999999999999995E-4</v>
      </c>
      <c r="K520" s="2" t="s">
        <v>10088</v>
      </c>
    </row>
    <row r="521" spans="1:11" x14ac:dyDescent="0.2">
      <c r="A521" s="2">
        <v>131</v>
      </c>
      <c r="B521" s="2">
        <v>1</v>
      </c>
      <c r="C521" s="2">
        <v>173582512</v>
      </c>
      <c r="D521" s="2">
        <v>175385220</v>
      </c>
      <c r="E521" s="2">
        <v>1</v>
      </c>
      <c r="F521" s="2" t="s">
        <v>10086</v>
      </c>
      <c r="H521" s="2">
        <v>2.8999999999999998E-3</v>
      </c>
      <c r="K521" s="2" t="s">
        <v>10089</v>
      </c>
    </row>
    <row r="522" spans="1:11" x14ac:dyDescent="0.2">
      <c r="A522" s="2">
        <v>131</v>
      </c>
      <c r="B522" s="2">
        <v>1</v>
      </c>
      <c r="C522" s="2">
        <v>173582512</v>
      </c>
      <c r="D522" s="2">
        <v>175385220</v>
      </c>
      <c r="E522" s="2">
        <v>2</v>
      </c>
      <c r="F522" s="2" t="s">
        <v>10086</v>
      </c>
      <c r="H522" s="2">
        <v>2.3999999999999998E-3</v>
      </c>
      <c r="K522" s="2" t="s">
        <v>10087</v>
      </c>
    </row>
    <row r="523" spans="1:11" x14ac:dyDescent="0.2">
      <c r="A523" s="2">
        <v>131</v>
      </c>
      <c r="B523" s="2">
        <v>1</v>
      </c>
      <c r="C523" s="2">
        <v>173582512</v>
      </c>
      <c r="D523" s="2">
        <v>175385220</v>
      </c>
      <c r="E523" s="2">
        <v>3</v>
      </c>
      <c r="F523" s="2" t="s">
        <v>10086</v>
      </c>
      <c r="H523" s="3">
        <v>8.9999999999999998E-4</v>
      </c>
      <c r="K523" s="2" t="s">
        <v>12324</v>
      </c>
    </row>
    <row r="524" spans="1:11" x14ac:dyDescent="0.2">
      <c r="A524" s="2">
        <v>131</v>
      </c>
      <c r="B524" s="2">
        <v>1</v>
      </c>
      <c r="C524" s="2">
        <v>173582512</v>
      </c>
      <c r="D524" s="2">
        <v>175385220</v>
      </c>
      <c r="E524" s="2">
        <v>4</v>
      </c>
      <c r="F524" s="2" t="s">
        <v>10086</v>
      </c>
      <c r="H524" s="3">
        <v>8.9999999999999998E-4</v>
      </c>
      <c r="K524" s="2" t="s">
        <v>10088</v>
      </c>
    </row>
    <row r="525" spans="1:11" x14ac:dyDescent="0.2">
      <c r="A525" s="2">
        <v>132</v>
      </c>
      <c r="B525" s="2">
        <v>1</v>
      </c>
      <c r="C525" s="2">
        <v>175385221</v>
      </c>
      <c r="D525" s="2">
        <v>176449096</v>
      </c>
      <c r="E525" s="2">
        <v>1</v>
      </c>
      <c r="F525" s="2" t="s">
        <v>10086</v>
      </c>
      <c r="H525" s="2">
        <v>1.9599999999999999E-2</v>
      </c>
      <c r="K525" s="2" t="s">
        <v>10089</v>
      </c>
    </row>
    <row r="526" spans="1:11" x14ac:dyDescent="0.2">
      <c r="A526" s="2">
        <v>132</v>
      </c>
      <c r="B526" s="2">
        <v>1</v>
      </c>
      <c r="C526" s="2">
        <v>175385221</v>
      </c>
      <c r="D526" s="2">
        <v>176449096</v>
      </c>
      <c r="E526" s="2">
        <v>2</v>
      </c>
      <c r="F526" s="2" t="s">
        <v>10086</v>
      </c>
      <c r="H526" s="2">
        <v>2.8999999999999998E-3</v>
      </c>
      <c r="K526" s="2" t="s">
        <v>10087</v>
      </c>
    </row>
    <row r="527" spans="1:11" x14ac:dyDescent="0.2">
      <c r="A527" s="2">
        <v>132</v>
      </c>
      <c r="B527" s="2">
        <v>1</v>
      </c>
      <c r="C527" s="2">
        <v>175385221</v>
      </c>
      <c r="D527" s="2">
        <v>176449096</v>
      </c>
      <c r="E527" s="2">
        <v>3</v>
      </c>
      <c r="F527" s="2" t="s">
        <v>10086</v>
      </c>
      <c r="H527" s="2">
        <v>1.5E-3</v>
      </c>
      <c r="K527" s="2" t="s">
        <v>10088</v>
      </c>
    </row>
    <row r="528" spans="1:11" x14ac:dyDescent="0.2">
      <c r="A528" s="2">
        <v>132</v>
      </c>
      <c r="B528" s="2">
        <v>1</v>
      </c>
      <c r="C528" s="2">
        <v>175385221</v>
      </c>
      <c r="D528" s="2">
        <v>176449096</v>
      </c>
      <c r="E528" s="2">
        <v>4</v>
      </c>
      <c r="F528" s="2" t="s">
        <v>10086</v>
      </c>
      <c r="H528" s="3">
        <v>6.9999999999999999E-4</v>
      </c>
      <c r="K528" s="2" t="s">
        <v>10085</v>
      </c>
    </row>
    <row r="529" spans="1:11" x14ac:dyDescent="0.2">
      <c r="A529" s="2">
        <v>133</v>
      </c>
      <c r="B529" s="2">
        <v>1</v>
      </c>
      <c r="C529" s="2">
        <v>176449097</v>
      </c>
      <c r="D529" s="2">
        <v>177746472</v>
      </c>
      <c r="E529" s="2">
        <v>1</v>
      </c>
      <c r="F529" s="2" t="s">
        <v>10086</v>
      </c>
      <c r="H529" s="2">
        <v>2.2000000000000001E-3</v>
      </c>
      <c r="K529" s="2" t="s">
        <v>10088</v>
      </c>
    </row>
    <row r="530" spans="1:11" x14ac:dyDescent="0.2">
      <c r="A530" s="2">
        <v>133</v>
      </c>
      <c r="B530" s="2">
        <v>1</v>
      </c>
      <c r="C530" s="2">
        <v>176449097</v>
      </c>
      <c r="D530" s="2">
        <v>177746472</v>
      </c>
      <c r="E530" s="2">
        <v>2</v>
      </c>
      <c r="F530" s="2" t="s">
        <v>10086</v>
      </c>
      <c r="H530" s="2">
        <v>1.6000000000000001E-3</v>
      </c>
      <c r="K530" s="2" t="s">
        <v>10089</v>
      </c>
    </row>
    <row r="531" spans="1:11" x14ac:dyDescent="0.2">
      <c r="A531" s="2">
        <v>133</v>
      </c>
      <c r="B531" s="2">
        <v>1</v>
      </c>
      <c r="C531" s="2">
        <v>176449097</v>
      </c>
      <c r="D531" s="2">
        <v>177746472</v>
      </c>
      <c r="E531" s="2">
        <v>3</v>
      </c>
      <c r="F531" s="2" t="s">
        <v>10086</v>
      </c>
      <c r="H531" s="2">
        <v>1E-3</v>
      </c>
      <c r="K531" s="2" t="s">
        <v>10087</v>
      </c>
    </row>
    <row r="532" spans="1:11" x14ac:dyDescent="0.2">
      <c r="A532" s="2">
        <v>133</v>
      </c>
      <c r="B532" s="2">
        <v>1</v>
      </c>
      <c r="C532" s="2">
        <v>176449097</v>
      </c>
      <c r="D532" s="2">
        <v>177746472</v>
      </c>
      <c r="E532" s="2">
        <v>4</v>
      </c>
      <c r="F532" s="2" t="s">
        <v>10086</v>
      </c>
      <c r="H532" s="3">
        <v>6.9999999999999999E-4</v>
      </c>
      <c r="K532" s="2" t="s">
        <v>10085</v>
      </c>
    </row>
    <row r="533" spans="1:11" x14ac:dyDescent="0.2">
      <c r="A533" s="2">
        <v>134</v>
      </c>
      <c r="B533" s="2">
        <v>1</v>
      </c>
      <c r="C533" s="2">
        <v>177746473</v>
      </c>
      <c r="D533" s="2">
        <v>178915113</v>
      </c>
      <c r="E533" s="2">
        <v>1</v>
      </c>
      <c r="F533" s="2" t="s">
        <v>10086</v>
      </c>
      <c r="H533" s="2">
        <v>1.2999999999999999E-3</v>
      </c>
      <c r="K533" s="2" t="s">
        <v>10088</v>
      </c>
    </row>
    <row r="534" spans="1:11" x14ac:dyDescent="0.2">
      <c r="A534" s="2">
        <v>134</v>
      </c>
      <c r="B534" s="2">
        <v>1</v>
      </c>
      <c r="C534" s="2">
        <v>177746473</v>
      </c>
      <c r="D534" s="2">
        <v>178915113</v>
      </c>
      <c r="E534" s="2">
        <v>2</v>
      </c>
      <c r="F534" s="2" t="s">
        <v>10086</v>
      </c>
      <c r="H534" s="3">
        <v>6.9999999999999999E-4</v>
      </c>
      <c r="K534" s="2" t="s">
        <v>10087</v>
      </c>
    </row>
    <row r="535" spans="1:11" x14ac:dyDescent="0.2">
      <c r="A535" s="2">
        <v>134</v>
      </c>
      <c r="B535" s="2">
        <v>1</v>
      </c>
      <c r="C535" s="2">
        <v>177746473</v>
      </c>
      <c r="D535" s="2">
        <v>178915113</v>
      </c>
      <c r="E535" s="2">
        <v>3</v>
      </c>
      <c r="F535" s="2" t="s">
        <v>10086</v>
      </c>
      <c r="H535" s="3">
        <v>5.9999999999999995E-4</v>
      </c>
      <c r="K535" s="2" t="s">
        <v>10089</v>
      </c>
    </row>
    <row r="536" spans="1:11" x14ac:dyDescent="0.2">
      <c r="A536" s="2">
        <v>134</v>
      </c>
      <c r="B536" s="2">
        <v>1</v>
      </c>
      <c r="C536" s="2">
        <v>177746473</v>
      </c>
      <c r="D536" s="2">
        <v>178915113</v>
      </c>
      <c r="E536" s="2">
        <v>4</v>
      </c>
      <c r="F536" s="2" t="s">
        <v>10086</v>
      </c>
      <c r="H536" s="3">
        <v>2.9999999999999997E-4</v>
      </c>
      <c r="K536" s="2" t="s">
        <v>10085</v>
      </c>
    </row>
    <row r="537" spans="1:11" x14ac:dyDescent="0.2">
      <c r="A537" s="2">
        <v>135</v>
      </c>
      <c r="B537" s="2">
        <v>1</v>
      </c>
      <c r="C537" s="2">
        <v>178915114</v>
      </c>
      <c r="D537" s="2">
        <v>180221608</v>
      </c>
      <c r="E537" s="2">
        <v>1</v>
      </c>
      <c r="F537" s="2" t="s">
        <v>10086</v>
      </c>
      <c r="H537" s="2">
        <v>1.2999999999999999E-3</v>
      </c>
      <c r="K537" s="2" t="s">
        <v>10088</v>
      </c>
    </row>
    <row r="538" spans="1:11" x14ac:dyDescent="0.2">
      <c r="A538" s="2">
        <v>135</v>
      </c>
      <c r="B538" s="2">
        <v>1</v>
      </c>
      <c r="C538" s="2">
        <v>178915114</v>
      </c>
      <c r="D538" s="2">
        <v>180221608</v>
      </c>
      <c r="E538" s="2">
        <v>2</v>
      </c>
      <c r="F538" s="2" t="s">
        <v>10086</v>
      </c>
      <c r="H538" s="2">
        <v>1.1000000000000001E-3</v>
      </c>
      <c r="K538" s="2" t="s">
        <v>10087</v>
      </c>
    </row>
    <row r="539" spans="1:11" x14ac:dyDescent="0.2">
      <c r="A539" s="2">
        <v>135</v>
      </c>
      <c r="B539" s="2">
        <v>1</v>
      </c>
      <c r="C539" s="2">
        <v>178915114</v>
      </c>
      <c r="D539" s="2">
        <v>180221608</v>
      </c>
      <c r="E539" s="2">
        <v>3</v>
      </c>
      <c r="F539" s="2" t="s">
        <v>10086</v>
      </c>
      <c r="H539" s="3">
        <v>6.9999999999999999E-4</v>
      </c>
      <c r="K539" s="2" t="s">
        <v>10085</v>
      </c>
    </row>
    <row r="540" spans="1:11" x14ac:dyDescent="0.2">
      <c r="A540" s="2">
        <v>135</v>
      </c>
      <c r="B540" s="2">
        <v>1</v>
      </c>
      <c r="C540" s="2">
        <v>178915114</v>
      </c>
      <c r="D540" s="2">
        <v>180221608</v>
      </c>
      <c r="E540" s="2">
        <v>4</v>
      </c>
      <c r="F540" s="2" t="s">
        <v>10086</v>
      </c>
      <c r="H540" s="3">
        <v>5.0000000000000001E-4</v>
      </c>
      <c r="K540" s="2" t="s">
        <v>10089</v>
      </c>
    </row>
    <row r="541" spans="1:11" x14ac:dyDescent="0.2">
      <c r="A541" s="2">
        <v>136</v>
      </c>
      <c r="B541" s="2">
        <v>1</v>
      </c>
      <c r="C541" s="2">
        <v>180221609</v>
      </c>
      <c r="D541" s="2">
        <v>181324205</v>
      </c>
      <c r="E541" s="2">
        <v>1</v>
      </c>
      <c r="F541" s="2" t="s">
        <v>10086</v>
      </c>
      <c r="H541" s="2">
        <v>1.1000000000000001E-3</v>
      </c>
      <c r="K541" s="2" t="s">
        <v>10087</v>
      </c>
    </row>
    <row r="542" spans="1:11" x14ac:dyDescent="0.2">
      <c r="A542" s="2">
        <v>136</v>
      </c>
      <c r="B542" s="2">
        <v>1</v>
      </c>
      <c r="C542" s="2">
        <v>180221609</v>
      </c>
      <c r="D542" s="2">
        <v>181324205</v>
      </c>
      <c r="E542" s="2">
        <v>2</v>
      </c>
      <c r="F542" s="2" t="s">
        <v>10086</v>
      </c>
      <c r="H542" s="2">
        <v>1.1000000000000001E-3</v>
      </c>
      <c r="K542" s="2" t="s">
        <v>10088</v>
      </c>
    </row>
    <row r="543" spans="1:11" x14ac:dyDescent="0.2">
      <c r="A543" s="2">
        <v>136</v>
      </c>
      <c r="B543" s="2">
        <v>1</v>
      </c>
      <c r="C543" s="2">
        <v>180221609</v>
      </c>
      <c r="D543" s="2">
        <v>181324205</v>
      </c>
      <c r="E543" s="2">
        <v>3</v>
      </c>
      <c r="F543" s="2" t="s">
        <v>10086</v>
      </c>
      <c r="H543" s="2">
        <v>1E-3</v>
      </c>
      <c r="K543" s="2" t="s">
        <v>10089</v>
      </c>
    </row>
    <row r="544" spans="1:11" x14ac:dyDescent="0.2">
      <c r="A544" s="2">
        <v>136</v>
      </c>
      <c r="B544" s="2">
        <v>1</v>
      </c>
      <c r="C544" s="2">
        <v>180221609</v>
      </c>
      <c r="D544" s="2">
        <v>181324205</v>
      </c>
      <c r="E544" s="2">
        <v>4</v>
      </c>
      <c r="F544" s="2" t="s">
        <v>10086</v>
      </c>
      <c r="H544" s="3">
        <v>5.0000000000000001E-4</v>
      </c>
      <c r="K544" s="2" t="s">
        <v>10085</v>
      </c>
    </row>
    <row r="545" spans="1:11" x14ac:dyDescent="0.2">
      <c r="A545" s="2">
        <v>137</v>
      </c>
      <c r="B545" s="2">
        <v>1</v>
      </c>
      <c r="C545" s="2">
        <v>181324206</v>
      </c>
      <c r="D545" s="2">
        <v>182420540</v>
      </c>
      <c r="E545" s="2">
        <v>1</v>
      </c>
      <c r="F545" s="2" t="s">
        <v>10086</v>
      </c>
      <c r="H545" s="2">
        <v>2.5000000000000001E-3</v>
      </c>
      <c r="K545" s="2" t="s">
        <v>10088</v>
      </c>
    </row>
    <row r="546" spans="1:11" x14ac:dyDescent="0.2">
      <c r="A546" s="2">
        <v>137</v>
      </c>
      <c r="B546" s="2">
        <v>1</v>
      </c>
      <c r="C546" s="2">
        <v>181324206</v>
      </c>
      <c r="D546" s="2">
        <v>182420540</v>
      </c>
      <c r="E546" s="2">
        <v>2</v>
      </c>
      <c r="F546" s="2" t="s">
        <v>10086</v>
      </c>
      <c r="H546" s="2">
        <v>2E-3</v>
      </c>
      <c r="K546" s="2" t="s">
        <v>10085</v>
      </c>
    </row>
    <row r="547" spans="1:11" x14ac:dyDescent="0.2">
      <c r="A547" s="2">
        <v>137</v>
      </c>
      <c r="B547" s="2">
        <v>1</v>
      </c>
      <c r="C547" s="2">
        <v>181324206</v>
      </c>
      <c r="D547" s="2">
        <v>182420540</v>
      </c>
      <c r="E547" s="2">
        <v>3</v>
      </c>
      <c r="F547" s="2" t="s">
        <v>10086</v>
      </c>
      <c r="H547" s="2">
        <v>1.2999999999999999E-3</v>
      </c>
      <c r="K547" s="2" t="s">
        <v>12324</v>
      </c>
    </row>
    <row r="548" spans="1:11" x14ac:dyDescent="0.2">
      <c r="A548" s="2">
        <v>137</v>
      </c>
      <c r="B548" s="2">
        <v>1</v>
      </c>
      <c r="C548" s="2">
        <v>181324206</v>
      </c>
      <c r="D548" s="2">
        <v>182420540</v>
      </c>
      <c r="E548" s="2">
        <v>4</v>
      </c>
      <c r="F548" s="2" t="s">
        <v>10086</v>
      </c>
      <c r="H548" s="2">
        <v>1.1000000000000001E-3</v>
      </c>
      <c r="K548" s="2" t="s">
        <v>10089</v>
      </c>
    </row>
    <row r="549" spans="1:11" x14ac:dyDescent="0.2">
      <c r="A549" s="2">
        <v>138</v>
      </c>
      <c r="B549" s="2">
        <v>1</v>
      </c>
      <c r="C549" s="2">
        <v>182420541</v>
      </c>
      <c r="D549" s="2">
        <v>183920616</v>
      </c>
      <c r="E549" s="2">
        <v>1</v>
      </c>
      <c r="F549" s="2" t="s">
        <v>10086</v>
      </c>
      <c r="H549" s="2">
        <v>2.3E-3</v>
      </c>
      <c r="K549" s="2" t="s">
        <v>10087</v>
      </c>
    </row>
    <row r="550" spans="1:11" x14ac:dyDescent="0.2">
      <c r="A550" s="2">
        <v>138</v>
      </c>
      <c r="B550" s="2">
        <v>1</v>
      </c>
      <c r="C550" s="2">
        <v>182420541</v>
      </c>
      <c r="D550" s="2">
        <v>183920616</v>
      </c>
      <c r="E550" s="2">
        <v>2</v>
      </c>
      <c r="F550" s="2" t="s">
        <v>10086</v>
      </c>
      <c r="H550" s="2">
        <v>1.6000000000000001E-3</v>
      </c>
      <c r="K550" s="2" t="s">
        <v>10088</v>
      </c>
    </row>
    <row r="551" spans="1:11" x14ac:dyDescent="0.2">
      <c r="A551" s="2">
        <v>138</v>
      </c>
      <c r="B551" s="2">
        <v>1</v>
      </c>
      <c r="C551" s="2">
        <v>182420541</v>
      </c>
      <c r="D551" s="2">
        <v>183920616</v>
      </c>
      <c r="E551" s="2">
        <v>3</v>
      </c>
      <c r="F551" s="2" t="s">
        <v>10086</v>
      </c>
      <c r="H551" s="3">
        <v>8.0000000000000004E-4</v>
      </c>
      <c r="K551" s="2" t="s">
        <v>10089</v>
      </c>
    </row>
    <row r="552" spans="1:11" x14ac:dyDescent="0.2">
      <c r="A552" s="2">
        <v>138</v>
      </c>
      <c r="B552" s="2">
        <v>1</v>
      </c>
      <c r="C552" s="2">
        <v>182420541</v>
      </c>
      <c r="D552" s="2">
        <v>183920616</v>
      </c>
      <c r="E552" s="2">
        <v>4</v>
      </c>
      <c r="F552" s="2" t="s">
        <v>10086</v>
      </c>
      <c r="H552" s="3">
        <v>8.0000000000000004E-4</v>
      </c>
      <c r="K552" s="2" t="s">
        <v>10085</v>
      </c>
    </row>
    <row r="553" spans="1:11" x14ac:dyDescent="0.2">
      <c r="A553" s="2">
        <v>139</v>
      </c>
      <c r="B553" s="2">
        <v>1</v>
      </c>
      <c r="C553" s="2">
        <v>183920617</v>
      </c>
      <c r="D553" s="2">
        <v>184953089</v>
      </c>
      <c r="E553" s="2">
        <v>1</v>
      </c>
      <c r="F553" s="2" t="s">
        <v>10086</v>
      </c>
      <c r="H553" s="2">
        <v>5.5999999999999999E-3</v>
      </c>
      <c r="K553" s="2" t="s">
        <v>10089</v>
      </c>
    </row>
    <row r="554" spans="1:11" x14ac:dyDescent="0.2">
      <c r="A554" s="2">
        <v>139</v>
      </c>
      <c r="B554" s="2">
        <v>1</v>
      </c>
      <c r="C554" s="2">
        <v>183920617</v>
      </c>
      <c r="D554" s="2">
        <v>184953089</v>
      </c>
      <c r="E554" s="2">
        <v>2</v>
      </c>
      <c r="F554" s="2" t="s">
        <v>10086</v>
      </c>
      <c r="H554" s="2">
        <v>3.3E-3</v>
      </c>
      <c r="K554" s="2" t="s">
        <v>12324</v>
      </c>
    </row>
    <row r="555" spans="1:11" x14ac:dyDescent="0.2">
      <c r="A555" s="2">
        <v>139</v>
      </c>
      <c r="B555" s="2">
        <v>1</v>
      </c>
      <c r="C555" s="2">
        <v>183920617</v>
      </c>
      <c r="D555" s="2">
        <v>184953089</v>
      </c>
      <c r="E555" s="2">
        <v>3</v>
      </c>
      <c r="F555" s="2" t="s">
        <v>10086</v>
      </c>
      <c r="H555" s="3">
        <v>8.9999999999999998E-4</v>
      </c>
      <c r="K555" s="2" t="s">
        <v>10088</v>
      </c>
    </row>
    <row r="556" spans="1:11" x14ac:dyDescent="0.2">
      <c r="A556" s="2">
        <v>139</v>
      </c>
      <c r="B556" s="2">
        <v>1</v>
      </c>
      <c r="C556" s="2">
        <v>183920617</v>
      </c>
      <c r="D556" s="2">
        <v>184953089</v>
      </c>
      <c r="E556" s="2">
        <v>4</v>
      </c>
      <c r="F556" s="2" t="s">
        <v>10086</v>
      </c>
      <c r="H556" s="3">
        <v>8.0000000000000004E-4</v>
      </c>
      <c r="K556" s="2" t="s">
        <v>10087</v>
      </c>
    </row>
    <row r="557" spans="1:11" x14ac:dyDescent="0.2">
      <c r="A557" s="2">
        <v>140</v>
      </c>
      <c r="B557" s="2">
        <v>1</v>
      </c>
      <c r="C557" s="2">
        <v>184953090</v>
      </c>
      <c r="D557" s="2">
        <v>186179447</v>
      </c>
      <c r="E557" s="2">
        <v>1</v>
      </c>
      <c r="F557" s="2" t="s">
        <v>10086</v>
      </c>
      <c r="H557" s="2">
        <v>1.4E-3</v>
      </c>
      <c r="K557" s="2" t="s">
        <v>10088</v>
      </c>
    </row>
    <row r="558" spans="1:11" x14ac:dyDescent="0.2">
      <c r="A558" s="2">
        <v>140</v>
      </c>
      <c r="B558" s="2">
        <v>1</v>
      </c>
      <c r="C558" s="2">
        <v>184953090</v>
      </c>
      <c r="D558" s="2">
        <v>186179447</v>
      </c>
      <c r="E558" s="2">
        <v>2</v>
      </c>
      <c r="F558" s="2" t="s">
        <v>10086</v>
      </c>
      <c r="H558" s="2">
        <v>2.0999999999999999E-3</v>
      </c>
      <c r="K558" s="2" t="s">
        <v>10089</v>
      </c>
    </row>
    <row r="559" spans="1:11" x14ac:dyDescent="0.2">
      <c r="A559" s="2">
        <v>140</v>
      </c>
      <c r="B559" s="2">
        <v>1</v>
      </c>
      <c r="C559" s="2">
        <v>184953090</v>
      </c>
      <c r="D559" s="2">
        <v>186179447</v>
      </c>
      <c r="E559" s="2">
        <v>3</v>
      </c>
      <c r="F559" s="2" t="s">
        <v>10086</v>
      </c>
      <c r="H559" s="3">
        <v>8.0000000000000004E-4</v>
      </c>
      <c r="K559" s="2" t="s">
        <v>10087</v>
      </c>
    </row>
    <row r="560" spans="1:11" x14ac:dyDescent="0.2">
      <c r="A560" s="2">
        <v>140</v>
      </c>
      <c r="B560" s="2">
        <v>1</v>
      </c>
      <c r="C560" s="2">
        <v>184953090</v>
      </c>
      <c r="D560" s="2">
        <v>186179447</v>
      </c>
      <c r="E560" s="2">
        <v>4</v>
      </c>
      <c r="F560" s="2" t="s">
        <v>10086</v>
      </c>
      <c r="H560" s="3">
        <v>2.9999999999999997E-4</v>
      </c>
      <c r="K560" s="2" t="s">
        <v>10085</v>
      </c>
    </row>
    <row r="561" spans="1:11" x14ac:dyDescent="0.2">
      <c r="A561" s="2">
        <v>141</v>
      </c>
      <c r="B561" s="2">
        <v>1</v>
      </c>
      <c r="C561" s="2">
        <v>186179448</v>
      </c>
      <c r="D561" s="2">
        <v>187072605</v>
      </c>
      <c r="E561" s="2">
        <v>1</v>
      </c>
      <c r="F561" s="2" t="s">
        <v>10086</v>
      </c>
      <c r="H561" s="2">
        <v>1E-3</v>
      </c>
      <c r="K561" s="2" t="s">
        <v>10089</v>
      </c>
    </row>
    <row r="562" spans="1:11" x14ac:dyDescent="0.2">
      <c r="A562" s="2">
        <v>141</v>
      </c>
      <c r="B562" s="2">
        <v>1</v>
      </c>
      <c r="C562" s="2">
        <v>186179448</v>
      </c>
      <c r="D562" s="2">
        <v>187072605</v>
      </c>
      <c r="E562" s="2">
        <v>2</v>
      </c>
      <c r="F562" s="2" t="s">
        <v>10086</v>
      </c>
      <c r="H562" s="2">
        <v>1.1000000000000001E-3</v>
      </c>
      <c r="K562" s="2" t="s">
        <v>10087</v>
      </c>
    </row>
    <row r="563" spans="1:11" x14ac:dyDescent="0.2">
      <c r="A563" s="2">
        <v>141</v>
      </c>
      <c r="B563" s="2">
        <v>1</v>
      </c>
      <c r="C563" s="2">
        <v>186179448</v>
      </c>
      <c r="D563" s="2">
        <v>187072605</v>
      </c>
      <c r="E563" s="2">
        <v>3</v>
      </c>
      <c r="F563" s="2" t="s">
        <v>10086</v>
      </c>
      <c r="H563" s="3">
        <v>5.0000000000000001E-4</v>
      </c>
      <c r="K563" s="2" t="s">
        <v>10085</v>
      </c>
    </row>
    <row r="564" spans="1:11" x14ac:dyDescent="0.2">
      <c r="A564" s="2">
        <v>141</v>
      </c>
      <c r="B564" s="2">
        <v>1</v>
      </c>
      <c r="C564" s="2">
        <v>186179448</v>
      </c>
      <c r="D564" s="2">
        <v>187072605</v>
      </c>
      <c r="E564" s="2">
        <v>4</v>
      </c>
      <c r="F564" s="2" t="s">
        <v>10086</v>
      </c>
      <c r="H564" s="3">
        <v>2.0000000000000001E-4</v>
      </c>
      <c r="K564" s="2" t="s">
        <v>10088</v>
      </c>
    </row>
    <row r="565" spans="1:11" x14ac:dyDescent="0.2">
      <c r="A565" s="2">
        <v>142</v>
      </c>
      <c r="B565" s="2">
        <v>1</v>
      </c>
      <c r="C565" s="2">
        <v>187072606</v>
      </c>
      <c r="D565" s="2">
        <v>187757076</v>
      </c>
      <c r="E565" s="2">
        <v>1</v>
      </c>
      <c r="F565" s="2" t="s">
        <v>10086</v>
      </c>
      <c r="H565" s="2">
        <v>1.4E-3</v>
      </c>
      <c r="K565" s="2" t="s">
        <v>10085</v>
      </c>
    </row>
    <row r="566" spans="1:11" x14ac:dyDescent="0.2">
      <c r="A566" s="2">
        <v>142</v>
      </c>
      <c r="B566" s="2">
        <v>1</v>
      </c>
      <c r="C566" s="2">
        <v>187072606</v>
      </c>
      <c r="D566" s="2">
        <v>187757076</v>
      </c>
      <c r="E566" s="2">
        <v>2</v>
      </c>
      <c r="F566" s="2" t="s">
        <v>10086</v>
      </c>
      <c r="H566" s="3">
        <v>5.9999999999999995E-4</v>
      </c>
      <c r="K566" s="2" t="s">
        <v>10087</v>
      </c>
    </row>
    <row r="567" spans="1:11" x14ac:dyDescent="0.2">
      <c r="A567" s="2">
        <v>142</v>
      </c>
      <c r="B567" s="2">
        <v>1</v>
      </c>
      <c r="C567" s="2">
        <v>187072606</v>
      </c>
      <c r="D567" s="2">
        <v>187757076</v>
      </c>
      <c r="E567" s="2">
        <v>3</v>
      </c>
      <c r="F567" s="2" t="s">
        <v>10086</v>
      </c>
      <c r="H567" s="3">
        <v>5.0000000000000001E-4</v>
      </c>
      <c r="K567" s="2" t="s">
        <v>10089</v>
      </c>
    </row>
    <row r="568" spans="1:11" x14ac:dyDescent="0.2">
      <c r="A568" s="2">
        <v>142</v>
      </c>
      <c r="B568" s="2">
        <v>1</v>
      </c>
      <c r="C568" s="2">
        <v>187072606</v>
      </c>
      <c r="D568" s="2">
        <v>187757076</v>
      </c>
      <c r="E568" s="2">
        <v>4</v>
      </c>
      <c r="F568" s="2" t="s">
        <v>10086</v>
      </c>
      <c r="H568" s="3">
        <v>2.0000000000000001E-4</v>
      </c>
      <c r="K568" s="2" t="s">
        <v>12324</v>
      </c>
    </row>
    <row r="569" spans="1:11" x14ac:dyDescent="0.2">
      <c r="A569" s="2">
        <v>143</v>
      </c>
      <c r="B569" s="2">
        <v>1</v>
      </c>
      <c r="C569" s="2">
        <v>187757077</v>
      </c>
      <c r="D569" s="2">
        <v>188625772</v>
      </c>
      <c r="E569" s="2">
        <v>1</v>
      </c>
      <c r="F569" s="2" t="s">
        <v>10086</v>
      </c>
      <c r="H569" s="2">
        <v>5.5999999999999999E-3</v>
      </c>
      <c r="K569" s="2" t="s">
        <v>10089</v>
      </c>
    </row>
    <row r="570" spans="1:11" x14ac:dyDescent="0.2">
      <c r="A570" s="2">
        <v>143</v>
      </c>
      <c r="B570" s="2">
        <v>1</v>
      </c>
      <c r="C570" s="2">
        <v>187757077</v>
      </c>
      <c r="D570" s="2">
        <v>188625772</v>
      </c>
      <c r="E570" s="2">
        <v>2</v>
      </c>
      <c r="F570" s="2" t="s">
        <v>10086</v>
      </c>
      <c r="H570" s="2">
        <v>1.1000000000000001E-3</v>
      </c>
      <c r="K570" s="2" t="s">
        <v>10088</v>
      </c>
    </row>
    <row r="571" spans="1:11" x14ac:dyDescent="0.2">
      <c r="A571" s="2">
        <v>143</v>
      </c>
      <c r="B571" s="2">
        <v>1</v>
      </c>
      <c r="C571" s="2">
        <v>187757077</v>
      </c>
      <c r="D571" s="2">
        <v>188625772</v>
      </c>
      <c r="E571" s="2">
        <v>3</v>
      </c>
      <c r="F571" s="2" t="s">
        <v>10086</v>
      </c>
      <c r="H571" s="3">
        <v>5.0000000000000001E-4</v>
      </c>
      <c r="K571" s="2" t="s">
        <v>10085</v>
      </c>
    </row>
    <row r="572" spans="1:11" x14ac:dyDescent="0.2">
      <c r="A572" s="2">
        <v>143</v>
      </c>
      <c r="B572" s="2">
        <v>1</v>
      </c>
      <c r="C572" s="2">
        <v>187757077</v>
      </c>
      <c r="D572" s="2">
        <v>188625772</v>
      </c>
      <c r="E572" s="2">
        <v>4</v>
      </c>
      <c r="F572" s="2" t="s">
        <v>10086</v>
      </c>
      <c r="H572" s="3">
        <v>2.0000000000000001E-4</v>
      </c>
      <c r="K572" s="2" t="s">
        <v>10087</v>
      </c>
    </row>
    <row r="573" spans="1:11" x14ac:dyDescent="0.2">
      <c r="A573" s="2">
        <v>144</v>
      </c>
      <c r="B573" s="2">
        <v>1</v>
      </c>
      <c r="C573" s="2">
        <v>188625773</v>
      </c>
      <c r="D573" s="2">
        <v>189904637</v>
      </c>
      <c r="E573" s="2">
        <v>1</v>
      </c>
      <c r="F573" s="2" t="s">
        <v>10086</v>
      </c>
      <c r="H573" s="2">
        <v>2.7000000000000001E-3</v>
      </c>
      <c r="K573" s="2" t="s">
        <v>10088</v>
      </c>
    </row>
    <row r="574" spans="1:11" x14ac:dyDescent="0.2">
      <c r="A574" s="2">
        <v>144</v>
      </c>
      <c r="B574" s="2">
        <v>1</v>
      </c>
      <c r="C574" s="2">
        <v>188625773</v>
      </c>
      <c r="D574" s="2">
        <v>189904637</v>
      </c>
      <c r="E574" s="2">
        <v>2</v>
      </c>
      <c r="F574" s="2" t="s">
        <v>10086</v>
      </c>
      <c r="H574" s="2">
        <v>1.6000000000000001E-3</v>
      </c>
      <c r="K574" s="2" t="s">
        <v>10089</v>
      </c>
    </row>
    <row r="575" spans="1:11" x14ac:dyDescent="0.2">
      <c r="A575" s="2">
        <v>144</v>
      </c>
      <c r="B575" s="2">
        <v>1</v>
      </c>
      <c r="C575" s="2">
        <v>188625773</v>
      </c>
      <c r="D575" s="2">
        <v>189904637</v>
      </c>
      <c r="E575" s="2">
        <v>3</v>
      </c>
      <c r="F575" s="2" t="s">
        <v>10086</v>
      </c>
      <c r="H575" s="2">
        <v>1.1999999999999999E-3</v>
      </c>
      <c r="K575" s="2" t="s">
        <v>10087</v>
      </c>
    </row>
    <row r="576" spans="1:11" x14ac:dyDescent="0.2">
      <c r="A576" s="2">
        <v>144</v>
      </c>
      <c r="B576" s="2">
        <v>1</v>
      </c>
      <c r="C576" s="2">
        <v>188625773</v>
      </c>
      <c r="D576" s="2">
        <v>189904637</v>
      </c>
      <c r="E576" s="2">
        <v>4</v>
      </c>
      <c r="F576" s="2" t="s">
        <v>10086</v>
      </c>
      <c r="H576" s="3">
        <v>8.0000000000000004E-4</v>
      </c>
      <c r="K576" s="2" t="s">
        <v>10085</v>
      </c>
    </row>
    <row r="577" spans="1:11" x14ac:dyDescent="0.2">
      <c r="A577" s="2">
        <v>145</v>
      </c>
      <c r="B577" s="2">
        <v>1</v>
      </c>
      <c r="C577" s="2">
        <v>189904638</v>
      </c>
      <c r="D577" s="2">
        <v>191419275</v>
      </c>
      <c r="E577" s="2">
        <v>1</v>
      </c>
      <c r="F577" s="2" t="s">
        <v>10086</v>
      </c>
      <c r="H577" s="2">
        <v>1.0500000000000001E-2</v>
      </c>
      <c r="K577" s="2" t="s">
        <v>10088</v>
      </c>
    </row>
    <row r="578" spans="1:11" x14ac:dyDescent="0.2">
      <c r="A578" s="2">
        <v>145</v>
      </c>
      <c r="B578" s="2">
        <v>1</v>
      </c>
      <c r="C578" s="2">
        <v>189904638</v>
      </c>
      <c r="D578" s="2">
        <v>191419275</v>
      </c>
      <c r="E578" s="2">
        <v>2</v>
      </c>
      <c r="F578" s="2" t="s">
        <v>10086</v>
      </c>
      <c r="H578" s="2">
        <v>1.1999999999999999E-3</v>
      </c>
      <c r="K578" s="2" t="s">
        <v>10087</v>
      </c>
    </row>
    <row r="579" spans="1:11" x14ac:dyDescent="0.2">
      <c r="A579" s="2">
        <v>145</v>
      </c>
      <c r="B579" s="2">
        <v>1</v>
      </c>
      <c r="C579" s="2">
        <v>189904638</v>
      </c>
      <c r="D579" s="2">
        <v>191419275</v>
      </c>
      <c r="E579" s="2">
        <v>3</v>
      </c>
      <c r="F579" s="2" t="s">
        <v>10086</v>
      </c>
      <c r="H579" s="2">
        <v>1.1000000000000001E-3</v>
      </c>
      <c r="K579" s="2" t="s">
        <v>10085</v>
      </c>
    </row>
    <row r="580" spans="1:11" x14ac:dyDescent="0.2">
      <c r="A580" s="2">
        <v>145</v>
      </c>
      <c r="B580" s="2">
        <v>1</v>
      </c>
      <c r="C580" s="2">
        <v>189904638</v>
      </c>
      <c r="D580" s="2">
        <v>191419275</v>
      </c>
      <c r="E580" s="2">
        <v>4</v>
      </c>
      <c r="F580" s="2" t="s">
        <v>10086</v>
      </c>
      <c r="H580" s="3">
        <v>5.9999999999999995E-4</v>
      </c>
      <c r="K580" s="2" t="s">
        <v>10089</v>
      </c>
    </row>
    <row r="581" spans="1:11" x14ac:dyDescent="0.2">
      <c r="A581" s="2">
        <v>146</v>
      </c>
      <c r="B581" s="2">
        <v>1</v>
      </c>
      <c r="C581" s="2">
        <v>191419276</v>
      </c>
      <c r="D581" s="2">
        <v>192468373</v>
      </c>
      <c r="E581" s="2">
        <v>1</v>
      </c>
      <c r="F581" s="2" t="s">
        <v>10086</v>
      </c>
      <c r="H581" s="2">
        <v>1.8E-3</v>
      </c>
      <c r="K581" s="2" t="s">
        <v>10088</v>
      </c>
    </row>
    <row r="582" spans="1:11" x14ac:dyDescent="0.2">
      <c r="A582" s="2">
        <v>146</v>
      </c>
      <c r="B582" s="2">
        <v>1</v>
      </c>
      <c r="C582" s="2">
        <v>191419276</v>
      </c>
      <c r="D582" s="2">
        <v>192468373</v>
      </c>
      <c r="E582" s="2">
        <v>2</v>
      </c>
      <c r="F582" s="2" t="s">
        <v>10086</v>
      </c>
      <c r="H582" s="2">
        <v>1.1000000000000001E-3</v>
      </c>
      <c r="K582" s="2" t="s">
        <v>10089</v>
      </c>
    </row>
    <row r="583" spans="1:11" x14ac:dyDescent="0.2">
      <c r="A583" s="2">
        <v>146</v>
      </c>
      <c r="B583" s="2">
        <v>1</v>
      </c>
      <c r="C583" s="2">
        <v>191419276</v>
      </c>
      <c r="D583" s="2">
        <v>192468373</v>
      </c>
      <c r="E583" s="2">
        <v>3</v>
      </c>
      <c r="F583" s="2" t="s">
        <v>10086</v>
      </c>
      <c r="H583" s="3">
        <v>8.0000000000000004E-4</v>
      </c>
      <c r="K583" s="2" t="s">
        <v>10085</v>
      </c>
    </row>
    <row r="584" spans="1:11" x14ac:dyDescent="0.2">
      <c r="A584" s="2">
        <v>146</v>
      </c>
      <c r="B584" s="2">
        <v>1</v>
      </c>
      <c r="C584" s="2">
        <v>191419276</v>
      </c>
      <c r="D584" s="2">
        <v>192468373</v>
      </c>
      <c r="E584" s="2">
        <v>4</v>
      </c>
      <c r="F584" s="2" t="s">
        <v>10086</v>
      </c>
      <c r="H584" s="3">
        <v>4.0000000000000002E-4</v>
      </c>
      <c r="K584" s="2" t="s">
        <v>10087</v>
      </c>
    </row>
    <row r="585" spans="1:11" x14ac:dyDescent="0.2">
      <c r="A585" s="2">
        <v>147</v>
      </c>
      <c r="B585" s="2">
        <v>1</v>
      </c>
      <c r="C585" s="2">
        <v>192468374</v>
      </c>
      <c r="D585" s="2">
        <v>193575516</v>
      </c>
      <c r="E585" s="2">
        <v>1</v>
      </c>
      <c r="F585" s="2" t="s">
        <v>10086</v>
      </c>
      <c r="H585" s="2">
        <v>7.6E-3</v>
      </c>
      <c r="K585" s="2" t="s">
        <v>10088</v>
      </c>
    </row>
    <row r="586" spans="1:11" x14ac:dyDescent="0.2">
      <c r="A586" s="2">
        <v>147</v>
      </c>
      <c r="B586" s="2">
        <v>1</v>
      </c>
      <c r="C586" s="2">
        <v>192468374</v>
      </c>
      <c r="D586" s="2">
        <v>193575516</v>
      </c>
      <c r="E586" s="2">
        <v>2</v>
      </c>
      <c r="F586" s="2" t="s">
        <v>10086</v>
      </c>
      <c r="H586" s="2">
        <v>1.6999999999999999E-3</v>
      </c>
      <c r="K586" s="2" t="s">
        <v>10087</v>
      </c>
    </row>
    <row r="587" spans="1:11" x14ac:dyDescent="0.2">
      <c r="A587" s="2">
        <v>147</v>
      </c>
      <c r="B587" s="2">
        <v>1</v>
      </c>
      <c r="C587" s="2">
        <v>192468374</v>
      </c>
      <c r="D587" s="2">
        <v>193575516</v>
      </c>
      <c r="E587" s="2">
        <v>3</v>
      </c>
      <c r="F587" s="2" t="s">
        <v>10086</v>
      </c>
      <c r="H587" s="2">
        <v>1.6999999999999999E-3</v>
      </c>
      <c r="K587" s="2" t="s">
        <v>10085</v>
      </c>
    </row>
    <row r="588" spans="1:11" x14ac:dyDescent="0.2">
      <c r="A588" s="2">
        <v>147</v>
      </c>
      <c r="B588" s="2">
        <v>1</v>
      </c>
      <c r="C588" s="2">
        <v>192468374</v>
      </c>
      <c r="D588" s="2">
        <v>193575516</v>
      </c>
      <c r="E588" s="2">
        <v>4</v>
      </c>
      <c r="F588" s="2" t="s">
        <v>10086</v>
      </c>
      <c r="H588" s="3">
        <v>4.0000000000000002E-4</v>
      </c>
      <c r="K588" s="2" t="s">
        <v>10089</v>
      </c>
    </row>
    <row r="589" spans="1:11" x14ac:dyDescent="0.2">
      <c r="A589" s="2">
        <v>148</v>
      </c>
      <c r="B589" s="2">
        <v>1</v>
      </c>
      <c r="C589" s="2">
        <v>193575517</v>
      </c>
      <c r="D589" s="2">
        <v>194365688</v>
      </c>
      <c r="E589" s="2">
        <v>1</v>
      </c>
      <c r="F589" s="2" t="s">
        <v>10086</v>
      </c>
      <c r="H589" s="2">
        <v>2.2800000000000001E-2</v>
      </c>
      <c r="K589" s="2" t="s">
        <v>10088</v>
      </c>
    </row>
    <row r="590" spans="1:11" x14ac:dyDescent="0.2">
      <c r="A590" s="2">
        <v>148</v>
      </c>
      <c r="B590" s="2">
        <v>1</v>
      </c>
      <c r="C590" s="2">
        <v>193575517</v>
      </c>
      <c r="D590" s="2">
        <v>194365688</v>
      </c>
      <c r="E590" s="2">
        <v>2</v>
      </c>
      <c r="F590" s="2" t="s">
        <v>10086</v>
      </c>
      <c r="H590" s="2">
        <v>1.1999999999999999E-3</v>
      </c>
      <c r="K590" s="2" t="s">
        <v>10085</v>
      </c>
    </row>
    <row r="591" spans="1:11" x14ac:dyDescent="0.2">
      <c r="A591" s="2">
        <v>148</v>
      </c>
      <c r="B591" s="2">
        <v>1</v>
      </c>
      <c r="C591" s="2">
        <v>193575517</v>
      </c>
      <c r="D591" s="2">
        <v>194365688</v>
      </c>
      <c r="E591" s="2">
        <v>3</v>
      </c>
      <c r="F591" s="2" t="s">
        <v>10086</v>
      </c>
      <c r="H591" s="3">
        <v>8.0000000000000004E-4</v>
      </c>
      <c r="K591" s="2" t="s">
        <v>10087</v>
      </c>
    </row>
    <row r="592" spans="1:11" x14ac:dyDescent="0.2">
      <c r="A592" s="2">
        <v>148</v>
      </c>
      <c r="B592" s="2">
        <v>1</v>
      </c>
      <c r="C592" s="2">
        <v>193575517</v>
      </c>
      <c r="D592" s="2">
        <v>194365688</v>
      </c>
      <c r="E592" s="2">
        <v>4</v>
      </c>
      <c r="F592" s="2" t="s">
        <v>10086</v>
      </c>
      <c r="H592" s="3">
        <v>4.0000000000000002E-4</v>
      </c>
      <c r="K592" s="2" t="s">
        <v>10089</v>
      </c>
    </row>
    <row r="593" spans="1:11" x14ac:dyDescent="0.2">
      <c r="A593" s="2">
        <v>149</v>
      </c>
      <c r="B593" s="2">
        <v>1</v>
      </c>
      <c r="C593" s="2">
        <v>194365689</v>
      </c>
      <c r="D593" s="2">
        <v>195161235</v>
      </c>
      <c r="E593" s="2">
        <v>1</v>
      </c>
      <c r="F593" s="2" t="s">
        <v>10086</v>
      </c>
      <c r="H593" s="2">
        <v>1.1999999999999999E-3</v>
      </c>
      <c r="K593" s="2" t="s">
        <v>10088</v>
      </c>
    </row>
    <row r="594" spans="1:11" x14ac:dyDescent="0.2">
      <c r="A594" s="2">
        <v>149</v>
      </c>
      <c r="B594" s="2">
        <v>1</v>
      </c>
      <c r="C594" s="2">
        <v>194365689</v>
      </c>
      <c r="D594" s="2">
        <v>195161235</v>
      </c>
      <c r="E594" s="2">
        <v>2</v>
      </c>
      <c r="F594" s="2" t="s">
        <v>10086</v>
      </c>
      <c r="H594" s="3">
        <v>8.0000000000000004E-4</v>
      </c>
      <c r="K594" s="2" t="s">
        <v>10089</v>
      </c>
    </row>
    <row r="595" spans="1:11" x14ac:dyDescent="0.2">
      <c r="A595" s="2">
        <v>149</v>
      </c>
      <c r="B595" s="2">
        <v>1</v>
      </c>
      <c r="C595" s="2">
        <v>194365689</v>
      </c>
      <c r="D595" s="2">
        <v>195161235</v>
      </c>
      <c r="E595" s="2">
        <v>3</v>
      </c>
      <c r="F595" s="2" t="s">
        <v>10086</v>
      </c>
      <c r="H595" s="3">
        <v>5.9999999999999995E-4</v>
      </c>
      <c r="K595" s="2" t="s">
        <v>10087</v>
      </c>
    </row>
    <row r="596" spans="1:11" x14ac:dyDescent="0.2">
      <c r="A596" s="2">
        <v>149</v>
      </c>
      <c r="B596" s="2">
        <v>1</v>
      </c>
      <c r="C596" s="2">
        <v>194365689</v>
      </c>
      <c r="D596" s="2">
        <v>195161235</v>
      </c>
      <c r="E596" s="2">
        <v>4</v>
      </c>
      <c r="F596" s="2" t="s">
        <v>10086</v>
      </c>
      <c r="H596" s="3">
        <v>4.0000000000000002E-4</v>
      </c>
      <c r="K596" s="2" t="s">
        <v>10085</v>
      </c>
    </row>
    <row r="597" spans="1:11" x14ac:dyDescent="0.2">
      <c r="A597" s="2">
        <v>150</v>
      </c>
      <c r="B597" s="2">
        <v>1</v>
      </c>
      <c r="C597" s="2">
        <v>195161236</v>
      </c>
      <c r="D597" s="2">
        <v>196179110</v>
      </c>
      <c r="E597" s="2">
        <v>1</v>
      </c>
      <c r="F597" s="2" t="s">
        <v>10086</v>
      </c>
      <c r="H597" s="2">
        <v>2.8999999999999998E-3</v>
      </c>
      <c r="K597" s="2" t="s">
        <v>10089</v>
      </c>
    </row>
    <row r="598" spans="1:11" x14ac:dyDescent="0.2">
      <c r="A598" s="2">
        <v>150</v>
      </c>
      <c r="B598" s="2">
        <v>1</v>
      </c>
      <c r="C598" s="2">
        <v>195161236</v>
      </c>
      <c r="D598" s="2">
        <v>196179110</v>
      </c>
      <c r="E598" s="2">
        <v>2</v>
      </c>
      <c r="F598" s="2" t="s">
        <v>10086</v>
      </c>
      <c r="H598" s="2">
        <v>2E-3</v>
      </c>
      <c r="K598" s="2" t="s">
        <v>10088</v>
      </c>
    </row>
    <row r="599" spans="1:11" x14ac:dyDescent="0.2">
      <c r="A599" s="2">
        <v>150</v>
      </c>
      <c r="B599" s="2">
        <v>1</v>
      </c>
      <c r="C599" s="2">
        <v>195161236</v>
      </c>
      <c r="D599" s="2">
        <v>196179110</v>
      </c>
      <c r="E599" s="2">
        <v>3</v>
      </c>
      <c r="F599" s="2" t="s">
        <v>10086</v>
      </c>
      <c r="H599" s="2">
        <v>1.1999999999999999E-3</v>
      </c>
      <c r="K599" s="2" t="s">
        <v>10087</v>
      </c>
    </row>
    <row r="600" spans="1:11" x14ac:dyDescent="0.2">
      <c r="A600" s="2">
        <v>150</v>
      </c>
      <c r="B600" s="2">
        <v>1</v>
      </c>
      <c r="C600" s="2">
        <v>195161236</v>
      </c>
      <c r="D600" s="2">
        <v>196179110</v>
      </c>
      <c r="E600" s="2">
        <v>4</v>
      </c>
      <c r="F600" s="2" t="s">
        <v>10086</v>
      </c>
      <c r="H600" s="3">
        <v>8.9999999999999998E-4</v>
      </c>
      <c r="K600" s="2" t="s">
        <v>10085</v>
      </c>
    </row>
    <row r="601" spans="1:11" x14ac:dyDescent="0.2">
      <c r="A601" s="2">
        <v>151</v>
      </c>
      <c r="B601" s="2">
        <v>1</v>
      </c>
      <c r="C601" s="2">
        <v>196179111</v>
      </c>
      <c r="D601" s="2">
        <v>197935821</v>
      </c>
      <c r="E601" s="2">
        <v>1</v>
      </c>
      <c r="F601" s="2" t="s">
        <v>10086</v>
      </c>
      <c r="H601" s="2">
        <v>2E-3</v>
      </c>
      <c r="K601" s="2" t="s">
        <v>10085</v>
      </c>
    </row>
    <row r="602" spans="1:11" x14ac:dyDescent="0.2">
      <c r="A602" s="2">
        <v>151</v>
      </c>
      <c r="B602" s="2">
        <v>1</v>
      </c>
      <c r="C602" s="2">
        <v>196179111</v>
      </c>
      <c r="D602" s="2">
        <v>197935821</v>
      </c>
      <c r="E602" s="2">
        <v>2</v>
      </c>
      <c r="F602" s="2" t="s">
        <v>10086</v>
      </c>
      <c r="H602" s="2">
        <v>1.2999999999999999E-3</v>
      </c>
      <c r="K602" s="2" t="s">
        <v>10089</v>
      </c>
    </row>
    <row r="603" spans="1:11" x14ac:dyDescent="0.2">
      <c r="A603" s="2">
        <v>151</v>
      </c>
      <c r="B603" s="2">
        <v>1</v>
      </c>
      <c r="C603" s="2">
        <v>196179111</v>
      </c>
      <c r="D603" s="2">
        <v>197935821</v>
      </c>
      <c r="E603" s="2">
        <v>3</v>
      </c>
      <c r="F603" s="2" t="s">
        <v>10086</v>
      </c>
      <c r="H603" s="2">
        <v>1E-3</v>
      </c>
      <c r="K603" s="2" t="s">
        <v>10087</v>
      </c>
    </row>
    <row r="604" spans="1:11" x14ac:dyDescent="0.2">
      <c r="A604" s="2">
        <v>151</v>
      </c>
      <c r="B604" s="2">
        <v>1</v>
      </c>
      <c r="C604" s="2">
        <v>196179111</v>
      </c>
      <c r="D604" s="2">
        <v>197935821</v>
      </c>
      <c r="E604" s="2">
        <v>4</v>
      </c>
      <c r="F604" s="2" t="s">
        <v>10086</v>
      </c>
      <c r="H604" s="3">
        <v>6.9999999999999999E-4</v>
      </c>
      <c r="K604" s="2" t="s">
        <v>10088</v>
      </c>
    </row>
    <row r="605" spans="1:11" x14ac:dyDescent="0.2">
      <c r="A605" s="2">
        <v>152</v>
      </c>
      <c r="B605" s="2">
        <v>1</v>
      </c>
      <c r="C605" s="2">
        <v>197935822</v>
      </c>
      <c r="D605" s="2">
        <v>199263389</v>
      </c>
      <c r="E605" s="2">
        <v>1</v>
      </c>
      <c r="F605" s="2" t="s">
        <v>10086</v>
      </c>
      <c r="H605" s="2">
        <v>2.3E-3</v>
      </c>
      <c r="K605" s="2" t="s">
        <v>10088</v>
      </c>
    </row>
    <row r="606" spans="1:11" x14ac:dyDescent="0.2">
      <c r="A606" s="2">
        <v>152</v>
      </c>
      <c r="B606" s="2">
        <v>1</v>
      </c>
      <c r="C606" s="2">
        <v>197935822</v>
      </c>
      <c r="D606" s="2">
        <v>199263389</v>
      </c>
      <c r="E606" s="2">
        <v>2</v>
      </c>
      <c r="F606" s="2" t="s">
        <v>10086</v>
      </c>
      <c r="H606" s="2">
        <v>1.6999999999999999E-3</v>
      </c>
      <c r="K606" s="2" t="s">
        <v>10085</v>
      </c>
    </row>
    <row r="607" spans="1:11" x14ac:dyDescent="0.2">
      <c r="A607" s="2">
        <v>152</v>
      </c>
      <c r="B607" s="2">
        <v>1</v>
      </c>
      <c r="C607" s="2">
        <v>197935822</v>
      </c>
      <c r="D607" s="2">
        <v>199263389</v>
      </c>
      <c r="E607" s="2">
        <v>3</v>
      </c>
      <c r="F607" s="2" t="s">
        <v>10086</v>
      </c>
      <c r="H607" s="2">
        <v>1.2999999999999999E-3</v>
      </c>
      <c r="K607" s="2" t="s">
        <v>10089</v>
      </c>
    </row>
    <row r="608" spans="1:11" x14ac:dyDescent="0.2">
      <c r="A608" s="2">
        <v>152</v>
      </c>
      <c r="B608" s="2">
        <v>1</v>
      </c>
      <c r="C608" s="2">
        <v>197935822</v>
      </c>
      <c r="D608" s="2">
        <v>199263389</v>
      </c>
      <c r="E608" s="2">
        <v>4</v>
      </c>
      <c r="F608" s="2" t="s">
        <v>10086</v>
      </c>
      <c r="H608" s="2">
        <v>1.1999999999999999E-3</v>
      </c>
      <c r="K608" s="2" t="s">
        <v>10087</v>
      </c>
    </row>
    <row r="609" spans="1:11" x14ac:dyDescent="0.2">
      <c r="A609" s="2">
        <v>153</v>
      </c>
      <c r="B609" s="2">
        <v>1</v>
      </c>
      <c r="C609" s="2">
        <v>199263390</v>
      </c>
      <c r="D609" s="2">
        <v>200134005</v>
      </c>
      <c r="E609" s="2">
        <v>1</v>
      </c>
      <c r="F609" s="2" t="s">
        <v>10086</v>
      </c>
      <c r="H609" s="2">
        <v>4.4000000000000003E-3</v>
      </c>
      <c r="K609" s="2" t="s">
        <v>10085</v>
      </c>
    </row>
    <row r="610" spans="1:11" x14ac:dyDescent="0.2">
      <c r="A610" s="2">
        <v>153</v>
      </c>
      <c r="B610" s="2">
        <v>1</v>
      </c>
      <c r="C610" s="2">
        <v>199263390</v>
      </c>
      <c r="D610" s="2">
        <v>200134005</v>
      </c>
      <c r="E610" s="2">
        <v>2</v>
      </c>
      <c r="F610" s="2" t="s">
        <v>10086</v>
      </c>
      <c r="H610" s="2">
        <v>2.3999999999999998E-3</v>
      </c>
      <c r="K610" s="2" t="s">
        <v>10087</v>
      </c>
    </row>
    <row r="611" spans="1:11" x14ac:dyDescent="0.2">
      <c r="A611" s="2">
        <v>153</v>
      </c>
      <c r="B611" s="2">
        <v>1</v>
      </c>
      <c r="C611" s="2">
        <v>199263390</v>
      </c>
      <c r="D611" s="2">
        <v>200134005</v>
      </c>
      <c r="E611" s="2">
        <v>3</v>
      </c>
      <c r="F611" s="2" t="s">
        <v>10086</v>
      </c>
      <c r="H611" s="3">
        <v>6.9999999999999999E-4</v>
      </c>
      <c r="K611" s="2" t="s">
        <v>10089</v>
      </c>
    </row>
    <row r="612" spans="1:11" x14ac:dyDescent="0.2">
      <c r="A612" s="2">
        <v>153</v>
      </c>
      <c r="B612" s="2">
        <v>1</v>
      </c>
      <c r="C612" s="2">
        <v>199263390</v>
      </c>
      <c r="D612" s="2">
        <v>200134005</v>
      </c>
      <c r="E612" s="2">
        <v>4</v>
      </c>
      <c r="F612" s="2" t="s">
        <v>10086</v>
      </c>
      <c r="H612" s="3">
        <v>5.0000000000000001E-4</v>
      </c>
      <c r="K612" s="2" t="s">
        <v>12324</v>
      </c>
    </row>
    <row r="613" spans="1:11" x14ac:dyDescent="0.2">
      <c r="A613" s="2">
        <v>154</v>
      </c>
      <c r="B613" s="2">
        <v>1</v>
      </c>
      <c r="C613" s="2">
        <v>200134006</v>
      </c>
      <c r="D613" s="2">
        <v>201067952</v>
      </c>
      <c r="E613" s="2">
        <v>1</v>
      </c>
      <c r="F613" s="2" t="s">
        <v>10086</v>
      </c>
      <c r="H613" s="2">
        <v>2.2000000000000001E-3</v>
      </c>
      <c r="K613" s="2" t="s">
        <v>10087</v>
      </c>
    </row>
    <row r="614" spans="1:11" x14ac:dyDescent="0.2">
      <c r="A614" s="2">
        <v>154</v>
      </c>
      <c r="B614" s="2">
        <v>1</v>
      </c>
      <c r="C614" s="2">
        <v>200134006</v>
      </c>
      <c r="D614" s="2">
        <v>201067952</v>
      </c>
      <c r="E614" s="2">
        <v>2</v>
      </c>
      <c r="F614" s="2" t="s">
        <v>10086</v>
      </c>
      <c r="H614" s="2">
        <v>1.6999999999999999E-3</v>
      </c>
      <c r="K614" s="2" t="s">
        <v>10089</v>
      </c>
    </row>
    <row r="615" spans="1:11" x14ac:dyDescent="0.2">
      <c r="A615" s="2">
        <v>154</v>
      </c>
      <c r="B615" s="2">
        <v>1</v>
      </c>
      <c r="C615" s="2">
        <v>200134006</v>
      </c>
      <c r="D615" s="2">
        <v>201067952</v>
      </c>
      <c r="E615" s="2">
        <v>3</v>
      </c>
      <c r="F615" s="2" t="s">
        <v>10086</v>
      </c>
      <c r="H615" s="2">
        <v>1.5E-3</v>
      </c>
      <c r="K615" s="2" t="s">
        <v>12324</v>
      </c>
    </row>
    <row r="616" spans="1:11" x14ac:dyDescent="0.2">
      <c r="A616" s="2">
        <v>154</v>
      </c>
      <c r="B616" s="2">
        <v>1</v>
      </c>
      <c r="C616" s="2">
        <v>200134006</v>
      </c>
      <c r="D616" s="2">
        <v>201067952</v>
      </c>
      <c r="E616" s="2">
        <v>4</v>
      </c>
      <c r="F616" s="2" t="s">
        <v>10086</v>
      </c>
      <c r="H616" s="2">
        <v>1.2999999999999999E-3</v>
      </c>
      <c r="K616" s="2" t="s">
        <v>10088</v>
      </c>
    </row>
    <row r="617" spans="1:11" x14ac:dyDescent="0.2">
      <c r="A617" s="2">
        <v>155</v>
      </c>
      <c r="B617" s="2">
        <v>1</v>
      </c>
      <c r="C617" s="2">
        <v>201067953</v>
      </c>
      <c r="D617" s="2">
        <v>202583884</v>
      </c>
      <c r="E617" s="2">
        <v>1</v>
      </c>
      <c r="F617" s="2" t="s">
        <v>10086</v>
      </c>
      <c r="H617" s="2">
        <v>6.8999999999999999E-3</v>
      </c>
      <c r="K617" s="2" t="s">
        <v>10088</v>
      </c>
    </row>
    <row r="618" spans="1:11" x14ac:dyDescent="0.2">
      <c r="A618" s="2">
        <v>155</v>
      </c>
      <c r="B618" s="2">
        <v>1</v>
      </c>
      <c r="C618" s="2">
        <v>201067953</v>
      </c>
      <c r="D618" s="2">
        <v>202583884</v>
      </c>
      <c r="E618" s="2">
        <v>2</v>
      </c>
      <c r="F618" s="2" t="s">
        <v>10086</v>
      </c>
      <c r="H618" s="2">
        <v>1.5E-3</v>
      </c>
      <c r="K618" s="2" t="s">
        <v>10085</v>
      </c>
    </row>
    <row r="619" spans="1:11" x14ac:dyDescent="0.2">
      <c r="A619" s="2">
        <v>155</v>
      </c>
      <c r="B619" s="2">
        <v>1</v>
      </c>
      <c r="C619" s="2">
        <v>201067953</v>
      </c>
      <c r="D619" s="2">
        <v>202583884</v>
      </c>
      <c r="E619" s="2">
        <v>3</v>
      </c>
      <c r="F619" s="2" t="s">
        <v>10086</v>
      </c>
      <c r="H619" s="2">
        <v>1.5E-3</v>
      </c>
      <c r="K619" s="2" t="s">
        <v>10087</v>
      </c>
    </row>
    <row r="620" spans="1:11" x14ac:dyDescent="0.2">
      <c r="A620" s="2">
        <v>155</v>
      </c>
      <c r="B620" s="2">
        <v>1</v>
      </c>
      <c r="C620" s="2">
        <v>201067953</v>
      </c>
      <c r="D620" s="2">
        <v>202583884</v>
      </c>
      <c r="E620" s="2">
        <v>4</v>
      </c>
      <c r="F620" s="2" t="s">
        <v>10086</v>
      </c>
      <c r="H620" s="2">
        <v>1.1000000000000001E-3</v>
      </c>
      <c r="K620" s="2" t="s">
        <v>10089</v>
      </c>
    </row>
    <row r="621" spans="1:11" x14ac:dyDescent="0.2">
      <c r="A621" s="2">
        <v>156</v>
      </c>
      <c r="B621" s="2">
        <v>1</v>
      </c>
      <c r="C621" s="2">
        <v>202583885</v>
      </c>
      <c r="D621" s="2">
        <v>204092537</v>
      </c>
      <c r="E621" s="2">
        <v>1</v>
      </c>
      <c r="F621" s="2" t="s">
        <v>10086</v>
      </c>
      <c r="H621" s="2">
        <v>3.2000000000000002E-3</v>
      </c>
      <c r="K621" s="2" t="s">
        <v>10089</v>
      </c>
    </row>
    <row r="622" spans="1:11" x14ac:dyDescent="0.2">
      <c r="A622" s="2">
        <v>156</v>
      </c>
      <c r="B622" s="2">
        <v>1</v>
      </c>
      <c r="C622" s="2">
        <v>202583885</v>
      </c>
      <c r="D622" s="2">
        <v>204092537</v>
      </c>
      <c r="E622" s="2">
        <v>2</v>
      </c>
      <c r="F622" s="2" t="s">
        <v>10086</v>
      </c>
      <c r="H622" s="2">
        <v>3.8E-3</v>
      </c>
      <c r="K622" s="2" t="s">
        <v>10087</v>
      </c>
    </row>
    <row r="623" spans="1:11" x14ac:dyDescent="0.2">
      <c r="A623" s="2">
        <v>156</v>
      </c>
      <c r="B623" s="2">
        <v>1</v>
      </c>
      <c r="C623" s="2">
        <v>202583885</v>
      </c>
      <c r="D623" s="2">
        <v>204092537</v>
      </c>
      <c r="E623" s="2">
        <v>3</v>
      </c>
      <c r="F623" s="2" t="s">
        <v>10086</v>
      </c>
      <c r="H623" s="2">
        <v>1.2999999999999999E-3</v>
      </c>
      <c r="K623" s="2" t="s">
        <v>10088</v>
      </c>
    </row>
    <row r="624" spans="1:11" x14ac:dyDescent="0.2">
      <c r="A624" s="2">
        <v>156</v>
      </c>
      <c r="B624" s="2">
        <v>1</v>
      </c>
      <c r="C624" s="2">
        <v>202583885</v>
      </c>
      <c r="D624" s="2">
        <v>204092537</v>
      </c>
      <c r="E624" s="2">
        <v>4</v>
      </c>
      <c r="F624" s="2" t="s">
        <v>10086</v>
      </c>
      <c r="H624" s="3">
        <v>4.0000000000000002E-4</v>
      </c>
      <c r="K624" s="2" t="s">
        <v>10085</v>
      </c>
    </row>
    <row r="625" spans="1:11" x14ac:dyDescent="0.2">
      <c r="A625" s="2">
        <v>157</v>
      </c>
      <c r="B625" s="2">
        <v>1</v>
      </c>
      <c r="C625" s="2">
        <v>204092538</v>
      </c>
      <c r="D625" s="2">
        <v>205009623</v>
      </c>
      <c r="E625" s="2">
        <v>1</v>
      </c>
      <c r="F625" s="2" t="s">
        <v>10086</v>
      </c>
      <c r="H625" s="2">
        <v>1.5E-3</v>
      </c>
      <c r="K625" s="2" t="s">
        <v>10085</v>
      </c>
    </row>
    <row r="626" spans="1:11" x14ac:dyDescent="0.2">
      <c r="A626" s="2">
        <v>157</v>
      </c>
      <c r="B626" s="2">
        <v>1</v>
      </c>
      <c r="C626" s="2">
        <v>204092538</v>
      </c>
      <c r="D626" s="2">
        <v>205009623</v>
      </c>
      <c r="E626" s="2">
        <v>2</v>
      </c>
      <c r="F626" s="2" t="s">
        <v>10086</v>
      </c>
      <c r="H626" s="2">
        <v>1.4E-3</v>
      </c>
      <c r="K626" s="2" t="s">
        <v>10089</v>
      </c>
    </row>
    <row r="627" spans="1:11" x14ac:dyDescent="0.2">
      <c r="A627" s="2">
        <v>157</v>
      </c>
      <c r="B627" s="2">
        <v>1</v>
      </c>
      <c r="C627" s="2">
        <v>204092538</v>
      </c>
      <c r="D627" s="2">
        <v>205009623</v>
      </c>
      <c r="E627" s="2">
        <v>3</v>
      </c>
      <c r="F627" s="2" t="s">
        <v>10086</v>
      </c>
      <c r="H627" s="3">
        <v>8.9999999999999998E-4</v>
      </c>
      <c r="K627" s="2" t="s">
        <v>10087</v>
      </c>
    </row>
    <row r="628" spans="1:11" x14ac:dyDescent="0.2">
      <c r="A628" s="2">
        <v>157</v>
      </c>
      <c r="B628" s="2">
        <v>1</v>
      </c>
      <c r="C628" s="2">
        <v>204092538</v>
      </c>
      <c r="D628" s="2">
        <v>205009623</v>
      </c>
      <c r="E628" s="2">
        <v>4</v>
      </c>
      <c r="F628" s="2" t="s">
        <v>10086</v>
      </c>
      <c r="H628" s="3">
        <v>4.0000000000000002E-4</v>
      </c>
      <c r="K628" s="2" t="s">
        <v>10088</v>
      </c>
    </row>
    <row r="629" spans="1:11" x14ac:dyDescent="0.2">
      <c r="A629" s="2">
        <v>158</v>
      </c>
      <c r="B629" s="2">
        <v>1</v>
      </c>
      <c r="C629" s="2">
        <v>205009624</v>
      </c>
      <c r="D629" s="2">
        <v>205917548</v>
      </c>
      <c r="E629" s="2">
        <v>1</v>
      </c>
      <c r="F629" s="2" t="s">
        <v>10086</v>
      </c>
      <c r="H629" s="2">
        <v>1.6999999999999999E-3</v>
      </c>
      <c r="K629" s="2" t="s">
        <v>10088</v>
      </c>
    </row>
    <row r="630" spans="1:11" x14ac:dyDescent="0.2">
      <c r="A630" s="2">
        <v>158</v>
      </c>
      <c r="B630" s="2">
        <v>1</v>
      </c>
      <c r="C630" s="2">
        <v>205009624</v>
      </c>
      <c r="D630" s="2">
        <v>205917548</v>
      </c>
      <c r="E630" s="2">
        <v>2</v>
      </c>
      <c r="F630" s="2" t="s">
        <v>10086</v>
      </c>
      <c r="H630" s="2">
        <v>1.6999999999999999E-3</v>
      </c>
      <c r="K630" s="2" t="s">
        <v>12324</v>
      </c>
    </row>
    <row r="631" spans="1:11" x14ac:dyDescent="0.2">
      <c r="A631" s="2">
        <v>158</v>
      </c>
      <c r="B631" s="2">
        <v>1</v>
      </c>
      <c r="C631" s="2">
        <v>205009624</v>
      </c>
      <c r="D631" s="2">
        <v>205917548</v>
      </c>
      <c r="E631" s="2">
        <v>3</v>
      </c>
      <c r="F631" s="2" t="s">
        <v>10086</v>
      </c>
      <c r="H631" s="2">
        <v>1.1000000000000001E-3</v>
      </c>
      <c r="K631" s="2" t="s">
        <v>10089</v>
      </c>
    </row>
    <row r="632" spans="1:11" x14ac:dyDescent="0.2">
      <c r="A632" s="2">
        <v>158</v>
      </c>
      <c r="B632" s="2">
        <v>1</v>
      </c>
      <c r="C632" s="2">
        <v>205009624</v>
      </c>
      <c r="D632" s="2">
        <v>205917548</v>
      </c>
      <c r="E632" s="2">
        <v>4</v>
      </c>
      <c r="F632" s="2" t="s">
        <v>10086</v>
      </c>
      <c r="H632" s="3">
        <v>8.0000000000000004E-4</v>
      </c>
      <c r="K632" s="2" t="s">
        <v>10087</v>
      </c>
    </row>
    <row r="633" spans="1:11" x14ac:dyDescent="0.2">
      <c r="A633" s="2">
        <v>159</v>
      </c>
      <c r="B633" s="2">
        <v>1</v>
      </c>
      <c r="C633" s="2">
        <v>205917549</v>
      </c>
      <c r="D633" s="2">
        <v>208162951</v>
      </c>
      <c r="E633" s="2">
        <v>1</v>
      </c>
      <c r="F633" s="2" t="s">
        <v>10086</v>
      </c>
      <c r="H633" s="2">
        <v>2.0999999999999999E-3</v>
      </c>
      <c r="K633" s="2" t="s">
        <v>10087</v>
      </c>
    </row>
    <row r="634" spans="1:11" x14ac:dyDescent="0.2">
      <c r="A634" s="2">
        <v>159</v>
      </c>
      <c r="B634" s="2">
        <v>1</v>
      </c>
      <c r="C634" s="2">
        <v>205917549</v>
      </c>
      <c r="D634" s="2">
        <v>208162951</v>
      </c>
      <c r="E634" s="2">
        <v>2</v>
      </c>
      <c r="F634" s="2" t="s">
        <v>10086</v>
      </c>
      <c r="H634" s="2">
        <v>2.5999999999999999E-3</v>
      </c>
      <c r="K634" s="2" t="s">
        <v>10089</v>
      </c>
    </row>
    <row r="635" spans="1:11" x14ac:dyDescent="0.2">
      <c r="A635" s="2">
        <v>159</v>
      </c>
      <c r="B635" s="2">
        <v>1</v>
      </c>
      <c r="C635" s="2">
        <v>205917549</v>
      </c>
      <c r="D635" s="2">
        <v>208162951</v>
      </c>
      <c r="E635" s="2">
        <v>3</v>
      </c>
      <c r="F635" s="2" t="s">
        <v>10086</v>
      </c>
      <c r="H635" s="2">
        <v>1.4E-3</v>
      </c>
      <c r="K635" s="2" t="s">
        <v>10088</v>
      </c>
    </row>
    <row r="636" spans="1:11" x14ac:dyDescent="0.2">
      <c r="A636" s="2">
        <v>159</v>
      </c>
      <c r="B636" s="2">
        <v>1</v>
      </c>
      <c r="C636" s="2">
        <v>205917549</v>
      </c>
      <c r="D636" s="2">
        <v>208162951</v>
      </c>
      <c r="E636" s="2">
        <v>4</v>
      </c>
      <c r="F636" s="2" t="s">
        <v>10086</v>
      </c>
      <c r="H636" s="3">
        <v>6.9999999999999999E-4</v>
      </c>
      <c r="K636" s="2" t="s">
        <v>10085</v>
      </c>
    </row>
    <row r="637" spans="1:11" x14ac:dyDescent="0.2">
      <c r="A637" s="2">
        <v>160</v>
      </c>
      <c r="B637" s="2">
        <v>1</v>
      </c>
      <c r="C637" s="2">
        <v>208162952</v>
      </c>
      <c r="D637" s="2">
        <v>209711169</v>
      </c>
      <c r="E637" s="2">
        <v>1</v>
      </c>
      <c r="F637" s="2" t="s">
        <v>10086</v>
      </c>
      <c r="H637" s="2">
        <v>3.5000000000000001E-3</v>
      </c>
      <c r="K637" s="2" t="s">
        <v>10085</v>
      </c>
    </row>
    <row r="638" spans="1:11" x14ac:dyDescent="0.2">
      <c r="A638" s="2">
        <v>160</v>
      </c>
      <c r="B638" s="2">
        <v>1</v>
      </c>
      <c r="C638" s="2">
        <v>208162952</v>
      </c>
      <c r="D638" s="2">
        <v>209711169</v>
      </c>
      <c r="E638" s="2">
        <v>2</v>
      </c>
      <c r="F638" s="2" t="s">
        <v>10086</v>
      </c>
      <c r="H638" s="2">
        <v>2E-3</v>
      </c>
      <c r="K638" s="2" t="s">
        <v>10088</v>
      </c>
    </row>
    <row r="639" spans="1:11" x14ac:dyDescent="0.2">
      <c r="A639" s="2">
        <v>160</v>
      </c>
      <c r="B639" s="2">
        <v>1</v>
      </c>
      <c r="C639" s="2">
        <v>208162952</v>
      </c>
      <c r="D639" s="2">
        <v>209711169</v>
      </c>
      <c r="E639" s="2">
        <v>3</v>
      </c>
      <c r="F639" s="2" t="s">
        <v>10086</v>
      </c>
      <c r="H639" s="2">
        <v>1.2999999999999999E-3</v>
      </c>
      <c r="K639" s="2" t="s">
        <v>10089</v>
      </c>
    </row>
    <row r="640" spans="1:11" x14ac:dyDescent="0.2">
      <c r="A640" s="2">
        <v>160</v>
      </c>
      <c r="B640" s="2">
        <v>1</v>
      </c>
      <c r="C640" s="2">
        <v>208162952</v>
      </c>
      <c r="D640" s="2">
        <v>209711169</v>
      </c>
      <c r="E640" s="2">
        <v>4</v>
      </c>
      <c r="F640" s="2" t="s">
        <v>10086</v>
      </c>
      <c r="H640" s="3">
        <v>8.9999999999999998E-4</v>
      </c>
      <c r="K640" s="2" t="s">
        <v>10087</v>
      </c>
    </row>
    <row r="641" spans="1:11" x14ac:dyDescent="0.2">
      <c r="A641" s="2">
        <v>161</v>
      </c>
      <c r="B641" s="2">
        <v>1</v>
      </c>
      <c r="C641" s="2">
        <v>209711170</v>
      </c>
      <c r="D641" s="2">
        <v>211082892</v>
      </c>
      <c r="E641" s="2">
        <v>1</v>
      </c>
      <c r="F641" s="2" t="s">
        <v>10086</v>
      </c>
      <c r="H641" s="2">
        <v>4.0000000000000001E-3</v>
      </c>
      <c r="K641" s="2" t="s">
        <v>10089</v>
      </c>
    </row>
    <row r="642" spans="1:11" x14ac:dyDescent="0.2">
      <c r="A642" s="2">
        <v>161</v>
      </c>
      <c r="B642" s="2">
        <v>1</v>
      </c>
      <c r="C642" s="2">
        <v>209711170</v>
      </c>
      <c r="D642" s="2">
        <v>211082892</v>
      </c>
      <c r="E642" s="2">
        <v>2</v>
      </c>
      <c r="F642" s="2" t="s">
        <v>10086</v>
      </c>
      <c r="H642" s="2">
        <v>2.0999999999999999E-3</v>
      </c>
      <c r="K642" s="2" t="s">
        <v>10087</v>
      </c>
    </row>
    <row r="643" spans="1:11" x14ac:dyDescent="0.2">
      <c r="A643" s="2">
        <v>161</v>
      </c>
      <c r="B643" s="2">
        <v>1</v>
      </c>
      <c r="C643" s="2">
        <v>209711170</v>
      </c>
      <c r="D643" s="2">
        <v>211082892</v>
      </c>
      <c r="E643" s="2">
        <v>3</v>
      </c>
      <c r="F643" s="2" t="s">
        <v>10086</v>
      </c>
      <c r="H643" s="2">
        <v>1.6000000000000001E-3</v>
      </c>
      <c r="K643" s="2" t="s">
        <v>10085</v>
      </c>
    </row>
    <row r="644" spans="1:11" x14ac:dyDescent="0.2">
      <c r="A644" s="2">
        <v>161</v>
      </c>
      <c r="B644" s="2">
        <v>1</v>
      </c>
      <c r="C644" s="2">
        <v>209711170</v>
      </c>
      <c r="D644" s="2">
        <v>211082892</v>
      </c>
      <c r="E644" s="2">
        <v>4</v>
      </c>
      <c r="F644" s="2" t="s">
        <v>10086</v>
      </c>
      <c r="H644" s="3">
        <v>6.9999999999999999E-4</v>
      </c>
      <c r="K644" s="2" t="s">
        <v>10088</v>
      </c>
    </row>
    <row r="645" spans="1:11" x14ac:dyDescent="0.2">
      <c r="A645" s="2">
        <v>162</v>
      </c>
      <c r="B645" s="2">
        <v>1</v>
      </c>
      <c r="C645" s="2">
        <v>211082893</v>
      </c>
      <c r="D645" s="2">
        <v>212347582</v>
      </c>
      <c r="E645" s="2">
        <v>1</v>
      </c>
      <c r="F645" s="2" t="s">
        <v>10086</v>
      </c>
      <c r="H645" s="2">
        <v>3.7000000000000002E-3</v>
      </c>
      <c r="K645" s="2" t="s">
        <v>10089</v>
      </c>
    </row>
    <row r="646" spans="1:11" x14ac:dyDescent="0.2">
      <c r="A646" s="2">
        <v>162</v>
      </c>
      <c r="B646" s="2">
        <v>1</v>
      </c>
      <c r="C646" s="2">
        <v>211082893</v>
      </c>
      <c r="D646" s="2">
        <v>212347582</v>
      </c>
      <c r="E646" s="2">
        <v>2</v>
      </c>
      <c r="F646" s="2" t="s">
        <v>10086</v>
      </c>
      <c r="H646" s="2">
        <v>1.8E-3</v>
      </c>
      <c r="K646" s="2" t="s">
        <v>10085</v>
      </c>
    </row>
    <row r="647" spans="1:11" x14ac:dyDescent="0.2">
      <c r="A647" s="2">
        <v>162</v>
      </c>
      <c r="B647" s="2">
        <v>1</v>
      </c>
      <c r="C647" s="2">
        <v>211082893</v>
      </c>
      <c r="D647" s="2">
        <v>212347582</v>
      </c>
      <c r="E647" s="2">
        <v>3</v>
      </c>
      <c r="F647" s="2" t="s">
        <v>10086</v>
      </c>
      <c r="H647" s="2">
        <v>2E-3</v>
      </c>
      <c r="K647" s="2" t="s">
        <v>10087</v>
      </c>
    </row>
    <row r="648" spans="1:11" x14ac:dyDescent="0.2">
      <c r="A648" s="2">
        <v>162</v>
      </c>
      <c r="B648" s="2">
        <v>1</v>
      </c>
      <c r="C648" s="2">
        <v>211082893</v>
      </c>
      <c r="D648" s="2">
        <v>212347582</v>
      </c>
      <c r="E648" s="2">
        <v>4</v>
      </c>
      <c r="F648" s="2" t="s">
        <v>10086</v>
      </c>
      <c r="H648" s="2">
        <v>1E-3</v>
      </c>
      <c r="K648" s="2" t="s">
        <v>10088</v>
      </c>
    </row>
    <row r="649" spans="1:11" x14ac:dyDescent="0.2">
      <c r="A649" s="2">
        <v>163</v>
      </c>
      <c r="B649" s="2">
        <v>1</v>
      </c>
      <c r="C649" s="2">
        <v>212347583</v>
      </c>
      <c r="D649" s="2">
        <v>213958292</v>
      </c>
      <c r="E649" s="2">
        <v>1</v>
      </c>
      <c r="F649" s="2" t="s">
        <v>10086</v>
      </c>
      <c r="H649" s="2">
        <v>3.0000000000000001E-3</v>
      </c>
      <c r="K649" s="2" t="s">
        <v>10087</v>
      </c>
    </row>
    <row r="650" spans="1:11" x14ac:dyDescent="0.2">
      <c r="A650" s="2">
        <v>163</v>
      </c>
      <c r="B650" s="2">
        <v>1</v>
      </c>
      <c r="C650" s="2">
        <v>212347583</v>
      </c>
      <c r="D650" s="2">
        <v>213958292</v>
      </c>
      <c r="E650" s="2">
        <v>2</v>
      </c>
      <c r="F650" s="2" t="s">
        <v>10086</v>
      </c>
      <c r="H650" s="2">
        <v>1.5E-3</v>
      </c>
      <c r="K650" s="2" t="s">
        <v>10088</v>
      </c>
    </row>
    <row r="651" spans="1:11" x14ac:dyDescent="0.2">
      <c r="A651" s="2">
        <v>163</v>
      </c>
      <c r="B651" s="2">
        <v>1</v>
      </c>
      <c r="C651" s="2">
        <v>212347583</v>
      </c>
      <c r="D651" s="2">
        <v>213958292</v>
      </c>
      <c r="E651" s="2">
        <v>3</v>
      </c>
      <c r="F651" s="2" t="s">
        <v>10086</v>
      </c>
      <c r="H651" s="2">
        <v>1.2999999999999999E-3</v>
      </c>
      <c r="K651" s="2" t="s">
        <v>10085</v>
      </c>
    </row>
    <row r="652" spans="1:11" x14ac:dyDescent="0.2">
      <c r="A652" s="2">
        <v>163</v>
      </c>
      <c r="B652" s="2">
        <v>1</v>
      </c>
      <c r="C652" s="2">
        <v>212347583</v>
      </c>
      <c r="D652" s="2">
        <v>213958292</v>
      </c>
      <c r="E652" s="2">
        <v>4</v>
      </c>
      <c r="F652" s="2" t="s">
        <v>10086</v>
      </c>
      <c r="H652" s="3">
        <v>5.9999999999999995E-4</v>
      </c>
      <c r="K652" s="2" t="s">
        <v>10089</v>
      </c>
    </row>
    <row r="653" spans="1:11" x14ac:dyDescent="0.2">
      <c r="A653" s="2">
        <v>164</v>
      </c>
      <c r="B653" s="2">
        <v>1</v>
      </c>
      <c r="C653" s="2">
        <v>213958293</v>
      </c>
      <c r="D653" s="2">
        <v>214783872</v>
      </c>
      <c r="E653" s="2">
        <v>1</v>
      </c>
      <c r="F653" s="2" t="s">
        <v>10086</v>
      </c>
      <c r="H653" s="2">
        <v>1.1000000000000001E-3</v>
      </c>
      <c r="K653" s="2" t="s">
        <v>10085</v>
      </c>
    </row>
    <row r="654" spans="1:11" x14ac:dyDescent="0.2">
      <c r="A654" s="2">
        <v>164</v>
      </c>
      <c r="B654" s="2">
        <v>1</v>
      </c>
      <c r="C654" s="2">
        <v>213958293</v>
      </c>
      <c r="D654" s="2">
        <v>214783872</v>
      </c>
      <c r="E654" s="2">
        <v>2</v>
      </c>
      <c r="F654" s="2" t="s">
        <v>10086</v>
      </c>
      <c r="H654" s="3">
        <v>6.9999999999999999E-4</v>
      </c>
      <c r="K654" s="2" t="s">
        <v>10087</v>
      </c>
    </row>
    <row r="655" spans="1:11" x14ac:dyDescent="0.2">
      <c r="A655" s="2">
        <v>164</v>
      </c>
      <c r="B655" s="2">
        <v>1</v>
      </c>
      <c r="C655" s="2">
        <v>213958293</v>
      </c>
      <c r="D655" s="2">
        <v>214783872</v>
      </c>
      <c r="E655" s="2">
        <v>3</v>
      </c>
      <c r="F655" s="2" t="s">
        <v>10086</v>
      </c>
      <c r="H655" s="3">
        <v>5.9999999999999995E-4</v>
      </c>
      <c r="K655" s="2" t="s">
        <v>10089</v>
      </c>
    </row>
    <row r="656" spans="1:11" x14ac:dyDescent="0.2">
      <c r="A656" s="2">
        <v>164</v>
      </c>
      <c r="B656" s="2">
        <v>1</v>
      </c>
      <c r="C656" s="2">
        <v>213958293</v>
      </c>
      <c r="D656" s="2">
        <v>214783872</v>
      </c>
      <c r="E656" s="2">
        <v>4</v>
      </c>
      <c r="F656" s="2" t="s">
        <v>10086</v>
      </c>
      <c r="H656" s="3">
        <v>2.9999999999999997E-4</v>
      </c>
      <c r="K656" s="2" t="s">
        <v>10088</v>
      </c>
    </row>
    <row r="657" spans="1:11" x14ac:dyDescent="0.2">
      <c r="A657" s="2">
        <v>165</v>
      </c>
      <c r="B657" s="2">
        <v>1</v>
      </c>
      <c r="C657" s="2">
        <v>214783873</v>
      </c>
      <c r="D657" s="2">
        <v>215825791</v>
      </c>
      <c r="E657" s="2">
        <v>1</v>
      </c>
      <c r="F657" s="2" t="s">
        <v>10086</v>
      </c>
      <c r="H657" s="2">
        <v>2.2000000000000001E-3</v>
      </c>
      <c r="K657" s="2" t="s">
        <v>10087</v>
      </c>
    </row>
    <row r="658" spans="1:11" x14ac:dyDescent="0.2">
      <c r="A658" s="2">
        <v>165</v>
      </c>
      <c r="B658" s="2">
        <v>1</v>
      </c>
      <c r="C658" s="2">
        <v>214783873</v>
      </c>
      <c r="D658" s="2">
        <v>215825791</v>
      </c>
      <c r="E658" s="2">
        <v>2</v>
      </c>
      <c r="F658" s="2" t="s">
        <v>10086</v>
      </c>
      <c r="H658" s="2">
        <v>1.1999999999999999E-3</v>
      </c>
      <c r="K658" s="2" t="s">
        <v>10085</v>
      </c>
    </row>
    <row r="659" spans="1:11" x14ac:dyDescent="0.2">
      <c r="A659" s="2">
        <v>165</v>
      </c>
      <c r="B659" s="2">
        <v>1</v>
      </c>
      <c r="C659" s="2">
        <v>214783873</v>
      </c>
      <c r="D659" s="2">
        <v>215825791</v>
      </c>
      <c r="E659" s="2">
        <v>3</v>
      </c>
      <c r="F659" s="2" t="s">
        <v>10086</v>
      </c>
      <c r="H659" s="3">
        <v>8.9999999999999998E-4</v>
      </c>
      <c r="K659" s="2" t="s">
        <v>10088</v>
      </c>
    </row>
    <row r="660" spans="1:11" x14ac:dyDescent="0.2">
      <c r="A660" s="2">
        <v>165</v>
      </c>
      <c r="B660" s="2">
        <v>1</v>
      </c>
      <c r="C660" s="2">
        <v>214783873</v>
      </c>
      <c r="D660" s="2">
        <v>215825791</v>
      </c>
      <c r="E660" s="2">
        <v>4</v>
      </c>
      <c r="F660" s="2" t="s">
        <v>10086</v>
      </c>
      <c r="H660" s="3">
        <v>2.9999999999999997E-4</v>
      </c>
      <c r="K660" s="2" t="s">
        <v>10089</v>
      </c>
    </row>
    <row r="661" spans="1:11" x14ac:dyDescent="0.2">
      <c r="A661" s="2">
        <v>166</v>
      </c>
      <c r="B661" s="2">
        <v>1</v>
      </c>
      <c r="C661" s="2">
        <v>215825792</v>
      </c>
      <c r="D661" s="2">
        <v>216658126</v>
      </c>
      <c r="E661" s="2">
        <v>1</v>
      </c>
      <c r="F661" s="2" t="s">
        <v>10086</v>
      </c>
      <c r="H661" s="2">
        <v>1.8E-3</v>
      </c>
      <c r="K661" s="2" t="s">
        <v>10085</v>
      </c>
    </row>
    <row r="662" spans="1:11" x14ac:dyDescent="0.2">
      <c r="A662" s="2">
        <v>166</v>
      </c>
      <c r="B662" s="2">
        <v>1</v>
      </c>
      <c r="C662" s="2">
        <v>215825792</v>
      </c>
      <c r="D662" s="2">
        <v>216658126</v>
      </c>
      <c r="E662" s="2">
        <v>2</v>
      </c>
      <c r="F662" s="2" t="s">
        <v>10086</v>
      </c>
      <c r="H662" s="2">
        <v>1.1999999999999999E-3</v>
      </c>
      <c r="K662" s="2" t="s">
        <v>10088</v>
      </c>
    </row>
    <row r="663" spans="1:11" x14ac:dyDescent="0.2">
      <c r="A663" s="2">
        <v>166</v>
      </c>
      <c r="B663" s="2">
        <v>1</v>
      </c>
      <c r="C663" s="2">
        <v>215825792</v>
      </c>
      <c r="D663" s="2">
        <v>216658126</v>
      </c>
      <c r="E663" s="2">
        <v>3</v>
      </c>
      <c r="F663" s="2" t="s">
        <v>10086</v>
      </c>
      <c r="H663" s="3">
        <v>8.9999999999999998E-4</v>
      </c>
      <c r="K663" s="2" t="s">
        <v>10089</v>
      </c>
    </row>
    <row r="664" spans="1:11" x14ac:dyDescent="0.2">
      <c r="A664" s="2">
        <v>166</v>
      </c>
      <c r="B664" s="2">
        <v>1</v>
      </c>
      <c r="C664" s="2">
        <v>215825792</v>
      </c>
      <c r="D664" s="2">
        <v>216658126</v>
      </c>
      <c r="E664" s="2">
        <v>4</v>
      </c>
      <c r="F664" s="2" t="s">
        <v>10086</v>
      </c>
      <c r="H664" s="3">
        <v>2.9999999999999997E-4</v>
      </c>
      <c r="K664" s="2" t="s">
        <v>10087</v>
      </c>
    </row>
    <row r="665" spans="1:11" x14ac:dyDescent="0.2">
      <c r="A665" s="2">
        <v>167</v>
      </c>
      <c r="B665" s="2">
        <v>1</v>
      </c>
      <c r="C665" s="2">
        <v>216658127</v>
      </c>
      <c r="D665" s="2">
        <v>217352165</v>
      </c>
      <c r="E665" s="2">
        <v>1</v>
      </c>
      <c r="F665" s="2" t="s">
        <v>10086</v>
      </c>
      <c r="H665" s="2">
        <v>2E-3</v>
      </c>
      <c r="K665" s="2" t="s">
        <v>12324</v>
      </c>
    </row>
    <row r="666" spans="1:11" x14ac:dyDescent="0.2">
      <c r="A666" s="2">
        <v>167</v>
      </c>
      <c r="B666" s="2">
        <v>1</v>
      </c>
      <c r="C666" s="2">
        <v>216658127</v>
      </c>
      <c r="D666" s="2">
        <v>217352165</v>
      </c>
      <c r="E666" s="2">
        <v>2</v>
      </c>
      <c r="F666" s="2" t="s">
        <v>10086</v>
      </c>
      <c r="H666" s="2">
        <v>4.4999999999999997E-3</v>
      </c>
      <c r="K666" s="2" t="s">
        <v>10089</v>
      </c>
    </row>
    <row r="667" spans="1:11" x14ac:dyDescent="0.2">
      <c r="A667" s="2">
        <v>167</v>
      </c>
      <c r="B667" s="2">
        <v>1</v>
      </c>
      <c r="C667" s="2">
        <v>216658127</v>
      </c>
      <c r="D667" s="2">
        <v>217352165</v>
      </c>
      <c r="E667" s="2">
        <v>3</v>
      </c>
      <c r="F667" s="2" t="s">
        <v>10086</v>
      </c>
      <c r="H667" s="2">
        <v>1E-3</v>
      </c>
      <c r="K667" s="2" t="s">
        <v>10085</v>
      </c>
    </row>
    <row r="668" spans="1:11" x14ac:dyDescent="0.2">
      <c r="A668" s="2">
        <v>167</v>
      </c>
      <c r="B668" s="2">
        <v>1</v>
      </c>
      <c r="C668" s="2">
        <v>216658127</v>
      </c>
      <c r="D668" s="2">
        <v>217352165</v>
      </c>
      <c r="E668" s="2">
        <v>4</v>
      </c>
      <c r="F668" s="2" t="s">
        <v>10086</v>
      </c>
      <c r="H668" s="3">
        <v>5.9999999999999995E-4</v>
      </c>
      <c r="K668" s="2" t="s">
        <v>10087</v>
      </c>
    </row>
    <row r="669" spans="1:11" x14ac:dyDescent="0.2">
      <c r="A669" s="2">
        <v>168</v>
      </c>
      <c r="B669" s="2">
        <v>1</v>
      </c>
      <c r="C669" s="2">
        <v>217352166</v>
      </c>
      <c r="D669" s="2">
        <v>218563960</v>
      </c>
      <c r="E669" s="2">
        <v>1</v>
      </c>
      <c r="F669" s="2" t="s">
        <v>10086</v>
      </c>
      <c r="H669" s="2">
        <v>1.4E-3</v>
      </c>
      <c r="K669" s="2" t="s">
        <v>10087</v>
      </c>
    </row>
    <row r="670" spans="1:11" x14ac:dyDescent="0.2">
      <c r="A670" s="2">
        <v>168</v>
      </c>
      <c r="B670" s="2">
        <v>1</v>
      </c>
      <c r="C670" s="2">
        <v>217352166</v>
      </c>
      <c r="D670" s="2">
        <v>218563960</v>
      </c>
      <c r="E670" s="2">
        <v>2</v>
      </c>
      <c r="F670" s="2" t="s">
        <v>10086</v>
      </c>
      <c r="H670" s="2">
        <v>1.4E-3</v>
      </c>
      <c r="K670" s="2" t="s">
        <v>10088</v>
      </c>
    </row>
    <row r="671" spans="1:11" x14ac:dyDescent="0.2">
      <c r="A671" s="2">
        <v>168</v>
      </c>
      <c r="B671" s="2">
        <v>1</v>
      </c>
      <c r="C671" s="2">
        <v>217352166</v>
      </c>
      <c r="D671" s="2">
        <v>218563960</v>
      </c>
      <c r="E671" s="2">
        <v>3</v>
      </c>
      <c r="F671" s="2" t="s">
        <v>10086</v>
      </c>
      <c r="H671" s="2">
        <v>1.1000000000000001E-3</v>
      </c>
      <c r="K671" s="2" t="s">
        <v>10085</v>
      </c>
    </row>
    <row r="672" spans="1:11" x14ac:dyDescent="0.2">
      <c r="A672" s="2">
        <v>168</v>
      </c>
      <c r="B672" s="2">
        <v>1</v>
      </c>
      <c r="C672" s="2">
        <v>217352166</v>
      </c>
      <c r="D672" s="2">
        <v>218563960</v>
      </c>
      <c r="E672" s="2">
        <v>4</v>
      </c>
      <c r="F672" s="2" t="s">
        <v>10086</v>
      </c>
      <c r="H672" s="3">
        <v>8.9999999999999998E-4</v>
      </c>
      <c r="K672" s="2" t="s">
        <v>10089</v>
      </c>
    </row>
    <row r="673" spans="1:11" x14ac:dyDescent="0.2">
      <c r="A673" s="2">
        <v>169</v>
      </c>
      <c r="B673" s="2">
        <v>1</v>
      </c>
      <c r="C673" s="2">
        <v>218563961</v>
      </c>
      <c r="D673" s="2">
        <v>220073132</v>
      </c>
      <c r="E673" s="2">
        <v>1</v>
      </c>
      <c r="F673" s="2" t="s">
        <v>10086</v>
      </c>
      <c r="H673" s="2">
        <v>2.0999999999999999E-3</v>
      </c>
      <c r="K673" s="2" t="s">
        <v>10085</v>
      </c>
    </row>
    <row r="674" spans="1:11" x14ac:dyDescent="0.2">
      <c r="A674" s="2">
        <v>169</v>
      </c>
      <c r="B674" s="2">
        <v>1</v>
      </c>
      <c r="C674" s="2">
        <v>218563961</v>
      </c>
      <c r="D674" s="2">
        <v>220073132</v>
      </c>
      <c r="E674" s="2">
        <v>2</v>
      </c>
      <c r="F674" s="2" t="s">
        <v>10086</v>
      </c>
      <c r="H674" s="2">
        <v>1.2999999999999999E-3</v>
      </c>
      <c r="K674" s="2" t="s">
        <v>10089</v>
      </c>
    </row>
    <row r="675" spans="1:11" x14ac:dyDescent="0.2">
      <c r="A675" s="2">
        <v>169</v>
      </c>
      <c r="B675" s="2">
        <v>1</v>
      </c>
      <c r="C675" s="2">
        <v>218563961</v>
      </c>
      <c r="D675" s="2">
        <v>220073132</v>
      </c>
      <c r="E675" s="2">
        <v>3</v>
      </c>
      <c r="F675" s="2" t="s">
        <v>10086</v>
      </c>
      <c r="H675" s="2">
        <v>1.1999999999999999E-3</v>
      </c>
      <c r="K675" s="2" t="s">
        <v>12324</v>
      </c>
    </row>
    <row r="676" spans="1:11" x14ac:dyDescent="0.2">
      <c r="A676" s="2">
        <v>169</v>
      </c>
      <c r="B676" s="2">
        <v>1</v>
      </c>
      <c r="C676" s="2">
        <v>218563961</v>
      </c>
      <c r="D676" s="2">
        <v>220073132</v>
      </c>
      <c r="E676" s="2">
        <v>4</v>
      </c>
      <c r="F676" s="2" t="s">
        <v>10086</v>
      </c>
      <c r="H676" s="2">
        <v>1.4E-3</v>
      </c>
      <c r="K676" s="2" t="s">
        <v>10087</v>
      </c>
    </row>
    <row r="677" spans="1:11" x14ac:dyDescent="0.2">
      <c r="A677" s="2">
        <v>170</v>
      </c>
      <c r="B677" s="2">
        <v>1</v>
      </c>
      <c r="C677" s="2">
        <v>220073133</v>
      </c>
      <c r="D677" s="2">
        <v>220978151</v>
      </c>
      <c r="E677" s="2">
        <v>1</v>
      </c>
      <c r="F677" s="2" t="s">
        <v>10086</v>
      </c>
      <c r="H677" s="2">
        <v>1.5900000000000001E-2</v>
      </c>
      <c r="K677" s="2" t="s">
        <v>10087</v>
      </c>
    </row>
    <row r="678" spans="1:11" x14ac:dyDescent="0.2">
      <c r="A678" s="2">
        <v>170</v>
      </c>
      <c r="B678" s="2">
        <v>1</v>
      </c>
      <c r="C678" s="2">
        <v>220073133</v>
      </c>
      <c r="D678" s="2">
        <v>220978151</v>
      </c>
      <c r="E678" s="2">
        <v>2</v>
      </c>
      <c r="F678" s="2" t="s">
        <v>10086</v>
      </c>
      <c r="H678" s="2">
        <v>1.4E-3</v>
      </c>
      <c r="K678" s="2" t="s">
        <v>10085</v>
      </c>
    </row>
    <row r="679" spans="1:11" x14ac:dyDescent="0.2">
      <c r="A679" s="2">
        <v>170</v>
      </c>
      <c r="B679" s="2">
        <v>1</v>
      </c>
      <c r="C679" s="2">
        <v>220073133</v>
      </c>
      <c r="D679" s="2">
        <v>220978151</v>
      </c>
      <c r="E679" s="2">
        <v>3</v>
      </c>
      <c r="F679" s="2" t="s">
        <v>10086</v>
      </c>
      <c r="H679" s="2">
        <v>1E-3</v>
      </c>
      <c r="K679" s="2" t="s">
        <v>10088</v>
      </c>
    </row>
    <row r="680" spans="1:11" x14ac:dyDescent="0.2">
      <c r="A680" s="2">
        <v>170</v>
      </c>
      <c r="B680" s="2">
        <v>1</v>
      </c>
      <c r="C680" s="2">
        <v>220073133</v>
      </c>
      <c r="D680" s="2">
        <v>220978151</v>
      </c>
      <c r="E680" s="2">
        <v>4</v>
      </c>
      <c r="F680" s="2" t="s">
        <v>10086</v>
      </c>
      <c r="H680" s="3">
        <v>8.0000000000000004E-4</v>
      </c>
      <c r="K680" s="2" t="s">
        <v>12324</v>
      </c>
    </row>
    <row r="681" spans="1:11" x14ac:dyDescent="0.2">
      <c r="A681" s="2">
        <v>171</v>
      </c>
      <c r="B681" s="2">
        <v>1</v>
      </c>
      <c r="C681" s="2">
        <v>220978152</v>
      </c>
      <c r="D681" s="2">
        <v>221856864</v>
      </c>
      <c r="E681" s="2">
        <v>1</v>
      </c>
      <c r="F681" s="2" t="s">
        <v>10086</v>
      </c>
      <c r="H681" s="2">
        <v>1.1000000000000001E-3</v>
      </c>
      <c r="K681" s="2" t="s">
        <v>10088</v>
      </c>
    </row>
    <row r="682" spans="1:11" x14ac:dyDescent="0.2">
      <c r="A682" s="2">
        <v>171</v>
      </c>
      <c r="B682" s="2">
        <v>1</v>
      </c>
      <c r="C682" s="2">
        <v>220978152</v>
      </c>
      <c r="D682" s="2">
        <v>221856864</v>
      </c>
      <c r="E682" s="2">
        <v>2</v>
      </c>
      <c r="F682" s="2" t="s">
        <v>10086</v>
      </c>
      <c r="H682" s="3">
        <v>6.9999999999999999E-4</v>
      </c>
      <c r="K682" s="2" t="s">
        <v>10089</v>
      </c>
    </row>
    <row r="683" spans="1:11" x14ac:dyDescent="0.2">
      <c r="A683" s="2">
        <v>171</v>
      </c>
      <c r="B683" s="2">
        <v>1</v>
      </c>
      <c r="C683" s="2">
        <v>220978152</v>
      </c>
      <c r="D683" s="2">
        <v>221856864</v>
      </c>
      <c r="E683" s="2">
        <v>3</v>
      </c>
      <c r="F683" s="2" t="s">
        <v>10086</v>
      </c>
      <c r="H683" s="3">
        <v>5.0000000000000001E-4</v>
      </c>
      <c r="K683" s="2" t="s">
        <v>10087</v>
      </c>
    </row>
    <row r="684" spans="1:11" x14ac:dyDescent="0.2">
      <c r="A684" s="2">
        <v>171</v>
      </c>
      <c r="B684" s="2">
        <v>1</v>
      </c>
      <c r="C684" s="2">
        <v>220978152</v>
      </c>
      <c r="D684" s="2">
        <v>221856864</v>
      </c>
      <c r="E684" s="2">
        <v>4</v>
      </c>
      <c r="F684" s="2" t="s">
        <v>10086</v>
      </c>
      <c r="H684" s="3">
        <v>4.0000000000000002E-4</v>
      </c>
      <c r="K684" s="2" t="s">
        <v>10085</v>
      </c>
    </row>
    <row r="685" spans="1:11" x14ac:dyDescent="0.2">
      <c r="A685" s="2">
        <v>172</v>
      </c>
      <c r="B685" s="2">
        <v>1</v>
      </c>
      <c r="C685" s="2">
        <v>221856865</v>
      </c>
      <c r="D685" s="2">
        <v>222763597</v>
      </c>
      <c r="E685" s="2">
        <v>1</v>
      </c>
      <c r="F685" s="2" t="s">
        <v>10086</v>
      </c>
      <c r="H685" s="2">
        <v>4.4000000000000003E-3</v>
      </c>
      <c r="K685" s="2" t="s">
        <v>10088</v>
      </c>
    </row>
    <row r="686" spans="1:11" x14ac:dyDescent="0.2">
      <c r="A686" s="2">
        <v>172</v>
      </c>
      <c r="B686" s="2">
        <v>1</v>
      </c>
      <c r="C686" s="2">
        <v>221856865</v>
      </c>
      <c r="D686" s="2">
        <v>222763597</v>
      </c>
      <c r="E686" s="2">
        <v>2</v>
      </c>
      <c r="F686" s="2" t="s">
        <v>10086</v>
      </c>
      <c r="H686" s="3">
        <v>8.9999999999999998E-4</v>
      </c>
      <c r="K686" s="2" t="s">
        <v>10087</v>
      </c>
    </row>
    <row r="687" spans="1:11" x14ac:dyDescent="0.2">
      <c r="A687" s="2">
        <v>172</v>
      </c>
      <c r="B687" s="2">
        <v>1</v>
      </c>
      <c r="C687" s="2">
        <v>221856865</v>
      </c>
      <c r="D687" s="2">
        <v>222763597</v>
      </c>
      <c r="E687" s="2">
        <v>3</v>
      </c>
      <c r="F687" s="2" t="s">
        <v>10086</v>
      </c>
      <c r="H687" s="3">
        <v>5.9999999999999995E-4</v>
      </c>
      <c r="K687" s="2" t="s">
        <v>10085</v>
      </c>
    </row>
    <row r="688" spans="1:11" x14ac:dyDescent="0.2">
      <c r="A688" s="2">
        <v>172</v>
      </c>
      <c r="B688" s="2">
        <v>1</v>
      </c>
      <c r="C688" s="2">
        <v>221856865</v>
      </c>
      <c r="D688" s="2">
        <v>222763597</v>
      </c>
      <c r="E688" s="2">
        <v>4</v>
      </c>
      <c r="F688" s="2" t="s">
        <v>10086</v>
      </c>
      <c r="H688" s="3">
        <v>5.0000000000000001E-4</v>
      </c>
      <c r="K688" s="2" t="s">
        <v>10089</v>
      </c>
    </row>
    <row r="689" spans="1:11" x14ac:dyDescent="0.2">
      <c r="A689" s="2">
        <v>173</v>
      </c>
      <c r="B689" s="2">
        <v>1</v>
      </c>
      <c r="C689" s="2">
        <v>222763598</v>
      </c>
      <c r="D689" s="2">
        <v>223654902</v>
      </c>
      <c r="E689" s="2">
        <v>1</v>
      </c>
      <c r="F689" s="2" t="s">
        <v>10086</v>
      </c>
      <c r="H689" s="2">
        <v>1.8E-3</v>
      </c>
      <c r="K689" s="2" t="s">
        <v>10089</v>
      </c>
    </row>
    <row r="690" spans="1:11" x14ac:dyDescent="0.2">
      <c r="A690" s="2">
        <v>173</v>
      </c>
      <c r="B690" s="2">
        <v>1</v>
      </c>
      <c r="C690" s="2">
        <v>222763598</v>
      </c>
      <c r="D690" s="2">
        <v>223654902</v>
      </c>
      <c r="E690" s="2">
        <v>2</v>
      </c>
      <c r="F690" s="2" t="s">
        <v>10086</v>
      </c>
      <c r="H690" s="2">
        <v>1E-3</v>
      </c>
      <c r="K690" s="2" t="s">
        <v>10088</v>
      </c>
    </row>
    <row r="691" spans="1:11" x14ac:dyDescent="0.2">
      <c r="A691" s="2">
        <v>173</v>
      </c>
      <c r="B691" s="2">
        <v>1</v>
      </c>
      <c r="C691" s="2">
        <v>222763598</v>
      </c>
      <c r="D691" s="2">
        <v>223654902</v>
      </c>
      <c r="E691" s="2">
        <v>3</v>
      </c>
      <c r="F691" s="2" t="s">
        <v>10086</v>
      </c>
      <c r="H691" s="2">
        <v>1.1000000000000001E-3</v>
      </c>
      <c r="K691" s="2" t="s">
        <v>10085</v>
      </c>
    </row>
    <row r="692" spans="1:11" x14ac:dyDescent="0.2">
      <c r="A692" s="2">
        <v>173</v>
      </c>
      <c r="B692" s="2">
        <v>1</v>
      </c>
      <c r="C692" s="2">
        <v>222763598</v>
      </c>
      <c r="D692" s="2">
        <v>223654902</v>
      </c>
      <c r="E692" s="2">
        <v>4</v>
      </c>
      <c r="F692" s="2" t="s">
        <v>10086</v>
      </c>
      <c r="H692" s="3">
        <v>5.0000000000000001E-4</v>
      </c>
      <c r="K692" s="2" t="s">
        <v>10087</v>
      </c>
    </row>
    <row r="693" spans="1:11" x14ac:dyDescent="0.2">
      <c r="A693" s="2">
        <v>174</v>
      </c>
      <c r="B693" s="2">
        <v>1</v>
      </c>
      <c r="C693" s="2">
        <v>223654903</v>
      </c>
      <c r="D693" s="2">
        <v>224943337</v>
      </c>
      <c r="E693" s="2">
        <v>1</v>
      </c>
      <c r="F693" s="2" t="s">
        <v>10086</v>
      </c>
      <c r="H693" s="2">
        <v>1.6999999999999999E-3</v>
      </c>
      <c r="K693" s="2" t="s">
        <v>10087</v>
      </c>
    </row>
    <row r="694" spans="1:11" x14ac:dyDescent="0.2">
      <c r="A694" s="2">
        <v>174</v>
      </c>
      <c r="B694" s="2">
        <v>1</v>
      </c>
      <c r="C694" s="2">
        <v>223654903</v>
      </c>
      <c r="D694" s="2">
        <v>224943337</v>
      </c>
      <c r="E694" s="2">
        <v>2</v>
      </c>
      <c r="F694" s="2" t="s">
        <v>10086</v>
      </c>
      <c r="H694" s="2">
        <v>1.1000000000000001E-3</v>
      </c>
      <c r="K694" s="2" t="s">
        <v>10089</v>
      </c>
    </row>
    <row r="695" spans="1:11" x14ac:dyDescent="0.2">
      <c r="A695" s="2">
        <v>174</v>
      </c>
      <c r="B695" s="2">
        <v>1</v>
      </c>
      <c r="C695" s="2">
        <v>223654903</v>
      </c>
      <c r="D695" s="2">
        <v>224943337</v>
      </c>
      <c r="E695" s="2">
        <v>3</v>
      </c>
      <c r="F695" s="2" t="s">
        <v>10086</v>
      </c>
      <c r="H695" s="3">
        <v>8.0000000000000004E-4</v>
      </c>
      <c r="K695" s="2" t="s">
        <v>10085</v>
      </c>
    </row>
    <row r="696" spans="1:11" x14ac:dyDescent="0.2">
      <c r="A696" s="2">
        <v>174</v>
      </c>
      <c r="B696" s="2">
        <v>1</v>
      </c>
      <c r="C696" s="2">
        <v>223654903</v>
      </c>
      <c r="D696" s="2">
        <v>224943337</v>
      </c>
      <c r="E696" s="2">
        <v>4</v>
      </c>
      <c r="F696" s="2" t="s">
        <v>10086</v>
      </c>
      <c r="H696" s="3">
        <v>5.9999999999999995E-4</v>
      </c>
      <c r="K696" s="2" t="s">
        <v>10088</v>
      </c>
    </row>
    <row r="697" spans="1:11" x14ac:dyDescent="0.2">
      <c r="A697" s="2">
        <v>175</v>
      </c>
      <c r="B697" s="2">
        <v>1</v>
      </c>
      <c r="C697" s="2">
        <v>224943338</v>
      </c>
      <c r="D697" s="2">
        <v>226534711</v>
      </c>
      <c r="E697" s="2">
        <v>1</v>
      </c>
      <c r="F697" s="2" t="s">
        <v>10086</v>
      </c>
      <c r="H697" s="2">
        <v>7.9000000000000008E-3</v>
      </c>
      <c r="K697" s="2" t="s">
        <v>10088</v>
      </c>
    </row>
    <row r="698" spans="1:11" x14ac:dyDescent="0.2">
      <c r="A698" s="2">
        <v>175</v>
      </c>
      <c r="B698" s="2">
        <v>1</v>
      </c>
      <c r="C698" s="2">
        <v>224943338</v>
      </c>
      <c r="D698" s="2">
        <v>226534711</v>
      </c>
      <c r="E698" s="2">
        <v>2</v>
      </c>
      <c r="F698" s="2" t="s">
        <v>10086</v>
      </c>
      <c r="H698" s="2">
        <v>2.5999999999999999E-3</v>
      </c>
      <c r="K698" s="2" t="s">
        <v>10087</v>
      </c>
    </row>
    <row r="699" spans="1:11" x14ac:dyDescent="0.2">
      <c r="A699" s="2">
        <v>175</v>
      </c>
      <c r="B699" s="2">
        <v>1</v>
      </c>
      <c r="C699" s="2">
        <v>224943338</v>
      </c>
      <c r="D699" s="2">
        <v>226534711</v>
      </c>
      <c r="E699" s="2">
        <v>3</v>
      </c>
      <c r="F699" s="2" t="s">
        <v>10086</v>
      </c>
      <c r="H699" s="2">
        <v>1.4E-3</v>
      </c>
      <c r="K699" s="2" t="s">
        <v>10089</v>
      </c>
    </row>
    <row r="700" spans="1:11" x14ac:dyDescent="0.2">
      <c r="A700" s="2">
        <v>175</v>
      </c>
      <c r="B700" s="2">
        <v>1</v>
      </c>
      <c r="C700" s="2">
        <v>224943338</v>
      </c>
      <c r="D700" s="2">
        <v>226534711</v>
      </c>
      <c r="E700" s="2">
        <v>4</v>
      </c>
      <c r="F700" s="2" t="s">
        <v>10086</v>
      </c>
      <c r="H700" s="3">
        <v>5.0000000000000001E-4</v>
      </c>
      <c r="K700" s="2" t="s">
        <v>10085</v>
      </c>
    </row>
    <row r="701" spans="1:11" x14ac:dyDescent="0.2">
      <c r="A701" s="2">
        <v>176</v>
      </c>
      <c r="B701" s="2">
        <v>1</v>
      </c>
      <c r="C701" s="2">
        <v>226534712</v>
      </c>
      <c r="D701" s="2">
        <v>228045554</v>
      </c>
      <c r="E701" s="2">
        <v>1</v>
      </c>
      <c r="F701" s="2" t="s">
        <v>10086</v>
      </c>
      <c r="H701" s="2">
        <v>2.35E-2</v>
      </c>
      <c r="K701" s="2" t="s">
        <v>10085</v>
      </c>
    </row>
    <row r="702" spans="1:11" x14ac:dyDescent="0.2">
      <c r="A702" s="2">
        <v>176</v>
      </c>
      <c r="B702" s="2">
        <v>1</v>
      </c>
      <c r="C702" s="2">
        <v>226534712</v>
      </c>
      <c r="D702" s="2">
        <v>228045554</v>
      </c>
      <c r="E702" s="2">
        <v>2</v>
      </c>
      <c r="F702" s="2" t="s">
        <v>10086</v>
      </c>
      <c r="H702" s="2">
        <v>2.5000000000000001E-3</v>
      </c>
      <c r="K702" s="2" t="s">
        <v>10087</v>
      </c>
    </row>
    <row r="703" spans="1:11" x14ac:dyDescent="0.2">
      <c r="A703" s="2">
        <v>176</v>
      </c>
      <c r="B703" s="2">
        <v>1</v>
      </c>
      <c r="C703" s="2">
        <v>226534712</v>
      </c>
      <c r="D703" s="2">
        <v>228045554</v>
      </c>
      <c r="E703" s="2">
        <v>3</v>
      </c>
      <c r="F703" s="2" t="s">
        <v>10086</v>
      </c>
      <c r="H703" s="2">
        <v>1.1999999999999999E-3</v>
      </c>
      <c r="K703" s="2" t="s">
        <v>10089</v>
      </c>
    </row>
    <row r="704" spans="1:11" x14ac:dyDescent="0.2">
      <c r="A704" s="2">
        <v>176</v>
      </c>
      <c r="B704" s="2">
        <v>1</v>
      </c>
      <c r="C704" s="2">
        <v>226534712</v>
      </c>
      <c r="D704" s="2">
        <v>228045554</v>
      </c>
      <c r="E704" s="2">
        <v>4</v>
      </c>
      <c r="F704" s="2" t="s">
        <v>10086</v>
      </c>
      <c r="H704" s="3">
        <v>8.0000000000000004E-4</v>
      </c>
      <c r="K704" s="2" t="s">
        <v>12324</v>
      </c>
    </row>
    <row r="705" spans="1:11" x14ac:dyDescent="0.2">
      <c r="A705" s="2">
        <v>177</v>
      </c>
      <c r="B705" s="2">
        <v>1</v>
      </c>
      <c r="C705" s="2">
        <v>228045555</v>
      </c>
      <c r="D705" s="2">
        <v>229075156</v>
      </c>
      <c r="E705" s="2">
        <v>1</v>
      </c>
      <c r="F705" s="2" t="s">
        <v>10086</v>
      </c>
      <c r="H705" s="2">
        <v>1.6000000000000001E-3</v>
      </c>
      <c r="K705" s="2" t="s">
        <v>10089</v>
      </c>
    </row>
    <row r="706" spans="1:11" x14ac:dyDescent="0.2">
      <c r="A706" s="2">
        <v>177</v>
      </c>
      <c r="B706" s="2">
        <v>1</v>
      </c>
      <c r="C706" s="2">
        <v>228045555</v>
      </c>
      <c r="D706" s="2">
        <v>229075156</v>
      </c>
      <c r="E706" s="2">
        <v>2</v>
      </c>
      <c r="F706" s="2" t="s">
        <v>10086</v>
      </c>
      <c r="H706" s="2">
        <v>1E-3</v>
      </c>
      <c r="K706" s="2" t="s">
        <v>10088</v>
      </c>
    </row>
    <row r="707" spans="1:11" x14ac:dyDescent="0.2">
      <c r="A707" s="2">
        <v>177</v>
      </c>
      <c r="B707" s="2">
        <v>1</v>
      </c>
      <c r="C707" s="2">
        <v>228045555</v>
      </c>
      <c r="D707" s="2">
        <v>229075156</v>
      </c>
      <c r="E707" s="2">
        <v>3</v>
      </c>
      <c r="F707" s="2" t="s">
        <v>10086</v>
      </c>
      <c r="H707" s="3">
        <v>8.9999999999999998E-4</v>
      </c>
      <c r="K707" s="2" t="s">
        <v>10085</v>
      </c>
    </row>
    <row r="708" spans="1:11" x14ac:dyDescent="0.2">
      <c r="A708" s="2">
        <v>177</v>
      </c>
      <c r="B708" s="2">
        <v>1</v>
      </c>
      <c r="C708" s="2">
        <v>228045555</v>
      </c>
      <c r="D708" s="2">
        <v>229075156</v>
      </c>
      <c r="E708" s="2">
        <v>4</v>
      </c>
      <c r="F708" s="2" t="s">
        <v>10086</v>
      </c>
      <c r="H708" s="3">
        <v>5.0000000000000001E-4</v>
      </c>
      <c r="K708" s="2" t="s">
        <v>10087</v>
      </c>
    </row>
    <row r="709" spans="1:11" x14ac:dyDescent="0.2">
      <c r="A709" s="2">
        <v>178</v>
      </c>
      <c r="B709" s="2">
        <v>1</v>
      </c>
      <c r="C709" s="2">
        <v>229075157</v>
      </c>
      <c r="D709" s="2">
        <v>230227247</v>
      </c>
      <c r="E709" s="2">
        <v>1</v>
      </c>
      <c r="F709" s="2" t="s">
        <v>10086</v>
      </c>
      <c r="H709" s="2">
        <v>1.1999999999999999E-3</v>
      </c>
      <c r="K709" s="2" t="s">
        <v>10087</v>
      </c>
    </row>
    <row r="710" spans="1:11" x14ac:dyDescent="0.2">
      <c r="A710" s="2">
        <v>178</v>
      </c>
      <c r="B710" s="2">
        <v>1</v>
      </c>
      <c r="C710" s="2">
        <v>229075157</v>
      </c>
      <c r="D710" s="2">
        <v>230227247</v>
      </c>
      <c r="E710" s="2">
        <v>2</v>
      </c>
      <c r="F710" s="2" t="s">
        <v>10086</v>
      </c>
      <c r="H710" s="2">
        <v>1.1000000000000001E-3</v>
      </c>
      <c r="K710" s="2" t="s">
        <v>10088</v>
      </c>
    </row>
    <row r="711" spans="1:11" x14ac:dyDescent="0.2">
      <c r="A711" s="2">
        <v>178</v>
      </c>
      <c r="B711" s="2">
        <v>1</v>
      </c>
      <c r="C711" s="2">
        <v>229075157</v>
      </c>
      <c r="D711" s="2">
        <v>230227247</v>
      </c>
      <c r="E711" s="2">
        <v>3</v>
      </c>
      <c r="F711" s="2" t="s">
        <v>10086</v>
      </c>
      <c r="H711" s="2">
        <v>1E-3</v>
      </c>
      <c r="K711" s="2" t="s">
        <v>10089</v>
      </c>
    </row>
    <row r="712" spans="1:11" x14ac:dyDescent="0.2">
      <c r="A712" s="2">
        <v>178</v>
      </c>
      <c r="B712" s="2">
        <v>1</v>
      </c>
      <c r="C712" s="2">
        <v>229075157</v>
      </c>
      <c r="D712" s="2">
        <v>230227247</v>
      </c>
      <c r="E712" s="2">
        <v>4</v>
      </c>
      <c r="F712" s="2" t="s">
        <v>10086</v>
      </c>
      <c r="H712" s="3">
        <v>6.9999999999999999E-4</v>
      </c>
      <c r="K712" s="2" t="s">
        <v>10085</v>
      </c>
    </row>
    <row r="713" spans="1:11" x14ac:dyDescent="0.2">
      <c r="A713" s="2">
        <v>179</v>
      </c>
      <c r="B713" s="2">
        <v>1</v>
      </c>
      <c r="C713" s="2">
        <v>230227248</v>
      </c>
      <c r="D713" s="2">
        <v>231287764</v>
      </c>
      <c r="E713" s="2">
        <v>1</v>
      </c>
      <c r="F713" s="2" t="s">
        <v>10086</v>
      </c>
      <c r="H713" s="2">
        <v>2E-3</v>
      </c>
      <c r="K713" s="2" t="s">
        <v>10088</v>
      </c>
    </row>
    <row r="714" spans="1:11" x14ac:dyDescent="0.2">
      <c r="A714" s="2">
        <v>179</v>
      </c>
      <c r="B714" s="2">
        <v>1</v>
      </c>
      <c r="C714" s="2">
        <v>230227248</v>
      </c>
      <c r="D714" s="2">
        <v>231287764</v>
      </c>
      <c r="E714" s="2">
        <v>2</v>
      </c>
      <c r="F714" s="2" t="s">
        <v>10086</v>
      </c>
      <c r="H714" s="2">
        <v>1.5E-3</v>
      </c>
      <c r="K714" s="2" t="s">
        <v>10087</v>
      </c>
    </row>
    <row r="715" spans="1:11" x14ac:dyDescent="0.2">
      <c r="A715" s="2">
        <v>179</v>
      </c>
      <c r="B715" s="2">
        <v>1</v>
      </c>
      <c r="C715" s="2">
        <v>230227248</v>
      </c>
      <c r="D715" s="2">
        <v>231287764</v>
      </c>
      <c r="E715" s="2">
        <v>3</v>
      </c>
      <c r="F715" s="2" t="s">
        <v>10086</v>
      </c>
      <c r="H715" s="2">
        <v>1.1000000000000001E-3</v>
      </c>
      <c r="K715" s="2" t="s">
        <v>10085</v>
      </c>
    </row>
    <row r="716" spans="1:11" x14ac:dyDescent="0.2">
      <c r="A716" s="2">
        <v>179</v>
      </c>
      <c r="B716" s="2">
        <v>1</v>
      </c>
      <c r="C716" s="2">
        <v>230227248</v>
      </c>
      <c r="D716" s="2">
        <v>231287764</v>
      </c>
      <c r="E716" s="2">
        <v>4</v>
      </c>
      <c r="F716" s="2" t="s">
        <v>10086</v>
      </c>
      <c r="H716" s="3">
        <v>5.9999999999999995E-4</v>
      </c>
      <c r="K716" s="2" t="s">
        <v>10089</v>
      </c>
    </row>
    <row r="717" spans="1:11" x14ac:dyDescent="0.2">
      <c r="A717" s="2">
        <v>180</v>
      </c>
      <c r="B717" s="2">
        <v>1</v>
      </c>
      <c r="C717" s="2">
        <v>231287765</v>
      </c>
      <c r="D717" s="2">
        <v>232177704</v>
      </c>
      <c r="E717" s="2">
        <v>1</v>
      </c>
      <c r="F717" s="2" t="s">
        <v>10086</v>
      </c>
      <c r="H717" s="2">
        <v>1.1000000000000001E-3</v>
      </c>
      <c r="K717" s="2" t="s">
        <v>10088</v>
      </c>
    </row>
    <row r="718" spans="1:11" x14ac:dyDescent="0.2">
      <c r="A718" s="2">
        <v>180</v>
      </c>
      <c r="B718" s="2">
        <v>1</v>
      </c>
      <c r="C718" s="2">
        <v>231287765</v>
      </c>
      <c r="D718" s="2">
        <v>232177704</v>
      </c>
      <c r="E718" s="2">
        <v>2</v>
      </c>
      <c r="F718" s="2" t="s">
        <v>10086</v>
      </c>
      <c r="H718" s="3">
        <v>6.9999999999999999E-4</v>
      </c>
      <c r="K718" s="2" t="s">
        <v>10087</v>
      </c>
    </row>
    <row r="719" spans="1:11" x14ac:dyDescent="0.2">
      <c r="A719" s="2">
        <v>180</v>
      </c>
      <c r="B719" s="2">
        <v>1</v>
      </c>
      <c r="C719" s="2">
        <v>231287765</v>
      </c>
      <c r="D719" s="2">
        <v>232177704</v>
      </c>
      <c r="E719" s="2">
        <v>3</v>
      </c>
      <c r="F719" s="2" t="s">
        <v>10086</v>
      </c>
      <c r="H719" s="3">
        <v>6.9999999999999999E-4</v>
      </c>
      <c r="K719" s="2" t="s">
        <v>10089</v>
      </c>
    </row>
    <row r="720" spans="1:11" x14ac:dyDescent="0.2">
      <c r="A720" s="2">
        <v>180</v>
      </c>
      <c r="B720" s="2">
        <v>1</v>
      </c>
      <c r="C720" s="2">
        <v>231287765</v>
      </c>
      <c r="D720" s="2">
        <v>232177704</v>
      </c>
      <c r="E720" s="2">
        <v>4</v>
      </c>
      <c r="F720" s="2" t="s">
        <v>10086</v>
      </c>
      <c r="H720" s="3">
        <v>5.9999999999999995E-4</v>
      </c>
      <c r="K720" s="2" t="s">
        <v>10085</v>
      </c>
    </row>
    <row r="721" spans="1:11" x14ac:dyDescent="0.2">
      <c r="A721" s="2">
        <v>181</v>
      </c>
      <c r="B721" s="2">
        <v>1</v>
      </c>
      <c r="C721" s="2">
        <v>232177705</v>
      </c>
      <c r="D721" s="2">
        <v>232954942</v>
      </c>
      <c r="E721" s="2">
        <v>1</v>
      </c>
      <c r="F721" s="2" t="s">
        <v>10086</v>
      </c>
      <c r="H721" s="2">
        <v>4.1000000000000003E-3</v>
      </c>
      <c r="K721" s="2" t="s">
        <v>10085</v>
      </c>
    </row>
    <row r="722" spans="1:11" x14ac:dyDescent="0.2">
      <c r="A722" s="2">
        <v>181</v>
      </c>
      <c r="B722" s="2">
        <v>1</v>
      </c>
      <c r="C722" s="2">
        <v>232177705</v>
      </c>
      <c r="D722" s="2">
        <v>232954942</v>
      </c>
      <c r="E722" s="2">
        <v>2</v>
      </c>
      <c r="F722" s="2" t="s">
        <v>10086</v>
      </c>
      <c r="H722" s="2">
        <v>1.6000000000000001E-3</v>
      </c>
      <c r="K722" s="2" t="s">
        <v>10087</v>
      </c>
    </row>
    <row r="723" spans="1:11" x14ac:dyDescent="0.2">
      <c r="A723" s="2">
        <v>181</v>
      </c>
      <c r="B723" s="2">
        <v>1</v>
      </c>
      <c r="C723" s="2">
        <v>232177705</v>
      </c>
      <c r="D723" s="2">
        <v>232954942</v>
      </c>
      <c r="E723" s="2">
        <v>3</v>
      </c>
      <c r="F723" s="2" t="s">
        <v>10086</v>
      </c>
      <c r="H723" s="3">
        <v>8.9999999999999998E-4</v>
      </c>
      <c r="K723" s="2" t="s">
        <v>10088</v>
      </c>
    </row>
    <row r="724" spans="1:11" x14ac:dyDescent="0.2">
      <c r="A724" s="2">
        <v>181</v>
      </c>
      <c r="B724" s="2">
        <v>1</v>
      </c>
      <c r="C724" s="2">
        <v>232177705</v>
      </c>
      <c r="D724" s="2">
        <v>232954942</v>
      </c>
      <c r="E724" s="2">
        <v>4</v>
      </c>
      <c r="F724" s="2" t="s">
        <v>10086</v>
      </c>
      <c r="H724" s="3">
        <v>5.9999999999999995E-4</v>
      </c>
      <c r="K724" s="2" t="s">
        <v>10089</v>
      </c>
    </row>
    <row r="725" spans="1:11" x14ac:dyDescent="0.2">
      <c r="A725" s="2">
        <v>182</v>
      </c>
      <c r="B725" s="2">
        <v>1</v>
      </c>
      <c r="C725" s="2">
        <v>232954943</v>
      </c>
      <c r="D725" s="2">
        <v>233639473</v>
      </c>
      <c r="E725" s="2">
        <v>1</v>
      </c>
      <c r="F725" s="2" t="s">
        <v>10086</v>
      </c>
      <c r="H725" s="2">
        <v>2E-3</v>
      </c>
      <c r="K725" s="2" t="s">
        <v>10085</v>
      </c>
    </row>
    <row r="726" spans="1:11" x14ac:dyDescent="0.2">
      <c r="A726" s="2">
        <v>182</v>
      </c>
      <c r="B726" s="2">
        <v>1</v>
      </c>
      <c r="C726" s="2">
        <v>232954943</v>
      </c>
      <c r="D726" s="2">
        <v>233639473</v>
      </c>
      <c r="E726" s="2">
        <v>2</v>
      </c>
      <c r="F726" s="2" t="s">
        <v>10086</v>
      </c>
      <c r="H726" s="2">
        <v>1.4E-3</v>
      </c>
      <c r="K726" s="2" t="s">
        <v>10089</v>
      </c>
    </row>
    <row r="727" spans="1:11" x14ac:dyDescent="0.2">
      <c r="A727" s="2">
        <v>182</v>
      </c>
      <c r="B727" s="2">
        <v>1</v>
      </c>
      <c r="C727" s="2">
        <v>232954943</v>
      </c>
      <c r="D727" s="2">
        <v>233639473</v>
      </c>
      <c r="E727" s="2">
        <v>3</v>
      </c>
      <c r="F727" s="2" t="s">
        <v>10086</v>
      </c>
      <c r="H727" s="2">
        <v>1.2999999999999999E-3</v>
      </c>
      <c r="K727" s="2" t="s">
        <v>10087</v>
      </c>
    </row>
    <row r="728" spans="1:11" x14ac:dyDescent="0.2">
      <c r="A728" s="2">
        <v>182</v>
      </c>
      <c r="B728" s="2">
        <v>1</v>
      </c>
      <c r="C728" s="2">
        <v>232954943</v>
      </c>
      <c r="D728" s="2">
        <v>233639473</v>
      </c>
      <c r="E728" s="2">
        <v>4</v>
      </c>
      <c r="F728" s="2" t="s">
        <v>10086</v>
      </c>
      <c r="H728" s="3">
        <v>8.0000000000000004E-4</v>
      </c>
      <c r="K728" s="2" t="s">
        <v>10088</v>
      </c>
    </row>
    <row r="729" spans="1:11" x14ac:dyDescent="0.2">
      <c r="A729" s="2">
        <v>183</v>
      </c>
      <c r="B729" s="2">
        <v>1</v>
      </c>
      <c r="C729" s="2">
        <v>233639474</v>
      </c>
      <c r="D729" s="2">
        <v>234365796</v>
      </c>
      <c r="E729" s="2">
        <v>1</v>
      </c>
      <c r="F729" s="2" t="s">
        <v>10086</v>
      </c>
      <c r="H729" s="2">
        <v>1.1000000000000001E-3</v>
      </c>
      <c r="K729" s="2" t="s">
        <v>10087</v>
      </c>
    </row>
    <row r="730" spans="1:11" x14ac:dyDescent="0.2">
      <c r="A730" s="2">
        <v>183</v>
      </c>
      <c r="B730" s="2">
        <v>1</v>
      </c>
      <c r="C730" s="2">
        <v>233639474</v>
      </c>
      <c r="D730" s="2">
        <v>234365796</v>
      </c>
      <c r="E730" s="2">
        <v>2</v>
      </c>
      <c r="F730" s="2" t="s">
        <v>10086</v>
      </c>
      <c r="H730" s="2">
        <v>1E-3</v>
      </c>
      <c r="K730" s="2" t="s">
        <v>10089</v>
      </c>
    </row>
    <row r="731" spans="1:11" x14ac:dyDescent="0.2">
      <c r="A731" s="2">
        <v>183</v>
      </c>
      <c r="B731" s="2">
        <v>1</v>
      </c>
      <c r="C731" s="2">
        <v>233639474</v>
      </c>
      <c r="D731" s="2">
        <v>234365796</v>
      </c>
      <c r="E731" s="2">
        <v>3</v>
      </c>
      <c r="F731" s="2" t="s">
        <v>10086</v>
      </c>
      <c r="H731" s="3">
        <v>6.9999999999999999E-4</v>
      </c>
      <c r="K731" s="2" t="s">
        <v>10085</v>
      </c>
    </row>
    <row r="732" spans="1:11" x14ac:dyDescent="0.2">
      <c r="A732" s="2">
        <v>183</v>
      </c>
      <c r="B732" s="2">
        <v>1</v>
      </c>
      <c r="C732" s="2">
        <v>233639474</v>
      </c>
      <c r="D732" s="2">
        <v>234365796</v>
      </c>
      <c r="E732" s="2">
        <v>4</v>
      </c>
      <c r="F732" s="2" t="s">
        <v>10086</v>
      </c>
      <c r="H732" s="3">
        <v>2.9999999999999997E-4</v>
      </c>
      <c r="K732" s="2" t="s">
        <v>10088</v>
      </c>
    </row>
    <row r="733" spans="1:11" x14ac:dyDescent="0.2">
      <c r="A733" s="2">
        <v>184</v>
      </c>
      <c r="B733" s="2">
        <v>1</v>
      </c>
      <c r="C733" s="2">
        <v>234365797</v>
      </c>
      <c r="D733" s="2">
        <v>235097113</v>
      </c>
      <c r="E733" s="2">
        <v>1</v>
      </c>
      <c r="F733" s="2" t="s">
        <v>10086</v>
      </c>
      <c r="H733" s="2">
        <v>2.3999999999999998E-3</v>
      </c>
      <c r="K733" s="2" t="s">
        <v>10089</v>
      </c>
    </row>
    <row r="734" spans="1:11" x14ac:dyDescent="0.2">
      <c r="A734" s="2">
        <v>184</v>
      </c>
      <c r="B734" s="2">
        <v>1</v>
      </c>
      <c r="C734" s="2">
        <v>234365797</v>
      </c>
      <c r="D734" s="2">
        <v>235097113</v>
      </c>
      <c r="E734" s="2">
        <v>2</v>
      </c>
      <c r="F734" s="2" t="s">
        <v>10086</v>
      </c>
      <c r="H734" s="2">
        <v>1.4E-3</v>
      </c>
      <c r="K734" s="2" t="s">
        <v>10087</v>
      </c>
    </row>
    <row r="735" spans="1:11" x14ac:dyDescent="0.2">
      <c r="A735" s="2">
        <v>184</v>
      </c>
      <c r="B735" s="2">
        <v>1</v>
      </c>
      <c r="C735" s="2">
        <v>234365797</v>
      </c>
      <c r="D735" s="2">
        <v>235097113</v>
      </c>
      <c r="E735" s="2">
        <v>3</v>
      </c>
      <c r="F735" s="2" t="s">
        <v>10086</v>
      </c>
      <c r="H735" s="3">
        <v>6.9999999999999999E-4</v>
      </c>
      <c r="K735" s="2" t="s">
        <v>10085</v>
      </c>
    </row>
    <row r="736" spans="1:11" x14ac:dyDescent="0.2">
      <c r="A736" s="2">
        <v>184</v>
      </c>
      <c r="B736" s="2">
        <v>1</v>
      </c>
      <c r="C736" s="2">
        <v>234365797</v>
      </c>
      <c r="D736" s="2">
        <v>235097113</v>
      </c>
      <c r="E736" s="2">
        <v>4</v>
      </c>
      <c r="F736" s="2" t="s">
        <v>10086</v>
      </c>
      <c r="H736" s="3">
        <v>5.0000000000000001E-4</v>
      </c>
      <c r="K736" s="2" t="s">
        <v>12324</v>
      </c>
    </row>
    <row r="737" spans="1:11" x14ac:dyDescent="0.2">
      <c r="A737" s="2">
        <v>185</v>
      </c>
      <c r="B737" s="2">
        <v>1</v>
      </c>
      <c r="C737" s="2">
        <v>235097114</v>
      </c>
      <c r="D737" s="2">
        <v>236199671</v>
      </c>
      <c r="E737" s="2">
        <v>1</v>
      </c>
      <c r="F737" s="2" t="s">
        <v>10086</v>
      </c>
      <c r="H737" s="2">
        <v>5.1000000000000004E-3</v>
      </c>
      <c r="K737" s="2" t="s">
        <v>10087</v>
      </c>
    </row>
    <row r="738" spans="1:11" x14ac:dyDescent="0.2">
      <c r="A738" s="2">
        <v>185</v>
      </c>
      <c r="B738" s="2">
        <v>1</v>
      </c>
      <c r="C738" s="2">
        <v>235097114</v>
      </c>
      <c r="D738" s="2">
        <v>236199671</v>
      </c>
      <c r="E738" s="2">
        <v>2</v>
      </c>
      <c r="F738" s="2" t="s">
        <v>10086</v>
      </c>
      <c r="H738" s="2">
        <v>2E-3</v>
      </c>
      <c r="K738" s="2" t="s">
        <v>10085</v>
      </c>
    </row>
    <row r="739" spans="1:11" x14ac:dyDescent="0.2">
      <c r="A739" s="2">
        <v>185</v>
      </c>
      <c r="B739" s="2">
        <v>1</v>
      </c>
      <c r="C739" s="2">
        <v>235097114</v>
      </c>
      <c r="D739" s="2">
        <v>236199671</v>
      </c>
      <c r="E739" s="2">
        <v>3</v>
      </c>
      <c r="F739" s="2" t="s">
        <v>10086</v>
      </c>
      <c r="H739" s="2">
        <v>1.5E-3</v>
      </c>
      <c r="K739" s="2" t="s">
        <v>10089</v>
      </c>
    </row>
    <row r="740" spans="1:11" x14ac:dyDescent="0.2">
      <c r="A740" s="2">
        <v>185</v>
      </c>
      <c r="B740" s="2">
        <v>1</v>
      </c>
      <c r="C740" s="2">
        <v>235097114</v>
      </c>
      <c r="D740" s="2">
        <v>236199671</v>
      </c>
      <c r="E740" s="2">
        <v>4</v>
      </c>
      <c r="F740" s="2" t="s">
        <v>10086</v>
      </c>
      <c r="H740" s="3">
        <v>4.0000000000000002E-4</v>
      </c>
      <c r="K740" s="2" t="s">
        <v>10088</v>
      </c>
    </row>
    <row r="741" spans="1:11" x14ac:dyDescent="0.2">
      <c r="A741" s="2">
        <v>186</v>
      </c>
      <c r="B741" s="2">
        <v>1</v>
      </c>
      <c r="C741" s="2">
        <v>236199672</v>
      </c>
      <c r="D741" s="2">
        <v>237409458</v>
      </c>
      <c r="E741" s="2">
        <v>1</v>
      </c>
      <c r="F741" s="2" t="s">
        <v>10086</v>
      </c>
      <c r="H741" s="2">
        <v>2.5999999999999999E-3</v>
      </c>
      <c r="K741" s="2" t="s">
        <v>10088</v>
      </c>
    </row>
    <row r="742" spans="1:11" x14ac:dyDescent="0.2">
      <c r="A742" s="2">
        <v>186</v>
      </c>
      <c r="B742" s="2">
        <v>1</v>
      </c>
      <c r="C742" s="2">
        <v>236199672</v>
      </c>
      <c r="D742" s="2">
        <v>237409458</v>
      </c>
      <c r="E742" s="2">
        <v>2</v>
      </c>
      <c r="F742" s="2" t="s">
        <v>10086</v>
      </c>
      <c r="H742" s="2">
        <v>3.5000000000000001E-3</v>
      </c>
      <c r="K742" s="2" t="s">
        <v>10089</v>
      </c>
    </row>
    <row r="743" spans="1:11" x14ac:dyDescent="0.2">
      <c r="A743" s="2">
        <v>186</v>
      </c>
      <c r="B743" s="2">
        <v>1</v>
      </c>
      <c r="C743" s="2">
        <v>236199672</v>
      </c>
      <c r="D743" s="2">
        <v>237409458</v>
      </c>
      <c r="E743" s="2">
        <v>3</v>
      </c>
      <c r="F743" s="2" t="s">
        <v>10086</v>
      </c>
      <c r="H743" s="2">
        <v>1.5E-3</v>
      </c>
      <c r="K743" s="2" t="s">
        <v>10085</v>
      </c>
    </row>
    <row r="744" spans="1:11" x14ac:dyDescent="0.2">
      <c r="A744" s="2">
        <v>186</v>
      </c>
      <c r="B744" s="2">
        <v>1</v>
      </c>
      <c r="C744" s="2">
        <v>236199672</v>
      </c>
      <c r="D744" s="2">
        <v>237409458</v>
      </c>
      <c r="E744" s="2">
        <v>4</v>
      </c>
      <c r="F744" s="2" t="s">
        <v>10086</v>
      </c>
      <c r="H744" s="3">
        <v>5.0000000000000001E-4</v>
      </c>
      <c r="K744" s="2" t="s">
        <v>10087</v>
      </c>
    </row>
    <row r="745" spans="1:11" x14ac:dyDescent="0.2">
      <c r="A745" s="2">
        <v>187</v>
      </c>
      <c r="B745" s="2">
        <v>1</v>
      </c>
      <c r="C745" s="2">
        <v>237409459</v>
      </c>
      <c r="D745" s="2">
        <v>238094455</v>
      </c>
      <c r="E745" s="2">
        <v>1</v>
      </c>
      <c r="F745" s="2" t="s">
        <v>10086</v>
      </c>
      <c r="H745" s="2">
        <v>3.0800000000000001E-2</v>
      </c>
      <c r="K745" s="2" t="s">
        <v>12324</v>
      </c>
    </row>
    <row r="746" spans="1:11" x14ac:dyDescent="0.2">
      <c r="A746" s="2">
        <v>187</v>
      </c>
      <c r="B746" s="2">
        <v>1</v>
      </c>
      <c r="C746" s="2">
        <v>237409459</v>
      </c>
      <c r="D746" s="2">
        <v>238094455</v>
      </c>
      <c r="E746" s="2">
        <v>2</v>
      </c>
      <c r="F746" s="2" t="s">
        <v>10086</v>
      </c>
      <c r="H746" s="2">
        <v>1E-3</v>
      </c>
      <c r="K746" s="2" t="s">
        <v>10085</v>
      </c>
    </row>
    <row r="747" spans="1:11" x14ac:dyDescent="0.2">
      <c r="A747" s="2">
        <v>187</v>
      </c>
      <c r="B747" s="2">
        <v>1</v>
      </c>
      <c r="C747" s="2">
        <v>237409459</v>
      </c>
      <c r="D747" s="2">
        <v>238094455</v>
      </c>
      <c r="E747" s="2">
        <v>3</v>
      </c>
      <c r="F747" s="2" t="s">
        <v>10086</v>
      </c>
      <c r="H747" s="2">
        <v>1.4E-3</v>
      </c>
      <c r="K747" s="2" t="s">
        <v>10087</v>
      </c>
    </row>
    <row r="748" spans="1:11" x14ac:dyDescent="0.2">
      <c r="A748" s="2">
        <v>187</v>
      </c>
      <c r="B748" s="2">
        <v>1</v>
      </c>
      <c r="C748" s="2">
        <v>237409459</v>
      </c>
      <c r="D748" s="2">
        <v>238094455</v>
      </c>
      <c r="E748" s="2">
        <v>4</v>
      </c>
      <c r="F748" s="2" t="s">
        <v>10086</v>
      </c>
      <c r="H748" s="3">
        <v>8.9999999999999998E-4</v>
      </c>
      <c r="K748" s="2" t="s">
        <v>10089</v>
      </c>
    </row>
    <row r="749" spans="1:11" x14ac:dyDescent="0.2">
      <c r="A749" s="2">
        <v>188</v>
      </c>
      <c r="B749" s="2">
        <v>1</v>
      </c>
      <c r="C749" s="2">
        <v>238094456</v>
      </c>
      <c r="D749" s="2">
        <v>238704857</v>
      </c>
      <c r="E749" s="2">
        <v>1</v>
      </c>
      <c r="F749" s="2" t="s">
        <v>10086</v>
      </c>
      <c r="H749" s="2">
        <v>1.1999999999999999E-3</v>
      </c>
      <c r="K749" s="2" t="s">
        <v>10088</v>
      </c>
    </row>
    <row r="750" spans="1:11" x14ac:dyDescent="0.2">
      <c r="A750" s="2">
        <v>188</v>
      </c>
      <c r="B750" s="2">
        <v>1</v>
      </c>
      <c r="C750" s="2">
        <v>238094456</v>
      </c>
      <c r="D750" s="2">
        <v>238704857</v>
      </c>
      <c r="E750" s="2">
        <v>2</v>
      </c>
      <c r="F750" s="2" t="s">
        <v>10086</v>
      </c>
      <c r="H750" s="3">
        <v>6.9999999999999999E-4</v>
      </c>
      <c r="K750" s="2" t="s">
        <v>10087</v>
      </c>
    </row>
    <row r="751" spans="1:11" x14ac:dyDescent="0.2">
      <c r="A751" s="2">
        <v>188</v>
      </c>
      <c r="B751" s="2">
        <v>1</v>
      </c>
      <c r="C751" s="2">
        <v>238094456</v>
      </c>
      <c r="D751" s="2">
        <v>238704857</v>
      </c>
      <c r="E751" s="2">
        <v>3</v>
      </c>
      <c r="F751" s="2" t="s">
        <v>10086</v>
      </c>
      <c r="H751" s="3">
        <v>5.0000000000000001E-4</v>
      </c>
      <c r="K751" s="2" t="s">
        <v>10089</v>
      </c>
    </row>
    <row r="752" spans="1:11" x14ac:dyDescent="0.2">
      <c r="A752" s="2">
        <v>188</v>
      </c>
      <c r="B752" s="2">
        <v>1</v>
      </c>
      <c r="C752" s="2">
        <v>238094456</v>
      </c>
      <c r="D752" s="2">
        <v>238704857</v>
      </c>
      <c r="E752" s="2">
        <v>4</v>
      </c>
      <c r="F752" s="2" t="s">
        <v>10086</v>
      </c>
      <c r="H752" s="3">
        <v>2.9999999999999997E-4</v>
      </c>
      <c r="K752" s="2" t="s">
        <v>10085</v>
      </c>
    </row>
    <row r="753" spans="1:11" x14ac:dyDescent="0.2">
      <c r="A753" s="2">
        <v>189</v>
      </c>
      <c r="B753" s="2">
        <v>1</v>
      </c>
      <c r="C753" s="2">
        <v>238704858</v>
      </c>
      <c r="D753" s="2">
        <v>239332148</v>
      </c>
      <c r="E753" s="2">
        <v>1</v>
      </c>
      <c r="F753" s="2" t="s">
        <v>10086</v>
      </c>
      <c r="H753" s="2">
        <v>4.8999999999999998E-3</v>
      </c>
      <c r="K753" s="2" t="s">
        <v>10088</v>
      </c>
    </row>
    <row r="754" spans="1:11" x14ac:dyDescent="0.2">
      <c r="A754" s="2">
        <v>189</v>
      </c>
      <c r="B754" s="2">
        <v>1</v>
      </c>
      <c r="C754" s="2">
        <v>238704858</v>
      </c>
      <c r="D754" s="2">
        <v>239332148</v>
      </c>
      <c r="E754" s="2">
        <v>2</v>
      </c>
      <c r="F754" s="2" t="s">
        <v>10086</v>
      </c>
      <c r="H754" s="3">
        <v>8.9999999999999998E-4</v>
      </c>
      <c r="K754" s="2" t="s">
        <v>10087</v>
      </c>
    </row>
    <row r="755" spans="1:11" x14ac:dyDescent="0.2">
      <c r="A755" s="2">
        <v>189</v>
      </c>
      <c r="B755" s="2">
        <v>1</v>
      </c>
      <c r="C755" s="2">
        <v>238704858</v>
      </c>
      <c r="D755" s="2">
        <v>239332148</v>
      </c>
      <c r="E755" s="2">
        <v>3</v>
      </c>
      <c r="F755" s="2" t="s">
        <v>10086</v>
      </c>
      <c r="H755" s="3">
        <v>6.9999999999999999E-4</v>
      </c>
      <c r="K755" s="2" t="s">
        <v>10085</v>
      </c>
    </row>
    <row r="756" spans="1:11" x14ac:dyDescent="0.2">
      <c r="A756" s="2">
        <v>189</v>
      </c>
      <c r="B756" s="2">
        <v>1</v>
      </c>
      <c r="C756" s="2">
        <v>238704858</v>
      </c>
      <c r="D756" s="2">
        <v>239332148</v>
      </c>
      <c r="E756" s="2">
        <v>4</v>
      </c>
      <c r="F756" s="2" t="s">
        <v>10086</v>
      </c>
      <c r="H756" s="3">
        <v>4.0000000000000002E-4</v>
      </c>
      <c r="K756" s="2" t="s">
        <v>10089</v>
      </c>
    </row>
    <row r="757" spans="1:11" x14ac:dyDescent="0.2">
      <c r="A757" s="2">
        <v>190</v>
      </c>
      <c r="B757" s="2">
        <v>1</v>
      </c>
      <c r="C757" s="2">
        <v>239332149</v>
      </c>
      <c r="D757" s="2">
        <v>240248508</v>
      </c>
      <c r="E757" s="2">
        <v>1</v>
      </c>
      <c r="F757" s="2" t="s">
        <v>10086</v>
      </c>
      <c r="H757" s="2">
        <v>2.7000000000000001E-3</v>
      </c>
      <c r="K757" s="2" t="s">
        <v>10087</v>
      </c>
    </row>
    <row r="758" spans="1:11" x14ac:dyDescent="0.2">
      <c r="A758" s="2">
        <v>190</v>
      </c>
      <c r="B758" s="2">
        <v>1</v>
      </c>
      <c r="C758" s="2">
        <v>239332149</v>
      </c>
      <c r="D758" s="2">
        <v>240248508</v>
      </c>
      <c r="E758" s="2">
        <v>2</v>
      </c>
      <c r="F758" s="2" t="s">
        <v>10086</v>
      </c>
      <c r="H758" s="2">
        <v>1.5E-3</v>
      </c>
      <c r="K758" s="2" t="s">
        <v>10085</v>
      </c>
    </row>
    <row r="759" spans="1:11" x14ac:dyDescent="0.2">
      <c r="A759" s="2">
        <v>190</v>
      </c>
      <c r="B759" s="2">
        <v>1</v>
      </c>
      <c r="C759" s="2">
        <v>239332149</v>
      </c>
      <c r="D759" s="2">
        <v>240248508</v>
      </c>
      <c r="E759" s="2">
        <v>3</v>
      </c>
      <c r="F759" s="2" t="s">
        <v>10086</v>
      </c>
      <c r="H759" s="2">
        <v>1.5E-3</v>
      </c>
      <c r="K759" s="2" t="s">
        <v>10089</v>
      </c>
    </row>
    <row r="760" spans="1:11" x14ac:dyDescent="0.2">
      <c r="A760" s="2">
        <v>190</v>
      </c>
      <c r="B760" s="2">
        <v>1</v>
      </c>
      <c r="C760" s="2">
        <v>239332149</v>
      </c>
      <c r="D760" s="2">
        <v>240248508</v>
      </c>
      <c r="E760" s="2">
        <v>4</v>
      </c>
      <c r="F760" s="2" t="s">
        <v>10086</v>
      </c>
      <c r="H760" s="3">
        <v>6.9999999999999999E-4</v>
      </c>
      <c r="K760" s="2" t="s">
        <v>10088</v>
      </c>
    </row>
    <row r="761" spans="1:11" x14ac:dyDescent="0.2">
      <c r="A761" s="2">
        <v>191</v>
      </c>
      <c r="B761" s="2">
        <v>1</v>
      </c>
      <c r="C761" s="2">
        <v>240248509</v>
      </c>
      <c r="D761" s="2">
        <v>241033584</v>
      </c>
      <c r="E761" s="2">
        <v>1</v>
      </c>
      <c r="F761" s="2" t="s">
        <v>10086</v>
      </c>
      <c r="H761" s="2">
        <v>1.1000000000000001E-3</v>
      </c>
      <c r="K761" s="2" t="s">
        <v>10089</v>
      </c>
    </row>
    <row r="762" spans="1:11" x14ac:dyDescent="0.2">
      <c r="A762" s="2">
        <v>191</v>
      </c>
      <c r="B762" s="2">
        <v>1</v>
      </c>
      <c r="C762" s="2">
        <v>240248509</v>
      </c>
      <c r="D762" s="2">
        <v>241033584</v>
      </c>
      <c r="E762" s="2">
        <v>2</v>
      </c>
      <c r="F762" s="2" t="s">
        <v>10086</v>
      </c>
      <c r="H762" s="2">
        <v>1.1000000000000001E-3</v>
      </c>
      <c r="K762" s="2" t="s">
        <v>10088</v>
      </c>
    </row>
    <row r="763" spans="1:11" x14ac:dyDescent="0.2">
      <c r="A763" s="2">
        <v>191</v>
      </c>
      <c r="B763" s="2">
        <v>1</v>
      </c>
      <c r="C763" s="2">
        <v>240248509</v>
      </c>
      <c r="D763" s="2">
        <v>241033584</v>
      </c>
      <c r="E763" s="2">
        <v>3</v>
      </c>
      <c r="F763" s="2" t="s">
        <v>10086</v>
      </c>
      <c r="H763" s="3">
        <v>6.9999999999999999E-4</v>
      </c>
      <c r="K763" s="2" t="s">
        <v>10087</v>
      </c>
    </row>
    <row r="764" spans="1:11" x14ac:dyDescent="0.2">
      <c r="A764" s="2">
        <v>191</v>
      </c>
      <c r="B764" s="2">
        <v>1</v>
      </c>
      <c r="C764" s="2">
        <v>240248509</v>
      </c>
      <c r="D764" s="2">
        <v>241033584</v>
      </c>
      <c r="E764" s="2">
        <v>4</v>
      </c>
      <c r="F764" s="2" t="s">
        <v>10086</v>
      </c>
      <c r="H764" s="3">
        <v>4.0000000000000002E-4</v>
      </c>
      <c r="K764" s="2" t="s">
        <v>10085</v>
      </c>
    </row>
    <row r="765" spans="1:11" x14ac:dyDescent="0.2">
      <c r="A765" s="2">
        <v>192</v>
      </c>
      <c r="B765" s="2">
        <v>1</v>
      </c>
      <c r="C765" s="2">
        <v>241033585</v>
      </c>
      <c r="D765" s="2">
        <v>241813534</v>
      </c>
      <c r="E765" s="2">
        <v>1</v>
      </c>
      <c r="F765" s="2" t="s">
        <v>10086</v>
      </c>
      <c r="H765" s="2">
        <v>3.8E-3</v>
      </c>
      <c r="K765" s="2" t="s">
        <v>10087</v>
      </c>
    </row>
    <row r="766" spans="1:11" x14ac:dyDescent="0.2">
      <c r="A766" s="2">
        <v>192</v>
      </c>
      <c r="B766" s="2">
        <v>1</v>
      </c>
      <c r="C766" s="2">
        <v>241033585</v>
      </c>
      <c r="D766" s="2">
        <v>241813534</v>
      </c>
      <c r="E766" s="2">
        <v>2</v>
      </c>
      <c r="F766" s="2" t="s">
        <v>10086</v>
      </c>
      <c r="H766" s="2">
        <v>3.7000000000000002E-3</v>
      </c>
      <c r="K766" s="2" t="s">
        <v>10088</v>
      </c>
    </row>
    <row r="767" spans="1:11" x14ac:dyDescent="0.2">
      <c r="A767" s="2">
        <v>192</v>
      </c>
      <c r="B767" s="2">
        <v>1</v>
      </c>
      <c r="C767" s="2">
        <v>241033585</v>
      </c>
      <c r="D767" s="2">
        <v>241813534</v>
      </c>
      <c r="E767" s="2">
        <v>3</v>
      </c>
      <c r="F767" s="2" t="s">
        <v>10086</v>
      </c>
      <c r="H767" s="3">
        <v>8.9999999999999998E-4</v>
      </c>
      <c r="K767" s="2" t="s">
        <v>10089</v>
      </c>
    </row>
    <row r="768" spans="1:11" x14ac:dyDescent="0.2">
      <c r="A768" s="2">
        <v>192</v>
      </c>
      <c r="B768" s="2">
        <v>1</v>
      </c>
      <c r="C768" s="2">
        <v>241033585</v>
      </c>
      <c r="D768" s="2">
        <v>241813534</v>
      </c>
      <c r="E768" s="2">
        <v>4</v>
      </c>
      <c r="F768" s="2" t="s">
        <v>10086</v>
      </c>
      <c r="H768" s="3">
        <v>8.0000000000000004E-4</v>
      </c>
      <c r="K768" s="2" t="s">
        <v>10085</v>
      </c>
    </row>
    <row r="769" spans="1:11" x14ac:dyDescent="0.2">
      <c r="A769" s="2">
        <v>193</v>
      </c>
      <c r="B769" s="2">
        <v>1</v>
      </c>
      <c r="C769" s="2">
        <v>241813535</v>
      </c>
      <c r="D769" s="2">
        <v>242417923</v>
      </c>
      <c r="E769" s="2">
        <v>1</v>
      </c>
      <c r="F769" s="2" t="s">
        <v>10086</v>
      </c>
      <c r="H769" s="2">
        <v>1E-3</v>
      </c>
      <c r="K769" s="2" t="s">
        <v>10087</v>
      </c>
    </row>
    <row r="770" spans="1:11" x14ac:dyDescent="0.2">
      <c r="A770" s="2">
        <v>193</v>
      </c>
      <c r="B770" s="2">
        <v>1</v>
      </c>
      <c r="C770" s="2">
        <v>241813535</v>
      </c>
      <c r="D770" s="2">
        <v>242417923</v>
      </c>
      <c r="E770" s="2">
        <v>2</v>
      </c>
      <c r="F770" s="2" t="s">
        <v>10086</v>
      </c>
      <c r="H770" s="3">
        <v>8.0000000000000004E-4</v>
      </c>
      <c r="K770" s="2" t="s">
        <v>10089</v>
      </c>
    </row>
    <row r="771" spans="1:11" x14ac:dyDescent="0.2">
      <c r="A771" s="2">
        <v>193</v>
      </c>
      <c r="B771" s="2">
        <v>1</v>
      </c>
      <c r="C771" s="2">
        <v>241813535</v>
      </c>
      <c r="D771" s="2">
        <v>242417923</v>
      </c>
      <c r="E771" s="2">
        <v>3</v>
      </c>
      <c r="F771" s="2" t="s">
        <v>10086</v>
      </c>
      <c r="H771" s="3">
        <v>8.0000000000000004E-4</v>
      </c>
      <c r="K771" s="2" t="s">
        <v>10085</v>
      </c>
    </row>
    <row r="772" spans="1:11" x14ac:dyDescent="0.2">
      <c r="A772" s="2">
        <v>193</v>
      </c>
      <c r="B772" s="2">
        <v>1</v>
      </c>
      <c r="C772" s="2">
        <v>241813535</v>
      </c>
      <c r="D772" s="2">
        <v>242417923</v>
      </c>
      <c r="E772" s="2">
        <v>4</v>
      </c>
      <c r="F772" s="2" t="s">
        <v>10086</v>
      </c>
      <c r="H772" s="3">
        <v>2.0000000000000001E-4</v>
      </c>
      <c r="K772" s="2" t="s">
        <v>10088</v>
      </c>
    </row>
    <row r="773" spans="1:11" x14ac:dyDescent="0.2">
      <c r="A773" s="2">
        <v>194</v>
      </c>
      <c r="B773" s="2">
        <v>1</v>
      </c>
      <c r="C773" s="2">
        <v>242417924</v>
      </c>
      <c r="D773" s="2">
        <v>243048003</v>
      </c>
      <c r="E773" s="2">
        <v>1</v>
      </c>
      <c r="F773" s="2" t="s">
        <v>10086</v>
      </c>
      <c r="H773" s="2">
        <v>1.9E-3</v>
      </c>
      <c r="K773" s="2" t="s">
        <v>10089</v>
      </c>
    </row>
    <row r="774" spans="1:11" x14ac:dyDescent="0.2">
      <c r="A774" s="2">
        <v>194</v>
      </c>
      <c r="B774" s="2">
        <v>1</v>
      </c>
      <c r="C774" s="2">
        <v>242417924</v>
      </c>
      <c r="D774" s="2">
        <v>243048003</v>
      </c>
      <c r="E774" s="2">
        <v>2</v>
      </c>
      <c r="F774" s="2" t="s">
        <v>10086</v>
      </c>
      <c r="H774" s="2">
        <v>1.6000000000000001E-3</v>
      </c>
      <c r="K774" s="2" t="s">
        <v>10088</v>
      </c>
    </row>
    <row r="775" spans="1:11" x14ac:dyDescent="0.2">
      <c r="A775" s="2">
        <v>194</v>
      </c>
      <c r="B775" s="2">
        <v>1</v>
      </c>
      <c r="C775" s="2">
        <v>242417924</v>
      </c>
      <c r="D775" s="2">
        <v>243048003</v>
      </c>
      <c r="E775" s="2">
        <v>3</v>
      </c>
      <c r="F775" s="2" t="s">
        <v>10086</v>
      </c>
      <c r="H775" s="3">
        <v>8.0000000000000004E-4</v>
      </c>
      <c r="K775" s="2" t="s">
        <v>10087</v>
      </c>
    </row>
    <row r="776" spans="1:11" x14ac:dyDescent="0.2">
      <c r="A776" s="2">
        <v>194</v>
      </c>
      <c r="B776" s="2">
        <v>1</v>
      </c>
      <c r="C776" s="2">
        <v>242417924</v>
      </c>
      <c r="D776" s="2">
        <v>243048003</v>
      </c>
      <c r="E776" s="2">
        <v>4</v>
      </c>
      <c r="F776" s="2" t="s">
        <v>10086</v>
      </c>
      <c r="H776" s="3">
        <v>2.0000000000000001E-4</v>
      </c>
      <c r="K776" s="2" t="s">
        <v>10085</v>
      </c>
    </row>
    <row r="777" spans="1:11" x14ac:dyDescent="0.2">
      <c r="A777" s="2">
        <v>195</v>
      </c>
      <c r="B777" s="2">
        <v>1</v>
      </c>
      <c r="C777" s="2">
        <v>243048004</v>
      </c>
      <c r="D777" s="2">
        <v>244723196</v>
      </c>
      <c r="E777" s="2">
        <v>1</v>
      </c>
      <c r="F777" s="2" t="s">
        <v>10086</v>
      </c>
      <c r="H777" s="2">
        <v>9.2999999999999992E-3</v>
      </c>
      <c r="K777" s="2" t="s">
        <v>10088</v>
      </c>
    </row>
    <row r="778" spans="1:11" x14ac:dyDescent="0.2">
      <c r="A778" s="2">
        <v>195</v>
      </c>
      <c r="B778" s="2">
        <v>1</v>
      </c>
      <c r="C778" s="2">
        <v>243048004</v>
      </c>
      <c r="D778" s="2">
        <v>244723196</v>
      </c>
      <c r="E778" s="2">
        <v>2</v>
      </c>
      <c r="F778" s="2" t="s">
        <v>10086</v>
      </c>
      <c r="H778" s="2">
        <v>2E-3</v>
      </c>
      <c r="K778" s="2" t="s">
        <v>10085</v>
      </c>
    </row>
    <row r="779" spans="1:11" x14ac:dyDescent="0.2">
      <c r="A779" s="2">
        <v>195</v>
      </c>
      <c r="B779" s="2">
        <v>1</v>
      </c>
      <c r="C779" s="2">
        <v>243048004</v>
      </c>
      <c r="D779" s="2">
        <v>244723196</v>
      </c>
      <c r="E779" s="2">
        <v>3</v>
      </c>
      <c r="F779" s="2" t="s">
        <v>10086</v>
      </c>
      <c r="H779" s="2">
        <v>1.4E-3</v>
      </c>
      <c r="K779" s="2" t="s">
        <v>10089</v>
      </c>
    </row>
    <row r="780" spans="1:11" x14ac:dyDescent="0.2">
      <c r="A780" s="2">
        <v>195</v>
      </c>
      <c r="B780" s="2">
        <v>1</v>
      </c>
      <c r="C780" s="2">
        <v>243048004</v>
      </c>
      <c r="D780" s="2">
        <v>244723196</v>
      </c>
      <c r="E780" s="2">
        <v>4</v>
      </c>
      <c r="F780" s="2" t="s">
        <v>10086</v>
      </c>
      <c r="H780" s="2">
        <v>1.1999999999999999E-3</v>
      </c>
      <c r="K780" s="2" t="s">
        <v>10087</v>
      </c>
    </row>
    <row r="781" spans="1:11" x14ac:dyDescent="0.2">
      <c r="A781" s="2">
        <v>196</v>
      </c>
      <c r="B781" s="2">
        <v>1</v>
      </c>
      <c r="C781" s="2">
        <v>244723197</v>
      </c>
      <c r="D781" s="2">
        <v>245970505</v>
      </c>
      <c r="E781" s="2">
        <v>1</v>
      </c>
      <c r="F781" s="2" t="s">
        <v>10086</v>
      </c>
      <c r="H781" s="2">
        <v>2E-3</v>
      </c>
      <c r="K781" s="2" t="s">
        <v>10088</v>
      </c>
    </row>
    <row r="782" spans="1:11" x14ac:dyDescent="0.2">
      <c r="A782" s="2">
        <v>196</v>
      </c>
      <c r="B782" s="2">
        <v>1</v>
      </c>
      <c r="C782" s="2">
        <v>244723197</v>
      </c>
      <c r="D782" s="2">
        <v>245970505</v>
      </c>
      <c r="E782" s="2">
        <v>2</v>
      </c>
      <c r="F782" s="2" t="s">
        <v>10086</v>
      </c>
      <c r="H782" s="2">
        <v>2E-3</v>
      </c>
      <c r="K782" s="2" t="s">
        <v>10085</v>
      </c>
    </row>
    <row r="783" spans="1:11" x14ac:dyDescent="0.2">
      <c r="A783" s="2">
        <v>196</v>
      </c>
      <c r="B783" s="2">
        <v>1</v>
      </c>
      <c r="C783" s="2">
        <v>244723197</v>
      </c>
      <c r="D783" s="2">
        <v>245970505</v>
      </c>
      <c r="E783" s="2">
        <v>3</v>
      </c>
      <c r="F783" s="2" t="s">
        <v>10086</v>
      </c>
      <c r="H783" s="2">
        <v>1.1999999999999999E-3</v>
      </c>
      <c r="K783" s="2" t="s">
        <v>10089</v>
      </c>
    </row>
    <row r="784" spans="1:11" x14ac:dyDescent="0.2">
      <c r="A784" s="2">
        <v>196</v>
      </c>
      <c r="B784" s="2">
        <v>1</v>
      </c>
      <c r="C784" s="2">
        <v>244723197</v>
      </c>
      <c r="D784" s="2">
        <v>245970505</v>
      </c>
      <c r="E784" s="2">
        <v>4</v>
      </c>
      <c r="F784" s="2" t="s">
        <v>10086</v>
      </c>
      <c r="H784" s="3">
        <v>5.0000000000000001E-4</v>
      </c>
      <c r="K784" s="2" t="s">
        <v>10087</v>
      </c>
    </row>
    <row r="785" spans="1:11" x14ac:dyDescent="0.2">
      <c r="A785" s="2">
        <v>197</v>
      </c>
      <c r="B785" s="2">
        <v>1</v>
      </c>
      <c r="C785" s="2">
        <v>245970506</v>
      </c>
      <c r="D785" s="2">
        <v>246610290</v>
      </c>
      <c r="E785" s="2">
        <v>1</v>
      </c>
      <c r="F785" s="2" t="s">
        <v>10086</v>
      </c>
      <c r="H785" s="2">
        <v>5.1000000000000004E-3</v>
      </c>
      <c r="K785" s="2" t="s">
        <v>10089</v>
      </c>
    </row>
    <row r="786" spans="1:11" x14ac:dyDescent="0.2">
      <c r="A786" s="2">
        <v>197</v>
      </c>
      <c r="B786" s="2">
        <v>1</v>
      </c>
      <c r="C786" s="2">
        <v>245970506</v>
      </c>
      <c r="D786" s="2">
        <v>246610290</v>
      </c>
      <c r="E786" s="2">
        <v>2</v>
      </c>
      <c r="F786" s="2" t="s">
        <v>10086</v>
      </c>
      <c r="H786" s="2">
        <v>1.5E-3</v>
      </c>
      <c r="K786" s="2" t="s">
        <v>10088</v>
      </c>
    </row>
    <row r="787" spans="1:11" x14ac:dyDescent="0.2">
      <c r="A787" s="2">
        <v>197</v>
      </c>
      <c r="B787" s="2">
        <v>1</v>
      </c>
      <c r="C787" s="2">
        <v>245970506</v>
      </c>
      <c r="D787" s="2">
        <v>246610290</v>
      </c>
      <c r="E787" s="2">
        <v>3</v>
      </c>
      <c r="F787" s="2" t="s">
        <v>10086</v>
      </c>
      <c r="H787" s="3">
        <v>6.9999999999999999E-4</v>
      </c>
      <c r="K787" s="2" t="s">
        <v>10087</v>
      </c>
    </row>
    <row r="788" spans="1:11" x14ac:dyDescent="0.2">
      <c r="A788" s="2">
        <v>197</v>
      </c>
      <c r="B788" s="2">
        <v>1</v>
      </c>
      <c r="C788" s="2">
        <v>245970506</v>
      </c>
      <c r="D788" s="2">
        <v>246610290</v>
      </c>
      <c r="E788" s="2">
        <v>4</v>
      </c>
      <c r="F788" s="2" t="s">
        <v>10086</v>
      </c>
      <c r="H788" s="3">
        <v>4.0000000000000002E-4</v>
      </c>
      <c r="K788" s="2" t="s">
        <v>10085</v>
      </c>
    </row>
    <row r="789" spans="1:11" x14ac:dyDescent="0.2">
      <c r="A789" s="2">
        <v>198</v>
      </c>
      <c r="B789" s="2">
        <v>1</v>
      </c>
      <c r="C789" s="2">
        <v>246610291</v>
      </c>
      <c r="D789" s="2">
        <v>247531112</v>
      </c>
      <c r="E789" s="2">
        <v>1</v>
      </c>
      <c r="F789" s="2" t="s">
        <v>10086</v>
      </c>
      <c r="H789" s="2">
        <v>1.6999999999999999E-3</v>
      </c>
      <c r="K789" s="2" t="s">
        <v>10085</v>
      </c>
    </row>
    <row r="790" spans="1:11" x14ac:dyDescent="0.2">
      <c r="A790" s="2">
        <v>198</v>
      </c>
      <c r="B790" s="2">
        <v>1</v>
      </c>
      <c r="C790" s="2">
        <v>246610291</v>
      </c>
      <c r="D790" s="2">
        <v>247531112</v>
      </c>
      <c r="E790" s="2">
        <v>2</v>
      </c>
      <c r="F790" s="2" t="s">
        <v>10086</v>
      </c>
      <c r="H790" s="2">
        <v>1.1000000000000001E-3</v>
      </c>
      <c r="K790" s="2" t="s">
        <v>10087</v>
      </c>
    </row>
    <row r="791" spans="1:11" x14ac:dyDescent="0.2">
      <c r="A791" s="2">
        <v>198</v>
      </c>
      <c r="B791" s="2">
        <v>1</v>
      </c>
      <c r="C791" s="2">
        <v>246610291</v>
      </c>
      <c r="D791" s="2">
        <v>247531112</v>
      </c>
      <c r="E791" s="2">
        <v>3</v>
      </c>
      <c r="F791" s="2" t="s">
        <v>10086</v>
      </c>
      <c r="H791" s="2">
        <v>1E-3</v>
      </c>
      <c r="K791" s="2" t="s">
        <v>10088</v>
      </c>
    </row>
    <row r="792" spans="1:11" x14ac:dyDescent="0.2">
      <c r="A792" s="2">
        <v>198</v>
      </c>
      <c r="B792" s="2">
        <v>1</v>
      </c>
      <c r="C792" s="2">
        <v>246610291</v>
      </c>
      <c r="D792" s="2">
        <v>247531112</v>
      </c>
      <c r="E792" s="2">
        <v>4</v>
      </c>
      <c r="F792" s="2" t="s">
        <v>10086</v>
      </c>
      <c r="H792" s="3">
        <v>5.9999999999999995E-4</v>
      </c>
      <c r="K792" s="2" t="s">
        <v>10089</v>
      </c>
    </row>
    <row r="793" spans="1:11" x14ac:dyDescent="0.2">
      <c r="A793" s="2">
        <v>199</v>
      </c>
      <c r="B793" s="2">
        <v>1</v>
      </c>
      <c r="C793" s="2">
        <v>247531113</v>
      </c>
      <c r="D793" s="2">
        <v>248341594</v>
      </c>
      <c r="E793" s="2">
        <v>1</v>
      </c>
      <c r="F793" s="2" t="s">
        <v>10086</v>
      </c>
      <c r="H793" s="2">
        <v>3.5999999999999999E-3</v>
      </c>
      <c r="K793" s="2" t="s">
        <v>12324</v>
      </c>
    </row>
    <row r="794" spans="1:11" x14ac:dyDescent="0.2">
      <c r="A794" s="2">
        <v>199</v>
      </c>
      <c r="B794" s="2">
        <v>1</v>
      </c>
      <c r="C794" s="2">
        <v>247531113</v>
      </c>
      <c r="D794" s="2">
        <v>248341594</v>
      </c>
      <c r="E794" s="2">
        <v>2</v>
      </c>
      <c r="F794" s="2" t="s">
        <v>10086</v>
      </c>
      <c r="H794" s="2">
        <v>3.8999999999999998E-3</v>
      </c>
      <c r="K794" s="2" t="s">
        <v>10085</v>
      </c>
    </row>
    <row r="795" spans="1:11" x14ac:dyDescent="0.2">
      <c r="A795" s="2">
        <v>199</v>
      </c>
      <c r="B795" s="2">
        <v>1</v>
      </c>
      <c r="C795" s="2">
        <v>247531113</v>
      </c>
      <c r="D795" s="2">
        <v>248341594</v>
      </c>
      <c r="E795" s="2">
        <v>3</v>
      </c>
      <c r="F795" s="2" t="s">
        <v>10086</v>
      </c>
      <c r="H795" s="2">
        <v>2.3E-3</v>
      </c>
      <c r="K795" s="2" t="s">
        <v>10087</v>
      </c>
    </row>
    <row r="796" spans="1:11" x14ac:dyDescent="0.2">
      <c r="A796" s="2">
        <v>199</v>
      </c>
      <c r="B796" s="2">
        <v>1</v>
      </c>
      <c r="C796" s="2">
        <v>247531113</v>
      </c>
      <c r="D796" s="2">
        <v>248341594</v>
      </c>
      <c r="E796" s="2">
        <v>4</v>
      </c>
      <c r="F796" s="2" t="s">
        <v>10086</v>
      </c>
      <c r="H796" s="3">
        <v>8.9999999999999998E-4</v>
      </c>
      <c r="K796" s="2" t="s">
        <v>10089</v>
      </c>
    </row>
    <row r="797" spans="1:11" x14ac:dyDescent="0.2">
      <c r="A797" s="2">
        <v>200</v>
      </c>
      <c r="B797" s="2">
        <v>1</v>
      </c>
      <c r="C797" s="2">
        <v>248341595</v>
      </c>
      <c r="D797" s="2">
        <v>249240538</v>
      </c>
      <c r="E797" s="2">
        <v>1</v>
      </c>
      <c r="F797" s="2" t="s">
        <v>10086</v>
      </c>
      <c r="H797" s="2">
        <v>1.9E-3</v>
      </c>
      <c r="K797" s="2" t="s">
        <v>10088</v>
      </c>
    </row>
    <row r="798" spans="1:11" x14ac:dyDescent="0.2">
      <c r="A798" s="2">
        <v>200</v>
      </c>
      <c r="B798" s="2">
        <v>1</v>
      </c>
      <c r="C798" s="2">
        <v>248341595</v>
      </c>
      <c r="D798" s="2">
        <v>249240538</v>
      </c>
      <c r="E798" s="2">
        <v>2</v>
      </c>
      <c r="F798" s="2" t="s">
        <v>10086</v>
      </c>
      <c r="H798" s="3">
        <v>5.9999999999999995E-4</v>
      </c>
      <c r="K798" s="2" t="s">
        <v>10089</v>
      </c>
    </row>
    <row r="799" spans="1:11" x14ac:dyDescent="0.2">
      <c r="A799" s="2">
        <v>200</v>
      </c>
      <c r="B799" s="2">
        <v>1</v>
      </c>
      <c r="C799" s="2">
        <v>248341595</v>
      </c>
      <c r="D799" s="2">
        <v>249240538</v>
      </c>
      <c r="E799" s="2">
        <v>3</v>
      </c>
      <c r="F799" s="2" t="s">
        <v>10086</v>
      </c>
      <c r="H799" s="3">
        <v>5.0000000000000001E-4</v>
      </c>
      <c r="K799" s="2" t="s">
        <v>10087</v>
      </c>
    </row>
    <row r="800" spans="1:11" x14ac:dyDescent="0.2">
      <c r="A800" s="2">
        <v>200</v>
      </c>
      <c r="B800" s="2">
        <v>1</v>
      </c>
      <c r="C800" s="2">
        <v>248341595</v>
      </c>
      <c r="D800" s="2">
        <v>249240538</v>
      </c>
      <c r="E800" s="2">
        <v>4</v>
      </c>
      <c r="F800" s="2" t="s">
        <v>10086</v>
      </c>
      <c r="H800" s="3">
        <v>2.9999999999999997E-4</v>
      </c>
      <c r="K800" s="2" t="s">
        <v>10085</v>
      </c>
    </row>
    <row r="801" spans="1:11" x14ac:dyDescent="0.2">
      <c r="A801" s="2">
        <v>201</v>
      </c>
      <c r="B801" s="2">
        <v>2</v>
      </c>
      <c r="C801" s="2">
        <v>10181</v>
      </c>
      <c r="D801" s="2">
        <v>789195</v>
      </c>
      <c r="E801" s="2">
        <v>1</v>
      </c>
      <c r="F801" s="2" t="s">
        <v>10086</v>
      </c>
      <c r="H801" s="2">
        <v>1.1000000000000001E-3</v>
      </c>
      <c r="K801" s="2" t="s">
        <v>10087</v>
      </c>
    </row>
    <row r="802" spans="1:11" x14ac:dyDescent="0.2">
      <c r="A802" s="2">
        <v>201</v>
      </c>
      <c r="B802" s="2">
        <v>2</v>
      </c>
      <c r="C802" s="2">
        <v>10181</v>
      </c>
      <c r="D802" s="2">
        <v>789195</v>
      </c>
      <c r="E802" s="2">
        <v>2</v>
      </c>
      <c r="F802" s="2" t="s">
        <v>10086</v>
      </c>
      <c r="H802" s="2">
        <v>1.2999999999999999E-3</v>
      </c>
      <c r="K802" s="2" t="s">
        <v>10085</v>
      </c>
    </row>
    <row r="803" spans="1:11" x14ac:dyDescent="0.2">
      <c r="A803" s="2">
        <v>201</v>
      </c>
      <c r="B803" s="2">
        <v>2</v>
      </c>
      <c r="C803" s="2">
        <v>10181</v>
      </c>
      <c r="D803" s="2">
        <v>789195</v>
      </c>
      <c r="E803" s="2">
        <v>3</v>
      </c>
      <c r="F803" s="2" t="s">
        <v>10086</v>
      </c>
      <c r="H803" s="3">
        <v>8.9999999999999998E-4</v>
      </c>
      <c r="K803" s="2" t="s">
        <v>10088</v>
      </c>
    </row>
    <row r="804" spans="1:11" x14ac:dyDescent="0.2">
      <c r="A804" s="2">
        <v>201</v>
      </c>
      <c r="B804" s="2">
        <v>2</v>
      </c>
      <c r="C804" s="2">
        <v>10181</v>
      </c>
      <c r="D804" s="2">
        <v>789195</v>
      </c>
      <c r="E804" s="2">
        <v>4</v>
      </c>
      <c r="F804" s="2" t="s">
        <v>10086</v>
      </c>
      <c r="H804" s="3">
        <v>5.0000000000000001E-4</v>
      </c>
      <c r="K804" s="2" t="s">
        <v>10089</v>
      </c>
    </row>
    <row r="805" spans="1:11" x14ac:dyDescent="0.2">
      <c r="A805" s="2">
        <v>202</v>
      </c>
      <c r="B805" s="2">
        <v>2</v>
      </c>
      <c r="C805" s="2">
        <v>789196</v>
      </c>
      <c r="D805" s="2">
        <v>1376545</v>
      </c>
      <c r="E805" s="2">
        <v>1</v>
      </c>
      <c r="F805" s="2" t="s">
        <v>10086</v>
      </c>
      <c r="H805" s="3">
        <v>2.9999999999999997E-4</v>
      </c>
      <c r="K805" s="2" t="s">
        <v>10088</v>
      </c>
    </row>
    <row r="806" spans="1:11" x14ac:dyDescent="0.2">
      <c r="A806" s="2">
        <v>202</v>
      </c>
      <c r="B806" s="2">
        <v>2</v>
      </c>
      <c r="C806" s="2">
        <v>789196</v>
      </c>
      <c r="D806" s="2">
        <v>1376545</v>
      </c>
      <c r="E806" s="2">
        <v>2</v>
      </c>
      <c r="F806" s="2" t="s">
        <v>10086</v>
      </c>
      <c r="H806" s="2">
        <v>6.8999999999999999E-3</v>
      </c>
      <c r="K806" s="2" t="s">
        <v>10087</v>
      </c>
    </row>
    <row r="807" spans="1:11" x14ac:dyDescent="0.2">
      <c r="A807" s="2">
        <v>202</v>
      </c>
      <c r="B807" s="2">
        <v>2</v>
      </c>
      <c r="C807" s="2">
        <v>789196</v>
      </c>
      <c r="D807" s="2">
        <v>1376545</v>
      </c>
      <c r="E807" s="2">
        <v>3</v>
      </c>
      <c r="F807" s="2" t="s">
        <v>10086</v>
      </c>
      <c r="H807" s="3">
        <v>5.0000000000000001E-4</v>
      </c>
      <c r="K807" s="2" t="s">
        <v>10085</v>
      </c>
    </row>
    <row r="808" spans="1:11" x14ac:dyDescent="0.2">
      <c r="A808" s="2">
        <v>202</v>
      </c>
      <c r="B808" s="2">
        <v>2</v>
      </c>
      <c r="C808" s="2">
        <v>789196</v>
      </c>
      <c r="D808" s="2">
        <v>1376545</v>
      </c>
      <c r="E808" s="2">
        <v>4</v>
      </c>
      <c r="F808" s="2" t="s">
        <v>10086</v>
      </c>
      <c r="H808" s="3">
        <v>2.9999999999999997E-4</v>
      </c>
      <c r="K808" s="2" t="s">
        <v>10089</v>
      </c>
    </row>
    <row r="809" spans="1:11" x14ac:dyDescent="0.2">
      <c r="A809" s="2">
        <v>203</v>
      </c>
      <c r="B809" s="2">
        <v>2</v>
      </c>
      <c r="C809" s="2">
        <v>1376546</v>
      </c>
      <c r="D809" s="2">
        <v>1875060</v>
      </c>
      <c r="E809" s="2">
        <v>1</v>
      </c>
      <c r="F809" s="2" t="s">
        <v>10086</v>
      </c>
      <c r="H809" s="2">
        <v>2E-3</v>
      </c>
      <c r="K809" s="2" t="s">
        <v>10088</v>
      </c>
    </row>
    <row r="810" spans="1:11" x14ac:dyDescent="0.2">
      <c r="A810" s="2">
        <v>203</v>
      </c>
      <c r="B810" s="2">
        <v>2</v>
      </c>
      <c r="C810" s="2">
        <v>1376546</v>
      </c>
      <c r="D810" s="2">
        <v>1875060</v>
      </c>
      <c r="E810" s="2">
        <v>2</v>
      </c>
      <c r="F810" s="2" t="s">
        <v>10086</v>
      </c>
      <c r="H810" s="3">
        <v>6.9999999999999999E-4</v>
      </c>
      <c r="K810" s="2" t="s">
        <v>10089</v>
      </c>
    </row>
    <row r="811" spans="1:11" x14ac:dyDescent="0.2">
      <c r="A811" s="2">
        <v>203</v>
      </c>
      <c r="B811" s="2">
        <v>2</v>
      </c>
      <c r="C811" s="2">
        <v>1376546</v>
      </c>
      <c r="D811" s="2">
        <v>1875060</v>
      </c>
      <c r="E811" s="2">
        <v>3</v>
      </c>
      <c r="F811" s="2" t="s">
        <v>10086</v>
      </c>
      <c r="H811" s="3">
        <v>6.9999999999999999E-4</v>
      </c>
      <c r="K811" s="2" t="s">
        <v>10087</v>
      </c>
    </row>
    <row r="812" spans="1:11" x14ac:dyDescent="0.2">
      <c r="A812" s="2">
        <v>203</v>
      </c>
      <c r="B812" s="2">
        <v>2</v>
      </c>
      <c r="C812" s="2">
        <v>1376546</v>
      </c>
      <c r="D812" s="2">
        <v>1875060</v>
      </c>
      <c r="E812" s="2">
        <v>4</v>
      </c>
      <c r="F812" s="2" t="s">
        <v>10086</v>
      </c>
      <c r="H812" s="3">
        <v>2.9999999999999997E-4</v>
      </c>
      <c r="K812" s="2" t="s">
        <v>10085</v>
      </c>
    </row>
    <row r="813" spans="1:11" x14ac:dyDescent="0.2">
      <c r="A813" s="2">
        <v>204</v>
      </c>
      <c r="B813" s="2">
        <v>2</v>
      </c>
      <c r="C813" s="2">
        <v>1875061</v>
      </c>
      <c r="D813" s="2">
        <v>2680063</v>
      </c>
      <c r="E813" s="2">
        <v>1</v>
      </c>
      <c r="F813" s="2" t="s">
        <v>10086</v>
      </c>
      <c r="H813" s="2">
        <v>1.1999999999999999E-3</v>
      </c>
      <c r="K813" s="2" t="s">
        <v>10085</v>
      </c>
    </row>
    <row r="814" spans="1:11" x14ac:dyDescent="0.2">
      <c r="A814" s="2">
        <v>204</v>
      </c>
      <c r="B814" s="2">
        <v>2</v>
      </c>
      <c r="C814" s="2">
        <v>1875061</v>
      </c>
      <c r="D814" s="2">
        <v>2680063</v>
      </c>
      <c r="E814" s="2">
        <v>2</v>
      </c>
      <c r="F814" s="2" t="s">
        <v>10086</v>
      </c>
      <c r="H814" s="2">
        <v>1.1000000000000001E-3</v>
      </c>
      <c r="K814" s="2" t="s">
        <v>10087</v>
      </c>
    </row>
    <row r="815" spans="1:11" x14ac:dyDescent="0.2">
      <c r="A815" s="2">
        <v>204</v>
      </c>
      <c r="B815" s="2">
        <v>2</v>
      </c>
      <c r="C815" s="2">
        <v>1875061</v>
      </c>
      <c r="D815" s="2">
        <v>2680063</v>
      </c>
      <c r="E815" s="2">
        <v>3</v>
      </c>
      <c r="F815" s="2" t="s">
        <v>10086</v>
      </c>
      <c r="H815" s="2">
        <v>1.1000000000000001E-3</v>
      </c>
      <c r="K815" s="2" t="s">
        <v>10089</v>
      </c>
    </row>
    <row r="816" spans="1:11" x14ac:dyDescent="0.2">
      <c r="A816" s="2">
        <v>204</v>
      </c>
      <c r="B816" s="2">
        <v>2</v>
      </c>
      <c r="C816" s="2">
        <v>1875061</v>
      </c>
      <c r="D816" s="2">
        <v>2680063</v>
      </c>
      <c r="E816" s="2">
        <v>4</v>
      </c>
      <c r="F816" s="2" t="s">
        <v>10086</v>
      </c>
      <c r="H816" s="3">
        <v>5.9999999999999995E-4</v>
      </c>
      <c r="K816" s="2" t="s">
        <v>10088</v>
      </c>
    </row>
    <row r="817" spans="1:11" x14ac:dyDescent="0.2">
      <c r="A817" s="2">
        <v>205</v>
      </c>
      <c r="B817" s="2">
        <v>2</v>
      </c>
      <c r="C817" s="2">
        <v>2680064</v>
      </c>
      <c r="D817" s="2">
        <v>3314202</v>
      </c>
      <c r="E817" s="2">
        <v>1</v>
      </c>
      <c r="F817" s="2" t="s">
        <v>10086</v>
      </c>
      <c r="H817" s="2">
        <v>2.0999999999999999E-3</v>
      </c>
      <c r="K817" s="2" t="s">
        <v>10087</v>
      </c>
    </row>
    <row r="818" spans="1:11" x14ac:dyDescent="0.2">
      <c r="A818" s="2">
        <v>205</v>
      </c>
      <c r="B818" s="2">
        <v>2</v>
      </c>
      <c r="C818" s="2">
        <v>2680064</v>
      </c>
      <c r="D818" s="2">
        <v>3314202</v>
      </c>
      <c r="E818" s="2">
        <v>2</v>
      </c>
      <c r="F818" s="2" t="s">
        <v>10086</v>
      </c>
      <c r="H818" s="2">
        <v>1E-3</v>
      </c>
      <c r="K818" s="2" t="s">
        <v>10085</v>
      </c>
    </row>
    <row r="819" spans="1:11" x14ac:dyDescent="0.2">
      <c r="A819" s="2">
        <v>205</v>
      </c>
      <c r="B819" s="2">
        <v>2</v>
      </c>
      <c r="C819" s="2">
        <v>2680064</v>
      </c>
      <c r="D819" s="2">
        <v>3314202</v>
      </c>
      <c r="E819" s="2">
        <v>3</v>
      </c>
      <c r="F819" s="2" t="s">
        <v>10086</v>
      </c>
      <c r="H819" s="2">
        <v>1.1000000000000001E-3</v>
      </c>
      <c r="K819" s="2" t="s">
        <v>10089</v>
      </c>
    </row>
    <row r="820" spans="1:11" x14ac:dyDescent="0.2">
      <c r="A820" s="2">
        <v>205</v>
      </c>
      <c r="B820" s="2">
        <v>2</v>
      </c>
      <c r="C820" s="2">
        <v>2680064</v>
      </c>
      <c r="D820" s="2">
        <v>3314202</v>
      </c>
      <c r="E820" s="2">
        <v>4</v>
      </c>
      <c r="F820" s="2" t="s">
        <v>10086</v>
      </c>
      <c r="H820" s="3">
        <v>5.9999999999999995E-4</v>
      </c>
      <c r="K820" s="2" t="s">
        <v>10088</v>
      </c>
    </row>
    <row r="821" spans="1:11" x14ac:dyDescent="0.2">
      <c r="A821" s="2">
        <v>206</v>
      </c>
      <c r="B821" s="2">
        <v>2</v>
      </c>
      <c r="C821" s="2">
        <v>3314203</v>
      </c>
      <c r="D821" s="2">
        <v>4016104</v>
      </c>
      <c r="E821" s="2">
        <v>1</v>
      </c>
      <c r="F821" s="2" t="s">
        <v>10086</v>
      </c>
      <c r="H821" s="2">
        <v>4.4999999999999997E-3</v>
      </c>
      <c r="K821" s="2" t="s">
        <v>12324</v>
      </c>
    </row>
    <row r="822" spans="1:11" x14ac:dyDescent="0.2">
      <c r="A822" s="2">
        <v>206</v>
      </c>
      <c r="B822" s="2">
        <v>2</v>
      </c>
      <c r="C822" s="2">
        <v>3314203</v>
      </c>
      <c r="D822" s="2">
        <v>4016104</v>
      </c>
      <c r="E822" s="2">
        <v>2</v>
      </c>
      <c r="F822" s="2" t="s">
        <v>10086</v>
      </c>
      <c r="H822" s="2">
        <v>1.5E-3</v>
      </c>
      <c r="K822" s="2" t="s">
        <v>10087</v>
      </c>
    </row>
    <row r="823" spans="1:11" x14ac:dyDescent="0.2">
      <c r="A823" s="2">
        <v>206</v>
      </c>
      <c r="B823" s="2">
        <v>2</v>
      </c>
      <c r="C823" s="2">
        <v>3314203</v>
      </c>
      <c r="D823" s="2">
        <v>4016104</v>
      </c>
      <c r="E823" s="2">
        <v>3</v>
      </c>
      <c r="F823" s="2" t="s">
        <v>10086</v>
      </c>
      <c r="H823" s="3">
        <v>8.9999999999999998E-4</v>
      </c>
      <c r="K823" s="2" t="s">
        <v>10089</v>
      </c>
    </row>
    <row r="824" spans="1:11" x14ac:dyDescent="0.2">
      <c r="A824" s="2">
        <v>206</v>
      </c>
      <c r="B824" s="2">
        <v>2</v>
      </c>
      <c r="C824" s="2">
        <v>3314203</v>
      </c>
      <c r="D824" s="2">
        <v>4016104</v>
      </c>
      <c r="E824" s="2">
        <v>4</v>
      </c>
      <c r="F824" s="2" t="s">
        <v>10086</v>
      </c>
      <c r="H824" s="3">
        <v>8.0000000000000004E-4</v>
      </c>
      <c r="K824" s="2" t="s">
        <v>10088</v>
      </c>
    </row>
    <row r="825" spans="1:11" x14ac:dyDescent="0.2">
      <c r="A825" s="2">
        <v>207</v>
      </c>
      <c r="B825" s="2">
        <v>2</v>
      </c>
      <c r="C825" s="2">
        <v>4016105</v>
      </c>
      <c r="D825" s="2">
        <v>4766969</v>
      </c>
      <c r="E825" s="2">
        <v>1</v>
      </c>
      <c r="F825" s="2" t="s">
        <v>10086</v>
      </c>
      <c r="H825" s="2">
        <v>2.5000000000000001E-3</v>
      </c>
      <c r="K825" s="2" t="s">
        <v>10089</v>
      </c>
    </row>
    <row r="826" spans="1:11" x14ac:dyDescent="0.2">
      <c r="A826" s="2">
        <v>207</v>
      </c>
      <c r="B826" s="2">
        <v>2</v>
      </c>
      <c r="C826" s="2">
        <v>4016105</v>
      </c>
      <c r="D826" s="2">
        <v>4766969</v>
      </c>
      <c r="E826" s="2">
        <v>2</v>
      </c>
      <c r="F826" s="2" t="s">
        <v>10086</v>
      </c>
      <c r="H826" s="3">
        <v>8.9999999999999998E-4</v>
      </c>
      <c r="K826" s="2" t="s">
        <v>10087</v>
      </c>
    </row>
    <row r="827" spans="1:11" x14ac:dyDescent="0.2">
      <c r="A827" s="2">
        <v>207</v>
      </c>
      <c r="B827" s="2">
        <v>2</v>
      </c>
      <c r="C827" s="2">
        <v>4016105</v>
      </c>
      <c r="D827" s="2">
        <v>4766969</v>
      </c>
      <c r="E827" s="2">
        <v>3</v>
      </c>
      <c r="F827" s="2" t="s">
        <v>10086</v>
      </c>
      <c r="H827" s="3">
        <v>6.9999999999999999E-4</v>
      </c>
      <c r="K827" s="2" t="s">
        <v>10088</v>
      </c>
    </row>
    <row r="828" spans="1:11" x14ac:dyDescent="0.2">
      <c r="A828" s="2">
        <v>207</v>
      </c>
      <c r="B828" s="2">
        <v>2</v>
      </c>
      <c r="C828" s="2">
        <v>4016105</v>
      </c>
      <c r="D828" s="2">
        <v>4766969</v>
      </c>
      <c r="E828" s="2">
        <v>4</v>
      </c>
      <c r="F828" s="2" t="s">
        <v>10086</v>
      </c>
      <c r="H828" s="3">
        <v>4.0000000000000002E-4</v>
      </c>
      <c r="K828" s="2" t="s">
        <v>10085</v>
      </c>
    </row>
    <row r="829" spans="1:11" x14ac:dyDescent="0.2">
      <c r="A829" s="2">
        <v>208</v>
      </c>
      <c r="B829" s="2">
        <v>2</v>
      </c>
      <c r="C829" s="2">
        <v>4766970</v>
      </c>
      <c r="D829" s="2">
        <v>5568653</v>
      </c>
      <c r="E829" s="2">
        <v>1</v>
      </c>
      <c r="F829" s="2" t="s">
        <v>10086</v>
      </c>
      <c r="H829" s="2">
        <v>5.4000000000000003E-3</v>
      </c>
      <c r="K829" s="2" t="s">
        <v>10088</v>
      </c>
    </row>
    <row r="830" spans="1:11" x14ac:dyDescent="0.2">
      <c r="A830" s="2">
        <v>208</v>
      </c>
      <c r="B830" s="2">
        <v>2</v>
      </c>
      <c r="C830" s="2">
        <v>4766970</v>
      </c>
      <c r="D830" s="2">
        <v>5568653</v>
      </c>
      <c r="E830" s="2">
        <v>2</v>
      </c>
      <c r="F830" s="2" t="s">
        <v>10086</v>
      </c>
      <c r="H830" s="3">
        <v>8.9999999999999998E-4</v>
      </c>
      <c r="K830" s="2" t="s">
        <v>12324</v>
      </c>
    </row>
    <row r="831" spans="1:11" x14ac:dyDescent="0.2">
      <c r="A831" s="2">
        <v>208</v>
      </c>
      <c r="B831" s="2">
        <v>2</v>
      </c>
      <c r="C831" s="2">
        <v>4766970</v>
      </c>
      <c r="D831" s="2">
        <v>5568653</v>
      </c>
      <c r="E831" s="2">
        <v>3</v>
      </c>
      <c r="F831" s="2" t="s">
        <v>10086</v>
      </c>
      <c r="H831" s="3">
        <v>5.9999999999999995E-4</v>
      </c>
      <c r="K831" s="2" t="s">
        <v>10089</v>
      </c>
    </row>
    <row r="832" spans="1:11" x14ac:dyDescent="0.2">
      <c r="A832" s="2">
        <v>208</v>
      </c>
      <c r="B832" s="2">
        <v>2</v>
      </c>
      <c r="C832" s="2">
        <v>4766970</v>
      </c>
      <c r="D832" s="2">
        <v>5568653</v>
      </c>
      <c r="E832" s="2">
        <v>4</v>
      </c>
      <c r="F832" s="2" t="s">
        <v>10086</v>
      </c>
      <c r="H832" s="3">
        <v>5.0000000000000001E-4</v>
      </c>
      <c r="K832" s="2" t="s">
        <v>10087</v>
      </c>
    </row>
    <row r="833" spans="1:11" x14ac:dyDescent="0.2">
      <c r="A833" s="2">
        <v>209</v>
      </c>
      <c r="B833" s="2">
        <v>2</v>
      </c>
      <c r="C833" s="2">
        <v>5568654</v>
      </c>
      <c r="D833" s="2">
        <v>6306606</v>
      </c>
      <c r="E833" s="2">
        <v>1</v>
      </c>
      <c r="F833" s="2" t="s">
        <v>10086</v>
      </c>
      <c r="H833" s="2">
        <v>0.01</v>
      </c>
      <c r="K833" s="2" t="s">
        <v>10087</v>
      </c>
    </row>
    <row r="834" spans="1:11" x14ac:dyDescent="0.2">
      <c r="A834" s="2">
        <v>209</v>
      </c>
      <c r="B834" s="2">
        <v>2</v>
      </c>
      <c r="C834" s="2">
        <v>5568654</v>
      </c>
      <c r="D834" s="2">
        <v>6306606</v>
      </c>
      <c r="E834" s="2">
        <v>2</v>
      </c>
      <c r="F834" s="2" t="s">
        <v>10086</v>
      </c>
      <c r="H834" s="2">
        <v>1.1000000000000001E-3</v>
      </c>
      <c r="K834" s="2" t="s">
        <v>10085</v>
      </c>
    </row>
    <row r="835" spans="1:11" x14ac:dyDescent="0.2">
      <c r="A835" s="2">
        <v>209</v>
      </c>
      <c r="B835" s="2">
        <v>2</v>
      </c>
      <c r="C835" s="2">
        <v>5568654</v>
      </c>
      <c r="D835" s="2">
        <v>6306606</v>
      </c>
      <c r="E835" s="2">
        <v>3</v>
      </c>
      <c r="F835" s="2" t="s">
        <v>10086</v>
      </c>
      <c r="H835" s="2">
        <v>1E-3</v>
      </c>
      <c r="K835" s="2" t="s">
        <v>10088</v>
      </c>
    </row>
    <row r="836" spans="1:11" x14ac:dyDescent="0.2">
      <c r="A836" s="2">
        <v>209</v>
      </c>
      <c r="B836" s="2">
        <v>2</v>
      </c>
      <c r="C836" s="2">
        <v>5568654</v>
      </c>
      <c r="D836" s="2">
        <v>6306606</v>
      </c>
      <c r="E836" s="2">
        <v>4</v>
      </c>
      <c r="F836" s="2" t="s">
        <v>10086</v>
      </c>
      <c r="H836" s="3">
        <v>4.0000000000000002E-4</v>
      </c>
      <c r="K836" s="2" t="s">
        <v>10089</v>
      </c>
    </row>
    <row r="837" spans="1:11" x14ac:dyDescent="0.2">
      <c r="A837" s="2">
        <v>210</v>
      </c>
      <c r="B837" s="2">
        <v>2</v>
      </c>
      <c r="C837" s="2">
        <v>6306607</v>
      </c>
      <c r="D837" s="2">
        <v>7108208</v>
      </c>
      <c r="E837" s="2">
        <v>1</v>
      </c>
      <c r="F837" s="2" t="s">
        <v>10086</v>
      </c>
      <c r="H837" s="3">
        <v>8.9999999999999998E-4</v>
      </c>
      <c r="K837" s="2" t="s">
        <v>10087</v>
      </c>
    </row>
    <row r="838" spans="1:11" x14ac:dyDescent="0.2">
      <c r="A838" s="2">
        <v>210</v>
      </c>
      <c r="B838" s="2">
        <v>2</v>
      </c>
      <c r="C838" s="2">
        <v>6306607</v>
      </c>
      <c r="D838" s="2">
        <v>7108208</v>
      </c>
      <c r="E838" s="2">
        <v>2</v>
      </c>
      <c r="F838" s="2" t="s">
        <v>10086</v>
      </c>
      <c r="H838" s="3">
        <v>6.9999999999999999E-4</v>
      </c>
      <c r="K838" s="2" t="s">
        <v>10085</v>
      </c>
    </row>
    <row r="839" spans="1:11" x14ac:dyDescent="0.2">
      <c r="A839" s="2">
        <v>210</v>
      </c>
      <c r="B839" s="2">
        <v>2</v>
      </c>
      <c r="C839" s="2">
        <v>6306607</v>
      </c>
      <c r="D839" s="2">
        <v>7108208</v>
      </c>
      <c r="E839" s="2">
        <v>3</v>
      </c>
      <c r="F839" s="2" t="s">
        <v>10086</v>
      </c>
      <c r="H839" s="3">
        <v>6.9999999999999999E-4</v>
      </c>
      <c r="K839" s="2" t="s">
        <v>10088</v>
      </c>
    </row>
    <row r="840" spans="1:11" x14ac:dyDescent="0.2">
      <c r="A840" s="2">
        <v>210</v>
      </c>
      <c r="B840" s="2">
        <v>2</v>
      </c>
      <c r="C840" s="2">
        <v>6306607</v>
      </c>
      <c r="D840" s="2">
        <v>7108208</v>
      </c>
      <c r="E840" s="2">
        <v>4</v>
      </c>
      <c r="F840" s="2" t="s">
        <v>10086</v>
      </c>
      <c r="H840" s="3">
        <v>4.0000000000000002E-4</v>
      </c>
      <c r="K840" s="2" t="s">
        <v>10089</v>
      </c>
    </row>
    <row r="841" spans="1:11" x14ac:dyDescent="0.2">
      <c r="A841" s="2">
        <v>211</v>
      </c>
      <c r="B841" s="2">
        <v>2</v>
      </c>
      <c r="C841" s="2">
        <v>7108209</v>
      </c>
      <c r="D841" s="2">
        <v>7966709</v>
      </c>
      <c r="E841" s="2">
        <v>1</v>
      </c>
      <c r="F841" s="2" t="s">
        <v>10086</v>
      </c>
      <c r="H841" s="2">
        <v>2.7000000000000001E-3</v>
      </c>
      <c r="K841" s="2" t="s">
        <v>10088</v>
      </c>
    </row>
    <row r="842" spans="1:11" x14ac:dyDescent="0.2">
      <c r="A842" s="2">
        <v>211</v>
      </c>
      <c r="B842" s="2">
        <v>2</v>
      </c>
      <c r="C842" s="2">
        <v>7108209</v>
      </c>
      <c r="D842" s="2">
        <v>7966709</v>
      </c>
      <c r="E842" s="2">
        <v>2</v>
      </c>
      <c r="F842" s="2" t="s">
        <v>10086</v>
      </c>
      <c r="H842" s="2">
        <v>1.4E-3</v>
      </c>
      <c r="K842" s="2" t="s">
        <v>10085</v>
      </c>
    </row>
    <row r="843" spans="1:11" x14ac:dyDescent="0.2">
      <c r="A843" s="2">
        <v>211</v>
      </c>
      <c r="B843" s="2">
        <v>2</v>
      </c>
      <c r="C843" s="2">
        <v>7108209</v>
      </c>
      <c r="D843" s="2">
        <v>7966709</v>
      </c>
      <c r="E843" s="2">
        <v>3</v>
      </c>
      <c r="F843" s="2" t="s">
        <v>10086</v>
      </c>
      <c r="H843" s="3">
        <v>8.0000000000000004E-4</v>
      </c>
      <c r="K843" s="2" t="s">
        <v>10089</v>
      </c>
    </row>
    <row r="844" spans="1:11" x14ac:dyDescent="0.2">
      <c r="A844" s="2">
        <v>211</v>
      </c>
      <c r="B844" s="2">
        <v>2</v>
      </c>
      <c r="C844" s="2">
        <v>7108209</v>
      </c>
      <c r="D844" s="2">
        <v>7966709</v>
      </c>
      <c r="E844" s="2">
        <v>4</v>
      </c>
      <c r="F844" s="2" t="s">
        <v>10086</v>
      </c>
      <c r="H844" s="3">
        <v>2.9999999999999997E-4</v>
      </c>
      <c r="K844" s="2" t="s">
        <v>10087</v>
      </c>
    </row>
    <row r="845" spans="1:11" x14ac:dyDescent="0.2">
      <c r="A845" s="2">
        <v>212</v>
      </c>
      <c r="B845" s="2">
        <v>2</v>
      </c>
      <c r="C845" s="2">
        <v>7966710</v>
      </c>
      <c r="D845" s="2">
        <v>8978798</v>
      </c>
      <c r="E845" s="2">
        <v>1</v>
      </c>
      <c r="F845" s="2" t="s">
        <v>10086</v>
      </c>
      <c r="H845" s="2">
        <v>2.2000000000000001E-3</v>
      </c>
      <c r="K845" s="2" t="s">
        <v>10085</v>
      </c>
    </row>
    <row r="846" spans="1:11" x14ac:dyDescent="0.2">
      <c r="A846" s="2">
        <v>212</v>
      </c>
      <c r="B846" s="2">
        <v>2</v>
      </c>
      <c r="C846" s="2">
        <v>7966710</v>
      </c>
      <c r="D846" s="2">
        <v>8978798</v>
      </c>
      <c r="E846" s="2">
        <v>2</v>
      </c>
      <c r="F846" s="2" t="s">
        <v>10086</v>
      </c>
      <c r="H846" s="2">
        <v>1.6000000000000001E-3</v>
      </c>
      <c r="K846" s="2" t="s">
        <v>10089</v>
      </c>
    </row>
    <row r="847" spans="1:11" x14ac:dyDescent="0.2">
      <c r="A847" s="2">
        <v>212</v>
      </c>
      <c r="B847" s="2">
        <v>2</v>
      </c>
      <c r="C847" s="2">
        <v>7966710</v>
      </c>
      <c r="D847" s="2">
        <v>8978798</v>
      </c>
      <c r="E847" s="2">
        <v>3</v>
      </c>
      <c r="F847" s="2" t="s">
        <v>10086</v>
      </c>
      <c r="H847" s="2">
        <v>2.0999999999999999E-3</v>
      </c>
      <c r="K847" s="2" t="s">
        <v>10088</v>
      </c>
    </row>
    <row r="848" spans="1:11" x14ac:dyDescent="0.2">
      <c r="A848" s="2">
        <v>212</v>
      </c>
      <c r="B848" s="2">
        <v>2</v>
      </c>
      <c r="C848" s="2">
        <v>7966710</v>
      </c>
      <c r="D848" s="2">
        <v>8978798</v>
      </c>
      <c r="E848" s="2">
        <v>4</v>
      </c>
      <c r="F848" s="2" t="s">
        <v>10086</v>
      </c>
      <c r="H848" s="3">
        <v>8.9999999999999998E-4</v>
      </c>
      <c r="K848" s="2" t="s">
        <v>10087</v>
      </c>
    </row>
    <row r="849" spans="1:11" x14ac:dyDescent="0.2">
      <c r="A849" s="2">
        <v>213</v>
      </c>
      <c r="B849" s="2">
        <v>2</v>
      </c>
      <c r="C849" s="2">
        <v>8978799</v>
      </c>
      <c r="D849" s="2">
        <v>9960670</v>
      </c>
      <c r="E849" s="2">
        <v>1</v>
      </c>
      <c r="F849" s="2" t="s">
        <v>10086</v>
      </c>
      <c r="H849" s="2">
        <v>6.1000000000000004E-3</v>
      </c>
      <c r="K849" s="2" t="s">
        <v>10085</v>
      </c>
    </row>
    <row r="850" spans="1:11" x14ac:dyDescent="0.2">
      <c r="A850" s="2">
        <v>213</v>
      </c>
      <c r="B850" s="2">
        <v>2</v>
      </c>
      <c r="C850" s="2">
        <v>8978799</v>
      </c>
      <c r="D850" s="2">
        <v>9960670</v>
      </c>
      <c r="E850" s="2">
        <v>2</v>
      </c>
      <c r="F850" s="2" t="s">
        <v>10086</v>
      </c>
      <c r="H850" s="2">
        <v>1.1000000000000001E-3</v>
      </c>
      <c r="K850" s="2" t="s">
        <v>10087</v>
      </c>
    </row>
    <row r="851" spans="1:11" x14ac:dyDescent="0.2">
      <c r="A851" s="2">
        <v>213</v>
      </c>
      <c r="B851" s="2">
        <v>2</v>
      </c>
      <c r="C851" s="2">
        <v>8978799</v>
      </c>
      <c r="D851" s="2">
        <v>9960670</v>
      </c>
      <c r="E851" s="2">
        <v>3</v>
      </c>
      <c r="F851" s="2" t="s">
        <v>10086</v>
      </c>
      <c r="H851" s="2">
        <v>1.2999999999999999E-3</v>
      </c>
      <c r="K851" s="2" t="s">
        <v>10088</v>
      </c>
    </row>
    <row r="852" spans="1:11" x14ac:dyDescent="0.2">
      <c r="A852" s="2">
        <v>213</v>
      </c>
      <c r="B852" s="2">
        <v>2</v>
      </c>
      <c r="C852" s="2">
        <v>8978799</v>
      </c>
      <c r="D852" s="2">
        <v>9960670</v>
      </c>
      <c r="E852" s="2">
        <v>4</v>
      </c>
      <c r="F852" s="2" t="s">
        <v>10086</v>
      </c>
      <c r="H852" s="3">
        <v>4.0000000000000002E-4</v>
      </c>
      <c r="K852" s="2" t="s">
        <v>10089</v>
      </c>
    </row>
    <row r="853" spans="1:11" x14ac:dyDescent="0.2">
      <c r="A853" s="2">
        <v>214</v>
      </c>
      <c r="B853" s="2">
        <v>2</v>
      </c>
      <c r="C853" s="2">
        <v>9960671</v>
      </c>
      <c r="D853" s="2">
        <v>10611654</v>
      </c>
      <c r="E853" s="2">
        <v>1</v>
      </c>
      <c r="F853" s="2" t="s">
        <v>10086</v>
      </c>
      <c r="H853" s="2">
        <v>3.3E-3</v>
      </c>
      <c r="K853" s="2" t="s">
        <v>10085</v>
      </c>
    </row>
    <row r="854" spans="1:11" x14ac:dyDescent="0.2">
      <c r="A854" s="2">
        <v>214</v>
      </c>
      <c r="B854" s="2">
        <v>2</v>
      </c>
      <c r="C854" s="2">
        <v>9960671</v>
      </c>
      <c r="D854" s="2">
        <v>10611654</v>
      </c>
      <c r="E854" s="2">
        <v>2</v>
      </c>
      <c r="F854" s="2" t="s">
        <v>10086</v>
      </c>
      <c r="H854" s="2">
        <v>1.9E-3</v>
      </c>
      <c r="K854" s="2" t="s">
        <v>10088</v>
      </c>
    </row>
    <row r="855" spans="1:11" x14ac:dyDescent="0.2">
      <c r="A855" s="2">
        <v>214</v>
      </c>
      <c r="B855" s="2">
        <v>2</v>
      </c>
      <c r="C855" s="2">
        <v>9960671</v>
      </c>
      <c r="D855" s="2">
        <v>10611654</v>
      </c>
      <c r="E855" s="2">
        <v>3</v>
      </c>
      <c r="F855" s="2" t="s">
        <v>10086</v>
      </c>
      <c r="H855" s="2">
        <v>1.1000000000000001E-3</v>
      </c>
      <c r="K855" s="2" t="s">
        <v>10087</v>
      </c>
    </row>
    <row r="856" spans="1:11" x14ac:dyDescent="0.2">
      <c r="A856" s="2">
        <v>214</v>
      </c>
      <c r="B856" s="2">
        <v>2</v>
      </c>
      <c r="C856" s="2">
        <v>9960671</v>
      </c>
      <c r="D856" s="2">
        <v>10611654</v>
      </c>
      <c r="E856" s="2">
        <v>4</v>
      </c>
      <c r="F856" s="2" t="s">
        <v>10086</v>
      </c>
      <c r="H856" s="3">
        <v>4.0000000000000002E-4</v>
      </c>
      <c r="K856" s="2" t="s">
        <v>10089</v>
      </c>
    </row>
    <row r="857" spans="1:11" x14ac:dyDescent="0.2">
      <c r="A857" s="2">
        <v>215</v>
      </c>
      <c r="B857" s="2">
        <v>2</v>
      </c>
      <c r="C857" s="2">
        <v>10611655</v>
      </c>
      <c r="D857" s="2">
        <v>11230349</v>
      </c>
      <c r="E857" s="2">
        <v>1</v>
      </c>
      <c r="F857" s="2" t="s">
        <v>10086</v>
      </c>
      <c r="H857" s="3">
        <v>8.9999999999999998E-4</v>
      </c>
      <c r="K857" s="2" t="s">
        <v>10087</v>
      </c>
    </row>
    <row r="858" spans="1:11" x14ac:dyDescent="0.2">
      <c r="A858" s="2">
        <v>215</v>
      </c>
      <c r="B858" s="2">
        <v>2</v>
      </c>
      <c r="C858" s="2">
        <v>10611655</v>
      </c>
      <c r="D858" s="2">
        <v>11230349</v>
      </c>
      <c r="E858" s="2">
        <v>2</v>
      </c>
      <c r="F858" s="2" t="s">
        <v>10086</v>
      </c>
      <c r="H858" s="3">
        <v>6.9999999999999999E-4</v>
      </c>
      <c r="K858" s="2" t="s">
        <v>10088</v>
      </c>
    </row>
    <row r="859" spans="1:11" x14ac:dyDescent="0.2">
      <c r="A859" s="2">
        <v>215</v>
      </c>
      <c r="B859" s="2">
        <v>2</v>
      </c>
      <c r="C859" s="2">
        <v>10611655</v>
      </c>
      <c r="D859" s="2">
        <v>11230349</v>
      </c>
      <c r="E859" s="2">
        <v>3</v>
      </c>
      <c r="F859" s="2" t="s">
        <v>10086</v>
      </c>
      <c r="H859" s="3">
        <v>5.9999999999999995E-4</v>
      </c>
      <c r="K859" s="2" t="s">
        <v>10085</v>
      </c>
    </row>
    <row r="860" spans="1:11" x14ac:dyDescent="0.2">
      <c r="A860" s="2">
        <v>215</v>
      </c>
      <c r="B860" s="2">
        <v>2</v>
      </c>
      <c r="C860" s="2">
        <v>10611655</v>
      </c>
      <c r="D860" s="2">
        <v>11230349</v>
      </c>
      <c r="E860" s="2">
        <v>4</v>
      </c>
      <c r="F860" s="2" t="s">
        <v>10086</v>
      </c>
      <c r="H860" s="3">
        <v>4.0000000000000002E-4</v>
      </c>
      <c r="K860" s="2" t="s">
        <v>10089</v>
      </c>
    </row>
    <row r="861" spans="1:11" x14ac:dyDescent="0.2">
      <c r="A861" s="2">
        <v>216</v>
      </c>
      <c r="B861" s="2">
        <v>2</v>
      </c>
      <c r="C861" s="2">
        <v>11230350</v>
      </c>
      <c r="D861" s="2">
        <v>11995765</v>
      </c>
      <c r="E861" s="2">
        <v>1</v>
      </c>
      <c r="F861" s="2" t="s">
        <v>10086</v>
      </c>
      <c r="H861" s="2">
        <v>7.9000000000000008E-3</v>
      </c>
      <c r="K861" s="2" t="s">
        <v>10088</v>
      </c>
    </row>
    <row r="862" spans="1:11" x14ac:dyDescent="0.2">
      <c r="A862" s="2">
        <v>216</v>
      </c>
      <c r="B862" s="2">
        <v>2</v>
      </c>
      <c r="C862" s="2">
        <v>11230350</v>
      </c>
      <c r="D862" s="2">
        <v>11995765</v>
      </c>
      <c r="E862" s="2">
        <v>2</v>
      </c>
      <c r="F862" s="2" t="s">
        <v>10086</v>
      </c>
      <c r="H862" s="2">
        <v>1.4E-3</v>
      </c>
      <c r="K862" s="2" t="s">
        <v>10085</v>
      </c>
    </row>
    <row r="863" spans="1:11" x14ac:dyDescent="0.2">
      <c r="A863" s="2">
        <v>216</v>
      </c>
      <c r="B863" s="2">
        <v>2</v>
      </c>
      <c r="C863" s="2">
        <v>11230350</v>
      </c>
      <c r="D863" s="2">
        <v>11995765</v>
      </c>
      <c r="E863" s="2">
        <v>3</v>
      </c>
      <c r="F863" s="2" t="s">
        <v>10086</v>
      </c>
      <c r="H863" s="3">
        <v>8.0000000000000004E-4</v>
      </c>
      <c r="K863" s="2" t="s">
        <v>10087</v>
      </c>
    </row>
    <row r="864" spans="1:11" x14ac:dyDescent="0.2">
      <c r="A864" s="2">
        <v>216</v>
      </c>
      <c r="B864" s="2">
        <v>2</v>
      </c>
      <c r="C864" s="2">
        <v>11230350</v>
      </c>
      <c r="D864" s="2">
        <v>11995765</v>
      </c>
      <c r="E864" s="2">
        <v>4</v>
      </c>
      <c r="F864" s="2" t="s">
        <v>10086</v>
      </c>
      <c r="H864" s="3">
        <v>5.9999999999999995E-4</v>
      </c>
      <c r="K864" s="2" t="s">
        <v>10089</v>
      </c>
    </row>
    <row r="865" spans="1:11" x14ac:dyDescent="0.2">
      <c r="A865" s="2">
        <v>217</v>
      </c>
      <c r="B865" s="2">
        <v>2</v>
      </c>
      <c r="C865" s="2">
        <v>11995766</v>
      </c>
      <c r="D865" s="2">
        <v>12732506</v>
      </c>
      <c r="E865" s="2">
        <v>1</v>
      </c>
      <c r="F865" s="2" t="s">
        <v>10086</v>
      </c>
      <c r="H865" s="2">
        <v>2.5999999999999999E-3</v>
      </c>
      <c r="K865" s="2" t="s">
        <v>10087</v>
      </c>
    </row>
    <row r="866" spans="1:11" x14ac:dyDescent="0.2">
      <c r="A866" s="2">
        <v>217</v>
      </c>
      <c r="B866" s="2">
        <v>2</v>
      </c>
      <c r="C866" s="2">
        <v>11995766</v>
      </c>
      <c r="D866" s="2">
        <v>12732506</v>
      </c>
      <c r="E866" s="2">
        <v>2</v>
      </c>
      <c r="F866" s="2" t="s">
        <v>10086</v>
      </c>
      <c r="H866" s="3">
        <v>8.0000000000000004E-4</v>
      </c>
      <c r="K866" s="2" t="s">
        <v>10085</v>
      </c>
    </row>
    <row r="867" spans="1:11" x14ac:dyDescent="0.2">
      <c r="A867" s="2">
        <v>217</v>
      </c>
      <c r="B867" s="2">
        <v>2</v>
      </c>
      <c r="C867" s="2">
        <v>11995766</v>
      </c>
      <c r="D867" s="2">
        <v>12732506</v>
      </c>
      <c r="E867" s="2">
        <v>3</v>
      </c>
      <c r="F867" s="2" t="s">
        <v>10086</v>
      </c>
      <c r="H867" s="3">
        <v>8.0000000000000004E-4</v>
      </c>
      <c r="K867" s="2" t="s">
        <v>10088</v>
      </c>
    </row>
    <row r="868" spans="1:11" x14ac:dyDescent="0.2">
      <c r="A868" s="2">
        <v>217</v>
      </c>
      <c r="B868" s="2">
        <v>2</v>
      </c>
      <c r="C868" s="2">
        <v>11995766</v>
      </c>
      <c r="D868" s="2">
        <v>12732506</v>
      </c>
      <c r="E868" s="2">
        <v>4</v>
      </c>
      <c r="F868" s="2" t="s">
        <v>10086</v>
      </c>
      <c r="H868" s="3">
        <v>4.0000000000000002E-4</v>
      </c>
      <c r="K868" s="2" t="s">
        <v>10089</v>
      </c>
    </row>
    <row r="869" spans="1:11" x14ac:dyDescent="0.2">
      <c r="A869" s="2">
        <v>218</v>
      </c>
      <c r="B869" s="2">
        <v>2</v>
      </c>
      <c r="C869" s="2">
        <v>12732507</v>
      </c>
      <c r="D869" s="2">
        <v>13625450</v>
      </c>
      <c r="E869" s="2">
        <v>1</v>
      </c>
      <c r="F869" s="2" t="s">
        <v>10086</v>
      </c>
      <c r="H869" s="2">
        <v>3.5999999999999999E-3</v>
      </c>
      <c r="K869" s="2" t="s">
        <v>10089</v>
      </c>
    </row>
    <row r="870" spans="1:11" x14ac:dyDescent="0.2">
      <c r="A870" s="2">
        <v>218</v>
      </c>
      <c r="B870" s="2">
        <v>2</v>
      </c>
      <c r="C870" s="2">
        <v>12732507</v>
      </c>
      <c r="D870" s="2">
        <v>13625450</v>
      </c>
      <c r="E870" s="2">
        <v>2</v>
      </c>
      <c r="F870" s="2" t="s">
        <v>10086</v>
      </c>
      <c r="H870" s="3">
        <v>6.9999999999999999E-4</v>
      </c>
      <c r="K870" s="2" t="s">
        <v>10085</v>
      </c>
    </row>
    <row r="871" spans="1:11" x14ac:dyDescent="0.2">
      <c r="A871" s="2">
        <v>218</v>
      </c>
      <c r="B871" s="2">
        <v>2</v>
      </c>
      <c r="C871" s="2">
        <v>12732507</v>
      </c>
      <c r="D871" s="2">
        <v>13625450</v>
      </c>
      <c r="E871" s="2">
        <v>3</v>
      </c>
      <c r="F871" s="2" t="s">
        <v>10086</v>
      </c>
      <c r="H871" s="3">
        <v>6.9999999999999999E-4</v>
      </c>
      <c r="K871" s="2" t="s">
        <v>10087</v>
      </c>
    </row>
    <row r="872" spans="1:11" x14ac:dyDescent="0.2">
      <c r="A872" s="2">
        <v>218</v>
      </c>
      <c r="B872" s="2">
        <v>2</v>
      </c>
      <c r="C872" s="2">
        <v>12732507</v>
      </c>
      <c r="D872" s="2">
        <v>13625450</v>
      </c>
      <c r="E872" s="2">
        <v>4</v>
      </c>
      <c r="F872" s="2" t="s">
        <v>10086</v>
      </c>
      <c r="H872" s="3">
        <v>4.0000000000000002E-4</v>
      </c>
      <c r="K872" s="2" t="s">
        <v>12324</v>
      </c>
    </row>
    <row r="873" spans="1:11" x14ac:dyDescent="0.2">
      <c r="A873" s="2">
        <v>219</v>
      </c>
      <c r="B873" s="2">
        <v>2</v>
      </c>
      <c r="C873" s="2">
        <v>13625451</v>
      </c>
      <c r="D873" s="2">
        <v>14692120</v>
      </c>
      <c r="E873" s="2">
        <v>1</v>
      </c>
      <c r="F873" s="2" t="s">
        <v>10086</v>
      </c>
      <c r="H873" s="2">
        <v>1.5E-3</v>
      </c>
      <c r="K873" s="2" t="s">
        <v>10088</v>
      </c>
    </row>
    <row r="874" spans="1:11" x14ac:dyDescent="0.2">
      <c r="A874" s="2">
        <v>219</v>
      </c>
      <c r="B874" s="2">
        <v>2</v>
      </c>
      <c r="C874" s="2">
        <v>13625451</v>
      </c>
      <c r="D874" s="2">
        <v>14692120</v>
      </c>
      <c r="E874" s="2">
        <v>2</v>
      </c>
      <c r="F874" s="2" t="s">
        <v>10086</v>
      </c>
      <c r="H874" s="2">
        <v>2.2000000000000001E-3</v>
      </c>
      <c r="K874" s="2" t="s">
        <v>12324</v>
      </c>
    </row>
    <row r="875" spans="1:11" x14ac:dyDescent="0.2">
      <c r="A875" s="2">
        <v>219</v>
      </c>
      <c r="B875" s="2">
        <v>2</v>
      </c>
      <c r="C875" s="2">
        <v>13625451</v>
      </c>
      <c r="D875" s="2">
        <v>14692120</v>
      </c>
      <c r="E875" s="2">
        <v>3</v>
      </c>
      <c r="F875" s="2" t="s">
        <v>10086</v>
      </c>
      <c r="H875" s="2">
        <v>1.1000000000000001E-3</v>
      </c>
      <c r="K875" s="2" t="s">
        <v>10085</v>
      </c>
    </row>
    <row r="876" spans="1:11" x14ac:dyDescent="0.2">
      <c r="A876" s="2">
        <v>219</v>
      </c>
      <c r="B876" s="2">
        <v>2</v>
      </c>
      <c r="C876" s="2">
        <v>13625451</v>
      </c>
      <c r="D876" s="2">
        <v>14692120</v>
      </c>
      <c r="E876" s="2">
        <v>4</v>
      </c>
      <c r="F876" s="2" t="s">
        <v>10086</v>
      </c>
      <c r="H876" s="2">
        <v>1.1000000000000001E-3</v>
      </c>
      <c r="K876" s="2" t="s">
        <v>10089</v>
      </c>
    </row>
    <row r="877" spans="1:11" x14ac:dyDescent="0.2">
      <c r="A877" s="2">
        <v>220</v>
      </c>
      <c r="B877" s="2">
        <v>2</v>
      </c>
      <c r="C877" s="2">
        <v>14692121</v>
      </c>
      <c r="D877" s="2">
        <v>15721703</v>
      </c>
      <c r="E877" s="2">
        <v>1</v>
      </c>
      <c r="F877" s="2" t="s">
        <v>10086</v>
      </c>
      <c r="H877" s="2">
        <v>1.6000000000000001E-3</v>
      </c>
      <c r="K877" s="2" t="s">
        <v>10085</v>
      </c>
    </row>
    <row r="878" spans="1:11" x14ac:dyDescent="0.2">
      <c r="A878" s="2">
        <v>220</v>
      </c>
      <c r="B878" s="2">
        <v>2</v>
      </c>
      <c r="C878" s="2">
        <v>14692121</v>
      </c>
      <c r="D878" s="2">
        <v>15721703</v>
      </c>
      <c r="E878" s="2">
        <v>2</v>
      </c>
      <c r="F878" s="2" t="s">
        <v>10086</v>
      </c>
      <c r="H878" s="3">
        <v>8.0000000000000004E-4</v>
      </c>
      <c r="K878" s="2" t="s">
        <v>10089</v>
      </c>
    </row>
    <row r="879" spans="1:11" x14ac:dyDescent="0.2">
      <c r="A879" s="2">
        <v>220</v>
      </c>
      <c r="B879" s="2">
        <v>2</v>
      </c>
      <c r="C879" s="2">
        <v>14692121</v>
      </c>
      <c r="D879" s="2">
        <v>15721703</v>
      </c>
      <c r="E879" s="2">
        <v>3</v>
      </c>
      <c r="F879" s="2" t="s">
        <v>10086</v>
      </c>
      <c r="H879" s="2">
        <v>1.6000000000000001E-3</v>
      </c>
      <c r="K879" s="2" t="s">
        <v>10088</v>
      </c>
    </row>
    <row r="880" spans="1:11" x14ac:dyDescent="0.2">
      <c r="A880" s="2">
        <v>220</v>
      </c>
      <c r="B880" s="2">
        <v>2</v>
      </c>
      <c r="C880" s="2">
        <v>14692121</v>
      </c>
      <c r="D880" s="2">
        <v>15721703</v>
      </c>
      <c r="E880" s="2">
        <v>4</v>
      </c>
      <c r="F880" s="2" t="s">
        <v>10086</v>
      </c>
      <c r="H880" s="3">
        <v>4.0000000000000002E-4</v>
      </c>
      <c r="K880" s="2" t="s">
        <v>10087</v>
      </c>
    </row>
    <row r="881" spans="1:11" x14ac:dyDescent="0.2">
      <c r="A881" s="2">
        <v>221</v>
      </c>
      <c r="B881" s="2">
        <v>2</v>
      </c>
      <c r="C881" s="2">
        <v>15721704</v>
      </c>
      <c r="D881" s="2">
        <v>17241115</v>
      </c>
      <c r="E881" s="2">
        <v>1</v>
      </c>
      <c r="F881" s="2" t="s">
        <v>10086</v>
      </c>
      <c r="H881" s="2">
        <v>4.1000000000000003E-3</v>
      </c>
      <c r="K881" s="2" t="s">
        <v>10087</v>
      </c>
    </row>
    <row r="882" spans="1:11" x14ac:dyDescent="0.2">
      <c r="A882" s="2">
        <v>221</v>
      </c>
      <c r="B882" s="2">
        <v>2</v>
      </c>
      <c r="C882" s="2">
        <v>15721704</v>
      </c>
      <c r="D882" s="2">
        <v>17241115</v>
      </c>
      <c r="E882" s="2">
        <v>2</v>
      </c>
      <c r="F882" s="2" t="s">
        <v>10086</v>
      </c>
      <c r="H882" s="2">
        <v>1.9E-3</v>
      </c>
      <c r="K882" s="2" t="s">
        <v>10089</v>
      </c>
    </row>
    <row r="883" spans="1:11" x14ac:dyDescent="0.2">
      <c r="A883" s="2">
        <v>221</v>
      </c>
      <c r="B883" s="2">
        <v>2</v>
      </c>
      <c r="C883" s="2">
        <v>15721704</v>
      </c>
      <c r="D883" s="2">
        <v>17241115</v>
      </c>
      <c r="E883" s="2">
        <v>3</v>
      </c>
      <c r="F883" s="2" t="s">
        <v>10086</v>
      </c>
      <c r="H883" s="2">
        <v>1.1999999999999999E-3</v>
      </c>
      <c r="K883" s="2" t="s">
        <v>10085</v>
      </c>
    </row>
    <row r="884" spans="1:11" x14ac:dyDescent="0.2">
      <c r="A884" s="2">
        <v>221</v>
      </c>
      <c r="B884" s="2">
        <v>2</v>
      </c>
      <c r="C884" s="2">
        <v>15721704</v>
      </c>
      <c r="D884" s="2">
        <v>17241115</v>
      </c>
      <c r="E884" s="2">
        <v>4</v>
      </c>
      <c r="F884" s="2" t="s">
        <v>10086</v>
      </c>
      <c r="H884" s="3">
        <v>6.9999999999999999E-4</v>
      </c>
      <c r="K884" s="2" t="s">
        <v>10088</v>
      </c>
    </row>
    <row r="885" spans="1:11" x14ac:dyDescent="0.2">
      <c r="A885" s="2">
        <v>222</v>
      </c>
      <c r="B885" s="2">
        <v>2</v>
      </c>
      <c r="C885" s="2">
        <v>17241116</v>
      </c>
      <c r="D885" s="2">
        <v>18656325</v>
      </c>
      <c r="E885" s="2">
        <v>1</v>
      </c>
      <c r="F885" s="2" t="s">
        <v>10086</v>
      </c>
      <c r="H885" s="2">
        <v>1.5E-3</v>
      </c>
      <c r="K885" s="2" t="s">
        <v>10085</v>
      </c>
    </row>
    <row r="886" spans="1:11" x14ac:dyDescent="0.2">
      <c r="A886" s="2">
        <v>222</v>
      </c>
      <c r="B886" s="2">
        <v>2</v>
      </c>
      <c r="C886" s="2">
        <v>17241116</v>
      </c>
      <c r="D886" s="2">
        <v>18656325</v>
      </c>
      <c r="E886" s="2">
        <v>2</v>
      </c>
      <c r="F886" s="2" t="s">
        <v>10086</v>
      </c>
      <c r="H886" s="2">
        <v>1.6999999999999999E-3</v>
      </c>
      <c r="K886" s="2" t="s">
        <v>10088</v>
      </c>
    </row>
    <row r="887" spans="1:11" x14ac:dyDescent="0.2">
      <c r="A887" s="2">
        <v>222</v>
      </c>
      <c r="B887" s="2">
        <v>2</v>
      </c>
      <c r="C887" s="2">
        <v>17241116</v>
      </c>
      <c r="D887" s="2">
        <v>18656325</v>
      </c>
      <c r="E887" s="2">
        <v>3</v>
      </c>
      <c r="F887" s="2" t="s">
        <v>10086</v>
      </c>
      <c r="H887" s="2">
        <v>1.6000000000000001E-3</v>
      </c>
      <c r="K887" s="2" t="s">
        <v>10089</v>
      </c>
    </row>
    <row r="888" spans="1:11" x14ac:dyDescent="0.2">
      <c r="A888" s="2">
        <v>222</v>
      </c>
      <c r="B888" s="2">
        <v>2</v>
      </c>
      <c r="C888" s="2">
        <v>17241116</v>
      </c>
      <c r="D888" s="2">
        <v>18656325</v>
      </c>
      <c r="E888" s="2">
        <v>4</v>
      </c>
      <c r="F888" s="2" t="s">
        <v>10086</v>
      </c>
      <c r="H888" s="3">
        <v>8.9999999999999998E-4</v>
      </c>
      <c r="K888" s="2" t="s">
        <v>10087</v>
      </c>
    </row>
    <row r="889" spans="1:11" x14ac:dyDescent="0.2">
      <c r="A889" s="2">
        <v>223</v>
      </c>
      <c r="B889" s="2">
        <v>2</v>
      </c>
      <c r="C889" s="2">
        <v>18656326</v>
      </c>
      <c r="D889" s="2">
        <v>20064517</v>
      </c>
      <c r="E889" s="2">
        <v>1</v>
      </c>
      <c r="F889" s="2" t="s">
        <v>10086</v>
      </c>
      <c r="H889" s="2">
        <v>3.7000000000000002E-3</v>
      </c>
      <c r="K889" s="2" t="s">
        <v>10088</v>
      </c>
    </row>
    <row r="890" spans="1:11" x14ac:dyDescent="0.2">
      <c r="A890" s="2">
        <v>223</v>
      </c>
      <c r="B890" s="2">
        <v>2</v>
      </c>
      <c r="C890" s="2">
        <v>18656326</v>
      </c>
      <c r="D890" s="2">
        <v>20064517</v>
      </c>
      <c r="E890" s="2">
        <v>2</v>
      </c>
      <c r="F890" s="2" t="s">
        <v>10086</v>
      </c>
      <c r="H890" s="2">
        <v>2.8E-3</v>
      </c>
      <c r="K890" s="2" t="s">
        <v>10085</v>
      </c>
    </row>
    <row r="891" spans="1:11" x14ac:dyDescent="0.2">
      <c r="A891" s="2">
        <v>223</v>
      </c>
      <c r="B891" s="2">
        <v>2</v>
      </c>
      <c r="C891" s="2">
        <v>18656326</v>
      </c>
      <c r="D891" s="2">
        <v>20064517</v>
      </c>
      <c r="E891" s="2">
        <v>3</v>
      </c>
      <c r="F891" s="2" t="s">
        <v>10086</v>
      </c>
      <c r="H891" s="2">
        <v>1.4E-3</v>
      </c>
      <c r="K891" s="2" t="s">
        <v>10087</v>
      </c>
    </row>
    <row r="892" spans="1:11" x14ac:dyDescent="0.2">
      <c r="A892" s="2">
        <v>223</v>
      </c>
      <c r="B892" s="2">
        <v>2</v>
      </c>
      <c r="C892" s="2">
        <v>18656326</v>
      </c>
      <c r="D892" s="2">
        <v>20064517</v>
      </c>
      <c r="E892" s="2">
        <v>4</v>
      </c>
      <c r="F892" s="2" t="s">
        <v>10086</v>
      </c>
      <c r="H892" s="3">
        <v>8.9999999999999998E-4</v>
      </c>
      <c r="K892" s="2" t="s">
        <v>10089</v>
      </c>
    </row>
    <row r="893" spans="1:11" x14ac:dyDescent="0.2">
      <c r="A893" s="2">
        <v>224</v>
      </c>
      <c r="B893" s="2">
        <v>2</v>
      </c>
      <c r="C893" s="2">
        <v>20064518</v>
      </c>
      <c r="D893" s="2">
        <v>21084898</v>
      </c>
      <c r="E893" s="2">
        <v>1</v>
      </c>
      <c r="F893" s="2" t="s">
        <v>10086</v>
      </c>
      <c r="H893" s="2">
        <v>1.8E-3</v>
      </c>
      <c r="K893" s="2" t="s">
        <v>10087</v>
      </c>
    </row>
    <row r="894" spans="1:11" x14ac:dyDescent="0.2">
      <c r="A894" s="2">
        <v>224</v>
      </c>
      <c r="B894" s="2">
        <v>2</v>
      </c>
      <c r="C894" s="2">
        <v>20064518</v>
      </c>
      <c r="D894" s="2">
        <v>21084898</v>
      </c>
      <c r="E894" s="2">
        <v>2</v>
      </c>
      <c r="F894" s="2" t="s">
        <v>10086</v>
      </c>
      <c r="H894" s="2">
        <v>1.1000000000000001E-3</v>
      </c>
      <c r="K894" s="2" t="s">
        <v>10089</v>
      </c>
    </row>
    <row r="895" spans="1:11" x14ac:dyDescent="0.2">
      <c r="A895" s="2">
        <v>224</v>
      </c>
      <c r="B895" s="2">
        <v>2</v>
      </c>
      <c r="C895" s="2">
        <v>20064518</v>
      </c>
      <c r="D895" s="2">
        <v>21084898</v>
      </c>
      <c r="E895" s="2">
        <v>3</v>
      </c>
      <c r="F895" s="2" t="s">
        <v>10086</v>
      </c>
      <c r="H895" s="3">
        <v>8.9999999999999998E-4</v>
      </c>
      <c r="K895" s="2" t="s">
        <v>10088</v>
      </c>
    </row>
    <row r="896" spans="1:11" x14ac:dyDescent="0.2">
      <c r="A896" s="2">
        <v>224</v>
      </c>
      <c r="B896" s="2">
        <v>2</v>
      </c>
      <c r="C896" s="2">
        <v>20064518</v>
      </c>
      <c r="D896" s="2">
        <v>21084898</v>
      </c>
      <c r="E896" s="2">
        <v>4</v>
      </c>
      <c r="F896" s="2" t="s">
        <v>10086</v>
      </c>
      <c r="H896" s="3">
        <v>5.0000000000000001E-4</v>
      </c>
      <c r="K896" s="2" t="s">
        <v>10085</v>
      </c>
    </row>
    <row r="897" spans="1:11" x14ac:dyDescent="0.2">
      <c r="A897" s="2">
        <v>225</v>
      </c>
      <c r="B897" s="2">
        <v>2</v>
      </c>
      <c r="C897" s="2">
        <v>21084899</v>
      </c>
      <c r="D897" s="2">
        <v>22429640</v>
      </c>
      <c r="E897" s="2">
        <v>1</v>
      </c>
      <c r="F897" s="2" t="s">
        <v>10086</v>
      </c>
      <c r="H897" s="2">
        <v>1E-3</v>
      </c>
      <c r="K897" s="2" t="s">
        <v>10085</v>
      </c>
    </row>
    <row r="898" spans="1:11" x14ac:dyDescent="0.2">
      <c r="A898" s="2">
        <v>225</v>
      </c>
      <c r="B898" s="2">
        <v>2</v>
      </c>
      <c r="C898" s="2">
        <v>21084899</v>
      </c>
      <c r="D898" s="2">
        <v>22429640</v>
      </c>
      <c r="E898" s="2">
        <v>2</v>
      </c>
      <c r="F898" s="2" t="s">
        <v>10086</v>
      </c>
      <c r="H898" s="2">
        <v>1.1000000000000001E-3</v>
      </c>
      <c r="K898" s="2" t="s">
        <v>10088</v>
      </c>
    </row>
    <row r="899" spans="1:11" x14ac:dyDescent="0.2">
      <c r="A899" s="2">
        <v>225</v>
      </c>
      <c r="B899" s="2">
        <v>2</v>
      </c>
      <c r="C899" s="2">
        <v>21084899</v>
      </c>
      <c r="D899" s="2">
        <v>22429640</v>
      </c>
      <c r="E899" s="2">
        <v>3</v>
      </c>
      <c r="F899" s="2" t="s">
        <v>10086</v>
      </c>
      <c r="H899" s="3">
        <v>8.9999999999999998E-4</v>
      </c>
      <c r="K899" s="2" t="s">
        <v>10087</v>
      </c>
    </row>
    <row r="900" spans="1:11" x14ac:dyDescent="0.2">
      <c r="A900" s="2">
        <v>225</v>
      </c>
      <c r="B900" s="2">
        <v>2</v>
      </c>
      <c r="C900" s="2">
        <v>21084899</v>
      </c>
      <c r="D900" s="2">
        <v>22429640</v>
      </c>
      <c r="E900" s="2">
        <v>4</v>
      </c>
      <c r="F900" s="2" t="s">
        <v>10086</v>
      </c>
      <c r="H900" s="3">
        <v>5.9999999999999995E-4</v>
      </c>
      <c r="K900" s="2" t="s">
        <v>10089</v>
      </c>
    </row>
    <row r="901" spans="1:11" x14ac:dyDescent="0.2">
      <c r="A901" s="2">
        <v>226</v>
      </c>
      <c r="B901" s="2">
        <v>2</v>
      </c>
      <c r="C901" s="2">
        <v>22429641</v>
      </c>
      <c r="D901" s="2">
        <v>23538527</v>
      </c>
      <c r="E901" s="2">
        <v>1</v>
      </c>
      <c r="F901" s="2" t="s">
        <v>10086</v>
      </c>
      <c r="H901" s="2">
        <v>3.7000000000000002E-3</v>
      </c>
      <c r="K901" s="2" t="s">
        <v>10088</v>
      </c>
    </row>
    <row r="902" spans="1:11" x14ac:dyDescent="0.2">
      <c r="A902" s="2">
        <v>226</v>
      </c>
      <c r="B902" s="2">
        <v>2</v>
      </c>
      <c r="C902" s="2">
        <v>22429641</v>
      </c>
      <c r="D902" s="2">
        <v>23538527</v>
      </c>
      <c r="E902" s="2">
        <v>2</v>
      </c>
      <c r="F902" s="2" t="s">
        <v>10086</v>
      </c>
      <c r="H902" s="2">
        <v>2.2000000000000001E-3</v>
      </c>
      <c r="K902" s="2" t="s">
        <v>10089</v>
      </c>
    </row>
    <row r="903" spans="1:11" x14ac:dyDescent="0.2">
      <c r="A903" s="2">
        <v>226</v>
      </c>
      <c r="B903" s="2">
        <v>2</v>
      </c>
      <c r="C903" s="2">
        <v>22429641</v>
      </c>
      <c r="D903" s="2">
        <v>23538527</v>
      </c>
      <c r="E903" s="2">
        <v>3</v>
      </c>
      <c r="F903" s="2" t="s">
        <v>10086</v>
      </c>
      <c r="H903" s="2">
        <v>1.1999999999999999E-3</v>
      </c>
      <c r="K903" s="2" t="s">
        <v>10087</v>
      </c>
    </row>
    <row r="904" spans="1:11" x14ac:dyDescent="0.2">
      <c r="A904" s="2">
        <v>226</v>
      </c>
      <c r="B904" s="2">
        <v>2</v>
      </c>
      <c r="C904" s="2">
        <v>22429641</v>
      </c>
      <c r="D904" s="2">
        <v>23538527</v>
      </c>
      <c r="E904" s="2">
        <v>4</v>
      </c>
      <c r="F904" s="2" t="s">
        <v>10086</v>
      </c>
      <c r="H904" s="3">
        <v>8.0000000000000004E-4</v>
      </c>
      <c r="K904" s="2" t="s">
        <v>10085</v>
      </c>
    </row>
    <row r="905" spans="1:11" x14ac:dyDescent="0.2">
      <c r="A905" s="2">
        <v>227</v>
      </c>
      <c r="B905" s="2">
        <v>2</v>
      </c>
      <c r="C905" s="2">
        <v>23538528</v>
      </c>
      <c r="D905" s="2">
        <v>24669224</v>
      </c>
      <c r="E905" s="2">
        <v>1</v>
      </c>
      <c r="F905" s="2" t="s">
        <v>10086</v>
      </c>
      <c r="H905" s="2">
        <v>3.0999999999999999E-3</v>
      </c>
      <c r="K905" s="2" t="s">
        <v>10089</v>
      </c>
    </row>
    <row r="906" spans="1:11" x14ac:dyDescent="0.2">
      <c r="A906" s="2">
        <v>227</v>
      </c>
      <c r="B906" s="2">
        <v>2</v>
      </c>
      <c r="C906" s="2">
        <v>23538528</v>
      </c>
      <c r="D906" s="2">
        <v>24669224</v>
      </c>
      <c r="E906" s="2">
        <v>2</v>
      </c>
      <c r="F906" s="2" t="s">
        <v>10086</v>
      </c>
      <c r="H906" s="2">
        <v>2E-3</v>
      </c>
      <c r="K906" s="2" t="s">
        <v>10088</v>
      </c>
    </row>
    <row r="907" spans="1:11" x14ac:dyDescent="0.2">
      <c r="A907" s="2">
        <v>227</v>
      </c>
      <c r="B907" s="2">
        <v>2</v>
      </c>
      <c r="C907" s="2">
        <v>23538528</v>
      </c>
      <c r="D907" s="2">
        <v>24669224</v>
      </c>
      <c r="E907" s="2">
        <v>3</v>
      </c>
      <c r="F907" s="2" t="s">
        <v>10086</v>
      </c>
      <c r="H907" s="2">
        <v>1E-3</v>
      </c>
      <c r="K907" s="2" t="s">
        <v>10085</v>
      </c>
    </row>
    <row r="908" spans="1:11" x14ac:dyDescent="0.2">
      <c r="A908" s="2">
        <v>227</v>
      </c>
      <c r="B908" s="2">
        <v>2</v>
      </c>
      <c r="C908" s="2">
        <v>23538528</v>
      </c>
      <c r="D908" s="2">
        <v>24669224</v>
      </c>
      <c r="E908" s="2">
        <v>4</v>
      </c>
      <c r="F908" s="2" t="s">
        <v>10086</v>
      </c>
      <c r="H908" s="3">
        <v>6.9999999999999999E-4</v>
      </c>
      <c r="K908" s="2" t="s">
        <v>10087</v>
      </c>
    </row>
    <row r="909" spans="1:11" x14ac:dyDescent="0.2">
      <c r="A909" s="2">
        <v>228</v>
      </c>
      <c r="B909" s="2">
        <v>2</v>
      </c>
      <c r="C909" s="2">
        <v>24669225</v>
      </c>
      <c r="D909" s="2">
        <v>25895394</v>
      </c>
      <c r="E909" s="2">
        <v>1</v>
      </c>
      <c r="F909" s="2" t="s">
        <v>10086</v>
      </c>
      <c r="H909" s="2">
        <v>1.8E-3</v>
      </c>
      <c r="K909" s="2" t="s">
        <v>10087</v>
      </c>
    </row>
    <row r="910" spans="1:11" x14ac:dyDescent="0.2">
      <c r="A910" s="2">
        <v>228</v>
      </c>
      <c r="B910" s="2">
        <v>2</v>
      </c>
      <c r="C910" s="2">
        <v>24669225</v>
      </c>
      <c r="D910" s="2">
        <v>25895394</v>
      </c>
      <c r="E910" s="2">
        <v>2</v>
      </c>
      <c r="F910" s="2" t="s">
        <v>10086</v>
      </c>
      <c r="H910" s="2">
        <v>1.1000000000000001E-3</v>
      </c>
      <c r="K910" s="2" t="s">
        <v>10085</v>
      </c>
    </row>
    <row r="911" spans="1:11" x14ac:dyDescent="0.2">
      <c r="A911" s="2">
        <v>228</v>
      </c>
      <c r="B911" s="2">
        <v>2</v>
      </c>
      <c r="C911" s="2">
        <v>24669225</v>
      </c>
      <c r="D911" s="2">
        <v>25895394</v>
      </c>
      <c r="E911" s="2">
        <v>3</v>
      </c>
      <c r="F911" s="2" t="s">
        <v>10086</v>
      </c>
      <c r="H911" s="3">
        <v>6.9999999999999999E-4</v>
      </c>
      <c r="K911" s="2" t="s">
        <v>12324</v>
      </c>
    </row>
    <row r="912" spans="1:11" x14ac:dyDescent="0.2">
      <c r="A912" s="2">
        <v>228</v>
      </c>
      <c r="B912" s="2">
        <v>2</v>
      </c>
      <c r="C912" s="2">
        <v>24669225</v>
      </c>
      <c r="D912" s="2">
        <v>25895394</v>
      </c>
      <c r="E912" s="2">
        <v>4</v>
      </c>
      <c r="F912" s="2" t="s">
        <v>10086</v>
      </c>
      <c r="H912" s="3">
        <v>6.9999999999999999E-4</v>
      </c>
      <c r="K912" s="2" t="s">
        <v>10088</v>
      </c>
    </row>
    <row r="913" spans="1:11" x14ac:dyDescent="0.2">
      <c r="A913" s="2">
        <v>229</v>
      </c>
      <c r="B913" s="2">
        <v>2</v>
      </c>
      <c r="C913" s="2">
        <v>25895395</v>
      </c>
      <c r="D913" s="2">
        <v>26894102</v>
      </c>
      <c r="E913" s="2">
        <v>1</v>
      </c>
      <c r="F913" s="2" t="s">
        <v>10086</v>
      </c>
      <c r="H913" s="2">
        <v>1.5100000000000001E-2</v>
      </c>
      <c r="K913" s="2" t="s">
        <v>10088</v>
      </c>
    </row>
    <row r="914" spans="1:11" x14ac:dyDescent="0.2">
      <c r="A914" s="2">
        <v>229</v>
      </c>
      <c r="B914" s="2">
        <v>2</v>
      </c>
      <c r="C914" s="2">
        <v>25895395</v>
      </c>
      <c r="D914" s="2">
        <v>26894102</v>
      </c>
      <c r="E914" s="2">
        <v>2</v>
      </c>
      <c r="F914" s="2" t="s">
        <v>10086</v>
      </c>
      <c r="H914" s="2">
        <v>1.1999999999999999E-3</v>
      </c>
      <c r="K914" s="2" t="s">
        <v>10089</v>
      </c>
    </row>
    <row r="915" spans="1:11" x14ac:dyDescent="0.2">
      <c r="A915" s="2">
        <v>229</v>
      </c>
      <c r="B915" s="2">
        <v>2</v>
      </c>
      <c r="C915" s="2">
        <v>25895395</v>
      </c>
      <c r="D915" s="2">
        <v>26894102</v>
      </c>
      <c r="E915" s="2">
        <v>3</v>
      </c>
      <c r="F915" s="2" t="s">
        <v>10086</v>
      </c>
      <c r="H915" s="3">
        <v>8.9999999999999998E-4</v>
      </c>
      <c r="K915" s="2" t="s">
        <v>10085</v>
      </c>
    </row>
    <row r="916" spans="1:11" x14ac:dyDescent="0.2">
      <c r="A916" s="2">
        <v>229</v>
      </c>
      <c r="B916" s="2">
        <v>2</v>
      </c>
      <c r="C916" s="2">
        <v>25895395</v>
      </c>
      <c r="D916" s="2">
        <v>26894102</v>
      </c>
      <c r="E916" s="2">
        <v>4</v>
      </c>
      <c r="F916" s="2" t="s">
        <v>10086</v>
      </c>
      <c r="H916" s="3">
        <v>2.9999999999999997E-4</v>
      </c>
      <c r="K916" s="2" t="s">
        <v>10087</v>
      </c>
    </row>
    <row r="917" spans="1:11" x14ac:dyDescent="0.2">
      <c r="A917" s="2">
        <v>230</v>
      </c>
      <c r="B917" s="2">
        <v>2</v>
      </c>
      <c r="C917" s="2">
        <v>26894103</v>
      </c>
      <c r="D917" s="2">
        <v>28819510</v>
      </c>
      <c r="E917" s="2">
        <v>1</v>
      </c>
      <c r="F917" s="2" t="s">
        <v>10086</v>
      </c>
      <c r="H917" s="2">
        <v>7.7999999999999996E-3</v>
      </c>
      <c r="K917" s="2" t="s">
        <v>10085</v>
      </c>
    </row>
    <row r="918" spans="1:11" x14ac:dyDescent="0.2">
      <c r="A918" s="2">
        <v>230</v>
      </c>
      <c r="B918" s="2">
        <v>2</v>
      </c>
      <c r="C918" s="2">
        <v>26894103</v>
      </c>
      <c r="D918" s="2">
        <v>28819510</v>
      </c>
      <c r="E918" s="2">
        <v>2</v>
      </c>
      <c r="F918" s="2" t="s">
        <v>10086</v>
      </c>
      <c r="H918" s="2">
        <v>2.2000000000000001E-3</v>
      </c>
      <c r="K918" s="2" t="s">
        <v>10088</v>
      </c>
    </row>
    <row r="919" spans="1:11" x14ac:dyDescent="0.2">
      <c r="A919" s="2">
        <v>230</v>
      </c>
      <c r="B919" s="2">
        <v>2</v>
      </c>
      <c r="C919" s="2">
        <v>26894103</v>
      </c>
      <c r="D919" s="2">
        <v>28819510</v>
      </c>
      <c r="E919" s="2">
        <v>3</v>
      </c>
      <c r="F919" s="2" t="s">
        <v>10086</v>
      </c>
      <c r="H919" s="2">
        <v>1.6999999999999999E-3</v>
      </c>
      <c r="K919" s="2" t="s">
        <v>10089</v>
      </c>
    </row>
    <row r="920" spans="1:11" x14ac:dyDescent="0.2">
      <c r="A920" s="2">
        <v>230</v>
      </c>
      <c r="B920" s="2">
        <v>2</v>
      </c>
      <c r="C920" s="2">
        <v>26894103</v>
      </c>
      <c r="D920" s="2">
        <v>28819510</v>
      </c>
      <c r="E920" s="2">
        <v>4</v>
      </c>
      <c r="F920" s="2" t="s">
        <v>10086</v>
      </c>
      <c r="H920" s="3">
        <v>5.9999999999999995E-4</v>
      </c>
      <c r="K920" s="2" t="s">
        <v>10087</v>
      </c>
    </row>
    <row r="921" spans="1:11" x14ac:dyDescent="0.2">
      <c r="A921" s="2">
        <v>231</v>
      </c>
      <c r="B921" s="2">
        <v>2</v>
      </c>
      <c r="C921" s="2">
        <v>28819511</v>
      </c>
      <c r="D921" s="2">
        <v>29627932</v>
      </c>
      <c r="E921" s="2">
        <v>1</v>
      </c>
      <c r="F921" s="2" t="s">
        <v>10086</v>
      </c>
      <c r="H921" s="2">
        <v>0.09</v>
      </c>
      <c r="K921" s="2" t="s">
        <v>10087</v>
      </c>
    </row>
    <row r="922" spans="1:11" x14ac:dyDescent="0.2">
      <c r="A922" s="2">
        <v>231</v>
      </c>
      <c r="B922" s="2">
        <v>2</v>
      </c>
      <c r="C922" s="2">
        <v>28819511</v>
      </c>
      <c r="D922" s="2">
        <v>29627932</v>
      </c>
      <c r="E922" s="2">
        <v>2</v>
      </c>
      <c r="F922" s="2" t="s">
        <v>10086</v>
      </c>
      <c r="H922" s="2">
        <v>1.8E-3</v>
      </c>
      <c r="K922" s="2" t="s">
        <v>12324</v>
      </c>
    </row>
    <row r="923" spans="1:11" x14ac:dyDescent="0.2">
      <c r="A923" s="2">
        <v>231</v>
      </c>
      <c r="B923" s="2">
        <v>2</v>
      </c>
      <c r="C923" s="2">
        <v>28819511</v>
      </c>
      <c r="D923" s="2">
        <v>29627932</v>
      </c>
      <c r="E923" s="2">
        <v>3</v>
      </c>
      <c r="F923" s="2" t="s">
        <v>10086</v>
      </c>
      <c r="H923" s="3">
        <v>8.0000000000000004E-4</v>
      </c>
      <c r="K923" s="2" t="s">
        <v>10089</v>
      </c>
    </row>
    <row r="924" spans="1:11" x14ac:dyDescent="0.2">
      <c r="A924" s="2">
        <v>231</v>
      </c>
      <c r="B924" s="2">
        <v>2</v>
      </c>
      <c r="C924" s="2">
        <v>28819511</v>
      </c>
      <c r="D924" s="2">
        <v>29627932</v>
      </c>
      <c r="E924" s="2">
        <v>4</v>
      </c>
      <c r="F924" s="2" t="s">
        <v>10086</v>
      </c>
      <c r="H924" s="3">
        <v>5.9999999999999995E-4</v>
      </c>
      <c r="K924" s="2" t="s">
        <v>10088</v>
      </c>
    </row>
    <row r="925" spans="1:11" x14ac:dyDescent="0.2">
      <c r="A925" s="2">
        <v>232</v>
      </c>
      <c r="B925" s="2">
        <v>2</v>
      </c>
      <c r="C925" s="2">
        <v>29627933</v>
      </c>
      <c r="D925" s="2">
        <v>30575619</v>
      </c>
      <c r="E925" s="2">
        <v>1</v>
      </c>
      <c r="F925" s="2" t="s">
        <v>10086</v>
      </c>
      <c r="H925" s="2">
        <v>3.8E-3</v>
      </c>
      <c r="K925" s="2" t="s">
        <v>10085</v>
      </c>
    </row>
    <row r="926" spans="1:11" x14ac:dyDescent="0.2">
      <c r="A926" s="2">
        <v>232</v>
      </c>
      <c r="B926" s="2">
        <v>2</v>
      </c>
      <c r="C926" s="2">
        <v>29627933</v>
      </c>
      <c r="D926" s="2">
        <v>30575619</v>
      </c>
      <c r="E926" s="2">
        <v>2</v>
      </c>
      <c r="F926" s="2" t="s">
        <v>10086</v>
      </c>
      <c r="H926" s="2">
        <v>1.4E-3</v>
      </c>
      <c r="K926" s="2" t="s">
        <v>12324</v>
      </c>
    </row>
    <row r="927" spans="1:11" x14ac:dyDescent="0.2">
      <c r="A927" s="2">
        <v>232</v>
      </c>
      <c r="B927" s="2">
        <v>2</v>
      </c>
      <c r="C927" s="2">
        <v>29627933</v>
      </c>
      <c r="D927" s="2">
        <v>30575619</v>
      </c>
      <c r="E927" s="2">
        <v>3</v>
      </c>
      <c r="F927" s="2" t="s">
        <v>10086</v>
      </c>
      <c r="H927" s="2">
        <v>1E-3</v>
      </c>
      <c r="K927" s="2" t="s">
        <v>10088</v>
      </c>
    </row>
    <row r="928" spans="1:11" x14ac:dyDescent="0.2">
      <c r="A928" s="2">
        <v>232</v>
      </c>
      <c r="B928" s="2">
        <v>2</v>
      </c>
      <c r="C928" s="2">
        <v>29627933</v>
      </c>
      <c r="D928" s="2">
        <v>30575619</v>
      </c>
      <c r="E928" s="2">
        <v>4</v>
      </c>
      <c r="F928" s="2" t="s">
        <v>10086</v>
      </c>
      <c r="H928" s="3">
        <v>8.9999999999999998E-4</v>
      </c>
      <c r="K928" s="2" t="s">
        <v>10087</v>
      </c>
    </row>
    <row r="929" spans="1:11" x14ac:dyDescent="0.2">
      <c r="A929" s="2">
        <v>233</v>
      </c>
      <c r="B929" s="2">
        <v>2</v>
      </c>
      <c r="C929" s="2">
        <v>30575620</v>
      </c>
      <c r="D929" s="2">
        <v>31457418</v>
      </c>
      <c r="E929" s="2">
        <v>1</v>
      </c>
      <c r="F929" s="2" t="s">
        <v>10086</v>
      </c>
      <c r="H929" s="3">
        <v>8.9999999999999998E-4</v>
      </c>
      <c r="K929" s="2" t="s">
        <v>10089</v>
      </c>
    </row>
    <row r="930" spans="1:11" x14ac:dyDescent="0.2">
      <c r="A930" s="2">
        <v>233</v>
      </c>
      <c r="B930" s="2">
        <v>2</v>
      </c>
      <c r="C930" s="2">
        <v>30575620</v>
      </c>
      <c r="D930" s="2">
        <v>31457418</v>
      </c>
      <c r="E930" s="2">
        <v>2</v>
      </c>
      <c r="F930" s="2" t="s">
        <v>10086</v>
      </c>
      <c r="H930" s="2">
        <v>1.6000000000000001E-3</v>
      </c>
      <c r="K930" s="2" t="s">
        <v>12324</v>
      </c>
    </row>
    <row r="931" spans="1:11" x14ac:dyDescent="0.2">
      <c r="A931" s="2">
        <v>233</v>
      </c>
      <c r="B931" s="2">
        <v>2</v>
      </c>
      <c r="C931" s="2">
        <v>30575620</v>
      </c>
      <c r="D931" s="2">
        <v>31457418</v>
      </c>
      <c r="E931" s="2">
        <v>3</v>
      </c>
      <c r="F931" s="2" t="s">
        <v>10086</v>
      </c>
      <c r="H931" s="3">
        <v>8.9999999999999998E-4</v>
      </c>
      <c r="K931" s="2" t="s">
        <v>10088</v>
      </c>
    </row>
    <row r="932" spans="1:11" x14ac:dyDescent="0.2">
      <c r="A932" s="2">
        <v>233</v>
      </c>
      <c r="B932" s="2">
        <v>2</v>
      </c>
      <c r="C932" s="2">
        <v>30575620</v>
      </c>
      <c r="D932" s="2">
        <v>31457418</v>
      </c>
      <c r="E932" s="2">
        <v>4</v>
      </c>
      <c r="F932" s="2" t="s">
        <v>10086</v>
      </c>
      <c r="H932" s="3">
        <v>6.9999999999999999E-4</v>
      </c>
      <c r="K932" s="2" t="s">
        <v>10085</v>
      </c>
    </row>
    <row r="933" spans="1:11" x14ac:dyDescent="0.2">
      <c r="A933" s="2">
        <v>234</v>
      </c>
      <c r="B933" s="2">
        <v>2</v>
      </c>
      <c r="C933" s="2">
        <v>31457419</v>
      </c>
      <c r="D933" s="2">
        <v>33123604</v>
      </c>
      <c r="E933" s="2">
        <v>1</v>
      </c>
      <c r="F933" s="2" t="s">
        <v>10086</v>
      </c>
      <c r="H933" s="2">
        <v>2.2000000000000001E-3</v>
      </c>
      <c r="K933" s="2" t="s">
        <v>10085</v>
      </c>
    </row>
    <row r="934" spans="1:11" x14ac:dyDescent="0.2">
      <c r="A934" s="2">
        <v>234</v>
      </c>
      <c r="B934" s="2">
        <v>2</v>
      </c>
      <c r="C934" s="2">
        <v>31457419</v>
      </c>
      <c r="D934" s="2">
        <v>33123604</v>
      </c>
      <c r="E934" s="2">
        <v>2</v>
      </c>
      <c r="F934" s="2" t="s">
        <v>10086</v>
      </c>
      <c r="H934" s="2">
        <v>1.6000000000000001E-3</v>
      </c>
      <c r="K934" s="2" t="s">
        <v>10088</v>
      </c>
    </row>
    <row r="935" spans="1:11" x14ac:dyDescent="0.2">
      <c r="A935" s="2">
        <v>234</v>
      </c>
      <c r="B935" s="2">
        <v>2</v>
      </c>
      <c r="C935" s="2">
        <v>31457419</v>
      </c>
      <c r="D935" s="2">
        <v>33123604</v>
      </c>
      <c r="E935" s="2">
        <v>3</v>
      </c>
      <c r="F935" s="2" t="s">
        <v>10086</v>
      </c>
      <c r="H935" s="2">
        <v>1.2999999999999999E-3</v>
      </c>
      <c r="K935" s="2" t="s">
        <v>10087</v>
      </c>
    </row>
    <row r="936" spans="1:11" x14ac:dyDescent="0.2">
      <c r="A936" s="2">
        <v>234</v>
      </c>
      <c r="B936" s="2">
        <v>2</v>
      </c>
      <c r="C936" s="2">
        <v>31457419</v>
      </c>
      <c r="D936" s="2">
        <v>33123604</v>
      </c>
      <c r="E936" s="2">
        <v>4</v>
      </c>
      <c r="F936" s="2" t="s">
        <v>10086</v>
      </c>
      <c r="H936" s="3">
        <v>8.0000000000000004E-4</v>
      </c>
      <c r="K936" s="2" t="s">
        <v>10089</v>
      </c>
    </row>
    <row r="937" spans="1:11" x14ac:dyDescent="0.2">
      <c r="A937" s="2">
        <v>235</v>
      </c>
      <c r="B937" s="2">
        <v>2</v>
      </c>
      <c r="C937" s="2">
        <v>33123605</v>
      </c>
      <c r="D937" s="2">
        <v>33735318</v>
      </c>
      <c r="E937" s="2">
        <v>1</v>
      </c>
      <c r="F937" s="2" t="s">
        <v>10086</v>
      </c>
      <c r="H937" s="3">
        <v>8.9999999999999998E-4</v>
      </c>
      <c r="K937" s="2" t="s">
        <v>10085</v>
      </c>
    </row>
    <row r="938" spans="1:11" x14ac:dyDescent="0.2">
      <c r="A938" s="2">
        <v>235</v>
      </c>
      <c r="B938" s="2">
        <v>2</v>
      </c>
      <c r="C938" s="2">
        <v>33123605</v>
      </c>
      <c r="D938" s="2">
        <v>33735318</v>
      </c>
      <c r="E938" s="2">
        <v>2</v>
      </c>
      <c r="F938" s="2" t="s">
        <v>10086</v>
      </c>
      <c r="H938" s="3">
        <v>8.0000000000000004E-4</v>
      </c>
      <c r="K938" s="2" t="s">
        <v>10089</v>
      </c>
    </row>
    <row r="939" spans="1:11" x14ac:dyDescent="0.2">
      <c r="A939" s="2">
        <v>235</v>
      </c>
      <c r="B939" s="2">
        <v>2</v>
      </c>
      <c r="C939" s="2">
        <v>33123605</v>
      </c>
      <c r="D939" s="2">
        <v>33735318</v>
      </c>
      <c r="E939" s="2">
        <v>3</v>
      </c>
      <c r="F939" s="2" t="s">
        <v>10086</v>
      </c>
      <c r="H939" s="2">
        <v>1E-3</v>
      </c>
      <c r="K939" s="2" t="s">
        <v>10087</v>
      </c>
    </row>
    <row r="940" spans="1:11" x14ac:dyDescent="0.2">
      <c r="A940" s="2">
        <v>235</v>
      </c>
      <c r="B940" s="2">
        <v>2</v>
      </c>
      <c r="C940" s="2">
        <v>33123605</v>
      </c>
      <c r="D940" s="2">
        <v>33735318</v>
      </c>
      <c r="E940" s="2">
        <v>4</v>
      </c>
      <c r="F940" s="2" t="s">
        <v>10086</v>
      </c>
      <c r="H940" s="3">
        <v>2.9999999999999997E-4</v>
      </c>
      <c r="K940" s="2" t="s">
        <v>10088</v>
      </c>
    </row>
    <row r="941" spans="1:11" x14ac:dyDescent="0.2">
      <c r="A941" s="2">
        <v>236</v>
      </c>
      <c r="B941" s="2">
        <v>2</v>
      </c>
      <c r="C941" s="2">
        <v>33735319</v>
      </c>
      <c r="D941" s="2">
        <v>34239776</v>
      </c>
      <c r="E941" s="2">
        <v>1</v>
      </c>
      <c r="F941" s="2" t="s">
        <v>10086</v>
      </c>
      <c r="H941" s="2">
        <v>2.3E-3</v>
      </c>
      <c r="K941" s="2" t="s">
        <v>10088</v>
      </c>
    </row>
    <row r="942" spans="1:11" x14ac:dyDescent="0.2">
      <c r="A942" s="2">
        <v>236</v>
      </c>
      <c r="B942" s="2">
        <v>2</v>
      </c>
      <c r="C942" s="2">
        <v>33735319</v>
      </c>
      <c r="D942" s="2">
        <v>34239776</v>
      </c>
      <c r="E942" s="2">
        <v>2</v>
      </c>
      <c r="F942" s="2" t="s">
        <v>10086</v>
      </c>
      <c r="H942" s="2">
        <v>1.1999999999999999E-3</v>
      </c>
      <c r="K942" s="2" t="s">
        <v>10087</v>
      </c>
    </row>
    <row r="943" spans="1:11" x14ac:dyDescent="0.2">
      <c r="A943" s="2">
        <v>236</v>
      </c>
      <c r="B943" s="2">
        <v>2</v>
      </c>
      <c r="C943" s="2">
        <v>33735319</v>
      </c>
      <c r="D943" s="2">
        <v>34239776</v>
      </c>
      <c r="E943" s="2">
        <v>3</v>
      </c>
      <c r="F943" s="2" t="s">
        <v>10086</v>
      </c>
      <c r="H943" s="3">
        <v>5.9999999999999995E-4</v>
      </c>
      <c r="K943" s="2" t="s">
        <v>10089</v>
      </c>
    </row>
    <row r="944" spans="1:11" x14ac:dyDescent="0.2">
      <c r="A944" s="2">
        <v>236</v>
      </c>
      <c r="B944" s="2">
        <v>2</v>
      </c>
      <c r="C944" s="2">
        <v>33735319</v>
      </c>
      <c r="D944" s="2">
        <v>34239776</v>
      </c>
      <c r="E944" s="2">
        <v>4</v>
      </c>
      <c r="F944" s="2" t="s">
        <v>10086</v>
      </c>
      <c r="H944" s="3">
        <v>4.0000000000000002E-4</v>
      </c>
      <c r="K944" s="2" t="s">
        <v>10085</v>
      </c>
    </row>
    <row r="945" spans="1:11" x14ac:dyDescent="0.2">
      <c r="A945" s="2">
        <v>237</v>
      </c>
      <c r="B945" s="2">
        <v>2</v>
      </c>
      <c r="C945" s="2">
        <v>34239777</v>
      </c>
      <c r="D945" s="2">
        <v>34890558</v>
      </c>
      <c r="E945" s="2">
        <v>1</v>
      </c>
      <c r="F945" s="2" t="s">
        <v>10086</v>
      </c>
      <c r="H945" s="2">
        <v>1.2999999999999999E-3</v>
      </c>
      <c r="K945" s="2" t="s">
        <v>10088</v>
      </c>
    </row>
    <row r="946" spans="1:11" x14ac:dyDescent="0.2">
      <c r="A946" s="2">
        <v>237</v>
      </c>
      <c r="B946" s="2">
        <v>2</v>
      </c>
      <c r="C946" s="2">
        <v>34239777</v>
      </c>
      <c r="D946" s="2">
        <v>34890558</v>
      </c>
      <c r="E946" s="2">
        <v>2</v>
      </c>
      <c r="F946" s="2" t="s">
        <v>10086</v>
      </c>
      <c r="H946" s="2">
        <v>1E-3</v>
      </c>
      <c r="K946" s="2" t="s">
        <v>10087</v>
      </c>
    </row>
    <row r="947" spans="1:11" x14ac:dyDescent="0.2">
      <c r="A947" s="2">
        <v>237</v>
      </c>
      <c r="B947" s="2">
        <v>2</v>
      </c>
      <c r="C947" s="2">
        <v>34239777</v>
      </c>
      <c r="D947" s="2">
        <v>34890558</v>
      </c>
      <c r="E947" s="2">
        <v>3</v>
      </c>
      <c r="F947" s="2" t="s">
        <v>10086</v>
      </c>
      <c r="H947" s="3">
        <v>5.9999999999999995E-4</v>
      </c>
      <c r="K947" s="2" t="s">
        <v>10085</v>
      </c>
    </row>
    <row r="948" spans="1:11" x14ac:dyDescent="0.2">
      <c r="A948" s="2">
        <v>237</v>
      </c>
      <c r="B948" s="2">
        <v>2</v>
      </c>
      <c r="C948" s="2">
        <v>34239777</v>
      </c>
      <c r="D948" s="2">
        <v>34890558</v>
      </c>
      <c r="E948" s="2">
        <v>4</v>
      </c>
      <c r="F948" s="2" t="s">
        <v>10086</v>
      </c>
      <c r="H948" s="3">
        <v>2.9999999999999997E-4</v>
      </c>
      <c r="K948" s="2" t="s">
        <v>10089</v>
      </c>
    </row>
    <row r="949" spans="1:11" x14ac:dyDescent="0.2">
      <c r="A949" s="2">
        <v>238</v>
      </c>
      <c r="B949" s="2">
        <v>2</v>
      </c>
      <c r="C949" s="2">
        <v>34890559</v>
      </c>
      <c r="D949" s="2">
        <v>35609257</v>
      </c>
      <c r="E949" s="2">
        <v>1</v>
      </c>
      <c r="F949" s="2" t="s">
        <v>10086</v>
      </c>
      <c r="H949" s="2">
        <v>1.8E-3</v>
      </c>
      <c r="K949" s="2" t="s">
        <v>10087</v>
      </c>
    </row>
    <row r="950" spans="1:11" x14ac:dyDescent="0.2">
      <c r="A950" s="2">
        <v>238</v>
      </c>
      <c r="B950" s="2">
        <v>2</v>
      </c>
      <c r="C950" s="2">
        <v>34890559</v>
      </c>
      <c r="D950" s="2">
        <v>35609257</v>
      </c>
      <c r="E950" s="2">
        <v>2</v>
      </c>
      <c r="F950" s="2" t="s">
        <v>10086</v>
      </c>
      <c r="H950" s="3">
        <v>8.9999999999999998E-4</v>
      </c>
      <c r="K950" s="2" t="s">
        <v>10085</v>
      </c>
    </row>
    <row r="951" spans="1:11" x14ac:dyDescent="0.2">
      <c r="A951" s="2">
        <v>238</v>
      </c>
      <c r="B951" s="2">
        <v>2</v>
      </c>
      <c r="C951" s="2">
        <v>34890559</v>
      </c>
      <c r="D951" s="2">
        <v>35609257</v>
      </c>
      <c r="E951" s="2">
        <v>3</v>
      </c>
      <c r="F951" s="2" t="s">
        <v>10086</v>
      </c>
      <c r="H951" s="3">
        <v>8.0000000000000004E-4</v>
      </c>
      <c r="K951" s="2" t="s">
        <v>10089</v>
      </c>
    </row>
    <row r="952" spans="1:11" x14ac:dyDescent="0.2">
      <c r="A952" s="2">
        <v>238</v>
      </c>
      <c r="B952" s="2">
        <v>2</v>
      </c>
      <c r="C952" s="2">
        <v>34890559</v>
      </c>
      <c r="D952" s="2">
        <v>35609257</v>
      </c>
      <c r="E952" s="2">
        <v>4</v>
      </c>
      <c r="F952" s="2" t="s">
        <v>10086</v>
      </c>
      <c r="H952" s="3">
        <v>6.9999999999999999E-4</v>
      </c>
      <c r="K952" s="2" t="s">
        <v>10088</v>
      </c>
    </row>
    <row r="953" spans="1:11" x14ac:dyDescent="0.2">
      <c r="A953" s="2">
        <v>239</v>
      </c>
      <c r="B953" s="2">
        <v>2</v>
      </c>
      <c r="C953" s="2">
        <v>35609258</v>
      </c>
      <c r="D953" s="2">
        <v>36120743</v>
      </c>
      <c r="E953" s="2">
        <v>1</v>
      </c>
      <c r="F953" s="2" t="s">
        <v>10086</v>
      </c>
      <c r="H953" s="2">
        <v>1.1999999999999999E-3</v>
      </c>
      <c r="K953" s="2" t="s">
        <v>10088</v>
      </c>
    </row>
    <row r="954" spans="1:11" x14ac:dyDescent="0.2">
      <c r="A954" s="2">
        <v>239</v>
      </c>
      <c r="B954" s="2">
        <v>2</v>
      </c>
      <c r="C954" s="2">
        <v>35609258</v>
      </c>
      <c r="D954" s="2">
        <v>36120743</v>
      </c>
      <c r="E954" s="2">
        <v>2</v>
      </c>
      <c r="F954" s="2" t="s">
        <v>10086</v>
      </c>
      <c r="H954" s="3">
        <v>6.9999999999999999E-4</v>
      </c>
      <c r="K954" s="2" t="s">
        <v>10087</v>
      </c>
    </row>
    <row r="955" spans="1:11" x14ac:dyDescent="0.2">
      <c r="A955" s="2">
        <v>239</v>
      </c>
      <c r="B955" s="2">
        <v>2</v>
      </c>
      <c r="C955" s="2">
        <v>35609258</v>
      </c>
      <c r="D955" s="2">
        <v>36120743</v>
      </c>
      <c r="E955" s="2">
        <v>3</v>
      </c>
      <c r="F955" s="2" t="s">
        <v>10086</v>
      </c>
      <c r="H955" s="3">
        <v>5.9999999999999995E-4</v>
      </c>
      <c r="K955" s="2" t="s">
        <v>10085</v>
      </c>
    </row>
    <row r="956" spans="1:11" x14ac:dyDescent="0.2">
      <c r="A956" s="2">
        <v>239</v>
      </c>
      <c r="B956" s="2">
        <v>2</v>
      </c>
      <c r="C956" s="2">
        <v>35609258</v>
      </c>
      <c r="D956" s="2">
        <v>36120743</v>
      </c>
      <c r="E956" s="2">
        <v>4</v>
      </c>
      <c r="F956" s="2" t="s">
        <v>10086</v>
      </c>
      <c r="H956" s="3">
        <v>2.0000000000000001E-4</v>
      </c>
      <c r="K956" s="2" t="s">
        <v>10089</v>
      </c>
    </row>
    <row r="957" spans="1:11" x14ac:dyDescent="0.2">
      <c r="A957" s="2">
        <v>240</v>
      </c>
      <c r="B957" s="2">
        <v>2</v>
      </c>
      <c r="C957" s="2">
        <v>36120744</v>
      </c>
      <c r="D957" s="2">
        <v>36867389</v>
      </c>
      <c r="E957" s="2">
        <v>1</v>
      </c>
      <c r="F957" s="2" t="s">
        <v>10086</v>
      </c>
      <c r="H957" s="2">
        <v>6.1999999999999998E-3</v>
      </c>
      <c r="K957" s="2" t="s">
        <v>10088</v>
      </c>
    </row>
    <row r="958" spans="1:11" x14ac:dyDescent="0.2">
      <c r="A958" s="2">
        <v>240</v>
      </c>
      <c r="B958" s="2">
        <v>2</v>
      </c>
      <c r="C958" s="2">
        <v>36120744</v>
      </c>
      <c r="D958" s="2">
        <v>36867389</v>
      </c>
      <c r="E958" s="2">
        <v>2</v>
      </c>
      <c r="F958" s="2" t="s">
        <v>10086</v>
      </c>
      <c r="H958" s="2">
        <v>1.4E-3</v>
      </c>
      <c r="K958" s="2" t="s">
        <v>10087</v>
      </c>
    </row>
    <row r="959" spans="1:11" x14ac:dyDescent="0.2">
      <c r="A959" s="2">
        <v>240</v>
      </c>
      <c r="B959" s="2">
        <v>2</v>
      </c>
      <c r="C959" s="2">
        <v>36120744</v>
      </c>
      <c r="D959" s="2">
        <v>36867389</v>
      </c>
      <c r="E959" s="2">
        <v>3</v>
      </c>
      <c r="F959" s="2" t="s">
        <v>10086</v>
      </c>
      <c r="H959" s="2">
        <v>1.2999999999999999E-3</v>
      </c>
      <c r="K959" s="2" t="s">
        <v>10089</v>
      </c>
    </row>
    <row r="960" spans="1:11" x14ac:dyDescent="0.2">
      <c r="A960" s="2">
        <v>240</v>
      </c>
      <c r="B960" s="2">
        <v>2</v>
      </c>
      <c r="C960" s="2">
        <v>36120744</v>
      </c>
      <c r="D960" s="2">
        <v>36867389</v>
      </c>
      <c r="E960" s="2">
        <v>4</v>
      </c>
      <c r="F960" s="2" t="s">
        <v>10086</v>
      </c>
      <c r="H960" s="3">
        <v>5.9999999999999995E-4</v>
      </c>
      <c r="K960" s="2" t="s">
        <v>10085</v>
      </c>
    </row>
    <row r="961" spans="1:11" x14ac:dyDescent="0.2">
      <c r="A961" s="2">
        <v>241</v>
      </c>
      <c r="B961" s="2">
        <v>2</v>
      </c>
      <c r="C961" s="2">
        <v>36867390</v>
      </c>
      <c r="D961" s="2">
        <v>37603360</v>
      </c>
      <c r="E961" s="2">
        <v>1</v>
      </c>
      <c r="F961" s="2" t="s">
        <v>10086</v>
      </c>
      <c r="H961" s="2">
        <v>2.2000000000000001E-3</v>
      </c>
      <c r="K961" s="2" t="s">
        <v>10088</v>
      </c>
    </row>
    <row r="962" spans="1:11" x14ac:dyDescent="0.2">
      <c r="A962" s="2">
        <v>241</v>
      </c>
      <c r="B962" s="2">
        <v>2</v>
      </c>
      <c r="C962" s="2">
        <v>36867390</v>
      </c>
      <c r="D962" s="2">
        <v>37603360</v>
      </c>
      <c r="E962" s="2">
        <v>2</v>
      </c>
      <c r="F962" s="2" t="s">
        <v>10086</v>
      </c>
      <c r="H962" s="2">
        <v>2.5000000000000001E-3</v>
      </c>
      <c r="K962" s="2" t="s">
        <v>10089</v>
      </c>
    </row>
    <row r="963" spans="1:11" x14ac:dyDescent="0.2">
      <c r="A963" s="2">
        <v>241</v>
      </c>
      <c r="B963" s="2">
        <v>2</v>
      </c>
      <c r="C963" s="2">
        <v>36867390</v>
      </c>
      <c r="D963" s="2">
        <v>37603360</v>
      </c>
      <c r="E963" s="2">
        <v>3</v>
      </c>
      <c r="F963" s="2" t="s">
        <v>10086</v>
      </c>
      <c r="H963" s="2">
        <v>2E-3</v>
      </c>
      <c r="K963" s="2" t="s">
        <v>10087</v>
      </c>
    </row>
    <row r="964" spans="1:11" x14ac:dyDescent="0.2">
      <c r="A964" s="2">
        <v>241</v>
      </c>
      <c r="B964" s="2">
        <v>2</v>
      </c>
      <c r="C964" s="2">
        <v>36867390</v>
      </c>
      <c r="D964" s="2">
        <v>37603360</v>
      </c>
      <c r="E964" s="2">
        <v>4</v>
      </c>
      <c r="F964" s="2" t="s">
        <v>10086</v>
      </c>
      <c r="H964" s="3">
        <v>8.0000000000000004E-4</v>
      </c>
      <c r="K964" s="2" t="s">
        <v>12324</v>
      </c>
    </row>
    <row r="965" spans="1:11" x14ac:dyDescent="0.2">
      <c r="A965" s="2">
        <v>242</v>
      </c>
      <c r="B965" s="2">
        <v>2</v>
      </c>
      <c r="C965" s="2">
        <v>37603361</v>
      </c>
      <c r="D965" s="2">
        <v>38887393</v>
      </c>
      <c r="E965" s="2">
        <v>1</v>
      </c>
      <c r="F965" s="2" t="s">
        <v>10086</v>
      </c>
      <c r="H965" s="2">
        <v>1.8E-3</v>
      </c>
      <c r="K965" s="2" t="s">
        <v>10088</v>
      </c>
    </row>
    <row r="966" spans="1:11" x14ac:dyDescent="0.2">
      <c r="A966" s="2">
        <v>242</v>
      </c>
      <c r="B966" s="2">
        <v>2</v>
      </c>
      <c r="C966" s="2">
        <v>37603361</v>
      </c>
      <c r="D966" s="2">
        <v>38887393</v>
      </c>
      <c r="E966" s="2">
        <v>2</v>
      </c>
      <c r="F966" s="2" t="s">
        <v>10086</v>
      </c>
      <c r="H966" s="2">
        <v>1.6999999999999999E-3</v>
      </c>
      <c r="K966" s="2" t="s">
        <v>10087</v>
      </c>
    </row>
    <row r="967" spans="1:11" x14ac:dyDescent="0.2">
      <c r="A967" s="2">
        <v>242</v>
      </c>
      <c r="B967" s="2">
        <v>2</v>
      </c>
      <c r="C967" s="2">
        <v>37603361</v>
      </c>
      <c r="D967" s="2">
        <v>38887393</v>
      </c>
      <c r="E967" s="2">
        <v>3</v>
      </c>
      <c r="F967" s="2" t="s">
        <v>10086</v>
      </c>
      <c r="H967" s="2">
        <v>1.4E-3</v>
      </c>
      <c r="K967" s="2" t="s">
        <v>10085</v>
      </c>
    </row>
    <row r="968" spans="1:11" x14ac:dyDescent="0.2">
      <c r="A968" s="2">
        <v>242</v>
      </c>
      <c r="B968" s="2">
        <v>2</v>
      </c>
      <c r="C968" s="2">
        <v>37603361</v>
      </c>
      <c r="D968" s="2">
        <v>38887393</v>
      </c>
      <c r="E968" s="2">
        <v>4</v>
      </c>
      <c r="F968" s="2" t="s">
        <v>10086</v>
      </c>
      <c r="H968" s="3">
        <v>6.9999999999999999E-4</v>
      </c>
      <c r="K968" s="2" t="s">
        <v>10089</v>
      </c>
    </row>
    <row r="969" spans="1:11" x14ac:dyDescent="0.2">
      <c r="A969" s="2">
        <v>243</v>
      </c>
      <c r="B969" s="2">
        <v>2</v>
      </c>
      <c r="C969" s="2">
        <v>38887394</v>
      </c>
      <c r="D969" s="2">
        <v>40087418</v>
      </c>
      <c r="E969" s="2">
        <v>1</v>
      </c>
      <c r="F969" s="2" t="s">
        <v>10086</v>
      </c>
      <c r="H969" s="2">
        <v>1.5E-3</v>
      </c>
      <c r="K969" s="2" t="s">
        <v>10088</v>
      </c>
    </row>
    <row r="970" spans="1:11" x14ac:dyDescent="0.2">
      <c r="A970" s="2">
        <v>243</v>
      </c>
      <c r="B970" s="2">
        <v>2</v>
      </c>
      <c r="C970" s="2">
        <v>38887394</v>
      </c>
      <c r="D970" s="2">
        <v>40087418</v>
      </c>
      <c r="E970" s="2">
        <v>2</v>
      </c>
      <c r="F970" s="2" t="s">
        <v>10086</v>
      </c>
      <c r="H970" s="3">
        <v>8.0000000000000004E-4</v>
      </c>
      <c r="K970" s="2" t="s">
        <v>10089</v>
      </c>
    </row>
    <row r="971" spans="1:11" x14ac:dyDescent="0.2">
      <c r="A971" s="2">
        <v>243</v>
      </c>
      <c r="B971" s="2">
        <v>2</v>
      </c>
      <c r="C971" s="2">
        <v>38887394</v>
      </c>
      <c r="D971" s="2">
        <v>40087418</v>
      </c>
      <c r="E971" s="2">
        <v>3</v>
      </c>
      <c r="F971" s="2" t="s">
        <v>10086</v>
      </c>
      <c r="H971" s="3">
        <v>6.9999999999999999E-4</v>
      </c>
      <c r="K971" s="2" t="s">
        <v>10085</v>
      </c>
    </row>
    <row r="972" spans="1:11" x14ac:dyDescent="0.2">
      <c r="A972" s="2">
        <v>243</v>
      </c>
      <c r="B972" s="2">
        <v>2</v>
      </c>
      <c r="C972" s="2">
        <v>38887394</v>
      </c>
      <c r="D972" s="2">
        <v>40087418</v>
      </c>
      <c r="E972" s="2">
        <v>4</v>
      </c>
      <c r="F972" s="2" t="s">
        <v>10086</v>
      </c>
      <c r="H972" s="3">
        <v>2.9999999999999997E-4</v>
      </c>
      <c r="K972" s="2" t="s">
        <v>10087</v>
      </c>
    </row>
    <row r="973" spans="1:11" x14ac:dyDescent="0.2">
      <c r="A973" s="2">
        <v>244</v>
      </c>
      <c r="B973" s="2">
        <v>2</v>
      </c>
      <c r="C973" s="2">
        <v>40087419</v>
      </c>
      <c r="D973" s="2">
        <v>40786176</v>
      </c>
      <c r="E973" s="2">
        <v>1</v>
      </c>
      <c r="F973" s="2" t="s">
        <v>10086</v>
      </c>
      <c r="H973" s="2">
        <v>2.8E-3</v>
      </c>
      <c r="K973" s="2" t="s">
        <v>10088</v>
      </c>
    </row>
    <row r="974" spans="1:11" x14ac:dyDescent="0.2">
      <c r="A974" s="2">
        <v>244</v>
      </c>
      <c r="B974" s="2">
        <v>2</v>
      </c>
      <c r="C974" s="2">
        <v>40087419</v>
      </c>
      <c r="D974" s="2">
        <v>40786176</v>
      </c>
      <c r="E974" s="2">
        <v>2</v>
      </c>
      <c r="F974" s="2" t="s">
        <v>10086</v>
      </c>
      <c r="H974" s="2">
        <v>1.6999999999999999E-3</v>
      </c>
      <c r="K974" s="2" t="s">
        <v>10085</v>
      </c>
    </row>
    <row r="975" spans="1:11" x14ac:dyDescent="0.2">
      <c r="A975" s="2">
        <v>244</v>
      </c>
      <c r="B975" s="2">
        <v>2</v>
      </c>
      <c r="C975" s="2">
        <v>40087419</v>
      </c>
      <c r="D975" s="2">
        <v>40786176</v>
      </c>
      <c r="E975" s="2">
        <v>3</v>
      </c>
      <c r="F975" s="2" t="s">
        <v>10086</v>
      </c>
      <c r="H975" s="3">
        <v>6.9999999999999999E-4</v>
      </c>
      <c r="K975" s="2" t="s">
        <v>10087</v>
      </c>
    </row>
    <row r="976" spans="1:11" x14ac:dyDescent="0.2">
      <c r="A976" s="2">
        <v>244</v>
      </c>
      <c r="B976" s="2">
        <v>2</v>
      </c>
      <c r="C976" s="2">
        <v>40087419</v>
      </c>
      <c r="D976" s="2">
        <v>40786176</v>
      </c>
      <c r="E976" s="2">
        <v>4</v>
      </c>
      <c r="F976" s="2" t="s">
        <v>10086</v>
      </c>
      <c r="H976" s="3">
        <v>4.0000000000000002E-4</v>
      </c>
      <c r="K976" s="2" t="s">
        <v>10089</v>
      </c>
    </row>
    <row r="977" spans="1:11" x14ac:dyDescent="0.2">
      <c r="A977" s="2">
        <v>245</v>
      </c>
      <c r="B977" s="2">
        <v>2</v>
      </c>
      <c r="C977" s="2">
        <v>40786177</v>
      </c>
      <c r="D977" s="2">
        <v>41540439</v>
      </c>
      <c r="E977" s="2">
        <v>1</v>
      </c>
      <c r="F977" s="2" t="s">
        <v>10086</v>
      </c>
      <c r="H977" s="2">
        <v>1.1999999999999999E-3</v>
      </c>
      <c r="K977" s="2" t="s">
        <v>10087</v>
      </c>
    </row>
    <row r="978" spans="1:11" x14ac:dyDescent="0.2">
      <c r="A978" s="2">
        <v>245</v>
      </c>
      <c r="B978" s="2">
        <v>2</v>
      </c>
      <c r="C978" s="2">
        <v>40786177</v>
      </c>
      <c r="D978" s="2">
        <v>41540439</v>
      </c>
      <c r="E978" s="2">
        <v>2</v>
      </c>
      <c r="F978" s="2" t="s">
        <v>10086</v>
      </c>
      <c r="H978" s="3">
        <v>6.9999999999999999E-4</v>
      </c>
      <c r="K978" s="2" t="s">
        <v>10088</v>
      </c>
    </row>
    <row r="979" spans="1:11" x14ac:dyDescent="0.2">
      <c r="A979" s="2">
        <v>245</v>
      </c>
      <c r="B979" s="2">
        <v>2</v>
      </c>
      <c r="C979" s="2">
        <v>40786177</v>
      </c>
      <c r="D979" s="2">
        <v>41540439</v>
      </c>
      <c r="E979" s="2">
        <v>3</v>
      </c>
      <c r="F979" s="2" t="s">
        <v>10086</v>
      </c>
      <c r="H979" s="3">
        <v>6.9999999999999999E-4</v>
      </c>
      <c r="K979" s="2" t="s">
        <v>10089</v>
      </c>
    </row>
    <row r="980" spans="1:11" x14ac:dyDescent="0.2">
      <c r="A980" s="2">
        <v>245</v>
      </c>
      <c r="B980" s="2">
        <v>2</v>
      </c>
      <c r="C980" s="2">
        <v>40786177</v>
      </c>
      <c r="D980" s="2">
        <v>41540439</v>
      </c>
      <c r="E980" s="2">
        <v>4</v>
      </c>
      <c r="F980" s="2" t="s">
        <v>10086</v>
      </c>
      <c r="H980" s="3">
        <v>4.0000000000000002E-4</v>
      </c>
      <c r="K980" s="2" t="s">
        <v>10085</v>
      </c>
    </row>
    <row r="981" spans="1:11" x14ac:dyDescent="0.2">
      <c r="A981" s="2">
        <v>246</v>
      </c>
      <c r="B981" s="2">
        <v>2</v>
      </c>
      <c r="C981" s="2">
        <v>41540440</v>
      </c>
      <c r="D981" s="2">
        <v>42307418</v>
      </c>
      <c r="E981" s="2">
        <v>1</v>
      </c>
      <c r="F981" s="2" t="s">
        <v>10086</v>
      </c>
      <c r="H981" s="2">
        <v>8.5000000000000006E-3</v>
      </c>
      <c r="K981" s="2" t="s">
        <v>10087</v>
      </c>
    </row>
    <row r="982" spans="1:11" x14ac:dyDescent="0.2">
      <c r="A982" s="2">
        <v>246</v>
      </c>
      <c r="B982" s="2">
        <v>2</v>
      </c>
      <c r="C982" s="2">
        <v>41540440</v>
      </c>
      <c r="D982" s="2">
        <v>42307418</v>
      </c>
      <c r="E982" s="2">
        <v>2</v>
      </c>
      <c r="F982" s="2" t="s">
        <v>10086</v>
      </c>
      <c r="H982" s="2">
        <v>3.8E-3</v>
      </c>
      <c r="K982" s="2" t="s">
        <v>10089</v>
      </c>
    </row>
    <row r="983" spans="1:11" x14ac:dyDescent="0.2">
      <c r="A983" s="2">
        <v>246</v>
      </c>
      <c r="B983" s="2">
        <v>2</v>
      </c>
      <c r="C983" s="2">
        <v>41540440</v>
      </c>
      <c r="D983" s="2">
        <v>42307418</v>
      </c>
      <c r="E983" s="2">
        <v>3</v>
      </c>
      <c r="F983" s="2" t="s">
        <v>10086</v>
      </c>
      <c r="H983" s="2">
        <v>1.9E-3</v>
      </c>
      <c r="K983" s="2" t="s">
        <v>12324</v>
      </c>
    </row>
    <row r="984" spans="1:11" x14ac:dyDescent="0.2">
      <c r="A984" s="2">
        <v>246</v>
      </c>
      <c r="B984" s="2">
        <v>2</v>
      </c>
      <c r="C984" s="2">
        <v>41540440</v>
      </c>
      <c r="D984" s="2">
        <v>42307418</v>
      </c>
      <c r="E984" s="2">
        <v>4</v>
      </c>
      <c r="F984" s="2" t="s">
        <v>10086</v>
      </c>
      <c r="H984" s="3">
        <v>8.0000000000000004E-4</v>
      </c>
      <c r="K984" s="2" t="s">
        <v>10088</v>
      </c>
    </row>
    <row r="985" spans="1:11" x14ac:dyDescent="0.2">
      <c r="A985" s="2">
        <v>247</v>
      </c>
      <c r="B985" s="2">
        <v>2</v>
      </c>
      <c r="C985" s="2">
        <v>42307419</v>
      </c>
      <c r="D985" s="2">
        <v>43295776</v>
      </c>
      <c r="E985" s="2">
        <v>1</v>
      </c>
      <c r="F985" s="2" t="s">
        <v>10086</v>
      </c>
      <c r="H985" s="2">
        <v>1.4E-3</v>
      </c>
      <c r="K985" s="2" t="s">
        <v>12324</v>
      </c>
    </row>
    <row r="986" spans="1:11" x14ac:dyDescent="0.2">
      <c r="A986" s="2">
        <v>247</v>
      </c>
      <c r="B986" s="2">
        <v>2</v>
      </c>
      <c r="C986" s="2">
        <v>42307419</v>
      </c>
      <c r="D986" s="2">
        <v>43295776</v>
      </c>
      <c r="E986" s="2">
        <v>2</v>
      </c>
      <c r="F986" s="2" t="s">
        <v>10086</v>
      </c>
      <c r="H986" s="2">
        <v>1.6000000000000001E-3</v>
      </c>
      <c r="K986" s="2" t="s">
        <v>10089</v>
      </c>
    </row>
    <row r="987" spans="1:11" x14ac:dyDescent="0.2">
      <c r="A987" s="2">
        <v>247</v>
      </c>
      <c r="B987" s="2">
        <v>2</v>
      </c>
      <c r="C987" s="2">
        <v>42307419</v>
      </c>
      <c r="D987" s="2">
        <v>43295776</v>
      </c>
      <c r="E987" s="2">
        <v>3</v>
      </c>
      <c r="F987" s="2" t="s">
        <v>10086</v>
      </c>
      <c r="H987" s="3">
        <v>8.0000000000000004E-4</v>
      </c>
      <c r="K987" s="2" t="s">
        <v>10085</v>
      </c>
    </row>
    <row r="988" spans="1:11" x14ac:dyDescent="0.2">
      <c r="A988" s="2">
        <v>247</v>
      </c>
      <c r="B988" s="2">
        <v>2</v>
      </c>
      <c r="C988" s="2">
        <v>42307419</v>
      </c>
      <c r="D988" s="2">
        <v>43295776</v>
      </c>
      <c r="E988" s="2">
        <v>4</v>
      </c>
      <c r="F988" s="2" t="s">
        <v>10086</v>
      </c>
      <c r="H988" s="3">
        <v>8.9999999999999998E-4</v>
      </c>
      <c r="K988" s="2" t="s">
        <v>10087</v>
      </c>
    </row>
    <row r="989" spans="1:11" x14ac:dyDescent="0.2">
      <c r="A989" s="2">
        <v>248</v>
      </c>
      <c r="B989" s="2">
        <v>2</v>
      </c>
      <c r="C989" s="2">
        <v>43295777</v>
      </c>
      <c r="D989" s="2">
        <v>44104110</v>
      </c>
      <c r="E989" s="2">
        <v>1</v>
      </c>
      <c r="F989" s="2" t="s">
        <v>10086</v>
      </c>
      <c r="H989" s="2">
        <v>1.5E-3</v>
      </c>
      <c r="K989" s="2" t="s">
        <v>10088</v>
      </c>
    </row>
    <row r="990" spans="1:11" x14ac:dyDescent="0.2">
      <c r="A990" s="2">
        <v>248</v>
      </c>
      <c r="B990" s="2">
        <v>2</v>
      </c>
      <c r="C990" s="2">
        <v>43295777</v>
      </c>
      <c r="D990" s="2">
        <v>44104110</v>
      </c>
      <c r="E990" s="2">
        <v>2</v>
      </c>
      <c r="F990" s="2" t="s">
        <v>10086</v>
      </c>
      <c r="H990" s="2">
        <v>1.4E-3</v>
      </c>
      <c r="K990" s="2" t="s">
        <v>12324</v>
      </c>
    </row>
    <row r="991" spans="1:11" x14ac:dyDescent="0.2">
      <c r="A991" s="2">
        <v>248</v>
      </c>
      <c r="B991" s="2">
        <v>2</v>
      </c>
      <c r="C991" s="2">
        <v>43295777</v>
      </c>
      <c r="D991" s="2">
        <v>44104110</v>
      </c>
      <c r="E991" s="2">
        <v>3</v>
      </c>
      <c r="F991" s="2" t="s">
        <v>10086</v>
      </c>
      <c r="H991" s="3">
        <v>8.9999999999999998E-4</v>
      </c>
      <c r="K991" s="2" t="s">
        <v>10089</v>
      </c>
    </row>
    <row r="992" spans="1:11" x14ac:dyDescent="0.2">
      <c r="A992" s="2">
        <v>248</v>
      </c>
      <c r="B992" s="2">
        <v>2</v>
      </c>
      <c r="C992" s="2">
        <v>43295777</v>
      </c>
      <c r="D992" s="2">
        <v>44104110</v>
      </c>
      <c r="E992" s="2">
        <v>4</v>
      </c>
      <c r="F992" s="2" t="s">
        <v>10086</v>
      </c>
      <c r="H992" s="3">
        <v>6.9999999999999999E-4</v>
      </c>
      <c r="K992" s="2" t="s">
        <v>10085</v>
      </c>
    </row>
    <row r="993" spans="1:11" x14ac:dyDescent="0.2">
      <c r="A993" s="2">
        <v>249</v>
      </c>
      <c r="B993" s="2">
        <v>2</v>
      </c>
      <c r="C993" s="2">
        <v>44104111</v>
      </c>
      <c r="D993" s="2">
        <v>45189468</v>
      </c>
      <c r="E993" s="2">
        <v>1</v>
      </c>
      <c r="F993" s="2" t="s">
        <v>10086</v>
      </c>
      <c r="H993" s="2">
        <v>4.0000000000000001E-3</v>
      </c>
      <c r="K993" s="2" t="s">
        <v>12324</v>
      </c>
    </row>
    <row r="994" spans="1:11" x14ac:dyDescent="0.2">
      <c r="A994" s="2">
        <v>249</v>
      </c>
      <c r="B994" s="2">
        <v>2</v>
      </c>
      <c r="C994" s="2">
        <v>44104111</v>
      </c>
      <c r="D994" s="2">
        <v>45189468</v>
      </c>
      <c r="E994" s="2">
        <v>2</v>
      </c>
      <c r="F994" s="2" t="s">
        <v>10086</v>
      </c>
      <c r="H994" s="2">
        <v>1.6000000000000001E-3</v>
      </c>
      <c r="K994" s="2" t="s">
        <v>10087</v>
      </c>
    </row>
    <row r="995" spans="1:11" x14ac:dyDescent="0.2">
      <c r="A995" s="2">
        <v>249</v>
      </c>
      <c r="B995" s="2">
        <v>2</v>
      </c>
      <c r="C995" s="2">
        <v>44104111</v>
      </c>
      <c r="D995" s="2">
        <v>45189468</v>
      </c>
      <c r="E995" s="2">
        <v>3</v>
      </c>
      <c r="F995" s="2" t="s">
        <v>10086</v>
      </c>
      <c r="H995" s="3">
        <v>8.9999999999999998E-4</v>
      </c>
      <c r="K995" s="2" t="s">
        <v>10089</v>
      </c>
    </row>
    <row r="996" spans="1:11" x14ac:dyDescent="0.2">
      <c r="A996" s="2">
        <v>249</v>
      </c>
      <c r="B996" s="2">
        <v>2</v>
      </c>
      <c r="C996" s="2">
        <v>44104111</v>
      </c>
      <c r="D996" s="2">
        <v>45189468</v>
      </c>
      <c r="E996" s="2">
        <v>4</v>
      </c>
      <c r="F996" s="2" t="s">
        <v>10086</v>
      </c>
      <c r="H996" s="2">
        <v>1E-3</v>
      </c>
      <c r="K996" s="2" t="s">
        <v>10085</v>
      </c>
    </row>
    <row r="997" spans="1:11" x14ac:dyDescent="0.2">
      <c r="A997" s="2">
        <v>250</v>
      </c>
      <c r="B997" s="2">
        <v>2</v>
      </c>
      <c r="C997" s="2">
        <v>45189469</v>
      </c>
      <c r="D997" s="2">
        <v>45850047</v>
      </c>
      <c r="E997" s="2">
        <v>1</v>
      </c>
      <c r="F997" s="2" t="s">
        <v>10086</v>
      </c>
      <c r="H997" s="2">
        <v>1.1999999999999999E-3</v>
      </c>
      <c r="K997" s="2" t="s">
        <v>10088</v>
      </c>
    </row>
    <row r="998" spans="1:11" x14ac:dyDescent="0.2">
      <c r="A998" s="2">
        <v>250</v>
      </c>
      <c r="B998" s="2">
        <v>2</v>
      </c>
      <c r="C998" s="2">
        <v>45189469</v>
      </c>
      <c r="D998" s="2">
        <v>45850047</v>
      </c>
      <c r="E998" s="2">
        <v>2</v>
      </c>
      <c r="F998" s="2" t="s">
        <v>10086</v>
      </c>
      <c r="H998" s="3">
        <v>6.9999999999999999E-4</v>
      </c>
      <c r="K998" s="2" t="s">
        <v>10089</v>
      </c>
    </row>
    <row r="999" spans="1:11" x14ac:dyDescent="0.2">
      <c r="A999" s="2">
        <v>250</v>
      </c>
      <c r="B999" s="2">
        <v>2</v>
      </c>
      <c r="C999" s="2">
        <v>45189469</v>
      </c>
      <c r="D999" s="2">
        <v>45850047</v>
      </c>
      <c r="E999" s="2">
        <v>3</v>
      </c>
      <c r="F999" s="2" t="s">
        <v>10086</v>
      </c>
      <c r="H999" s="3">
        <v>5.9999999999999995E-4</v>
      </c>
      <c r="K999" s="2" t="s">
        <v>10087</v>
      </c>
    </row>
    <row r="1000" spans="1:11" x14ac:dyDescent="0.2">
      <c r="A1000" s="2">
        <v>250</v>
      </c>
      <c r="B1000" s="2">
        <v>2</v>
      </c>
      <c r="C1000" s="2">
        <v>45189469</v>
      </c>
      <c r="D1000" s="2">
        <v>45850047</v>
      </c>
      <c r="E1000" s="2">
        <v>4</v>
      </c>
      <c r="F1000" s="2" t="s">
        <v>10086</v>
      </c>
      <c r="H1000" s="3">
        <v>2.9999999999999997E-4</v>
      </c>
      <c r="K1000" s="2" t="s">
        <v>10085</v>
      </c>
    </row>
    <row r="1001" spans="1:11" x14ac:dyDescent="0.2">
      <c r="A1001" s="2">
        <v>251</v>
      </c>
      <c r="B1001" s="2">
        <v>2</v>
      </c>
      <c r="C1001" s="2">
        <v>45850048</v>
      </c>
      <c r="D1001" s="2">
        <v>46499326</v>
      </c>
      <c r="E1001" s="2">
        <v>1</v>
      </c>
      <c r="F1001" s="2" t="s">
        <v>10086</v>
      </c>
      <c r="H1001" s="2">
        <v>1.6999999999999999E-3</v>
      </c>
      <c r="K1001" s="2" t="s">
        <v>10089</v>
      </c>
    </row>
    <row r="1002" spans="1:11" x14ac:dyDescent="0.2">
      <c r="A1002" s="2">
        <v>251</v>
      </c>
      <c r="B1002" s="2">
        <v>2</v>
      </c>
      <c r="C1002" s="2">
        <v>45850048</v>
      </c>
      <c r="D1002" s="2">
        <v>46499326</v>
      </c>
      <c r="E1002" s="2">
        <v>2</v>
      </c>
      <c r="F1002" s="2" t="s">
        <v>10086</v>
      </c>
      <c r="H1002" s="2">
        <v>1.1000000000000001E-3</v>
      </c>
      <c r="K1002" s="2" t="s">
        <v>10087</v>
      </c>
    </row>
    <row r="1003" spans="1:11" x14ac:dyDescent="0.2">
      <c r="A1003" s="2">
        <v>251</v>
      </c>
      <c r="B1003" s="2">
        <v>2</v>
      </c>
      <c r="C1003" s="2">
        <v>45850048</v>
      </c>
      <c r="D1003" s="2">
        <v>46499326</v>
      </c>
      <c r="E1003" s="2">
        <v>3</v>
      </c>
      <c r="F1003" s="2" t="s">
        <v>10086</v>
      </c>
      <c r="H1003" s="3">
        <v>6.9999999999999999E-4</v>
      </c>
      <c r="K1003" s="2" t="s">
        <v>10085</v>
      </c>
    </row>
    <row r="1004" spans="1:11" x14ac:dyDescent="0.2">
      <c r="A1004" s="2">
        <v>251</v>
      </c>
      <c r="B1004" s="2">
        <v>2</v>
      </c>
      <c r="C1004" s="2">
        <v>45850048</v>
      </c>
      <c r="D1004" s="2">
        <v>46499326</v>
      </c>
      <c r="E1004" s="2">
        <v>4</v>
      </c>
      <c r="F1004" s="2" t="s">
        <v>10086</v>
      </c>
      <c r="H1004" s="3">
        <v>4.0000000000000002E-4</v>
      </c>
      <c r="K1004" s="2" t="s">
        <v>12324</v>
      </c>
    </row>
    <row r="1005" spans="1:11" x14ac:dyDescent="0.2">
      <c r="A1005" s="2">
        <v>252</v>
      </c>
      <c r="B1005" s="2">
        <v>2</v>
      </c>
      <c r="C1005" s="2">
        <v>46499327</v>
      </c>
      <c r="D1005" s="2">
        <v>47320114</v>
      </c>
      <c r="E1005" s="2">
        <v>1</v>
      </c>
      <c r="F1005" s="2" t="s">
        <v>10086</v>
      </c>
      <c r="H1005" s="2">
        <v>3.5999999999999999E-3</v>
      </c>
      <c r="K1005" s="2" t="s">
        <v>10085</v>
      </c>
    </row>
    <row r="1006" spans="1:11" x14ac:dyDescent="0.2">
      <c r="A1006" s="2">
        <v>252</v>
      </c>
      <c r="B1006" s="2">
        <v>2</v>
      </c>
      <c r="C1006" s="2">
        <v>46499327</v>
      </c>
      <c r="D1006" s="2">
        <v>47320114</v>
      </c>
      <c r="E1006" s="2">
        <v>2</v>
      </c>
      <c r="F1006" s="2" t="s">
        <v>10086</v>
      </c>
      <c r="H1006" s="2">
        <v>2.0999999999999999E-3</v>
      </c>
      <c r="K1006" s="2" t="s">
        <v>10087</v>
      </c>
    </row>
    <row r="1007" spans="1:11" x14ac:dyDescent="0.2">
      <c r="A1007" s="2">
        <v>252</v>
      </c>
      <c r="B1007" s="2">
        <v>2</v>
      </c>
      <c r="C1007" s="2">
        <v>46499327</v>
      </c>
      <c r="D1007" s="2">
        <v>47320114</v>
      </c>
      <c r="E1007" s="2">
        <v>3</v>
      </c>
      <c r="F1007" s="2" t="s">
        <v>10086</v>
      </c>
      <c r="H1007" s="2">
        <v>1.1999999999999999E-3</v>
      </c>
      <c r="K1007" s="2" t="s">
        <v>10089</v>
      </c>
    </row>
    <row r="1008" spans="1:11" x14ac:dyDescent="0.2">
      <c r="A1008" s="2">
        <v>252</v>
      </c>
      <c r="B1008" s="2">
        <v>2</v>
      </c>
      <c r="C1008" s="2">
        <v>46499327</v>
      </c>
      <c r="D1008" s="2">
        <v>47320114</v>
      </c>
      <c r="E1008" s="2">
        <v>4</v>
      </c>
      <c r="F1008" s="2" t="s">
        <v>10086</v>
      </c>
      <c r="H1008" s="3">
        <v>5.0000000000000001E-4</v>
      </c>
      <c r="K1008" s="2" t="s">
        <v>10088</v>
      </c>
    </row>
    <row r="1009" spans="1:11" x14ac:dyDescent="0.2">
      <c r="A1009" s="2">
        <v>253</v>
      </c>
      <c r="B1009" s="2">
        <v>2</v>
      </c>
      <c r="C1009" s="2">
        <v>47320115</v>
      </c>
      <c r="D1009" s="2">
        <v>48171058</v>
      </c>
      <c r="E1009" s="2">
        <v>1</v>
      </c>
      <c r="F1009" s="2" t="s">
        <v>10086</v>
      </c>
      <c r="H1009" s="2">
        <v>3.9100000000000003E-2</v>
      </c>
      <c r="K1009" s="2" t="s">
        <v>12324</v>
      </c>
    </row>
    <row r="1010" spans="1:11" x14ac:dyDescent="0.2">
      <c r="A1010" s="2">
        <v>253</v>
      </c>
      <c r="B1010" s="2">
        <v>2</v>
      </c>
      <c r="C1010" s="2">
        <v>47320115</v>
      </c>
      <c r="D1010" s="2">
        <v>48171058</v>
      </c>
      <c r="E1010" s="2">
        <v>2</v>
      </c>
      <c r="F1010" s="2" t="s">
        <v>10086</v>
      </c>
      <c r="H1010" s="2">
        <v>6.7999999999999996E-3</v>
      </c>
      <c r="K1010" s="2" t="s">
        <v>10085</v>
      </c>
    </row>
    <row r="1011" spans="1:11" x14ac:dyDescent="0.2">
      <c r="A1011" s="2">
        <v>253</v>
      </c>
      <c r="B1011" s="2">
        <v>2</v>
      </c>
      <c r="C1011" s="2">
        <v>47320115</v>
      </c>
      <c r="D1011" s="2">
        <v>48171058</v>
      </c>
      <c r="E1011" s="2">
        <v>3</v>
      </c>
      <c r="F1011" s="2" t="s">
        <v>10086</v>
      </c>
      <c r="H1011" s="2">
        <v>3.2000000000000002E-3</v>
      </c>
      <c r="K1011" s="2" t="s">
        <v>10089</v>
      </c>
    </row>
    <row r="1012" spans="1:11" x14ac:dyDescent="0.2">
      <c r="A1012" s="2">
        <v>253</v>
      </c>
      <c r="B1012" s="2">
        <v>2</v>
      </c>
      <c r="C1012" s="2">
        <v>47320115</v>
      </c>
      <c r="D1012" s="2">
        <v>48171058</v>
      </c>
      <c r="E1012" s="2">
        <v>4</v>
      </c>
      <c r="F1012" s="2" t="s">
        <v>10086</v>
      </c>
      <c r="H1012" s="2">
        <v>1E-3</v>
      </c>
      <c r="K1012" s="2" t="s">
        <v>10087</v>
      </c>
    </row>
    <row r="1013" spans="1:11" x14ac:dyDescent="0.2">
      <c r="A1013" s="2">
        <v>254</v>
      </c>
      <c r="B1013" s="2">
        <v>2</v>
      </c>
      <c r="C1013" s="2">
        <v>48171059</v>
      </c>
      <c r="D1013" s="2">
        <v>49114132</v>
      </c>
      <c r="E1013" s="2">
        <v>1</v>
      </c>
      <c r="F1013" s="2" t="s">
        <v>10086</v>
      </c>
      <c r="H1013" s="2">
        <v>1.2999999999999999E-3</v>
      </c>
      <c r="K1013" s="2" t="s">
        <v>10087</v>
      </c>
    </row>
    <row r="1014" spans="1:11" x14ac:dyDescent="0.2">
      <c r="A1014" s="2">
        <v>254</v>
      </c>
      <c r="B1014" s="2">
        <v>2</v>
      </c>
      <c r="C1014" s="2">
        <v>48171059</v>
      </c>
      <c r="D1014" s="2">
        <v>49114132</v>
      </c>
      <c r="E1014" s="2">
        <v>2</v>
      </c>
      <c r="F1014" s="2" t="s">
        <v>10086</v>
      </c>
      <c r="H1014" s="2">
        <v>1.1999999999999999E-3</v>
      </c>
      <c r="K1014" s="2" t="s">
        <v>10089</v>
      </c>
    </row>
    <row r="1015" spans="1:11" x14ac:dyDescent="0.2">
      <c r="A1015" s="2">
        <v>254</v>
      </c>
      <c r="B1015" s="2">
        <v>2</v>
      </c>
      <c r="C1015" s="2">
        <v>48171059</v>
      </c>
      <c r="D1015" s="2">
        <v>49114132</v>
      </c>
      <c r="E1015" s="2">
        <v>3</v>
      </c>
      <c r="F1015" s="2" t="s">
        <v>10086</v>
      </c>
      <c r="H1015" s="3">
        <v>5.9999999999999995E-4</v>
      </c>
      <c r="K1015" s="2" t="s">
        <v>10088</v>
      </c>
    </row>
    <row r="1016" spans="1:11" x14ac:dyDescent="0.2">
      <c r="A1016" s="2">
        <v>254</v>
      </c>
      <c r="B1016" s="2">
        <v>2</v>
      </c>
      <c r="C1016" s="2">
        <v>48171059</v>
      </c>
      <c r="D1016" s="2">
        <v>49114132</v>
      </c>
      <c r="E1016" s="2">
        <v>4</v>
      </c>
      <c r="F1016" s="2" t="s">
        <v>10086</v>
      </c>
      <c r="H1016" s="3">
        <v>5.9999999999999995E-4</v>
      </c>
      <c r="K1016" s="2" t="s">
        <v>10085</v>
      </c>
    </row>
    <row r="1017" spans="1:11" x14ac:dyDescent="0.2">
      <c r="A1017" s="2">
        <v>255</v>
      </c>
      <c r="B1017" s="2">
        <v>2</v>
      </c>
      <c r="C1017" s="2">
        <v>49114133</v>
      </c>
      <c r="D1017" s="2">
        <v>49849185</v>
      </c>
      <c r="E1017" s="2">
        <v>1</v>
      </c>
      <c r="F1017" s="2" t="s">
        <v>10086</v>
      </c>
      <c r="H1017" s="2">
        <v>1.5E-3</v>
      </c>
      <c r="K1017" s="2" t="s">
        <v>10088</v>
      </c>
    </row>
    <row r="1018" spans="1:11" x14ac:dyDescent="0.2">
      <c r="A1018" s="2">
        <v>255</v>
      </c>
      <c r="B1018" s="2">
        <v>2</v>
      </c>
      <c r="C1018" s="2">
        <v>49114133</v>
      </c>
      <c r="D1018" s="2">
        <v>49849185</v>
      </c>
      <c r="E1018" s="2">
        <v>2</v>
      </c>
      <c r="F1018" s="2" t="s">
        <v>10086</v>
      </c>
      <c r="H1018" s="3">
        <v>6.9999999999999999E-4</v>
      </c>
      <c r="K1018" s="2" t="s">
        <v>10087</v>
      </c>
    </row>
    <row r="1019" spans="1:11" x14ac:dyDescent="0.2">
      <c r="A1019" s="2">
        <v>255</v>
      </c>
      <c r="B1019" s="2">
        <v>2</v>
      </c>
      <c r="C1019" s="2">
        <v>49114133</v>
      </c>
      <c r="D1019" s="2">
        <v>49849185</v>
      </c>
      <c r="E1019" s="2">
        <v>3</v>
      </c>
      <c r="F1019" s="2" t="s">
        <v>10086</v>
      </c>
      <c r="H1019" s="3">
        <v>6.9999999999999999E-4</v>
      </c>
      <c r="K1019" s="2" t="s">
        <v>10089</v>
      </c>
    </row>
    <row r="1020" spans="1:11" x14ac:dyDescent="0.2">
      <c r="A1020" s="2">
        <v>255</v>
      </c>
      <c r="B1020" s="2">
        <v>2</v>
      </c>
      <c r="C1020" s="2">
        <v>49114133</v>
      </c>
      <c r="D1020" s="2">
        <v>49849185</v>
      </c>
      <c r="E1020" s="2">
        <v>4</v>
      </c>
      <c r="F1020" s="2" t="s">
        <v>10086</v>
      </c>
      <c r="H1020" s="3">
        <v>2.9999999999999997E-4</v>
      </c>
      <c r="K1020" s="2" t="s">
        <v>10085</v>
      </c>
    </row>
    <row r="1021" spans="1:11" x14ac:dyDescent="0.2">
      <c r="A1021" s="2">
        <v>256</v>
      </c>
      <c r="B1021" s="2">
        <v>2</v>
      </c>
      <c r="C1021" s="2">
        <v>49849186</v>
      </c>
      <c r="D1021" s="2">
        <v>50756240</v>
      </c>
      <c r="E1021" s="2">
        <v>1</v>
      </c>
      <c r="F1021" s="2" t="s">
        <v>10086</v>
      </c>
      <c r="H1021" s="2">
        <v>2.8E-3</v>
      </c>
      <c r="K1021" s="2" t="s">
        <v>10087</v>
      </c>
    </row>
    <row r="1022" spans="1:11" x14ac:dyDescent="0.2">
      <c r="A1022" s="2">
        <v>256</v>
      </c>
      <c r="B1022" s="2">
        <v>2</v>
      </c>
      <c r="C1022" s="2">
        <v>49849186</v>
      </c>
      <c r="D1022" s="2">
        <v>50756240</v>
      </c>
      <c r="E1022" s="2">
        <v>2</v>
      </c>
      <c r="F1022" s="2" t="s">
        <v>10086</v>
      </c>
      <c r="H1022" s="3">
        <v>8.9999999999999998E-4</v>
      </c>
      <c r="K1022" s="2" t="s">
        <v>10088</v>
      </c>
    </row>
    <row r="1023" spans="1:11" x14ac:dyDescent="0.2">
      <c r="A1023" s="2">
        <v>256</v>
      </c>
      <c r="B1023" s="2">
        <v>2</v>
      </c>
      <c r="C1023" s="2">
        <v>49849186</v>
      </c>
      <c r="D1023" s="2">
        <v>50756240</v>
      </c>
      <c r="E1023" s="2">
        <v>3</v>
      </c>
      <c r="F1023" s="2" t="s">
        <v>10086</v>
      </c>
      <c r="H1023" s="3">
        <v>6.9999999999999999E-4</v>
      </c>
      <c r="K1023" s="2" t="s">
        <v>10085</v>
      </c>
    </row>
    <row r="1024" spans="1:11" x14ac:dyDescent="0.2">
      <c r="A1024" s="2">
        <v>256</v>
      </c>
      <c r="B1024" s="2">
        <v>2</v>
      </c>
      <c r="C1024" s="2">
        <v>49849186</v>
      </c>
      <c r="D1024" s="2">
        <v>50756240</v>
      </c>
      <c r="E1024" s="2">
        <v>4</v>
      </c>
      <c r="F1024" s="2" t="s">
        <v>10086</v>
      </c>
      <c r="H1024" s="3">
        <v>2.0000000000000001E-4</v>
      </c>
      <c r="K1024" s="2" t="s">
        <v>10089</v>
      </c>
    </row>
    <row r="1025" spans="1:11" x14ac:dyDescent="0.2">
      <c r="A1025" s="2">
        <v>257</v>
      </c>
      <c r="B1025" s="2">
        <v>2</v>
      </c>
      <c r="C1025" s="2">
        <v>50756241</v>
      </c>
      <c r="D1025" s="2">
        <v>51669493</v>
      </c>
      <c r="E1025" s="2">
        <v>1</v>
      </c>
      <c r="F1025" s="2" t="s">
        <v>10086</v>
      </c>
      <c r="H1025" s="2">
        <v>4.7999999999999996E-3</v>
      </c>
      <c r="K1025" s="2" t="s">
        <v>10088</v>
      </c>
    </row>
    <row r="1026" spans="1:11" x14ac:dyDescent="0.2">
      <c r="A1026" s="2">
        <v>257</v>
      </c>
      <c r="B1026" s="2">
        <v>2</v>
      </c>
      <c r="C1026" s="2">
        <v>50756241</v>
      </c>
      <c r="D1026" s="2">
        <v>51669493</v>
      </c>
      <c r="E1026" s="2">
        <v>2</v>
      </c>
      <c r="F1026" s="2" t="s">
        <v>10086</v>
      </c>
      <c r="H1026" s="2">
        <v>1.6000000000000001E-3</v>
      </c>
      <c r="K1026" s="2" t="s">
        <v>10085</v>
      </c>
    </row>
    <row r="1027" spans="1:11" x14ac:dyDescent="0.2">
      <c r="A1027" s="2">
        <v>257</v>
      </c>
      <c r="B1027" s="2">
        <v>2</v>
      </c>
      <c r="C1027" s="2">
        <v>50756241</v>
      </c>
      <c r="D1027" s="2">
        <v>51669493</v>
      </c>
      <c r="E1027" s="2">
        <v>3</v>
      </c>
      <c r="F1027" s="2" t="s">
        <v>10086</v>
      </c>
      <c r="H1027" s="3">
        <v>8.0000000000000004E-4</v>
      </c>
      <c r="K1027" s="2" t="s">
        <v>10087</v>
      </c>
    </row>
    <row r="1028" spans="1:11" x14ac:dyDescent="0.2">
      <c r="A1028" s="2">
        <v>257</v>
      </c>
      <c r="B1028" s="2">
        <v>2</v>
      </c>
      <c r="C1028" s="2">
        <v>50756241</v>
      </c>
      <c r="D1028" s="2">
        <v>51669493</v>
      </c>
      <c r="E1028" s="2">
        <v>4</v>
      </c>
      <c r="F1028" s="2" t="s">
        <v>10086</v>
      </c>
      <c r="H1028" s="3">
        <v>4.0000000000000002E-4</v>
      </c>
      <c r="K1028" s="2" t="s">
        <v>10089</v>
      </c>
    </row>
    <row r="1029" spans="1:11" x14ac:dyDescent="0.2">
      <c r="A1029" s="2">
        <v>258</v>
      </c>
      <c r="B1029" s="2">
        <v>2</v>
      </c>
      <c r="C1029" s="2">
        <v>51669494</v>
      </c>
      <c r="D1029" s="2">
        <v>52494111</v>
      </c>
      <c r="E1029" s="2">
        <v>1</v>
      </c>
      <c r="F1029" s="2" t="s">
        <v>10086</v>
      </c>
      <c r="H1029" s="2">
        <v>1.5E-3</v>
      </c>
      <c r="K1029" s="2" t="s">
        <v>10089</v>
      </c>
    </row>
    <row r="1030" spans="1:11" x14ac:dyDescent="0.2">
      <c r="A1030" s="2">
        <v>258</v>
      </c>
      <c r="B1030" s="2">
        <v>2</v>
      </c>
      <c r="C1030" s="2">
        <v>51669494</v>
      </c>
      <c r="D1030" s="2">
        <v>52494111</v>
      </c>
      <c r="E1030" s="2">
        <v>2</v>
      </c>
      <c r="F1030" s="2" t="s">
        <v>10086</v>
      </c>
      <c r="H1030" s="2">
        <v>1.5E-3</v>
      </c>
      <c r="K1030" s="2" t="s">
        <v>10088</v>
      </c>
    </row>
    <row r="1031" spans="1:11" x14ac:dyDescent="0.2">
      <c r="A1031" s="2">
        <v>258</v>
      </c>
      <c r="B1031" s="2">
        <v>2</v>
      </c>
      <c r="C1031" s="2">
        <v>51669494</v>
      </c>
      <c r="D1031" s="2">
        <v>52494111</v>
      </c>
      <c r="E1031" s="2">
        <v>3</v>
      </c>
      <c r="F1031" s="2" t="s">
        <v>10086</v>
      </c>
      <c r="H1031" s="3">
        <v>8.0000000000000004E-4</v>
      </c>
      <c r="K1031" s="2" t="s">
        <v>10085</v>
      </c>
    </row>
    <row r="1032" spans="1:11" x14ac:dyDescent="0.2">
      <c r="A1032" s="2">
        <v>258</v>
      </c>
      <c r="B1032" s="2">
        <v>2</v>
      </c>
      <c r="C1032" s="2">
        <v>51669494</v>
      </c>
      <c r="D1032" s="2">
        <v>52494111</v>
      </c>
      <c r="E1032" s="2">
        <v>4</v>
      </c>
      <c r="F1032" s="2" t="s">
        <v>10086</v>
      </c>
      <c r="H1032" s="3">
        <v>2.0000000000000001E-4</v>
      </c>
      <c r="K1032" s="2" t="s">
        <v>10087</v>
      </c>
    </row>
    <row r="1033" spans="1:11" x14ac:dyDescent="0.2">
      <c r="A1033" s="2">
        <v>259</v>
      </c>
      <c r="B1033" s="2">
        <v>2</v>
      </c>
      <c r="C1033" s="2">
        <v>52494112</v>
      </c>
      <c r="D1033" s="2">
        <v>53032976</v>
      </c>
      <c r="E1033" s="2">
        <v>1</v>
      </c>
      <c r="F1033" s="2" t="s">
        <v>10086</v>
      </c>
      <c r="H1033" s="2">
        <v>4.5999999999999999E-3</v>
      </c>
      <c r="K1033" s="2" t="s">
        <v>12324</v>
      </c>
    </row>
    <row r="1034" spans="1:11" x14ac:dyDescent="0.2">
      <c r="A1034" s="2">
        <v>259</v>
      </c>
      <c r="B1034" s="2">
        <v>2</v>
      </c>
      <c r="C1034" s="2">
        <v>52494112</v>
      </c>
      <c r="D1034" s="2">
        <v>53032976</v>
      </c>
      <c r="E1034" s="2">
        <v>2</v>
      </c>
      <c r="F1034" s="2" t="s">
        <v>10086</v>
      </c>
      <c r="H1034" s="3">
        <v>8.9999999999999998E-4</v>
      </c>
      <c r="K1034" s="2" t="s">
        <v>10087</v>
      </c>
    </row>
    <row r="1035" spans="1:11" x14ac:dyDescent="0.2">
      <c r="A1035" s="2">
        <v>259</v>
      </c>
      <c r="B1035" s="2">
        <v>2</v>
      </c>
      <c r="C1035" s="2">
        <v>52494112</v>
      </c>
      <c r="D1035" s="2">
        <v>53032976</v>
      </c>
      <c r="E1035" s="2">
        <v>3</v>
      </c>
      <c r="F1035" s="2" t="s">
        <v>10086</v>
      </c>
      <c r="H1035" s="3">
        <v>8.9999999999999998E-4</v>
      </c>
      <c r="K1035" s="2" t="s">
        <v>10089</v>
      </c>
    </row>
    <row r="1036" spans="1:11" x14ac:dyDescent="0.2">
      <c r="A1036" s="2">
        <v>259</v>
      </c>
      <c r="B1036" s="2">
        <v>2</v>
      </c>
      <c r="C1036" s="2">
        <v>52494112</v>
      </c>
      <c r="D1036" s="2">
        <v>53032976</v>
      </c>
      <c r="E1036" s="2">
        <v>4</v>
      </c>
      <c r="F1036" s="2" t="s">
        <v>10086</v>
      </c>
      <c r="H1036" s="3">
        <v>6.9999999999999999E-4</v>
      </c>
      <c r="K1036" s="2" t="s">
        <v>10088</v>
      </c>
    </row>
    <row r="1037" spans="1:11" x14ac:dyDescent="0.2">
      <c r="A1037" s="2">
        <v>260</v>
      </c>
      <c r="B1037" s="2">
        <v>2</v>
      </c>
      <c r="C1037" s="2">
        <v>53032977</v>
      </c>
      <c r="D1037" s="2">
        <v>53852120</v>
      </c>
      <c r="E1037" s="2">
        <v>1</v>
      </c>
      <c r="F1037" s="2" t="s">
        <v>10086</v>
      </c>
      <c r="H1037" s="2">
        <v>1.04E-2</v>
      </c>
      <c r="K1037" s="2" t="s">
        <v>10088</v>
      </c>
    </row>
    <row r="1038" spans="1:11" x14ac:dyDescent="0.2">
      <c r="A1038" s="2">
        <v>260</v>
      </c>
      <c r="B1038" s="2">
        <v>2</v>
      </c>
      <c r="C1038" s="2">
        <v>53032977</v>
      </c>
      <c r="D1038" s="2">
        <v>53852120</v>
      </c>
      <c r="E1038" s="2">
        <v>2</v>
      </c>
      <c r="F1038" s="2" t="s">
        <v>10086</v>
      </c>
      <c r="H1038" s="2">
        <v>3.5999999999999999E-3</v>
      </c>
      <c r="K1038" s="2" t="s">
        <v>10085</v>
      </c>
    </row>
    <row r="1039" spans="1:11" x14ac:dyDescent="0.2">
      <c r="A1039" s="2">
        <v>260</v>
      </c>
      <c r="B1039" s="2">
        <v>2</v>
      </c>
      <c r="C1039" s="2">
        <v>53032977</v>
      </c>
      <c r="D1039" s="2">
        <v>53852120</v>
      </c>
      <c r="E1039" s="2">
        <v>3</v>
      </c>
      <c r="F1039" s="2" t="s">
        <v>10086</v>
      </c>
      <c r="H1039" s="2">
        <v>1.2999999999999999E-3</v>
      </c>
      <c r="K1039" s="2" t="s">
        <v>12324</v>
      </c>
    </row>
    <row r="1040" spans="1:11" x14ac:dyDescent="0.2">
      <c r="A1040" s="2">
        <v>260</v>
      </c>
      <c r="B1040" s="2">
        <v>2</v>
      </c>
      <c r="C1040" s="2">
        <v>53032977</v>
      </c>
      <c r="D1040" s="2">
        <v>53852120</v>
      </c>
      <c r="E1040" s="2">
        <v>4</v>
      </c>
      <c r="F1040" s="2" t="s">
        <v>10086</v>
      </c>
      <c r="H1040" s="3">
        <v>6.9999999999999999E-4</v>
      </c>
      <c r="K1040" s="2" t="s">
        <v>10089</v>
      </c>
    </row>
    <row r="1041" spans="1:11" x14ac:dyDescent="0.2">
      <c r="A1041" s="2">
        <v>261</v>
      </c>
      <c r="B1041" s="2">
        <v>2</v>
      </c>
      <c r="C1041" s="2">
        <v>53852121</v>
      </c>
      <c r="D1041" s="2">
        <v>54688234</v>
      </c>
      <c r="E1041" s="2">
        <v>2</v>
      </c>
      <c r="F1041" s="2" t="s">
        <v>10086</v>
      </c>
      <c r="H1041" s="2">
        <v>6.1999999999999998E-3</v>
      </c>
      <c r="K1041" s="2" t="s">
        <v>10088</v>
      </c>
    </row>
    <row r="1042" spans="1:11" x14ac:dyDescent="0.2">
      <c r="A1042" s="2">
        <v>261</v>
      </c>
      <c r="B1042" s="2">
        <v>2</v>
      </c>
      <c r="C1042" s="2">
        <v>53852121</v>
      </c>
      <c r="D1042" s="2">
        <v>54688234</v>
      </c>
      <c r="E1042" s="2">
        <v>3</v>
      </c>
      <c r="F1042" s="2" t="s">
        <v>10086</v>
      </c>
      <c r="H1042" s="3">
        <v>5.0000000000000001E-4</v>
      </c>
      <c r="K1042" s="2" t="s">
        <v>10087</v>
      </c>
    </row>
    <row r="1043" spans="1:11" x14ac:dyDescent="0.2">
      <c r="A1043" s="2">
        <v>262</v>
      </c>
      <c r="B1043" s="2">
        <v>2</v>
      </c>
      <c r="C1043" s="2">
        <v>54688235</v>
      </c>
      <c r="D1043" s="2">
        <v>55663336</v>
      </c>
      <c r="E1043" s="2">
        <v>1</v>
      </c>
      <c r="F1043" s="2" t="s">
        <v>10086</v>
      </c>
      <c r="H1043" s="2">
        <v>5.2900000000000003E-2</v>
      </c>
      <c r="K1043" s="2" t="s">
        <v>12324</v>
      </c>
    </row>
    <row r="1044" spans="1:11" x14ac:dyDescent="0.2">
      <c r="A1044" s="2">
        <v>262</v>
      </c>
      <c r="B1044" s="2">
        <v>2</v>
      </c>
      <c r="C1044" s="2">
        <v>54688235</v>
      </c>
      <c r="D1044" s="2">
        <v>55663336</v>
      </c>
      <c r="E1044" s="2">
        <v>2</v>
      </c>
      <c r="F1044" s="2" t="s">
        <v>10086</v>
      </c>
      <c r="H1044" s="2">
        <v>4.3E-3</v>
      </c>
      <c r="K1044" s="2" t="s">
        <v>10089</v>
      </c>
    </row>
    <row r="1045" spans="1:11" x14ac:dyDescent="0.2">
      <c r="A1045" s="2">
        <v>262</v>
      </c>
      <c r="B1045" s="2">
        <v>2</v>
      </c>
      <c r="C1045" s="2">
        <v>54688235</v>
      </c>
      <c r="D1045" s="2">
        <v>55663336</v>
      </c>
      <c r="E1045" s="2">
        <v>3</v>
      </c>
      <c r="F1045" s="2" t="s">
        <v>10086</v>
      </c>
      <c r="H1045" s="2">
        <v>1.6999999999999999E-3</v>
      </c>
      <c r="K1045" s="2" t="s">
        <v>10087</v>
      </c>
    </row>
    <row r="1046" spans="1:11" x14ac:dyDescent="0.2">
      <c r="A1046" s="2">
        <v>262</v>
      </c>
      <c r="B1046" s="2">
        <v>2</v>
      </c>
      <c r="C1046" s="2">
        <v>54688235</v>
      </c>
      <c r="D1046" s="2">
        <v>55663336</v>
      </c>
      <c r="E1046" s="2">
        <v>4</v>
      </c>
      <c r="F1046" s="2" t="s">
        <v>10086</v>
      </c>
      <c r="H1046" s="2">
        <v>1.1000000000000001E-3</v>
      </c>
      <c r="K1046" s="2" t="s">
        <v>10088</v>
      </c>
    </row>
    <row r="1047" spans="1:11" x14ac:dyDescent="0.2">
      <c r="A1047" s="2">
        <v>263</v>
      </c>
      <c r="B1047" s="2">
        <v>2</v>
      </c>
      <c r="C1047" s="2">
        <v>55663337</v>
      </c>
      <c r="D1047" s="2">
        <v>56394698</v>
      </c>
      <c r="E1047" s="2">
        <v>1</v>
      </c>
      <c r="F1047" s="2" t="s">
        <v>10086</v>
      </c>
      <c r="H1047" s="2">
        <v>1.6000000000000001E-3</v>
      </c>
      <c r="K1047" s="2" t="s">
        <v>10088</v>
      </c>
    </row>
    <row r="1048" spans="1:11" x14ac:dyDescent="0.2">
      <c r="A1048" s="2">
        <v>263</v>
      </c>
      <c r="B1048" s="2">
        <v>2</v>
      </c>
      <c r="C1048" s="2">
        <v>55663337</v>
      </c>
      <c r="D1048" s="2">
        <v>56394698</v>
      </c>
      <c r="E1048" s="2">
        <v>2</v>
      </c>
      <c r="F1048" s="2" t="s">
        <v>10086</v>
      </c>
      <c r="H1048" s="2">
        <v>1.4E-3</v>
      </c>
      <c r="K1048" s="2" t="s">
        <v>10085</v>
      </c>
    </row>
    <row r="1049" spans="1:11" x14ac:dyDescent="0.2">
      <c r="A1049" s="2">
        <v>263</v>
      </c>
      <c r="B1049" s="2">
        <v>2</v>
      </c>
      <c r="C1049" s="2">
        <v>55663337</v>
      </c>
      <c r="D1049" s="2">
        <v>56394698</v>
      </c>
      <c r="E1049" s="2">
        <v>3</v>
      </c>
      <c r="F1049" s="2" t="s">
        <v>10086</v>
      </c>
      <c r="H1049" s="2">
        <v>1E-3</v>
      </c>
      <c r="K1049" s="2" t="s">
        <v>10087</v>
      </c>
    </row>
    <row r="1050" spans="1:11" x14ac:dyDescent="0.2">
      <c r="A1050" s="2">
        <v>263</v>
      </c>
      <c r="B1050" s="2">
        <v>2</v>
      </c>
      <c r="C1050" s="2">
        <v>55663337</v>
      </c>
      <c r="D1050" s="2">
        <v>56394698</v>
      </c>
      <c r="E1050" s="2">
        <v>4</v>
      </c>
      <c r="F1050" s="2" t="s">
        <v>10086</v>
      </c>
      <c r="H1050" s="3">
        <v>8.0000000000000004E-4</v>
      </c>
      <c r="K1050" s="2" t="s">
        <v>10089</v>
      </c>
    </row>
    <row r="1051" spans="1:11" x14ac:dyDescent="0.2">
      <c r="A1051" s="2">
        <v>264</v>
      </c>
      <c r="B1051" s="2">
        <v>2</v>
      </c>
      <c r="C1051" s="2">
        <v>56394699</v>
      </c>
      <c r="D1051" s="2">
        <v>57433653</v>
      </c>
      <c r="E1051" s="2">
        <v>1</v>
      </c>
      <c r="F1051" s="2" t="s">
        <v>10086</v>
      </c>
      <c r="H1051" s="2">
        <v>1E-3</v>
      </c>
      <c r="K1051" s="2" t="s">
        <v>10085</v>
      </c>
    </row>
    <row r="1052" spans="1:11" x14ac:dyDescent="0.2">
      <c r="A1052" s="2">
        <v>264</v>
      </c>
      <c r="B1052" s="2">
        <v>2</v>
      </c>
      <c r="C1052" s="2">
        <v>56394699</v>
      </c>
      <c r="D1052" s="2">
        <v>57433653</v>
      </c>
      <c r="E1052" s="2">
        <v>2</v>
      </c>
      <c r="F1052" s="2" t="s">
        <v>10086</v>
      </c>
      <c r="H1052" s="2">
        <v>1.1999999999999999E-3</v>
      </c>
      <c r="K1052" s="2" t="s">
        <v>10088</v>
      </c>
    </row>
    <row r="1053" spans="1:11" x14ac:dyDescent="0.2">
      <c r="A1053" s="2">
        <v>264</v>
      </c>
      <c r="B1053" s="2">
        <v>2</v>
      </c>
      <c r="C1053" s="2">
        <v>56394699</v>
      </c>
      <c r="D1053" s="2">
        <v>57433653</v>
      </c>
      <c r="E1053" s="2">
        <v>3</v>
      </c>
      <c r="F1053" s="2" t="s">
        <v>10086</v>
      </c>
      <c r="H1053" s="3">
        <v>6.9999999999999999E-4</v>
      </c>
      <c r="K1053" s="2" t="s">
        <v>10087</v>
      </c>
    </row>
    <row r="1054" spans="1:11" x14ac:dyDescent="0.2">
      <c r="A1054" s="2">
        <v>264</v>
      </c>
      <c r="B1054" s="2">
        <v>2</v>
      </c>
      <c r="C1054" s="2">
        <v>56394699</v>
      </c>
      <c r="D1054" s="2">
        <v>57433653</v>
      </c>
      <c r="E1054" s="2">
        <v>4</v>
      </c>
      <c r="F1054" s="2" t="s">
        <v>10086</v>
      </c>
      <c r="H1054" s="3">
        <v>4.0000000000000002E-4</v>
      </c>
      <c r="K1054" s="2" t="s">
        <v>10089</v>
      </c>
    </row>
    <row r="1055" spans="1:11" x14ac:dyDescent="0.2">
      <c r="A1055" s="2">
        <v>265</v>
      </c>
      <c r="B1055" s="2">
        <v>2</v>
      </c>
      <c r="C1055" s="2">
        <v>57433654</v>
      </c>
      <c r="D1055" s="2">
        <v>57952945</v>
      </c>
      <c r="E1055" s="2">
        <v>1</v>
      </c>
      <c r="F1055" s="2" t="s">
        <v>10086</v>
      </c>
      <c r="H1055" s="3">
        <v>5.0000000000000001E-4</v>
      </c>
      <c r="K1055" s="2" t="s">
        <v>10087</v>
      </c>
    </row>
    <row r="1056" spans="1:11" x14ac:dyDescent="0.2">
      <c r="A1056" s="2">
        <v>265</v>
      </c>
      <c r="B1056" s="2">
        <v>2</v>
      </c>
      <c r="C1056" s="2">
        <v>57433654</v>
      </c>
      <c r="D1056" s="2">
        <v>57952945</v>
      </c>
      <c r="E1056" s="2">
        <v>2</v>
      </c>
      <c r="F1056" s="2" t="s">
        <v>10086</v>
      </c>
      <c r="H1056" s="3">
        <v>4.0000000000000002E-4</v>
      </c>
      <c r="K1056" s="2" t="s">
        <v>10088</v>
      </c>
    </row>
    <row r="1057" spans="1:11" x14ac:dyDescent="0.2">
      <c r="A1057" s="2">
        <v>265</v>
      </c>
      <c r="B1057" s="2">
        <v>2</v>
      </c>
      <c r="C1057" s="2">
        <v>57433654</v>
      </c>
      <c r="D1057" s="2">
        <v>57952945</v>
      </c>
      <c r="E1057" s="2">
        <v>3</v>
      </c>
      <c r="F1057" s="2" t="s">
        <v>10086</v>
      </c>
      <c r="H1057" s="3">
        <v>2.9999999999999997E-4</v>
      </c>
      <c r="K1057" s="2" t="s">
        <v>10085</v>
      </c>
    </row>
    <row r="1058" spans="1:11" x14ac:dyDescent="0.2">
      <c r="A1058" s="2">
        <v>265</v>
      </c>
      <c r="B1058" s="2">
        <v>2</v>
      </c>
      <c r="C1058" s="2">
        <v>57433654</v>
      </c>
      <c r="D1058" s="2">
        <v>57952945</v>
      </c>
      <c r="E1058" s="2">
        <v>4</v>
      </c>
      <c r="F1058" s="2" t="s">
        <v>10086</v>
      </c>
      <c r="H1058" s="3">
        <v>2.0000000000000001E-4</v>
      </c>
      <c r="K1058" s="2" t="s">
        <v>10089</v>
      </c>
    </row>
    <row r="1059" spans="1:11" x14ac:dyDescent="0.2">
      <c r="A1059" s="2">
        <v>266</v>
      </c>
      <c r="B1059" s="2">
        <v>2</v>
      </c>
      <c r="C1059" s="2">
        <v>57952946</v>
      </c>
      <c r="D1059" s="2">
        <v>59251996</v>
      </c>
      <c r="E1059" s="2">
        <v>1</v>
      </c>
      <c r="F1059" s="2" t="s">
        <v>10086</v>
      </c>
      <c r="H1059" s="2">
        <v>1.2999999999999999E-3</v>
      </c>
      <c r="K1059" s="2" t="s">
        <v>10089</v>
      </c>
    </row>
    <row r="1060" spans="1:11" x14ac:dyDescent="0.2">
      <c r="A1060" s="2">
        <v>266</v>
      </c>
      <c r="B1060" s="2">
        <v>2</v>
      </c>
      <c r="C1060" s="2">
        <v>57952946</v>
      </c>
      <c r="D1060" s="2">
        <v>59251996</v>
      </c>
      <c r="E1060" s="2">
        <v>2</v>
      </c>
      <c r="F1060" s="2" t="s">
        <v>10086</v>
      </c>
      <c r="H1060" s="2">
        <v>1.2999999999999999E-3</v>
      </c>
      <c r="K1060" s="2" t="s">
        <v>10088</v>
      </c>
    </row>
    <row r="1061" spans="1:11" x14ac:dyDescent="0.2">
      <c r="A1061" s="2">
        <v>266</v>
      </c>
      <c r="B1061" s="2">
        <v>2</v>
      </c>
      <c r="C1061" s="2">
        <v>57952946</v>
      </c>
      <c r="D1061" s="2">
        <v>59251996</v>
      </c>
      <c r="E1061" s="2">
        <v>3</v>
      </c>
      <c r="F1061" s="2" t="s">
        <v>10086</v>
      </c>
      <c r="H1061" s="3">
        <v>8.9999999999999998E-4</v>
      </c>
      <c r="K1061" s="2" t="s">
        <v>10087</v>
      </c>
    </row>
    <row r="1062" spans="1:11" x14ac:dyDescent="0.2">
      <c r="A1062" s="2">
        <v>266</v>
      </c>
      <c r="B1062" s="2">
        <v>2</v>
      </c>
      <c r="C1062" s="2">
        <v>57952946</v>
      </c>
      <c r="D1062" s="2">
        <v>59251996</v>
      </c>
      <c r="E1062" s="2">
        <v>4</v>
      </c>
      <c r="F1062" s="2" t="s">
        <v>10086</v>
      </c>
      <c r="H1062" s="3">
        <v>4.0000000000000002E-4</v>
      </c>
      <c r="K1062" s="2" t="s">
        <v>10085</v>
      </c>
    </row>
    <row r="1063" spans="1:11" x14ac:dyDescent="0.2">
      <c r="A1063" s="2">
        <v>267</v>
      </c>
      <c r="B1063" s="2">
        <v>2</v>
      </c>
      <c r="C1063" s="2">
        <v>59251997</v>
      </c>
      <c r="D1063" s="2">
        <v>60775066</v>
      </c>
      <c r="E1063" s="2">
        <v>1</v>
      </c>
      <c r="F1063" s="2" t="s">
        <v>10086</v>
      </c>
      <c r="H1063" s="2">
        <v>2.5999999999999999E-3</v>
      </c>
      <c r="K1063" s="2" t="s">
        <v>10089</v>
      </c>
    </row>
    <row r="1064" spans="1:11" x14ac:dyDescent="0.2">
      <c r="A1064" s="2">
        <v>267</v>
      </c>
      <c r="B1064" s="2">
        <v>2</v>
      </c>
      <c r="C1064" s="2">
        <v>59251997</v>
      </c>
      <c r="D1064" s="2">
        <v>60775066</v>
      </c>
      <c r="E1064" s="2">
        <v>2</v>
      </c>
      <c r="F1064" s="2" t="s">
        <v>10086</v>
      </c>
      <c r="H1064" s="2">
        <v>2.2000000000000001E-3</v>
      </c>
      <c r="K1064" s="2" t="s">
        <v>10087</v>
      </c>
    </row>
    <row r="1065" spans="1:11" x14ac:dyDescent="0.2">
      <c r="A1065" s="2">
        <v>267</v>
      </c>
      <c r="B1065" s="2">
        <v>2</v>
      </c>
      <c r="C1065" s="2">
        <v>59251997</v>
      </c>
      <c r="D1065" s="2">
        <v>60775066</v>
      </c>
      <c r="E1065" s="2">
        <v>3</v>
      </c>
      <c r="F1065" s="2" t="s">
        <v>10086</v>
      </c>
      <c r="H1065" s="2">
        <v>1E-3</v>
      </c>
      <c r="K1065" s="2" t="s">
        <v>10085</v>
      </c>
    </row>
    <row r="1066" spans="1:11" x14ac:dyDescent="0.2">
      <c r="A1066" s="2">
        <v>267</v>
      </c>
      <c r="B1066" s="2">
        <v>2</v>
      </c>
      <c r="C1066" s="2">
        <v>59251997</v>
      </c>
      <c r="D1066" s="2">
        <v>60775066</v>
      </c>
      <c r="E1066" s="2">
        <v>4</v>
      </c>
      <c r="F1066" s="2" t="s">
        <v>10086</v>
      </c>
      <c r="H1066" s="3">
        <v>5.9999999999999995E-4</v>
      </c>
      <c r="K1066" s="2" t="s">
        <v>10088</v>
      </c>
    </row>
    <row r="1067" spans="1:11" x14ac:dyDescent="0.2">
      <c r="A1067" s="2">
        <v>268</v>
      </c>
      <c r="B1067" s="2">
        <v>2</v>
      </c>
      <c r="C1067" s="2">
        <v>60775067</v>
      </c>
      <c r="D1067" s="2">
        <v>62429910</v>
      </c>
      <c r="E1067" s="2">
        <v>1</v>
      </c>
      <c r="F1067" s="2" t="s">
        <v>10086</v>
      </c>
      <c r="H1067" s="2">
        <v>2.3999999999999998E-3</v>
      </c>
      <c r="K1067" s="2" t="s">
        <v>10087</v>
      </c>
    </row>
    <row r="1068" spans="1:11" x14ac:dyDescent="0.2">
      <c r="A1068" s="2">
        <v>268</v>
      </c>
      <c r="B1068" s="2">
        <v>2</v>
      </c>
      <c r="C1068" s="2">
        <v>60775067</v>
      </c>
      <c r="D1068" s="2">
        <v>62429910</v>
      </c>
      <c r="E1068" s="2">
        <v>2</v>
      </c>
      <c r="F1068" s="2" t="s">
        <v>10086</v>
      </c>
      <c r="H1068" s="2">
        <v>1.9E-3</v>
      </c>
      <c r="K1068" s="2" t="s">
        <v>12324</v>
      </c>
    </row>
    <row r="1069" spans="1:11" x14ac:dyDescent="0.2">
      <c r="A1069" s="2">
        <v>268</v>
      </c>
      <c r="B1069" s="2">
        <v>2</v>
      </c>
      <c r="C1069" s="2">
        <v>60775067</v>
      </c>
      <c r="D1069" s="2">
        <v>62429910</v>
      </c>
      <c r="E1069" s="2">
        <v>3</v>
      </c>
      <c r="F1069" s="2" t="s">
        <v>10086</v>
      </c>
      <c r="H1069" s="2">
        <v>1.6000000000000001E-3</v>
      </c>
      <c r="K1069" s="2" t="s">
        <v>10085</v>
      </c>
    </row>
    <row r="1070" spans="1:11" x14ac:dyDescent="0.2">
      <c r="A1070" s="2">
        <v>268</v>
      </c>
      <c r="B1070" s="2">
        <v>2</v>
      </c>
      <c r="C1070" s="2">
        <v>60775067</v>
      </c>
      <c r="D1070" s="2">
        <v>62429910</v>
      </c>
      <c r="E1070" s="2">
        <v>4</v>
      </c>
      <c r="F1070" s="2" t="s">
        <v>10086</v>
      </c>
      <c r="H1070" s="3">
        <v>8.9999999999999998E-4</v>
      </c>
      <c r="K1070" s="2" t="s">
        <v>10089</v>
      </c>
    </row>
    <row r="1071" spans="1:11" x14ac:dyDescent="0.2">
      <c r="A1071" s="2">
        <v>269</v>
      </c>
      <c r="B1071" s="2">
        <v>2</v>
      </c>
      <c r="C1071" s="2">
        <v>62429911</v>
      </c>
      <c r="D1071" s="2">
        <v>63672118</v>
      </c>
      <c r="E1071" s="2">
        <v>1</v>
      </c>
      <c r="F1071" s="2" t="s">
        <v>10086</v>
      </c>
      <c r="H1071" s="2">
        <v>1.2999999999999999E-3</v>
      </c>
      <c r="K1071" s="2" t="s">
        <v>10085</v>
      </c>
    </row>
    <row r="1072" spans="1:11" x14ac:dyDescent="0.2">
      <c r="A1072" s="2">
        <v>269</v>
      </c>
      <c r="B1072" s="2">
        <v>2</v>
      </c>
      <c r="C1072" s="2">
        <v>62429911</v>
      </c>
      <c r="D1072" s="2">
        <v>63672118</v>
      </c>
      <c r="E1072" s="2">
        <v>2</v>
      </c>
      <c r="F1072" s="2" t="s">
        <v>10086</v>
      </c>
      <c r="H1072" s="3">
        <v>8.9999999999999998E-4</v>
      </c>
      <c r="K1072" s="2" t="s">
        <v>10087</v>
      </c>
    </row>
    <row r="1073" spans="1:11" x14ac:dyDescent="0.2">
      <c r="A1073" s="2">
        <v>269</v>
      </c>
      <c r="B1073" s="2">
        <v>2</v>
      </c>
      <c r="C1073" s="2">
        <v>62429911</v>
      </c>
      <c r="D1073" s="2">
        <v>63672118</v>
      </c>
      <c r="E1073" s="2">
        <v>3</v>
      </c>
      <c r="F1073" s="2" t="s">
        <v>10086</v>
      </c>
      <c r="H1073" s="3">
        <v>6.9999999999999999E-4</v>
      </c>
      <c r="K1073" s="2" t="s">
        <v>10089</v>
      </c>
    </row>
    <row r="1074" spans="1:11" x14ac:dyDescent="0.2">
      <c r="A1074" s="2">
        <v>269</v>
      </c>
      <c r="B1074" s="2">
        <v>2</v>
      </c>
      <c r="C1074" s="2">
        <v>62429911</v>
      </c>
      <c r="D1074" s="2">
        <v>63672118</v>
      </c>
      <c r="E1074" s="2">
        <v>4</v>
      </c>
      <c r="F1074" s="2" t="s">
        <v>10086</v>
      </c>
      <c r="H1074" s="3">
        <v>2.9999999999999997E-4</v>
      </c>
      <c r="K1074" s="2" t="s">
        <v>10088</v>
      </c>
    </row>
    <row r="1075" spans="1:11" x14ac:dyDescent="0.2">
      <c r="A1075" s="2">
        <v>270</v>
      </c>
      <c r="B1075" s="2">
        <v>2</v>
      </c>
      <c r="C1075" s="2">
        <v>63672119</v>
      </c>
      <c r="D1075" s="2">
        <v>64696089</v>
      </c>
      <c r="E1075" s="2">
        <v>1</v>
      </c>
      <c r="F1075" s="2" t="s">
        <v>10086</v>
      </c>
      <c r="H1075" s="2">
        <v>1.6999999999999999E-3</v>
      </c>
      <c r="K1075" s="2" t="s">
        <v>10087</v>
      </c>
    </row>
    <row r="1076" spans="1:11" x14ac:dyDescent="0.2">
      <c r="A1076" s="2">
        <v>270</v>
      </c>
      <c r="B1076" s="2">
        <v>2</v>
      </c>
      <c r="C1076" s="2">
        <v>63672119</v>
      </c>
      <c r="D1076" s="2">
        <v>64696089</v>
      </c>
      <c r="E1076" s="2">
        <v>2</v>
      </c>
      <c r="F1076" s="2" t="s">
        <v>10086</v>
      </c>
      <c r="H1076" s="2">
        <v>1.2999999999999999E-3</v>
      </c>
      <c r="K1076" s="2" t="s">
        <v>10085</v>
      </c>
    </row>
    <row r="1077" spans="1:11" x14ac:dyDescent="0.2">
      <c r="A1077" s="2">
        <v>270</v>
      </c>
      <c r="B1077" s="2">
        <v>2</v>
      </c>
      <c r="C1077" s="2">
        <v>63672119</v>
      </c>
      <c r="D1077" s="2">
        <v>64696089</v>
      </c>
      <c r="E1077" s="2">
        <v>3</v>
      </c>
      <c r="F1077" s="2" t="s">
        <v>10086</v>
      </c>
      <c r="H1077" s="3">
        <v>6.9999999999999999E-4</v>
      </c>
      <c r="K1077" s="2" t="s">
        <v>10088</v>
      </c>
    </row>
    <row r="1078" spans="1:11" x14ac:dyDescent="0.2">
      <c r="A1078" s="2">
        <v>270</v>
      </c>
      <c r="B1078" s="2">
        <v>2</v>
      </c>
      <c r="C1078" s="2">
        <v>63672119</v>
      </c>
      <c r="D1078" s="2">
        <v>64696089</v>
      </c>
      <c r="E1078" s="2">
        <v>4</v>
      </c>
      <c r="F1078" s="2" t="s">
        <v>10086</v>
      </c>
      <c r="H1078" s="3">
        <v>2.9999999999999997E-4</v>
      </c>
      <c r="K1078" s="2" t="s">
        <v>10089</v>
      </c>
    </row>
    <row r="1079" spans="1:11" x14ac:dyDescent="0.2">
      <c r="A1079" s="2">
        <v>271</v>
      </c>
      <c r="B1079" s="2">
        <v>2</v>
      </c>
      <c r="C1079" s="2">
        <v>64696090</v>
      </c>
      <c r="D1079" s="2">
        <v>65938002</v>
      </c>
      <c r="E1079" s="2">
        <v>1</v>
      </c>
      <c r="F1079" s="2" t="s">
        <v>10086</v>
      </c>
      <c r="H1079" s="2">
        <v>2.8E-3</v>
      </c>
      <c r="K1079" s="2" t="s">
        <v>10089</v>
      </c>
    </row>
    <row r="1080" spans="1:11" x14ac:dyDescent="0.2">
      <c r="A1080" s="2">
        <v>271</v>
      </c>
      <c r="B1080" s="2">
        <v>2</v>
      </c>
      <c r="C1080" s="2">
        <v>64696090</v>
      </c>
      <c r="D1080" s="2">
        <v>65938002</v>
      </c>
      <c r="E1080" s="2">
        <v>2</v>
      </c>
      <c r="F1080" s="2" t="s">
        <v>10086</v>
      </c>
      <c r="H1080" s="2">
        <v>1.6999999999999999E-3</v>
      </c>
      <c r="K1080" s="2" t="s">
        <v>10087</v>
      </c>
    </row>
    <row r="1081" spans="1:11" x14ac:dyDescent="0.2">
      <c r="A1081" s="2">
        <v>271</v>
      </c>
      <c r="B1081" s="2">
        <v>2</v>
      </c>
      <c r="C1081" s="2">
        <v>64696090</v>
      </c>
      <c r="D1081" s="2">
        <v>65938002</v>
      </c>
      <c r="E1081" s="2">
        <v>3</v>
      </c>
      <c r="F1081" s="2" t="s">
        <v>10086</v>
      </c>
      <c r="H1081" s="2">
        <v>1.4E-3</v>
      </c>
      <c r="K1081" s="2" t="s">
        <v>10085</v>
      </c>
    </row>
    <row r="1082" spans="1:11" x14ac:dyDescent="0.2">
      <c r="A1082" s="2">
        <v>271</v>
      </c>
      <c r="B1082" s="2">
        <v>2</v>
      </c>
      <c r="C1082" s="2">
        <v>64696090</v>
      </c>
      <c r="D1082" s="2">
        <v>65938002</v>
      </c>
      <c r="E1082" s="2">
        <v>4</v>
      </c>
      <c r="F1082" s="2" t="s">
        <v>10086</v>
      </c>
      <c r="H1082" s="3">
        <v>6.9999999999999999E-4</v>
      </c>
      <c r="K1082" s="2" t="s">
        <v>10088</v>
      </c>
    </row>
    <row r="1083" spans="1:11" x14ac:dyDescent="0.2">
      <c r="A1083" s="2">
        <v>272</v>
      </c>
      <c r="B1083" s="2">
        <v>2</v>
      </c>
      <c r="C1083" s="2">
        <v>65938003</v>
      </c>
      <c r="D1083" s="2">
        <v>67224027</v>
      </c>
      <c r="E1083" s="2">
        <v>1</v>
      </c>
      <c r="F1083" s="2" t="s">
        <v>10086</v>
      </c>
      <c r="H1083" s="2">
        <v>4.4000000000000003E-3</v>
      </c>
      <c r="K1083" s="2" t="s">
        <v>10089</v>
      </c>
    </row>
    <row r="1084" spans="1:11" x14ac:dyDescent="0.2">
      <c r="A1084" s="2">
        <v>272</v>
      </c>
      <c r="B1084" s="2">
        <v>2</v>
      </c>
      <c r="C1084" s="2">
        <v>65938003</v>
      </c>
      <c r="D1084" s="2">
        <v>67224027</v>
      </c>
      <c r="E1084" s="2">
        <v>2</v>
      </c>
      <c r="F1084" s="2" t="s">
        <v>10086</v>
      </c>
      <c r="H1084" s="2">
        <v>8.5000000000000006E-3</v>
      </c>
      <c r="K1084" s="2" t="s">
        <v>10088</v>
      </c>
    </row>
    <row r="1085" spans="1:11" x14ac:dyDescent="0.2">
      <c r="A1085" s="2">
        <v>272</v>
      </c>
      <c r="B1085" s="2">
        <v>2</v>
      </c>
      <c r="C1085" s="2">
        <v>65938003</v>
      </c>
      <c r="D1085" s="2">
        <v>67224027</v>
      </c>
      <c r="E1085" s="2">
        <v>3</v>
      </c>
      <c r="F1085" s="2" t="s">
        <v>10086</v>
      </c>
      <c r="H1085" s="2">
        <v>1.2999999999999999E-3</v>
      </c>
      <c r="K1085" s="2" t="s">
        <v>10087</v>
      </c>
    </row>
    <row r="1086" spans="1:11" x14ac:dyDescent="0.2">
      <c r="A1086" s="2">
        <v>272</v>
      </c>
      <c r="B1086" s="2">
        <v>2</v>
      </c>
      <c r="C1086" s="2">
        <v>65938003</v>
      </c>
      <c r="D1086" s="2">
        <v>67224027</v>
      </c>
      <c r="E1086" s="2">
        <v>4</v>
      </c>
      <c r="F1086" s="2" t="s">
        <v>10086</v>
      </c>
      <c r="H1086" s="3">
        <v>5.0000000000000001E-4</v>
      </c>
      <c r="K1086" s="2" t="s">
        <v>10085</v>
      </c>
    </row>
    <row r="1087" spans="1:11" x14ac:dyDescent="0.2">
      <c r="A1087" s="2">
        <v>273</v>
      </c>
      <c r="B1087" s="2">
        <v>2</v>
      </c>
      <c r="C1087" s="2">
        <v>67224028</v>
      </c>
      <c r="D1087" s="2">
        <v>67979828</v>
      </c>
      <c r="E1087" s="2">
        <v>1</v>
      </c>
      <c r="F1087" s="2" t="s">
        <v>10086</v>
      </c>
      <c r="H1087" s="2">
        <v>1.2999999999999999E-3</v>
      </c>
      <c r="K1087" s="2" t="s">
        <v>10089</v>
      </c>
    </row>
    <row r="1088" spans="1:11" x14ac:dyDescent="0.2">
      <c r="A1088" s="2">
        <v>273</v>
      </c>
      <c r="B1088" s="2">
        <v>2</v>
      </c>
      <c r="C1088" s="2">
        <v>67224028</v>
      </c>
      <c r="D1088" s="2">
        <v>67979828</v>
      </c>
      <c r="E1088" s="2">
        <v>2</v>
      </c>
      <c r="F1088" s="2" t="s">
        <v>10086</v>
      </c>
      <c r="H1088" s="2">
        <v>1.1000000000000001E-3</v>
      </c>
      <c r="K1088" s="2" t="s">
        <v>10087</v>
      </c>
    </row>
    <row r="1089" spans="1:11" x14ac:dyDescent="0.2">
      <c r="A1089" s="2">
        <v>273</v>
      </c>
      <c r="B1089" s="2">
        <v>2</v>
      </c>
      <c r="C1089" s="2">
        <v>67224028</v>
      </c>
      <c r="D1089" s="2">
        <v>67979828</v>
      </c>
      <c r="E1089" s="2">
        <v>3</v>
      </c>
      <c r="F1089" s="2" t="s">
        <v>10086</v>
      </c>
      <c r="H1089" s="2">
        <v>1.1000000000000001E-3</v>
      </c>
      <c r="K1089" s="2" t="s">
        <v>12324</v>
      </c>
    </row>
    <row r="1090" spans="1:11" x14ac:dyDescent="0.2">
      <c r="A1090" s="2">
        <v>273</v>
      </c>
      <c r="B1090" s="2">
        <v>2</v>
      </c>
      <c r="C1090" s="2">
        <v>67224028</v>
      </c>
      <c r="D1090" s="2">
        <v>67979828</v>
      </c>
      <c r="E1090" s="2">
        <v>4</v>
      </c>
      <c r="F1090" s="2" t="s">
        <v>10086</v>
      </c>
      <c r="H1090" s="3">
        <v>8.0000000000000004E-4</v>
      </c>
      <c r="K1090" s="2" t="s">
        <v>10088</v>
      </c>
    </row>
    <row r="1091" spans="1:11" x14ac:dyDescent="0.2">
      <c r="A1091" s="2">
        <v>274</v>
      </c>
      <c r="B1091" s="2">
        <v>2</v>
      </c>
      <c r="C1091" s="2">
        <v>67979829</v>
      </c>
      <c r="D1091" s="2">
        <v>68877774</v>
      </c>
      <c r="E1091" s="2">
        <v>1</v>
      </c>
      <c r="F1091" s="2" t="s">
        <v>10086</v>
      </c>
      <c r="H1091" s="2">
        <v>7.4000000000000003E-3</v>
      </c>
      <c r="K1091" s="2" t="s">
        <v>12324</v>
      </c>
    </row>
    <row r="1092" spans="1:11" x14ac:dyDescent="0.2">
      <c r="A1092" s="2">
        <v>274</v>
      </c>
      <c r="B1092" s="2">
        <v>2</v>
      </c>
      <c r="C1092" s="2">
        <v>67979829</v>
      </c>
      <c r="D1092" s="2">
        <v>68877774</v>
      </c>
      <c r="E1092" s="2">
        <v>2</v>
      </c>
      <c r="F1092" s="2" t="s">
        <v>10086</v>
      </c>
      <c r="H1092" s="3">
        <v>5.9999999999999995E-4</v>
      </c>
      <c r="K1092" s="2" t="s">
        <v>10089</v>
      </c>
    </row>
    <row r="1093" spans="1:11" x14ac:dyDescent="0.2">
      <c r="A1093" s="2">
        <v>274</v>
      </c>
      <c r="B1093" s="2">
        <v>2</v>
      </c>
      <c r="C1093" s="2">
        <v>67979829</v>
      </c>
      <c r="D1093" s="2">
        <v>68877774</v>
      </c>
      <c r="E1093" s="2">
        <v>3</v>
      </c>
      <c r="F1093" s="2" t="s">
        <v>10086</v>
      </c>
      <c r="H1093" s="2">
        <v>1E-3</v>
      </c>
      <c r="K1093" s="2" t="s">
        <v>10088</v>
      </c>
    </row>
    <row r="1094" spans="1:11" x14ac:dyDescent="0.2">
      <c r="A1094" s="2">
        <v>274</v>
      </c>
      <c r="B1094" s="2">
        <v>2</v>
      </c>
      <c r="C1094" s="2">
        <v>67979829</v>
      </c>
      <c r="D1094" s="2">
        <v>68877774</v>
      </c>
      <c r="E1094" s="2">
        <v>4</v>
      </c>
      <c r="F1094" s="2" t="s">
        <v>10086</v>
      </c>
      <c r="H1094" s="3">
        <v>5.0000000000000001E-4</v>
      </c>
      <c r="K1094" s="2" t="s">
        <v>10087</v>
      </c>
    </row>
    <row r="1095" spans="1:11" x14ac:dyDescent="0.2">
      <c r="A1095" s="2">
        <v>275</v>
      </c>
      <c r="B1095" s="2">
        <v>2</v>
      </c>
      <c r="C1095" s="2">
        <v>68877775</v>
      </c>
      <c r="D1095" s="2">
        <v>70756283</v>
      </c>
      <c r="E1095" s="2">
        <v>1</v>
      </c>
      <c r="F1095" s="2" t="s">
        <v>10086</v>
      </c>
      <c r="H1095" s="2">
        <v>1.38E-2</v>
      </c>
      <c r="K1095" s="2" t="s">
        <v>10085</v>
      </c>
    </row>
    <row r="1096" spans="1:11" x14ac:dyDescent="0.2">
      <c r="A1096" s="2">
        <v>275</v>
      </c>
      <c r="B1096" s="2">
        <v>2</v>
      </c>
      <c r="C1096" s="2">
        <v>68877775</v>
      </c>
      <c r="D1096" s="2">
        <v>70756283</v>
      </c>
      <c r="E1096" s="2">
        <v>2</v>
      </c>
      <c r="F1096" s="2" t="s">
        <v>10086</v>
      </c>
      <c r="H1096" s="2">
        <v>3.3E-3</v>
      </c>
      <c r="K1096" s="2" t="s">
        <v>10088</v>
      </c>
    </row>
    <row r="1097" spans="1:11" x14ac:dyDescent="0.2">
      <c r="A1097" s="2">
        <v>275</v>
      </c>
      <c r="B1097" s="2">
        <v>2</v>
      </c>
      <c r="C1097" s="2">
        <v>68877775</v>
      </c>
      <c r="D1097" s="2">
        <v>70756283</v>
      </c>
      <c r="E1097" s="2">
        <v>3</v>
      </c>
      <c r="F1097" s="2" t="s">
        <v>10086</v>
      </c>
      <c r="H1097" s="2">
        <v>2.3E-3</v>
      </c>
      <c r="K1097" s="2" t="s">
        <v>12324</v>
      </c>
    </row>
    <row r="1098" spans="1:11" x14ac:dyDescent="0.2">
      <c r="A1098" s="2">
        <v>275</v>
      </c>
      <c r="B1098" s="2">
        <v>2</v>
      </c>
      <c r="C1098" s="2">
        <v>68877775</v>
      </c>
      <c r="D1098" s="2">
        <v>70756283</v>
      </c>
      <c r="E1098" s="2">
        <v>4</v>
      </c>
      <c r="F1098" s="2" t="s">
        <v>10086</v>
      </c>
      <c r="H1098" s="2">
        <v>1E-3</v>
      </c>
      <c r="K1098" s="2" t="s">
        <v>10087</v>
      </c>
    </row>
    <row r="1099" spans="1:11" x14ac:dyDescent="0.2">
      <c r="A1099" s="2">
        <v>276</v>
      </c>
      <c r="B1099" s="2">
        <v>2</v>
      </c>
      <c r="C1099" s="2">
        <v>70756284</v>
      </c>
      <c r="D1099" s="2">
        <v>71385813</v>
      </c>
      <c r="E1099" s="2">
        <v>1</v>
      </c>
      <c r="F1099" s="2" t="s">
        <v>10086</v>
      </c>
      <c r="H1099" s="2">
        <v>1E-3</v>
      </c>
      <c r="K1099" s="2" t="s">
        <v>10085</v>
      </c>
    </row>
    <row r="1100" spans="1:11" x14ac:dyDescent="0.2">
      <c r="A1100" s="2">
        <v>276</v>
      </c>
      <c r="B1100" s="2">
        <v>2</v>
      </c>
      <c r="C1100" s="2">
        <v>70756284</v>
      </c>
      <c r="D1100" s="2">
        <v>71385813</v>
      </c>
      <c r="E1100" s="2">
        <v>2</v>
      </c>
      <c r="F1100" s="2" t="s">
        <v>10086</v>
      </c>
      <c r="H1100" s="3">
        <v>6.9999999999999999E-4</v>
      </c>
      <c r="K1100" s="2" t="s">
        <v>10089</v>
      </c>
    </row>
    <row r="1101" spans="1:11" x14ac:dyDescent="0.2">
      <c r="A1101" s="2">
        <v>276</v>
      </c>
      <c r="B1101" s="2">
        <v>2</v>
      </c>
      <c r="C1101" s="2">
        <v>70756284</v>
      </c>
      <c r="D1101" s="2">
        <v>71385813</v>
      </c>
      <c r="E1101" s="2">
        <v>3</v>
      </c>
      <c r="F1101" s="2" t="s">
        <v>10086</v>
      </c>
      <c r="H1101" s="3">
        <v>5.9999999999999995E-4</v>
      </c>
      <c r="K1101" s="2" t="s">
        <v>10088</v>
      </c>
    </row>
    <row r="1102" spans="1:11" x14ac:dyDescent="0.2">
      <c r="A1102" s="2">
        <v>276</v>
      </c>
      <c r="B1102" s="2">
        <v>2</v>
      </c>
      <c r="C1102" s="2">
        <v>70756284</v>
      </c>
      <c r="D1102" s="2">
        <v>71385813</v>
      </c>
      <c r="E1102" s="2">
        <v>4</v>
      </c>
      <c r="F1102" s="2" t="s">
        <v>10086</v>
      </c>
      <c r="H1102" s="3">
        <v>2.9999999999999997E-4</v>
      </c>
      <c r="K1102" s="2" t="s">
        <v>10087</v>
      </c>
    </row>
    <row r="1103" spans="1:11" x14ac:dyDescent="0.2">
      <c r="A1103" s="2">
        <v>277</v>
      </c>
      <c r="B1103" s="2">
        <v>2</v>
      </c>
      <c r="C1103" s="2">
        <v>71385814</v>
      </c>
      <c r="D1103" s="2">
        <v>72160302</v>
      </c>
      <c r="E1103" s="2">
        <v>1</v>
      </c>
      <c r="F1103" s="2" t="s">
        <v>10086</v>
      </c>
      <c r="H1103" s="2">
        <v>1.4E-3</v>
      </c>
      <c r="K1103" s="2" t="s">
        <v>10085</v>
      </c>
    </row>
    <row r="1104" spans="1:11" x14ac:dyDescent="0.2">
      <c r="A1104" s="2">
        <v>277</v>
      </c>
      <c r="B1104" s="2">
        <v>2</v>
      </c>
      <c r="C1104" s="2">
        <v>71385814</v>
      </c>
      <c r="D1104" s="2">
        <v>72160302</v>
      </c>
      <c r="E1104" s="2">
        <v>2</v>
      </c>
      <c r="F1104" s="2" t="s">
        <v>10086</v>
      </c>
      <c r="H1104" s="3">
        <v>8.9999999999999998E-4</v>
      </c>
      <c r="K1104" s="2" t="s">
        <v>10087</v>
      </c>
    </row>
    <row r="1105" spans="1:11" x14ac:dyDescent="0.2">
      <c r="A1105" s="2">
        <v>277</v>
      </c>
      <c r="B1105" s="2">
        <v>2</v>
      </c>
      <c r="C1105" s="2">
        <v>71385814</v>
      </c>
      <c r="D1105" s="2">
        <v>72160302</v>
      </c>
      <c r="E1105" s="2">
        <v>3</v>
      </c>
      <c r="F1105" s="2" t="s">
        <v>10086</v>
      </c>
      <c r="H1105" s="3">
        <v>8.0000000000000004E-4</v>
      </c>
      <c r="K1105" s="2" t="s">
        <v>10089</v>
      </c>
    </row>
    <row r="1106" spans="1:11" x14ac:dyDescent="0.2">
      <c r="A1106" s="2">
        <v>277</v>
      </c>
      <c r="B1106" s="2">
        <v>2</v>
      </c>
      <c r="C1106" s="2">
        <v>71385814</v>
      </c>
      <c r="D1106" s="2">
        <v>72160302</v>
      </c>
      <c r="E1106" s="2">
        <v>4</v>
      </c>
      <c r="F1106" s="2" t="s">
        <v>10086</v>
      </c>
      <c r="H1106" s="3">
        <v>4.0000000000000002E-4</v>
      </c>
      <c r="K1106" s="2" t="s">
        <v>10088</v>
      </c>
    </row>
    <row r="1107" spans="1:11" x14ac:dyDescent="0.2">
      <c r="A1107" s="2">
        <v>278</v>
      </c>
      <c r="B1107" s="2">
        <v>2</v>
      </c>
      <c r="C1107" s="2">
        <v>72160303</v>
      </c>
      <c r="D1107" s="2">
        <v>73544290</v>
      </c>
      <c r="E1107" s="2">
        <v>1</v>
      </c>
      <c r="F1107" s="2" t="s">
        <v>10086</v>
      </c>
      <c r="H1107" s="2">
        <v>3.5999999999999999E-3</v>
      </c>
      <c r="K1107" s="2" t="s">
        <v>10085</v>
      </c>
    </row>
    <row r="1108" spans="1:11" x14ac:dyDescent="0.2">
      <c r="A1108" s="2">
        <v>278</v>
      </c>
      <c r="B1108" s="2">
        <v>2</v>
      </c>
      <c r="C1108" s="2">
        <v>72160303</v>
      </c>
      <c r="D1108" s="2">
        <v>73544290</v>
      </c>
      <c r="E1108" s="2">
        <v>2</v>
      </c>
      <c r="F1108" s="2" t="s">
        <v>10086</v>
      </c>
      <c r="H1108" s="3">
        <v>8.9999999999999998E-4</v>
      </c>
      <c r="K1108" s="2" t="s">
        <v>10087</v>
      </c>
    </row>
    <row r="1109" spans="1:11" x14ac:dyDescent="0.2">
      <c r="A1109" s="2">
        <v>278</v>
      </c>
      <c r="B1109" s="2">
        <v>2</v>
      </c>
      <c r="C1109" s="2">
        <v>72160303</v>
      </c>
      <c r="D1109" s="2">
        <v>73544290</v>
      </c>
      <c r="E1109" s="2">
        <v>3</v>
      </c>
      <c r="F1109" s="2" t="s">
        <v>10086</v>
      </c>
      <c r="H1109" s="3">
        <v>6.9999999999999999E-4</v>
      </c>
      <c r="K1109" s="2" t="s">
        <v>10088</v>
      </c>
    </row>
    <row r="1110" spans="1:11" x14ac:dyDescent="0.2">
      <c r="A1110" s="2">
        <v>278</v>
      </c>
      <c r="B1110" s="2">
        <v>2</v>
      </c>
      <c r="C1110" s="2">
        <v>72160303</v>
      </c>
      <c r="D1110" s="2">
        <v>73544290</v>
      </c>
      <c r="E1110" s="2">
        <v>4</v>
      </c>
      <c r="F1110" s="2" t="s">
        <v>10086</v>
      </c>
      <c r="H1110" s="3">
        <v>4.0000000000000002E-4</v>
      </c>
      <c r="K1110" s="2" t="s">
        <v>10089</v>
      </c>
    </row>
    <row r="1111" spans="1:11" x14ac:dyDescent="0.2">
      <c r="A1111" s="2">
        <v>279</v>
      </c>
      <c r="B1111" s="2">
        <v>2</v>
      </c>
      <c r="C1111" s="2">
        <v>73544291</v>
      </c>
      <c r="D1111" s="2">
        <v>75148103</v>
      </c>
      <c r="E1111" s="2">
        <v>1</v>
      </c>
      <c r="F1111" s="2" t="s">
        <v>10086</v>
      </c>
      <c r="H1111" s="2">
        <v>4.4000000000000003E-3</v>
      </c>
      <c r="K1111" s="2" t="s">
        <v>10087</v>
      </c>
    </row>
    <row r="1112" spans="1:11" x14ac:dyDescent="0.2">
      <c r="A1112" s="2">
        <v>279</v>
      </c>
      <c r="B1112" s="2">
        <v>2</v>
      </c>
      <c r="C1112" s="2">
        <v>73544291</v>
      </c>
      <c r="D1112" s="2">
        <v>75148103</v>
      </c>
      <c r="E1112" s="2">
        <v>2</v>
      </c>
      <c r="F1112" s="2" t="s">
        <v>10086</v>
      </c>
      <c r="H1112" s="2">
        <v>1.5E-3</v>
      </c>
      <c r="K1112" s="2" t="s">
        <v>10085</v>
      </c>
    </row>
    <row r="1113" spans="1:11" x14ac:dyDescent="0.2">
      <c r="A1113" s="2">
        <v>279</v>
      </c>
      <c r="B1113" s="2">
        <v>2</v>
      </c>
      <c r="C1113" s="2">
        <v>73544291</v>
      </c>
      <c r="D1113" s="2">
        <v>75148103</v>
      </c>
      <c r="E1113" s="2">
        <v>3</v>
      </c>
      <c r="F1113" s="2" t="s">
        <v>10086</v>
      </c>
      <c r="H1113" s="2">
        <v>1.6999999999999999E-3</v>
      </c>
      <c r="K1113" s="2" t="s">
        <v>10088</v>
      </c>
    </row>
    <row r="1114" spans="1:11" x14ac:dyDescent="0.2">
      <c r="A1114" s="2">
        <v>279</v>
      </c>
      <c r="B1114" s="2">
        <v>2</v>
      </c>
      <c r="C1114" s="2">
        <v>73544291</v>
      </c>
      <c r="D1114" s="2">
        <v>75148103</v>
      </c>
      <c r="E1114" s="2">
        <v>4</v>
      </c>
      <c r="F1114" s="2" t="s">
        <v>10086</v>
      </c>
      <c r="H1114" s="3">
        <v>5.0000000000000001E-4</v>
      </c>
      <c r="K1114" s="2" t="s">
        <v>10089</v>
      </c>
    </row>
    <row r="1115" spans="1:11" x14ac:dyDescent="0.2">
      <c r="A1115" s="2">
        <v>280</v>
      </c>
      <c r="B1115" s="2">
        <v>2</v>
      </c>
      <c r="C1115" s="2">
        <v>75148104</v>
      </c>
      <c r="D1115" s="2">
        <v>75942397</v>
      </c>
      <c r="E1115" s="2">
        <v>1</v>
      </c>
      <c r="F1115" s="2" t="s">
        <v>10086</v>
      </c>
      <c r="H1115" s="2">
        <v>2.5999999999999999E-3</v>
      </c>
      <c r="K1115" s="2" t="s">
        <v>10089</v>
      </c>
    </row>
    <row r="1116" spans="1:11" x14ac:dyDescent="0.2">
      <c r="A1116" s="2">
        <v>280</v>
      </c>
      <c r="B1116" s="2">
        <v>2</v>
      </c>
      <c r="C1116" s="2">
        <v>75148104</v>
      </c>
      <c r="D1116" s="2">
        <v>75942397</v>
      </c>
      <c r="E1116" s="2">
        <v>2</v>
      </c>
      <c r="F1116" s="2" t="s">
        <v>10086</v>
      </c>
      <c r="H1116" s="2">
        <v>2.2000000000000001E-3</v>
      </c>
      <c r="K1116" s="2" t="s">
        <v>10085</v>
      </c>
    </row>
    <row r="1117" spans="1:11" x14ac:dyDescent="0.2">
      <c r="A1117" s="2">
        <v>280</v>
      </c>
      <c r="B1117" s="2">
        <v>2</v>
      </c>
      <c r="C1117" s="2">
        <v>75148104</v>
      </c>
      <c r="D1117" s="2">
        <v>75942397</v>
      </c>
      <c r="E1117" s="2">
        <v>3</v>
      </c>
      <c r="F1117" s="2" t="s">
        <v>10086</v>
      </c>
      <c r="H1117" s="2">
        <v>2.3999999999999998E-3</v>
      </c>
      <c r="K1117" s="2" t="s">
        <v>10088</v>
      </c>
    </row>
    <row r="1118" spans="1:11" x14ac:dyDescent="0.2">
      <c r="A1118" s="2">
        <v>280</v>
      </c>
      <c r="B1118" s="2">
        <v>2</v>
      </c>
      <c r="C1118" s="2">
        <v>75148104</v>
      </c>
      <c r="D1118" s="2">
        <v>75942397</v>
      </c>
      <c r="E1118" s="2">
        <v>4</v>
      </c>
      <c r="F1118" s="2" t="s">
        <v>10086</v>
      </c>
      <c r="H1118" s="3">
        <v>5.9999999999999995E-4</v>
      </c>
      <c r="K1118" s="2" t="s">
        <v>10087</v>
      </c>
    </row>
    <row r="1119" spans="1:11" x14ac:dyDescent="0.2">
      <c r="A1119" s="2">
        <v>281</v>
      </c>
      <c r="B1119" s="2">
        <v>2</v>
      </c>
      <c r="C1119" s="2">
        <v>75942398</v>
      </c>
      <c r="D1119" s="2">
        <v>76649030</v>
      </c>
      <c r="E1119" s="2">
        <v>1</v>
      </c>
      <c r="F1119" s="2" t="s">
        <v>10086</v>
      </c>
      <c r="H1119" s="2">
        <v>2.2000000000000001E-3</v>
      </c>
      <c r="K1119" s="2" t="s">
        <v>10085</v>
      </c>
    </row>
    <row r="1120" spans="1:11" x14ac:dyDescent="0.2">
      <c r="A1120" s="2">
        <v>281</v>
      </c>
      <c r="B1120" s="2">
        <v>2</v>
      </c>
      <c r="C1120" s="2">
        <v>75942398</v>
      </c>
      <c r="D1120" s="2">
        <v>76649030</v>
      </c>
      <c r="E1120" s="2">
        <v>2</v>
      </c>
      <c r="F1120" s="2" t="s">
        <v>10086</v>
      </c>
      <c r="H1120" s="3">
        <v>5.9999999999999995E-4</v>
      </c>
      <c r="K1120" s="2" t="s">
        <v>10089</v>
      </c>
    </row>
    <row r="1121" spans="1:11" x14ac:dyDescent="0.2">
      <c r="A1121" s="2">
        <v>281</v>
      </c>
      <c r="B1121" s="2">
        <v>2</v>
      </c>
      <c r="C1121" s="2">
        <v>75942398</v>
      </c>
      <c r="D1121" s="2">
        <v>76649030</v>
      </c>
      <c r="E1121" s="2">
        <v>3</v>
      </c>
      <c r="F1121" s="2" t="s">
        <v>10086</v>
      </c>
      <c r="H1121" s="3">
        <v>5.9999999999999995E-4</v>
      </c>
      <c r="K1121" s="2" t="s">
        <v>10088</v>
      </c>
    </row>
    <row r="1122" spans="1:11" x14ac:dyDescent="0.2">
      <c r="A1122" s="2">
        <v>281</v>
      </c>
      <c r="B1122" s="2">
        <v>2</v>
      </c>
      <c r="C1122" s="2">
        <v>75942398</v>
      </c>
      <c r="D1122" s="2">
        <v>76649030</v>
      </c>
      <c r="E1122" s="2">
        <v>4</v>
      </c>
      <c r="F1122" s="2" t="s">
        <v>10086</v>
      </c>
      <c r="H1122" s="3">
        <v>2.0000000000000001E-4</v>
      </c>
      <c r="K1122" s="2" t="s">
        <v>10087</v>
      </c>
    </row>
    <row r="1123" spans="1:11" x14ac:dyDescent="0.2">
      <c r="A1123" s="2">
        <v>282</v>
      </c>
      <c r="B1123" s="2">
        <v>2</v>
      </c>
      <c r="C1123" s="2">
        <v>76649031</v>
      </c>
      <c r="D1123" s="2">
        <v>77372830</v>
      </c>
      <c r="E1123" s="2">
        <v>1</v>
      </c>
      <c r="F1123" s="2" t="s">
        <v>10086</v>
      </c>
      <c r="H1123" s="2">
        <v>1.8E-3</v>
      </c>
      <c r="K1123" s="2" t="s">
        <v>10087</v>
      </c>
    </row>
    <row r="1124" spans="1:11" x14ac:dyDescent="0.2">
      <c r="A1124" s="2">
        <v>282</v>
      </c>
      <c r="B1124" s="2">
        <v>2</v>
      </c>
      <c r="C1124" s="2">
        <v>76649031</v>
      </c>
      <c r="D1124" s="2">
        <v>77372830</v>
      </c>
      <c r="E1124" s="2">
        <v>2</v>
      </c>
      <c r="F1124" s="2" t="s">
        <v>10086</v>
      </c>
      <c r="H1124" s="2">
        <v>1.6999999999999999E-3</v>
      </c>
      <c r="K1124" s="2" t="s">
        <v>10089</v>
      </c>
    </row>
    <row r="1125" spans="1:11" x14ac:dyDescent="0.2">
      <c r="A1125" s="2">
        <v>282</v>
      </c>
      <c r="B1125" s="2">
        <v>2</v>
      </c>
      <c r="C1125" s="2">
        <v>76649031</v>
      </c>
      <c r="D1125" s="2">
        <v>77372830</v>
      </c>
      <c r="E1125" s="2">
        <v>3</v>
      </c>
      <c r="F1125" s="2" t="s">
        <v>10086</v>
      </c>
      <c r="H1125" s="3">
        <v>5.9999999999999995E-4</v>
      </c>
      <c r="K1125" s="2" t="s">
        <v>10088</v>
      </c>
    </row>
    <row r="1126" spans="1:11" x14ac:dyDescent="0.2">
      <c r="A1126" s="2">
        <v>282</v>
      </c>
      <c r="B1126" s="2">
        <v>2</v>
      </c>
      <c r="C1126" s="2">
        <v>76649031</v>
      </c>
      <c r="D1126" s="2">
        <v>77372830</v>
      </c>
      <c r="E1126" s="2">
        <v>4</v>
      </c>
      <c r="F1126" s="2" t="s">
        <v>10086</v>
      </c>
      <c r="H1126" s="3">
        <v>2.9999999999999997E-4</v>
      </c>
      <c r="K1126" s="2" t="s">
        <v>10085</v>
      </c>
    </row>
    <row r="1127" spans="1:11" x14ac:dyDescent="0.2">
      <c r="A1127" s="2">
        <v>283</v>
      </c>
      <c r="B1127" s="2">
        <v>2</v>
      </c>
      <c r="C1127" s="2">
        <v>77372831</v>
      </c>
      <c r="D1127" s="2">
        <v>78080057</v>
      </c>
      <c r="E1127" s="2">
        <v>1</v>
      </c>
      <c r="F1127" s="2" t="s">
        <v>10086</v>
      </c>
      <c r="H1127" s="2">
        <v>1.1999999999999999E-3</v>
      </c>
      <c r="K1127" s="2" t="s">
        <v>10085</v>
      </c>
    </row>
    <row r="1128" spans="1:11" x14ac:dyDescent="0.2">
      <c r="A1128" s="2">
        <v>283</v>
      </c>
      <c r="B1128" s="2">
        <v>2</v>
      </c>
      <c r="C1128" s="2">
        <v>77372831</v>
      </c>
      <c r="D1128" s="2">
        <v>78080057</v>
      </c>
      <c r="E1128" s="2">
        <v>2</v>
      </c>
      <c r="F1128" s="2" t="s">
        <v>10086</v>
      </c>
      <c r="H1128" s="2">
        <v>1.1999999999999999E-3</v>
      </c>
      <c r="K1128" s="2" t="s">
        <v>10089</v>
      </c>
    </row>
    <row r="1129" spans="1:11" x14ac:dyDescent="0.2">
      <c r="A1129" s="2">
        <v>283</v>
      </c>
      <c r="B1129" s="2">
        <v>2</v>
      </c>
      <c r="C1129" s="2">
        <v>77372831</v>
      </c>
      <c r="D1129" s="2">
        <v>78080057</v>
      </c>
      <c r="E1129" s="2">
        <v>3</v>
      </c>
      <c r="F1129" s="2" t="s">
        <v>10086</v>
      </c>
      <c r="H1129" s="3">
        <v>8.9999999999999998E-4</v>
      </c>
      <c r="K1129" s="2" t="s">
        <v>10088</v>
      </c>
    </row>
    <row r="1130" spans="1:11" x14ac:dyDescent="0.2">
      <c r="A1130" s="2">
        <v>283</v>
      </c>
      <c r="B1130" s="2">
        <v>2</v>
      </c>
      <c r="C1130" s="2">
        <v>77372831</v>
      </c>
      <c r="D1130" s="2">
        <v>78080057</v>
      </c>
      <c r="E1130" s="2">
        <v>4</v>
      </c>
      <c r="F1130" s="2" t="s">
        <v>10086</v>
      </c>
      <c r="H1130" s="3">
        <v>6.9999999999999999E-4</v>
      </c>
      <c r="K1130" s="2" t="s">
        <v>10087</v>
      </c>
    </row>
    <row r="1131" spans="1:11" x14ac:dyDescent="0.2">
      <c r="A1131" s="2">
        <v>284</v>
      </c>
      <c r="B1131" s="2">
        <v>2</v>
      </c>
      <c r="C1131" s="2">
        <v>78080058</v>
      </c>
      <c r="D1131" s="2">
        <v>79019676</v>
      </c>
      <c r="E1131" s="2">
        <v>1</v>
      </c>
      <c r="F1131" s="2" t="s">
        <v>10086</v>
      </c>
      <c r="H1131" s="3">
        <v>6.9999999999999999E-4</v>
      </c>
      <c r="K1131" s="2" t="s">
        <v>10085</v>
      </c>
    </row>
    <row r="1132" spans="1:11" x14ac:dyDescent="0.2">
      <c r="A1132" s="2">
        <v>284</v>
      </c>
      <c r="B1132" s="2">
        <v>2</v>
      </c>
      <c r="C1132" s="2">
        <v>78080058</v>
      </c>
      <c r="D1132" s="2">
        <v>79019676</v>
      </c>
      <c r="E1132" s="2">
        <v>2</v>
      </c>
      <c r="F1132" s="2" t="s">
        <v>10086</v>
      </c>
      <c r="H1132" s="2">
        <v>1E-3</v>
      </c>
      <c r="K1132" s="2" t="s">
        <v>10088</v>
      </c>
    </row>
    <row r="1133" spans="1:11" x14ac:dyDescent="0.2">
      <c r="A1133" s="2">
        <v>284</v>
      </c>
      <c r="B1133" s="2">
        <v>2</v>
      </c>
      <c r="C1133" s="2">
        <v>78080058</v>
      </c>
      <c r="D1133" s="2">
        <v>79019676</v>
      </c>
      <c r="E1133" s="2">
        <v>3</v>
      </c>
      <c r="F1133" s="2" t="s">
        <v>10086</v>
      </c>
      <c r="H1133" s="3">
        <v>5.9999999999999995E-4</v>
      </c>
      <c r="K1133" s="2" t="s">
        <v>10089</v>
      </c>
    </row>
    <row r="1134" spans="1:11" x14ac:dyDescent="0.2">
      <c r="A1134" s="2">
        <v>284</v>
      </c>
      <c r="B1134" s="2">
        <v>2</v>
      </c>
      <c r="C1134" s="2">
        <v>78080058</v>
      </c>
      <c r="D1134" s="2">
        <v>79019676</v>
      </c>
      <c r="E1134" s="2">
        <v>4</v>
      </c>
      <c r="F1134" s="2" t="s">
        <v>10086</v>
      </c>
      <c r="H1134" s="3">
        <v>2.9999999999999997E-4</v>
      </c>
      <c r="K1134" s="2" t="s">
        <v>10087</v>
      </c>
    </row>
    <row r="1135" spans="1:11" x14ac:dyDescent="0.2">
      <c r="A1135" s="2">
        <v>285</v>
      </c>
      <c r="B1135" s="2">
        <v>2</v>
      </c>
      <c r="C1135" s="2">
        <v>79019677</v>
      </c>
      <c r="D1135" s="2">
        <v>79900055</v>
      </c>
      <c r="E1135" s="2">
        <v>1</v>
      </c>
      <c r="F1135" s="2" t="s">
        <v>10086</v>
      </c>
      <c r="H1135" s="2">
        <v>1.29E-2</v>
      </c>
      <c r="K1135" s="2" t="s">
        <v>10089</v>
      </c>
    </row>
    <row r="1136" spans="1:11" x14ac:dyDescent="0.2">
      <c r="A1136" s="2">
        <v>285</v>
      </c>
      <c r="B1136" s="2">
        <v>2</v>
      </c>
      <c r="C1136" s="2">
        <v>79019677</v>
      </c>
      <c r="D1136" s="2">
        <v>79900055</v>
      </c>
      <c r="E1136" s="2">
        <v>2</v>
      </c>
      <c r="F1136" s="2" t="s">
        <v>10086</v>
      </c>
      <c r="H1136" s="2">
        <v>1.4E-3</v>
      </c>
      <c r="K1136" s="2" t="s">
        <v>10085</v>
      </c>
    </row>
    <row r="1137" spans="1:11" x14ac:dyDescent="0.2">
      <c r="A1137" s="2">
        <v>285</v>
      </c>
      <c r="B1137" s="2">
        <v>2</v>
      </c>
      <c r="C1137" s="2">
        <v>79019677</v>
      </c>
      <c r="D1137" s="2">
        <v>79900055</v>
      </c>
      <c r="E1137" s="2">
        <v>3</v>
      </c>
      <c r="F1137" s="2" t="s">
        <v>10086</v>
      </c>
      <c r="H1137" s="2">
        <v>1.1999999999999999E-3</v>
      </c>
      <c r="K1137" s="2" t="s">
        <v>10088</v>
      </c>
    </row>
    <row r="1138" spans="1:11" x14ac:dyDescent="0.2">
      <c r="A1138" s="2">
        <v>285</v>
      </c>
      <c r="B1138" s="2">
        <v>2</v>
      </c>
      <c r="C1138" s="2">
        <v>79019677</v>
      </c>
      <c r="D1138" s="2">
        <v>79900055</v>
      </c>
      <c r="E1138" s="2">
        <v>4</v>
      </c>
      <c r="F1138" s="2" t="s">
        <v>10086</v>
      </c>
      <c r="H1138" s="3">
        <v>5.0000000000000001E-4</v>
      </c>
      <c r="K1138" s="2" t="s">
        <v>10087</v>
      </c>
    </row>
    <row r="1139" spans="1:11" x14ac:dyDescent="0.2">
      <c r="A1139" s="2">
        <v>286</v>
      </c>
      <c r="B1139" s="2">
        <v>2</v>
      </c>
      <c r="C1139" s="2">
        <v>79900056</v>
      </c>
      <c r="D1139" s="2">
        <v>80737811</v>
      </c>
      <c r="E1139" s="2">
        <v>1</v>
      </c>
      <c r="F1139" s="2" t="s">
        <v>10086</v>
      </c>
      <c r="H1139" s="2">
        <v>1.4E-3</v>
      </c>
      <c r="K1139" s="2" t="s">
        <v>10089</v>
      </c>
    </row>
    <row r="1140" spans="1:11" x14ac:dyDescent="0.2">
      <c r="A1140" s="2">
        <v>286</v>
      </c>
      <c r="B1140" s="2">
        <v>2</v>
      </c>
      <c r="C1140" s="2">
        <v>79900056</v>
      </c>
      <c r="D1140" s="2">
        <v>80737811</v>
      </c>
      <c r="E1140" s="2">
        <v>2</v>
      </c>
      <c r="F1140" s="2" t="s">
        <v>10086</v>
      </c>
      <c r="H1140" s="2">
        <v>2E-3</v>
      </c>
      <c r="K1140" s="2" t="s">
        <v>10088</v>
      </c>
    </row>
    <row r="1141" spans="1:11" x14ac:dyDescent="0.2">
      <c r="A1141" s="2">
        <v>286</v>
      </c>
      <c r="B1141" s="2">
        <v>2</v>
      </c>
      <c r="C1141" s="2">
        <v>79900056</v>
      </c>
      <c r="D1141" s="2">
        <v>80737811</v>
      </c>
      <c r="E1141" s="2">
        <v>3</v>
      </c>
      <c r="F1141" s="2" t="s">
        <v>10086</v>
      </c>
      <c r="H1141" s="3">
        <v>5.9999999999999995E-4</v>
      </c>
      <c r="K1141" s="2" t="s">
        <v>10085</v>
      </c>
    </row>
    <row r="1142" spans="1:11" x14ac:dyDescent="0.2">
      <c r="A1142" s="2">
        <v>286</v>
      </c>
      <c r="B1142" s="2">
        <v>2</v>
      </c>
      <c r="C1142" s="2">
        <v>79900056</v>
      </c>
      <c r="D1142" s="2">
        <v>80737811</v>
      </c>
      <c r="E1142" s="2">
        <v>4</v>
      </c>
      <c r="F1142" s="2" t="s">
        <v>10086</v>
      </c>
      <c r="H1142" s="3">
        <v>4.0000000000000002E-4</v>
      </c>
      <c r="K1142" s="2" t="s">
        <v>12324</v>
      </c>
    </row>
    <row r="1143" spans="1:11" x14ac:dyDescent="0.2">
      <c r="A1143" s="2">
        <v>287</v>
      </c>
      <c r="B1143" s="2">
        <v>2</v>
      </c>
      <c r="C1143" s="2">
        <v>80737812</v>
      </c>
      <c r="D1143" s="2">
        <v>81623357</v>
      </c>
      <c r="E1143" s="2">
        <v>1</v>
      </c>
      <c r="F1143" s="2" t="s">
        <v>10086</v>
      </c>
      <c r="H1143" s="3">
        <v>5.9999999999999995E-4</v>
      </c>
      <c r="K1143" s="2" t="s">
        <v>10089</v>
      </c>
    </row>
    <row r="1144" spans="1:11" x14ac:dyDescent="0.2">
      <c r="A1144" s="2">
        <v>287</v>
      </c>
      <c r="B1144" s="2">
        <v>2</v>
      </c>
      <c r="C1144" s="2">
        <v>80737812</v>
      </c>
      <c r="D1144" s="2">
        <v>81623357</v>
      </c>
      <c r="E1144" s="2">
        <v>2</v>
      </c>
      <c r="F1144" s="2" t="s">
        <v>10086</v>
      </c>
      <c r="H1144" s="3">
        <v>6.9999999999999999E-4</v>
      </c>
      <c r="K1144" s="2" t="s">
        <v>10088</v>
      </c>
    </row>
    <row r="1145" spans="1:11" x14ac:dyDescent="0.2">
      <c r="A1145" s="2">
        <v>287</v>
      </c>
      <c r="B1145" s="2">
        <v>2</v>
      </c>
      <c r="C1145" s="2">
        <v>80737812</v>
      </c>
      <c r="D1145" s="2">
        <v>81623357</v>
      </c>
      <c r="E1145" s="2">
        <v>3</v>
      </c>
      <c r="F1145" s="2" t="s">
        <v>10086</v>
      </c>
      <c r="H1145" s="3">
        <v>5.9999999999999995E-4</v>
      </c>
      <c r="K1145" s="2" t="s">
        <v>10085</v>
      </c>
    </row>
    <row r="1146" spans="1:11" x14ac:dyDescent="0.2">
      <c r="A1146" s="2">
        <v>287</v>
      </c>
      <c r="B1146" s="2">
        <v>2</v>
      </c>
      <c r="C1146" s="2">
        <v>80737812</v>
      </c>
      <c r="D1146" s="2">
        <v>81623357</v>
      </c>
      <c r="E1146" s="2">
        <v>4</v>
      </c>
      <c r="F1146" s="2" t="s">
        <v>10086</v>
      </c>
      <c r="H1146" s="3">
        <v>2.0000000000000001E-4</v>
      </c>
      <c r="K1146" s="2" t="s">
        <v>10087</v>
      </c>
    </row>
    <row r="1147" spans="1:11" x14ac:dyDescent="0.2">
      <c r="A1147" s="2">
        <v>288</v>
      </c>
      <c r="B1147" s="2">
        <v>2</v>
      </c>
      <c r="C1147" s="2">
        <v>81623358</v>
      </c>
      <c r="D1147" s="2">
        <v>82941455</v>
      </c>
      <c r="E1147" s="2">
        <v>1</v>
      </c>
      <c r="F1147" s="2" t="s">
        <v>10086</v>
      </c>
      <c r="H1147" s="2">
        <v>2.0999999999999999E-3</v>
      </c>
      <c r="K1147" s="2" t="s">
        <v>10088</v>
      </c>
    </row>
    <row r="1148" spans="1:11" x14ac:dyDescent="0.2">
      <c r="A1148" s="2">
        <v>288</v>
      </c>
      <c r="B1148" s="2">
        <v>2</v>
      </c>
      <c r="C1148" s="2">
        <v>81623358</v>
      </c>
      <c r="D1148" s="2">
        <v>82941455</v>
      </c>
      <c r="E1148" s="2">
        <v>2</v>
      </c>
      <c r="F1148" s="2" t="s">
        <v>10086</v>
      </c>
      <c r="H1148" s="2">
        <v>2E-3</v>
      </c>
      <c r="K1148" s="2" t="s">
        <v>10087</v>
      </c>
    </row>
    <row r="1149" spans="1:11" x14ac:dyDescent="0.2">
      <c r="A1149" s="2">
        <v>288</v>
      </c>
      <c r="B1149" s="2">
        <v>2</v>
      </c>
      <c r="C1149" s="2">
        <v>81623358</v>
      </c>
      <c r="D1149" s="2">
        <v>82941455</v>
      </c>
      <c r="E1149" s="2">
        <v>3</v>
      </c>
      <c r="F1149" s="2" t="s">
        <v>10086</v>
      </c>
      <c r="H1149" s="2">
        <v>1.2999999999999999E-3</v>
      </c>
      <c r="K1149" s="2" t="s">
        <v>10085</v>
      </c>
    </row>
    <row r="1150" spans="1:11" x14ac:dyDescent="0.2">
      <c r="A1150" s="2">
        <v>288</v>
      </c>
      <c r="B1150" s="2">
        <v>2</v>
      </c>
      <c r="C1150" s="2">
        <v>81623358</v>
      </c>
      <c r="D1150" s="2">
        <v>82941455</v>
      </c>
      <c r="E1150" s="2">
        <v>4</v>
      </c>
      <c r="F1150" s="2" t="s">
        <v>10086</v>
      </c>
      <c r="H1150" s="3">
        <v>4.0000000000000002E-4</v>
      </c>
      <c r="K1150" s="2" t="s">
        <v>10089</v>
      </c>
    </row>
    <row r="1151" spans="1:11" x14ac:dyDescent="0.2">
      <c r="A1151" s="2">
        <v>289</v>
      </c>
      <c r="B1151" s="2">
        <v>2</v>
      </c>
      <c r="C1151" s="2">
        <v>82941456</v>
      </c>
      <c r="D1151" s="2">
        <v>84395899</v>
      </c>
      <c r="E1151" s="2">
        <v>1</v>
      </c>
      <c r="F1151" s="2" t="s">
        <v>10086</v>
      </c>
      <c r="H1151" s="2">
        <v>1.72E-2</v>
      </c>
      <c r="K1151" s="2" t="s">
        <v>10088</v>
      </c>
    </row>
    <row r="1152" spans="1:11" x14ac:dyDescent="0.2">
      <c r="A1152" s="2">
        <v>289</v>
      </c>
      <c r="B1152" s="2">
        <v>2</v>
      </c>
      <c r="C1152" s="2">
        <v>82941456</v>
      </c>
      <c r="D1152" s="2">
        <v>84395899</v>
      </c>
      <c r="E1152" s="2">
        <v>2</v>
      </c>
      <c r="F1152" s="2" t="s">
        <v>10086</v>
      </c>
      <c r="H1152" s="2">
        <v>3.3999999999999998E-3</v>
      </c>
      <c r="K1152" s="2" t="s">
        <v>10085</v>
      </c>
    </row>
    <row r="1153" spans="1:11" x14ac:dyDescent="0.2">
      <c r="A1153" s="2">
        <v>289</v>
      </c>
      <c r="B1153" s="2">
        <v>2</v>
      </c>
      <c r="C1153" s="2">
        <v>82941456</v>
      </c>
      <c r="D1153" s="2">
        <v>84395899</v>
      </c>
      <c r="E1153" s="2">
        <v>3</v>
      </c>
      <c r="F1153" s="2" t="s">
        <v>10086</v>
      </c>
      <c r="H1153" s="2">
        <v>1.4E-3</v>
      </c>
      <c r="K1153" s="2" t="s">
        <v>10089</v>
      </c>
    </row>
    <row r="1154" spans="1:11" x14ac:dyDescent="0.2">
      <c r="A1154" s="2">
        <v>289</v>
      </c>
      <c r="B1154" s="2">
        <v>2</v>
      </c>
      <c r="C1154" s="2">
        <v>82941456</v>
      </c>
      <c r="D1154" s="2">
        <v>84395899</v>
      </c>
      <c r="E1154" s="2">
        <v>4</v>
      </c>
      <c r="F1154" s="2" t="s">
        <v>10086</v>
      </c>
      <c r="H1154" s="3">
        <v>4.0000000000000002E-4</v>
      </c>
      <c r="K1154" s="2" t="s">
        <v>10087</v>
      </c>
    </row>
    <row r="1155" spans="1:11" x14ac:dyDescent="0.2">
      <c r="A1155" s="2">
        <v>290</v>
      </c>
      <c r="B1155" s="2">
        <v>2</v>
      </c>
      <c r="C1155" s="2">
        <v>84395900</v>
      </c>
      <c r="D1155" s="2">
        <v>85992794</v>
      </c>
      <c r="E1155" s="2">
        <v>1</v>
      </c>
      <c r="F1155" s="2" t="s">
        <v>10086</v>
      </c>
      <c r="H1155" s="2">
        <v>3.8E-3</v>
      </c>
      <c r="K1155" s="2" t="s">
        <v>10089</v>
      </c>
    </row>
    <row r="1156" spans="1:11" x14ac:dyDescent="0.2">
      <c r="A1156" s="2">
        <v>290</v>
      </c>
      <c r="B1156" s="2">
        <v>2</v>
      </c>
      <c r="C1156" s="2">
        <v>84395900</v>
      </c>
      <c r="D1156" s="2">
        <v>85992794</v>
      </c>
      <c r="E1156" s="2">
        <v>2</v>
      </c>
      <c r="F1156" s="2" t="s">
        <v>10086</v>
      </c>
      <c r="H1156" s="2">
        <v>1.5E-3</v>
      </c>
      <c r="K1156" s="2" t="s">
        <v>10085</v>
      </c>
    </row>
    <row r="1157" spans="1:11" x14ac:dyDescent="0.2">
      <c r="A1157" s="2">
        <v>290</v>
      </c>
      <c r="B1157" s="2">
        <v>2</v>
      </c>
      <c r="C1157" s="2">
        <v>84395900</v>
      </c>
      <c r="D1157" s="2">
        <v>85992794</v>
      </c>
      <c r="E1157" s="2">
        <v>3</v>
      </c>
      <c r="F1157" s="2" t="s">
        <v>10086</v>
      </c>
      <c r="H1157" s="2">
        <v>1.4E-3</v>
      </c>
      <c r="K1157" s="2" t="s">
        <v>10088</v>
      </c>
    </row>
    <row r="1158" spans="1:11" x14ac:dyDescent="0.2">
      <c r="A1158" s="2">
        <v>290</v>
      </c>
      <c r="B1158" s="2">
        <v>2</v>
      </c>
      <c r="C1158" s="2">
        <v>84395900</v>
      </c>
      <c r="D1158" s="2">
        <v>85992794</v>
      </c>
      <c r="E1158" s="2">
        <v>4</v>
      </c>
      <c r="F1158" s="2" t="s">
        <v>10086</v>
      </c>
      <c r="H1158" s="3">
        <v>8.9999999999999998E-4</v>
      </c>
      <c r="K1158" s="2" t="s">
        <v>12324</v>
      </c>
    </row>
    <row r="1159" spans="1:11" x14ac:dyDescent="0.2">
      <c r="A1159" s="2">
        <v>291</v>
      </c>
      <c r="B1159" s="2">
        <v>2</v>
      </c>
      <c r="C1159" s="2">
        <v>85992795</v>
      </c>
      <c r="D1159" s="2">
        <v>86867032</v>
      </c>
      <c r="E1159" s="2">
        <v>1</v>
      </c>
      <c r="F1159" s="2" t="s">
        <v>10086</v>
      </c>
      <c r="H1159" s="2">
        <v>1.6000000000000001E-3</v>
      </c>
      <c r="K1159" s="2" t="s">
        <v>10089</v>
      </c>
    </row>
    <row r="1160" spans="1:11" x14ac:dyDescent="0.2">
      <c r="A1160" s="2">
        <v>291</v>
      </c>
      <c r="B1160" s="2">
        <v>2</v>
      </c>
      <c r="C1160" s="2">
        <v>85992795</v>
      </c>
      <c r="D1160" s="2">
        <v>86867032</v>
      </c>
      <c r="E1160" s="2">
        <v>2</v>
      </c>
      <c r="F1160" s="2" t="s">
        <v>10086</v>
      </c>
      <c r="H1160" s="3">
        <v>8.0000000000000004E-4</v>
      </c>
      <c r="K1160" s="2" t="s">
        <v>10087</v>
      </c>
    </row>
    <row r="1161" spans="1:11" x14ac:dyDescent="0.2">
      <c r="A1161" s="2">
        <v>291</v>
      </c>
      <c r="B1161" s="2">
        <v>2</v>
      </c>
      <c r="C1161" s="2">
        <v>85992795</v>
      </c>
      <c r="D1161" s="2">
        <v>86867032</v>
      </c>
      <c r="E1161" s="2">
        <v>3</v>
      </c>
      <c r="F1161" s="2" t="s">
        <v>10086</v>
      </c>
      <c r="H1161" s="3">
        <v>6.9999999999999999E-4</v>
      </c>
      <c r="K1161" s="2" t="s">
        <v>10085</v>
      </c>
    </row>
    <row r="1162" spans="1:11" x14ac:dyDescent="0.2">
      <c r="A1162" s="2">
        <v>291</v>
      </c>
      <c r="B1162" s="2">
        <v>2</v>
      </c>
      <c r="C1162" s="2">
        <v>85992795</v>
      </c>
      <c r="D1162" s="2">
        <v>86867032</v>
      </c>
      <c r="E1162" s="2">
        <v>4</v>
      </c>
      <c r="F1162" s="2" t="s">
        <v>10086</v>
      </c>
      <c r="H1162" s="3">
        <v>4.0000000000000002E-4</v>
      </c>
      <c r="K1162" s="2" t="s">
        <v>10088</v>
      </c>
    </row>
    <row r="1163" spans="1:11" x14ac:dyDescent="0.2">
      <c r="A1163" s="2">
        <v>292</v>
      </c>
      <c r="B1163" s="2">
        <v>2</v>
      </c>
      <c r="C1163" s="2">
        <v>86867033</v>
      </c>
      <c r="D1163" s="2">
        <v>88547312</v>
      </c>
      <c r="E1163" s="2">
        <v>1</v>
      </c>
      <c r="F1163" s="2" t="s">
        <v>10086</v>
      </c>
      <c r="H1163" s="2">
        <v>4.7999999999999996E-3</v>
      </c>
      <c r="K1163" s="2" t="s">
        <v>10089</v>
      </c>
    </row>
    <row r="1164" spans="1:11" x14ac:dyDescent="0.2">
      <c r="A1164" s="2">
        <v>292</v>
      </c>
      <c r="B1164" s="2">
        <v>2</v>
      </c>
      <c r="C1164" s="2">
        <v>86867033</v>
      </c>
      <c r="D1164" s="2">
        <v>88547312</v>
      </c>
      <c r="E1164" s="2">
        <v>2</v>
      </c>
      <c r="F1164" s="2" t="s">
        <v>10086</v>
      </c>
      <c r="H1164" s="2">
        <v>1.6999999999999999E-3</v>
      </c>
      <c r="K1164" s="2" t="s">
        <v>10088</v>
      </c>
    </row>
    <row r="1165" spans="1:11" x14ac:dyDescent="0.2">
      <c r="A1165" s="2">
        <v>292</v>
      </c>
      <c r="B1165" s="2">
        <v>2</v>
      </c>
      <c r="C1165" s="2">
        <v>86867033</v>
      </c>
      <c r="D1165" s="2">
        <v>88547312</v>
      </c>
      <c r="E1165" s="2">
        <v>3</v>
      </c>
      <c r="F1165" s="2" t="s">
        <v>10086</v>
      </c>
      <c r="H1165" s="3">
        <v>6.9999999999999999E-4</v>
      </c>
      <c r="K1165" s="2" t="s">
        <v>10087</v>
      </c>
    </row>
    <row r="1166" spans="1:11" x14ac:dyDescent="0.2">
      <c r="A1166" s="2">
        <v>292</v>
      </c>
      <c r="B1166" s="2">
        <v>2</v>
      </c>
      <c r="C1166" s="2">
        <v>86867033</v>
      </c>
      <c r="D1166" s="2">
        <v>88547312</v>
      </c>
      <c r="E1166" s="2">
        <v>4</v>
      </c>
      <c r="F1166" s="2" t="s">
        <v>10086</v>
      </c>
      <c r="H1166" s="3">
        <v>2.9999999999999997E-4</v>
      </c>
      <c r="K1166" s="2" t="s">
        <v>10085</v>
      </c>
    </row>
    <row r="1167" spans="1:11" x14ac:dyDescent="0.2">
      <c r="A1167" s="2">
        <v>293</v>
      </c>
      <c r="B1167" s="2">
        <v>2</v>
      </c>
      <c r="C1167" s="2">
        <v>88547313</v>
      </c>
      <c r="D1167" s="2">
        <v>91860961</v>
      </c>
      <c r="E1167" s="2">
        <v>1</v>
      </c>
      <c r="F1167" s="2" t="s">
        <v>10086</v>
      </c>
      <c r="H1167" s="2">
        <v>1.6000000000000001E-3</v>
      </c>
      <c r="K1167" s="2" t="s">
        <v>10087</v>
      </c>
    </row>
    <row r="1168" spans="1:11" x14ac:dyDescent="0.2">
      <c r="A1168" s="2">
        <v>293</v>
      </c>
      <c r="B1168" s="2">
        <v>2</v>
      </c>
      <c r="C1168" s="2">
        <v>88547313</v>
      </c>
      <c r="D1168" s="2">
        <v>91860961</v>
      </c>
      <c r="E1168" s="2">
        <v>2</v>
      </c>
      <c r="F1168" s="2" t="s">
        <v>10086</v>
      </c>
      <c r="H1168" s="2">
        <v>1.1999999999999999E-3</v>
      </c>
      <c r="K1168" s="2" t="s">
        <v>10089</v>
      </c>
    </row>
    <row r="1169" spans="1:11" x14ac:dyDescent="0.2">
      <c r="A1169" s="2">
        <v>293</v>
      </c>
      <c r="B1169" s="2">
        <v>2</v>
      </c>
      <c r="C1169" s="2">
        <v>88547313</v>
      </c>
      <c r="D1169" s="2">
        <v>91860961</v>
      </c>
      <c r="E1169" s="2">
        <v>3</v>
      </c>
      <c r="F1169" s="2" t="s">
        <v>10086</v>
      </c>
      <c r="H1169" s="3">
        <v>6.9999999999999999E-4</v>
      </c>
      <c r="K1169" s="2" t="s">
        <v>10085</v>
      </c>
    </row>
    <row r="1170" spans="1:11" x14ac:dyDescent="0.2">
      <c r="A1170" s="2">
        <v>293</v>
      </c>
      <c r="B1170" s="2">
        <v>2</v>
      </c>
      <c r="C1170" s="2">
        <v>88547313</v>
      </c>
      <c r="D1170" s="2">
        <v>91860961</v>
      </c>
      <c r="E1170" s="2">
        <v>4</v>
      </c>
      <c r="F1170" s="2" t="s">
        <v>10086</v>
      </c>
      <c r="H1170" s="3">
        <v>2.9999999999999997E-4</v>
      </c>
      <c r="K1170" s="2" t="s">
        <v>10088</v>
      </c>
    </row>
    <row r="1171" spans="1:11" x14ac:dyDescent="0.2">
      <c r="A1171" s="2">
        <v>294</v>
      </c>
      <c r="B1171" s="2">
        <v>2</v>
      </c>
      <c r="C1171" s="2">
        <v>91860962</v>
      </c>
      <c r="D1171" s="2">
        <v>97339301</v>
      </c>
      <c r="E1171" s="2">
        <v>1</v>
      </c>
      <c r="F1171" s="2" t="s">
        <v>10086</v>
      </c>
      <c r="H1171" s="2">
        <v>2.3E-3</v>
      </c>
      <c r="K1171" s="2" t="s">
        <v>10087</v>
      </c>
    </row>
    <row r="1172" spans="1:11" x14ac:dyDescent="0.2">
      <c r="A1172" s="2">
        <v>294</v>
      </c>
      <c r="B1172" s="2">
        <v>2</v>
      </c>
      <c r="C1172" s="2">
        <v>91860962</v>
      </c>
      <c r="D1172" s="2">
        <v>97339301</v>
      </c>
      <c r="E1172" s="2">
        <v>2</v>
      </c>
      <c r="F1172" s="2" t="s">
        <v>10086</v>
      </c>
      <c r="H1172" s="2">
        <v>1.1999999999999999E-3</v>
      </c>
      <c r="K1172" s="2" t="s">
        <v>10085</v>
      </c>
    </row>
    <row r="1173" spans="1:11" x14ac:dyDescent="0.2">
      <c r="A1173" s="2">
        <v>294</v>
      </c>
      <c r="B1173" s="2">
        <v>2</v>
      </c>
      <c r="C1173" s="2">
        <v>91860962</v>
      </c>
      <c r="D1173" s="2">
        <v>97339301</v>
      </c>
      <c r="E1173" s="2">
        <v>3</v>
      </c>
      <c r="F1173" s="2" t="s">
        <v>10086</v>
      </c>
      <c r="H1173" s="3">
        <v>8.9999999999999998E-4</v>
      </c>
      <c r="K1173" s="2" t="s">
        <v>10089</v>
      </c>
    </row>
    <row r="1174" spans="1:11" x14ac:dyDescent="0.2">
      <c r="A1174" s="2">
        <v>294</v>
      </c>
      <c r="B1174" s="2">
        <v>2</v>
      </c>
      <c r="C1174" s="2">
        <v>91860962</v>
      </c>
      <c r="D1174" s="2">
        <v>97339301</v>
      </c>
      <c r="E1174" s="2">
        <v>4</v>
      </c>
      <c r="F1174" s="2" t="s">
        <v>10086</v>
      </c>
      <c r="H1174" s="3">
        <v>2.9999999999999997E-4</v>
      </c>
      <c r="K1174" s="2" t="s">
        <v>10088</v>
      </c>
    </row>
    <row r="1175" spans="1:11" x14ac:dyDescent="0.2">
      <c r="A1175" s="2">
        <v>295</v>
      </c>
      <c r="B1175" s="2">
        <v>2</v>
      </c>
      <c r="C1175" s="2">
        <v>97339302</v>
      </c>
      <c r="D1175" s="2">
        <v>98989360</v>
      </c>
      <c r="E1175" s="2">
        <v>1</v>
      </c>
      <c r="F1175" s="2" t="s">
        <v>10086</v>
      </c>
      <c r="H1175" s="2">
        <v>1E-3</v>
      </c>
      <c r="K1175" s="2" t="s">
        <v>10089</v>
      </c>
    </row>
    <row r="1176" spans="1:11" x14ac:dyDescent="0.2">
      <c r="A1176" s="2">
        <v>295</v>
      </c>
      <c r="B1176" s="2">
        <v>2</v>
      </c>
      <c r="C1176" s="2">
        <v>97339302</v>
      </c>
      <c r="D1176" s="2">
        <v>98989360</v>
      </c>
      <c r="E1176" s="2">
        <v>2</v>
      </c>
      <c r="F1176" s="2" t="s">
        <v>10086</v>
      </c>
      <c r="H1176" s="3">
        <v>6.9999999999999999E-4</v>
      </c>
      <c r="K1176" s="2" t="s">
        <v>10085</v>
      </c>
    </row>
    <row r="1177" spans="1:11" x14ac:dyDescent="0.2">
      <c r="A1177" s="2">
        <v>295</v>
      </c>
      <c r="B1177" s="2">
        <v>2</v>
      </c>
      <c r="C1177" s="2">
        <v>97339302</v>
      </c>
      <c r="D1177" s="2">
        <v>98989360</v>
      </c>
      <c r="E1177" s="2">
        <v>3</v>
      </c>
      <c r="F1177" s="2" t="s">
        <v>10086</v>
      </c>
      <c r="H1177" s="3">
        <v>6.9999999999999999E-4</v>
      </c>
      <c r="K1177" s="2" t="s">
        <v>10087</v>
      </c>
    </row>
    <row r="1178" spans="1:11" x14ac:dyDescent="0.2">
      <c r="A1178" s="2">
        <v>295</v>
      </c>
      <c r="B1178" s="2">
        <v>2</v>
      </c>
      <c r="C1178" s="2">
        <v>97339302</v>
      </c>
      <c r="D1178" s="2">
        <v>98989360</v>
      </c>
      <c r="E1178" s="2">
        <v>4</v>
      </c>
      <c r="F1178" s="2" t="s">
        <v>10086</v>
      </c>
      <c r="H1178" s="3">
        <v>2.9999999999999997E-4</v>
      </c>
      <c r="K1178" s="2" t="s">
        <v>10088</v>
      </c>
    </row>
    <row r="1179" spans="1:11" x14ac:dyDescent="0.2">
      <c r="A1179" s="2">
        <v>296</v>
      </c>
      <c r="B1179" s="2">
        <v>2</v>
      </c>
      <c r="C1179" s="2">
        <v>98989361</v>
      </c>
      <c r="D1179" s="2">
        <v>100202436</v>
      </c>
      <c r="E1179" s="2">
        <v>1</v>
      </c>
      <c r="F1179" s="2" t="s">
        <v>10086</v>
      </c>
      <c r="H1179" s="2">
        <v>1.6999999999999999E-3</v>
      </c>
      <c r="K1179" s="2" t="s">
        <v>10085</v>
      </c>
    </row>
    <row r="1180" spans="1:11" x14ac:dyDescent="0.2">
      <c r="A1180" s="2">
        <v>296</v>
      </c>
      <c r="B1180" s="2">
        <v>2</v>
      </c>
      <c r="C1180" s="2">
        <v>98989361</v>
      </c>
      <c r="D1180" s="2">
        <v>100202436</v>
      </c>
      <c r="E1180" s="2">
        <v>2</v>
      </c>
      <c r="F1180" s="2" t="s">
        <v>10086</v>
      </c>
      <c r="H1180" s="2">
        <v>1.1999999999999999E-3</v>
      </c>
      <c r="K1180" s="2" t="s">
        <v>12324</v>
      </c>
    </row>
    <row r="1181" spans="1:11" x14ac:dyDescent="0.2">
      <c r="A1181" s="2">
        <v>296</v>
      </c>
      <c r="B1181" s="2">
        <v>2</v>
      </c>
      <c r="C1181" s="2">
        <v>98989361</v>
      </c>
      <c r="D1181" s="2">
        <v>100202436</v>
      </c>
      <c r="E1181" s="2">
        <v>3</v>
      </c>
      <c r="F1181" s="2" t="s">
        <v>10086</v>
      </c>
      <c r="H1181" s="2">
        <v>1E-3</v>
      </c>
      <c r="K1181" s="2" t="s">
        <v>10088</v>
      </c>
    </row>
    <row r="1182" spans="1:11" x14ac:dyDescent="0.2">
      <c r="A1182" s="2">
        <v>296</v>
      </c>
      <c r="B1182" s="2">
        <v>2</v>
      </c>
      <c r="C1182" s="2">
        <v>98989361</v>
      </c>
      <c r="D1182" s="2">
        <v>100202436</v>
      </c>
      <c r="E1182" s="2">
        <v>4</v>
      </c>
      <c r="F1182" s="2" t="s">
        <v>10086</v>
      </c>
      <c r="H1182" s="3">
        <v>8.0000000000000004E-4</v>
      </c>
      <c r="K1182" s="2" t="s">
        <v>10089</v>
      </c>
    </row>
    <row r="1183" spans="1:11" x14ac:dyDescent="0.2">
      <c r="A1183" s="2">
        <v>297</v>
      </c>
      <c r="B1183" s="2">
        <v>2</v>
      </c>
      <c r="C1183" s="2">
        <v>100202437</v>
      </c>
      <c r="D1183" s="2">
        <v>101556799</v>
      </c>
      <c r="E1183" s="2">
        <v>1</v>
      </c>
      <c r="F1183" s="2" t="s">
        <v>10086</v>
      </c>
      <c r="H1183" s="2">
        <v>4.1000000000000003E-3</v>
      </c>
      <c r="K1183" s="2" t="s">
        <v>10087</v>
      </c>
    </row>
    <row r="1184" spans="1:11" x14ac:dyDescent="0.2">
      <c r="A1184" s="2">
        <v>297</v>
      </c>
      <c r="B1184" s="2">
        <v>2</v>
      </c>
      <c r="C1184" s="2">
        <v>100202437</v>
      </c>
      <c r="D1184" s="2">
        <v>101556799</v>
      </c>
      <c r="E1184" s="2">
        <v>2</v>
      </c>
      <c r="F1184" s="2" t="s">
        <v>10086</v>
      </c>
      <c r="H1184" s="2">
        <v>2E-3</v>
      </c>
      <c r="K1184" s="2" t="s">
        <v>10085</v>
      </c>
    </row>
    <row r="1185" spans="1:11" x14ac:dyDescent="0.2">
      <c r="A1185" s="2">
        <v>297</v>
      </c>
      <c r="B1185" s="2">
        <v>2</v>
      </c>
      <c r="C1185" s="2">
        <v>100202437</v>
      </c>
      <c r="D1185" s="2">
        <v>101556799</v>
      </c>
      <c r="E1185" s="2">
        <v>3</v>
      </c>
      <c r="F1185" s="2" t="s">
        <v>10086</v>
      </c>
      <c r="H1185" s="2">
        <v>1E-3</v>
      </c>
      <c r="K1185" s="2" t="s">
        <v>10088</v>
      </c>
    </row>
    <row r="1186" spans="1:11" x14ac:dyDescent="0.2">
      <c r="A1186" s="2">
        <v>297</v>
      </c>
      <c r="B1186" s="2">
        <v>2</v>
      </c>
      <c r="C1186" s="2">
        <v>100202437</v>
      </c>
      <c r="D1186" s="2">
        <v>101556799</v>
      </c>
      <c r="E1186" s="2">
        <v>4</v>
      </c>
      <c r="F1186" s="2" t="s">
        <v>10086</v>
      </c>
      <c r="H1186" s="3">
        <v>8.0000000000000004E-4</v>
      </c>
      <c r="K1186" s="2" t="s">
        <v>10089</v>
      </c>
    </row>
    <row r="1187" spans="1:11" x14ac:dyDescent="0.2">
      <c r="A1187" s="2">
        <v>298</v>
      </c>
      <c r="B1187" s="2">
        <v>2</v>
      </c>
      <c r="C1187" s="2">
        <v>101556800</v>
      </c>
      <c r="D1187" s="2">
        <v>102494487</v>
      </c>
      <c r="E1187" s="2">
        <v>1</v>
      </c>
      <c r="F1187" s="2" t="s">
        <v>10086</v>
      </c>
      <c r="H1187" s="2">
        <v>1.5E-3</v>
      </c>
      <c r="K1187" s="2" t="s">
        <v>10089</v>
      </c>
    </row>
    <row r="1188" spans="1:11" x14ac:dyDescent="0.2">
      <c r="A1188" s="2">
        <v>298</v>
      </c>
      <c r="B1188" s="2">
        <v>2</v>
      </c>
      <c r="C1188" s="2">
        <v>101556800</v>
      </c>
      <c r="D1188" s="2">
        <v>102494487</v>
      </c>
      <c r="E1188" s="2">
        <v>2</v>
      </c>
      <c r="F1188" s="2" t="s">
        <v>10086</v>
      </c>
      <c r="H1188" s="2">
        <v>1.1999999999999999E-3</v>
      </c>
      <c r="K1188" s="2" t="s">
        <v>10088</v>
      </c>
    </row>
    <row r="1189" spans="1:11" x14ac:dyDescent="0.2">
      <c r="A1189" s="2">
        <v>298</v>
      </c>
      <c r="B1189" s="2">
        <v>2</v>
      </c>
      <c r="C1189" s="2">
        <v>101556800</v>
      </c>
      <c r="D1189" s="2">
        <v>102494487</v>
      </c>
      <c r="E1189" s="2">
        <v>3</v>
      </c>
      <c r="F1189" s="2" t="s">
        <v>10086</v>
      </c>
      <c r="H1189" s="3">
        <v>8.0000000000000004E-4</v>
      </c>
      <c r="K1189" s="2" t="s">
        <v>10085</v>
      </c>
    </row>
    <row r="1190" spans="1:11" x14ac:dyDescent="0.2">
      <c r="A1190" s="2">
        <v>298</v>
      </c>
      <c r="B1190" s="2">
        <v>2</v>
      </c>
      <c r="C1190" s="2">
        <v>101556800</v>
      </c>
      <c r="D1190" s="2">
        <v>102494487</v>
      </c>
      <c r="E1190" s="2">
        <v>4</v>
      </c>
      <c r="F1190" s="2" t="s">
        <v>10086</v>
      </c>
      <c r="H1190" s="3">
        <v>2.9999999999999997E-4</v>
      </c>
      <c r="K1190" s="2" t="s">
        <v>10087</v>
      </c>
    </row>
    <row r="1191" spans="1:11" x14ac:dyDescent="0.2">
      <c r="A1191" s="2">
        <v>299</v>
      </c>
      <c r="B1191" s="2">
        <v>2</v>
      </c>
      <c r="C1191" s="2">
        <v>102494488</v>
      </c>
      <c r="D1191" s="2">
        <v>103305257</v>
      </c>
      <c r="E1191" s="2">
        <v>1</v>
      </c>
      <c r="F1191" s="2" t="s">
        <v>10086</v>
      </c>
      <c r="H1191" s="2">
        <v>1.1000000000000001E-3</v>
      </c>
      <c r="K1191" s="2" t="s">
        <v>10085</v>
      </c>
    </row>
    <row r="1192" spans="1:11" x14ac:dyDescent="0.2">
      <c r="A1192" s="2">
        <v>299</v>
      </c>
      <c r="B1192" s="2">
        <v>2</v>
      </c>
      <c r="C1192" s="2">
        <v>102494488</v>
      </c>
      <c r="D1192" s="2">
        <v>103305257</v>
      </c>
      <c r="E1192" s="2">
        <v>2</v>
      </c>
      <c r="F1192" s="2" t="s">
        <v>10086</v>
      </c>
      <c r="H1192" s="2">
        <v>1E-3</v>
      </c>
      <c r="K1192" s="2" t="s">
        <v>10089</v>
      </c>
    </row>
    <row r="1193" spans="1:11" x14ac:dyDescent="0.2">
      <c r="A1193" s="2">
        <v>299</v>
      </c>
      <c r="B1193" s="2">
        <v>2</v>
      </c>
      <c r="C1193" s="2">
        <v>102494488</v>
      </c>
      <c r="D1193" s="2">
        <v>103305257</v>
      </c>
      <c r="E1193" s="2">
        <v>3</v>
      </c>
      <c r="F1193" s="2" t="s">
        <v>10086</v>
      </c>
      <c r="H1193" s="3">
        <v>6.9999999999999999E-4</v>
      </c>
      <c r="K1193" s="2" t="s">
        <v>10088</v>
      </c>
    </row>
    <row r="1194" spans="1:11" x14ac:dyDescent="0.2">
      <c r="A1194" s="2">
        <v>299</v>
      </c>
      <c r="B1194" s="2">
        <v>2</v>
      </c>
      <c r="C1194" s="2">
        <v>102494488</v>
      </c>
      <c r="D1194" s="2">
        <v>103305257</v>
      </c>
      <c r="E1194" s="2">
        <v>4</v>
      </c>
      <c r="F1194" s="2" t="s">
        <v>10086</v>
      </c>
      <c r="H1194" s="3">
        <v>2.9999999999999997E-4</v>
      </c>
      <c r="K1194" s="2" t="s">
        <v>10087</v>
      </c>
    </row>
    <row r="1195" spans="1:11" x14ac:dyDescent="0.2">
      <c r="A1195" s="2">
        <v>300</v>
      </c>
      <c r="B1195" s="2">
        <v>2</v>
      </c>
      <c r="C1195" s="2">
        <v>103305258</v>
      </c>
      <c r="D1195" s="2">
        <v>105120578</v>
      </c>
      <c r="E1195" s="2">
        <v>1</v>
      </c>
      <c r="F1195" s="2" t="s">
        <v>10086</v>
      </c>
      <c r="H1195" s="2">
        <v>3.0000000000000001E-3</v>
      </c>
      <c r="K1195" s="2" t="s">
        <v>10088</v>
      </c>
    </row>
    <row r="1196" spans="1:11" x14ac:dyDescent="0.2">
      <c r="A1196" s="2">
        <v>300</v>
      </c>
      <c r="B1196" s="2">
        <v>2</v>
      </c>
      <c r="C1196" s="2">
        <v>103305258</v>
      </c>
      <c r="D1196" s="2">
        <v>105120578</v>
      </c>
      <c r="E1196" s="2">
        <v>2</v>
      </c>
      <c r="F1196" s="2" t="s">
        <v>10086</v>
      </c>
      <c r="H1196" s="2">
        <v>1.9E-3</v>
      </c>
      <c r="K1196" s="2" t="s">
        <v>10087</v>
      </c>
    </row>
    <row r="1197" spans="1:11" x14ac:dyDescent="0.2">
      <c r="A1197" s="2">
        <v>300</v>
      </c>
      <c r="B1197" s="2">
        <v>2</v>
      </c>
      <c r="C1197" s="2">
        <v>103305258</v>
      </c>
      <c r="D1197" s="2">
        <v>105120578</v>
      </c>
      <c r="E1197" s="2">
        <v>3</v>
      </c>
      <c r="F1197" s="2" t="s">
        <v>10086</v>
      </c>
      <c r="H1197" s="2">
        <v>1.8E-3</v>
      </c>
      <c r="K1197" s="2" t="s">
        <v>10089</v>
      </c>
    </row>
    <row r="1198" spans="1:11" x14ac:dyDescent="0.2">
      <c r="A1198" s="2">
        <v>300</v>
      </c>
      <c r="B1198" s="2">
        <v>2</v>
      </c>
      <c r="C1198" s="2">
        <v>103305258</v>
      </c>
      <c r="D1198" s="2">
        <v>105120578</v>
      </c>
      <c r="E1198" s="2">
        <v>4</v>
      </c>
      <c r="F1198" s="2" t="s">
        <v>10086</v>
      </c>
      <c r="H1198" s="3">
        <v>8.9999999999999998E-4</v>
      </c>
      <c r="K1198" s="2" t="s">
        <v>10085</v>
      </c>
    </row>
    <row r="1199" spans="1:11" x14ac:dyDescent="0.2">
      <c r="A1199" s="2">
        <v>301</v>
      </c>
      <c r="B1199" s="2">
        <v>2</v>
      </c>
      <c r="C1199" s="2">
        <v>105120579</v>
      </c>
      <c r="D1199" s="2">
        <v>106546524</v>
      </c>
      <c r="E1199" s="2">
        <v>1</v>
      </c>
      <c r="F1199" s="2" t="s">
        <v>10086</v>
      </c>
      <c r="H1199" s="2">
        <v>3.0000000000000001E-3</v>
      </c>
      <c r="K1199" s="2" t="s">
        <v>10088</v>
      </c>
    </row>
    <row r="1200" spans="1:11" x14ac:dyDescent="0.2">
      <c r="A1200" s="2">
        <v>301</v>
      </c>
      <c r="B1200" s="2">
        <v>2</v>
      </c>
      <c r="C1200" s="2">
        <v>105120579</v>
      </c>
      <c r="D1200" s="2">
        <v>106546524</v>
      </c>
      <c r="E1200" s="2">
        <v>2</v>
      </c>
      <c r="F1200" s="2" t="s">
        <v>10086</v>
      </c>
      <c r="H1200" s="2">
        <v>1.6000000000000001E-3</v>
      </c>
      <c r="K1200" s="2" t="s">
        <v>10085</v>
      </c>
    </row>
    <row r="1201" spans="1:11" x14ac:dyDescent="0.2">
      <c r="A1201" s="2">
        <v>301</v>
      </c>
      <c r="B1201" s="2">
        <v>2</v>
      </c>
      <c r="C1201" s="2">
        <v>105120579</v>
      </c>
      <c r="D1201" s="2">
        <v>106546524</v>
      </c>
      <c r="E1201" s="2">
        <v>3</v>
      </c>
      <c r="F1201" s="2" t="s">
        <v>10086</v>
      </c>
      <c r="H1201" s="2">
        <v>1.2999999999999999E-3</v>
      </c>
      <c r="K1201" s="2" t="s">
        <v>10089</v>
      </c>
    </row>
    <row r="1202" spans="1:11" x14ac:dyDescent="0.2">
      <c r="A1202" s="2">
        <v>301</v>
      </c>
      <c r="B1202" s="2">
        <v>2</v>
      </c>
      <c r="C1202" s="2">
        <v>105120579</v>
      </c>
      <c r="D1202" s="2">
        <v>106546524</v>
      </c>
      <c r="E1202" s="2">
        <v>4</v>
      </c>
      <c r="F1202" s="2" t="s">
        <v>10086</v>
      </c>
      <c r="H1202" s="3">
        <v>6.9999999999999999E-4</v>
      </c>
      <c r="K1202" s="2" t="s">
        <v>10087</v>
      </c>
    </row>
    <row r="1203" spans="1:11" x14ac:dyDescent="0.2">
      <c r="A1203" s="2">
        <v>302</v>
      </c>
      <c r="B1203" s="2">
        <v>2</v>
      </c>
      <c r="C1203" s="2">
        <v>106546525</v>
      </c>
      <c r="D1203" s="2">
        <v>107412295</v>
      </c>
      <c r="E1203" s="2">
        <v>1</v>
      </c>
      <c r="F1203" s="2" t="s">
        <v>10086</v>
      </c>
      <c r="H1203" s="2">
        <v>1.8E-3</v>
      </c>
      <c r="K1203" s="2" t="s">
        <v>10087</v>
      </c>
    </row>
    <row r="1204" spans="1:11" x14ac:dyDescent="0.2">
      <c r="A1204" s="2">
        <v>302</v>
      </c>
      <c r="B1204" s="2">
        <v>2</v>
      </c>
      <c r="C1204" s="2">
        <v>106546525</v>
      </c>
      <c r="D1204" s="2">
        <v>107412295</v>
      </c>
      <c r="E1204" s="2">
        <v>2</v>
      </c>
      <c r="F1204" s="2" t="s">
        <v>10086</v>
      </c>
      <c r="H1204" s="3">
        <v>8.0000000000000004E-4</v>
      </c>
      <c r="K1204" s="2" t="s">
        <v>10085</v>
      </c>
    </row>
    <row r="1205" spans="1:11" x14ac:dyDescent="0.2">
      <c r="A1205" s="2">
        <v>302</v>
      </c>
      <c r="B1205" s="2">
        <v>2</v>
      </c>
      <c r="C1205" s="2">
        <v>106546525</v>
      </c>
      <c r="D1205" s="2">
        <v>107412295</v>
      </c>
      <c r="E1205" s="2">
        <v>3</v>
      </c>
      <c r="F1205" s="2" t="s">
        <v>10086</v>
      </c>
      <c r="H1205" s="3">
        <v>5.9999999999999995E-4</v>
      </c>
      <c r="K1205" s="2" t="s">
        <v>10088</v>
      </c>
    </row>
    <row r="1206" spans="1:11" x14ac:dyDescent="0.2">
      <c r="A1206" s="2">
        <v>302</v>
      </c>
      <c r="B1206" s="2">
        <v>2</v>
      </c>
      <c r="C1206" s="2">
        <v>106546525</v>
      </c>
      <c r="D1206" s="2">
        <v>107412295</v>
      </c>
      <c r="E1206" s="2">
        <v>4</v>
      </c>
      <c r="F1206" s="2" t="s">
        <v>10086</v>
      </c>
      <c r="H1206" s="3">
        <v>2.9999999999999997E-4</v>
      </c>
      <c r="K1206" s="2" t="s">
        <v>10089</v>
      </c>
    </row>
    <row r="1207" spans="1:11" x14ac:dyDescent="0.2">
      <c r="A1207" s="2">
        <v>303</v>
      </c>
      <c r="B1207" s="2">
        <v>2</v>
      </c>
      <c r="C1207" s="2">
        <v>107412296</v>
      </c>
      <c r="D1207" s="2">
        <v>108417773</v>
      </c>
      <c r="E1207" s="2">
        <v>1</v>
      </c>
      <c r="F1207" s="2" t="s">
        <v>10086</v>
      </c>
      <c r="H1207" s="2">
        <v>2.8E-3</v>
      </c>
      <c r="K1207" s="2" t="s">
        <v>10087</v>
      </c>
    </row>
    <row r="1208" spans="1:11" x14ac:dyDescent="0.2">
      <c r="A1208" s="2">
        <v>303</v>
      </c>
      <c r="B1208" s="2">
        <v>2</v>
      </c>
      <c r="C1208" s="2">
        <v>107412296</v>
      </c>
      <c r="D1208" s="2">
        <v>108417773</v>
      </c>
      <c r="E1208" s="2">
        <v>2</v>
      </c>
      <c r="F1208" s="2" t="s">
        <v>10086</v>
      </c>
      <c r="H1208" s="2">
        <v>1.1999999999999999E-3</v>
      </c>
      <c r="K1208" s="2" t="s">
        <v>10085</v>
      </c>
    </row>
    <row r="1209" spans="1:11" x14ac:dyDescent="0.2">
      <c r="A1209" s="2">
        <v>303</v>
      </c>
      <c r="B1209" s="2">
        <v>2</v>
      </c>
      <c r="C1209" s="2">
        <v>107412296</v>
      </c>
      <c r="D1209" s="2">
        <v>108417773</v>
      </c>
      <c r="E1209" s="2">
        <v>3</v>
      </c>
      <c r="F1209" s="2" t="s">
        <v>10086</v>
      </c>
      <c r="H1209" s="3">
        <v>8.0000000000000004E-4</v>
      </c>
      <c r="K1209" s="2" t="s">
        <v>10089</v>
      </c>
    </row>
    <row r="1210" spans="1:11" x14ac:dyDescent="0.2">
      <c r="A1210" s="2">
        <v>303</v>
      </c>
      <c r="B1210" s="2">
        <v>2</v>
      </c>
      <c r="C1210" s="2">
        <v>107412296</v>
      </c>
      <c r="D1210" s="2">
        <v>108417773</v>
      </c>
      <c r="E1210" s="2">
        <v>4</v>
      </c>
      <c r="F1210" s="2" t="s">
        <v>10086</v>
      </c>
      <c r="H1210" s="3">
        <v>5.9999999999999995E-4</v>
      </c>
      <c r="K1210" s="2" t="s">
        <v>12324</v>
      </c>
    </row>
    <row r="1211" spans="1:11" x14ac:dyDescent="0.2">
      <c r="A1211" s="2">
        <v>304</v>
      </c>
      <c r="B1211" s="2">
        <v>2</v>
      </c>
      <c r="C1211" s="2">
        <v>108417774</v>
      </c>
      <c r="D1211" s="2">
        <v>110097868</v>
      </c>
      <c r="E1211" s="2">
        <v>1</v>
      </c>
      <c r="F1211" s="2" t="s">
        <v>10086</v>
      </c>
      <c r="H1211" s="2">
        <v>2.0999999999999999E-3</v>
      </c>
      <c r="K1211" s="2" t="s">
        <v>10088</v>
      </c>
    </row>
    <row r="1212" spans="1:11" x14ac:dyDescent="0.2">
      <c r="A1212" s="2">
        <v>304</v>
      </c>
      <c r="B1212" s="2">
        <v>2</v>
      </c>
      <c r="C1212" s="2">
        <v>108417774</v>
      </c>
      <c r="D1212" s="2">
        <v>110097868</v>
      </c>
      <c r="E1212" s="2">
        <v>2</v>
      </c>
      <c r="F1212" s="2" t="s">
        <v>10086</v>
      </c>
      <c r="H1212" s="2">
        <v>1.6000000000000001E-3</v>
      </c>
      <c r="K1212" s="2" t="s">
        <v>10089</v>
      </c>
    </row>
    <row r="1213" spans="1:11" x14ac:dyDescent="0.2">
      <c r="A1213" s="2">
        <v>304</v>
      </c>
      <c r="B1213" s="2">
        <v>2</v>
      </c>
      <c r="C1213" s="2">
        <v>108417774</v>
      </c>
      <c r="D1213" s="2">
        <v>110097868</v>
      </c>
      <c r="E1213" s="2">
        <v>3</v>
      </c>
      <c r="F1213" s="2" t="s">
        <v>10086</v>
      </c>
      <c r="H1213" s="2">
        <v>1.2999999999999999E-3</v>
      </c>
      <c r="K1213" s="2" t="s">
        <v>10085</v>
      </c>
    </row>
    <row r="1214" spans="1:11" x14ac:dyDescent="0.2">
      <c r="A1214" s="2">
        <v>304</v>
      </c>
      <c r="B1214" s="2">
        <v>2</v>
      </c>
      <c r="C1214" s="2">
        <v>108417774</v>
      </c>
      <c r="D1214" s="2">
        <v>110097868</v>
      </c>
      <c r="E1214" s="2">
        <v>4</v>
      </c>
      <c r="F1214" s="2" t="s">
        <v>10086</v>
      </c>
      <c r="H1214" s="3">
        <v>8.0000000000000004E-4</v>
      </c>
      <c r="K1214" s="2" t="s">
        <v>10087</v>
      </c>
    </row>
    <row r="1215" spans="1:11" x14ac:dyDescent="0.2">
      <c r="A1215" s="2">
        <v>305</v>
      </c>
      <c r="B1215" s="2">
        <v>2</v>
      </c>
      <c r="C1215" s="2">
        <v>110097869</v>
      </c>
      <c r="D1215" s="2">
        <v>112644828</v>
      </c>
      <c r="E1215" s="2">
        <v>1</v>
      </c>
      <c r="F1215" s="2" t="s">
        <v>10086</v>
      </c>
      <c r="H1215" s="2">
        <v>1.9E-3</v>
      </c>
      <c r="K1215" s="2" t="s">
        <v>10089</v>
      </c>
    </row>
    <row r="1216" spans="1:11" x14ac:dyDescent="0.2">
      <c r="A1216" s="2">
        <v>305</v>
      </c>
      <c r="B1216" s="2">
        <v>2</v>
      </c>
      <c r="C1216" s="2">
        <v>110097869</v>
      </c>
      <c r="D1216" s="2">
        <v>112644828</v>
      </c>
      <c r="E1216" s="2">
        <v>2</v>
      </c>
      <c r="F1216" s="2" t="s">
        <v>10086</v>
      </c>
      <c r="H1216" s="2">
        <v>1.2999999999999999E-3</v>
      </c>
      <c r="K1216" s="2" t="s">
        <v>10085</v>
      </c>
    </row>
    <row r="1217" spans="1:11" x14ac:dyDescent="0.2">
      <c r="A1217" s="2">
        <v>305</v>
      </c>
      <c r="B1217" s="2">
        <v>2</v>
      </c>
      <c r="C1217" s="2">
        <v>110097869</v>
      </c>
      <c r="D1217" s="2">
        <v>112644828</v>
      </c>
      <c r="E1217" s="2">
        <v>3</v>
      </c>
      <c r="F1217" s="2" t="s">
        <v>10086</v>
      </c>
      <c r="H1217" s="2">
        <v>1.6000000000000001E-3</v>
      </c>
      <c r="K1217" s="2" t="s">
        <v>10087</v>
      </c>
    </row>
    <row r="1218" spans="1:11" x14ac:dyDescent="0.2">
      <c r="A1218" s="2">
        <v>305</v>
      </c>
      <c r="B1218" s="2">
        <v>2</v>
      </c>
      <c r="C1218" s="2">
        <v>110097869</v>
      </c>
      <c r="D1218" s="2">
        <v>112644828</v>
      </c>
      <c r="E1218" s="2">
        <v>4</v>
      </c>
      <c r="F1218" s="2" t="s">
        <v>10086</v>
      </c>
      <c r="H1218" s="3">
        <v>6.9999999999999999E-4</v>
      </c>
      <c r="K1218" s="2" t="s">
        <v>10088</v>
      </c>
    </row>
    <row r="1219" spans="1:11" x14ac:dyDescent="0.2">
      <c r="A1219" s="2">
        <v>306</v>
      </c>
      <c r="B1219" s="2">
        <v>2</v>
      </c>
      <c r="C1219" s="2">
        <v>112644829</v>
      </c>
      <c r="D1219" s="2">
        <v>113930668</v>
      </c>
      <c r="E1219" s="2">
        <v>1</v>
      </c>
      <c r="F1219" s="2" t="s">
        <v>10086</v>
      </c>
      <c r="H1219" s="2">
        <v>1.6000000000000001E-3</v>
      </c>
      <c r="K1219" s="2" t="s">
        <v>10087</v>
      </c>
    </row>
    <row r="1220" spans="1:11" x14ac:dyDescent="0.2">
      <c r="A1220" s="2">
        <v>306</v>
      </c>
      <c r="B1220" s="2">
        <v>2</v>
      </c>
      <c r="C1220" s="2">
        <v>112644829</v>
      </c>
      <c r="D1220" s="2">
        <v>113930668</v>
      </c>
      <c r="E1220" s="2">
        <v>2</v>
      </c>
      <c r="F1220" s="2" t="s">
        <v>10086</v>
      </c>
      <c r="H1220" s="2">
        <v>1.1000000000000001E-3</v>
      </c>
      <c r="K1220" s="2" t="s">
        <v>10089</v>
      </c>
    </row>
    <row r="1221" spans="1:11" x14ac:dyDescent="0.2">
      <c r="A1221" s="2">
        <v>306</v>
      </c>
      <c r="B1221" s="2">
        <v>2</v>
      </c>
      <c r="C1221" s="2">
        <v>112644829</v>
      </c>
      <c r="D1221" s="2">
        <v>113930668</v>
      </c>
      <c r="E1221" s="2">
        <v>3</v>
      </c>
      <c r="F1221" s="2" t="s">
        <v>10086</v>
      </c>
      <c r="H1221" s="2">
        <v>1.1000000000000001E-3</v>
      </c>
      <c r="K1221" s="2" t="s">
        <v>10088</v>
      </c>
    </row>
    <row r="1222" spans="1:11" x14ac:dyDescent="0.2">
      <c r="A1222" s="2">
        <v>306</v>
      </c>
      <c r="B1222" s="2">
        <v>2</v>
      </c>
      <c r="C1222" s="2">
        <v>112644829</v>
      </c>
      <c r="D1222" s="2">
        <v>113930668</v>
      </c>
      <c r="E1222" s="2">
        <v>4</v>
      </c>
      <c r="F1222" s="2" t="s">
        <v>10086</v>
      </c>
      <c r="H1222" s="3">
        <v>6.9999999999999999E-4</v>
      </c>
      <c r="K1222" s="2" t="s">
        <v>10085</v>
      </c>
    </row>
    <row r="1223" spans="1:11" x14ac:dyDescent="0.2">
      <c r="A1223" s="2">
        <v>307</v>
      </c>
      <c r="B1223" s="2">
        <v>2</v>
      </c>
      <c r="C1223" s="2">
        <v>113930669</v>
      </c>
      <c r="D1223" s="2">
        <v>115203835</v>
      </c>
      <c r="E1223" s="2">
        <v>1</v>
      </c>
      <c r="F1223" s="2" t="s">
        <v>10086</v>
      </c>
      <c r="H1223" s="2">
        <v>1.8E-3</v>
      </c>
      <c r="K1223" s="2" t="s">
        <v>10085</v>
      </c>
    </row>
    <row r="1224" spans="1:11" x14ac:dyDescent="0.2">
      <c r="A1224" s="2">
        <v>307</v>
      </c>
      <c r="B1224" s="2">
        <v>2</v>
      </c>
      <c r="C1224" s="2">
        <v>113930669</v>
      </c>
      <c r="D1224" s="2">
        <v>115203835</v>
      </c>
      <c r="E1224" s="2">
        <v>2</v>
      </c>
      <c r="F1224" s="2" t="s">
        <v>10086</v>
      </c>
      <c r="H1224" s="2">
        <v>1.1999999999999999E-3</v>
      </c>
      <c r="K1224" s="2" t="s">
        <v>10087</v>
      </c>
    </row>
    <row r="1225" spans="1:11" x14ac:dyDescent="0.2">
      <c r="A1225" s="2">
        <v>307</v>
      </c>
      <c r="B1225" s="2">
        <v>2</v>
      </c>
      <c r="C1225" s="2">
        <v>113930669</v>
      </c>
      <c r="D1225" s="2">
        <v>115203835</v>
      </c>
      <c r="E1225" s="2">
        <v>3</v>
      </c>
      <c r="F1225" s="2" t="s">
        <v>10086</v>
      </c>
      <c r="H1225" s="3">
        <v>8.0000000000000004E-4</v>
      </c>
      <c r="K1225" s="2" t="s">
        <v>10088</v>
      </c>
    </row>
    <row r="1226" spans="1:11" x14ac:dyDescent="0.2">
      <c r="A1226" s="2">
        <v>307</v>
      </c>
      <c r="B1226" s="2">
        <v>2</v>
      </c>
      <c r="C1226" s="2">
        <v>113930669</v>
      </c>
      <c r="D1226" s="2">
        <v>115203835</v>
      </c>
      <c r="E1226" s="2">
        <v>4</v>
      </c>
      <c r="F1226" s="2" t="s">
        <v>10086</v>
      </c>
      <c r="H1226" s="3">
        <v>5.0000000000000001E-4</v>
      </c>
      <c r="K1226" s="2" t="s">
        <v>12324</v>
      </c>
    </row>
    <row r="1227" spans="1:11" x14ac:dyDescent="0.2">
      <c r="A1227" s="2">
        <v>308</v>
      </c>
      <c r="B1227" s="2">
        <v>2</v>
      </c>
      <c r="C1227" s="2">
        <v>115203836</v>
      </c>
      <c r="D1227" s="2">
        <v>116415816</v>
      </c>
      <c r="E1227" s="2">
        <v>1</v>
      </c>
      <c r="F1227" s="2" t="s">
        <v>10086</v>
      </c>
      <c r="H1227" s="2">
        <v>6.7000000000000002E-3</v>
      </c>
      <c r="K1227" s="2" t="s">
        <v>10088</v>
      </c>
    </row>
    <row r="1228" spans="1:11" x14ac:dyDescent="0.2">
      <c r="A1228" s="2">
        <v>308</v>
      </c>
      <c r="B1228" s="2">
        <v>2</v>
      </c>
      <c r="C1228" s="2">
        <v>115203836</v>
      </c>
      <c r="D1228" s="2">
        <v>116415816</v>
      </c>
      <c r="E1228" s="2">
        <v>2</v>
      </c>
      <c r="F1228" s="2" t="s">
        <v>10086</v>
      </c>
      <c r="H1228" s="2">
        <v>1.1000000000000001E-3</v>
      </c>
      <c r="K1228" s="2" t="s">
        <v>10085</v>
      </c>
    </row>
    <row r="1229" spans="1:11" x14ac:dyDescent="0.2">
      <c r="A1229" s="2">
        <v>308</v>
      </c>
      <c r="B1229" s="2">
        <v>2</v>
      </c>
      <c r="C1229" s="2">
        <v>115203836</v>
      </c>
      <c r="D1229" s="2">
        <v>116415816</v>
      </c>
      <c r="E1229" s="2">
        <v>3</v>
      </c>
      <c r="F1229" s="2" t="s">
        <v>10086</v>
      </c>
      <c r="H1229" s="3">
        <v>6.9999999999999999E-4</v>
      </c>
      <c r="K1229" s="2" t="s">
        <v>10089</v>
      </c>
    </row>
    <row r="1230" spans="1:11" x14ac:dyDescent="0.2">
      <c r="A1230" s="2">
        <v>308</v>
      </c>
      <c r="B1230" s="2">
        <v>2</v>
      </c>
      <c r="C1230" s="2">
        <v>115203836</v>
      </c>
      <c r="D1230" s="2">
        <v>116415816</v>
      </c>
      <c r="E1230" s="2">
        <v>4</v>
      </c>
      <c r="F1230" s="2" t="s">
        <v>10086</v>
      </c>
      <c r="H1230" s="3">
        <v>4.0000000000000002E-4</v>
      </c>
      <c r="K1230" s="2" t="s">
        <v>10087</v>
      </c>
    </row>
    <row r="1231" spans="1:11" x14ac:dyDescent="0.2">
      <c r="A1231" s="2">
        <v>309</v>
      </c>
      <c r="B1231" s="2">
        <v>2</v>
      </c>
      <c r="C1231" s="2">
        <v>116415817</v>
      </c>
      <c r="D1231" s="2">
        <v>117822516</v>
      </c>
      <c r="E1231" s="2">
        <v>1</v>
      </c>
      <c r="F1231" s="2" t="s">
        <v>10086</v>
      </c>
      <c r="H1231" s="2">
        <v>1.6000000000000001E-3</v>
      </c>
      <c r="K1231" s="2" t="s">
        <v>10089</v>
      </c>
    </row>
    <row r="1232" spans="1:11" x14ac:dyDescent="0.2">
      <c r="A1232" s="2">
        <v>309</v>
      </c>
      <c r="B1232" s="2">
        <v>2</v>
      </c>
      <c r="C1232" s="2">
        <v>116415817</v>
      </c>
      <c r="D1232" s="2">
        <v>117822516</v>
      </c>
      <c r="E1232" s="2">
        <v>2</v>
      </c>
      <c r="F1232" s="2" t="s">
        <v>10086</v>
      </c>
      <c r="H1232" s="2">
        <v>1.4E-3</v>
      </c>
      <c r="K1232" s="2" t="s">
        <v>10088</v>
      </c>
    </row>
    <row r="1233" spans="1:11" x14ac:dyDescent="0.2">
      <c r="A1233" s="2">
        <v>309</v>
      </c>
      <c r="B1233" s="2">
        <v>2</v>
      </c>
      <c r="C1233" s="2">
        <v>116415817</v>
      </c>
      <c r="D1233" s="2">
        <v>117822516</v>
      </c>
      <c r="E1233" s="2">
        <v>3</v>
      </c>
      <c r="F1233" s="2" t="s">
        <v>10086</v>
      </c>
      <c r="H1233" s="3">
        <v>8.0000000000000004E-4</v>
      </c>
      <c r="K1233" s="2" t="s">
        <v>10085</v>
      </c>
    </row>
    <row r="1234" spans="1:11" x14ac:dyDescent="0.2">
      <c r="A1234" s="2">
        <v>309</v>
      </c>
      <c r="B1234" s="2">
        <v>2</v>
      </c>
      <c r="C1234" s="2">
        <v>116415817</v>
      </c>
      <c r="D1234" s="2">
        <v>117822516</v>
      </c>
      <c r="E1234" s="2">
        <v>4</v>
      </c>
      <c r="F1234" s="2" t="s">
        <v>10086</v>
      </c>
      <c r="H1234" s="3">
        <v>4.0000000000000002E-4</v>
      </c>
      <c r="K1234" s="2" t="s">
        <v>10087</v>
      </c>
    </row>
    <row r="1235" spans="1:11" x14ac:dyDescent="0.2">
      <c r="A1235" s="2">
        <v>310</v>
      </c>
      <c r="B1235" s="2">
        <v>2</v>
      </c>
      <c r="C1235" s="2">
        <v>117822517</v>
      </c>
      <c r="D1235" s="2">
        <v>118663653</v>
      </c>
      <c r="E1235" s="2">
        <v>1</v>
      </c>
      <c r="F1235" s="2" t="s">
        <v>10086</v>
      </c>
      <c r="H1235" s="2">
        <v>2.5000000000000001E-3</v>
      </c>
      <c r="K1235" s="2" t="s">
        <v>10087</v>
      </c>
    </row>
    <row r="1236" spans="1:11" x14ac:dyDescent="0.2">
      <c r="A1236" s="2">
        <v>310</v>
      </c>
      <c r="B1236" s="2">
        <v>2</v>
      </c>
      <c r="C1236" s="2">
        <v>117822517</v>
      </c>
      <c r="D1236" s="2">
        <v>118663653</v>
      </c>
      <c r="E1236" s="2">
        <v>2</v>
      </c>
      <c r="F1236" s="2" t="s">
        <v>10086</v>
      </c>
      <c r="H1236" s="2">
        <v>1E-3</v>
      </c>
      <c r="K1236" s="2" t="s">
        <v>10085</v>
      </c>
    </row>
    <row r="1237" spans="1:11" x14ac:dyDescent="0.2">
      <c r="A1237" s="2">
        <v>310</v>
      </c>
      <c r="B1237" s="2">
        <v>2</v>
      </c>
      <c r="C1237" s="2">
        <v>117822517</v>
      </c>
      <c r="D1237" s="2">
        <v>118663653</v>
      </c>
      <c r="E1237" s="2">
        <v>3</v>
      </c>
      <c r="F1237" s="2" t="s">
        <v>10086</v>
      </c>
      <c r="H1237" s="3">
        <v>8.0000000000000004E-4</v>
      </c>
      <c r="K1237" s="2" t="s">
        <v>10089</v>
      </c>
    </row>
    <row r="1238" spans="1:11" x14ac:dyDescent="0.2">
      <c r="A1238" s="2">
        <v>310</v>
      </c>
      <c r="B1238" s="2">
        <v>2</v>
      </c>
      <c r="C1238" s="2">
        <v>117822517</v>
      </c>
      <c r="D1238" s="2">
        <v>118663653</v>
      </c>
      <c r="E1238" s="2">
        <v>4</v>
      </c>
      <c r="F1238" s="2" t="s">
        <v>10086</v>
      </c>
      <c r="H1238" s="3">
        <v>5.9999999999999995E-4</v>
      </c>
      <c r="K1238" s="2" t="s">
        <v>10088</v>
      </c>
    </row>
    <row r="1239" spans="1:11" x14ac:dyDescent="0.2">
      <c r="A1239" s="2">
        <v>311</v>
      </c>
      <c r="B1239" s="2">
        <v>2</v>
      </c>
      <c r="C1239" s="2">
        <v>118663654</v>
      </c>
      <c r="D1239" s="2">
        <v>119635489</v>
      </c>
      <c r="E1239" s="2">
        <v>1</v>
      </c>
      <c r="F1239" s="2" t="s">
        <v>10086</v>
      </c>
      <c r="H1239" s="2">
        <v>1.1000000000000001E-3</v>
      </c>
      <c r="K1239" s="2" t="s">
        <v>10085</v>
      </c>
    </row>
    <row r="1240" spans="1:11" x14ac:dyDescent="0.2">
      <c r="A1240" s="2">
        <v>311</v>
      </c>
      <c r="B1240" s="2">
        <v>2</v>
      </c>
      <c r="C1240" s="2">
        <v>118663654</v>
      </c>
      <c r="D1240" s="2">
        <v>119635489</v>
      </c>
      <c r="E1240" s="2">
        <v>2</v>
      </c>
      <c r="F1240" s="2" t="s">
        <v>10086</v>
      </c>
      <c r="H1240" s="3">
        <v>8.9999999999999998E-4</v>
      </c>
      <c r="K1240" s="2" t="s">
        <v>10087</v>
      </c>
    </row>
    <row r="1241" spans="1:11" x14ac:dyDescent="0.2">
      <c r="A1241" s="2">
        <v>311</v>
      </c>
      <c r="B1241" s="2">
        <v>2</v>
      </c>
      <c r="C1241" s="2">
        <v>118663654</v>
      </c>
      <c r="D1241" s="2">
        <v>119635489</v>
      </c>
      <c r="E1241" s="2">
        <v>3</v>
      </c>
      <c r="F1241" s="2" t="s">
        <v>10086</v>
      </c>
      <c r="H1241" s="3">
        <v>6.9999999999999999E-4</v>
      </c>
      <c r="K1241" s="2" t="s">
        <v>10089</v>
      </c>
    </row>
    <row r="1242" spans="1:11" x14ac:dyDescent="0.2">
      <c r="A1242" s="2">
        <v>311</v>
      </c>
      <c r="B1242" s="2">
        <v>2</v>
      </c>
      <c r="C1242" s="2">
        <v>118663654</v>
      </c>
      <c r="D1242" s="2">
        <v>119635489</v>
      </c>
      <c r="E1242" s="2">
        <v>4</v>
      </c>
      <c r="F1242" s="2" t="s">
        <v>10086</v>
      </c>
      <c r="H1242" s="3">
        <v>4.0000000000000002E-4</v>
      </c>
      <c r="K1242" s="2" t="s">
        <v>10088</v>
      </c>
    </row>
    <row r="1243" spans="1:11" x14ac:dyDescent="0.2">
      <c r="A1243" s="2">
        <v>312</v>
      </c>
      <c r="B1243" s="2">
        <v>2</v>
      </c>
      <c r="C1243" s="2">
        <v>119635490</v>
      </c>
      <c r="D1243" s="2">
        <v>121073752</v>
      </c>
      <c r="E1243" s="2">
        <v>1</v>
      </c>
      <c r="F1243" s="2" t="s">
        <v>10086</v>
      </c>
      <c r="H1243" s="2">
        <v>1.5E-3</v>
      </c>
      <c r="K1243" s="2" t="s">
        <v>10088</v>
      </c>
    </row>
    <row r="1244" spans="1:11" x14ac:dyDescent="0.2">
      <c r="A1244" s="2">
        <v>312</v>
      </c>
      <c r="B1244" s="2">
        <v>2</v>
      </c>
      <c r="C1244" s="2">
        <v>119635490</v>
      </c>
      <c r="D1244" s="2">
        <v>121073752</v>
      </c>
      <c r="E1244" s="2">
        <v>2</v>
      </c>
      <c r="F1244" s="2" t="s">
        <v>10086</v>
      </c>
      <c r="H1244" s="2">
        <v>1.1999999999999999E-3</v>
      </c>
      <c r="K1244" s="2" t="s">
        <v>10087</v>
      </c>
    </row>
    <row r="1245" spans="1:11" x14ac:dyDescent="0.2">
      <c r="A1245" s="2">
        <v>312</v>
      </c>
      <c r="B1245" s="2">
        <v>2</v>
      </c>
      <c r="C1245" s="2">
        <v>119635490</v>
      </c>
      <c r="D1245" s="2">
        <v>121073752</v>
      </c>
      <c r="E1245" s="2">
        <v>3</v>
      </c>
      <c r="F1245" s="2" t="s">
        <v>10086</v>
      </c>
      <c r="H1245" s="2">
        <v>1.1000000000000001E-3</v>
      </c>
      <c r="K1245" s="2" t="s">
        <v>10089</v>
      </c>
    </row>
    <row r="1246" spans="1:11" x14ac:dyDescent="0.2">
      <c r="A1246" s="2">
        <v>312</v>
      </c>
      <c r="B1246" s="2">
        <v>2</v>
      </c>
      <c r="C1246" s="2">
        <v>119635490</v>
      </c>
      <c r="D1246" s="2">
        <v>121073752</v>
      </c>
      <c r="E1246" s="2">
        <v>4</v>
      </c>
      <c r="F1246" s="2" t="s">
        <v>10086</v>
      </c>
      <c r="H1246" s="3">
        <v>5.9999999999999995E-4</v>
      </c>
      <c r="K1246" s="2" t="s">
        <v>10085</v>
      </c>
    </row>
    <row r="1247" spans="1:11" x14ac:dyDescent="0.2">
      <c r="A1247" s="2">
        <v>313</v>
      </c>
      <c r="B1247" s="2">
        <v>2</v>
      </c>
      <c r="C1247" s="2">
        <v>121073753</v>
      </c>
      <c r="D1247" s="2">
        <v>122026817</v>
      </c>
      <c r="E1247" s="2">
        <v>1</v>
      </c>
      <c r="F1247" s="2" t="s">
        <v>10086</v>
      </c>
      <c r="H1247" s="2">
        <v>1.6000000000000001E-3</v>
      </c>
      <c r="K1247" s="2" t="s">
        <v>10085</v>
      </c>
    </row>
    <row r="1248" spans="1:11" x14ac:dyDescent="0.2">
      <c r="A1248" s="2">
        <v>313</v>
      </c>
      <c r="B1248" s="2">
        <v>2</v>
      </c>
      <c r="C1248" s="2">
        <v>121073753</v>
      </c>
      <c r="D1248" s="2">
        <v>122026817</v>
      </c>
      <c r="E1248" s="2">
        <v>2</v>
      </c>
      <c r="F1248" s="2" t="s">
        <v>10086</v>
      </c>
      <c r="H1248" s="2">
        <v>1.6000000000000001E-3</v>
      </c>
      <c r="K1248" s="2" t="s">
        <v>10087</v>
      </c>
    </row>
    <row r="1249" spans="1:11" x14ac:dyDescent="0.2">
      <c r="A1249" s="2">
        <v>313</v>
      </c>
      <c r="B1249" s="2">
        <v>2</v>
      </c>
      <c r="C1249" s="2">
        <v>121073753</v>
      </c>
      <c r="D1249" s="2">
        <v>122026817</v>
      </c>
      <c r="E1249" s="2">
        <v>3</v>
      </c>
      <c r="F1249" s="2" t="s">
        <v>10086</v>
      </c>
      <c r="H1249" s="3">
        <v>8.9999999999999998E-4</v>
      </c>
      <c r="K1249" s="2" t="s">
        <v>10088</v>
      </c>
    </row>
    <row r="1250" spans="1:11" x14ac:dyDescent="0.2">
      <c r="A1250" s="2">
        <v>313</v>
      </c>
      <c r="B1250" s="2">
        <v>2</v>
      </c>
      <c r="C1250" s="2">
        <v>121073753</v>
      </c>
      <c r="D1250" s="2">
        <v>122026817</v>
      </c>
      <c r="E1250" s="2">
        <v>4</v>
      </c>
      <c r="F1250" s="2" t="s">
        <v>10086</v>
      </c>
      <c r="H1250" s="3">
        <v>6.9999999999999999E-4</v>
      </c>
      <c r="K1250" s="2" t="s">
        <v>10089</v>
      </c>
    </row>
    <row r="1251" spans="1:11" x14ac:dyDescent="0.2">
      <c r="A1251" s="2">
        <v>314</v>
      </c>
      <c r="B1251" s="2">
        <v>2</v>
      </c>
      <c r="C1251" s="2">
        <v>122026818</v>
      </c>
      <c r="D1251" s="2">
        <v>123219243</v>
      </c>
      <c r="E1251" s="2">
        <v>1</v>
      </c>
      <c r="F1251" s="2" t="s">
        <v>10086</v>
      </c>
      <c r="H1251" s="2">
        <v>3.2000000000000002E-3</v>
      </c>
      <c r="K1251" s="2" t="s">
        <v>10087</v>
      </c>
    </row>
    <row r="1252" spans="1:11" x14ac:dyDescent="0.2">
      <c r="A1252" s="2">
        <v>314</v>
      </c>
      <c r="B1252" s="2">
        <v>2</v>
      </c>
      <c r="C1252" s="2">
        <v>122026818</v>
      </c>
      <c r="D1252" s="2">
        <v>123219243</v>
      </c>
      <c r="E1252" s="2">
        <v>2</v>
      </c>
      <c r="F1252" s="2" t="s">
        <v>10086</v>
      </c>
      <c r="H1252" s="2">
        <v>2.8E-3</v>
      </c>
      <c r="K1252" s="2" t="s">
        <v>10089</v>
      </c>
    </row>
    <row r="1253" spans="1:11" x14ac:dyDescent="0.2">
      <c r="A1253" s="2">
        <v>314</v>
      </c>
      <c r="B1253" s="2">
        <v>2</v>
      </c>
      <c r="C1253" s="2">
        <v>122026818</v>
      </c>
      <c r="D1253" s="2">
        <v>123219243</v>
      </c>
      <c r="E1253" s="2">
        <v>3</v>
      </c>
      <c r="F1253" s="2" t="s">
        <v>10086</v>
      </c>
      <c r="H1253" s="3">
        <v>6.9999999999999999E-4</v>
      </c>
      <c r="K1253" s="2" t="s">
        <v>10085</v>
      </c>
    </row>
    <row r="1254" spans="1:11" x14ac:dyDescent="0.2">
      <c r="A1254" s="2">
        <v>314</v>
      </c>
      <c r="B1254" s="2">
        <v>2</v>
      </c>
      <c r="C1254" s="2">
        <v>122026818</v>
      </c>
      <c r="D1254" s="2">
        <v>123219243</v>
      </c>
      <c r="E1254" s="2">
        <v>4</v>
      </c>
      <c r="F1254" s="2" t="s">
        <v>10086</v>
      </c>
      <c r="H1254" s="3">
        <v>4.0000000000000002E-4</v>
      </c>
      <c r="K1254" s="2" t="s">
        <v>10088</v>
      </c>
    </row>
    <row r="1255" spans="1:11" x14ac:dyDescent="0.2">
      <c r="A1255" s="2">
        <v>315</v>
      </c>
      <c r="B1255" s="2">
        <v>2</v>
      </c>
      <c r="C1255" s="2">
        <v>123219244</v>
      </c>
      <c r="D1255" s="2">
        <v>123929872</v>
      </c>
      <c r="E1255" s="2">
        <v>1</v>
      </c>
      <c r="F1255" s="2" t="s">
        <v>10086</v>
      </c>
      <c r="H1255" s="2">
        <v>1.6999999999999999E-3</v>
      </c>
      <c r="K1255" s="2" t="s">
        <v>10089</v>
      </c>
    </row>
    <row r="1256" spans="1:11" x14ac:dyDescent="0.2">
      <c r="A1256" s="2">
        <v>315</v>
      </c>
      <c r="B1256" s="2">
        <v>2</v>
      </c>
      <c r="C1256" s="2">
        <v>123219244</v>
      </c>
      <c r="D1256" s="2">
        <v>123929872</v>
      </c>
      <c r="E1256" s="2">
        <v>2</v>
      </c>
      <c r="F1256" s="2" t="s">
        <v>10086</v>
      </c>
      <c r="H1256" s="3">
        <v>8.9999999999999998E-4</v>
      </c>
      <c r="K1256" s="2" t="s">
        <v>10088</v>
      </c>
    </row>
    <row r="1257" spans="1:11" x14ac:dyDescent="0.2">
      <c r="A1257" s="2">
        <v>315</v>
      </c>
      <c r="B1257" s="2">
        <v>2</v>
      </c>
      <c r="C1257" s="2">
        <v>123219244</v>
      </c>
      <c r="D1257" s="2">
        <v>123929872</v>
      </c>
      <c r="E1257" s="2">
        <v>3</v>
      </c>
      <c r="F1257" s="2" t="s">
        <v>10086</v>
      </c>
      <c r="H1257" s="3">
        <v>6.9999999999999999E-4</v>
      </c>
      <c r="K1257" s="2" t="s">
        <v>10087</v>
      </c>
    </row>
    <row r="1258" spans="1:11" x14ac:dyDescent="0.2">
      <c r="A1258" s="2">
        <v>315</v>
      </c>
      <c r="B1258" s="2">
        <v>2</v>
      </c>
      <c r="C1258" s="2">
        <v>123219244</v>
      </c>
      <c r="D1258" s="2">
        <v>123929872</v>
      </c>
      <c r="E1258" s="2">
        <v>4</v>
      </c>
      <c r="F1258" s="2" t="s">
        <v>10086</v>
      </c>
      <c r="H1258" s="3">
        <v>2.9999999999999997E-4</v>
      </c>
      <c r="K1258" s="2" t="s">
        <v>10085</v>
      </c>
    </row>
    <row r="1259" spans="1:11" x14ac:dyDescent="0.2">
      <c r="A1259" s="2">
        <v>316</v>
      </c>
      <c r="B1259" s="2">
        <v>2</v>
      </c>
      <c r="C1259" s="2">
        <v>123929873</v>
      </c>
      <c r="D1259" s="2">
        <v>124730991</v>
      </c>
      <c r="E1259" s="2">
        <v>1</v>
      </c>
      <c r="F1259" s="2" t="s">
        <v>10086</v>
      </c>
      <c r="H1259" s="3">
        <v>6.9999999999999999E-4</v>
      </c>
      <c r="K1259" s="2" t="s">
        <v>10085</v>
      </c>
    </row>
    <row r="1260" spans="1:11" x14ac:dyDescent="0.2">
      <c r="A1260" s="2">
        <v>316</v>
      </c>
      <c r="B1260" s="2">
        <v>2</v>
      </c>
      <c r="C1260" s="2">
        <v>123929873</v>
      </c>
      <c r="D1260" s="2">
        <v>124730991</v>
      </c>
      <c r="E1260" s="2">
        <v>2</v>
      </c>
      <c r="F1260" s="2" t="s">
        <v>10086</v>
      </c>
      <c r="H1260" s="3">
        <v>5.9999999999999995E-4</v>
      </c>
      <c r="K1260" s="2" t="s">
        <v>10089</v>
      </c>
    </row>
    <row r="1261" spans="1:11" x14ac:dyDescent="0.2">
      <c r="A1261" s="2">
        <v>316</v>
      </c>
      <c r="B1261" s="2">
        <v>2</v>
      </c>
      <c r="C1261" s="2">
        <v>123929873</v>
      </c>
      <c r="D1261" s="2">
        <v>124730991</v>
      </c>
      <c r="E1261" s="2">
        <v>3</v>
      </c>
      <c r="F1261" s="2" t="s">
        <v>10086</v>
      </c>
      <c r="H1261" s="3">
        <v>5.9999999999999995E-4</v>
      </c>
      <c r="K1261" s="2" t="s">
        <v>10087</v>
      </c>
    </row>
    <row r="1262" spans="1:11" x14ac:dyDescent="0.2">
      <c r="A1262" s="2">
        <v>316</v>
      </c>
      <c r="B1262" s="2">
        <v>2</v>
      </c>
      <c r="C1262" s="2">
        <v>123929873</v>
      </c>
      <c r="D1262" s="2">
        <v>124730991</v>
      </c>
      <c r="E1262" s="2">
        <v>4</v>
      </c>
      <c r="F1262" s="2" t="s">
        <v>10086</v>
      </c>
      <c r="H1262" s="3">
        <v>2.0000000000000001E-4</v>
      </c>
      <c r="K1262" s="2" t="s">
        <v>10088</v>
      </c>
    </row>
    <row r="1263" spans="1:11" x14ac:dyDescent="0.2">
      <c r="A1263" s="2">
        <v>317</v>
      </c>
      <c r="B1263" s="2">
        <v>2</v>
      </c>
      <c r="C1263" s="2">
        <v>124730992</v>
      </c>
      <c r="D1263" s="2">
        <v>125741528</v>
      </c>
      <c r="E1263" s="2">
        <v>1</v>
      </c>
      <c r="F1263" s="2" t="s">
        <v>10086</v>
      </c>
      <c r="H1263" s="3">
        <v>8.9999999999999998E-4</v>
      </c>
      <c r="K1263" s="2" t="s">
        <v>10089</v>
      </c>
    </row>
    <row r="1264" spans="1:11" x14ac:dyDescent="0.2">
      <c r="A1264" s="2">
        <v>317</v>
      </c>
      <c r="B1264" s="2">
        <v>2</v>
      </c>
      <c r="C1264" s="2">
        <v>124730992</v>
      </c>
      <c r="D1264" s="2">
        <v>125741528</v>
      </c>
      <c r="E1264" s="2">
        <v>2</v>
      </c>
      <c r="F1264" s="2" t="s">
        <v>10086</v>
      </c>
      <c r="H1264" s="3">
        <v>5.9999999999999995E-4</v>
      </c>
      <c r="K1264" s="2" t="s">
        <v>10088</v>
      </c>
    </row>
    <row r="1265" spans="1:11" x14ac:dyDescent="0.2">
      <c r="A1265" s="2">
        <v>317</v>
      </c>
      <c r="B1265" s="2">
        <v>2</v>
      </c>
      <c r="C1265" s="2">
        <v>124730992</v>
      </c>
      <c r="D1265" s="2">
        <v>125741528</v>
      </c>
      <c r="E1265" s="2">
        <v>3</v>
      </c>
      <c r="F1265" s="2" t="s">
        <v>10086</v>
      </c>
      <c r="H1265" s="3">
        <v>5.0000000000000001E-4</v>
      </c>
      <c r="K1265" s="2" t="s">
        <v>10085</v>
      </c>
    </row>
    <row r="1266" spans="1:11" x14ac:dyDescent="0.2">
      <c r="A1266" s="2">
        <v>317</v>
      </c>
      <c r="B1266" s="2">
        <v>2</v>
      </c>
      <c r="C1266" s="2">
        <v>124730992</v>
      </c>
      <c r="D1266" s="2">
        <v>125741528</v>
      </c>
      <c r="E1266" s="2">
        <v>4</v>
      </c>
      <c r="F1266" s="2" t="s">
        <v>10086</v>
      </c>
      <c r="H1266" s="3">
        <v>2.9999999999999997E-4</v>
      </c>
      <c r="K1266" s="2" t="s">
        <v>10087</v>
      </c>
    </row>
    <row r="1267" spans="1:11" x14ac:dyDescent="0.2">
      <c r="A1267" s="2">
        <v>318</v>
      </c>
      <c r="B1267" s="2">
        <v>2</v>
      </c>
      <c r="C1267" s="2">
        <v>125741529</v>
      </c>
      <c r="D1267" s="2">
        <v>126754027</v>
      </c>
      <c r="E1267" s="2">
        <v>1</v>
      </c>
      <c r="F1267" s="2" t="s">
        <v>10086</v>
      </c>
      <c r="H1267" s="2">
        <v>2.2000000000000001E-3</v>
      </c>
      <c r="K1267" s="2" t="s">
        <v>10085</v>
      </c>
    </row>
    <row r="1268" spans="1:11" x14ac:dyDescent="0.2">
      <c r="A1268" s="2">
        <v>318</v>
      </c>
      <c r="B1268" s="2">
        <v>2</v>
      </c>
      <c r="C1268" s="2">
        <v>125741529</v>
      </c>
      <c r="D1268" s="2">
        <v>126754027</v>
      </c>
      <c r="E1268" s="2">
        <v>2</v>
      </c>
      <c r="F1268" s="2" t="s">
        <v>10086</v>
      </c>
      <c r="H1268" s="2">
        <v>1.1999999999999999E-3</v>
      </c>
      <c r="K1268" s="2" t="s">
        <v>10088</v>
      </c>
    </row>
    <row r="1269" spans="1:11" x14ac:dyDescent="0.2">
      <c r="A1269" s="2">
        <v>318</v>
      </c>
      <c r="B1269" s="2">
        <v>2</v>
      </c>
      <c r="C1269" s="2">
        <v>125741529</v>
      </c>
      <c r="D1269" s="2">
        <v>126754027</v>
      </c>
      <c r="E1269" s="2">
        <v>3</v>
      </c>
      <c r="F1269" s="2" t="s">
        <v>10086</v>
      </c>
      <c r="H1269" s="3">
        <v>6.9999999999999999E-4</v>
      </c>
      <c r="K1269" s="2" t="s">
        <v>10087</v>
      </c>
    </row>
    <row r="1270" spans="1:11" x14ac:dyDescent="0.2">
      <c r="A1270" s="2">
        <v>318</v>
      </c>
      <c r="B1270" s="2">
        <v>2</v>
      </c>
      <c r="C1270" s="2">
        <v>125741529</v>
      </c>
      <c r="D1270" s="2">
        <v>126754027</v>
      </c>
      <c r="E1270" s="2">
        <v>4</v>
      </c>
      <c r="F1270" s="2" t="s">
        <v>10086</v>
      </c>
      <c r="H1270" s="3">
        <v>2.9999999999999997E-4</v>
      </c>
      <c r="K1270" s="2" t="s">
        <v>10089</v>
      </c>
    </row>
    <row r="1271" spans="1:11" x14ac:dyDescent="0.2">
      <c r="A1271" s="2">
        <v>319</v>
      </c>
      <c r="B1271" s="2">
        <v>2</v>
      </c>
      <c r="C1271" s="2">
        <v>126754028</v>
      </c>
      <c r="D1271" s="2">
        <v>127895644</v>
      </c>
      <c r="E1271" s="2">
        <v>1</v>
      </c>
      <c r="F1271" s="2" t="s">
        <v>10086</v>
      </c>
      <c r="H1271" s="2">
        <v>1.2999999999999999E-3</v>
      </c>
      <c r="K1271" s="2" t="s">
        <v>10088</v>
      </c>
    </row>
    <row r="1272" spans="1:11" x14ac:dyDescent="0.2">
      <c r="A1272" s="2">
        <v>319</v>
      </c>
      <c r="B1272" s="2">
        <v>2</v>
      </c>
      <c r="C1272" s="2">
        <v>126754028</v>
      </c>
      <c r="D1272" s="2">
        <v>127895644</v>
      </c>
      <c r="E1272" s="2">
        <v>2</v>
      </c>
      <c r="F1272" s="2" t="s">
        <v>10086</v>
      </c>
      <c r="H1272" s="2">
        <v>1E-3</v>
      </c>
      <c r="K1272" s="2" t="s">
        <v>10087</v>
      </c>
    </row>
    <row r="1273" spans="1:11" x14ac:dyDescent="0.2">
      <c r="A1273" s="2">
        <v>319</v>
      </c>
      <c r="B1273" s="2">
        <v>2</v>
      </c>
      <c r="C1273" s="2">
        <v>126754028</v>
      </c>
      <c r="D1273" s="2">
        <v>127895644</v>
      </c>
      <c r="E1273" s="2">
        <v>3</v>
      </c>
      <c r="F1273" s="2" t="s">
        <v>10086</v>
      </c>
      <c r="H1273" s="3">
        <v>8.0000000000000004E-4</v>
      </c>
      <c r="K1273" s="2" t="s">
        <v>10085</v>
      </c>
    </row>
    <row r="1274" spans="1:11" x14ac:dyDescent="0.2">
      <c r="A1274" s="2">
        <v>319</v>
      </c>
      <c r="B1274" s="2">
        <v>2</v>
      </c>
      <c r="C1274" s="2">
        <v>126754028</v>
      </c>
      <c r="D1274" s="2">
        <v>127895644</v>
      </c>
      <c r="E1274" s="2">
        <v>4</v>
      </c>
      <c r="F1274" s="2" t="s">
        <v>10086</v>
      </c>
      <c r="H1274" s="3">
        <v>4.0000000000000002E-4</v>
      </c>
      <c r="K1274" s="2" t="s">
        <v>10089</v>
      </c>
    </row>
    <row r="1275" spans="1:11" x14ac:dyDescent="0.2">
      <c r="A1275" s="2">
        <v>320</v>
      </c>
      <c r="B1275" s="2">
        <v>2</v>
      </c>
      <c r="C1275" s="2">
        <v>127895645</v>
      </c>
      <c r="D1275" s="2">
        <v>129486897</v>
      </c>
      <c r="E1275" s="2">
        <v>1</v>
      </c>
      <c r="F1275" s="2" t="s">
        <v>10086</v>
      </c>
      <c r="H1275" s="2">
        <v>4.5999999999999999E-3</v>
      </c>
      <c r="K1275" s="2" t="s">
        <v>10088</v>
      </c>
    </row>
    <row r="1276" spans="1:11" x14ac:dyDescent="0.2">
      <c r="A1276" s="2">
        <v>320</v>
      </c>
      <c r="B1276" s="2">
        <v>2</v>
      </c>
      <c r="C1276" s="2">
        <v>127895645</v>
      </c>
      <c r="D1276" s="2">
        <v>129486897</v>
      </c>
      <c r="E1276" s="2">
        <v>2</v>
      </c>
      <c r="F1276" s="2" t="s">
        <v>10086</v>
      </c>
      <c r="H1276" s="2">
        <v>1.6000000000000001E-3</v>
      </c>
      <c r="K1276" s="2" t="s">
        <v>10089</v>
      </c>
    </row>
    <row r="1277" spans="1:11" x14ac:dyDescent="0.2">
      <c r="A1277" s="2">
        <v>320</v>
      </c>
      <c r="B1277" s="2">
        <v>2</v>
      </c>
      <c r="C1277" s="2">
        <v>127895645</v>
      </c>
      <c r="D1277" s="2">
        <v>129486897</v>
      </c>
      <c r="E1277" s="2">
        <v>3</v>
      </c>
      <c r="F1277" s="2" t="s">
        <v>10086</v>
      </c>
      <c r="H1277" s="2">
        <v>1.2999999999999999E-3</v>
      </c>
      <c r="K1277" s="2" t="s">
        <v>10085</v>
      </c>
    </row>
    <row r="1278" spans="1:11" x14ac:dyDescent="0.2">
      <c r="A1278" s="2">
        <v>320</v>
      </c>
      <c r="B1278" s="2">
        <v>2</v>
      </c>
      <c r="C1278" s="2">
        <v>127895645</v>
      </c>
      <c r="D1278" s="2">
        <v>129486897</v>
      </c>
      <c r="E1278" s="2">
        <v>4</v>
      </c>
      <c r="F1278" s="2" t="s">
        <v>10086</v>
      </c>
      <c r="H1278" s="3">
        <v>5.0000000000000001E-4</v>
      </c>
      <c r="K1278" s="2" t="s">
        <v>10087</v>
      </c>
    </row>
    <row r="1279" spans="1:11" x14ac:dyDescent="0.2">
      <c r="A1279" s="2">
        <v>321</v>
      </c>
      <c r="B1279" s="2">
        <v>2</v>
      </c>
      <c r="C1279" s="2">
        <v>129486898</v>
      </c>
      <c r="D1279" s="2">
        <v>130485398</v>
      </c>
      <c r="E1279" s="2">
        <v>1</v>
      </c>
      <c r="F1279" s="2" t="s">
        <v>10086</v>
      </c>
      <c r="H1279" s="2">
        <v>3.0000000000000001E-3</v>
      </c>
      <c r="K1279" s="2" t="s">
        <v>10088</v>
      </c>
    </row>
    <row r="1280" spans="1:11" x14ac:dyDescent="0.2">
      <c r="A1280" s="2">
        <v>321</v>
      </c>
      <c r="B1280" s="2">
        <v>2</v>
      </c>
      <c r="C1280" s="2">
        <v>129486898</v>
      </c>
      <c r="D1280" s="2">
        <v>130485398</v>
      </c>
      <c r="E1280" s="2">
        <v>2</v>
      </c>
      <c r="F1280" s="2" t="s">
        <v>10086</v>
      </c>
      <c r="H1280" s="2">
        <v>1.1000000000000001E-3</v>
      </c>
      <c r="K1280" s="2" t="s">
        <v>10085</v>
      </c>
    </row>
    <row r="1281" spans="1:11" x14ac:dyDescent="0.2">
      <c r="A1281" s="2">
        <v>321</v>
      </c>
      <c r="B1281" s="2">
        <v>2</v>
      </c>
      <c r="C1281" s="2">
        <v>129486898</v>
      </c>
      <c r="D1281" s="2">
        <v>130485398</v>
      </c>
      <c r="E1281" s="2">
        <v>3</v>
      </c>
      <c r="F1281" s="2" t="s">
        <v>10086</v>
      </c>
      <c r="H1281" s="2">
        <v>1.1999999999999999E-3</v>
      </c>
      <c r="K1281" s="2" t="s">
        <v>10087</v>
      </c>
    </row>
    <row r="1282" spans="1:11" x14ac:dyDescent="0.2">
      <c r="A1282" s="2">
        <v>321</v>
      </c>
      <c r="B1282" s="2">
        <v>2</v>
      </c>
      <c r="C1282" s="2">
        <v>129486898</v>
      </c>
      <c r="D1282" s="2">
        <v>130485398</v>
      </c>
      <c r="E1282" s="2">
        <v>4</v>
      </c>
      <c r="F1282" s="2" t="s">
        <v>10086</v>
      </c>
      <c r="H1282" s="3">
        <v>2.9999999999999997E-4</v>
      </c>
      <c r="K1282" s="2" t="s">
        <v>10089</v>
      </c>
    </row>
    <row r="1283" spans="1:11" x14ac:dyDescent="0.2">
      <c r="A1283" s="2">
        <v>322</v>
      </c>
      <c r="B1283" s="2">
        <v>2</v>
      </c>
      <c r="C1283" s="2">
        <v>130485399</v>
      </c>
      <c r="D1283" s="2">
        <v>131760638</v>
      </c>
      <c r="E1283" s="2">
        <v>1</v>
      </c>
      <c r="F1283" s="2" t="s">
        <v>10086</v>
      </c>
      <c r="H1283" s="2">
        <v>1E-3</v>
      </c>
      <c r="K1283" s="2" t="s">
        <v>10087</v>
      </c>
    </row>
    <row r="1284" spans="1:11" x14ac:dyDescent="0.2">
      <c r="A1284" s="2">
        <v>322</v>
      </c>
      <c r="B1284" s="2">
        <v>2</v>
      </c>
      <c r="C1284" s="2">
        <v>130485399</v>
      </c>
      <c r="D1284" s="2">
        <v>131760638</v>
      </c>
      <c r="E1284" s="2">
        <v>2</v>
      </c>
      <c r="F1284" s="2" t="s">
        <v>10086</v>
      </c>
      <c r="H1284" s="3">
        <v>5.9999999999999995E-4</v>
      </c>
      <c r="K1284" s="2" t="s">
        <v>10089</v>
      </c>
    </row>
    <row r="1285" spans="1:11" x14ac:dyDescent="0.2">
      <c r="A1285" s="2">
        <v>322</v>
      </c>
      <c r="B1285" s="2">
        <v>2</v>
      </c>
      <c r="C1285" s="2">
        <v>130485399</v>
      </c>
      <c r="D1285" s="2">
        <v>131760638</v>
      </c>
      <c r="E1285" s="2">
        <v>3</v>
      </c>
      <c r="F1285" s="2" t="s">
        <v>10086</v>
      </c>
      <c r="H1285" s="3">
        <v>5.9999999999999995E-4</v>
      </c>
      <c r="K1285" s="2" t="s">
        <v>10088</v>
      </c>
    </row>
    <row r="1286" spans="1:11" x14ac:dyDescent="0.2">
      <c r="A1286" s="2">
        <v>322</v>
      </c>
      <c r="B1286" s="2">
        <v>2</v>
      </c>
      <c r="C1286" s="2">
        <v>130485399</v>
      </c>
      <c r="D1286" s="2">
        <v>131760638</v>
      </c>
      <c r="E1286" s="2">
        <v>4</v>
      </c>
      <c r="F1286" s="2" t="s">
        <v>10086</v>
      </c>
      <c r="H1286" s="3">
        <v>4.0000000000000002E-4</v>
      </c>
      <c r="K1286" s="2" t="s">
        <v>10085</v>
      </c>
    </row>
    <row r="1287" spans="1:11" x14ac:dyDescent="0.2">
      <c r="A1287" s="2">
        <v>323</v>
      </c>
      <c r="B1287" s="2">
        <v>2</v>
      </c>
      <c r="C1287" s="2">
        <v>131760639</v>
      </c>
      <c r="D1287" s="2">
        <v>132598285</v>
      </c>
      <c r="E1287" s="2">
        <v>1</v>
      </c>
      <c r="F1287" s="2" t="s">
        <v>10086</v>
      </c>
      <c r="H1287" s="2">
        <v>1.1999999999999999E-3</v>
      </c>
      <c r="K1287" s="2" t="s">
        <v>10087</v>
      </c>
    </row>
    <row r="1288" spans="1:11" x14ac:dyDescent="0.2">
      <c r="A1288" s="2">
        <v>323</v>
      </c>
      <c r="B1288" s="2">
        <v>2</v>
      </c>
      <c r="C1288" s="2">
        <v>131760639</v>
      </c>
      <c r="D1288" s="2">
        <v>132598285</v>
      </c>
      <c r="E1288" s="2">
        <v>2</v>
      </c>
      <c r="F1288" s="2" t="s">
        <v>10086</v>
      </c>
      <c r="H1288" s="3">
        <v>5.9999999999999995E-4</v>
      </c>
      <c r="K1288" s="2" t="s">
        <v>10088</v>
      </c>
    </row>
    <row r="1289" spans="1:11" x14ac:dyDescent="0.2">
      <c r="A1289" s="2">
        <v>323</v>
      </c>
      <c r="B1289" s="2">
        <v>2</v>
      </c>
      <c r="C1289" s="2">
        <v>131760639</v>
      </c>
      <c r="D1289" s="2">
        <v>132598285</v>
      </c>
      <c r="E1289" s="2">
        <v>3</v>
      </c>
      <c r="F1289" s="2" t="s">
        <v>10086</v>
      </c>
      <c r="H1289" s="3">
        <v>5.0000000000000001E-4</v>
      </c>
      <c r="K1289" s="2" t="s">
        <v>10089</v>
      </c>
    </row>
    <row r="1290" spans="1:11" x14ac:dyDescent="0.2">
      <c r="A1290" s="2">
        <v>323</v>
      </c>
      <c r="B1290" s="2">
        <v>2</v>
      </c>
      <c r="C1290" s="2">
        <v>131760639</v>
      </c>
      <c r="D1290" s="2">
        <v>132598285</v>
      </c>
      <c r="E1290" s="2">
        <v>4</v>
      </c>
      <c r="F1290" s="2" t="s">
        <v>10086</v>
      </c>
      <c r="H1290" s="3">
        <v>2.9999999999999997E-4</v>
      </c>
      <c r="K1290" s="2" t="s">
        <v>12324</v>
      </c>
    </row>
    <row r="1291" spans="1:11" x14ac:dyDescent="0.2">
      <c r="A1291" s="2">
        <v>324</v>
      </c>
      <c r="B1291" s="2">
        <v>2</v>
      </c>
      <c r="C1291" s="2">
        <v>132598286</v>
      </c>
      <c r="D1291" s="2">
        <v>133352950</v>
      </c>
      <c r="E1291" s="2">
        <v>1</v>
      </c>
      <c r="F1291" s="2" t="s">
        <v>10086</v>
      </c>
      <c r="H1291" s="3">
        <v>5.0000000000000001E-4</v>
      </c>
      <c r="K1291" s="2" t="s">
        <v>10085</v>
      </c>
    </row>
    <row r="1292" spans="1:11" x14ac:dyDescent="0.2">
      <c r="A1292" s="2">
        <v>324</v>
      </c>
      <c r="B1292" s="2">
        <v>2</v>
      </c>
      <c r="C1292" s="2">
        <v>132598286</v>
      </c>
      <c r="D1292" s="2">
        <v>133352950</v>
      </c>
      <c r="E1292" s="2">
        <v>2</v>
      </c>
      <c r="F1292" s="2" t="s">
        <v>10086</v>
      </c>
      <c r="H1292" s="3">
        <v>4.0000000000000002E-4</v>
      </c>
      <c r="K1292" s="2" t="s">
        <v>10087</v>
      </c>
    </row>
    <row r="1293" spans="1:11" x14ac:dyDescent="0.2">
      <c r="A1293" s="2">
        <v>324</v>
      </c>
      <c r="B1293" s="2">
        <v>2</v>
      </c>
      <c r="C1293" s="2">
        <v>132598286</v>
      </c>
      <c r="D1293" s="2">
        <v>133352950</v>
      </c>
      <c r="E1293" s="2">
        <v>3</v>
      </c>
      <c r="F1293" s="2" t="s">
        <v>10086</v>
      </c>
      <c r="H1293" s="3">
        <v>2.9999999999999997E-4</v>
      </c>
      <c r="K1293" s="2" t="s">
        <v>12324</v>
      </c>
    </row>
    <row r="1294" spans="1:11" x14ac:dyDescent="0.2">
      <c r="A1294" s="2">
        <v>324</v>
      </c>
      <c r="B1294" s="2">
        <v>2</v>
      </c>
      <c r="C1294" s="2">
        <v>132598286</v>
      </c>
      <c r="D1294" s="2">
        <v>133352950</v>
      </c>
      <c r="E1294" s="2">
        <v>4</v>
      </c>
      <c r="F1294" s="2" t="s">
        <v>10086</v>
      </c>
      <c r="H1294" s="3">
        <v>2.9999999999999997E-4</v>
      </c>
      <c r="K1294" s="2" t="s">
        <v>10089</v>
      </c>
    </row>
    <row r="1295" spans="1:11" x14ac:dyDescent="0.2">
      <c r="A1295" s="2">
        <v>325</v>
      </c>
      <c r="B1295" s="2">
        <v>2</v>
      </c>
      <c r="C1295" s="2">
        <v>133352951</v>
      </c>
      <c r="D1295" s="2">
        <v>134359059</v>
      </c>
      <c r="E1295" s="2">
        <v>1</v>
      </c>
      <c r="F1295" s="2" t="s">
        <v>10086</v>
      </c>
      <c r="H1295" s="2">
        <v>2.0999999999999999E-3</v>
      </c>
      <c r="K1295" s="2" t="s">
        <v>10087</v>
      </c>
    </row>
    <row r="1296" spans="1:11" x14ac:dyDescent="0.2">
      <c r="A1296" s="2">
        <v>325</v>
      </c>
      <c r="B1296" s="2">
        <v>2</v>
      </c>
      <c r="C1296" s="2">
        <v>133352951</v>
      </c>
      <c r="D1296" s="2">
        <v>134359059</v>
      </c>
      <c r="E1296" s="2">
        <v>2</v>
      </c>
      <c r="F1296" s="2" t="s">
        <v>10086</v>
      </c>
      <c r="H1296" s="2">
        <v>1.1000000000000001E-3</v>
      </c>
      <c r="K1296" s="2" t="s">
        <v>10088</v>
      </c>
    </row>
    <row r="1297" spans="1:11" x14ac:dyDescent="0.2">
      <c r="A1297" s="2">
        <v>325</v>
      </c>
      <c r="B1297" s="2">
        <v>2</v>
      </c>
      <c r="C1297" s="2">
        <v>133352951</v>
      </c>
      <c r="D1297" s="2">
        <v>134359059</v>
      </c>
      <c r="E1297" s="2">
        <v>3</v>
      </c>
      <c r="F1297" s="2" t="s">
        <v>10086</v>
      </c>
      <c r="H1297" s="3">
        <v>8.9999999999999998E-4</v>
      </c>
      <c r="K1297" s="2" t="s">
        <v>10085</v>
      </c>
    </row>
    <row r="1298" spans="1:11" x14ac:dyDescent="0.2">
      <c r="A1298" s="2">
        <v>325</v>
      </c>
      <c r="B1298" s="2">
        <v>2</v>
      </c>
      <c r="C1298" s="2">
        <v>133352951</v>
      </c>
      <c r="D1298" s="2">
        <v>134359059</v>
      </c>
      <c r="E1298" s="2">
        <v>4</v>
      </c>
      <c r="F1298" s="2" t="s">
        <v>10086</v>
      </c>
      <c r="H1298" s="3">
        <v>2.9999999999999997E-4</v>
      </c>
      <c r="K1298" s="2" t="s">
        <v>10089</v>
      </c>
    </row>
    <row r="1299" spans="1:11" x14ac:dyDescent="0.2">
      <c r="A1299" s="2">
        <v>326</v>
      </c>
      <c r="B1299" s="2">
        <v>2</v>
      </c>
      <c r="C1299" s="2">
        <v>134359060</v>
      </c>
      <c r="D1299" s="2">
        <v>135160197</v>
      </c>
      <c r="E1299" s="2">
        <v>1</v>
      </c>
      <c r="F1299" s="2" t="s">
        <v>10086</v>
      </c>
      <c r="H1299" s="3">
        <v>8.9999999999999998E-4</v>
      </c>
      <c r="K1299" s="2" t="s">
        <v>10088</v>
      </c>
    </row>
    <row r="1300" spans="1:11" x14ac:dyDescent="0.2">
      <c r="A1300" s="2">
        <v>326</v>
      </c>
      <c r="B1300" s="2">
        <v>2</v>
      </c>
      <c r="C1300" s="2">
        <v>134359060</v>
      </c>
      <c r="D1300" s="2">
        <v>135160197</v>
      </c>
      <c r="E1300" s="2">
        <v>2</v>
      </c>
      <c r="F1300" s="2" t="s">
        <v>10086</v>
      </c>
      <c r="H1300" s="3">
        <v>8.0000000000000004E-4</v>
      </c>
      <c r="K1300" s="2" t="s">
        <v>10087</v>
      </c>
    </row>
    <row r="1301" spans="1:11" x14ac:dyDescent="0.2">
      <c r="A1301" s="2">
        <v>326</v>
      </c>
      <c r="B1301" s="2">
        <v>2</v>
      </c>
      <c r="C1301" s="2">
        <v>134359060</v>
      </c>
      <c r="D1301" s="2">
        <v>135160197</v>
      </c>
      <c r="E1301" s="2">
        <v>3</v>
      </c>
      <c r="F1301" s="2" t="s">
        <v>10086</v>
      </c>
      <c r="H1301" s="3">
        <v>5.9999999999999995E-4</v>
      </c>
      <c r="K1301" s="2" t="s">
        <v>10089</v>
      </c>
    </row>
    <row r="1302" spans="1:11" x14ac:dyDescent="0.2">
      <c r="A1302" s="2">
        <v>326</v>
      </c>
      <c r="B1302" s="2">
        <v>2</v>
      </c>
      <c r="C1302" s="2">
        <v>134359060</v>
      </c>
      <c r="D1302" s="2">
        <v>135160197</v>
      </c>
      <c r="E1302" s="2">
        <v>4</v>
      </c>
      <c r="F1302" s="2" t="s">
        <v>10086</v>
      </c>
      <c r="H1302" s="3">
        <v>4.0000000000000002E-4</v>
      </c>
      <c r="K1302" s="2" t="s">
        <v>10085</v>
      </c>
    </row>
    <row r="1303" spans="1:11" x14ac:dyDescent="0.2">
      <c r="A1303" s="2">
        <v>327</v>
      </c>
      <c r="B1303" s="2">
        <v>2</v>
      </c>
      <c r="C1303" s="2">
        <v>135160198</v>
      </c>
      <c r="D1303" s="2">
        <v>137061003</v>
      </c>
      <c r="E1303" s="2">
        <v>1</v>
      </c>
      <c r="F1303" s="2" t="s">
        <v>10086</v>
      </c>
      <c r="H1303" s="2">
        <v>2.2000000000000001E-3</v>
      </c>
      <c r="K1303" s="2" t="s">
        <v>10087</v>
      </c>
    </row>
    <row r="1304" spans="1:11" x14ac:dyDescent="0.2">
      <c r="A1304" s="2">
        <v>327</v>
      </c>
      <c r="B1304" s="2">
        <v>2</v>
      </c>
      <c r="C1304" s="2">
        <v>135160198</v>
      </c>
      <c r="D1304" s="2">
        <v>137061003</v>
      </c>
      <c r="E1304" s="2">
        <v>2</v>
      </c>
      <c r="F1304" s="2" t="s">
        <v>10086</v>
      </c>
      <c r="H1304" s="2">
        <v>2.0999999999999999E-3</v>
      </c>
      <c r="K1304" s="2" t="s">
        <v>10088</v>
      </c>
    </row>
    <row r="1305" spans="1:11" x14ac:dyDescent="0.2">
      <c r="A1305" s="2">
        <v>327</v>
      </c>
      <c r="B1305" s="2">
        <v>2</v>
      </c>
      <c r="C1305" s="2">
        <v>135160198</v>
      </c>
      <c r="D1305" s="2">
        <v>137061003</v>
      </c>
      <c r="E1305" s="2">
        <v>3</v>
      </c>
      <c r="F1305" s="2" t="s">
        <v>10086</v>
      </c>
      <c r="H1305" s="2">
        <v>1.5E-3</v>
      </c>
      <c r="K1305" s="2" t="s">
        <v>10085</v>
      </c>
    </row>
    <row r="1306" spans="1:11" x14ac:dyDescent="0.2">
      <c r="A1306" s="2">
        <v>327</v>
      </c>
      <c r="B1306" s="2">
        <v>2</v>
      </c>
      <c r="C1306" s="2">
        <v>135160198</v>
      </c>
      <c r="D1306" s="2">
        <v>137061003</v>
      </c>
      <c r="E1306" s="2">
        <v>4</v>
      </c>
      <c r="F1306" s="2" t="s">
        <v>10086</v>
      </c>
      <c r="H1306" s="3">
        <v>6.9999999999999999E-4</v>
      </c>
      <c r="K1306" s="2" t="s">
        <v>10089</v>
      </c>
    </row>
    <row r="1307" spans="1:11" x14ac:dyDescent="0.2">
      <c r="A1307" s="2">
        <v>328</v>
      </c>
      <c r="B1307" s="2">
        <v>2</v>
      </c>
      <c r="C1307" s="2">
        <v>137061004</v>
      </c>
      <c r="D1307" s="2">
        <v>138073791</v>
      </c>
      <c r="E1307" s="2">
        <v>1</v>
      </c>
      <c r="F1307" s="2" t="s">
        <v>10086</v>
      </c>
      <c r="H1307" s="2">
        <v>3.5000000000000001E-3</v>
      </c>
      <c r="K1307" s="2" t="s">
        <v>10089</v>
      </c>
    </row>
    <row r="1308" spans="1:11" x14ac:dyDescent="0.2">
      <c r="A1308" s="2">
        <v>328</v>
      </c>
      <c r="B1308" s="2">
        <v>2</v>
      </c>
      <c r="C1308" s="2">
        <v>137061004</v>
      </c>
      <c r="D1308" s="2">
        <v>138073791</v>
      </c>
      <c r="E1308" s="2">
        <v>2</v>
      </c>
      <c r="F1308" s="2" t="s">
        <v>10086</v>
      </c>
      <c r="H1308" s="2">
        <v>1.6999999999999999E-3</v>
      </c>
      <c r="K1308" s="2" t="s">
        <v>10088</v>
      </c>
    </row>
    <row r="1309" spans="1:11" x14ac:dyDescent="0.2">
      <c r="A1309" s="2">
        <v>328</v>
      </c>
      <c r="B1309" s="2">
        <v>2</v>
      </c>
      <c r="C1309" s="2">
        <v>137061004</v>
      </c>
      <c r="D1309" s="2">
        <v>138073791</v>
      </c>
      <c r="E1309" s="2">
        <v>3</v>
      </c>
      <c r="F1309" s="2" t="s">
        <v>10086</v>
      </c>
      <c r="H1309" s="2">
        <v>1E-3</v>
      </c>
      <c r="K1309" s="2" t="s">
        <v>10085</v>
      </c>
    </row>
    <row r="1310" spans="1:11" x14ac:dyDescent="0.2">
      <c r="A1310" s="2">
        <v>328</v>
      </c>
      <c r="B1310" s="2">
        <v>2</v>
      </c>
      <c r="C1310" s="2">
        <v>137061004</v>
      </c>
      <c r="D1310" s="2">
        <v>138073791</v>
      </c>
      <c r="E1310" s="2">
        <v>4</v>
      </c>
      <c r="F1310" s="2" t="s">
        <v>10086</v>
      </c>
      <c r="H1310" s="3">
        <v>4.0000000000000002E-4</v>
      </c>
      <c r="K1310" s="2" t="s">
        <v>10087</v>
      </c>
    </row>
    <row r="1311" spans="1:11" x14ac:dyDescent="0.2">
      <c r="A1311" s="2">
        <v>329</v>
      </c>
      <c r="B1311" s="2">
        <v>2</v>
      </c>
      <c r="C1311" s="2">
        <v>138073792</v>
      </c>
      <c r="D1311" s="2">
        <v>139505819</v>
      </c>
      <c r="E1311" s="2">
        <v>1</v>
      </c>
      <c r="F1311" s="2" t="s">
        <v>10086</v>
      </c>
      <c r="H1311" s="2">
        <v>1.8E-3</v>
      </c>
      <c r="K1311" s="2" t="s">
        <v>10089</v>
      </c>
    </row>
    <row r="1312" spans="1:11" x14ac:dyDescent="0.2">
      <c r="A1312" s="2">
        <v>329</v>
      </c>
      <c r="B1312" s="2">
        <v>2</v>
      </c>
      <c r="C1312" s="2">
        <v>138073792</v>
      </c>
      <c r="D1312" s="2">
        <v>139505819</v>
      </c>
      <c r="E1312" s="2">
        <v>2</v>
      </c>
      <c r="F1312" s="2" t="s">
        <v>10086</v>
      </c>
      <c r="H1312" s="2">
        <v>1E-3</v>
      </c>
      <c r="K1312" s="2" t="s">
        <v>10087</v>
      </c>
    </row>
    <row r="1313" spans="1:11" x14ac:dyDescent="0.2">
      <c r="A1313" s="2">
        <v>329</v>
      </c>
      <c r="B1313" s="2">
        <v>2</v>
      </c>
      <c r="C1313" s="2">
        <v>138073792</v>
      </c>
      <c r="D1313" s="2">
        <v>139505819</v>
      </c>
      <c r="E1313" s="2">
        <v>3</v>
      </c>
      <c r="F1313" s="2" t="s">
        <v>10086</v>
      </c>
      <c r="H1313" s="3">
        <v>8.0000000000000004E-4</v>
      </c>
      <c r="K1313" s="2" t="s">
        <v>10085</v>
      </c>
    </row>
    <row r="1314" spans="1:11" x14ac:dyDescent="0.2">
      <c r="A1314" s="2">
        <v>329</v>
      </c>
      <c r="B1314" s="2">
        <v>2</v>
      </c>
      <c r="C1314" s="2">
        <v>138073792</v>
      </c>
      <c r="D1314" s="2">
        <v>139505819</v>
      </c>
      <c r="E1314" s="2">
        <v>4</v>
      </c>
      <c r="F1314" s="2" t="s">
        <v>10086</v>
      </c>
      <c r="H1314" s="3">
        <v>4.0000000000000002E-4</v>
      </c>
      <c r="K1314" s="2" t="s">
        <v>10088</v>
      </c>
    </row>
    <row r="1315" spans="1:11" x14ac:dyDescent="0.2">
      <c r="A1315" s="2">
        <v>330</v>
      </c>
      <c r="B1315" s="2">
        <v>2</v>
      </c>
      <c r="C1315" s="2">
        <v>139505820</v>
      </c>
      <c r="D1315" s="2">
        <v>140934531</v>
      </c>
      <c r="E1315" s="2">
        <v>1</v>
      </c>
      <c r="F1315" s="2" t="s">
        <v>10086</v>
      </c>
      <c r="H1315" s="2">
        <v>5.5999999999999999E-3</v>
      </c>
      <c r="K1315" s="2" t="s">
        <v>10088</v>
      </c>
    </row>
    <row r="1316" spans="1:11" x14ac:dyDescent="0.2">
      <c r="A1316" s="2">
        <v>330</v>
      </c>
      <c r="B1316" s="2">
        <v>2</v>
      </c>
      <c r="C1316" s="2">
        <v>139505820</v>
      </c>
      <c r="D1316" s="2">
        <v>140934531</v>
      </c>
      <c r="E1316" s="2">
        <v>2</v>
      </c>
      <c r="F1316" s="2" t="s">
        <v>10086</v>
      </c>
      <c r="H1316" s="2">
        <v>1.1000000000000001E-3</v>
      </c>
      <c r="K1316" s="2" t="s">
        <v>10087</v>
      </c>
    </row>
    <row r="1317" spans="1:11" x14ac:dyDescent="0.2">
      <c r="A1317" s="2">
        <v>330</v>
      </c>
      <c r="B1317" s="2">
        <v>2</v>
      </c>
      <c r="C1317" s="2">
        <v>139505820</v>
      </c>
      <c r="D1317" s="2">
        <v>140934531</v>
      </c>
      <c r="E1317" s="2">
        <v>3</v>
      </c>
      <c r="F1317" s="2" t="s">
        <v>10086</v>
      </c>
      <c r="H1317" s="3">
        <v>8.0000000000000004E-4</v>
      </c>
      <c r="K1317" s="2" t="s">
        <v>10085</v>
      </c>
    </row>
    <row r="1318" spans="1:11" x14ac:dyDescent="0.2">
      <c r="A1318" s="2">
        <v>330</v>
      </c>
      <c r="B1318" s="2">
        <v>2</v>
      </c>
      <c r="C1318" s="2">
        <v>139505820</v>
      </c>
      <c r="D1318" s="2">
        <v>140934531</v>
      </c>
      <c r="E1318" s="2">
        <v>4</v>
      </c>
      <c r="F1318" s="2" t="s">
        <v>10086</v>
      </c>
      <c r="H1318" s="3">
        <v>5.0000000000000001E-4</v>
      </c>
      <c r="K1318" s="2" t="s">
        <v>10089</v>
      </c>
    </row>
    <row r="1319" spans="1:11" x14ac:dyDescent="0.2">
      <c r="A1319" s="2">
        <v>331</v>
      </c>
      <c r="B1319" s="2">
        <v>2</v>
      </c>
      <c r="C1319" s="2">
        <v>140934532</v>
      </c>
      <c r="D1319" s="2">
        <v>141802664</v>
      </c>
      <c r="E1319" s="2">
        <v>1</v>
      </c>
      <c r="F1319" s="2" t="s">
        <v>10086</v>
      </c>
      <c r="H1319" s="2">
        <v>1.8E-3</v>
      </c>
      <c r="K1319" s="2" t="s">
        <v>10089</v>
      </c>
    </row>
    <row r="1320" spans="1:11" x14ac:dyDescent="0.2">
      <c r="A1320" s="2">
        <v>331</v>
      </c>
      <c r="B1320" s="2">
        <v>2</v>
      </c>
      <c r="C1320" s="2">
        <v>140934532</v>
      </c>
      <c r="D1320" s="2">
        <v>141802664</v>
      </c>
      <c r="E1320" s="2">
        <v>2</v>
      </c>
      <c r="F1320" s="2" t="s">
        <v>10086</v>
      </c>
      <c r="H1320" s="2">
        <v>1.1999999999999999E-3</v>
      </c>
      <c r="K1320" s="2" t="s">
        <v>10088</v>
      </c>
    </row>
    <row r="1321" spans="1:11" x14ac:dyDescent="0.2">
      <c r="A1321" s="2">
        <v>331</v>
      </c>
      <c r="B1321" s="2">
        <v>2</v>
      </c>
      <c r="C1321" s="2">
        <v>140934532</v>
      </c>
      <c r="D1321" s="2">
        <v>141802664</v>
      </c>
      <c r="E1321" s="2">
        <v>3</v>
      </c>
      <c r="F1321" s="2" t="s">
        <v>10086</v>
      </c>
      <c r="H1321" s="3">
        <v>6.9999999999999999E-4</v>
      </c>
      <c r="K1321" s="2" t="s">
        <v>10087</v>
      </c>
    </row>
    <row r="1322" spans="1:11" x14ac:dyDescent="0.2">
      <c r="A1322" s="2">
        <v>331</v>
      </c>
      <c r="B1322" s="2">
        <v>2</v>
      </c>
      <c r="C1322" s="2">
        <v>140934532</v>
      </c>
      <c r="D1322" s="2">
        <v>141802664</v>
      </c>
      <c r="E1322" s="2">
        <v>4</v>
      </c>
      <c r="F1322" s="2" t="s">
        <v>10086</v>
      </c>
      <c r="H1322" s="3">
        <v>4.0000000000000002E-4</v>
      </c>
      <c r="K1322" s="2" t="s">
        <v>10085</v>
      </c>
    </row>
    <row r="1323" spans="1:11" x14ac:dyDescent="0.2">
      <c r="A1323" s="2">
        <v>332</v>
      </c>
      <c r="B1323" s="2">
        <v>2</v>
      </c>
      <c r="C1323" s="2">
        <v>141802665</v>
      </c>
      <c r="D1323" s="2">
        <v>142494980</v>
      </c>
      <c r="E1323" s="2">
        <v>1</v>
      </c>
      <c r="F1323" s="2" t="s">
        <v>10086</v>
      </c>
      <c r="H1323" s="2">
        <v>3.0000000000000001E-3</v>
      </c>
      <c r="K1323" s="2" t="s">
        <v>12324</v>
      </c>
    </row>
    <row r="1324" spans="1:11" x14ac:dyDescent="0.2">
      <c r="A1324" s="2">
        <v>332</v>
      </c>
      <c r="B1324" s="2">
        <v>2</v>
      </c>
      <c r="C1324" s="2">
        <v>141802665</v>
      </c>
      <c r="D1324" s="2">
        <v>142494980</v>
      </c>
      <c r="E1324" s="2">
        <v>2</v>
      </c>
      <c r="F1324" s="2" t="s">
        <v>10086</v>
      </c>
      <c r="H1324" s="2">
        <v>2E-3</v>
      </c>
      <c r="K1324" s="2" t="s">
        <v>10085</v>
      </c>
    </row>
    <row r="1325" spans="1:11" x14ac:dyDescent="0.2">
      <c r="A1325" s="2">
        <v>332</v>
      </c>
      <c r="B1325" s="2">
        <v>2</v>
      </c>
      <c r="C1325" s="2">
        <v>141802665</v>
      </c>
      <c r="D1325" s="2">
        <v>142494980</v>
      </c>
      <c r="E1325" s="2">
        <v>3</v>
      </c>
      <c r="F1325" s="2" t="s">
        <v>10086</v>
      </c>
      <c r="H1325" s="2">
        <v>1.2999999999999999E-3</v>
      </c>
      <c r="K1325" s="2" t="s">
        <v>10089</v>
      </c>
    </row>
    <row r="1326" spans="1:11" x14ac:dyDescent="0.2">
      <c r="A1326" s="2">
        <v>332</v>
      </c>
      <c r="B1326" s="2">
        <v>2</v>
      </c>
      <c r="C1326" s="2">
        <v>141802665</v>
      </c>
      <c r="D1326" s="2">
        <v>142494980</v>
      </c>
      <c r="E1326" s="2">
        <v>4</v>
      </c>
      <c r="F1326" s="2" t="s">
        <v>10086</v>
      </c>
      <c r="H1326" s="3">
        <v>8.9999999999999998E-4</v>
      </c>
      <c r="K1326" s="2" t="s">
        <v>10087</v>
      </c>
    </row>
    <row r="1327" spans="1:11" x14ac:dyDescent="0.2">
      <c r="A1327" s="2">
        <v>333</v>
      </c>
      <c r="B1327" s="2">
        <v>2</v>
      </c>
      <c r="C1327" s="2">
        <v>142494981</v>
      </c>
      <c r="D1327" s="2">
        <v>143259780</v>
      </c>
      <c r="E1327" s="2">
        <v>1</v>
      </c>
      <c r="F1327" s="2" t="s">
        <v>10086</v>
      </c>
      <c r="H1327" s="2">
        <v>2.8E-3</v>
      </c>
      <c r="K1327" s="2" t="s">
        <v>10085</v>
      </c>
    </row>
    <row r="1328" spans="1:11" x14ac:dyDescent="0.2">
      <c r="A1328" s="2">
        <v>333</v>
      </c>
      <c r="B1328" s="2">
        <v>2</v>
      </c>
      <c r="C1328" s="2">
        <v>142494981</v>
      </c>
      <c r="D1328" s="2">
        <v>143259780</v>
      </c>
      <c r="E1328" s="2">
        <v>2</v>
      </c>
      <c r="F1328" s="2" t="s">
        <v>10086</v>
      </c>
      <c r="H1328" s="2">
        <v>1.1000000000000001E-3</v>
      </c>
      <c r="K1328" s="2" t="s">
        <v>10088</v>
      </c>
    </row>
    <row r="1329" spans="1:11" x14ac:dyDescent="0.2">
      <c r="A1329" s="2">
        <v>333</v>
      </c>
      <c r="B1329" s="2">
        <v>2</v>
      </c>
      <c r="C1329" s="2">
        <v>142494981</v>
      </c>
      <c r="D1329" s="2">
        <v>143259780</v>
      </c>
      <c r="E1329" s="2">
        <v>3</v>
      </c>
      <c r="F1329" s="2" t="s">
        <v>10086</v>
      </c>
      <c r="H1329" s="3">
        <v>8.0000000000000004E-4</v>
      </c>
      <c r="K1329" s="2" t="s">
        <v>10087</v>
      </c>
    </row>
    <row r="1330" spans="1:11" x14ac:dyDescent="0.2">
      <c r="A1330" s="2">
        <v>333</v>
      </c>
      <c r="B1330" s="2">
        <v>2</v>
      </c>
      <c r="C1330" s="2">
        <v>142494981</v>
      </c>
      <c r="D1330" s="2">
        <v>143259780</v>
      </c>
      <c r="E1330" s="2">
        <v>4</v>
      </c>
      <c r="F1330" s="2" t="s">
        <v>10086</v>
      </c>
      <c r="H1330" s="3">
        <v>2.9999999999999997E-4</v>
      </c>
      <c r="K1330" s="2" t="s">
        <v>10089</v>
      </c>
    </row>
    <row r="1331" spans="1:11" x14ac:dyDescent="0.2">
      <c r="A1331" s="2">
        <v>334</v>
      </c>
      <c r="B1331" s="2">
        <v>2</v>
      </c>
      <c r="C1331" s="2">
        <v>143259781</v>
      </c>
      <c r="D1331" s="2">
        <v>144503688</v>
      </c>
      <c r="E1331" s="2">
        <v>1</v>
      </c>
      <c r="F1331" s="2" t="s">
        <v>10086</v>
      </c>
      <c r="H1331" s="2">
        <v>1.6999999999999999E-3</v>
      </c>
      <c r="K1331" s="2" t="s">
        <v>10088</v>
      </c>
    </row>
    <row r="1332" spans="1:11" x14ac:dyDescent="0.2">
      <c r="A1332" s="2">
        <v>334</v>
      </c>
      <c r="B1332" s="2">
        <v>2</v>
      </c>
      <c r="C1332" s="2">
        <v>143259781</v>
      </c>
      <c r="D1332" s="2">
        <v>144503688</v>
      </c>
      <c r="E1332" s="2">
        <v>2</v>
      </c>
      <c r="F1332" s="2" t="s">
        <v>10086</v>
      </c>
      <c r="H1332" s="2">
        <v>1.1000000000000001E-3</v>
      </c>
      <c r="K1332" s="2" t="s">
        <v>10089</v>
      </c>
    </row>
    <row r="1333" spans="1:11" x14ac:dyDescent="0.2">
      <c r="A1333" s="2">
        <v>334</v>
      </c>
      <c r="B1333" s="2">
        <v>2</v>
      </c>
      <c r="C1333" s="2">
        <v>143259781</v>
      </c>
      <c r="D1333" s="2">
        <v>144503688</v>
      </c>
      <c r="E1333" s="2">
        <v>3</v>
      </c>
      <c r="F1333" s="2" t="s">
        <v>10086</v>
      </c>
      <c r="H1333" s="2">
        <v>1.1000000000000001E-3</v>
      </c>
      <c r="K1333" s="2" t="s">
        <v>10087</v>
      </c>
    </row>
    <row r="1334" spans="1:11" x14ac:dyDescent="0.2">
      <c r="A1334" s="2">
        <v>334</v>
      </c>
      <c r="B1334" s="2">
        <v>2</v>
      </c>
      <c r="C1334" s="2">
        <v>143259781</v>
      </c>
      <c r="D1334" s="2">
        <v>144503688</v>
      </c>
      <c r="E1334" s="2">
        <v>4</v>
      </c>
      <c r="F1334" s="2" t="s">
        <v>10086</v>
      </c>
      <c r="H1334" s="3">
        <v>5.0000000000000001E-4</v>
      </c>
      <c r="K1334" s="2" t="s">
        <v>10085</v>
      </c>
    </row>
    <row r="1335" spans="1:11" x14ac:dyDescent="0.2">
      <c r="A1335" s="2">
        <v>335</v>
      </c>
      <c r="B1335" s="2">
        <v>2</v>
      </c>
      <c r="C1335" s="2">
        <v>144503689</v>
      </c>
      <c r="D1335" s="2">
        <v>145977920</v>
      </c>
      <c r="E1335" s="2">
        <v>1</v>
      </c>
      <c r="F1335" s="2" t="s">
        <v>10086</v>
      </c>
      <c r="H1335" s="2">
        <v>4.1999999999999997E-3</v>
      </c>
      <c r="K1335" s="2" t="s">
        <v>10087</v>
      </c>
    </row>
    <row r="1336" spans="1:11" x14ac:dyDescent="0.2">
      <c r="A1336" s="2">
        <v>335</v>
      </c>
      <c r="B1336" s="2">
        <v>2</v>
      </c>
      <c r="C1336" s="2">
        <v>144503689</v>
      </c>
      <c r="D1336" s="2">
        <v>145977920</v>
      </c>
      <c r="E1336" s="2">
        <v>2</v>
      </c>
      <c r="F1336" s="2" t="s">
        <v>10086</v>
      </c>
      <c r="H1336" s="2">
        <v>1.1000000000000001E-3</v>
      </c>
      <c r="K1336" s="2" t="s">
        <v>10088</v>
      </c>
    </row>
    <row r="1337" spans="1:11" x14ac:dyDescent="0.2">
      <c r="A1337" s="2">
        <v>335</v>
      </c>
      <c r="B1337" s="2">
        <v>2</v>
      </c>
      <c r="C1337" s="2">
        <v>144503689</v>
      </c>
      <c r="D1337" s="2">
        <v>145977920</v>
      </c>
      <c r="E1337" s="2">
        <v>3</v>
      </c>
      <c r="F1337" s="2" t="s">
        <v>10086</v>
      </c>
      <c r="H1337" s="3">
        <v>8.9999999999999998E-4</v>
      </c>
      <c r="K1337" s="2" t="s">
        <v>10089</v>
      </c>
    </row>
    <row r="1338" spans="1:11" x14ac:dyDescent="0.2">
      <c r="A1338" s="2">
        <v>335</v>
      </c>
      <c r="B1338" s="2">
        <v>2</v>
      </c>
      <c r="C1338" s="2">
        <v>144503689</v>
      </c>
      <c r="D1338" s="2">
        <v>145977920</v>
      </c>
      <c r="E1338" s="2">
        <v>4</v>
      </c>
      <c r="F1338" s="2" t="s">
        <v>10086</v>
      </c>
      <c r="H1338" s="3">
        <v>5.9999999999999995E-4</v>
      </c>
      <c r="K1338" s="2" t="s">
        <v>10085</v>
      </c>
    </row>
    <row r="1339" spans="1:11" x14ac:dyDescent="0.2">
      <c r="A1339" s="2">
        <v>336</v>
      </c>
      <c r="B1339" s="2">
        <v>2</v>
      </c>
      <c r="C1339" s="2">
        <v>145977921</v>
      </c>
      <c r="D1339" s="2">
        <v>147252196</v>
      </c>
      <c r="E1339" s="2">
        <v>1</v>
      </c>
      <c r="F1339" s="2" t="s">
        <v>10086</v>
      </c>
      <c r="H1339" s="2">
        <v>4.0000000000000001E-3</v>
      </c>
      <c r="K1339" s="2" t="s">
        <v>10087</v>
      </c>
    </row>
    <row r="1340" spans="1:11" x14ac:dyDescent="0.2">
      <c r="A1340" s="2">
        <v>336</v>
      </c>
      <c r="B1340" s="2">
        <v>2</v>
      </c>
      <c r="C1340" s="2">
        <v>145977921</v>
      </c>
      <c r="D1340" s="2">
        <v>147252196</v>
      </c>
      <c r="E1340" s="2">
        <v>2</v>
      </c>
      <c r="F1340" s="2" t="s">
        <v>10086</v>
      </c>
      <c r="H1340" s="2">
        <v>1.1999999999999999E-3</v>
      </c>
      <c r="K1340" s="2" t="s">
        <v>10088</v>
      </c>
    </row>
    <row r="1341" spans="1:11" x14ac:dyDescent="0.2">
      <c r="A1341" s="2">
        <v>336</v>
      </c>
      <c r="B1341" s="2">
        <v>2</v>
      </c>
      <c r="C1341" s="2">
        <v>145977921</v>
      </c>
      <c r="D1341" s="2">
        <v>147252196</v>
      </c>
      <c r="E1341" s="2">
        <v>3</v>
      </c>
      <c r="F1341" s="2" t="s">
        <v>10086</v>
      </c>
      <c r="H1341" s="2">
        <v>1.1000000000000001E-3</v>
      </c>
      <c r="K1341" s="2" t="s">
        <v>10085</v>
      </c>
    </row>
    <row r="1342" spans="1:11" x14ac:dyDescent="0.2">
      <c r="A1342" s="2">
        <v>336</v>
      </c>
      <c r="B1342" s="2">
        <v>2</v>
      </c>
      <c r="C1342" s="2">
        <v>145977921</v>
      </c>
      <c r="D1342" s="2">
        <v>147252196</v>
      </c>
      <c r="E1342" s="2">
        <v>4</v>
      </c>
      <c r="F1342" s="2" t="s">
        <v>10086</v>
      </c>
      <c r="H1342" s="3">
        <v>2.9999999999999997E-4</v>
      </c>
      <c r="K1342" s="2" t="s">
        <v>10089</v>
      </c>
    </row>
    <row r="1343" spans="1:11" x14ac:dyDescent="0.2">
      <c r="A1343" s="2">
        <v>337</v>
      </c>
      <c r="B1343" s="2">
        <v>2</v>
      </c>
      <c r="C1343" s="2">
        <v>147252197</v>
      </c>
      <c r="D1343" s="2">
        <v>149568875</v>
      </c>
      <c r="E1343" s="2">
        <v>1</v>
      </c>
      <c r="F1343" s="2" t="s">
        <v>10086</v>
      </c>
      <c r="H1343" s="2">
        <v>5.0000000000000001E-3</v>
      </c>
      <c r="K1343" s="2" t="s">
        <v>10088</v>
      </c>
    </row>
    <row r="1344" spans="1:11" x14ac:dyDescent="0.2">
      <c r="A1344" s="2">
        <v>337</v>
      </c>
      <c r="B1344" s="2">
        <v>2</v>
      </c>
      <c r="C1344" s="2">
        <v>147252197</v>
      </c>
      <c r="D1344" s="2">
        <v>149568875</v>
      </c>
      <c r="E1344" s="2">
        <v>2</v>
      </c>
      <c r="F1344" s="2" t="s">
        <v>10086</v>
      </c>
      <c r="H1344" s="2">
        <v>1.4E-3</v>
      </c>
      <c r="K1344" s="2" t="s">
        <v>10085</v>
      </c>
    </row>
    <row r="1345" spans="1:11" x14ac:dyDescent="0.2">
      <c r="A1345" s="2">
        <v>337</v>
      </c>
      <c r="B1345" s="2">
        <v>2</v>
      </c>
      <c r="C1345" s="2">
        <v>147252197</v>
      </c>
      <c r="D1345" s="2">
        <v>149568875</v>
      </c>
      <c r="E1345" s="2">
        <v>3</v>
      </c>
      <c r="F1345" s="2" t="s">
        <v>10086</v>
      </c>
      <c r="H1345" s="2">
        <v>1.4E-3</v>
      </c>
      <c r="K1345" s="2" t="s">
        <v>10089</v>
      </c>
    </row>
    <row r="1346" spans="1:11" x14ac:dyDescent="0.2">
      <c r="A1346" s="2">
        <v>337</v>
      </c>
      <c r="B1346" s="2">
        <v>2</v>
      </c>
      <c r="C1346" s="2">
        <v>147252197</v>
      </c>
      <c r="D1346" s="2">
        <v>149568875</v>
      </c>
      <c r="E1346" s="2">
        <v>4</v>
      </c>
      <c r="F1346" s="2" t="s">
        <v>10086</v>
      </c>
      <c r="H1346" s="2">
        <v>1E-3</v>
      </c>
      <c r="K1346" s="2" t="s">
        <v>10087</v>
      </c>
    </row>
    <row r="1347" spans="1:11" x14ac:dyDescent="0.2">
      <c r="A1347" s="2">
        <v>338</v>
      </c>
      <c r="B1347" s="2">
        <v>2</v>
      </c>
      <c r="C1347" s="2">
        <v>149568876</v>
      </c>
      <c r="D1347" s="2">
        <v>151428988</v>
      </c>
      <c r="E1347" s="2">
        <v>1</v>
      </c>
      <c r="F1347" s="2" t="s">
        <v>10086</v>
      </c>
      <c r="H1347" s="2">
        <v>2.5999999999999999E-3</v>
      </c>
      <c r="K1347" s="2" t="s">
        <v>10088</v>
      </c>
    </row>
    <row r="1348" spans="1:11" x14ac:dyDescent="0.2">
      <c r="A1348" s="2">
        <v>338</v>
      </c>
      <c r="B1348" s="2">
        <v>2</v>
      </c>
      <c r="C1348" s="2">
        <v>149568876</v>
      </c>
      <c r="D1348" s="2">
        <v>151428988</v>
      </c>
      <c r="E1348" s="2">
        <v>2</v>
      </c>
      <c r="F1348" s="2" t="s">
        <v>10086</v>
      </c>
      <c r="H1348" s="2">
        <v>1.2999999999999999E-3</v>
      </c>
      <c r="K1348" s="2" t="s">
        <v>10085</v>
      </c>
    </row>
    <row r="1349" spans="1:11" x14ac:dyDescent="0.2">
      <c r="A1349" s="2">
        <v>338</v>
      </c>
      <c r="B1349" s="2">
        <v>2</v>
      </c>
      <c r="C1349" s="2">
        <v>149568876</v>
      </c>
      <c r="D1349" s="2">
        <v>151428988</v>
      </c>
      <c r="E1349" s="2">
        <v>3</v>
      </c>
      <c r="F1349" s="2" t="s">
        <v>10086</v>
      </c>
      <c r="H1349" s="2">
        <v>1.1999999999999999E-3</v>
      </c>
      <c r="K1349" s="2" t="s">
        <v>10089</v>
      </c>
    </row>
    <row r="1350" spans="1:11" x14ac:dyDescent="0.2">
      <c r="A1350" s="2">
        <v>338</v>
      </c>
      <c r="B1350" s="2">
        <v>2</v>
      </c>
      <c r="C1350" s="2">
        <v>149568876</v>
      </c>
      <c r="D1350" s="2">
        <v>151428988</v>
      </c>
      <c r="E1350" s="2">
        <v>4</v>
      </c>
      <c r="F1350" s="2" t="s">
        <v>10086</v>
      </c>
      <c r="H1350" s="3">
        <v>8.9999999999999998E-4</v>
      </c>
      <c r="K1350" s="2" t="s">
        <v>10087</v>
      </c>
    </row>
    <row r="1351" spans="1:11" x14ac:dyDescent="0.2">
      <c r="A1351" s="2">
        <v>339</v>
      </c>
      <c r="B1351" s="2">
        <v>2</v>
      </c>
      <c r="C1351" s="2">
        <v>151428989</v>
      </c>
      <c r="D1351" s="2">
        <v>152497375</v>
      </c>
      <c r="E1351" s="2">
        <v>1</v>
      </c>
      <c r="F1351" s="2" t="s">
        <v>10086</v>
      </c>
      <c r="H1351" s="2">
        <v>2.5999999999999999E-3</v>
      </c>
      <c r="K1351" s="2" t="s">
        <v>10085</v>
      </c>
    </row>
    <row r="1352" spans="1:11" x14ac:dyDescent="0.2">
      <c r="A1352" s="2">
        <v>339</v>
      </c>
      <c r="B1352" s="2">
        <v>2</v>
      </c>
      <c r="C1352" s="2">
        <v>151428989</v>
      </c>
      <c r="D1352" s="2">
        <v>152497375</v>
      </c>
      <c r="E1352" s="2">
        <v>2</v>
      </c>
      <c r="F1352" s="2" t="s">
        <v>10086</v>
      </c>
      <c r="H1352" s="2">
        <v>1.2999999999999999E-3</v>
      </c>
      <c r="K1352" s="2" t="s">
        <v>10089</v>
      </c>
    </row>
    <row r="1353" spans="1:11" x14ac:dyDescent="0.2">
      <c r="A1353" s="2">
        <v>339</v>
      </c>
      <c r="B1353" s="2">
        <v>2</v>
      </c>
      <c r="C1353" s="2">
        <v>151428989</v>
      </c>
      <c r="D1353" s="2">
        <v>152497375</v>
      </c>
      <c r="E1353" s="2">
        <v>3</v>
      </c>
      <c r="F1353" s="2" t="s">
        <v>10086</v>
      </c>
      <c r="H1353" s="3">
        <v>8.0000000000000004E-4</v>
      </c>
      <c r="K1353" s="2" t="s">
        <v>10088</v>
      </c>
    </row>
    <row r="1354" spans="1:11" x14ac:dyDescent="0.2">
      <c r="A1354" s="2">
        <v>339</v>
      </c>
      <c r="B1354" s="2">
        <v>2</v>
      </c>
      <c r="C1354" s="2">
        <v>151428989</v>
      </c>
      <c r="D1354" s="2">
        <v>152497375</v>
      </c>
      <c r="E1354" s="2">
        <v>4</v>
      </c>
      <c r="F1354" s="2" t="s">
        <v>10086</v>
      </c>
      <c r="H1354" s="3">
        <v>5.0000000000000001E-4</v>
      </c>
      <c r="K1354" s="2" t="s">
        <v>10087</v>
      </c>
    </row>
    <row r="1355" spans="1:11" x14ac:dyDescent="0.2">
      <c r="A1355" s="2">
        <v>340</v>
      </c>
      <c r="B1355" s="2">
        <v>2</v>
      </c>
      <c r="C1355" s="2">
        <v>152497376</v>
      </c>
      <c r="D1355" s="2">
        <v>153999309</v>
      </c>
      <c r="E1355" s="2">
        <v>1</v>
      </c>
      <c r="F1355" s="2" t="s">
        <v>10086</v>
      </c>
      <c r="H1355" s="2">
        <v>2.8999999999999998E-3</v>
      </c>
      <c r="K1355" s="2" t="s">
        <v>10085</v>
      </c>
    </row>
    <row r="1356" spans="1:11" x14ac:dyDescent="0.2">
      <c r="A1356" s="2">
        <v>340</v>
      </c>
      <c r="B1356" s="2">
        <v>2</v>
      </c>
      <c r="C1356" s="2">
        <v>152497376</v>
      </c>
      <c r="D1356" s="2">
        <v>153999309</v>
      </c>
      <c r="E1356" s="2">
        <v>2</v>
      </c>
      <c r="F1356" s="2" t="s">
        <v>10086</v>
      </c>
      <c r="H1356" s="2">
        <v>2.3E-3</v>
      </c>
      <c r="K1356" s="2" t="s">
        <v>10088</v>
      </c>
    </row>
    <row r="1357" spans="1:11" x14ac:dyDescent="0.2">
      <c r="A1357" s="2">
        <v>340</v>
      </c>
      <c r="B1357" s="2">
        <v>2</v>
      </c>
      <c r="C1357" s="2">
        <v>152497376</v>
      </c>
      <c r="D1357" s="2">
        <v>153999309</v>
      </c>
      <c r="E1357" s="2">
        <v>3</v>
      </c>
      <c r="F1357" s="2" t="s">
        <v>10086</v>
      </c>
      <c r="H1357" s="2">
        <v>1E-3</v>
      </c>
      <c r="K1357" s="2" t="s">
        <v>10089</v>
      </c>
    </row>
    <row r="1358" spans="1:11" x14ac:dyDescent="0.2">
      <c r="A1358" s="2">
        <v>340</v>
      </c>
      <c r="B1358" s="2">
        <v>2</v>
      </c>
      <c r="C1358" s="2">
        <v>152497376</v>
      </c>
      <c r="D1358" s="2">
        <v>153999309</v>
      </c>
      <c r="E1358" s="2">
        <v>4</v>
      </c>
      <c r="F1358" s="2" t="s">
        <v>10086</v>
      </c>
      <c r="H1358" s="3">
        <v>5.9999999999999995E-4</v>
      </c>
      <c r="K1358" s="2" t="s">
        <v>10087</v>
      </c>
    </row>
    <row r="1359" spans="1:11" x14ac:dyDescent="0.2">
      <c r="A1359" s="2">
        <v>341</v>
      </c>
      <c r="B1359" s="2">
        <v>2</v>
      </c>
      <c r="C1359" s="2">
        <v>153999310</v>
      </c>
      <c r="D1359" s="2">
        <v>155207969</v>
      </c>
      <c r="E1359" s="2">
        <v>1</v>
      </c>
      <c r="F1359" s="2" t="s">
        <v>10086</v>
      </c>
      <c r="H1359" s="2">
        <v>4.5999999999999999E-3</v>
      </c>
      <c r="K1359" s="2" t="s">
        <v>10087</v>
      </c>
    </row>
    <row r="1360" spans="1:11" x14ac:dyDescent="0.2">
      <c r="A1360" s="2">
        <v>341</v>
      </c>
      <c r="B1360" s="2">
        <v>2</v>
      </c>
      <c r="C1360" s="2">
        <v>153999310</v>
      </c>
      <c r="D1360" s="2">
        <v>155207969</v>
      </c>
      <c r="E1360" s="2">
        <v>2</v>
      </c>
      <c r="F1360" s="2" t="s">
        <v>10086</v>
      </c>
      <c r="H1360" s="2">
        <v>2E-3</v>
      </c>
      <c r="K1360" s="2" t="s">
        <v>10089</v>
      </c>
    </row>
    <row r="1361" spans="1:11" x14ac:dyDescent="0.2">
      <c r="A1361" s="2">
        <v>341</v>
      </c>
      <c r="B1361" s="2">
        <v>2</v>
      </c>
      <c r="C1361" s="2">
        <v>153999310</v>
      </c>
      <c r="D1361" s="2">
        <v>155207969</v>
      </c>
      <c r="E1361" s="2">
        <v>3</v>
      </c>
      <c r="F1361" s="2" t="s">
        <v>10086</v>
      </c>
      <c r="H1361" s="2">
        <v>1E-3</v>
      </c>
      <c r="K1361" s="2" t="s">
        <v>10085</v>
      </c>
    </row>
    <row r="1362" spans="1:11" x14ac:dyDescent="0.2">
      <c r="A1362" s="2">
        <v>341</v>
      </c>
      <c r="B1362" s="2">
        <v>2</v>
      </c>
      <c r="C1362" s="2">
        <v>153999310</v>
      </c>
      <c r="D1362" s="2">
        <v>155207969</v>
      </c>
      <c r="E1362" s="2">
        <v>4</v>
      </c>
      <c r="F1362" s="2" t="s">
        <v>10086</v>
      </c>
      <c r="H1362" s="3">
        <v>8.0000000000000004E-4</v>
      </c>
      <c r="K1362" s="2" t="s">
        <v>10088</v>
      </c>
    </row>
    <row r="1363" spans="1:11" x14ac:dyDescent="0.2">
      <c r="A1363" s="2">
        <v>342</v>
      </c>
      <c r="B1363" s="2">
        <v>2</v>
      </c>
      <c r="C1363" s="2">
        <v>155207970</v>
      </c>
      <c r="D1363" s="2">
        <v>156130947</v>
      </c>
      <c r="E1363" s="2">
        <v>1</v>
      </c>
      <c r="F1363" s="2" t="s">
        <v>10086</v>
      </c>
      <c r="H1363" s="2">
        <v>7.5399999999999995E-2</v>
      </c>
      <c r="K1363" s="2" t="s">
        <v>10088</v>
      </c>
    </row>
    <row r="1364" spans="1:11" x14ac:dyDescent="0.2">
      <c r="A1364" s="2">
        <v>342</v>
      </c>
      <c r="B1364" s="2">
        <v>2</v>
      </c>
      <c r="C1364" s="2">
        <v>155207970</v>
      </c>
      <c r="D1364" s="2">
        <v>156130947</v>
      </c>
      <c r="E1364" s="2">
        <v>2</v>
      </c>
      <c r="F1364" s="2" t="s">
        <v>10086</v>
      </c>
      <c r="H1364" s="3">
        <v>8.0000000000000004E-4</v>
      </c>
      <c r="K1364" s="2" t="s">
        <v>10087</v>
      </c>
    </row>
    <row r="1365" spans="1:11" x14ac:dyDescent="0.2">
      <c r="A1365" s="2">
        <v>342</v>
      </c>
      <c r="B1365" s="2">
        <v>2</v>
      </c>
      <c r="C1365" s="2">
        <v>155207970</v>
      </c>
      <c r="D1365" s="2">
        <v>156130947</v>
      </c>
      <c r="E1365" s="2">
        <v>3</v>
      </c>
      <c r="F1365" s="2" t="s">
        <v>10086</v>
      </c>
      <c r="H1365" s="3">
        <v>8.0000000000000004E-4</v>
      </c>
      <c r="K1365" s="2" t="s">
        <v>10085</v>
      </c>
    </row>
    <row r="1366" spans="1:11" x14ac:dyDescent="0.2">
      <c r="A1366" s="2">
        <v>342</v>
      </c>
      <c r="B1366" s="2">
        <v>2</v>
      </c>
      <c r="C1366" s="2">
        <v>155207970</v>
      </c>
      <c r="D1366" s="2">
        <v>156130947</v>
      </c>
      <c r="E1366" s="2">
        <v>4</v>
      </c>
      <c r="F1366" s="2" t="s">
        <v>10086</v>
      </c>
      <c r="H1366" s="3">
        <v>2.9999999999999997E-4</v>
      </c>
      <c r="K1366" s="2" t="s">
        <v>10089</v>
      </c>
    </row>
    <row r="1367" spans="1:11" x14ac:dyDescent="0.2">
      <c r="A1367" s="2">
        <v>343</v>
      </c>
      <c r="B1367" s="2">
        <v>2</v>
      </c>
      <c r="C1367" s="2">
        <v>156130948</v>
      </c>
      <c r="D1367" s="2">
        <v>157556096</v>
      </c>
      <c r="E1367" s="2">
        <v>1</v>
      </c>
      <c r="F1367" s="2" t="s">
        <v>10086</v>
      </c>
      <c r="H1367" s="2">
        <v>6.6E-3</v>
      </c>
      <c r="K1367" s="2" t="s">
        <v>10088</v>
      </c>
    </row>
    <row r="1368" spans="1:11" x14ac:dyDescent="0.2">
      <c r="A1368" s="2">
        <v>343</v>
      </c>
      <c r="B1368" s="2">
        <v>2</v>
      </c>
      <c r="C1368" s="2">
        <v>156130948</v>
      </c>
      <c r="D1368" s="2">
        <v>157556096</v>
      </c>
      <c r="E1368" s="2">
        <v>2</v>
      </c>
      <c r="F1368" s="2" t="s">
        <v>10086</v>
      </c>
      <c r="H1368" s="2">
        <v>1.6999999999999999E-3</v>
      </c>
      <c r="K1368" s="2" t="s">
        <v>10085</v>
      </c>
    </row>
    <row r="1369" spans="1:11" x14ac:dyDescent="0.2">
      <c r="A1369" s="2">
        <v>343</v>
      </c>
      <c r="B1369" s="2">
        <v>2</v>
      </c>
      <c r="C1369" s="2">
        <v>156130948</v>
      </c>
      <c r="D1369" s="2">
        <v>157556096</v>
      </c>
      <c r="E1369" s="2">
        <v>3</v>
      </c>
      <c r="F1369" s="2" t="s">
        <v>10086</v>
      </c>
      <c r="H1369" s="3">
        <v>8.0000000000000004E-4</v>
      </c>
      <c r="K1369" s="2" t="s">
        <v>10087</v>
      </c>
    </row>
    <row r="1370" spans="1:11" x14ac:dyDescent="0.2">
      <c r="A1370" s="2">
        <v>343</v>
      </c>
      <c r="B1370" s="2">
        <v>2</v>
      </c>
      <c r="C1370" s="2">
        <v>156130948</v>
      </c>
      <c r="D1370" s="2">
        <v>157556096</v>
      </c>
      <c r="E1370" s="2">
        <v>4</v>
      </c>
      <c r="F1370" s="2" t="s">
        <v>10086</v>
      </c>
      <c r="H1370" s="3">
        <v>2.9999999999999997E-4</v>
      </c>
      <c r="K1370" s="2" t="s">
        <v>10089</v>
      </c>
    </row>
    <row r="1371" spans="1:11" x14ac:dyDescent="0.2">
      <c r="A1371" s="2">
        <v>344</v>
      </c>
      <c r="B1371" s="2">
        <v>2</v>
      </c>
      <c r="C1371" s="2">
        <v>157556097</v>
      </c>
      <c r="D1371" s="2">
        <v>159040979</v>
      </c>
      <c r="E1371" s="2">
        <v>1</v>
      </c>
      <c r="F1371" s="2" t="s">
        <v>10086</v>
      </c>
      <c r="H1371" s="2">
        <v>3.5000000000000001E-3</v>
      </c>
      <c r="K1371" s="2" t="s">
        <v>10089</v>
      </c>
    </row>
    <row r="1372" spans="1:11" x14ac:dyDescent="0.2">
      <c r="A1372" s="2">
        <v>344</v>
      </c>
      <c r="B1372" s="2">
        <v>2</v>
      </c>
      <c r="C1372" s="2">
        <v>157556097</v>
      </c>
      <c r="D1372" s="2">
        <v>159040979</v>
      </c>
      <c r="E1372" s="2">
        <v>2</v>
      </c>
      <c r="F1372" s="2" t="s">
        <v>10086</v>
      </c>
      <c r="H1372" s="2">
        <v>4.1000000000000003E-3</v>
      </c>
      <c r="K1372" s="2" t="s">
        <v>10088</v>
      </c>
    </row>
    <row r="1373" spans="1:11" x14ac:dyDescent="0.2">
      <c r="A1373" s="2">
        <v>344</v>
      </c>
      <c r="B1373" s="2">
        <v>2</v>
      </c>
      <c r="C1373" s="2">
        <v>157556097</v>
      </c>
      <c r="D1373" s="2">
        <v>159040979</v>
      </c>
      <c r="E1373" s="2">
        <v>3</v>
      </c>
      <c r="F1373" s="2" t="s">
        <v>10086</v>
      </c>
      <c r="H1373" s="2">
        <v>1.4E-3</v>
      </c>
      <c r="K1373" s="2" t="s">
        <v>10087</v>
      </c>
    </row>
    <row r="1374" spans="1:11" x14ac:dyDescent="0.2">
      <c r="A1374" s="2">
        <v>344</v>
      </c>
      <c r="B1374" s="2">
        <v>2</v>
      </c>
      <c r="C1374" s="2">
        <v>157556097</v>
      </c>
      <c r="D1374" s="2">
        <v>159040979</v>
      </c>
      <c r="E1374" s="2">
        <v>4</v>
      </c>
      <c r="F1374" s="2" t="s">
        <v>10086</v>
      </c>
      <c r="H1374" s="3">
        <v>4.0000000000000002E-4</v>
      </c>
      <c r="K1374" s="2" t="s">
        <v>10085</v>
      </c>
    </row>
    <row r="1375" spans="1:11" x14ac:dyDescent="0.2">
      <c r="A1375" s="2">
        <v>345</v>
      </c>
      <c r="B1375" s="2">
        <v>2</v>
      </c>
      <c r="C1375" s="2">
        <v>159040980</v>
      </c>
      <c r="D1375" s="2">
        <v>160200379</v>
      </c>
      <c r="E1375" s="2">
        <v>1</v>
      </c>
      <c r="F1375" s="2" t="s">
        <v>10086</v>
      </c>
      <c r="H1375" s="2">
        <v>1.6000000000000001E-3</v>
      </c>
      <c r="K1375" s="2" t="s">
        <v>10088</v>
      </c>
    </row>
    <row r="1376" spans="1:11" x14ac:dyDescent="0.2">
      <c r="A1376" s="2">
        <v>345</v>
      </c>
      <c r="B1376" s="2">
        <v>2</v>
      </c>
      <c r="C1376" s="2">
        <v>159040980</v>
      </c>
      <c r="D1376" s="2">
        <v>160200379</v>
      </c>
      <c r="E1376" s="2">
        <v>2</v>
      </c>
      <c r="F1376" s="2" t="s">
        <v>10086</v>
      </c>
      <c r="H1376" s="2">
        <v>1.5E-3</v>
      </c>
      <c r="K1376" s="2" t="s">
        <v>10089</v>
      </c>
    </row>
    <row r="1377" spans="1:11" x14ac:dyDescent="0.2">
      <c r="A1377" s="2">
        <v>345</v>
      </c>
      <c r="B1377" s="2">
        <v>2</v>
      </c>
      <c r="C1377" s="2">
        <v>159040980</v>
      </c>
      <c r="D1377" s="2">
        <v>160200379</v>
      </c>
      <c r="E1377" s="2">
        <v>3</v>
      </c>
      <c r="F1377" s="2" t="s">
        <v>10086</v>
      </c>
      <c r="H1377" s="2">
        <v>1.1999999999999999E-3</v>
      </c>
      <c r="K1377" s="2" t="s">
        <v>12324</v>
      </c>
    </row>
    <row r="1378" spans="1:11" x14ac:dyDescent="0.2">
      <c r="A1378" s="2">
        <v>345</v>
      </c>
      <c r="B1378" s="2">
        <v>2</v>
      </c>
      <c r="C1378" s="2">
        <v>159040980</v>
      </c>
      <c r="D1378" s="2">
        <v>160200379</v>
      </c>
      <c r="E1378" s="2">
        <v>4</v>
      </c>
      <c r="F1378" s="2" t="s">
        <v>10086</v>
      </c>
      <c r="H1378" s="2">
        <v>1E-3</v>
      </c>
      <c r="K1378" s="2" t="s">
        <v>10087</v>
      </c>
    </row>
    <row r="1379" spans="1:11" x14ac:dyDescent="0.2">
      <c r="A1379" s="2">
        <v>346</v>
      </c>
      <c r="B1379" s="2">
        <v>2</v>
      </c>
      <c r="C1379" s="2">
        <v>160200380</v>
      </c>
      <c r="D1379" s="2">
        <v>161432089</v>
      </c>
      <c r="E1379" s="2">
        <v>1</v>
      </c>
      <c r="F1379" s="2" t="s">
        <v>10086</v>
      </c>
      <c r="H1379" s="2">
        <v>3.3999999999999998E-3</v>
      </c>
      <c r="K1379" s="2" t="s">
        <v>10088</v>
      </c>
    </row>
    <row r="1380" spans="1:11" x14ac:dyDescent="0.2">
      <c r="A1380" s="2">
        <v>346</v>
      </c>
      <c r="B1380" s="2">
        <v>2</v>
      </c>
      <c r="C1380" s="2">
        <v>160200380</v>
      </c>
      <c r="D1380" s="2">
        <v>161432089</v>
      </c>
      <c r="E1380" s="2">
        <v>2</v>
      </c>
      <c r="F1380" s="2" t="s">
        <v>10086</v>
      </c>
      <c r="H1380" s="2">
        <v>1.2999999999999999E-3</v>
      </c>
      <c r="K1380" s="2" t="s">
        <v>10087</v>
      </c>
    </row>
    <row r="1381" spans="1:11" x14ac:dyDescent="0.2">
      <c r="A1381" s="2">
        <v>346</v>
      </c>
      <c r="B1381" s="2">
        <v>2</v>
      </c>
      <c r="C1381" s="2">
        <v>160200380</v>
      </c>
      <c r="D1381" s="2">
        <v>161432089</v>
      </c>
      <c r="E1381" s="2">
        <v>3</v>
      </c>
      <c r="F1381" s="2" t="s">
        <v>10086</v>
      </c>
      <c r="H1381" s="2">
        <v>1.1999999999999999E-3</v>
      </c>
      <c r="K1381" s="2" t="s">
        <v>10089</v>
      </c>
    </row>
    <row r="1382" spans="1:11" x14ac:dyDescent="0.2">
      <c r="A1382" s="2">
        <v>346</v>
      </c>
      <c r="B1382" s="2">
        <v>2</v>
      </c>
      <c r="C1382" s="2">
        <v>160200380</v>
      </c>
      <c r="D1382" s="2">
        <v>161432089</v>
      </c>
      <c r="E1382" s="2">
        <v>4</v>
      </c>
      <c r="F1382" s="2" t="s">
        <v>10086</v>
      </c>
      <c r="H1382" s="3">
        <v>6.9999999999999999E-4</v>
      </c>
      <c r="K1382" s="2" t="s">
        <v>10085</v>
      </c>
    </row>
    <row r="1383" spans="1:11" x14ac:dyDescent="0.2">
      <c r="A1383" s="2">
        <v>347</v>
      </c>
      <c r="B1383" s="2">
        <v>2</v>
      </c>
      <c r="C1383" s="2">
        <v>161432090</v>
      </c>
      <c r="D1383" s="2">
        <v>163607635</v>
      </c>
      <c r="E1383" s="2">
        <v>1</v>
      </c>
      <c r="F1383" s="2" t="s">
        <v>10086</v>
      </c>
      <c r="H1383" s="2">
        <v>4.3E-3</v>
      </c>
      <c r="K1383" s="2" t="s">
        <v>10088</v>
      </c>
    </row>
    <row r="1384" spans="1:11" x14ac:dyDescent="0.2">
      <c r="A1384" s="2">
        <v>347</v>
      </c>
      <c r="B1384" s="2">
        <v>2</v>
      </c>
      <c r="C1384" s="2">
        <v>161432090</v>
      </c>
      <c r="D1384" s="2">
        <v>163607635</v>
      </c>
      <c r="E1384" s="2">
        <v>2</v>
      </c>
      <c r="F1384" s="2" t="s">
        <v>10086</v>
      </c>
      <c r="H1384" s="2">
        <v>2.69E-2</v>
      </c>
      <c r="K1384" s="2" t="s">
        <v>12324</v>
      </c>
    </row>
    <row r="1385" spans="1:11" x14ac:dyDescent="0.2">
      <c r="A1385" s="2">
        <v>347</v>
      </c>
      <c r="B1385" s="2">
        <v>2</v>
      </c>
      <c r="C1385" s="2">
        <v>161432090</v>
      </c>
      <c r="D1385" s="2">
        <v>163607635</v>
      </c>
      <c r="E1385" s="2">
        <v>3</v>
      </c>
      <c r="F1385" s="2" t="s">
        <v>10086</v>
      </c>
      <c r="H1385" s="2">
        <v>4.0000000000000001E-3</v>
      </c>
      <c r="K1385" s="2" t="s">
        <v>10087</v>
      </c>
    </row>
    <row r="1386" spans="1:11" x14ac:dyDescent="0.2">
      <c r="A1386" s="2">
        <v>347</v>
      </c>
      <c r="B1386" s="2">
        <v>2</v>
      </c>
      <c r="C1386" s="2">
        <v>161432090</v>
      </c>
      <c r="D1386" s="2">
        <v>163607635</v>
      </c>
      <c r="E1386" s="2">
        <v>4</v>
      </c>
      <c r="F1386" s="2" t="s">
        <v>10086</v>
      </c>
      <c r="H1386" s="2">
        <v>2E-3</v>
      </c>
      <c r="K1386" s="2" t="s">
        <v>10085</v>
      </c>
    </row>
    <row r="1387" spans="1:11" x14ac:dyDescent="0.2">
      <c r="A1387" s="2">
        <v>348</v>
      </c>
      <c r="B1387" s="2">
        <v>2</v>
      </c>
      <c r="C1387" s="2">
        <v>163607636</v>
      </c>
      <c r="D1387" s="2">
        <v>164702312</v>
      </c>
      <c r="E1387" s="2">
        <v>1</v>
      </c>
      <c r="F1387" s="2" t="s">
        <v>10086</v>
      </c>
      <c r="H1387" s="2">
        <v>1.1999999999999999E-3</v>
      </c>
      <c r="K1387" s="2" t="s">
        <v>10087</v>
      </c>
    </row>
    <row r="1388" spans="1:11" x14ac:dyDescent="0.2">
      <c r="A1388" s="2">
        <v>348</v>
      </c>
      <c r="B1388" s="2">
        <v>2</v>
      </c>
      <c r="C1388" s="2">
        <v>163607636</v>
      </c>
      <c r="D1388" s="2">
        <v>164702312</v>
      </c>
      <c r="E1388" s="2">
        <v>2</v>
      </c>
      <c r="F1388" s="2" t="s">
        <v>10086</v>
      </c>
      <c r="H1388" s="2">
        <v>1E-3</v>
      </c>
      <c r="K1388" s="2" t="s">
        <v>10085</v>
      </c>
    </row>
    <row r="1389" spans="1:11" x14ac:dyDescent="0.2">
      <c r="A1389" s="2">
        <v>348</v>
      </c>
      <c r="B1389" s="2">
        <v>2</v>
      </c>
      <c r="C1389" s="2">
        <v>163607636</v>
      </c>
      <c r="D1389" s="2">
        <v>164702312</v>
      </c>
      <c r="E1389" s="2">
        <v>3</v>
      </c>
      <c r="F1389" s="2" t="s">
        <v>10086</v>
      </c>
      <c r="H1389" s="3">
        <v>8.0000000000000004E-4</v>
      </c>
      <c r="K1389" s="2" t="s">
        <v>10089</v>
      </c>
    </row>
    <row r="1390" spans="1:11" x14ac:dyDescent="0.2">
      <c r="A1390" s="2">
        <v>348</v>
      </c>
      <c r="B1390" s="2">
        <v>2</v>
      </c>
      <c r="C1390" s="2">
        <v>163607636</v>
      </c>
      <c r="D1390" s="2">
        <v>164702312</v>
      </c>
      <c r="E1390" s="2">
        <v>4</v>
      </c>
      <c r="F1390" s="2" t="s">
        <v>10086</v>
      </c>
      <c r="H1390" s="3">
        <v>4.0000000000000002E-4</v>
      </c>
      <c r="K1390" s="2" t="s">
        <v>10088</v>
      </c>
    </row>
    <row r="1391" spans="1:11" x14ac:dyDescent="0.2">
      <c r="A1391" s="2">
        <v>349</v>
      </c>
      <c r="B1391" s="2">
        <v>2</v>
      </c>
      <c r="C1391" s="2">
        <v>164702313</v>
      </c>
      <c r="D1391" s="2">
        <v>165917788</v>
      </c>
      <c r="E1391" s="2">
        <v>1</v>
      </c>
      <c r="F1391" s="2" t="s">
        <v>10086</v>
      </c>
      <c r="H1391" s="2">
        <v>3.5999999999999999E-3</v>
      </c>
      <c r="K1391" s="2" t="s">
        <v>12324</v>
      </c>
    </row>
    <row r="1392" spans="1:11" x14ac:dyDescent="0.2">
      <c r="A1392" s="2">
        <v>349</v>
      </c>
      <c r="B1392" s="2">
        <v>2</v>
      </c>
      <c r="C1392" s="2">
        <v>164702313</v>
      </c>
      <c r="D1392" s="2">
        <v>165917788</v>
      </c>
      <c r="E1392" s="2">
        <v>2</v>
      </c>
      <c r="F1392" s="2" t="s">
        <v>10086</v>
      </c>
      <c r="H1392" s="2">
        <v>4.1999999999999997E-3</v>
      </c>
      <c r="K1392" s="2" t="s">
        <v>10087</v>
      </c>
    </row>
    <row r="1393" spans="1:11" x14ac:dyDescent="0.2">
      <c r="A1393" s="2">
        <v>349</v>
      </c>
      <c r="B1393" s="2">
        <v>2</v>
      </c>
      <c r="C1393" s="2">
        <v>164702313</v>
      </c>
      <c r="D1393" s="2">
        <v>165917788</v>
      </c>
      <c r="E1393" s="2">
        <v>3</v>
      </c>
      <c r="F1393" s="2" t="s">
        <v>10086</v>
      </c>
      <c r="H1393" s="2">
        <v>1.9E-3</v>
      </c>
      <c r="K1393" s="2" t="s">
        <v>10089</v>
      </c>
    </row>
    <row r="1394" spans="1:11" x14ac:dyDescent="0.2">
      <c r="A1394" s="2">
        <v>349</v>
      </c>
      <c r="B1394" s="2">
        <v>2</v>
      </c>
      <c r="C1394" s="2">
        <v>164702313</v>
      </c>
      <c r="D1394" s="2">
        <v>165917788</v>
      </c>
      <c r="E1394" s="2">
        <v>4</v>
      </c>
      <c r="F1394" s="2" t="s">
        <v>10086</v>
      </c>
      <c r="H1394" s="3">
        <v>8.0000000000000004E-4</v>
      </c>
      <c r="K1394" s="2" t="s">
        <v>10088</v>
      </c>
    </row>
    <row r="1395" spans="1:11" x14ac:dyDescent="0.2">
      <c r="A1395" s="2">
        <v>350</v>
      </c>
      <c r="B1395" s="2">
        <v>2</v>
      </c>
      <c r="C1395" s="2">
        <v>165917789</v>
      </c>
      <c r="D1395" s="2">
        <v>167488576</v>
      </c>
      <c r="E1395" s="2">
        <v>1</v>
      </c>
      <c r="F1395" s="2" t="s">
        <v>10086</v>
      </c>
      <c r="H1395" s="2">
        <v>1.2999999999999999E-3</v>
      </c>
      <c r="K1395" s="2" t="s">
        <v>10089</v>
      </c>
    </row>
    <row r="1396" spans="1:11" x14ac:dyDescent="0.2">
      <c r="A1396" s="2">
        <v>350</v>
      </c>
      <c r="B1396" s="2">
        <v>2</v>
      </c>
      <c r="C1396" s="2">
        <v>165917789</v>
      </c>
      <c r="D1396" s="2">
        <v>167488576</v>
      </c>
      <c r="E1396" s="2">
        <v>2</v>
      </c>
      <c r="F1396" s="2" t="s">
        <v>10086</v>
      </c>
      <c r="H1396" s="2">
        <v>1E-3</v>
      </c>
      <c r="K1396" s="2" t="s">
        <v>10088</v>
      </c>
    </row>
    <row r="1397" spans="1:11" x14ac:dyDescent="0.2">
      <c r="A1397" s="2">
        <v>350</v>
      </c>
      <c r="B1397" s="2">
        <v>2</v>
      </c>
      <c r="C1397" s="2">
        <v>165917789</v>
      </c>
      <c r="D1397" s="2">
        <v>167488576</v>
      </c>
      <c r="E1397" s="2">
        <v>3</v>
      </c>
      <c r="F1397" s="2" t="s">
        <v>10086</v>
      </c>
      <c r="H1397" s="3">
        <v>8.0000000000000004E-4</v>
      </c>
      <c r="K1397" s="2" t="s">
        <v>10085</v>
      </c>
    </row>
    <row r="1398" spans="1:11" x14ac:dyDescent="0.2">
      <c r="A1398" s="2">
        <v>350</v>
      </c>
      <c r="B1398" s="2">
        <v>2</v>
      </c>
      <c r="C1398" s="2">
        <v>165917789</v>
      </c>
      <c r="D1398" s="2">
        <v>167488576</v>
      </c>
      <c r="E1398" s="2">
        <v>4</v>
      </c>
      <c r="F1398" s="2" t="s">
        <v>10086</v>
      </c>
      <c r="H1398" s="3">
        <v>5.0000000000000001E-4</v>
      </c>
      <c r="K1398" s="2" t="s">
        <v>10087</v>
      </c>
    </row>
    <row r="1399" spans="1:11" x14ac:dyDescent="0.2">
      <c r="A1399" s="2">
        <v>351</v>
      </c>
      <c r="B1399" s="2">
        <v>2</v>
      </c>
      <c r="C1399" s="2">
        <v>167488577</v>
      </c>
      <c r="D1399" s="2">
        <v>168437445</v>
      </c>
      <c r="E1399" s="2">
        <v>1</v>
      </c>
      <c r="F1399" s="2" t="s">
        <v>10086</v>
      </c>
      <c r="H1399" s="2">
        <v>2E-3</v>
      </c>
      <c r="K1399" s="2" t="s">
        <v>10089</v>
      </c>
    </row>
    <row r="1400" spans="1:11" x14ac:dyDescent="0.2">
      <c r="A1400" s="2">
        <v>351</v>
      </c>
      <c r="B1400" s="2">
        <v>2</v>
      </c>
      <c r="C1400" s="2">
        <v>167488577</v>
      </c>
      <c r="D1400" s="2">
        <v>168437445</v>
      </c>
      <c r="E1400" s="2">
        <v>2</v>
      </c>
      <c r="F1400" s="2" t="s">
        <v>10086</v>
      </c>
      <c r="H1400" s="3">
        <v>6.9999999999999999E-4</v>
      </c>
      <c r="K1400" s="2" t="s">
        <v>10087</v>
      </c>
    </row>
    <row r="1401" spans="1:11" x14ac:dyDescent="0.2">
      <c r="A1401" s="2">
        <v>351</v>
      </c>
      <c r="B1401" s="2">
        <v>2</v>
      </c>
      <c r="C1401" s="2">
        <v>167488577</v>
      </c>
      <c r="D1401" s="2">
        <v>168437445</v>
      </c>
      <c r="E1401" s="2">
        <v>3</v>
      </c>
      <c r="F1401" s="2" t="s">
        <v>10086</v>
      </c>
      <c r="H1401" s="3">
        <v>5.9999999999999995E-4</v>
      </c>
      <c r="K1401" s="2" t="s">
        <v>10085</v>
      </c>
    </row>
    <row r="1402" spans="1:11" x14ac:dyDescent="0.2">
      <c r="A1402" s="2">
        <v>351</v>
      </c>
      <c r="B1402" s="2">
        <v>2</v>
      </c>
      <c r="C1402" s="2">
        <v>167488577</v>
      </c>
      <c r="D1402" s="2">
        <v>168437445</v>
      </c>
      <c r="E1402" s="2">
        <v>4</v>
      </c>
      <c r="F1402" s="2" t="s">
        <v>10086</v>
      </c>
      <c r="H1402" s="3">
        <v>2.9999999999999997E-4</v>
      </c>
      <c r="K1402" s="2" t="s">
        <v>10088</v>
      </c>
    </row>
    <row r="1403" spans="1:11" x14ac:dyDescent="0.2">
      <c r="A1403" s="2">
        <v>352</v>
      </c>
      <c r="B1403" s="2">
        <v>2</v>
      </c>
      <c r="C1403" s="2">
        <v>168437446</v>
      </c>
      <c r="D1403" s="2">
        <v>169224445</v>
      </c>
      <c r="E1403" s="2">
        <v>1</v>
      </c>
      <c r="F1403" s="2" t="s">
        <v>10086</v>
      </c>
      <c r="H1403" s="2">
        <v>1.6000000000000001E-3</v>
      </c>
      <c r="K1403" s="2" t="s">
        <v>10087</v>
      </c>
    </row>
    <row r="1404" spans="1:11" x14ac:dyDescent="0.2">
      <c r="A1404" s="2">
        <v>352</v>
      </c>
      <c r="B1404" s="2">
        <v>2</v>
      </c>
      <c r="C1404" s="2">
        <v>168437446</v>
      </c>
      <c r="D1404" s="2">
        <v>169224445</v>
      </c>
      <c r="E1404" s="2">
        <v>2</v>
      </c>
      <c r="F1404" s="2" t="s">
        <v>10086</v>
      </c>
      <c r="H1404" s="2">
        <v>1E-3</v>
      </c>
      <c r="K1404" s="2" t="s">
        <v>10089</v>
      </c>
    </row>
    <row r="1405" spans="1:11" x14ac:dyDescent="0.2">
      <c r="A1405" s="2">
        <v>352</v>
      </c>
      <c r="B1405" s="2">
        <v>2</v>
      </c>
      <c r="C1405" s="2">
        <v>168437446</v>
      </c>
      <c r="D1405" s="2">
        <v>169224445</v>
      </c>
      <c r="E1405" s="2">
        <v>3</v>
      </c>
      <c r="F1405" s="2" t="s">
        <v>10086</v>
      </c>
      <c r="H1405" s="3">
        <v>8.9999999999999998E-4</v>
      </c>
      <c r="K1405" s="2" t="s">
        <v>10085</v>
      </c>
    </row>
    <row r="1406" spans="1:11" x14ac:dyDescent="0.2">
      <c r="A1406" s="2">
        <v>352</v>
      </c>
      <c r="B1406" s="2">
        <v>2</v>
      </c>
      <c r="C1406" s="2">
        <v>168437446</v>
      </c>
      <c r="D1406" s="2">
        <v>169224445</v>
      </c>
      <c r="E1406" s="2">
        <v>4</v>
      </c>
      <c r="F1406" s="2" t="s">
        <v>10086</v>
      </c>
      <c r="H1406" s="3">
        <v>2.9999999999999997E-4</v>
      </c>
      <c r="K1406" s="2" t="s">
        <v>10088</v>
      </c>
    </row>
    <row r="1407" spans="1:11" x14ac:dyDescent="0.2">
      <c r="A1407" s="2">
        <v>353</v>
      </c>
      <c r="B1407" s="2">
        <v>2</v>
      </c>
      <c r="C1407" s="2">
        <v>169224446</v>
      </c>
      <c r="D1407" s="2">
        <v>170155561</v>
      </c>
      <c r="E1407" s="2">
        <v>1</v>
      </c>
      <c r="F1407" s="2" t="s">
        <v>10086</v>
      </c>
      <c r="H1407" s="2">
        <v>1.1000000000000001E-3</v>
      </c>
      <c r="K1407" s="2" t="s">
        <v>10088</v>
      </c>
    </row>
    <row r="1408" spans="1:11" x14ac:dyDescent="0.2">
      <c r="A1408" s="2">
        <v>353</v>
      </c>
      <c r="B1408" s="2">
        <v>2</v>
      </c>
      <c r="C1408" s="2">
        <v>169224446</v>
      </c>
      <c r="D1408" s="2">
        <v>170155561</v>
      </c>
      <c r="E1408" s="2">
        <v>2</v>
      </c>
      <c r="F1408" s="2" t="s">
        <v>10086</v>
      </c>
      <c r="H1408" s="2">
        <v>2.3E-3</v>
      </c>
      <c r="K1408" s="2" t="s">
        <v>10089</v>
      </c>
    </row>
    <row r="1409" spans="1:11" x14ac:dyDescent="0.2">
      <c r="A1409" s="2">
        <v>353</v>
      </c>
      <c r="B1409" s="2">
        <v>2</v>
      </c>
      <c r="C1409" s="2">
        <v>169224446</v>
      </c>
      <c r="D1409" s="2">
        <v>170155561</v>
      </c>
      <c r="E1409" s="2">
        <v>3</v>
      </c>
      <c r="F1409" s="2" t="s">
        <v>10086</v>
      </c>
      <c r="H1409" s="2">
        <v>1.6000000000000001E-3</v>
      </c>
      <c r="K1409" s="2" t="s">
        <v>10087</v>
      </c>
    </row>
    <row r="1410" spans="1:11" x14ac:dyDescent="0.2">
      <c r="A1410" s="2">
        <v>353</v>
      </c>
      <c r="B1410" s="2">
        <v>2</v>
      </c>
      <c r="C1410" s="2">
        <v>169224446</v>
      </c>
      <c r="D1410" s="2">
        <v>170155561</v>
      </c>
      <c r="E1410" s="2">
        <v>4</v>
      </c>
      <c r="F1410" s="2" t="s">
        <v>10086</v>
      </c>
      <c r="H1410" s="3">
        <v>5.0000000000000001E-4</v>
      </c>
      <c r="K1410" s="2" t="s">
        <v>10085</v>
      </c>
    </row>
    <row r="1411" spans="1:11" x14ac:dyDescent="0.2">
      <c r="A1411" s="2">
        <v>354</v>
      </c>
      <c r="B1411" s="2">
        <v>2</v>
      </c>
      <c r="C1411" s="2">
        <v>170155562</v>
      </c>
      <c r="D1411" s="2">
        <v>170865765</v>
      </c>
      <c r="E1411" s="2">
        <v>1</v>
      </c>
      <c r="F1411" s="2" t="s">
        <v>10086</v>
      </c>
      <c r="H1411" s="2">
        <v>0.02</v>
      </c>
      <c r="K1411" s="2" t="s">
        <v>10087</v>
      </c>
    </row>
    <row r="1412" spans="1:11" x14ac:dyDescent="0.2">
      <c r="A1412" s="2">
        <v>354</v>
      </c>
      <c r="B1412" s="2">
        <v>2</v>
      </c>
      <c r="C1412" s="2">
        <v>170155562</v>
      </c>
      <c r="D1412" s="2">
        <v>170865765</v>
      </c>
      <c r="E1412" s="2">
        <v>2</v>
      </c>
      <c r="F1412" s="2" t="s">
        <v>10086</v>
      </c>
      <c r="H1412" s="2">
        <v>9.9000000000000008E-3</v>
      </c>
      <c r="K1412" s="2" t="s">
        <v>12324</v>
      </c>
    </row>
    <row r="1413" spans="1:11" x14ac:dyDescent="0.2">
      <c r="A1413" s="2">
        <v>354</v>
      </c>
      <c r="B1413" s="2">
        <v>2</v>
      </c>
      <c r="C1413" s="2">
        <v>170155562</v>
      </c>
      <c r="D1413" s="2">
        <v>170865765</v>
      </c>
      <c r="E1413" s="2">
        <v>3</v>
      </c>
      <c r="F1413" s="2" t="s">
        <v>10086</v>
      </c>
      <c r="H1413" s="2">
        <v>1E-3</v>
      </c>
      <c r="K1413" s="2" t="s">
        <v>10089</v>
      </c>
    </row>
    <row r="1414" spans="1:11" x14ac:dyDescent="0.2">
      <c r="A1414" s="2">
        <v>354</v>
      </c>
      <c r="B1414" s="2">
        <v>2</v>
      </c>
      <c r="C1414" s="2">
        <v>170155562</v>
      </c>
      <c r="D1414" s="2">
        <v>170865765</v>
      </c>
      <c r="E1414" s="2">
        <v>4</v>
      </c>
      <c r="F1414" s="2" t="s">
        <v>10086</v>
      </c>
      <c r="H1414" s="3">
        <v>5.9999999999999995E-4</v>
      </c>
      <c r="K1414" s="2" t="s">
        <v>10085</v>
      </c>
    </row>
    <row r="1415" spans="1:11" x14ac:dyDescent="0.2">
      <c r="A1415" s="2">
        <v>355</v>
      </c>
      <c r="B1415" s="2">
        <v>2</v>
      </c>
      <c r="C1415" s="2">
        <v>170865766</v>
      </c>
      <c r="D1415" s="2">
        <v>171566482</v>
      </c>
      <c r="E1415" s="2">
        <v>1</v>
      </c>
      <c r="F1415" s="2" t="s">
        <v>10086</v>
      </c>
      <c r="H1415" s="2">
        <v>8.3999999999999995E-3</v>
      </c>
      <c r="K1415" s="2" t="s">
        <v>10087</v>
      </c>
    </row>
    <row r="1416" spans="1:11" x14ac:dyDescent="0.2">
      <c r="A1416" s="2">
        <v>355</v>
      </c>
      <c r="B1416" s="2">
        <v>2</v>
      </c>
      <c r="C1416" s="2">
        <v>170865766</v>
      </c>
      <c r="D1416" s="2">
        <v>171566482</v>
      </c>
      <c r="E1416" s="2">
        <v>2</v>
      </c>
      <c r="F1416" s="2" t="s">
        <v>10086</v>
      </c>
      <c r="H1416" s="2">
        <v>1.2999999999999999E-3</v>
      </c>
      <c r="K1416" s="2" t="s">
        <v>10089</v>
      </c>
    </row>
    <row r="1417" spans="1:11" x14ac:dyDescent="0.2">
      <c r="A1417" s="2">
        <v>355</v>
      </c>
      <c r="B1417" s="2">
        <v>2</v>
      </c>
      <c r="C1417" s="2">
        <v>170865766</v>
      </c>
      <c r="D1417" s="2">
        <v>171566482</v>
      </c>
      <c r="E1417" s="2">
        <v>3</v>
      </c>
      <c r="F1417" s="2" t="s">
        <v>10086</v>
      </c>
      <c r="H1417" s="3">
        <v>8.9999999999999998E-4</v>
      </c>
      <c r="K1417" s="2" t="s">
        <v>10085</v>
      </c>
    </row>
    <row r="1418" spans="1:11" x14ac:dyDescent="0.2">
      <c r="A1418" s="2">
        <v>355</v>
      </c>
      <c r="B1418" s="2">
        <v>2</v>
      </c>
      <c r="C1418" s="2">
        <v>170865766</v>
      </c>
      <c r="D1418" s="2">
        <v>171566482</v>
      </c>
      <c r="E1418" s="2">
        <v>4</v>
      </c>
      <c r="F1418" s="2" t="s">
        <v>10086</v>
      </c>
      <c r="H1418" s="3">
        <v>4.0000000000000002E-4</v>
      </c>
      <c r="K1418" s="2" t="s">
        <v>10088</v>
      </c>
    </row>
    <row r="1419" spans="1:11" x14ac:dyDescent="0.2">
      <c r="A1419" s="2">
        <v>356</v>
      </c>
      <c r="B1419" s="2">
        <v>2</v>
      </c>
      <c r="C1419" s="2">
        <v>171566483</v>
      </c>
      <c r="D1419" s="2">
        <v>172501315</v>
      </c>
      <c r="E1419" s="2">
        <v>1</v>
      </c>
      <c r="F1419" s="2" t="s">
        <v>10086</v>
      </c>
      <c r="H1419" s="2">
        <v>1.4E-3</v>
      </c>
      <c r="K1419" s="2" t="s">
        <v>10089</v>
      </c>
    </row>
    <row r="1420" spans="1:11" x14ac:dyDescent="0.2">
      <c r="A1420" s="2">
        <v>356</v>
      </c>
      <c r="B1420" s="2">
        <v>2</v>
      </c>
      <c r="C1420" s="2">
        <v>171566483</v>
      </c>
      <c r="D1420" s="2">
        <v>172501315</v>
      </c>
      <c r="E1420" s="2">
        <v>2</v>
      </c>
      <c r="F1420" s="2" t="s">
        <v>10086</v>
      </c>
      <c r="H1420" s="2">
        <v>1.6999999999999999E-3</v>
      </c>
      <c r="K1420" s="2" t="s">
        <v>10088</v>
      </c>
    </row>
    <row r="1421" spans="1:11" x14ac:dyDescent="0.2">
      <c r="A1421" s="2">
        <v>356</v>
      </c>
      <c r="B1421" s="2">
        <v>2</v>
      </c>
      <c r="C1421" s="2">
        <v>171566483</v>
      </c>
      <c r="D1421" s="2">
        <v>172501315</v>
      </c>
      <c r="E1421" s="2">
        <v>3</v>
      </c>
      <c r="F1421" s="2" t="s">
        <v>10086</v>
      </c>
      <c r="H1421" s="3">
        <v>8.0000000000000004E-4</v>
      </c>
      <c r="K1421" s="2" t="s">
        <v>10087</v>
      </c>
    </row>
    <row r="1422" spans="1:11" x14ac:dyDescent="0.2">
      <c r="A1422" s="2">
        <v>356</v>
      </c>
      <c r="B1422" s="2">
        <v>2</v>
      </c>
      <c r="C1422" s="2">
        <v>171566483</v>
      </c>
      <c r="D1422" s="2">
        <v>172501315</v>
      </c>
      <c r="E1422" s="2">
        <v>4</v>
      </c>
      <c r="F1422" s="2" t="s">
        <v>10086</v>
      </c>
      <c r="H1422" s="3">
        <v>5.0000000000000001E-4</v>
      </c>
      <c r="K1422" s="2" t="s">
        <v>12324</v>
      </c>
    </row>
    <row r="1423" spans="1:11" x14ac:dyDescent="0.2">
      <c r="A1423" s="2">
        <v>357</v>
      </c>
      <c r="B1423" s="2">
        <v>2</v>
      </c>
      <c r="C1423" s="2">
        <v>172501316</v>
      </c>
      <c r="D1423" s="2">
        <v>173287857</v>
      </c>
      <c r="E1423" s="2">
        <v>1</v>
      </c>
      <c r="F1423" s="2" t="s">
        <v>10086</v>
      </c>
      <c r="H1423" s="2">
        <v>1.1000000000000001E-3</v>
      </c>
      <c r="K1423" s="2" t="s">
        <v>10089</v>
      </c>
    </row>
    <row r="1424" spans="1:11" x14ac:dyDescent="0.2">
      <c r="A1424" s="2">
        <v>357</v>
      </c>
      <c r="B1424" s="2">
        <v>2</v>
      </c>
      <c r="C1424" s="2">
        <v>172501316</v>
      </c>
      <c r="D1424" s="2">
        <v>173287857</v>
      </c>
      <c r="E1424" s="2">
        <v>2</v>
      </c>
      <c r="F1424" s="2" t="s">
        <v>10086</v>
      </c>
      <c r="H1424" s="2">
        <v>1E-3</v>
      </c>
      <c r="K1424" s="2" t="s">
        <v>10087</v>
      </c>
    </row>
    <row r="1425" spans="1:11" x14ac:dyDescent="0.2">
      <c r="A1425" s="2">
        <v>357</v>
      </c>
      <c r="B1425" s="2">
        <v>2</v>
      </c>
      <c r="C1425" s="2">
        <v>172501316</v>
      </c>
      <c r="D1425" s="2">
        <v>173287857</v>
      </c>
      <c r="E1425" s="2">
        <v>3</v>
      </c>
      <c r="F1425" s="2" t="s">
        <v>10086</v>
      </c>
      <c r="H1425" s="3">
        <v>6.9999999999999999E-4</v>
      </c>
      <c r="K1425" s="2" t="s">
        <v>10085</v>
      </c>
    </row>
    <row r="1426" spans="1:11" x14ac:dyDescent="0.2">
      <c r="A1426" s="2">
        <v>357</v>
      </c>
      <c r="B1426" s="2">
        <v>2</v>
      </c>
      <c r="C1426" s="2">
        <v>172501316</v>
      </c>
      <c r="D1426" s="2">
        <v>173287857</v>
      </c>
      <c r="E1426" s="2">
        <v>4</v>
      </c>
      <c r="F1426" s="2" t="s">
        <v>10086</v>
      </c>
      <c r="H1426" s="3">
        <v>2.9999999999999997E-4</v>
      </c>
      <c r="K1426" s="2" t="s">
        <v>10088</v>
      </c>
    </row>
    <row r="1427" spans="1:11" x14ac:dyDescent="0.2">
      <c r="A1427" s="2">
        <v>358</v>
      </c>
      <c r="B1427" s="2">
        <v>2</v>
      </c>
      <c r="C1427" s="2">
        <v>173287858</v>
      </c>
      <c r="D1427" s="2">
        <v>174118389</v>
      </c>
      <c r="E1427" s="2">
        <v>1</v>
      </c>
      <c r="F1427" s="2" t="s">
        <v>10086</v>
      </c>
      <c r="H1427" s="2">
        <v>2.0999999999999999E-3</v>
      </c>
      <c r="K1427" s="2" t="s">
        <v>10089</v>
      </c>
    </row>
    <row r="1428" spans="1:11" x14ac:dyDescent="0.2">
      <c r="A1428" s="2">
        <v>358</v>
      </c>
      <c r="B1428" s="2">
        <v>2</v>
      </c>
      <c r="C1428" s="2">
        <v>173287858</v>
      </c>
      <c r="D1428" s="2">
        <v>174118389</v>
      </c>
      <c r="E1428" s="2">
        <v>2</v>
      </c>
      <c r="F1428" s="2" t="s">
        <v>10086</v>
      </c>
      <c r="H1428" s="2">
        <v>4.1000000000000003E-3</v>
      </c>
      <c r="K1428" s="2" t="s">
        <v>10088</v>
      </c>
    </row>
    <row r="1429" spans="1:11" x14ac:dyDescent="0.2">
      <c r="A1429" s="2">
        <v>358</v>
      </c>
      <c r="B1429" s="2">
        <v>2</v>
      </c>
      <c r="C1429" s="2">
        <v>173287858</v>
      </c>
      <c r="D1429" s="2">
        <v>174118389</v>
      </c>
      <c r="E1429" s="2">
        <v>3</v>
      </c>
      <c r="F1429" s="2" t="s">
        <v>10086</v>
      </c>
      <c r="H1429" s="2">
        <v>1.4E-3</v>
      </c>
      <c r="K1429" s="2" t="s">
        <v>10085</v>
      </c>
    </row>
    <row r="1430" spans="1:11" x14ac:dyDescent="0.2">
      <c r="A1430" s="2">
        <v>358</v>
      </c>
      <c r="B1430" s="2">
        <v>2</v>
      </c>
      <c r="C1430" s="2">
        <v>173287858</v>
      </c>
      <c r="D1430" s="2">
        <v>174118389</v>
      </c>
      <c r="E1430" s="2">
        <v>4</v>
      </c>
      <c r="F1430" s="2" t="s">
        <v>10086</v>
      </c>
      <c r="H1430" s="3">
        <v>5.9999999999999995E-4</v>
      </c>
      <c r="K1430" s="2" t="s">
        <v>10087</v>
      </c>
    </row>
    <row r="1431" spans="1:11" x14ac:dyDescent="0.2">
      <c r="A1431" s="2">
        <v>359</v>
      </c>
      <c r="B1431" s="2">
        <v>2</v>
      </c>
      <c r="C1431" s="2">
        <v>174118390</v>
      </c>
      <c r="D1431" s="2">
        <v>174927563</v>
      </c>
      <c r="E1431" s="2">
        <v>1</v>
      </c>
      <c r="F1431" s="2" t="s">
        <v>10086</v>
      </c>
      <c r="H1431" s="2">
        <v>1.15E-2</v>
      </c>
      <c r="K1431" s="2" t="s">
        <v>10087</v>
      </c>
    </row>
    <row r="1432" spans="1:11" x14ac:dyDescent="0.2">
      <c r="A1432" s="2">
        <v>359</v>
      </c>
      <c r="B1432" s="2">
        <v>2</v>
      </c>
      <c r="C1432" s="2">
        <v>174118390</v>
      </c>
      <c r="D1432" s="2">
        <v>174927563</v>
      </c>
      <c r="E1432" s="2">
        <v>2</v>
      </c>
      <c r="F1432" s="2" t="s">
        <v>10086</v>
      </c>
      <c r="H1432" s="2">
        <v>3.3E-3</v>
      </c>
      <c r="K1432" s="2" t="s">
        <v>10088</v>
      </c>
    </row>
    <row r="1433" spans="1:11" x14ac:dyDescent="0.2">
      <c r="A1433" s="2">
        <v>359</v>
      </c>
      <c r="B1433" s="2">
        <v>2</v>
      </c>
      <c r="C1433" s="2">
        <v>174118390</v>
      </c>
      <c r="D1433" s="2">
        <v>174927563</v>
      </c>
      <c r="E1433" s="2">
        <v>3</v>
      </c>
      <c r="F1433" s="2" t="s">
        <v>10086</v>
      </c>
      <c r="H1433" s="2">
        <v>1.1000000000000001E-3</v>
      </c>
      <c r="K1433" s="2" t="s">
        <v>10089</v>
      </c>
    </row>
    <row r="1434" spans="1:11" x14ac:dyDescent="0.2">
      <c r="A1434" s="2">
        <v>359</v>
      </c>
      <c r="B1434" s="2">
        <v>2</v>
      </c>
      <c r="C1434" s="2">
        <v>174118390</v>
      </c>
      <c r="D1434" s="2">
        <v>174927563</v>
      </c>
      <c r="E1434" s="2">
        <v>4</v>
      </c>
      <c r="F1434" s="2" t="s">
        <v>10086</v>
      </c>
      <c r="H1434" s="3">
        <v>4.0000000000000002E-4</v>
      </c>
      <c r="K1434" s="2" t="s">
        <v>10085</v>
      </c>
    </row>
    <row r="1435" spans="1:11" x14ac:dyDescent="0.2">
      <c r="A1435" s="2">
        <v>360</v>
      </c>
      <c r="B1435" s="2">
        <v>2</v>
      </c>
      <c r="C1435" s="2">
        <v>174927564</v>
      </c>
      <c r="D1435" s="2">
        <v>176734750</v>
      </c>
      <c r="E1435" s="2">
        <v>1</v>
      </c>
      <c r="F1435" s="2" t="s">
        <v>10086</v>
      </c>
      <c r="H1435" s="2">
        <v>4.3E-3</v>
      </c>
      <c r="K1435" s="2" t="s">
        <v>10089</v>
      </c>
    </row>
    <row r="1436" spans="1:11" x14ac:dyDescent="0.2">
      <c r="A1436" s="2">
        <v>360</v>
      </c>
      <c r="B1436" s="2">
        <v>2</v>
      </c>
      <c r="C1436" s="2">
        <v>174927564</v>
      </c>
      <c r="D1436" s="2">
        <v>176734750</v>
      </c>
      <c r="E1436" s="2">
        <v>2</v>
      </c>
      <c r="F1436" s="2" t="s">
        <v>10086</v>
      </c>
      <c r="H1436" s="2">
        <v>4.8999999999999998E-3</v>
      </c>
      <c r="K1436" s="2" t="s">
        <v>10085</v>
      </c>
    </row>
    <row r="1437" spans="1:11" x14ac:dyDescent="0.2">
      <c r="A1437" s="2">
        <v>360</v>
      </c>
      <c r="B1437" s="2">
        <v>2</v>
      </c>
      <c r="C1437" s="2">
        <v>174927564</v>
      </c>
      <c r="D1437" s="2">
        <v>176734750</v>
      </c>
      <c r="E1437" s="2">
        <v>3</v>
      </c>
      <c r="F1437" s="2" t="s">
        <v>10086</v>
      </c>
      <c r="H1437" s="3">
        <v>8.9999999999999998E-4</v>
      </c>
      <c r="K1437" s="2" t="s">
        <v>10088</v>
      </c>
    </row>
    <row r="1438" spans="1:11" x14ac:dyDescent="0.2">
      <c r="A1438" s="2">
        <v>360</v>
      </c>
      <c r="B1438" s="2">
        <v>2</v>
      </c>
      <c r="C1438" s="2">
        <v>174927564</v>
      </c>
      <c r="D1438" s="2">
        <v>176734750</v>
      </c>
      <c r="E1438" s="2">
        <v>4</v>
      </c>
      <c r="F1438" s="2" t="s">
        <v>10086</v>
      </c>
      <c r="H1438" s="3">
        <v>5.9999999999999995E-4</v>
      </c>
      <c r="K1438" s="2" t="s">
        <v>10087</v>
      </c>
    </row>
    <row r="1439" spans="1:11" x14ac:dyDescent="0.2">
      <c r="A1439" s="2">
        <v>361</v>
      </c>
      <c r="B1439" s="2">
        <v>2</v>
      </c>
      <c r="C1439" s="2">
        <v>176734751</v>
      </c>
      <c r="D1439" s="2">
        <v>178149981</v>
      </c>
      <c r="E1439" s="2">
        <v>1</v>
      </c>
      <c r="F1439" s="2" t="s">
        <v>10086</v>
      </c>
      <c r="H1439" s="2">
        <v>5.3E-3</v>
      </c>
      <c r="K1439" s="2" t="s">
        <v>10085</v>
      </c>
    </row>
    <row r="1440" spans="1:11" x14ac:dyDescent="0.2">
      <c r="A1440" s="2">
        <v>361</v>
      </c>
      <c r="B1440" s="2">
        <v>2</v>
      </c>
      <c r="C1440" s="2">
        <v>176734751</v>
      </c>
      <c r="D1440" s="2">
        <v>178149981</v>
      </c>
      <c r="E1440" s="2">
        <v>2</v>
      </c>
      <c r="F1440" s="2" t="s">
        <v>10086</v>
      </c>
      <c r="H1440" s="2">
        <v>3.8999999999999998E-3</v>
      </c>
      <c r="K1440" s="2" t="s">
        <v>10088</v>
      </c>
    </row>
    <row r="1441" spans="1:11" x14ac:dyDescent="0.2">
      <c r="A1441" s="2">
        <v>361</v>
      </c>
      <c r="B1441" s="2">
        <v>2</v>
      </c>
      <c r="C1441" s="2">
        <v>176734751</v>
      </c>
      <c r="D1441" s="2">
        <v>178149981</v>
      </c>
      <c r="E1441" s="2">
        <v>3</v>
      </c>
      <c r="F1441" s="2" t="s">
        <v>10086</v>
      </c>
      <c r="H1441" s="2">
        <v>1.4E-3</v>
      </c>
      <c r="K1441" s="2" t="s">
        <v>10089</v>
      </c>
    </row>
    <row r="1442" spans="1:11" x14ac:dyDescent="0.2">
      <c r="A1442" s="2">
        <v>361</v>
      </c>
      <c r="B1442" s="2">
        <v>2</v>
      </c>
      <c r="C1442" s="2">
        <v>176734751</v>
      </c>
      <c r="D1442" s="2">
        <v>178149981</v>
      </c>
      <c r="E1442" s="2">
        <v>4</v>
      </c>
      <c r="F1442" s="2" t="s">
        <v>10086</v>
      </c>
      <c r="H1442" s="3">
        <v>5.0000000000000001E-4</v>
      </c>
      <c r="K1442" s="2" t="s">
        <v>10087</v>
      </c>
    </row>
    <row r="1443" spans="1:11" x14ac:dyDescent="0.2">
      <c r="A1443" s="2">
        <v>362</v>
      </c>
      <c r="B1443" s="2">
        <v>2</v>
      </c>
      <c r="C1443" s="2">
        <v>178149982</v>
      </c>
      <c r="D1443" s="2">
        <v>179224870</v>
      </c>
      <c r="E1443" s="2">
        <v>1</v>
      </c>
      <c r="F1443" s="2" t="s">
        <v>10086</v>
      </c>
      <c r="H1443" s="2">
        <v>3.0999999999999999E-3</v>
      </c>
      <c r="K1443" s="2" t="s">
        <v>10089</v>
      </c>
    </row>
    <row r="1444" spans="1:11" x14ac:dyDescent="0.2">
      <c r="A1444" s="2">
        <v>362</v>
      </c>
      <c r="B1444" s="2">
        <v>2</v>
      </c>
      <c r="C1444" s="2">
        <v>178149982</v>
      </c>
      <c r="D1444" s="2">
        <v>179224870</v>
      </c>
      <c r="E1444" s="2">
        <v>2</v>
      </c>
      <c r="F1444" s="2" t="s">
        <v>10086</v>
      </c>
      <c r="H1444" s="2">
        <v>3.0000000000000001E-3</v>
      </c>
      <c r="K1444" s="2" t="s">
        <v>12324</v>
      </c>
    </row>
    <row r="1445" spans="1:11" x14ac:dyDescent="0.2">
      <c r="A1445" s="2">
        <v>362</v>
      </c>
      <c r="B1445" s="2">
        <v>2</v>
      </c>
      <c r="C1445" s="2">
        <v>178149982</v>
      </c>
      <c r="D1445" s="2">
        <v>179224870</v>
      </c>
      <c r="E1445" s="2">
        <v>3</v>
      </c>
      <c r="F1445" s="2" t="s">
        <v>10086</v>
      </c>
      <c r="H1445" s="3">
        <v>8.9999999999999998E-4</v>
      </c>
      <c r="K1445" s="2" t="s">
        <v>10085</v>
      </c>
    </row>
    <row r="1446" spans="1:11" x14ac:dyDescent="0.2">
      <c r="A1446" s="2">
        <v>362</v>
      </c>
      <c r="B1446" s="2">
        <v>2</v>
      </c>
      <c r="C1446" s="2">
        <v>178149982</v>
      </c>
      <c r="D1446" s="2">
        <v>179224870</v>
      </c>
      <c r="E1446" s="2">
        <v>4</v>
      </c>
      <c r="F1446" s="2" t="s">
        <v>10086</v>
      </c>
      <c r="H1446" s="3">
        <v>8.0000000000000004E-4</v>
      </c>
      <c r="K1446" s="2" t="s">
        <v>10087</v>
      </c>
    </row>
    <row r="1447" spans="1:11" x14ac:dyDescent="0.2">
      <c r="A1447" s="2">
        <v>363</v>
      </c>
      <c r="B1447" s="2">
        <v>2</v>
      </c>
      <c r="C1447" s="2">
        <v>179224871</v>
      </c>
      <c r="D1447" s="2">
        <v>180336045</v>
      </c>
      <c r="E1447" s="2">
        <v>1</v>
      </c>
      <c r="F1447" s="2" t="s">
        <v>10086</v>
      </c>
      <c r="H1447" s="2">
        <v>4.1999999999999997E-3</v>
      </c>
      <c r="K1447" s="2" t="s">
        <v>10088</v>
      </c>
    </row>
    <row r="1448" spans="1:11" x14ac:dyDescent="0.2">
      <c r="A1448" s="2">
        <v>363</v>
      </c>
      <c r="B1448" s="2">
        <v>2</v>
      </c>
      <c r="C1448" s="2">
        <v>179224871</v>
      </c>
      <c r="D1448" s="2">
        <v>180336045</v>
      </c>
      <c r="E1448" s="2">
        <v>2</v>
      </c>
      <c r="F1448" s="2" t="s">
        <v>10086</v>
      </c>
      <c r="H1448" s="2">
        <v>1.2999999999999999E-3</v>
      </c>
      <c r="K1448" s="2" t="s">
        <v>10085</v>
      </c>
    </row>
    <row r="1449" spans="1:11" x14ac:dyDescent="0.2">
      <c r="A1449" s="2">
        <v>363</v>
      </c>
      <c r="B1449" s="2">
        <v>2</v>
      </c>
      <c r="C1449" s="2">
        <v>179224871</v>
      </c>
      <c r="D1449" s="2">
        <v>180336045</v>
      </c>
      <c r="E1449" s="2">
        <v>3</v>
      </c>
      <c r="F1449" s="2" t="s">
        <v>10086</v>
      </c>
      <c r="H1449" s="2">
        <v>1.1999999999999999E-3</v>
      </c>
      <c r="K1449" s="2" t="s">
        <v>10087</v>
      </c>
    </row>
    <row r="1450" spans="1:11" x14ac:dyDescent="0.2">
      <c r="A1450" s="2">
        <v>363</v>
      </c>
      <c r="B1450" s="2">
        <v>2</v>
      </c>
      <c r="C1450" s="2">
        <v>179224871</v>
      </c>
      <c r="D1450" s="2">
        <v>180336045</v>
      </c>
      <c r="E1450" s="2">
        <v>4</v>
      </c>
      <c r="F1450" s="2" t="s">
        <v>10086</v>
      </c>
      <c r="H1450" s="3">
        <v>5.9999999999999995E-4</v>
      </c>
      <c r="K1450" s="2" t="s">
        <v>10089</v>
      </c>
    </row>
    <row r="1451" spans="1:11" x14ac:dyDescent="0.2">
      <c r="A1451" s="2">
        <v>364</v>
      </c>
      <c r="B1451" s="2">
        <v>2</v>
      </c>
      <c r="C1451" s="2">
        <v>180336046</v>
      </c>
      <c r="D1451" s="2">
        <v>181309939</v>
      </c>
      <c r="E1451" s="2">
        <v>1</v>
      </c>
      <c r="F1451" s="2" t="s">
        <v>10086</v>
      </c>
      <c r="H1451" s="2">
        <v>1.5E-3</v>
      </c>
      <c r="K1451" s="2" t="s">
        <v>10087</v>
      </c>
    </row>
    <row r="1452" spans="1:11" x14ac:dyDescent="0.2">
      <c r="A1452" s="2">
        <v>364</v>
      </c>
      <c r="B1452" s="2">
        <v>2</v>
      </c>
      <c r="C1452" s="2">
        <v>180336046</v>
      </c>
      <c r="D1452" s="2">
        <v>181309939</v>
      </c>
      <c r="E1452" s="2">
        <v>2</v>
      </c>
      <c r="F1452" s="2" t="s">
        <v>10086</v>
      </c>
      <c r="H1452" s="2">
        <v>1.1000000000000001E-3</v>
      </c>
      <c r="K1452" s="2" t="s">
        <v>10088</v>
      </c>
    </row>
    <row r="1453" spans="1:11" x14ac:dyDescent="0.2">
      <c r="A1453" s="2">
        <v>364</v>
      </c>
      <c r="B1453" s="2">
        <v>2</v>
      </c>
      <c r="C1453" s="2">
        <v>180336046</v>
      </c>
      <c r="D1453" s="2">
        <v>181309939</v>
      </c>
      <c r="E1453" s="2">
        <v>3</v>
      </c>
      <c r="F1453" s="2" t="s">
        <v>10086</v>
      </c>
      <c r="H1453" s="3">
        <v>8.0000000000000004E-4</v>
      </c>
      <c r="K1453" s="2" t="s">
        <v>10085</v>
      </c>
    </row>
    <row r="1454" spans="1:11" x14ac:dyDescent="0.2">
      <c r="A1454" s="2">
        <v>364</v>
      </c>
      <c r="B1454" s="2">
        <v>2</v>
      </c>
      <c r="C1454" s="2">
        <v>180336046</v>
      </c>
      <c r="D1454" s="2">
        <v>181309939</v>
      </c>
      <c r="E1454" s="2">
        <v>4</v>
      </c>
      <c r="F1454" s="2" t="s">
        <v>10086</v>
      </c>
      <c r="H1454" s="3">
        <v>8.0000000000000004E-4</v>
      </c>
      <c r="K1454" s="2" t="s">
        <v>12324</v>
      </c>
    </row>
    <row r="1455" spans="1:11" x14ac:dyDescent="0.2">
      <c r="A1455" s="2">
        <v>365</v>
      </c>
      <c r="B1455" s="2">
        <v>2</v>
      </c>
      <c r="C1455" s="2">
        <v>181309940</v>
      </c>
      <c r="D1455" s="2">
        <v>182307877</v>
      </c>
      <c r="E1455" s="2">
        <v>1</v>
      </c>
      <c r="F1455" s="2" t="s">
        <v>10086</v>
      </c>
      <c r="H1455" s="2">
        <v>2.5999999999999999E-3</v>
      </c>
      <c r="K1455" s="2" t="s">
        <v>10087</v>
      </c>
    </row>
    <row r="1456" spans="1:11" x14ac:dyDescent="0.2">
      <c r="A1456" s="2">
        <v>365</v>
      </c>
      <c r="B1456" s="2">
        <v>2</v>
      </c>
      <c r="C1456" s="2">
        <v>181309940</v>
      </c>
      <c r="D1456" s="2">
        <v>182307877</v>
      </c>
      <c r="E1456" s="2">
        <v>2</v>
      </c>
      <c r="F1456" s="2" t="s">
        <v>10086</v>
      </c>
      <c r="H1456" s="2">
        <v>1.2999999999999999E-3</v>
      </c>
      <c r="K1456" s="2" t="s">
        <v>10085</v>
      </c>
    </row>
    <row r="1457" spans="1:11" x14ac:dyDescent="0.2">
      <c r="A1457" s="2">
        <v>365</v>
      </c>
      <c r="B1457" s="2">
        <v>2</v>
      </c>
      <c r="C1457" s="2">
        <v>181309940</v>
      </c>
      <c r="D1457" s="2">
        <v>182307877</v>
      </c>
      <c r="E1457" s="2">
        <v>3</v>
      </c>
      <c r="F1457" s="2" t="s">
        <v>10086</v>
      </c>
      <c r="H1457" s="2">
        <v>1.1999999999999999E-3</v>
      </c>
      <c r="K1457" s="2" t="s">
        <v>12324</v>
      </c>
    </row>
    <row r="1458" spans="1:11" x14ac:dyDescent="0.2">
      <c r="A1458" s="2">
        <v>365</v>
      </c>
      <c r="B1458" s="2">
        <v>2</v>
      </c>
      <c r="C1458" s="2">
        <v>181309940</v>
      </c>
      <c r="D1458" s="2">
        <v>182307877</v>
      </c>
      <c r="E1458" s="2">
        <v>4</v>
      </c>
      <c r="F1458" s="2" t="s">
        <v>10086</v>
      </c>
      <c r="H1458" s="3">
        <v>8.9999999999999998E-4</v>
      </c>
      <c r="K1458" s="2" t="s">
        <v>10089</v>
      </c>
    </row>
    <row r="1459" spans="1:11" x14ac:dyDescent="0.2">
      <c r="A1459" s="2">
        <v>366</v>
      </c>
      <c r="B1459" s="2">
        <v>2</v>
      </c>
      <c r="C1459" s="2">
        <v>182307878</v>
      </c>
      <c r="D1459" s="2">
        <v>183352290</v>
      </c>
      <c r="E1459" s="2">
        <v>1</v>
      </c>
      <c r="F1459" s="2" t="s">
        <v>10086</v>
      </c>
      <c r="H1459" s="2">
        <v>1.2999999999999999E-3</v>
      </c>
      <c r="K1459" s="2" t="s">
        <v>10089</v>
      </c>
    </row>
    <row r="1460" spans="1:11" x14ac:dyDescent="0.2">
      <c r="A1460" s="2">
        <v>366</v>
      </c>
      <c r="B1460" s="2">
        <v>2</v>
      </c>
      <c r="C1460" s="2">
        <v>182307878</v>
      </c>
      <c r="D1460" s="2">
        <v>183352290</v>
      </c>
      <c r="E1460" s="2">
        <v>2</v>
      </c>
      <c r="F1460" s="2" t="s">
        <v>10086</v>
      </c>
      <c r="H1460" s="2">
        <v>1E-3</v>
      </c>
      <c r="K1460" s="2" t="s">
        <v>10088</v>
      </c>
    </row>
    <row r="1461" spans="1:11" x14ac:dyDescent="0.2">
      <c r="A1461" s="2">
        <v>366</v>
      </c>
      <c r="B1461" s="2">
        <v>2</v>
      </c>
      <c r="C1461" s="2">
        <v>182307878</v>
      </c>
      <c r="D1461" s="2">
        <v>183352290</v>
      </c>
      <c r="E1461" s="2">
        <v>3</v>
      </c>
      <c r="F1461" s="2" t="s">
        <v>10086</v>
      </c>
      <c r="H1461" s="2">
        <v>1.1000000000000001E-3</v>
      </c>
      <c r="K1461" s="2" t="s">
        <v>10087</v>
      </c>
    </row>
    <row r="1462" spans="1:11" x14ac:dyDescent="0.2">
      <c r="A1462" s="2">
        <v>366</v>
      </c>
      <c r="B1462" s="2">
        <v>2</v>
      </c>
      <c r="C1462" s="2">
        <v>182307878</v>
      </c>
      <c r="D1462" s="2">
        <v>183352290</v>
      </c>
      <c r="E1462" s="2">
        <v>4</v>
      </c>
      <c r="F1462" s="2" t="s">
        <v>10086</v>
      </c>
      <c r="H1462" s="3">
        <v>5.0000000000000001E-4</v>
      </c>
      <c r="K1462" s="2" t="s">
        <v>10085</v>
      </c>
    </row>
    <row r="1463" spans="1:11" x14ac:dyDescent="0.2">
      <c r="A1463" s="2">
        <v>367</v>
      </c>
      <c r="B1463" s="2">
        <v>2</v>
      </c>
      <c r="C1463" s="2">
        <v>183352291</v>
      </c>
      <c r="D1463" s="2">
        <v>184148655</v>
      </c>
      <c r="E1463" s="2">
        <v>1</v>
      </c>
      <c r="F1463" s="2" t="s">
        <v>10086</v>
      </c>
      <c r="H1463" s="2">
        <v>3.3E-3</v>
      </c>
      <c r="K1463" s="2" t="s">
        <v>10087</v>
      </c>
    </row>
    <row r="1464" spans="1:11" x14ac:dyDescent="0.2">
      <c r="A1464" s="2">
        <v>367</v>
      </c>
      <c r="B1464" s="2">
        <v>2</v>
      </c>
      <c r="C1464" s="2">
        <v>183352291</v>
      </c>
      <c r="D1464" s="2">
        <v>184148655</v>
      </c>
      <c r="E1464" s="2">
        <v>2</v>
      </c>
      <c r="F1464" s="2" t="s">
        <v>10086</v>
      </c>
      <c r="H1464" s="2">
        <v>1.4E-3</v>
      </c>
      <c r="K1464" s="2" t="s">
        <v>10089</v>
      </c>
    </row>
    <row r="1465" spans="1:11" x14ac:dyDescent="0.2">
      <c r="A1465" s="2">
        <v>367</v>
      </c>
      <c r="B1465" s="2">
        <v>2</v>
      </c>
      <c r="C1465" s="2">
        <v>183352291</v>
      </c>
      <c r="D1465" s="2">
        <v>184148655</v>
      </c>
      <c r="E1465" s="2">
        <v>3</v>
      </c>
      <c r="F1465" s="2" t="s">
        <v>10086</v>
      </c>
      <c r="H1465" s="3">
        <v>6.9999999999999999E-4</v>
      </c>
      <c r="K1465" s="2" t="s">
        <v>10088</v>
      </c>
    </row>
    <row r="1466" spans="1:11" x14ac:dyDescent="0.2">
      <c r="A1466" s="2">
        <v>367</v>
      </c>
      <c r="B1466" s="2">
        <v>2</v>
      </c>
      <c r="C1466" s="2">
        <v>183352291</v>
      </c>
      <c r="D1466" s="2">
        <v>184148655</v>
      </c>
      <c r="E1466" s="2">
        <v>4</v>
      </c>
      <c r="F1466" s="2" t="s">
        <v>10086</v>
      </c>
      <c r="H1466" s="3">
        <v>5.0000000000000001E-4</v>
      </c>
      <c r="K1466" s="2" t="s">
        <v>10085</v>
      </c>
    </row>
    <row r="1467" spans="1:11" x14ac:dyDescent="0.2">
      <c r="A1467" s="2">
        <v>368</v>
      </c>
      <c r="B1467" s="2">
        <v>2</v>
      </c>
      <c r="C1467" s="2">
        <v>184148656</v>
      </c>
      <c r="D1467" s="2">
        <v>184866232</v>
      </c>
      <c r="E1467" s="2">
        <v>1</v>
      </c>
      <c r="F1467" s="2" t="s">
        <v>10086</v>
      </c>
      <c r="H1467" s="2">
        <v>3.8999999999999998E-3</v>
      </c>
      <c r="K1467" s="2" t="s">
        <v>10088</v>
      </c>
    </row>
    <row r="1468" spans="1:11" x14ac:dyDescent="0.2">
      <c r="A1468" s="2">
        <v>368</v>
      </c>
      <c r="B1468" s="2">
        <v>2</v>
      </c>
      <c r="C1468" s="2">
        <v>184148656</v>
      </c>
      <c r="D1468" s="2">
        <v>184866232</v>
      </c>
      <c r="E1468" s="2">
        <v>2</v>
      </c>
      <c r="F1468" s="2" t="s">
        <v>10086</v>
      </c>
      <c r="H1468" s="2">
        <v>1.4E-3</v>
      </c>
      <c r="K1468" s="2" t="s">
        <v>10085</v>
      </c>
    </row>
    <row r="1469" spans="1:11" x14ac:dyDescent="0.2">
      <c r="A1469" s="2">
        <v>368</v>
      </c>
      <c r="B1469" s="2">
        <v>2</v>
      </c>
      <c r="C1469" s="2">
        <v>184148656</v>
      </c>
      <c r="D1469" s="2">
        <v>184866232</v>
      </c>
      <c r="E1469" s="2">
        <v>3</v>
      </c>
      <c r="F1469" s="2" t="s">
        <v>10086</v>
      </c>
      <c r="H1469" s="3">
        <v>5.9999999999999995E-4</v>
      </c>
      <c r="K1469" s="2" t="s">
        <v>10089</v>
      </c>
    </row>
    <row r="1470" spans="1:11" x14ac:dyDescent="0.2">
      <c r="A1470" s="2">
        <v>368</v>
      </c>
      <c r="B1470" s="2">
        <v>2</v>
      </c>
      <c r="C1470" s="2">
        <v>184148656</v>
      </c>
      <c r="D1470" s="2">
        <v>184866232</v>
      </c>
      <c r="E1470" s="2">
        <v>4</v>
      </c>
      <c r="F1470" s="2" t="s">
        <v>10086</v>
      </c>
      <c r="H1470" s="3">
        <v>2.9999999999999997E-4</v>
      </c>
      <c r="K1470" s="2" t="s">
        <v>10087</v>
      </c>
    </row>
    <row r="1471" spans="1:11" x14ac:dyDescent="0.2">
      <c r="A1471" s="2">
        <v>369</v>
      </c>
      <c r="B1471" s="2">
        <v>2</v>
      </c>
      <c r="C1471" s="2">
        <v>184866233</v>
      </c>
      <c r="D1471" s="2">
        <v>186244920</v>
      </c>
      <c r="E1471" s="2">
        <v>1</v>
      </c>
      <c r="F1471" s="2" t="s">
        <v>10086</v>
      </c>
      <c r="H1471" s="2">
        <v>1.5E-3</v>
      </c>
      <c r="K1471" s="2" t="s">
        <v>10089</v>
      </c>
    </row>
    <row r="1472" spans="1:11" x14ac:dyDescent="0.2">
      <c r="A1472" s="2">
        <v>369</v>
      </c>
      <c r="B1472" s="2">
        <v>2</v>
      </c>
      <c r="C1472" s="2">
        <v>184866233</v>
      </c>
      <c r="D1472" s="2">
        <v>186244920</v>
      </c>
      <c r="E1472" s="2">
        <v>2</v>
      </c>
      <c r="F1472" s="2" t="s">
        <v>10086</v>
      </c>
      <c r="H1472" s="2">
        <v>1.1999999999999999E-3</v>
      </c>
      <c r="K1472" s="2" t="s">
        <v>10085</v>
      </c>
    </row>
    <row r="1473" spans="1:11" x14ac:dyDescent="0.2">
      <c r="A1473" s="2">
        <v>369</v>
      </c>
      <c r="B1473" s="2">
        <v>2</v>
      </c>
      <c r="C1473" s="2">
        <v>184866233</v>
      </c>
      <c r="D1473" s="2">
        <v>186244920</v>
      </c>
      <c r="E1473" s="2">
        <v>3</v>
      </c>
      <c r="F1473" s="2" t="s">
        <v>10086</v>
      </c>
      <c r="H1473" s="3">
        <v>8.0000000000000004E-4</v>
      </c>
      <c r="K1473" s="2" t="s">
        <v>10087</v>
      </c>
    </row>
    <row r="1474" spans="1:11" x14ac:dyDescent="0.2">
      <c r="A1474" s="2">
        <v>369</v>
      </c>
      <c r="B1474" s="2">
        <v>2</v>
      </c>
      <c r="C1474" s="2">
        <v>184866233</v>
      </c>
      <c r="D1474" s="2">
        <v>186244920</v>
      </c>
      <c r="E1474" s="2">
        <v>4</v>
      </c>
      <c r="F1474" s="2" t="s">
        <v>10086</v>
      </c>
      <c r="H1474" s="3">
        <v>4.0000000000000002E-4</v>
      </c>
      <c r="K1474" s="2" t="s">
        <v>10088</v>
      </c>
    </row>
    <row r="1475" spans="1:11" x14ac:dyDescent="0.2">
      <c r="A1475" s="2">
        <v>370</v>
      </c>
      <c r="B1475" s="2">
        <v>2</v>
      </c>
      <c r="C1475" s="2">
        <v>186244921</v>
      </c>
      <c r="D1475" s="2">
        <v>187498047</v>
      </c>
      <c r="E1475" s="2">
        <v>1</v>
      </c>
      <c r="F1475" s="2" t="s">
        <v>10086</v>
      </c>
      <c r="H1475" s="2">
        <v>4.5999999999999999E-3</v>
      </c>
      <c r="K1475" s="2" t="s">
        <v>10087</v>
      </c>
    </row>
    <row r="1476" spans="1:11" x14ac:dyDescent="0.2">
      <c r="A1476" s="2">
        <v>370</v>
      </c>
      <c r="B1476" s="2">
        <v>2</v>
      </c>
      <c r="C1476" s="2">
        <v>186244921</v>
      </c>
      <c r="D1476" s="2">
        <v>187498047</v>
      </c>
      <c r="E1476" s="2">
        <v>2</v>
      </c>
      <c r="F1476" s="2" t="s">
        <v>10086</v>
      </c>
      <c r="H1476" s="2">
        <v>1.9E-3</v>
      </c>
      <c r="K1476" s="2" t="s">
        <v>10088</v>
      </c>
    </row>
    <row r="1477" spans="1:11" x14ac:dyDescent="0.2">
      <c r="A1477" s="2">
        <v>370</v>
      </c>
      <c r="B1477" s="2">
        <v>2</v>
      </c>
      <c r="C1477" s="2">
        <v>186244921</v>
      </c>
      <c r="D1477" s="2">
        <v>187498047</v>
      </c>
      <c r="E1477" s="2">
        <v>3</v>
      </c>
      <c r="F1477" s="2" t="s">
        <v>10086</v>
      </c>
      <c r="H1477" s="2">
        <v>1.1999999999999999E-3</v>
      </c>
      <c r="K1477" s="2" t="s">
        <v>10085</v>
      </c>
    </row>
    <row r="1478" spans="1:11" x14ac:dyDescent="0.2">
      <c r="A1478" s="2">
        <v>370</v>
      </c>
      <c r="B1478" s="2">
        <v>2</v>
      </c>
      <c r="C1478" s="2">
        <v>186244921</v>
      </c>
      <c r="D1478" s="2">
        <v>187498047</v>
      </c>
      <c r="E1478" s="2">
        <v>4</v>
      </c>
      <c r="F1478" s="2" t="s">
        <v>10086</v>
      </c>
      <c r="H1478" s="3">
        <v>2.0000000000000001E-4</v>
      </c>
      <c r="K1478" s="2" t="s">
        <v>10089</v>
      </c>
    </row>
    <row r="1479" spans="1:11" x14ac:dyDescent="0.2">
      <c r="A1479" s="2">
        <v>371</v>
      </c>
      <c r="B1479" s="2">
        <v>2</v>
      </c>
      <c r="C1479" s="2">
        <v>187498048</v>
      </c>
      <c r="D1479" s="2">
        <v>188895310</v>
      </c>
      <c r="E1479" s="2">
        <v>1</v>
      </c>
      <c r="F1479" s="2" t="s">
        <v>10086</v>
      </c>
      <c r="H1479" s="2">
        <v>2E-3</v>
      </c>
      <c r="K1479" s="2" t="s">
        <v>10085</v>
      </c>
    </row>
    <row r="1480" spans="1:11" x14ac:dyDescent="0.2">
      <c r="A1480" s="2">
        <v>371</v>
      </c>
      <c r="B1480" s="2">
        <v>2</v>
      </c>
      <c r="C1480" s="2">
        <v>187498048</v>
      </c>
      <c r="D1480" s="2">
        <v>188895310</v>
      </c>
      <c r="E1480" s="2">
        <v>2</v>
      </c>
      <c r="F1480" s="2" t="s">
        <v>10086</v>
      </c>
      <c r="H1480" s="2">
        <v>1.1000000000000001E-3</v>
      </c>
      <c r="K1480" s="2" t="s">
        <v>10088</v>
      </c>
    </row>
    <row r="1481" spans="1:11" x14ac:dyDescent="0.2">
      <c r="A1481" s="2">
        <v>371</v>
      </c>
      <c r="B1481" s="2">
        <v>2</v>
      </c>
      <c r="C1481" s="2">
        <v>187498048</v>
      </c>
      <c r="D1481" s="2">
        <v>188895310</v>
      </c>
      <c r="E1481" s="2">
        <v>3</v>
      </c>
      <c r="F1481" s="2" t="s">
        <v>10086</v>
      </c>
      <c r="H1481" s="3">
        <v>8.0000000000000004E-4</v>
      </c>
      <c r="K1481" s="2" t="s">
        <v>10089</v>
      </c>
    </row>
    <row r="1482" spans="1:11" x14ac:dyDescent="0.2">
      <c r="A1482" s="2">
        <v>371</v>
      </c>
      <c r="B1482" s="2">
        <v>2</v>
      </c>
      <c r="C1482" s="2">
        <v>187498048</v>
      </c>
      <c r="D1482" s="2">
        <v>188895310</v>
      </c>
      <c r="E1482" s="2">
        <v>4</v>
      </c>
      <c r="F1482" s="2" t="s">
        <v>10086</v>
      </c>
      <c r="H1482" s="3">
        <v>4.0000000000000002E-4</v>
      </c>
      <c r="K1482" s="2" t="s">
        <v>10087</v>
      </c>
    </row>
    <row r="1483" spans="1:11" x14ac:dyDescent="0.2">
      <c r="A1483" s="2">
        <v>372</v>
      </c>
      <c r="B1483" s="2">
        <v>2</v>
      </c>
      <c r="C1483" s="2">
        <v>188895311</v>
      </c>
      <c r="D1483" s="2">
        <v>189882702</v>
      </c>
      <c r="E1483" s="2">
        <v>1</v>
      </c>
      <c r="F1483" s="2" t="s">
        <v>10086</v>
      </c>
      <c r="H1483" s="2">
        <v>2.8999999999999998E-3</v>
      </c>
      <c r="K1483" s="2" t="s">
        <v>10087</v>
      </c>
    </row>
    <row r="1484" spans="1:11" x14ac:dyDescent="0.2">
      <c r="A1484" s="2">
        <v>372</v>
      </c>
      <c r="B1484" s="2">
        <v>2</v>
      </c>
      <c r="C1484" s="2">
        <v>188895311</v>
      </c>
      <c r="D1484" s="2">
        <v>189882702</v>
      </c>
      <c r="E1484" s="2">
        <v>2</v>
      </c>
      <c r="F1484" s="2" t="s">
        <v>10086</v>
      </c>
      <c r="H1484" s="2">
        <v>1.2999999999999999E-3</v>
      </c>
      <c r="K1484" s="2" t="s">
        <v>10088</v>
      </c>
    </row>
    <row r="1485" spans="1:11" x14ac:dyDescent="0.2">
      <c r="A1485" s="2">
        <v>372</v>
      </c>
      <c r="B1485" s="2">
        <v>2</v>
      </c>
      <c r="C1485" s="2">
        <v>188895311</v>
      </c>
      <c r="D1485" s="2">
        <v>189882702</v>
      </c>
      <c r="E1485" s="2">
        <v>3</v>
      </c>
      <c r="F1485" s="2" t="s">
        <v>10086</v>
      </c>
      <c r="H1485" s="3">
        <v>8.9999999999999998E-4</v>
      </c>
      <c r="K1485" s="2" t="s">
        <v>10085</v>
      </c>
    </row>
    <row r="1486" spans="1:11" x14ac:dyDescent="0.2">
      <c r="A1486" s="2">
        <v>372</v>
      </c>
      <c r="B1486" s="2">
        <v>2</v>
      </c>
      <c r="C1486" s="2">
        <v>188895311</v>
      </c>
      <c r="D1486" s="2">
        <v>189882702</v>
      </c>
      <c r="E1486" s="2">
        <v>4</v>
      </c>
      <c r="F1486" s="2" t="s">
        <v>10086</v>
      </c>
      <c r="H1486" s="3">
        <v>2.9999999999999997E-4</v>
      </c>
      <c r="K1486" s="2" t="s">
        <v>10089</v>
      </c>
    </row>
    <row r="1487" spans="1:11" x14ac:dyDescent="0.2">
      <c r="A1487" s="2">
        <v>373</v>
      </c>
      <c r="B1487" s="2">
        <v>2</v>
      </c>
      <c r="C1487" s="2">
        <v>189882703</v>
      </c>
      <c r="D1487" s="2">
        <v>191051954</v>
      </c>
      <c r="E1487" s="2">
        <v>1</v>
      </c>
      <c r="F1487" s="2" t="s">
        <v>10086</v>
      </c>
      <c r="H1487" s="2">
        <v>3.0999999999999999E-3</v>
      </c>
      <c r="K1487" s="2" t="s">
        <v>10085</v>
      </c>
    </row>
    <row r="1488" spans="1:11" x14ac:dyDescent="0.2">
      <c r="A1488" s="2">
        <v>373</v>
      </c>
      <c r="B1488" s="2">
        <v>2</v>
      </c>
      <c r="C1488" s="2">
        <v>189882703</v>
      </c>
      <c r="D1488" s="2">
        <v>191051954</v>
      </c>
      <c r="E1488" s="2">
        <v>2</v>
      </c>
      <c r="F1488" s="2" t="s">
        <v>10086</v>
      </c>
      <c r="H1488" s="2">
        <v>1.1999999999999999E-3</v>
      </c>
      <c r="K1488" s="2" t="s">
        <v>10089</v>
      </c>
    </row>
    <row r="1489" spans="1:11" x14ac:dyDescent="0.2">
      <c r="A1489" s="2">
        <v>373</v>
      </c>
      <c r="B1489" s="2">
        <v>2</v>
      </c>
      <c r="C1489" s="2">
        <v>189882703</v>
      </c>
      <c r="D1489" s="2">
        <v>191051954</v>
      </c>
      <c r="E1489" s="2">
        <v>3</v>
      </c>
      <c r="F1489" s="2" t="s">
        <v>10086</v>
      </c>
      <c r="H1489" s="3">
        <v>8.0000000000000004E-4</v>
      </c>
      <c r="K1489" s="2" t="s">
        <v>10088</v>
      </c>
    </row>
    <row r="1490" spans="1:11" x14ac:dyDescent="0.2">
      <c r="A1490" s="2">
        <v>373</v>
      </c>
      <c r="B1490" s="2">
        <v>2</v>
      </c>
      <c r="C1490" s="2">
        <v>189882703</v>
      </c>
      <c r="D1490" s="2">
        <v>191051954</v>
      </c>
      <c r="E1490" s="2">
        <v>4</v>
      </c>
      <c r="F1490" s="2" t="s">
        <v>10086</v>
      </c>
      <c r="H1490" s="3">
        <v>2.9999999999999997E-4</v>
      </c>
      <c r="K1490" s="2" t="s">
        <v>10087</v>
      </c>
    </row>
    <row r="1491" spans="1:11" x14ac:dyDescent="0.2">
      <c r="A1491" s="2">
        <v>374</v>
      </c>
      <c r="B1491" s="2">
        <v>2</v>
      </c>
      <c r="C1491" s="2">
        <v>191051955</v>
      </c>
      <c r="D1491" s="2">
        <v>193033982</v>
      </c>
      <c r="E1491" s="2">
        <v>1</v>
      </c>
      <c r="F1491" s="2" t="s">
        <v>10086</v>
      </c>
      <c r="H1491" s="2">
        <v>3.3999999999999998E-3</v>
      </c>
      <c r="K1491" s="2" t="s">
        <v>10089</v>
      </c>
    </row>
    <row r="1492" spans="1:11" x14ac:dyDescent="0.2">
      <c r="A1492" s="2">
        <v>374</v>
      </c>
      <c r="B1492" s="2">
        <v>2</v>
      </c>
      <c r="C1492" s="2">
        <v>191051955</v>
      </c>
      <c r="D1492" s="2">
        <v>193033982</v>
      </c>
      <c r="E1492" s="2">
        <v>2</v>
      </c>
      <c r="F1492" s="2" t="s">
        <v>10086</v>
      </c>
      <c r="H1492" s="2">
        <v>3.7000000000000002E-3</v>
      </c>
      <c r="K1492" s="2" t="s">
        <v>10087</v>
      </c>
    </row>
    <row r="1493" spans="1:11" x14ac:dyDescent="0.2">
      <c r="A1493" s="2">
        <v>374</v>
      </c>
      <c r="B1493" s="2">
        <v>2</v>
      </c>
      <c r="C1493" s="2">
        <v>191051955</v>
      </c>
      <c r="D1493" s="2">
        <v>193033982</v>
      </c>
      <c r="E1493" s="2">
        <v>3</v>
      </c>
      <c r="F1493" s="2" t="s">
        <v>10086</v>
      </c>
      <c r="H1493" s="2">
        <v>1.6000000000000001E-3</v>
      </c>
      <c r="K1493" s="2" t="s">
        <v>10085</v>
      </c>
    </row>
    <row r="1494" spans="1:11" x14ac:dyDescent="0.2">
      <c r="A1494" s="2">
        <v>374</v>
      </c>
      <c r="B1494" s="2">
        <v>2</v>
      </c>
      <c r="C1494" s="2">
        <v>191051955</v>
      </c>
      <c r="D1494" s="2">
        <v>193033982</v>
      </c>
      <c r="E1494" s="2">
        <v>4</v>
      </c>
      <c r="F1494" s="2" t="s">
        <v>10086</v>
      </c>
      <c r="H1494" s="3">
        <v>5.0000000000000001E-4</v>
      </c>
      <c r="K1494" s="2" t="s">
        <v>10088</v>
      </c>
    </row>
    <row r="1495" spans="1:11" x14ac:dyDescent="0.2">
      <c r="A1495" s="2">
        <v>375</v>
      </c>
      <c r="B1495" s="2">
        <v>2</v>
      </c>
      <c r="C1495" s="2">
        <v>193033983</v>
      </c>
      <c r="D1495" s="2">
        <v>195300250</v>
      </c>
      <c r="E1495" s="2">
        <v>1</v>
      </c>
      <c r="F1495" s="2" t="s">
        <v>10086</v>
      </c>
      <c r="H1495" s="2">
        <v>1.8E-3</v>
      </c>
      <c r="K1495" s="2" t="s">
        <v>10087</v>
      </c>
    </row>
    <row r="1496" spans="1:11" x14ac:dyDescent="0.2">
      <c r="A1496" s="2">
        <v>375</v>
      </c>
      <c r="B1496" s="2">
        <v>2</v>
      </c>
      <c r="C1496" s="2">
        <v>193033983</v>
      </c>
      <c r="D1496" s="2">
        <v>195300250</v>
      </c>
      <c r="E1496" s="2">
        <v>2</v>
      </c>
      <c r="F1496" s="2" t="s">
        <v>10086</v>
      </c>
      <c r="H1496" s="2">
        <v>1.2999999999999999E-3</v>
      </c>
      <c r="K1496" s="2" t="s">
        <v>10089</v>
      </c>
    </row>
    <row r="1497" spans="1:11" x14ac:dyDescent="0.2">
      <c r="A1497" s="2">
        <v>375</v>
      </c>
      <c r="B1497" s="2">
        <v>2</v>
      </c>
      <c r="C1497" s="2">
        <v>193033983</v>
      </c>
      <c r="D1497" s="2">
        <v>195300250</v>
      </c>
      <c r="E1497" s="2">
        <v>3</v>
      </c>
      <c r="F1497" s="2" t="s">
        <v>10086</v>
      </c>
      <c r="H1497" s="3">
        <v>8.9999999999999998E-4</v>
      </c>
      <c r="K1497" s="2" t="s">
        <v>10085</v>
      </c>
    </row>
    <row r="1498" spans="1:11" x14ac:dyDescent="0.2">
      <c r="A1498" s="2">
        <v>375</v>
      </c>
      <c r="B1498" s="2">
        <v>2</v>
      </c>
      <c r="C1498" s="2">
        <v>193033983</v>
      </c>
      <c r="D1498" s="2">
        <v>195300250</v>
      </c>
      <c r="E1498" s="2">
        <v>4</v>
      </c>
      <c r="F1498" s="2" t="s">
        <v>10086</v>
      </c>
      <c r="H1498" s="3">
        <v>5.9999999999999995E-4</v>
      </c>
      <c r="K1498" s="2" t="s">
        <v>10088</v>
      </c>
    </row>
    <row r="1499" spans="1:11" x14ac:dyDescent="0.2">
      <c r="A1499" s="2">
        <v>376</v>
      </c>
      <c r="B1499" s="2">
        <v>2</v>
      </c>
      <c r="C1499" s="2">
        <v>195300251</v>
      </c>
      <c r="D1499" s="2">
        <v>196446299</v>
      </c>
      <c r="E1499" s="2">
        <v>1</v>
      </c>
      <c r="F1499" s="2" t="s">
        <v>10086</v>
      </c>
      <c r="H1499" s="2">
        <v>5.7999999999999996E-3</v>
      </c>
      <c r="K1499" s="2" t="s">
        <v>10085</v>
      </c>
    </row>
    <row r="1500" spans="1:11" x14ac:dyDescent="0.2">
      <c r="A1500" s="2">
        <v>376</v>
      </c>
      <c r="B1500" s="2">
        <v>2</v>
      </c>
      <c r="C1500" s="2">
        <v>195300251</v>
      </c>
      <c r="D1500" s="2">
        <v>196446299</v>
      </c>
      <c r="E1500" s="2">
        <v>2</v>
      </c>
      <c r="F1500" s="2" t="s">
        <v>10086</v>
      </c>
      <c r="H1500" s="2">
        <v>2.0999999999999999E-3</v>
      </c>
      <c r="K1500" s="2" t="s">
        <v>10088</v>
      </c>
    </row>
    <row r="1501" spans="1:11" x14ac:dyDescent="0.2">
      <c r="A1501" s="2">
        <v>376</v>
      </c>
      <c r="B1501" s="2">
        <v>2</v>
      </c>
      <c r="C1501" s="2">
        <v>195300251</v>
      </c>
      <c r="D1501" s="2">
        <v>196446299</v>
      </c>
      <c r="E1501" s="2">
        <v>3</v>
      </c>
      <c r="F1501" s="2" t="s">
        <v>10086</v>
      </c>
      <c r="H1501" s="2">
        <v>1.1000000000000001E-3</v>
      </c>
      <c r="K1501" s="2" t="s">
        <v>12324</v>
      </c>
    </row>
    <row r="1502" spans="1:11" x14ac:dyDescent="0.2">
      <c r="A1502" s="2">
        <v>376</v>
      </c>
      <c r="B1502" s="2">
        <v>2</v>
      </c>
      <c r="C1502" s="2">
        <v>195300251</v>
      </c>
      <c r="D1502" s="2">
        <v>196446299</v>
      </c>
      <c r="E1502" s="2">
        <v>4</v>
      </c>
      <c r="F1502" s="2" t="s">
        <v>10086</v>
      </c>
      <c r="H1502" s="2">
        <v>1E-3</v>
      </c>
      <c r="K1502" s="2" t="s">
        <v>10087</v>
      </c>
    </row>
    <row r="1503" spans="1:11" x14ac:dyDescent="0.2">
      <c r="A1503" s="2">
        <v>377</v>
      </c>
      <c r="B1503" s="2">
        <v>2</v>
      </c>
      <c r="C1503" s="2">
        <v>196446300</v>
      </c>
      <c r="D1503" s="2">
        <v>198140350</v>
      </c>
      <c r="E1503" s="2">
        <v>1</v>
      </c>
      <c r="F1503" s="2" t="s">
        <v>10086</v>
      </c>
      <c r="H1503" s="2">
        <v>2.5000000000000001E-3</v>
      </c>
      <c r="K1503" s="2" t="s">
        <v>10088</v>
      </c>
    </row>
    <row r="1504" spans="1:11" x14ac:dyDescent="0.2">
      <c r="A1504" s="2">
        <v>377</v>
      </c>
      <c r="B1504" s="2">
        <v>2</v>
      </c>
      <c r="C1504" s="2">
        <v>196446300</v>
      </c>
      <c r="D1504" s="2">
        <v>198140350</v>
      </c>
      <c r="E1504" s="2">
        <v>2</v>
      </c>
      <c r="F1504" s="2" t="s">
        <v>10086</v>
      </c>
      <c r="H1504" s="2">
        <v>1.2999999999999999E-3</v>
      </c>
      <c r="K1504" s="2" t="s">
        <v>10089</v>
      </c>
    </row>
    <row r="1505" spans="1:11" x14ac:dyDescent="0.2">
      <c r="A1505" s="2">
        <v>377</v>
      </c>
      <c r="B1505" s="2">
        <v>2</v>
      </c>
      <c r="C1505" s="2">
        <v>196446300</v>
      </c>
      <c r="D1505" s="2">
        <v>198140350</v>
      </c>
      <c r="E1505" s="2">
        <v>3</v>
      </c>
      <c r="F1505" s="2" t="s">
        <v>10086</v>
      </c>
      <c r="H1505" s="2">
        <v>1E-3</v>
      </c>
      <c r="K1505" s="2" t="s">
        <v>10085</v>
      </c>
    </row>
    <row r="1506" spans="1:11" x14ac:dyDescent="0.2">
      <c r="A1506" s="2">
        <v>377</v>
      </c>
      <c r="B1506" s="2">
        <v>2</v>
      </c>
      <c r="C1506" s="2">
        <v>196446300</v>
      </c>
      <c r="D1506" s="2">
        <v>198140350</v>
      </c>
      <c r="E1506" s="2">
        <v>4</v>
      </c>
      <c r="F1506" s="2" t="s">
        <v>10086</v>
      </c>
      <c r="H1506" s="3">
        <v>5.0000000000000001E-4</v>
      </c>
      <c r="K1506" s="2" t="s">
        <v>10087</v>
      </c>
    </row>
    <row r="1507" spans="1:11" x14ac:dyDescent="0.2">
      <c r="A1507" s="2">
        <v>378</v>
      </c>
      <c r="B1507" s="2">
        <v>2</v>
      </c>
      <c r="C1507" s="2">
        <v>198140351</v>
      </c>
      <c r="D1507" s="2">
        <v>199654969</v>
      </c>
      <c r="E1507" s="2">
        <v>1</v>
      </c>
      <c r="F1507" s="2" t="s">
        <v>10086</v>
      </c>
      <c r="H1507" s="2">
        <v>5.0000000000000001E-3</v>
      </c>
      <c r="K1507" s="2" t="s">
        <v>10088</v>
      </c>
    </row>
    <row r="1508" spans="1:11" x14ac:dyDescent="0.2">
      <c r="A1508" s="2">
        <v>378</v>
      </c>
      <c r="B1508" s="2">
        <v>2</v>
      </c>
      <c r="C1508" s="2">
        <v>198140351</v>
      </c>
      <c r="D1508" s="2">
        <v>199654969</v>
      </c>
      <c r="E1508" s="2">
        <v>2</v>
      </c>
      <c r="F1508" s="2" t="s">
        <v>10086</v>
      </c>
      <c r="H1508" s="2">
        <v>3.3E-3</v>
      </c>
      <c r="K1508" s="2" t="s">
        <v>10087</v>
      </c>
    </row>
    <row r="1509" spans="1:11" x14ac:dyDescent="0.2">
      <c r="A1509" s="2">
        <v>378</v>
      </c>
      <c r="B1509" s="2">
        <v>2</v>
      </c>
      <c r="C1509" s="2">
        <v>198140351</v>
      </c>
      <c r="D1509" s="2">
        <v>199654969</v>
      </c>
      <c r="E1509" s="2">
        <v>3</v>
      </c>
      <c r="F1509" s="2" t="s">
        <v>10086</v>
      </c>
      <c r="H1509" s="2">
        <v>1.1999999999999999E-3</v>
      </c>
      <c r="K1509" s="2" t="s">
        <v>10085</v>
      </c>
    </row>
    <row r="1510" spans="1:11" x14ac:dyDescent="0.2">
      <c r="A1510" s="2">
        <v>378</v>
      </c>
      <c r="B1510" s="2">
        <v>2</v>
      </c>
      <c r="C1510" s="2">
        <v>198140351</v>
      </c>
      <c r="D1510" s="2">
        <v>199654969</v>
      </c>
      <c r="E1510" s="2">
        <v>4</v>
      </c>
      <c r="F1510" s="2" t="s">
        <v>10086</v>
      </c>
      <c r="H1510" s="2">
        <v>1E-3</v>
      </c>
      <c r="K1510" s="2" t="s">
        <v>12324</v>
      </c>
    </row>
    <row r="1511" spans="1:11" x14ac:dyDescent="0.2">
      <c r="A1511" s="2">
        <v>379</v>
      </c>
      <c r="B1511" s="2">
        <v>2</v>
      </c>
      <c r="C1511" s="2">
        <v>199654970</v>
      </c>
      <c r="D1511" s="2">
        <v>201324132</v>
      </c>
      <c r="E1511" s="2">
        <v>1</v>
      </c>
      <c r="F1511" s="2" t="s">
        <v>10086</v>
      </c>
      <c r="H1511" s="2">
        <v>2.8E-3</v>
      </c>
      <c r="K1511" s="2" t="s">
        <v>12324</v>
      </c>
    </row>
    <row r="1512" spans="1:11" x14ac:dyDescent="0.2">
      <c r="A1512" s="2">
        <v>379</v>
      </c>
      <c r="B1512" s="2">
        <v>2</v>
      </c>
      <c r="C1512" s="2">
        <v>199654970</v>
      </c>
      <c r="D1512" s="2">
        <v>201324132</v>
      </c>
      <c r="E1512" s="2">
        <v>2</v>
      </c>
      <c r="F1512" s="2" t="s">
        <v>10086</v>
      </c>
      <c r="H1512" s="2">
        <v>1.8E-3</v>
      </c>
      <c r="K1512" s="2" t="s">
        <v>10088</v>
      </c>
    </row>
    <row r="1513" spans="1:11" x14ac:dyDescent="0.2">
      <c r="A1513" s="2">
        <v>379</v>
      </c>
      <c r="B1513" s="2">
        <v>2</v>
      </c>
      <c r="C1513" s="2">
        <v>199654970</v>
      </c>
      <c r="D1513" s="2">
        <v>201324132</v>
      </c>
      <c r="E1513" s="2">
        <v>3</v>
      </c>
      <c r="F1513" s="2" t="s">
        <v>10086</v>
      </c>
      <c r="H1513" s="2">
        <v>1.5E-3</v>
      </c>
      <c r="K1513" s="2" t="s">
        <v>10085</v>
      </c>
    </row>
    <row r="1514" spans="1:11" x14ac:dyDescent="0.2">
      <c r="A1514" s="2">
        <v>379</v>
      </c>
      <c r="B1514" s="2">
        <v>2</v>
      </c>
      <c r="C1514" s="2">
        <v>199654970</v>
      </c>
      <c r="D1514" s="2">
        <v>201324132</v>
      </c>
      <c r="E1514" s="2">
        <v>4</v>
      </c>
      <c r="F1514" s="2" t="s">
        <v>10086</v>
      </c>
      <c r="H1514" s="3">
        <v>8.9999999999999998E-4</v>
      </c>
      <c r="K1514" s="2" t="s">
        <v>10087</v>
      </c>
    </row>
    <row r="1515" spans="1:11" x14ac:dyDescent="0.2">
      <c r="A1515" s="2">
        <v>380</v>
      </c>
      <c r="B1515" s="2">
        <v>2</v>
      </c>
      <c r="C1515" s="2">
        <v>201324133</v>
      </c>
      <c r="D1515" s="2">
        <v>202504862</v>
      </c>
      <c r="E1515" s="2">
        <v>1</v>
      </c>
      <c r="F1515" s="2" t="s">
        <v>10086</v>
      </c>
      <c r="H1515" s="2">
        <v>2.6599999999999999E-2</v>
      </c>
      <c r="K1515" s="2" t="s">
        <v>10087</v>
      </c>
    </row>
    <row r="1516" spans="1:11" x14ac:dyDescent="0.2">
      <c r="A1516" s="2">
        <v>380</v>
      </c>
      <c r="B1516" s="2">
        <v>2</v>
      </c>
      <c r="C1516" s="2">
        <v>201324133</v>
      </c>
      <c r="D1516" s="2">
        <v>202504862</v>
      </c>
      <c r="E1516" s="2">
        <v>2</v>
      </c>
      <c r="F1516" s="2" t="s">
        <v>10086</v>
      </c>
      <c r="H1516" s="2">
        <v>2.5999999999999999E-3</v>
      </c>
      <c r="K1516" s="2" t="s">
        <v>10088</v>
      </c>
    </row>
    <row r="1517" spans="1:11" x14ac:dyDescent="0.2">
      <c r="A1517" s="2">
        <v>380</v>
      </c>
      <c r="B1517" s="2">
        <v>2</v>
      </c>
      <c r="C1517" s="2">
        <v>201324133</v>
      </c>
      <c r="D1517" s="2">
        <v>202504862</v>
      </c>
      <c r="E1517" s="2">
        <v>3</v>
      </c>
      <c r="F1517" s="2" t="s">
        <v>10086</v>
      </c>
      <c r="H1517" s="2">
        <v>2.3999999999999998E-3</v>
      </c>
      <c r="K1517" s="2" t="s">
        <v>10085</v>
      </c>
    </row>
    <row r="1518" spans="1:11" x14ac:dyDescent="0.2">
      <c r="A1518" s="2">
        <v>380</v>
      </c>
      <c r="B1518" s="2">
        <v>2</v>
      </c>
      <c r="C1518" s="2">
        <v>201324133</v>
      </c>
      <c r="D1518" s="2">
        <v>202504862</v>
      </c>
      <c r="E1518" s="2">
        <v>4</v>
      </c>
      <c r="F1518" s="2" t="s">
        <v>10086</v>
      </c>
      <c r="H1518" s="3">
        <v>5.9999999999999995E-4</v>
      </c>
      <c r="K1518" s="2" t="s">
        <v>10089</v>
      </c>
    </row>
    <row r="1519" spans="1:11" x14ac:dyDescent="0.2">
      <c r="A1519" s="2">
        <v>381</v>
      </c>
      <c r="B1519" s="2">
        <v>2</v>
      </c>
      <c r="C1519" s="2">
        <v>202504863</v>
      </c>
      <c r="D1519" s="2">
        <v>203639686</v>
      </c>
      <c r="E1519" s="2">
        <v>1</v>
      </c>
      <c r="F1519" s="2" t="s">
        <v>10086</v>
      </c>
      <c r="H1519" s="2">
        <v>1.1000000000000001E-3</v>
      </c>
      <c r="K1519" s="2" t="s">
        <v>10089</v>
      </c>
    </row>
    <row r="1520" spans="1:11" x14ac:dyDescent="0.2">
      <c r="A1520" s="2">
        <v>381</v>
      </c>
      <c r="B1520" s="2">
        <v>2</v>
      </c>
      <c r="C1520" s="2">
        <v>202504863</v>
      </c>
      <c r="D1520" s="2">
        <v>203639686</v>
      </c>
      <c r="E1520" s="2">
        <v>2</v>
      </c>
      <c r="F1520" s="2" t="s">
        <v>10086</v>
      </c>
      <c r="H1520" s="2">
        <v>2.5999999999999999E-3</v>
      </c>
      <c r="K1520" s="2" t="s">
        <v>10085</v>
      </c>
    </row>
    <row r="1521" spans="1:11" x14ac:dyDescent="0.2">
      <c r="A1521" s="2">
        <v>381</v>
      </c>
      <c r="B1521" s="2">
        <v>2</v>
      </c>
      <c r="C1521" s="2">
        <v>202504863</v>
      </c>
      <c r="D1521" s="2">
        <v>203639686</v>
      </c>
      <c r="E1521" s="2">
        <v>3</v>
      </c>
      <c r="F1521" s="2" t="s">
        <v>10086</v>
      </c>
      <c r="H1521" s="2">
        <v>1.2999999999999999E-3</v>
      </c>
      <c r="K1521" s="2" t="s">
        <v>10088</v>
      </c>
    </row>
    <row r="1522" spans="1:11" x14ac:dyDescent="0.2">
      <c r="A1522" s="2">
        <v>381</v>
      </c>
      <c r="B1522" s="2">
        <v>2</v>
      </c>
      <c r="C1522" s="2">
        <v>202504863</v>
      </c>
      <c r="D1522" s="2">
        <v>203639686</v>
      </c>
      <c r="E1522" s="2">
        <v>4</v>
      </c>
      <c r="F1522" s="2" t="s">
        <v>10086</v>
      </c>
      <c r="H1522" s="3">
        <v>5.0000000000000001E-4</v>
      </c>
      <c r="K1522" s="2" t="s">
        <v>10087</v>
      </c>
    </row>
    <row r="1523" spans="1:11" x14ac:dyDescent="0.2">
      <c r="A1523" s="2">
        <v>382</v>
      </c>
      <c r="B1523" s="2">
        <v>2</v>
      </c>
      <c r="C1523" s="2">
        <v>203639687</v>
      </c>
      <c r="D1523" s="2">
        <v>205038119</v>
      </c>
      <c r="E1523" s="2">
        <v>1</v>
      </c>
      <c r="F1523" s="2" t="s">
        <v>10086</v>
      </c>
      <c r="H1523" s="2">
        <v>1.8E-3</v>
      </c>
      <c r="K1523" s="2" t="s">
        <v>10085</v>
      </c>
    </row>
    <row r="1524" spans="1:11" x14ac:dyDescent="0.2">
      <c r="A1524" s="2">
        <v>382</v>
      </c>
      <c r="B1524" s="2">
        <v>2</v>
      </c>
      <c r="C1524" s="2">
        <v>203639687</v>
      </c>
      <c r="D1524" s="2">
        <v>205038119</v>
      </c>
      <c r="E1524" s="2">
        <v>2</v>
      </c>
      <c r="F1524" s="2" t="s">
        <v>10086</v>
      </c>
      <c r="H1524" s="2">
        <v>2.3E-3</v>
      </c>
      <c r="K1524" s="2" t="s">
        <v>10088</v>
      </c>
    </row>
    <row r="1525" spans="1:11" x14ac:dyDescent="0.2">
      <c r="A1525" s="2">
        <v>382</v>
      </c>
      <c r="B1525" s="2">
        <v>2</v>
      </c>
      <c r="C1525" s="2">
        <v>203639687</v>
      </c>
      <c r="D1525" s="2">
        <v>205038119</v>
      </c>
      <c r="E1525" s="2">
        <v>3</v>
      </c>
      <c r="F1525" s="2" t="s">
        <v>10086</v>
      </c>
      <c r="H1525" s="3">
        <v>8.0000000000000004E-4</v>
      </c>
      <c r="K1525" s="2" t="s">
        <v>10087</v>
      </c>
    </row>
    <row r="1526" spans="1:11" x14ac:dyDescent="0.2">
      <c r="A1526" s="2">
        <v>382</v>
      </c>
      <c r="B1526" s="2">
        <v>2</v>
      </c>
      <c r="C1526" s="2">
        <v>203639687</v>
      </c>
      <c r="D1526" s="2">
        <v>205038119</v>
      </c>
      <c r="E1526" s="2">
        <v>4</v>
      </c>
      <c r="F1526" s="2" t="s">
        <v>10086</v>
      </c>
      <c r="H1526" s="3">
        <v>5.0000000000000001E-4</v>
      </c>
      <c r="K1526" s="2" t="s">
        <v>10089</v>
      </c>
    </row>
    <row r="1527" spans="1:11" x14ac:dyDescent="0.2">
      <c r="A1527" s="2">
        <v>383</v>
      </c>
      <c r="B1527" s="2">
        <v>2</v>
      </c>
      <c r="C1527" s="2">
        <v>205038120</v>
      </c>
      <c r="D1527" s="2">
        <v>206821199</v>
      </c>
      <c r="E1527" s="2">
        <v>1</v>
      </c>
      <c r="F1527" s="2" t="s">
        <v>10086</v>
      </c>
      <c r="H1527" s="2">
        <v>3.7000000000000002E-3</v>
      </c>
      <c r="K1527" s="2" t="s">
        <v>10088</v>
      </c>
    </row>
    <row r="1528" spans="1:11" x14ac:dyDescent="0.2">
      <c r="A1528" s="2">
        <v>383</v>
      </c>
      <c r="B1528" s="2">
        <v>2</v>
      </c>
      <c r="C1528" s="2">
        <v>205038120</v>
      </c>
      <c r="D1528" s="2">
        <v>206821199</v>
      </c>
      <c r="E1528" s="2">
        <v>2</v>
      </c>
      <c r="F1528" s="2" t="s">
        <v>10086</v>
      </c>
      <c r="H1528" s="2">
        <v>2.5999999999999999E-3</v>
      </c>
      <c r="K1528" s="2" t="s">
        <v>10089</v>
      </c>
    </row>
    <row r="1529" spans="1:11" x14ac:dyDescent="0.2">
      <c r="A1529" s="2">
        <v>383</v>
      </c>
      <c r="B1529" s="2">
        <v>2</v>
      </c>
      <c r="C1529" s="2">
        <v>205038120</v>
      </c>
      <c r="D1529" s="2">
        <v>206821199</v>
      </c>
      <c r="E1529" s="2">
        <v>3</v>
      </c>
      <c r="F1529" s="2" t="s">
        <v>10086</v>
      </c>
      <c r="H1529" s="2">
        <v>1.4E-3</v>
      </c>
      <c r="K1529" s="2" t="s">
        <v>10087</v>
      </c>
    </row>
    <row r="1530" spans="1:11" x14ac:dyDescent="0.2">
      <c r="A1530" s="2">
        <v>383</v>
      </c>
      <c r="B1530" s="2">
        <v>2</v>
      </c>
      <c r="C1530" s="2">
        <v>205038120</v>
      </c>
      <c r="D1530" s="2">
        <v>206821199</v>
      </c>
      <c r="E1530" s="2">
        <v>4</v>
      </c>
      <c r="F1530" s="2" t="s">
        <v>10086</v>
      </c>
      <c r="H1530" s="3">
        <v>5.9999999999999995E-4</v>
      </c>
      <c r="K1530" s="2" t="s">
        <v>10085</v>
      </c>
    </row>
    <row r="1531" spans="1:11" x14ac:dyDescent="0.2">
      <c r="A1531" s="2">
        <v>384</v>
      </c>
      <c r="B1531" s="2">
        <v>2</v>
      </c>
      <c r="C1531" s="2">
        <v>206821200</v>
      </c>
      <c r="D1531" s="2">
        <v>207726594</v>
      </c>
      <c r="E1531" s="2">
        <v>1</v>
      </c>
      <c r="F1531" s="2" t="s">
        <v>10086</v>
      </c>
      <c r="H1531" s="3">
        <v>8.9999999999999998E-4</v>
      </c>
      <c r="K1531" s="2" t="s">
        <v>10085</v>
      </c>
    </row>
    <row r="1532" spans="1:11" x14ac:dyDescent="0.2">
      <c r="A1532" s="2">
        <v>384</v>
      </c>
      <c r="B1532" s="2">
        <v>2</v>
      </c>
      <c r="C1532" s="2">
        <v>206821200</v>
      </c>
      <c r="D1532" s="2">
        <v>207726594</v>
      </c>
      <c r="E1532" s="2">
        <v>2</v>
      </c>
      <c r="F1532" s="2" t="s">
        <v>10086</v>
      </c>
      <c r="H1532" s="2">
        <v>1.1999999999999999E-3</v>
      </c>
      <c r="K1532" s="2" t="s">
        <v>10087</v>
      </c>
    </row>
    <row r="1533" spans="1:11" x14ac:dyDescent="0.2">
      <c r="A1533" s="2">
        <v>384</v>
      </c>
      <c r="B1533" s="2">
        <v>2</v>
      </c>
      <c r="C1533" s="2">
        <v>206821200</v>
      </c>
      <c r="D1533" s="2">
        <v>207726594</v>
      </c>
      <c r="E1533" s="2">
        <v>3</v>
      </c>
      <c r="F1533" s="2" t="s">
        <v>10086</v>
      </c>
      <c r="H1533" s="3">
        <v>5.9999999999999995E-4</v>
      </c>
      <c r="K1533" s="2" t="s">
        <v>10088</v>
      </c>
    </row>
    <row r="1534" spans="1:11" x14ac:dyDescent="0.2">
      <c r="A1534" s="2">
        <v>384</v>
      </c>
      <c r="B1534" s="2">
        <v>2</v>
      </c>
      <c r="C1534" s="2">
        <v>206821200</v>
      </c>
      <c r="D1534" s="2">
        <v>207726594</v>
      </c>
      <c r="E1534" s="2">
        <v>4</v>
      </c>
      <c r="F1534" s="2" t="s">
        <v>10086</v>
      </c>
      <c r="H1534" s="3">
        <v>2.9999999999999997E-4</v>
      </c>
      <c r="K1534" s="2" t="s">
        <v>10089</v>
      </c>
    </row>
    <row r="1535" spans="1:11" x14ac:dyDescent="0.2">
      <c r="A1535" s="2">
        <v>385</v>
      </c>
      <c r="B1535" s="2">
        <v>2</v>
      </c>
      <c r="C1535" s="2">
        <v>207726595</v>
      </c>
      <c r="D1535" s="2">
        <v>208674588</v>
      </c>
      <c r="E1535" s="2">
        <v>1</v>
      </c>
      <c r="F1535" s="2" t="s">
        <v>10086</v>
      </c>
      <c r="H1535" s="2">
        <v>4.0000000000000001E-3</v>
      </c>
      <c r="K1535" s="2" t="s">
        <v>12324</v>
      </c>
    </row>
    <row r="1536" spans="1:11" x14ac:dyDescent="0.2">
      <c r="A1536" s="2">
        <v>385</v>
      </c>
      <c r="B1536" s="2">
        <v>2</v>
      </c>
      <c r="C1536" s="2">
        <v>207726595</v>
      </c>
      <c r="D1536" s="2">
        <v>208674588</v>
      </c>
      <c r="E1536" s="2">
        <v>2</v>
      </c>
      <c r="F1536" s="2" t="s">
        <v>10086</v>
      </c>
      <c r="H1536" s="2">
        <v>8.7099999999999997E-2</v>
      </c>
      <c r="K1536" s="2" t="s">
        <v>10087</v>
      </c>
    </row>
    <row r="1537" spans="1:11" x14ac:dyDescent="0.2">
      <c r="A1537" s="2">
        <v>385</v>
      </c>
      <c r="B1537" s="2">
        <v>2</v>
      </c>
      <c r="C1537" s="2">
        <v>207726595</v>
      </c>
      <c r="D1537" s="2">
        <v>208674588</v>
      </c>
      <c r="E1537" s="2">
        <v>3</v>
      </c>
      <c r="F1537" s="2" t="s">
        <v>10086</v>
      </c>
      <c r="H1537" s="2">
        <v>1.1999999999999999E-3</v>
      </c>
      <c r="K1537" s="2" t="s">
        <v>10089</v>
      </c>
    </row>
    <row r="1538" spans="1:11" x14ac:dyDescent="0.2">
      <c r="A1538" s="2">
        <v>385</v>
      </c>
      <c r="B1538" s="2">
        <v>2</v>
      </c>
      <c r="C1538" s="2">
        <v>207726595</v>
      </c>
      <c r="D1538" s="2">
        <v>208674588</v>
      </c>
      <c r="E1538" s="2">
        <v>4</v>
      </c>
      <c r="F1538" s="2" t="s">
        <v>10086</v>
      </c>
      <c r="H1538" s="2">
        <v>1.1000000000000001E-3</v>
      </c>
      <c r="K1538" s="2" t="s">
        <v>10085</v>
      </c>
    </row>
    <row r="1539" spans="1:11" x14ac:dyDescent="0.2">
      <c r="A1539" s="2">
        <v>386</v>
      </c>
      <c r="B1539" s="2">
        <v>2</v>
      </c>
      <c r="C1539" s="2">
        <v>208674589</v>
      </c>
      <c r="D1539" s="2">
        <v>209940230</v>
      </c>
      <c r="E1539" s="2">
        <v>1</v>
      </c>
      <c r="F1539" s="2" t="s">
        <v>10086</v>
      </c>
      <c r="H1539" s="2">
        <v>1.9099999999999999E-2</v>
      </c>
      <c r="K1539" s="2" t="s">
        <v>12324</v>
      </c>
    </row>
    <row r="1540" spans="1:11" x14ac:dyDescent="0.2">
      <c r="A1540" s="2">
        <v>386</v>
      </c>
      <c r="B1540" s="2">
        <v>2</v>
      </c>
      <c r="C1540" s="2">
        <v>208674589</v>
      </c>
      <c r="D1540" s="2">
        <v>209940230</v>
      </c>
      <c r="E1540" s="2">
        <v>2</v>
      </c>
      <c r="F1540" s="2" t="s">
        <v>10086</v>
      </c>
      <c r="H1540" s="2">
        <v>4.1999999999999997E-3</v>
      </c>
      <c r="K1540" s="2" t="s">
        <v>10087</v>
      </c>
    </row>
    <row r="1541" spans="1:11" x14ac:dyDescent="0.2">
      <c r="A1541" s="2">
        <v>386</v>
      </c>
      <c r="B1541" s="2">
        <v>2</v>
      </c>
      <c r="C1541" s="2">
        <v>208674589</v>
      </c>
      <c r="D1541" s="2">
        <v>209940230</v>
      </c>
      <c r="E1541" s="2">
        <v>3</v>
      </c>
      <c r="F1541" s="2" t="s">
        <v>10086</v>
      </c>
      <c r="H1541" s="2">
        <v>3.0000000000000001E-3</v>
      </c>
      <c r="K1541" s="2" t="s">
        <v>10088</v>
      </c>
    </row>
    <row r="1542" spans="1:11" x14ac:dyDescent="0.2">
      <c r="A1542" s="2">
        <v>386</v>
      </c>
      <c r="B1542" s="2">
        <v>2</v>
      </c>
      <c r="C1542" s="2">
        <v>208674589</v>
      </c>
      <c r="D1542" s="2">
        <v>209940230</v>
      </c>
      <c r="E1542" s="2">
        <v>4</v>
      </c>
      <c r="F1542" s="2" t="s">
        <v>10086</v>
      </c>
      <c r="H1542" s="2">
        <v>1E-3</v>
      </c>
      <c r="K1542" s="2" t="s">
        <v>10085</v>
      </c>
    </row>
    <row r="1543" spans="1:11" x14ac:dyDescent="0.2">
      <c r="A1543" s="2">
        <v>387</v>
      </c>
      <c r="B1543" s="2">
        <v>2</v>
      </c>
      <c r="C1543" s="2">
        <v>209940231</v>
      </c>
      <c r="D1543" s="2">
        <v>210842457</v>
      </c>
      <c r="E1543" s="2">
        <v>1</v>
      </c>
      <c r="F1543" s="2" t="s">
        <v>10086</v>
      </c>
      <c r="H1543" s="2">
        <v>4.8999999999999998E-3</v>
      </c>
      <c r="K1543" s="2" t="s">
        <v>10087</v>
      </c>
    </row>
    <row r="1544" spans="1:11" x14ac:dyDescent="0.2">
      <c r="A1544" s="2">
        <v>387</v>
      </c>
      <c r="B1544" s="2">
        <v>2</v>
      </c>
      <c r="C1544" s="2">
        <v>209940231</v>
      </c>
      <c r="D1544" s="2">
        <v>210842457</v>
      </c>
      <c r="E1544" s="2">
        <v>2</v>
      </c>
      <c r="F1544" s="2" t="s">
        <v>10086</v>
      </c>
      <c r="H1544" s="2">
        <v>4.0000000000000001E-3</v>
      </c>
      <c r="K1544" s="2" t="s">
        <v>10085</v>
      </c>
    </row>
    <row r="1545" spans="1:11" x14ac:dyDescent="0.2">
      <c r="A1545" s="2">
        <v>387</v>
      </c>
      <c r="B1545" s="2">
        <v>2</v>
      </c>
      <c r="C1545" s="2">
        <v>209940231</v>
      </c>
      <c r="D1545" s="2">
        <v>210842457</v>
      </c>
      <c r="E1545" s="2">
        <v>3</v>
      </c>
      <c r="F1545" s="2" t="s">
        <v>10086</v>
      </c>
      <c r="H1545" s="2">
        <v>1.1000000000000001E-3</v>
      </c>
      <c r="K1545" s="2" t="s">
        <v>10088</v>
      </c>
    </row>
    <row r="1546" spans="1:11" x14ac:dyDescent="0.2">
      <c r="A1546" s="2">
        <v>387</v>
      </c>
      <c r="B1546" s="2">
        <v>2</v>
      </c>
      <c r="C1546" s="2">
        <v>209940231</v>
      </c>
      <c r="D1546" s="2">
        <v>210842457</v>
      </c>
      <c r="E1546" s="2">
        <v>4</v>
      </c>
      <c r="F1546" s="2" t="s">
        <v>10086</v>
      </c>
      <c r="H1546" s="3">
        <v>4.0000000000000002E-4</v>
      </c>
      <c r="K1546" s="2" t="s">
        <v>10089</v>
      </c>
    </row>
    <row r="1547" spans="1:11" x14ac:dyDescent="0.2">
      <c r="A1547" s="2">
        <v>388</v>
      </c>
      <c r="B1547" s="2">
        <v>2</v>
      </c>
      <c r="C1547" s="2">
        <v>210842458</v>
      </c>
      <c r="D1547" s="2">
        <v>212520453</v>
      </c>
      <c r="E1547" s="2">
        <v>1</v>
      </c>
      <c r="F1547" s="2" t="s">
        <v>10086</v>
      </c>
      <c r="H1547" s="2">
        <v>1.1999999999999999E-3</v>
      </c>
      <c r="K1547" s="2" t="s">
        <v>10087</v>
      </c>
    </row>
    <row r="1548" spans="1:11" x14ac:dyDescent="0.2">
      <c r="A1548" s="2">
        <v>388</v>
      </c>
      <c r="B1548" s="2">
        <v>2</v>
      </c>
      <c r="C1548" s="2">
        <v>210842458</v>
      </c>
      <c r="D1548" s="2">
        <v>212520453</v>
      </c>
      <c r="E1548" s="2">
        <v>2</v>
      </c>
      <c r="F1548" s="2" t="s">
        <v>10086</v>
      </c>
      <c r="H1548" s="2">
        <v>1.1000000000000001E-3</v>
      </c>
      <c r="K1548" s="2" t="s">
        <v>10085</v>
      </c>
    </row>
    <row r="1549" spans="1:11" x14ac:dyDescent="0.2">
      <c r="A1549" s="2">
        <v>388</v>
      </c>
      <c r="B1549" s="2">
        <v>2</v>
      </c>
      <c r="C1549" s="2">
        <v>210842458</v>
      </c>
      <c r="D1549" s="2">
        <v>212520453</v>
      </c>
      <c r="E1549" s="2">
        <v>3</v>
      </c>
      <c r="F1549" s="2" t="s">
        <v>10086</v>
      </c>
      <c r="H1549" s="3">
        <v>8.9999999999999998E-4</v>
      </c>
      <c r="K1549" s="2" t="s">
        <v>10089</v>
      </c>
    </row>
    <row r="1550" spans="1:11" x14ac:dyDescent="0.2">
      <c r="A1550" s="2">
        <v>388</v>
      </c>
      <c r="B1550" s="2">
        <v>2</v>
      </c>
      <c r="C1550" s="2">
        <v>210842458</v>
      </c>
      <c r="D1550" s="2">
        <v>212520453</v>
      </c>
      <c r="E1550" s="2">
        <v>4</v>
      </c>
      <c r="F1550" s="2" t="s">
        <v>10086</v>
      </c>
      <c r="H1550" s="3">
        <v>6.9999999999999999E-4</v>
      </c>
      <c r="K1550" s="2" t="s">
        <v>10088</v>
      </c>
    </row>
    <row r="1551" spans="1:11" x14ac:dyDescent="0.2">
      <c r="A1551" s="2">
        <v>389</v>
      </c>
      <c r="B1551" s="2">
        <v>2</v>
      </c>
      <c r="C1551" s="2">
        <v>212520454</v>
      </c>
      <c r="D1551" s="2">
        <v>213194362</v>
      </c>
      <c r="E1551" s="2">
        <v>1</v>
      </c>
      <c r="F1551" s="2" t="s">
        <v>10086</v>
      </c>
      <c r="H1551" s="2">
        <v>1E-3</v>
      </c>
      <c r="K1551" s="2" t="s">
        <v>10087</v>
      </c>
    </row>
    <row r="1552" spans="1:11" x14ac:dyDescent="0.2">
      <c r="A1552" s="2">
        <v>389</v>
      </c>
      <c r="B1552" s="2">
        <v>2</v>
      </c>
      <c r="C1552" s="2">
        <v>212520454</v>
      </c>
      <c r="D1552" s="2">
        <v>213194362</v>
      </c>
      <c r="E1552" s="2">
        <v>2</v>
      </c>
      <c r="F1552" s="2" t="s">
        <v>10086</v>
      </c>
      <c r="H1552" s="3">
        <v>8.0000000000000004E-4</v>
      </c>
      <c r="K1552" s="2" t="s">
        <v>10085</v>
      </c>
    </row>
    <row r="1553" spans="1:11" x14ac:dyDescent="0.2">
      <c r="A1553" s="2">
        <v>389</v>
      </c>
      <c r="B1553" s="2">
        <v>2</v>
      </c>
      <c r="C1553" s="2">
        <v>212520454</v>
      </c>
      <c r="D1553" s="2">
        <v>213194362</v>
      </c>
      <c r="E1553" s="2">
        <v>3</v>
      </c>
      <c r="F1553" s="2" t="s">
        <v>10086</v>
      </c>
      <c r="H1553" s="3">
        <v>5.9999999999999995E-4</v>
      </c>
      <c r="K1553" s="2" t="s">
        <v>10089</v>
      </c>
    </row>
    <row r="1554" spans="1:11" x14ac:dyDescent="0.2">
      <c r="A1554" s="2">
        <v>389</v>
      </c>
      <c r="B1554" s="2">
        <v>2</v>
      </c>
      <c r="C1554" s="2">
        <v>212520454</v>
      </c>
      <c r="D1554" s="2">
        <v>213194362</v>
      </c>
      <c r="E1554" s="2">
        <v>4</v>
      </c>
      <c r="F1554" s="2" t="s">
        <v>10086</v>
      </c>
      <c r="H1554" s="3">
        <v>2.9999999999999997E-4</v>
      </c>
      <c r="K1554" s="2" t="s">
        <v>10088</v>
      </c>
    </row>
    <row r="1555" spans="1:11" x14ac:dyDescent="0.2">
      <c r="A1555" s="2">
        <v>390</v>
      </c>
      <c r="B1555" s="2">
        <v>2</v>
      </c>
      <c r="C1555" s="2">
        <v>213194363</v>
      </c>
      <c r="D1555" s="2">
        <v>214044566</v>
      </c>
      <c r="E1555" s="2">
        <v>1</v>
      </c>
      <c r="F1555" s="2" t="s">
        <v>10086</v>
      </c>
      <c r="H1555" s="2">
        <v>6.8999999999999999E-3</v>
      </c>
      <c r="K1555" s="2" t="s">
        <v>10089</v>
      </c>
    </row>
    <row r="1556" spans="1:11" x14ac:dyDescent="0.2">
      <c r="A1556" s="2">
        <v>390</v>
      </c>
      <c r="B1556" s="2">
        <v>2</v>
      </c>
      <c r="C1556" s="2">
        <v>213194363</v>
      </c>
      <c r="D1556" s="2">
        <v>214044566</v>
      </c>
      <c r="E1556" s="2">
        <v>2</v>
      </c>
      <c r="F1556" s="2" t="s">
        <v>10086</v>
      </c>
      <c r="H1556" s="2">
        <v>4.1000000000000003E-3</v>
      </c>
      <c r="K1556" s="2" t="s">
        <v>10087</v>
      </c>
    </row>
    <row r="1557" spans="1:11" x14ac:dyDescent="0.2">
      <c r="A1557" s="2">
        <v>390</v>
      </c>
      <c r="B1557" s="2">
        <v>2</v>
      </c>
      <c r="C1557" s="2">
        <v>213194363</v>
      </c>
      <c r="D1557" s="2">
        <v>214044566</v>
      </c>
      <c r="E1557" s="2">
        <v>3</v>
      </c>
      <c r="F1557" s="2" t="s">
        <v>10086</v>
      </c>
      <c r="H1557" s="3">
        <v>8.9999999999999998E-4</v>
      </c>
      <c r="K1557" s="2" t="s">
        <v>10088</v>
      </c>
    </row>
    <row r="1558" spans="1:11" x14ac:dyDescent="0.2">
      <c r="A1558" s="2">
        <v>390</v>
      </c>
      <c r="B1558" s="2">
        <v>2</v>
      </c>
      <c r="C1558" s="2">
        <v>213194363</v>
      </c>
      <c r="D1558" s="2">
        <v>214044566</v>
      </c>
      <c r="E1558" s="2">
        <v>4</v>
      </c>
      <c r="F1558" s="2" t="s">
        <v>10086</v>
      </c>
      <c r="H1558" s="3">
        <v>4.0000000000000002E-4</v>
      </c>
      <c r="K1558" s="2" t="s">
        <v>10085</v>
      </c>
    </row>
    <row r="1559" spans="1:11" x14ac:dyDescent="0.2">
      <c r="A1559" s="2">
        <v>391</v>
      </c>
      <c r="B1559" s="2">
        <v>2</v>
      </c>
      <c r="C1559" s="2">
        <v>214044567</v>
      </c>
      <c r="D1559" s="2">
        <v>215002484</v>
      </c>
      <c r="E1559" s="2">
        <v>1</v>
      </c>
      <c r="F1559" s="2" t="s">
        <v>10086</v>
      </c>
      <c r="H1559" s="2">
        <v>1.6000000000000001E-3</v>
      </c>
      <c r="K1559" s="2" t="s">
        <v>10085</v>
      </c>
    </row>
    <row r="1560" spans="1:11" x14ac:dyDescent="0.2">
      <c r="A1560" s="2">
        <v>391</v>
      </c>
      <c r="B1560" s="2">
        <v>2</v>
      </c>
      <c r="C1560" s="2">
        <v>214044567</v>
      </c>
      <c r="D1560" s="2">
        <v>215002484</v>
      </c>
      <c r="E1560" s="2">
        <v>2</v>
      </c>
      <c r="F1560" s="2" t="s">
        <v>10086</v>
      </c>
      <c r="H1560" s="3">
        <v>8.0000000000000004E-4</v>
      </c>
      <c r="K1560" s="2" t="s">
        <v>10088</v>
      </c>
    </row>
    <row r="1561" spans="1:11" x14ac:dyDescent="0.2">
      <c r="A1561" s="2">
        <v>391</v>
      </c>
      <c r="B1561" s="2">
        <v>2</v>
      </c>
      <c r="C1561" s="2">
        <v>214044567</v>
      </c>
      <c r="D1561" s="2">
        <v>215002484</v>
      </c>
      <c r="E1561" s="2">
        <v>3</v>
      </c>
      <c r="F1561" s="2" t="s">
        <v>10086</v>
      </c>
      <c r="H1561" s="3">
        <v>5.9999999999999995E-4</v>
      </c>
      <c r="K1561" s="2" t="s">
        <v>10087</v>
      </c>
    </row>
    <row r="1562" spans="1:11" x14ac:dyDescent="0.2">
      <c r="A1562" s="2">
        <v>391</v>
      </c>
      <c r="B1562" s="2">
        <v>2</v>
      </c>
      <c r="C1562" s="2">
        <v>214044567</v>
      </c>
      <c r="D1562" s="2">
        <v>215002484</v>
      </c>
      <c r="E1562" s="2">
        <v>4</v>
      </c>
      <c r="F1562" s="2" t="s">
        <v>10086</v>
      </c>
      <c r="H1562" s="3">
        <v>4.0000000000000002E-4</v>
      </c>
      <c r="K1562" s="2" t="s">
        <v>10089</v>
      </c>
    </row>
    <row r="1563" spans="1:11" x14ac:dyDescent="0.2">
      <c r="A1563" s="2">
        <v>392</v>
      </c>
      <c r="B1563" s="2">
        <v>2</v>
      </c>
      <c r="C1563" s="2">
        <v>215002485</v>
      </c>
      <c r="D1563" s="2">
        <v>215899570</v>
      </c>
      <c r="E1563" s="2">
        <v>1</v>
      </c>
      <c r="F1563" s="2" t="s">
        <v>10086</v>
      </c>
      <c r="H1563" s="2">
        <v>1.4E-3</v>
      </c>
      <c r="K1563" s="2" t="s">
        <v>12324</v>
      </c>
    </row>
    <row r="1564" spans="1:11" x14ac:dyDescent="0.2">
      <c r="A1564" s="2">
        <v>392</v>
      </c>
      <c r="B1564" s="2">
        <v>2</v>
      </c>
      <c r="C1564" s="2">
        <v>215002485</v>
      </c>
      <c r="D1564" s="2">
        <v>215899570</v>
      </c>
      <c r="E1564" s="2">
        <v>2</v>
      </c>
      <c r="F1564" s="2" t="s">
        <v>10086</v>
      </c>
      <c r="H1564" s="2">
        <v>1.4E-3</v>
      </c>
      <c r="K1564" s="2" t="s">
        <v>10088</v>
      </c>
    </row>
    <row r="1565" spans="1:11" x14ac:dyDescent="0.2">
      <c r="A1565" s="2">
        <v>392</v>
      </c>
      <c r="B1565" s="2">
        <v>2</v>
      </c>
      <c r="C1565" s="2">
        <v>215002485</v>
      </c>
      <c r="D1565" s="2">
        <v>215899570</v>
      </c>
      <c r="E1565" s="2">
        <v>3</v>
      </c>
      <c r="F1565" s="2" t="s">
        <v>10086</v>
      </c>
      <c r="H1565" s="2">
        <v>1.1000000000000001E-3</v>
      </c>
      <c r="K1565" s="2" t="s">
        <v>10085</v>
      </c>
    </row>
    <row r="1566" spans="1:11" x14ac:dyDescent="0.2">
      <c r="A1566" s="2">
        <v>392</v>
      </c>
      <c r="B1566" s="2">
        <v>2</v>
      </c>
      <c r="C1566" s="2">
        <v>215002485</v>
      </c>
      <c r="D1566" s="2">
        <v>215899570</v>
      </c>
      <c r="E1566" s="2">
        <v>4</v>
      </c>
      <c r="F1566" s="2" t="s">
        <v>10086</v>
      </c>
      <c r="H1566" s="3">
        <v>8.0000000000000004E-4</v>
      </c>
      <c r="K1566" s="2" t="s">
        <v>10089</v>
      </c>
    </row>
    <row r="1567" spans="1:11" x14ac:dyDescent="0.2">
      <c r="A1567" s="2">
        <v>393</v>
      </c>
      <c r="B1567" s="2">
        <v>2</v>
      </c>
      <c r="C1567" s="2">
        <v>215899571</v>
      </c>
      <c r="D1567" s="2">
        <v>217566011</v>
      </c>
      <c r="E1567" s="2">
        <v>1</v>
      </c>
      <c r="F1567" s="2" t="s">
        <v>10086</v>
      </c>
      <c r="H1567" s="2">
        <v>2.3E-3</v>
      </c>
      <c r="K1567" s="2" t="s">
        <v>10087</v>
      </c>
    </row>
    <row r="1568" spans="1:11" x14ac:dyDescent="0.2">
      <c r="A1568" s="2">
        <v>393</v>
      </c>
      <c r="B1568" s="2">
        <v>2</v>
      </c>
      <c r="C1568" s="2">
        <v>215899571</v>
      </c>
      <c r="D1568" s="2">
        <v>217566011</v>
      </c>
      <c r="E1568" s="2">
        <v>2</v>
      </c>
      <c r="F1568" s="2" t="s">
        <v>10086</v>
      </c>
      <c r="H1568" s="2">
        <v>2.5999999999999999E-3</v>
      </c>
      <c r="K1568" s="2" t="s">
        <v>10089</v>
      </c>
    </row>
    <row r="1569" spans="1:11" x14ac:dyDescent="0.2">
      <c r="A1569" s="2">
        <v>393</v>
      </c>
      <c r="B1569" s="2">
        <v>2</v>
      </c>
      <c r="C1569" s="2">
        <v>215899571</v>
      </c>
      <c r="D1569" s="2">
        <v>217566011</v>
      </c>
      <c r="E1569" s="2">
        <v>3</v>
      </c>
      <c r="F1569" s="2" t="s">
        <v>10086</v>
      </c>
      <c r="H1569" s="2">
        <v>1.9E-3</v>
      </c>
      <c r="K1569" s="2" t="s">
        <v>12324</v>
      </c>
    </row>
    <row r="1570" spans="1:11" x14ac:dyDescent="0.2">
      <c r="A1570" s="2">
        <v>393</v>
      </c>
      <c r="B1570" s="2">
        <v>2</v>
      </c>
      <c r="C1570" s="2">
        <v>215899571</v>
      </c>
      <c r="D1570" s="2">
        <v>217566011</v>
      </c>
      <c r="E1570" s="2">
        <v>4</v>
      </c>
      <c r="F1570" s="2" t="s">
        <v>10086</v>
      </c>
      <c r="H1570" s="2">
        <v>1.2999999999999999E-3</v>
      </c>
      <c r="K1570" s="2" t="s">
        <v>10085</v>
      </c>
    </row>
    <row r="1571" spans="1:11" x14ac:dyDescent="0.2">
      <c r="A1571" s="2">
        <v>394</v>
      </c>
      <c r="B1571" s="2">
        <v>2</v>
      </c>
      <c r="C1571" s="2">
        <v>217566012</v>
      </c>
      <c r="D1571" s="2">
        <v>218396258</v>
      </c>
      <c r="E1571" s="2">
        <v>1</v>
      </c>
      <c r="F1571" s="2" t="s">
        <v>10086</v>
      </c>
      <c r="H1571" s="2">
        <v>2.3800000000000002E-2</v>
      </c>
      <c r="K1571" s="2" t="s">
        <v>10088</v>
      </c>
    </row>
    <row r="1572" spans="1:11" x14ac:dyDescent="0.2">
      <c r="A1572" s="2">
        <v>394</v>
      </c>
      <c r="B1572" s="2">
        <v>2</v>
      </c>
      <c r="C1572" s="2">
        <v>217566012</v>
      </c>
      <c r="D1572" s="2">
        <v>218396258</v>
      </c>
      <c r="E1572" s="2">
        <v>2</v>
      </c>
      <c r="F1572" s="2" t="s">
        <v>10086</v>
      </c>
      <c r="H1572" s="2">
        <v>1.5E-3</v>
      </c>
      <c r="K1572" s="2" t="s">
        <v>12324</v>
      </c>
    </row>
    <row r="1573" spans="1:11" x14ac:dyDescent="0.2">
      <c r="A1573" s="2">
        <v>394</v>
      </c>
      <c r="B1573" s="2">
        <v>2</v>
      </c>
      <c r="C1573" s="2">
        <v>217566012</v>
      </c>
      <c r="D1573" s="2">
        <v>218396258</v>
      </c>
      <c r="E1573" s="2">
        <v>3</v>
      </c>
      <c r="F1573" s="2" t="s">
        <v>10086</v>
      </c>
      <c r="H1573" s="2">
        <v>1.6000000000000001E-3</v>
      </c>
      <c r="K1573" s="2" t="s">
        <v>10085</v>
      </c>
    </row>
    <row r="1574" spans="1:11" x14ac:dyDescent="0.2">
      <c r="A1574" s="2">
        <v>394</v>
      </c>
      <c r="B1574" s="2">
        <v>2</v>
      </c>
      <c r="C1574" s="2">
        <v>217566012</v>
      </c>
      <c r="D1574" s="2">
        <v>218396258</v>
      </c>
      <c r="E1574" s="2">
        <v>4</v>
      </c>
      <c r="F1574" s="2" t="s">
        <v>10086</v>
      </c>
      <c r="H1574" s="2">
        <v>1E-3</v>
      </c>
      <c r="K1574" s="2" t="s">
        <v>10089</v>
      </c>
    </row>
    <row r="1575" spans="1:11" x14ac:dyDescent="0.2">
      <c r="A1575" s="2">
        <v>395</v>
      </c>
      <c r="B1575" s="2">
        <v>2</v>
      </c>
      <c r="C1575" s="2">
        <v>218396259</v>
      </c>
      <c r="D1575" s="2">
        <v>219678783</v>
      </c>
      <c r="E1575" s="2">
        <v>1</v>
      </c>
      <c r="F1575" s="2" t="s">
        <v>10086</v>
      </c>
      <c r="H1575" s="2">
        <v>1.6899999999999998E-2</v>
      </c>
      <c r="K1575" s="2" t="s">
        <v>10087</v>
      </c>
    </row>
    <row r="1576" spans="1:11" x14ac:dyDescent="0.2">
      <c r="A1576" s="2">
        <v>395</v>
      </c>
      <c r="B1576" s="2">
        <v>2</v>
      </c>
      <c r="C1576" s="2">
        <v>218396259</v>
      </c>
      <c r="D1576" s="2">
        <v>219678783</v>
      </c>
      <c r="E1576" s="2">
        <v>2</v>
      </c>
      <c r="F1576" s="2" t="s">
        <v>10086</v>
      </c>
      <c r="H1576" s="2">
        <v>1.2999999999999999E-3</v>
      </c>
      <c r="K1576" s="2" t="s">
        <v>10089</v>
      </c>
    </row>
    <row r="1577" spans="1:11" x14ac:dyDescent="0.2">
      <c r="A1577" s="2">
        <v>395</v>
      </c>
      <c r="B1577" s="2">
        <v>2</v>
      </c>
      <c r="C1577" s="2">
        <v>218396259</v>
      </c>
      <c r="D1577" s="2">
        <v>219678783</v>
      </c>
      <c r="E1577" s="2">
        <v>3</v>
      </c>
      <c r="F1577" s="2" t="s">
        <v>10086</v>
      </c>
      <c r="H1577" s="3">
        <v>8.9999999999999998E-4</v>
      </c>
      <c r="K1577" s="2" t="s">
        <v>12324</v>
      </c>
    </row>
    <row r="1578" spans="1:11" x14ac:dyDescent="0.2">
      <c r="A1578" s="2">
        <v>395</v>
      </c>
      <c r="B1578" s="2">
        <v>2</v>
      </c>
      <c r="C1578" s="2">
        <v>218396259</v>
      </c>
      <c r="D1578" s="2">
        <v>219678783</v>
      </c>
      <c r="E1578" s="2">
        <v>4</v>
      </c>
      <c r="F1578" s="2" t="s">
        <v>10086</v>
      </c>
      <c r="H1578" s="3">
        <v>6.9999999999999999E-4</v>
      </c>
      <c r="K1578" s="2" t="s">
        <v>10085</v>
      </c>
    </row>
    <row r="1579" spans="1:11" x14ac:dyDescent="0.2">
      <c r="A1579" s="2">
        <v>396</v>
      </c>
      <c r="B1579" s="2">
        <v>2</v>
      </c>
      <c r="C1579" s="2">
        <v>219678784</v>
      </c>
      <c r="D1579" s="2">
        <v>220771552</v>
      </c>
      <c r="E1579" s="2">
        <v>1</v>
      </c>
      <c r="F1579" s="2" t="s">
        <v>10086</v>
      </c>
      <c r="H1579" s="2">
        <v>2.0999999999999999E-3</v>
      </c>
      <c r="K1579" s="2" t="s">
        <v>10085</v>
      </c>
    </row>
    <row r="1580" spans="1:11" x14ac:dyDescent="0.2">
      <c r="A1580" s="2">
        <v>396</v>
      </c>
      <c r="B1580" s="2">
        <v>2</v>
      </c>
      <c r="C1580" s="2">
        <v>219678784</v>
      </c>
      <c r="D1580" s="2">
        <v>220771552</v>
      </c>
      <c r="E1580" s="2">
        <v>2</v>
      </c>
      <c r="F1580" s="2" t="s">
        <v>10086</v>
      </c>
      <c r="H1580" s="2">
        <v>1.4E-3</v>
      </c>
      <c r="K1580" s="2" t="s">
        <v>10089</v>
      </c>
    </row>
    <row r="1581" spans="1:11" x14ac:dyDescent="0.2">
      <c r="A1581" s="2">
        <v>396</v>
      </c>
      <c r="B1581" s="2">
        <v>2</v>
      </c>
      <c r="C1581" s="2">
        <v>219678784</v>
      </c>
      <c r="D1581" s="2">
        <v>220771552</v>
      </c>
      <c r="E1581" s="2">
        <v>3</v>
      </c>
      <c r="F1581" s="2" t="s">
        <v>10086</v>
      </c>
      <c r="H1581" s="2">
        <v>1.1999999999999999E-3</v>
      </c>
      <c r="K1581" s="2" t="s">
        <v>10087</v>
      </c>
    </row>
    <row r="1582" spans="1:11" x14ac:dyDescent="0.2">
      <c r="A1582" s="2">
        <v>396</v>
      </c>
      <c r="B1582" s="2">
        <v>2</v>
      </c>
      <c r="C1582" s="2">
        <v>219678784</v>
      </c>
      <c r="D1582" s="2">
        <v>220771552</v>
      </c>
      <c r="E1582" s="2">
        <v>4</v>
      </c>
      <c r="F1582" s="2" t="s">
        <v>10086</v>
      </c>
      <c r="H1582" s="3">
        <v>4.0000000000000002E-4</v>
      </c>
      <c r="K1582" s="2" t="s">
        <v>10088</v>
      </c>
    </row>
    <row r="1583" spans="1:11" x14ac:dyDescent="0.2">
      <c r="A1583" s="2">
        <v>397</v>
      </c>
      <c r="B1583" s="2">
        <v>2</v>
      </c>
      <c r="C1583" s="2">
        <v>220771553</v>
      </c>
      <c r="D1583" s="2">
        <v>221445191</v>
      </c>
      <c r="E1583" s="2">
        <v>1</v>
      </c>
      <c r="F1583" s="2" t="s">
        <v>10086</v>
      </c>
      <c r="H1583" s="2">
        <v>1.8700000000000001E-2</v>
      </c>
      <c r="K1583" s="2" t="s">
        <v>10089</v>
      </c>
    </row>
    <row r="1584" spans="1:11" x14ac:dyDescent="0.2">
      <c r="A1584" s="2">
        <v>397</v>
      </c>
      <c r="B1584" s="2">
        <v>2</v>
      </c>
      <c r="C1584" s="2">
        <v>220771553</v>
      </c>
      <c r="D1584" s="2">
        <v>221445191</v>
      </c>
      <c r="E1584" s="2">
        <v>2</v>
      </c>
      <c r="F1584" s="2" t="s">
        <v>10086</v>
      </c>
      <c r="H1584" s="2">
        <v>1E-3</v>
      </c>
      <c r="K1584" s="2" t="s">
        <v>10087</v>
      </c>
    </row>
    <row r="1585" spans="1:11" x14ac:dyDescent="0.2">
      <c r="A1585" s="2">
        <v>397</v>
      </c>
      <c r="B1585" s="2">
        <v>2</v>
      </c>
      <c r="C1585" s="2">
        <v>220771553</v>
      </c>
      <c r="D1585" s="2">
        <v>221445191</v>
      </c>
      <c r="E1585" s="2">
        <v>3</v>
      </c>
      <c r="F1585" s="2" t="s">
        <v>10086</v>
      </c>
      <c r="H1585" s="3">
        <v>8.9999999999999998E-4</v>
      </c>
      <c r="K1585" s="2" t="s">
        <v>10088</v>
      </c>
    </row>
    <row r="1586" spans="1:11" x14ac:dyDescent="0.2">
      <c r="A1586" s="2">
        <v>397</v>
      </c>
      <c r="B1586" s="2">
        <v>2</v>
      </c>
      <c r="C1586" s="2">
        <v>220771553</v>
      </c>
      <c r="D1586" s="2">
        <v>221445191</v>
      </c>
      <c r="E1586" s="2">
        <v>4</v>
      </c>
      <c r="F1586" s="2" t="s">
        <v>10086</v>
      </c>
      <c r="H1586" s="3">
        <v>4.0000000000000002E-4</v>
      </c>
      <c r="K1586" s="2" t="s">
        <v>10085</v>
      </c>
    </row>
    <row r="1587" spans="1:11" x14ac:dyDescent="0.2">
      <c r="A1587" s="2">
        <v>398</v>
      </c>
      <c r="B1587" s="2">
        <v>2</v>
      </c>
      <c r="C1587" s="2">
        <v>221445192</v>
      </c>
      <c r="D1587" s="2">
        <v>222327713</v>
      </c>
      <c r="E1587" s="2">
        <v>1</v>
      </c>
      <c r="F1587" s="2" t="s">
        <v>10086</v>
      </c>
      <c r="H1587" s="2">
        <v>3.7000000000000002E-3</v>
      </c>
      <c r="K1587" s="2" t="s">
        <v>10085</v>
      </c>
    </row>
    <row r="1588" spans="1:11" x14ac:dyDescent="0.2">
      <c r="A1588" s="2">
        <v>398</v>
      </c>
      <c r="B1588" s="2">
        <v>2</v>
      </c>
      <c r="C1588" s="2">
        <v>221445192</v>
      </c>
      <c r="D1588" s="2">
        <v>222327713</v>
      </c>
      <c r="E1588" s="2">
        <v>2</v>
      </c>
      <c r="F1588" s="2" t="s">
        <v>10086</v>
      </c>
      <c r="H1588" s="2">
        <v>1.5E-3</v>
      </c>
      <c r="K1588" s="2" t="s">
        <v>10089</v>
      </c>
    </row>
    <row r="1589" spans="1:11" x14ac:dyDescent="0.2">
      <c r="A1589" s="2">
        <v>398</v>
      </c>
      <c r="B1589" s="2">
        <v>2</v>
      </c>
      <c r="C1589" s="2">
        <v>221445192</v>
      </c>
      <c r="D1589" s="2">
        <v>222327713</v>
      </c>
      <c r="E1589" s="2">
        <v>3</v>
      </c>
      <c r="F1589" s="2" t="s">
        <v>10086</v>
      </c>
      <c r="H1589" s="2">
        <v>1.2999999999999999E-3</v>
      </c>
      <c r="K1589" s="2" t="s">
        <v>12324</v>
      </c>
    </row>
    <row r="1590" spans="1:11" x14ac:dyDescent="0.2">
      <c r="A1590" s="2">
        <v>398</v>
      </c>
      <c r="B1590" s="2">
        <v>2</v>
      </c>
      <c r="C1590" s="2">
        <v>221445192</v>
      </c>
      <c r="D1590" s="2">
        <v>222327713</v>
      </c>
      <c r="E1590" s="2">
        <v>4</v>
      </c>
      <c r="F1590" s="2" t="s">
        <v>10086</v>
      </c>
      <c r="H1590" s="3">
        <v>8.0000000000000004E-4</v>
      </c>
      <c r="K1590" s="2" t="s">
        <v>10087</v>
      </c>
    </row>
    <row r="1591" spans="1:11" x14ac:dyDescent="0.2">
      <c r="A1591" s="2">
        <v>399</v>
      </c>
      <c r="B1591" s="2">
        <v>2</v>
      </c>
      <c r="C1591" s="2">
        <v>222327714</v>
      </c>
      <c r="D1591" s="2">
        <v>223353965</v>
      </c>
      <c r="E1591" s="2">
        <v>1</v>
      </c>
      <c r="F1591" s="2" t="s">
        <v>10086</v>
      </c>
      <c r="H1591" s="2">
        <v>1.8E-3</v>
      </c>
      <c r="K1591" s="2" t="s">
        <v>10089</v>
      </c>
    </row>
    <row r="1592" spans="1:11" x14ac:dyDescent="0.2">
      <c r="A1592" s="2">
        <v>399</v>
      </c>
      <c r="B1592" s="2">
        <v>2</v>
      </c>
      <c r="C1592" s="2">
        <v>222327714</v>
      </c>
      <c r="D1592" s="2">
        <v>223353965</v>
      </c>
      <c r="E1592" s="2">
        <v>2</v>
      </c>
      <c r="F1592" s="2" t="s">
        <v>10086</v>
      </c>
      <c r="H1592" s="2">
        <v>1.5E-3</v>
      </c>
      <c r="K1592" s="2" t="s">
        <v>10088</v>
      </c>
    </row>
    <row r="1593" spans="1:11" x14ac:dyDescent="0.2">
      <c r="A1593" s="2">
        <v>399</v>
      </c>
      <c r="B1593" s="2">
        <v>2</v>
      </c>
      <c r="C1593" s="2">
        <v>222327714</v>
      </c>
      <c r="D1593" s="2">
        <v>223353965</v>
      </c>
      <c r="E1593" s="2">
        <v>3</v>
      </c>
      <c r="F1593" s="2" t="s">
        <v>10086</v>
      </c>
      <c r="H1593" s="3">
        <v>8.9999999999999998E-4</v>
      </c>
      <c r="K1593" s="2" t="s">
        <v>10085</v>
      </c>
    </row>
    <row r="1594" spans="1:11" x14ac:dyDescent="0.2">
      <c r="A1594" s="2">
        <v>399</v>
      </c>
      <c r="B1594" s="2">
        <v>2</v>
      </c>
      <c r="C1594" s="2">
        <v>222327714</v>
      </c>
      <c r="D1594" s="2">
        <v>223353965</v>
      </c>
      <c r="E1594" s="2">
        <v>4</v>
      </c>
      <c r="F1594" s="2" t="s">
        <v>10086</v>
      </c>
      <c r="H1594" s="3">
        <v>6.9999999999999999E-4</v>
      </c>
      <c r="K1594" s="2" t="s">
        <v>12324</v>
      </c>
    </row>
    <row r="1595" spans="1:11" x14ac:dyDescent="0.2">
      <c r="A1595" s="2">
        <v>400</v>
      </c>
      <c r="B1595" s="2">
        <v>2</v>
      </c>
      <c r="C1595" s="2">
        <v>223353966</v>
      </c>
      <c r="D1595" s="2">
        <v>224123079</v>
      </c>
      <c r="E1595" s="2">
        <v>1</v>
      </c>
      <c r="F1595" s="2" t="s">
        <v>10086</v>
      </c>
      <c r="H1595" s="2">
        <v>3.8999999999999998E-3</v>
      </c>
      <c r="K1595" s="2" t="s">
        <v>10085</v>
      </c>
    </row>
    <row r="1596" spans="1:11" x14ac:dyDescent="0.2">
      <c r="A1596" s="2">
        <v>400</v>
      </c>
      <c r="B1596" s="2">
        <v>2</v>
      </c>
      <c r="C1596" s="2">
        <v>223353966</v>
      </c>
      <c r="D1596" s="2">
        <v>224123079</v>
      </c>
      <c r="E1596" s="2">
        <v>2</v>
      </c>
      <c r="F1596" s="2" t="s">
        <v>10086</v>
      </c>
      <c r="H1596" s="3">
        <v>6.9999999999999999E-4</v>
      </c>
      <c r="K1596" s="2" t="s">
        <v>10087</v>
      </c>
    </row>
    <row r="1597" spans="1:11" x14ac:dyDescent="0.2">
      <c r="A1597" s="2">
        <v>400</v>
      </c>
      <c r="B1597" s="2">
        <v>2</v>
      </c>
      <c r="C1597" s="2">
        <v>223353966</v>
      </c>
      <c r="D1597" s="2">
        <v>224123079</v>
      </c>
      <c r="E1597" s="2">
        <v>3</v>
      </c>
      <c r="F1597" s="2" t="s">
        <v>10086</v>
      </c>
      <c r="H1597" s="3">
        <v>5.9999999999999995E-4</v>
      </c>
      <c r="K1597" s="2" t="s">
        <v>10088</v>
      </c>
    </row>
    <row r="1598" spans="1:11" x14ac:dyDescent="0.2">
      <c r="A1598" s="2">
        <v>400</v>
      </c>
      <c r="B1598" s="2">
        <v>2</v>
      </c>
      <c r="C1598" s="2">
        <v>223353966</v>
      </c>
      <c r="D1598" s="2">
        <v>224123079</v>
      </c>
      <c r="E1598" s="2">
        <v>4</v>
      </c>
      <c r="F1598" s="2" t="s">
        <v>10086</v>
      </c>
      <c r="H1598" s="3">
        <v>2.9999999999999997E-4</v>
      </c>
      <c r="K1598" s="2" t="s">
        <v>10089</v>
      </c>
    </row>
    <row r="1599" spans="1:11" x14ac:dyDescent="0.2">
      <c r="A1599" s="2">
        <v>401</v>
      </c>
      <c r="B1599" s="2">
        <v>2</v>
      </c>
      <c r="C1599" s="2">
        <v>224123080</v>
      </c>
      <c r="D1599" s="2">
        <v>224938731</v>
      </c>
      <c r="E1599" s="2">
        <v>1</v>
      </c>
      <c r="F1599" s="2" t="s">
        <v>10086</v>
      </c>
      <c r="H1599" s="2">
        <v>1E-3</v>
      </c>
      <c r="K1599" s="2" t="s">
        <v>10089</v>
      </c>
    </row>
    <row r="1600" spans="1:11" x14ac:dyDescent="0.2">
      <c r="A1600" s="2">
        <v>401</v>
      </c>
      <c r="B1600" s="2">
        <v>2</v>
      </c>
      <c r="C1600" s="2">
        <v>224123080</v>
      </c>
      <c r="D1600" s="2">
        <v>224938731</v>
      </c>
      <c r="E1600" s="2">
        <v>2</v>
      </c>
      <c r="F1600" s="2" t="s">
        <v>10086</v>
      </c>
      <c r="H1600" s="3">
        <v>8.9999999999999998E-4</v>
      </c>
      <c r="K1600" s="2" t="s">
        <v>10085</v>
      </c>
    </row>
    <row r="1601" spans="1:11" x14ac:dyDescent="0.2">
      <c r="A1601" s="2">
        <v>401</v>
      </c>
      <c r="B1601" s="2">
        <v>2</v>
      </c>
      <c r="C1601" s="2">
        <v>224123080</v>
      </c>
      <c r="D1601" s="2">
        <v>224938731</v>
      </c>
      <c r="E1601" s="2">
        <v>3</v>
      </c>
      <c r="F1601" s="2" t="s">
        <v>10086</v>
      </c>
      <c r="H1601" s="3">
        <v>8.0000000000000004E-4</v>
      </c>
      <c r="K1601" s="2" t="s">
        <v>10087</v>
      </c>
    </row>
    <row r="1602" spans="1:11" x14ac:dyDescent="0.2">
      <c r="A1602" s="2">
        <v>401</v>
      </c>
      <c r="B1602" s="2">
        <v>2</v>
      </c>
      <c r="C1602" s="2">
        <v>224123080</v>
      </c>
      <c r="D1602" s="2">
        <v>224938731</v>
      </c>
      <c r="E1602" s="2">
        <v>4</v>
      </c>
      <c r="F1602" s="2" t="s">
        <v>10086</v>
      </c>
      <c r="H1602" s="3">
        <v>2.9999999999999997E-4</v>
      </c>
      <c r="K1602" s="2" t="s">
        <v>10088</v>
      </c>
    </row>
    <row r="1603" spans="1:11" x14ac:dyDescent="0.2">
      <c r="A1603" s="2">
        <v>402</v>
      </c>
      <c r="B1603" s="2">
        <v>2</v>
      </c>
      <c r="C1603" s="2">
        <v>224938732</v>
      </c>
      <c r="D1603" s="2">
        <v>226242842</v>
      </c>
      <c r="E1603" s="2">
        <v>1</v>
      </c>
      <c r="F1603" s="2" t="s">
        <v>10086</v>
      </c>
      <c r="H1603" s="2">
        <v>2.3E-3</v>
      </c>
      <c r="K1603" s="2" t="s">
        <v>10089</v>
      </c>
    </row>
    <row r="1604" spans="1:11" x14ac:dyDescent="0.2">
      <c r="A1604" s="2">
        <v>402</v>
      </c>
      <c r="B1604" s="2">
        <v>2</v>
      </c>
      <c r="C1604" s="2">
        <v>224938732</v>
      </c>
      <c r="D1604" s="2">
        <v>226242842</v>
      </c>
      <c r="E1604" s="2">
        <v>2</v>
      </c>
      <c r="F1604" s="2" t="s">
        <v>10086</v>
      </c>
      <c r="H1604" s="2">
        <v>2.5000000000000001E-3</v>
      </c>
      <c r="K1604" s="2" t="s">
        <v>10088</v>
      </c>
    </row>
    <row r="1605" spans="1:11" x14ac:dyDescent="0.2">
      <c r="A1605" s="2">
        <v>402</v>
      </c>
      <c r="B1605" s="2">
        <v>2</v>
      </c>
      <c r="C1605" s="2">
        <v>224938732</v>
      </c>
      <c r="D1605" s="2">
        <v>226242842</v>
      </c>
      <c r="E1605" s="2">
        <v>3</v>
      </c>
      <c r="F1605" s="2" t="s">
        <v>10086</v>
      </c>
      <c r="H1605" s="2">
        <v>1.2999999999999999E-3</v>
      </c>
      <c r="K1605" s="2" t="s">
        <v>10087</v>
      </c>
    </row>
    <row r="1606" spans="1:11" x14ac:dyDescent="0.2">
      <c r="A1606" s="2">
        <v>402</v>
      </c>
      <c r="B1606" s="2">
        <v>2</v>
      </c>
      <c r="C1606" s="2">
        <v>224938732</v>
      </c>
      <c r="D1606" s="2">
        <v>226242842</v>
      </c>
      <c r="E1606" s="2">
        <v>4</v>
      </c>
      <c r="F1606" s="2" t="s">
        <v>10086</v>
      </c>
      <c r="H1606" s="3">
        <v>5.9999999999999995E-4</v>
      </c>
      <c r="K1606" s="2" t="s">
        <v>10085</v>
      </c>
    </row>
    <row r="1607" spans="1:11" x14ac:dyDescent="0.2">
      <c r="A1607" s="2">
        <v>403</v>
      </c>
      <c r="B1607" s="2">
        <v>2</v>
      </c>
      <c r="C1607" s="2">
        <v>226242843</v>
      </c>
      <c r="D1607" s="2">
        <v>227557841</v>
      </c>
      <c r="E1607" s="2">
        <v>1</v>
      </c>
      <c r="F1607" s="2" t="s">
        <v>10086</v>
      </c>
      <c r="H1607" s="2">
        <v>4.5999999999999999E-3</v>
      </c>
      <c r="K1607" s="2" t="s">
        <v>10087</v>
      </c>
    </row>
    <row r="1608" spans="1:11" x14ac:dyDescent="0.2">
      <c r="A1608" s="2">
        <v>403</v>
      </c>
      <c r="B1608" s="2">
        <v>2</v>
      </c>
      <c r="C1608" s="2">
        <v>226242843</v>
      </c>
      <c r="D1608" s="2">
        <v>227557841</v>
      </c>
      <c r="E1608" s="2">
        <v>2</v>
      </c>
      <c r="F1608" s="2" t="s">
        <v>10086</v>
      </c>
      <c r="H1608" s="2">
        <v>1.1999999999999999E-3</v>
      </c>
      <c r="K1608" s="2" t="s">
        <v>10089</v>
      </c>
    </row>
    <row r="1609" spans="1:11" x14ac:dyDescent="0.2">
      <c r="A1609" s="2">
        <v>403</v>
      </c>
      <c r="B1609" s="2">
        <v>2</v>
      </c>
      <c r="C1609" s="2">
        <v>226242843</v>
      </c>
      <c r="D1609" s="2">
        <v>227557841</v>
      </c>
      <c r="E1609" s="2">
        <v>3</v>
      </c>
      <c r="F1609" s="2" t="s">
        <v>10086</v>
      </c>
      <c r="H1609" s="2">
        <v>1E-3</v>
      </c>
      <c r="K1609" s="2" t="s">
        <v>10088</v>
      </c>
    </row>
    <row r="1610" spans="1:11" x14ac:dyDescent="0.2">
      <c r="A1610" s="2">
        <v>403</v>
      </c>
      <c r="B1610" s="2">
        <v>2</v>
      </c>
      <c r="C1610" s="2">
        <v>226242843</v>
      </c>
      <c r="D1610" s="2">
        <v>227557841</v>
      </c>
      <c r="E1610" s="2">
        <v>4</v>
      </c>
      <c r="F1610" s="2" t="s">
        <v>10086</v>
      </c>
      <c r="H1610" s="3">
        <v>4.0000000000000002E-4</v>
      </c>
      <c r="K1610" s="2" t="s">
        <v>10085</v>
      </c>
    </row>
    <row r="1611" spans="1:11" x14ac:dyDescent="0.2">
      <c r="A1611" s="2">
        <v>404</v>
      </c>
      <c r="B1611" s="2">
        <v>2</v>
      </c>
      <c r="C1611" s="2">
        <v>227557842</v>
      </c>
      <c r="D1611" s="2">
        <v>228812485</v>
      </c>
      <c r="E1611" s="2">
        <v>1</v>
      </c>
      <c r="F1611" s="2" t="s">
        <v>10086</v>
      </c>
      <c r="H1611" s="2">
        <v>3.2000000000000002E-3</v>
      </c>
      <c r="K1611" s="2" t="s">
        <v>12324</v>
      </c>
    </row>
    <row r="1612" spans="1:11" x14ac:dyDescent="0.2">
      <c r="A1612" s="2">
        <v>404</v>
      </c>
      <c r="B1612" s="2">
        <v>2</v>
      </c>
      <c r="C1612" s="2">
        <v>227557842</v>
      </c>
      <c r="D1612" s="2">
        <v>228812485</v>
      </c>
      <c r="E1612" s="2">
        <v>2</v>
      </c>
      <c r="F1612" s="2" t="s">
        <v>10086</v>
      </c>
      <c r="H1612" s="2">
        <v>1.9E-3</v>
      </c>
      <c r="K1612" s="2" t="s">
        <v>10087</v>
      </c>
    </row>
    <row r="1613" spans="1:11" x14ac:dyDescent="0.2">
      <c r="A1613" s="2">
        <v>404</v>
      </c>
      <c r="B1613" s="2">
        <v>2</v>
      </c>
      <c r="C1613" s="2">
        <v>227557842</v>
      </c>
      <c r="D1613" s="2">
        <v>228812485</v>
      </c>
      <c r="E1613" s="2">
        <v>3</v>
      </c>
      <c r="F1613" s="2" t="s">
        <v>10086</v>
      </c>
      <c r="H1613" s="2">
        <v>1.6000000000000001E-3</v>
      </c>
      <c r="K1613" s="2" t="s">
        <v>10089</v>
      </c>
    </row>
    <row r="1614" spans="1:11" x14ac:dyDescent="0.2">
      <c r="A1614" s="2">
        <v>404</v>
      </c>
      <c r="B1614" s="2">
        <v>2</v>
      </c>
      <c r="C1614" s="2">
        <v>227557842</v>
      </c>
      <c r="D1614" s="2">
        <v>228812485</v>
      </c>
      <c r="E1614" s="2">
        <v>4</v>
      </c>
      <c r="F1614" s="2" t="s">
        <v>10086</v>
      </c>
      <c r="H1614" s="2">
        <v>1E-3</v>
      </c>
      <c r="K1614" s="2" t="s">
        <v>10085</v>
      </c>
    </row>
    <row r="1615" spans="1:11" x14ac:dyDescent="0.2">
      <c r="A1615" s="2">
        <v>405</v>
      </c>
      <c r="B1615" s="2">
        <v>2</v>
      </c>
      <c r="C1615" s="2">
        <v>228812486</v>
      </c>
      <c r="D1615" s="2">
        <v>229764918</v>
      </c>
      <c r="E1615" s="2">
        <v>1</v>
      </c>
      <c r="F1615" s="2" t="s">
        <v>10086</v>
      </c>
      <c r="H1615" s="3">
        <v>8.9999999999999998E-4</v>
      </c>
      <c r="K1615" s="2" t="s">
        <v>10088</v>
      </c>
    </row>
    <row r="1616" spans="1:11" x14ac:dyDescent="0.2">
      <c r="A1616" s="2">
        <v>405</v>
      </c>
      <c r="B1616" s="2">
        <v>2</v>
      </c>
      <c r="C1616" s="2">
        <v>228812486</v>
      </c>
      <c r="D1616" s="2">
        <v>229764918</v>
      </c>
      <c r="E1616" s="2">
        <v>2</v>
      </c>
      <c r="F1616" s="2" t="s">
        <v>10086</v>
      </c>
      <c r="H1616" s="2">
        <v>1.1000000000000001E-3</v>
      </c>
      <c r="K1616" s="2" t="s">
        <v>10085</v>
      </c>
    </row>
    <row r="1617" spans="1:11" x14ac:dyDescent="0.2">
      <c r="A1617" s="2">
        <v>405</v>
      </c>
      <c r="B1617" s="2">
        <v>2</v>
      </c>
      <c r="C1617" s="2">
        <v>228812486</v>
      </c>
      <c r="D1617" s="2">
        <v>229764918</v>
      </c>
      <c r="E1617" s="2">
        <v>3</v>
      </c>
      <c r="F1617" s="2" t="s">
        <v>10086</v>
      </c>
      <c r="H1617" s="2">
        <v>1E-3</v>
      </c>
      <c r="K1617" s="2" t="s">
        <v>12324</v>
      </c>
    </row>
    <row r="1618" spans="1:11" x14ac:dyDescent="0.2">
      <c r="A1618" s="2">
        <v>405</v>
      </c>
      <c r="B1618" s="2">
        <v>2</v>
      </c>
      <c r="C1618" s="2">
        <v>228812486</v>
      </c>
      <c r="D1618" s="2">
        <v>229764918</v>
      </c>
      <c r="E1618" s="2">
        <v>4</v>
      </c>
      <c r="F1618" s="2" t="s">
        <v>10086</v>
      </c>
      <c r="H1618" s="3">
        <v>6.9999999999999999E-4</v>
      </c>
      <c r="K1618" s="2" t="s">
        <v>10089</v>
      </c>
    </row>
    <row r="1619" spans="1:11" x14ac:dyDescent="0.2">
      <c r="A1619" s="2">
        <v>406</v>
      </c>
      <c r="B1619" s="2">
        <v>2</v>
      </c>
      <c r="C1619" s="2">
        <v>229764919</v>
      </c>
      <c r="D1619" s="2">
        <v>230541092</v>
      </c>
      <c r="E1619" s="2">
        <v>1</v>
      </c>
      <c r="F1619" s="2" t="s">
        <v>10086</v>
      </c>
      <c r="H1619" s="2">
        <v>1.1000000000000001E-3</v>
      </c>
      <c r="K1619" s="2" t="s">
        <v>10088</v>
      </c>
    </row>
    <row r="1620" spans="1:11" x14ac:dyDescent="0.2">
      <c r="A1620" s="2">
        <v>406</v>
      </c>
      <c r="B1620" s="2">
        <v>2</v>
      </c>
      <c r="C1620" s="2">
        <v>229764919</v>
      </c>
      <c r="D1620" s="2">
        <v>230541092</v>
      </c>
      <c r="E1620" s="2">
        <v>2</v>
      </c>
      <c r="F1620" s="2" t="s">
        <v>10086</v>
      </c>
      <c r="H1620" s="2">
        <v>1E-3</v>
      </c>
      <c r="K1620" s="2" t="s">
        <v>10085</v>
      </c>
    </row>
    <row r="1621" spans="1:11" x14ac:dyDescent="0.2">
      <c r="A1621" s="2">
        <v>406</v>
      </c>
      <c r="B1621" s="2">
        <v>2</v>
      </c>
      <c r="C1621" s="2">
        <v>229764919</v>
      </c>
      <c r="D1621" s="2">
        <v>230541092</v>
      </c>
      <c r="E1621" s="2">
        <v>3</v>
      </c>
      <c r="F1621" s="2" t="s">
        <v>10086</v>
      </c>
      <c r="H1621" s="3">
        <v>5.9999999999999995E-4</v>
      </c>
      <c r="K1621" s="2" t="s">
        <v>10087</v>
      </c>
    </row>
    <row r="1622" spans="1:11" x14ac:dyDescent="0.2">
      <c r="A1622" s="2">
        <v>406</v>
      </c>
      <c r="B1622" s="2">
        <v>2</v>
      </c>
      <c r="C1622" s="2">
        <v>229764919</v>
      </c>
      <c r="D1622" s="2">
        <v>230541092</v>
      </c>
      <c r="E1622" s="2">
        <v>4</v>
      </c>
      <c r="F1622" s="2" t="s">
        <v>10086</v>
      </c>
      <c r="H1622" s="3">
        <v>2.9999999999999997E-4</v>
      </c>
      <c r="K1622" s="2" t="s">
        <v>10089</v>
      </c>
    </row>
    <row r="1623" spans="1:11" x14ac:dyDescent="0.2">
      <c r="A1623" s="2">
        <v>407</v>
      </c>
      <c r="B1623" s="2">
        <v>2</v>
      </c>
      <c r="C1623" s="2">
        <v>230541093</v>
      </c>
      <c r="D1623" s="2">
        <v>231847386</v>
      </c>
      <c r="E1623" s="2">
        <v>1</v>
      </c>
      <c r="F1623" s="2" t="s">
        <v>10086</v>
      </c>
      <c r="H1623" s="2">
        <v>1.5E-3</v>
      </c>
      <c r="K1623" s="2" t="s">
        <v>10089</v>
      </c>
    </row>
    <row r="1624" spans="1:11" x14ac:dyDescent="0.2">
      <c r="A1624" s="2">
        <v>407</v>
      </c>
      <c r="B1624" s="2">
        <v>2</v>
      </c>
      <c r="C1624" s="2">
        <v>230541093</v>
      </c>
      <c r="D1624" s="2">
        <v>231847386</v>
      </c>
      <c r="E1624" s="2">
        <v>2</v>
      </c>
      <c r="F1624" s="2" t="s">
        <v>10086</v>
      </c>
      <c r="H1624" s="2">
        <v>1.6999999999999999E-3</v>
      </c>
      <c r="K1624" s="2" t="s">
        <v>10085</v>
      </c>
    </row>
    <row r="1625" spans="1:11" x14ac:dyDescent="0.2">
      <c r="A1625" s="2">
        <v>407</v>
      </c>
      <c r="B1625" s="2">
        <v>2</v>
      </c>
      <c r="C1625" s="2">
        <v>230541093</v>
      </c>
      <c r="D1625" s="2">
        <v>231847386</v>
      </c>
      <c r="E1625" s="2">
        <v>3</v>
      </c>
      <c r="F1625" s="2" t="s">
        <v>10086</v>
      </c>
      <c r="H1625" s="2">
        <v>1.4E-3</v>
      </c>
      <c r="K1625" s="2" t="s">
        <v>10087</v>
      </c>
    </row>
    <row r="1626" spans="1:11" x14ac:dyDescent="0.2">
      <c r="A1626" s="2">
        <v>407</v>
      </c>
      <c r="B1626" s="2">
        <v>2</v>
      </c>
      <c r="C1626" s="2">
        <v>230541093</v>
      </c>
      <c r="D1626" s="2">
        <v>231847386</v>
      </c>
      <c r="E1626" s="2">
        <v>4</v>
      </c>
      <c r="F1626" s="2" t="s">
        <v>10086</v>
      </c>
      <c r="H1626" s="3">
        <v>8.0000000000000004E-4</v>
      </c>
      <c r="K1626" s="2" t="s">
        <v>10088</v>
      </c>
    </row>
    <row r="1627" spans="1:11" x14ac:dyDescent="0.2">
      <c r="A1627" s="2">
        <v>408</v>
      </c>
      <c r="B1627" s="2">
        <v>2</v>
      </c>
      <c r="C1627" s="2">
        <v>231847387</v>
      </c>
      <c r="D1627" s="2">
        <v>233352722</v>
      </c>
      <c r="E1627" s="2">
        <v>1</v>
      </c>
      <c r="F1627" s="2" t="s">
        <v>10086</v>
      </c>
      <c r="H1627" s="2">
        <v>1.8E-3</v>
      </c>
      <c r="K1627" s="2" t="s">
        <v>10087</v>
      </c>
    </row>
    <row r="1628" spans="1:11" x14ac:dyDescent="0.2">
      <c r="A1628" s="2">
        <v>408</v>
      </c>
      <c r="B1628" s="2">
        <v>2</v>
      </c>
      <c r="C1628" s="2">
        <v>231847387</v>
      </c>
      <c r="D1628" s="2">
        <v>233352722</v>
      </c>
      <c r="E1628" s="2">
        <v>2</v>
      </c>
      <c r="F1628" s="2" t="s">
        <v>10086</v>
      </c>
      <c r="H1628" s="2">
        <v>3.0000000000000001E-3</v>
      </c>
      <c r="K1628" s="2" t="s">
        <v>10088</v>
      </c>
    </row>
    <row r="1629" spans="1:11" x14ac:dyDescent="0.2">
      <c r="A1629" s="2">
        <v>408</v>
      </c>
      <c r="B1629" s="2">
        <v>2</v>
      </c>
      <c r="C1629" s="2">
        <v>231847387</v>
      </c>
      <c r="D1629" s="2">
        <v>233352722</v>
      </c>
      <c r="E1629" s="2">
        <v>3</v>
      </c>
      <c r="F1629" s="2" t="s">
        <v>10086</v>
      </c>
      <c r="H1629" s="2">
        <v>1.6000000000000001E-3</v>
      </c>
      <c r="K1629" s="2" t="s">
        <v>10089</v>
      </c>
    </row>
    <row r="1630" spans="1:11" x14ac:dyDescent="0.2">
      <c r="A1630" s="2">
        <v>408</v>
      </c>
      <c r="B1630" s="2">
        <v>2</v>
      </c>
      <c r="C1630" s="2">
        <v>231847387</v>
      </c>
      <c r="D1630" s="2">
        <v>233352722</v>
      </c>
      <c r="E1630" s="2">
        <v>4</v>
      </c>
      <c r="F1630" s="2" t="s">
        <v>10086</v>
      </c>
      <c r="H1630" s="2">
        <v>1.2999999999999999E-3</v>
      </c>
      <c r="K1630" s="2" t="s">
        <v>12324</v>
      </c>
    </row>
    <row r="1631" spans="1:11" x14ac:dyDescent="0.2">
      <c r="A1631" s="2">
        <v>409</v>
      </c>
      <c r="B1631" s="2">
        <v>2</v>
      </c>
      <c r="C1631" s="2">
        <v>233352723</v>
      </c>
      <c r="D1631" s="2">
        <v>234115092</v>
      </c>
      <c r="E1631" s="2">
        <v>1</v>
      </c>
      <c r="F1631" s="2" t="s">
        <v>10086</v>
      </c>
      <c r="H1631" s="2">
        <v>3.0999999999999999E-3</v>
      </c>
      <c r="K1631" s="2" t="s">
        <v>10089</v>
      </c>
    </row>
    <row r="1632" spans="1:11" x14ac:dyDescent="0.2">
      <c r="A1632" s="2">
        <v>409</v>
      </c>
      <c r="B1632" s="2">
        <v>2</v>
      </c>
      <c r="C1632" s="2">
        <v>233352723</v>
      </c>
      <c r="D1632" s="2">
        <v>234115092</v>
      </c>
      <c r="E1632" s="2">
        <v>2</v>
      </c>
      <c r="F1632" s="2" t="s">
        <v>10086</v>
      </c>
      <c r="H1632" s="2">
        <v>1.5E-3</v>
      </c>
      <c r="K1632" s="2" t="s">
        <v>10087</v>
      </c>
    </row>
    <row r="1633" spans="1:11" x14ac:dyDescent="0.2">
      <c r="A1633" s="2">
        <v>409</v>
      </c>
      <c r="B1633" s="2">
        <v>2</v>
      </c>
      <c r="C1633" s="2">
        <v>233352723</v>
      </c>
      <c r="D1633" s="2">
        <v>234115092</v>
      </c>
      <c r="E1633" s="2">
        <v>3</v>
      </c>
      <c r="F1633" s="2" t="s">
        <v>10086</v>
      </c>
      <c r="H1633" s="3">
        <v>8.0000000000000004E-4</v>
      </c>
      <c r="K1633" s="2" t="s">
        <v>10088</v>
      </c>
    </row>
    <row r="1634" spans="1:11" x14ac:dyDescent="0.2">
      <c r="A1634" s="2">
        <v>409</v>
      </c>
      <c r="B1634" s="2">
        <v>2</v>
      </c>
      <c r="C1634" s="2">
        <v>233352723</v>
      </c>
      <c r="D1634" s="2">
        <v>234115092</v>
      </c>
      <c r="E1634" s="2">
        <v>4</v>
      </c>
      <c r="F1634" s="2" t="s">
        <v>10086</v>
      </c>
      <c r="H1634" s="3">
        <v>2.9999999999999997E-4</v>
      </c>
      <c r="K1634" s="2" t="s">
        <v>10085</v>
      </c>
    </row>
    <row r="1635" spans="1:11" x14ac:dyDescent="0.2">
      <c r="A1635" s="2">
        <v>410</v>
      </c>
      <c r="B1635" s="2">
        <v>2</v>
      </c>
      <c r="C1635" s="2">
        <v>234115093</v>
      </c>
      <c r="D1635" s="2">
        <v>234945577</v>
      </c>
      <c r="E1635" s="2">
        <v>1</v>
      </c>
      <c r="F1635" s="2" t="s">
        <v>10086</v>
      </c>
      <c r="H1635" s="2">
        <v>4.7999999999999996E-3</v>
      </c>
      <c r="K1635" s="2" t="s">
        <v>10088</v>
      </c>
    </row>
    <row r="1636" spans="1:11" x14ac:dyDescent="0.2">
      <c r="A1636" s="2">
        <v>410</v>
      </c>
      <c r="B1636" s="2">
        <v>2</v>
      </c>
      <c r="C1636" s="2">
        <v>234115093</v>
      </c>
      <c r="D1636" s="2">
        <v>234945577</v>
      </c>
      <c r="E1636" s="2">
        <v>2</v>
      </c>
      <c r="F1636" s="2" t="s">
        <v>10086</v>
      </c>
      <c r="H1636" s="2">
        <v>1.6000000000000001E-3</v>
      </c>
      <c r="K1636" s="2" t="s">
        <v>12324</v>
      </c>
    </row>
    <row r="1637" spans="1:11" x14ac:dyDescent="0.2">
      <c r="A1637" s="2">
        <v>410</v>
      </c>
      <c r="B1637" s="2">
        <v>2</v>
      </c>
      <c r="C1637" s="2">
        <v>234115093</v>
      </c>
      <c r="D1637" s="2">
        <v>234945577</v>
      </c>
      <c r="E1637" s="2">
        <v>3</v>
      </c>
      <c r="F1637" s="2" t="s">
        <v>10086</v>
      </c>
      <c r="H1637" s="2">
        <v>1E-3</v>
      </c>
      <c r="K1637" s="2" t="s">
        <v>10085</v>
      </c>
    </row>
    <row r="1638" spans="1:11" x14ac:dyDescent="0.2">
      <c r="A1638" s="2">
        <v>410</v>
      </c>
      <c r="B1638" s="2">
        <v>2</v>
      </c>
      <c r="C1638" s="2">
        <v>234115093</v>
      </c>
      <c r="D1638" s="2">
        <v>234945577</v>
      </c>
      <c r="E1638" s="2">
        <v>4</v>
      </c>
      <c r="F1638" s="2" t="s">
        <v>10086</v>
      </c>
      <c r="H1638" s="3">
        <v>6.9999999999999999E-4</v>
      </c>
      <c r="K1638" s="2" t="s">
        <v>10087</v>
      </c>
    </row>
    <row r="1639" spans="1:11" x14ac:dyDescent="0.2">
      <c r="A1639" s="2">
        <v>411</v>
      </c>
      <c r="B1639" s="2">
        <v>2</v>
      </c>
      <c r="C1639" s="2">
        <v>234945578</v>
      </c>
      <c r="D1639" s="2">
        <v>235625789</v>
      </c>
      <c r="E1639" s="2">
        <v>1</v>
      </c>
      <c r="F1639" s="2" t="s">
        <v>10086</v>
      </c>
      <c r="H1639" s="2">
        <v>2.2000000000000001E-3</v>
      </c>
      <c r="K1639" s="2" t="s">
        <v>10085</v>
      </c>
    </row>
    <row r="1640" spans="1:11" x14ac:dyDescent="0.2">
      <c r="A1640" s="2">
        <v>411</v>
      </c>
      <c r="B1640" s="2">
        <v>2</v>
      </c>
      <c r="C1640" s="2">
        <v>234945578</v>
      </c>
      <c r="D1640" s="2">
        <v>235625789</v>
      </c>
      <c r="E1640" s="2">
        <v>2</v>
      </c>
      <c r="F1640" s="2" t="s">
        <v>10086</v>
      </c>
      <c r="H1640" s="2">
        <v>1.8E-3</v>
      </c>
      <c r="K1640" s="2" t="s">
        <v>10087</v>
      </c>
    </row>
    <row r="1641" spans="1:11" x14ac:dyDescent="0.2">
      <c r="A1641" s="2">
        <v>411</v>
      </c>
      <c r="B1641" s="2">
        <v>2</v>
      </c>
      <c r="C1641" s="2">
        <v>234945578</v>
      </c>
      <c r="D1641" s="2">
        <v>235625789</v>
      </c>
      <c r="E1641" s="2">
        <v>3</v>
      </c>
      <c r="F1641" s="2" t="s">
        <v>10086</v>
      </c>
      <c r="H1641" s="3">
        <v>8.9999999999999998E-4</v>
      </c>
      <c r="K1641" s="2" t="s">
        <v>10088</v>
      </c>
    </row>
    <row r="1642" spans="1:11" x14ac:dyDescent="0.2">
      <c r="A1642" s="2">
        <v>411</v>
      </c>
      <c r="B1642" s="2">
        <v>2</v>
      </c>
      <c r="C1642" s="2">
        <v>234945578</v>
      </c>
      <c r="D1642" s="2">
        <v>235625789</v>
      </c>
      <c r="E1642" s="2">
        <v>4</v>
      </c>
      <c r="F1642" s="2" t="s">
        <v>10086</v>
      </c>
      <c r="H1642" s="3">
        <v>4.0000000000000002E-4</v>
      </c>
      <c r="K1642" s="2" t="s">
        <v>10089</v>
      </c>
    </row>
    <row r="1643" spans="1:11" x14ac:dyDescent="0.2">
      <c r="A1643" s="2">
        <v>412</v>
      </c>
      <c r="B1643" s="2">
        <v>2</v>
      </c>
      <c r="C1643" s="2">
        <v>235625790</v>
      </c>
      <c r="D1643" s="2">
        <v>236276287</v>
      </c>
      <c r="E1643" s="2">
        <v>1</v>
      </c>
      <c r="F1643" s="2" t="s">
        <v>10086</v>
      </c>
      <c r="H1643" s="2">
        <v>1.5E-3</v>
      </c>
      <c r="K1643" s="2" t="s">
        <v>10085</v>
      </c>
    </row>
    <row r="1644" spans="1:11" x14ac:dyDescent="0.2">
      <c r="A1644" s="2">
        <v>412</v>
      </c>
      <c r="B1644" s="2">
        <v>2</v>
      </c>
      <c r="C1644" s="2">
        <v>235625790</v>
      </c>
      <c r="D1644" s="2">
        <v>236276287</v>
      </c>
      <c r="E1644" s="2">
        <v>2</v>
      </c>
      <c r="F1644" s="2" t="s">
        <v>10086</v>
      </c>
      <c r="H1644" s="2">
        <v>1.4E-3</v>
      </c>
      <c r="K1644" s="2" t="s">
        <v>10087</v>
      </c>
    </row>
    <row r="1645" spans="1:11" x14ac:dyDescent="0.2">
      <c r="A1645" s="2">
        <v>412</v>
      </c>
      <c r="B1645" s="2">
        <v>2</v>
      </c>
      <c r="C1645" s="2">
        <v>235625790</v>
      </c>
      <c r="D1645" s="2">
        <v>236276287</v>
      </c>
      <c r="E1645" s="2">
        <v>3</v>
      </c>
      <c r="F1645" s="2" t="s">
        <v>10086</v>
      </c>
      <c r="H1645" s="3">
        <v>8.0000000000000004E-4</v>
      </c>
      <c r="K1645" s="2" t="s">
        <v>10089</v>
      </c>
    </row>
    <row r="1646" spans="1:11" x14ac:dyDescent="0.2">
      <c r="A1646" s="2">
        <v>412</v>
      </c>
      <c r="B1646" s="2">
        <v>2</v>
      </c>
      <c r="C1646" s="2">
        <v>235625790</v>
      </c>
      <c r="D1646" s="2">
        <v>236276287</v>
      </c>
      <c r="E1646" s="2">
        <v>4</v>
      </c>
      <c r="F1646" s="2" t="s">
        <v>10086</v>
      </c>
      <c r="H1646" s="3">
        <v>2.9999999999999997E-4</v>
      </c>
      <c r="K1646" s="2" t="s">
        <v>10088</v>
      </c>
    </row>
    <row r="1647" spans="1:11" x14ac:dyDescent="0.2">
      <c r="A1647" s="2">
        <v>413</v>
      </c>
      <c r="B1647" s="2">
        <v>2</v>
      </c>
      <c r="C1647" s="2">
        <v>236276288</v>
      </c>
      <c r="D1647" s="2">
        <v>237194297</v>
      </c>
      <c r="E1647" s="2">
        <v>1</v>
      </c>
      <c r="F1647" s="2" t="s">
        <v>10086</v>
      </c>
      <c r="H1647" s="2">
        <v>2.5000000000000001E-3</v>
      </c>
      <c r="K1647" s="2" t="s">
        <v>10089</v>
      </c>
    </row>
    <row r="1648" spans="1:11" x14ac:dyDescent="0.2">
      <c r="A1648" s="2">
        <v>413</v>
      </c>
      <c r="B1648" s="2">
        <v>2</v>
      </c>
      <c r="C1648" s="2">
        <v>236276288</v>
      </c>
      <c r="D1648" s="2">
        <v>237194297</v>
      </c>
      <c r="E1648" s="2">
        <v>2</v>
      </c>
      <c r="F1648" s="2" t="s">
        <v>10086</v>
      </c>
      <c r="H1648" s="2">
        <v>1E-3</v>
      </c>
      <c r="K1648" s="2" t="s">
        <v>10088</v>
      </c>
    </row>
    <row r="1649" spans="1:11" x14ac:dyDescent="0.2">
      <c r="A1649" s="2">
        <v>413</v>
      </c>
      <c r="B1649" s="2">
        <v>2</v>
      </c>
      <c r="C1649" s="2">
        <v>236276288</v>
      </c>
      <c r="D1649" s="2">
        <v>237194297</v>
      </c>
      <c r="E1649" s="2">
        <v>3</v>
      </c>
      <c r="F1649" s="2" t="s">
        <v>10086</v>
      </c>
      <c r="H1649" s="3">
        <v>5.9999999999999995E-4</v>
      </c>
      <c r="K1649" s="2" t="s">
        <v>10087</v>
      </c>
    </row>
    <row r="1650" spans="1:11" x14ac:dyDescent="0.2">
      <c r="A1650" s="2">
        <v>413</v>
      </c>
      <c r="B1650" s="2">
        <v>2</v>
      </c>
      <c r="C1650" s="2">
        <v>236276288</v>
      </c>
      <c r="D1650" s="2">
        <v>237194297</v>
      </c>
      <c r="E1650" s="2">
        <v>4</v>
      </c>
      <c r="F1650" s="2" t="s">
        <v>10086</v>
      </c>
      <c r="H1650" s="3">
        <v>5.0000000000000001E-4</v>
      </c>
      <c r="K1650" s="2" t="s">
        <v>10085</v>
      </c>
    </row>
    <row r="1651" spans="1:11" x14ac:dyDescent="0.2">
      <c r="A1651" s="2">
        <v>414</v>
      </c>
      <c r="B1651" s="2">
        <v>2</v>
      </c>
      <c r="C1651" s="2">
        <v>237194298</v>
      </c>
      <c r="D1651" s="2">
        <v>238185482</v>
      </c>
      <c r="E1651" s="2">
        <v>1</v>
      </c>
      <c r="F1651" s="2" t="s">
        <v>10086</v>
      </c>
      <c r="H1651" s="2">
        <v>7.1000000000000004E-3</v>
      </c>
      <c r="K1651" s="2" t="s">
        <v>10088</v>
      </c>
    </row>
    <row r="1652" spans="1:11" x14ac:dyDescent="0.2">
      <c r="A1652" s="2">
        <v>414</v>
      </c>
      <c r="B1652" s="2">
        <v>2</v>
      </c>
      <c r="C1652" s="2">
        <v>237194298</v>
      </c>
      <c r="D1652" s="2">
        <v>238185482</v>
      </c>
      <c r="E1652" s="2">
        <v>2</v>
      </c>
      <c r="F1652" s="2" t="s">
        <v>10086</v>
      </c>
      <c r="H1652" s="2">
        <v>1.1999999999999999E-3</v>
      </c>
      <c r="K1652" s="2" t="s">
        <v>10087</v>
      </c>
    </row>
    <row r="1653" spans="1:11" x14ac:dyDescent="0.2">
      <c r="A1653" s="2">
        <v>414</v>
      </c>
      <c r="B1653" s="2">
        <v>2</v>
      </c>
      <c r="C1653" s="2">
        <v>237194298</v>
      </c>
      <c r="D1653" s="2">
        <v>238185482</v>
      </c>
      <c r="E1653" s="2">
        <v>3</v>
      </c>
      <c r="F1653" s="2" t="s">
        <v>10086</v>
      </c>
      <c r="H1653" s="3">
        <v>6.9999999999999999E-4</v>
      </c>
      <c r="K1653" s="2" t="s">
        <v>10089</v>
      </c>
    </row>
    <row r="1654" spans="1:11" x14ac:dyDescent="0.2">
      <c r="A1654" s="2">
        <v>414</v>
      </c>
      <c r="B1654" s="2">
        <v>2</v>
      </c>
      <c r="C1654" s="2">
        <v>237194298</v>
      </c>
      <c r="D1654" s="2">
        <v>238185482</v>
      </c>
      <c r="E1654" s="2">
        <v>4</v>
      </c>
      <c r="F1654" s="2" t="s">
        <v>10086</v>
      </c>
      <c r="H1654" s="3">
        <v>2.9999999999999997E-4</v>
      </c>
      <c r="K1654" s="2" t="s">
        <v>10085</v>
      </c>
    </row>
    <row r="1655" spans="1:11" x14ac:dyDescent="0.2">
      <c r="A1655" s="2">
        <v>415</v>
      </c>
      <c r="B1655" s="2">
        <v>2</v>
      </c>
      <c r="C1655" s="2">
        <v>238185483</v>
      </c>
      <c r="D1655" s="2">
        <v>238814630</v>
      </c>
      <c r="E1655" s="2">
        <v>1</v>
      </c>
      <c r="F1655" s="2" t="s">
        <v>10086</v>
      </c>
      <c r="H1655" s="2">
        <v>4.4000000000000003E-3</v>
      </c>
      <c r="K1655" s="2" t="s">
        <v>10088</v>
      </c>
    </row>
    <row r="1656" spans="1:11" x14ac:dyDescent="0.2">
      <c r="A1656" s="2">
        <v>415</v>
      </c>
      <c r="B1656" s="2">
        <v>2</v>
      </c>
      <c r="C1656" s="2">
        <v>238185483</v>
      </c>
      <c r="D1656" s="2">
        <v>238814630</v>
      </c>
      <c r="E1656" s="2">
        <v>2</v>
      </c>
      <c r="F1656" s="2" t="s">
        <v>10086</v>
      </c>
      <c r="H1656" s="3">
        <v>8.9999999999999998E-4</v>
      </c>
      <c r="K1656" s="2" t="s">
        <v>10087</v>
      </c>
    </row>
    <row r="1657" spans="1:11" x14ac:dyDescent="0.2">
      <c r="A1657" s="2">
        <v>415</v>
      </c>
      <c r="B1657" s="2">
        <v>2</v>
      </c>
      <c r="C1657" s="2">
        <v>238185483</v>
      </c>
      <c r="D1657" s="2">
        <v>238814630</v>
      </c>
      <c r="E1657" s="2">
        <v>3</v>
      </c>
      <c r="F1657" s="2" t="s">
        <v>10086</v>
      </c>
      <c r="H1657" s="3">
        <v>8.9999999999999998E-4</v>
      </c>
      <c r="K1657" s="2" t="s">
        <v>10089</v>
      </c>
    </row>
    <row r="1658" spans="1:11" x14ac:dyDescent="0.2">
      <c r="A1658" s="2">
        <v>415</v>
      </c>
      <c r="B1658" s="2">
        <v>2</v>
      </c>
      <c r="C1658" s="2">
        <v>238185483</v>
      </c>
      <c r="D1658" s="2">
        <v>238814630</v>
      </c>
      <c r="E1658" s="2">
        <v>4</v>
      </c>
      <c r="F1658" s="2" t="s">
        <v>10086</v>
      </c>
      <c r="H1658" s="3">
        <v>4.0000000000000002E-4</v>
      </c>
      <c r="K1658" s="2" t="s">
        <v>10085</v>
      </c>
    </row>
    <row r="1659" spans="1:11" x14ac:dyDescent="0.2">
      <c r="A1659" s="2">
        <v>416</v>
      </c>
      <c r="B1659" s="2">
        <v>2</v>
      </c>
      <c r="C1659" s="2">
        <v>238814631</v>
      </c>
      <c r="D1659" s="2">
        <v>239634350</v>
      </c>
      <c r="E1659" s="2">
        <v>1</v>
      </c>
      <c r="F1659" s="2" t="s">
        <v>10086</v>
      </c>
      <c r="H1659" s="2">
        <v>1.2999999999999999E-3</v>
      </c>
      <c r="K1659" s="2" t="s">
        <v>10087</v>
      </c>
    </row>
    <row r="1660" spans="1:11" x14ac:dyDescent="0.2">
      <c r="A1660" s="2">
        <v>416</v>
      </c>
      <c r="B1660" s="2">
        <v>2</v>
      </c>
      <c r="C1660" s="2">
        <v>238814631</v>
      </c>
      <c r="D1660" s="2">
        <v>239634350</v>
      </c>
      <c r="E1660" s="2">
        <v>2</v>
      </c>
      <c r="F1660" s="2" t="s">
        <v>10086</v>
      </c>
      <c r="H1660" s="3">
        <v>8.0000000000000004E-4</v>
      </c>
      <c r="K1660" s="2" t="s">
        <v>10085</v>
      </c>
    </row>
    <row r="1661" spans="1:11" x14ac:dyDescent="0.2">
      <c r="A1661" s="2">
        <v>416</v>
      </c>
      <c r="B1661" s="2">
        <v>2</v>
      </c>
      <c r="C1661" s="2">
        <v>238814631</v>
      </c>
      <c r="D1661" s="2">
        <v>239634350</v>
      </c>
      <c r="E1661" s="2">
        <v>3</v>
      </c>
      <c r="F1661" s="2" t="s">
        <v>10086</v>
      </c>
      <c r="H1661" s="3">
        <v>8.9999999999999998E-4</v>
      </c>
      <c r="K1661" s="2" t="s">
        <v>10088</v>
      </c>
    </row>
    <row r="1662" spans="1:11" x14ac:dyDescent="0.2">
      <c r="A1662" s="2">
        <v>416</v>
      </c>
      <c r="B1662" s="2">
        <v>2</v>
      </c>
      <c r="C1662" s="2">
        <v>238814631</v>
      </c>
      <c r="D1662" s="2">
        <v>239634350</v>
      </c>
      <c r="E1662" s="2">
        <v>4</v>
      </c>
      <c r="F1662" s="2" t="s">
        <v>10086</v>
      </c>
      <c r="H1662" s="3">
        <v>2.9999999999999997E-4</v>
      </c>
      <c r="K1662" s="2" t="s">
        <v>10089</v>
      </c>
    </row>
    <row r="1663" spans="1:11" x14ac:dyDescent="0.2">
      <c r="A1663" s="2">
        <v>417</v>
      </c>
      <c r="B1663" s="2">
        <v>2</v>
      </c>
      <c r="C1663" s="2">
        <v>239634351</v>
      </c>
      <c r="D1663" s="2">
        <v>240325600</v>
      </c>
      <c r="E1663" s="2">
        <v>1</v>
      </c>
      <c r="F1663" s="2" t="s">
        <v>10086</v>
      </c>
      <c r="H1663" s="2">
        <v>5.7999999999999996E-3</v>
      </c>
      <c r="K1663" s="2" t="s">
        <v>10087</v>
      </c>
    </row>
    <row r="1664" spans="1:11" x14ac:dyDescent="0.2">
      <c r="A1664" s="2">
        <v>417</v>
      </c>
      <c r="B1664" s="2">
        <v>2</v>
      </c>
      <c r="C1664" s="2">
        <v>239634351</v>
      </c>
      <c r="D1664" s="2">
        <v>240325600</v>
      </c>
      <c r="E1664" s="2">
        <v>2</v>
      </c>
      <c r="F1664" s="2" t="s">
        <v>10086</v>
      </c>
      <c r="H1664" s="3">
        <v>8.9999999999999998E-4</v>
      </c>
      <c r="K1664" s="2" t="s">
        <v>10088</v>
      </c>
    </row>
    <row r="1665" spans="1:11" x14ac:dyDescent="0.2">
      <c r="A1665" s="2">
        <v>417</v>
      </c>
      <c r="B1665" s="2">
        <v>2</v>
      </c>
      <c r="C1665" s="2">
        <v>239634351</v>
      </c>
      <c r="D1665" s="2">
        <v>240325600</v>
      </c>
      <c r="E1665" s="2">
        <v>3</v>
      </c>
      <c r="F1665" s="2" t="s">
        <v>10086</v>
      </c>
      <c r="H1665" s="3">
        <v>5.9999999999999995E-4</v>
      </c>
      <c r="K1665" s="2" t="s">
        <v>10085</v>
      </c>
    </row>
    <row r="1666" spans="1:11" x14ac:dyDescent="0.2">
      <c r="A1666" s="2">
        <v>417</v>
      </c>
      <c r="B1666" s="2">
        <v>2</v>
      </c>
      <c r="C1666" s="2">
        <v>239634351</v>
      </c>
      <c r="D1666" s="2">
        <v>240325600</v>
      </c>
      <c r="E1666" s="2">
        <v>4</v>
      </c>
      <c r="F1666" s="2" t="s">
        <v>10086</v>
      </c>
      <c r="H1666" s="3">
        <v>4.0000000000000002E-4</v>
      </c>
      <c r="K1666" s="2" t="s">
        <v>10089</v>
      </c>
    </row>
    <row r="1667" spans="1:11" x14ac:dyDescent="0.2">
      <c r="A1667" s="2">
        <v>418</v>
      </c>
      <c r="B1667" s="2">
        <v>2</v>
      </c>
      <c r="C1667" s="2">
        <v>240325601</v>
      </c>
      <c r="D1667" s="2">
        <v>241113279</v>
      </c>
      <c r="E1667" s="2">
        <v>1</v>
      </c>
      <c r="F1667" s="2" t="s">
        <v>10086</v>
      </c>
      <c r="H1667" s="2">
        <v>5.5999999999999999E-3</v>
      </c>
      <c r="K1667" s="2" t="s">
        <v>10089</v>
      </c>
    </row>
    <row r="1668" spans="1:11" x14ac:dyDescent="0.2">
      <c r="A1668" s="2">
        <v>418</v>
      </c>
      <c r="B1668" s="2">
        <v>2</v>
      </c>
      <c r="C1668" s="2">
        <v>240325601</v>
      </c>
      <c r="D1668" s="2">
        <v>241113279</v>
      </c>
      <c r="E1668" s="2">
        <v>2</v>
      </c>
      <c r="F1668" s="2" t="s">
        <v>10086</v>
      </c>
      <c r="H1668" s="2">
        <v>2.3999999999999998E-3</v>
      </c>
      <c r="K1668" s="2" t="s">
        <v>10088</v>
      </c>
    </row>
    <row r="1669" spans="1:11" x14ac:dyDescent="0.2">
      <c r="A1669" s="2">
        <v>418</v>
      </c>
      <c r="B1669" s="2">
        <v>2</v>
      </c>
      <c r="C1669" s="2">
        <v>240325601</v>
      </c>
      <c r="D1669" s="2">
        <v>241113279</v>
      </c>
      <c r="E1669" s="2">
        <v>3</v>
      </c>
      <c r="F1669" s="2" t="s">
        <v>10086</v>
      </c>
      <c r="H1669" s="2">
        <v>2E-3</v>
      </c>
      <c r="K1669" s="2" t="s">
        <v>10087</v>
      </c>
    </row>
    <row r="1670" spans="1:11" x14ac:dyDescent="0.2">
      <c r="A1670" s="2">
        <v>418</v>
      </c>
      <c r="B1670" s="2">
        <v>2</v>
      </c>
      <c r="C1670" s="2">
        <v>240325601</v>
      </c>
      <c r="D1670" s="2">
        <v>241113279</v>
      </c>
      <c r="E1670" s="2">
        <v>4</v>
      </c>
      <c r="F1670" s="2" t="s">
        <v>10086</v>
      </c>
      <c r="H1670" s="3">
        <v>6.9999999999999999E-4</v>
      </c>
      <c r="K1670" s="2" t="s">
        <v>10085</v>
      </c>
    </row>
    <row r="1671" spans="1:11" x14ac:dyDescent="0.2">
      <c r="A1671" s="2">
        <v>419</v>
      </c>
      <c r="B1671" s="2">
        <v>2</v>
      </c>
      <c r="C1671" s="2">
        <v>241113280</v>
      </c>
      <c r="D1671" s="2">
        <v>241910366</v>
      </c>
      <c r="E1671" s="2">
        <v>1</v>
      </c>
      <c r="F1671" s="2" t="s">
        <v>10086</v>
      </c>
      <c r="H1671" s="2">
        <v>1.0699999999999999E-2</v>
      </c>
      <c r="K1671" s="2" t="s">
        <v>12324</v>
      </c>
    </row>
    <row r="1672" spans="1:11" x14ac:dyDescent="0.2">
      <c r="A1672" s="2">
        <v>419</v>
      </c>
      <c r="B1672" s="2">
        <v>2</v>
      </c>
      <c r="C1672" s="2">
        <v>241113280</v>
      </c>
      <c r="D1672" s="2">
        <v>241910366</v>
      </c>
      <c r="E1672" s="2">
        <v>2</v>
      </c>
      <c r="F1672" s="2" t="s">
        <v>10086</v>
      </c>
      <c r="H1672" s="2">
        <v>2.2000000000000001E-3</v>
      </c>
      <c r="K1672" s="2" t="s">
        <v>10087</v>
      </c>
    </row>
    <row r="1673" spans="1:11" x14ac:dyDescent="0.2">
      <c r="A1673" s="2">
        <v>419</v>
      </c>
      <c r="B1673" s="2">
        <v>2</v>
      </c>
      <c r="C1673" s="2">
        <v>241113280</v>
      </c>
      <c r="D1673" s="2">
        <v>241910366</v>
      </c>
      <c r="E1673" s="2">
        <v>3</v>
      </c>
      <c r="F1673" s="2" t="s">
        <v>10086</v>
      </c>
      <c r="H1673" s="2">
        <v>1.1000000000000001E-3</v>
      </c>
      <c r="K1673" s="2" t="s">
        <v>10085</v>
      </c>
    </row>
    <row r="1674" spans="1:11" x14ac:dyDescent="0.2">
      <c r="A1674" s="2">
        <v>419</v>
      </c>
      <c r="B1674" s="2">
        <v>2</v>
      </c>
      <c r="C1674" s="2">
        <v>241113280</v>
      </c>
      <c r="D1674" s="2">
        <v>241910366</v>
      </c>
      <c r="E1674" s="2">
        <v>4</v>
      </c>
      <c r="F1674" s="2" t="s">
        <v>10086</v>
      </c>
      <c r="H1674" s="3">
        <v>6.9999999999999999E-4</v>
      </c>
      <c r="K1674" s="2" t="s">
        <v>10088</v>
      </c>
    </row>
    <row r="1675" spans="1:11" x14ac:dyDescent="0.2">
      <c r="A1675" s="2">
        <v>420</v>
      </c>
      <c r="B1675" s="2">
        <v>2</v>
      </c>
      <c r="C1675" s="2">
        <v>241910367</v>
      </c>
      <c r="D1675" s="2">
        <v>243188366</v>
      </c>
      <c r="E1675" s="2">
        <v>1</v>
      </c>
      <c r="F1675" s="2" t="s">
        <v>10086</v>
      </c>
      <c r="H1675" s="2">
        <v>1.01E-2</v>
      </c>
      <c r="K1675" s="2" t="s">
        <v>10089</v>
      </c>
    </row>
    <row r="1676" spans="1:11" x14ac:dyDescent="0.2">
      <c r="A1676" s="2">
        <v>420</v>
      </c>
      <c r="B1676" s="2">
        <v>2</v>
      </c>
      <c r="C1676" s="2">
        <v>241910367</v>
      </c>
      <c r="D1676" s="2">
        <v>243188366</v>
      </c>
      <c r="E1676" s="2">
        <v>2</v>
      </c>
      <c r="F1676" s="2" t="s">
        <v>10086</v>
      </c>
      <c r="H1676" s="2">
        <v>3.8E-3</v>
      </c>
      <c r="K1676" s="2" t="s">
        <v>12324</v>
      </c>
    </row>
    <row r="1677" spans="1:11" x14ac:dyDescent="0.2">
      <c r="A1677" s="2">
        <v>420</v>
      </c>
      <c r="B1677" s="2">
        <v>2</v>
      </c>
      <c r="C1677" s="2">
        <v>241910367</v>
      </c>
      <c r="D1677" s="2">
        <v>243188366</v>
      </c>
      <c r="E1677" s="2">
        <v>3</v>
      </c>
      <c r="F1677" s="2" t="s">
        <v>10086</v>
      </c>
      <c r="H1677" s="2">
        <v>1.6999999999999999E-3</v>
      </c>
      <c r="K1677" s="2" t="s">
        <v>10085</v>
      </c>
    </row>
    <row r="1678" spans="1:11" x14ac:dyDescent="0.2">
      <c r="A1678" s="2">
        <v>420</v>
      </c>
      <c r="B1678" s="2">
        <v>2</v>
      </c>
      <c r="C1678" s="2">
        <v>241910367</v>
      </c>
      <c r="D1678" s="2">
        <v>243188366</v>
      </c>
      <c r="E1678" s="2">
        <v>4</v>
      </c>
      <c r="F1678" s="2" t="s">
        <v>10086</v>
      </c>
      <c r="H1678" s="2">
        <v>1.6000000000000001E-3</v>
      </c>
      <c r="K1678" s="2" t="s">
        <v>10087</v>
      </c>
    </row>
    <row r="1679" spans="1:11" x14ac:dyDescent="0.2">
      <c r="A1679" s="2">
        <v>421</v>
      </c>
      <c r="B1679" s="2">
        <v>3</v>
      </c>
      <c r="C1679" s="2">
        <v>60197</v>
      </c>
      <c r="D1679" s="2">
        <v>795746</v>
      </c>
      <c r="E1679" s="2">
        <v>1</v>
      </c>
      <c r="F1679" s="2" t="s">
        <v>10086</v>
      </c>
      <c r="H1679" s="2">
        <v>6.7000000000000002E-3</v>
      </c>
      <c r="K1679" s="2" t="s">
        <v>10088</v>
      </c>
    </row>
    <row r="1680" spans="1:11" x14ac:dyDescent="0.2">
      <c r="A1680" s="2">
        <v>421</v>
      </c>
      <c r="B1680" s="2">
        <v>3</v>
      </c>
      <c r="C1680" s="2">
        <v>60197</v>
      </c>
      <c r="D1680" s="2">
        <v>795746</v>
      </c>
      <c r="E1680" s="2">
        <v>2</v>
      </c>
      <c r="F1680" s="2" t="s">
        <v>10086</v>
      </c>
      <c r="H1680" s="2">
        <v>1.2999999999999999E-3</v>
      </c>
      <c r="K1680" s="2" t="s">
        <v>10089</v>
      </c>
    </row>
    <row r="1681" spans="1:11" x14ac:dyDescent="0.2">
      <c r="A1681" s="2">
        <v>421</v>
      </c>
      <c r="B1681" s="2">
        <v>3</v>
      </c>
      <c r="C1681" s="2">
        <v>60197</v>
      </c>
      <c r="D1681" s="2">
        <v>795746</v>
      </c>
      <c r="E1681" s="2">
        <v>3</v>
      </c>
      <c r="F1681" s="2" t="s">
        <v>10086</v>
      </c>
      <c r="H1681" s="3">
        <v>8.9999999999999998E-4</v>
      </c>
      <c r="K1681" s="2" t="s">
        <v>10087</v>
      </c>
    </row>
    <row r="1682" spans="1:11" x14ac:dyDescent="0.2">
      <c r="A1682" s="2">
        <v>421</v>
      </c>
      <c r="B1682" s="2">
        <v>3</v>
      </c>
      <c r="C1682" s="2">
        <v>60197</v>
      </c>
      <c r="D1682" s="2">
        <v>795746</v>
      </c>
      <c r="E1682" s="2">
        <v>4</v>
      </c>
      <c r="F1682" s="2" t="s">
        <v>10086</v>
      </c>
      <c r="H1682" s="3">
        <v>4.0000000000000002E-4</v>
      </c>
      <c r="K1682" s="2" t="s">
        <v>10085</v>
      </c>
    </row>
    <row r="1683" spans="1:11" x14ac:dyDescent="0.2">
      <c r="A1683" s="2">
        <v>422</v>
      </c>
      <c r="B1683" s="2">
        <v>3</v>
      </c>
      <c r="C1683" s="2">
        <v>795747</v>
      </c>
      <c r="D1683" s="2">
        <v>1440048</v>
      </c>
      <c r="E1683" s="2">
        <v>1</v>
      </c>
      <c r="F1683" s="2" t="s">
        <v>10086</v>
      </c>
      <c r="H1683" s="2">
        <v>1.4E-3</v>
      </c>
      <c r="K1683" s="2" t="s">
        <v>10089</v>
      </c>
    </row>
    <row r="1684" spans="1:11" x14ac:dyDescent="0.2">
      <c r="A1684" s="2">
        <v>422</v>
      </c>
      <c r="B1684" s="2">
        <v>3</v>
      </c>
      <c r="C1684" s="2">
        <v>795747</v>
      </c>
      <c r="D1684" s="2">
        <v>1440048</v>
      </c>
      <c r="E1684" s="2">
        <v>2</v>
      </c>
      <c r="F1684" s="2" t="s">
        <v>10086</v>
      </c>
      <c r="H1684" s="2">
        <v>1.8E-3</v>
      </c>
      <c r="K1684" s="2" t="s">
        <v>10087</v>
      </c>
    </row>
    <row r="1685" spans="1:11" x14ac:dyDescent="0.2">
      <c r="A1685" s="2">
        <v>422</v>
      </c>
      <c r="B1685" s="2">
        <v>3</v>
      </c>
      <c r="C1685" s="2">
        <v>795747</v>
      </c>
      <c r="D1685" s="2">
        <v>1440048</v>
      </c>
      <c r="E1685" s="2">
        <v>3</v>
      </c>
      <c r="F1685" s="2" t="s">
        <v>10086</v>
      </c>
      <c r="H1685" s="2">
        <v>1.1000000000000001E-3</v>
      </c>
      <c r="K1685" s="2" t="s">
        <v>12324</v>
      </c>
    </row>
    <row r="1686" spans="1:11" x14ac:dyDescent="0.2">
      <c r="A1686" s="2">
        <v>422</v>
      </c>
      <c r="B1686" s="2">
        <v>3</v>
      </c>
      <c r="C1686" s="2">
        <v>795747</v>
      </c>
      <c r="D1686" s="2">
        <v>1440048</v>
      </c>
      <c r="E1686" s="2">
        <v>4</v>
      </c>
      <c r="F1686" s="2" t="s">
        <v>10086</v>
      </c>
      <c r="H1686" s="3">
        <v>5.0000000000000001E-4</v>
      </c>
      <c r="K1686" s="2" t="s">
        <v>10085</v>
      </c>
    </row>
    <row r="1687" spans="1:11" x14ac:dyDescent="0.2">
      <c r="A1687" s="2">
        <v>423</v>
      </c>
      <c r="B1687" s="2">
        <v>3</v>
      </c>
      <c r="C1687" s="2">
        <v>1440049</v>
      </c>
      <c r="D1687" s="2">
        <v>2140011</v>
      </c>
      <c r="E1687" s="2">
        <v>1</v>
      </c>
      <c r="F1687" s="2" t="s">
        <v>10086</v>
      </c>
      <c r="H1687" s="2">
        <v>1.8E-3</v>
      </c>
      <c r="K1687" s="2" t="s">
        <v>10089</v>
      </c>
    </row>
    <row r="1688" spans="1:11" x14ac:dyDescent="0.2">
      <c r="A1688" s="2">
        <v>423</v>
      </c>
      <c r="B1688" s="2">
        <v>3</v>
      </c>
      <c r="C1688" s="2">
        <v>1440049</v>
      </c>
      <c r="D1688" s="2">
        <v>2140011</v>
      </c>
      <c r="E1688" s="2">
        <v>2</v>
      </c>
      <c r="F1688" s="2" t="s">
        <v>10086</v>
      </c>
      <c r="H1688" s="2">
        <v>1.1999999999999999E-3</v>
      </c>
      <c r="K1688" s="2" t="s">
        <v>10087</v>
      </c>
    </row>
    <row r="1689" spans="1:11" x14ac:dyDescent="0.2">
      <c r="A1689" s="2">
        <v>423</v>
      </c>
      <c r="B1689" s="2">
        <v>3</v>
      </c>
      <c r="C1689" s="2">
        <v>1440049</v>
      </c>
      <c r="D1689" s="2">
        <v>2140011</v>
      </c>
      <c r="E1689" s="2">
        <v>3</v>
      </c>
      <c r="F1689" s="2" t="s">
        <v>10086</v>
      </c>
      <c r="H1689" s="3">
        <v>8.0000000000000004E-4</v>
      </c>
      <c r="K1689" s="2" t="s">
        <v>10088</v>
      </c>
    </row>
    <row r="1690" spans="1:11" x14ac:dyDescent="0.2">
      <c r="A1690" s="2">
        <v>423</v>
      </c>
      <c r="B1690" s="2">
        <v>3</v>
      </c>
      <c r="C1690" s="2">
        <v>1440049</v>
      </c>
      <c r="D1690" s="2">
        <v>2140011</v>
      </c>
      <c r="E1690" s="2">
        <v>4</v>
      </c>
      <c r="F1690" s="2" t="s">
        <v>10086</v>
      </c>
      <c r="H1690" s="3">
        <v>4.0000000000000002E-4</v>
      </c>
      <c r="K1690" s="2" t="s">
        <v>10085</v>
      </c>
    </row>
    <row r="1691" spans="1:11" x14ac:dyDescent="0.2">
      <c r="A1691" s="2">
        <v>424</v>
      </c>
      <c r="B1691" s="2">
        <v>3</v>
      </c>
      <c r="C1691" s="2">
        <v>2140012</v>
      </c>
      <c r="D1691" s="2">
        <v>3128152</v>
      </c>
      <c r="E1691" s="2">
        <v>1</v>
      </c>
      <c r="F1691" s="2" t="s">
        <v>10086</v>
      </c>
      <c r="H1691" s="2">
        <v>2.5999999999999999E-3</v>
      </c>
      <c r="K1691" s="2" t="s">
        <v>10089</v>
      </c>
    </row>
    <row r="1692" spans="1:11" x14ac:dyDescent="0.2">
      <c r="A1692" s="2">
        <v>424</v>
      </c>
      <c r="B1692" s="2">
        <v>3</v>
      </c>
      <c r="C1692" s="2">
        <v>2140012</v>
      </c>
      <c r="D1692" s="2">
        <v>3128152</v>
      </c>
      <c r="E1692" s="2">
        <v>2</v>
      </c>
      <c r="F1692" s="2" t="s">
        <v>10086</v>
      </c>
      <c r="H1692" s="2">
        <v>1.4E-3</v>
      </c>
      <c r="K1692" s="2" t="s">
        <v>10087</v>
      </c>
    </row>
    <row r="1693" spans="1:11" x14ac:dyDescent="0.2">
      <c r="A1693" s="2">
        <v>424</v>
      </c>
      <c r="B1693" s="2">
        <v>3</v>
      </c>
      <c r="C1693" s="2">
        <v>2140012</v>
      </c>
      <c r="D1693" s="2">
        <v>3128152</v>
      </c>
      <c r="E1693" s="2">
        <v>3</v>
      </c>
      <c r="F1693" s="2" t="s">
        <v>10086</v>
      </c>
      <c r="H1693" s="2">
        <v>1.1999999999999999E-3</v>
      </c>
      <c r="K1693" s="2" t="s">
        <v>10088</v>
      </c>
    </row>
    <row r="1694" spans="1:11" x14ac:dyDescent="0.2">
      <c r="A1694" s="2">
        <v>424</v>
      </c>
      <c r="B1694" s="2">
        <v>3</v>
      </c>
      <c r="C1694" s="2">
        <v>2140012</v>
      </c>
      <c r="D1694" s="2">
        <v>3128152</v>
      </c>
      <c r="E1694" s="2">
        <v>4</v>
      </c>
      <c r="F1694" s="2" t="s">
        <v>10086</v>
      </c>
      <c r="H1694" s="3">
        <v>5.0000000000000001E-4</v>
      </c>
      <c r="K1694" s="2" t="s">
        <v>10085</v>
      </c>
    </row>
    <row r="1695" spans="1:11" x14ac:dyDescent="0.2">
      <c r="A1695" s="2">
        <v>425</v>
      </c>
      <c r="B1695" s="2">
        <v>3</v>
      </c>
      <c r="C1695" s="2">
        <v>3128153</v>
      </c>
      <c r="D1695" s="2">
        <v>4109393</v>
      </c>
      <c r="E1695" s="2">
        <v>1</v>
      </c>
      <c r="F1695" s="2" t="s">
        <v>10086</v>
      </c>
      <c r="H1695" s="2">
        <v>8.6999999999999994E-3</v>
      </c>
      <c r="K1695" s="2" t="s">
        <v>10088</v>
      </c>
    </row>
    <row r="1696" spans="1:11" x14ac:dyDescent="0.2">
      <c r="A1696" s="2">
        <v>425</v>
      </c>
      <c r="B1696" s="2">
        <v>3</v>
      </c>
      <c r="C1696" s="2">
        <v>3128153</v>
      </c>
      <c r="D1696" s="2">
        <v>4109393</v>
      </c>
      <c r="E1696" s="2">
        <v>2</v>
      </c>
      <c r="F1696" s="2" t="s">
        <v>10086</v>
      </c>
      <c r="H1696" s="2">
        <v>1.9E-3</v>
      </c>
      <c r="K1696" s="2" t="s">
        <v>10085</v>
      </c>
    </row>
    <row r="1697" spans="1:11" x14ac:dyDescent="0.2">
      <c r="A1697" s="2">
        <v>425</v>
      </c>
      <c r="B1697" s="2">
        <v>3</v>
      </c>
      <c r="C1697" s="2">
        <v>3128153</v>
      </c>
      <c r="D1697" s="2">
        <v>4109393</v>
      </c>
      <c r="E1697" s="2">
        <v>3</v>
      </c>
      <c r="F1697" s="2" t="s">
        <v>10086</v>
      </c>
      <c r="H1697" s="2">
        <v>1.2999999999999999E-3</v>
      </c>
      <c r="K1697" s="2" t="s">
        <v>10089</v>
      </c>
    </row>
    <row r="1698" spans="1:11" x14ac:dyDescent="0.2">
      <c r="A1698" s="2">
        <v>425</v>
      </c>
      <c r="B1698" s="2">
        <v>3</v>
      </c>
      <c r="C1698" s="2">
        <v>3128153</v>
      </c>
      <c r="D1698" s="2">
        <v>4109393</v>
      </c>
      <c r="E1698" s="2">
        <v>4</v>
      </c>
      <c r="F1698" s="2" t="s">
        <v>10086</v>
      </c>
      <c r="H1698" s="3">
        <v>5.9999999999999995E-4</v>
      </c>
      <c r="K1698" s="2" t="s">
        <v>10087</v>
      </c>
    </row>
    <row r="1699" spans="1:11" x14ac:dyDescent="0.2">
      <c r="A1699" s="2">
        <v>426</v>
      </c>
      <c r="B1699" s="2">
        <v>3</v>
      </c>
      <c r="C1699" s="2">
        <v>4109394</v>
      </c>
      <c r="D1699" s="2">
        <v>4835083</v>
      </c>
      <c r="E1699" s="2">
        <v>1</v>
      </c>
      <c r="F1699" s="2" t="s">
        <v>10086</v>
      </c>
      <c r="H1699" s="2">
        <v>2E-3</v>
      </c>
      <c r="K1699" s="2" t="s">
        <v>10085</v>
      </c>
    </row>
    <row r="1700" spans="1:11" x14ac:dyDescent="0.2">
      <c r="A1700" s="2">
        <v>426</v>
      </c>
      <c r="B1700" s="2">
        <v>3</v>
      </c>
      <c r="C1700" s="2">
        <v>4109394</v>
      </c>
      <c r="D1700" s="2">
        <v>4835083</v>
      </c>
      <c r="E1700" s="2">
        <v>2</v>
      </c>
      <c r="F1700" s="2" t="s">
        <v>10086</v>
      </c>
      <c r="H1700" s="3">
        <v>5.0000000000000001E-4</v>
      </c>
      <c r="K1700" s="2" t="s">
        <v>10088</v>
      </c>
    </row>
    <row r="1701" spans="1:11" x14ac:dyDescent="0.2">
      <c r="A1701" s="2">
        <v>426</v>
      </c>
      <c r="B1701" s="2">
        <v>3</v>
      </c>
      <c r="C1701" s="2">
        <v>4109394</v>
      </c>
      <c r="D1701" s="2">
        <v>4835083</v>
      </c>
      <c r="E1701" s="2">
        <v>3</v>
      </c>
      <c r="F1701" s="2" t="s">
        <v>10086</v>
      </c>
      <c r="H1701" s="3">
        <v>8.0000000000000004E-4</v>
      </c>
      <c r="K1701" s="2" t="s">
        <v>10087</v>
      </c>
    </row>
    <row r="1702" spans="1:11" x14ac:dyDescent="0.2">
      <c r="A1702" s="2">
        <v>426</v>
      </c>
      <c r="B1702" s="2">
        <v>3</v>
      </c>
      <c r="C1702" s="2">
        <v>4109394</v>
      </c>
      <c r="D1702" s="2">
        <v>4835083</v>
      </c>
      <c r="E1702" s="2">
        <v>4</v>
      </c>
      <c r="F1702" s="2" t="s">
        <v>10086</v>
      </c>
      <c r="H1702" s="3">
        <v>4.0000000000000002E-4</v>
      </c>
      <c r="K1702" s="2" t="s">
        <v>10089</v>
      </c>
    </row>
    <row r="1703" spans="1:11" x14ac:dyDescent="0.2">
      <c r="A1703" s="2">
        <v>427</v>
      </c>
      <c r="B1703" s="2">
        <v>3</v>
      </c>
      <c r="C1703" s="2">
        <v>4835084</v>
      </c>
      <c r="D1703" s="2">
        <v>5496182</v>
      </c>
      <c r="E1703" s="2">
        <v>1</v>
      </c>
      <c r="F1703" s="2" t="s">
        <v>10086</v>
      </c>
      <c r="H1703" s="3">
        <v>8.0000000000000004E-4</v>
      </c>
      <c r="K1703" s="2" t="s">
        <v>10085</v>
      </c>
    </row>
    <row r="1704" spans="1:11" x14ac:dyDescent="0.2">
      <c r="A1704" s="2">
        <v>427</v>
      </c>
      <c r="B1704" s="2">
        <v>3</v>
      </c>
      <c r="C1704" s="2">
        <v>4835084</v>
      </c>
      <c r="D1704" s="2">
        <v>5496182</v>
      </c>
      <c r="E1704" s="2">
        <v>2</v>
      </c>
      <c r="F1704" s="2" t="s">
        <v>10086</v>
      </c>
      <c r="H1704" s="3">
        <v>6.9999999999999999E-4</v>
      </c>
      <c r="K1704" s="2" t="s">
        <v>10087</v>
      </c>
    </row>
    <row r="1705" spans="1:11" x14ac:dyDescent="0.2">
      <c r="A1705" s="2">
        <v>427</v>
      </c>
      <c r="B1705" s="2">
        <v>3</v>
      </c>
      <c r="C1705" s="2">
        <v>4835084</v>
      </c>
      <c r="D1705" s="2">
        <v>5496182</v>
      </c>
      <c r="E1705" s="2">
        <v>3</v>
      </c>
      <c r="F1705" s="2" t="s">
        <v>10086</v>
      </c>
      <c r="H1705" s="3">
        <v>5.9999999999999995E-4</v>
      </c>
      <c r="K1705" s="2" t="s">
        <v>10088</v>
      </c>
    </row>
    <row r="1706" spans="1:11" x14ac:dyDescent="0.2">
      <c r="A1706" s="2">
        <v>427</v>
      </c>
      <c r="B1706" s="2">
        <v>3</v>
      </c>
      <c r="C1706" s="2">
        <v>4835084</v>
      </c>
      <c r="D1706" s="2">
        <v>5496182</v>
      </c>
      <c r="E1706" s="2">
        <v>4</v>
      </c>
      <c r="F1706" s="2" t="s">
        <v>10086</v>
      </c>
      <c r="H1706" s="3">
        <v>4.0000000000000002E-4</v>
      </c>
      <c r="K1706" s="2" t="s">
        <v>10089</v>
      </c>
    </row>
    <row r="1707" spans="1:11" x14ac:dyDescent="0.2">
      <c r="A1707" s="2">
        <v>428</v>
      </c>
      <c r="B1707" s="2">
        <v>3</v>
      </c>
      <c r="C1707" s="2">
        <v>5496183</v>
      </c>
      <c r="D1707" s="2">
        <v>6421145</v>
      </c>
      <c r="E1707" s="2">
        <v>1</v>
      </c>
      <c r="F1707" s="2" t="s">
        <v>10086</v>
      </c>
      <c r="H1707" s="2">
        <v>2.3E-3</v>
      </c>
      <c r="K1707" s="2" t="s">
        <v>10087</v>
      </c>
    </row>
    <row r="1708" spans="1:11" x14ac:dyDescent="0.2">
      <c r="A1708" s="2">
        <v>428</v>
      </c>
      <c r="B1708" s="2">
        <v>3</v>
      </c>
      <c r="C1708" s="2">
        <v>5496183</v>
      </c>
      <c r="D1708" s="2">
        <v>6421145</v>
      </c>
      <c r="E1708" s="2">
        <v>2</v>
      </c>
      <c r="F1708" s="2" t="s">
        <v>10086</v>
      </c>
      <c r="H1708" s="2">
        <v>2.5999999999999999E-3</v>
      </c>
      <c r="K1708" s="2" t="s">
        <v>10089</v>
      </c>
    </row>
    <row r="1709" spans="1:11" x14ac:dyDescent="0.2">
      <c r="A1709" s="2">
        <v>428</v>
      </c>
      <c r="B1709" s="2">
        <v>3</v>
      </c>
      <c r="C1709" s="2">
        <v>5496183</v>
      </c>
      <c r="D1709" s="2">
        <v>6421145</v>
      </c>
      <c r="E1709" s="2">
        <v>3</v>
      </c>
      <c r="F1709" s="2" t="s">
        <v>10086</v>
      </c>
      <c r="H1709" s="2">
        <v>1.4E-3</v>
      </c>
      <c r="K1709" s="2" t="s">
        <v>10085</v>
      </c>
    </row>
    <row r="1710" spans="1:11" x14ac:dyDescent="0.2">
      <c r="A1710" s="2">
        <v>428</v>
      </c>
      <c r="B1710" s="2">
        <v>3</v>
      </c>
      <c r="C1710" s="2">
        <v>5496183</v>
      </c>
      <c r="D1710" s="2">
        <v>6421145</v>
      </c>
      <c r="E1710" s="2">
        <v>4</v>
      </c>
      <c r="F1710" s="2" t="s">
        <v>10086</v>
      </c>
      <c r="H1710" s="3">
        <v>8.9999999999999998E-4</v>
      </c>
      <c r="K1710" s="2" t="s">
        <v>10088</v>
      </c>
    </row>
    <row r="1711" spans="1:11" x14ac:dyDescent="0.2">
      <c r="A1711" s="2">
        <v>429</v>
      </c>
      <c r="B1711" s="2">
        <v>3</v>
      </c>
      <c r="C1711" s="2">
        <v>6421146</v>
      </c>
      <c r="D1711" s="2">
        <v>7529554</v>
      </c>
      <c r="E1711" s="2">
        <v>1</v>
      </c>
      <c r="F1711" s="2" t="s">
        <v>10086</v>
      </c>
      <c r="H1711" s="2">
        <v>5.0900000000000001E-2</v>
      </c>
      <c r="K1711" s="2" t="s">
        <v>12324</v>
      </c>
    </row>
    <row r="1712" spans="1:11" x14ac:dyDescent="0.2">
      <c r="A1712" s="2">
        <v>429</v>
      </c>
      <c r="B1712" s="2">
        <v>3</v>
      </c>
      <c r="C1712" s="2">
        <v>6421146</v>
      </c>
      <c r="D1712" s="2">
        <v>7529554</v>
      </c>
      <c r="E1712" s="2">
        <v>2</v>
      </c>
      <c r="F1712" s="2" t="s">
        <v>10086</v>
      </c>
      <c r="H1712" s="2">
        <v>4.5999999999999999E-3</v>
      </c>
      <c r="K1712" s="2" t="s">
        <v>10087</v>
      </c>
    </row>
    <row r="1713" spans="1:11" x14ac:dyDescent="0.2">
      <c r="A1713" s="2">
        <v>429</v>
      </c>
      <c r="B1713" s="2">
        <v>3</v>
      </c>
      <c r="C1713" s="2">
        <v>6421146</v>
      </c>
      <c r="D1713" s="2">
        <v>7529554</v>
      </c>
      <c r="E1713" s="2">
        <v>3</v>
      </c>
      <c r="F1713" s="2" t="s">
        <v>10086</v>
      </c>
      <c r="H1713" s="2">
        <v>1.8E-3</v>
      </c>
      <c r="K1713" s="2" t="s">
        <v>10089</v>
      </c>
    </row>
    <row r="1714" spans="1:11" x14ac:dyDescent="0.2">
      <c r="A1714" s="2">
        <v>429</v>
      </c>
      <c r="B1714" s="2">
        <v>3</v>
      </c>
      <c r="C1714" s="2">
        <v>6421146</v>
      </c>
      <c r="D1714" s="2">
        <v>7529554</v>
      </c>
      <c r="E1714" s="2">
        <v>4</v>
      </c>
      <c r="F1714" s="2" t="s">
        <v>10086</v>
      </c>
      <c r="H1714" s="2">
        <v>1.1000000000000001E-3</v>
      </c>
      <c r="K1714" s="2" t="s">
        <v>10088</v>
      </c>
    </row>
    <row r="1715" spans="1:11" x14ac:dyDescent="0.2">
      <c r="A1715" s="2">
        <v>430</v>
      </c>
      <c r="B1715" s="2">
        <v>3</v>
      </c>
      <c r="C1715" s="2">
        <v>7529555</v>
      </c>
      <c r="D1715" s="2">
        <v>8664892</v>
      </c>
      <c r="E1715" s="2">
        <v>1</v>
      </c>
      <c r="F1715" s="2" t="s">
        <v>10086</v>
      </c>
      <c r="H1715" s="2">
        <v>1.4E-3</v>
      </c>
      <c r="K1715" s="2" t="s">
        <v>10089</v>
      </c>
    </row>
    <row r="1716" spans="1:11" x14ac:dyDescent="0.2">
      <c r="A1716" s="2">
        <v>430</v>
      </c>
      <c r="B1716" s="2">
        <v>3</v>
      </c>
      <c r="C1716" s="2">
        <v>7529555</v>
      </c>
      <c r="D1716" s="2">
        <v>8664892</v>
      </c>
      <c r="E1716" s="2">
        <v>2</v>
      </c>
      <c r="F1716" s="2" t="s">
        <v>10086</v>
      </c>
      <c r="H1716" s="2">
        <v>1.6000000000000001E-3</v>
      </c>
      <c r="K1716" s="2" t="s">
        <v>10087</v>
      </c>
    </row>
    <row r="1717" spans="1:11" x14ac:dyDescent="0.2">
      <c r="A1717" s="2">
        <v>430</v>
      </c>
      <c r="B1717" s="2">
        <v>3</v>
      </c>
      <c r="C1717" s="2">
        <v>7529555</v>
      </c>
      <c r="D1717" s="2">
        <v>8664892</v>
      </c>
      <c r="E1717" s="2">
        <v>3</v>
      </c>
      <c r="F1717" s="2" t="s">
        <v>10086</v>
      </c>
      <c r="H1717" s="2">
        <v>1E-3</v>
      </c>
      <c r="K1717" s="2" t="s">
        <v>10088</v>
      </c>
    </row>
    <row r="1718" spans="1:11" x14ac:dyDescent="0.2">
      <c r="A1718" s="2">
        <v>430</v>
      </c>
      <c r="B1718" s="2">
        <v>3</v>
      </c>
      <c r="C1718" s="2">
        <v>7529555</v>
      </c>
      <c r="D1718" s="2">
        <v>8664892</v>
      </c>
      <c r="E1718" s="2">
        <v>4</v>
      </c>
      <c r="F1718" s="2" t="s">
        <v>10086</v>
      </c>
      <c r="H1718" s="3">
        <v>5.0000000000000001E-4</v>
      </c>
      <c r="K1718" s="2" t="s">
        <v>10085</v>
      </c>
    </row>
    <row r="1719" spans="1:11" x14ac:dyDescent="0.2">
      <c r="A1719" s="2">
        <v>431</v>
      </c>
      <c r="B1719" s="2">
        <v>3</v>
      </c>
      <c r="C1719" s="2">
        <v>8664893</v>
      </c>
      <c r="D1719" s="2">
        <v>9970731</v>
      </c>
      <c r="E1719" s="2">
        <v>1</v>
      </c>
      <c r="F1719" s="2" t="s">
        <v>10086</v>
      </c>
      <c r="H1719" s="2">
        <v>1.5E-3</v>
      </c>
      <c r="K1719" s="2" t="s">
        <v>10085</v>
      </c>
    </row>
    <row r="1720" spans="1:11" x14ac:dyDescent="0.2">
      <c r="A1720" s="2">
        <v>431</v>
      </c>
      <c r="B1720" s="2">
        <v>3</v>
      </c>
      <c r="C1720" s="2">
        <v>8664893</v>
      </c>
      <c r="D1720" s="2">
        <v>9970731</v>
      </c>
      <c r="E1720" s="2">
        <v>2</v>
      </c>
      <c r="F1720" s="2" t="s">
        <v>10086</v>
      </c>
      <c r="H1720" s="2">
        <v>1.5E-3</v>
      </c>
      <c r="K1720" s="2" t="s">
        <v>10088</v>
      </c>
    </row>
    <row r="1721" spans="1:11" x14ac:dyDescent="0.2">
      <c r="A1721" s="2">
        <v>431</v>
      </c>
      <c r="B1721" s="2">
        <v>3</v>
      </c>
      <c r="C1721" s="2">
        <v>8664893</v>
      </c>
      <c r="D1721" s="2">
        <v>9970731</v>
      </c>
      <c r="E1721" s="2">
        <v>3</v>
      </c>
      <c r="F1721" s="2" t="s">
        <v>10086</v>
      </c>
      <c r="H1721" s="2">
        <v>1E-3</v>
      </c>
      <c r="K1721" s="2" t="s">
        <v>10089</v>
      </c>
    </row>
    <row r="1722" spans="1:11" x14ac:dyDescent="0.2">
      <c r="A1722" s="2">
        <v>431</v>
      </c>
      <c r="B1722" s="2">
        <v>3</v>
      </c>
      <c r="C1722" s="2">
        <v>8664893</v>
      </c>
      <c r="D1722" s="2">
        <v>9970731</v>
      </c>
      <c r="E1722" s="2">
        <v>4</v>
      </c>
      <c r="F1722" s="2" t="s">
        <v>10086</v>
      </c>
      <c r="H1722" s="3">
        <v>5.0000000000000001E-4</v>
      </c>
      <c r="K1722" s="2" t="s">
        <v>10087</v>
      </c>
    </row>
    <row r="1723" spans="1:11" x14ac:dyDescent="0.2">
      <c r="A1723" s="2">
        <v>432</v>
      </c>
      <c r="B1723" s="2">
        <v>3</v>
      </c>
      <c r="C1723" s="2">
        <v>9970732</v>
      </c>
      <c r="D1723" s="2">
        <v>11226367</v>
      </c>
      <c r="E1723" s="2">
        <v>1</v>
      </c>
      <c r="F1723" s="2" t="s">
        <v>10086</v>
      </c>
      <c r="H1723" s="2">
        <v>4.4000000000000003E-3</v>
      </c>
      <c r="K1723" s="2" t="s">
        <v>10089</v>
      </c>
    </row>
    <row r="1724" spans="1:11" x14ac:dyDescent="0.2">
      <c r="A1724" s="2">
        <v>432</v>
      </c>
      <c r="B1724" s="2">
        <v>3</v>
      </c>
      <c r="C1724" s="2">
        <v>9970732</v>
      </c>
      <c r="D1724" s="2">
        <v>11226367</v>
      </c>
      <c r="E1724" s="2">
        <v>2</v>
      </c>
      <c r="F1724" s="2" t="s">
        <v>10086</v>
      </c>
      <c r="H1724" s="2">
        <v>2.2000000000000001E-3</v>
      </c>
      <c r="K1724" s="2" t="s">
        <v>10088</v>
      </c>
    </row>
    <row r="1725" spans="1:11" x14ac:dyDescent="0.2">
      <c r="A1725" s="2">
        <v>432</v>
      </c>
      <c r="B1725" s="2">
        <v>3</v>
      </c>
      <c r="C1725" s="2">
        <v>9970732</v>
      </c>
      <c r="D1725" s="2">
        <v>11226367</v>
      </c>
      <c r="E1725" s="2">
        <v>3</v>
      </c>
      <c r="F1725" s="2" t="s">
        <v>10086</v>
      </c>
      <c r="H1725" s="2">
        <v>1.2999999999999999E-3</v>
      </c>
      <c r="K1725" s="2" t="s">
        <v>10087</v>
      </c>
    </row>
    <row r="1726" spans="1:11" x14ac:dyDescent="0.2">
      <c r="A1726" s="2">
        <v>432</v>
      </c>
      <c r="B1726" s="2">
        <v>3</v>
      </c>
      <c r="C1726" s="2">
        <v>9970732</v>
      </c>
      <c r="D1726" s="2">
        <v>11226367</v>
      </c>
      <c r="E1726" s="2">
        <v>4</v>
      </c>
      <c r="F1726" s="2" t="s">
        <v>10086</v>
      </c>
      <c r="H1726" s="3">
        <v>6.9999999999999999E-4</v>
      </c>
      <c r="K1726" s="2" t="s">
        <v>10085</v>
      </c>
    </row>
    <row r="1727" spans="1:11" x14ac:dyDescent="0.2">
      <c r="A1727" s="2">
        <v>433</v>
      </c>
      <c r="B1727" s="2">
        <v>3</v>
      </c>
      <c r="C1727" s="2">
        <v>11226368</v>
      </c>
      <c r="D1727" s="2">
        <v>11997658</v>
      </c>
      <c r="E1727" s="2">
        <v>1</v>
      </c>
      <c r="F1727" s="2" t="s">
        <v>10086</v>
      </c>
      <c r="H1727" s="2">
        <v>2.3999999999999998E-3</v>
      </c>
      <c r="K1727" s="2" t="s">
        <v>10087</v>
      </c>
    </row>
    <row r="1728" spans="1:11" x14ac:dyDescent="0.2">
      <c r="A1728" s="2">
        <v>433</v>
      </c>
      <c r="B1728" s="2">
        <v>3</v>
      </c>
      <c r="C1728" s="2">
        <v>11226368</v>
      </c>
      <c r="D1728" s="2">
        <v>11997658</v>
      </c>
      <c r="E1728" s="2">
        <v>2</v>
      </c>
      <c r="F1728" s="2" t="s">
        <v>10086</v>
      </c>
      <c r="H1728" s="2">
        <v>3.8E-3</v>
      </c>
      <c r="K1728" s="2" t="s">
        <v>10088</v>
      </c>
    </row>
    <row r="1729" spans="1:11" x14ac:dyDescent="0.2">
      <c r="A1729" s="2">
        <v>433</v>
      </c>
      <c r="B1729" s="2">
        <v>3</v>
      </c>
      <c r="C1729" s="2">
        <v>11226368</v>
      </c>
      <c r="D1729" s="2">
        <v>11997658</v>
      </c>
      <c r="E1729" s="2">
        <v>3</v>
      </c>
      <c r="F1729" s="2" t="s">
        <v>10086</v>
      </c>
      <c r="H1729" s="2">
        <v>1.5E-3</v>
      </c>
      <c r="K1729" s="2" t="s">
        <v>10089</v>
      </c>
    </row>
    <row r="1730" spans="1:11" x14ac:dyDescent="0.2">
      <c r="A1730" s="2">
        <v>433</v>
      </c>
      <c r="B1730" s="2">
        <v>3</v>
      </c>
      <c r="C1730" s="2">
        <v>11226368</v>
      </c>
      <c r="D1730" s="2">
        <v>11997658</v>
      </c>
      <c r="E1730" s="2">
        <v>4</v>
      </c>
      <c r="F1730" s="2" t="s">
        <v>10086</v>
      </c>
      <c r="H1730" s="3">
        <v>8.9999999999999998E-4</v>
      </c>
      <c r="K1730" s="2" t="s">
        <v>12324</v>
      </c>
    </row>
    <row r="1731" spans="1:11" x14ac:dyDescent="0.2">
      <c r="A1731" s="2">
        <v>434</v>
      </c>
      <c r="B1731" s="2">
        <v>3</v>
      </c>
      <c r="C1731" s="2">
        <v>11997659</v>
      </c>
      <c r="D1731" s="2">
        <v>12859209</v>
      </c>
      <c r="E1731" s="2">
        <v>1</v>
      </c>
      <c r="F1731" s="2" t="s">
        <v>10086</v>
      </c>
      <c r="H1731" s="3">
        <v>8.0000000000000004E-4</v>
      </c>
      <c r="K1731" s="2" t="s">
        <v>10088</v>
      </c>
    </row>
    <row r="1732" spans="1:11" x14ac:dyDescent="0.2">
      <c r="A1732" s="2">
        <v>434</v>
      </c>
      <c r="B1732" s="2">
        <v>3</v>
      </c>
      <c r="C1732" s="2">
        <v>11997659</v>
      </c>
      <c r="D1732" s="2">
        <v>12859209</v>
      </c>
      <c r="E1732" s="2">
        <v>2</v>
      </c>
      <c r="F1732" s="2" t="s">
        <v>10086</v>
      </c>
      <c r="H1732" s="3">
        <v>8.0000000000000004E-4</v>
      </c>
      <c r="K1732" s="2" t="s">
        <v>10085</v>
      </c>
    </row>
    <row r="1733" spans="1:11" x14ac:dyDescent="0.2">
      <c r="A1733" s="2">
        <v>434</v>
      </c>
      <c r="B1733" s="2">
        <v>3</v>
      </c>
      <c r="C1733" s="2">
        <v>11997659</v>
      </c>
      <c r="D1733" s="2">
        <v>12859209</v>
      </c>
      <c r="E1733" s="2">
        <v>3</v>
      </c>
      <c r="F1733" s="2" t="s">
        <v>10086</v>
      </c>
      <c r="H1733" s="3">
        <v>8.0000000000000004E-4</v>
      </c>
      <c r="K1733" s="2" t="s">
        <v>12324</v>
      </c>
    </row>
    <row r="1734" spans="1:11" x14ac:dyDescent="0.2">
      <c r="A1734" s="2">
        <v>434</v>
      </c>
      <c r="B1734" s="2">
        <v>3</v>
      </c>
      <c r="C1734" s="2">
        <v>11997659</v>
      </c>
      <c r="D1734" s="2">
        <v>12859209</v>
      </c>
      <c r="E1734" s="2">
        <v>4</v>
      </c>
      <c r="F1734" s="2" t="s">
        <v>10086</v>
      </c>
      <c r="H1734" s="3">
        <v>5.0000000000000001E-4</v>
      </c>
      <c r="K1734" s="2" t="s">
        <v>10087</v>
      </c>
    </row>
    <row r="1735" spans="1:11" x14ac:dyDescent="0.2">
      <c r="A1735" s="2">
        <v>435</v>
      </c>
      <c r="B1735" s="2">
        <v>3</v>
      </c>
      <c r="C1735" s="2">
        <v>12859210</v>
      </c>
      <c r="D1735" s="2">
        <v>14312007</v>
      </c>
      <c r="E1735" s="2">
        <v>1</v>
      </c>
      <c r="F1735" s="2" t="s">
        <v>10086</v>
      </c>
      <c r="H1735" s="2">
        <v>2E-3</v>
      </c>
      <c r="K1735" s="2" t="s">
        <v>10088</v>
      </c>
    </row>
    <row r="1736" spans="1:11" x14ac:dyDescent="0.2">
      <c r="A1736" s="2">
        <v>435</v>
      </c>
      <c r="B1736" s="2">
        <v>3</v>
      </c>
      <c r="C1736" s="2">
        <v>12859210</v>
      </c>
      <c r="D1736" s="2">
        <v>14312007</v>
      </c>
      <c r="E1736" s="2">
        <v>2</v>
      </c>
      <c r="F1736" s="2" t="s">
        <v>10086</v>
      </c>
      <c r="H1736" s="2">
        <v>1.2999999999999999E-3</v>
      </c>
      <c r="K1736" s="2" t="s">
        <v>10087</v>
      </c>
    </row>
    <row r="1737" spans="1:11" x14ac:dyDescent="0.2">
      <c r="A1737" s="2">
        <v>435</v>
      </c>
      <c r="B1737" s="2">
        <v>3</v>
      </c>
      <c r="C1737" s="2">
        <v>12859210</v>
      </c>
      <c r="D1737" s="2">
        <v>14312007</v>
      </c>
      <c r="E1737" s="2">
        <v>3</v>
      </c>
      <c r="F1737" s="2" t="s">
        <v>10086</v>
      </c>
      <c r="H1737" s="2">
        <v>2.5999999999999999E-3</v>
      </c>
      <c r="K1737" s="2" t="s">
        <v>12324</v>
      </c>
    </row>
    <row r="1738" spans="1:11" x14ac:dyDescent="0.2">
      <c r="A1738" s="2">
        <v>435</v>
      </c>
      <c r="B1738" s="2">
        <v>3</v>
      </c>
      <c r="C1738" s="2">
        <v>12859210</v>
      </c>
      <c r="D1738" s="2">
        <v>14312007</v>
      </c>
      <c r="E1738" s="2">
        <v>4</v>
      </c>
      <c r="F1738" s="2" t="s">
        <v>10086</v>
      </c>
      <c r="H1738" s="2">
        <v>1.1999999999999999E-3</v>
      </c>
      <c r="K1738" s="2" t="s">
        <v>10089</v>
      </c>
    </row>
    <row r="1739" spans="1:11" x14ac:dyDescent="0.2">
      <c r="A1739" s="2">
        <v>436</v>
      </c>
      <c r="B1739" s="2">
        <v>3</v>
      </c>
      <c r="C1739" s="2">
        <v>14312008</v>
      </c>
      <c r="D1739" s="2">
        <v>15150876</v>
      </c>
      <c r="E1739" s="2">
        <v>1</v>
      </c>
      <c r="F1739" s="2" t="s">
        <v>10086</v>
      </c>
      <c r="H1739" s="2">
        <v>1.2999999999999999E-2</v>
      </c>
      <c r="K1739" s="2" t="s">
        <v>10089</v>
      </c>
    </row>
    <row r="1740" spans="1:11" x14ac:dyDescent="0.2">
      <c r="A1740" s="2">
        <v>436</v>
      </c>
      <c r="B1740" s="2">
        <v>3</v>
      </c>
      <c r="C1740" s="2">
        <v>14312008</v>
      </c>
      <c r="D1740" s="2">
        <v>15150876</v>
      </c>
      <c r="E1740" s="2">
        <v>2</v>
      </c>
      <c r="F1740" s="2" t="s">
        <v>10086</v>
      </c>
      <c r="H1740" s="2">
        <v>2.3999999999999998E-3</v>
      </c>
      <c r="K1740" s="2" t="s">
        <v>10088</v>
      </c>
    </row>
    <row r="1741" spans="1:11" x14ac:dyDescent="0.2">
      <c r="A1741" s="2">
        <v>436</v>
      </c>
      <c r="B1741" s="2">
        <v>3</v>
      </c>
      <c r="C1741" s="2">
        <v>14312008</v>
      </c>
      <c r="D1741" s="2">
        <v>15150876</v>
      </c>
      <c r="E1741" s="2">
        <v>3</v>
      </c>
      <c r="F1741" s="2" t="s">
        <v>10086</v>
      </c>
      <c r="H1741" s="3">
        <v>6.9999999999999999E-4</v>
      </c>
      <c r="K1741" s="2" t="s">
        <v>10085</v>
      </c>
    </row>
    <row r="1742" spans="1:11" x14ac:dyDescent="0.2">
      <c r="A1742" s="2">
        <v>436</v>
      </c>
      <c r="B1742" s="2">
        <v>3</v>
      </c>
      <c r="C1742" s="2">
        <v>14312008</v>
      </c>
      <c r="D1742" s="2">
        <v>15150876</v>
      </c>
      <c r="E1742" s="2">
        <v>4</v>
      </c>
      <c r="F1742" s="2" t="s">
        <v>10086</v>
      </c>
      <c r="H1742" s="3">
        <v>5.0000000000000001E-4</v>
      </c>
      <c r="K1742" s="2" t="s">
        <v>12324</v>
      </c>
    </row>
    <row r="1743" spans="1:11" x14ac:dyDescent="0.2">
      <c r="A1743" s="2">
        <v>437</v>
      </c>
      <c r="B1743" s="2">
        <v>3</v>
      </c>
      <c r="C1743" s="2">
        <v>15150877</v>
      </c>
      <c r="D1743" s="2">
        <v>16084005</v>
      </c>
      <c r="E1743" s="2">
        <v>1</v>
      </c>
      <c r="F1743" s="2" t="s">
        <v>10086</v>
      </c>
      <c r="H1743" s="2">
        <v>2.2000000000000001E-3</v>
      </c>
      <c r="K1743" s="2" t="s">
        <v>10088</v>
      </c>
    </row>
    <row r="1744" spans="1:11" x14ac:dyDescent="0.2">
      <c r="A1744" s="2">
        <v>437</v>
      </c>
      <c r="B1744" s="2">
        <v>3</v>
      </c>
      <c r="C1744" s="2">
        <v>15150877</v>
      </c>
      <c r="D1744" s="2">
        <v>16084005</v>
      </c>
      <c r="E1744" s="2">
        <v>2</v>
      </c>
      <c r="F1744" s="2" t="s">
        <v>10086</v>
      </c>
      <c r="H1744" s="2">
        <v>1.4E-3</v>
      </c>
      <c r="K1744" s="2" t="s">
        <v>10085</v>
      </c>
    </row>
    <row r="1745" spans="1:11" x14ac:dyDescent="0.2">
      <c r="A1745" s="2">
        <v>437</v>
      </c>
      <c r="B1745" s="2">
        <v>3</v>
      </c>
      <c r="C1745" s="2">
        <v>15150877</v>
      </c>
      <c r="D1745" s="2">
        <v>16084005</v>
      </c>
      <c r="E1745" s="2">
        <v>3</v>
      </c>
      <c r="F1745" s="2" t="s">
        <v>10086</v>
      </c>
      <c r="H1745" s="3">
        <v>8.0000000000000004E-4</v>
      </c>
      <c r="K1745" s="2" t="s">
        <v>10087</v>
      </c>
    </row>
    <row r="1746" spans="1:11" x14ac:dyDescent="0.2">
      <c r="A1746" s="2">
        <v>437</v>
      </c>
      <c r="B1746" s="2">
        <v>3</v>
      </c>
      <c r="C1746" s="2">
        <v>15150877</v>
      </c>
      <c r="D1746" s="2">
        <v>16084005</v>
      </c>
      <c r="E1746" s="2">
        <v>4</v>
      </c>
      <c r="F1746" s="2" t="s">
        <v>10086</v>
      </c>
      <c r="H1746" s="3">
        <v>5.0000000000000001E-4</v>
      </c>
      <c r="K1746" s="2" t="s">
        <v>12324</v>
      </c>
    </row>
    <row r="1747" spans="1:11" x14ac:dyDescent="0.2">
      <c r="A1747" s="2">
        <v>438</v>
      </c>
      <c r="B1747" s="2">
        <v>3</v>
      </c>
      <c r="C1747" s="2">
        <v>16084006</v>
      </c>
      <c r="D1747" s="2">
        <v>17182494</v>
      </c>
      <c r="E1747" s="2">
        <v>1</v>
      </c>
      <c r="F1747" s="2" t="s">
        <v>10086</v>
      </c>
      <c r="H1747" s="2">
        <v>1.4E-3</v>
      </c>
      <c r="K1747" s="2" t="s">
        <v>10089</v>
      </c>
    </row>
    <row r="1748" spans="1:11" x14ac:dyDescent="0.2">
      <c r="A1748" s="2">
        <v>438</v>
      </c>
      <c r="B1748" s="2">
        <v>3</v>
      </c>
      <c r="C1748" s="2">
        <v>16084006</v>
      </c>
      <c r="D1748" s="2">
        <v>17182494</v>
      </c>
      <c r="E1748" s="2">
        <v>2</v>
      </c>
      <c r="F1748" s="2" t="s">
        <v>10086</v>
      </c>
      <c r="H1748" s="2">
        <v>1.1999999999999999E-3</v>
      </c>
      <c r="K1748" s="2" t="s">
        <v>10085</v>
      </c>
    </row>
    <row r="1749" spans="1:11" x14ac:dyDescent="0.2">
      <c r="A1749" s="2">
        <v>438</v>
      </c>
      <c r="B1749" s="2">
        <v>3</v>
      </c>
      <c r="C1749" s="2">
        <v>16084006</v>
      </c>
      <c r="D1749" s="2">
        <v>17182494</v>
      </c>
      <c r="E1749" s="2">
        <v>3</v>
      </c>
      <c r="F1749" s="2" t="s">
        <v>10086</v>
      </c>
      <c r="H1749" s="2">
        <v>1.1000000000000001E-3</v>
      </c>
      <c r="K1749" s="2" t="s">
        <v>10088</v>
      </c>
    </row>
    <row r="1750" spans="1:11" x14ac:dyDescent="0.2">
      <c r="A1750" s="2">
        <v>438</v>
      </c>
      <c r="B1750" s="2">
        <v>3</v>
      </c>
      <c r="C1750" s="2">
        <v>16084006</v>
      </c>
      <c r="D1750" s="2">
        <v>17182494</v>
      </c>
      <c r="E1750" s="2">
        <v>4</v>
      </c>
      <c r="F1750" s="2" t="s">
        <v>10086</v>
      </c>
      <c r="H1750" s="3">
        <v>8.9999999999999998E-4</v>
      </c>
      <c r="K1750" s="2" t="s">
        <v>10087</v>
      </c>
    </row>
    <row r="1751" spans="1:11" x14ac:dyDescent="0.2">
      <c r="A1751" s="2">
        <v>439</v>
      </c>
      <c r="B1751" s="2">
        <v>3</v>
      </c>
      <c r="C1751" s="2">
        <v>17182495</v>
      </c>
      <c r="D1751" s="2">
        <v>19030988</v>
      </c>
      <c r="E1751" s="2">
        <v>1</v>
      </c>
      <c r="F1751" s="2" t="s">
        <v>10086</v>
      </c>
      <c r="H1751" s="2">
        <v>3.3E-3</v>
      </c>
      <c r="K1751" s="2" t="s">
        <v>10085</v>
      </c>
    </row>
    <row r="1752" spans="1:11" x14ac:dyDescent="0.2">
      <c r="A1752" s="2">
        <v>439</v>
      </c>
      <c r="B1752" s="2">
        <v>3</v>
      </c>
      <c r="C1752" s="2">
        <v>17182495</v>
      </c>
      <c r="D1752" s="2">
        <v>19030988</v>
      </c>
      <c r="E1752" s="2">
        <v>2</v>
      </c>
      <c r="F1752" s="2" t="s">
        <v>10086</v>
      </c>
      <c r="H1752" s="2">
        <v>3.0999999999999999E-3</v>
      </c>
      <c r="K1752" s="2" t="s">
        <v>10087</v>
      </c>
    </row>
    <row r="1753" spans="1:11" x14ac:dyDescent="0.2">
      <c r="A1753" s="2">
        <v>439</v>
      </c>
      <c r="B1753" s="2">
        <v>3</v>
      </c>
      <c r="C1753" s="2">
        <v>17182495</v>
      </c>
      <c r="D1753" s="2">
        <v>19030988</v>
      </c>
      <c r="E1753" s="2">
        <v>3</v>
      </c>
      <c r="F1753" s="2" t="s">
        <v>10086</v>
      </c>
      <c r="H1753" s="2">
        <v>2.5999999999999999E-3</v>
      </c>
      <c r="K1753" s="2" t="s">
        <v>10088</v>
      </c>
    </row>
    <row r="1754" spans="1:11" x14ac:dyDescent="0.2">
      <c r="A1754" s="2">
        <v>439</v>
      </c>
      <c r="B1754" s="2">
        <v>3</v>
      </c>
      <c r="C1754" s="2">
        <v>17182495</v>
      </c>
      <c r="D1754" s="2">
        <v>19030988</v>
      </c>
      <c r="E1754" s="2">
        <v>4</v>
      </c>
      <c r="F1754" s="2" t="s">
        <v>10086</v>
      </c>
      <c r="H1754" s="3">
        <v>6.9999999999999999E-4</v>
      </c>
      <c r="K1754" s="2" t="s">
        <v>10089</v>
      </c>
    </row>
    <row r="1755" spans="1:11" x14ac:dyDescent="0.2">
      <c r="A1755" s="2">
        <v>440</v>
      </c>
      <c r="B1755" s="2">
        <v>3</v>
      </c>
      <c r="C1755" s="2">
        <v>19030989</v>
      </c>
      <c r="D1755" s="2">
        <v>20754842</v>
      </c>
      <c r="E1755" s="2">
        <v>1</v>
      </c>
      <c r="F1755" s="2" t="s">
        <v>10086</v>
      </c>
      <c r="H1755" s="2">
        <v>4.3E-3</v>
      </c>
      <c r="K1755" s="2" t="s">
        <v>10088</v>
      </c>
    </row>
    <row r="1756" spans="1:11" x14ac:dyDescent="0.2">
      <c r="A1756" s="2">
        <v>440</v>
      </c>
      <c r="B1756" s="2">
        <v>3</v>
      </c>
      <c r="C1756" s="2">
        <v>19030989</v>
      </c>
      <c r="D1756" s="2">
        <v>20754842</v>
      </c>
      <c r="E1756" s="2">
        <v>2</v>
      </c>
      <c r="F1756" s="2" t="s">
        <v>10086</v>
      </c>
      <c r="H1756" s="2">
        <v>1.8E-3</v>
      </c>
      <c r="K1756" s="2" t="s">
        <v>10089</v>
      </c>
    </row>
    <row r="1757" spans="1:11" x14ac:dyDescent="0.2">
      <c r="A1757" s="2">
        <v>440</v>
      </c>
      <c r="B1757" s="2">
        <v>3</v>
      </c>
      <c r="C1757" s="2">
        <v>19030989</v>
      </c>
      <c r="D1757" s="2">
        <v>20754842</v>
      </c>
      <c r="E1757" s="2">
        <v>3</v>
      </c>
      <c r="F1757" s="2" t="s">
        <v>10086</v>
      </c>
      <c r="H1757" s="2">
        <v>1.5E-3</v>
      </c>
      <c r="K1757" s="2" t="s">
        <v>10085</v>
      </c>
    </row>
    <row r="1758" spans="1:11" x14ac:dyDescent="0.2">
      <c r="A1758" s="2">
        <v>440</v>
      </c>
      <c r="B1758" s="2">
        <v>3</v>
      </c>
      <c r="C1758" s="2">
        <v>19030989</v>
      </c>
      <c r="D1758" s="2">
        <v>20754842</v>
      </c>
      <c r="E1758" s="2">
        <v>4</v>
      </c>
      <c r="F1758" s="2" t="s">
        <v>10086</v>
      </c>
      <c r="H1758" s="3">
        <v>6.9999999999999999E-4</v>
      </c>
      <c r="K1758" s="2" t="s">
        <v>10087</v>
      </c>
    </row>
    <row r="1759" spans="1:11" x14ac:dyDescent="0.2">
      <c r="A1759" s="2">
        <v>441</v>
      </c>
      <c r="B1759" s="2">
        <v>3</v>
      </c>
      <c r="C1759" s="2">
        <v>20754843</v>
      </c>
      <c r="D1759" s="2">
        <v>21790867</v>
      </c>
      <c r="E1759" s="2">
        <v>1</v>
      </c>
      <c r="F1759" s="2" t="s">
        <v>10086</v>
      </c>
      <c r="H1759" s="2">
        <v>2.8999999999999998E-3</v>
      </c>
      <c r="K1759" s="2" t="s">
        <v>10088</v>
      </c>
    </row>
    <row r="1760" spans="1:11" x14ac:dyDescent="0.2">
      <c r="A1760" s="2">
        <v>441</v>
      </c>
      <c r="B1760" s="2">
        <v>3</v>
      </c>
      <c r="C1760" s="2">
        <v>20754843</v>
      </c>
      <c r="D1760" s="2">
        <v>21790867</v>
      </c>
      <c r="E1760" s="2">
        <v>2</v>
      </c>
      <c r="F1760" s="2" t="s">
        <v>10086</v>
      </c>
      <c r="H1760" s="2">
        <v>2.2000000000000001E-3</v>
      </c>
      <c r="K1760" s="2" t="s">
        <v>10085</v>
      </c>
    </row>
    <row r="1761" spans="1:11" x14ac:dyDescent="0.2">
      <c r="A1761" s="2">
        <v>441</v>
      </c>
      <c r="B1761" s="2">
        <v>3</v>
      </c>
      <c r="C1761" s="2">
        <v>20754843</v>
      </c>
      <c r="D1761" s="2">
        <v>21790867</v>
      </c>
      <c r="E1761" s="2">
        <v>3</v>
      </c>
      <c r="F1761" s="2" t="s">
        <v>10086</v>
      </c>
      <c r="H1761" s="2">
        <v>1.2999999999999999E-3</v>
      </c>
      <c r="K1761" s="2" t="s">
        <v>10087</v>
      </c>
    </row>
    <row r="1762" spans="1:11" x14ac:dyDescent="0.2">
      <c r="A1762" s="2">
        <v>441</v>
      </c>
      <c r="B1762" s="2">
        <v>3</v>
      </c>
      <c r="C1762" s="2">
        <v>20754843</v>
      </c>
      <c r="D1762" s="2">
        <v>21790867</v>
      </c>
      <c r="E1762" s="2">
        <v>4</v>
      </c>
      <c r="F1762" s="2" t="s">
        <v>10086</v>
      </c>
      <c r="H1762" s="3">
        <v>5.0000000000000001E-4</v>
      </c>
      <c r="K1762" s="2" t="s">
        <v>10089</v>
      </c>
    </row>
    <row r="1763" spans="1:11" x14ac:dyDescent="0.2">
      <c r="A1763" s="2">
        <v>442</v>
      </c>
      <c r="B1763" s="2">
        <v>3</v>
      </c>
      <c r="C1763" s="2">
        <v>21790868</v>
      </c>
      <c r="D1763" s="2">
        <v>22648001</v>
      </c>
      <c r="E1763" s="2">
        <v>1</v>
      </c>
      <c r="F1763" s="2" t="s">
        <v>10086</v>
      </c>
      <c r="H1763" s="2">
        <v>1.8E-3</v>
      </c>
      <c r="K1763" s="2" t="s">
        <v>10089</v>
      </c>
    </row>
    <row r="1764" spans="1:11" x14ac:dyDescent="0.2">
      <c r="A1764" s="2">
        <v>442</v>
      </c>
      <c r="B1764" s="2">
        <v>3</v>
      </c>
      <c r="C1764" s="2">
        <v>21790868</v>
      </c>
      <c r="D1764" s="2">
        <v>22648001</v>
      </c>
      <c r="E1764" s="2">
        <v>2</v>
      </c>
      <c r="F1764" s="2" t="s">
        <v>10086</v>
      </c>
      <c r="H1764" s="2">
        <v>1.1999999999999999E-3</v>
      </c>
      <c r="K1764" s="2" t="s">
        <v>10087</v>
      </c>
    </row>
    <row r="1765" spans="1:11" x14ac:dyDescent="0.2">
      <c r="A1765" s="2">
        <v>442</v>
      </c>
      <c r="B1765" s="2">
        <v>3</v>
      </c>
      <c r="C1765" s="2">
        <v>21790868</v>
      </c>
      <c r="D1765" s="2">
        <v>22648001</v>
      </c>
      <c r="E1765" s="2">
        <v>3</v>
      </c>
      <c r="F1765" s="2" t="s">
        <v>10086</v>
      </c>
      <c r="H1765" s="3">
        <v>8.9999999999999998E-4</v>
      </c>
      <c r="K1765" s="2" t="s">
        <v>10088</v>
      </c>
    </row>
    <row r="1766" spans="1:11" x14ac:dyDescent="0.2">
      <c r="A1766" s="2">
        <v>442</v>
      </c>
      <c r="B1766" s="2">
        <v>3</v>
      </c>
      <c r="C1766" s="2">
        <v>21790868</v>
      </c>
      <c r="D1766" s="2">
        <v>22648001</v>
      </c>
      <c r="E1766" s="2">
        <v>4</v>
      </c>
      <c r="F1766" s="2" t="s">
        <v>10086</v>
      </c>
      <c r="H1766" s="3">
        <v>5.9999999999999995E-4</v>
      </c>
      <c r="K1766" s="2" t="s">
        <v>10085</v>
      </c>
    </row>
    <row r="1767" spans="1:11" x14ac:dyDescent="0.2">
      <c r="A1767" s="2">
        <v>443</v>
      </c>
      <c r="B1767" s="2">
        <v>3</v>
      </c>
      <c r="C1767" s="2">
        <v>22648002</v>
      </c>
      <c r="D1767" s="2">
        <v>23426044</v>
      </c>
      <c r="E1767" s="2">
        <v>1</v>
      </c>
      <c r="F1767" s="2" t="s">
        <v>10086</v>
      </c>
      <c r="H1767" s="3">
        <v>8.0000000000000004E-4</v>
      </c>
      <c r="K1767" s="2" t="s">
        <v>10088</v>
      </c>
    </row>
    <row r="1768" spans="1:11" x14ac:dyDescent="0.2">
      <c r="A1768" s="2">
        <v>443</v>
      </c>
      <c r="B1768" s="2">
        <v>3</v>
      </c>
      <c r="C1768" s="2">
        <v>22648002</v>
      </c>
      <c r="D1768" s="2">
        <v>23426044</v>
      </c>
      <c r="E1768" s="2">
        <v>2</v>
      </c>
      <c r="F1768" s="2" t="s">
        <v>10086</v>
      </c>
      <c r="H1768" s="3">
        <v>5.9999999999999995E-4</v>
      </c>
      <c r="K1768" s="2" t="s">
        <v>10087</v>
      </c>
    </row>
    <row r="1769" spans="1:11" x14ac:dyDescent="0.2">
      <c r="A1769" s="2">
        <v>443</v>
      </c>
      <c r="B1769" s="2">
        <v>3</v>
      </c>
      <c r="C1769" s="2">
        <v>22648002</v>
      </c>
      <c r="D1769" s="2">
        <v>23426044</v>
      </c>
      <c r="E1769" s="2">
        <v>3</v>
      </c>
      <c r="F1769" s="2" t="s">
        <v>10086</v>
      </c>
      <c r="H1769" s="3">
        <v>5.0000000000000001E-4</v>
      </c>
      <c r="K1769" s="2" t="s">
        <v>10089</v>
      </c>
    </row>
    <row r="1770" spans="1:11" x14ac:dyDescent="0.2">
      <c r="A1770" s="2">
        <v>443</v>
      </c>
      <c r="B1770" s="2">
        <v>3</v>
      </c>
      <c r="C1770" s="2">
        <v>22648002</v>
      </c>
      <c r="D1770" s="2">
        <v>23426044</v>
      </c>
      <c r="E1770" s="2">
        <v>4</v>
      </c>
      <c r="F1770" s="2" t="s">
        <v>10086</v>
      </c>
      <c r="H1770" s="3">
        <v>2.9999999999999997E-4</v>
      </c>
      <c r="K1770" s="2" t="s">
        <v>10085</v>
      </c>
    </row>
    <row r="1771" spans="1:11" x14ac:dyDescent="0.2">
      <c r="A1771" s="2">
        <v>444</v>
      </c>
      <c r="B1771" s="2">
        <v>3</v>
      </c>
      <c r="C1771" s="2">
        <v>23426045</v>
      </c>
      <c r="D1771" s="2">
        <v>24270189</v>
      </c>
      <c r="E1771" s="2">
        <v>1</v>
      </c>
      <c r="F1771" s="2" t="s">
        <v>10086</v>
      </c>
      <c r="H1771" s="2">
        <v>1.5100000000000001E-2</v>
      </c>
      <c r="K1771" s="2" t="s">
        <v>10087</v>
      </c>
    </row>
    <row r="1772" spans="1:11" x14ac:dyDescent="0.2">
      <c r="A1772" s="2">
        <v>444</v>
      </c>
      <c r="B1772" s="2">
        <v>3</v>
      </c>
      <c r="C1772" s="2">
        <v>23426045</v>
      </c>
      <c r="D1772" s="2">
        <v>24270189</v>
      </c>
      <c r="E1772" s="2">
        <v>2</v>
      </c>
      <c r="F1772" s="2" t="s">
        <v>10086</v>
      </c>
      <c r="H1772" s="2">
        <v>1.5E-3</v>
      </c>
      <c r="K1772" s="2" t="s">
        <v>10085</v>
      </c>
    </row>
    <row r="1773" spans="1:11" x14ac:dyDescent="0.2">
      <c r="A1773" s="2">
        <v>444</v>
      </c>
      <c r="B1773" s="2">
        <v>3</v>
      </c>
      <c r="C1773" s="2">
        <v>23426045</v>
      </c>
      <c r="D1773" s="2">
        <v>24270189</v>
      </c>
      <c r="E1773" s="2">
        <v>3</v>
      </c>
      <c r="F1773" s="2" t="s">
        <v>10086</v>
      </c>
      <c r="H1773" s="3">
        <v>8.0000000000000004E-4</v>
      </c>
      <c r="K1773" s="2" t="s">
        <v>10089</v>
      </c>
    </row>
    <row r="1774" spans="1:11" x14ac:dyDescent="0.2">
      <c r="A1774" s="2">
        <v>444</v>
      </c>
      <c r="B1774" s="2">
        <v>3</v>
      </c>
      <c r="C1774" s="2">
        <v>23426045</v>
      </c>
      <c r="D1774" s="2">
        <v>24270189</v>
      </c>
      <c r="E1774" s="2">
        <v>4</v>
      </c>
      <c r="F1774" s="2" t="s">
        <v>10086</v>
      </c>
      <c r="H1774" s="3">
        <v>4.0000000000000002E-4</v>
      </c>
      <c r="K1774" s="2" t="s">
        <v>10088</v>
      </c>
    </row>
    <row r="1775" spans="1:11" x14ac:dyDescent="0.2">
      <c r="A1775" s="2">
        <v>445</v>
      </c>
      <c r="B1775" s="2">
        <v>3</v>
      </c>
      <c r="C1775" s="2">
        <v>24270190</v>
      </c>
      <c r="D1775" s="2">
        <v>25516193</v>
      </c>
      <c r="E1775" s="2">
        <v>1</v>
      </c>
      <c r="F1775" s="2" t="s">
        <v>10086</v>
      </c>
      <c r="H1775" s="2">
        <v>7.1999999999999998E-3</v>
      </c>
      <c r="K1775" s="2" t="s">
        <v>10087</v>
      </c>
    </row>
    <row r="1776" spans="1:11" x14ac:dyDescent="0.2">
      <c r="A1776" s="2">
        <v>445</v>
      </c>
      <c r="B1776" s="2">
        <v>3</v>
      </c>
      <c r="C1776" s="2">
        <v>24270190</v>
      </c>
      <c r="D1776" s="2">
        <v>25516193</v>
      </c>
      <c r="E1776" s="2">
        <v>2</v>
      </c>
      <c r="F1776" s="2" t="s">
        <v>10086</v>
      </c>
      <c r="H1776" s="2">
        <v>1.8E-3</v>
      </c>
      <c r="K1776" s="2" t="s">
        <v>10089</v>
      </c>
    </row>
    <row r="1777" spans="1:11" x14ac:dyDescent="0.2">
      <c r="A1777" s="2">
        <v>445</v>
      </c>
      <c r="B1777" s="2">
        <v>3</v>
      </c>
      <c r="C1777" s="2">
        <v>24270190</v>
      </c>
      <c r="D1777" s="2">
        <v>25516193</v>
      </c>
      <c r="E1777" s="2">
        <v>3</v>
      </c>
      <c r="F1777" s="2" t="s">
        <v>10086</v>
      </c>
      <c r="H1777" s="2">
        <v>1.1999999999999999E-3</v>
      </c>
      <c r="K1777" s="2" t="s">
        <v>12324</v>
      </c>
    </row>
    <row r="1778" spans="1:11" x14ac:dyDescent="0.2">
      <c r="A1778" s="2">
        <v>445</v>
      </c>
      <c r="B1778" s="2">
        <v>3</v>
      </c>
      <c r="C1778" s="2">
        <v>24270190</v>
      </c>
      <c r="D1778" s="2">
        <v>25516193</v>
      </c>
      <c r="E1778" s="2">
        <v>4</v>
      </c>
      <c r="F1778" s="2" t="s">
        <v>10086</v>
      </c>
      <c r="H1778" s="2">
        <v>1.1999999999999999E-3</v>
      </c>
      <c r="K1778" s="2" t="s">
        <v>10085</v>
      </c>
    </row>
    <row r="1779" spans="1:11" x14ac:dyDescent="0.2">
      <c r="A1779" s="2">
        <v>446</v>
      </c>
      <c r="B1779" s="2">
        <v>3</v>
      </c>
      <c r="C1779" s="2">
        <v>25516194</v>
      </c>
      <c r="D1779" s="2">
        <v>26905340</v>
      </c>
      <c r="E1779" s="2">
        <v>1</v>
      </c>
      <c r="F1779" s="2" t="s">
        <v>10086</v>
      </c>
      <c r="H1779" s="2">
        <v>6.0000000000000001E-3</v>
      </c>
      <c r="K1779" s="2" t="s">
        <v>10085</v>
      </c>
    </row>
    <row r="1780" spans="1:11" x14ac:dyDescent="0.2">
      <c r="A1780" s="2">
        <v>446</v>
      </c>
      <c r="B1780" s="2">
        <v>3</v>
      </c>
      <c r="C1780" s="2">
        <v>25516194</v>
      </c>
      <c r="D1780" s="2">
        <v>26905340</v>
      </c>
      <c r="E1780" s="2">
        <v>2</v>
      </c>
      <c r="F1780" s="2" t="s">
        <v>10086</v>
      </c>
      <c r="H1780" s="2">
        <v>2.0999999999999999E-3</v>
      </c>
      <c r="K1780" s="2" t="s">
        <v>10088</v>
      </c>
    </row>
    <row r="1781" spans="1:11" x14ac:dyDescent="0.2">
      <c r="A1781" s="2">
        <v>446</v>
      </c>
      <c r="B1781" s="2">
        <v>3</v>
      </c>
      <c r="C1781" s="2">
        <v>25516194</v>
      </c>
      <c r="D1781" s="2">
        <v>26905340</v>
      </c>
      <c r="E1781" s="2">
        <v>3</v>
      </c>
      <c r="F1781" s="2" t="s">
        <v>10086</v>
      </c>
      <c r="H1781" s="2">
        <v>1.6999999999999999E-3</v>
      </c>
      <c r="K1781" s="2" t="s">
        <v>10089</v>
      </c>
    </row>
    <row r="1782" spans="1:11" x14ac:dyDescent="0.2">
      <c r="A1782" s="2">
        <v>446</v>
      </c>
      <c r="B1782" s="2">
        <v>3</v>
      </c>
      <c r="C1782" s="2">
        <v>25516194</v>
      </c>
      <c r="D1782" s="2">
        <v>26905340</v>
      </c>
      <c r="E1782" s="2">
        <v>4</v>
      </c>
      <c r="F1782" s="2" t="s">
        <v>10086</v>
      </c>
      <c r="H1782" s="3">
        <v>5.0000000000000001E-4</v>
      </c>
      <c r="K1782" s="2" t="s">
        <v>10087</v>
      </c>
    </row>
    <row r="1783" spans="1:11" x14ac:dyDescent="0.2">
      <c r="A1783" s="2">
        <v>447</v>
      </c>
      <c r="B1783" s="2">
        <v>3</v>
      </c>
      <c r="C1783" s="2">
        <v>26905341</v>
      </c>
      <c r="D1783" s="2">
        <v>27614908</v>
      </c>
      <c r="E1783" s="2">
        <v>1</v>
      </c>
      <c r="F1783" s="2" t="s">
        <v>10086</v>
      </c>
      <c r="H1783" s="2">
        <v>1E-3</v>
      </c>
      <c r="K1783" s="2" t="s">
        <v>10085</v>
      </c>
    </row>
    <row r="1784" spans="1:11" x14ac:dyDescent="0.2">
      <c r="A1784" s="2">
        <v>447</v>
      </c>
      <c r="B1784" s="2">
        <v>3</v>
      </c>
      <c r="C1784" s="2">
        <v>26905341</v>
      </c>
      <c r="D1784" s="2">
        <v>27614908</v>
      </c>
      <c r="E1784" s="2">
        <v>2</v>
      </c>
      <c r="F1784" s="2" t="s">
        <v>10086</v>
      </c>
      <c r="H1784" s="3">
        <v>5.9999999999999995E-4</v>
      </c>
      <c r="K1784" s="2" t="s">
        <v>10087</v>
      </c>
    </row>
    <row r="1785" spans="1:11" x14ac:dyDescent="0.2">
      <c r="A1785" s="2">
        <v>447</v>
      </c>
      <c r="B1785" s="2">
        <v>3</v>
      </c>
      <c r="C1785" s="2">
        <v>26905341</v>
      </c>
      <c r="D1785" s="2">
        <v>27614908</v>
      </c>
      <c r="E1785" s="2">
        <v>3</v>
      </c>
      <c r="F1785" s="2" t="s">
        <v>10086</v>
      </c>
      <c r="H1785" s="3">
        <v>5.0000000000000001E-4</v>
      </c>
      <c r="K1785" s="2" t="s">
        <v>10089</v>
      </c>
    </row>
    <row r="1786" spans="1:11" x14ac:dyDescent="0.2">
      <c r="A1786" s="2">
        <v>447</v>
      </c>
      <c r="B1786" s="2">
        <v>3</v>
      </c>
      <c r="C1786" s="2">
        <v>26905341</v>
      </c>
      <c r="D1786" s="2">
        <v>27614908</v>
      </c>
      <c r="E1786" s="2">
        <v>4</v>
      </c>
      <c r="F1786" s="2" t="s">
        <v>10086</v>
      </c>
      <c r="H1786" s="3">
        <v>2.0000000000000001E-4</v>
      </c>
      <c r="K1786" s="2" t="s">
        <v>10088</v>
      </c>
    </row>
    <row r="1787" spans="1:11" x14ac:dyDescent="0.2">
      <c r="A1787" s="2">
        <v>448</v>
      </c>
      <c r="B1787" s="2">
        <v>3</v>
      </c>
      <c r="C1787" s="2">
        <v>27614909</v>
      </c>
      <c r="D1787" s="2">
        <v>28649810</v>
      </c>
      <c r="E1787" s="2">
        <v>1</v>
      </c>
      <c r="F1787" s="2" t="s">
        <v>10086</v>
      </c>
      <c r="H1787" s="2">
        <v>1.4E-3</v>
      </c>
      <c r="K1787" s="2" t="s">
        <v>10087</v>
      </c>
    </row>
    <row r="1788" spans="1:11" x14ac:dyDescent="0.2">
      <c r="A1788" s="2">
        <v>448</v>
      </c>
      <c r="B1788" s="2">
        <v>3</v>
      </c>
      <c r="C1788" s="2">
        <v>27614909</v>
      </c>
      <c r="D1788" s="2">
        <v>28649810</v>
      </c>
      <c r="E1788" s="2">
        <v>2</v>
      </c>
      <c r="F1788" s="2" t="s">
        <v>10086</v>
      </c>
      <c r="H1788" s="3">
        <v>8.0000000000000004E-4</v>
      </c>
      <c r="K1788" s="2" t="s">
        <v>10085</v>
      </c>
    </row>
    <row r="1789" spans="1:11" x14ac:dyDescent="0.2">
      <c r="A1789" s="2">
        <v>448</v>
      </c>
      <c r="B1789" s="2">
        <v>3</v>
      </c>
      <c r="C1789" s="2">
        <v>27614909</v>
      </c>
      <c r="D1789" s="2">
        <v>28649810</v>
      </c>
      <c r="E1789" s="2">
        <v>3</v>
      </c>
      <c r="F1789" s="2" t="s">
        <v>10086</v>
      </c>
      <c r="H1789" s="3">
        <v>8.9999999999999998E-4</v>
      </c>
      <c r="K1789" s="2" t="s">
        <v>10088</v>
      </c>
    </row>
    <row r="1790" spans="1:11" x14ac:dyDescent="0.2">
      <c r="A1790" s="2">
        <v>448</v>
      </c>
      <c r="B1790" s="2">
        <v>3</v>
      </c>
      <c r="C1790" s="2">
        <v>27614909</v>
      </c>
      <c r="D1790" s="2">
        <v>28649810</v>
      </c>
      <c r="E1790" s="2">
        <v>4</v>
      </c>
      <c r="F1790" s="2" t="s">
        <v>10086</v>
      </c>
      <c r="H1790" s="3">
        <v>2.9999999999999997E-4</v>
      </c>
      <c r="K1790" s="2" t="s">
        <v>10089</v>
      </c>
    </row>
    <row r="1791" spans="1:11" x14ac:dyDescent="0.2">
      <c r="A1791" s="2">
        <v>449</v>
      </c>
      <c r="B1791" s="2">
        <v>3</v>
      </c>
      <c r="C1791" s="2">
        <v>28649811</v>
      </c>
      <c r="D1791" s="2">
        <v>29877022</v>
      </c>
      <c r="E1791" s="2">
        <v>1</v>
      </c>
      <c r="F1791" s="2" t="s">
        <v>10086</v>
      </c>
      <c r="H1791" s="2">
        <v>2E-3</v>
      </c>
      <c r="K1791" s="2" t="s">
        <v>10088</v>
      </c>
    </row>
    <row r="1792" spans="1:11" x14ac:dyDescent="0.2">
      <c r="A1792" s="2">
        <v>449</v>
      </c>
      <c r="B1792" s="2">
        <v>3</v>
      </c>
      <c r="C1792" s="2">
        <v>28649811</v>
      </c>
      <c r="D1792" s="2">
        <v>29877022</v>
      </c>
      <c r="E1792" s="2">
        <v>2</v>
      </c>
      <c r="F1792" s="2" t="s">
        <v>10086</v>
      </c>
      <c r="H1792" s="2">
        <v>1.6999999999999999E-3</v>
      </c>
      <c r="K1792" s="2" t="s">
        <v>10085</v>
      </c>
    </row>
    <row r="1793" spans="1:11" x14ac:dyDescent="0.2">
      <c r="A1793" s="2">
        <v>449</v>
      </c>
      <c r="B1793" s="2">
        <v>3</v>
      </c>
      <c r="C1793" s="2">
        <v>28649811</v>
      </c>
      <c r="D1793" s="2">
        <v>29877022</v>
      </c>
      <c r="E1793" s="2">
        <v>3</v>
      </c>
      <c r="F1793" s="2" t="s">
        <v>10086</v>
      </c>
      <c r="H1793" s="2">
        <v>1.4E-3</v>
      </c>
      <c r="K1793" s="2" t="s">
        <v>10087</v>
      </c>
    </row>
    <row r="1794" spans="1:11" x14ac:dyDescent="0.2">
      <c r="A1794" s="2">
        <v>449</v>
      </c>
      <c r="B1794" s="2">
        <v>3</v>
      </c>
      <c r="C1794" s="2">
        <v>28649811</v>
      </c>
      <c r="D1794" s="2">
        <v>29877022</v>
      </c>
      <c r="E1794" s="2">
        <v>4</v>
      </c>
      <c r="F1794" s="2" t="s">
        <v>10086</v>
      </c>
      <c r="H1794" s="3">
        <v>6.9999999999999999E-4</v>
      </c>
      <c r="K1794" s="2" t="s">
        <v>10089</v>
      </c>
    </row>
    <row r="1795" spans="1:11" x14ac:dyDescent="0.2">
      <c r="A1795" s="2">
        <v>450</v>
      </c>
      <c r="B1795" s="2">
        <v>3</v>
      </c>
      <c r="C1795" s="2">
        <v>29877023</v>
      </c>
      <c r="D1795" s="2">
        <v>31269697</v>
      </c>
      <c r="E1795" s="2">
        <v>1</v>
      </c>
      <c r="F1795" s="2" t="s">
        <v>10086</v>
      </c>
      <c r="H1795" s="2">
        <v>2.0999999999999999E-3</v>
      </c>
      <c r="K1795" s="2" t="s">
        <v>10088</v>
      </c>
    </row>
    <row r="1796" spans="1:11" x14ac:dyDescent="0.2">
      <c r="A1796" s="2">
        <v>450</v>
      </c>
      <c r="B1796" s="2">
        <v>3</v>
      </c>
      <c r="C1796" s="2">
        <v>29877023</v>
      </c>
      <c r="D1796" s="2">
        <v>31269697</v>
      </c>
      <c r="E1796" s="2">
        <v>2</v>
      </c>
      <c r="F1796" s="2" t="s">
        <v>10086</v>
      </c>
      <c r="H1796" s="2">
        <v>1.4E-3</v>
      </c>
      <c r="K1796" s="2" t="s">
        <v>10085</v>
      </c>
    </row>
    <row r="1797" spans="1:11" x14ac:dyDescent="0.2">
      <c r="A1797" s="2">
        <v>450</v>
      </c>
      <c r="B1797" s="2">
        <v>3</v>
      </c>
      <c r="C1797" s="2">
        <v>29877023</v>
      </c>
      <c r="D1797" s="2">
        <v>31269697</v>
      </c>
      <c r="E1797" s="2">
        <v>3</v>
      </c>
      <c r="F1797" s="2" t="s">
        <v>10086</v>
      </c>
      <c r="H1797" s="2">
        <v>1.2999999999999999E-3</v>
      </c>
      <c r="K1797" s="2" t="s">
        <v>10087</v>
      </c>
    </row>
    <row r="1798" spans="1:11" x14ac:dyDescent="0.2">
      <c r="A1798" s="2">
        <v>450</v>
      </c>
      <c r="B1798" s="2">
        <v>3</v>
      </c>
      <c r="C1798" s="2">
        <v>29877023</v>
      </c>
      <c r="D1798" s="2">
        <v>31269697</v>
      </c>
      <c r="E1798" s="2">
        <v>4</v>
      </c>
      <c r="F1798" s="2" t="s">
        <v>10086</v>
      </c>
      <c r="H1798" s="3">
        <v>8.9999999999999998E-4</v>
      </c>
      <c r="K1798" s="2" t="s">
        <v>10089</v>
      </c>
    </row>
    <row r="1799" spans="1:11" x14ac:dyDescent="0.2">
      <c r="A1799" s="2">
        <v>451</v>
      </c>
      <c r="B1799" s="2">
        <v>3</v>
      </c>
      <c r="C1799" s="2">
        <v>31269698</v>
      </c>
      <c r="D1799" s="2">
        <v>32378805</v>
      </c>
      <c r="E1799" s="2">
        <v>1</v>
      </c>
      <c r="F1799" s="2" t="s">
        <v>10086</v>
      </c>
      <c r="H1799" s="2">
        <v>3.8E-3</v>
      </c>
      <c r="K1799" s="2" t="s">
        <v>10089</v>
      </c>
    </row>
    <row r="1800" spans="1:11" x14ac:dyDescent="0.2">
      <c r="A1800" s="2">
        <v>451</v>
      </c>
      <c r="B1800" s="2">
        <v>3</v>
      </c>
      <c r="C1800" s="2">
        <v>31269698</v>
      </c>
      <c r="D1800" s="2">
        <v>32378805</v>
      </c>
      <c r="E1800" s="2">
        <v>2</v>
      </c>
      <c r="F1800" s="2" t="s">
        <v>10086</v>
      </c>
      <c r="H1800" s="2">
        <v>1.1999999999999999E-3</v>
      </c>
      <c r="K1800" s="2" t="s">
        <v>10087</v>
      </c>
    </row>
    <row r="1801" spans="1:11" x14ac:dyDescent="0.2">
      <c r="A1801" s="2">
        <v>451</v>
      </c>
      <c r="B1801" s="2">
        <v>3</v>
      </c>
      <c r="C1801" s="2">
        <v>31269698</v>
      </c>
      <c r="D1801" s="2">
        <v>32378805</v>
      </c>
      <c r="E1801" s="2">
        <v>3</v>
      </c>
      <c r="F1801" s="2" t="s">
        <v>10086</v>
      </c>
      <c r="H1801" s="2">
        <v>1.1999999999999999E-3</v>
      </c>
      <c r="K1801" s="2" t="s">
        <v>10088</v>
      </c>
    </row>
    <row r="1802" spans="1:11" x14ac:dyDescent="0.2">
      <c r="A1802" s="2">
        <v>451</v>
      </c>
      <c r="B1802" s="2">
        <v>3</v>
      </c>
      <c r="C1802" s="2">
        <v>31269698</v>
      </c>
      <c r="D1802" s="2">
        <v>32378805</v>
      </c>
      <c r="E1802" s="2">
        <v>4</v>
      </c>
      <c r="F1802" s="2" t="s">
        <v>10086</v>
      </c>
      <c r="H1802" s="3">
        <v>5.0000000000000001E-4</v>
      </c>
      <c r="K1802" s="2" t="s">
        <v>10085</v>
      </c>
    </row>
    <row r="1803" spans="1:11" x14ac:dyDescent="0.2">
      <c r="A1803" s="2">
        <v>452</v>
      </c>
      <c r="B1803" s="2">
        <v>3</v>
      </c>
      <c r="C1803" s="2">
        <v>32378806</v>
      </c>
      <c r="D1803" s="2">
        <v>33020868</v>
      </c>
      <c r="E1803" s="2">
        <v>1</v>
      </c>
      <c r="F1803" s="2" t="s">
        <v>10086</v>
      </c>
      <c r="H1803" s="2">
        <v>1.35E-2</v>
      </c>
      <c r="K1803" s="2" t="s">
        <v>10088</v>
      </c>
    </row>
    <row r="1804" spans="1:11" x14ac:dyDescent="0.2">
      <c r="A1804" s="2">
        <v>452</v>
      </c>
      <c r="B1804" s="2">
        <v>3</v>
      </c>
      <c r="C1804" s="2">
        <v>32378806</v>
      </c>
      <c r="D1804" s="2">
        <v>33020868</v>
      </c>
      <c r="E1804" s="2">
        <v>2</v>
      </c>
      <c r="F1804" s="2" t="s">
        <v>10086</v>
      </c>
      <c r="H1804" s="2">
        <v>1.9E-3</v>
      </c>
      <c r="K1804" s="2" t="s">
        <v>10085</v>
      </c>
    </row>
    <row r="1805" spans="1:11" x14ac:dyDescent="0.2">
      <c r="A1805" s="2">
        <v>452</v>
      </c>
      <c r="B1805" s="2">
        <v>3</v>
      </c>
      <c r="C1805" s="2">
        <v>32378806</v>
      </c>
      <c r="D1805" s="2">
        <v>33020868</v>
      </c>
      <c r="E1805" s="2">
        <v>3</v>
      </c>
      <c r="F1805" s="2" t="s">
        <v>10086</v>
      </c>
      <c r="H1805" s="2">
        <v>1E-3</v>
      </c>
      <c r="K1805" s="2" t="s">
        <v>10087</v>
      </c>
    </row>
    <row r="1806" spans="1:11" x14ac:dyDescent="0.2">
      <c r="A1806" s="2">
        <v>452</v>
      </c>
      <c r="B1806" s="2">
        <v>3</v>
      </c>
      <c r="C1806" s="2">
        <v>32378806</v>
      </c>
      <c r="D1806" s="2">
        <v>33020868</v>
      </c>
      <c r="E1806" s="2">
        <v>4</v>
      </c>
      <c r="F1806" s="2" t="s">
        <v>10086</v>
      </c>
      <c r="H1806" s="3">
        <v>5.9999999999999995E-4</v>
      </c>
      <c r="K1806" s="2" t="s">
        <v>10089</v>
      </c>
    </row>
    <row r="1807" spans="1:11" x14ac:dyDescent="0.2">
      <c r="A1807" s="2">
        <v>453</v>
      </c>
      <c r="B1807" s="2">
        <v>3</v>
      </c>
      <c r="C1807" s="2">
        <v>33020869</v>
      </c>
      <c r="D1807" s="2">
        <v>33991869</v>
      </c>
      <c r="E1807" s="2">
        <v>1</v>
      </c>
      <c r="F1807" s="2" t="s">
        <v>10086</v>
      </c>
      <c r="H1807" s="2">
        <v>1.9E-3</v>
      </c>
      <c r="K1807" s="2" t="s">
        <v>10087</v>
      </c>
    </row>
    <row r="1808" spans="1:11" x14ac:dyDescent="0.2">
      <c r="A1808" s="2">
        <v>453</v>
      </c>
      <c r="B1808" s="2">
        <v>3</v>
      </c>
      <c r="C1808" s="2">
        <v>33020869</v>
      </c>
      <c r="D1808" s="2">
        <v>33991869</v>
      </c>
      <c r="E1808" s="2">
        <v>2</v>
      </c>
      <c r="F1808" s="2" t="s">
        <v>10086</v>
      </c>
      <c r="H1808" s="2">
        <v>1.4E-3</v>
      </c>
      <c r="K1808" s="2" t="s">
        <v>10089</v>
      </c>
    </row>
    <row r="1809" spans="1:11" x14ac:dyDescent="0.2">
      <c r="A1809" s="2">
        <v>453</v>
      </c>
      <c r="B1809" s="2">
        <v>3</v>
      </c>
      <c r="C1809" s="2">
        <v>33020869</v>
      </c>
      <c r="D1809" s="2">
        <v>33991869</v>
      </c>
      <c r="E1809" s="2">
        <v>3</v>
      </c>
      <c r="F1809" s="2" t="s">
        <v>10086</v>
      </c>
      <c r="H1809" s="3">
        <v>8.0000000000000004E-4</v>
      </c>
      <c r="K1809" s="2" t="s">
        <v>10088</v>
      </c>
    </row>
    <row r="1810" spans="1:11" x14ac:dyDescent="0.2">
      <c r="A1810" s="2">
        <v>453</v>
      </c>
      <c r="B1810" s="2">
        <v>3</v>
      </c>
      <c r="C1810" s="2">
        <v>33020869</v>
      </c>
      <c r="D1810" s="2">
        <v>33991869</v>
      </c>
      <c r="E1810" s="2">
        <v>4</v>
      </c>
      <c r="F1810" s="2" t="s">
        <v>10086</v>
      </c>
      <c r="H1810" s="3">
        <v>4.0000000000000002E-4</v>
      </c>
      <c r="K1810" s="2" t="s">
        <v>12324</v>
      </c>
    </row>
    <row r="1811" spans="1:11" x14ac:dyDescent="0.2">
      <c r="A1811" s="2">
        <v>454</v>
      </c>
      <c r="B1811" s="2">
        <v>3</v>
      </c>
      <c r="C1811" s="2">
        <v>33991870</v>
      </c>
      <c r="D1811" s="2">
        <v>35009559</v>
      </c>
      <c r="E1811" s="2">
        <v>1</v>
      </c>
      <c r="F1811" s="2" t="s">
        <v>10086</v>
      </c>
      <c r="H1811" s="2">
        <v>2.3999999999999998E-3</v>
      </c>
      <c r="K1811" s="2" t="s">
        <v>10087</v>
      </c>
    </row>
    <row r="1812" spans="1:11" x14ac:dyDescent="0.2">
      <c r="A1812" s="2">
        <v>454</v>
      </c>
      <c r="B1812" s="2">
        <v>3</v>
      </c>
      <c r="C1812" s="2">
        <v>33991870</v>
      </c>
      <c r="D1812" s="2">
        <v>35009559</v>
      </c>
      <c r="E1812" s="2">
        <v>2</v>
      </c>
      <c r="F1812" s="2" t="s">
        <v>10086</v>
      </c>
      <c r="H1812" s="3">
        <v>6.9999999999999999E-4</v>
      </c>
      <c r="K1812" s="2" t="s">
        <v>10085</v>
      </c>
    </row>
    <row r="1813" spans="1:11" x14ac:dyDescent="0.2">
      <c r="A1813" s="2">
        <v>454</v>
      </c>
      <c r="B1813" s="2">
        <v>3</v>
      </c>
      <c r="C1813" s="2">
        <v>33991870</v>
      </c>
      <c r="D1813" s="2">
        <v>35009559</v>
      </c>
      <c r="E1813" s="2">
        <v>3</v>
      </c>
      <c r="F1813" s="2" t="s">
        <v>10086</v>
      </c>
      <c r="H1813" s="3">
        <v>6.9999999999999999E-4</v>
      </c>
      <c r="K1813" s="2" t="s">
        <v>10088</v>
      </c>
    </row>
    <row r="1814" spans="1:11" x14ac:dyDescent="0.2">
      <c r="A1814" s="2">
        <v>454</v>
      </c>
      <c r="B1814" s="2">
        <v>3</v>
      </c>
      <c r="C1814" s="2">
        <v>33991870</v>
      </c>
      <c r="D1814" s="2">
        <v>35009559</v>
      </c>
      <c r="E1814" s="2">
        <v>4</v>
      </c>
      <c r="F1814" s="2" t="s">
        <v>10086</v>
      </c>
      <c r="H1814" s="3">
        <v>5.0000000000000001E-4</v>
      </c>
      <c r="K1814" s="2" t="s">
        <v>10089</v>
      </c>
    </row>
    <row r="1815" spans="1:11" x14ac:dyDescent="0.2">
      <c r="A1815" s="2">
        <v>455</v>
      </c>
      <c r="B1815" s="2">
        <v>3</v>
      </c>
      <c r="C1815" s="2">
        <v>35009560</v>
      </c>
      <c r="D1815" s="2">
        <v>35913033</v>
      </c>
      <c r="E1815" s="2">
        <v>1</v>
      </c>
      <c r="F1815" s="2" t="s">
        <v>10086</v>
      </c>
      <c r="H1815" s="2">
        <v>1.1000000000000001E-3</v>
      </c>
      <c r="K1815" s="2" t="s">
        <v>10089</v>
      </c>
    </row>
    <row r="1816" spans="1:11" x14ac:dyDescent="0.2">
      <c r="A1816" s="2">
        <v>455</v>
      </c>
      <c r="B1816" s="2">
        <v>3</v>
      </c>
      <c r="C1816" s="2">
        <v>35009560</v>
      </c>
      <c r="D1816" s="2">
        <v>35913033</v>
      </c>
      <c r="E1816" s="2">
        <v>2</v>
      </c>
      <c r="F1816" s="2" t="s">
        <v>10086</v>
      </c>
      <c r="H1816" s="3">
        <v>6.9999999999999999E-4</v>
      </c>
      <c r="K1816" s="2" t="s">
        <v>10087</v>
      </c>
    </row>
    <row r="1817" spans="1:11" x14ac:dyDescent="0.2">
      <c r="A1817" s="2">
        <v>455</v>
      </c>
      <c r="B1817" s="2">
        <v>3</v>
      </c>
      <c r="C1817" s="2">
        <v>35009560</v>
      </c>
      <c r="D1817" s="2">
        <v>35913033</v>
      </c>
      <c r="E1817" s="2">
        <v>3</v>
      </c>
      <c r="F1817" s="2" t="s">
        <v>10086</v>
      </c>
      <c r="H1817" s="3">
        <v>5.9999999999999995E-4</v>
      </c>
      <c r="K1817" s="2" t="s">
        <v>10085</v>
      </c>
    </row>
    <row r="1818" spans="1:11" x14ac:dyDescent="0.2">
      <c r="A1818" s="2">
        <v>455</v>
      </c>
      <c r="B1818" s="2">
        <v>3</v>
      </c>
      <c r="C1818" s="2">
        <v>35009560</v>
      </c>
      <c r="D1818" s="2">
        <v>35913033</v>
      </c>
      <c r="E1818" s="2">
        <v>4</v>
      </c>
      <c r="F1818" s="2" t="s">
        <v>10086</v>
      </c>
      <c r="H1818" s="3">
        <v>5.0000000000000001E-4</v>
      </c>
      <c r="K1818" s="2" t="s">
        <v>10088</v>
      </c>
    </row>
    <row r="1819" spans="1:11" x14ac:dyDescent="0.2">
      <c r="A1819" s="2">
        <v>456</v>
      </c>
      <c r="B1819" s="2">
        <v>3</v>
      </c>
      <c r="C1819" s="2">
        <v>35913034</v>
      </c>
      <c r="D1819" s="2">
        <v>36840136</v>
      </c>
      <c r="E1819" s="2">
        <v>1</v>
      </c>
      <c r="F1819" s="2" t="s">
        <v>10086</v>
      </c>
      <c r="H1819" s="2">
        <v>4.7000000000000002E-3</v>
      </c>
      <c r="K1819" s="2" t="s">
        <v>10089</v>
      </c>
    </row>
    <row r="1820" spans="1:11" x14ac:dyDescent="0.2">
      <c r="A1820" s="2">
        <v>456</v>
      </c>
      <c r="B1820" s="2">
        <v>3</v>
      </c>
      <c r="C1820" s="2">
        <v>35913034</v>
      </c>
      <c r="D1820" s="2">
        <v>36840136</v>
      </c>
      <c r="E1820" s="2">
        <v>2</v>
      </c>
      <c r="F1820" s="2" t="s">
        <v>10086</v>
      </c>
      <c r="H1820" s="2">
        <v>2.3999999999999998E-3</v>
      </c>
      <c r="K1820" s="2" t="s">
        <v>10085</v>
      </c>
    </row>
    <row r="1821" spans="1:11" x14ac:dyDescent="0.2">
      <c r="A1821" s="2">
        <v>456</v>
      </c>
      <c r="B1821" s="2">
        <v>3</v>
      </c>
      <c r="C1821" s="2">
        <v>35913034</v>
      </c>
      <c r="D1821" s="2">
        <v>36840136</v>
      </c>
      <c r="E1821" s="2">
        <v>3</v>
      </c>
      <c r="F1821" s="2" t="s">
        <v>10086</v>
      </c>
      <c r="H1821" s="2">
        <v>1.2999999999999999E-3</v>
      </c>
      <c r="K1821" s="2" t="s">
        <v>10088</v>
      </c>
    </row>
    <row r="1822" spans="1:11" x14ac:dyDescent="0.2">
      <c r="A1822" s="2">
        <v>456</v>
      </c>
      <c r="B1822" s="2">
        <v>3</v>
      </c>
      <c r="C1822" s="2">
        <v>35913034</v>
      </c>
      <c r="D1822" s="2">
        <v>36840136</v>
      </c>
      <c r="E1822" s="2">
        <v>4</v>
      </c>
      <c r="F1822" s="2" t="s">
        <v>10086</v>
      </c>
      <c r="H1822" s="3">
        <v>4.0000000000000002E-4</v>
      </c>
      <c r="K1822" s="2" t="s">
        <v>10087</v>
      </c>
    </row>
    <row r="1823" spans="1:11" x14ac:dyDescent="0.2">
      <c r="A1823" s="2">
        <v>457</v>
      </c>
      <c r="B1823" s="2">
        <v>3</v>
      </c>
      <c r="C1823" s="2">
        <v>36840137</v>
      </c>
      <c r="D1823" s="2">
        <v>38729767</v>
      </c>
      <c r="E1823" s="2">
        <v>1</v>
      </c>
      <c r="F1823" s="2" t="s">
        <v>10086</v>
      </c>
      <c r="H1823" s="2">
        <v>2.3E-3</v>
      </c>
      <c r="K1823" s="2" t="s">
        <v>10085</v>
      </c>
    </row>
    <row r="1824" spans="1:11" x14ac:dyDescent="0.2">
      <c r="A1824" s="2">
        <v>457</v>
      </c>
      <c r="B1824" s="2">
        <v>3</v>
      </c>
      <c r="C1824" s="2">
        <v>36840137</v>
      </c>
      <c r="D1824" s="2">
        <v>38729767</v>
      </c>
      <c r="E1824" s="2">
        <v>2</v>
      </c>
      <c r="F1824" s="2" t="s">
        <v>10086</v>
      </c>
      <c r="H1824" s="2">
        <v>2.5000000000000001E-3</v>
      </c>
      <c r="K1824" s="2" t="s">
        <v>10088</v>
      </c>
    </row>
    <row r="1825" spans="1:11" x14ac:dyDescent="0.2">
      <c r="A1825" s="2">
        <v>457</v>
      </c>
      <c r="B1825" s="2">
        <v>3</v>
      </c>
      <c r="C1825" s="2">
        <v>36840137</v>
      </c>
      <c r="D1825" s="2">
        <v>38729767</v>
      </c>
      <c r="E1825" s="2">
        <v>3</v>
      </c>
      <c r="F1825" s="2" t="s">
        <v>10086</v>
      </c>
      <c r="H1825" s="2">
        <v>1.6999999999999999E-3</v>
      </c>
      <c r="K1825" s="2" t="s">
        <v>10089</v>
      </c>
    </row>
    <row r="1826" spans="1:11" x14ac:dyDescent="0.2">
      <c r="A1826" s="2">
        <v>457</v>
      </c>
      <c r="B1826" s="2">
        <v>3</v>
      </c>
      <c r="C1826" s="2">
        <v>36840137</v>
      </c>
      <c r="D1826" s="2">
        <v>38729767</v>
      </c>
      <c r="E1826" s="2">
        <v>4</v>
      </c>
      <c r="F1826" s="2" t="s">
        <v>10086</v>
      </c>
      <c r="H1826" s="2">
        <v>1.6000000000000001E-3</v>
      </c>
      <c r="K1826" s="2" t="s">
        <v>10087</v>
      </c>
    </row>
    <row r="1827" spans="1:11" x14ac:dyDescent="0.2">
      <c r="A1827" s="2">
        <v>458</v>
      </c>
      <c r="B1827" s="2">
        <v>3</v>
      </c>
      <c r="C1827" s="2">
        <v>38729768</v>
      </c>
      <c r="D1827" s="2">
        <v>39605996</v>
      </c>
      <c r="E1827" s="2">
        <v>1</v>
      </c>
      <c r="F1827" s="2" t="s">
        <v>10086</v>
      </c>
      <c r="H1827" s="2">
        <v>8.1500000000000003E-2</v>
      </c>
      <c r="K1827" s="2" t="s">
        <v>10088</v>
      </c>
    </row>
    <row r="1828" spans="1:11" x14ac:dyDescent="0.2">
      <c r="A1828" s="2">
        <v>458</v>
      </c>
      <c r="B1828" s="2">
        <v>3</v>
      </c>
      <c r="C1828" s="2">
        <v>38729768</v>
      </c>
      <c r="D1828" s="2">
        <v>39605996</v>
      </c>
      <c r="E1828" s="2">
        <v>2</v>
      </c>
      <c r="F1828" s="2" t="s">
        <v>10086</v>
      </c>
      <c r="H1828" s="2">
        <v>4.7000000000000002E-3</v>
      </c>
      <c r="K1828" s="2" t="s">
        <v>10087</v>
      </c>
    </row>
    <row r="1829" spans="1:11" x14ac:dyDescent="0.2">
      <c r="A1829" s="2">
        <v>458</v>
      </c>
      <c r="B1829" s="2">
        <v>3</v>
      </c>
      <c r="C1829" s="2">
        <v>38729768</v>
      </c>
      <c r="D1829" s="2">
        <v>39605996</v>
      </c>
      <c r="E1829" s="2">
        <v>3</v>
      </c>
      <c r="F1829" s="2" t="s">
        <v>10086</v>
      </c>
      <c r="H1829" s="2">
        <v>1.1999999999999999E-3</v>
      </c>
      <c r="K1829" s="2" t="s">
        <v>10085</v>
      </c>
    </row>
    <row r="1830" spans="1:11" x14ac:dyDescent="0.2">
      <c r="A1830" s="2">
        <v>458</v>
      </c>
      <c r="B1830" s="2">
        <v>3</v>
      </c>
      <c r="C1830" s="2">
        <v>38729768</v>
      </c>
      <c r="D1830" s="2">
        <v>39605996</v>
      </c>
      <c r="E1830" s="2">
        <v>4</v>
      </c>
      <c r="F1830" s="2" t="s">
        <v>10086</v>
      </c>
      <c r="H1830" s="3">
        <v>4.0000000000000002E-4</v>
      </c>
      <c r="K1830" s="2" t="s">
        <v>10089</v>
      </c>
    </row>
    <row r="1831" spans="1:11" x14ac:dyDescent="0.2">
      <c r="A1831" s="2">
        <v>459</v>
      </c>
      <c r="B1831" s="2">
        <v>3</v>
      </c>
      <c r="C1831" s="2">
        <v>39605997</v>
      </c>
      <c r="D1831" s="2">
        <v>40897627</v>
      </c>
      <c r="E1831" s="2">
        <v>1</v>
      </c>
      <c r="F1831" s="2" t="s">
        <v>10086</v>
      </c>
      <c r="H1831" s="2">
        <v>5.7200000000000001E-2</v>
      </c>
      <c r="K1831" s="2" t="s">
        <v>10087</v>
      </c>
    </row>
    <row r="1832" spans="1:11" x14ac:dyDescent="0.2">
      <c r="A1832" s="2">
        <v>459</v>
      </c>
      <c r="B1832" s="2">
        <v>3</v>
      </c>
      <c r="C1832" s="2">
        <v>39605997</v>
      </c>
      <c r="D1832" s="2">
        <v>40897627</v>
      </c>
      <c r="E1832" s="2">
        <v>2</v>
      </c>
      <c r="F1832" s="2" t="s">
        <v>10086</v>
      </c>
      <c r="H1832" s="2">
        <v>1.8E-3</v>
      </c>
      <c r="K1832" s="2" t="s">
        <v>10088</v>
      </c>
    </row>
    <row r="1833" spans="1:11" x14ac:dyDescent="0.2">
      <c r="A1833" s="2">
        <v>459</v>
      </c>
      <c r="B1833" s="2">
        <v>3</v>
      </c>
      <c r="C1833" s="2">
        <v>39605997</v>
      </c>
      <c r="D1833" s="2">
        <v>40897627</v>
      </c>
      <c r="E1833" s="2">
        <v>3</v>
      </c>
      <c r="F1833" s="2" t="s">
        <v>10086</v>
      </c>
      <c r="H1833" s="2">
        <v>1.1000000000000001E-3</v>
      </c>
      <c r="K1833" s="2" t="s">
        <v>10085</v>
      </c>
    </row>
    <row r="1834" spans="1:11" x14ac:dyDescent="0.2">
      <c r="A1834" s="2">
        <v>459</v>
      </c>
      <c r="B1834" s="2">
        <v>3</v>
      </c>
      <c r="C1834" s="2">
        <v>39605997</v>
      </c>
      <c r="D1834" s="2">
        <v>40897627</v>
      </c>
      <c r="E1834" s="2">
        <v>4</v>
      </c>
      <c r="F1834" s="2" t="s">
        <v>10086</v>
      </c>
      <c r="H1834" s="3">
        <v>8.0000000000000004E-4</v>
      </c>
      <c r="K1834" s="2" t="s">
        <v>10089</v>
      </c>
    </row>
    <row r="1835" spans="1:11" x14ac:dyDescent="0.2">
      <c r="A1835" s="2">
        <v>460</v>
      </c>
      <c r="B1835" s="2">
        <v>3</v>
      </c>
      <c r="C1835" s="2">
        <v>40897628</v>
      </c>
      <c r="D1835" s="2">
        <v>42301657</v>
      </c>
      <c r="E1835" s="2">
        <v>1</v>
      </c>
      <c r="F1835" s="2" t="s">
        <v>10086</v>
      </c>
      <c r="H1835" s="2">
        <v>5.0000000000000001E-3</v>
      </c>
      <c r="K1835" s="2" t="s">
        <v>10085</v>
      </c>
    </row>
    <row r="1836" spans="1:11" x14ac:dyDescent="0.2">
      <c r="A1836" s="2">
        <v>460</v>
      </c>
      <c r="B1836" s="2">
        <v>3</v>
      </c>
      <c r="C1836" s="2">
        <v>40897628</v>
      </c>
      <c r="D1836" s="2">
        <v>42301657</v>
      </c>
      <c r="E1836" s="2">
        <v>2</v>
      </c>
      <c r="F1836" s="2" t="s">
        <v>10086</v>
      </c>
      <c r="H1836" s="2">
        <v>3.0000000000000001E-3</v>
      </c>
      <c r="K1836" s="2" t="s">
        <v>10087</v>
      </c>
    </row>
    <row r="1837" spans="1:11" x14ac:dyDescent="0.2">
      <c r="A1837" s="2">
        <v>460</v>
      </c>
      <c r="B1837" s="2">
        <v>3</v>
      </c>
      <c r="C1837" s="2">
        <v>40897628</v>
      </c>
      <c r="D1837" s="2">
        <v>42301657</v>
      </c>
      <c r="E1837" s="2">
        <v>3</v>
      </c>
      <c r="F1837" s="2" t="s">
        <v>10086</v>
      </c>
      <c r="H1837" s="2">
        <v>2E-3</v>
      </c>
      <c r="K1837" s="2" t="s">
        <v>10089</v>
      </c>
    </row>
    <row r="1838" spans="1:11" x14ac:dyDescent="0.2">
      <c r="A1838" s="2">
        <v>460</v>
      </c>
      <c r="B1838" s="2">
        <v>3</v>
      </c>
      <c r="C1838" s="2">
        <v>40897628</v>
      </c>
      <c r="D1838" s="2">
        <v>42301657</v>
      </c>
      <c r="E1838" s="2">
        <v>4</v>
      </c>
      <c r="F1838" s="2" t="s">
        <v>10086</v>
      </c>
      <c r="H1838" s="3">
        <v>6.9999999999999999E-4</v>
      </c>
      <c r="K1838" s="2" t="s">
        <v>10088</v>
      </c>
    </row>
    <row r="1839" spans="1:11" x14ac:dyDescent="0.2">
      <c r="A1839" s="2">
        <v>461</v>
      </c>
      <c r="B1839" s="2">
        <v>3</v>
      </c>
      <c r="C1839" s="2">
        <v>42301658</v>
      </c>
      <c r="D1839" s="2">
        <v>44141693</v>
      </c>
      <c r="E1839" s="2">
        <v>1</v>
      </c>
      <c r="F1839" s="2" t="s">
        <v>10086</v>
      </c>
      <c r="H1839" s="2">
        <v>6.6E-3</v>
      </c>
      <c r="K1839" s="2" t="s">
        <v>10087</v>
      </c>
    </row>
    <row r="1840" spans="1:11" x14ac:dyDescent="0.2">
      <c r="A1840" s="2">
        <v>461</v>
      </c>
      <c r="B1840" s="2">
        <v>3</v>
      </c>
      <c r="C1840" s="2">
        <v>42301658</v>
      </c>
      <c r="D1840" s="2">
        <v>44141693</v>
      </c>
      <c r="E1840" s="2">
        <v>2</v>
      </c>
      <c r="F1840" s="2" t="s">
        <v>10086</v>
      </c>
      <c r="H1840" s="2">
        <v>1.6000000000000001E-3</v>
      </c>
      <c r="K1840" s="2" t="s">
        <v>10089</v>
      </c>
    </row>
    <row r="1841" spans="1:11" x14ac:dyDescent="0.2">
      <c r="A1841" s="2">
        <v>461</v>
      </c>
      <c r="B1841" s="2">
        <v>3</v>
      </c>
      <c r="C1841" s="2">
        <v>42301658</v>
      </c>
      <c r="D1841" s="2">
        <v>44141693</v>
      </c>
      <c r="E1841" s="2">
        <v>3</v>
      </c>
      <c r="F1841" s="2" t="s">
        <v>10086</v>
      </c>
      <c r="H1841" s="2">
        <v>1.5E-3</v>
      </c>
      <c r="K1841" s="2" t="s">
        <v>10088</v>
      </c>
    </row>
    <row r="1842" spans="1:11" x14ac:dyDescent="0.2">
      <c r="A1842" s="2">
        <v>461</v>
      </c>
      <c r="B1842" s="2">
        <v>3</v>
      </c>
      <c r="C1842" s="2">
        <v>42301658</v>
      </c>
      <c r="D1842" s="2">
        <v>44141693</v>
      </c>
      <c r="E1842" s="2">
        <v>4</v>
      </c>
      <c r="F1842" s="2" t="s">
        <v>10086</v>
      </c>
      <c r="H1842" s="3">
        <v>5.9999999999999995E-4</v>
      </c>
      <c r="K1842" s="2" t="s">
        <v>10085</v>
      </c>
    </row>
    <row r="1843" spans="1:11" x14ac:dyDescent="0.2">
      <c r="A1843" s="2">
        <v>462</v>
      </c>
      <c r="B1843" s="2">
        <v>3</v>
      </c>
      <c r="C1843" s="2">
        <v>44141694</v>
      </c>
      <c r="D1843" s="2">
        <v>45844191</v>
      </c>
      <c r="E1843" s="2">
        <v>1</v>
      </c>
      <c r="F1843" s="2" t="s">
        <v>10086</v>
      </c>
      <c r="H1843" s="2">
        <v>3.3999999999999998E-3</v>
      </c>
      <c r="K1843" s="2" t="s">
        <v>10085</v>
      </c>
    </row>
    <row r="1844" spans="1:11" x14ac:dyDescent="0.2">
      <c r="A1844" s="2">
        <v>462</v>
      </c>
      <c r="B1844" s="2">
        <v>3</v>
      </c>
      <c r="C1844" s="2">
        <v>44141694</v>
      </c>
      <c r="D1844" s="2">
        <v>45844191</v>
      </c>
      <c r="E1844" s="2">
        <v>2</v>
      </c>
      <c r="F1844" s="2" t="s">
        <v>10086</v>
      </c>
      <c r="H1844" s="2">
        <v>4.7999999999999996E-3</v>
      </c>
      <c r="K1844" s="2" t="s">
        <v>10088</v>
      </c>
    </row>
    <row r="1845" spans="1:11" x14ac:dyDescent="0.2">
      <c r="A1845" s="2">
        <v>462</v>
      </c>
      <c r="B1845" s="2">
        <v>3</v>
      </c>
      <c r="C1845" s="2">
        <v>44141694</v>
      </c>
      <c r="D1845" s="2">
        <v>45844191</v>
      </c>
      <c r="E1845" s="2">
        <v>3</v>
      </c>
      <c r="F1845" s="2" t="s">
        <v>10086</v>
      </c>
      <c r="H1845" s="2">
        <v>2.2000000000000001E-3</v>
      </c>
      <c r="K1845" s="2" t="s">
        <v>10089</v>
      </c>
    </row>
    <row r="1846" spans="1:11" x14ac:dyDescent="0.2">
      <c r="A1846" s="2">
        <v>462</v>
      </c>
      <c r="B1846" s="2">
        <v>3</v>
      </c>
      <c r="C1846" s="2">
        <v>44141694</v>
      </c>
      <c r="D1846" s="2">
        <v>45844191</v>
      </c>
      <c r="E1846" s="2">
        <v>4</v>
      </c>
      <c r="F1846" s="2" t="s">
        <v>10086</v>
      </c>
      <c r="H1846" s="3">
        <v>5.9999999999999995E-4</v>
      </c>
      <c r="K1846" s="2" t="s">
        <v>10087</v>
      </c>
    </row>
    <row r="1847" spans="1:11" x14ac:dyDescent="0.2">
      <c r="A1847" s="2">
        <v>463</v>
      </c>
      <c r="B1847" s="2">
        <v>3</v>
      </c>
      <c r="C1847" s="2">
        <v>45844192</v>
      </c>
      <c r="D1847" s="2">
        <v>47588461</v>
      </c>
      <c r="E1847" s="2">
        <v>1</v>
      </c>
      <c r="F1847" s="2" t="s">
        <v>10086</v>
      </c>
      <c r="H1847" s="2">
        <v>1.7600000000000001E-2</v>
      </c>
      <c r="K1847" s="2" t="s">
        <v>10088</v>
      </c>
    </row>
    <row r="1848" spans="1:11" x14ac:dyDescent="0.2">
      <c r="A1848" s="2">
        <v>463</v>
      </c>
      <c r="B1848" s="2">
        <v>3</v>
      </c>
      <c r="C1848" s="2">
        <v>45844192</v>
      </c>
      <c r="D1848" s="2">
        <v>47588461</v>
      </c>
      <c r="E1848" s="2">
        <v>2</v>
      </c>
      <c r="F1848" s="2" t="s">
        <v>10086</v>
      </c>
      <c r="H1848" s="2">
        <v>1.1299999999999999E-2</v>
      </c>
      <c r="K1848" s="2" t="s">
        <v>10085</v>
      </c>
    </row>
    <row r="1849" spans="1:11" x14ac:dyDescent="0.2">
      <c r="A1849" s="2">
        <v>463</v>
      </c>
      <c r="B1849" s="2">
        <v>3</v>
      </c>
      <c r="C1849" s="2">
        <v>45844192</v>
      </c>
      <c r="D1849" s="2">
        <v>47588461</v>
      </c>
      <c r="E1849" s="2">
        <v>3</v>
      </c>
      <c r="F1849" s="2" t="s">
        <v>10086</v>
      </c>
      <c r="H1849" s="2">
        <v>1.1999999999999999E-3</v>
      </c>
      <c r="K1849" s="2" t="s">
        <v>10089</v>
      </c>
    </row>
    <row r="1850" spans="1:11" x14ac:dyDescent="0.2">
      <c r="A1850" s="2">
        <v>463</v>
      </c>
      <c r="B1850" s="2">
        <v>3</v>
      </c>
      <c r="C1850" s="2">
        <v>45844192</v>
      </c>
      <c r="D1850" s="2">
        <v>47588461</v>
      </c>
      <c r="E1850" s="2">
        <v>4</v>
      </c>
      <c r="F1850" s="2" t="s">
        <v>10086</v>
      </c>
      <c r="H1850" s="3">
        <v>5.0000000000000001E-4</v>
      </c>
      <c r="K1850" s="2" t="s">
        <v>10087</v>
      </c>
    </row>
    <row r="1851" spans="1:11" x14ac:dyDescent="0.2">
      <c r="A1851" s="2">
        <v>464</v>
      </c>
      <c r="B1851" s="2">
        <v>3</v>
      </c>
      <c r="C1851" s="2">
        <v>47588462</v>
      </c>
      <c r="D1851" s="2">
        <v>50387742</v>
      </c>
      <c r="E1851" s="2">
        <v>1</v>
      </c>
      <c r="F1851" s="2" t="s">
        <v>10086</v>
      </c>
      <c r="H1851" s="2">
        <v>3.0000000000000001E-3</v>
      </c>
      <c r="K1851" s="2" t="s">
        <v>10085</v>
      </c>
    </row>
    <row r="1852" spans="1:11" x14ac:dyDescent="0.2">
      <c r="A1852" s="2">
        <v>464</v>
      </c>
      <c r="B1852" s="2">
        <v>3</v>
      </c>
      <c r="C1852" s="2">
        <v>47588462</v>
      </c>
      <c r="D1852" s="2">
        <v>50387742</v>
      </c>
      <c r="E1852" s="2">
        <v>2</v>
      </c>
      <c r="F1852" s="2" t="s">
        <v>10086</v>
      </c>
      <c r="H1852" s="2">
        <v>1.6999999999999999E-3</v>
      </c>
      <c r="K1852" s="2" t="s">
        <v>10087</v>
      </c>
    </row>
    <row r="1853" spans="1:11" x14ac:dyDescent="0.2">
      <c r="A1853" s="2">
        <v>464</v>
      </c>
      <c r="B1853" s="2">
        <v>3</v>
      </c>
      <c r="C1853" s="2">
        <v>47588462</v>
      </c>
      <c r="D1853" s="2">
        <v>50387742</v>
      </c>
      <c r="E1853" s="2">
        <v>3</v>
      </c>
      <c r="F1853" s="2" t="s">
        <v>10086</v>
      </c>
      <c r="H1853" s="2">
        <v>1.2999999999999999E-3</v>
      </c>
      <c r="K1853" s="2" t="s">
        <v>10089</v>
      </c>
    </row>
    <row r="1854" spans="1:11" x14ac:dyDescent="0.2">
      <c r="A1854" s="2">
        <v>464</v>
      </c>
      <c r="B1854" s="2">
        <v>3</v>
      </c>
      <c r="C1854" s="2">
        <v>47588462</v>
      </c>
      <c r="D1854" s="2">
        <v>50387742</v>
      </c>
      <c r="E1854" s="2">
        <v>4</v>
      </c>
      <c r="F1854" s="2" t="s">
        <v>10086</v>
      </c>
      <c r="H1854" s="2">
        <v>1.1999999999999999E-3</v>
      </c>
      <c r="K1854" s="2" t="s">
        <v>12324</v>
      </c>
    </row>
    <row r="1855" spans="1:11" x14ac:dyDescent="0.2">
      <c r="A1855" s="2">
        <v>465</v>
      </c>
      <c r="B1855" s="2">
        <v>3</v>
      </c>
      <c r="C1855" s="2">
        <v>50387743</v>
      </c>
      <c r="D1855" s="2">
        <v>51953968</v>
      </c>
      <c r="E1855" s="2">
        <v>1</v>
      </c>
      <c r="F1855" s="2" t="s">
        <v>10086</v>
      </c>
      <c r="H1855" s="2">
        <v>1.6000000000000001E-3</v>
      </c>
      <c r="K1855" s="2" t="s">
        <v>10087</v>
      </c>
    </row>
    <row r="1856" spans="1:11" x14ac:dyDescent="0.2">
      <c r="A1856" s="2">
        <v>465</v>
      </c>
      <c r="B1856" s="2">
        <v>3</v>
      </c>
      <c r="C1856" s="2">
        <v>50387743</v>
      </c>
      <c r="D1856" s="2">
        <v>51953968</v>
      </c>
      <c r="E1856" s="2">
        <v>2</v>
      </c>
      <c r="F1856" s="2" t="s">
        <v>10086</v>
      </c>
      <c r="H1856" s="3">
        <v>8.9999999999999998E-4</v>
      </c>
      <c r="K1856" s="2" t="s">
        <v>10085</v>
      </c>
    </row>
    <row r="1857" spans="1:11" x14ac:dyDescent="0.2">
      <c r="A1857" s="2">
        <v>465</v>
      </c>
      <c r="B1857" s="2">
        <v>3</v>
      </c>
      <c r="C1857" s="2">
        <v>50387743</v>
      </c>
      <c r="D1857" s="2">
        <v>51953968</v>
      </c>
      <c r="E1857" s="2">
        <v>3</v>
      </c>
      <c r="F1857" s="2" t="s">
        <v>10086</v>
      </c>
      <c r="H1857" s="3">
        <v>6.9999999999999999E-4</v>
      </c>
      <c r="K1857" s="2" t="s">
        <v>10088</v>
      </c>
    </row>
    <row r="1858" spans="1:11" x14ac:dyDescent="0.2">
      <c r="A1858" s="2">
        <v>465</v>
      </c>
      <c r="B1858" s="2">
        <v>3</v>
      </c>
      <c r="C1858" s="2">
        <v>50387743</v>
      </c>
      <c r="D1858" s="2">
        <v>51953968</v>
      </c>
      <c r="E1858" s="2">
        <v>4</v>
      </c>
      <c r="F1858" s="2" t="s">
        <v>10086</v>
      </c>
      <c r="H1858" s="3">
        <v>5.9999999999999995E-4</v>
      </c>
      <c r="K1858" s="2" t="s">
        <v>10089</v>
      </c>
    </row>
    <row r="1859" spans="1:11" x14ac:dyDescent="0.2">
      <c r="A1859" s="2">
        <v>466</v>
      </c>
      <c r="B1859" s="2">
        <v>3</v>
      </c>
      <c r="C1859" s="2">
        <v>51953969</v>
      </c>
      <c r="D1859" s="2">
        <v>54074844</v>
      </c>
      <c r="E1859" s="2">
        <v>1</v>
      </c>
      <c r="F1859" s="2" t="s">
        <v>10086</v>
      </c>
      <c r="H1859" s="2">
        <v>2E-3</v>
      </c>
      <c r="K1859" s="2" t="s">
        <v>10085</v>
      </c>
    </row>
    <row r="1860" spans="1:11" x14ac:dyDescent="0.2">
      <c r="A1860" s="2">
        <v>466</v>
      </c>
      <c r="B1860" s="2">
        <v>3</v>
      </c>
      <c r="C1860" s="2">
        <v>51953969</v>
      </c>
      <c r="D1860" s="2">
        <v>54074844</v>
      </c>
      <c r="E1860" s="2">
        <v>2</v>
      </c>
      <c r="F1860" s="2" t="s">
        <v>10086</v>
      </c>
      <c r="H1860" s="2">
        <v>4.1999999999999997E-3</v>
      </c>
      <c r="K1860" s="2" t="s">
        <v>10088</v>
      </c>
    </row>
    <row r="1861" spans="1:11" x14ac:dyDescent="0.2">
      <c r="A1861" s="2">
        <v>466</v>
      </c>
      <c r="B1861" s="2">
        <v>3</v>
      </c>
      <c r="C1861" s="2">
        <v>51953969</v>
      </c>
      <c r="D1861" s="2">
        <v>54074844</v>
      </c>
      <c r="E1861" s="2">
        <v>3</v>
      </c>
      <c r="F1861" s="2" t="s">
        <v>10086</v>
      </c>
      <c r="H1861" s="2">
        <v>1.5E-3</v>
      </c>
      <c r="K1861" s="2" t="s">
        <v>10089</v>
      </c>
    </row>
    <row r="1862" spans="1:11" x14ac:dyDescent="0.2">
      <c r="A1862" s="2">
        <v>466</v>
      </c>
      <c r="B1862" s="2">
        <v>3</v>
      </c>
      <c r="C1862" s="2">
        <v>51953969</v>
      </c>
      <c r="D1862" s="2">
        <v>54074844</v>
      </c>
      <c r="E1862" s="2">
        <v>4</v>
      </c>
      <c r="F1862" s="2" t="s">
        <v>10086</v>
      </c>
      <c r="H1862" s="3">
        <v>8.9999999999999998E-4</v>
      </c>
      <c r="K1862" s="2" t="s">
        <v>10087</v>
      </c>
    </row>
    <row r="1863" spans="1:11" x14ac:dyDescent="0.2">
      <c r="A1863" s="2">
        <v>467</v>
      </c>
      <c r="B1863" s="2">
        <v>3</v>
      </c>
      <c r="C1863" s="2">
        <v>54074845</v>
      </c>
      <c r="D1863" s="2">
        <v>54892586</v>
      </c>
      <c r="E1863" s="2">
        <v>1</v>
      </c>
      <c r="F1863" s="2" t="s">
        <v>10086</v>
      </c>
      <c r="H1863" s="2">
        <v>2.7000000000000001E-3</v>
      </c>
      <c r="K1863" s="2" t="s">
        <v>10088</v>
      </c>
    </row>
    <row r="1864" spans="1:11" x14ac:dyDescent="0.2">
      <c r="A1864" s="2">
        <v>467</v>
      </c>
      <c r="B1864" s="2">
        <v>3</v>
      </c>
      <c r="C1864" s="2">
        <v>54074845</v>
      </c>
      <c r="D1864" s="2">
        <v>54892586</v>
      </c>
      <c r="E1864" s="2">
        <v>2</v>
      </c>
      <c r="F1864" s="2" t="s">
        <v>10086</v>
      </c>
      <c r="H1864" s="2">
        <v>2.5999999999999999E-3</v>
      </c>
      <c r="K1864" s="2" t="s">
        <v>10085</v>
      </c>
    </row>
    <row r="1865" spans="1:11" x14ac:dyDescent="0.2">
      <c r="A1865" s="2">
        <v>467</v>
      </c>
      <c r="B1865" s="2">
        <v>3</v>
      </c>
      <c r="C1865" s="2">
        <v>54074845</v>
      </c>
      <c r="D1865" s="2">
        <v>54892586</v>
      </c>
      <c r="E1865" s="2">
        <v>3</v>
      </c>
      <c r="F1865" s="2" t="s">
        <v>10086</v>
      </c>
      <c r="H1865" s="3">
        <v>6.9999999999999999E-4</v>
      </c>
      <c r="K1865" s="2" t="s">
        <v>10087</v>
      </c>
    </row>
    <row r="1866" spans="1:11" x14ac:dyDescent="0.2">
      <c r="A1866" s="2">
        <v>467</v>
      </c>
      <c r="B1866" s="2">
        <v>3</v>
      </c>
      <c r="C1866" s="2">
        <v>54074845</v>
      </c>
      <c r="D1866" s="2">
        <v>54892586</v>
      </c>
      <c r="E1866" s="2">
        <v>4</v>
      </c>
      <c r="F1866" s="2" t="s">
        <v>10086</v>
      </c>
      <c r="H1866" s="3">
        <v>2.9999999999999997E-4</v>
      </c>
      <c r="K1866" s="2" t="s">
        <v>10089</v>
      </c>
    </row>
    <row r="1867" spans="1:11" x14ac:dyDescent="0.2">
      <c r="A1867" s="2">
        <v>468</v>
      </c>
      <c r="B1867" s="2">
        <v>3</v>
      </c>
      <c r="C1867" s="2">
        <v>54892587</v>
      </c>
      <c r="D1867" s="2">
        <v>55616625</v>
      </c>
      <c r="E1867" s="2">
        <v>1</v>
      </c>
      <c r="F1867" s="2" t="s">
        <v>10086</v>
      </c>
      <c r="H1867" s="2">
        <v>8.8000000000000005E-3</v>
      </c>
      <c r="K1867" s="2" t="s">
        <v>10088</v>
      </c>
    </row>
    <row r="1868" spans="1:11" x14ac:dyDescent="0.2">
      <c r="A1868" s="2">
        <v>468</v>
      </c>
      <c r="B1868" s="2">
        <v>3</v>
      </c>
      <c r="C1868" s="2">
        <v>54892587</v>
      </c>
      <c r="D1868" s="2">
        <v>55616625</v>
      </c>
      <c r="E1868" s="2">
        <v>2</v>
      </c>
      <c r="F1868" s="2" t="s">
        <v>10086</v>
      </c>
      <c r="H1868" s="2">
        <v>2.2000000000000001E-3</v>
      </c>
      <c r="K1868" s="2" t="s">
        <v>10085</v>
      </c>
    </row>
    <row r="1869" spans="1:11" x14ac:dyDescent="0.2">
      <c r="A1869" s="2">
        <v>468</v>
      </c>
      <c r="B1869" s="2">
        <v>3</v>
      </c>
      <c r="C1869" s="2">
        <v>54892587</v>
      </c>
      <c r="D1869" s="2">
        <v>55616625</v>
      </c>
      <c r="E1869" s="2">
        <v>3</v>
      </c>
      <c r="F1869" s="2" t="s">
        <v>10086</v>
      </c>
      <c r="H1869" s="3">
        <v>8.0000000000000004E-4</v>
      </c>
      <c r="K1869" s="2" t="s">
        <v>10087</v>
      </c>
    </row>
    <row r="1870" spans="1:11" x14ac:dyDescent="0.2">
      <c r="A1870" s="2">
        <v>468</v>
      </c>
      <c r="B1870" s="2">
        <v>3</v>
      </c>
      <c r="C1870" s="2">
        <v>54892587</v>
      </c>
      <c r="D1870" s="2">
        <v>55616625</v>
      </c>
      <c r="E1870" s="2">
        <v>4</v>
      </c>
      <c r="F1870" s="2" t="s">
        <v>10086</v>
      </c>
      <c r="H1870" s="3">
        <v>5.0000000000000001E-4</v>
      </c>
      <c r="K1870" s="2" t="s">
        <v>12324</v>
      </c>
    </row>
    <row r="1871" spans="1:11" x14ac:dyDescent="0.2">
      <c r="A1871" s="2">
        <v>469</v>
      </c>
      <c r="B1871" s="2">
        <v>3</v>
      </c>
      <c r="C1871" s="2">
        <v>55616626</v>
      </c>
      <c r="D1871" s="2">
        <v>56954878</v>
      </c>
      <c r="E1871" s="2">
        <v>1</v>
      </c>
      <c r="F1871" s="2" t="s">
        <v>10086</v>
      </c>
      <c r="H1871" s="2">
        <v>3.3E-3</v>
      </c>
      <c r="K1871" s="2" t="s">
        <v>10085</v>
      </c>
    </row>
    <row r="1872" spans="1:11" x14ac:dyDescent="0.2">
      <c r="A1872" s="2">
        <v>469</v>
      </c>
      <c r="B1872" s="2">
        <v>3</v>
      </c>
      <c r="C1872" s="2">
        <v>55616626</v>
      </c>
      <c r="D1872" s="2">
        <v>56954878</v>
      </c>
      <c r="E1872" s="2">
        <v>2</v>
      </c>
      <c r="F1872" s="2" t="s">
        <v>10086</v>
      </c>
      <c r="H1872" s="2">
        <v>1.4E-3</v>
      </c>
      <c r="K1872" s="2" t="s">
        <v>10089</v>
      </c>
    </row>
    <row r="1873" spans="1:11" x14ac:dyDescent="0.2">
      <c r="A1873" s="2">
        <v>469</v>
      </c>
      <c r="B1873" s="2">
        <v>3</v>
      </c>
      <c r="C1873" s="2">
        <v>55616626</v>
      </c>
      <c r="D1873" s="2">
        <v>56954878</v>
      </c>
      <c r="E1873" s="2">
        <v>3</v>
      </c>
      <c r="F1873" s="2" t="s">
        <v>10086</v>
      </c>
      <c r="H1873" s="2">
        <v>1E-3</v>
      </c>
      <c r="K1873" s="2" t="s">
        <v>10088</v>
      </c>
    </row>
    <row r="1874" spans="1:11" x14ac:dyDescent="0.2">
      <c r="A1874" s="2">
        <v>469</v>
      </c>
      <c r="B1874" s="2">
        <v>3</v>
      </c>
      <c r="C1874" s="2">
        <v>55616626</v>
      </c>
      <c r="D1874" s="2">
        <v>56954878</v>
      </c>
      <c r="E1874" s="2">
        <v>4</v>
      </c>
      <c r="F1874" s="2" t="s">
        <v>10086</v>
      </c>
      <c r="H1874" s="3">
        <v>5.0000000000000001E-4</v>
      </c>
      <c r="K1874" s="2" t="s">
        <v>10087</v>
      </c>
    </row>
    <row r="1875" spans="1:11" x14ac:dyDescent="0.2">
      <c r="A1875" s="2">
        <v>470</v>
      </c>
      <c r="B1875" s="2">
        <v>3</v>
      </c>
      <c r="C1875" s="2">
        <v>56954879</v>
      </c>
      <c r="D1875" s="2">
        <v>58557718</v>
      </c>
      <c r="E1875" s="2">
        <v>1</v>
      </c>
      <c r="F1875" s="2" t="s">
        <v>10086</v>
      </c>
      <c r="H1875" s="2">
        <v>1.2999999999999999E-3</v>
      </c>
      <c r="K1875" s="2" t="s">
        <v>10089</v>
      </c>
    </row>
    <row r="1876" spans="1:11" x14ac:dyDescent="0.2">
      <c r="A1876" s="2">
        <v>470</v>
      </c>
      <c r="B1876" s="2">
        <v>3</v>
      </c>
      <c r="C1876" s="2">
        <v>56954879</v>
      </c>
      <c r="D1876" s="2">
        <v>58557718</v>
      </c>
      <c r="E1876" s="2">
        <v>2</v>
      </c>
      <c r="F1876" s="2" t="s">
        <v>10086</v>
      </c>
      <c r="H1876" s="2">
        <v>1.1000000000000001E-3</v>
      </c>
      <c r="K1876" s="2" t="s">
        <v>10085</v>
      </c>
    </row>
    <row r="1877" spans="1:11" x14ac:dyDescent="0.2">
      <c r="A1877" s="2">
        <v>470</v>
      </c>
      <c r="B1877" s="2">
        <v>3</v>
      </c>
      <c r="C1877" s="2">
        <v>56954879</v>
      </c>
      <c r="D1877" s="2">
        <v>58557718</v>
      </c>
      <c r="E1877" s="2">
        <v>3</v>
      </c>
      <c r="F1877" s="2" t="s">
        <v>10086</v>
      </c>
      <c r="H1877" s="2">
        <v>1E-3</v>
      </c>
      <c r="K1877" s="2" t="s">
        <v>10088</v>
      </c>
    </row>
    <row r="1878" spans="1:11" x14ac:dyDescent="0.2">
      <c r="A1878" s="2">
        <v>470</v>
      </c>
      <c r="B1878" s="2">
        <v>3</v>
      </c>
      <c r="C1878" s="2">
        <v>56954879</v>
      </c>
      <c r="D1878" s="2">
        <v>58557718</v>
      </c>
      <c r="E1878" s="2">
        <v>4</v>
      </c>
      <c r="F1878" s="2" t="s">
        <v>10086</v>
      </c>
      <c r="H1878" s="3">
        <v>4.0000000000000002E-4</v>
      </c>
      <c r="K1878" s="2" t="s">
        <v>10087</v>
      </c>
    </row>
    <row r="1879" spans="1:11" x14ac:dyDescent="0.2">
      <c r="A1879" s="2">
        <v>471</v>
      </c>
      <c r="B1879" s="2">
        <v>3</v>
      </c>
      <c r="C1879" s="2">
        <v>58557719</v>
      </c>
      <c r="D1879" s="2">
        <v>59998583</v>
      </c>
      <c r="E1879" s="2">
        <v>1</v>
      </c>
      <c r="F1879" s="2" t="s">
        <v>10086</v>
      </c>
      <c r="H1879" s="2">
        <v>9.7999999999999997E-3</v>
      </c>
      <c r="K1879" s="2" t="s">
        <v>12324</v>
      </c>
    </row>
    <row r="1880" spans="1:11" x14ac:dyDescent="0.2">
      <c r="A1880" s="2">
        <v>471</v>
      </c>
      <c r="B1880" s="2">
        <v>3</v>
      </c>
      <c r="C1880" s="2">
        <v>58557719</v>
      </c>
      <c r="D1880" s="2">
        <v>59998583</v>
      </c>
      <c r="E1880" s="2">
        <v>2</v>
      </c>
      <c r="F1880" s="2" t="s">
        <v>10086</v>
      </c>
      <c r="H1880" s="2">
        <v>2E-3</v>
      </c>
      <c r="K1880" s="2" t="s">
        <v>10085</v>
      </c>
    </row>
    <row r="1881" spans="1:11" x14ac:dyDescent="0.2">
      <c r="A1881" s="2">
        <v>471</v>
      </c>
      <c r="B1881" s="2">
        <v>3</v>
      </c>
      <c r="C1881" s="2">
        <v>58557719</v>
      </c>
      <c r="D1881" s="2">
        <v>59998583</v>
      </c>
      <c r="E1881" s="2">
        <v>3</v>
      </c>
      <c r="F1881" s="2" t="s">
        <v>10086</v>
      </c>
      <c r="H1881" s="2">
        <v>2.3E-3</v>
      </c>
      <c r="K1881" s="2" t="s">
        <v>10089</v>
      </c>
    </row>
    <row r="1882" spans="1:11" x14ac:dyDescent="0.2">
      <c r="A1882" s="2">
        <v>471</v>
      </c>
      <c r="B1882" s="2">
        <v>3</v>
      </c>
      <c r="C1882" s="2">
        <v>58557719</v>
      </c>
      <c r="D1882" s="2">
        <v>59998583</v>
      </c>
      <c r="E1882" s="2">
        <v>4</v>
      </c>
      <c r="F1882" s="2" t="s">
        <v>10086</v>
      </c>
      <c r="H1882" s="2">
        <v>2.5999999999999999E-3</v>
      </c>
      <c r="K1882" s="2" t="s">
        <v>10088</v>
      </c>
    </row>
    <row r="1883" spans="1:11" x14ac:dyDescent="0.2">
      <c r="A1883" s="2">
        <v>472</v>
      </c>
      <c r="B1883" s="2">
        <v>3</v>
      </c>
      <c r="C1883" s="2">
        <v>59998584</v>
      </c>
      <c r="D1883" s="2">
        <v>60571139</v>
      </c>
      <c r="E1883" s="2">
        <v>1</v>
      </c>
      <c r="F1883" s="2" t="s">
        <v>10086</v>
      </c>
      <c r="H1883" s="2">
        <v>1.1000000000000001E-3</v>
      </c>
      <c r="K1883" s="2" t="s">
        <v>10089</v>
      </c>
    </row>
    <row r="1884" spans="1:11" x14ac:dyDescent="0.2">
      <c r="A1884" s="2">
        <v>472</v>
      </c>
      <c r="B1884" s="2">
        <v>3</v>
      </c>
      <c r="C1884" s="2">
        <v>59998584</v>
      </c>
      <c r="D1884" s="2">
        <v>60571139</v>
      </c>
      <c r="E1884" s="2">
        <v>2</v>
      </c>
      <c r="F1884" s="2" t="s">
        <v>10086</v>
      </c>
      <c r="H1884" s="2">
        <v>1.1999999999999999E-3</v>
      </c>
      <c r="K1884" s="2" t="s">
        <v>10085</v>
      </c>
    </row>
    <row r="1885" spans="1:11" x14ac:dyDescent="0.2">
      <c r="A1885" s="2">
        <v>472</v>
      </c>
      <c r="B1885" s="2">
        <v>3</v>
      </c>
      <c r="C1885" s="2">
        <v>59998584</v>
      </c>
      <c r="D1885" s="2">
        <v>60571139</v>
      </c>
      <c r="E1885" s="2">
        <v>3</v>
      </c>
      <c r="F1885" s="2" t="s">
        <v>10086</v>
      </c>
      <c r="H1885" s="3">
        <v>6.9999999999999999E-4</v>
      </c>
      <c r="K1885" s="2" t="s">
        <v>10088</v>
      </c>
    </row>
    <row r="1886" spans="1:11" x14ac:dyDescent="0.2">
      <c r="A1886" s="2">
        <v>472</v>
      </c>
      <c r="B1886" s="2">
        <v>3</v>
      </c>
      <c r="C1886" s="2">
        <v>59998584</v>
      </c>
      <c r="D1886" s="2">
        <v>60571139</v>
      </c>
      <c r="E1886" s="2">
        <v>4</v>
      </c>
      <c r="F1886" s="2" t="s">
        <v>10086</v>
      </c>
      <c r="H1886" s="3">
        <v>2.0000000000000001E-4</v>
      </c>
      <c r="K1886" s="2" t="s">
        <v>10087</v>
      </c>
    </row>
    <row r="1887" spans="1:11" x14ac:dyDescent="0.2">
      <c r="A1887" s="2">
        <v>473</v>
      </c>
      <c r="B1887" s="2">
        <v>3</v>
      </c>
      <c r="C1887" s="2">
        <v>60571140</v>
      </c>
      <c r="D1887" s="2">
        <v>61277587</v>
      </c>
      <c r="E1887" s="2">
        <v>1</v>
      </c>
      <c r="F1887" s="2" t="s">
        <v>10086</v>
      </c>
      <c r="H1887" s="2">
        <v>1.1999999999999999E-3</v>
      </c>
      <c r="K1887" s="2" t="s">
        <v>10085</v>
      </c>
    </row>
    <row r="1888" spans="1:11" x14ac:dyDescent="0.2">
      <c r="A1888" s="2">
        <v>473</v>
      </c>
      <c r="B1888" s="2">
        <v>3</v>
      </c>
      <c r="C1888" s="2">
        <v>60571140</v>
      </c>
      <c r="D1888" s="2">
        <v>61277587</v>
      </c>
      <c r="E1888" s="2">
        <v>2</v>
      </c>
      <c r="F1888" s="2" t="s">
        <v>10086</v>
      </c>
      <c r="H1888" s="2">
        <v>1E-3</v>
      </c>
      <c r="K1888" s="2" t="s">
        <v>10087</v>
      </c>
    </row>
    <row r="1889" spans="1:11" x14ac:dyDescent="0.2">
      <c r="A1889" s="2">
        <v>473</v>
      </c>
      <c r="B1889" s="2">
        <v>3</v>
      </c>
      <c r="C1889" s="2">
        <v>60571140</v>
      </c>
      <c r="D1889" s="2">
        <v>61277587</v>
      </c>
      <c r="E1889" s="2">
        <v>3</v>
      </c>
      <c r="F1889" s="2" t="s">
        <v>10086</v>
      </c>
      <c r="H1889" s="2">
        <v>1.4E-3</v>
      </c>
      <c r="K1889" s="2" t="s">
        <v>10088</v>
      </c>
    </row>
    <row r="1890" spans="1:11" x14ac:dyDescent="0.2">
      <c r="A1890" s="2">
        <v>473</v>
      </c>
      <c r="B1890" s="2">
        <v>3</v>
      </c>
      <c r="C1890" s="2">
        <v>60571140</v>
      </c>
      <c r="D1890" s="2">
        <v>61277587</v>
      </c>
      <c r="E1890" s="2">
        <v>4</v>
      </c>
      <c r="F1890" s="2" t="s">
        <v>10086</v>
      </c>
      <c r="H1890" s="3">
        <v>4.0000000000000002E-4</v>
      </c>
      <c r="K1890" s="2" t="s">
        <v>10089</v>
      </c>
    </row>
    <row r="1891" spans="1:11" x14ac:dyDescent="0.2">
      <c r="A1891" s="2">
        <v>474</v>
      </c>
      <c r="B1891" s="2">
        <v>3</v>
      </c>
      <c r="C1891" s="2">
        <v>61277588</v>
      </c>
      <c r="D1891" s="2">
        <v>62609818</v>
      </c>
      <c r="E1891" s="2">
        <v>1</v>
      </c>
      <c r="F1891" s="2" t="s">
        <v>10086</v>
      </c>
      <c r="H1891" s="2">
        <v>2.5999999999999999E-3</v>
      </c>
      <c r="K1891" s="2" t="s">
        <v>10089</v>
      </c>
    </row>
    <row r="1892" spans="1:11" x14ac:dyDescent="0.2">
      <c r="A1892" s="2">
        <v>474</v>
      </c>
      <c r="B1892" s="2">
        <v>3</v>
      </c>
      <c r="C1892" s="2">
        <v>61277588</v>
      </c>
      <c r="D1892" s="2">
        <v>62609818</v>
      </c>
      <c r="E1892" s="2">
        <v>2</v>
      </c>
      <c r="F1892" s="2" t="s">
        <v>10086</v>
      </c>
      <c r="H1892" s="2">
        <v>2.2000000000000001E-3</v>
      </c>
      <c r="K1892" s="2" t="s">
        <v>10087</v>
      </c>
    </row>
    <row r="1893" spans="1:11" x14ac:dyDescent="0.2">
      <c r="A1893" s="2">
        <v>474</v>
      </c>
      <c r="B1893" s="2">
        <v>3</v>
      </c>
      <c r="C1893" s="2">
        <v>61277588</v>
      </c>
      <c r="D1893" s="2">
        <v>62609818</v>
      </c>
      <c r="E1893" s="2">
        <v>3</v>
      </c>
      <c r="F1893" s="2" t="s">
        <v>10086</v>
      </c>
      <c r="H1893" s="2">
        <v>1.2999999999999999E-3</v>
      </c>
      <c r="K1893" s="2" t="s">
        <v>10085</v>
      </c>
    </row>
    <row r="1894" spans="1:11" x14ac:dyDescent="0.2">
      <c r="A1894" s="2">
        <v>474</v>
      </c>
      <c r="B1894" s="2">
        <v>3</v>
      </c>
      <c r="C1894" s="2">
        <v>61277588</v>
      </c>
      <c r="D1894" s="2">
        <v>62609818</v>
      </c>
      <c r="E1894" s="2">
        <v>4</v>
      </c>
      <c r="F1894" s="2" t="s">
        <v>10086</v>
      </c>
      <c r="H1894" s="3">
        <v>6.9999999999999999E-4</v>
      </c>
      <c r="K1894" s="2" t="s">
        <v>10088</v>
      </c>
    </row>
    <row r="1895" spans="1:11" x14ac:dyDescent="0.2">
      <c r="A1895" s="2">
        <v>475</v>
      </c>
      <c r="B1895" s="2">
        <v>3</v>
      </c>
      <c r="C1895" s="2">
        <v>62609819</v>
      </c>
      <c r="D1895" s="2">
        <v>63670803</v>
      </c>
      <c r="E1895" s="2">
        <v>1</v>
      </c>
      <c r="F1895" s="2" t="s">
        <v>10086</v>
      </c>
      <c r="H1895" s="2">
        <v>2.3E-3</v>
      </c>
      <c r="K1895" s="2" t="s">
        <v>10089</v>
      </c>
    </row>
    <row r="1896" spans="1:11" x14ac:dyDescent="0.2">
      <c r="A1896" s="2">
        <v>475</v>
      </c>
      <c r="B1896" s="2">
        <v>3</v>
      </c>
      <c r="C1896" s="2">
        <v>62609819</v>
      </c>
      <c r="D1896" s="2">
        <v>63670803</v>
      </c>
      <c r="E1896" s="2">
        <v>2</v>
      </c>
      <c r="F1896" s="2" t="s">
        <v>10086</v>
      </c>
      <c r="H1896" s="2">
        <v>1.1000000000000001E-3</v>
      </c>
      <c r="K1896" s="2" t="s">
        <v>10087</v>
      </c>
    </row>
    <row r="1897" spans="1:11" x14ac:dyDescent="0.2">
      <c r="A1897" s="2">
        <v>475</v>
      </c>
      <c r="B1897" s="2">
        <v>3</v>
      </c>
      <c r="C1897" s="2">
        <v>62609819</v>
      </c>
      <c r="D1897" s="2">
        <v>63670803</v>
      </c>
      <c r="E1897" s="2">
        <v>3</v>
      </c>
      <c r="F1897" s="2" t="s">
        <v>10086</v>
      </c>
      <c r="H1897" s="3">
        <v>8.9999999999999998E-4</v>
      </c>
      <c r="K1897" s="2" t="s">
        <v>12324</v>
      </c>
    </row>
    <row r="1898" spans="1:11" x14ac:dyDescent="0.2">
      <c r="A1898" s="2">
        <v>475</v>
      </c>
      <c r="B1898" s="2">
        <v>3</v>
      </c>
      <c r="C1898" s="2">
        <v>62609819</v>
      </c>
      <c r="D1898" s="2">
        <v>63670803</v>
      </c>
      <c r="E1898" s="2">
        <v>4</v>
      </c>
      <c r="F1898" s="2" t="s">
        <v>10086</v>
      </c>
      <c r="H1898" s="3">
        <v>8.0000000000000004E-4</v>
      </c>
      <c r="K1898" s="2" t="s">
        <v>10085</v>
      </c>
    </row>
    <row r="1899" spans="1:11" x14ac:dyDescent="0.2">
      <c r="A1899" s="2">
        <v>476</v>
      </c>
      <c r="B1899" s="2">
        <v>3</v>
      </c>
      <c r="C1899" s="2">
        <v>63670804</v>
      </c>
      <c r="D1899" s="2">
        <v>64662373</v>
      </c>
      <c r="E1899" s="2">
        <v>1</v>
      </c>
      <c r="F1899" s="2" t="s">
        <v>10086</v>
      </c>
      <c r="H1899" s="2">
        <v>2.0999999999999999E-3</v>
      </c>
      <c r="K1899" s="2" t="s">
        <v>10087</v>
      </c>
    </row>
    <row r="1900" spans="1:11" x14ac:dyDescent="0.2">
      <c r="A1900" s="2">
        <v>476</v>
      </c>
      <c r="B1900" s="2">
        <v>3</v>
      </c>
      <c r="C1900" s="2">
        <v>63670804</v>
      </c>
      <c r="D1900" s="2">
        <v>64662373</v>
      </c>
      <c r="E1900" s="2">
        <v>2</v>
      </c>
      <c r="F1900" s="2" t="s">
        <v>10086</v>
      </c>
      <c r="H1900" s="2">
        <v>1.1000000000000001E-3</v>
      </c>
      <c r="K1900" s="2" t="s">
        <v>10089</v>
      </c>
    </row>
    <row r="1901" spans="1:11" x14ac:dyDescent="0.2">
      <c r="A1901" s="2">
        <v>476</v>
      </c>
      <c r="B1901" s="2">
        <v>3</v>
      </c>
      <c r="C1901" s="2">
        <v>63670804</v>
      </c>
      <c r="D1901" s="2">
        <v>64662373</v>
      </c>
      <c r="E1901" s="2">
        <v>3</v>
      </c>
      <c r="F1901" s="2" t="s">
        <v>10086</v>
      </c>
      <c r="H1901" s="2">
        <v>1E-3</v>
      </c>
      <c r="K1901" s="2" t="s">
        <v>10085</v>
      </c>
    </row>
    <row r="1902" spans="1:11" x14ac:dyDescent="0.2">
      <c r="A1902" s="2">
        <v>476</v>
      </c>
      <c r="B1902" s="2">
        <v>3</v>
      </c>
      <c r="C1902" s="2">
        <v>63670804</v>
      </c>
      <c r="D1902" s="2">
        <v>64662373</v>
      </c>
      <c r="E1902" s="2">
        <v>4</v>
      </c>
      <c r="F1902" s="2" t="s">
        <v>10086</v>
      </c>
      <c r="H1902" s="3">
        <v>6.9999999999999999E-4</v>
      </c>
      <c r="K1902" s="2" t="s">
        <v>10088</v>
      </c>
    </row>
    <row r="1903" spans="1:11" x14ac:dyDescent="0.2">
      <c r="A1903" s="2">
        <v>477</v>
      </c>
      <c r="B1903" s="2">
        <v>3</v>
      </c>
      <c r="C1903" s="2">
        <v>64662374</v>
      </c>
      <c r="D1903" s="2">
        <v>65326751</v>
      </c>
      <c r="E1903" s="2">
        <v>1</v>
      </c>
      <c r="F1903" s="2" t="s">
        <v>10086</v>
      </c>
      <c r="H1903" s="2">
        <v>2.52E-2</v>
      </c>
      <c r="K1903" s="2" t="s">
        <v>10087</v>
      </c>
    </row>
    <row r="1904" spans="1:11" x14ac:dyDescent="0.2">
      <c r="A1904" s="2">
        <v>477</v>
      </c>
      <c r="B1904" s="2">
        <v>3</v>
      </c>
      <c r="C1904" s="2">
        <v>64662374</v>
      </c>
      <c r="D1904" s="2">
        <v>65326751</v>
      </c>
      <c r="E1904" s="2">
        <v>2</v>
      </c>
      <c r="F1904" s="2" t="s">
        <v>10086</v>
      </c>
      <c r="H1904" s="3">
        <v>8.0000000000000004E-4</v>
      </c>
      <c r="K1904" s="2" t="s">
        <v>10089</v>
      </c>
    </row>
    <row r="1905" spans="1:11" x14ac:dyDescent="0.2">
      <c r="A1905" s="2">
        <v>477</v>
      </c>
      <c r="B1905" s="2">
        <v>3</v>
      </c>
      <c r="C1905" s="2">
        <v>64662374</v>
      </c>
      <c r="D1905" s="2">
        <v>65326751</v>
      </c>
      <c r="E1905" s="2">
        <v>3</v>
      </c>
      <c r="F1905" s="2" t="s">
        <v>10086</v>
      </c>
      <c r="H1905" s="3">
        <v>5.9999999999999995E-4</v>
      </c>
      <c r="K1905" s="2" t="s">
        <v>10088</v>
      </c>
    </row>
    <row r="1906" spans="1:11" x14ac:dyDescent="0.2">
      <c r="A1906" s="2">
        <v>477</v>
      </c>
      <c r="B1906" s="2">
        <v>3</v>
      </c>
      <c r="C1906" s="2">
        <v>64662374</v>
      </c>
      <c r="D1906" s="2">
        <v>65326751</v>
      </c>
      <c r="E1906" s="2">
        <v>4</v>
      </c>
      <c r="F1906" s="2" t="s">
        <v>10086</v>
      </c>
      <c r="H1906" s="3">
        <v>5.9999999999999995E-4</v>
      </c>
      <c r="K1906" s="2" t="s">
        <v>12324</v>
      </c>
    </row>
    <row r="1907" spans="1:11" x14ac:dyDescent="0.2">
      <c r="A1907" s="2">
        <v>478</v>
      </c>
      <c r="B1907" s="2">
        <v>3</v>
      </c>
      <c r="C1907" s="2">
        <v>65326752</v>
      </c>
      <c r="D1907" s="2">
        <v>66702084</v>
      </c>
      <c r="E1907" s="2">
        <v>1</v>
      </c>
      <c r="F1907" s="2" t="s">
        <v>10086</v>
      </c>
      <c r="H1907" s="2">
        <v>1.2999999999999999E-2</v>
      </c>
      <c r="K1907" s="2" t="s">
        <v>10088</v>
      </c>
    </row>
    <row r="1908" spans="1:11" x14ac:dyDescent="0.2">
      <c r="A1908" s="2">
        <v>478</v>
      </c>
      <c r="B1908" s="2">
        <v>3</v>
      </c>
      <c r="C1908" s="2">
        <v>65326752</v>
      </c>
      <c r="D1908" s="2">
        <v>66702084</v>
      </c>
      <c r="E1908" s="2">
        <v>2</v>
      </c>
      <c r="F1908" s="2" t="s">
        <v>10086</v>
      </c>
      <c r="H1908" s="2">
        <v>2.5999999999999999E-3</v>
      </c>
      <c r="K1908" s="2" t="s">
        <v>10087</v>
      </c>
    </row>
    <row r="1909" spans="1:11" x14ac:dyDescent="0.2">
      <c r="A1909" s="2">
        <v>478</v>
      </c>
      <c r="B1909" s="2">
        <v>3</v>
      </c>
      <c r="C1909" s="2">
        <v>65326752</v>
      </c>
      <c r="D1909" s="2">
        <v>66702084</v>
      </c>
      <c r="E1909" s="2">
        <v>3</v>
      </c>
      <c r="F1909" s="2" t="s">
        <v>10086</v>
      </c>
      <c r="H1909" s="2">
        <v>1.1999999999999999E-3</v>
      </c>
      <c r="K1909" s="2" t="s">
        <v>10089</v>
      </c>
    </row>
    <row r="1910" spans="1:11" x14ac:dyDescent="0.2">
      <c r="A1910" s="2">
        <v>478</v>
      </c>
      <c r="B1910" s="2">
        <v>3</v>
      </c>
      <c r="C1910" s="2">
        <v>65326752</v>
      </c>
      <c r="D1910" s="2">
        <v>66702084</v>
      </c>
      <c r="E1910" s="2">
        <v>4</v>
      </c>
      <c r="F1910" s="2" t="s">
        <v>10086</v>
      </c>
      <c r="H1910" s="3">
        <v>8.0000000000000004E-4</v>
      </c>
      <c r="K1910" s="2" t="s">
        <v>10085</v>
      </c>
    </row>
    <row r="1911" spans="1:11" x14ac:dyDescent="0.2">
      <c r="A1911" s="2">
        <v>479</v>
      </c>
      <c r="B1911" s="2">
        <v>3</v>
      </c>
      <c r="C1911" s="2">
        <v>66702085</v>
      </c>
      <c r="D1911" s="2">
        <v>67454740</v>
      </c>
      <c r="E1911" s="2">
        <v>1</v>
      </c>
      <c r="F1911" s="2" t="s">
        <v>10086</v>
      </c>
      <c r="H1911" s="2">
        <v>1.4E-3</v>
      </c>
      <c r="K1911" s="2" t="s">
        <v>10089</v>
      </c>
    </row>
    <row r="1912" spans="1:11" x14ac:dyDescent="0.2">
      <c r="A1912" s="2">
        <v>479</v>
      </c>
      <c r="B1912" s="2">
        <v>3</v>
      </c>
      <c r="C1912" s="2">
        <v>66702085</v>
      </c>
      <c r="D1912" s="2">
        <v>67454740</v>
      </c>
      <c r="E1912" s="2">
        <v>2</v>
      </c>
      <c r="F1912" s="2" t="s">
        <v>10086</v>
      </c>
      <c r="H1912" s="2">
        <v>1.2999999999999999E-3</v>
      </c>
      <c r="K1912" s="2" t="s">
        <v>10087</v>
      </c>
    </row>
    <row r="1913" spans="1:11" x14ac:dyDescent="0.2">
      <c r="A1913" s="2">
        <v>479</v>
      </c>
      <c r="B1913" s="2">
        <v>3</v>
      </c>
      <c r="C1913" s="2">
        <v>66702085</v>
      </c>
      <c r="D1913" s="2">
        <v>67454740</v>
      </c>
      <c r="E1913" s="2">
        <v>3</v>
      </c>
      <c r="F1913" s="2" t="s">
        <v>10086</v>
      </c>
      <c r="H1913" s="2">
        <v>1.1999999999999999E-3</v>
      </c>
      <c r="K1913" s="2" t="s">
        <v>10085</v>
      </c>
    </row>
    <row r="1914" spans="1:11" x14ac:dyDescent="0.2">
      <c r="A1914" s="2">
        <v>479</v>
      </c>
      <c r="B1914" s="2">
        <v>3</v>
      </c>
      <c r="C1914" s="2">
        <v>66702085</v>
      </c>
      <c r="D1914" s="2">
        <v>67454740</v>
      </c>
      <c r="E1914" s="2">
        <v>4</v>
      </c>
      <c r="F1914" s="2" t="s">
        <v>10086</v>
      </c>
      <c r="H1914" s="3">
        <v>2.9999999999999997E-4</v>
      </c>
      <c r="K1914" s="2" t="s">
        <v>10088</v>
      </c>
    </row>
    <row r="1915" spans="1:11" x14ac:dyDescent="0.2">
      <c r="A1915" s="2">
        <v>480</v>
      </c>
      <c r="B1915" s="2">
        <v>3</v>
      </c>
      <c r="C1915" s="2">
        <v>67454741</v>
      </c>
      <c r="D1915" s="2">
        <v>68319770</v>
      </c>
      <c r="E1915" s="2">
        <v>1</v>
      </c>
      <c r="F1915" s="2" t="s">
        <v>10086</v>
      </c>
      <c r="H1915" s="2">
        <v>1.6999999999999999E-3</v>
      </c>
      <c r="K1915" s="2" t="s">
        <v>10088</v>
      </c>
    </row>
    <row r="1916" spans="1:11" x14ac:dyDescent="0.2">
      <c r="A1916" s="2">
        <v>480</v>
      </c>
      <c r="B1916" s="2">
        <v>3</v>
      </c>
      <c r="C1916" s="2">
        <v>67454741</v>
      </c>
      <c r="D1916" s="2">
        <v>68319770</v>
      </c>
      <c r="E1916" s="2">
        <v>2</v>
      </c>
      <c r="F1916" s="2" t="s">
        <v>10086</v>
      </c>
      <c r="H1916" s="2">
        <v>1.1999999999999999E-3</v>
      </c>
      <c r="K1916" s="2" t="s">
        <v>10085</v>
      </c>
    </row>
    <row r="1917" spans="1:11" x14ac:dyDescent="0.2">
      <c r="A1917" s="2">
        <v>480</v>
      </c>
      <c r="B1917" s="2">
        <v>3</v>
      </c>
      <c r="C1917" s="2">
        <v>67454741</v>
      </c>
      <c r="D1917" s="2">
        <v>68319770</v>
      </c>
      <c r="E1917" s="2">
        <v>3</v>
      </c>
      <c r="F1917" s="2" t="s">
        <v>10086</v>
      </c>
      <c r="H1917" s="3">
        <v>8.9999999999999998E-4</v>
      </c>
      <c r="K1917" s="2" t="s">
        <v>10087</v>
      </c>
    </row>
    <row r="1918" spans="1:11" x14ac:dyDescent="0.2">
      <c r="A1918" s="2">
        <v>480</v>
      </c>
      <c r="B1918" s="2">
        <v>3</v>
      </c>
      <c r="C1918" s="2">
        <v>67454741</v>
      </c>
      <c r="D1918" s="2">
        <v>68319770</v>
      </c>
      <c r="E1918" s="2">
        <v>4</v>
      </c>
      <c r="F1918" s="2" t="s">
        <v>10086</v>
      </c>
      <c r="H1918" s="3">
        <v>5.0000000000000001E-4</v>
      </c>
      <c r="K1918" s="2" t="s">
        <v>10089</v>
      </c>
    </row>
    <row r="1919" spans="1:11" x14ac:dyDescent="0.2">
      <c r="A1919" s="2">
        <v>481</v>
      </c>
      <c r="B1919" s="2">
        <v>3</v>
      </c>
      <c r="C1919" s="2">
        <v>68319771</v>
      </c>
      <c r="D1919" s="2">
        <v>69784969</v>
      </c>
      <c r="E1919" s="2">
        <v>1</v>
      </c>
      <c r="F1919" s="2" t="s">
        <v>10086</v>
      </c>
      <c r="H1919" s="2">
        <v>3.0000000000000001E-3</v>
      </c>
      <c r="K1919" s="2" t="s">
        <v>10087</v>
      </c>
    </row>
    <row r="1920" spans="1:11" x14ac:dyDescent="0.2">
      <c r="A1920" s="2">
        <v>481</v>
      </c>
      <c r="B1920" s="2">
        <v>3</v>
      </c>
      <c r="C1920" s="2">
        <v>68319771</v>
      </c>
      <c r="D1920" s="2">
        <v>69784969</v>
      </c>
      <c r="E1920" s="2">
        <v>2</v>
      </c>
      <c r="F1920" s="2" t="s">
        <v>10086</v>
      </c>
      <c r="H1920" s="2">
        <v>1.5E-3</v>
      </c>
      <c r="K1920" s="2" t="s">
        <v>10089</v>
      </c>
    </row>
    <row r="1921" spans="1:11" x14ac:dyDescent="0.2">
      <c r="A1921" s="2">
        <v>481</v>
      </c>
      <c r="B1921" s="2">
        <v>3</v>
      </c>
      <c r="C1921" s="2">
        <v>68319771</v>
      </c>
      <c r="D1921" s="2">
        <v>69784969</v>
      </c>
      <c r="E1921" s="2">
        <v>3</v>
      </c>
      <c r="F1921" s="2" t="s">
        <v>10086</v>
      </c>
      <c r="H1921" s="2">
        <v>1.2999999999999999E-3</v>
      </c>
      <c r="K1921" s="2" t="s">
        <v>10085</v>
      </c>
    </row>
    <row r="1922" spans="1:11" x14ac:dyDescent="0.2">
      <c r="A1922" s="2">
        <v>481</v>
      </c>
      <c r="B1922" s="2">
        <v>3</v>
      </c>
      <c r="C1922" s="2">
        <v>68319771</v>
      </c>
      <c r="D1922" s="2">
        <v>69784969</v>
      </c>
      <c r="E1922" s="2">
        <v>4</v>
      </c>
      <c r="F1922" s="2" t="s">
        <v>10086</v>
      </c>
      <c r="H1922" s="3">
        <v>5.9999999999999995E-4</v>
      </c>
      <c r="K1922" s="2" t="s">
        <v>10088</v>
      </c>
    </row>
    <row r="1923" spans="1:11" x14ac:dyDescent="0.2">
      <c r="A1923" s="2">
        <v>482</v>
      </c>
      <c r="B1923" s="2">
        <v>3</v>
      </c>
      <c r="C1923" s="2">
        <v>69784970</v>
      </c>
      <c r="D1923" s="2">
        <v>71223281</v>
      </c>
      <c r="E1923" s="2">
        <v>1</v>
      </c>
      <c r="F1923" s="2" t="s">
        <v>10086</v>
      </c>
      <c r="H1923" s="2">
        <v>3.3999999999999998E-3</v>
      </c>
      <c r="K1923" s="2" t="s">
        <v>10088</v>
      </c>
    </row>
    <row r="1924" spans="1:11" x14ac:dyDescent="0.2">
      <c r="A1924" s="2">
        <v>482</v>
      </c>
      <c r="B1924" s="2">
        <v>3</v>
      </c>
      <c r="C1924" s="2">
        <v>69784970</v>
      </c>
      <c r="D1924" s="2">
        <v>71223281</v>
      </c>
      <c r="E1924" s="2">
        <v>2</v>
      </c>
      <c r="F1924" s="2" t="s">
        <v>10086</v>
      </c>
      <c r="H1924" s="2">
        <v>1.8E-3</v>
      </c>
      <c r="K1924" s="2" t="s">
        <v>10087</v>
      </c>
    </row>
    <row r="1925" spans="1:11" x14ac:dyDescent="0.2">
      <c r="A1925" s="2">
        <v>482</v>
      </c>
      <c r="B1925" s="2">
        <v>3</v>
      </c>
      <c r="C1925" s="2">
        <v>69784970</v>
      </c>
      <c r="D1925" s="2">
        <v>71223281</v>
      </c>
      <c r="E1925" s="2">
        <v>3</v>
      </c>
      <c r="F1925" s="2" t="s">
        <v>10086</v>
      </c>
      <c r="H1925" s="2">
        <v>1.1999999999999999E-3</v>
      </c>
      <c r="K1925" s="2" t="s">
        <v>10089</v>
      </c>
    </row>
    <row r="1926" spans="1:11" x14ac:dyDescent="0.2">
      <c r="A1926" s="2">
        <v>482</v>
      </c>
      <c r="B1926" s="2">
        <v>3</v>
      </c>
      <c r="C1926" s="2">
        <v>69784970</v>
      </c>
      <c r="D1926" s="2">
        <v>71223281</v>
      </c>
      <c r="E1926" s="2">
        <v>4</v>
      </c>
      <c r="F1926" s="2" t="s">
        <v>10086</v>
      </c>
      <c r="H1926" s="3">
        <v>5.9999999999999995E-4</v>
      </c>
      <c r="K1926" s="2" t="s">
        <v>10085</v>
      </c>
    </row>
    <row r="1927" spans="1:11" x14ac:dyDescent="0.2">
      <c r="A1927" s="2">
        <v>483</v>
      </c>
      <c r="B1927" s="2">
        <v>3</v>
      </c>
      <c r="C1927" s="2">
        <v>71223282</v>
      </c>
      <c r="D1927" s="2">
        <v>72334704</v>
      </c>
      <c r="E1927" s="2">
        <v>1</v>
      </c>
      <c r="F1927" s="2" t="s">
        <v>10086</v>
      </c>
      <c r="H1927" s="2">
        <v>1.5E-3</v>
      </c>
      <c r="K1927" s="2" t="s">
        <v>10089</v>
      </c>
    </row>
    <row r="1928" spans="1:11" x14ac:dyDescent="0.2">
      <c r="A1928" s="2">
        <v>483</v>
      </c>
      <c r="B1928" s="2">
        <v>3</v>
      </c>
      <c r="C1928" s="2">
        <v>71223282</v>
      </c>
      <c r="D1928" s="2">
        <v>72334704</v>
      </c>
      <c r="E1928" s="2">
        <v>2</v>
      </c>
      <c r="F1928" s="2" t="s">
        <v>10086</v>
      </c>
      <c r="H1928" s="2">
        <v>2.7000000000000001E-3</v>
      </c>
      <c r="K1928" s="2" t="s">
        <v>12324</v>
      </c>
    </row>
    <row r="1929" spans="1:11" x14ac:dyDescent="0.2">
      <c r="A1929" s="2">
        <v>483</v>
      </c>
      <c r="B1929" s="2">
        <v>3</v>
      </c>
      <c r="C1929" s="2">
        <v>71223282</v>
      </c>
      <c r="D1929" s="2">
        <v>72334704</v>
      </c>
      <c r="E1929" s="2">
        <v>3</v>
      </c>
      <c r="F1929" s="2" t="s">
        <v>10086</v>
      </c>
      <c r="H1929" s="2">
        <v>1.8E-3</v>
      </c>
      <c r="K1929" s="2" t="s">
        <v>10088</v>
      </c>
    </row>
    <row r="1930" spans="1:11" x14ac:dyDescent="0.2">
      <c r="A1930" s="2">
        <v>483</v>
      </c>
      <c r="B1930" s="2">
        <v>3</v>
      </c>
      <c r="C1930" s="2">
        <v>71223282</v>
      </c>
      <c r="D1930" s="2">
        <v>72334704</v>
      </c>
      <c r="E1930" s="2">
        <v>4</v>
      </c>
      <c r="F1930" s="2" t="s">
        <v>10086</v>
      </c>
      <c r="H1930" s="2">
        <v>1E-3</v>
      </c>
      <c r="K1930" s="2" t="s">
        <v>10085</v>
      </c>
    </row>
    <row r="1931" spans="1:11" x14ac:dyDescent="0.2">
      <c r="A1931" s="2">
        <v>484</v>
      </c>
      <c r="B1931" s="2">
        <v>3</v>
      </c>
      <c r="C1931" s="2">
        <v>72334705</v>
      </c>
      <c r="D1931" s="2">
        <v>73606612</v>
      </c>
      <c r="E1931" s="2">
        <v>1</v>
      </c>
      <c r="F1931" s="2" t="s">
        <v>10086</v>
      </c>
      <c r="H1931" s="2">
        <v>4.1000000000000003E-3</v>
      </c>
      <c r="K1931" s="2" t="s">
        <v>10087</v>
      </c>
    </row>
    <row r="1932" spans="1:11" x14ac:dyDescent="0.2">
      <c r="A1932" s="2">
        <v>484</v>
      </c>
      <c r="B1932" s="2">
        <v>3</v>
      </c>
      <c r="C1932" s="2">
        <v>72334705</v>
      </c>
      <c r="D1932" s="2">
        <v>73606612</v>
      </c>
      <c r="E1932" s="2">
        <v>2</v>
      </c>
      <c r="F1932" s="2" t="s">
        <v>10086</v>
      </c>
      <c r="H1932" s="2">
        <v>2.3E-3</v>
      </c>
      <c r="K1932" s="2" t="s">
        <v>10085</v>
      </c>
    </row>
    <row r="1933" spans="1:11" x14ac:dyDescent="0.2">
      <c r="A1933" s="2">
        <v>484</v>
      </c>
      <c r="B1933" s="2">
        <v>3</v>
      </c>
      <c r="C1933" s="2">
        <v>72334705</v>
      </c>
      <c r="D1933" s="2">
        <v>73606612</v>
      </c>
      <c r="E1933" s="2">
        <v>3</v>
      </c>
      <c r="F1933" s="2" t="s">
        <v>10086</v>
      </c>
      <c r="H1933" s="2">
        <v>1.8E-3</v>
      </c>
      <c r="K1933" s="2" t="s">
        <v>10088</v>
      </c>
    </row>
    <row r="1934" spans="1:11" x14ac:dyDescent="0.2">
      <c r="A1934" s="2">
        <v>484</v>
      </c>
      <c r="B1934" s="2">
        <v>3</v>
      </c>
      <c r="C1934" s="2">
        <v>72334705</v>
      </c>
      <c r="D1934" s="2">
        <v>73606612</v>
      </c>
      <c r="E1934" s="2">
        <v>4</v>
      </c>
      <c r="F1934" s="2" t="s">
        <v>10086</v>
      </c>
      <c r="H1934" s="3">
        <v>5.0000000000000001E-4</v>
      </c>
      <c r="K1934" s="2" t="s">
        <v>10089</v>
      </c>
    </row>
    <row r="1935" spans="1:11" x14ac:dyDescent="0.2">
      <c r="A1935" s="2">
        <v>485</v>
      </c>
      <c r="B1935" s="2">
        <v>3</v>
      </c>
      <c r="C1935" s="2">
        <v>73606613</v>
      </c>
      <c r="D1935" s="2">
        <v>74383137</v>
      </c>
      <c r="E1935" s="2">
        <v>1</v>
      </c>
      <c r="F1935" s="2" t="s">
        <v>10086</v>
      </c>
      <c r="H1935" s="2">
        <v>1.1000000000000001E-3</v>
      </c>
      <c r="K1935" s="2" t="s">
        <v>10087</v>
      </c>
    </row>
    <row r="1936" spans="1:11" x14ac:dyDescent="0.2">
      <c r="A1936" s="2">
        <v>485</v>
      </c>
      <c r="B1936" s="2">
        <v>3</v>
      </c>
      <c r="C1936" s="2">
        <v>73606613</v>
      </c>
      <c r="D1936" s="2">
        <v>74383137</v>
      </c>
      <c r="E1936" s="2">
        <v>2</v>
      </c>
      <c r="F1936" s="2" t="s">
        <v>10086</v>
      </c>
      <c r="H1936" s="3">
        <v>8.9999999999999998E-4</v>
      </c>
      <c r="K1936" s="2" t="s">
        <v>10088</v>
      </c>
    </row>
    <row r="1937" spans="1:11" x14ac:dyDescent="0.2">
      <c r="A1937" s="2">
        <v>485</v>
      </c>
      <c r="B1937" s="2">
        <v>3</v>
      </c>
      <c r="C1937" s="2">
        <v>73606613</v>
      </c>
      <c r="D1937" s="2">
        <v>74383137</v>
      </c>
      <c r="E1937" s="2">
        <v>3</v>
      </c>
      <c r="F1937" s="2" t="s">
        <v>10086</v>
      </c>
      <c r="H1937" s="3">
        <v>6.9999999999999999E-4</v>
      </c>
      <c r="K1937" s="2" t="s">
        <v>10085</v>
      </c>
    </row>
    <row r="1938" spans="1:11" x14ac:dyDescent="0.2">
      <c r="A1938" s="2">
        <v>485</v>
      </c>
      <c r="B1938" s="2">
        <v>3</v>
      </c>
      <c r="C1938" s="2">
        <v>73606613</v>
      </c>
      <c r="D1938" s="2">
        <v>74383137</v>
      </c>
      <c r="E1938" s="2">
        <v>4</v>
      </c>
      <c r="F1938" s="2" t="s">
        <v>10086</v>
      </c>
      <c r="H1938" s="3">
        <v>2.9999999999999997E-4</v>
      </c>
      <c r="K1938" s="2" t="s">
        <v>10089</v>
      </c>
    </row>
    <row r="1939" spans="1:11" x14ac:dyDescent="0.2">
      <c r="A1939" s="2">
        <v>486</v>
      </c>
      <c r="B1939" s="2">
        <v>3</v>
      </c>
      <c r="C1939" s="2">
        <v>74383138</v>
      </c>
      <c r="D1939" s="2">
        <v>75374967</v>
      </c>
      <c r="E1939" s="2">
        <v>1</v>
      </c>
      <c r="F1939" s="2" t="s">
        <v>10086</v>
      </c>
      <c r="H1939" s="2">
        <v>3.8999999999999998E-3</v>
      </c>
      <c r="K1939" s="2" t="s">
        <v>10089</v>
      </c>
    </row>
    <row r="1940" spans="1:11" x14ac:dyDescent="0.2">
      <c r="A1940" s="2">
        <v>486</v>
      </c>
      <c r="B1940" s="2">
        <v>3</v>
      </c>
      <c r="C1940" s="2">
        <v>74383138</v>
      </c>
      <c r="D1940" s="2">
        <v>75374967</v>
      </c>
      <c r="E1940" s="2">
        <v>2</v>
      </c>
      <c r="F1940" s="2" t="s">
        <v>10086</v>
      </c>
      <c r="H1940" s="2">
        <v>1.2999999999999999E-3</v>
      </c>
      <c r="K1940" s="2" t="s">
        <v>10088</v>
      </c>
    </row>
    <row r="1941" spans="1:11" x14ac:dyDescent="0.2">
      <c r="A1941" s="2">
        <v>486</v>
      </c>
      <c r="B1941" s="2">
        <v>3</v>
      </c>
      <c r="C1941" s="2">
        <v>74383138</v>
      </c>
      <c r="D1941" s="2">
        <v>75374967</v>
      </c>
      <c r="E1941" s="2">
        <v>3</v>
      </c>
      <c r="F1941" s="2" t="s">
        <v>10086</v>
      </c>
      <c r="H1941" s="3">
        <v>8.9999999999999998E-4</v>
      </c>
      <c r="K1941" s="2" t="s">
        <v>10085</v>
      </c>
    </row>
    <row r="1942" spans="1:11" x14ac:dyDescent="0.2">
      <c r="A1942" s="2">
        <v>486</v>
      </c>
      <c r="B1942" s="2">
        <v>3</v>
      </c>
      <c r="C1942" s="2">
        <v>74383138</v>
      </c>
      <c r="D1942" s="2">
        <v>75374967</v>
      </c>
      <c r="E1942" s="2">
        <v>4</v>
      </c>
      <c r="F1942" s="2" t="s">
        <v>10086</v>
      </c>
      <c r="H1942" s="3">
        <v>8.0000000000000004E-4</v>
      </c>
      <c r="K1942" s="2" t="s">
        <v>10087</v>
      </c>
    </row>
    <row r="1943" spans="1:11" x14ac:dyDescent="0.2">
      <c r="A1943" s="2">
        <v>487</v>
      </c>
      <c r="B1943" s="2">
        <v>3</v>
      </c>
      <c r="C1943" s="2">
        <v>75374968</v>
      </c>
      <c r="D1943" s="2">
        <v>76157470</v>
      </c>
      <c r="E1943" s="2">
        <v>1</v>
      </c>
      <c r="F1943" s="2" t="s">
        <v>10086</v>
      </c>
      <c r="H1943" s="2">
        <v>1.17E-2</v>
      </c>
      <c r="K1943" s="2" t="s">
        <v>10088</v>
      </c>
    </row>
    <row r="1944" spans="1:11" x14ac:dyDescent="0.2">
      <c r="A1944" s="2">
        <v>487</v>
      </c>
      <c r="B1944" s="2">
        <v>3</v>
      </c>
      <c r="C1944" s="2">
        <v>75374968</v>
      </c>
      <c r="D1944" s="2">
        <v>76157470</v>
      </c>
      <c r="E1944" s="2">
        <v>2</v>
      </c>
      <c r="F1944" s="2" t="s">
        <v>10086</v>
      </c>
      <c r="H1944" s="2">
        <v>2.3E-3</v>
      </c>
      <c r="K1944" s="2" t="s">
        <v>10085</v>
      </c>
    </row>
    <row r="1945" spans="1:11" x14ac:dyDescent="0.2">
      <c r="A1945" s="2">
        <v>487</v>
      </c>
      <c r="B1945" s="2">
        <v>3</v>
      </c>
      <c r="C1945" s="2">
        <v>75374968</v>
      </c>
      <c r="D1945" s="2">
        <v>76157470</v>
      </c>
      <c r="E1945" s="2">
        <v>3</v>
      </c>
      <c r="F1945" s="2" t="s">
        <v>10086</v>
      </c>
      <c r="H1945" s="3">
        <v>5.9999999999999995E-4</v>
      </c>
      <c r="K1945" s="2" t="s">
        <v>10087</v>
      </c>
    </row>
    <row r="1946" spans="1:11" x14ac:dyDescent="0.2">
      <c r="A1946" s="2">
        <v>487</v>
      </c>
      <c r="B1946" s="2">
        <v>3</v>
      </c>
      <c r="C1946" s="2">
        <v>75374968</v>
      </c>
      <c r="D1946" s="2">
        <v>76157470</v>
      </c>
      <c r="E1946" s="2">
        <v>4</v>
      </c>
      <c r="F1946" s="2" t="s">
        <v>10086</v>
      </c>
      <c r="H1946" s="3">
        <v>4.0000000000000002E-4</v>
      </c>
      <c r="K1946" s="2" t="s">
        <v>12324</v>
      </c>
    </row>
    <row r="1947" spans="1:11" x14ac:dyDescent="0.2">
      <c r="A1947" s="2">
        <v>488</v>
      </c>
      <c r="B1947" s="2">
        <v>3</v>
      </c>
      <c r="C1947" s="2">
        <v>76157471</v>
      </c>
      <c r="D1947" s="2">
        <v>77507832</v>
      </c>
      <c r="E1947" s="2">
        <v>1</v>
      </c>
      <c r="F1947" s="2" t="s">
        <v>10086</v>
      </c>
      <c r="H1947" s="2">
        <v>1.4E-3</v>
      </c>
      <c r="K1947" s="2" t="s">
        <v>10088</v>
      </c>
    </row>
    <row r="1948" spans="1:11" x14ac:dyDescent="0.2">
      <c r="A1948" s="2">
        <v>488</v>
      </c>
      <c r="B1948" s="2">
        <v>3</v>
      </c>
      <c r="C1948" s="2">
        <v>76157471</v>
      </c>
      <c r="D1948" s="2">
        <v>77507832</v>
      </c>
      <c r="E1948" s="2">
        <v>2</v>
      </c>
      <c r="F1948" s="2" t="s">
        <v>10086</v>
      </c>
      <c r="H1948" s="2">
        <v>1.2999999999999999E-3</v>
      </c>
      <c r="K1948" s="2" t="s">
        <v>10087</v>
      </c>
    </row>
    <row r="1949" spans="1:11" x14ac:dyDescent="0.2">
      <c r="A1949" s="2">
        <v>488</v>
      </c>
      <c r="B1949" s="2">
        <v>3</v>
      </c>
      <c r="C1949" s="2">
        <v>76157471</v>
      </c>
      <c r="D1949" s="2">
        <v>77507832</v>
      </c>
      <c r="E1949" s="2">
        <v>3</v>
      </c>
      <c r="F1949" s="2" t="s">
        <v>10086</v>
      </c>
      <c r="H1949" s="2">
        <v>1.1999999999999999E-3</v>
      </c>
      <c r="K1949" s="2" t="s">
        <v>10085</v>
      </c>
    </row>
    <row r="1950" spans="1:11" x14ac:dyDescent="0.2">
      <c r="A1950" s="2">
        <v>488</v>
      </c>
      <c r="B1950" s="2">
        <v>3</v>
      </c>
      <c r="C1950" s="2">
        <v>76157471</v>
      </c>
      <c r="D1950" s="2">
        <v>77507832</v>
      </c>
      <c r="E1950" s="2">
        <v>4</v>
      </c>
      <c r="F1950" s="2" t="s">
        <v>10086</v>
      </c>
      <c r="H1950" s="3">
        <v>5.9999999999999995E-4</v>
      </c>
      <c r="K1950" s="2" t="s">
        <v>10089</v>
      </c>
    </row>
    <row r="1951" spans="1:11" x14ac:dyDescent="0.2">
      <c r="A1951" s="2">
        <v>489</v>
      </c>
      <c r="B1951" s="2">
        <v>3</v>
      </c>
      <c r="C1951" s="2">
        <v>77507833</v>
      </c>
      <c r="D1951" s="2">
        <v>79023360</v>
      </c>
      <c r="E1951" s="2">
        <v>1</v>
      </c>
      <c r="F1951" s="2" t="s">
        <v>10086</v>
      </c>
      <c r="H1951" s="2">
        <v>1.9400000000000001E-2</v>
      </c>
      <c r="K1951" s="2" t="s">
        <v>10087</v>
      </c>
    </row>
    <row r="1952" spans="1:11" x14ac:dyDescent="0.2">
      <c r="A1952" s="2">
        <v>489</v>
      </c>
      <c r="B1952" s="2">
        <v>3</v>
      </c>
      <c r="C1952" s="2">
        <v>77507833</v>
      </c>
      <c r="D1952" s="2">
        <v>79023360</v>
      </c>
      <c r="E1952" s="2">
        <v>2</v>
      </c>
      <c r="F1952" s="2" t="s">
        <v>10086</v>
      </c>
      <c r="H1952" s="2">
        <v>7.3000000000000001E-3</v>
      </c>
      <c r="K1952" s="2" t="s">
        <v>12324</v>
      </c>
    </row>
    <row r="1953" spans="1:11" x14ac:dyDescent="0.2">
      <c r="A1953" s="2">
        <v>489</v>
      </c>
      <c r="B1953" s="2">
        <v>3</v>
      </c>
      <c r="C1953" s="2">
        <v>77507833</v>
      </c>
      <c r="D1953" s="2">
        <v>79023360</v>
      </c>
      <c r="E1953" s="2">
        <v>3</v>
      </c>
      <c r="F1953" s="2" t="s">
        <v>10086</v>
      </c>
      <c r="H1953" s="2">
        <v>1.1999999999999999E-3</v>
      </c>
      <c r="K1953" s="2" t="s">
        <v>10088</v>
      </c>
    </row>
    <row r="1954" spans="1:11" x14ac:dyDescent="0.2">
      <c r="A1954" s="2">
        <v>489</v>
      </c>
      <c r="B1954" s="2">
        <v>3</v>
      </c>
      <c r="C1954" s="2">
        <v>77507833</v>
      </c>
      <c r="D1954" s="2">
        <v>79023360</v>
      </c>
      <c r="E1954" s="2">
        <v>4</v>
      </c>
      <c r="F1954" s="2" t="s">
        <v>10086</v>
      </c>
      <c r="H1954" s="2">
        <v>1.1999999999999999E-3</v>
      </c>
      <c r="K1954" s="2" t="s">
        <v>10089</v>
      </c>
    </row>
    <row r="1955" spans="1:11" x14ac:dyDescent="0.2">
      <c r="A1955" s="2">
        <v>490</v>
      </c>
      <c r="B1955" s="2">
        <v>3</v>
      </c>
      <c r="C1955" s="2">
        <v>79023361</v>
      </c>
      <c r="D1955" s="2">
        <v>80385708</v>
      </c>
      <c r="E1955" s="2">
        <v>1</v>
      </c>
      <c r="F1955" s="2" t="s">
        <v>10086</v>
      </c>
      <c r="H1955" s="2">
        <v>2.5000000000000001E-3</v>
      </c>
      <c r="K1955" s="2" t="s">
        <v>10085</v>
      </c>
    </row>
    <row r="1956" spans="1:11" x14ac:dyDescent="0.2">
      <c r="A1956" s="2">
        <v>490</v>
      </c>
      <c r="B1956" s="2">
        <v>3</v>
      </c>
      <c r="C1956" s="2">
        <v>79023361</v>
      </c>
      <c r="D1956" s="2">
        <v>80385708</v>
      </c>
      <c r="E1956" s="2">
        <v>2</v>
      </c>
      <c r="F1956" s="2" t="s">
        <v>10086</v>
      </c>
      <c r="H1956" s="2">
        <v>1.8E-3</v>
      </c>
      <c r="K1956" s="2" t="s">
        <v>10088</v>
      </c>
    </row>
    <row r="1957" spans="1:11" x14ac:dyDescent="0.2">
      <c r="A1957" s="2">
        <v>490</v>
      </c>
      <c r="B1957" s="2">
        <v>3</v>
      </c>
      <c r="C1957" s="2">
        <v>79023361</v>
      </c>
      <c r="D1957" s="2">
        <v>80385708</v>
      </c>
      <c r="E1957" s="2">
        <v>3</v>
      </c>
      <c r="F1957" s="2" t="s">
        <v>10086</v>
      </c>
      <c r="H1957" s="2">
        <v>1E-3</v>
      </c>
      <c r="K1957" s="2" t="s">
        <v>10087</v>
      </c>
    </row>
    <row r="1958" spans="1:11" x14ac:dyDescent="0.2">
      <c r="A1958" s="2">
        <v>490</v>
      </c>
      <c r="B1958" s="2">
        <v>3</v>
      </c>
      <c r="C1958" s="2">
        <v>79023361</v>
      </c>
      <c r="D1958" s="2">
        <v>80385708</v>
      </c>
      <c r="E1958" s="2">
        <v>4</v>
      </c>
      <c r="F1958" s="2" t="s">
        <v>10086</v>
      </c>
      <c r="H1958" s="3">
        <v>4.0000000000000002E-4</v>
      </c>
      <c r="K1958" s="2" t="s">
        <v>10089</v>
      </c>
    </row>
    <row r="1959" spans="1:11" x14ac:dyDescent="0.2">
      <c r="A1959" s="2">
        <v>491</v>
      </c>
      <c r="B1959" s="2">
        <v>3</v>
      </c>
      <c r="C1959" s="2">
        <v>80385709</v>
      </c>
      <c r="D1959" s="2">
        <v>81431496</v>
      </c>
      <c r="E1959" s="2">
        <v>1</v>
      </c>
      <c r="F1959" s="2" t="s">
        <v>10086</v>
      </c>
      <c r="H1959" s="2">
        <v>1.6999999999999999E-3</v>
      </c>
      <c r="K1959" s="2" t="s">
        <v>10088</v>
      </c>
    </row>
    <row r="1960" spans="1:11" x14ac:dyDescent="0.2">
      <c r="A1960" s="2">
        <v>491</v>
      </c>
      <c r="B1960" s="2">
        <v>3</v>
      </c>
      <c r="C1960" s="2">
        <v>80385709</v>
      </c>
      <c r="D1960" s="2">
        <v>81431496</v>
      </c>
      <c r="E1960" s="2">
        <v>2</v>
      </c>
      <c r="F1960" s="2" t="s">
        <v>10086</v>
      </c>
      <c r="H1960" s="2">
        <v>1E-3</v>
      </c>
      <c r="K1960" s="2" t="s">
        <v>10089</v>
      </c>
    </row>
    <row r="1961" spans="1:11" x14ac:dyDescent="0.2">
      <c r="A1961" s="2">
        <v>491</v>
      </c>
      <c r="B1961" s="2">
        <v>3</v>
      </c>
      <c r="C1961" s="2">
        <v>80385709</v>
      </c>
      <c r="D1961" s="2">
        <v>81431496</v>
      </c>
      <c r="E1961" s="2">
        <v>3</v>
      </c>
      <c r="F1961" s="2" t="s">
        <v>10086</v>
      </c>
      <c r="H1961" s="3">
        <v>8.9999999999999998E-4</v>
      </c>
      <c r="K1961" s="2" t="s">
        <v>10087</v>
      </c>
    </row>
    <row r="1962" spans="1:11" x14ac:dyDescent="0.2">
      <c r="A1962" s="2">
        <v>491</v>
      </c>
      <c r="B1962" s="2">
        <v>3</v>
      </c>
      <c r="C1962" s="2">
        <v>80385709</v>
      </c>
      <c r="D1962" s="2">
        <v>81431496</v>
      </c>
      <c r="E1962" s="2">
        <v>4</v>
      </c>
      <c r="F1962" s="2" t="s">
        <v>10086</v>
      </c>
      <c r="H1962" s="3">
        <v>2.9999999999999997E-4</v>
      </c>
      <c r="K1962" s="2" t="s">
        <v>10085</v>
      </c>
    </row>
    <row r="1963" spans="1:11" x14ac:dyDescent="0.2">
      <c r="A1963" s="2">
        <v>492</v>
      </c>
      <c r="B1963" s="2">
        <v>3</v>
      </c>
      <c r="C1963" s="2">
        <v>81431497</v>
      </c>
      <c r="D1963" s="2">
        <v>82532742</v>
      </c>
      <c r="E1963" s="2">
        <v>1</v>
      </c>
      <c r="F1963" s="2" t="s">
        <v>10086</v>
      </c>
      <c r="H1963" s="2">
        <v>3.5999999999999999E-3</v>
      </c>
      <c r="K1963" s="2" t="s">
        <v>10087</v>
      </c>
    </row>
    <row r="1964" spans="1:11" x14ac:dyDescent="0.2">
      <c r="A1964" s="2">
        <v>492</v>
      </c>
      <c r="B1964" s="2">
        <v>3</v>
      </c>
      <c r="C1964" s="2">
        <v>81431497</v>
      </c>
      <c r="D1964" s="2">
        <v>82532742</v>
      </c>
      <c r="E1964" s="2">
        <v>2</v>
      </c>
      <c r="F1964" s="2" t="s">
        <v>10086</v>
      </c>
      <c r="H1964" s="2">
        <v>1.1000000000000001E-3</v>
      </c>
      <c r="K1964" s="2" t="s">
        <v>10088</v>
      </c>
    </row>
    <row r="1965" spans="1:11" x14ac:dyDescent="0.2">
      <c r="A1965" s="2">
        <v>492</v>
      </c>
      <c r="B1965" s="2">
        <v>3</v>
      </c>
      <c r="C1965" s="2">
        <v>81431497</v>
      </c>
      <c r="D1965" s="2">
        <v>82532742</v>
      </c>
      <c r="E1965" s="2">
        <v>3</v>
      </c>
      <c r="F1965" s="2" t="s">
        <v>10086</v>
      </c>
      <c r="H1965" s="3">
        <v>6.9999999999999999E-4</v>
      </c>
      <c r="K1965" s="2" t="s">
        <v>12324</v>
      </c>
    </row>
    <row r="1966" spans="1:11" x14ac:dyDescent="0.2">
      <c r="A1966" s="2">
        <v>492</v>
      </c>
      <c r="B1966" s="2">
        <v>3</v>
      </c>
      <c r="C1966" s="2">
        <v>81431497</v>
      </c>
      <c r="D1966" s="2">
        <v>82532742</v>
      </c>
      <c r="E1966" s="2">
        <v>4</v>
      </c>
      <c r="F1966" s="2" t="s">
        <v>10086</v>
      </c>
      <c r="H1966" s="3">
        <v>6.9999999999999999E-4</v>
      </c>
      <c r="K1966" s="2" t="s">
        <v>10089</v>
      </c>
    </row>
    <row r="1967" spans="1:11" x14ac:dyDescent="0.2">
      <c r="A1967" s="2">
        <v>493</v>
      </c>
      <c r="B1967" s="2">
        <v>3</v>
      </c>
      <c r="C1967" s="2">
        <v>82532743</v>
      </c>
      <c r="D1967" s="2">
        <v>83529394</v>
      </c>
      <c r="E1967" s="2">
        <v>1</v>
      </c>
      <c r="F1967" s="2" t="s">
        <v>10086</v>
      </c>
      <c r="H1967" s="2">
        <v>1.4E-3</v>
      </c>
      <c r="K1967" s="2" t="s">
        <v>10088</v>
      </c>
    </row>
    <row r="1968" spans="1:11" x14ac:dyDescent="0.2">
      <c r="A1968" s="2">
        <v>493</v>
      </c>
      <c r="B1968" s="2">
        <v>3</v>
      </c>
      <c r="C1968" s="2">
        <v>82532743</v>
      </c>
      <c r="D1968" s="2">
        <v>83529394</v>
      </c>
      <c r="E1968" s="2">
        <v>2</v>
      </c>
      <c r="F1968" s="2" t="s">
        <v>10086</v>
      </c>
      <c r="H1968" s="3">
        <v>6.9999999999999999E-4</v>
      </c>
      <c r="K1968" s="2" t="s">
        <v>10085</v>
      </c>
    </row>
    <row r="1969" spans="1:11" x14ac:dyDescent="0.2">
      <c r="A1969" s="2">
        <v>493</v>
      </c>
      <c r="B1969" s="2">
        <v>3</v>
      </c>
      <c r="C1969" s="2">
        <v>82532743</v>
      </c>
      <c r="D1969" s="2">
        <v>83529394</v>
      </c>
      <c r="E1969" s="2">
        <v>3</v>
      </c>
      <c r="F1969" s="2" t="s">
        <v>10086</v>
      </c>
      <c r="H1969" s="3">
        <v>5.9999999999999995E-4</v>
      </c>
      <c r="K1969" s="2" t="s">
        <v>10089</v>
      </c>
    </row>
    <row r="1970" spans="1:11" x14ac:dyDescent="0.2">
      <c r="A1970" s="2">
        <v>493</v>
      </c>
      <c r="B1970" s="2">
        <v>3</v>
      </c>
      <c r="C1970" s="2">
        <v>82532743</v>
      </c>
      <c r="D1970" s="2">
        <v>83529394</v>
      </c>
      <c r="E1970" s="2">
        <v>4</v>
      </c>
      <c r="F1970" s="2" t="s">
        <v>10086</v>
      </c>
      <c r="H1970" s="3">
        <v>2.9999999999999997E-4</v>
      </c>
      <c r="K1970" s="2" t="s">
        <v>10087</v>
      </c>
    </row>
    <row r="1971" spans="1:11" x14ac:dyDescent="0.2">
      <c r="A1971" s="2">
        <v>494</v>
      </c>
      <c r="B1971" s="2">
        <v>3</v>
      </c>
      <c r="C1971" s="2">
        <v>83529395</v>
      </c>
      <c r="D1971" s="2">
        <v>84698480</v>
      </c>
      <c r="E1971" s="2">
        <v>1</v>
      </c>
      <c r="F1971" s="2" t="s">
        <v>10086</v>
      </c>
      <c r="H1971" s="2">
        <v>1.1000000000000001E-3</v>
      </c>
      <c r="K1971" s="2" t="s">
        <v>10085</v>
      </c>
    </row>
    <row r="1972" spans="1:11" x14ac:dyDescent="0.2">
      <c r="A1972" s="2">
        <v>494</v>
      </c>
      <c r="B1972" s="2">
        <v>3</v>
      </c>
      <c r="C1972" s="2">
        <v>83529395</v>
      </c>
      <c r="D1972" s="2">
        <v>84698480</v>
      </c>
      <c r="E1972" s="2">
        <v>2</v>
      </c>
      <c r="F1972" s="2" t="s">
        <v>10086</v>
      </c>
      <c r="H1972" s="2">
        <v>1E-3</v>
      </c>
      <c r="K1972" s="2" t="s">
        <v>10089</v>
      </c>
    </row>
    <row r="1973" spans="1:11" x14ac:dyDescent="0.2">
      <c r="A1973" s="2">
        <v>494</v>
      </c>
      <c r="B1973" s="2">
        <v>3</v>
      </c>
      <c r="C1973" s="2">
        <v>83529395</v>
      </c>
      <c r="D1973" s="2">
        <v>84698480</v>
      </c>
      <c r="E1973" s="2">
        <v>3</v>
      </c>
      <c r="F1973" s="2" t="s">
        <v>10086</v>
      </c>
      <c r="H1973" s="3">
        <v>8.0000000000000004E-4</v>
      </c>
      <c r="K1973" s="2" t="s">
        <v>10087</v>
      </c>
    </row>
    <row r="1974" spans="1:11" x14ac:dyDescent="0.2">
      <c r="A1974" s="2">
        <v>494</v>
      </c>
      <c r="B1974" s="2">
        <v>3</v>
      </c>
      <c r="C1974" s="2">
        <v>83529395</v>
      </c>
      <c r="D1974" s="2">
        <v>84698480</v>
      </c>
      <c r="E1974" s="2">
        <v>4</v>
      </c>
      <c r="F1974" s="2" t="s">
        <v>10086</v>
      </c>
      <c r="H1974" s="3">
        <v>4.0000000000000002E-4</v>
      </c>
      <c r="K1974" s="2" t="s">
        <v>10088</v>
      </c>
    </row>
    <row r="1975" spans="1:11" x14ac:dyDescent="0.2">
      <c r="A1975" s="2">
        <v>495</v>
      </c>
      <c r="B1975" s="2">
        <v>3</v>
      </c>
      <c r="C1975" s="2">
        <v>84698481</v>
      </c>
      <c r="D1975" s="2">
        <v>85807679</v>
      </c>
      <c r="E1975" s="2">
        <v>1</v>
      </c>
      <c r="F1975" s="2" t="s">
        <v>10086</v>
      </c>
      <c r="H1975" s="2">
        <v>2.7E-2</v>
      </c>
      <c r="K1975" s="2" t="s">
        <v>12324</v>
      </c>
    </row>
    <row r="1976" spans="1:11" x14ac:dyDescent="0.2">
      <c r="A1976" s="2">
        <v>495</v>
      </c>
      <c r="B1976" s="2">
        <v>3</v>
      </c>
      <c r="C1976" s="2">
        <v>84698481</v>
      </c>
      <c r="D1976" s="2">
        <v>85807679</v>
      </c>
      <c r="E1976" s="2">
        <v>2</v>
      </c>
      <c r="F1976" s="2" t="s">
        <v>10086</v>
      </c>
      <c r="H1976" s="2">
        <v>1.6999999999999999E-3</v>
      </c>
      <c r="K1976" s="2" t="s">
        <v>10089</v>
      </c>
    </row>
    <row r="1977" spans="1:11" x14ac:dyDescent="0.2">
      <c r="A1977" s="2">
        <v>495</v>
      </c>
      <c r="B1977" s="2">
        <v>3</v>
      </c>
      <c r="C1977" s="2">
        <v>84698481</v>
      </c>
      <c r="D1977" s="2">
        <v>85807679</v>
      </c>
      <c r="E1977" s="2">
        <v>3</v>
      </c>
      <c r="F1977" s="2" t="s">
        <v>10086</v>
      </c>
      <c r="H1977" s="3">
        <v>5.9999999999999995E-4</v>
      </c>
      <c r="K1977" s="2" t="s">
        <v>10085</v>
      </c>
    </row>
    <row r="1978" spans="1:11" x14ac:dyDescent="0.2">
      <c r="A1978" s="2">
        <v>495</v>
      </c>
      <c r="B1978" s="2">
        <v>3</v>
      </c>
      <c r="C1978" s="2">
        <v>84698481</v>
      </c>
      <c r="D1978" s="2">
        <v>85807679</v>
      </c>
      <c r="E1978" s="2">
        <v>4</v>
      </c>
      <c r="F1978" s="2" t="s">
        <v>10086</v>
      </c>
      <c r="H1978" s="3">
        <v>5.0000000000000001E-4</v>
      </c>
      <c r="K1978" s="2" t="s">
        <v>10087</v>
      </c>
    </row>
    <row r="1979" spans="1:11" x14ac:dyDescent="0.2">
      <c r="A1979" s="2">
        <v>496</v>
      </c>
      <c r="B1979" s="2">
        <v>3</v>
      </c>
      <c r="C1979" s="2">
        <v>85807680</v>
      </c>
      <c r="D1979" s="2">
        <v>86660979</v>
      </c>
      <c r="E1979" s="2">
        <v>1</v>
      </c>
      <c r="F1979" s="2" t="s">
        <v>10086</v>
      </c>
      <c r="H1979" s="2">
        <v>1.2999999999999999E-3</v>
      </c>
      <c r="K1979" s="2" t="s">
        <v>10089</v>
      </c>
    </row>
    <row r="1980" spans="1:11" x14ac:dyDescent="0.2">
      <c r="A1980" s="2">
        <v>496</v>
      </c>
      <c r="B1980" s="2">
        <v>3</v>
      </c>
      <c r="C1980" s="2">
        <v>85807680</v>
      </c>
      <c r="D1980" s="2">
        <v>86660979</v>
      </c>
      <c r="E1980" s="2">
        <v>2</v>
      </c>
      <c r="F1980" s="2" t="s">
        <v>10086</v>
      </c>
      <c r="H1980" s="2">
        <v>2.3999999999999998E-3</v>
      </c>
      <c r="K1980" s="2" t="s">
        <v>12324</v>
      </c>
    </row>
    <row r="1981" spans="1:11" x14ac:dyDescent="0.2">
      <c r="A1981" s="2">
        <v>496</v>
      </c>
      <c r="B1981" s="2">
        <v>3</v>
      </c>
      <c r="C1981" s="2">
        <v>85807680</v>
      </c>
      <c r="D1981" s="2">
        <v>86660979</v>
      </c>
      <c r="E1981" s="2">
        <v>3</v>
      </c>
      <c r="F1981" s="2" t="s">
        <v>10086</v>
      </c>
      <c r="H1981" s="3">
        <v>8.9999999999999998E-4</v>
      </c>
      <c r="K1981" s="2" t="s">
        <v>10085</v>
      </c>
    </row>
    <row r="1982" spans="1:11" x14ac:dyDescent="0.2">
      <c r="A1982" s="2">
        <v>496</v>
      </c>
      <c r="B1982" s="2">
        <v>3</v>
      </c>
      <c r="C1982" s="2">
        <v>85807680</v>
      </c>
      <c r="D1982" s="2">
        <v>86660979</v>
      </c>
      <c r="E1982" s="2">
        <v>4</v>
      </c>
      <c r="F1982" s="2" t="s">
        <v>10086</v>
      </c>
      <c r="H1982" s="3">
        <v>8.0000000000000004E-4</v>
      </c>
      <c r="K1982" s="2" t="s">
        <v>10088</v>
      </c>
    </row>
    <row r="1983" spans="1:11" x14ac:dyDescent="0.2">
      <c r="A1983" s="2">
        <v>497</v>
      </c>
      <c r="B1983" s="2">
        <v>3</v>
      </c>
      <c r="C1983" s="2">
        <v>86660980</v>
      </c>
      <c r="D1983" s="2">
        <v>87411258</v>
      </c>
      <c r="E1983" s="2">
        <v>1</v>
      </c>
      <c r="F1983" s="2" t="s">
        <v>10086</v>
      </c>
      <c r="H1983" s="2">
        <v>1.2999999999999999E-3</v>
      </c>
      <c r="K1983" s="2" t="s">
        <v>10085</v>
      </c>
    </row>
    <row r="1984" spans="1:11" x14ac:dyDescent="0.2">
      <c r="A1984" s="2">
        <v>497</v>
      </c>
      <c r="B1984" s="2">
        <v>3</v>
      </c>
      <c r="C1984" s="2">
        <v>86660980</v>
      </c>
      <c r="D1984" s="2">
        <v>87411258</v>
      </c>
      <c r="E1984" s="2">
        <v>2</v>
      </c>
      <c r="F1984" s="2" t="s">
        <v>10086</v>
      </c>
      <c r="H1984" s="3">
        <v>8.9999999999999998E-4</v>
      </c>
      <c r="K1984" s="2" t="s">
        <v>10087</v>
      </c>
    </row>
    <row r="1985" spans="1:11" x14ac:dyDescent="0.2">
      <c r="A1985" s="2">
        <v>497</v>
      </c>
      <c r="B1985" s="2">
        <v>3</v>
      </c>
      <c r="C1985" s="2">
        <v>86660980</v>
      </c>
      <c r="D1985" s="2">
        <v>87411258</v>
      </c>
      <c r="E1985" s="2">
        <v>3</v>
      </c>
      <c r="F1985" s="2" t="s">
        <v>10086</v>
      </c>
      <c r="H1985" s="3">
        <v>5.0000000000000001E-4</v>
      </c>
      <c r="K1985" s="2" t="s">
        <v>10089</v>
      </c>
    </row>
    <row r="1986" spans="1:11" x14ac:dyDescent="0.2">
      <c r="A1986" s="2">
        <v>497</v>
      </c>
      <c r="B1986" s="2">
        <v>3</v>
      </c>
      <c r="C1986" s="2">
        <v>86660980</v>
      </c>
      <c r="D1986" s="2">
        <v>87411258</v>
      </c>
      <c r="E1986" s="2">
        <v>4</v>
      </c>
      <c r="F1986" s="2" t="s">
        <v>10086</v>
      </c>
      <c r="H1986" s="3">
        <v>2.9999999999999997E-4</v>
      </c>
      <c r="K1986" s="2" t="s">
        <v>10088</v>
      </c>
    </row>
    <row r="1987" spans="1:11" x14ac:dyDescent="0.2">
      <c r="A1987" s="2">
        <v>498</v>
      </c>
      <c r="B1987" s="2">
        <v>3</v>
      </c>
      <c r="C1987" s="2">
        <v>87411259</v>
      </c>
      <c r="D1987" s="2">
        <v>88375763</v>
      </c>
      <c r="E1987" s="2">
        <v>1</v>
      </c>
      <c r="F1987" s="2" t="s">
        <v>10086</v>
      </c>
      <c r="H1987" s="2">
        <v>3.3E-3</v>
      </c>
      <c r="K1987" s="2" t="s">
        <v>10087</v>
      </c>
    </row>
    <row r="1988" spans="1:11" x14ac:dyDescent="0.2">
      <c r="A1988" s="2">
        <v>498</v>
      </c>
      <c r="B1988" s="2">
        <v>3</v>
      </c>
      <c r="C1988" s="2">
        <v>87411259</v>
      </c>
      <c r="D1988" s="2">
        <v>88375763</v>
      </c>
      <c r="E1988" s="2">
        <v>2</v>
      </c>
      <c r="F1988" s="2" t="s">
        <v>10086</v>
      </c>
      <c r="H1988" s="2">
        <v>1.1000000000000001E-3</v>
      </c>
      <c r="K1988" s="2" t="s">
        <v>10085</v>
      </c>
    </row>
    <row r="1989" spans="1:11" x14ac:dyDescent="0.2">
      <c r="A1989" s="2">
        <v>498</v>
      </c>
      <c r="B1989" s="2">
        <v>3</v>
      </c>
      <c r="C1989" s="2">
        <v>87411259</v>
      </c>
      <c r="D1989" s="2">
        <v>88375763</v>
      </c>
      <c r="E1989" s="2">
        <v>3</v>
      </c>
      <c r="F1989" s="2" t="s">
        <v>10086</v>
      </c>
      <c r="H1989" s="3">
        <v>8.0000000000000004E-4</v>
      </c>
      <c r="K1989" s="2" t="s">
        <v>12324</v>
      </c>
    </row>
    <row r="1990" spans="1:11" x14ac:dyDescent="0.2">
      <c r="A1990" s="2">
        <v>498</v>
      </c>
      <c r="B1990" s="2">
        <v>3</v>
      </c>
      <c r="C1990" s="2">
        <v>87411259</v>
      </c>
      <c r="D1990" s="2">
        <v>88375763</v>
      </c>
      <c r="E1990" s="2">
        <v>4</v>
      </c>
      <c r="F1990" s="2" t="s">
        <v>10086</v>
      </c>
      <c r="H1990" s="3">
        <v>6.9999999999999999E-4</v>
      </c>
      <c r="K1990" s="2" t="s">
        <v>10089</v>
      </c>
    </row>
    <row r="1991" spans="1:11" x14ac:dyDescent="0.2">
      <c r="A1991" s="2">
        <v>499</v>
      </c>
      <c r="B1991" s="2">
        <v>3</v>
      </c>
      <c r="C1991" s="2">
        <v>88375764</v>
      </c>
      <c r="D1991" s="2">
        <v>89612939</v>
      </c>
      <c r="E1991" s="2">
        <v>1</v>
      </c>
      <c r="F1991" s="2" t="s">
        <v>10086</v>
      </c>
      <c r="H1991" s="2">
        <v>1.0200000000000001E-2</v>
      </c>
      <c r="K1991" s="2" t="s">
        <v>10085</v>
      </c>
    </row>
    <row r="1992" spans="1:11" x14ac:dyDescent="0.2">
      <c r="A1992" s="2">
        <v>499</v>
      </c>
      <c r="B1992" s="2">
        <v>3</v>
      </c>
      <c r="C1992" s="2">
        <v>88375764</v>
      </c>
      <c r="D1992" s="2">
        <v>89612939</v>
      </c>
      <c r="E1992" s="2">
        <v>2</v>
      </c>
      <c r="F1992" s="2" t="s">
        <v>10086</v>
      </c>
      <c r="H1992" s="2">
        <v>1.5E-3</v>
      </c>
      <c r="K1992" s="2" t="s">
        <v>10089</v>
      </c>
    </row>
    <row r="1993" spans="1:11" x14ac:dyDescent="0.2">
      <c r="A1993" s="2">
        <v>499</v>
      </c>
      <c r="B1993" s="2">
        <v>3</v>
      </c>
      <c r="C1993" s="2">
        <v>88375764</v>
      </c>
      <c r="D1993" s="2">
        <v>89612939</v>
      </c>
      <c r="E1993" s="2">
        <v>3</v>
      </c>
      <c r="F1993" s="2" t="s">
        <v>10086</v>
      </c>
      <c r="H1993" s="2">
        <v>1.1000000000000001E-3</v>
      </c>
      <c r="K1993" s="2" t="s">
        <v>10087</v>
      </c>
    </row>
    <row r="1994" spans="1:11" x14ac:dyDescent="0.2">
      <c r="A1994" s="2">
        <v>499</v>
      </c>
      <c r="B1994" s="2">
        <v>3</v>
      </c>
      <c r="C1994" s="2">
        <v>88375764</v>
      </c>
      <c r="D1994" s="2">
        <v>89612939</v>
      </c>
      <c r="E1994" s="2">
        <v>4</v>
      </c>
      <c r="F1994" s="2" t="s">
        <v>10086</v>
      </c>
      <c r="H1994" s="3">
        <v>5.0000000000000001E-4</v>
      </c>
      <c r="K1994" s="2" t="s">
        <v>10088</v>
      </c>
    </row>
    <row r="1995" spans="1:11" x14ac:dyDescent="0.2">
      <c r="A1995" s="2">
        <v>500</v>
      </c>
      <c r="B1995" s="2">
        <v>3</v>
      </c>
      <c r="C1995" s="2">
        <v>89612940</v>
      </c>
      <c r="D1995" s="2">
        <v>94250144</v>
      </c>
      <c r="E1995" s="2">
        <v>1</v>
      </c>
      <c r="F1995" s="2" t="s">
        <v>10086</v>
      </c>
      <c r="H1995" s="2">
        <v>9.1000000000000004E-3</v>
      </c>
      <c r="K1995" s="2" t="s">
        <v>10089</v>
      </c>
    </row>
    <row r="1996" spans="1:11" x14ac:dyDescent="0.2">
      <c r="A1996" s="2">
        <v>500</v>
      </c>
      <c r="B1996" s="2">
        <v>3</v>
      </c>
      <c r="C1996" s="2">
        <v>89612940</v>
      </c>
      <c r="D1996" s="2">
        <v>94250144</v>
      </c>
      <c r="E1996" s="2">
        <v>2</v>
      </c>
      <c r="F1996" s="2" t="s">
        <v>10086</v>
      </c>
      <c r="H1996" s="2">
        <v>1.6000000000000001E-3</v>
      </c>
      <c r="K1996" s="2" t="s">
        <v>10087</v>
      </c>
    </row>
    <row r="1997" spans="1:11" x14ac:dyDescent="0.2">
      <c r="A1997" s="2">
        <v>500</v>
      </c>
      <c r="B1997" s="2">
        <v>3</v>
      </c>
      <c r="C1997" s="2">
        <v>89612940</v>
      </c>
      <c r="D1997" s="2">
        <v>94250144</v>
      </c>
      <c r="E1997" s="2">
        <v>3</v>
      </c>
      <c r="F1997" s="2" t="s">
        <v>10086</v>
      </c>
      <c r="H1997" s="2">
        <v>1E-3</v>
      </c>
      <c r="K1997" s="2" t="s">
        <v>10085</v>
      </c>
    </row>
    <row r="1998" spans="1:11" x14ac:dyDescent="0.2">
      <c r="A1998" s="2">
        <v>500</v>
      </c>
      <c r="B1998" s="2">
        <v>3</v>
      </c>
      <c r="C1998" s="2">
        <v>89612940</v>
      </c>
      <c r="D1998" s="2">
        <v>94250144</v>
      </c>
      <c r="E1998" s="2">
        <v>4</v>
      </c>
      <c r="F1998" s="2" t="s">
        <v>10086</v>
      </c>
      <c r="H1998" s="3">
        <v>4.0000000000000002E-4</v>
      </c>
      <c r="K1998" s="2" t="s">
        <v>10088</v>
      </c>
    </row>
    <row r="1999" spans="1:11" x14ac:dyDescent="0.2">
      <c r="A1999" s="2">
        <v>501</v>
      </c>
      <c r="B1999" s="2">
        <v>3</v>
      </c>
      <c r="C1999" s="2">
        <v>94250145</v>
      </c>
      <c r="D1999" s="2">
        <v>95088587</v>
      </c>
      <c r="E1999" s="2">
        <v>1</v>
      </c>
      <c r="F1999" s="2" t="s">
        <v>10086</v>
      </c>
      <c r="H1999" s="2">
        <v>1.06E-2</v>
      </c>
      <c r="K1999" s="2" t="s">
        <v>10085</v>
      </c>
    </row>
    <row r="2000" spans="1:11" x14ac:dyDescent="0.2">
      <c r="A2000" s="2">
        <v>501</v>
      </c>
      <c r="B2000" s="2">
        <v>3</v>
      </c>
      <c r="C2000" s="2">
        <v>94250145</v>
      </c>
      <c r="D2000" s="2">
        <v>95088587</v>
      </c>
      <c r="E2000" s="2">
        <v>2</v>
      </c>
      <c r="F2000" s="2" t="s">
        <v>10086</v>
      </c>
      <c r="H2000" s="2">
        <v>2E-3</v>
      </c>
      <c r="K2000" s="2" t="s">
        <v>10088</v>
      </c>
    </row>
    <row r="2001" spans="1:11" x14ac:dyDescent="0.2">
      <c r="A2001" s="2">
        <v>501</v>
      </c>
      <c r="B2001" s="2">
        <v>3</v>
      </c>
      <c r="C2001" s="2">
        <v>94250145</v>
      </c>
      <c r="D2001" s="2">
        <v>95088587</v>
      </c>
      <c r="E2001" s="2">
        <v>3</v>
      </c>
      <c r="F2001" s="2" t="s">
        <v>10086</v>
      </c>
      <c r="H2001" s="3">
        <v>8.0000000000000004E-4</v>
      </c>
      <c r="K2001" s="2" t="s">
        <v>10089</v>
      </c>
    </row>
    <row r="2002" spans="1:11" x14ac:dyDescent="0.2">
      <c r="A2002" s="2">
        <v>501</v>
      </c>
      <c r="B2002" s="2">
        <v>3</v>
      </c>
      <c r="C2002" s="2">
        <v>94250145</v>
      </c>
      <c r="D2002" s="2">
        <v>95088587</v>
      </c>
      <c r="E2002" s="2">
        <v>4</v>
      </c>
      <c r="F2002" s="2" t="s">
        <v>10086</v>
      </c>
      <c r="H2002" s="3">
        <v>6.9999999999999999E-4</v>
      </c>
      <c r="K2002" s="2" t="s">
        <v>10087</v>
      </c>
    </row>
    <row r="2003" spans="1:11" x14ac:dyDescent="0.2">
      <c r="A2003" s="2">
        <v>502</v>
      </c>
      <c r="B2003" s="2">
        <v>3</v>
      </c>
      <c r="C2003" s="2">
        <v>95088588</v>
      </c>
      <c r="D2003" s="2">
        <v>96055532</v>
      </c>
      <c r="E2003" s="2">
        <v>1</v>
      </c>
      <c r="F2003" s="2" t="s">
        <v>10086</v>
      </c>
      <c r="H2003" s="2">
        <v>1.6000000000000001E-3</v>
      </c>
      <c r="K2003" s="2" t="s">
        <v>10089</v>
      </c>
    </row>
    <row r="2004" spans="1:11" x14ac:dyDescent="0.2">
      <c r="A2004" s="2">
        <v>502</v>
      </c>
      <c r="B2004" s="2">
        <v>3</v>
      </c>
      <c r="C2004" s="2">
        <v>95088588</v>
      </c>
      <c r="D2004" s="2">
        <v>96055532</v>
      </c>
      <c r="E2004" s="2">
        <v>2</v>
      </c>
      <c r="F2004" s="2" t="s">
        <v>10086</v>
      </c>
      <c r="H2004" s="2">
        <v>1E-3</v>
      </c>
      <c r="K2004" s="2" t="s">
        <v>10085</v>
      </c>
    </row>
    <row r="2005" spans="1:11" x14ac:dyDescent="0.2">
      <c r="A2005" s="2">
        <v>502</v>
      </c>
      <c r="B2005" s="2">
        <v>3</v>
      </c>
      <c r="C2005" s="2">
        <v>95088588</v>
      </c>
      <c r="D2005" s="2">
        <v>96055532</v>
      </c>
      <c r="E2005" s="2">
        <v>3</v>
      </c>
      <c r="F2005" s="2" t="s">
        <v>10086</v>
      </c>
      <c r="H2005" s="3">
        <v>8.0000000000000004E-4</v>
      </c>
      <c r="K2005" s="2" t="s">
        <v>12324</v>
      </c>
    </row>
    <row r="2006" spans="1:11" x14ac:dyDescent="0.2">
      <c r="A2006" s="2">
        <v>502</v>
      </c>
      <c r="B2006" s="2">
        <v>3</v>
      </c>
      <c r="C2006" s="2">
        <v>95088588</v>
      </c>
      <c r="D2006" s="2">
        <v>96055532</v>
      </c>
      <c r="E2006" s="2">
        <v>4</v>
      </c>
      <c r="F2006" s="2" t="s">
        <v>10086</v>
      </c>
      <c r="H2006" s="3">
        <v>5.9999999999999995E-4</v>
      </c>
      <c r="K2006" s="2" t="s">
        <v>10088</v>
      </c>
    </row>
    <row r="2007" spans="1:11" x14ac:dyDescent="0.2">
      <c r="A2007" s="2">
        <v>503</v>
      </c>
      <c r="B2007" s="2">
        <v>3</v>
      </c>
      <c r="C2007" s="2">
        <v>96055533</v>
      </c>
      <c r="D2007" s="2">
        <v>97351955</v>
      </c>
      <c r="E2007" s="2">
        <v>1</v>
      </c>
      <c r="F2007" s="2" t="s">
        <v>10086</v>
      </c>
      <c r="H2007" s="2">
        <v>1.6999999999999999E-3</v>
      </c>
      <c r="K2007" s="2" t="s">
        <v>10089</v>
      </c>
    </row>
    <row r="2008" spans="1:11" x14ac:dyDescent="0.2">
      <c r="A2008" s="2">
        <v>503</v>
      </c>
      <c r="B2008" s="2">
        <v>3</v>
      </c>
      <c r="C2008" s="2">
        <v>96055533</v>
      </c>
      <c r="D2008" s="2">
        <v>97351955</v>
      </c>
      <c r="E2008" s="2">
        <v>2</v>
      </c>
      <c r="F2008" s="2" t="s">
        <v>10086</v>
      </c>
      <c r="H2008" s="3">
        <v>8.0000000000000004E-4</v>
      </c>
      <c r="K2008" s="2" t="s">
        <v>10088</v>
      </c>
    </row>
    <row r="2009" spans="1:11" x14ac:dyDescent="0.2">
      <c r="A2009" s="2">
        <v>503</v>
      </c>
      <c r="B2009" s="2">
        <v>3</v>
      </c>
      <c r="C2009" s="2">
        <v>96055533</v>
      </c>
      <c r="D2009" s="2">
        <v>97351955</v>
      </c>
      <c r="E2009" s="2">
        <v>3</v>
      </c>
      <c r="F2009" s="2" t="s">
        <v>10086</v>
      </c>
      <c r="H2009" s="3">
        <v>5.9999999999999995E-4</v>
      </c>
      <c r="K2009" s="2" t="s">
        <v>10085</v>
      </c>
    </row>
    <row r="2010" spans="1:11" x14ac:dyDescent="0.2">
      <c r="A2010" s="2">
        <v>503</v>
      </c>
      <c r="B2010" s="2">
        <v>3</v>
      </c>
      <c r="C2010" s="2">
        <v>96055533</v>
      </c>
      <c r="D2010" s="2">
        <v>97351955</v>
      </c>
      <c r="E2010" s="2">
        <v>4</v>
      </c>
      <c r="F2010" s="2" t="s">
        <v>10086</v>
      </c>
      <c r="H2010" s="3">
        <v>2.9999999999999997E-4</v>
      </c>
      <c r="K2010" s="2" t="s">
        <v>10087</v>
      </c>
    </row>
    <row r="2011" spans="1:11" x14ac:dyDescent="0.2">
      <c r="A2011" s="2">
        <v>504</v>
      </c>
      <c r="B2011" s="2">
        <v>3</v>
      </c>
      <c r="C2011" s="2">
        <v>97351956</v>
      </c>
      <c r="D2011" s="2">
        <v>98212868</v>
      </c>
      <c r="E2011" s="2">
        <v>1</v>
      </c>
      <c r="F2011" s="2" t="s">
        <v>10086</v>
      </c>
      <c r="H2011" s="2">
        <v>1.5E-3</v>
      </c>
      <c r="K2011" s="2" t="s">
        <v>10089</v>
      </c>
    </row>
    <row r="2012" spans="1:11" x14ac:dyDescent="0.2">
      <c r="A2012" s="2">
        <v>504</v>
      </c>
      <c r="B2012" s="2">
        <v>3</v>
      </c>
      <c r="C2012" s="2">
        <v>97351956</v>
      </c>
      <c r="D2012" s="2">
        <v>98212868</v>
      </c>
      <c r="E2012" s="2">
        <v>2</v>
      </c>
      <c r="F2012" s="2" t="s">
        <v>10086</v>
      </c>
      <c r="H2012" s="3">
        <v>5.0000000000000001E-4</v>
      </c>
      <c r="K2012" s="2" t="s">
        <v>10087</v>
      </c>
    </row>
    <row r="2013" spans="1:11" x14ac:dyDescent="0.2">
      <c r="A2013" s="2">
        <v>504</v>
      </c>
      <c r="B2013" s="2">
        <v>3</v>
      </c>
      <c r="C2013" s="2">
        <v>97351956</v>
      </c>
      <c r="D2013" s="2">
        <v>98212868</v>
      </c>
      <c r="E2013" s="2">
        <v>3</v>
      </c>
      <c r="F2013" s="2" t="s">
        <v>10086</v>
      </c>
      <c r="H2013" s="3">
        <v>4.0000000000000002E-4</v>
      </c>
      <c r="K2013" s="2" t="s">
        <v>12324</v>
      </c>
    </row>
    <row r="2014" spans="1:11" x14ac:dyDescent="0.2">
      <c r="A2014" s="2">
        <v>504</v>
      </c>
      <c r="B2014" s="2">
        <v>3</v>
      </c>
      <c r="C2014" s="2">
        <v>97351956</v>
      </c>
      <c r="D2014" s="2">
        <v>98212868</v>
      </c>
      <c r="E2014" s="2">
        <v>4</v>
      </c>
      <c r="F2014" s="2" t="s">
        <v>10086</v>
      </c>
      <c r="H2014" s="3">
        <v>4.0000000000000002E-4</v>
      </c>
      <c r="K2014" s="2" t="s">
        <v>10085</v>
      </c>
    </row>
    <row r="2015" spans="1:11" x14ac:dyDescent="0.2">
      <c r="A2015" s="2">
        <v>505</v>
      </c>
      <c r="B2015" s="2">
        <v>3</v>
      </c>
      <c r="C2015" s="2">
        <v>98212869</v>
      </c>
      <c r="D2015" s="2">
        <v>99045104</v>
      </c>
      <c r="E2015" s="2">
        <v>1</v>
      </c>
      <c r="F2015" s="2" t="s">
        <v>10086</v>
      </c>
      <c r="H2015" s="2">
        <v>2.3E-3</v>
      </c>
      <c r="K2015" s="2" t="s">
        <v>10089</v>
      </c>
    </row>
    <row r="2016" spans="1:11" x14ac:dyDescent="0.2">
      <c r="A2016" s="2">
        <v>505</v>
      </c>
      <c r="B2016" s="2">
        <v>3</v>
      </c>
      <c r="C2016" s="2">
        <v>98212869</v>
      </c>
      <c r="D2016" s="2">
        <v>99045104</v>
      </c>
      <c r="E2016" s="2">
        <v>2</v>
      </c>
      <c r="F2016" s="2" t="s">
        <v>10086</v>
      </c>
      <c r="H2016" s="2">
        <v>2E-3</v>
      </c>
      <c r="K2016" s="2" t="s">
        <v>10087</v>
      </c>
    </row>
    <row r="2017" spans="1:11" x14ac:dyDescent="0.2">
      <c r="A2017" s="2">
        <v>505</v>
      </c>
      <c r="B2017" s="2">
        <v>3</v>
      </c>
      <c r="C2017" s="2">
        <v>98212869</v>
      </c>
      <c r="D2017" s="2">
        <v>99045104</v>
      </c>
      <c r="E2017" s="2">
        <v>3</v>
      </c>
      <c r="F2017" s="2" t="s">
        <v>10086</v>
      </c>
      <c r="H2017" s="2">
        <v>1.1999999999999999E-3</v>
      </c>
      <c r="K2017" s="2" t="s">
        <v>10085</v>
      </c>
    </row>
    <row r="2018" spans="1:11" x14ac:dyDescent="0.2">
      <c r="A2018" s="2">
        <v>505</v>
      </c>
      <c r="B2018" s="2">
        <v>3</v>
      </c>
      <c r="C2018" s="2">
        <v>98212869</v>
      </c>
      <c r="D2018" s="2">
        <v>99045104</v>
      </c>
      <c r="E2018" s="2">
        <v>4</v>
      </c>
      <c r="F2018" s="2" t="s">
        <v>10086</v>
      </c>
      <c r="H2018" s="3">
        <v>5.0000000000000001E-4</v>
      </c>
      <c r="K2018" s="2" t="s">
        <v>10088</v>
      </c>
    </row>
    <row r="2019" spans="1:11" x14ac:dyDescent="0.2">
      <c r="A2019" s="2">
        <v>506</v>
      </c>
      <c r="B2019" s="2">
        <v>3</v>
      </c>
      <c r="C2019" s="2">
        <v>99045105</v>
      </c>
      <c r="D2019" s="2">
        <v>100552522</v>
      </c>
      <c r="E2019" s="2">
        <v>1</v>
      </c>
      <c r="F2019" s="2" t="s">
        <v>10086</v>
      </c>
      <c r="H2019" s="2">
        <v>6.4999999999999997E-3</v>
      </c>
      <c r="K2019" s="2" t="s">
        <v>10087</v>
      </c>
    </row>
    <row r="2020" spans="1:11" x14ac:dyDescent="0.2">
      <c r="A2020" s="2">
        <v>506</v>
      </c>
      <c r="B2020" s="2">
        <v>3</v>
      </c>
      <c r="C2020" s="2">
        <v>99045105</v>
      </c>
      <c r="D2020" s="2">
        <v>100552522</v>
      </c>
      <c r="E2020" s="2">
        <v>2</v>
      </c>
      <c r="F2020" s="2" t="s">
        <v>10086</v>
      </c>
      <c r="H2020" s="2">
        <v>1.4E-3</v>
      </c>
      <c r="K2020" s="2" t="s">
        <v>10088</v>
      </c>
    </row>
    <row r="2021" spans="1:11" x14ac:dyDescent="0.2">
      <c r="A2021" s="2">
        <v>506</v>
      </c>
      <c r="B2021" s="2">
        <v>3</v>
      </c>
      <c r="C2021" s="2">
        <v>99045105</v>
      </c>
      <c r="D2021" s="2">
        <v>100552522</v>
      </c>
      <c r="E2021" s="2">
        <v>3</v>
      </c>
      <c r="F2021" s="2" t="s">
        <v>10086</v>
      </c>
      <c r="H2021" s="2">
        <v>1E-3</v>
      </c>
      <c r="K2021" s="2" t="s">
        <v>10089</v>
      </c>
    </row>
    <row r="2022" spans="1:11" x14ac:dyDescent="0.2">
      <c r="A2022" s="2">
        <v>506</v>
      </c>
      <c r="B2022" s="2">
        <v>3</v>
      </c>
      <c r="C2022" s="2">
        <v>99045105</v>
      </c>
      <c r="D2022" s="2">
        <v>100552522</v>
      </c>
      <c r="E2022" s="2">
        <v>4</v>
      </c>
      <c r="F2022" s="2" t="s">
        <v>10086</v>
      </c>
      <c r="H2022" s="3">
        <v>5.0000000000000001E-4</v>
      </c>
      <c r="K2022" s="2" t="s">
        <v>10085</v>
      </c>
    </row>
    <row r="2023" spans="1:11" x14ac:dyDescent="0.2">
      <c r="A2023" s="2">
        <v>507</v>
      </c>
      <c r="B2023" s="2">
        <v>3</v>
      </c>
      <c r="C2023" s="2">
        <v>100552523</v>
      </c>
      <c r="D2023" s="2">
        <v>101906989</v>
      </c>
      <c r="E2023" s="2">
        <v>1</v>
      </c>
      <c r="F2023" s="2" t="s">
        <v>10086</v>
      </c>
      <c r="H2023" s="2">
        <v>1E-3</v>
      </c>
      <c r="K2023" s="2" t="s">
        <v>10085</v>
      </c>
    </row>
    <row r="2024" spans="1:11" x14ac:dyDescent="0.2">
      <c r="A2024" s="2">
        <v>507</v>
      </c>
      <c r="B2024" s="2">
        <v>3</v>
      </c>
      <c r="C2024" s="2">
        <v>100552523</v>
      </c>
      <c r="D2024" s="2">
        <v>101906989</v>
      </c>
      <c r="E2024" s="2">
        <v>2</v>
      </c>
      <c r="F2024" s="2" t="s">
        <v>10086</v>
      </c>
      <c r="H2024" s="3">
        <v>8.9999999999999998E-4</v>
      </c>
      <c r="K2024" s="2" t="s">
        <v>10087</v>
      </c>
    </row>
    <row r="2025" spans="1:11" x14ac:dyDescent="0.2">
      <c r="A2025" s="2">
        <v>507</v>
      </c>
      <c r="B2025" s="2">
        <v>3</v>
      </c>
      <c r="C2025" s="2">
        <v>100552523</v>
      </c>
      <c r="D2025" s="2">
        <v>101906989</v>
      </c>
      <c r="E2025" s="2">
        <v>3</v>
      </c>
      <c r="F2025" s="2" t="s">
        <v>10086</v>
      </c>
      <c r="H2025" s="3">
        <v>5.9999999999999995E-4</v>
      </c>
      <c r="K2025" s="2" t="s">
        <v>10089</v>
      </c>
    </row>
    <row r="2026" spans="1:11" x14ac:dyDescent="0.2">
      <c r="A2026" s="2">
        <v>507</v>
      </c>
      <c r="B2026" s="2">
        <v>3</v>
      </c>
      <c r="C2026" s="2">
        <v>100552523</v>
      </c>
      <c r="D2026" s="2">
        <v>101906989</v>
      </c>
      <c r="E2026" s="2">
        <v>4</v>
      </c>
      <c r="F2026" s="2" t="s">
        <v>10086</v>
      </c>
      <c r="H2026" s="3">
        <v>2.9999999999999997E-4</v>
      </c>
      <c r="K2026" s="2" t="s">
        <v>10088</v>
      </c>
    </row>
    <row r="2027" spans="1:11" x14ac:dyDescent="0.2">
      <c r="A2027" s="2">
        <v>508</v>
      </c>
      <c r="B2027" s="2">
        <v>3</v>
      </c>
      <c r="C2027" s="2">
        <v>101906990</v>
      </c>
      <c r="D2027" s="2">
        <v>103450271</v>
      </c>
      <c r="E2027" s="2">
        <v>1</v>
      </c>
      <c r="F2027" s="2" t="s">
        <v>10086</v>
      </c>
      <c r="H2027" s="2">
        <v>2.8E-3</v>
      </c>
      <c r="K2027" s="2" t="s">
        <v>10087</v>
      </c>
    </row>
    <row r="2028" spans="1:11" x14ac:dyDescent="0.2">
      <c r="A2028" s="2">
        <v>508</v>
      </c>
      <c r="B2028" s="2">
        <v>3</v>
      </c>
      <c r="C2028" s="2">
        <v>101906990</v>
      </c>
      <c r="D2028" s="2">
        <v>103450271</v>
      </c>
      <c r="E2028" s="2">
        <v>2</v>
      </c>
      <c r="F2028" s="2" t="s">
        <v>10086</v>
      </c>
      <c r="H2028" s="2">
        <v>2.3E-3</v>
      </c>
      <c r="K2028" s="2" t="s">
        <v>10089</v>
      </c>
    </row>
    <row r="2029" spans="1:11" x14ac:dyDescent="0.2">
      <c r="A2029" s="2">
        <v>508</v>
      </c>
      <c r="B2029" s="2">
        <v>3</v>
      </c>
      <c r="C2029" s="2">
        <v>101906990</v>
      </c>
      <c r="D2029" s="2">
        <v>103450271</v>
      </c>
      <c r="E2029" s="2">
        <v>3</v>
      </c>
      <c r="F2029" s="2" t="s">
        <v>10086</v>
      </c>
      <c r="H2029" s="2">
        <v>1.5E-3</v>
      </c>
      <c r="K2029" s="2" t="s">
        <v>10088</v>
      </c>
    </row>
    <row r="2030" spans="1:11" x14ac:dyDescent="0.2">
      <c r="A2030" s="2">
        <v>508</v>
      </c>
      <c r="B2030" s="2">
        <v>3</v>
      </c>
      <c r="C2030" s="2">
        <v>101906990</v>
      </c>
      <c r="D2030" s="2">
        <v>103450271</v>
      </c>
      <c r="E2030" s="2">
        <v>4</v>
      </c>
      <c r="F2030" s="2" t="s">
        <v>10086</v>
      </c>
      <c r="H2030" s="3">
        <v>5.0000000000000001E-4</v>
      </c>
      <c r="K2030" s="2" t="s">
        <v>10085</v>
      </c>
    </row>
    <row r="2031" spans="1:11" x14ac:dyDescent="0.2">
      <c r="A2031" s="2">
        <v>509</v>
      </c>
      <c r="B2031" s="2">
        <v>3</v>
      </c>
      <c r="C2031" s="2">
        <v>103450272</v>
      </c>
      <c r="D2031" s="2">
        <v>104116563</v>
      </c>
      <c r="E2031" s="2">
        <v>1</v>
      </c>
      <c r="F2031" s="2" t="s">
        <v>10086</v>
      </c>
      <c r="H2031" s="2">
        <v>1.5E-3</v>
      </c>
      <c r="K2031" s="2" t="s">
        <v>10088</v>
      </c>
    </row>
    <row r="2032" spans="1:11" x14ac:dyDescent="0.2">
      <c r="A2032" s="2">
        <v>509</v>
      </c>
      <c r="B2032" s="2">
        <v>3</v>
      </c>
      <c r="C2032" s="2">
        <v>103450272</v>
      </c>
      <c r="D2032" s="2">
        <v>104116563</v>
      </c>
      <c r="E2032" s="2">
        <v>2</v>
      </c>
      <c r="F2032" s="2" t="s">
        <v>10086</v>
      </c>
      <c r="H2032" s="3">
        <v>5.9999999999999995E-4</v>
      </c>
      <c r="K2032" s="2" t="s">
        <v>10085</v>
      </c>
    </row>
    <row r="2033" spans="1:11" x14ac:dyDescent="0.2">
      <c r="A2033" s="2">
        <v>509</v>
      </c>
      <c r="B2033" s="2">
        <v>3</v>
      </c>
      <c r="C2033" s="2">
        <v>103450272</v>
      </c>
      <c r="D2033" s="2">
        <v>104116563</v>
      </c>
      <c r="E2033" s="2">
        <v>3</v>
      </c>
      <c r="F2033" s="2" t="s">
        <v>10086</v>
      </c>
      <c r="H2033" s="3">
        <v>5.9999999999999995E-4</v>
      </c>
      <c r="K2033" s="2" t="s">
        <v>10089</v>
      </c>
    </row>
    <row r="2034" spans="1:11" x14ac:dyDescent="0.2">
      <c r="A2034" s="2">
        <v>509</v>
      </c>
      <c r="B2034" s="2">
        <v>3</v>
      </c>
      <c r="C2034" s="2">
        <v>103450272</v>
      </c>
      <c r="D2034" s="2">
        <v>104116563</v>
      </c>
      <c r="E2034" s="2">
        <v>4</v>
      </c>
      <c r="F2034" s="2" t="s">
        <v>10086</v>
      </c>
      <c r="H2034" s="3">
        <v>2.9999999999999997E-4</v>
      </c>
      <c r="K2034" s="2" t="s">
        <v>10087</v>
      </c>
    </row>
    <row r="2035" spans="1:11" x14ac:dyDescent="0.2">
      <c r="A2035" s="2">
        <v>510</v>
      </c>
      <c r="B2035" s="2">
        <v>3</v>
      </c>
      <c r="C2035" s="2">
        <v>104116564</v>
      </c>
      <c r="D2035" s="2">
        <v>104878977</v>
      </c>
      <c r="E2035" s="2">
        <v>1</v>
      </c>
      <c r="F2035" s="2" t="s">
        <v>10086</v>
      </c>
      <c r="H2035" s="2">
        <v>2.0999999999999999E-3</v>
      </c>
      <c r="K2035" s="2" t="s">
        <v>10087</v>
      </c>
    </row>
    <row r="2036" spans="1:11" x14ac:dyDescent="0.2">
      <c r="A2036" s="2">
        <v>510</v>
      </c>
      <c r="B2036" s="2">
        <v>3</v>
      </c>
      <c r="C2036" s="2">
        <v>104116564</v>
      </c>
      <c r="D2036" s="2">
        <v>104878977</v>
      </c>
      <c r="E2036" s="2">
        <v>2</v>
      </c>
      <c r="F2036" s="2" t="s">
        <v>10086</v>
      </c>
      <c r="H2036" s="2">
        <v>4.5999999999999999E-3</v>
      </c>
      <c r="K2036" s="2" t="s">
        <v>10089</v>
      </c>
    </row>
    <row r="2037" spans="1:11" x14ac:dyDescent="0.2">
      <c r="A2037" s="2">
        <v>510</v>
      </c>
      <c r="B2037" s="2">
        <v>3</v>
      </c>
      <c r="C2037" s="2">
        <v>104116564</v>
      </c>
      <c r="D2037" s="2">
        <v>104878977</v>
      </c>
      <c r="E2037" s="2">
        <v>3</v>
      </c>
      <c r="F2037" s="2" t="s">
        <v>10086</v>
      </c>
      <c r="H2037" s="2">
        <v>1.6999999999999999E-3</v>
      </c>
      <c r="K2037" s="2" t="s">
        <v>12324</v>
      </c>
    </row>
    <row r="2038" spans="1:11" x14ac:dyDescent="0.2">
      <c r="A2038" s="2">
        <v>510</v>
      </c>
      <c r="B2038" s="2">
        <v>3</v>
      </c>
      <c r="C2038" s="2">
        <v>104116564</v>
      </c>
      <c r="D2038" s="2">
        <v>104878977</v>
      </c>
      <c r="E2038" s="2">
        <v>4</v>
      </c>
      <c r="F2038" s="2" t="s">
        <v>10086</v>
      </c>
      <c r="H2038" s="2">
        <v>1E-3</v>
      </c>
      <c r="K2038" s="2" t="s">
        <v>10085</v>
      </c>
    </row>
    <row r="2039" spans="1:11" x14ac:dyDescent="0.2">
      <c r="A2039" s="2">
        <v>511</v>
      </c>
      <c r="B2039" s="2">
        <v>3</v>
      </c>
      <c r="C2039" s="2">
        <v>104878978</v>
      </c>
      <c r="D2039" s="2">
        <v>106174685</v>
      </c>
      <c r="E2039" s="2">
        <v>1</v>
      </c>
      <c r="F2039" s="2" t="s">
        <v>10086</v>
      </c>
      <c r="H2039" s="2">
        <v>1.4E-3</v>
      </c>
      <c r="K2039" s="2" t="s">
        <v>10087</v>
      </c>
    </row>
    <row r="2040" spans="1:11" x14ac:dyDescent="0.2">
      <c r="A2040" s="2">
        <v>511</v>
      </c>
      <c r="B2040" s="2">
        <v>3</v>
      </c>
      <c r="C2040" s="2">
        <v>104878978</v>
      </c>
      <c r="D2040" s="2">
        <v>106174685</v>
      </c>
      <c r="E2040" s="2">
        <v>2</v>
      </c>
      <c r="F2040" s="2" t="s">
        <v>10086</v>
      </c>
      <c r="H2040" s="2">
        <v>1.6000000000000001E-3</v>
      </c>
      <c r="K2040" s="2" t="s">
        <v>10088</v>
      </c>
    </row>
    <row r="2041" spans="1:11" x14ac:dyDescent="0.2">
      <c r="A2041" s="2">
        <v>511</v>
      </c>
      <c r="B2041" s="2">
        <v>3</v>
      </c>
      <c r="C2041" s="2">
        <v>104878978</v>
      </c>
      <c r="D2041" s="2">
        <v>106174685</v>
      </c>
      <c r="E2041" s="2">
        <v>3</v>
      </c>
      <c r="F2041" s="2" t="s">
        <v>10086</v>
      </c>
      <c r="H2041" s="2">
        <v>1.4E-3</v>
      </c>
      <c r="K2041" s="2" t="s">
        <v>10085</v>
      </c>
    </row>
    <row r="2042" spans="1:11" x14ac:dyDescent="0.2">
      <c r="A2042" s="2">
        <v>511</v>
      </c>
      <c r="B2042" s="2">
        <v>3</v>
      </c>
      <c r="C2042" s="2">
        <v>104878978</v>
      </c>
      <c r="D2042" s="2">
        <v>106174685</v>
      </c>
      <c r="E2042" s="2">
        <v>4</v>
      </c>
      <c r="F2042" s="2" t="s">
        <v>10086</v>
      </c>
      <c r="H2042" s="3">
        <v>5.9999999999999995E-4</v>
      </c>
      <c r="K2042" s="2" t="s">
        <v>10089</v>
      </c>
    </row>
    <row r="2043" spans="1:11" x14ac:dyDescent="0.2">
      <c r="A2043" s="2">
        <v>512</v>
      </c>
      <c r="B2043" s="2">
        <v>3</v>
      </c>
      <c r="C2043" s="2">
        <v>106174686</v>
      </c>
      <c r="D2043" s="2">
        <v>107736519</v>
      </c>
      <c r="E2043" s="2">
        <v>1</v>
      </c>
      <c r="F2043" s="2" t="s">
        <v>10086</v>
      </c>
      <c r="H2043" s="2">
        <v>1.6000000000000001E-3</v>
      </c>
      <c r="K2043" s="2" t="s">
        <v>10088</v>
      </c>
    </row>
    <row r="2044" spans="1:11" x14ac:dyDescent="0.2">
      <c r="A2044" s="2">
        <v>512</v>
      </c>
      <c r="B2044" s="2">
        <v>3</v>
      </c>
      <c r="C2044" s="2">
        <v>106174686</v>
      </c>
      <c r="D2044" s="2">
        <v>107736519</v>
      </c>
      <c r="E2044" s="2">
        <v>2</v>
      </c>
      <c r="F2044" s="2" t="s">
        <v>10086</v>
      </c>
      <c r="H2044" s="2">
        <v>1.4E-3</v>
      </c>
      <c r="K2044" s="2" t="s">
        <v>10089</v>
      </c>
    </row>
    <row r="2045" spans="1:11" x14ac:dyDescent="0.2">
      <c r="A2045" s="2">
        <v>512</v>
      </c>
      <c r="B2045" s="2">
        <v>3</v>
      </c>
      <c r="C2045" s="2">
        <v>106174686</v>
      </c>
      <c r="D2045" s="2">
        <v>107736519</v>
      </c>
      <c r="E2045" s="2">
        <v>3</v>
      </c>
      <c r="F2045" s="2" t="s">
        <v>10086</v>
      </c>
      <c r="H2045" s="2">
        <v>1E-3</v>
      </c>
      <c r="K2045" s="2" t="s">
        <v>10085</v>
      </c>
    </row>
    <row r="2046" spans="1:11" x14ac:dyDescent="0.2">
      <c r="A2046" s="2">
        <v>512</v>
      </c>
      <c r="B2046" s="2">
        <v>3</v>
      </c>
      <c r="C2046" s="2">
        <v>106174686</v>
      </c>
      <c r="D2046" s="2">
        <v>107736519</v>
      </c>
      <c r="E2046" s="2">
        <v>4</v>
      </c>
      <c r="F2046" s="2" t="s">
        <v>10086</v>
      </c>
      <c r="H2046" s="3">
        <v>4.0000000000000002E-4</v>
      </c>
      <c r="K2046" s="2" t="s">
        <v>10087</v>
      </c>
    </row>
    <row r="2047" spans="1:11" x14ac:dyDescent="0.2">
      <c r="A2047" s="2">
        <v>513</v>
      </c>
      <c r="B2047" s="2">
        <v>3</v>
      </c>
      <c r="C2047" s="2">
        <v>107736520</v>
      </c>
      <c r="D2047" s="2">
        <v>108638900</v>
      </c>
      <c r="E2047" s="2">
        <v>1</v>
      </c>
      <c r="F2047" s="2" t="s">
        <v>10086</v>
      </c>
      <c r="H2047" s="2">
        <v>1.1999999999999999E-3</v>
      </c>
      <c r="K2047" s="2" t="s">
        <v>10089</v>
      </c>
    </row>
    <row r="2048" spans="1:11" x14ac:dyDescent="0.2">
      <c r="A2048" s="2">
        <v>513</v>
      </c>
      <c r="B2048" s="2">
        <v>3</v>
      </c>
      <c r="C2048" s="2">
        <v>107736520</v>
      </c>
      <c r="D2048" s="2">
        <v>108638900</v>
      </c>
      <c r="E2048" s="2">
        <v>2</v>
      </c>
      <c r="F2048" s="2" t="s">
        <v>10086</v>
      </c>
      <c r="H2048" s="3">
        <v>5.9999999999999995E-4</v>
      </c>
      <c r="K2048" s="2" t="s">
        <v>10085</v>
      </c>
    </row>
    <row r="2049" spans="1:11" x14ac:dyDescent="0.2">
      <c r="A2049" s="2">
        <v>513</v>
      </c>
      <c r="B2049" s="2">
        <v>3</v>
      </c>
      <c r="C2049" s="2">
        <v>107736520</v>
      </c>
      <c r="D2049" s="2">
        <v>108638900</v>
      </c>
      <c r="E2049" s="2">
        <v>3</v>
      </c>
      <c r="F2049" s="2" t="s">
        <v>10086</v>
      </c>
      <c r="H2049" s="3">
        <v>5.0000000000000001E-4</v>
      </c>
      <c r="K2049" s="2" t="s">
        <v>10087</v>
      </c>
    </row>
    <row r="2050" spans="1:11" x14ac:dyDescent="0.2">
      <c r="A2050" s="2">
        <v>513</v>
      </c>
      <c r="B2050" s="2">
        <v>3</v>
      </c>
      <c r="C2050" s="2">
        <v>107736520</v>
      </c>
      <c r="D2050" s="2">
        <v>108638900</v>
      </c>
      <c r="E2050" s="2">
        <v>4</v>
      </c>
      <c r="F2050" s="2" t="s">
        <v>10086</v>
      </c>
      <c r="H2050" s="3">
        <v>2.0000000000000001E-4</v>
      </c>
      <c r="K2050" s="2" t="s">
        <v>10088</v>
      </c>
    </row>
    <row r="2051" spans="1:11" x14ac:dyDescent="0.2">
      <c r="A2051" s="2">
        <v>514</v>
      </c>
      <c r="B2051" s="2">
        <v>3</v>
      </c>
      <c r="C2051" s="2">
        <v>108638901</v>
      </c>
      <c r="D2051" s="2">
        <v>109519606</v>
      </c>
      <c r="E2051" s="2">
        <v>1</v>
      </c>
      <c r="F2051" s="2" t="s">
        <v>10086</v>
      </c>
      <c r="H2051" s="2">
        <v>3.5000000000000001E-3</v>
      </c>
      <c r="K2051" s="2" t="s">
        <v>10085</v>
      </c>
    </row>
    <row r="2052" spans="1:11" x14ac:dyDescent="0.2">
      <c r="A2052" s="2">
        <v>514</v>
      </c>
      <c r="B2052" s="2">
        <v>3</v>
      </c>
      <c r="C2052" s="2">
        <v>108638901</v>
      </c>
      <c r="D2052" s="2">
        <v>109519606</v>
      </c>
      <c r="E2052" s="2">
        <v>2</v>
      </c>
      <c r="F2052" s="2" t="s">
        <v>10086</v>
      </c>
      <c r="H2052" s="3">
        <v>6.9999999999999999E-4</v>
      </c>
      <c r="K2052" s="2" t="s">
        <v>10087</v>
      </c>
    </row>
    <row r="2053" spans="1:11" x14ac:dyDescent="0.2">
      <c r="A2053" s="2">
        <v>514</v>
      </c>
      <c r="B2053" s="2">
        <v>3</v>
      </c>
      <c r="C2053" s="2">
        <v>108638901</v>
      </c>
      <c r="D2053" s="2">
        <v>109519606</v>
      </c>
      <c r="E2053" s="2">
        <v>3</v>
      </c>
      <c r="F2053" s="2" t="s">
        <v>10086</v>
      </c>
      <c r="H2053" s="3">
        <v>8.0000000000000004E-4</v>
      </c>
      <c r="K2053" s="2" t="s">
        <v>10088</v>
      </c>
    </row>
    <row r="2054" spans="1:11" x14ac:dyDescent="0.2">
      <c r="A2054" s="2">
        <v>514</v>
      </c>
      <c r="B2054" s="2">
        <v>3</v>
      </c>
      <c r="C2054" s="2">
        <v>108638901</v>
      </c>
      <c r="D2054" s="2">
        <v>109519606</v>
      </c>
      <c r="E2054" s="2">
        <v>4</v>
      </c>
      <c r="F2054" s="2" t="s">
        <v>10086</v>
      </c>
      <c r="H2054" s="3">
        <v>2.9999999999999997E-4</v>
      </c>
      <c r="K2054" s="2" t="s">
        <v>10089</v>
      </c>
    </row>
    <row r="2055" spans="1:11" x14ac:dyDescent="0.2">
      <c r="A2055" s="2">
        <v>515</v>
      </c>
      <c r="B2055" s="2">
        <v>3</v>
      </c>
      <c r="C2055" s="2">
        <v>109519607</v>
      </c>
      <c r="D2055" s="2">
        <v>110935508</v>
      </c>
      <c r="E2055" s="2">
        <v>1</v>
      </c>
      <c r="F2055" s="2" t="s">
        <v>10086</v>
      </c>
      <c r="H2055" s="2">
        <v>3.44E-2</v>
      </c>
      <c r="K2055" s="2" t="s">
        <v>10087</v>
      </c>
    </row>
    <row r="2056" spans="1:11" x14ac:dyDescent="0.2">
      <c r="A2056" s="2">
        <v>515</v>
      </c>
      <c r="B2056" s="2">
        <v>3</v>
      </c>
      <c r="C2056" s="2">
        <v>109519607</v>
      </c>
      <c r="D2056" s="2">
        <v>110935508</v>
      </c>
      <c r="E2056" s="2">
        <v>2</v>
      </c>
      <c r="F2056" s="2" t="s">
        <v>10086</v>
      </c>
      <c r="H2056" s="2">
        <v>5.4999999999999997E-3</v>
      </c>
      <c r="K2056" s="2" t="s">
        <v>12324</v>
      </c>
    </row>
    <row r="2057" spans="1:11" x14ac:dyDescent="0.2">
      <c r="A2057" s="2">
        <v>515</v>
      </c>
      <c r="B2057" s="2">
        <v>3</v>
      </c>
      <c r="C2057" s="2">
        <v>109519607</v>
      </c>
      <c r="D2057" s="2">
        <v>110935508</v>
      </c>
      <c r="E2057" s="2">
        <v>3</v>
      </c>
      <c r="F2057" s="2" t="s">
        <v>10086</v>
      </c>
      <c r="H2057" s="2">
        <v>2.5000000000000001E-3</v>
      </c>
      <c r="K2057" s="2" t="s">
        <v>10089</v>
      </c>
    </row>
    <row r="2058" spans="1:11" x14ac:dyDescent="0.2">
      <c r="A2058" s="2">
        <v>515</v>
      </c>
      <c r="B2058" s="2">
        <v>3</v>
      </c>
      <c r="C2058" s="2">
        <v>109519607</v>
      </c>
      <c r="D2058" s="2">
        <v>110935508</v>
      </c>
      <c r="E2058" s="2">
        <v>4</v>
      </c>
      <c r="F2058" s="2" t="s">
        <v>10086</v>
      </c>
      <c r="H2058" s="2">
        <v>1.8E-3</v>
      </c>
      <c r="K2058" s="2" t="s">
        <v>10085</v>
      </c>
    </row>
    <row r="2059" spans="1:11" x14ac:dyDescent="0.2">
      <c r="A2059" s="2">
        <v>516</v>
      </c>
      <c r="B2059" s="2">
        <v>3</v>
      </c>
      <c r="C2059" s="2">
        <v>110935509</v>
      </c>
      <c r="D2059" s="2">
        <v>111693782</v>
      </c>
      <c r="E2059" s="2">
        <v>1</v>
      </c>
      <c r="F2059" s="2" t="s">
        <v>10086</v>
      </c>
      <c r="H2059" s="3">
        <v>8.0000000000000004E-4</v>
      </c>
      <c r="K2059" s="2" t="s">
        <v>10089</v>
      </c>
    </row>
    <row r="2060" spans="1:11" x14ac:dyDescent="0.2">
      <c r="A2060" s="2">
        <v>516</v>
      </c>
      <c r="B2060" s="2">
        <v>3</v>
      </c>
      <c r="C2060" s="2">
        <v>110935509</v>
      </c>
      <c r="D2060" s="2">
        <v>111693782</v>
      </c>
      <c r="E2060" s="2">
        <v>2</v>
      </c>
      <c r="F2060" s="2" t="s">
        <v>10086</v>
      </c>
      <c r="H2060" s="3">
        <v>5.9999999999999995E-4</v>
      </c>
      <c r="K2060" s="2" t="s">
        <v>10085</v>
      </c>
    </row>
    <row r="2061" spans="1:11" x14ac:dyDescent="0.2">
      <c r="A2061" s="2">
        <v>516</v>
      </c>
      <c r="B2061" s="2">
        <v>3</v>
      </c>
      <c r="C2061" s="2">
        <v>110935509</v>
      </c>
      <c r="D2061" s="2">
        <v>111693782</v>
      </c>
      <c r="E2061" s="2">
        <v>3</v>
      </c>
      <c r="F2061" s="2" t="s">
        <v>10086</v>
      </c>
      <c r="H2061" s="3">
        <v>5.9999999999999995E-4</v>
      </c>
      <c r="K2061" s="2" t="s">
        <v>10087</v>
      </c>
    </row>
    <row r="2062" spans="1:11" x14ac:dyDescent="0.2">
      <c r="A2062" s="2">
        <v>516</v>
      </c>
      <c r="B2062" s="2">
        <v>3</v>
      </c>
      <c r="C2062" s="2">
        <v>110935509</v>
      </c>
      <c r="D2062" s="2">
        <v>111693782</v>
      </c>
      <c r="E2062" s="2">
        <v>4</v>
      </c>
      <c r="F2062" s="2" t="s">
        <v>10086</v>
      </c>
      <c r="H2062" s="3">
        <v>2.9999999999999997E-4</v>
      </c>
      <c r="K2062" s="2" t="s">
        <v>10088</v>
      </c>
    </row>
    <row r="2063" spans="1:11" x14ac:dyDescent="0.2">
      <c r="A2063" s="2">
        <v>517</v>
      </c>
      <c r="B2063" s="2">
        <v>3</v>
      </c>
      <c r="C2063" s="2">
        <v>111693783</v>
      </c>
      <c r="D2063" s="2">
        <v>112408513</v>
      </c>
      <c r="E2063" s="2">
        <v>1</v>
      </c>
      <c r="F2063" s="2" t="s">
        <v>10086</v>
      </c>
      <c r="H2063" s="3">
        <v>5.9999999999999995E-4</v>
      </c>
      <c r="K2063" s="2" t="s">
        <v>10087</v>
      </c>
    </row>
    <row r="2064" spans="1:11" x14ac:dyDescent="0.2">
      <c r="A2064" s="2">
        <v>517</v>
      </c>
      <c r="B2064" s="2">
        <v>3</v>
      </c>
      <c r="C2064" s="2">
        <v>111693783</v>
      </c>
      <c r="D2064" s="2">
        <v>112408513</v>
      </c>
      <c r="E2064" s="2">
        <v>2</v>
      </c>
      <c r="F2064" s="2" t="s">
        <v>10086</v>
      </c>
      <c r="H2064" s="3">
        <v>5.9999999999999995E-4</v>
      </c>
      <c r="K2064" s="2" t="s">
        <v>10085</v>
      </c>
    </row>
    <row r="2065" spans="1:11" x14ac:dyDescent="0.2">
      <c r="A2065" s="2">
        <v>517</v>
      </c>
      <c r="B2065" s="2">
        <v>3</v>
      </c>
      <c r="C2065" s="2">
        <v>111693783</v>
      </c>
      <c r="D2065" s="2">
        <v>112408513</v>
      </c>
      <c r="E2065" s="2">
        <v>3</v>
      </c>
      <c r="F2065" s="2" t="s">
        <v>10086</v>
      </c>
      <c r="H2065" s="3">
        <v>5.9999999999999995E-4</v>
      </c>
      <c r="K2065" s="2" t="s">
        <v>10089</v>
      </c>
    </row>
    <row r="2066" spans="1:11" x14ac:dyDescent="0.2">
      <c r="A2066" s="2">
        <v>517</v>
      </c>
      <c r="B2066" s="2">
        <v>3</v>
      </c>
      <c r="C2066" s="2">
        <v>111693783</v>
      </c>
      <c r="D2066" s="2">
        <v>112408513</v>
      </c>
      <c r="E2066" s="2">
        <v>4</v>
      </c>
      <c r="F2066" s="2" t="s">
        <v>10086</v>
      </c>
      <c r="H2066" s="3">
        <v>2.9999999999999997E-4</v>
      </c>
      <c r="K2066" s="2" t="s">
        <v>10088</v>
      </c>
    </row>
    <row r="2067" spans="1:11" x14ac:dyDescent="0.2">
      <c r="A2067" s="2">
        <v>518</v>
      </c>
      <c r="B2067" s="2">
        <v>3</v>
      </c>
      <c r="C2067" s="2">
        <v>112408514</v>
      </c>
      <c r="D2067" s="2">
        <v>113657665</v>
      </c>
      <c r="E2067" s="2">
        <v>1</v>
      </c>
      <c r="F2067" s="2" t="s">
        <v>10086</v>
      </c>
      <c r="H2067" s="2">
        <v>5.8999999999999999E-3</v>
      </c>
      <c r="K2067" s="2" t="s">
        <v>10087</v>
      </c>
    </row>
    <row r="2068" spans="1:11" x14ac:dyDescent="0.2">
      <c r="A2068" s="2">
        <v>518</v>
      </c>
      <c r="B2068" s="2">
        <v>3</v>
      </c>
      <c r="C2068" s="2">
        <v>112408514</v>
      </c>
      <c r="D2068" s="2">
        <v>113657665</v>
      </c>
      <c r="E2068" s="2">
        <v>2</v>
      </c>
      <c r="F2068" s="2" t="s">
        <v>10086</v>
      </c>
      <c r="H2068" s="2">
        <v>1.6000000000000001E-3</v>
      </c>
      <c r="K2068" s="2" t="s">
        <v>10085</v>
      </c>
    </row>
    <row r="2069" spans="1:11" x14ac:dyDescent="0.2">
      <c r="A2069" s="2">
        <v>518</v>
      </c>
      <c r="B2069" s="2">
        <v>3</v>
      </c>
      <c r="C2069" s="2">
        <v>112408514</v>
      </c>
      <c r="D2069" s="2">
        <v>113657665</v>
      </c>
      <c r="E2069" s="2">
        <v>3</v>
      </c>
      <c r="F2069" s="2" t="s">
        <v>10086</v>
      </c>
      <c r="H2069" s="2">
        <v>1.1999999999999999E-3</v>
      </c>
      <c r="K2069" s="2" t="s">
        <v>10088</v>
      </c>
    </row>
    <row r="2070" spans="1:11" x14ac:dyDescent="0.2">
      <c r="A2070" s="2">
        <v>518</v>
      </c>
      <c r="B2070" s="2">
        <v>3</v>
      </c>
      <c r="C2070" s="2">
        <v>112408514</v>
      </c>
      <c r="D2070" s="2">
        <v>113657665</v>
      </c>
      <c r="E2070" s="2">
        <v>4</v>
      </c>
      <c r="F2070" s="2" t="s">
        <v>10086</v>
      </c>
      <c r="H2070" s="3">
        <v>4.0000000000000002E-4</v>
      </c>
      <c r="K2070" s="2" t="s">
        <v>10089</v>
      </c>
    </row>
    <row r="2071" spans="1:11" x14ac:dyDescent="0.2">
      <c r="A2071" s="2">
        <v>519</v>
      </c>
      <c r="B2071" s="2">
        <v>3</v>
      </c>
      <c r="C2071" s="2">
        <v>113657666</v>
      </c>
      <c r="D2071" s="2">
        <v>115649909</v>
      </c>
      <c r="E2071" s="2">
        <v>1</v>
      </c>
      <c r="F2071" s="2" t="s">
        <v>10086</v>
      </c>
      <c r="H2071" s="2">
        <v>2.5999999999999999E-3</v>
      </c>
      <c r="K2071" s="2" t="s">
        <v>10087</v>
      </c>
    </row>
    <row r="2072" spans="1:11" x14ac:dyDescent="0.2">
      <c r="A2072" s="2">
        <v>519</v>
      </c>
      <c r="B2072" s="2">
        <v>3</v>
      </c>
      <c r="C2072" s="2">
        <v>113657666</v>
      </c>
      <c r="D2072" s="2">
        <v>115649909</v>
      </c>
      <c r="E2072" s="2">
        <v>2</v>
      </c>
      <c r="F2072" s="2" t="s">
        <v>10086</v>
      </c>
      <c r="H2072" s="2">
        <v>1.9E-3</v>
      </c>
      <c r="K2072" s="2" t="s">
        <v>10085</v>
      </c>
    </row>
    <row r="2073" spans="1:11" x14ac:dyDescent="0.2">
      <c r="A2073" s="2">
        <v>519</v>
      </c>
      <c r="B2073" s="2">
        <v>3</v>
      </c>
      <c r="C2073" s="2">
        <v>113657666</v>
      </c>
      <c r="D2073" s="2">
        <v>115649909</v>
      </c>
      <c r="E2073" s="2">
        <v>3</v>
      </c>
      <c r="F2073" s="2" t="s">
        <v>10086</v>
      </c>
      <c r="H2073" s="2">
        <v>1.4E-3</v>
      </c>
      <c r="K2073" s="2" t="s">
        <v>10088</v>
      </c>
    </row>
    <row r="2074" spans="1:11" x14ac:dyDescent="0.2">
      <c r="A2074" s="2">
        <v>519</v>
      </c>
      <c r="B2074" s="2">
        <v>3</v>
      </c>
      <c r="C2074" s="2">
        <v>113657666</v>
      </c>
      <c r="D2074" s="2">
        <v>115649909</v>
      </c>
      <c r="E2074" s="2">
        <v>4</v>
      </c>
      <c r="F2074" s="2" t="s">
        <v>10086</v>
      </c>
      <c r="H2074" s="3">
        <v>6.9999999999999999E-4</v>
      </c>
      <c r="K2074" s="2" t="s">
        <v>10089</v>
      </c>
    </row>
    <row r="2075" spans="1:11" x14ac:dyDescent="0.2">
      <c r="A2075" s="2">
        <v>520</v>
      </c>
      <c r="B2075" s="2">
        <v>3</v>
      </c>
      <c r="C2075" s="2">
        <v>115649910</v>
      </c>
      <c r="D2075" s="2">
        <v>116498570</v>
      </c>
      <c r="E2075" s="2">
        <v>1</v>
      </c>
      <c r="F2075" s="2" t="s">
        <v>10086</v>
      </c>
      <c r="H2075" s="2">
        <v>1.1000000000000001E-3</v>
      </c>
      <c r="K2075" s="2" t="s">
        <v>10085</v>
      </c>
    </row>
    <row r="2076" spans="1:11" x14ac:dyDescent="0.2">
      <c r="A2076" s="2">
        <v>520</v>
      </c>
      <c r="B2076" s="2">
        <v>3</v>
      </c>
      <c r="C2076" s="2">
        <v>115649910</v>
      </c>
      <c r="D2076" s="2">
        <v>116498570</v>
      </c>
      <c r="E2076" s="2">
        <v>2</v>
      </c>
      <c r="F2076" s="2" t="s">
        <v>10086</v>
      </c>
      <c r="H2076" s="3">
        <v>8.9999999999999998E-4</v>
      </c>
      <c r="K2076" s="2" t="s">
        <v>10089</v>
      </c>
    </row>
    <row r="2077" spans="1:11" x14ac:dyDescent="0.2">
      <c r="A2077" s="2">
        <v>520</v>
      </c>
      <c r="B2077" s="2">
        <v>3</v>
      </c>
      <c r="C2077" s="2">
        <v>115649910</v>
      </c>
      <c r="D2077" s="2">
        <v>116498570</v>
      </c>
      <c r="E2077" s="2">
        <v>3</v>
      </c>
      <c r="F2077" s="2" t="s">
        <v>10086</v>
      </c>
      <c r="H2077" s="3">
        <v>6.9999999999999999E-4</v>
      </c>
      <c r="K2077" s="2" t="s">
        <v>10087</v>
      </c>
    </row>
    <row r="2078" spans="1:11" x14ac:dyDescent="0.2">
      <c r="A2078" s="2">
        <v>520</v>
      </c>
      <c r="B2078" s="2">
        <v>3</v>
      </c>
      <c r="C2078" s="2">
        <v>115649910</v>
      </c>
      <c r="D2078" s="2">
        <v>116498570</v>
      </c>
      <c r="E2078" s="2">
        <v>4</v>
      </c>
      <c r="F2078" s="2" t="s">
        <v>10086</v>
      </c>
      <c r="H2078" s="3">
        <v>4.0000000000000002E-4</v>
      </c>
      <c r="K2078" s="2" t="s">
        <v>10088</v>
      </c>
    </row>
    <row r="2079" spans="1:11" x14ac:dyDescent="0.2">
      <c r="A2079" s="2">
        <v>521</v>
      </c>
      <c r="B2079" s="2">
        <v>3</v>
      </c>
      <c r="C2079" s="2">
        <v>116498571</v>
      </c>
      <c r="D2079" s="2">
        <v>117241644</v>
      </c>
      <c r="E2079" s="2">
        <v>1</v>
      </c>
      <c r="F2079" s="2" t="s">
        <v>10086</v>
      </c>
      <c r="H2079" s="2">
        <v>1.5E-3</v>
      </c>
      <c r="K2079" s="2" t="s">
        <v>10085</v>
      </c>
    </row>
    <row r="2080" spans="1:11" x14ac:dyDescent="0.2">
      <c r="A2080" s="2">
        <v>521</v>
      </c>
      <c r="B2080" s="2">
        <v>3</v>
      </c>
      <c r="C2080" s="2">
        <v>116498571</v>
      </c>
      <c r="D2080" s="2">
        <v>117241644</v>
      </c>
      <c r="E2080" s="2">
        <v>2</v>
      </c>
      <c r="F2080" s="2" t="s">
        <v>10086</v>
      </c>
      <c r="H2080" s="2">
        <v>1.1000000000000001E-3</v>
      </c>
      <c r="K2080" s="2" t="s">
        <v>10087</v>
      </c>
    </row>
    <row r="2081" spans="1:11" x14ac:dyDescent="0.2">
      <c r="A2081" s="2">
        <v>521</v>
      </c>
      <c r="B2081" s="2">
        <v>3</v>
      </c>
      <c r="C2081" s="2">
        <v>116498571</v>
      </c>
      <c r="D2081" s="2">
        <v>117241644</v>
      </c>
      <c r="E2081" s="2">
        <v>3</v>
      </c>
      <c r="F2081" s="2" t="s">
        <v>10086</v>
      </c>
      <c r="H2081" s="3">
        <v>8.0000000000000004E-4</v>
      </c>
      <c r="K2081" s="2" t="s">
        <v>10088</v>
      </c>
    </row>
    <row r="2082" spans="1:11" x14ac:dyDescent="0.2">
      <c r="A2082" s="2">
        <v>521</v>
      </c>
      <c r="B2082" s="2">
        <v>3</v>
      </c>
      <c r="C2082" s="2">
        <v>116498571</v>
      </c>
      <c r="D2082" s="2">
        <v>117241644</v>
      </c>
      <c r="E2082" s="2">
        <v>4</v>
      </c>
      <c r="F2082" s="2" t="s">
        <v>10086</v>
      </c>
      <c r="H2082" s="3">
        <v>4.0000000000000002E-4</v>
      </c>
      <c r="K2082" s="2" t="s">
        <v>10089</v>
      </c>
    </row>
    <row r="2083" spans="1:11" x14ac:dyDescent="0.2">
      <c r="A2083" s="2">
        <v>522</v>
      </c>
      <c r="B2083" s="2">
        <v>3</v>
      </c>
      <c r="C2083" s="2">
        <v>117241645</v>
      </c>
      <c r="D2083" s="2">
        <v>118086929</v>
      </c>
      <c r="E2083" s="2">
        <v>1</v>
      </c>
      <c r="F2083" s="2" t="s">
        <v>10086</v>
      </c>
      <c r="H2083" s="2">
        <v>1.2999999999999999E-3</v>
      </c>
      <c r="K2083" s="2" t="s">
        <v>10088</v>
      </c>
    </row>
    <row r="2084" spans="1:11" x14ac:dyDescent="0.2">
      <c r="A2084" s="2">
        <v>522</v>
      </c>
      <c r="B2084" s="2">
        <v>3</v>
      </c>
      <c r="C2084" s="2">
        <v>117241645</v>
      </c>
      <c r="D2084" s="2">
        <v>118086929</v>
      </c>
      <c r="E2084" s="2">
        <v>2</v>
      </c>
      <c r="F2084" s="2" t="s">
        <v>10086</v>
      </c>
      <c r="H2084" s="2">
        <v>2.2000000000000001E-3</v>
      </c>
      <c r="K2084" s="2" t="s">
        <v>10089</v>
      </c>
    </row>
    <row r="2085" spans="1:11" x14ac:dyDescent="0.2">
      <c r="A2085" s="2">
        <v>522</v>
      </c>
      <c r="B2085" s="2">
        <v>3</v>
      </c>
      <c r="C2085" s="2">
        <v>117241645</v>
      </c>
      <c r="D2085" s="2">
        <v>118086929</v>
      </c>
      <c r="E2085" s="2">
        <v>3</v>
      </c>
      <c r="F2085" s="2" t="s">
        <v>10086</v>
      </c>
      <c r="H2085" s="3">
        <v>8.9999999999999998E-4</v>
      </c>
      <c r="K2085" s="2" t="s">
        <v>10085</v>
      </c>
    </row>
    <row r="2086" spans="1:11" x14ac:dyDescent="0.2">
      <c r="A2086" s="2">
        <v>522</v>
      </c>
      <c r="B2086" s="2">
        <v>3</v>
      </c>
      <c r="C2086" s="2">
        <v>117241645</v>
      </c>
      <c r="D2086" s="2">
        <v>118086929</v>
      </c>
      <c r="E2086" s="2">
        <v>4</v>
      </c>
      <c r="F2086" s="2" t="s">
        <v>10086</v>
      </c>
      <c r="H2086" s="3">
        <v>2.9999999999999997E-4</v>
      </c>
      <c r="K2086" s="2" t="s">
        <v>10087</v>
      </c>
    </row>
    <row r="2087" spans="1:11" x14ac:dyDescent="0.2">
      <c r="A2087" s="2">
        <v>523</v>
      </c>
      <c r="B2087" s="2">
        <v>3</v>
      </c>
      <c r="C2087" s="2">
        <v>118086930</v>
      </c>
      <c r="D2087" s="2">
        <v>118903053</v>
      </c>
      <c r="E2087" s="2">
        <v>1</v>
      </c>
      <c r="F2087" s="2" t="s">
        <v>10086</v>
      </c>
      <c r="H2087" s="2">
        <v>1E-3</v>
      </c>
      <c r="K2087" s="2" t="s">
        <v>10088</v>
      </c>
    </row>
    <row r="2088" spans="1:11" x14ac:dyDescent="0.2">
      <c r="A2088" s="2">
        <v>523</v>
      </c>
      <c r="B2088" s="2">
        <v>3</v>
      </c>
      <c r="C2088" s="2">
        <v>118086930</v>
      </c>
      <c r="D2088" s="2">
        <v>118903053</v>
      </c>
      <c r="E2088" s="2">
        <v>2</v>
      </c>
      <c r="F2088" s="2" t="s">
        <v>10086</v>
      </c>
      <c r="H2088" s="3">
        <v>8.0000000000000004E-4</v>
      </c>
      <c r="K2088" s="2" t="s">
        <v>10089</v>
      </c>
    </row>
    <row r="2089" spans="1:11" x14ac:dyDescent="0.2">
      <c r="A2089" s="2">
        <v>523</v>
      </c>
      <c r="B2089" s="2">
        <v>3</v>
      </c>
      <c r="C2089" s="2">
        <v>118086930</v>
      </c>
      <c r="D2089" s="2">
        <v>118903053</v>
      </c>
      <c r="E2089" s="2">
        <v>3</v>
      </c>
      <c r="F2089" s="2" t="s">
        <v>10086</v>
      </c>
      <c r="H2089" s="3">
        <v>5.9999999999999995E-4</v>
      </c>
      <c r="K2089" s="2" t="s">
        <v>10085</v>
      </c>
    </row>
    <row r="2090" spans="1:11" x14ac:dyDescent="0.2">
      <c r="A2090" s="2">
        <v>523</v>
      </c>
      <c r="B2090" s="2">
        <v>3</v>
      </c>
      <c r="C2090" s="2">
        <v>118086930</v>
      </c>
      <c r="D2090" s="2">
        <v>118903053</v>
      </c>
      <c r="E2090" s="2">
        <v>4</v>
      </c>
      <c r="F2090" s="2" t="s">
        <v>10086</v>
      </c>
      <c r="H2090" s="3">
        <v>2.0000000000000001E-4</v>
      </c>
      <c r="K2090" s="2" t="s">
        <v>10087</v>
      </c>
    </row>
    <row r="2091" spans="1:11" x14ac:dyDescent="0.2">
      <c r="A2091" s="2">
        <v>524</v>
      </c>
      <c r="B2091" s="2">
        <v>3</v>
      </c>
      <c r="C2091" s="2">
        <v>118903054</v>
      </c>
      <c r="D2091" s="2">
        <v>119759983</v>
      </c>
      <c r="E2091" s="2">
        <v>1</v>
      </c>
      <c r="F2091" s="2" t="s">
        <v>10086</v>
      </c>
      <c r="H2091" s="2">
        <v>1.8E-3</v>
      </c>
      <c r="K2091" s="2" t="s">
        <v>10089</v>
      </c>
    </row>
    <row r="2092" spans="1:11" x14ac:dyDescent="0.2">
      <c r="A2092" s="2">
        <v>524</v>
      </c>
      <c r="B2092" s="2">
        <v>3</v>
      </c>
      <c r="C2092" s="2">
        <v>118903054</v>
      </c>
      <c r="D2092" s="2">
        <v>119759983</v>
      </c>
      <c r="E2092" s="2">
        <v>2</v>
      </c>
      <c r="F2092" s="2" t="s">
        <v>10086</v>
      </c>
      <c r="H2092" s="2">
        <v>1.5E-3</v>
      </c>
      <c r="K2092" s="2" t="s">
        <v>10088</v>
      </c>
    </row>
    <row r="2093" spans="1:11" x14ac:dyDescent="0.2">
      <c r="A2093" s="2">
        <v>524</v>
      </c>
      <c r="B2093" s="2">
        <v>3</v>
      </c>
      <c r="C2093" s="2">
        <v>118903054</v>
      </c>
      <c r="D2093" s="2">
        <v>119759983</v>
      </c>
      <c r="E2093" s="2">
        <v>3</v>
      </c>
      <c r="F2093" s="2" t="s">
        <v>10086</v>
      </c>
      <c r="H2093" s="3">
        <v>5.9999999999999995E-4</v>
      </c>
      <c r="K2093" s="2" t="s">
        <v>10087</v>
      </c>
    </row>
    <row r="2094" spans="1:11" x14ac:dyDescent="0.2">
      <c r="A2094" s="2">
        <v>524</v>
      </c>
      <c r="B2094" s="2">
        <v>3</v>
      </c>
      <c r="C2094" s="2">
        <v>118903054</v>
      </c>
      <c r="D2094" s="2">
        <v>119759983</v>
      </c>
      <c r="E2094" s="2">
        <v>4</v>
      </c>
      <c r="F2094" s="2" t="s">
        <v>10086</v>
      </c>
      <c r="H2094" s="3">
        <v>2.9999999999999997E-4</v>
      </c>
      <c r="K2094" s="2" t="s">
        <v>10085</v>
      </c>
    </row>
    <row r="2095" spans="1:11" x14ac:dyDescent="0.2">
      <c r="A2095" s="2">
        <v>525</v>
      </c>
      <c r="B2095" s="2">
        <v>3</v>
      </c>
      <c r="C2095" s="2">
        <v>119759984</v>
      </c>
      <c r="D2095" s="2">
        <v>120574477</v>
      </c>
      <c r="E2095" s="2">
        <v>1</v>
      </c>
      <c r="F2095" s="2" t="s">
        <v>10086</v>
      </c>
      <c r="H2095" s="2">
        <v>1.1999999999999999E-3</v>
      </c>
      <c r="K2095" s="2" t="s">
        <v>10089</v>
      </c>
    </row>
    <row r="2096" spans="1:11" x14ac:dyDescent="0.2">
      <c r="A2096" s="2">
        <v>525</v>
      </c>
      <c r="B2096" s="2">
        <v>3</v>
      </c>
      <c r="C2096" s="2">
        <v>119759984</v>
      </c>
      <c r="D2096" s="2">
        <v>120574477</v>
      </c>
      <c r="E2096" s="2">
        <v>2</v>
      </c>
      <c r="F2096" s="2" t="s">
        <v>10086</v>
      </c>
      <c r="H2096" s="3">
        <v>8.9999999999999998E-4</v>
      </c>
      <c r="K2096" s="2" t="s">
        <v>10087</v>
      </c>
    </row>
    <row r="2097" spans="1:11" x14ac:dyDescent="0.2">
      <c r="A2097" s="2">
        <v>525</v>
      </c>
      <c r="B2097" s="2">
        <v>3</v>
      </c>
      <c r="C2097" s="2">
        <v>119759984</v>
      </c>
      <c r="D2097" s="2">
        <v>120574477</v>
      </c>
      <c r="E2097" s="2">
        <v>3</v>
      </c>
      <c r="F2097" s="2" t="s">
        <v>10086</v>
      </c>
      <c r="H2097" s="3">
        <v>6.9999999999999999E-4</v>
      </c>
      <c r="K2097" s="2" t="s">
        <v>10088</v>
      </c>
    </row>
    <row r="2098" spans="1:11" x14ac:dyDescent="0.2">
      <c r="A2098" s="2">
        <v>525</v>
      </c>
      <c r="B2098" s="2">
        <v>3</v>
      </c>
      <c r="C2098" s="2">
        <v>119759984</v>
      </c>
      <c r="D2098" s="2">
        <v>120574477</v>
      </c>
      <c r="E2098" s="2">
        <v>4</v>
      </c>
      <c r="F2098" s="2" t="s">
        <v>10086</v>
      </c>
      <c r="H2098" s="3">
        <v>2.9999999999999997E-4</v>
      </c>
      <c r="K2098" s="2" t="s">
        <v>10085</v>
      </c>
    </row>
    <row r="2099" spans="1:11" x14ac:dyDescent="0.2">
      <c r="A2099" s="2">
        <v>526</v>
      </c>
      <c r="B2099" s="2">
        <v>3</v>
      </c>
      <c r="C2099" s="2">
        <v>120574478</v>
      </c>
      <c r="D2099" s="2">
        <v>121362442</v>
      </c>
      <c r="E2099" s="2">
        <v>1</v>
      </c>
      <c r="F2099" s="2" t="s">
        <v>10086</v>
      </c>
      <c r="H2099" s="2">
        <v>6.9500000000000006E-2</v>
      </c>
      <c r="K2099" s="2" t="s">
        <v>12324</v>
      </c>
    </row>
    <row r="2100" spans="1:11" x14ac:dyDescent="0.2">
      <c r="A2100" s="2">
        <v>526</v>
      </c>
      <c r="B2100" s="2">
        <v>3</v>
      </c>
      <c r="C2100" s="2">
        <v>120574478</v>
      </c>
      <c r="D2100" s="2">
        <v>121362442</v>
      </c>
      <c r="E2100" s="2">
        <v>2</v>
      </c>
      <c r="F2100" s="2" t="s">
        <v>10086</v>
      </c>
      <c r="H2100" s="3">
        <v>5.9999999999999995E-4</v>
      </c>
      <c r="K2100" s="2" t="s">
        <v>10085</v>
      </c>
    </row>
    <row r="2101" spans="1:11" x14ac:dyDescent="0.2">
      <c r="A2101" s="2">
        <v>526</v>
      </c>
      <c r="B2101" s="2">
        <v>3</v>
      </c>
      <c r="C2101" s="2">
        <v>120574478</v>
      </c>
      <c r="D2101" s="2">
        <v>121362442</v>
      </c>
      <c r="E2101" s="2">
        <v>3</v>
      </c>
      <c r="F2101" s="2" t="s">
        <v>10086</v>
      </c>
      <c r="H2101" s="3">
        <v>5.9999999999999995E-4</v>
      </c>
      <c r="K2101" s="2" t="s">
        <v>10089</v>
      </c>
    </row>
    <row r="2102" spans="1:11" x14ac:dyDescent="0.2">
      <c r="A2102" s="2">
        <v>526</v>
      </c>
      <c r="B2102" s="2">
        <v>3</v>
      </c>
      <c r="C2102" s="2">
        <v>120574478</v>
      </c>
      <c r="D2102" s="2">
        <v>121362442</v>
      </c>
      <c r="E2102" s="2">
        <v>4</v>
      </c>
      <c r="F2102" s="2" t="s">
        <v>10086</v>
      </c>
      <c r="H2102" s="3">
        <v>5.0000000000000001E-4</v>
      </c>
      <c r="K2102" s="2" t="s">
        <v>10087</v>
      </c>
    </row>
    <row r="2103" spans="1:11" x14ac:dyDescent="0.2">
      <c r="A2103" s="2">
        <v>527</v>
      </c>
      <c r="B2103" s="2">
        <v>3</v>
      </c>
      <c r="C2103" s="2">
        <v>121362443</v>
      </c>
      <c r="D2103" s="2">
        <v>122340832</v>
      </c>
      <c r="E2103" s="2">
        <v>1</v>
      </c>
      <c r="F2103" s="2" t="s">
        <v>10086</v>
      </c>
      <c r="H2103" s="2">
        <v>1.5900000000000001E-2</v>
      </c>
      <c r="K2103" s="2" t="s">
        <v>12324</v>
      </c>
    </row>
    <row r="2104" spans="1:11" x14ac:dyDescent="0.2">
      <c r="A2104" s="2">
        <v>527</v>
      </c>
      <c r="B2104" s="2">
        <v>3</v>
      </c>
      <c r="C2104" s="2">
        <v>121362443</v>
      </c>
      <c r="D2104" s="2">
        <v>122340832</v>
      </c>
      <c r="E2104" s="2">
        <v>2</v>
      </c>
      <c r="F2104" s="2" t="s">
        <v>10086</v>
      </c>
      <c r="H2104" s="2">
        <v>1.1999999999999999E-3</v>
      </c>
      <c r="K2104" s="2" t="s">
        <v>10087</v>
      </c>
    </row>
    <row r="2105" spans="1:11" x14ac:dyDescent="0.2">
      <c r="A2105" s="2">
        <v>527</v>
      </c>
      <c r="B2105" s="2">
        <v>3</v>
      </c>
      <c r="C2105" s="2">
        <v>121362443</v>
      </c>
      <c r="D2105" s="2">
        <v>122340832</v>
      </c>
      <c r="E2105" s="2">
        <v>3</v>
      </c>
      <c r="F2105" s="2" t="s">
        <v>10086</v>
      </c>
      <c r="H2105" s="3">
        <v>6.9999999999999999E-4</v>
      </c>
      <c r="K2105" s="2" t="s">
        <v>10085</v>
      </c>
    </row>
    <row r="2106" spans="1:11" x14ac:dyDescent="0.2">
      <c r="A2106" s="2">
        <v>527</v>
      </c>
      <c r="B2106" s="2">
        <v>3</v>
      </c>
      <c r="C2106" s="2">
        <v>121362443</v>
      </c>
      <c r="D2106" s="2">
        <v>122340832</v>
      </c>
      <c r="E2106" s="2">
        <v>4</v>
      </c>
      <c r="F2106" s="2" t="s">
        <v>10086</v>
      </c>
      <c r="H2106" s="3">
        <v>6.9999999999999999E-4</v>
      </c>
      <c r="K2106" s="2" t="s">
        <v>10088</v>
      </c>
    </row>
    <row r="2107" spans="1:11" x14ac:dyDescent="0.2">
      <c r="A2107" s="2">
        <v>528</v>
      </c>
      <c r="B2107" s="2">
        <v>3</v>
      </c>
      <c r="C2107" s="2">
        <v>122340833</v>
      </c>
      <c r="D2107" s="2">
        <v>123518507</v>
      </c>
      <c r="E2107" s="2">
        <v>1</v>
      </c>
      <c r="F2107" s="2" t="s">
        <v>10086</v>
      </c>
      <c r="H2107" s="2">
        <v>1.6999999999999999E-3</v>
      </c>
      <c r="K2107" s="2" t="s">
        <v>10085</v>
      </c>
    </row>
    <row r="2108" spans="1:11" x14ac:dyDescent="0.2">
      <c r="A2108" s="2">
        <v>528</v>
      </c>
      <c r="B2108" s="2">
        <v>3</v>
      </c>
      <c r="C2108" s="2">
        <v>122340833</v>
      </c>
      <c r="D2108" s="2">
        <v>123518507</v>
      </c>
      <c r="E2108" s="2">
        <v>2</v>
      </c>
      <c r="F2108" s="2" t="s">
        <v>10086</v>
      </c>
      <c r="H2108" s="2">
        <v>1.1000000000000001E-3</v>
      </c>
      <c r="K2108" s="2" t="s">
        <v>10088</v>
      </c>
    </row>
    <row r="2109" spans="1:11" x14ac:dyDescent="0.2">
      <c r="A2109" s="2">
        <v>528</v>
      </c>
      <c r="B2109" s="2">
        <v>3</v>
      </c>
      <c r="C2109" s="2">
        <v>122340833</v>
      </c>
      <c r="D2109" s="2">
        <v>123518507</v>
      </c>
      <c r="E2109" s="2">
        <v>3</v>
      </c>
      <c r="F2109" s="2" t="s">
        <v>10086</v>
      </c>
      <c r="H2109" s="3">
        <v>8.9999999999999998E-4</v>
      </c>
      <c r="K2109" s="2" t="s">
        <v>10087</v>
      </c>
    </row>
    <row r="2110" spans="1:11" x14ac:dyDescent="0.2">
      <c r="A2110" s="2">
        <v>528</v>
      </c>
      <c r="B2110" s="2">
        <v>3</v>
      </c>
      <c r="C2110" s="2">
        <v>122340833</v>
      </c>
      <c r="D2110" s="2">
        <v>123518507</v>
      </c>
      <c r="E2110" s="2">
        <v>4</v>
      </c>
      <c r="F2110" s="2" t="s">
        <v>10086</v>
      </c>
      <c r="H2110" s="3">
        <v>6.9999999999999999E-4</v>
      </c>
      <c r="K2110" s="2" t="s">
        <v>10089</v>
      </c>
    </row>
    <row r="2111" spans="1:11" x14ac:dyDescent="0.2">
      <c r="A2111" s="2">
        <v>529</v>
      </c>
      <c r="B2111" s="2">
        <v>3</v>
      </c>
      <c r="C2111" s="2">
        <v>123518508</v>
      </c>
      <c r="D2111" s="2">
        <v>124823006</v>
      </c>
      <c r="E2111" s="2">
        <v>1</v>
      </c>
      <c r="F2111" s="2" t="s">
        <v>10086</v>
      </c>
      <c r="H2111" s="2">
        <v>5.1999999999999998E-3</v>
      </c>
      <c r="K2111" s="2" t="s">
        <v>10087</v>
      </c>
    </row>
    <row r="2112" spans="1:11" x14ac:dyDescent="0.2">
      <c r="A2112" s="2">
        <v>529</v>
      </c>
      <c r="B2112" s="2">
        <v>3</v>
      </c>
      <c r="C2112" s="2">
        <v>123518508</v>
      </c>
      <c r="D2112" s="2">
        <v>124823006</v>
      </c>
      <c r="E2112" s="2">
        <v>2</v>
      </c>
      <c r="F2112" s="2" t="s">
        <v>10086</v>
      </c>
      <c r="H2112" s="2">
        <v>1.2999999999999999E-3</v>
      </c>
      <c r="K2112" s="2" t="s">
        <v>10089</v>
      </c>
    </row>
    <row r="2113" spans="1:11" x14ac:dyDescent="0.2">
      <c r="A2113" s="2">
        <v>529</v>
      </c>
      <c r="B2113" s="2">
        <v>3</v>
      </c>
      <c r="C2113" s="2">
        <v>123518508</v>
      </c>
      <c r="D2113" s="2">
        <v>124823006</v>
      </c>
      <c r="E2113" s="2">
        <v>3</v>
      </c>
      <c r="F2113" s="2" t="s">
        <v>10086</v>
      </c>
      <c r="H2113" s="2">
        <v>1.1999999999999999E-3</v>
      </c>
      <c r="K2113" s="2" t="s">
        <v>10085</v>
      </c>
    </row>
    <row r="2114" spans="1:11" x14ac:dyDescent="0.2">
      <c r="A2114" s="2">
        <v>529</v>
      </c>
      <c r="B2114" s="2">
        <v>3</v>
      </c>
      <c r="C2114" s="2">
        <v>123518508</v>
      </c>
      <c r="D2114" s="2">
        <v>124823006</v>
      </c>
      <c r="E2114" s="2">
        <v>4</v>
      </c>
      <c r="F2114" s="2" t="s">
        <v>10086</v>
      </c>
      <c r="H2114" s="3">
        <v>6.9999999999999999E-4</v>
      </c>
      <c r="K2114" s="2" t="s">
        <v>10088</v>
      </c>
    </row>
    <row r="2115" spans="1:11" x14ac:dyDescent="0.2">
      <c r="A2115" s="2">
        <v>530</v>
      </c>
      <c r="B2115" s="2">
        <v>3</v>
      </c>
      <c r="C2115" s="2">
        <v>124823007</v>
      </c>
      <c r="D2115" s="2">
        <v>125475722</v>
      </c>
      <c r="E2115" s="2">
        <v>1</v>
      </c>
      <c r="F2115" s="2" t="s">
        <v>10086</v>
      </c>
      <c r="H2115" s="2">
        <v>1.1999999999999999E-3</v>
      </c>
      <c r="K2115" s="2" t="s">
        <v>10088</v>
      </c>
    </row>
    <row r="2116" spans="1:11" x14ac:dyDescent="0.2">
      <c r="A2116" s="2">
        <v>530</v>
      </c>
      <c r="B2116" s="2">
        <v>3</v>
      </c>
      <c r="C2116" s="2">
        <v>124823007</v>
      </c>
      <c r="D2116" s="2">
        <v>125475722</v>
      </c>
      <c r="E2116" s="2">
        <v>2</v>
      </c>
      <c r="F2116" s="2" t="s">
        <v>10086</v>
      </c>
      <c r="H2116" s="3">
        <v>8.0000000000000004E-4</v>
      </c>
      <c r="K2116" s="2" t="s">
        <v>10089</v>
      </c>
    </row>
    <row r="2117" spans="1:11" x14ac:dyDescent="0.2">
      <c r="A2117" s="2">
        <v>530</v>
      </c>
      <c r="B2117" s="2">
        <v>3</v>
      </c>
      <c r="C2117" s="2">
        <v>124823007</v>
      </c>
      <c r="D2117" s="2">
        <v>125475722</v>
      </c>
      <c r="E2117" s="2">
        <v>3</v>
      </c>
      <c r="F2117" s="2" t="s">
        <v>10086</v>
      </c>
      <c r="H2117" s="3">
        <v>5.9999999999999995E-4</v>
      </c>
      <c r="K2117" s="2" t="s">
        <v>10085</v>
      </c>
    </row>
    <row r="2118" spans="1:11" x14ac:dyDescent="0.2">
      <c r="A2118" s="2">
        <v>530</v>
      </c>
      <c r="B2118" s="2">
        <v>3</v>
      </c>
      <c r="C2118" s="2">
        <v>124823007</v>
      </c>
      <c r="D2118" s="2">
        <v>125475722</v>
      </c>
      <c r="E2118" s="2">
        <v>4</v>
      </c>
      <c r="F2118" s="2" t="s">
        <v>10086</v>
      </c>
      <c r="H2118" s="3">
        <v>2.0000000000000001E-4</v>
      </c>
      <c r="K2118" s="2" t="s">
        <v>10087</v>
      </c>
    </row>
    <row r="2119" spans="1:11" x14ac:dyDescent="0.2">
      <c r="A2119" s="2">
        <v>531</v>
      </c>
      <c r="B2119" s="2">
        <v>3</v>
      </c>
      <c r="C2119" s="2">
        <v>125475723</v>
      </c>
      <c r="D2119" s="2">
        <v>125992650</v>
      </c>
      <c r="E2119" s="2">
        <v>1</v>
      </c>
      <c r="F2119" s="2" t="s">
        <v>10086</v>
      </c>
      <c r="H2119" s="3">
        <v>6.9999999999999999E-4</v>
      </c>
      <c r="K2119" s="2" t="s">
        <v>10089</v>
      </c>
    </row>
    <row r="2120" spans="1:11" x14ac:dyDescent="0.2">
      <c r="A2120" s="2">
        <v>531</v>
      </c>
      <c r="B2120" s="2">
        <v>3</v>
      </c>
      <c r="C2120" s="2">
        <v>125475723</v>
      </c>
      <c r="D2120" s="2">
        <v>125992650</v>
      </c>
      <c r="E2120" s="2">
        <v>2</v>
      </c>
      <c r="F2120" s="2" t="s">
        <v>10086</v>
      </c>
      <c r="H2120" s="3">
        <v>5.0000000000000001E-4</v>
      </c>
      <c r="K2120" s="2" t="s">
        <v>10087</v>
      </c>
    </row>
    <row r="2121" spans="1:11" x14ac:dyDescent="0.2">
      <c r="A2121" s="2">
        <v>531</v>
      </c>
      <c r="B2121" s="2">
        <v>3</v>
      </c>
      <c r="C2121" s="2">
        <v>125475723</v>
      </c>
      <c r="D2121" s="2">
        <v>125992650</v>
      </c>
      <c r="E2121" s="2">
        <v>3</v>
      </c>
      <c r="F2121" s="2" t="s">
        <v>10086</v>
      </c>
      <c r="H2121" s="3">
        <v>4.0000000000000002E-4</v>
      </c>
      <c r="K2121" s="2" t="s">
        <v>10088</v>
      </c>
    </row>
    <row r="2122" spans="1:11" x14ac:dyDescent="0.2">
      <c r="A2122" s="2">
        <v>531</v>
      </c>
      <c r="B2122" s="2">
        <v>3</v>
      </c>
      <c r="C2122" s="2">
        <v>125475723</v>
      </c>
      <c r="D2122" s="2">
        <v>125992650</v>
      </c>
      <c r="E2122" s="2">
        <v>4</v>
      </c>
      <c r="F2122" s="2" t="s">
        <v>10086</v>
      </c>
      <c r="H2122" s="3">
        <v>2.0000000000000001E-4</v>
      </c>
      <c r="K2122" s="2" t="s">
        <v>10085</v>
      </c>
    </row>
    <row r="2123" spans="1:11" x14ac:dyDescent="0.2">
      <c r="A2123" s="2">
        <v>532</v>
      </c>
      <c r="B2123" s="2">
        <v>3</v>
      </c>
      <c r="C2123" s="2">
        <v>125992651</v>
      </c>
      <c r="D2123" s="2">
        <v>127495173</v>
      </c>
      <c r="E2123" s="2">
        <v>1</v>
      </c>
      <c r="F2123" s="2" t="s">
        <v>10086</v>
      </c>
      <c r="H2123" s="2">
        <v>2.8999999999999998E-3</v>
      </c>
      <c r="K2123" s="2" t="s">
        <v>10089</v>
      </c>
    </row>
    <row r="2124" spans="1:11" x14ac:dyDescent="0.2">
      <c r="A2124" s="2">
        <v>532</v>
      </c>
      <c r="B2124" s="2">
        <v>3</v>
      </c>
      <c r="C2124" s="2">
        <v>125992651</v>
      </c>
      <c r="D2124" s="2">
        <v>127495173</v>
      </c>
      <c r="E2124" s="2">
        <v>2</v>
      </c>
      <c r="F2124" s="2" t="s">
        <v>10086</v>
      </c>
      <c r="H2124" s="2">
        <v>1.4E-3</v>
      </c>
      <c r="K2124" s="2" t="s">
        <v>10088</v>
      </c>
    </row>
    <row r="2125" spans="1:11" x14ac:dyDescent="0.2">
      <c r="A2125" s="2">
        <v>532</v>
      </c>
      <c r="B2125" s="2">
        <v>3</v>
      </c>
      <c r="C2125" s="2">
        <v>125992651</v>
      </c>
      <c r="D2125" s="2">
        <v>127495173</v>
      </c>
      <c r="E2125" s="2">
        <v>3</v>
      </c>
      <c r="F2125" s="2" t="s">
        <v>10086</v>
      </c>
      <c r="H2125" s="2">
        <v>1.1000000000000001E-3</v>
      </c>
      <c r="K2125" s="2" t="s">
        <v>10085</v>
      </c>
    </row>
    <row r="2126" spans="1:11" x14ac:dyDescent="0.2">
      <c r="A2126" s="2">
        <v>532</v>
      </c>
      <c r="B2126" s="2">
        <v>3</v>
      </c>
      <c r="C2126" s="2">
        <v>125992651</v>
      </c>
      <c r="D2126" s="2">
        <v>127495173</v>
      </c>
      <c r="E2126" s="2">
        <v>4</v>
      </c>
      <c r="F2126" s="2" t="s">
        <v>10086</v>
      </c>
      <c r="H2126" s="3">
        <v>6.9999999999999999E-4</v>
      </c>
      <c r="K2126" s="2" t="s">
        <v>10087</v>
      </c>
    </row>
    <row r="2127" spans="1:11" x14ac:dyDescent="0.2">
      <c r="A2127" s="2">
        <v>533</v>
      </c>
      <c r="B2127" s="2">
        <v>3</v>
      </c>
      <c r="C2127" s="2">
        <v>127495174</v>
      </c>
      <c r="D2127" s="2">
        <v>129091975</v>
      </c>
      <c r="E2127" s="2">
        <v>1</v>
      </c>
      <c r="F2127" s="2" t="s">
        <v>10086</v>
      </c>
      <c r="H2127" s="2">
        <v>3.3E-3</v>
      </c>
      <c r="K2127" s="2" t="s">
        <v>10085</v>
      </c>
    </row>
    <row r="2128" spans="1:11" x14ac:dyDescent="0.2">
      <c r="A2128" s="2">
        <v>533</v>
      </c>
      <c r="B2128" s="2">
        <v>3</v>
      </c>
      <c r="C2128" s="2">
        <v>127495174</v>
      </c>
      <c r="D2128" s="2">
        <v>129091975</v>
      </c>
      <c r="E2128" s="2">
        <v>2</v>
      </c>
      <c r="F2128" s="2" t="s">
        <v>10086</v>
      </c>
      <c r="H2128" s="2">
        <v>1.5E-3</v>
      </c>
      <c r="K2128" s="2" t="s">
        <v>10089</v>
      </c>
    </row>
    <row r="2129" spans="1:11" x14ac:dyDescent="0.2">
      <c r="A2129" s="2">
        <v>533</v>
      </c>
      <c r="B2129" s="2">
        <v>3</v>
      </c>
      <c r="C2129" s="2">
        <v>127495174</v>
      </c>
      <c r="D2129" s="2">
        <v>129091975</v>
      </c>
      <c r="E2129" s="2">
        <v>3</v>
      </c>
      <c r="F2129" s="2" t="s">
        <v>10086</v>
      </c>
      <c r="H2129" s="2">
        <v>1.2999999999999999E-3</v>
      </c>
      <c r="K2129" s="2" t="s">
        <v>10088</v>
      </c>
    </row>
    <row r="2130" spans="1:11" x14ac:dyDescent="0.2">
      <c r="A2130" s="2">
        <v>533</v>
      </c>
      <c r="B2130" s="2">
        <v>3</v>
      </c>
      <c r="C2130" s="2">
        <v>127495174</v>
      </c>
      <c r="D2130" s="2">
        <v>129091975</v>
      </c>
      <c r="E2130" s="2">
        <v>4</v>
      </c>
      <c r="F2130" s="2" t="s">
        <v>10086</v>
      </c>
      <c r="H2130" s="3">
        <v>5.0000000000000001E-4</v>
      </c>
      <c r="K2130" s="2" t="s">
        <v>10087</v>
      </c>
    </row>
    <row r="2131" spans="1:11" x14ac:dyDescent="0.2">
      <c r="A2131" s="2">
        <v>534</v>
      </c>
      <c r="B2131" s="2">
        <v>3</v>
      </c>
      <c r="C2131" s="2">
        <v>129091976</v>
      </c>
      <c r="D2131" s="2">
        <v>130242360</v>
      </c>
      <c r="E2131" s="2">
        <v>1</v>
      </c>
      <c r="F2131" s="2" t="s">
        <v>10086</v>
      </c>
      <c r="H2131" s="2">
        <v>3.0000000000000001E-3</v>
      </c>
      <c r="K2131" s="2" t="s">
        <v>10089</v>
      </c>
    </row>
    <row r="2132" spans="1:11" x14ac:dyDescent="0.2">
      <c r="A2132" s="2">
        <v>534</v>
      </c>
      <c r="B2132" s="2">
        <v>3</v>
      </c>
      <c r="C2132" s="2">
        <v>129091976</v>
      </c>
      <c r="D2132" s="2">
        <v>130242360</v>
      </c>
      <c r="E2132" s="2">
        <v>2</v>
      </c>
      <c r="F2132" s="2" t="s">
        <v>10086</v>
      </c>
      <c r="H2132" s="3">
        <v>8.0000000000000004E-4</v>
      </c>
      <c r="K2132" s="2" t="s">
        <v>10085</v>
      </c>
    </row>
    <row r="2133" spans="1:11" x14ac:dyDescent="0.2">
      <c r="A2133" s="2">
        <v>534</v>
      </c>
      <c r="B2133" s="2">
        <v>3</v>
      </c>
      <c r="C2133" s="2">
        <v>129091976</v>
      </c>
      <c r="D2133" s="2">
        <v>130242360</v>
      </c>
      <c r="E2133" s="2">
        <v>3</v>
      </c>
      <c r="F2133" s="2" t="s">
        <v>10086</v>
      </c>
      <c r="H2133" s="3">
        <v>8.0000000000000004E-4</v>
      </c>
      <c r="K2133" s="2" t="s">
        <v>10088</v>
      </c>
    </row>
    <row r="2134" spans="1:11" x14ac:dyDescent="0.2">
      <c r="A2134" s="2">
        <v>534</v>
      </c>
      <c r="B2134" s="2">
        <v>3</v>
      </c>
      <c r="C2134" s="2">
        <v>129091976</v>
      </c>
      <c r="D2134" s="2">
        <v>130242360</v>
      </c>
      <c r="E2134" s="2">
        <v>4</v>
      </c>
      <c r="F2134" s="2" t="s">
        <v>10086</v>
      </c>
      <c r="H2134" s="3">
        <v>5.0000000000000001E-4</v>
      </c>
      <c r="K2134" s="2" t="s">
        <v>10087</v>
      </c>
    </row>
    <row r="2135" spans="1:11" x14ac:dyDescent="0.2">
      <c r="A2135" s="2">
        <v>535</v>
      </c>
      <c r="B2135" s="2">
        <v>3</v>
      </c>
      <c r="C2135" s="2">
        <v>130242361</v>
      </c>
      <c r="D2135" s="2">
        <v>131373470</v>
      </c>
      <c r="E2135" s="2">
        <v>1</v>
      </c>
      <c r="F2135" s="2" t="s">
        <v>10086</v>
      </c>
      <c r="H2135" s="2">
        <v>8.5000000000000006E-3</v>
      </c>
      <c r="K2135" s="2" t="s">
        <v>10089</v>
      </c>
    </row>
    <row r="2136" spans="1:11" x14ac:dyDescent="0.2">
      <c r="A2136" s="2">
        <v>535</v>
      </c>
      <c r="B2136" s="2">
        <v>3</v>
      </c>
      <c r="C2136" s="2">
        <v>130242361</v>
      </c>
      <c r="D2136" s="2">
        <v>131373470</v>
      </c>
      <c r="E2136" s="2">
        <v>2</v>
      </c>
      <c r="F2136" s="2" t="s">
        <v>10086</v>
      </c>
      <c r="H2136" s="2">
        <v>3.0999999999999999E-3</v>
      </c>
      <c r="K2136" s="2" t="s">
        <v>10087</v>
      </c>
    </row>
    <row r="2137" spans="1:11" x14ac:dyDescent="0.2">
      <c r="A2137" s="2">
        <v>535</v>
      </c>
      <c r="B2137" s="2">
        <v>3</v>
      </c>
      <c r="C2137" s="2">
        <v>130242361</v>
      </c>
      <c r="D2137" s="2">
        <v>131373470</v>
      </c>
      <c r="E2137" s="2">
        <v>3</v>
      </c>
      <c r="F2137" s="2" t="s">
        <v>10086</v>
      </c>
      <c r="H2137" s="2">
        <v>1.6999999999999999E-3</v>
      </c>
      <c r="K2137" s="2" t="s">
        <v>12324</v>
      </c>
    </row>
    <row r="2138" spans="1:11" x14ac:dyDescent="0.2">
      <c r="A2138" s="2">
        <v>535</v>
      </c>
      <c r="B2138" s="2">
        <v>3</v>
      </c>
      <c r="C2138" s="2">
        <v>130242361</v>
      </c>
      <c r="D2138" s="2">
        <v>131373470</v>
      </c>
      <c r="E2138" s="2">
        <v>4</v>
      </c>
      <c r="F2138" s="2" t="s">
        <v>10086</v>
      </c>
      <c r="H2138" s="3">
        <v>6.9999999999999999E-4</v>
      </c>
      <c r="K2138" s="2" t="s">
        <v>10088</v>
      </c>
    </row>
    <row r="2139" spans="1:11" x14ac:dyDescent="0.2">
      <c r="A2139" s="2">
        <v>536</v>
      </c>
      <c r="B2139" s="2">
        <v>3</v>
      </c>
      <c r="C2139" s="2">
        <v>131373471</v>
      </c>
      <c r="D2139" s="2">
        <v>132124018</v>
      </c>
      <c r="E2139" s="2">
        <v>1</v>
      </c>
      <c r="F2139" s="2" t="s">
        <v>10086</v>
      </c>
      <c r="H2139" s="2">
        <v>4.1999999999999997E-3</v>
      </c>
      <c r="K2139" s="2" t="s">
        <v>10087</v>
      </c>
    </row>
    <row r="2140" spans="1:11" x14ac:dyDescent="0.2">
      <c r="A2140" s="2">
        <v>536</v>
      </c>
      <c r="B2140" s="2">
        <v>3</v>
      </c>
      <c r="C2140" s="2">
        <v>131373471</v>
      </c>
      <c r="D2140" s="2">
        <v>132124018</v>
      </c>
      <c r="E2140" s="2">
        <v>2</v>
      </c>
      <c r="F2140" s="2" t="s">
        <v>10086</v>
      </c>
      <c r="H2140" s="2">
        <v>1.4E-3</v>
      </c>
      <c r="K2140" s="2" t="s">
        <v>10085</v>
      </c>
    </row>
    <row r="2141" spans="1:11" x14ac:dyDescent="0.2">
      <c r="A2141" s="2">
        <v>536</v>
      </c>
      <c r="B2141" s="2">
        <v>3</v>
      </c>
      <c r="C2141" s="2">
        <v>131373471</v>
      </c>
      <c r="D2141" s="2">
        <v>132124018</v>
      </c>
      <c r="E2141" s="2">
        <v>3</v>
      </c>
      <c r="F2141" s="2" t="s">
        <v>10086</v>
      </c>
      <c r="H2141" s="3">
        <v>8.9999999999999998E-4</v>
      </c>
      <c r="K2141" s="2" t="s">
        <v>10089</v>
      </c>
    </row>
    <row r="2142" spans="1:11" x14ac:dyDescent="0.2">
      <c r="A2142" s="2">
        <v>536</v>
      </c>
      <c r="B2142" s="2">
        <v>3</v>
      </c>
      <c r="C2142" s="2">
        <v>131373471</v>
      </c>
      <c r="D2142" s="2">
        <v>132124018</v>
      </c>
      <c r="E2142" s="2">
        <v>4</v>
      </c>
      <c r="F2142" s="2" t="s">
        <v>10086</v>
      </c>
      <c r="H2142" s="3">
        <v>5.0000000000000001E-4</v>
      </c>
      <c r="K2142" s="2" t="s">
        <v>10088</v>
      </c>
    </row>
    <row r="2143" spans="1:11" x14ac:dyDescent="0.2">
      <c r="A2143" s="2">
        <v>537</v>
      </c>
      <c r="B2143" s="2">
        <v>3</v>
      </c>
      <c r="C2143" s="2">
        <v>132124019</v>
      </c>
      <c r="D2143" s="2">
        <v>132925967</v>
      </c>
      <c r="E2143" s="2">
        <v>1</v>
      </c>
      <c r="F2143" s="2" t="s">
        <v>10086</v>
      </c>
      <c r="H2143" s="2">
        <v>1.5E-3</v>
      </c>
      <c r="K2143" s="2" t="s">
        <v>10089</v>
      </c>
    </row>
    <row r="2144" spans="1:11" x14ac:dyDescent="0.2">
      <c r="A2144" s="2">
        <v>537</v>
      </c>
      <c r="B2144" s="2">
        <v>3</v>
      </c>
      <c r="C2144" s="2">
        <v>132124019</v>
      </c>
      <c r="D2144" s="2">
        <v>132925967</v>
      </c>
      <c r="E2144" s="2">
        <v>2</v>
      </c>
      <c r="F2144" s="2" t="s">
        <v>10086</v>
      </c>
      <c r="H2144" s="2">
        <v>1.8E-3</v>
      </c>
      <c r="K2144" s="2" t="s">
        <v>10088</v>
      </c>
    </row>
    <row r="2145" spans="1:11" x14ac:dyDescent="0.2">
      <c r="A2145" s="2">
        <v>537</v>
      </c>
      <c r="B2145" s="2">
        <v>3</v>
      </c>
      <c r="C2145" s="2">
        <v>132124019</v>
      </c>
      <c r="D2145" s="2">
        <v>132925967</v>
      </c>
      <c r="E2145" s="2">
        <v>3</v>
      </c>
      <c r="F2145" s="2" t="s">
        <v>10086</v>
      </c>
      <c r="H2145" s="3">
        <v>6.9999999999999999E-4</v>
      </c>
      <c r="K2145" s="2" t="s">
        <v>10085</v>
      </c>
    </row>
    <row r="2146" spans="1:11" x14ac:dyDescent="0.2">
      <c r="A2146" s="2">
        <v>537</v>
      </c>
      <c r="B2146" s="2">
        <v>3</v>
      </c>
      <c r="C2146" s="2">
        <v>132124019</v>
      </c>
      <c r="D2146" s="2">
        <v>132925967</v>
      </c>
      <c r="E2146" s="2">
        <v>4</v>
      </c>
      <c r="F2146" s="2" t="s">
        <v>10086</v>
      </c>
      <c r="H2146" s="3">
        <v>4.0000000000000002E-4</v>
      </c>
      <c r="K2146" s="2" t="s">
        <v>12324</v>
      </c>
    </row>
    <row r="2147" spans="1:11" x14ac:dyDescent="0.2">
      <c r="A2147" s="2">
        <v>538</v>
      </c>
      <c r="B2147" s="2">
        <v>3</v>
      </c>
      <c r="C2147" s="2">
        <v>132925968</v>
      </c>
      <c r="D2147" s="2">
        <v>133718493</v>
      </c>
      <c r="E2147" s="2">
        <v>1</v>
      </c>
      <c r="F2147" s="2" t="s">
        <v>10086</v>
      </c>
      <c r="H2147" s="2">
        <v>2.0999999999999999E-3</v>
      </c>
      <c r="K2147" s="2" t="s">
        <v>12324</v>
      </c>
    </row>
    <row r="2148" spans="1:11" x14ac:dyDescent="0.2">
      <c r="A2148" s="2">
        <v>538</v>
      </c>
      <c r="B2148" s="2">
        <v>3</v>
      </c>
      <c r="C2148" s="2">
        <v>132925968</v>
      </c>
      <c r="D2148" s="2">
        <v>133718493</v>
      </c>
      <c r="E2148" s="2">
        <v>2</v>
      </c>
      <c r="F2148" s="2" t="s">
        <v>10086</v>
      </c>
      <c r="H2148" s="2">
        <v>1.2999999999999999E-3</v>
      </c>
      <c r="K2148" s="2" t="s">
        <v>10089</v>
      </c>
    </row>
    <row r="2149" spans="1:11" x14ac:dyDescent="0.2">
      <c r="A2149" s="2">
        <v>538</v>
      </c>
      <c r="B2149" s="2">
        <v>3</v>
      </c>
      <c r="C2149" s="2">
        <v>132925968</v>
      </c>
      <c r="D2149" s="2">
        <v>133718493</v>
      </c>
      <c r="E2149" s="2">
        <v>3</v>
      </c>
      <c r="F2149" s="2" t="s">
        <v>10086</v>
      </c>
      <c r="H2149" s="2">
        <v>1E-3</v>
      </c>
      <c r="K2149" s="2" t="s">
        <v>10088</v>
      </c>
    </row>
    <row r="2150" spans="1:11" x14ac:dyDescent="0.2">
      <c r="A2150" s="2">
        <v>538</v>
      </c>
      <c r="B2150" s="2">
        <v>3</v>
      </c>
      <c r="C2150" s="2">
        <v>132925968</v>
      </c>
      <c r="D2150" s="2">
        <v>133718493</v>
      </c>
      <c r="E2150" s="2">
        <v>4</v>
      </c>
      <c r="F2150" s="2" t="s">
        <v>10086</v>
      </c>
      <c r="H2150" s="3">
        <v>5.9999999999999995E-4</v>
      </c>
      <c r="K2150" s="2" t="s">
        <v>10087</v>
      </c>
    </row>
    <row r="2151" spans="1:11" x14ac:dyDescent="0.2">
      <c r="A2151" s="2">
        <v>539</v>
      </c>
      <c r="B2151" s="2">
        <v>3</v>
      </c>
      <c r="C2151" s="2">
        <v>133718494</v>
      </c>
      <c r="D2151" s="2">
        <v>135288394</v>
      </c>
      <c r="E2151" s="2">
        <v>1</v>
      </c>
      <c r="F2151" s="2" t="s">
        <v>10086</v>
      </c>
      <c r="H2151" s="2">
        <v>3.8999999999999998E-3</v>
      </c>
      <c r="K2151" s="2" t="s">
        <v>10085</v>
      </c>
    </row>
    <row r="2152" spans="1:11" x14ac:dyDescent="0.2">
      <c r="A2152" s="2">
        <v>539</v>
      </c>
      <c r="B2152" s="2">
        <v>3</v>
      </c>
      <c r="C2152" s="2">
        <v>133718494</v>
      </c>
      <c r="D2152" s="2">
        <v>135288394</v>
      </c>
      <c r="E2152" s="2">
        <v>2</v>
      </c>
      <c r="F2152" s="2" t="s">
        <v>10086</v>
      </c>
      <c r="H2152" s="2">
        <v>1.5E-3</v>
      </c>
      <c r="K2152" s="2" t="s">
        <v>10089</v>
      </c>
    </row>
    <row r="2153" spans="1:11" x14ac:dyDescent="0.2">
      <c r="A2153" s="2">
        <v>539</v>
      </c>
      <c r="B2153" s="2">
        <v>3</v>
      </c>
      <c r="C2153" s="2">
        <v>133718494</v>
      </c>
      <c r="D2153" s="2">
        <v>135288394</v>
      </c>
      <c r="E2153" s="2">
        <v>3</v>
      </c>
      <c r="F2153" s="2" t="s">
        <v>10086</v>
      </c>
      <c r="H2153" s="2">
        <v>1.6999999999999999E-3</v>
      </c>
      <c r="K2153" s="2" t="s">
        <v>10088</v>
      </c>
    </row>
    <row r="2154" spans="1:11" x14ac:dyDescent="0.2">
      <c r="A2154" s="2">
        <v>539</v>
      </c>
      <c r="B2154" s="2">
        <v>3</v>
      </c>
      <c r="C2154" s="2">
        <v>133718494</v>
      </c>
      <c r="D2154" s="2">
        <v>135288394</v>
      </c>
      <c r="E2154" s="2">
        <v>4</v>
      </c>
      <c r="F2154" s="2" t="s">
        <v>10086</v>
      </c>
      <c r="H2154" s="3">
        <v>8.0000000000000004E-4</v>
      </c>
      <c r="K2154" s="2" t="s">
        <v>10087</v>
      </c>
    </row>
    <row r="2155" spans="1:11" x14ac:dyDescent="0.2">
      <c r="A2155" s="2">
        <v>540</v>
      </c>
      <c r="B2155" s="2">
        <v>3</v>
      </c>
      <c r="C2155" s="2">
        <v>135288395</v>
      </c>
      <c r="D2155" s="2">
        <v>137372141</v>
      </c>
      <c r="E2155" s="2">
        <v>1</v>
      </c>
      <c r="F2155" s="2" t="s">
        <v>10086</v>
      </c>
      <c r="H2155" s="2">
        <v>1.4E-3</v>
      </c>
      <c r="K2155" s="2" t="s">
        <v>10088</v>
      </c>
    </row>
    <row r="2156" spans="1:11" x14ac:dyDescent="0.2">
      <c r="A2156" s="2">
        <v>540</v>
      </c>
      <c r="B2156" s="2">
        <v>3</v>
      </c>
      <c r="C2156" s="2">
        <v>135288395</v>
      </c>
      <c r="D2156" s="2">
        <v>137372141</v>
      </c>
      <c r="E2156" s="2">
        <v>2</v>
      </c>
      <c r="F2156" s="2" t="s">
        <v>10086</v>
      </c>
      <c r="H2156" s="2">
        <v>2E-3</v>
      </c>
      <c r="K2156" s="2" t="s">
        <v>10087</v>
      </c>
    </row>
    <row r="2157" spans="1:11" x14ac:dyDescent="0.2">
      <c r="A2157" s="2">
        <v>540</v>
      </c>
      <c r="B2157" s="2">
        <v>3</v>
      </c>
      <c r="C2157" s="2">
        <v>135288395</v>
      </c>
      <c r="D2157" s="2">
        <v>137372141</v>
      </c>
      <c r="E2157" s="2">
        <v>3</v>
      </c>
      <c r="F2157" s="2" t="s">
        <v>10086</v>
      </c>
      <c r="H2157" s="2">
        <v>1.4E-3</v>
      </c>
      <c r="K2157" s="2" t="s">
        <v>10085</v>
      </c>
    </row>
    <row r="2158" spans="1:11" x14ac:dyDescent="0.2">
      <c r="A2158" s="2">
        <v>540</v>
      </c>
      <c r="B2158" s="2">
        <v>3</v>
      </c>
      <c r="C2158" s="2">
        <v>135288395</v>
      </c>
      <c r="D2158" s="2">
        <v>137372141</v>
      </c>
      <c r="E2158" s="2">
        <v>4</v>
      </c>
      <c r="F2158" s="2" t="s">
        <v>10086</v>
      </c>
      <c r="H2158" s="3">
        <v>5.9999999999999995E-4</v>
      </c>
      <c r="K2158" s="2" t="s">
        <v>10089</v>
      </c>
    </row>
    <row r="2159" spans="1:11" x14ac:dyDescent="0.2">
      <c r="A2159" s="2">
        <v>541</v>
      </c>
      <c r="B2159" s="2">
        <v>3</v>
      </c>
      <c r="C2159" s="2">
        <v>137372142</v>
      </c>
      <c r="D2159" s="2">
        <v>138693846</v>
      </c>
      <c r="E2159" s="2">
        <v>1</v>
      </c>
      <c r="F2159" s="2" t="s">
        <v>10086</v>
      </c>
      <c r="H2159" s="2">
        <v>3.3999999999999998E-3</v>
      </c>
      <c r="K2159" s="2" t="s">
        <v>10088</v>
      </c>
    </row>
    <row r="2160" spans="1:11" x14ac:dyDescent="0.2">
      <c r="A2160" s="2">
        <v>541</v>
      </c>
      <c r="B2160" s="2">
        <v>3</v>
      </c>
      <c r="C2160" s="2">
        <v>137372142</v>
      </c>
      <c r="D2160" s="2">
        <v>138693846</v>
      </c>
      <c r="E2160" s="2">
        <v>2</v>
      </c>
      <c r="F2160" s="2" t="s">
        <v>10086</v>
      </c>
      <c r="H2160" s="2">
        <v>2.3999999999999998E-3</v>
      </c>
      <c r="K2160" s="2" t="s">
        <v>10085</v>
      </c>
    </row>
    <row r="2161" spans="1:11" x14ac:dyDescent="0.2">
      <c r="A2161" s="2">
        <v>541</v>
      </c>
      <c r="B2161" s="2">
        <v>3</v>
      </c>
      <c r="C2161" s="2">
        <v>137372142</v>
      </c>
      <c r="D2161" s="2">
        <v>138693846</v>
      </c>
      <c r="E2161" s="2">
        <v>3</v>
      </c>
      <c r="F2161" s="2" t="s">
        <v>10086</v>
      </c>
      <c r="H2161" s="3">
        <v>8.0000000000000004E-4</v>
      </c>
      <c r="K2161" s="2" t="s">
        <v>10089</v>
      </c>
    </row>
    <row r="2162" spans="1:11" x14ac:dyDescent="0.2">
      <c r="A2162" s="2">
        <v>541</v>
      </c>
      <c r="B2162" s="2">
        <v>3</v>
      </c>
      <c r="C2162" s="2">
        <v>137372142</v>
      </c>
      <c r="D2162" s="2">
        <v>138693846</v>
      </c>
      <c r="E2162" s="2">
        <v>4</v>
      </c>
      <c r="F2162" s="2" t="s">
        <v>10086</v>
      </c>
      <c r="H2162" s="3">
        <v>5.0000000000000001E-4</v>
      </c>
      <c r="K2162" s="2" t="s">
        <v>10087</v>
      </c>
    </row>
    <row r="2163" spans="1:11" x14ac:dyDescent="0.2">
      <c r="A2163" s="2">
        <v>542</v>
      </c>
      <c r="B2163" s="2">
        <v>3</v>
      </c>
      <c r="C2163" s="2">
        <v>138693847</v>
      </c>
      <c r="D2163" s="2">
        <v>139831267</v>
      </c>
      <c r="E2163" s="2">
        <v>1</v>
      </c>
      <c r="F2163" s="2" t="s">
        <v>10086</v>
      </c>
      <c r="H2163" s="2">
        <v>1.5E-3</v>
      </c>
      <c r="K2163" s="2" t="s">
        <v>10088</v>
      </c>
    </row>
    <row r="2164" spans="1:11" x14ac:dyDescent="0.2">
      <c r="A2164" s="2">
        <v>542</v>
      </c>
      <c r="B2164" s="2">
        <v>3</v>
      </c>
      <c r="C2164" s="2">
        <v>138693847</v>
      </c>
      <c r="D2164" s="2">
        <v>139831267</v>
      </c>
      <c r="E2164" s="2">
        <v>2</v>
      </c>
      <c r="F2164" s="2" t="s">
        <v>10086</v>
      </c>
      <c r="H2164" s="2">
        <v>1.1000000000000001E-3</v>
      </c>
      <c r="K2164" s="2" t="s">
        <v>10089</v>
      </c>
    </row>
    <row r="2165" spans="1:11" x14ac:dyDescent="0.2">
      <c r="A2165" s="2">
        <v>542</v>
      </c>
      <c r="B2165" s="2">
        <v>3</v>
      </c>
      <c r="C2165" s="2">
        <v>138693847</v>
      </c>
      <c r="D2165" s="2">
        <v>139831267</v>
      </c>
      <c r="E2165" s="2">
        <v>3</v>
      </c>
      <c r="F2165" s="2" t="s">
        <v>10086</v>
      </c>
      <c r="H2165" s="3">
        <v>8.9999999999999998E-4</v>
      </c>
      <c r="K2165" s="2" t="s">
        <v>10087</v>
      </c>
    </row>
    <row r="2166" spans="1:11" x14ac:dyDescent="0.2">
      <c r="A2166" s="2">
        <v>542</v>
      </c>
      <c r="B2166" s="2">
        <v>3</v>
      </c>
      <c r="C2166" s="2">
        <v>138693847</v>
      </c>
      <c r="D2166" s="2">
        <v>139831267</v>
      </c>
      <c r="E2166" s="2">
        <v>4</v>
      </c>
      <c r="F2166" s="2" t="s">
        <v>10086</v>
      </c>
      <c r="H2166" s="3">
        <v>6.9999999999999999E-4</v>
      </c>
      <c r="K2166" s="2" t="s">
        <v>10085</v>
      </c>
    </row>
    <row r="2167" spans="1:11" x14ac:dyDescent="0.2">
      <c r="A2167" s="2">
        <v>543</v>
      </c>
      <c r="B2167" s="2">
        <v>3</v>
      </c>
      <c r="C2167" s="2">
        <v>139831268</v>
      </c>
      <c r="D2167" s="2">
        <v>141034637</v>
      </c>
      <c r="E2167" s="2">
        <v>1</v>
      </c>
      <c r="F2167" s="2" t="s">
        <v>10086</v>
      </c>
      <c r="H2167" s="2">
        <v>1.8E-3</v>
      </c>
      <c r="K2167" s="2" t="s">
        <v>10087</v>
      </c>
    </row>
    <row r="2168" spans="1:11" x14ac:dyDescent="0.2">
      <c r="A2168" s="2">
        <v>543</v>
      </c>
      <c r="B2168" s="2">
        <v>3</v>
      </c>
      <c r="C2168" s="2">
        <v>139831268</v>
      </c>
      <c r="D2168" s="2">
        <v>141034637</v>
      </c>
      <c r="E2168" s="2">
        <v>2</v>
      </c>
      <c r="F2168" s="2" t="s">
        <v>10086</v>
      </c>
      <c r="H2168" s="2">
        <v>1E-3</v>
      </c>
      <c r="K2168" s="2" t="s">
        <v>10089</v>
      </c>
    </row>
    <row r="2169" spans="1:11" x14ac:dyDescent="0.2">
      <c r="A2169" s="2">
        <v>543</v>
      </c>
      <c r="B2169" s="2">
        <v>3</v>
      </c>
      <c r="C2169" s="2">
        <v>139831268</v>
      </c>
      <c r="D2169" s="2">
        <v>141034637</v>
      </c>
      <c r="E2169" s="2">
        <v>3</v>
      </c>
      <c r="F2169" s="2" t="s">
        <v>10086</v>
      </c>
      <c r="H2169" s="2">
        <v>1E-3</v>
      </c>
      <c r="K2169" s="2" t="s">
        <v>10088</v>
      </c>
    </row>
    <row r="2170" spans="1:11" x14ac:dyDescent="0.2">
      <c r="A2170" s="2">
        <v>543</v>
      </c>
      <c r="B2170" s="2">
        <v>3</v>
      </c>
      <c r="C2170" s="2">
        <v>139831268</v>
      </c>
      <c r="D2170" s="2">
        <v>141034637</v>
      </c>
      <c r="E2170" s="2">
        <v>4</v>
      </c>
      <c r="F2170" s="2" t="s">
        <v>10086</v>
      </c>
      <c r="H2170" s="3">
        <v>5.0000000000000001E-4</v>
      </c>
      <c r="K2170" s="2" t="s">
        <v>10085</v>
      </c>
    </row>
    <row r="2171" spans="1:11" x14ac:dyDescent="0.2">
      <c r="A2171" s="2">
        <v>544</v>
      </c>
      <c r="B2171" s="2">
        <v>3</v>
      </c>
      <c r="C2171" s="2">
        <v>141034638</v>
      </c>
      <c r="D2171" s="2">
        <v>141898978</v>
      </c>
      <c r="E2171" s="2">
        <v>1</v>
      </c>
      <c r="F2171" s="2" t="s">
        <v>10086</v>
      </c>
      <c r="H2171" s="2">
        <v>6.0000000000000001E-3</v>
      </c>
      <c r="K2171" s="2" t="s">
        <v>10088</v>
      </c>
    </row>
    <row r="2172" spans="1:11" x14ac:dyDescent="0.2">
      <c r="A2172" s="2">
        <v>544</v>
      </c>
      <c r="B2172" s="2">
        <v>3</v>
      </c>
      <c r="C2172" s="2">
        <v>141034638</v>
      </c>
      <c r="D2172" s="2">
        <v>141898978</v>
      </c>
      <c r="E2172" s="2">
        <v>2</v>
      </c>
      <c r="F2172" s="2" t="s">
        <v>10086</v>
      </c>
      <c r="H2172" s="2">
        <v>2E-3</v>
      </c>
      <c r="K2172" s="2" t="s">
        <v>10089</v>
      </c>
    </row>
    <row r="2173" spans="1:11" x14ac:dyDescent="0.2">
      <c r="A2173" s="2">
        <v>544</v>
      </c>
      <c r="B2173" s="2">
        <v>3</v>
      </c>
      <c r="C2173" s="2">
        <v>141034638</v>
      </c>
      <c r="D2173" s="2">
        <v>141898978</v>
      </c>
      <c r="E2173" s="2">
        <v>3</v>
      </c>
      <c r="F2173" s="2" t="s">
        <v>10086</v>
      </c>
      <c r="H2173" s="3">
        <v>5.9999999999999995E-4</v>
      </c>
      <c r="K2173" s="2" t="s">
        <v>10085</v>
      </c>
    </row>
    <row r="2174" spans="1:11" x14ac:dyDescent="0.2">
      <c r="A2174" s="2">
        <v>544</v>
      </c>
      <c r="B2174" s="2">
        <v>3</v>
      </c>
      <c r="C2174" s="2">
        <v>141034638</v>
      </c>
      <c r="D2174" s="2">
        <v>141898978</v>
      </c>
      <c r="E2174" s="2">
        <v>4</v>
      </c>
      <c r="F2174" s="2" t="s">
        <v>10086</v>
      </c>
      <c r="H2174" s="3">
        <v>4.0000000000000002E-4</v>
      </c>
      <c r="K2174" s="2" t="s">
        <v>12324</v>
      </c>
    </row>
    <row r="2175" spans="1:11" x14ac:dyDescent="0.2">
      <c r="A2175" s="2">
        <v>545</v>
      </c>
      <c r="B2175" s="2">
        <v>3</v>
      </c>
      <c r="C2175" s="2">
        <v>141898979</v>
      </c>
      <c r="D2175" s="2">
        <v>142976707</v>
      </c>
      <c r="E2175" s="2">
        <v>1</v>
      </c>
      <c r="F2175" s="2" t="s">
        <v>10086</v>
      </c>
      <c r="H2175" s="2">
        <v>3.0999999999999999E-3</v>
      </c>
      <c r="K2175" s="2" t="s">
        <v>10089</v>
      </c>
    </row>
    <row r="2176" spans="1:11" x14ac:dyDescent="0.2">
      <c r="A2176" s="2">
        <v>545</v>
      </c>
      <c r="B2176" s="2">
        <v>3</v>
      </c>
      <c r="C2176" s="2">
        <v>141898979</v>
      </c>
      <c r="D2176" s="2">
        <v>142976707</v>
      </c>
      <c r="E2176" s="2">
        <v>2</v>
      </c>
      <c r="F2176" s="2" t="s">
        <v>10086</v>
      </c>
      <c r="H2176" s="2">
        <v>1.6999999999999999E-3</v>
      </c>
      <c r="K2176" s="2" t="s">
        <v>10088</v>
      </c>
    </row>
    <row r="2177" spans="1:11" x14ac:dyDescent="0.2">
      <c r="A2177" s="2">
        <v>545</v>
      </c>
      <c r="B2177" s="2">
        <v>3</v>
      </c>
      <c r="C2177" s="2">
        <v>141898979</v>
      </c>
      <c r="D2177" s="2">
        <v>142976707</v>
      </c>
      <c r="E2177" s="2">
        <v>3</v>
      </c>
      <c r="F2177" s="2" t="s">
        <v>10086</v>
      </c>
      <c r="H2177" s="3">
        <v>5.9999999999999995E-4</v>
      </c>
      <c r="K2177" s="2" t="s">
        <v>10087</v>
      </c>
    </row>
    <row r="2178" spans="1:11" x14ac:dyDescent="0.2">
      <c r="A2178" s="2">
        <v>545</v>
      </c>
      <c r="B2178" s="2">
        <v>3</v>
      </c>
      <c r="C2178" s="2">
        <v>141898979</v>
      </c>
      <c r="D2178" s="2">
        <v>142976707</v>
      </c>
      <c r="E2178" s="2">
        <v>4</v>
      </c>
      <c r="F2178" s="2" t="s">
        <v>10086</v>
      </c>
      <c r="H2178" s="3">
        <v>2.9999999999999997E-4</v>
      </c>
      <c r="K2178" s="2" t="s">
        <v>10085</v>
      </c>
    </row>
    <row r="2179" spans="1:11" x14ac:dyDescent="0.2">
      <c r="A2179" s="2">
        <v>546</v>
      </c>
      <c r="B2179" s="2">
        <v>3</v>
      </c>
      <c r="C2179" s="2">
        <v>142976708</v>
      </c>
      <c r="D2179" s="2">
        <v>144408821</v>
      </c>
      <c r="E2179" s="2">
        <v>1</v>
      </c>
      <c r="F2179" s="2" t="s">
        <v>10086</v>
      </c>
      <c r="H2179" s="2">
        <v>2E-3</v>
      </c>
      <c r="K2179" s="2" t="s">
        <v>10089</v>
      </c>
    </row>
    <row r="2180" spans="1:11" x14ac:dyDescent="0.2">
      <c r="A2180" s="2">
        <v>546</v>
      </c>
      <c r="B2180" s="2">
        <v>3</v>
      </c>
      <c r="C2180" s="2">
        <v>142976708</v>
      </c>
      <c r="D2180" s="2">
        <v>144408821</v>
      </c>
      <c r="E2180" s="2">
        <v>2</v>
      </c>
      <c r="F2180" s="2" t="s">
        <v>10086</v>
      </c>
      <c r="H2180" s="2">
        <v>2.8E-3</v>
      </c>
      <c r="K2180" s="2" t="s">
        <v>10087</v>
      </c>
    </row>
    <row r="2181" spans="1:11" x14ac:dyDescent="0.2">
      <c r="A2181" s="2">
        <v>546</v>
      </c>
      <c r="B2181" s="2">
        <v>3</v>
      </c>
      <c r="C2181" s="2">
        <v>142976708</v>
      </c>
      <c r="D2181" s="2">
        <v>144408821</v>
      </c>
      <c r="E2181" s="2">
        <v>3</v>
      </c>
      <c r="F2181" s="2" t="s">
        <v>10086</v>
      </c>
      <c r="H2181" s="2">
        <v>1.5E-3</v>
      </c>
      <c r="K2181" s="2" t="s">
        <v>10088</v>
      </c>
    </row>
    <row r="2182" spans="1:11" x14ac:dyDescent="0.2">
      <c r="A2182" s="2">
        <v>546</v>
      </c>
      <c r="B2182" s="2">
        <v>3</v>
      </c>
      <c r="C2182" s="2">
        <v>142976708</v>
      </c>
      <c r="D2182" s="2">
        <v>144408821</v>
      </c>
      <c r="E2182" s="2">
        <v>4</v>
      </c>
      <c r="F2182" s="2" t="s">
        <v>10086</v>
      </c>
      <c r="H2182" s="3">
        <v>8.0000000000000004E-4</v>
      </c>
      <c r="K2182" s="2" t="s">
        <v>10085</v>
      </c>
    </row>
    <row r="2183" spans="1:11" x14ac:dyDescent="0.2">
      <c r="A2183" s="2">
        <v>547</v>
      </c>
      <c r="B2183" s="2">
        <v>3</v>
      </c>
      <c r="C2183" s="2">
        <v>144408822</v>
      </c>
      <c r="D2183" s="2">
        <v>145211907</v>
      </c>
      <c r="E2183" s="2">
        <v>1</v>
      </c>
      <c r="F2183" s="2" t="s">
        <v>10086</v>
      </c>
      <c r="H2183" s="2">
        <v>1.1000000000000001E-3</v>
      </c>
      <c r="K2183" s="2" t="s">
        <v>10088</v>
      </c>
    </row>
    <row r="2184" spans="1:11" x14ac:dyDescent="0.2">
      <c r="A2184" s="2">
        <v>547</v>
      </c>
      <c r="B2184" s="2">
        <v>3</v>
      </c>
      <c r="C2184" s="2">
        <v>144408822</v>
      </c>
      <c r="D2184" s="2">
        <v>145211907</v>
      </c>
      <c r="E2184" s="2">
        <v>2</v>
      </c>
      <c r="F2184" s="2" t="s">
        <v>10086</v>
      </c>
      <c r="H2184" s="3">
        <v>8.9999999999999998E-4</v>
      </c>
      <c r="K2184" s="2" t="s">
        <v>10085</v>
      </c>
    </row>
    <row r="2185" spans="1:11" x14ac:dyDescent="0.2">
      <c r="A2185" s="2">
        <v>547</v>
      </c>
      <c r="B2185" s="2">
        <v>3</v>
      </c>
      <c r="C2185" s="2">
        <v>144408822</v>
      </c>
      <c r="D2185" s="2">
        <v>145211907</v>
      </c>
      <c r="E2185" s="2">
        <v>3</v>
      </c>
      <c r="F2185" s="2" t="s">
        <v>10086</v>
      </c>
      <c r="H2185" s="3">
        <v>8.9999999999999998E-4</v>
      </c>
      <c r="K2185" s="2" t="s">
        <v>10087</v>
      </c>
    </row>
    <row r="2186" spans="1:11" x14ac:dyDescent="0.2">
      <c r="A2186" s="2">
        <v>547</v>
      </c>
      <c r="B2186" s="2">
        <v>3</v>
      </c>
      <c r="C2186" s="2">
        <v>144408822</v>
      </c>
      <c r="D2186" s="2">
        <v>145211907</v>
      </c>
      <c r="E2186" s="2">
        <v>4</v>
      </c>
      <c r="F2186" s="2" t="s">
        <v>10086</v>
      </c>
      <c r="H2186" s="3">
        <v>6.9999999999999999E-4</v>
      </c>
      <c r="K2186" s="2" t="s">
        <v>12324</v>
      </c>
    </row>
    <row r="2187" spans="1:11" x14ac:dyDescent="0.2">
      <c r="A2187" s="2">
        <v>548</v>
      </c>
      <c r="B2187" s="2">
        <v>3</v>
      </c>
      <c r="C2187" s="2">
        <v>145211908</v>
      </c>
      <c r="D2187" s="2">
        <v>145903838</v>
      </c>
      <c r="E2187" s="2">
        <v>1</v>
      </c>
      <c r="F2187" s="2" t="s">
        <v>10086</v>
      </c>
      <c r="H2187" s="2">
        <v>3.7000000000000002E-3</v>
      </c>
      <c r="K2187" s="2" t="s">
        <v>12324</v>
      </c>
    </row>
    <row r="2188" spans="1:11" x14ac:dyDescent="0.2">
      <c r="A2188" s="2">
        <v>548</v>
      </c>
      <c r="B2188" s="2">
        <v>3</v>
      </c>
      <c r="C2188" s="2">
        <v>145211908</v>
      </c>
      <c r="D2188" s="2">
        <v>145903838</v>
      </c>
      <c r="E2188" s="2">
        <v>2</v>
      </c>
      <c r="F2188" s="2" t="s">
        <v>10086</v>
      </c>
      <c r="H2188" s="2">
        <v>1.2999999999999999E-3</v>
      </c>
      <c r="K2188" s="2" t="s">
        <v>10087</v>
      </c>
    </row>
    <row r="2189" spans="1:11" x14ac:dyDescent="0.2">
      <c r="A2189" s="2">
        <v>548</v>
      </c>
      <c r="B2189" s="2">
        <v>3</v>
      </c>
      <c r="C2189" s="2">
        <v>145211908</v>
      </c>
      <c r="D2189" s="2">
        <v>145903838</v>
      </c>
      <c r="E2189" s="2">
        <v>3</v>
      </c>
      <c r="F2189" s="2" t="s">
        <v>10086</v>
      </c>
      <c r="H2189" s="2">
        <v>1.1000000000000001E-3</v>
      </c>
      <c r="K2189" s="2" t="s">
        <v>10089</v>
      </c>
    </row>
    <row r="2190" spans="1:11" x14ac:dyDescent="0.2">
      <c r="A2190" s="2">
        <v>548</v>
      </c>
      <c r="B2190" s="2">
        <v>3</v>
      </c>
      <c r="C2190" s="2">
        <v>145211908</v>
      </c>
      <c r="D2190" s="2">
        <v>145903838</v>
      </c>
      <c r="E2190" s="2">
        <v>4</v>
      </c>
      <c r="F2190" s="2" t="s">
        <v>10086</v>
      </c>
      <c r="H2190" s="3">
        <v>5.9999999999999995E-4</v>
      </c>
      <c r="K2190" s="2" t="s">
        <v>10088</v>
      </c>
    </row>
    <row r="2191" spans="1:11" x14ac:dyDescent="0.2">
      <c r="A2191" s="2">
        <v>549</v>
      </c>
      <c r="B2191" s="2">
        <v>3</v>
      </c>
      <c r="C2191" s="2">
        <v>145903839</v>
      </c>
      <c r="D2191" s="2">
        <v>147358243</v>
      </c>
      <c r="E2191" s="2">
        <v>1</v>
      </c>
      <c r="F2191" s="2" t="s">
        <v>10086</v>
      </c>
      <c r="H2191" s="2">
        <v>2.3E-3</v>
      </c>
      <c r="K2191" s="2" t="s">
        <v>10085</v>
      </c>
    </row>
    <row r="2192" spans="1:11" x14ac:dyDescent="0.2">
      <c r="A2192" s="2">
        <v>549</v>
      </c>
      <c r="B2192" s="2">
        <v>3</v>
      </c>
      <c r="C2192" s="2">
        <v>145903839</v>
      </c>
      <c r="D2192" s="2">
        <v>147358243</v>
      </c>
      <c r="E2192" s="2">
        <v>2</v>
      </c>
      <c r="F2192" s="2" t="s">
        <v>10086</v>
      </c>
      <c r="H2192" s="2">
        <v>1.9E-3</v>
      </c>
      <c r="K2192" s="2" t="s">
        <v>10089</v>
      </c>
    </row>
    <row r="2193" spans="1:11" x14ac:dyDescent="0.2">
      <c r="A2193" s="2">
        <v>549</v>
      </c>
      <c r="B2193" s="2">
        <v>3</v>
      </c>
      <c r="C2193" s="2">
        <v>145903839</v>
      </c>
      <c r="D2193" s="2">
        <v>147358243</v>
      </c>
      <c r="E2193" s="2">
        <v>3</v>
      </c>
      <c r="F2193" s="2" t="s">
        <v>10086</v>
      </c>
      <c r="H2193" s="2">
        <v>1E-3</v>
      </c>
      <c r="K2193" s="2" t="s">
        <v>10088</v>
      </c>
    </row>
    <row r="2194" spans="1:11" x14ac:dyDescent="0.2">
      <c r="A2194" s="2">
        <v>549</v>
      </c>
      <c r="B2194" s="2">
        <v>3</v>
      </c>
      <c r="C2194" s="2">
        <v>145903839</v>
      </c>
      <c r="D2194" s="2">
        <v>147358243</v>
      </c>
      <c r="E2194" s="2">
        <v>4</v>
      </c>
      <c r="F2194" s="2" t="s">
        <v>10086</v>
      </c>
      <c r="H2194" s="3">
        <v>5.9999999999999995E-4</v>
      </c>
      <c r="K2194" s="2" t="s">
        <v>10087</v>
      </c>
    </row>
    <row r="2195" spans="1:11" x14ac:dyDescent="0.2">
      <c r="A2195" s="2">
        <v>550</v>
      </c>
      <c r="B2195" s="2">
        <v>3</v>
      </c>
      <c r="C2195" s="2">
        <v>147358244</v>
      </c>
      <c r="D2195" s="2">
        <v>148638308</v>
      </c>
      <c r="E2195" s="2">
        <v>1</v>
      </c>
      <c r="F2195" s="2" t="s">
        <v>10086</v>
      </c>
      <c r="H2195" s="2">
        <v>4.4999999999999997E-3</v>
      </c>
      <c r="K2195" s="2" t="s">
        <v>10088</v>
      </c>
    </row>
    <row r="2196" spans="1:11" x14ac:dyDescent="0.2">
      <c r="A2196" s="2">
        <v>550</v>
      </c>
      <c r="B2196" s="2">
        <v>3</v>
      </c>
      <c r="C2196" s="2">
        <v>147358244</v>
      </c>
      <c r="D2196" s="2">
        <v>148638308</v>
      </c>
      <c r="E2196" s="2">
        <v>2</v>
      </c>
      <c r="F2196" s="2" t="s">
        <v>10086</v>
      </c>
      <c r="H2196" s="2">
        <v>1.1999999999999999E-3</v>
      </c>
      <c r="K2196" s="2" t="s">
        <v>10089</v>
      </c>
    </row>
    <row r="2197" spans="1:11" x14ac:dyDescent="0.2">
      <c r="A2197" s="2">
        <v>550</v>
      </c>
      <c r="B2197" s="2">
        <v>3</v>
      </c>
      <c r="C2197" s="2">
        <v>147358244</v>
      </c>
      <c r="D2197" s="2">
        <v>148638308</v>
      </c>
      <c r="E2197" s="2">
        <v>3</v>
      </c>
      <c r="F2197" s="2" t="s">
        <v>10086</v>
      </c>
      <c r="H2197" s="2">
        <v>1E-3</v>
      </c>
      <c r="K2197" s="2" t="s">
        <v>10085</v>
      </c>
    </row>
    <row r="2198" spans="1:11" x14ac:dyDescent="0.2">
      <c r="A2198" s="2">
        <v>550</v>
      </c>
      <c r="B2198" s="2">
        <v>3</v>
      </c>
      <c r="C2198" s="2">
        <v>147358244</v>
      </c>
      <c r="D2198" s="2">
        <v>148638308</v>
      </c>
      <c r="E2198" s="2">
        <v>4</v>
      </c>
      <c r="F2198" s="2" t="s">
        <v>10086</v>
      </c>
      <c r="H2198" s="3">
        <v>6.9999999999999999E-4</v>
      </c>
      <c r="K2198" s="2" t="s">
        <v>10087</v>
      </c>
    </row>
    <row r="2199" spans="1:11" x14ac:dyDescent="0.2">
      <c r="A2199" s="2">
        <v>551</v>
      </c>
      <c r="B2199" s="2">
        <v>3</v>
      </c>
      <c r="C2199" s="2">
        <v>148638309</v>
      </c>
      <c r="D2199" s="2">
        <v>149998411</v>
      </c>
      <c r="E2199" s="2">
        <v>1</v>
      </c>
      <c r="F2199" s="2" t="s">
        <v>10086</v>
      </c>
      <c r="H2199" s="2">
        <v>3.7000000000000002E-3</v>
      </c>
      <c r="K2199" s="2" t="s">
        <v>10085</v>
      </c>
    </row>
    <row r="2200" spans="1:11" x14ac:dyDescent="0.2">
      <c r="A2200" s="2">
        <v>551</v>
      </c>
      <c r="B2200" s="2">
        <v>3</v>
      </c>
      <c r="C2200" s="2">
        <v>148638309</v>
      </c>
      <c r="D2200" s="2">
        <v>149998411</v>
      </c>
      <c r="E2200" s="2">
        <v>2</v>
      </c>
      <c r="F2200" s="2" t="s">
        <v>10086</v>
      </c>
      <c r="H2200" s="2">
        <v>2.8E-3</v>
      </c>
      <c r="K2200" s="2" t="s">
        <v>10088</v>
      </c>
    </row>
    <row r="2201" spans="1:11" x14ac:dyDescent="0.2">
      <c r="A2201" s="2">
        <v>551</v>
      </c>
      <c r="B2201" s="2">
        <v>3</v>
      </c>
      <c r="C2201" s="2">
        <v>148638309</v>
      </c>
      <c r="D2201" s="2">
        <v>149998411</v>
      </c>
      <c r="E2201" s="2">
        <v>3</v>
      </c>
      <c r="F2201" s="2" t="s">
        <v>10086</v>
      </c>
      <c r="H2201" s="2">
        <v>1.9E-3</v>
      </c>
      <c r="K2201" s="2" t="s">
        <v>10087</v>
      </c>
    </row>
    <row r="2202" spans="1:11" x14ac:dyDescent="0.2">
      <c r="A2202" s="2">
        <v>551</v>
      </c>
      <c r="B2202" s="2">
        <v>3</v>
      </c>
      <c r="C2202" s="2">
        <v>148638309</v>
      </c>
      <c r="D2202" s="2">
        <v>149998411</v>
      </c>
      <c r="E2202" s="2">
        <v>4</v>
      </c>
      <c r="F2202" s="2" t="s">
        <v>10086</v>
      </c>
      <c r="H2202" s="2">
        <v>1.5E-3</v>
      </c>
      <c r="K2202" s="2" t="s">
        <v>10089</v>
      </c>
    </row>
    <row r="2203" spans="1:11" x14ac:dyDescent="0.2">
      <c r="A2203" s="2">
        <v>552</v>
      </c>
      <c r="B2203" s="2">
        <v>3</v>
      </c>
      <c r="C2203" s="2">
        <v>149998412</v>
      </c>
      <c r="D2203" s="2">
        <v>151131307</v>
      </c>
      <c r="E2203" s="2">
        <v>1</v>
      </c>
      <c r="F2203" s="2" t="s">
        <v>10086</v>
      </c>
      <c r="H2203" s="2">
        <v>1.6000000000000001E-3</v>
      </c>
      <c r="K2203" s="2" t="s">
        <v>10089</v>
      </c>
    </row>
    <row r="2204" spans="1:11" x14ac:dyDescent="0.2">
      <c r="A2204" s="2">
        <v>552</v>
      </c>
      <c r="B2204" s="2">
        <v>3</v>
      </c>
      <c r="C2204" s="2">
        <v>149998412</v>
      </c>
      <c r="D2204" s="2">
        <v>151131307</v>
      </c>
      <c r="E2204" s="2">
        <v>2</v>
      </c>
      <c r="F2204" s="2" t="s">
        <v>10086</v>
      </c>
      <c r="H2204" s="2">
        <v>1.5E-3</v>
      </c>
      <c r="K2204" s="2" t="s">
        <v>10088</v>
      </c>
    </row>
    <row r="2205" spans="1:11" x14ac:dyDescent="0.2">
      <c r="A2205" s="2">
        <v>552</v>
      </c>
      <c r="B2205" s="2">
        <v>3</v>
      </c>
      <c r="C2205" s="2">
        <v>149998412</v>
      </c>
      <c r="D2205" s="2">
        <v>151131307</v>
      </c>
      <c r="E2205" s="2">
        <v>3</v>
      </c>
      <c r="F2205" s="2" t="s">
        <v>10086</v>
      </c>
      <c r="H2205" s="3">
        <v>8.9999999999999998E-4</v>
      </c>
      <c r="K2205" s="2" t="s">
        <v>10085</v>
      </c>
    </row>
    <row r="2206" spans="1:11" x14ac:dyDescent="0.2">
      <c r="A2206" s="2">
        <v>552</v>
      </c>
      <c r="B2206" s="2">
        <v>3</v>
      </c>
      <c r="C2206" s="2">
        <v>149998412</v>
      </c>
      <c r="D2206" s="2">
        <v>151131307</v>
      </c>
      <c r="E2206" s="2">
        <v>4</v>
      </c>
      <c r="F2206" s="2" t="s">
        <v>10086</v>
      </c>
      <c r="H2206" s="3">
        <v>5.9999999999999995E-4</v>
      </c>
      <c r="K2206" s="2" t="s">
        <v>10087</v>
      </c>
    </row>
    <row r="2207" spans="1:11" x14ac:dyDescent="0.2">
      <c r="A2207" s="2">
        <v>553</v>
      </c>
      <c r="B2207" s="2">
        <v>3</v>
      </c>
      <c r="C2207" s="2">
        <v>151131308</v>
      </c>
      <c r="D2207" s="2">
        <v>151904021</v>
      </c>
      <c r="E2207" s="2">
        <v>1</v>
      </c>
      <c r="F2207" s="2" t="s">
        <v>10086</v>
      </c>
      <c r="H2207" s="2">
        <v>1E-3</v>
      </c>
      <c r="K2207" s="2" t="s">
        <v>10089</v>
      </c>
    </row>
    <row r="2208" spans="1:11" x14ac:dyDescent="0.2">
      <c r="A2208" s="2">
        <v>553</v>
      </c>
      <c r="B2208" s="2">
        <v>3</v>
      </c>
      <c r="C2208" s="2">
        <v>151131308</v>
      </c>
      <c r="D2208" s="2">
        <v>151904021</v>
      </c>
      <c r="E2208" s="2">
        <v>2</v>
      </c>
      <c r="F2208" s="2" t="s">
        <v>10086</v>
      </c>
      <c r="H2208" s="3">
        <v>8.9999999999999998E-4</v>
      </c>
      <c r="K2208" s="2" t="s">
        <v>10087</v>
      </c>
    </row>
    <row r="2209" spans="1:11" x14ac:dyDescent="0.2">
      <c r="A2209" s="2">
        <v>553</v>
      </c>
      <c r="B2209" s="2">
        <v>3</v>
      </c>
      <c r="C2209" s="2">
        <v>151131308</v>
      </c>
      <c r="D2209" s="2">
        <v>151904021</v>
      </c>
      <c r="E2209" s="2">
        <v>3</v>
      </c>
      <c r="F2209" s="2" t="s">
        <v>10086</v>
      </c>
      <c r="H2209" s="3">
        <v>4.0000000000000002E-4</v>
      </c>
      <c r="K2209" s="2" t="s">
        <v>10085</v>
      </c>
    </row>
    <row r="2210" spans="1:11" x14ac:dyDescent="0.2">
      <c r="A2210" s="2">
        <v>553</v>
      </c>
      <c r="B2210" s="2">
        <v>3</v>
      </c>
      <c r="C2210" s="2">
        <v>151131308</v>
      </c>
      <c r="D2210" s="2">
        <v>151904021</v>
      </c>
      <c r="E2210" s="2">
        <v>4</v>
      </c>
      <c r="F2210" s="2" t="s">
        <v>10086</v>
      </c>
      <c r="H2210" s="3">
        <v>2.0000000000000001E-4</v>
      </c>
      <c r="K2210" s="2" t="s">
        <v>10088</v>
      </c>
    </row>
    <row r="2211" spans="1:11" x14ac:dyDescent="0.2">
      <c r="A2211" s="2">
        <v>554</v>
      </c>
      <c r="B2211" s="2">
        <v>3</v>
      </c>
      <c r="C2211" s="2">
        <v>151904022</v>
      </c>
      <c r="D2211" s="2">
        <v>153406718</v>
      </c>
      <c r="E2211" s="2">
        <v>1</v>
      </c>
      <c r="F2211" s="2" t="s">
        <v>10086</v>
      </c>
      <c r="H2211" s="2">
        <v>7.1000000000000004E-3</v>
      </c>
      <c r="K2211" s="2" t="s">
        <v>10089</v>
      </c>
    </row>
    <row r="2212" spans="1:11" x14ac:dyDescent="0.2">
      <c r="A2212" s="2">
        <v>554</v>
      </c>
      <c r="B2212" s="2">
        <v>3</v>
      </c>
      <c r="C2212" s="2">
        <v>151904022</v>
      </c>
      <c r="D2212" s="2">
        <v>153406718</v>
      </c>
      <c r="E2212" s="2">
        <v>2</v>
      </c>
      <c r="F2212" s="2" t="s">
        <v>10086</v>
      </c>
      <c r="H2212" s="2">
        <v>1.6999999999999999E-3</v>
      </c>
      <c r="K2212" s="2" t="s">
        <v>10088</v>
      </c>
    </row>
    <row r="2213" spans="1:11" x14ac:dyDescent="0.2">
      <c r="A2213" s="2">
        <v>554</v>
      </c>
      <c r="B2213" s="2">
        <v>3</v>
      </c>
      <c r="C2213" s="2">
        <v>151904022</v>
      </c>
      <c r="D2213" s="2">
        <v>153406718</v>
      </c>
      <c r="E2213" s="2">
        <v>3</v>
      </c>
      <c r="F2213" s="2" t="s">
        <v>10086</v>
      </c>
      <c r="H2213" s="2">
        <v>1.1999999999999999E-3</v>
      </c>
      <c r="K2213" s="2" t="s">
        <v>10085</v>
      </c>
    </row>
    <row r="2214" spans="1:11" x14ac:dyDescent="0.2">
      <c r="A2214" s="2">
        <v>554</v>
      </c>
      <c r="B2214" s="2">
        <v>3</v>
      </c>
      <c r="C2214" s="2">
        <v>151904022</v>
      </c>
      <c r="D2214" s="2">
        <v>153406718</v>
      </c>
      <c r="E2214" s="2">
        <v>4</v>
      </c>
      <c r="F2214" s="2" t="s">
        <v>10086</v>
      </c>
      <c r="H2214" s="3">
        <v>5.0000000000000001E-4</v>
      </c>
      <c r="K2214" s="2" t="s">
        <v>10087</v>
      </c>
    </row>
    <row r="2215" spans="1:11" x14ac:dyDescent="0.2">
      <c r="A2215" s="2">
        <v>555</v>
      </c>
      <c r="B2215" s="2">
        <v>3</v>
      </c>
      <c r="C2215" s="2">
        <v>153406719</v>
      </c>
      <c r="D2215" s="2">
        <v>155046423</v>
      </c>
      <c r="E2215" s="2">
        <v>1</v>
      </c>
      <c r="F2215" s="2" t="s">
        <v>10086</v>
      </c>
      <c r="H2215" s="2">
        <v>5.0000000000000001E-3</v>
      </c>
      <c r="K2215" s="2" t="s">
        <v>12324</v>
      </c>
    </row>
    <row r="2216" spans="1:11" x14ac:dyDescent="0.2">
      <c r="A2216" s="2">
        <v>555</v>
      </c>
      <c r="B2216" s="2">
        <v>3</v>
      </c>
      <c r="C2216" s="2">
        <v>153406719</v>
      </c>
      <c r="D2216" s="2">
        <v>155046423</v>
      </c>
      <c r="E2216" s="2">
        <v>2</v>
      </c>
      <c r="F2216" s="2" t="s">
        <v>10086</v>
      </c>
      <c r="H2216" s="2">
        <v>4.4999999999999997E-3</v>
      </c>
      <c r="K2216" s="2" t="s">
        <v>10089</v>
      </c>
    </row>
    <row r="2217" spans="1:11" x14ac:dyDescent="0.2">
      <c r="A2217" s="2">
        <v>555</v>
      </c>
      <c r="B2217" s="2">
        <v>3</v>
      </c>
      <c r="C2217" s="2">
        <v>153406719</v>
      </c>
      <c r="D2217" s="2">
        <v>155046423</v>
      </c>
      <c r="E2217" s="2">
        <v>3</v>
      </c>
      <c r="F2217" s="2" t="s">
        <v>10086</v>
      </c>
      <c r="H2217" s="2">
        <v>1.6000000000000001E-3</v>
      </c>
      <c r="K2217" s="2" t="s">
        <v>10088</v>
      </c>
    </row>
    <row r="2218" spans="1:11" x14ac:dyDescent="0.2">
      <c r="A2218" s="2">
        <v>555</v>
      </c>
      <c r="B2218" s="2">
        <v>3</v>
      </c>
      <c r="C2218" s="2">
        <v>153406719</v>
      </c>
      <c r="D2218" s="2">
        <v>155046423</v>
      </c>
      <c r="E2218" s="2">
        <v>4</v>
      </c>
      <c r="F2218" s="2" t="s">
        <v>10086</v>
      </c>
      <c r="H2218" s="2">
        <v>1.4E-3</v>
      </c>
      <c r="K2218" s="2" t="s">
        <v>10085</v>
      </c>
    </row>
    <row r="2219" spans="1:11" x14ac:dyDescent="0.2">
      <c r="A2219" s="2">
        <v>556</v>
      </c>
      <c r="B2219" s="2">
        <v>3</v>
      </c>
      <c r="C2219" s="2">
        <v>155046424</v>
      </c>
      <c r="D2219" s="2">
        <v>155928190</v>
      </c>
      <c r="E2219" s="2">
        <v>1</v>
      </c>
      <c r="F2219" s="2" t="s">
        <v>10086</v>
      </c>
      <c r="H2219" s="3">
        <v>6.9999999999999999E-4</v>
      </c>
      <c r="K2219" s="2" t="s">
        <v>10087</v>
      </c>
    </row>
    <row r="2220" spans="1:11" x14ac:dyDescent="0.2">
      <c r="A2220" s="2">
        <v>556</v>
      </c>
      <c r="B2220" s="2">
        <v>3</v>
      </c>
      <c r="C2220" s="2">
        <v>155046424</v>
      </c>
      <c r="D2220" s="2">
        <v>155928190</v>
      </c>
      <c r="E2220" s="2">
        <v>2</v>
      </c>
      <c r="F2220" s="2" t="s">
        <v>10086</v>
      </c>
      <c r="H2220" s="2">
        <v>1.1000000000000001E-3</v>
      </c>
      <c r="K2220" s="2" t="s">
        <v>10085</v>
      </c>
    </row>
    <row r="2221" spans="1:11" x14ac:dyDescent="0.2">
      <c r="A2221" s="2">
        <v>556</v>
      </c>
      <c r="B2221" s="2">
        <v>3</v>
      </c>
      <c r="C2221" s="2">
        <v>155046424</v>
      </c>
      <c r="D2221" s="2">
        <v>155928190</v>
      </c>
      <c r="E2221" s="2">
        <v>3</v>
      </c>
      <c r="F2221" s="2" t="s">
        <v>10086</v>
      </c>
      <c r="H2221" s="2">
        <v>1E-3</v>
      </c>
      <c r="K2221" s="2" t="s">
        <v>10088</v>
      </c>
    </row>
    <row r="2222" spans="1:11" x14ac:dyDescent="0.2">
      <c r="A2222" s="2">
        <v>556</v>
      </c>
      <c r="B2222" s="2">
        <v>3</v>
      </c>
      <c r="C2222" s="2">
        <v>155046424</v>
      </c>
      <c r="D2222" s="2">
        <v>155928190</v>
      </c>
      <c r="E2222" s="2">
        <v>4</v>
      </c>
      <c r="F2222" s="2" t="s">
        <v>10086</v>
      </c>
      <c r="H2222" s="3">
        <v>5.9999999999999995E-4</v>
      </c>
      <c r="K2222" s="2" t="s">
        <v>10089</v>
      </c>
    </row>
    <row r="2223" spans="1:11" x14ac:dyDescent="0.2">
      <c r="A2223" s="2">
        <v>557</v>
      </c>
      <c r="B2223" s="2">
        <v>3</v>
      </c>
      <c r="C2223" s="2">
        <v>155928191</v>
      </c>
      <c r="D2223" s="2">
        <v>156795410</v>
      </c>
      <c r="E2223" s="2">
        <v>1</v>
      </c>
      <c r="F2223" s="2" t="s">
        <v>10086</v>
      </c>
      <c r="H2223" s="2">
        <v>4.4999999999999997E-3</v>
      </c>
      <c r="K2223" s="2" t="s">
        <v>12324</v>
      </c>
    </row>
    <row r="2224" spans="1:11" x14ac:dyDescent="0.2">
      <c r="A2224" s="2">
        <v>557</v>
      </c>
      <c r="B2224" s="2">
        <v>3</v>
      </c>
      <c r="C2224" s="2">
        <v>155928191</v>
      </c>
      <c r="D2224" s="2">
        <v>156795410</v>
      </c>
      <c r="E2224" s="2">
        <v>2</v>
      </c>
      <c r="F2224" s="2" t="s">
        <v>10086</v>
      </c>
      <c r="H2224" s="2">
        <v>2.3999999999999998E-3</v>
      </c>
      <c r="K2224" s="2" t="s">
        <v>10087</v>
      </c>
    </row>
    <row r="2225" spans="1:11" x14ac:dyDescent="0.2">
      <c r="A2225" s="2">
        <v>557</v>
      </c>
      <c r="B2225" s="2">
        <v>3</v>
      </c>
      <c r="C2225" s="2">
        <v>155928191</v>
      </c>
      <c r="D2225" s="2">
        <v>156795410</v>
      </c>
      <c r="E2225" s="2">
        <v>3</v>
      </c>
      <c r="F2225" s="2" t="s">
        <v>10086</v>
      </c>
      <c r="H2225" s="2">
        <v>1.1000000000000001E-3</v>
      </c>
      <c r="K2225" s="2" t="s">
        <v>10089</v>
      </c>
    </row>
    <row r="2226" spans="1:11" x14ac:dyDescent="0.2">
      <c r="A2226" s="2">
        <v>557</v>
      </c>
      <c r="B2226" s="2">
        <v>3</v>
      </c>
      <c r="C2226" s="2">
        <v>155928191</v>
      </c>
      <c r="D2226" s="2">
        <v>156795410</v>
      </c>
      <c r="E2226" s="2">
        <v>4</v>
      </c>
      <c r="F2226" s="2" t="s">
        <v>10086</v>
      </c>
      <c r="H2226" s="2">
        <v>1E-3</v>
      </c>
      <c r="K2226" s="2" t="s">
        <v>10085</v>
      </c>
    </row>
    <row r="2227" spans="1:11" x14ac:dyDescent="0.2">
      <c r="A2227" s="2">
        <v>558</v>
      </c>
      <c r="B2227" s="2">
        <v>3</v>
      </c>
      <c r="C2227" s="2">
        <v>156795411</v>
      </c>
      <c r="D2227" s="2">
        <v>157633700</v>
      </c>
      <c r="E2227" s="2">
        <v>1</v>
      </c>
      <c r="F2227" s="2" t="s">
        <v>10086</v>
      </c>
      <c r="H2227" s="2">
        <v>5.4000000000000003E-3</v>
      </c>
      <c r="K2227" s="2" t="s">
        <v>10089</v>
      </c>
    </row>
    <row r="2228" spans="1:11" x14ac:dyDescent="0.2">
      <c r="A2228" s="2">
        <v>558</v>
      </c>
      <c r="B2228" s="2">
        <v>3</v>
      </c>
      <c r="C2228" s="2">
        <v>156795411</v>
      </c>
      <c r="D2228" s="2">
        <v>157633700</v>
      </c>
      <c r="E2228" s="2">
        <v>2</v>
      </c>
      <c r="F2228" s="2" t="s">
        <v>10086</v>
      </c>
      <c r="H2228" s="2">
        <v>1.1999999999999999E-3</v>
      </c>
      <c r="K2228" s="2" t="s">
        <v>10088</v>
      </c>
    </row>
    <row r="2229" spans="1:11" x14ac:dyDescent="0.2">
      <c r="A2229" s="2">
        <v>558</v>
      </c>
      <c r="B2229" s="2">
        <v>3</v>
      </c>
      <c r="C2229" s="2">
        <v>156795411</v>
      </c>
      <c r="D2229" s="2">
        <v>157633700</v>
      </c>
      <c r="E2229" s="2">
        <v>3</v>
      </c>
      <c r="F2229" s="2" t="s">
        <v>10086</v>
      </c>
      <c r="H2229" s="3">
        <v>8.0000000000000004E-4</v>
      </c>
      <c r="K2229" s="2" t="s">
        <v>10085</v>
      </c>
    </row>
    <row r="2230" spans="1:11" x14ac:dyDescent="0.2">
      <c r="A2230" s="2">
        <v>558</v>
      </c>
      <c r="B2230" s="2">
        <v>3</v>
      </c>
      <c r="C2230" s="2">
        <v>156795411</v>
      </c>
      <c r="D2230" s="2">
        <v>157633700</v>
      </c>
      <c r="E2230" s="2">
        <v>4</v>
      </c>
      <c r="F2230" s="2" t="s">
        <v>10086</v>
      </c>
      <c r="H2230" s="3">
        <v>2.9999999999999997E-4</v>
      </c>
      <c r="K2230" s="2" t="s">
        <v>10087</v>
      </c>
    </row>
    <row r="2231" spans="1:11" x14ac:dyDescent="0.2">
      <c r="A2231" s="2">
        <v>559</v>
      </c>
      <c r="B2231" s="2">
        <v>3</v>
      </c>
      <c r="C2231" s="2">
        <v>157633701</v>
      </c>
      <c r="D2231" s="2">
        <v>158460058</v>
      </c>
      <c r="E2231" s="2">
        <v>1</v>
      </c>
      <c r="F2231" s="2" t="s">
        <v>10086</v>
      </c>
      <c r="H2231" s="3">
        <v>4.0000000000000002E-4</v>
      </c>
      <c r="K2231" s="2" t="s">
        <v>10088</v>
      </c>
    </row>
    <row r="2232" spans="1:11" x14ac:dyDescent="0.2">
      <c r="A2232" s="2">
        <v>559</v>
      </c>
      <c r="B2232" s="2">
        <v>3</v>
      </c>
      <c r="C2232" s="2">
        <v>157633701</v>
      </c>
      <c r="D2232" s="2">
        <v>158460058</v>
      </c>
      <c r="E2232" s="2">
        <v>2</v>
      </c>
      <c r="F2232" s="2" t="s">
        <v>10086</v>
      </c>
      <c r="H2232" s="3">
        <v>4.0000000000000002E-4</v>
      </c>
      <c r="K2232" s="2" t="s">
        <v>10085</v>
      </c>
    </row>
    <row r="2233" spans="1:11" x14ac:dyDescent="0.2">
      <c r="A2233" s="2">
        <v>559</v>
      </c>
      <c r="B2233" s="2">
        <v>3</v>
      </c>
      <c r="C2233" s="2">
        <v>157633701</v>
      </c>
      <c r="D2233" s="2">
        <v>158460058</v>
      </c>
      <c r="E2233" s="2">
        <v>3</v>
      </c>
      <c r="F2233" s="2" t="s">
        <v>10086</v>
      </c>
      <c r="H2233" s="3">
        <v>2.9999999999999997E-4</v>
      </c>
      <c r="K2233" s="2" t="s">
        <v>10087</v>
      </c>
    </row>
    <row r="2234" spans="1:11" x14ac:dyDescent="0.2">
      <c r="A2234" s="2">
        <v>559</v>
      </c>
      <c r="B2234" s="2">
        <v>3</v>
      </c>
      <c r="C2234" s="2">
        <v>157633701</v>
      </c>
      <c r="D2234" s="2">
        <v>158460058</v>
      </c>
      <c r="E2234" s="2">
        <v>4</v>
      </c>
      <c r="F2234" s="2" t="s">
        <v>10086</v>
      </c>
      <c r="H2234" s="3">
        <v>1E-4</v>
      </c>
      <c r="K2234" s="2" t="s">
        <v>10089</v>
      </c>
    </row>
    <row r="2235" spans="1:11" x14ac:dyDescent="0.2">
      <c r="A2235" s="2">
        <v>560</v>
      </c>
      <c r="B2235" s="2">
        <v>3</v>
      </c>
      <c r="C2235" s="2">
        <v>158460059</v>
      </c>
      <c r="D2235" s="2">
        <v>159478751</v>
      </c>
      <c r="E2235" s="2">
        <v>1</v>
      </c>
      <c r="F2235" s="2" t="s">
        <v>10086</v>
      </c>
      <c r="H2235" s="2">
        <v>2.4199999999999999E-2</v>
      </c>
      <c r="K2235" s="2" t="s">
        <v>12324</v>
      </c>
    </row>
    <row r="2236" spans="1:11" x14ac:dyDescent="0.2">
      <c r="A2236" s="2">
        <v>560</v>
      </c>
      <c r="B2236" s="2">
        <v>3</v>
      </c>
      <c r="C2236" s="2">
        <v>158460059</v>
      </c>
      <c r="D2236" s="2">
        <v>159478751</v>
      </c>
      <c r="E2236" s="2">
        <v>2</v>
      </c>
      <c r="F2236" s="2" t="s">
        <v>10086</v>
      </c>
      <c r="H2236" s="2">
        <v>2E-3</v>
      </c>
      <c r="K2236" s="2" t="s">
        <v>10088</v>
      </c>
    </row>
    <row r="2237" spans="1:11" x14ac:dyDescent="0.2">
      <c r="A2237" s="2">
        <v>560</v>
      </c>
      <c r="B2237" s="2">
        <v>3</v>
      </c>
      <c r="C2237" s="2">
        <v>158460059</v>
      </c>
      <c r="D2237" s="2">
        <v>159478751</v>
      </c>
      <c r="E2237" s="2">
        <v>3</v>
      </c>
      <c r="F2237" s="2" t="s">
        <v>10086</v>
      </c>
      <c r="H2237" s="2">
        <v>1.1000000000000001E-3</v>
      </c>
      <c r="K2237" s="2" t="s">
        <v>10087</v>
      </c>
    </row>
    <row r="2238" spans="1:11" x14ac:dyDescent="0.2">
      <c r="A2238" s="2">
        <v>560</v>
      </c>
      <c r="B2238" s="2">
        <v>3</v>
      </c>
      <c r="C2238" s="2">
        <v>158460059</v>
      </c>
      <c r="D2238" s="2">
        <v>159478751</v>
      </c>
      <c r="E2238" s="2">
        <v>4</v>
      </c>
      <c r="F2238" s="2" t="s">
        <v>10086</v>
      </c>
      <c r="H2238" s="3">
        <v>8.0000000000000004E-4</v>
      </c>
      <c r="K2238" s="2" t="s">
        <v>10085</v>
      </c>
    </row>
    <row r="2239" spans="1:11" x14ac:dyDescent="0.2">
      <c r="A2239" s="2">
        <v>561</v>
      </c>
      <c r="B2239" s="2">
        <v>3</v>
      </c>
      <c r="C2239" s="2">
        <v>159478752</v>
      </c>
      <c r="D2239" s="2">
        <v>160584961</v>
      </c>
      <c r="E2239" s="2">
        <v>1</v>
      </c>
      <c r="F2239" s="2" t="s">
        <v>10086</v>
      </c>
      <c r="H2239" s="2">
        <v>2.7000000000000001E-3</v>
      </c>
      <c r="K2239" s="2" t="s">
        <v>10085</v>
      </c>
    </row>
    <row r="2240" spans="1:11" x14ac:dyDescent="0.2">
      <c r="A2240" s="2">
        <v>561</v>
      </c>
      <c r="B2240" s="2">
        <v>3</v>
      </c>
      <c r="C2240" s="2">
        <v>159478752</v>
      </c>
      <c r="D2240" s="2">
        <v>160584961</v>
      </c>
      <c r="E2240" s="2">
        <v>2</v>
      </c>
      <c r="F2240" s="2" t="s">
        <v>10086</v>
      </c>
      <c r="H2240" s="3">
        <v>8.9999999999999998E-4</v>
      </c>
      <c r="K2240" s="2" t="s">
        <v>10089</v>
      </c>
    </row>
    <row r="2241" spans="1:11" x14ac:dyDescent="0.2">
      <c r="A2241" s="2">
        <v>561</v>
      </c>
      <c r="B2241" s="2">
        <v>3</v>
      </c>
      <c r="C2241" s="2">
        <v>159478752</v>
      </c>
      <c r="D2241" s="2">
        <v>160584961</v>
      </c>
      <c r="E2241" s="2">
        <v>3</v>
      </c>
      <c r="F2241" s="2" t="s">
        <v>10086</v>
      </c>
      <c r="H2241" s="3">
        <v>8.0000000000000004E-4</v>
      </c>
      <c r="K2241" s="2" t="s">
        <v>10088</v>
      </c>
    </row>
    <row r="2242" spans="1:11" x14ac:dyDescent="0.2">
      <c r="A2242" s="2">
        <v>561</v>
      </c>
      <c r="B2242" s="2">
        <v>3</v>
      </c>
      <c r="C2242" s="2">
        <v>159478752</v>
      </c>
      <c r="D2242" s="2">
        <v>160584961</v>
      </c>
      <c r="E2242" s="2">
        <v>4</v>
      </c>
      <c r="F2242" s="2" t="s">
        <v>10086</v>
      </c>
      <c r="H2242" s="3">
        <v>4.0000000000000002E-4</v>
      </c>
      <c r="K2242" s="2" t="s">
        <v>10087</v>
      </c>
    </row>
    <row r="2243" spans="1:11" x14ac:dyDescent="0.2">
      <c r="A2243" s="2">
        <v>562</v>
      </c>
      <c r="B2243" s="2">
        <v>3</v>
      </c>
      <c r="C2243" s="2">
        <v>160584962</v>
      </c>
      <c r="D2243" s="2">
        <v>161628883</v>
      </c>
      <c r="E2243" s="2">
        <v>1</v>
      </c>
      <c r="F2243" s="2" t="s">
        <v>10086</v>
      </c>
      <c r="H2243" s="2">
        <v>4.0000000000000001E-3</v>
      </c>
      <c r="K2243" s="2" t="s">
        <v>10085</v>
      </c>
    </row>
    <row r="2244" spans="1:11" x14ac:dyDescent="0.2">
      <c r="A2244" s="2">
        <v>562</v>
      </c>
      <c r="B2244" s="2">
        <v>3</v>
      </c>
      <c r="C2244" s="2">
        <v>160584962</v>
      </c>
      <c r="D2244" s="2">
        <v>161628883</v>
      </c>
      <c r="E2244" s="2">
        <v>2</v>
      </c>
      <c r="F2244" s="2" t="s">
        <v>10086</v>
      </c>
      <c r="H2244" s="2">
        <v>1.6999999999999999E-3</v>
      </c>
      <c r="K2244" s="2" t="s">
        <v>10088</v>
      </c>
    </row>
    <row r="2245" spans="1:11" x14ac:dyDescent="0.2">
      <c r="A2245" s="2">
        <v>562</v>
      </c>
      <c r="B2245" s="2">
        <v>3</v>
      </c>
      <c r="C2245" s="2">
        <v>160584962</v>
      </c>
      <c r="D2245" s="2">
        <v>161628883</v>
      </c>
      <c r="E2245" s="2">
        <v>3</v>
      </c>
      <c r="F2245" s="2" t="s">
        <v>10086</v>
      </c>
      <c r="H2245" s="2">
        <v>1E-3</v>
      </c>
      <c r="K2245" s="2" t="s">
        <v>10087</v>
      </c>
    </row>
    <row r="2246" spans="1:11" x14ac:dyDescent="0.2">
      <c r="A2246" s="2">
        <v>562</v>
      </c>
      <c r="B2246" s="2">
        <v>3</v>
      </c>
      <c r="C2246" s="2">
        <v>160584962</v>
      </c>
      <c r="D2246" s="2">
        <v>161628883</v>
      </c>
      <c r="E2246" s="2">
        <v>4</v>
      </c>
      <c r="F2246" s="2" t="s">
        <v>10086</v>
      </c>
      <c r="H2246" s="3">
        <v>2.9999999999999997E-4</v>
      </c>
      <c r="K2246" s="2" t="s">
        <v>10089</v>
      </c>
    </row>
    <row r="2247" spans="1:11" x14ac:dyDescent="0.2">
      <c r="A2247" s="2">
        <v>563</v>
      </c>
      <c r="B2247" s="2">
        <v>3</v>
      </c>
      <c r="C2247" s="2">
        <v>161628884</v>
      </c>
      <c r="D2247" s="2">
        <v>162622604</v>
      </c>
      <c r="E2247" s="2">
        <v>1</v>
      </c>
      <c r="F2247" s="2" t="s">
        <v>10086</v>
      </c>
      <c r="H2247" s="2">
        <v>2.7000000000000001E-3</v>
      </c>
      <c r="K2247" s="2" t="s">
        <v>10085</v>
      </c>
    </row>
    <row r="2248" spans="1:11" x14ac:dyDescent="0.2">
      <c r="A2248" s="2">
        <v>563</v>
      </c>
      <c r="B2248" s="2">
        <v>3</v>
      </c>
      <c r="C2248" s="2">
        <v>161628884</v>
      </c>
      <c r="D2248" s="2">
        <v>162622604</v>
      </c>
      <c r="E2248" s="2">
        <v>2</v>
      </c>
      <c r="F2248" s="2" t="s">
        <v>10086</v>
      </c>
      <c r="H2248" s="2">
        <v>2.2000000000000001E-3</v>
      </c>
      <c r="K2248" s="2" t="s">
        <v>10087</v>
      </c>
    </row>
    <row r="2249" spans="1:11" x14ac:dyDescent="0.2">
      <c r="A2249" s="2">
        <v>563</v>
      </c>
      <c r="B2249" s="2">
        <v>3</v>
      </c>
      <c r="C2249" s="2">
        <v>161628884</v>
      </c>
      <c r="D2249" s="2">
        <v>162622604</v>
      </c>
      <c r="E2249" s="2">
        <v>3</v>
      </c>
      <c r="F2249" s="2" t="s">
        <v>10086</v>
      </c>
      <c r="H2249" s="2">
        <v>1.1999999999999999E-3</v>
      </c>
      <c r="K2249" s="2" t="s">
        <v>10089</v>
      </c>
    </row>
    <row r="2250" spans="1:11" x14ac:dyDescent="0.2">
      <c r="A2250" s="2">
        <v>563</v>
      </c>
      <c r="B2250" s="2">
        <v>3</v>
      </c>
      <c r="C2250" s="2">
        <v>161628884</v>
      </c>
      <c r="D2250" s="2">
        <v>162622604</v>
      </c>
      <c r="E2250" s="2">
        <v>4</v>
      </c>
      <c r="F2250" s="2" t="s">
        <v>10086</v>
      </c>
      <c r="H2250" s="3">
        <v>5.0000000000000001E-4</v>
      </c>
      <c r="K2250" s="2" t="s">
        <v>10088</v>
      </c>
    </row>
    <row r="2251" spans="1:11" x14ac:dyDescent="0.2">
      <c r="A2251" s="2">
        <v>564</v>
      </c>
      <c r="B2251" s="2">
        <v>3</v>
      </c>
      <c r="C2251" s="2">
        <v>162622605</v>
      </c>
      <c r="D2251" s="2">
        <v>163250112</v>
      </c>
      <c r="E2251" s="2">
        <v>1</v>
      </c>
      <c r="F2251" s="2" t="s">
        <v>10086</v>
      </c>
      <c r="H2251" s="2">
        <v>1E-3</v>
      </c>
      <c r="K2251" s="2" t="s">
        <v>10088</v>
      </c>
    </row>
    <row r="2252" spans="1:11" x14ac:dyDescent="0.2">
      <c r="A2252" s="2">
        <v>564</v>
      </c>
      <c r="B2252" s="2">
        <v>3</v>
      </c>
      <c r="C2252" s="2">
        <v>162622605</v>
      </c>
      <c r="D2252" s="2">
        <v>163250112</v>
      </c>
      <c r="E2252" s="2">
        <v>2</v>
      </c>
      <c r="F2252" s="2" t="s">
        <v>10086</v>
      </c>
      <c r="H2252" s="3">
        <v>8.0000000000000004E-4</v>
      </c>
      <c r="K2252" s="2" t="s">
        <v>10089</v>
      </c>
    </row>
    <row r="2253" spans="1:11" x14ac:dyDescent="0.2">
      <c r="A2253" s="2">
        <v>564</v>
      </c>
      <c r="B2253" s="2">
        <v>3</v>
      </c>
      <c r="C2253" s="2">
        <v>162622605</v>
      </c>
      <c r="D2253" s="2">
        <v>163250112</v>
      </c>
      <c r="E2253" s="2">
        <v>3</v>
      </c>
      <c r="F2253" s="2" t="s">
        <v>10086</v>
      </c>
      <c r="H2253" s="3">
        <v>5.0000000000000001E-4</v>
      </c>
      <c r="K2253" s="2" t="s">
        <v>10087</v>
      </c>
    </row>
    <row r="2254" spans="1:11" x14ac:dyDescent="0.2">
      <c r="A2254" s="2">
        <v>564</v>
      </c>
      <c r="B2254" s="2">
        <v>3</v>
      </c>
      <c r="C2254" s="2">
        <v>162622605</v>
      </c>
      <c r="D2254" s="2">
        <v>163250112</v>
      </c>
      <c r="E2254" s="2">
        <v>4</v>
      </c>
      <c r="F2254" s="2" t="s">
        <v>10086</v>
      </c>
      <c r="H2254" s="3">
        <v>2.0000000000000001E-4</v>
      </c>
      <c r="K2254" s="2" t="s">
        <v>10085</v>
      </c>
    </row>
    <row r="2255" spans="1:11" x14ac:dyDescent="0.2">
      <c r="A2255" s="2">
        <v>565</v>
      </c>
      <c r="B2255" s="2">
        <v>3</v>
      </c>
      <c r="C2255" s="2">
        <v>163250113</v>
      </c>
      <c r="D2255" s="2">
        <v>164037360</v>
      </c>
      <c r="E2255" s="2">
        <v>1</v>
      </c>
      <c r="F2255" s="2" t="s">
        <v>10086</v>
      </c>
      <c r="H2255" s="2">
        <v>3.0999999999999999E-3</v>
      </c>
      <c r="K2255" s="2" t="s">
        <v>10087</v>
      </c>
    </row>
    <row r="2256" spans="1:11" x14ac:dyDescent="0.2">
      <c r="A2256" s="2">
        <v>565</v>
      </c>
      <c r="B2256" s="2">
        <v>3</v>
      </c>
      <c r="C2256" s="2">
        <v>163250113</v>
      </c>
      <c r="D2256" s="2">
        <v>164037360</v>
      </c>
      <c r="E2256" s="2">
        <v>2</v>
      </c>
      <c r="F2256" s="2" t="s">
        <v>10086</v>
      </c>
      <c r="H2256" s="2">
        <v>1.1000000000000001E-3</v>
      </c>
      <c r="K2256" s="2" t="s">
        <v>10089</v>
      </c>
    </row>
    <row r="2257" spans="1:11" x14ac:dyDescent="0.2">
      <c r="A2257" s="2">
        <v>565</v>
      </c>
      <c r="B2257" s="2">
        <v>3</v>
      </c>
      <c r="C2257" s="2">
        <v>163250113</v>
      </c>
      <c r="D2257" s="2">
        <v>164037360</v>
      </c>
      <c r="E2257" s="2">
        <v>3</v>
      </c>
      <c r="F2257" s="2" t="s">
        <v>10086</v>
      </c>
      <c r="H2257" s="2">
        <v>1.1000000000000001E-3</v>
      </c>
      <c r="K2257" s="2" t="s">
        <v>10085</v>
      </c>
    </row>
    <row r="2258" spans="1:11" x14ac:dyDescent="0.2">
      <c r="A2258" s="2">
        <v>565</v>
      </c>
      <c r="B2258" s="2">
        <v>3</v>
      </c>
      <c r="C2258" s="2">
        <v>163250113</v>
      </c>
      <c r="D2258" s="2">
        <v>164037360</v>
      </c>
      <c r="E2258" s="2">
        <v>4</v>
      </c>
      <c r="F2258" s="2" t="s">
        <v>10086</v>
      </c>
      <c r="H2258" s="3">
        <v>2.9999999999999997E-4</v>
      </c>
      <c r="K2258" s="2" t="s">
        <v>10088</v>
      </c>
    </row>
    <row r="2259" spans="1:11" x14ac:dyDescent="0.2">
      <c r="A2259" s="2">
        <v>566</v>
      </c>
      <c r="B2259" s="2">
        <v>3</v>
      </c>
      <c r="C2259" s="2">
        <v>164037361</v>
      </c>
      <c r="D2259" s="2">
        <v>165054911</v>
      </c>
      <c r="E2259" s="2">
        <v>1</v>
      </c>
      <c r="F2259" s="2" t="s">
        <v>10086</v>
      </c>
      <c r="H2259" s="2">
        <v>2.0999999999999999E-3</v>
      </c>
      <c r="K2259" s="2" t="s">
        <v>10088</v>
      </c>
    </row>
    <row r="2260" spans="1:11" x14ac:dyDescent="0.2">
      <c r="A2260" s="2">
        <v>566</v>
      </c>
      <c r="B2260" s="2">
        <v>3</v>
      </c>
      <c r="C2260" s="2">
        <v>164037361</v>
      </c>
      <c r="D2260" s="2">
        <v>165054911</v>
      </c>
      <c r="E2260" s="2">
        <v>2</v>
      </c>
      <c r="F2260" s="2" t="s">
        <v>10086</v>
      </c>
      <c r="H2260" s="3">
        <v>5.9999999999999995E-4</v>
      </c>
      <c r="K2260" s="2" t="s">
        <v>10087</v>
      </c>
    </row>
    <row r="2261" spans="1:11" x14ac:dyDescent="0.2">
      <c r="A2261" s="2">
        <v>566</v>
      </c>
      <c r="B2261" s="2">
        <v>3</v>
      </c>
      <c r="C2261" s="2">
        <v>164037361</v>
      </c>
      <c r="D2261" s="2">
        <v>165054911</v>
      </c>
      <c r="E2261" s="2">
        <v>3</v>
      </c>
      <c r="F2261" s="2" t="s">
        <v>10086</v>
      </c>
      <c r="H2261" s="3">
        <v>4.0000000000000002E-4</v>
      </c>
      <c r="K2261" s="2" t="s">
        <v>10085</v>
      </c>
    </row>
    <row r="2262" spans="1:11" x14ac:dyDescent="0.2">
      <c r="A2262" s="2">
        <v>566</v>
      </c>
      <c r="B2262" s="2">
        <v>3</v>
      </c>
      <c r="C2262" s="2">
        <v>164037361</v>
      </c>
      <c r="D2262" s="2">
        <v>165054911</v>
      </c>
      <c r="E2262" s="2">
        <v>4</v>
      </c>
      <c r="F2262" s="2" t="s">
        <v>10086</v>
      </c>
      <c r="H2262" s="3">
        <v>2.0000000000000001E-4</v>
      </c>
      <c r="K2262" s="2" t="s">
        <v>10089</v>
      </c>
    </row>
    <row r="2263" spans="1:11" x14ac:dyDescent="0.2">
      <c r="A2263" s="2">
        <v>567</v>
      </c>
      <c r="B2263" s="2">
        <v>3</v>
      </c>
      <c r="C2263" s="2">
        <v>165054912</v>
      </c>
      <c r="D2263" s="2">
        <v>165936511</v>
      </c>
      <c r="E2263" s="2">
        <v>1</v>
      </c>
      <c r="F2263" s="2" t="s">
        <v>10086</v>
      </c>
      <c r="H2263" s="2">
        <v>3.7000000000000002E-3</v>
      </c>
      <c r="K2263" s="2" t="s">
        <v>12324</v>
      </c>
    </row>
    <row r="2264" spans="1:11" x14ac:dyDescent="0.2">
      <c r="A2264" s="2">
        <v>567</v>
      </c>
      <c r="B2264" s="2">
        <v>3</v>
      </c>
      <c r="C2264" s="2">
        <v>165054912</v>
      </c>
      <c r="D2264" s="2">
        <v>165936511</v>
      </c>
      <c r="E2264" s="2">
        <v>2</v>
      </c>
      <c r="F2264" s="2" t="s">
        <v>10086</v>
      </c>
      <c r="H2264" s="3">
        <v>8.9999999999999998E-4</v>
      </c>
      <c r="K2264" s="2" t="s">
        <v>10087</v>
      </c>
    </row>
    <row r="2265" spans="1:11" x14ac:dyDescent="0.2">
      <c r="A2265" s="2">
        <v>567</v>
      </c>
      <c r="B2265" s="2">
        <v>3</v>
      </c>
      <c r="C2265" s="2">
        <v>165054912</v>
      </c>
      <c r="D2265" s="2">
        <v>165936511</v>
      </c>
      <c r="E2265" s="2">
        <v>3</v>
      </c>
      <c r="F2265" s="2" t="s">
        <v>10086</v>
      </c>
      <c r="H2265" s="3">
        <v>6.9999999999999999E-4</v>
      </c>
      <c r="K2265" s="2" t="s">
        <v>10088</v>
      </c>
    </row>
    <row r="2266" spans="1:11" x14ac:dyDescent="0.2">
      <c r="A2266" s="2">
        <v>567</v>
      </c>
      <c r="B2266" s="2">
        <v>3</v>
      </c>
      <c r="C2266" s="2">
        <v>165054912</v>
      </c>
      <c r="D2266" s="2">
        <v>165936511</v>
      </c>
      <c r="E2266" s="2">
        <v>4</v>
      </c>
      <c r="F2266" s="2" t="s">
        <v>10086</v>
      </c>
      <c r="H2266" s="3">
        <v>6.9999999999999999E-4</v>
      </c>
      <c r="K2266" s="2" t="s">
        <v>10089</v>
      </c>
    </row>
    <row r="2267" spans="1:11" x14ac:dyDescent="0.2">
      <c r="A2267" s="2">
        <v>568</v>
      </c>
      <c r="B2267" s="2">
        <v>3</v>
      </c>
      <c r="C2267" s="2">
        <v>165936512</v>
      </c>
      <c r="D2267" s="2">
        <v>167118893</v>
      </c>
      <c r="E2267" s="2">
        <v>1</v>
      </c>
      <c r="F2267" s="2" t="s">
        <v>10086</v>
      </c>
      <c r="H2267" s="2">
        <v>1.6000000000000001E-3</v>
      </c>
      <c r="K2267" s="2" t="s">
        <v>10085</v>
      </c>
    </row>
    <row r="2268" spans="1:11" x14ac:dyDescent="0.2">
      <c r="A2268" s="2">
        <v>568</v>
      </c>
      <c r="B2268" s="2">
        <v>3</v>
      </c>
      <c r="C2268" s="2">
        <v>165936512</v>
      </c>
      <c r="D2268" s="2">
        <v>167118893</v>
      </c>
      <c r="E2268" s="2">
        <v>2</v>
      </c>
      <c r="F2268" s="2" t="s">
        <v>10086</v>
      </c>
      <c r="H2268" s="2">
        <v>1.6000000000000001E-3</v>
      </c>
      <c r="K2268" s="2" t="s">
        <v>10089</v>
      </c>
    </row>
    <row r="2269" spans="1:11" x14ac:dyDescent="0.2">
      <c r="A2269" s="2">
        <v>568</v>
      </c>
      <c r="B2269" s="2">
        <v>3</v>
      </c>
      <c r="C2269" s="2">
        <v>165936512</v>
      </c>
      <c r="D2269" s="2">
        <v>167118893</v>
      </c>
      <c r="E2269" s="2">
        <v>3</v>
      </c>
      <c r="F2269" s="2" t="s">
        <v>10086</v>
      </c>
      <c r="H2269" s="2">
        <v>1.1000000000000001E-3</v>
      </c>
      <c r="K2269" s="2" t="s">
        <v>10088</v>
      </c>
    </row>
    <row r="2270" spans="1:11" x14ac:dyDescent="0.2">
      <c r="A2270" s="2">
        <v>568</v>
      </c>
      <c r="B2270" s="2">
        <v>3</v>
      </c>
      <c r="C2270" s="2">
        <v>165936512</v>
      </c>
      <c r="D2270" s="2">
        <v>167118893</v>
      </c>
      <c r="E2270" s="2">
        <v>4</v>
      </c>
      <c r="F2270" s="2" t="s">
        <v>10086</v>
      </c>
      <c r="H2270" s="3">
        <v>5.0000000000000001E-4</v>
      </c>
      <c r="K2270" s="2" t="s">
        <v>10087</v>
      </c>
    </row>
    <row r="2271" spans="1:11" x14ac:dyDescent="0.2">
      <c r="A2271" s="2">
        <v>569</v>
      </c>
      <c r="B2271" s="2">
        <v>3</v>
      </c>
      <c r="C2271" s="2">
        <v>167118894</v>
      </c>
      <c r="D2271" s="2">
        <v>168972662</v>
      </c>
      <c r="E2271" s="2">
        <v>1</v>
      </c>
      <c r="F2271" s="2" t="s">
        <v>10086</v>
      </c>
      <c r="H2271" s="2">
        <v>3.5999999999999999E-3</v>
      </c>
      <c r="K2271" s="2" t="s">
        <v>10088</v>
      </c>
    </row>
    <row r="2272" spans="1:11" x14ac:dyDescent="0.2">
      <c r="A2272" s="2">
        <v>569</v>
      </c>
      <c r="B2272" s="2">
        <v>3</v>
      </c>
      <c r="C2272" s="2">
        <v>167118894</v>
      </c>
      <c r="D2272" s="2">
        <v>168972662</v>
      </c>
      <c r="E2272" s="2">
        <v>2</v>
      </c>
      <c r="F2272" s="2" t="s">
        <v>10086</v>
      </c>
      <c r="H2272" s="2">
        <v>1.2999999999999999E-3</v>
      </c>
      <c r="K2272" s="2" t="s">
        <v>10087</v>
      </c>
    </row>
    <row r="2273" spans="1:11" x14ac:dyDescent="0.2">
      <c r="A2273" s="2">
        <v>569</v>
      </c>
      <c r="B2273" s="2">
        <v>3</v>
      </c>
      <c r="C2273" s="2">
        <v>167118894</v>
      </c>
      <c r="D2273" s="2">
        <v>168972662</v>
      </c>
      <c r="E2273" s="2">
        <v>3</v>
      </c>
      <c r="F2273" s="2" t="s">
        <v>10086</v>
      </c>
      <c r="H2273" s="2">
        <v>1.1999999999999999E-3</v>
      </c>
      <c r="K2273" s="2" t="s">
        <v>10085</v>
      </c>
    </row>
    <row r="2274" spans="1:11" x14ac:dyDescent="0.2">
      <c r="A2274" s="2">
        <v>569</v>
      </c>
      <c r="B2274" s="2">
        <v>3</v>
      </c>
      <c r="C2274" s="2">
        <v>167118894</v>
      </c>
      <c r="D2274" s="2">
        <v>168972662</v>
      </c>
      <c r="E2274" s="2">
        <v>4</v>
      </c>
      <c r="F2274" s="2" t="s">
        <v>10086</v>
      </c>
      <c r="H2274" s="3">
        <v>6.9999999999999999E-4</v>
      </c>
      <c r="K2274" s="2" t="s">
        <v>10089</v>
      </c>
    </row>
    <row r="2275" spans="1:11" x14ac:dyDescent="0.2">
      <c r="A2275" s="2">
        <v>570</v>
      </c>
      <c r="B2275" s="2">
        <v>3</v>
      </c>
      <c r="C2275" s="2">
        <v>168972663</v>
      </c>
      <c r="D2275" s="2">
        <v>170174578</v>
      </c>
      <c r="E2275" s="2">
        <v>1</v>
      </c>
      <c r="F2275" s="2" t="s">
        <v>10086</v>
      </c>
      <c r="H2275" s="2">
        <v>1.1000000000000001E-3</v>
      </c>
      <c r="K2275" s="2" t="s">
        <v>10088</v>
      </c>
    </row>
    <row r="2276" spans="1:11" x14ac:dyDescent="0.2">
      <c r="A2276" s="2">
        <v>570</v>
      </c>
      <c r="B2276" s="2">
        <v>3</v>
      </c>
      <c r="C2276" s="2">
        <v>168972663</v>
      </c>
      <c r="D2276" s="2">
        <v>170174578</v>
      </c>
      <c r="E2276" s="2">
        <v>2</v>
      </c>
      <c r="F2276" s="2" t="s">
        <v>10086</v>
      </c>
      <c r="H2276" s="2">
        <v>1.1999999999999999E-3</v>
      </c>
      <c r="K2276" s="2" t="s">
        <v>10087</v>
      </c>
    </row>
    <row r="2277" spans="1:11" x14ac:dyDescent="0.2">
      <c r="A2277" s="2">
        <v>570</v>
      </c>
      <c r="B2277" s="2">
        <v>3</v>
      </c>
      <c r="C2277" s="2">
        <v>168972663</v>
      </c>
      <c r="D2277" s="2">
        <v>170174578</v>
      </c>
      <c r="E2277" s="2">
        <v>3</v>
      </c>
      <c r="F2277" s="2" t="s">
        <v>10086</v>
      </c>
      <c r="H2277" s="2">
        <v>1.1999999999999999E-3</v>
      </c>
      <c r="K2277" s="2" t="s">
        <v>10089</v>
      </c>
    </row>
    <row r="2278" spans="1:11" x14ac:dyDescent="0.2">
      <c r="A2278" s="2">
        <v>570</v>
      </c>
      <c r="B2278" s="2">
        <v>3</v>
      </c>
      <c r="C2278" s="2">
        <v>168972663</v>
      </c>
      <c r="D2278" s="2">
        <v>170174578</v>
      </c>
      <c r="E2278" s="2">
        <v>4</v>
      </c>
      <c r="F2278" s="2" t="s">
        <v>10086</v>
      </c>
      <c r="H2278" s="3">
        <v>8.0000000000000004E-4</v>
      </c>
      <c r="K2278" s="2" t="s">
        <v>10085</v>
      </c>
    </row>
    <row r="2279" spans="1:11" x14ac:dyDescent="0.2">
      <c r="A2279" s="2">
        <v>571</v>
      </c>
      <c r="B2279" s="2">
        <v>3</v>
      </c>
      <c r="C2279" s="2">
        <v>170174579</v>
      </c>
      <c r="D2279" s="2">
        <v>171134849</v>
      </c>
      <c r="E2279" s="2">
        <v>1</v>
      </c>
      <c r="F2279" s="2" t="s">
        <v>10086</v>
      </c>
      <c r="H2279" s="2">
        <v>1.1999999999999999E-3</v>
      </c>
      <c r="K2279" s="2" t="s">
        <v>10088</v>
      </c>
    </row>
    <row r="2280" spans="1:11" x14ac:dyDescent="0.2">
      <c r="A2280" s="2">
        <v>571</v>
      </c>
      <c r="B2280" s="2">
        <v>3</v>
      </c>
      <c r="C2280" s="2">
        <v>170174579</v>
      </c>
      <c r="D2280" s="2">
        <v>171134849</v>
      </c>
      <c r="E2280" s="2">
        <v>2</v>
      </c>
      <c r="F2280" s="2" t="s">
        <v>10086</v>
      </c>
      <c r="H2280" s="3">
        <v>8.9999999999999998E-4</v>
      </c>
      <c r="K2280" s="2" t="s">
        <v>10089</v>
      </c>
    </row>
    <row r="2281" spans="1:11" x14ac:dyDescent="0.2">
      <c r="A2281" s="2">
        <v>571</v>
      </c>
      <c r="B2281" s="2">
        <v>3</v>
      </c>
      <c r="C2281" s="2">
        <v>170174579</v>
      </c>
      <c r="D2281" s="2">
        <v>171134849</v>
      </c>
      <c r="E2281" s="2">
        <v>3</v>
      </c>
      <c r="F2281" s="2" t="s">
        <v>10086</v>
      </c>
      <c r="H2281" s="3">
        <v>8.0000000000000004E-4</v>
      </c>
      <c r="K2281" s="2" t="s">
        <v>10085</v>
      </c>
    </row>
    <row r="2282" spans="1:11" x14ac:dyDescent="0.2">
      <c r="A2282" s="2">
        <v>571</v>
      </c>
      <c r="B2282" s="2">
        <v>3</v>
      </c>
      <c r="C2282" s="2">
        <v>170174579</v>
      </c>
      <c r="D2282" s="2">
        <v>171134849</v>
      </c>
      <c r="E2282" s="2">
        <v>4</v>
      </c>
      <c r="F2282" s="2" t="s">
        <v>10086</v>
      </c>
      <c r="H2282" s="3">
        <v>5.9999999999999995E-4</v>
      </c>
      <c r="K2282" s="2" t="s">
        <v>10087</v>
      </c>
    </row>
    <row r="2283" spans="1:11" x14ac:dyDescent="0.2">
      <c r="A2283" s="2">
        <v>572</v>
      </c>
      <c r="B2283" s="2">
        <v>3</v>
      </c>
      <c r="C2283" s="2">
        <v>171134850</v>
      </c>
      <c r="D2283" s="2">
        <v>172004760</v>
      </c>
      <c r="E2283" s="2">
        <v>1</v>
      </c>
      <c r="F2283" s="2" t="s">
        <v>10086</v>
      </c>
      <c r="H2283" s="2">
        <v>1.8E-3</v>
      </c>
      <c r="K2283" s="2" t="s">
        <v>10089</v>
      </c>
    </row>
    <row r="2284" spans="1:11" x14ac:dyDescent="0.2">
      <c r="A2284" s="2">
        <v>572</v>
      </c>
      <c r="B2284" s="2">
        <v>3</v>
      </c>
      <c r="C2284" s="2">
        <v>171134850</v>
      </c>
      <c r="D2284" s="2">
        <v>172004760</v>
      </c>
      <c r="E2284" s="2">
        <v>2</v>
      </c>
      <c r="F2284" s="2" t="s">
        <v>10086</v>
      </c>
      <c r="H2284" s="2">
        <v>1.6000000000000001E-3</v>
      </c>
      <c r="K2284" s="2" t="s">
        <v>10088</v>
      </c>
    </row>
    <row r="2285" spans="1:11" x14ac:dyDescent="0.2">
      <c r="A2285" s="2">
        <v>572</v>
      </c>
      <c r="B2285" s="2">
        <v>3</v>
      </c>
      <c r="C2285" s="2">
        <v>171134850</v>
      </c>
      <c r="D2285" s="2">
        <v>172004760</v>
      </c>
      <c r="E2285" s="2">
        <v>3</v>
      </c>
      <c r="F2285" s="2" t="s">
        <v>10086</v>
      </c>
      <c r="H2285" s="3">
        <v>8.0000000000000004E-4</v>
      </c>
      <c r="K2285" s="2" t="s">
        <v>10085</v>
      </c>
    </row>
    <row r="2286" spans="1:11" x14ac:dyDescent="0.2">
      <c r="A2286" s="2">
        <v>572</v>
      </c>
      <c r="B2286" s="2">
        <v>3</v>
      </c>
      <c r="C2286" s="2">
        <v>171134850</v>
      </c>
      <c r="D2286" s="2">
        <v>172004760</v>
      </c>
      <c r="E2286" s="2">
        <v>4</v>
      </c>
      <c r="F2286" s="2" t="s">
        <v>10086</v>
      </c>
      <c r="H2286" s="3">
        <v>2.9999999999999997E-4</v>
      </c>
      <c r="K2286" s="2" t="s">
        <v>10087</v>
      </c>
    </row>
    <row r="2287" spans="1:11" x14ac:dyDescent="0.2">
      <c r="A2287" s="2">
        <v>573</v>
      </c>
      <c r="B2287" s="2">
        <v>3</v>
      </c>
      <c r="C2287" s="2">
        <v>172004761</v>
      </c>
      <c r="D2287" s="2">
        <v>173415591</v>
      </c>
      <c r="E2287" s="2">
        <v>1</v>
      </c>
      <c r="F2287" s="2" t="s">
        <v>10086</v>
      </c>
      <c r="H2287" s="2">
        <v>2.3E-3</v>
      </c>
      <c r="K2287" s="2" t="s">
        <v>10088</v>
      </c>
    </row>
    <row r="2288" spans="1:11" x14ac:dyDescent="0.2">
      <c r="A2288" s="2">
        <v>573</v>
      </c>
      <c r="B2288" s="2">
        <v>3</v>
      </c>
      <c r="C2288" s="2">
        <v>172004761</v>
      </c>
      <c r="D2288" s="2">
        <v>173415591</v>
      </c>
      <c r="E2288" s="2">
        <v>2</v>
      </c>
      <c r="F2288" s="2" t="s">
        <v>10086</v>
      </c>
      <c r="H2288" s="2">
        <v>1.2999999999999999E-3</v>
      </c>
      <c r="K2288" s="2" t="s">
        <v>10085</v>
      </c>
    </row>
    <row r="2289" spans="1:11" x14ac:dyDescent="0.2">
      <c r="A2289" s="2">
        <v>573</v>
      </c>
      <c r="B2289" s="2">
        <v>3</v>
      </c>
      <c r="C2289" s="2">
        <v>172004761</v>
      </c>
      <c r="D2289" s="2">
        <v>173415591</v>
      </c>
      <c r="E2289" s="2">
        <v>3</v>
      </c>
      <c r="F2289" s="2" t="s">
        <v>10086</v>
      </c>
      <c r="H2289" s="2">
        <v>1.1999999999999999E-3</v>
      </c>
      <c r="K2289" s="2" t="s">
        <v>10089</v>
      </c>
    </row>
    <row r="2290" spans="1:11" x14ac:dyDescent="0.2">
      <c r="A2290" s="2">
        <v>573</v>
      </c>
      <c r="B2290" s="2">
        <v>3</v>
      </c>
      <c r="C2290" s="2">
        <v>172004761</v>
      </c>
      <c r="D2290" s="2">
        <v>173415591</v>
      </c>
      <c r="E2290" s="2">
        <v>4</v>
      </c>
      <c r="F2290" s="2" t="s">
        <v>10086</v>
      </c>
      <c r="H2290" s="3">
        <v>8.0000000000000004E-4</v>
      </c>
      <c r="K2290" s="2" t="s">
        <v>10087</v>
      </c>
    </row>
    <row r="2291" spans="1:11" x14ac:dyDescent="0.2">
      <c r="A2291" s="2">
        <v>574</v>
      </c>
      <c r="B2291" s="2">
        <v>3</v>
      </c>
      <c r="C2291" s="2">
        <v>173415592</v>
      </c>
      <c r="D2291" s="2">
        <v>174684707</v>
      </c>
      <c r="E2291" s="2">
        <v>1</v>
      </c>
      <c r="F2291" s="2" t="s">
        <v>10086</v>
      </c>
      <c r="H2291" s="2">
        <v>1.8E-3</v>
      </c>
      <c r="K2291" s="2" t="s">
        <v>10085</v>
      </c>
    </row>
    <row r="2292" spans="1:11" x14ac:dyDescent="0.2">
      <c r="A2292" s="2">
        <v>574</v>
      </c>
      <c r="B2292" s="2">
        <v>3</v>
      </c>
      <c r="C2292" s="2">
        <v>173415592</v>
      </c>
      <c r="D2292" s="2">
        <v>174684707</v>
      </c>
      <c r="E2292" s="2">
        <v>2</v>
      </c>
      <c r="F2292" s="2" t="s">
        <v>10086</v>
      </c>
      <c r="H2292" s="2">
        <v>2.0999999999999999E-3</v>
      </c>
      <c r="K2292" s="2" t="s">
        <v>10088</v>
      </c>
    </row>
    <row r="2293" spans="1:11" x14ac:dyDescent="0.2">
      <c r="A2293" s="2">
        <v>574</v>
      </c>
      <c r="B2293" s="2">
        <v>3</v>
      </c>
      <c r="C2293" s="2">
        <v>173415592</v>
      </c>
      <c r="D2293" s="2">
        <v>174684707</v>
      </c>
      <c r="E2293" s="2">
        <v>3</v>
      </c>
      <c r="F2293" s="2" t="s">
        <v>10086</v>
      </c>
      <c r="H2293" s="2">
        <v>1.1000000000000001E-3</v>
      </c>
      <c r="K2293" s="2" t="s">
        <v>10087</v>
      </c>
    </row>
    <row r="2294" spans="1:11" x14ac:dyDescent="0.2">
      <c r="A2294" s="2">
        <v>574</v>
      </c>
      <c r="B2294" s="2">
        <v>3</v>
      </c>
      <c r="C2294" s="2">
        <v>173415592</v>
      </c>
      <c r="D2294" s="2">
        <v>174684707</v>
      </c>
      <c r="E2294" s="2">
        <v>4</v>
      </c>
      <c r="F2294" s="2" t="s">
        <v>10086</v>
      </c>
      <c r="H2294" s="3">
        <v>4.0000000000000002E-4</v>
      </c>
      <c r="K2294" s="2" t="s">
        <v>10089</v>
      </c>
    </row>
    <row r="2295" spans="1:11" x14ac:dyDescent="0.2">
      <c r="A2295" s="2">
        <v>575</v>
      </c>
      <c r="B2295" s="2">
        <v>3</v>
      </c>
      <c r="C2295" s="2">
        <v>174684708</v>
      </c>
      <c r="D2295" s="2">
        <v>175671424</v>
      </c>
      <c r="E2295" s="2">
        <v>1</v>
      </c>
      <c r="F2295" s="2" t="s">
        <v>10086</v>
      </c>
      <c r="H2295" s="2">
        <v>4.0000000000000001E-3</v>
      </c>
      <c r="K2295" s="2" t="s">
        <v>10088</v>
      </c>
    </row>
    <row r="2296" spans="1:11" x14ac:dyDescent="0.2">
      <c r="A2296" s="2">
        <v>575</v>
      </c>
      <c r="B2296" s="2">
        <v>3</v>
      </c>
      <c r="C2296" s="2">
        <v>174684708</v>
      </c>
      <c r="D2296" s="2">
        <v>175671424</v>
      </c>
      <c r="E2296" s="2">
        <v>2</v>
      </c>
      <c r="F2296" s="2" t="s">
        <v>10086</v>
      </c>
      <c r="H2296" s="2">
        <v>1.9E-3</v>
      </c>
      <c r="K2296" s="2" t="s">
        <v>10085</v>
      </c>
    </row>
    <row r="2297" spans="1:11" x14ac:dyDescent="0.2">
      <c r="A2297" s="2">
        <v>575</v>
      </c>
      <c r="B2297" s="2">
        <v>3</v>
      </c>
      <c r="C2297" s="2">
        <v>174684708</v>
      </c>
      <c r="D2297" s="2">
        <v>175671424</v>
      </c>
      <c r="E2297" s="2">
        <v>3</v>
      </c>
      <c r="F2297" s="2" t="s">
        <v>10086</v>
      </c>
      <c r="H2297" s="2">
        <v>1E-3</v>
      </c>
      <c r="K2297" s="2" t="s">
        <v>10089</v>
      </c>
    </row>
    <row r="2298" spans="1:11" x14ac:dyDescent="0.2">
      <c r="A2298" s="2">
        <v>575</v>
      </c>
      <c r="B2298" s="2">
        <v>3</v>
      </c>
      <c r="C2298" s="2">
        <v>174684708</v>
      </c>
      <c r="D2298" s="2">
        <v>175671424</v>
      </c>
      <c r="E2298" s="2">
        <v>4</v>
      </c>
      <c r="F2298" s="2" t="s">
        <v>10086</v>
      </c>
      <c r="H2298" s="3">
        <v>5.0000000000000001E-4</v>
      </c>
      <c r="K2298" s="2" t="s">
        <v>10087</v>
      </c>
    </row>
    <row r="2299" spans="1:11" x14ac:dyDescent="0.2">
      <c r="A2299" s="2">
        <v>576</v>
      </c>
      <c r="B2299" s="2">
        <v>3</v>
      </c>
      <c r="C2299" s="2">
        <v>175671425</v>
      </c>
      <c r="D2299" s="2">
        <v>176931163</v>
      </c>
      <c r="E2299" s="2">
        <v>1</v>
      </c>
      <c r="F2299" s="2" t="s">
        <v>10086</v>
      </c>
      <c r="H2299" s="2">
        <v>6.4000000000000003E-3</v>
      </c>
      <c r="K2299" s="2" t="s">
        <v>10087</v>
      </c>
    </row>
    <row r="2300" spans="1:11" x14ac:dyDescent="0.2">
      <c r="A2300" s="2">
        <v>576</v>
      </c>
      <c r="B2300" s="2">
        <v>3</v>
      </c>
      <c r="C2300" s="2">
        <v>175671425</v>
      </c>
      <c r="D2300" s="2">
        <v>176931163</v>
      </c>
      <c r="E2300" s="2">
        <v>2</v>
      </c>
      <c r="F2300" s="2" t="s">
        <v>10086</v>
      </c>
      <c r="H2300" s="2">
        <v>2.2000000000000001E-3</v>
      </c>
      <c r="K2300" s="2" t="s">
        <v>10088</v>
      </c>
    </row>
    <row r="2301" spans="1:11" x14ac:dyDescent="0.2">
      <c r="A2301" s="2">
        <v>576</v>
      </c>
      <c r="B2301" s="2">
        <v>3</v>
      </c>
      <c r="C2301" s="2">
        <v>175671425</v>
      </c>
      <c r="D2301" s="2">
        <v>176931163</v>
      </c>
      <c r="E2301" s="2">
        <v>3</v>
      </c>
      <c r="F2301" s="2" t="s">
        <v>10086</v>
      </c>
      <c r="H2301" s="2">
        <v>1.1000000000000001E-3</v>
      </c>
      <c r="K2301" s="2" t="s">
        <v>10089</v>
      </c>
    </row>
    <row r="2302" spans="1:11" x14ac:dyDescent="0.2">
      <c r="A2302" s="2">
        <v>576</v>
      </c>
      <c r="B2302" s="2">
        <v>3</v>
      </c>
      <c r="C2302" s="2">
        <v>175671425</v>
      </c>
      <c r="D2302" s="2">
        <v>176931163</v>
      </c>
      <c r="E2302" s="2">
        <v>4</v>
      </c>
      <c r="F2302" s="2" t="s">
        <v>10086</v>
      </c>
      <c r="H2302" s="3">
        <v>4.0000000000000002E-4</v>
      </c>
      <c r="K2302" s="2" t="s">
        <v>10085</v>
      </c>
    </row>
    <row r="2303" spans="1:11" x14ac:dyDescent="0.2">
      <c r="A2303" s="2">
        <v>577</v>
      </c>
      <c r="B2303" s="2">
        <v>3</v>
      </c>
      <c r="C2303" s="2">
        <v>176931164</v>
      </c>
      <c r="D2303" s="2">
        <v>178110322</v>
      </c>
      <c r="E2303" s="2">
        <v>1</v>
      </c>
      <c r="F2303" s="2" t="s">
        <v>10086</v>
      </c>
      <c r="H2303" s="2">
        <v>2.5000000000000001E-3</v>
      </c>
      <c r="K2303" s="2" t="s">
        <v>10085</v>
      </c>
    </row>
    <row r="2304" spans="1:11" x14ac:dyDescent="0.2">
      <c r="A2304" s="2">
        <v>577</v>
      </c>
      <c r="B2304" s="2">
        <v>3</v>
      </c>
      <c r="C2304" s="2">
        <v>176931164</v>
      </c>
      <c r="D2304" s="2">
        <v>178110322</v>
      </c>
      <c r="E2304" s="2">
        <v>2</v>
      </c>
      <c r="F2304" s="2" t="s">
        <v>10086</v>
      </c>
      <c r="H2304" s="2">
        <v>2.0999999999999999E-3</v>
      </c>
      <c r="K2304" s="2" t="s">
        <v>10088</v>
      </c>
    </row>
    <row r="2305" spans="1:11" x14ac:dyDescent="0.2">
      <c r="A2305" s="2">
        <v>577</v>
      </c>
      <c r="B2305" s="2">
        <v>3</v>
      </c>
      <c r="C2305" s="2">
        <v>176931164</v>
      </c>
      <c r="D2305" s="2">
        <v>178110322</v>
      </c>
      <c r="E2305" s="2">
        <v>3</v>
      </c>
      <c r="F2305" s="2" t="s">
        <v>10086</v>
      </c>
      <c r="H2305" s="2">
        <v>1.1999999999999999E-3</v>
      </c>
      <c r="K2305" s="2" t="s">
        <v>10089</v>
      </c>
    </row>
    <row r="2306" spans="1:11" x14ac:dyDescent="0.2">
      <c r="A2306" s="2">
        <v>577</v>
      </c>
      <c r="B2306" s="2">
        <v>3</v>
      </c>
      <c r="C2306" s="2">
        <v>176931164</v>
      </c>
      <c r="D2306" s="2">
        <v>178110322</v>
      </c>
      <c r="E2306" s="2">
        <v>4</v>
      </c>
      <c r="F2306" s="2" t="s">
        <v>10086</v>
      </c>
      <c r="H2306" s="3">
        <v>5.0000000000000001E-4</v>
      </c>
      <c r="K2306" s="2" t="s">
        <v>10087</v>
      </c>
    </row>
    <row r="2307" spans="1:11" x14ac:dyDescent="0.2">
      <c r="A2307" s="2">
        <v>578</v>
      </c>
      <c r="B2307" s="2">
        <v>3</v>
      </c>
      <c r="C2307" s="2">
        <v>178110323</v>
      </c>
      <c r="D2307" s="2">
        <v>179372165</v>
      </c>
      <c r="E2307" s="2">
        <v>1</v>
      </c>
      <c r="F2307" s="2" t="s">
        <v>10086</v>
      </c>
      <c r="H2307" s="2">
        <v>3.7000000000000002E-3</v>
      </c>
      <c r="K2307" s="2" t="s">
        <v>10088</v>
      </c>
    </row>
    <row r="2308" spans="1:11" x14ac:dyDescent="0.2">
      <c r="A2308" s="2">
        <v>578</v>
      </c>
      <c r="B2308" s="2">
        <v>3</v>
      </c>
      <c r="C2308" s="2">
        <v>178110323</v>
      </c>
      <c r="D2308" s="2">
        <v>179372165</v>
      </c>
      <c r="E2308" s="2">
        <v>2</v>
      </c>
      <c r="F2308" s="2" t="s">
        <v>10086</v>
      </c>
      <c r="H2308" s="2">
        <v>1.8E-3</v>
      </c>
      <c r="K2308" s="2" t="s">
        <v>10085</v>
      </c>
    </row>
    <row r="2309" spans="1:11" x14ac:dyDescent="0.2">
      <c r="A2309" s="2">
        <v>578</v>
      </c>
      <c r="B2309" s="2">
        <v>3</v>
      </c>
      <c r="C2309" s="2">
        <v>178110323</v>
      </c>
      <c r="D2309" s="2">
        <v>179372165</v>
      </c>
      <c r="E2309" s="2">
        <v>3</v>
      </c>
      <c r="F2309" s="2" t="s">
        <v>10086</v>
      </c>
      <c r="H2309" s="2">
        <v>1E-3</v>
      </c>
      <c r="K2309" s="2" t="s">
        <v>10087</v>
      </c>
    </row>
    <row r="2310" spans="1:11" x14ac:dyDescent="0.2">
      <c r="A2310" s="2">
        <v>578</v>
      </c>
      <c r="B2310" s="2">
        <v>3</v>
      </c>
      <c r="C2310" s="2">
        <v>178110323</v>
      </c>
      <c r="D2310" s="2">
        <v>179372165</v>
      </c>
      <c r="E2310" s="2">
        <v>4</v>
      </c>
      <c r="F2310" s="2" t="s">
        <v>10086</v>
      </c>
      <c r="H2310" s="3">
        <v>4.0000000000000002E-4</v>
      </c>
      <c r="K2310" s="2" t="s">
        <v>10089</v>
      </c>
    </row>
    <row r="2311" spans="1:11" x14ac:dyDescent="0.2">
      <c r="A2311" s="2">
        <v>579</v>
      </c>
      <c r="B2311" s="2">
        <v>3</v>
      </c>
      <c r="C2311" s="2">
        <v>179372166</v>
      </c>
      <c r="D2311" s="2">
        <v>181424323</v>
      </c>
      <c r="E2311" s="2">
        <v>1</v>
      </c>
      <c r="F2311" s="2" t="s">
        <v>10086</v>
      </c>
      <c r="H2311" s="2">
        <v>3.49E-2</v>
      </c>
      <c r="K2311" s="2" t="s">
        <v>10088</v>
      </c>
    </row>
    <row r="2312" spans="1:11" x14ac:dyDescent="0.2">
      <c r="A2312" s="2">
        <v>579</v>
      </c>
      <c r="B2312" s="2">
        <v>3</v>
      </c>
      <c r="C2312" s="2">
        <v>179372166</v>
      </c>
      <c r="D2312" s="2">
        <v>181424323</v>
      </c>
      <c r="E2312" s="2">
        <v>2</v>
      </c>
      <c r="F2312" s="2" t="s">
        <v>10086</v>
      </c>
      <c r="H2312" s="2">
        <v>4.1000000000000003E-3</v>
      </c>
      <c r="K2312" s="2" t="s">
        <v>10085</v>
      </c>
    </row>
    <row r="2313" spans="1:11" x14ac:dyDescent="0.2">
      <c r="A2313" s="2">
        <v>579</v>
      </c>
      <c r="B2313" s="2">
        <v>3</v>
      </c>
      <c r="C2313" s="2">
        <v>179372166</v>
      </c>
      <c r="D2313" s="2">
        <v>181424323</v>
      </c>
      <c r="E2313" s="2">
        <v>3</v>
      </c>
      <c r="F2313" s="2" t="s">
        <v>10086</v>
      </c>
      <c r="H2313" s="2">
        <v>2E-3</v>
      </c>
      <c r="K2313" s="2" t="s">
        <v>10089</v>
      </c>
    </row>
    <row r="2314" spans="1:11" x14ac:dyDescent="0.2">
      <c r="A2314" s="2">
        <v>579</v>
      </c>
      <c r="B2314" s="2">
        <v>3</v>
      </c>
      <c r="C2314" s="2">
        <v>179372166</v>
      </c>
      <c r="D2314" s="2">
        <v>181424323</v>
      </c>
      <c r="E2314" s="2">
        <v>4</v>
      </c>
      <c r="F2314" s="2" t="s">
        <v>10086</v>
      </c>
      <c r="H2314" s="3">
        <v>8.0000000000000004E-4</v>
      </c>
      <c r="K2314" s="2" t="s">
        <v>10087</v>
      </c>
    </row>
    <row r="2315" spans="1:11" x14ac:dyDescent="0.2">
      <c r="A2315" s="2">
        <v>580</v>
      </c>
      <c r="B2315" s="2">
        <v>3</v>
      </c>
      <c r="C2315" s="2">
        <v>181424324</v>
      </c>
      <c r="D2315" s="2">
        <v>183203155</v>
      </c>
      <c r="E2315" s="2">
        <v>1</v>
      </c>
      <c r="F2315" s="2" t="s">
        <v>10086</v>
      </c>
      <c r="H2315" s="2">
        <v>1.0800000000000001E-2</v>
      </c>
      <c r="K2315" s="2" t="s">
        <v>12324</v>
      </c>
    </row>
    <row r="2316" spans="1:11" x14ac:dyDescent="0.2">
      <c r="A2316" s="2">
        <v>580</v>
      </c>
      <c r="B2316" s="2">
        <v>3</v>
      </c>
      <c r="C2316" s="2">
        <v>181424324</v>
      </c>
      <c r="D2316" s="2">
        <v>183203155</v>
      </c>
      <c r="E2316" s="2">
        <v>2</v>
      </c>
      <c r="F2316" s="2" t="s">
        <v>10086</v>
      </c>
      <c r="H2316" s="2">
        <v>1.6999999999999999E-3</v>
      </c>
      <c r="K2316" s="2" t="s">
        <v>10087</v>
      </c>
    </row>
    <row r="2317" spans="1:11" x14ac:dyDescent="0.2">
      <c r="A2317" s="2">
        <v>580</v>
      </c>
      <c r="B2317" s="2">
        <v>3</v>
      </c>
      <c r="C2317" s="2">
        <v>181424324</v>
      </c>
      <c r="D2317" s="2">
        <v>183203155</v>
      </c>
      <c r="E2317" s="2">
        <v>3</v>
      </c>
      <c r="F2317" s="2" t="s">
        <v>10086</v>
      </c>
      <c r="H2317" s="2">
        <v>1.4E-3</v>
      </c>
      <c r="K2317" s="2" t="s">
        <v>10085</v>
      </c>
    </row>
    <row r="2318" spans="1:11" x14ac:dyDescent="0.2">
      <c r="A2318" s="2">
        <v>580</v>
      </c>
      <c r="B2318" s="2">
        <v>3</v>
      </c>
      <c r="C2318" s="2">
        <v>181424324</v>
      </c>
      <c r="D2318" s="2">
        <v>183203155</v>
      </c>
      <c r="E2318" s="2">
        <v>4</v>
      </c>
      <c r="F2318" s="2" t="s">
        <v>10086</v>
      </c>
      <c r="H2318" s="2">
        <v>1.1000000000000001E-3</v>
      </c>
      <c r="K2318" s="2" t="s">
        <v>10088</v>
      </c>
    </row>
    <row r="2319" spans="1:11" x14ac:dyDescent="0.2">
      <c r="A2319" s="2">
        <v>581</v>
      </c>
      <c r="B2319" s="2">
        <v>3</v>
      </c>
      <c r="C2319" s="2">
        <v>183203156</v>
      </c>
      <c r="D2319" s="2">
        <v>184524268</v>
      </c>
      <c r="E2319" s="2">
        <v>1</v>
      </c>
      <c r="F2319" s="2" t="s">
        <v>10086</v>
      </c>
      <c r="H2319" s="2">
        <v>3.8999999999999998E-3</v>
      </c>
      <c r="K2319" s="2" t="s">
        <v>10088</v>
      </c>
    </row>
    <row r="2320" spans="1:11" x14ac:dyDescent="0.2">
      <c r="A2320" s="2">
        <v>581</v>
      </c>
      <c r="B2320" s="2">
        <v>3</v>
      </c>
      <c r="C2320" s="2">
        <v>183203156</v>
      </c>
      <c r="D2320" s="2">
        <v>184524268</v>
      </c>
      <c r="E2320" s="2">
        <v>2</v>
      </c>
      <c r="F2320" s="2" t="s">
        <v>10086</v>
      </c>
      <c r="H2320" s="2">
        <v>1.4E-3</v>
      </c>
      <c r="K2320" s="2" t="s">
        <v>10087</v>
      </c>
    </row>
    <row r="2321" spans="1:11" x14ac:dyDescent="0.2">
      <c r="A2321" s="2">
        <v>581</v>
      </c>
      <c r="B2321" s="2">
        <v>3</v>
      </c>
      <c r="C2321" s="2">
        <v>183203156</v>
      </c>
      <c r="D2321" s="2">
        <v>184524268</v>
      </c>
      <c r="E2321" s="2">
        <v>3</v>
      </c>
      <c r="F2321" s="2" t="s">
        <v>10086</v>
      </c>
      <c r="H2321" s="3">
        <v>8.9999999999999998E-4</v>
      </c>
      <c r="K2321" s="2" t="s">
        <v>10089</v>
      </c>
    </row>
    <row r="2322" spans="1:11" x14ac:dyDescent="0.2">
      <c r="A2322" s="2">
        <v>581</v>
      </c>
      <c r="B2322" s="2">
        <v>3</v>
      </c>
      <c r="C2322" s="2">
        <v>183203156</v>
      </c>
      <c r="D2322" s="2">
        <v>184524268</v>
      </c>
      <c r="E2322" s="2">
        <v>4</v>
      </c>
      <c r="F2322" s="2" t="s">
        <v>10086</v>
      </c>
      <c r="H2322" s="3">
        <v>5.9999999999999995E-4</v>
      </c>
      <c r="K2322" s="2" t="s">
        <v>10085</v>
      </c>
    </row>
    <row r="2323" spans="1:11" x14ac:dyDescent="0.2">
      <c r="A2323" s="2">
        <v>582</v>
      </c>
      <c r="B2323" s="2">
        <v>3</v>
      </c>
      <c r="C2323" s="2">
        <v>184524269</v>
      </c>
      <c r="D2323" s="2">
        <v>185709996</v>
      </c>
      <c r="E2323" s="2">
        <v>1</v>
      </c>
      <c r="F2323" s="2" t="s">
        <v>10086</v>
      </c>
      <c r="H2323" s="2">
        <v>9.1999999999999998E-3</v>
      </c>
      <c r="K2323" s="2" t="s">
        <v>10087</v>
      </c>
    </row>
    <row r="2324" spans="1:11" x14ac:dyDescent="0.2">
      <c r="A2324" s="2">
        <v>582</v>
      </c>
      <c r="B2324" s="2">
        <v>3</v>
      </c>
      <c r="C2324" s="2">
        <v>184524269</v>
      </c>
      <c r="D2324" s="2">
        <v>185709996</v>
      </c>
      <c r="E2324" s="2">
        <v>2</v>
      </c>
      <c r="F2324" s="2" t="s">
        <v>10086</v>
      </c>
      <c r="H2324" s="2">
        <v>1.8E-3</v>
      </c>
      <c r="K2324" s="2" t="s">
        <v>10089</v>
      </c>
    </row>
    <row r="2325" spans="1:11" x14ac:dyDescent="0.2">
      <c r="A2325" s="2">
        <v>582</v>
      </c>
      <c r="B2325" s="2">
        <v>3</v>
      </c>
      <c r="C2325" s="2">
        <v>184524269</v>
      </c>
      <c r="D2325" s="2">
        <v>185709996</v>
      </c>
      <c r="E2325" s="2">
        <v>3</v>
      </c>
      <c r="F2325" s="2" t="s">
        <v>10086</v>
      </c>
      <c r="H2325" s="2">
        <v>2.0999999999999999E-3</v>
      </c>
      <c r="K2325" s="2" t="s">
        <v>10088</v>
      </c>
    </row>
    <row r="2326" spans="1:11" x14ac:dyDescent="0.2">
      <c r="A2326" s="2">
        <v>582</v>
      </c>
      <c r="B2326" s="2">
        <v>3</v>
      </c>
      <c r="C2326" s="2">
        <v>184524269</v>
      </c>
      <c r="D2326" s="2">
        <v>185709996</v>
      </c>
      <c r="E2326" s="2">
        <v>4</v>
      </c>
      <c r="F2326" s="2" t="s">
        <v>10086</v>
      </c>
      <c r="H2326" s="3">
        <v>4.0000000000000002E-4</v>
      </c>
      <c r="K2326" s="2" t="s">
        <v>10085</v>
      </c>
    </row>
    <row r="2327" spans="1:11" x14ac:dyDescent="0.2">
      <c r="A2327" s="2">
        <v>583</v>
      </c>
      <c r="B2327" s="2">
        <v>3</v>
      </c>
      <c r="C2327" s="2">
        <v>185709997</v>
      </c>
      <c r="D2327" s="2">
        <v>186602045</v>
      </c>
      <c r="E2327" s="2">
        <v>1</v>
      </c>
      <c r="F2327" s="2" t="s">
        <v>10086</v>
      </c>
      <c r="H2327" s="2">
        <v>1.2999999999999999E-3</v>
      </c>
      <c r="K2327" s="2" t="s">
        <v>10085</v>
      </c>
    </row>
    <row r="2328" spans="1:11" x14ac:dyDescent="0.2">
      <c r="A2328" s="2">
        <v>583</v>
      </c>
      <c r="B2328" s="2">
        <v>3</v>
      </c>
      <c r="C2328" s="2">
        <v>185709997</v>
      </c>
      <c r="D2328" s="2">
        <v>186602045</v>
      </c>
      <c r="E2328" s="2">
        <v>2</v>
      </c>
      <c r="F2328" s="2" t="s">
        <v>10086</v>
      </c>
      <c r="H2328" s="2">
        <v>1.1000000000000001E-3</v>
      </c>
      <c r="K2328" s="2" t="s">
        <v>10089</v>
      </c>
    </row>
    <row r="2329" spans="1:11" x14ac:dyDescent="0.2">
      <c r="A2329" s="2">
        <v>583</v>
      </c>
      <c r="B2329" s="2">
        <v>3</v>
      </c>
      <c r="C2329" s="2">
        <v>185709997</v>
      </c>
      <c r="D2329" s="2">
        <v>186602045</v>
      </c>
      <c r="E2329" s="2">
        <v>3</v>
      </c>
      <c r="F2329" s="2" t="s">
        <v>10086</v>
      </c>
      <c r="H2329" s="3">
        <v>6.9999999999999999E-4</v>
      </c>
      <c r="K2329" s="2" t="s">
        <v>10088</v>
      </c>
    </row>
    <row r="2330" spans="1:11" x14ac:dyDescent="0.2">
      <c r="A2330" s="2">
        <v>583</v>
      </c>
      <c r="B2330" s="2">
        <v>3</v>
      </c>
      <c r="C2330" s="2">
        <v>185709997</v>
      </c>
      <c r="D2330" s="2">
        <v>186602045</v>
      </c>
      <c r="E2330" s="2">
        <v>4</v>
      </c>
      <c r="F2330" s="2" t="s">
        <v>10086</v>
      </c>
      <c r="H2330" s="3">
        <v>4.0000000000000002E-4</v>
      </c>
      <c r="K2330" s="2" t="s">
        <v>10087</v>
      </c>
    </row>
    <row r="2331" spans="1:11" x14ac:dyDescent="0.2">
      <c r="A2331" s="2">
        <v>584</v>
      </c>
      <c r="B2331" s="2">
        <v>3</v>
      </c>
      <c r="C2331" s="2">
        <v>186602046</v>
      </c>
      <c r="D2331" s="2">
        <v>187939199</v>
      </c>
      <c r="E2331" s="2">
        <v>1</v>
      </c>
      <c r="F2331" s="2" t="s">
        <v>10086</v>
      </c>
      <c r="H2331" s="2">
        <v>2.64E-2</v>
      </c>
      <c r="K2331" s="2" t="s">
        <v>10085</v>
      </c>
    </row>
    <row r="2332" spans="1:11" x14ac:dyDescent="0.2">
      <c r="A2332" s="2">
        <v>584</v>
      </c>
      <c r="B2332" s="2">
        <v>3</v>
      </c>
      <c r="C2332" s="2">
        <v>186602046</v>
      </c>
      <c r="D2332" s="2">
        <v>187939199</v>
      </c>
      <c r="E2332" s="2">
        <v>2</v>
      </c>
      <c r="F2332" s="2" t="s">
        <v>10086</v>
      </c>
      <c r="H2332" s="2">
        <v>5.1999999999999998E-3</v>
      </c>
      <c r="K2332" s="2" t="s">
        <v>10088</v>
      </c>
    </row>
    <row r="2333" spans="1:11" x14ac:dyDescent="0.2">
      <c r="A2333" s="2">
        <v>584</v>
      </c>
      <c r="B2333" s="2">
        <v>3</v>
      </c>
      <c r="C2333" s="2">
        <v>186602046</v>
      </c>
      <c r="D2333" s="2">
        <v>187939199</v>
      </c>
      <c r="E2333" s="2">
        <v>3</v>
      </c>
      <c r="F2333" s="2" t="s">
        <v>10086</v>
      </c>
      <c r="H2333" s="2">
        <v>1.6000000000000001E-3</v>
      </c>
      <c r="K2333" s="2" t="s">
        <v>10087</v>
      </c>
    </row>
    <row r="2334" spans="1:11" x14ac:dyDescent="0.2">
      <c r="A2334" s="2">
        <v>584</v>
      </c>
      <c r="B2334" s="2">
        <v>3</v>
      </c>
      <c r="C2334" s="2">
        <v>186602046</v>
      </c>
      <c r="D2334" s="2">
        <v>187939199</v>
      </c>
      <c r="E2334" s="2">
        <v>4</v>
      </c>
      <c r="F2334" s="2" t="s">
        <v>10086</v>
      </c>
      <c r="H2334" s="2">
        <v>1E-3</v>
      </c>
      <c r="K2334" s="2" t="s">
        <v>10089</v>
      </c>
    </row>
    <row r="2335" spans="1:11" x14ac:dyDescent="0.2">
      <c r="A2335" s="2">
        <v>585</v>
      </c>
      <c r="B2335" s="2">
        <v>3</v>
      </c>
      <c r="C2335" s="2">
        <v>187939200</v>
      </c>
      <c r="D2335" s="2">
        <v>189451805</v>
      </c>
      <c r="E2335" s="2">
        <v>1</v>
      </c>
      <c r="F2335" s="2" t="s">
        <v>10086</v>
      </c>
      <c r="H2335" s="2">
        <v>3.8999999999999998E-3</v>
      </c>
      <c r="K2335" s="2" t="s">
        <v>10089</v>
      </c>
    </row>
    <row r="2336" spans="1:11" x14ac:dyDescent="0.2">
      <c r="A2336" s="2">
        <v>585</v>
      </c>
      <c r="B2336" s="2">
        <v>3</v>
      </c>
      <c r="C2336" s="2">
        <v>187939200</v>
      </c>
      <c r="D2336" s="2">
        <v>189451805</v>
      </c>
      <c r="E2336" s="2">
        <v>2</v>
      </c>
      <c r="F2336" s="2" t="s">
        <v>10086</v>
      </c>
      <c r="H2336" s="2">
        <v>2.5000000000000001E-3</v>
      </c>
      <c r="K2336" s="2" t="s">
        <v>10087</v>
      </c>
    </row>
    <row r="2337" spans="1:11" x14ac:dyDescent="0.2">
      <c r="A2337" s="2">
        <v>585</v>
      </c>
      <c r="B2337" s="2">
        <v>3</v>
      </c>
      <c r="C2337" s="2">
        <v>187939200</v>
      </c>
      <c r="D2337" s="2">
        <v>189451805</v>
      </c>
      <c r="E2337" s="2">
        <v>3</v>
      </c>
      <c r="F2337" s="2" t="s">
        <v>10086</v>
      </c>
      <c r="H2337" s="2">
        <v>1.9E-3</v>
      </c>
      <c r="K2337" s="2" t="s">
        <v>10085</v>
      </c>
    </row>
    <row r="2338" spans="1:11" x14ac:dyDescent="0.2">
      <c r="A2338" s="2">
        <v>585</v>
      </c>
      <c r="B2338" s="2">
        <v>3</v>
      </c>
      <c r="C2338" s="2">
        <v>187939200</v>
      </c>
      <c r="D2338" s="2">
        <v>189451805</v>
      </c>
      <c r="E2338" s="2">
        <v>4</v>
      </c>
      <c r="F2338" s="2" t="s">
        <v>10086</v>
      </c>
      <c r="H2338" s="2">
        <v>1.1000000000000001E-3</v>
      </c>
      <c r="K2338" s="2" t="s">
        <v>10088</v>
      </c>
    </row>
    <row r="2339" spans="1:11" x14ac:dyDescent="0.2">
      <c r="A2339" s="2">
        <v>586</v>
      </c>
      <c r="B2339" s="2">
        <v>3</v>
      </c>
      <c r="C2339" s="2">
        <v>189451806</v>
      </c>
      <c r="D2339" s="2">
        <v>190591293</v>
      </c>
      <c r="E2339" s="2">
        <v>1</v>
      </c>
      <c r="F2339" s="2" t="s">
        <v>10086</v>
      </c>
      <c r="H2339" s="2">
        <v>2E-3</v>
      </c>
      <c r="K2339" s="2" t="s">
        <v>12324</v>
      </c>
    </row>
    <row r="2340" spans="1:11" x14ac:dyDescent="0.2">
      <c r="A2340" s="2">
        <v>586</v>
      </c>
      <c r="B2340" s="2">
        <v>3</v>
      </c>
      <c r="C2340" s="2">
        <v>189451806</v>
      </c>
      <c r="D2340" s="2">
        <v>190591293</v>
      </c>
      <c r="E2340" s="2">
        <v>2</v>
      </c>
      <c r="F2340" s="2" t="s">
        <v>10086</v>
      </c>
      <c r="H2340" s="2">
        <v>1.8E-3</v>
      </c>
      <c r="K2340" s="2" t="s">
        <v>10088</v>
      </c>
    </row>
    <row r="2341" spans="1:11" x14ac:dyDescent="0.2">
      <c r="A2341" s="2">
        <v>586</v>
      </c>
      <c r="B2341" s="2">
        <v>3</v>
      </c>
      <c r="C2341" s="2">
        <v>189451806</v>
      </c>
      <c r="D2341" s="2">
        <v>190591293</v>
      </c>
      <c r="E2341" s="2">
        <v>3</v>
      </c>
      <c r="F2341" s="2" t="s">
        <v>10086</v>
      </c>
      <c r="H2341" s="2">
        <v>1.8E-3</v>
      </c>
      <c r="K2341" s="2" t="s">
        <v>10085</v>
      </c>
    </row>
    <row r="2342" spans="1:11" x14ac:dyDescent="0.2">
      <c r="A2342" s="2">
        <v>586</v>
      </c>
      <c r="B2342" s="2">
        <v>3</v>
      </c>
      <c r="C2342" s="2">
        <v>189451806</v>
      </c>
      <c r="D2342" s="2">
        <v>190591293</v>
      </c>
      <c r="E2342" s="2">
        <v>4</v>
      </c>
      <c r="F2342" s="2" t="s">
        <v>10086</v>
      </c>
      <c r="H2342" s="2">
        <v>1.1000000000000001E-3</v>
      </c>
      <c r="K2342" s="2" t="s">
        <v>10087</v>
      </c>
    </row>
    <row r="2343" spans="1:11" x14ac:dyDescent="0.2">
      <c r="A2343" s="2">
        <v>587</v>
      </c>
      <c r="B2343" s="2">
        <v>3</v>
      </c>
      <c r="C2343" s="2">
        <v>190591294</v>
      </c>
      <c r="D2343" s="2">
        <v>191229357</v>
      </c>
      <c r="E2343" s="2">
        <v>1</v>
      </c>
      <c r="F2343" s="2" t="s">
        <v>10086</v>
      </c>
      <c r="H2343" s="3">
        <v>5.9999999999999995E-4</v>
      </c>
      <c r="K2343" s="2" t="s">
        <v>10089</v>
      </c>
    </row>
    <row r="2344" spans="1:11" x14ac:dyDescent="0.2">
      <c r="A2344" s="2">
        <v>587</v>
      </c>
      <c r="B2344" s="2">
        <v>3</v>
      </c>
      <c r="C2344" s="2">
        <v>190591294</v>
      </c>
      <c r="D2344" s="2">
        <v>191229357</v>
      </c>
      <c r="E2344" s="2">
        <v>2</v>
      </c>
      <c r="F2344" s="2" t="s">
        <v>10086</v>
      </c>
      <c r="H2344" s="3">
        <v>6.9999999999999999E-4</v>
      </c>
      <c r="K2344" s="2" t="s">
        <v>12324</v>
      </c>
    </row>
    <row r="2345" spans="1:11" x14ac:dyDescent="0.2">
      <c r="A2345" s="2">
        <v>587</v>
      </c>
      <c r="B2345" s="2">
        <v>3</v>
      </c>
      <c r="C2345" s="2">
        <v>190591294</v>
      </c>
      <c r="D2345" s="2">
        <v>191229357</v>
      </c>
      <c r="E2345" s="2">
        <v>3</v>
      </c>
      <c r="F2345" s="2" t="s">
        <v>10086</v>
      </c>
      <c r="H2345" s="3">
        <v>5.0000000000000001E-4</v>
      </c>
      <c r="K2345" s="2" t="s">
        <v>10088</v>
      </c>
    </row>
    <row r="2346" spans="1:11" x14ac:dyDescent="0.2">
      <c r="A2346" s="2">
        <v>587</v>
      </c>
      <c r="B2346" s="2">
        <v>3</v>
      </c>
      <c r="C2346" s="2">
        <v>190591294</v>
      </c>
      <c r="D2346" s="2">
        <v>191229357</v>
      </c>
      <c r="E2346" s="2">
        <v>4</v>
      </c>
      <c r="F2346" s="2" t="s">
        <v>10086</v>
      </c>
      <c r="H2346" s="3">
        <v>4.0000000000000002E-4</v>
      </c>
      <c r="K2346" s="2" t="s">
        <v>10085</v>
      </c>
    </row>
    <row r="2347" spans="1:11" x14ac:dyDescent="0.2">
      <c r="A2347" s="2">
        <v>588</v>
      </c>
      <c r="B2347" s="2">
        <v>3</v>
      </c>
      <c r="C2347" s="2">
        <v>191229358</v>
      </c>
      <c r="D2347" s="2">
        <v>192049688</v>
      </c>
      <c r="E2347" s="2">
        <v>1</v>
      </c>
      <c r="F2347" s="2" t="s">
        <v>10086</v>
      </c>
      <c r="H2347" s="2">
        <v>1.6000000000000001E-3</v>
      </c>
      <c r="K2347" s="2" t="s">
        <v>10087</v>
      </c>
    </row>
    <row r="2348" spans="1:11" x14ac:dyDescent="0.2">
      <c r="A2348" s="2">
        <v>588</v>
      </c>
      <c r="B2348" s="2">
        <v>3</v>
      </c>
      <c r="C2348" s="2">
        <v>191229358</v>
      </c>
      <c r="D2348" s="2">
        <v>192049688</v>
      </c>
      <c r="E2348" s="2">
        <v>2</v>
      </c>
      <c r="F2348" s="2" t="s">
        <v>10086</v>
      </c>
      <c r="H2348" s="2">
        <v>1.1000000000000001E-3</v>
      </c>
      <c r="K2348" s="2" t="s">
        <v>10089</v>
      </c>
    </row>
    <row r="2349" spans="1:11" x14ac:dyDescent="0.2">
      <c r="A2349" s="2">
        <v>588</v>
      </c>
      <c r="B2349" s="2">
        <v>3</v>
      </c>
      <c r="C2349" s="2">
        <v>191229358</v>
      </c>
      <c r="D2349" s="2">
        <v>192049688</v>
      </c>
      <c r="E2349" s="2">
        <v>3</v>
      </c>
      <c r="F2349" s="2" t="s">
        <v>10086</v>
      </c>
      <c r="H2349" s="3">
        <v>8.9999999999999998E-4</v>
      </c>
      <c r="K2349" s="2" t="s">
        <v>10085</v>
      </c>
    </row>
    <row r="2350" spans="1:11" x14ac:dyDescent="0.2">
      <c r="A2350" s="2">
        <v>588</v>
      </c>
      <c r="B2350" s="2">
        <v>3</v>
      </c>
      <c r="C2350" s="2">
        <v>191229358</v>
      </c>
      <c r="D2350" s="2">
        <v>192049688</v>
      </c>
      <c r="E2350" s="2">
        <v>4</v>
      </c>
      <c r="F2350" s="2" t="s">
        <v>10086</v>
      </c>
      <c r="H2350" s="3">
        <v>4.0000000000000002E-4</v>
      </c>
      <c r="K2350" s="2" t="s">
        <v>10088</v>
      </c>
    </row>
    <row r="2351" spans="1:11" x14ac:dyDescent="0.2">
      <c r="A2351" s="2">
        <v>589</v>
      </c>
      <c r="B2351" s="2">
        <v>3</v>
      </c>
      <c r="C2351" s="2">
        <v>192049689</v>
      </c>
      <c r="D2351" s="2">
        <v>193122090</v>
      </c>
      <c r="E2351" s="2">
        <v>1</v>
      </c>
      <c r="F2351" s="2" t="s">
        <v>10086</v>
      </c>
      <c r="H2351" s="2">
        <v>3.7000000000000002E-3</v>
      </c>
      <c r="K2351" s="2" t="s">
        <v>10088</v>
      </c>
    </row>
    <row r="2352" spans="1:11" x14ac:dyDescent="0.2">
      <c r="A2352" s="2">
        <v>589</v>
      </c>
      <c r="B2352" s="2">
        <v>3</v>
      </c>
      <c r="C2352" s="2">
        <v>192049689</v>
      </c>
      <c r="D2352" s="2">
        <v>193122090</v>
      </c>
      <c r="E2352" s="2">
        <v>2</v>
      </c>
      <c r="F2352" s="2" t="s">
        <v>10086</v>
      </c>
      <c r="H2352" s="2">
        <v>1.2999999999999999E-3</v>
      </c>
      <c r="K2352" s="2" t="s">
        <v>10089</v>
      </c>
    </row>
    <row r="2353" spans="1:11" x14ac:dyDescent="0.2">
      <c r="A2353" s="2">
        <v>589</v>
      </c>
      <c r="B2353" s="2">
        <v>3</v>
      </c>
      <c r="C2353" s="2">
        <v>192049689</v>
      </c>
      <c r="D2353" s="2">
        <v>193122090</v>
      </c>
      <c r="E2353" s="2">
        <v>3</v>
      </c>
      <c r="F2353" s="2" t="s">
        <v>10086</v>
      </c>
      <c r="H2353" s="3">
        <v>8.0000000000000004E-4</v>
      </c>
      <c r="K2353" s="2" t="s">
        <v>10085</v>
      </c>
    </row>
    <row r="2354" spans="1:11" x14ac:dyDescent="0.2">
      <c r="A2354" s="2">
        <v>589</v>
      </c>
      <c r="B2354" s="2">
        <v>3</v>
      </c>
      <c r="C2354" s="2">
        <v>192049689</v>
      </c>
      <c r="D2354" s="2">
        <v>193122090</v>
      </c>
      <c r="E2354" s="2">
        <v>4</v>
      </c>
      <c r="F2354" s="2" t="s">
        <v>10086</v>
      </c>
      <c r="H2354" s="3">
        <v>4.0000000000000002E-4</v>
      </c>
      <c r="K2354" s="2" t="s">
        <v>10087</v>
      </c>
    </row>
    <row r="2355" spans="1:11" x14ac:dyDescent="0.2">
      <c r="A2355" s="2">
        <v>590</v>
      </c>
      <c r="B2355" s="2">
        <v>3</v>
      </c>
      <c r="C2355" s="2">
        <v>193122091</v>
      </c>
      <c r="D2355" s="2">
        <v>194217140</v>
      </c>
      <c r="E2355" s="2">
        <v>1</v>
      </c>
      <c r="F2355" s="2" t="s">
        <v>10086</v>
      </c>
      <c r="H2355" s="2">
        <v>2.5999999999999999E-3</v>
      </c>
      <c r="K2355" s="2" t="s">
        <v>10085</v>
      </c>
    </row>
    <row r="2356" spans="1:11" x14ac:dyDescent="0.2">
      <c r="A2356" s="2">
        <v>590</v>
      </c>
      <c r="B2356" s="2">
        <v>3</v>
      </c>
      <c r="C2356" s="2">
        <v>193122091</v>
      </c>
      <c r="D2356" s="2">
        <v>194217140</v>
      </c>
      <c r="E2356" s="2">
        <v>2</v>
      </c>
      <c r="F2356" s="2" t="s">
        <v>10086</v>
      </c>
      <c r="H2356" s="2">
        <v>1.1000000000000001E-3</v>
      </c>
      <c r="K2356" s="2" t="s">
        <v>10089</v>
      </c>
    </row>
    <row r="2357" spans="1:11" x14ac:dyDescent="0.2">
      <c r="A2357" s="2">
        <v>590</v>
      </c>
      <c r="B2357" s="2">
        <v>3</v>
      </c>
      <c r="C2357" s="2">
        <v>193122091</v>
      </c>
      <c r="D2357" s="2">
        <v>194217140</v>
      </c>
      <c r="E2357" s="2">
        <v>3</v>
      </c>
      <c r="F2357" s="2" t="s">
        <v>10086</v>
      </c>
      <c r="H2357" s="2">
        <v>1.2999999999999999E-3</v>
      </c>
      <c r="K2357" s="2" t="s">
        <v>10087</v>
      </c>
    </row>
    <row r="2358" spans="1:11" x14ac:dyDescent="0.2">
      <c r="A2358" s="2">
        <v>590</v>
      </c>
      <c r="B2358" s="2">
        <v>3</v>
      </c>
      <c r="C2358" s="2">
        <v>193122091</v>
      </c>
      <c r="D2358" s="2">
        <v>194217140</v>
      </c>
      <c r="E2358" s="2">
        <v>4</v>
      </c>
      <c r="F2358" s="2" t="s">
        <v>10086</v>
      </c>
      <c r="H2358" s="3">
        <v>5.9999999999999995E-4</v>
      </c>
      <c r="K2358" s="2" t="s">
        <v>10088</v>
      </c>
    </row>
    <row r="2359" spans="1:11" x14ac:dyDescent="0.2">
      <c r="A2359" s="2">
        <v>591</v>
      </c>
      <c r="B2359" s="2">
        <v>3</v>
      </c>
      <c r="C2359" s="2">
        <v>194217141</v>
      </c>
      <c r="D2359" s="2">
        <v>195196789</v>
      </c>
      <c r="E2359" s="2">
        <v>1</v>
      </c>
      <c r="F2359" s="2" t="s">
        <v>10086</v>
      </c>
      <c r="H2359" s="2">
        <v>1.5E-3</v>
      </c>
      <c r="K2359" s="2" t="s">
        <v>10087</v>
      </c>
    </row>
    <row r="2360" spans="1:11" x14ac:dyDescent="0.2">
      <c r="A2360" s="2">
        <v>591</v>
      </c>
      <c r="B2360" s="2">
        <v>3</v>
      </c>
      <c r="C2360" s="2">
        <v>194217141</v>
      </c>
      <c r="D2360" s="2">
        <v>195196789</v>
      </c>
      <c r="E2360" s="2">
        <v>2</v>
      </c>
      <c r="F2360" s="2" t="s">
        <v>10086</v>
      </c>
      <c r="H2360" s="2">
        <v>1.4E-3</v>
      </c>
      <c r="K2360" s="2" t="s">
        <v>10088</v>
      </c>
    </row>
    <row r="2361" spans="1:11" x14ac:dyDescent="0.2">
      <c r="A2361" s="2">
        <v>591</v>
      </c>
      <c r="B2361" s="2">
        <v>3</v>
      </c>
      <c r="C2361" s="2">
        <v>194217141</v>
      </c>
      <c r="D2361" s="2">
        <v>195196789</v>
      </c>
      <c r="E2361" s="2">
        <v>3</v>
      </c>
      <c r="F2361" s="2" t="s">
        <v>10086</v>
      </c>
      <c r="H2361" s="2">
        <v>1E-3</v>
      </c>
      <c r="K2361" s="2" t="s">
        <v>10089</v>
      </c>
    </row>
    <row r="2362" spans="1:11" x14ac:dyDescent="0.2">
      <c r="A2362" s="2">
        <v>591</v>
      </c>
      <c r="B2362" s="2">
        <v>3</v>
      </c>
      <c r="C2362" s="2">
        <v>194217141</v>
      </c>
      <c r="D2362" s="2">
        <v>195196789</v>
      </c>
      <c r="E2362" s="2">
        <v>4</v>
      </c>
      <c r="F2362" s="2" t="s">
        <v>10086</v>
      </c>
      <c r="H2362" s="3">
        <v>5.0000000000000001E-4</v>
      </c>
      <c r="K2362" s="2" t="s">
        <v>10085</v>
      </c>
    </row>
    <row r="2363" spans="1:11" x14ac:dyDescent="0.2">
      <c r="A2363" s="2">
        <v>592</v>
      </c>
      <c r="B2363" s="2">
        <v>3</v>
      </c>
      <c r="C2363" s="2">
        <v>195196790</v>
      </c>
      <c r="D2363" s="2">
        <v>195710290</v>
      </c>
      <c r="E2363" s="2">
        <v>1</v>
      </c>
      <c r="F2363" s="2" t="s">
        <v>10086</v>
      </c>
      <c r="H2363" s="2">
        <v>2.2000000000000001E-3</v>
      </c>
      <c r="K2363" s="2" t="s">
        <v>10085</v>
      </c>
    </row>
    <row r="2364" spans="1:11" x14ac:dyDescent="0.2">
      <c r="A2364" s="2">
        <v>592</v>
      </c>
      <c r="B2364" s="2">
        <v>3</v>
      </c>
      <c r="C2364" s="2">
        <v>195196790</v>
      </c>
      <c r="D2364" s="2">
        <v>195710290</v>
      </c>
      <c r="E2364" s="2">
        <v>2</v>
      </c>
      <c r="F2364" s="2" t="s">
        <v>10086</v>
      </c>
      <c r="H2364" s="2">
        <v>1E-3</v>
      </c>
      <c r="K2364" s="2" t="s">
        <v>10089</v>
      </c>
    </row>
    <row r="2365" spans="1:11" x14ac:dyDescent="0.2">
      <c r="A2365" s="2">
        <v>592</v>
      </c>
      <c r="B2365" s="2">
        <v>3</v>
      </c>
      <c r="C2365" s="2">
        <v>195196790</v>
      </c>
      <c r="D2365" s="2">
        <v>195710290</v>
      </c>
      <c r="E2365" s="2">
        <v>3</v>
      </c>
      <c r="F2365" s="2" t="s">
        <v>10086</v>
      </c>
      <c r="H2365" s="3">
        <v>5.0000000000000001E-4</v>
      </c>
      <c r="K2365" s="2" t="s">
        <v>10087</v>
      </c>
    </row>
    <row r="2366" spans="1:11" x14ac:dyDescent="0.2">
      <c r="A2366" s="2">
        <v>592</v>
      </c>
      <c r="B2366" s="2">
        <v>3</v>
      </c>
      <c r="C2366" s="2">
        <v>195196790</v>
      </c>
      <c r="D2366" s="2">
        <v>195710290</v>
      </c>
      <c r="E2366" s="2">
        <v>4</v>
      </c>
      <c r="F2366" s="2" t="s">
        <v>10086</v>
      </c>
      <c r="H2366" s="3">
        <v>2.0000000000000001E-4</v>
      </c>
      <c r="K2366" s="2" t="s">
        <v>10088</v>
      </c>
    </row>
    <row r="2367" spans="1:11" x14ac:dyDescent="0.2">
      <c r="A2367" s="2">
        <v>593</v>
      </c>
      <c r="B2367" s="2">
        <v>3</v>
      </c>
      <c r="C2367" s="2">
        <v>195710291</v>
      </c>
      <c r="D2367" s="2">
        <v>196383152</v>
      </c>
      <c r="E2367" s="2">
        <v>1</v>
      </c>
      <c r="F2367" s="2" t="s">
        <v>10086</v>
      </c>
      <c r="H2367" s="3">
        <v>8.0000000000000004E-4</v>
      </c>
      <c r="K2367" s="2" t="s">
        <v>10085</v>
      </c>
    </row>
    <row r="2368" spans="1:11" x14ac:dyDescent="0.2">
      <c r="A2368" s="2">
        <v>593</v>
      </c>
      <c r="B2368" s="2">
        <v>3</v>
      </c>
      <c r="C2368" s="2">
        <v>195710291</v>
      </c>
      <c r="D2368" s="2">
        <v>196383152</v>
      </c>
      <c r="E2368" s="2">
        <v>2</v>
      </c>
      <c r="F2368" s="2" t="s">
        <v>10086</v>
      </c>
      <c r="H2368" s="3">
        <v>5.9999999999999995E-4</v>
      </c>
      <c r="K2368" s="2" t="s">
        <v>10088</v>
      </c>
    </row>
    <row r="2369" spans="1:11" x14ac:dyDescent="0.2">
      <c r="A2369" s="2">
        <v>593</v>
      </c>
      <c r="B2369" s="2">
        <v>3</v>
      </c>
      <c r="C2369" s="2">
        <v>195710291</v>
      </c>
      <c r="D2369" s="2">
        <v>196383152</v>
      </c>
      <c r="E2369" s="2">
        <v>3</v>
      </c>
      <c r="F2369" s="2" t="s">
        <v>10086</v>
      </c>
      <c r="H2369" s="3">
        <v>5.0000000000000001E-4</v>
      </c>
      <c r="K2369" s="2" t="s">
        <v>10087</v>
      </c>
    </row>
    <row r="2370" spans="1:11" x14ac:dyDescent="0.2">
      <c r="A2370" s="2">
        <v>593</v>
      </c>
      <c r="B2370" s="2">
        <v>3</v>
      </c>
      <c r="C2370" s="2">
        <v>195710291</v>
      </c>
      <c r="D2370" s="2">
        <v>196383152</v>
      </c>
      <c r="E2370" s="2">
        <v>4</v>
      </c>
      <c r="F2370" s="2" t="s">
        <v>10086</v>
      </c>
      <c r="H2370" s="3">
        <v>4.0000000000000002E-4</v>
      </c>
      <c r="K2370" s="2" t="s">
        <v>10089</v>
      </c>
    </row>
    <row r="2371" spans="1:11" x14ac:dyDescent="0.2">
      <c r="A2371" s="2">
        <v>594</v>
      </c>
      <c r="B2371" s="2">
        <v>3</v>
      </c>
      <c r="C2371" s="2">
        <v>196383153</v>
      </c>
      <c r="D2371" s="2">
        <v>197147990</v>
      </c>
      <c r="E2371" s="2">
        <v>1</v>
      </c>
      <c r="F2371" s="2" t="s">
        <v>10086</v>
      </c>
      <c r="H2371" s="3">
        <v>8.0000000000000004E-4</v>
      </c>
      <c r="K2371" s="2" t="s">
        <v>10085</v>
      </c>
    </row>
    <row r="2372" spans="1:11" x14ac:dyDescent="0.2">
      <c r="A2372" s="2">
        <v>594</v>
      </c>
      <c r="B2372" s="2">
        <v>3</v>
      </c>
      <c r="C2372" s="2">
        <v>196383153</v>
      </c>
      <c r="D2372" s="2">
        <v>197147990</v>
      </c>
      <c r="E2372" s="2">
        <v>2</v>
      </c>
      <c r="F2372" s="2" t="s">
        <v>10086</v>
      </c>
      <c r="H2372" s="3">
        <v>8.9999999999999998E-4</v>
      </c>
      <c r="K2372" s="2" t="s">
        <v>10087</v>
      </c>
    </row>
    <row r="2373" spans="1:11" x14ac:dyDescent="0.2">
      <c r="A2373" s="2">
        <v>594</v>
      </c>
      <c r="B2373" s="2">
        <v>3</v>
      </c>
      <c r="C2373" s="2">
        <v>196383153</v>
      </c>
      <c r="D2373" s="2">
        <v>197147990</v>
      </c>
      <c r="E2373" s="2">
        <v>3</v>
      </c>
      <c r="F2373" s="2" t="s">
        <v>10086</v>
      </c>
      <c r="H2373" s="3">
        <v>8.0000000000000004E-4</v>
      </c>
      <c r="K2373" s="2" t="s">
        <v>10089</v>
      </c>
    </row>
    <row r="2374" spans="1:11" x14ac:dyDescent="0.2">
      <c r="A2374" s="2">
        <v>594</v>
      </c>
      <c r="B2374" s="2">
        <v>3</v>
      </c>
      <c r="C2374" s="2">
        <v>196383153</v>
      </c>
      <c r="D2374" s="2">
        <v>197147990</v>
      </c>
      <c r="E2374" s="2">
        <v>4</v>
      </c>
      <c r="F2374" s="2" t="s">
        <v>10086</v>
      </c>
      <c r="H2374" s="3">
        <v>6.9999999999999999E-4</v>
      </c>
      <c r="K2374" s="2" t="s">
        <v>12324</v>
      </c>
    </row>
    <row r="2375" spans="1:11" x14ac:dyDescent="0.2">
      <c r="A2375" s="2">
        <v>595</v>
      </c>
      <c r="B2375" s="2">
        <v>3</v>
      </c>
      <c r="C2375" s="2">
        <v>197147991</v>
      </c>
      <c r="D2375" s="2">
        <v>197962380</v>
      </c>
      <c r="E2375" s="2">
        <v>1</v>
      </c>
      <c r="F2375" s="2" t="s">
        <v>10086</v>
      </c>
      <c r="H2375" s="2">
        <v>1.1999999999999999E-3</v>
      </c>
      <c r="K2375" s="2" t="s">
        <v>10085</v>
      </c>
    </row>
    <row r="2376" spans="1:11" x14ac:dyDescent="0.2">
      <c r="A2376" s="2">
        <v>595</v>
      </c>
      <c r="B2376" s="2">
        <v>3</v>
      </c>
      <c r="C2376" s="2">
        <v>197147991</v>
      </c>
      <c r="D2376" s="2">
        <v>197962380</v>
      </c>
      <c r="E2376" s="2">
        <v>2</v>
      </c>
      <c r="F2376" s="2" t="s">
        <v>10086</v>
      </c>
      <c r="H2376" s="2">
        <v>1.4E-3</v>
      </c>
      <c r="K2376" s="2" t="s">
        <v>10087</v>
      </c>
    </row>
    <row r="2377" spans="1:11" x14ac:dyDescent="0.2">
      <c r="A2377" s="2">
        <v>595</v>
      </c>
      <c r="B2377" s="2">
        <v>3</v>
      </c>
      <c r="C2377" s="2">
        <v>197147991</v>
      </c>
      <c r="D2377" s="2">
        <v>197962380</v>
      </c>
      <c r="E2377" s="2">
        <v>3</v>
      </c>
      <c r="F2377" s="2" t="s">
        <v>10086</v>
      </c>
      <c r="H2377" s="3">
        <v>8.9999999999999998E-4</v>
      </c>
      <c r="K2377" s="2" t="s">
        <v>10089</v>
      </c>
    </row>
    <row r="2378" spans="1:11" x14ac:dyDescent="0.2">
      <c r="A2378" s="2">
        <v>595</v>
      </c>
      <c r="B2378" s="2">
        <v>3</v>
      </c>
      <c r="C2378" s="2">
        <v>197147991</v>
      </c>
      <c r="D2378" s="2">
        <v>197962380</v>
      </c>
      <c r="E2378" s="2">
        <v>4</v>
      </c>
      <c r="F2378" s="2" t="s">
        <v>10086</v>
      </c>
      <c r="H2378" s="3">
        <v>2.9999999999999997E-4</v>
      </c>
      <c r="K2378" s="2" t="s">
        <v>10088</v>
      </c>
    </row>
    <row r="2379" spans="1:11" x14ac:dyDescent="0.2">
      <c r="A2379" s="2">
        <v>596</v>
      </c>
      <c r="B2379" s="2">
        <v>4</v>
      </c>
      <c r="C2379" s="2">
        <v>10227</v>
      </c>
      <c r="D2379" s="2">
        <v>812415</v>
      </c>
      <c r="E2379" s="2">
        <v>1</v>
      </c>
      <c r="F2379" s="2" t="s">
        <v>10086</v>
      </c>
      <c r="H2379" s="2">
        <v>1.1000000000000001E-3</v>
      </c>
      <c r="K2379" s="2" t="s">
        <v>10088</v>
      </c>
    </row>
    <row r="2380" spans="1:11" x14ac:dyDescent="0.2">
      <c r="A2380" s="2">
        <v>596</v>
      </c>
      <c r="B2380" s="2">
        <v>4</v>
      </c>
      <c r="C2380" s="2">
        <v>10227</v>
      </c>
      <c r="D2380" s="2">
        <v>812415</v>
      </c>
      <c r="E2380" s="2">
        <v>2</v>
      </c>
      <c r="F2380" s="2" t="s">
        <v>10086</v>
      </c>
      <c r="H2380" s="3">
        <v>8.0000000000000004E-4</v>
      </c>
      <c r="K2380" s="2" t="s">
        <v>10085</v>
      </c>
    </row>
    <row r="2381" spans="1:11" x14ac:dyDescent="0.2">
      <c r="A2381" s="2">
        <v>596</v>
      </c>
      <c r="B2381" s="2">
        <v>4</v>
      </c>
      <c r="C2381" s="2">
        <v>10227</v>
      </c>
      <c r="D2381" s="2">
        <v>812415</v>
      </c>
      <c r="E2381" s="2">
        <v>3</v>
      </c>
      <c r="F2381" s="2" t="s">
        <v>10086</v>
      </c>
      <c r="H2381" s="3">
        <v>8.0000000000000004E-4</v>
      </c>
      <c r="K2381" s="2" t="s">
        <v>10087</v>
      </c>
    </row>
    <row r="2382" spans="1:11" x14ac:dyDescent="0.2">
      <c r="A2382" s="2">
        <v>596</v>
      </c>
      <c r="B2382" s="2">
        <v>4</v>
      </c>
      <c r="C2382" s="2">
        <v>10227</v>
      </c>
      <c r="D2382" s="2">
        <v>812415</v>
      </c>
      <c r="E2382" s="2">
        <v>4</v>
      </c>
      <c r="F2382" s="2" t="s">
        <v>10086</v>
      </c>
      <c r="H2382" s="3">
        <v>5.0000000000000001E-4</v>
      </c>
      <c r="K2382" s="2" t="s">
        <v>10089</v>
      </c>
    </row>
    <row r="2383" spans="1:11" x14ac:dyDescent="0.2">
      <c r="A2383" s="2">
        <v>597</v>
      </c>
      <c r="B2383" s="2">
        <v>4</v>
      </c>
      <c r="C2383" s="2">
        <v>812416</v>
      </c>
      <c r="D2383" s="2">
        <v>1529267</v>
      </c>
      <c r="E2383" s="2">
        <v>1</v>
      </c>
      <c r="F2383" s="2" t="s">
        <v>10086</v>
      </c>
      <c r="H2383" s="2">
        <v>2.2000000000000001E-3</v>
      </c>
      <c r="K2383" s="2" t="s">
        <v>10087</v>
      </c>
    </row>
    <row r="2384" spans="1:11" x14ac:dyDescent="0.2">
      <c r="A2384" s="2">
        <v>597</v>
      </c>
      <c r="B2384" s="2">
        <v>4</v>
      </c>
      <c r="C2384" s="2">
        <v>812416</v>
      </c>
      <c r="D2384" s="2">
        <v>1529267</v>
      </c>
      <c r="E2384" s="2">
        <v>2</v>
      </c>
      <c r="F2384" s="2" t="s">
        <v>10086</v>
      </c>
      <c r="H2384" s="3">
        <v>8.9999999999999998E-4</v>
      </c>
      <c r="K2384" s="2" t="s">
        <v>10085</v>
      </c>
    </row>
    <row r="2385" spans="1:11" x14ac:dyDescent="0.2">
      <c r="A2385" s="2">
        <v>597</v>
      </c>
      <c r="B2385" s="2">
        <v>4</v>
      </c>
      <c r="C2385" s="2">
        <v>812416</v>
      </c>
      <c r="D2385" s="2">
        <v>1529267</v>
      </c>
      <c r="E2385" s="2">
        <v>3</v>
      </c>
      <c r="F2385" s="2" t="s">
        <v>10086</v>
      </c>
      <c r="H2385" s="3">
        <v>6.9999999999999999E-4</v>
      </c>
      <c r="K2385" s="2" t="s">
        <v>10089</v>
      </c>
    </row>
    <row r="2386" spans="1:11" x14ac:dyDescent="0.2">
      <c r="A2386" s="2">
        <v>597</v>
      </c>
      <c r="B2386" s="2">
        <v>4</v>
      </c>
      <c r="C2386" s="2">
        <v>812416</v>
      </c>
      <c r="D2386" s="2">
        <v>1529267</v>
      </c>
      <c r="E2386" s="2">
        <v>4</v>
      </c>
      <c r="F2386" s="2" t="s">
        <v>10086</v>
      </c>
      <c r="H2386" s="3">
        <v>2.9999999999999997E-4</v>
      </c>
      <c r="K2386" s="2" t="s">
        <v>10088</v>
      </c>
    </row>
    <row r="2387" spans="1:11" x14ac:dyDescent="0.2">
      <c r="A2387" s="2">
        <v>598</v>
      </c>
      <c r="B2387" s="2">
        <v>4</v>
      </c>
      <c r="C2387" s="2">
        <v>1529268</v>
      </c>
      <c r="D2387" s="2">
        <v>2468935</v>
      </c>
      <c r="E2387" s="2">
        <v>1</v>
      </c>
      <c r="F2387" s="2" t="s">
        <v>10086</v>
      </c>
      <c r="H2387" s="3">
        <v>8.0000000000000004E-4</v>
      </c>
      <c r="K2387" s="2" t="s">
        <v>10089</v>
      </c>
    </row>
    <row r="2388" spans="1:11" x14ac:dyDescent="0.2">
      <c r="A2388" s="2">
        <v>598</v>
      </c>
      <c r="B2388" s="2">
        <v>4</v>
      </c>
      <c r="C2388" s="2">
        <v>1529268</v>
      </c>
      <c r="D2388" s="2">
        <v>2468935</v>
      </c>
      <c r="E2388" s="2">
        <v>2</v>
      </c>
      <c r="F2388" s="2" t="s">
        <v>10086</v>
      </c>
      <c r="H2388" s="3">
        <v>6.9999999999999999E-4</v>
      </c>
      <c r="K2388" s="2" t="s">
        <v>10087</v>
      </c>
    </row>
    <row r="2389" spans="1:11" x14ac:dyDescent="0.2">
      <c r="A2389" s="2">
        <v>598</v>
      </c>
      <c r="B2389" s="2">
        <v>4</v>
      </c>
      <c r="C2389" s="2">
        <v>1529268</v>
      </c>
      <c r="D2389" s="2">
        <v>2468935</v>
      </c>
      <c r="E2389" s="2">
        <v>3</v>
      </c>
      <c r="F2389" s="2" t="s">
        <v>10086</v>
      </c>
      <c r="H2389" s="3">
        <v>6.9999999999999999E-4</v>
      </c>
      <c r="K2389" s="2" t="s">
        <v>10088</v>
      </c>
    </row>
    <row r="2390" spans="1:11" x14ac:dyDescent="0.2">
      <c r="A2390" s="2">
        <v>598</v>
      </c>
      <c r="B2390" s="2">
        <v>4</v>
      </c>
      <c r="C2390" s="2">
        <v>1529268</v>
      </c>
      <c r="D2390" s="2">
        <v>2468935</v>
      </c>
      <c r="E2390" s="2">
        <v>4</v>
      </c>
      <c r="F2390" s="2" t="s">
        <v>10086</v>
      </c>
      <c r="H2390" s="3">
        <v>5.0000000000000001E-4</v>
      </c>
      <c r="K2390" s="2" t="s">
        <v>10085</v>
      </c>
    </row>
    <row r="2391" spans="1:11" x14ac:dyDescent="0.2">
      <c r="A2391" s="2">
        <v>599</v>
      </c>
      <c r="B2391" s="2">
        <v>4</v>
      </c>
      <c r="C2391" s="2">
        <v>2468936</v>
      </c>
      <c r="D2391" s="2">
        <v>3549229</v>
      </c>
      <c r="E2391" s="2">
        <v>1</v>
      </c>
      <c r="F2391" s="2" t="s">
        <v>10086</v>
      </c>
      <c r="H2391" s="2">
        <v>1.4E-3</v>
      </c>
      <c r="K2391" s="2" t="s">
        <v>10085</v>
      </c>
    </row>
    <row r="2392" spans="1:11" x14ac:dyDescent="0.2">
      <c r="A2392" s="2">
        <v>599</v>
      </c>
      <c r="B2392" s="2">
        <v>4</v>
      </c>
      <c r="C2392" s="2">
        <v>2468936</v>
      </c>
      <c r="D2392" s="2">
        <v>3549229</v>
      </c>
      <c r="E2392" s="2">
        <v>2</v>
      </c>
      <c r="F2392" s="2" t="s">
        <v>10086</v>
      </c>
      <c r="H2392" s="2">
        <v>1.5E-3</v>
      </c>
      <c r="K2392" s="2" t="s">
        <v>10088</v>
      </c>
    </row>
    <row r="2393" spans="1:11" x14ac:dyDescent="0.2">
      <c r="A2393" s="2">
        <v>599</v>
      </c>
      <c r="B2393" s="2">
        <v>4</v>
      </c>
      <c r="C2393" s="2">
        <v>2468936</v>
      </c>
      <c r="D2393" s="2">
        <v>3549229</v>
      </c>
      <c r="E2393" s="2">
        <v>3</v>
      </c>
      <c r="F2393" s="2" t="s">
        <v>10086</v>
      </c>
      <c r="H2393" s="3">
        <v>8.9999999999999998E-4</v>
      </c>
      <c r="K2393" s="2" t="s">
        <v>12324</v>
      </c>
    </row>
    <row r="2394" spans="1:11" x14ac:dyDescent="0.2">
      <c r="A2394" s="2">
        <v>599</v>
      </c>
      <c r="B2394" s="2">
        <v>4</v>
      </c>
      <c r="C2394" s="2">
        <v>2468936</v>
      </c>
      <c r="D2394" s="2">
        <v>3549229</v>
      </c>
      <c r="E2394" s="2">
        <v>4</v>
      </c>
      <c r="F2394" s="2" t="s">
        <v>10086</v>
      </c>
      <c r="H2394" s="3">
        <v>8.0000000000000004E-4</v>
      </c>
      <c r="K2394" s="2" t="s">
        <v>10089</v>
      </c>
    </row>
    <row r="2395" spans="1:11" x14ac:dyDescent="0.2">
      <c r="A2395" s="2">
        <v>600</v>
      </c>
      <c r="B2395" s="2">
        <v>4</v>
      </c>
      <c r="C2395" s="2">
        <v>3549230</v>
      </c>
      <c r="D2395" s="2">
        <v>4266178</v>
      </c>
      <c r="E2395" s="2">
        <v>1</v>
      </c>
      <c r="F2395" s="2" t="s">
        <v>10086</v>
      </c>
      <c r="H2395" s="2">
        <v>1.9E-3</v>
      </c>
      <c r="K2395" s="2" t="s">
        <v>10088</v>
      </c>
    </row>
    <row r="2396" spans="1:11" x14ac:dyDescent="0.2">
      <c r="A2396" s="2">
        <v>600</v>
      </c>
      <c r="B2396" s="2">
        <v>4</v>
      </c>
      <c r="C2396" s="2">
        <v>3549230</v>
      </c>
      <c r="D2396" s="2">
        <v>4266178</v>
      </c>
      <c r="E2396" s="2">
        <v>2</v>
      </c>
      <c r="F2396" s="2" t="s">
        <v>10086</v>
      </c>
      <c r="H2396" s="2">
        <v>3.0999999999999999E-3</v>
      </c>
      <c r="K2396" s="2" t="s">
        <v>10089</v>
      </c>
    </row>
    <row r="2397" spans="1:11" x14ac:dyDescent="0.2">
      <c r="A2397" s="2">
        <v>600</v>
      </c>
      <c r="B2397" s="2">
        <v>4</v>
      </c>
      <c r="C2397" s="2">
        <v>3549230</v>
      </c>
      <c r="D2397" s="2">
        <v>4266178</v>
      </c>
      <c r="E2397" s="2">
        <v>3</v>
      </c>
      <c r="F2397" s="2" t="s">
        <v>10086</v>
      </c>
      <c r="H2397" s="2">
        <v>1.5E-3</v>
      </c>
      <c r="K2397" s="2" t="s">
        <v>10087</v>
      </c>
    </row>
    <row r="2398" spans="1:11" x14ac:dyDescent="0.2">
      <c r="A2398" s="2">
        <v>600</v>
      </c>
      <c r="B2398" s="2">
        <v>4</v>
      </c>
      <c r="C2398" s="2">
        <v>3549230</v>
      </c>
      <c r="D2398" s="2">
        <v>4266178</v>
      </c>
      <c r="E2398" s="2">
        <v>4</v>
      </c>
      <c r="F2398" s="2" t="s">
        <v>10086</v>
      </c>
      <c r="H2398" s="3">
        <v>8.9999999999999998E-4</v>
      </c>
      <c r="K2398" s="2" t="s">
        <v>10085</v>
      </c>
    </row>
    <row r="2399" spans="1:11" x14ac:dyDescent="0.2">
      <c r="A2399" s="2">
        <v>601</v>
      </c>
      <c r="B2399" s="2">
        <v>4</v>
      </c>
      <c r="C2399" s="2">
        <v>4266179</v>
      </c>
      <c r="D2399" s="2">
        <v>5051834</v>
      </c>
      <c r="E2399" s="2">
        <v>1</v>
      </c>
      <c r="F2399" s="2" t="s">
        <v>10086</v>
      </c>
      <c r="H2399" s="2">
        <v>1.3899999999999999E-2</v>
      </c>
      <c r="K2399" s="2" t="s">
        <v>10087</v>
      </c>
    </row>
    <row r="2400" spans="1:11" x14ac:dyDescent="0.2">
      <c r="A2400" s="2">
        <v>601</v>
      </c>
      <c r="B2400" s="2">
        <v>4</v>
      </c>
      <c r="C2400" s="2">
        <v>4266179</v>
      </c>
      <c r="D2400" s="2">
        <v>5051834</v>
      </c>
      <c r="E2400" s="2">
        <v>2</v>
      </c>
      <c r="F2400" s="2" t="s">
        <v>10086</v>
      </c>
      <c r="H2400" s="2">
        <v>5.7000000000000002E-3</v>
      </c>
      <c r="K2400" s="2" t="s">
        <v>10088</v>
      </c>
    </row>
    <row r="2401" spans="1:11" x14ac:dyDescent="0.2">
      <c r="A2401" s="2">
        <v>601</v>
      </c>
      <c r="B2401" s="2">
        <v>4</v>
      </c>
      <c r="C2401" s="2">
        <v>4266179</v>
      </c>
      <c r="D2401" s="2">
        <v>5051834</v>
      </c>
      <c r="E2401" s="2">
        <v>3</v>
      </c>
      <c r="F2401" s="2" t="s">
        <v>10086</v>
      </c>
      <c r="H2401" s="2">
        <v>1.6999999999999999E-3</v>
      </c>
      <c r="K2401" s="2" t="s">
        <v>12324</v>
      </c>
    </row>
    <row r="2402" spans="1:11" x14ac:dyDescent="0.2">
      <c r="A2402" s="2">
        <v>601</v>
      </c>
      <c r="B2402" s="2">
        <v>4</v>
      </c>
      <c r="C2402" s="2">
        <v>4266179</v>
      </c>
      <c r="D2402" s="2">
        <v>5051834</v>
      </c>
      <c r="E2402" s="2">
        <v>4</v>
      </c>
      <c r="F2402" s="2" t="s">
        <v>10086</v>
      </c>
      <c r="H2402" s="3">
        <v>8.0000000000000004E-4</v>
      </c>
      <c r="K2402" s="2" t="s">
        <v>10089</v>
      </c>
    </row>
    <row r="2403" spans="1:11" x14ac:dyDescent="0.2">
      <c r="A2403" s="2">
        <v>602</v>
      </c>
      <c r="B2403" s="2">
        <v>4</v>
      </c>
      <c r="C2403" s="2">
        <v>5051835</v>
      </c>
      <c r="D2403" s="2">
        <v>5972709</v>
      </c>
      <c r="E2403" s="2">
        <v>1</v>
      </c>
      <c r="F2403" s="2" t="s">
        <v>10086</v>
      </c>
      <c r="H2403" s="2">
        <v>2.3E-3</v>
      </c>
      <c r="K2403" s="2" t="s">
        <v>10089</v>
      </c>
    </row>
    <row r="2404" spans="1:11" x14ac:dyDescent="0.2">
      <c r="A2404" s="2">
        <v>602</v>
      </c>
      <c r="B2404" s="2">
        <v>4</v>
      </c>
      <c r="C2404" s="2">
        <v>5051835</v>
      </c>
      <c r="D2404" s="2">
        <v>5972709</v>
      </c>
      <c r="E2404" s="2">
        <v>2</v>
      </c>
      <c r="F2404" s="2" t="s">
        <v>10086</v>
      </c>
      <c r="H2404" s="2">
        <v>3.0000000000000001E-3</v>
      </c>
      <c r="K2404" s="2" t="s">
        <v>12324</v>
      </c>
    </row>
    <row r="2405" spans="1:11" x14ac:dyDescent="0.2">
      <c r="A2405" s="2">
        <v>602</v>
      </c>
      <c r="B2405" s="2">
        <v>4</v>
      </c>
      <c r="C2405" s="2">
        <v>5051835</v>
      </c>
      <c r="D2405" s="2">
        <v>5972709</v>
      </c>
      <c r="E2405" s="2">
        <v>3</v>
      </c>
      <c r="F2405" s="2" t="s">
        <v>10086</v>
      </c>
      <c r="H2405" s="2">
        <v>1.5E-3</v>
      </c>
      <c r="K2405" s="2" t="s">
        <v>10085</v>
      </c>
    </row>
    <row r="2406" spans="1:11" x14ac:dyDescent="0.2">
      <c r="A2406" s="2">
        <v>602</v>
      </c>
      <c r="B2406" s="2">
        <v>4</v>
      </c>
      <c r="C2406" s="2">
        <v>5051835</v>
      </c>
      <c r="D2406" s="2">
        <v>5972709</v>
      </c>
      <c r="E2406" s="2">
        <v>4</v>
      </c>
      <c r="F2406" s="2" t="s">
        <v>10086</v>
      </c>
      <c r="H2406" s="2">
        <v>1.6999999999999999E-3</v>
      </c>
      <c r="K2406" s="2" t="s">
        <v>10088</v>
      </c>
    </row>
    <row r="2407" spans="1:11" x14ac:dyDescent="0.2">
      <c r="A2407" s="2">
        <v>603</v>
      </c>
      <c r="B2407" s="2">
        <v>4</v>
      </c>
      <c r="C2407" s="2">
        <v>5972710</v>
      </c>
      <c r="D2407" s="2">
        <v>7135819</v>
      </c>
      <c r="E2407" s="2">
        <v>1</v>
      </c>
      <c r="F2407" s="2" t="s">
        <v>10086</v>
      </c>
      <c r="H2407" s="2">
        <v>8.9999999999999993E-3</v>
      </c>
      <c r="K2407" s="2" t="s">
        <v>12324</v>
      </c>
    </row>
    <row r="2408" spans="1:11" x14ac:dyDescent="0.2">
      <c r="A2408" s="2">
        <v>603</v>
      </c>
      <c r="B2408" s="2">
        <v>4</v>
      </c>
      <c r="C2408" s="2">
        <v>5972710</v>
      </c>
      <c r="D2408" s="2">
        <v>7135819</v>
      </c>
      <c r="E2408" s="2">
        <v>2</v>
      </c>
      <c r="F2408" s="2" t="s">
        <v>10086</v>
      </c>
      <c r="H2408" s="2">
        <v>9.4999999999999998E-3</v>
      </c>
      <c r="K2408" s="2" t="s">
        <v>10087</v>
      </c>
    </row>
    <row r="2409" spans="1:11" x14ac:dyDescent="0.2">
      <c r="A2409" s="2">
        <v>603</v>
      </c>
      <c r="B2409" s="2">
        <v>4</v>
      </c>
      <c r="C2409" s="2">
        <v>5972710</v>
      </c>
      <c r="D2409" s="2">
        <v>7135819</v>
      </c>
      <c r="E2409" s="2">
        <v>3</v>
      </c>
      <c r="F2409" s="2" t="s">
        <v>10086</v>
      </c>
      <c r="H2409" s="2">
        <v>4.7999999999999996E-3</v>
      </c>
      <c r="K2409" s="2" t="s">
        <v>10088</v>
      </c>
    </row>
    <row r="2410" spans="1:11" x14ac:dyDescent="0.2">
      <c r="A2410" s="2">
        <v>603</v>
      </c>
      <c r="B2410" s="2">
        <v>4</v>
      </c>
      <c r="C2410" s="2">
        <v>5972710</v>
      </c>
      <c r="D2410" s="2">
        <v>7135819</v>
      </c>
      <c r="E2410" s="2">
        <v>4</v>
      </c>
      <c r="F2410" s="2" t="s">
        <v>10086</v>
      </c>
      <c r="H2410" s="2">
        <v>1.2999999999999999E-3</v>
      </c>
      <c r="K2410" s="2" t="s">
        <v>10085</v>
      </c>
    </row>
    <row r="2411" spans="1:11" x14ac:dyDescent="0.2">
      <c r="A2411" s="2">
        <v>604</v>
      </c>
      <c r="B2411" s="2">
        <v>4</v>
      </c>
      <c r="C2411" s="2">
        <v>7135820</v>
      </c>
      <c r="D2411" s="2">
        <v>7726034</v>
      </c>
      <c r="E2411" s="2">
        <v>1</v>
      </c>
      <c r="F2411" s="2" t="s">
        <v>10086</v>
      </c>
      <c r="H2411" s="2">
        <v>6.6E-3</v>
      </c>
      <c r="K2411" s="2" t="s">
        <v>10087</v>
      </c>
    </row>
    <row r="2412" spans="1:11" x14ac:dyDescent="0.2">
      <c r="A2412" s="2">
        <v>604</v>
      </c>
      <c r="B2412" s="2">
        <v>4</v>
      </c>
      <c r="C2412" s="2">
        <v>7135820</v>
      </c>
      <c r="D2412" s="2">
        <v>7726034</v>
      </c>
      <c r="E2412" s="2">
        <v>2</v>
      </c>
      <c r="F2412" s="2" t="s">
        <v>10086</v>
      </c>
      <c r="H2412" s="2">
        <v>1.9E-3</v>
      </c>
      <c r="K2412" s="2" t="s">
        <v>10085</v>
      </c>
    </row>
    <row r="2413" spans="1:11" x14ac:dyDescent="0.2">
      <c r="A2413" s="2">
        <v>604</v>
      </c>
      <c r="B2413" s="2">
        <v>4</v>
      </c>
      <c r="C2413" s="2">
        <v>7135820</v>
      </c>
      <c r="D2413" s="2">
        <v>7726034</v>
      </c>
      <c r="E2413" s="2">
        <v>3</v>
      </c>
      <c r="F2413" s="2" t="s">
        <v>10086</v>
      </c>
      <c r="H2413" s="2">
        <v>1.8E-3</v>
      </c>
      <c r="K2413" s="2" t="s">
        <v>10089</v>
      </c>
    </row>
    <row r="2414" spans="1:11" x14ac:dyDescent="0.2">
      <c r="A2414" s="2">
        <v>604</v>
      </c>
      <c r="B2414" s="2">
        <v>4</v>
      </c>
      <c r="C2414" s="2">
        <v>7135820</v>
      </c>
      <c r="D2414" s="2">
        <v>7726034</v>
      </c>
      <c r="E2414" s="2">
        <v>4</v>
      </c>
      <c r="F2414" s="2" t="s">
        <v>10086</v>
      </c>
      <c r="H2414" s="3">
        <v>4.0000000000000002E-4</v>
      </c>
      <c r="K2414" s="2" t="s">
        <v>10088</v>
      </c>
    </row>
    <row r="2415" spans="1:11" x14ac:dyDescent="0.2">
      <c r="A2415" s="2">
        <v>605</v>
      </c>
      <c r="B2415" s="2">
        <v>4</v>
      </c>
      <c r="C2415" s="2">
        <v>7726035</v>
      </c>
      <c r="D2415" s="2">
        <v>8309826</v>
      </c>
      <c r="E2415" s="2">
        <v>1</v>
      </c>
      <c r="F2415" s="2" t="s">
        <v>10086</v>
      </c>
      <c r="H2415" s="2">
        <v>1.6999999999999999E-3</v>
      </c>
      <c r="K2415" s="2" t="s">
        <v>10088</v>
      </c>
    </row>
    <row r="2416" spans="1:11" x14ac:dyDescent="0.2">
      <c r="A2416" s="2">
        <v>605</v>
      </c>
      <c r="B2416" s="2">
        <v>4</v>
      </c>
      <c r="C2416" s="2">
        <v>7726035</v>
      </c>
      <c r="D2416" s="2">
        <v>8309826</v>
      </c>
      <c r="E2416" s="2">
        <v>2</v>
      </c>
      <c r="F2416" s="2" t="s">
        <v>10086</v>
      </c>
      <c r="H2416" s="2">
        <v>1.1999999999999999E-3</v>
      </c>
      <c r="K2416" s="2" t="s">
        <v>10087</v>
      </c>
    </row>
    <row r="2417" spans="1:11" x14ac:dyDescent="0.2">
      <c r="A2417" s="2">
        <v>605</v>
      </c>
      <c r="B2417" s="2">
        <v>4</v>
      </c>
      <c r="C2417" s="2">
        <v>7726035</v>
      </c>
      <c r="D2417" s="2">
        <v>8309826</v>
      </c>
      <c r="E2417" s="2">
        <v>3</v>
      </c>
      <c r="F2417" s="2" t="s">
        <v>10086</v>
      </c>
      <c r="H2417" s="3">
        <v>6.9999999999999999E-4</v>
      </c>
      <c r="K2417" s="2" t="s">
        <v>10089</v>
      </c>
    </row>
    <row r="2418" spans="1:11" x14ac:dyDescent="0.2">
      <c r="A2418" s="2">
        <v>605</v>
      </c>
      <c r="B2418" s="2">
        <v>4</v>
      </c>
      <c r="C2418" s="2">
        <v>7726035</v>
      </c>
      <c r="D2418" s="2">
        <v>8309826</v>
      </c>
      <c r="E2418" s="2">
        <v>4</v>
      </c>
      <c r="F2418" s="2" t="s">
        <v>10086</v>
      </c>
      <c r="H2418" s="3">
        <v>5.0000000000000001E-4</v>
      </c>
      <c r="K2418" s="2" t="s">
        <v>12324</v>
      </c>
    </row>
    <row r="2419" spans="1:11" x14ac:dyDescent="0.2">
      <c r="A2419" s="2">
        <v>606</v>
      </c>
      <c r="B2419" s="2">
        <v>4</v>
      </c>
      <c r="C2419" s="2">
        <v>8309827</v>
      </c>
      <c r="D2419" s="2">
        <v>8882616</v>
      </c>
      <c r="E2419" s="2">
        <v>1</v>
      </c>
      <c r="F2419" s="2" t="s">
        <v>10086</v>
      </c>
      <c r="H2419" s="2">
        <v>1.1999999999999999E-3</v>
      </c>
      <c r="K2419" s="2" t="s">
        <v>12324</v>
      </c>
    </row>
    <row r="2420" spans="1:11" x14ac:dyDescent="0.2">
      <c r="A2420" s="2">
        <v>606</v>
      </c>
      <c r="B2420" s="2">
        <v>4</v>
      </c>
      <c r="C2420" s="2">
        <v>8309827</v>
      </c>
      <c r="D2420" s="2">
        <v>8882616</v>
      </c>
      <c r="E2420" s="2">
        <v>2</v>
      </c>
      <c r="F2420" s="2" t="s">
        <v>10086</v>
      </c>
      <c r="H2420" s="2">
        <v>1E-3</v>
      </c>
      <c r="K2420" s="2" t="s">
        <v>10087</v>
      </c>
    </row>
    <row r="2421" spans="1:11" x14ac:dyDescent="0.2">
      <c r="A2421" s="2">
        <v>606</v>
      </c>
      <c r="B2421" s="2">
        <v>4</v>
      </c>
      <c r="C2421" s="2">
        <v>8309827</v>
      </c>
      <c r="D2421" s="2">
        <v>8882616</v>
      </c>
      <c r="E2421" s="2">
        <v>3</v>
      </c>
      <c r="F2421" s="2" t="s">
        <v>10086</v>
      </c>
      <c r="H2421" s="3">
        <v>8.9999999999999998E-4</v>
      </c>
      <c r="K2421" s="2" t="s">
        <v>10088</v>
      </c>
    </row>
    <row r="2422" spans="1:11" x14ac:dyDescent="0.2">
      <c r="A2422" s="2">
        <v>606</v>
      </c>
      <c r="B2422" s="2">
        <v>4</v>
      </c>
      <c r="C2422" s="2">
        <v>8309827</v>
      </c>
      <c r="D2422" s="2">
        <v>8882616</v>
      </c>
      <c r="E2422" s="2">
        <v>4</v>
      </c>
      <c r="F2422" s="2" t="s">
        <v>10086</v>
      </c>
      <c r="H2422" s="3">
        <v>6.9999999999999999E-4</v>
      </c>
      <c r="K2422" s="2" t="s">
        <v>10085</v>
      </c>
    </row>
    <row r="2423" spans="1:11" x14ac:dyDescent="0.2">
      <c r="A2423" s="2">
        <v>607</v>
      </c>
      <c r="B2423" s="2">
        <v>4</v>
      </c>
      <c r="C2423" s="2">
        <v>8882617</v>
      </c>
      <c r="D2423" s="2">
        <v>9482867</v>
      </c>
      <c r="E2423" s="2">
        <v>1</v>
      </c>
      <c r="F2423" s="2" t="s">
        <v>10086</v>
      </c>
      <c r="H2423" s="2">
        <v>1E-3</v>
      </c>
      <c r="K2423" s="2" t="s">
        <v>10087</v>
      </c>
    </row>
    <row r="2424" spans="1:11" x14ac:dyDescent="0.2">
      <c r="A2424" s="2">
        <v>607</v>
      </c>
      <c r="B2424" s="2">
        <v>4</v>
      </c>
      <c r="C2424" s="2">
        <v>8882617</v>
      </c>
      <c r="D2424" s="2">
        <v>9482867</v>
      </c>
      <c r="E2424" s="2">
        <v>2</v>
      </c>
      <c r="F2424" s="2" t="s">
        <v>10086</v>
      </c>
      <c r="H2424" s="3">
        <v>5.9999999999999995E-4</v>
      </c>
      <c r="K2424" s="2" t="s">
        <v>10089</v>
      </c>
    </row>
    <row r="2425" spans="1:11" x14ac:dyDescent="0.2">
      <c r="A2425" s="2">
        <v>607</v>
      </c>
      <c r="B2425" s="2">
        <v>4</v>
      </c>
      <c r="C2425" s="2">
        <v>8882617</v>
      </c>
      <c r="D2425" s="2">
        <v>9482867</v>
      </c>
      <c r="E2425" s="2">
        <v>3</v>
      </c>
      <c r="F2425" s="2" t="s">
        <v>10086</v>
      </c>
      <c r="H2425" s="3">
        <v>4.0000000000000002E-4</v>
      </c>
      <c r="K2425" s="2" t="s">
        <v>12324</v>
      </c>
    </row>
    <row r="2426" spans="1:11" x14ac:dyDescent="0.2">
      <c r="A2426" s="2">
        <v>607</v>
      </c>
      <c r="B2426" s="2">
        <v>4</v>
      </c>
      <c r="C2426" s="2">
        <v>8882617</v>
      </c>
      <c r="D2426" s="2">
        <v>9482867</v>
      </c>
      <c r="E2426" s="2">
        <v>4</v>
      </c>
      <c r="F2426" s="2" t="s">
        <v>10086</v>
      </c>
      <c r="H2426" s="3">
        <v>4.0000000000000002E-4</v>
      </c>
      <c r="K2426" s="2" t="s">
        <v>10088</v>
      </c>
    </row>
    <row r="2427" spans="1:11" x14ac:dyDescent="0.2">
      <c r="A2427" s="2">
        <v>608</v>
      </c>
      <c r="B2427" s="2">
        <v>4</v>
      </c>
      <c r="C2427" s="2">
        <v>9482868</v>
      </c>
      <c r="D2427" s="2">
        <v>9916156</v>
      </c>
      <c r="E2427" s="2">
        <v>1</v>
      </c>
      <c r="F2427" s="2" t="s">
        <v>10086</v>
      </c>
      <c r="H2427" s="2">
        <v>1.8E-3</v>
      </c>
      <c r="K2427" s="2" t="s">
        <v>10085</v>
      </c>
    </row>
    <row r="2428" spans="1:11" x14ac:dyDescent="0.2">
      <c r="A2428" s="2">
        <v>608</v>
      </c>
      <c r="B2428" s="2">
        <v>4</v>
      </c>
      <c r="C2428" s="2">
        <v>9482868</v>
      </c>
      <c r="D2428" s="2">
        <v>9916156</v>
      </c>
      <c r="E2428" s="2">
        <v>2</v>
      </c>
      <c r="F2428" s="2" t="s">
        <v>10086</v>
      </c>
      <c r="H2428" s="2">
        <v>1.1000000000000001E-3</v>
      </c>
      <c r="K2428" s="2" t="s">
        <v>10088</v>
      </c>
    </row>
    <row r="2429" spans="1:11" x14ac:dyDescent="0.2">
      <c r="A2429" s="2">
        <v>608</v>
      </c>
      <c r="B2429" s="2">
        <v>4</v>
      </c>
      <c r="C2429" s="2">
        <v>9482868</v>
      </c>
      <c r="D2429" s="2">
        <v>9916156</v>
      </c>
      <c r="E2429" s="2">
        <v>3</v>
      </c>
      <c r="F2429" s="2" t="s">
        <v>10086</v>
      </c>
      <c r="H2429" s="3">
        <v>5.9999999999999995E-4</v>
      </c>
      <c r="K2429" s="2" t="s">
        <v>10089</v>
      </c>
    </row>
    <row r="2430" spans="1:11" x14ac:dyDescent="0.2">
      <c r="A2430" s="2">
        <v>608</v>
      </c>
      <c r="B2430" s="2">
        <v>4</v>
      </c>
      <c r="C2430" s="2">
        <v>9482868</v>
      </c>
      <c r="D2430" s="2">
        <v>9916156</v>
      </c>
      <c r="E2430" s="2">
        <v>4</v>
      </c>
      <c r="F2430" s="2" t="s">
        <v>10086</v>
      </c>
      <c r="H2430" s="3">
        <v>4.0000000000000002E-4</v>
      </c>
      <c r="K2430" s="2" t="s">
        <v>10087</v>
      </c>
    </row>
    <row r="2431" spans="1:11" x14ac:dyDescent="0.2">
      <c r="A2431" s="2">
        <v>609</v>
      </c>
      <c r="B2431" s="2">
        <v>4</v>
      </c>
      <c r="C2431" s="2">
        <v>9916157</v>
      </c>
      <c r="D2431" s="2">
        <v>10370666</v>
      </c>
      <c r="E2431" s="2">
        <v>1</v>
      </c>
      <c r="F2431" s="2" t="s">
        <v>10086</v>
      </c>
      <c r="H2431" s="3">
        <v>5.0000000000000001E-4</v>
      </c>
      <c r="K2431" s="2" t="s">
        <v>10089</v>
      </c>
    </row>
    <row r="2432" spans="1:11" x14ac:dyDescent="0.2">
      <c r="A2432" s="2">
        <v>609</v>
      </c>
      <c r="B2432" s="2">
        <v>4</v>
      </c>
      <c r="C2432" s="2">
        <v>9916157</v>
      </c>
      <c r="D2432" s="2">
        <v>10370666</v>
      </c>
      <c r="E2432" s="2">
        <v>2</v>
      </c>
      <c r="F2432" s="2" t="s">
        <v>10086</v>
      </c>
      <c r="H2432" s="3">
        <v>2.9999999999999997E-4</v>
      </c>
      <c r="K2432" s="2" t="s">
        <v>10088</v>
      </c>
    </row>
    <row r="2433" spans="1:11" x14ac:dyDescent="0.2">
      <c r="A2433" s="2">
        <v>609</v>
      </c>
      <c r="B2433" s="2">
        <v>4</v>
      </c>
      <c r="C2433" s="2">
        <v>9916157</v>
      </c>
      <c r="D2433" s="2">
        <v>10370666</v>
      </c>
      <c r="E2433" s="2">
        <v>3</v>
      </c>
      <c r="F2433" s="2" t="s">
        <v>10086</v>
      </c>
      <c r="H2433" s="3">
        <v>2.9999999999999997E-4</v>
      </c>
      <c r="K2433" s="2" t="s">
        <v>10085</v>
      </c>
    </row>
    <row r="2434" spans="1:11" x14ac:dyDescent="0.2">
      <c r="A2434" s="2">
        <v>609</v>
      </c>
      <c r="B2434" s="2">
        <v>4</v>
      </c>
      <c r="C2434" s="2">
        <v>9916157</v>
      </c>
      <c r="D2434" s="2">
        <v>10370666</v>
      </c>
      <c r="E2434" s="2">
        <v>4</v>
      </c>
      <c r="F2434" s="2" t="s">
        <v>10086</v>
      </c>
      <c r="H2434" s="3">
        <v>2.0000000000000001E-4</v>
      </c>
      <c r="K2434" s="2" t="s">
        <v>12324</v>
      </c>
    </row>
    <row r="2435" spans="1:11" x14ac:dyDescent="0.2">
      <c r="A2435" s="2">
        <v>610</v>
      </c>
      <c r="B2435" s="2">
        <v>4</v>
      </c>
      <c r="C2435" s="2">
        <v>10370667</v>
      </c>
      <c r="D2435" s="2">
        <v>11050119</v>
      </c>
      <c r="E2435" s="2">
        <v>1</v>
      </c>
      <c r="F2435" s="2" t="s">
        <v>10086</v>
      </c>
      <c r="H2435" s="2">
        <v>1.1999999999999999E-3</v>
      </c>
      <c r="K2435" s="2" t="s">
        <v>10089</v>
      </c>
    </row>
    <row r="2436" spans="1:11" x14ac:dyDescent="0.2">
      <c r="A2436" s="2">
        <v>610</v>
      </c>
      <c r="B2436" s="2">
        <v>4</v>
      </c>
      <c r="C2436" s="2">
        <v>10370667</v>
      </c>
      <c r="D2436" s="2">
        <v>11050119</v>
      </c>
      <c r="E2436" s="2">
        <v>2</v>
      </c>
      <c r="F2436" s="2" t="s">
        <v>10086</v>
      </c>
      <c r="H2436" s="3">
        <v>6.9999999999999999E-4</v>
      </c>
      <c r="K2436" s="2" t="s">
        <v>10088</v>
      </c>
    </row>
    <row r="2437" spans="1:11" x14ac:dyDescent="0.2">
      <c r="A2437" s="2">
        <v>610</v>
      </c>
      <c r="B2437" s="2">
        <v>4</v>
      </c>
      <c r="C2437" s="2">
        <v>10370667</v>
      </c>
      <c r="D2437" s="2">
        <v>11050119</v>
      </c>
      <c r="E2437" s="2">
        <v>3</v>
      </c>
      <c r="F2437" s="2" t="s">
        <v>10086</v>
      </c>
      <c r="H2437" s="3">
        <v>5.9999999999999995E-4</v>
      </c>
      <c r="K2437" s="2" t="s">
        <v>10085</v>
      </c>
    </row>
    <row r="2438" spans="1:11" x14ac:dyDescent="0.2">
      <c r="A2438" s="2">
        <v>610</v>
      </c>
      <c r="B2438" s="2">
        <v>4</v>
      </c>
      <c r="C2438" s="2">
        <v>10370667</v>
      </c>
      <c r="D2438" s="2">
        <v>11050119</v>
      </c>
      <c r="E2438" s="2">
        <v>4</v>
      </c>
      <c r="F2438" s="2" t="s">
        <v>10086</v>
      </c>
      <c r="H2438" s="3">
        <v>2.9999999999999997E-4</v>
      </c>
      <c r="K2438" s="2" t="s">
        <v>10087</v>
      </c>
    </row>
    <row r="2439" spans="1:11" x14ac:dyDescent="0.2">
      <c r="A2439" s="2">
        <v>611</v>
      </c>
      <c r="B2439" s="2">
        <v>4</v>
      </c>
      <c r="C2439" s="2">
        <v>11050120</v>
      </c>
      <c r="D2439" s="2">
        <v>12209028</v>
      </c>
      <c r="E2439" s="2">
        <v>1</v>
      </c>
      <c r="F2439" s="2" t="s">
        <v>10086</v>
      </c>
      <c r="H2439" s="2">
        <v>2.3699999999999999E-2</v>
      </c>
      <c r="K2439" s="2" t="s">
        <v>10088</v>
      </c>
    </row>
    <row r="2440" spans="1:11" x14ac:dyDescent="0.2">
      <c r="A2440" s="2">
        <v>611</v>
      </c>
      <c r="B2440" s="2">
        <v>4</v>
      </c>
      <c r="C2440" s="2">
        <v>11050120</v>
      </c>
      <c r="D2440" s="2">
        <v>12209028</v>
      </c>
      <c r="E2440" s="2">
        <v>2</v>
      </c>
      <c r="F2440" s="2" t="s">
        <v>10086</v>
      </c>
      <c r="H2440" s="2">
        <v>2.5999999999999999E-3</v>
      </c>
      <c r="K2440" s="2" t="s">
        <v>10089</v>
      </c>
    </row>
    <row r="2441" spans="1:11" x14ac:dyDescent="0.2">
      <c r="A2441" s="2">
        <v>611</v>
      </c>
      <c r="B2441" s="2">
        <v>4</v>
      </c>
      <c r="C2441" s="2">
        <v>11050120</v>
      </c>
      <c r="D2441" s="2">
        <v>12209028</v>
      </c>
      <c r="E2441" s="2">
        <v>3</v>
      </c>
      <c r="F2441" s="2" t="s">
        <v>10086</v>
      </c>
      <c r="H2441" s="2">
        <v>1.9E-3</v>
      </c>
      <c r="K2441" s="2" t="s">
        <v>10087</v>
      </c>
    </row>
    <row r="2442" spans="1:11" x14ac:dyDescent="0.2">
      <c r="A2442" s="2">
        <v>611</v>
      </c>
      <c r="B2442" s="2">
        <v>4</v>
      </c>
      <c r="C2442" s="2">
        <v>11050120</v>
      </c>
      <c r="D2442" s="2">
        <v>12209028</v>
      </c>
      <c r="E2442" s="2">
        <v>4</v>
      </c>
      <c r="F2442" s="2" t="s">
        <v>10086</v>
      </c>
      <c r="H2442" s="2">
        <v>1E-3</v>
      </c>
      <c r="K2442" s="2" t="s">
        <v>10085</v>
      </c>
    </row>
    <row r="2443" spans="1:11" x14ac:dyDescent="0.2">
      <c r="A2443" s="2">
        <v>612</v>
      </c>
      <c r="B2443" s="2">
        <v>4</v>
      </c>
      <c r="C2443" s="2">
        <v>12209029</v>
      </c>
      <c r="D2443" s="2">
        <v>13127576</v>
      </c>
      <c r="E2443" s="2">
        <v>1</v>
      </c>
      <c r="F2443" s="2" t="s">
        <v>10086</v>
      </c>
      <c r="H2443" s="2">
        <v>4.1999999999999997E-3</v>
      </c>
      <c r="K2443" s="2" t="s">
        <v>10089</v>
      </c>
    </row>
    <row r="2444" spans="1:11" x14ac:dyDescent="0.2">
      <c r="A2444" s="2">
        <v>612</v>
      </c>
      <c r="B2444" s="2">
        <v>4</v>
      </c>
      <c r="C2444" s="2">
        <v>12209029</v>
      </c>
      <c r="D2444" s="2">
        <v>13127576</v>
      </c>
      <c r="E2444" s="2">
        <v>2</v>
      </c>
      <c r="F2444" s="2" t="s">
        <v>10086</v>
      </c>
      <c r="H2444" s="2">
        <v>6.1999999999999998E-3</v>
      </c>
      <c r="K2444" s="2" t="s">
        <v>10087</v>
      </c>
    </row>
    <row r="2445" spans="1:11" x14ac:dyDescent="0.2">
      <c r="A2445" s="2">
        <v>612</v>
      </c>
      <c r="B2445" s="2">
        <v>4</v>
      </c>
      <c r="C2445" s="2">
        <v>12209029</v>
      </c>
      <c r="D2445" s="2">
        <v>13127576</v>
      </c>
      <c r="E2445" s="2">
        <v>3</v>
      </c>
      <c r="F2445" s="2" t="s">
        <v>10086</v>
      </c>
      <c r="H2445" s="2">
        <v>1.5E-3</v>
      </c>
      <c r="K2445" s="2" t="s">
        <v>10088</v>
      </c>
    </row>
    <row r="2446" spans="1:11" x14ac:dyDescent="0.2">
      <c r="A2446" s="2">
        <v>612</v>
      </c>
      <c r="B2446" s="2">
        <v>4</v>
      </c>
      <c r="C2446" s="2">
        <v>12209029</v>
      </c>
      <c r="D2446" s="2">
        <v>13127576</v>
      </c>
      <c r="E2446" s="2">
        <v>4</v>
      </c>
      <c r="F2446" s="2" t="s">
        <v>10086</v>
      </c>
      <c r="H2446" s="3">
        <v>8.0000000000000004E-4</v>
      </c>
      <c r="K2446" s="2" t="s">
        <v>10085</v>
      </c>
    </row>
    <row r="2447" spans="1:11" x14ac:dyDescent="0.2">
      <c r="A2447" s="2">
        <v>613</v>
      </c>
      <c r="B2447" s="2">
        <v>4</v>
      </c>
      <c r="C2447" s="2">
        <v>13127577</v>
      </c>
      <c r="D2447" s="2">
        <v>14395886</v>
      </c>
      <c r="E2447" s="2">
        <v>1</v>
      </c>
      <c r="F2447" s="2" t="s">
        <v>10086</v>
      </c>
      <c r="H2447" s="2">
        <v>2.8999999999999998E-3</v>
      </c>
      <c r="K2447" s="2" t="s">
        <v>10085</v>
      </c>
    </row>
    <row r="2448" spans="1:11" x14ac:dyDescent="0.2">
      <c r="A2448" s="2">
        <v>613</v>
      </c>
      <c r="B2448" s="2">
        <v>4</v>
      </c>
      <c r="C2448" s="2">
        <v>13127577</v>
      </c>
      <c r="D2448" s="2">
        <v>14395886</v>
      </c>
      <c r="E2448" s="2">
        <v>2</v>
      </c>
      <c r="F2448" s="2" t="s">
        <v>10086</v>
      </c>
      <c r="H2448" s="2">
        <v>2.3E-3</v>
      </c>
      <c r="K2448" s="2" t="s">
        <v>10087</v>
      </c>
    </row>
    <row r="2449" spans="1:11" x14ac:dyDescent="0.2">
      <c r="A2449" s="2">
        <v>613</v>
      </c>
      <c r="B2449" s="2">
        <v>4</v>
      </c>
      <c r="C2449" s="2">
        <v>13127577</v>
      </c>
      <c r="D2449" s="2">
        <v>14395886</v>
      </c>
      <c r="E2449" s="2">
        <v>3</v>
      </c>
      <c r="F2449" s="2" t="s">
        <v>10086</v>
      </c>
      <c r="H2449" s="2">
        <v>1.5E-3</v>
      </c>
      <c r="K2449" s="2" t="s">
        <v>10089</v>
      </c>
    </row>
    <row r="2450" spans="1:11" x14ac:dyDescent="0.2">
      <c r="A2450" s="2">
        <v>613</v>
      </c>
      <c r="B2450" s="2">
        <v>4</v>
      </c>
      <c r="C2450" s="2">
        <v>13127577</v>
      </c>
      <c r="D2450" s="2">
        <v>14395886</v>
      </c>
      <c r="E2450" s="2">
        <v>4</v>
      </c>
      <c r="F2450" s="2" t="s">
        <v>10086</v>
      </c>
      <c r="H2450" s="3">
        <v>5.0000000000000001E-4</v>
      </c>
      <c r="K2450" s="2" t="s">
        <v>10088</v>
      </c>
    </row>
    <row r="2451" spans="1:11" x14ac:dyDescent="0.2">
      <c r="A2451" s="2">
        <v>614</v>
      </c>
      <c r="B2451" s="2">
        <v>4</v>
      </c>
      <c r="C2451" s="2">
        <v>14395887</v>
      </c>
      <c r="D2451" s="2">
        <v>14967147</v>
      </c>
      <c r="E2451" s="2">
        <v>1</v>
      </c>
      <c r="F2451" s="2" t="s">
        <v>10086</v>
      </c>
      <c r="H2451" s="2">
        <v>2.5999999999999999E-3</v>
      </c>
      <c r="K2451" s="2" t="s">
        <v>10088</v>
      </c>
    </row>
    <row r="2452" spans="1:11" x14ac:dyDescent="0.2">
      <c r="A2452" s="2">
        <v>614</v>
      </c>
      <c r="B2452" s="2">
        <v>4</v>
      </c>
      <c r="C2452" s="2">
        <v>14395887</v>
      </c>
      <c r="D2452" s="2">
        <v>14967147</v>
      </c>
      <c r="E2452" s="2">
        <v>2</v>
      </c>
      <c r="F2452" s="2" t="s">
        <v>10086</v>
      </c>
      <c r="H2452" s="3">
        <v>8.0000000000000004E-4</v>
      </c>
      <c r="K2452" s="2" t="s">
        <v>10085</v>
      </c>
    </row>
    <row r="2453" spans="1:11" x14ac:dyDescent="0.2">
      <c r="A2453" s="2">
        <v>614</v>
      </c>
      <c r="B2453" s="2">
        <v>4</v>
      </c>
      <c r="C2453" s="2">
        <v>14395887</v>
      </c>
      <c r="D2453" s="2">
        <v>14967147</v>
      </c>
      <c r="E2453" s="2">
        <v>3</v>
      </c>
      <c r="F2453" s="2" t="s">
        <v>10086</v>
      </c>
      <c r="H2453" s="3">
        <v>6.9999999999999999E-4</v>
      </c>
      <c r="K2453" s="2" t="s">
        <v>10089</v>
      </c>
    </row>
    <row r="2454" spans="1:11" x14ac:dyDescent="0.2">
      <c r="A2454" s="2">
        <v>614</v>
      </c>
      <c r="B2454" s="2">
        <v>4</v>
      </c>
      <c r="C2454" s="2">
        <v>14395887</v>
      </c>
      <c r="D2454" s="2">
        <v>14967147</v>
      </c>
      <c r="E2454" s="2">
        <v>4</v>
      </c>
      <c r="F2454" s="2" t="s">
        <v>10086</v>
      </c>
      <c r="H2454" s="3">
        <v>2.9999999999999997E-4</v>
      </c>
      <c r="K2454" s="2" t="s">
        <v>10087</v>
      </c>
    </row>
    <row r="2455" spans="1:11" x14ac:dyDescent="0.2">
      <c r="A2455" s="2">
        <v>615</v>
      </c>
      <c r="B2455" s="2">
        <v>4</v>
      </c>
      <c r="C2455" s="2">
        <v>14967148</v>
      </c>
      <c r="D2455" s="2">
        <v>15910801</v>
      </c>
      <c r="E2455" s="2">
        <v>1</v>
      </c>
      <c r="F2455" s="2" t="s">
        <v>10086</v>
      </c>
      <c r="H2455" s="2">
        <v>1.1000000000000001E-3</v>
      </c>
      <c r="K2455" s="2" t="s">
        <v>10089</v>
      </c>
    </row>
    <row r="2456" spans="1:11" x14ac:dyDescent="0.2">
      <c r="A2456" s="2">
        <v>615</v>
      </c>
      <c r="B2456" s="2">
        <v>4</v>
      </c>
      <c r="C2456" s="2">
        <v>14967148</v>
      </c>
      <c r="D2456" s="2">
        <v>15910801</v>
      </c>
      <c r="E2456" s="2">
        <v>2</v>
      </c>
      <c r="F2456" s="2" t="s">
        <v>10086</v>
      </c>
      <c r="H2456" s="2">
        <v>1.4E-3</v>
      </c>
      <c r="K2456" s="2" t="s">
        <v>10088</v>
      </c>
    </row>
    <row r="2457" spans="1:11" x14ac:dyDescent="0.2">
      <c r="A2457" s="2">
        <v>615</v>
      </c>
      <c r="B2457" s="2">
        <v>4</v>
      </c>
      <c r="C2457" s="2">
        <v>14967148</v>
      </c>
      <c r="D2457" s="2">
        <v>15910801</v>
      </c>
      <c r="E2457" s="2">
        <v>3</v>
      </c>
      <c r="F2457" s="2" t="s">
        <v>10086</v>
      </c>
      <c r="H2457" s="3">
        <v>6.9999999999999999E-4</v>
      </c>
      <c r="K2457" s="2" t="s">
        <v>10087</v>
      </c>
    </row>
    <row r="2458" spans="1:11" x14ac:dyDescent="0.2">
      <c r="A2458" s="2">
        <v>615</v>
      </c>
      <c r="B2458" s="2">
        <v>4</v>
      </c>
      <c r="C2458" s="2">
        <v>14967148</v>
      </c>
      <c r="D2458" s="2">
        <v>15910801</v>
      </c>
      <c r="E2458" s="2">
        <v>4</v>
      </c>
      <c r="F2458" s="2" t="s">
        <v>10086</v>
      </c>
      <c r="H2458" s="3">
        <v>4.0000000000000002E-4</v>
      </c>
      <c r="K2458" s="2" t="s">
        <v>10085</v>
      </c>
    </row>
    <row r="2459" spans="1:11" x14ac:dyDescent="0.2">
      <c r="A2459" s="2">
        <v>616</v>
      </c>
      <c r="B2459" s="2">
        <v>4</v>
      </c>
      <c r="C2459" s="2">
        <v>15910802</v>
      </c>
      <c r="D2459" s="2">
        <v>17290236</v>
      </c>
      <c r="E2459" s="2">
        <v>1</v>
      </c>
      <c r="F2459" s="2" t="s">
        <v>10086</v>
      </c>
      <c r="H2459" s="2">
        <v>2E-3</v>
      </c>
      <c r="K2459" s="2" t="s">
        <v>10088</v>
      </c>
    </row>
    <row r="2460" spans="1:11" x14ac:dyDescent="0.2">
      <c r="A2460" s="2">
        <v>616</v>
      </c>
      <c r="B2460" s="2">
        <v>4</v>
      </c>
      <c r="C2460" s="2">
        <v>15910802</v>
      </c>
      <c r="D2460" s="2">
        <v>17290236</v>
      </c>
      <c r="E2460" s="2">
        <v>2</v>
      </c>
      <c r="F2460" s="2" t="s">
        <v>10086</v>
      </c>
      <c r="H2460" s="2">
        <v>1.4E-3</v>
      </c>
      <c r="K2460" s="2" t="s">
        <v>10085</v>
      </c>
    </row>
    <row r="2461" spans="1:11" x14ac:dyDescent="0.2">
      <c r="A2461" s="2">
        <v>616</v>
      </c>
      <c r="B2461" s="2">
        <v>4</v>
      </c>
      <c r="C2461" s="2">
        <v>15910802</v>
      </c>
      <c r="D2461" s="2">
        <v>17290236</v>
      </c>
      <c r="E2461" s="2">
        <v>3</v>
      </c>
      <c r="F2461" s="2" t="s">
        <v>10086</v>
      </c>
      <c r="H2461" s="2">
        <v>1.6999999999999999E-3</v>
      </c>
      <c r="K2461" s="2" t="s">
        <v>10089</v>
      </c>
    </row>
    <row r="2462" spans="1:11" x14ac:dyDescent="0.2">
      <c r="A2462" s="2">
        <v>616</v>
      </c>
      <c r="B2462" s="2">
        <v>4</v>
      </c>
      <c r="C2462" s="2">
        <v>15910802</v>
      </c>
      <c r="D2462" s="2">
        <v>17290236</v>
      </c>
      <c r="E2462" s="2">
        <v>4</v>
      </c>
      <c r="F2462" s="2" t="s">
        <v>10086</v>
      </c>
      <c r="H2462" s="3">
        <v>8.0000000000000004E-4</v>
      </c>
      <c r="K2462" s="2" t="s">
        <v>10087</v>
      </c>
    </row>
    <row r="2463" spans="1:11" x14ac:dyDescent="0.2">
      <c r="A2463" s="2">
        <v>617</v>
      </c>
      <c r="B2463" s="2">
        <v>4</v>
      </c>
      <c r="C2463" s="2">
        <v>17290237</v>
      </c>
      <c r="D2463" s="2">
        <v>18753263</v>
      </c>
      <c r="E2463" s="2">
        <v>1</v>
      </c>
      <c r="F2463" s="2" t="s">
        <v>10086</v>
      </c>
      <c r="H2463" s="2">
        <v>6.7999999999999996E-3</v>
      </c>
      <c r="K2463" s="2" t="s">
        <v>12324</v>
      </c>
    </row>
    <row r="2464" spans="1:11" x14ac:dyDescent="0.2">
      <c r="A2464" s="2">
        <v>617</v>
      </c>
      <c r="B2464" s="2">
        <v>4</v>
      </c>
      <c r="C2464" s="2">
        <v>17290237</v>
      </c>
      <c r="D2464" s="2">
        <v>18753263</v>
      </c>
      <c r="E2464" s="2">
        <v>2</v>
      </c>
      <c r="F2464" s="2" t="s">
        <v>10086</v>
      </c>
      <c r="H2464" s="2">
        <v>2.3E-3</v>
      </c>
      <c r="K2464" s="2" t="s">
        <v>10089</v>
      </c>
    </row>
    <row r="2465" spans="1:11" x14ac:dyDescent="0.2">
      <c r="A2465" s="2">
        <v>617</v>
      </c>
      <c r="B2465" s="2">
        <v>4</v>
      </c>
      <c r="C2465" s="2">
        <v>17290237</v>
      </c>
      <c r="D2465" s="2">
        <v>18753263</v>
      </c>
      <c r="E2465" s="2">
        <v>3</v>
      </c>
      <c r="F2465" s="2" t="s">
        <v>10086</v>
      </c>
      <c r="H2465" s="2">
        <v>1.4E-3</v>
      </c>
      <c r="K2465" s="2" t="s">
        <v>10085</v>
      </c>
    </row>
    <row r="2466" spans="1:11" x14ac:dyDescent="0.2">
      <c r="A2466" s="2">
        <v>617</v>
      </c>
      <c r="B2466" s="2">
        <v>4</v>
      </c>
      <c r="C2466" s="2">
        <v>17290237</v>
      </c>
      <c r="D2466" s="2">
        <v>18753263</v>
      </c>
      <c r="E2466" s="2">
        <v>4</v>
      </c>
      <c r="F2466" s="2" t="s">
        <v>10086</v>
      </c>
      <c r="H2466" s="2">
        <v>1.1999999999999999E-3</v>
      </c>
      <c r="K2466" s="2" t="s">
        <v>10088</v>
      </c>
    </row>
    <row r="2467" spans="1:11" x14ac:dyDescent="0.2">
      <c r="A2467" s="2">
        <v>618</v>
      </c>
      <c r="B2467" s="2">
        <v>4</v>
      </c>
      <c r="C2467" s="2">
        <v>18753264</v>
      </c>
      <c r="D2467" s="2">
        <v>20086838</v>
      </c>
      <c r="E2467" s="2">
        <v>1</v>
      </c>
      <c r="F2467" s="2" t="s">
        <v>10086</v>
      </c>
      <c r="H2467" s="2">
        <v>8.2000000000000007E-3</v>
      </c>
      <c r="K2467" s="2" t="s">
        <v>10089</v>
      </c>
    </row>
    <row r="2468" spans="1:11" x14ac:dyDescent="0.2">
      <c r="A2468" s="2">
        <v>618</v>
      </c>
      <c r="B2468" s="2">
        <v>4</v>
      </c>
      <c r="C2468" s="2">
        <v>18753264</v>
      </c>
      <c r="D2468" s="2">
        <v>20086838</v>
      </c>
      <c r="E2468" s="2">
        <v>2</v>
      </c>
      <c r="F2468" s="2" t="s">
        <v>10086</v>
      </c>
      <c r="H2468" s="2">
        <v>4.4999999999999997E-3</v>
      </c>
      <c r="K2468" s="2" t="s">
        <v>12324</v>
      </c>
    </row>
    <row r="2469" spans="1:11" x14ac:dyDescent="0.2">
      <c r="A2469" s="2">
        <v>618</v>
      </c>
      <c r="B2469" s="2">
        <v>4</v>
      </c>
      <c r="C2469" s="2">
        <v>18753264</v>
      </c>
      <c r="D2469" s="2">
        <v>20086838</v>
      </c>
      <c r="E2469" s="2">
        <v>3</v>
      </c>
      <c r="F2469" s="2" t="s">
        <v>10086</v>
      </c>
      <c r="H2469" s="2">
        <v>1.1000000000000001E-3</v>
      </c>
      <c r="K2469" s="2" t="s">
        <v>10088</v>
      </c>
    </row>
    <row r="2470" spans="1:11" x14ac:dyDescent="0.2">
      <c r="A2470" s="2">
        <v>618</v>
      </c>
      <c r="B2470" s="2">
        <v>4</v>
      </c>
      <c r="C2470" s="2">
        <v>18753264</v>
      </c>
      <c r="D2470" s="2">
        <v>20086838</v>
      </c>
      <c r="E2470" s="2">
        <v>4</v>
      </c>
      <c r="F2470" s="2" t="s">
        <v>10086</v>
      </c>
      <c r="H2470" s="3">
        <v>8.0000000000000004E-4</v>
      </c>
      <c r="K2470" s="2" t="s">
        <v>10085</v>
      </c>
    </row>
    <row r="2471" spans="1:11" x14ac:dyDescent="0.2">
      <c r="A2471" s="2">
        <v>619</v>
      </c>
      <c r="B2471" s="2">
        <v>4</v>
      </c>
      <c r="C2471" s="2">
        <v>20086839</v>
      </c>
      <c r="D2471" s="2">
        <v>21416380</v>
      </c>
      <c r="E2471" s="2">
        <v>1</v>
      </c>
      <c r="F2471" s="2" t="s">
        <v>10086</v>
      </c>
      <c r="H2471" s="2">
        <v>4.7999999999999996E-3</v>
      </c>
      <c r="K2471" s="2" t="s">
        <v>10088</v>
      </c>
    </row>
    <row r="2472" spans="1:11" x14ac:dyDescent="0.2">
      <c r="A2472" s="2">
        <v>619</v>
      </c>
      <c r="B2472" s="2">
        <v>4</v>
      </c>
      <c r="C2472" s="2">
        <v>20086839</v>
      </c>
      <c r="D2472" s="2">
        <v>21416380</v>
      </c>
      <c r="E2472" s="2">
        <v>2</v>
      </c>
      <c r="F2472" s="2" t="s">
        <v>10086</v>
      </c>
      <c r="H2472" s="2">
        <v>1.6999999999999999E-3</v>
      </c>
      <c r="K2472" s="2" t="s">
        <v>10089</v>
      </c>
    </row>
    <row r="2473" spans="1:11" x14ac:dyDescent="0.2">
      <c r="A2473" s="2">
        <v>619</v>
      </c>
      <c r="B2473" s="2">
        <v>4</v>
      </c>
      <c r="C2473" s="2">
        <v>20086839</v>
      </c>
      <c r="D2473" s="2">
        <v>21416380</v>
      </c>
      <c r="E2473" s="2">
        <v>3</v>
      </c>
      <c r="F2473" s="2" t="s">
        <v>10086</v>
      </c>
      <c r="H2473" s="2">
        <v>1.4E-3</v>
      </c>
      <c r="K2473" s="2" t="s">
        <v>12324</v>
      </c>
    </row>
    <row r="2474" spans="1:11" x14ac:dyDescent="0.2">
      <c r="A2474" s="2">
        <v>619</v>
      </c>
      <c r="B2474" s="2">
        <v>4</v>
      </c>
      <c r="C2474" s="2">
        <v>20086839</v>
      </c>
      <c r="D2474" s="2">
        <v>21416380</v>
      </c>
      <c r="E2474" s="2">
        <v>4</v>
      </c>
      <c r="F2474" s="2" t="s">
        <v>10086</v>
      </c>
      <c r="H2474" s="2">
        <v>1.1000000000000001E-3</v>
      </c>
      <c r="K2474" s="2" t="s">
        <v>10085</v>
      </c>
    </row>
    <row r="2475" spans="1:11" x14ac:dyDescent="0.2">
      <c r="A2475" s="2">
        <v>620</v>
      </c>
      <c r="B2475" s="2">
        <v>4</v>
      </c>
      <c r="C2475" s="2">
        <v>21416381</v>
      </c>
      <c r="D2475" s="2">
        <v>22835185</v>
      </c>
      <c r="E2475" s="2">
        <v>1</v>
      </c>
      <c r="F2475" s="2" t="s">
        <v>10086</v>
      </c>
      <c r="H2475" s="2">
        <v>2.2000000000000001E-3</v>
      </c>
      <c r="K2475" s="2" t="s">
        <v>10089</v>
      </c>
    </row>
    <row r="2476" spans="1:11" x14ac:dyDescent="0.2">
      <c r="A2476" s="2">
        <v>620</v>
      </c>
      <c r="B2476" s="2">
        <v>4</v>
      </c>
      <c r="C2476" s="2">
        <v>21416381</v>
      </c>
      <c r="D2476" s="2">
        <v>22835185</v>
      </c>
      <c r="E2476" s="2">
        <v>2</v>
      </c>
      <c r="F2476" s="2" t="s">
        <v>10086</v>
      </c>
      <c r="H2476" s="2">
        <v>2E-3</v>
      </c>
      <c r="K2476" s="2" t="s">
        <v>10085</v>
      </c>
    </row>
    <row r="2477" spans="1:11" x14ac:dyDescent="0.2">
      <c r="A2477" s="2">
        <v>620</v>
      </c>
      <c r="B2477" s="2">
        <v>4</v>
      </c>
      <c r="C2477" s="2">
        <v>21416381</v>
      </c>
      <c r="D2477" s="2">
        <v>22835185</v>
      </c>
      <c r="E2477" s="2">
        <v>3</v>
      </c>
      <c r="F2477" s="2" t="s">
        <v>10086</v>
      </c>
      <c r="H2477" s="2">
        <v>1.9E-3</v>
      </c>
      <c r="K2477" s="2" t="s">
        <v>10087</v>
      </c>
    </row>
    <row r="2478" spans="1:11" x14ac:dyDescent="0.2">
      <c r="A2478" s="2">
        <v>620</v>
      </c>
      <c r="B2478" s="2">
        <v>4</v>
      </c>
      <c r="C2478" s="2">
        <v>21416381</v>
      </c>
      <c r="D2478" s="2">
        <v>22835185</v>
      </c>
      <c r="E2478" s="2">
        <v>4</v>
      </c>
      <c r="F2478" s="2" t="s">
        <v>10086</v>
      </c>
      <c r="H2478" s="3">
        <v>5.9999999999999995E-4</v>
      </c>
      <c r="K2478" s="2" t="s">
        <v>10088</v>
      </c>
    </row>
    <row r="2479" spans="1:11" x14ac:dyDescent="0.2">
      <c r="A2479" s="2">
        <v>621</v>
      </c>
      <c r="B2479" s="2">
        <v>4</v>
      </c>
      <c r="C2479" s="2">
        <v>22835186</v>
      </c>
      <c r="D2479" s="2">
        <v>23858350</v>
      </c>
      <c r="E2479" s="2">
        <v>1</v>
      </c>
      <c r="F2479" s="2" t="s">
        <v>10086</v>
      </c>
      <c r="H2479" s="2">
        <v>1.6999999999999999E-3</v>
      </c>
      <c r="K2479" s="2" t="s">
        <v>10087</v>
      </c>
    </row>
    <row r="2480" spans="1:11" x14ac:dyDescent="0.2">
      <c r="A2480" s="2">
        <v>621</v>
      </c>
      <c r="B2480" s="2">
        <v>4</v>
      </c>
      <c r="C2480" s="2">
        <v>22835186</v>
      </c>
      <c r="D2480" s="2">
        <v>23858350</v>
      </c>
      <c r="E2480" s="2">
        <v>2</v>
      </c>
      <c r="F2480" s="2" t="s">
        <v>10086</v>
      </c>
      <c r="H2480" s="2">
        <v>1.1999999999999999E-3</v>
      </c>
      <c r="K2480" s="2" t="s">
        <v>12324</v>
      </c>
    </row>
    <row r="2481" spans="1:11" x14ac:dyDescent="0.2">
      <c r="A2481" s="2">
        <v>621</v>
      </c>
      <c r="B2481" s="2">
        <v>4</v>
      </c>
      <c r="C2481" s="2">
        <v>22835186</v>
      </c>
      <c r="D2481" s="2">
        <v>23858350</v>
      </c>
      <c r="E2481" s="2">
        <v>3</v>
      </c>
      <c r="F2481" s="2" t="s">
        <v>10086</v>
      </c>
      <c r="H2481" s="2">
        <v>1.2999999999999999E-3</v>
      </c>
      <c r="K2481" s="2" t="s">
        <v>10088</v>
      </c>
    </row>
    <row r="2482" spans="1:11" x14ac:dyDescent="0.2">
      <c r="A2482" s="2">
        <v>621</v>
      </c>
      <c r="B2482" s="2">
        <v>4</v>
      </c>
      <c r="C2482" s="2">
        <v>22835186</v>
      </c>
      <c r="D2482" s="2">
        <v>23858350</v>
      </c>
      <c r="E2482" s="2">
        <v>4</v>
      </c>
      <c r="F2482" s="2" t="s">
        <v>10086</v>
      </c>
      <c r="H2482" s="3">
        <v>8.0000000000000004E-4</v>
      </c>
      <c r="K2482" s="2" t="s">
        <v>10089</v>
      </c>
    </row>
    <row r="2483" spans="1:11" x14ac:dyDescent="0.2">
      <c r="A2483" s="2">
        <v>622</v>
      </c>
      <c r="B2483" s="2">
        <v>4</v>
      </c>
      <c r="C2483" s="2">
        <v>23858351</v>
      </c>
      <c r="D2483" s="2">
        <v>24764724</v>
      </c>
      <c r="E2483" s="2">
        <v>1</v>
      </c>
      <c r="F2483" s="2" t="s">
        <v>10086</v>
      </c>
      <c r="H2483" s="2">
        <v>4.87E-2</v>
      </c>
      <c r="K2483" s="2" t="s">
        <v>10089</v>
      </c>
    </row>
    <row r="2484" spans="1:11" x14ac:dyDescent="0.2">
      <c r="A2484" s="2">
        <v>622</v>
      </c>
      <c r="B2484" s="2">
        <v>4</v>
      </c>
      <c r="C2484" s="2">
        <v>23858351</v>
      </c>
      <c r="D2484" s="2">
        <v>24764724</v>
      </c>
      <c r="E2484" s="2">
        <v>2</v>
      </c>
      <c r="F2484" s="2" t="s">
        <v>10086</v>
      </c>
      <c r="H2484" s="2">
        <v>1.2800000000000001E-2</v>
      </c>
      <c r="K2484" s="2" t="s">
        <v>12324</v>
      </c>
    </row>
    <row r="2485" spans="1:11" x14ac:dyDescent="0.2">
      <c r="A2485" s="2">
        <v>622</v>
      </c>
      <c r="B2485" s="2">
        <v>4</v>
      </c>
      <c r="C2485" s="2">
        <v>23858351</v>
      </c>
      <c r="D2485" s="2">
        <v>24764724</v>
      </c>
      <c r="E2485" s="2">
        <v>3</v>
      </c>
      <c r="F2485" s="2" t="s">
        <v>10086</v>
      </c>
      <c r="H2485" s="2">
        <v>4.0000000000000001E-3</v>
      </c>
      <c r="K2485" s="2" t="s">
        <v>10088</v>
      </c>
    </row>
    <row r="2486" spans="1:11" x14ac:dyDescent="0.2">
      <c r="A2486" s="2">
        <v>622</v>
      </c>
      <c r="B2486" s="2">
        <v>4</v>
      </c>
      <c r="C2486" s="2">
        <v>23858351</v>
      </c>
      <c r="D2486" s="2">
        <v>24764724</v>
      </c>
      <c r="E2486" s="2">
        <v>4</v>
      </c>
      <c r="F2486" s="2" t="s">
        <v>10086</v>
      </c>
      <c r="H2486" s="2">
        <v>1.1000000000000001E-3</v>
      </c>
      <c r="K2486" s="2" t="s">
        <v>10085</v>
      </c>
    </row>
    <row r="2487" spans="1:11" x14ac:dyDescent="0.2">
      <c r="A2487" s="2">
        <v>623</v>
      </c>
      <c r="B2487" s="2">
        <v>4</v>
      </c>
      <c r="C2487" s="2">
        <v>24764725</v>
      </c>
      <c r="D2487" s="2">
        <v>25832018</v>
      </c>
      <c r="E2487" s="2">
        <v>1</v>
      </c>
      <c r="F2487" s="2" t="s">
        <v>10086</v>
      </c>
      <c r="H2487" s="2">
        <v>1.1000000000000001E-3</v>
      </c>
      <c r="K2487" s="2" t="s">
        <v>10089</v>
      </c>
    </row>
    <row r="2488" spans="1:11" x14ac:dyDescent="0.2">
      <c r="A2488" s="2">
        <v>623</v>
      </c>
      <c r="B2488" s="2">
        <v>4</v>
      </c>
      <c r="C2488" s="2">
        <v>24764725</v>
      </c>
      <c r="D2488" s="2">
        <v>25832018</v>
      </c>
      <c r="E2488" s="2">
        <v>2</v>
      </c>
      <c r="F2488" s="2" t="s">
        <v>10086</v>
      </c>
      <c r="H2488" s="3">
        <v>8.0000000000000004E-4</v>
      </c>
      <c r="K2488" s="2" t="s">
        <v>10088</v>
      </c>
    </row>
    <row r="2489" spans="1:11" x14ac:dyDescent="0.2">
      <c r="A2489" s="2">
        <v>623</v>
      </c>
      <c r="B2489" s="2">
        <v>4</v>
      </c>
      <c r="C2489" s="2">
        <v>24764725</v>
      </c>
      <c r="D2489" s="2">
        <v>25832018</v>
      </c>
      <c r="E2489" s="2">
        <v>3</v>
      </c>
      <c r="F2489" s="2" t="s">
        <v>10086</v>
      </c>
      <c r="H2489" s="3">
        <v>6.9999999999999999E-4</v>
      </c>
      <c r="K2489" s="2" t="s">
        <v>10085</v>
      </c>
    </row>
    <row r="2490" spans="1:11" x14ac:dyDescent="0.2">
      <c r="A2490" s="2">
        <v>623</v>
      </c>
      <c r="B2490" s="2">
        <v>4</v>
      </c>
      <c r="C2490" s="2">
        <v>24764725</v>
      </c>
      <c r="D2490" s="2">
        <v>25832018</v>
      </c>
      <c r="E2490" s="2">
        <v>4</v>
      </c>
      <c r="F2490" s="2" t="s">
        <v>10086</v>
      </c>
      <c r="H2490" s="3">
        <v>4.0000000000000002E-4</v>
      </c>
      <c r="K2490" s="2" t="s">
        <v>10087</v>
      </c>
    </row>
    <row r="2491" spans="1:11" x14ac:dyDescent="0.2">
      <c r="A2491" s="2">
        <v>624</v>
      </c>
      <c r="B2491" s="2">
        <v>4</v>
      </c>
      <c r="C2491" s="2">
        <v>25832019</v>
      </c>
      <c r="D2491" s="2">
        <v>27385580</v>
      </c>
      <c r="E2491" s="2">
        <v>1</v>
      </c>
      <c r="F2491" s="2" t="s">
        <v>10086</v>
      </c>
      <c r="H2491" s="2">
        <v>1.2800000000000001E-2</v>
      </c>
      <c r="K2491" s="2" t="s">
        <v>10087</v>
      </c>
    </row>
    <row r="2492" spans="1:11" x14ac:dyDescent="0.2">
      <c r="A2492" s="2">
        <v>624</v>
      </c>
      <c r="B2492" s="2">
        <v>4</v>
      </c>
      <c r="C2492" s="2">
        <v>25832019</v>
      </c>
      <c r="D2492" s="2">
        <v>27385580</v>
      </c>
      <c r="E2492" s="2">
        <v>2</v>
      </c>
      <c r="F2492" s="2" t="s">
        <v>10086</v>
      </c>
      <c r="H2492" s="2">
        <v>1.5E-3</v>
      </c>
      <c r="K2492" s="2" t="s">
        <v>10085</v>
      </c>
    </row>
    <row r="2493" spans="1:11" x14ac:dyDescent="0.2">
      <c r="A2493" s="2">
        <v>624</v>
      </c>
      <c r="B2493" s="2">
        <v>4</v>
      </c>
      <c r="C2493" s="2">
        <v>25832019</v>
      </c>
      <c r="D2493" s="2">
        <v>27385580</v>
      </c>
      <c r="E2493" s="2">
        <v>3</v>
      </c>
      <c r="F2493" s="2" t="s">
        <v>10086</v>
      </c>
      <c r="H2493" s="2">
        <v>1.5E-3</v>
      </c>
      <c r="K2493" s="2" t="s">
        <v>10088</v>
      </c>
    </row>
    <row r="2494" spans="1:11" x14ac:dyDescent="0.2">
      <c r="A2494" s="2">
        <v>624</v>
      </c>
      <c r="B2494" s="2">
        <v>4</v>
      </c>
      <c r="C2494" s="2">
        <v>25832019</v>
      </c>
      <c r="D2494" s="2">
        <v>27385580</v>
      </c>
      <c r="E2494" s="2">
        <v>4</v>
      </c>
      <c r="F2494" s="2" t="s">
        <v>10086</v>
      </c>
      <c r="H2494" s="3">
        <v>5.9999999999999995E-4</v>
      </c>
      <c r="K2494" s="2" t="s">
        <v>10089</v>
      </c>
    </row>
    <row r="2495" spans="1:11" x14ac:dyDescent="0.2">
      <c r="A2495" s="2">
        <v>625</v>
      </c>
      <c r="B2495" s="2">
        <v>4</v>
      </c>
      <c r="C2495" s="2">
        <v>27385581</v>
      </c>
      <c r="D2495" s="2">
        <v>28177792</v>
      </c>
      <c r="E2495" s="2">
        <v>1</v>
      </c>
      <c r="F2495" s="2" t="s">
        <v>10086</v>
      </c>
      <c r="H2495" s="2">
        <v>1.4E-3</v>
      </c>
      <c r="K2495" s="2" t="s">
        <v>10085</v>
      </c>
    </row>
    <row r="2496" spans="1:11" x14ac:dyDescent="0.2">
      <c r="A2496" s="2">
        <v>625</v>
      </c>
      <c r="B2496" s="2">
        <v>4</v>
      </c>
      <c r="C2496" s="2">
        <v>27385581</v>
      </c>
      <c r="D2496" s="2">
        <v>28177792</v>
      </c>
      <c r="E2496" s="2">
        <v>2</v>
      </c>
      <c r="F2496" s="2" t="s">
        <v>10086</v>
      </c>
      <c r="H2496" s="2">
        <v>1.4E-3</v>
      </c>
      <c r="K2496" s="2" t="s">
        <v>10087</v>
      </c>
    </row>
    <row r="2497" spans="1:11" x14ac:dyDescent="0.2">
      <c r="A2497" s="2">
        <v>625</v>
      </c>
      <c r="B2497" s="2">
        <v>4</v>
      </c>
      <c r="C2497" s="2">
        <v>27385581</v>
      </c>
      <c r="D2497" s="2">
        <v>28177792</v>
      </c>
      <c r="E2497" s="2">
        <v>3</v>
      </c>
      <c r="F2497" s="2" t="s">
        <v>10086</v>
      </c>
      <c r="H2497" s="3">
        <v>6.9999999999999999E-4</v>
      </c>
      <c r="K2497" s="2" t="s">
        <v>10089</v>
      </c>
    </row>
    <row r="2498" spans="1:11" x14ac:dyDescent="0.2">
      <c r="A2498" s="2">
        <v>625</v>
      </c>
      <c r="B2498" s="2">
        <v>4</v>
      </c>
      <c r="C2498" s="2">
        <v>27385581</v>
      </c>
      <c r="D2498" s="2">
        <v>28177792</v>
      </c>
      <c r="E2498" s="2">
        <v>4</v>
      </c>
      <c r="F2498" s="2" t="s">
        <v>10086</v>
      </c>
      <c r="H2498" s="3">
        <v>5.9999999999999995E-4</v>
      </c>
      <c r="K2498" s="2" t="s">
        <v>10088</v>
      </c>
    </row>
    <row r="2499" spans="1:11" x14ac:dyDescent="0.2">
      <c r="A2499" s="2">
        <v>626</v>
      </c>
      <c r="B2499" s="2">
        <v>4</v>
      </c>
      <c r="C2499" s="2">
        <v>28177793</v>
      </c>
      <c r="D2499" s="2">
        <v>28927438</v>
      </c>
      <c r="E2499" s="2">
        <v>1</v>
      </c>
      <c r="F2499" s="2" t="s">
        <v>10086</v>
      </c>
      <c r="H2499" s="3">
        <v>8.0000000000000004E-4</v>
      </c>
      <c r="K2499" s="2" t="s">
        <v>10089</v>
      </c>
    </row>
    <row r="2500" spans="1:11" x14ac:dyDescent="0.2">
      <c r="A2500" s="2">
        <v>626</v>
      </c>
      <c r="B2500" s="2">
        <v>4</v>
      </c>
      <c r="C2500" s="2">
        <v>28177793</v>
      </c>
      <c r="D2500" s="2">
        <v>28927438</v>
      </c>
      <c r="E2500" s="2">
        <v>2</v>
      </c>
      <c r="F2500" s="2" t="s">
        <v>10086</v>
      </c>
      <c r="H2500" s="3">
        <v>6.9999999999999999E-4</v>
      </c>
      <c r="K2500" s="2" t="s">
        <v>10087</v>
      </c>
    </row>
    <row r="2501" spans="1:11" x14ac:dyDescent="0.2">
      <c r="A2501" s="2">
        <v>626</v>
      </c>
      <c r="B2501" s="2">
        <v>4</v>
      </c>
      <c r="C2501" s="2">
        <v>28177793</v>
      </c>
      <c r="D2501" s="2">
        <v>28927438</v>
      </c>
      <c r="E2501" s="2">
        <v>3</v>
      </c>
      <c r="F2501" s="2" t="s">
        <v>10086</v>
      </c>
      <c r="H2501" s="2">
        <v>1E-3</v>
      </c>
      <c r="K2501" s="2" t="s">
        <v>12324</v>
      </c>
    </row>
    <row r="2502" spans="1:11" x14ac:dyDescent="0.2">
      <c r="A2502" s="2">
        <v>626</v>
      </c>
      <c r="B2502" s="2">
        <v>4</v>
      </c>
      <c r="C2502" s="2">
        <v>28177793</v>
      </c>
      <c r="D2502" s="2">
        <v>28927438</v>
      </c>
      <c r="E2502" s="2">
        <v>4</v>
      </c>
      <c r="F2502" s="2" t="s">
        <v>10086</v>
      </c>
      <c r="H2502" s="3">
        <v>5.9999999999999995E-4</v>
      </c>
      <c r="K2502" s="2" t="s">
        <v>10085</v>
      </c>
    </row>
    <row r="2503" spans="1:11" x14ac:dyDescent="0.2">
      <c r="A2503" s="2">
        <v>627</v>
      </c>
      <c r="B2503" s="2">
        <v>4</v>
      </c>
      <c r="C2503" s="2">
        <v>28927439</v>
      </c>
      <c r="D2503" s="2">
        <v>29758399</v>
      </c>
      <c r="E2503" s="2">
        <v>1</v>
      </c>
      <c r="F2503" s="2" t="s">
        <v>10086</v>
      </c>
      <c r="H2503" s="2">
        <v>5.5999999999999999E-3</v>
      </c>
      <c r="K2503" s="2" t="s">
        <v>10085</v>
      </c>
    </row>
    <row r="2504" spans="1:11" x14ac:dyDescent="0.2">
      <c r="A2504" s="2">
        <v>627</v>
      </c>
      <c r="B2504" s="2">
        <v>4</v>
      </c>
      <c r="C2504" s="2">
        <v>28927439</v>
      </c>
      <c r="D2504" s="2">
        <v>29758399</v>
      </c>
      <c r="E2504" s="2">
        <v>2</v>
      </c>
      <c r="F2504" s="2" t="s">
        <v>10086</v>
      </c>
      <c r="H2504" s="2">
        <v>1.9E-3</v>
      </c>
      <c r="K2504" s="2" t="s">
        <v>10087</v>
      </c>
    </row>
    <row r="2505" spans="1:11" x14ac:dyDescent="0.2">
      <c r="A2505" s="2">
        <v>627</v>
      </c>
      <c r="B2505" s="2">
        <v>4</v>
      </c>
      <c r="C2505" s="2">
        <v>28927439</v>
      </c>
      <c r="D2505" s="2">
        <v>29758399</v>
      </c>
      <c r="E2505" s="2">
        <v>3</v>
      </c>
      <c r="F2505" s="2" t="s">
        <v>10086</v>
      </c>
      <c r="H2505" s="2">
        <v>1E-3</v>
      </c>
      <c r="K2505" s="2" t="s">
        <v>10088</v>
      </c>
    </row>
    <row r="2506" spans="1:11" x14ac:dyDescent="0.2">
      <c r="A2506" s="2">
        <v>627</v>
      </c>
      <c r="B2506" s="2">
        <v>4</v>
      </c>
      <c r="C2506" s="2">
        <v>28927439</v>
      </c>
      <c r="D2506" s="2">
        <v>29758399</v>
      </c>
      <c r="E2506" s="2">
        <v>4</v>
      </c>
      <c r="F2506" s="2" t="s">
        <v>10086</v>
      </c>
      <c r="H2506" s="3">
        <v>2.9999999999999997E-4</v>
      </c>
      <c r="K2506" s="2" t="s">
        <v>10089</v>
      </c>
    </row>
    <row r="2507" spans="1:11" x14ac:dyDescent="0.2">
      <c r="A2507" s="2">
        <v>628</v>
      </c>
      <c r="B2507" s="2">
        <v>4</v>
      </c>
      <c r="C2507" s="2">
        <v>29758400</v>
      </c>
      <c r="D2507" s="2">
        <v>30455555</v>
      </c>
      <c r="E2507" s="2">
        <v>1</v>
      </c>
      <c r="F2507" s="2" t="s">
        <v>10086</v>
      </c>
      <c r="H2507" s="2">
        <v>1.6999999999999999E-3</v>
      </c>
      <c r="K2507" s="2" t="s">
        <v>10085</v>
      </c>
    </row>
    <row r="2508" spans="1:11" x14ac:dyDescent="0.2">
      <c r="A2508" s="2">
        <v>628</v>
      </c>
      <c r="B2508" s="2">
        <v>4</v>
      </c>
      <c r="C2508" s="2">
        <v>29758400</v>
      </c>
      <c r="D2508" s="2">
        <v>30455555</v>
      </c>
      <c r="E2508" s="2">
        <v>2</v>
      </c>
      <c r="F2508" s="2" t="s">
        <v>10086</v>
      </c>
      <c r="H2508" s="2">
        <v>1.8E-3</v>
      </c>
      <c r="K2508" s="2" t="s">
        <v>10089</v>
      </c>
    </row>
    <row r="2509" spans="1:11" x14ac:dyDescent="0.2">
      <c r="A2509" s="2">
        <v>628</v>
      </c>
      <c r="B2509" s="2">
        <v>4</v>
      </c>
      <c r="C2509" s="2">
        <v>29758400</v>
      </c>
      <c r="D2509" s="2">
        <v>30455555</v>
      </c>
      <c r="E2509" s="2">
        <v>3</v>
      </c>
      <c r="F2509" s="2" t="s">
        <v>10086</v>
      </c>
      <c r="H2509" s="2">
        <v>1.4E-3</v>
      </c>
      <c r="K2509" s="2" t="s">
        <v>10088</v>
      </c>
    </row>
    <row r="2510" spans="1:11" x14ac:dyDescent="0.2">
      <c r="A2510" s="2">
        <v>628</v>
      </c>
      <c r="B2510" s="2">
        <v>4</v>
      </c>
      <c r="C2510" s="2">
        <v>29758400</v>
      </c>
      <c r="D2510" s="2">
        <v>30455555</v>
      </c>
      <c r="E2510" s="2">
        <v>4</v>
      </c>
      <c r="F2510" s="2" t="s">
        <v>10086</v>
      </c>
      <c r="H2510" s="3">
        <v>5.9999999999999995E-4</v>
      </c>
      <c r="K2510" s="2" t="s">
        <v>10087</v>
      </c>
    </row>
    <row r="2511" spans="1:11" x14ac:dyDescent="0.2">
      <c r="A2511" s="2">
        <v>629</v>
      </c>
      <c r="B2511" s="2">
        <v>4</v>
      </c>
      <c r="C2511" s="2">
        <v>30455556</v>
      </c>
      <c r="D2511" s="2">
        <v>31395092</v>
      </c>
      <c r="E2511" s="2">
        <v>1</v>
      </c>
      <c r="F2511" s="2" t="s">
        <v>10086</v>
      </c>
      <c r="H2511" s="2">
        <v>2.3E-3</v>
      </c>
      <c r="K2511" s="2" t="s">
        <v>10085</v>
      </c>
    </row>
    <row r="2512" spans="1:11" x14ac:dyDescent="0.2">
      <c r="A2512" s="2">
        <v>629</v>
      </c>
      <c r="B2512" s="2">
        <v>4</v>
      </c>
      <c r="C2512" s="2">
        <v>30455556</v>
      </c>
      <c r="D2512" s="2">
        <v>31395092</v>
      </c>
      <c r="E2512" s="2">
        <v>2</v>
      </c>
      <c r="F2512" s="2" t="s">
        <v>10086</v>
      </c>
      <c r="H2512" s="2">
        <v>1.2999999999999999E-3</v>
      </c>
      <c r="K2512" s="2" t="s">
        <v>10087</v>
      </c>
    </row>
    <row r="2513" spans="1:11" x14ac:dyDescent="0.2">
      <c r="A2513" s="2">
        <v>629</v>
      </c>
      <c r="B2513" s="2">
        <v>4</v>
      </c>
      <c r="C2513" s="2">
        <v>30455556</v>
      </c>
      <c r="D2513" s="2">
        <v>31395092</v>
      </c>
      <c r="E2513" s="2">
        <v>3</v>
      </c>
      <c r="F2513" s="2" t="s">
        <v>10086</v>
      </c>
      <c r="H2513" s="2">
        <v>1.2999999999999999E-3</v>
      </c>
      <c r="K2513" s="2" t="s">
        <v>10089</v>
      </c>
    </row>
    <row r="2514" spans="1:11" x14ac:dyDescent="0.2">
      <c r="A2514" s="2">
        <v>629</v>
      </c>
      <c r="B2514" s="2">
        <v>4</v>
      </c>
      <c r="C2514" s="2">
        <v>30455556</v>
      </c>
      <c r="D2514" s="2">
        <v>31395092</v>
      </c>
      <c r="E2514" s="2">
        <v>4</v>
      </c>
      <c r="F2514" s="2" t="s">
        <v>10086</v>
      </c>
      <c r="H2514" s="3">
        <v>5.0000000000000001E-4</v>
      </c>
      <c r="K2514" s="2" t="s">
        <v>10088</v>
      </c>
    </row>
    <row r="2515" spans="1:11" x14ac:dyDescent="0.2">
      <c r="A2515" s="2">
        <v>630</v>
      </c>
      <c r="B2515" s="2">
        <v>4</v>
      </c>
      <c r="C2515" s="2">
        <v>31395093</v>
      </c>
      <c r="D2515" s="2">
        <v>32260117</v>
      </c>
      <c r="E2515" s="2">
        <v>1</v>
      </c>
      <c r="F2515" s="2" t="s">
        <v>10086</v>
      </c>
      <c r="H2515" s="2">
        <v>1.9E-3</v>
      </c>
      <c r="K2515" s="2" t="s">
        <v>10088</v>
      </c>
    </row>
    <row r="2516" spans="1:11" x14ac:dyDescent="0.2">
      <c r="A2516" s="2">
        <v>630</v>
      </c>
      <c r="B2516" s="2">
        <v>4</v>
      </c>
      <c r="C2516" s="2">
        <v>31395093</v>
      </c>
      <c r="D2516" s="2">
        <v>32260117</v>
      </c>
      <c r="E2516" s="2">
        <v>2</v>
      </c>
      <c r="F2516" s="2" t="s">
        <v>10086</v>
      </c>
      <c r="H2516" s="2">
        <v>1E-3</v>
      </c>
      <c r="K2516" s="2" t="s">
        <v>10089</v>
      </c>
    </row>
    <row r="2517" spans="1:11" x14ac:dyDescent="0.2">
      <c r="A2517" s="2">
        <v>630</v>
      </c>
      <c r="B2517" s="2">
        <v>4</v>
      </c>
      <c r="C2517" s="2">
        <v>31395093</v>
      </c>
      <c r="D2517" s="2">
        <v>32260117</v>
      </c>
      <c r="E2517" s="2">
        <v>3</v>
      </c>
      <c r="F2517" s="2" t="s">
        <v>10086</v>
      </c>
      <c r="H2517" s="3">
        <v>8.0000000000000004E-4</v>
      </c>
      <c r="K2517" s="2" t="s">
        <v>10085</v>
      </c>
    </row>
    <row r="2518" spans="1:11" x14ac:dyDescent="0.2">
      <c r="A2518" s="2">
        <v>630</v>
      </c>
      <c r="B2518" s="2">
        <v>4</v>
      </c>
      <c r="C2518" s="2">
        <v>31395093</v>
      </c>
      <c r="D2518" s="2">
        <v>32260117</v>
      </c>
      <c r="E2518" s="2">
        <v>4</v>
      </c>
      <c r="F2518" s="2" t="s">
        <v>10086</v>
      </c>
      <c r="H2518" s="3">
        <v>4.0000000000000002E-4</v>
      </c>
      <c r="K2518" s="2" t="s">
        <v>10087</v>
      </c>
    </row>
    <row r="2519" spans="1:11" x14ac:dyDescent="0.2">
      <c r="A2519" s="2">
        <v>631</v>
      </c>
      <c r="B2519" s="2">
        <v>4</v>
      </c>
      <c r="C2519" s="2">
        <v>32260118</v>
      </c>
      <c r="D2519" s="2">
        <v>32746820</v>
      </c>
      <c r="E2519" s="2">
        <v>1</v>
      </c>
      <c r="F2519" s="2" t="s">
        <v>10086</v>
      </c>
      <c r="H2519" s="2">
        <v>1.2999999999999999E-3</v>
      </c>
      <c r="K2519" s="2" t="s">
        <v>10088</v>
      </c>
    </row>
    <row r="2520" spans="1:11" x14ac:dyDescent="0.2">
      <c r="A2520" s="2">
        <v>631</v>
      </c>
      <c r="B2520" s="2">
        <v>4</v>
      </c>
      <c r="C2520" s="2">
        <v>32260118</v>
      </c>
      <c r="D2520" s="2">
        <v>32746820</v>
      </c>
      <c r="E2520" s="2">
        <v>2</v>
      </c>
      <c r="F2520" s="2" t="s">
        <v>10086</v>
      </c>
      <c r="H2520" s="2">
        <v>1.1999999999999999E-3</v>
      </c>
      <c r="K2520" s="2" t="s">
        <v>10089</v>
      </c>
    </row>
    <row r="2521" spans="1:11" x14ac:dyDescent="0.2">
      <c r="A2521" s="2">
        <v>631</v>
      </c>
      <c r="B2521" s="2">
        <v>4</v>
      </c>
      <c r="C2521" s="2">
        <v>32260118</v>
      </c>
      <c r="D2521" s="2">
        <v>32746820</v>
      </c>
      <c r="E2521" s="2">
        <v>3</v>
      </c>
      <c r="F2521" s="2" t="s">
        <v>10086</v>
      </c>
      <c r="H2521" s="3">
        <v>8.0000000000000004E-4</v>
      </c>
      <c r="K2521" s="2" t="s">
        <v>10085</v>
      </c>
    </row>
    <row r="2522" spans="1:11" x14ac:dyDescent="0.2">
      <c r="A2522" s="2">
        <v>631</v>
      </c>
      <c r="B2522" s="2">
        <v>4</v>
      </c>
      <c r="C2522" s="2">
        <v>32260118</v>
      </c>
      <c r="D2522" s="2">
        <v>32746820</v>
      </c>
      <c r="E2522" s="2">
        <v>4</v>
      </c>
      <c r="F2522" s="2" t="s">
        <v>10086</v>
      </c>
      <c r="H2522" s="3">
        <v>5.0000000000000001E-4</v>
      </c>
      <c r="K2522" s="2" t="s">
        <v>12324</v>
      </c>
    </row>
    <row r="2523" spans="1:11" x14ac:dyDescent="0.2">
      <c r="A2523" s="2">
        <v>632</v>
      </c>
      <c r="B2523" s="2">
        <v>4</v>
      </c>
      <c r="C2523" s="2">
        <v>32746821</v>
      </c>
      <c r="D2523" s="2">
        <v>33640822</v>
      </c>
      <c r="E2523" s="2">
        <v>1</v>
      </c>
      <c r="F2523" s="2" t="s">
        <v>10086</v>
      </c>
      <c r="H2523" s="2">
        <v>3.3E-3</v>
      </c>
      <c r="K2523" s="2" t="s">
        <v>10088</v>
      </c>
    </row>
    <row r="2524" spans="1:11" x14ac:dyDescent="0.2">
      <c r="A2524" s="2">
        <v>632</v>
      </c>
      <c r="B2524" s="2">
        <v>4</v>
      </c>
      <c r="C2524" s="2">
        <v>32746821</v>
      </c>
      <c r="D2524" s="2">
        <v>33640822</v>
      </c>
      <c r="E2524" s="2">
        <v>2</v>
      </c>
      <c r="F2524" s="2" t="s">
        <v>10086</v>
      </c>
      <c r="H2524" s="2">
        <v>1.9E-3</v>
      </c>
      <c r="K2524" s="2" t="s">
        <v>10087</v>
      </c>
    </row>
    <row r="2525" spans="1:11" x14ac:dyDescent="0.2">
      <c r="A2525" s="2">
        <v>632</v>
      </c>
      <c r="B2525" s="2">
        <v>4</v>
      </c>
      <c r="C2525" s="2">
        <v>32746821</v>
      </c>
      <c r="D2525" s="2">
        <v>33640822</v>
      </c>
      <c r="E2525" s="2">
        <v>3</v>
      </c>
      <c r="F2525" s="2" t="s">
        <v>10086</v>
      </c>
      <c r="H2525" s="2">
        <v>1.5E-3</v>
      </c>
      <c r="K2525" s="2" t="s">
        <v>10085</v>
      </c>
    </row>
    <row r="2526" spans="1:11" x14ac:dyDescent="0.2">
      <c r="A2526" s="2">
        <v>632</v>
      </c>
      <c r="B2526" s="2">
        <v>4</v>
      </c>
      <c r="C2526" s="2">
        <v>32746821</v>
      </c>
      <c r="D2526" s="2">
        <v>33640822</v>
      </c>
      <c r="E2526" s="2">
        <v>4</v>
      </c>
      <c r="F2526" s="2" t="s">
        <v>10086</v>
      </c>
      <c r="H2526" s="3">
        <v>4.0000000000000002E-4</v>
      </c>
      <c r="K2526" s="2" t="s">
        <v>10089</v>
      </c>
    </row>
    <row r="2527" spans="1:11" x14ac:dyDescent="0.2">
      <c r="A2527" s="2">
        <v>633</v>
      </c>
      <c r="B2527" s="2">
        <v>4</v>
      </c>
      <c r="C2527" s="2">
        <v>33640823</v>
      </c>
      <c r="D2527" s="2">
        <v>34721845</v>
      </c>
      <c r="E2527" s="2">
        <v>1</v>
      </c>
      <c r="F2527" s="2" t="s">
        <v>10086</v>
      </c>
      <c r="H2527" s="2">
        <v>2.5999999999999999E-3</v>
      </c>
      <c r="K2527" s="2" t="s">
        <v>10085</v>
      </c>
    </row>
    <row r="2528" spans="1:11" x14ac:dyDescent="0.2">
      <c r="A2528" s="2">
        <v>633</v>
      </c>
      <c r="B2528" s="2">
        <v>4</v>
      </c>
      <c r="C2528" s="2">
        <v>33640823</v>
      </c>
      <c r="D2528" s="2">
        <v>34721845</v>
      </c>
      <c r="E2528" s="2">
        <v>2</v>
      </c>
      <c r="F2528" s="2" t="s">
        <v>10086</v>
      </c>
      <c r="H2528" s="2">
        <v>1.1000000000000001E-3</v>
      </c>
      <c r="K2528" s="2" t="s">
        <v>10088</v>
      </c>
    </row>
    <row r="2529" spans="1:11" x14ac:dyDescent="0.2">
      <c r="A2529" s="2">
        <v>633</v>
      </c>
      <c r="B2529" s="2">
        <v>4</v>
      </c>
      <c r="C2529" s="2">
        <v>33640823</v>
      </c>
      <c r="D2529" s="2">
        <v>34721845</v>
      </c>
      <c r="E2529" s="2">
        <v>3</v>
      </c>
      <c r="F2529" s="2" t="s">
        <v>10086</v>
      </c>
      <c r="H2529" s="3">
        <v>5.9999999999999995E-4</v>
      </c>
      <c r="K2529" s="2" t="s">
        <v>10089</v>
      </c>
    </row>
    <row r="2530" spans="1:11" x14ac:dyDescent="0.2">
      <c r="A2530" s="2">
        <v>633</v>
      </c>
      <c r="B2530" s="2">
        <v>4</v>
      </c>
      <c r="C2530" s="2">
        <v>33640823</v>
      </c>
      <c r="D2530" s="2">
        <v>34721845</v>
      </c>
      <c r="E2530" s="2">
        <v>4</v>
      </c>
      <c r="F2530" s="2" t="s">
        <v>10086</v>
      </c>
      <c r="H2530" s="3">
        <v>4.0000000000000002E-4</v>
      </c>
      <c r="K2530" s="2" t="s">
        <v>10087</v>
      </c>
    </row>
    <row r="2531" spans="1:11" x14ac:dyDescent="0.2">
      <c r="A2531" s="2">
        <v>634</v>
      </c>
      <c r="B2531" s="2">
        <v>4</v>
      </c>
      <c r="C2531" s="2">
        <v>34721846</v>
      </c>
      <c r="D2531" s="2">
        <v>35411236</v>
      </c>
      <c r="E2531" s="2">
        <v>1</v>
      </c>
      <c r="F2531" s="2" t="s">
        <v>10086</v>
      </c>
      <c r="H2531" s="2">
        <v>2.3999999999999998E-3</v>
      </c>
      <c r="K2531" s="2" t="s">
        <v>10085</v>
      </c>
    </row>
    <row r="2532" spans="1:11" x14ac:dyDescent="0.2">
      <c r="A2532" s="2">
        <v>634</v>
      </c>
      <c r="B2532" s="2">
        <v>4</v>
      </c>
      <c r="C2532" s="2">
        <v>34721846</v>
      </c>
      <c r="D2532" s="2">
        <v>35411236</v>
      </c>
      <c r="E2532" s="2">
        <v>2</v>
      </c>
      <c r="F2532" s="2" t="s">
        <v>10086</v>
      </c>
      <c r="H2532" s="2">
        <v>1.1999999999999999E-3</v>
      </c>
      <c r="K2532" s="2" t="s">
        <v>10088</v>
      </c>
    </row>
    <row r="2533" spans="1:11" x14ac:dyDescent="0.2">
      <c r="A2533" s="2">
        <v>634</v>
      </c>
      <c r="B2533" s="2">
        <v>4</v>
      </c>
      <c r="C2533" s="2">
        <v>34721846</v>
      </c>
      <c r="D2533" s="2">
        <v>35411236</v>
      </c>
      <c r="E2533" s="2">
        <v>3</v>
      </c>
      <c r="F2533" s="2" t="s">
        <v>10086</v>
      </c>
      <c r="H2533" s="3">
        <v>5.9999999999999995E-4</v>
      </c>
      <c r="K2533" s="2" t="s">
        <v>10089</v>
      </c>
    </row>
    <row r="2534" spans="1:11" x14ac:dyDescent="0.2">
      <c r="A2534" s="2">
        <v>634</v>
      </c>
      <c r="B2534" s="2">
        <v>4</v>
      </c>
      <c r="C2534" s="2">
        <v>34721846</v>
      </c>
      <c r="D2534" s="2">
        <v>35411236</v>
      </c>
      <c r="E2534" s="2">
        <v>4</v>
      </c>
      <c r="F2534" s="2" t="s">
        <v>10086</v>
      </c>
      <c r="H2534" s="3">
        <v>2.0000000000000001E-4</v>
      </c>
      <c r="K2534" s="2" t="s">
        <v>10087</v>
      </c>
    </row>
    <row r="2535" spans="1:11" x14ac:dyDescent="0.2">
      <c r="A2535" s="2">
        <v>635</v>
      </c>
      <c r="B2535" s="2">
        <v>4</v>
      </c>
      <c r="C2535" s="2">
        <v>35411237</v>
      </c>
      <c r="D2535" s="2">
        <v>35993838</v>
      </c>
      <c r="E2535" s="2">
        <v>1</v>
      </c>
      <c r="F2535" s="2" t="s">
        <v>10086</v>
      </c>
      <c r="H2535" s="3">
        <v>8.0000000000000004E-4</v>
      </c>
      <c r="K2535" s="2" t="s">
        <v>10087</v>
      </c>
    </row>
    <row r="2536" spans="1:11" x14ac:dyDescent="0.2">
      <c r="A2536" s="2">
        <v>635</v>
      </c>
      <c r="B2536" s="2">
        <v>4</v>
      </c>
      <c r="C2536" s="2">
        <v>35411237</v>
      </c>
      <c r="D2536" s="2">
        <v>35993838</v>
      </c>
      <c r="E2536" s="2">
        <v>2</v>
      </c>
      <c r="F2536" s="2" t="s">
        <v>10086</v>
      </c>
      <c r="H2536" s="3">
        <v>6.9999999999999999E-4</v>
      </c>
      <c r="K2536" s="2" t="s">
        <v>10085</v>
      </c>
    </row>
    <row r="2537" spans="1:11" x14ac:dyDescent="0.2">
      <c r="A2537" s="2">
        <v>635</v>
      </c>
      <c r="B2537" s="2">
        <v>4</v>
      </c>
      <c r="C2537" s="2">
        <v>35411237</v>
      </c>
      <c r="D2537" s="2">
        <v>35993838</v>
      </c>
      <c r="E2537" s="2">
        <v>3</v>
      </c>
      <c r="F2537" s="2" t="s">
        <v>10086</v>
      </c>
      <c r="H2537" s="3">
        <v>5.9999999999999995E-4</v>
      </c>
      <c r="K2537" s="2" t="s">
        <v>10088</v>
      </c>
    </row>
    <row r="2538" spans="1:11" x14ac:dyDescent="0.2">
      <c r="A2538" s="2">
        <v>635</v>
      </c>
      <c r="B2538" s="2">
        <v>4</v>
      </c>
      <c r="C2538" s="2">
        <v>35411237</v>
      </c>
      <c r="D2538" s="2">
        <v>35993838</v>
      </c>
      <c r="E2538" s="2">
        <v>4</v>
      </c>
      <c r="F2538" s="2" t="s">
        <v>10086</v>
      </c>
      <c r="H2538" s="3">
        <v>2.9999999999999997E-4</v>
      </c>
      <c r="K2538" s="2" t="s">
        <v>10089</v>
      </c>
    </row>
    <row r="2539" spans="1:11" x14ac:dyDescent="0.2">
      <c r="A2539" s="2">
        <v>636</v>
      </c>
      <c r="B2539" s="2">
        <v>4</v>
      </c>
      <c r="C2539" s="2">
        <v>35993839</v>
      </c>
      <c r="D2539" s="2">
        <v>36671801</v>
      </c>
      <c r="E2539" s="2">
        <v>1</v>
      </c>
      <c r="F2539" s="2" t="s">
        <v>10086</v>
      </c>
      <c r="H2539" s="2">
        <v>1.2999999999999999E-3</v>
      </c>
      <c r="K2539" s="2" t="s">
        <v>10087</v>
      </c>
    </row>
    <row r="2540" spans="1:11" x14ac:dyDescent="0.2">
      <c r="A2540" s="2">
        <v>636</v>
      </c>
      <c r="B2540" s="2">
        <v>4</v>
      </c>
      <c r="C2540" s="2">
        <v>35993839</v>
      </c>
      <c r="D2540" s="2">
        <v>36671801</v>
      </c>
      <c r="E2540" s="2">
        <v>2</v>
      </c>
      <c r="F2540" s="2" t="s">
        <v>10086</v>
      </c>
      <c r="H2540" s="2">
        <v>1.1000000000000001E-3</v>
      </c>
      <c r="K2540" s="2" t="s">
        <v>10089</v>
      </c>
    </row>
    <row r="2541" spans="1:11" x14ac:dyDescent="0.2">
      <c r="A2541" s="2">
        <v>636</v>
      </c>
      <c r="B2541" s="2">
        <v>4</v>
      </c>
      <c r="C2541" s="2">
        <v>35993839</v>
      </c>
      <c r="D2541" s="2">
        <v>36671801</v>
      </c>
      <c r="E2541" s="2">
        <v>3</v>
      </c>
      <c r="F2541" s="2" t="s">
        <v>10086</v>
      </c>
      <c r="H2541" s="3">
        <v>4.0000000000000002E-4</v>
      </c>
      <c r="K2541" s="2" t="s">
        <v>10085</v>
      </c>
    </row>
    <row r="2542" spans="1:11" x14ac:dyDescent="0.2">
      <c r="A2542" s="2">
        <v>636</v>
      </c>
      <c r="B2542" s="2">
        <v>4</v>
      </c>
      <c r="C2542" s="2">
        <v>35993839</v>
      </c>
      <c r="D2542" s="2">
        <v>36671801</v>
      </c>
      <c r="E2542" s="2">
        <v>4</v>
      </c>
      <c r="F2542" s="2" t="s">
        <v>10086</v>
      </c>
      <c r="H2542" s="3">
        <v>2.0000000000000001E-4</v>
      </c>
      <c r="K2542" s="2" t="s">
        <v>10088</v>
      </c>
    </row>
    <row r="2543" spans="1:11" x14ac:dyDescent="0.2">
      <c r="A2543" s="2">
        <v>637</v>
      </c>
      <c r="B2543" s="2">
        <v>4</v>
      </c>
      <c r="C2543" s="2">
        <v>36671802</v>
      </c>
      <c r="D2543" s="2">
        <v>37880860</v>
      </c>
      <c r="E2543" s="2">
        <v>1</v>
      </c>
      <c r="F2543" s="2" t="s">
        <v>10086</v>
      </c>
      <c r="H2543" s="2">
        <v>4.7000000000000002E-3</v>
      </c>
      <c r="K2543" s="2" t="s">
        <v>10088</v>
      </c>
    </row>
    <row r="2544" spans="1:11" x14ac:dyDescent="0.2">
      <c r="A2544" s="2">
        <v>637</v>
      </c>
      <c r="B2544" s="2">
        <v>4</v>
      </c>
      <c r="C2544" s="2">
        <v>36671802</v>
      </c>
      <c r="D2544" s="2">
        <v>37880860</v>
      </c>
      <c r="E2544" s="2">
        <v>2</v>
      </c>
      <c r="F2544" s="2" t="s">
        <v>10086</v>
      </c>
      <c r="H2544" s="2">
        <v>2.3999999999999998E-3</v>
      </c>
      <c r="K2544" s="2" t="s">
        <v>10085</v>
      </c>
    </row>
    <row r="2545" spans="1:11" x14ac:dyDescent="0.2">
      <c r="A2545" s="2">
        <v>637</v>
      </c>
      <c r="B2545" s="2">
        <v>4</v>
      </c>
      <c r="C2545" s="2">
        <v>36671802</v>
      </c>
      <c r="D2545" s="2">
        <v>37880860</v>
      </c>
      <c r="E2545" s="2">
        <v>3</v>
      </c>
      <c r="F2545" s="2" t="s">
        <v>10086</v>
      </c>
      <c r="H2545" s="2">
        <v>1.6000000000000001E-3</v>
      </c>
      <c r="K2545" s="2" t="s">
        <v>10087</v>
      </c>
    </row>
    <row r="2546" spans="1:11" x14ac:dyDescent="0.2">
      <c r="A2546" s="2">
        <v>637</v>
      </c>
      <c r="B2546" s="2">
        <v>4</v>
      </c>
      <c r="C2546" s="2">
        <v>36671802</v>
      </c>
      <c r="D2546" s="2">
        <v>37880860</v>
      </c>
      <c r="E2546" s="2">
        <v>4</v>
      </c>
      <c r="F2546" s="2" t="s">
        <v>10086</v>
      </c>
      <c r="H2546" s="3">
        <v>6.9999999999999999E-4</v>
      </c>
      <c r="K2546" s="2" t="s">
        <v>10089</v>
      </c>
    </row>
    <row r="2547" spans="1:11" x14ac:dyDescent="0.2">
      <c r="A2547" s="2">
        <v>638</v>
      </c>
      <c r="B2547" s="2">
        <v>4</v>
      </c>
      <c r="C2547" s="2">
        <v>37880861</v>
      </c>
      <c r="D2547" s="2">
        <v>38984838</v>
      </c>
      <c r="E2547" s="2">
        <v>1</v>
      </c>
      <c r="F2547" s="2" t="s">
        <v>10086</v>
      </c>
      <c r="H2547" s="2">
        <v>4.4999999999999997E-3</v>
      </c>
      <c r="K2547" s="2" t="s">
        <v>12324</v>
      </c>
    </row>
    <row r="2548" spans="1:11" x14ac:dyDescent="0.2">
      <c r="A2548" s="2">
        <v>638</v>
      </c>
      <c r="B2548" s="2">
        <v>4</v>
      </c>
      <c r="C2548" s="2">
        <v>37880861</v>
      </c>
      <c r="D2548" s="2">
        <v>38984838</v>
      </c>
      <c r="E2548" s="2">
        <v>2</v>
      </c>
      <c r="F2548" s="2" t="s">
        <v>10086</v>
      </c>
      <c r="H2548" s="2">
        <v>2.5999999999999999E-3</v>
      </c>
      <c r="K2548" s="2" t="s">
        <v>10089</v>
      </c>
    </row>
    <row r="2549" spans="1:11" x14ac:dyDescent="0.2">
      <c r="A2549" s="2">
        <v>638</v>
      </c>
      <c r="B2549" s="2">
        <v>4</v>
      </c>
      <c r="C2549" s="2">
        <v>37880861</v>
      </c>
      <c r="D2549" s="2">
        <v>38984838</v>
      </c>
      <c r="E2549" s="2">
        <v>3</v>
      </c>
      <c r="F2549" s="2" t="s">
        <v>10086</v>
      </c>
      <c r="H2549" s="2">
        <v>2.2000000000000001E-3</v>
      </c>
      <c r="K2549" s="2" t="s">
        <v>10088</v>
      </c>
    </row>
    <row r="2550" spans="1:11" x14ac:dyDescent="0.2">
      <c r="A2550" s="2">
        <v>638</v>
      </c>
      <c r="B2550" s="2">
        <v>4</v>
      </c>
      <c r="C2550" s="2">
        <v>37880861</v>
      </c>
      <c r="D2550" s="2">
        <v>38984838</v>
      </c>
      <c r="E2550" s="2">
        <v>4</v>
      </c>
      <c r="F2550" s="2" t="s">
        <v>10086</v>
      </c>
      <c r="H2550" s="2">
        <v>1.2999999999999999E-3</v>
      </c>
      <c r="K2550" s="2" t="s">
        <v>10085</v>
      </c>
    </row>
    <row r="2551" spans="1:11" x14ac:dyDescent="0.2">
      <c r="A2551" s="2">
        <v>639</v>
      </c>
      <c r="B2551" s="2">
        <v>4</v>
      </c>
      <c r="C2551" s="2">
        <v>38984839</v>
      </c>
      <c r="D2551" s="2">
        <v>39820061</v>
      </c>
      <c r="E2551" s="2">
        <v>1</v>
      </c>
      <c r="F2551" s="2" t="s">
        <v>10086</v>
      </c>
      <c r="H2551" s="2">
        <v>1.6000000000000001E-3</v>
      </c>
      <c r="K2551" s="2" t="s">
        <v>10088</v>
      </c>
    </row>
    <row r="2552" spans="1:11" x14ac:dyDescent="0.2">
      <c r="A2552" s="2">
        <v>639</v>
      </c>
      <c r="B2552" s="2">
        <v>4</v>
      </c>
      <c r="C2552" s="2">
        <v>38984839</v>
      </c>
      <c r="D2552" s="2">
        <v>39820061</v>
      </c>
      <c r="E2552" s="2">
        <v>2</v>
      </c>
      <c r="F2552" s="2" t="s">
        <v>10086</v>
      </c>
      <c r="H2552" s="3">
        <v>6.9999999999999999E-4</v>
      </c>
      <c r="K2552" s="2" t="s">
        <v>10089</v>
      </c>
    </row>
    <row r="2553" spans="1:11" x14ac:dyDescent="0.2">
      <c r="A2553" s="2">
        <v>639</v>
      </c>
      <c r="B2553" s="2">
        <v>4</v>
      </c>
      <c r="C2553" s="2">
        <v>38984839</v>
      </c>
      <c r="D2553" s="2">
        <v>39820061</v>
      </c>
      <c r="E2553" s="2">
        <v>3</v>
      </c>
      <c r="F2553" s="2" t="s">
        <v>10086</v>
      </c>
      <c r="H2553" s="3">
        <v>5.0000000000000001E-4</v>
      </c>
      <c r="K2553" s="2" t="s">
        <v>10087</v>
      </c>
    </row>
    <row r="2554" spans="1:11" x14ac:dyDescent="0.2">
      <c r="A2554" s="2">
        <v>639</v>
      </c>
      <c r="B2554" s="2">
        <v>4</v>
      </c>
      <c r="C2554" s="2">
        <v>38984839</v>
      </c>
      <c r="D2554" s="2">
        <v>39820061</v>
      </c>
      <c r="E2554" s="2">
        <v>4</v>
      </c>
      <c r="F2554" s="2" t="s">
        <v>10086</v>
      </c>
      <c r="H2554" s="3">
        <v>2.0000000000000001E-4</v>
      </c>
      <c r="K2554" s="2" t="s">
        <v>10085</v>
      </c>
    </row>
    <row r="2555" spans="1:11" x14ac:dyDescent="0.2">
      <c r="A2555" s="2">
        <v>640</v>
      </c>
      <c r="B2555" s="2">
        <v>4</v>
      </c>
      <c r="C2555" s="2">
        <v>39820062</v>
      </c>
      <c r="D2555" s="2">
        <v>40590541</v>
      </c>
      <c r="E2555" s="2">
        <v>1</v>
      </c>
      <c r="F2555" s="2" t="s">
        <v>10086</v>
      </c>
      <c r="H2555" s="2">
        <v>1.5E-3</v>
      </c>
      <c r="K2555" s="2" t="s">
        <v>10088</v>
      </c>
    </row>
    <row r="2556" spans="1:11" x14ac:dyDescent="0.2">
      <c r="A2556" s="2">
        <v>640</v>
      </c>
      <c r="B2556" s="2">
        <v>4</v>
      </c>
      <c r="C2556" s="2">
        <v>39820062</v>
      </c>
      <c r="D2556" s="2">
        <v>40590541</v>
      </c>
      <c r="E2556" s="2">
        <v>2</v>
      </c>
      <c r="F2556" s="2" t="s">
        <v>10086</v>
      </c>
      <c r="H2556" s="2">
        <v>1.1999999999999999E-3</v>
      </c>
      <c r="K2556" s="2" t="s">
        <v>10087</v>
      </c>
    </row>
    <row r="2557" spans="1:11" x14ac:dyDescent="0.2">
      <c r="A2557" s="2">
        <v>640</v>
      </c>
      <c r="B2557" s="2">
        <v>4</v>
      </c>
      <c r="C2557" s="2">
        <v>39820062</v>
      </c>
      <c r="D2557" s="2">
        <v>40590541</v>
      </c>
      <c r="E2557" s="2">
        <v>3</v>
      </c>
      <c r="F2557" s="2" t="s">
        <v>10086</v>
      </c>
      <c r="H2557" s="3">
        <v>8.0000000000000004E-4</v>
      </c>
      <c r="K2557" s="2" t="s">
        <v>10089</v>
      </c>
    </row>
    <row r="2558" spans="1:11" x14ac:dyDescent="0.2">
      <c r="A2558" s="2">
        <v>640</v>
      </c>
      <c r="B2558" s="2">
        <v>4</v>
      </c>
      <c r="C2558" s="2">
        <v>39820062</v>
      </c>
      <c r="D2558" s="2">
        <v>40590541</v>
      </c>
      <c r="E2558" s="2">
        <v>4</v>
      </c>
      <c r="F2558" s="2" t="s">
        <v>10086</v>
      </c>
      <c r="H2558" s="3">
        <v>4.0000000000000002E-4</v>
      </c>
      <c r="K2558" s="2" t="s">
        <v>10085</v>
      </c>
    </row>
    <row r="2559" spans="1:11" x14ac:dyDescent="0.2">
      <c r="A2559" s="2">
        <v>641</v>
      </c>
      <c r="B2559" s="2">
        <v>4</v>
      </c>
      <c r="C2559" s="2">
        <v>40590542</v>
      </c>
      <c r="D2559" s="2">
        <v>41360937</v>
      </c>
      <c r="E2559" s="2">
        <v>1</v>
      </c>
      <c r="F2559" s="2" t="s">
        <v>10086</v>
      </c>
      <c r="H2559" s="2">
        <v>1.4E-3</v>
      </c>
      <c r="K2559" s="2" t="s">
        <v>10087</v>
      </c>
    </row>
    <row r="2560" spans="1:11" x14ac:dyDescent="0.2">
      <c r="A2560" s="2">
        <v>641</v>
      </c>
      <c r="B2560" s="2">
        <v>4</v>
      </c>
      <c r="C2560" s="2">
        <v>40590542</v>
      </c>
      <c r="D2560" s="2">
        <v>41360937</v>
      </c>
      <c r="E2560" s="2">
        <v>2</v>
      </c>
      <c r="F2560" s="2" t="s">
        <v>10086</v>
      </c>
      <c r="H2560" s="3">
        <v>8.0000000000000004E-4</v>
      </c>
      <c r="K2560" s="2" t="s">
        <v>10085</v>
      </c>
    </row>
    <row r="2561" spans="1:11" x14ac:dyDescent="0.2">
      <c r="A2561" s="2">
        <v>641</v>
      </c>
      <c r="B2561" s="2">
        <v>4</v>
      </c>
      <c r="C2561" s="2">
        <v>40590542</v>
      </c>
      <c r="D2561" s="2">
        <v>41360937</v>
      </c>
      <c r="E2561" s="2">
        <v>3</v>
      </c>
      <c r="F2561" s="2" t="s">
        <v>10086</v>
      </c>
      <c r="H2561" s="3">
        <v>6.9999999999999999E-4</v>
      </c>
      <c r="K2561" s="2" t="s">
        <v>10089</v>
      </c>
    </row>
    <row r="2562" spans="1:11" x14ac:dyDescent="0.2">
      <c r="A2562" s="2">
        <v>641</v>
      </c>
      <c r="B2562" s="2">
        <v>4</v>
      </c>
      <c r="C2562" s="2">
        <v>40590542</v>
      </c>
      <c r="D2562" s="2">
        <v>41360937</v>
      </c>
      <c r="E2562" s="2">
        <v>4</v>
      </c>
      <c r="F2562" s="2" t="s">
        <v>10086</v>
      </c>
      <c r="H2562" s="3">
        <v>5.9999999999999995E-4</v>
      </c>
      <c r="K2562" s="2" t="s">
        <v>12324</v>
      </c>
    </row>
    <row r="2563" spans="1:11" x14ac:dyDescent="0.2">
      <c r="A2563" s="2">
        <v>642</v>
      </c>
      <c r="B2563" s="2">
        <v>4</v>
      </c>
      <c r="C2563" s="2">
        <v>41360938</v>
      </c>
      <c r="D2563" s="2">
        <v>42189251</v>
      </c>
      <c r="E2563" s="2">
        <v>1</v>
      </c>
      <c r="F2563" s="2" t="s">
        <v>10086</v>
      </c>
      <c r="H2563" s="2">
        <v>4.0000000000000001E-3</v>
      </c>
      <c r="K2563" s="2" t="s">
        <v>10087</v>
      </c>
    </row>
    <row r="2564" spans="1:11" x14ac:dyDescent="0.2">
      <c r="A2564" s="2">
        <v>642</v>
      </c>
      <c r="B2564" s="2">
        <v>4</v>
      </c>
      <c r="C2564" s="2">
        <v>41360938</v>
      </c>
      <c r="D2564" s="2">
        <v>42189251</v>
      </c>
      <c r="E2564" s="2">
        <v>2</v>
      </c>
      <c r="F2564" s="2" t="s">
        <v>10086</v>
      </c>
      <c r="H2564" s="2">
        <v>1.2999999999999999E-3</v>
      </c>
      <c r="K2564" s="2" t="s">
        <v>10089</v>
      </c>
    </row>
    <row r="2565" spans="1:11" x14ac:dyDescent="0.2">
      <c r="A2565" s="2">
        <v>642</v>
      </c>
      <c r="B2565" s="2">
        <v>4</v>
      </c>
      <c r="C2565" s="2">
        <v>41360938</v>
      </c>
      <c r="D2565" s="2">
        <v>42189251</v>
      </c>
      <c r="E2565" s="2">
        <v>3</v>
      </c>
      <c r="F2565" s="2" t="s">
        <v>10086</v>
      </c>
      <c r="H2565" s="2">
        <v>1E-3</v>
      </c>
      <c r="K2565" s="2" t="s">
        <v>12324</v>
      </c>
    </row>
    <row r="2566" spans="1:11" x14ac:dyDescent="0.2">
      <c r="A2566" s="2">
        <v>642</v>
      </c>
      <c r="B2566" s="2">
        <v>4</v>
      </c>
      <c r="C2566" s="2">
        <v>41360938</v>
      </c>
      <c r="D2566" s="2">
        <v>42189251</v>
      </c>
      <c r="E2566" s="2">
        <v>4</v>
      </c>
      <c r="F2566" s="2" t="s">
        <v>10086</v>
      </c>
      <c r="H2566" s="3">
        <v>8.0000000000000004E-4</v>
      </c>
      <c r="K2566" s="2" t="s">
        <v>10088</v>
      </c>
    </row>
    <row r="2567" spans="1:11" x14ac:dyDescent="0.2">
      <c r="A2567" s="2">
        <v>643</v>
      </c>
      <c r="B2567" s="2">
        <v>4</v>
      </c>
      <c r="C2567" s="2">
        <v>42189252</v>
      </c>
      <c r="D2567" s="2">
        <v>43192424</v>
      </c>
      <c r="E2567" s="2">
        <v>1</v>
      </c>
      <c r="F2567" s="2" t="s">
        <v>10086</v>
      </c>
      <c r="H2567" s="2">
        <v>1.6000000000000001E-3</v>
      </c>
      <c r="K2567" s="2" t="s">
        <v>10089</v>
      </c>
    </row>
    <row r="2568" spans="1:11" x14ac:dyDescent="0.2">
      <c r="A2568" s="2">
        <v>643</v>
      </c>
      <c r="B2568" s="2">
        <v>4</v>
      </c>
      <c r="C2568" s="2">
        <v>42189252</v>
      </c>
      <c r="D2568" s="2">
        <v>43192424</v>
      </c>
      <c r="E2568" s="2">
        <v>2</v>
      </c>
      <c r="F2568" s="2" t="s">
        <v>10086</v>
      </c>
      <c r="H2568" s="2">
        <v>1E-3</v>
      </c>
      <c r="K2568" s="2" t="s">
        <v>10085</v>
      </c>
    </row>
    <row r="2569" spans="1:11" x14ac:dyDescent="0.2">
      <c r="A2569" s="2">
        <v>643</v>
      </c>
      <c r="B2569" s="2">
        <v>4</v>
      </c>
      <c r="C2569" s="2">
        <v>42189252</v>
      </c>
      <c r="D2569" s="2">
        <v>43192424</v>
      </c>
      <c r="E2569" s="2">
        <v>3</v>
      </c>
      <c r="F2569" s="2" t="s">
        <v>10086</v>
      </c>
      <c r="H2569" s="3">
        <v>8.9999999999999998E-4</v>
      </c>
      <c r="K2569" s="2" t="s">
        <v>10087</v>
      </c>
    </row>
    <row r="2570" spans="1:11" x14ac:dyDescent="0.2">
      <c r="A2570" s="2">
        <v>643</v>
      </c>
      <c r="B2570" s="2">
        <v>4</v>
      </c>
      <c r="C2570" s="2">
        <v>42189252</v>
      </c>
      <c r="D2570" s="2">
        <v>43192424</v>
      </c>
      <c r="E2570" s="2">
        <v>4</v>
      </c>
      <c r="F2570" s="2" t="s">
        <v>10086</v>
      </c>
      <c r="H2570" s="3">
        <v>2.9999999999999997E-4</v>
      </c>
      <c r="K2570" s="2" t="s">
        <v>10088</v>
      </c>
    </row>
    <row r="2571" spans="1:11" x14ac:dyDescent="0.2">
      <c r="A2571" s="2">
        <v>644</v>
      </c>
      <c r="B2571" s="2">
        <v>4</v>
      </c>
      <c r="C2571" s="2">
        <v>43192425</v>
      </c>
      <c r="D2571" s="2">
        <v>43962561</v>
      </c>
      <c r="E2571" s="2">
        <v>1</v>
      </c>
      <c r="F2571" s="2" t="s">
        <v>10086</v>
      </c>
      <c r="H2571" s="2">
        <v>2.3E-3</v>
      </c>
      <c r="K2571" s="2" t="s">
        <v>10089</v>
      </c>
    </row>
    <row r="2572" spans="1:11" x14ac:dyDescent="0.2">
      <c r="A2572" s="2">
        <v>644</v>
      </c>
      <c r="B2572" s="2">
        <v>4</v>
      </c>
      <c r="C2572" s="2">
        <v>43192425</v>
      </c>
      <c r="D2572" s="2">
        <v>43962561</v>
      </c>
      <c r="E2572" s="2">
        <v>2</v>
      </c>
      <c r="F2572" s="2" t="s">
        <v>10086</v>
      </c>
      <c r="H2572" s="2">
        <v>1E-3</v>
      </c>
      <c r="K2572" s="2" t="s">
        <v>10087</v>
      </c>
    </row>
    <row r="2573" spans="1:11" x14ac:dyDescent="0.2">
      <c r="A2573" s="2">
        <v>644</v>
      </c>
      <c r="B2573" s="2">
        <v>4</v>
      </c>
      <c r="C2573" s="2">
        <v>43192425</v>
      </c>
      <c r="D2573" s="2">
        <v>43962561</v>
      </c>
      <c r="E2573" s="2">
        <v>3</v>
      </c>
      <c r="F2573" s="2" t="s">
        <v>10086</v>
      </c>
      <c r="H2573" s="3">
        <v>6.9999999999999999E-4</v>
      </c>
      <c r="K2573" s="2" t="s">
        <v>10085</v>
      </c>
    </row>
    <row r="2574" spans="1:11" x14ac:dyDescent="0.2">
      <c r="A2574" s="2">
        <v>644</v>
      </c>
      <c r="B2574" s="2">
        <v>4</v>
      </c>
      <c r="C2574" s="2">
        <v>43192425</v>
      </c>
      <c r="D2574" s="2">
        <v>43962561</v>
      </c>
      <c r="E2574" s="2">
        <v>4</v>
      </c>
      <c r="F2574" s="2" t="s">
        <v>10086</v>
      </c>
      <c r="H2574" s="3">
        <v>5.0000000000000001E-4</v>
      </c>
      <c r="K2574" s="2" t="s">
        <v>10088</v>
      </c>
    </row>
    <row r="2575" spans="1:11" x14ac:dyDescent="0.2">
      <c r="A2575" s="2">
        <v>645</v>
      </c>
      <c r="B2575" s="2">
        <v>4</v>
      </c>
      <c r="C2575" s="2">
        <v>43962562</v>
      </c>
      <c r="D2575" s="2">
        <v>45186767</v>
      </c>
      <c r="E2575" s="2">
        <v>1</v>
      </c>
      <c r="F2575" s="2" t="s">
        <v>10086</v>
      </c>
      <c r="H2575" s="2">
        <v>2.7000000000000001E-3</v>
      </c>
      <c r="K2575" s="2" t="s">
        <v>10085</v>
      </c>
    </row>
    <row r="2576" spans="1:11" x14ac:dyDescent="0.2">
      <c r="A2576" s="2">
        <v>645</v>
      </c>
      <c r="B2576" s="2">
        <v>4</v>
      </c>
      <c r="C2576" s="2">
        <v>43962562</v>
      </c>
      <c r="D2576" s="2">
        <v>45186767</v>
      </c>
      <c r="E2576" s="2">
        <v>2</v>
      </c>
      <c r="F2576" s="2" t="s">
        <v>10086</v>
      </c>
      <c r="H2576" s="2">
        <v>1.6999999999999999E-3</v>
      </c>
      <c r="K2576" s="2" t="s">
        <v>10089</v>
      </c>
    </row>
    <row r="2577" spans="1:11" x14ac:dyDescent="0.2">
      <c r="A2577" s="2">
        <v>645</v>
      </c>
      <c r="B2577" s="2">
        <v>4</v>
      </c>
      <c r="C2577" s="2">
        <v>43962562</v>
      </c>
      <c r="D2577" s="2">
        <v>45186767</v>
      </c>
      <c r="E2577" s="2">
        <v>3</v>
      </c>
      <c r="F2577" s="2" t="s">
        <v>10086</v>
      </c>
      <c r="H2577" s="2">
        <v>1.1000000000000001E-3</v>
      </c>
      <c r="K2577" s="2" t="s">
        <v>10088</v>
      </c>
    </row>
    <row r="2578" spans="1:11" x14ac:dyDescent="0.2">
      <c r="A2578" s="2">
        <v>645</v>
      </c>
      <c r="B2578" s="2">
        <v>4</v>
      </c>
      <c r="C2578" s="2">
        <v>43962562</v>
      </c>
      <c r="D2578" s="2">
        <v>45186767</v>
      </c>
      <c r="E2578" s="2">
        <v>4</v>
      </c>
      <c r="F2578" s="2" t="s">
        <v>10086</v>
      </c>
      <c r="H2578" s="3">
        <v>5.0000000000000001E-4</v>
      </c>
      <c r="K2578" s="2" t="s">
        <v>10087</v>
      </c>
    </row>
    <row r="2579" spans="1:11" x14ac:dyDescent="0.2">
      <c r="A2579" s="2">
        <v>646</v>
      </c>
      <c r="B2579" s="2">
        <v>4</v>
      </c>
      <c r="C2579" s="2">
        <v>45186768</v>
      </c>
      <c r="D2579" s="2">
        <v>46358360</v>
      </c>
      <c r="E2579" s="2">
        <v>1</v>
      </c>
      <c r="F2579" s="2" t="s">
        <v>10086</v>
      </c>
      <c r="H2579" s="2">
        <v>1.8E-3</v>
      </c>
      <c r="K2579" s="2" t="s">
        <v>10089</v>
      </c>
    </row>
    <row r="2580" spans="1:11" x14ac:dyDescent="0.2">
      <c r="A2580" s="2">
        <v>646</v>
      </c>
      <c r="B2580" s="2">
        <v>4</v>
      </c>
      <c r="C2580" s="2">
        <v>45186768</v>
      </c>
      <c r="D2580" s="2">
        <v>46358360</v>
      </c>
      <c r="E2580" s="2">
        <v>2</v>
      </c>
      <c r="F2580" s="2" t="s">
        <v>10086</v>
      </c>
      <c r="H2580" s="3">
        <v>8.9999999999999998E-4</v>
      </c>
      <c r="K2580" s="2" t="s">
        <v>10085</v>
      </c>
    </row>
    <row r="2581" spans="1:11" x14ac:dyDescent="0.2">
      <c r="A2581" s="2">
        <v>646</v>
      </c>
      <c r="B2581" s="2">
        <v>4</v>
      </c>
      <c r="C2581" s="2">
        <v>45186768</v>
      </c>
      <c r="D2581" s="2">
        <v>46358360</v>
      </c>
      <c r="E2581" s="2">
        <v>3</v>
      </c>
      <c r="F2581" s="2" t="s">
        <v>10086</v>
      </c>
      <c r="H2581" s="2">
        <v>1.1999999999999999E-3</v>
      </c>
      <c r="K2581" s="2" t="s">
        <v>12324</v>
      </c>
    </row>
    <row r="2582" spans="1:11" x14ac:dyDescent="0.2">
      <c r="A2582" s="2">
        <v>646</v>
      </c>
      <c r="B2582" s="2">
        <v>4</v>
      </c>
      <c r="C2582" s="2">
        <v>45186768</v>
      </c>
      <c r="D2582" s="2">
        <v>46358360</v>
      </c>
      <c r="E2582" s="2">
        <v>4</v>
      </c>
      <c r="F2582" s="2" t="s">
        <v>10086</v>
      </c>
      <c r="H2582" s="2">
        <v>1.1000000000000001E-3</v>
      </c>
      <c r="K2582" s="2" t="s">
        <v>10088</v>
      </c>
    </row>
    <row r="2583" spans="1:11" x14ac:dyDescent="0.2">
      <c r="A2583" s="2">
        <v>647</v>
      </c>
      <c r="B2583" s="2">
        <v>4</v>
      </c>
      <c r="C2583" s="2">
        <v>46358361</v>
      </c>
      <c r="D2583" s="2">
        <v>47408265</v>
      </c>
      <c r="E2583" s="2">
        <v>1</v>
      </c>
      <c r="F2583" s="2" t="s">
        <v>10086</v>
      </c>
      <c r="H2583" s="2">
        <v>1.4E-3</v>
      </c>
      <c r="K2583" s="2" t="s">
        <v>10087</v>
      </c>
    </row>
    <row r="2584" spans="1:11" x14ac:dyDescent="0.2">
      <c r="A2584" s="2">
        <v>647</v>
      </c>
      <c r="B2584" s="2">
        <v>4</v>
      </c>
      <c r="C2584" s="2">
        <v>46358361</v>
      </c>
      <c r="D2584" s="2">
        <v>47408265</v>
      </c>
      <c r="E2584" s="2">
        <v>2</v>
      </c>
      <c r="F2584" s="2" t="s">
        <v>10086</v>
      </c>
      <c r="H2584" s="3">
        <v>8.9999999999999998E-4</v>
      </c>
      <c r="K2584" s="2" t="s">
        <v>10088</v>
      </c>
    </row>
    <row r="2585" spans="1:11" x14ac:dyDescent="0.2">
      <c r="A2585" s="2">
        <v>647</v>
      </c>
      <c r="B2585" s="2">
        <v>4</v>
      </c>
      <c r="C2585" s="2">
        <v>46358361</v>
      </c>
      <c r="D2585" s="2">
        <v>47408265</v>
      </c>
      <c r="E2585" s="2">
        <v>3</v>
      </c>
      <c r="F2585" s="2" t="s">
        <v>10086</v>
      </c>
      <c r="H2585" s="3">
        <v>5.9999999999999995E-4</v>
      </c>
      <c r="K2585" s="2" t="s">
        <v>10089</v>
      </c>
    </row>
    <row r="2586" spans="1:11" x14ac:dyDescent="0.2">
      <c r="A2586" s="2">
        <v>647</v>
      </c>
      <c r="B2586" s="2">
        <v>4</v>
      </c>
      <c r="C2586" s="2">
        <v>46358361</v>
      </c>
      <c r="D2586" s="2">
        <v>47408265</v>
      </c>
      <c r="E2586" s="2">
        <v>4</v>
      </c>
      <c r="F2586" s="2" t="s">
        <v>10086</v>
      </c>
      <c r="H2586" s="3">
        <v>2.0000000000000001E-4</v>
      </c>
      <c r="K2586" s="2" t="s">
        <v>10085</v>
      </c>
    </row>
    <row r="2587" spans="1:11" x14ac:dyDescent="0.2">
      <c r="A2587" s="2">
        <v>648</v>
      </c>
      <c r="B2587" s="2">
        <v>4</v>
      </c>
      <c r="C2587" s="2">
        <v>47408266</v>
      </c>
      <c r="D2587" s="2">
        <v>49325138</v>
      </c>
      <c r="E2587" s="2">
        <v>1</v>
      </c>
      <c r="F2587" s="2" t="s">
        <v>10086</v>
      </c>
      <c r="H2587" s="2">
        <v>4.1000000000000003E-3</v>
      </c>
      <c r="K2587" s="2" t="s">
        <v>10087</v>
      </c>
    </row>
    <row r="2588" spans="1:11" x14ac:dyDescent="0.2">
      <c r="A2588" s="2">
        <v>648</v>
      </c>
      <c r="B2588" s="2">
        <v>4</v>
      </c>
      <c r="C2588" s="2">
        <v>47408266</v>
      </c>
      <c r="D2588" s="2">
        <v>49325138</v>
      </c>
      <c r="E2588" s="2">
        <v>2</v>
      </c>
      <c r="F2588" s="2" t="s">
        <v>10086</v>
      </c>
      <c r="H2588" s="2">
        <v>1.9E-3</v>
      </c>
      <c r="K2588" s="2" t="s">
        <v>10089</v>
      </c>
    </row>
    <row r="2589" spans="1:11" x14ac:dyDescent="0.2">
      <c r="A2589" s="2">
        <v>648</v>
      </c>
      <c r="B2589" s="2">
        <v>4</v>
      </c>
      <c r="C2589" s="2">
        <v>47408266</v>
      </c>
      <c r="D2589" s="2">
        <v>49325138</v>
      </c>
      <c r="E2589" s="2">
        <v>3</v>
      </c>
      <c r="F2589" s="2" t="s">
        <v>10086</v>
      </c>
      <c r="H2589" s="2">
        <v>1E-3</v>
      </c>
      <c r="K2589" s="2" t="s">
        <v>10088</v>
      </c>
    </row>
    <row r="2590" spans="1:11" x14ac:dyDescent="0.2">
      <c r="A2590" s="2">
        <v>648</v>
      </c>
      <c r="B2590" s="2">
        <v>4</v>
      </c>
      <c r="C2590" s="2">
        <v>47408266</v>
      </c>
      <c r="D2590" s="2">
        <v>49325138</v>
      </c>
      <c r="E2590" s="2">
        <v>4</v>
      </c>
      <c r="F2590" s="2" t="s">
        <v>10086</v>
      </c>
      <c r="H2590" s="3">
        <v>4.0000000000000002E-4</v>
      </c>
      <c r="K2590" s="2" t="s">
        <v>10085</v>
      </c>
    </row>
    <row r="2591" spans="1:11" x14ac:dyDescent="0.2">
      <c r="A2591" s="2">
        <v>649</v>
      </c>
      <c r="B2591" s="2">
        <v>4</v>
      </c>
      <c r="C2591" s="2">
        <v>49325139</v>
      </c>
      <c r="D2591" s="2">
        <v>53879571</v>
      </c>
      <c r="E2591" s="2">
        <v>1</v>
      </c>
      <c r="F2591" s="2" t="s">
        <v>10086</v>
      </c>
      <c r="H2591" s="2">
        <v>2.3E-3</v>
      </c>
      <c r="K2591" s="2" t="s">
        <v>10089</v>
      </c>
    </row>
    <row r="2592" spans="1:11" x14ac:dyDescent="0.2">
      <c r="A2592" s="2">
        <v>649</v>
      </c>
      <c r="B2592" s="2">
        <v>4</v>
      </c>
      <c r="C2592" s="2">
        <v>49325139</v>
      </c>
      <c r="D2592" s="2">
        <v>53879571</v>
      </c>
      <c r="E2592" s="2">
        <v>2</v>
      </c>
      <c r="F2592" s="2" t="s">
        <v>10086</v>
      </c>
      <c r="H2592" s="2">
        <v>1.1000000000000001E-3</v>
      </c>
      <c r="K2592" s="2" t="s">
        <v>10088</v>
      </c>
    </row>
    <row r="2593" spans="1:11" x14ac:dyDescent="0.2">
      <c r="A2593" s="2">
        <v>649</v>
      </c>
      <c r="B2593" s="2">
        <v>4</v>
      </c>
      <c r="C2593" s="2">
        <v>49325139</v>
      </c>
      <c r="D2593" s="2">
        <v>53879571</v>
      </c>
      <c r="E2593" s="2">
        <v>3</v>
      </c>
      <c r="F2593" s="2" t="s">
        <v>10086</v>
      </c>
      <c r="H2593" s="2">
        <v>1E-3</v>
      </c>
      <c r="K2593" s="2" t="s">
        <v>10085</v>
      </c>
    </row>
    <row r="2594" spans="1:11" x14ac:dyDescent="0.2">
      <c r="A2594" s="2">
        <v>649</v>
      </c>
      <c r="B2594" s="2">
        <v>4</v>
      </c>
      <c r="C2594" s="2">
        <v>49325139</v>
      </c>
      <c r="D2594" s="2">
        <v>53879571</v>
      </c>
      <c r="E2594" s="2">
        <v>4</v>
      </c>
      <c r="F2594" s="2" t="s">
        <v>10086</v>
      </c>
      <c r="H2594" s="3">
        <v>5.0000000000000001E-4</v>
      </c>
      <c r="K2594" s="2" t="s">
        <v>10087</v>
      </c>
    </row>
    <row r="2595" spans="1:11" x14ac:dyDescent="0.2">
      <c r="A2595" s="2">
        <v>650</v>
      </c>
      <c r="B2595" s="2">
        <v>4</v>
      </c>
      <c r="C2595" s="2">
        <v>53879572</v>
      </c>
      <c r="D2595" s="2">
        <v>54659778</v>
      </c>
      <c r="E2595" s="2">
        <v>1</v>
      </c>
      <c r="F2595" s="2" t="s">
        <v>10086</v>
      </c>
      <c r="H2595" s="2">
        <v>1.1000000000000001E-3</v>
      </c>
      <c r="K2595" s="2" t="s">
        <v>10089</v>
      </c>
    </row>
    <row r="2596" spans="1:11" x14ac:dyDescent="0.2">
      <c r="A2596" s="2">
        <v>650</v>
      </c>
      <c r="B2596" s="2">
        <v>4</v>
      </c>
      <c r="C2596" s="2">
        <v>53879572</v>
      </c>
      <c r="D2596" s="2">
        <v>54659778</v>
      </c>
      <c r="E2596" s="2">
        <v>2</v>
      </c>
      <c r="F2596" s="2" t="s">
        <v>10086</v>
      </c>
      <c r="H2596" s="3">
        <v>8.0000000000000004E-4</v>
      </c>
      <c r="K2596" s="2" t="s">
        <v>10088</v>
      </c>
    </row>
    <row r="2597" spans="1:11" x14ac:dyDescent="0.2">
      <c r="A2597" s="2">
        <v>650</v>
      </c>
      <c r="B2597" s="2">
        <v>4</v>
      </c>
      <c r="C2597" s="2">
        <v>53879572</v>
      </c>
      <c r="D2597" s="2">
        <v>54659778</v>
      </c>
      <c r="E2597" s="2">
        <v>3</v>
      </c>
      <c r="F2597" s="2" t="s">
        <v>10086</v>
      </c>
      <c r="H2597" s="3">
        <v>8.0000000000000004E-4</v>
      </c>
      <c r="K2597" s="2" t="s">
        <v>10087</v>
      </c>
    </row>
    <row r="2598" spans="1:11" x14ac:dyDescent="0.2">
      <c r="A2598" s="2">
        <v>650</v>
      </c>
      <c r="B2598" s="2">
        <v>4</v>
      </c>
      <c r="C2598" s="2">
        <v>53879572</v>
      </c>
      <c r="D2598" s="2">
        <v>54659778</v>
      </c>
      <c r="E2598" s="2">
        <v>4</v>
      </c>
      <c r="F2598" s="2" t="s">
        <v>10086</v>
      </c>
      <c r="H2598" s="3">
        <v>2.9999999999999997E-4</v>
      </c>
      <c r="K2598" s="2" t="s">
        <v>10085</v>
      </c>
    </row>
    <row r="2599" spans="1:11" x14ac:dyDescent="0.2">
      <c r="A2599" s="2">
        <v>651</v>
      </c>
      <c r="B2599" s="2">
        <v>4</v>
      </c>
      <c r="C2599" s="2">
        <v>54659779</v>
      </c>
      <c r="D2599" s="2">
        <v>55681701</v>
      </c>
      <c r="E2599" s="2">
        <v>1</v>
      </c>
      <c r="F2599" s="2" t="s">
        <v>10086</v>
      </c>
      <c r="H2599" s="2">
        <v>1.6000000000000001E-3</v>
      </c>
      <c r="K2599" s="2" t="s">
        <v>10089</v>
      </c>
    </row>
    <row r="2600" spans="1:11" x14ac:dyDescent="0.2">
      <c r="A2600" s="2">
        <v>651</v>
      </c>
      <c r="B2600" s="2">
        <v>4</v>
      </c>
      <c r="C2600" s="2">
        <v>54659779</v>
      </c>
      <c r="D2600" s="2">
        <v>55681701</v>
      </c>
      <c r="E2600" s="2">
        <v>2</v>
      </c>
      <c r="F2600" s="2" t="s">
        <v>10086</v>
      </c>
      <c r="H2600" s="2">
        <v>1.5E-3</v>
      </c>
      <c r="K2600" s="2" t="s">
        <v>10088</v>
      </c>
    </row>
    <row r="2601" spans="1:11" x14ac:dyDescent="0.2">
      <c r="A2601" s="2">
        <v>651</v>
      </c>
      <c r="B2601" s="2">
        <v>4</v>
      </c>
      <c r="C2601" s="2">
        <v>54659779</v>
      </c>
      <c r="D2601" s="2">
        <v>55681701</v>
      </c>
      <c r="E2601" s="2">
        <v>3</v>
      </c>
      <c r="F2601" s="2" t="s">
        <v>10086</v>
      </c>
      <c r="H2601" s="3">
        <v>5.9999999999999995E-4</v>
      </c>
      <c r="K2601" s="2" t="s">
        <v>10085</v>
      </c>
    </row>
    <row r="2602" spans="1:11" x14ac:dyDescent="0.2">
      <c r="A2602" s="2">
        <v>651</v>
      </c>
      <c r="B2602" s="2">
        <v>4</v>
      </c>
      <c r="C2602" s="2">
        <v>54659779</v>
      </c>
      <c r="D2602" s="2">
        <v>55681701</v>
      </c>
      <c r="E2602" s="2">
        <v>4</v>
      </c>
      <c r="F2602" s="2" t="s">
        <v>10086</v>
      </c>
      <c r="H2602" s="3">
        <v>2.9999999999999997E-4</v>
      </c>
      <c r="K2602" s="2" t="s">
        <v>10087</v>
      </c>
    </row>
    <row r="2603" spans="1:11" x14ac:dyDescent="0.2">
      <c r="A2603" s="2">
        <v>652</v>
      </c>
      <c r="B2603" s="2">
        <v>4</v>
      </c>
      <c r="C2603" s="2">
        <v>55681702</v>
      </c>
      <c r="D2603" s="2">
        <v>57103100</v>
      </c>
      <c r="E2603" s="2">
        <v>1</v>
      </c>
      <c r="F2603" s="2" t="s">
        <v>10086</v>
      </c>
      <c r="H2603" s="2">
        <v>2.8999999999999998E-3</v>
      </c>
      <c r="K2603" s="2" t="s">
        <v>10089</v>
      </c>
    </row>
    <row r="2604" spans="1:11" x14ac:dyDescent="0.2">
      <c r="A2604" s="2">
        <v>652</v>
      </c>
      <c r="B2604" s="2">
        <v>4</v>
      </c>
      <c r="C2604" s="2">
        <v>55681702</v>
      </c>
      <c r="D2604" s="2">
        <v>57103100</v>
      </c>
      <c r="E2604" s="2">
        <v>2</v>
      </c>
      <c r="F2604" s="2" t="s">
        <v>10086</v>
      </c>
      <c r="H2604" s="2">
        <v>2E-3</v>
      </c>
      <c r="K2604" s="2" t="s">
        <v>10087</v>
      </c>
    </row>
    <row r="2605" spans="1:11" x14ac:dyDescent="0.2">
      <c r="A2605" s="2">
        <v>652</v>
      </c>
      <c r="B2605" s="2">
        <v>4</v>
      </c>
      <c r="C2605" s="2">
        <v>55681702</v>
      </c>
      <c r="D2605" s="2">
        <v>57103100</v>
      </c>
      <c r="E2605" s="2">
        <v>3</v>
      </c>
      <c r="F2605" s="2" t="s">
        <v>10086</v>
      </c>
      <c r="H2605" s="2">
        <v>1.5E-3</v>
      </c>
      <c r="K2605" s="2" t="s">
        <v>10085</v>
      </c>
    </row>
    <row r="2606" spans="1:11" x14ac:dyDescent="0.2">
      <c r="A2606" s="2">
        <v>652</v>
      </c>
      <c r="B2606" s="2">
        <v>4</v>
      </c>
      <c r="C2606" s="2">
        <v>55681702</v>
      </c>
      <c r="D2606" s="2">
        <v>57103100</v>
      </c>
      <c r="E2606" s="2">
        <v>4</v>
      </c>
      <c r="F2606" s="2" t="s">
        <v>10086</v>
      </c>
      <c r="H2606" s="3">
        <v>8.0000000000000004E-4</v>
      </c>
      <c r="K2606" s="2" t="s">
        <v>10088</v>
      </c>
    </row>
    <row r="2607" spans="1:11" x14ac:dyDescent="0.2">
      <c r="A2607" s="2">
        <v>653</v>
      </c>
      <c r="B2607" s="2">
        <v>4</v>
      </c>
      <c r="C2607" s="2">
        <v>57103101</v>
      </c>
      <c r="D2607" s="2">
        <v>58011085</v>
      </c>
      <c r="E2607" s="2">
        <v>1</v>
      </c>
      <c r="F2607" s="2" t="s">
        <v>10086</v>
      </c>
      <c r="H2607" s="2">
        <v>3.0000000000000001E-3</v>
      </c>
      <c r="K2607" s="2" t="s">
        <v>12324</v>
      </c>
    </row>
    <row r="2608" spans="1:11" x14ac:dyDescent="0.2">
      <c r="A2608" s="2">
        <v>653</v>
      </c>
      <c r="B2608" s="2">
        <v>4</v>
      </c>
      <c r="C2608" s="2">
        <v>57103101</v>
      </c>
      <c r="D2608" s="2">
        <v>58011085</v>
      </c>
      <c r="E2608" s="2">
        <v>2</v>
      </c>
      <c r="F2608" s="2" t="s">
        <v>10086</v>
      </c>
      <c r="H2608" s="2">
        <v>2.0999999999999999E-3</v>
      </c>
      <c r="K2608" s="2" t="s">
        <v>10089</v>
      </c>
    </row>
    <row r="2609" spans="1:11" x14ac:dyDescent="0.2">
      <c r="A2609" s="2">
        <v>653</v>
      </c>
      <c r="B2609" s="2">
        <v>4</v>
      </c>
      <c r="C2609" s="2">
        <v>57103101</v>
      </c>
      <c r="D2609" s="2">
        <v>58011085</v>
      </c>
      <c r="E2609" s="2">
        <v>3</v>
      </c>
      <c r="F2609" s="2" t="s">
        <v>10086</v>
      </c>
      <c r="H2609" s="2">
        <v>1.2999999999999999E-3</v>
      </c>
      <c r="K2609" s="2" t="s">
        <v>10088</v>
      </c>
    </row>
    <row r="2610" spans="1:11" x14ac:dyDescent="0.2">
      <c r="A2610" s="2">
        <v>653</v>
      </c>
      <c r="B2610" s="2">
        <v>4</v>
      </c>
      <c r="C2610" s="2">
        <v>57103101</v>
      </c>
      <c r="D2610" s="2">
        <v>58011085</v>
      </c>
      <c r="E2610" s="2">
        <v>4</v>
      </c>
      <c r="F2610" s="2" t="s">
        <v>10086</v>
      </c>
      <c r="H2610" s="2">
        <v>1.1000000000000001E-3</v>
      </c>
      <c r="K2610" s="2" t="s">
        <v>10085</v>
      </c>
    </row>
    <row r="2611" spans="1:11" x14ac:dyDescent="0.2">
      <c r="A2611" s="2">
        <v>654</v>
      </c>
      <c r="B2611" s="2">
        <v>4</v>
      </c>
      <c r="C2611" s="2">
        <v>58011086</v>
      </c>
      <c r="D2611" s="2">
        <v>58940256</v>
      </c>
      <c r="E2611" s="2">
        <v>1</v>
      </c>
      <c r="F2611" s="2" t="s">
        <v>10086</v>
      </c>
      <c r="H2611" s="2">
        <v>2E-3</v>
      </c>
      <c r="K2611" s="2" t="s">
        <v>10088</v>
      </c>
    </row>
    <row r="2612" spans="1:11" x14ac:dyDescent="0.2">
      <c r="A2612" s="2">
        <v>654</v>
      </c>
      <c r="B2612" s="2">
        <v>4</v>
      </c>
      <c r="C2612" s="2">
        <v>58011086</v>
      </c>
      <c r="D2612" s="2">
        <v>58940256</v>
      </c>
      <c r="E2612" s="2">
        <v>2</v>
      </c>
      <c r="F2612" s="2" t="s">
        <v>10086</v>
      </c>
      <c r="H2612" s="2">
        <v>1.1000000000000001E-3</v>
      </c>
      <c r="K2612" s="2" t="s">
        <v>10087</v>
      </c>
    </row>
    <row r="2613" spans="1:11" x14ac:dyDescent="0.2">
      <c r="A2613" s="2">
        <v>654</v>
      </c>
      <c r="B2613" s="2">
        <v>4</v>
      </c>
      <c r="C2613" s="2">
        <v>58011086</v>
      </c>
      <c r="D2613" s="2">
        <v>58940256</v>
      </c>
      <c r="E2613" s="2">
        <v>3</v>
      </c>
      <c r="F2613" s="2" t="s">
        <v>10086</v>
      </c>
      <c r="H2613" s="2">
        <v>1E-3</v>
      </c>
      <c r="K2613" s="2" t="s">
        <v>10089</v>
      </c>
    </row>
    <row r="2614" spans="1:11" x14ac:dyDescent="0.2">
      <c r="A2614" s="2">
        <v>654</v>
      </c>
      <c r="B2614" s="2">
        <v>4</v>
      </c>
      <c r="C2614" s="2">
        <v>58011086</v>
      </c>
      <c r="D2614" s="2">
        <v>58940256</v>
      </c>
      <c r="E2614" s="2">
        <v>4</v>
      </c>
      <c r="F2614" s="2" t="s">
        <v>10086</v>
      </c>
      <c r="H2614" s="3">
        <v>4.0000000000000002E-4</v>
      </c>
      <c r="K2614" s="2" t="s">
        <v>10085</v>
      </c>
    </row>
    <row r="2615" spans="1:11" x14ac:dyDescent="0.2">
      <c r="A2615" s="2">
        <v>655</v>
      </c>
      <c r="B2615" s="2">
        <v>4</v>
      </c>
      <c r="C2615" s="2">
        <v>58940257</v>
      </c>
      <c r="D2615" s="2">
        <v>59692948</v>
      </c>
      <c r="E2615" s="2">
        <v>1</v>
      </c>
      <c r="F2615" s="2" t="s">
        <v>10086</v>
      </c>
      <c r="H2615" s="2">
        <v>1.4E-3</v>
      </c>
      <c r="K2615" s="2" t="s">
        <v>10088</v>
      </c>
    </row>
    <row r="2616" spans="1:11" x14ac:dyDescent="0.2">
      <c r="A2616" s="2">
        <v>655</v>
      </c>
      <c r="B2616" s="2">
        <v>4</v>
      </c>
      <c r="C2616" s="2">
        <v>58940257</v>
      </c>
      <c r="D2616" s="2">
        <v>59692948</v>
      </c>
      <c r="E2616" s="2">
        <v>2</v>
      </c>
      <c r="F2616" s="2" t="s">
        <v>10086</v>
      </c>
      <c r="H2616" s="2">
        <v>1.6000000000000001E-3</v>
      </c>
      <c r="K2616" s="2" t="s">
        <v>10087</v>
      </c>
    </row>
    <row r="2617" spans="1:11" x14ac:dyDescent="0.2">
      <c r="A2617" s="2">
        <v>655</v>
      </c>
      <c r="B2617" s="2">
        <v>4</v>
      </c>
      <c r="C2617" s="2">
        <v>58940257</v>
      </c>
      <c r="D2617" s="2">
        <v>59692948</v>
      </c>
      <c r="E2617" s="2">
        <v>3</v>
      </c>
      <c r="F2617" s="2" t="s">
        <v>10086</v>
      </c>
      <c r="H2617" s="2">
        <v>1E-3</v>
      </c>
      <c r="K2617" s="2" t="s">
        <v>10089</v>
      </c>
    </row>
    <row r="2618" spans="1:11" x14ac:dyDescent="0.2">
      <c r="A2618" s="2">
        <v>655</v>
      </c>
      <c r="B2618" s="2">
        <v>4</v>
      </c>
      <c r="C2618" s="2">
        <v>58940257</v>
      </c>
      <c r="D2618" s="2">
        <v>59692948</v>
      </c>
      <c r="E2618" s="2">
        <v>4</v>
      </c>
      <c r="F2618" s="2" t="s">
        <v>10086</v>
      </c>
      <c r="H2618" s="2">
        <v>1E-3</v>
      </c>
      <c r="K2618" s="2" t="s">
        <v>10085</v>
      </c>
    </row>
    <row r="2619" spans="1:11" x14ac:dyDescent="0.2">
      <c r="A2619" s="2">
        <v>656</v>
      </c>
      <c r="B2619" s="2">
        <v>4</v>
      </c>
      <c r="C2619" s="2">
        <v>59692949</v>
      </c>
      <c r="D2619" s="2">
        <v>60746709</v>
      </c>
      <c r="E2619" s="2">
        <v>1</v>
      </c>
      <c r="F2619" s="2" t="s">
        <v>10086</v>
      </c>
      <c r="H2619" s="2">
        <v>1.4E-3</v>
      </c>
      <c r="K2619" s="2" t="s">
        <v>10089</v>
      </c>
    </row>
    <row r="2620" spans="1:11" x14ac:dyDescent="0.2">
      <c r="A2620" s="2">
        <v>656</v>
      </c>
      <c r="B2620" s="2">
        <v>4</v>
      </c>
      <c r="C2620" s="2">
        <v>59692949</v>
      </c>
      <c r="D2620" s="2">
        <v>60746709</v>
      </c>
      <c r="E2620" s="2">
        <v>2</v>
      </c>
      <c r="F2620" s="2" t="s">
        <v>10086</v>
      </c>
      <c r="H2620" s="2">
        <v>1E-3</v>
      </c>
      <c r="K2620" s="2" t="s">
        <v>10087</v>
      </c>
    </row>
    <row r="2621" spans="1:11" x14ac:dyDescent="0.2">
      <c r="A2621" s="2">
        <v>656</v>
      </c>
      <c r="B2621" s="2">
        <v>4</v>
      </c>
      <c r="C2621" s="2">
        <v>59692949</v>
      </c>
      <c r="D2621" s="2">
        <v>60746709</v>
      </c>
      <c r="E2621" s="2">
        <v>3</v>
      </c>
      <c r="F2621" s="2" t="s">
        <v>10086</v>
      </c>
      <c r="H2621" s="3">
        <v>6.9999999999999999E-4</v>
      </c>
      <c r="K2621" s="2" t="s">
        <v>10088</v>
      </c>
    </row>
    <row r="2622" spans="1:11" x14ac:dyDescent="0.2">
      <c r="A2622" s="2">
        <v>656</v>
      </c>
      <c r="B2622" s="2">
        <v>4</v>
      </c>
      <c r="C2622" s="2">
        <v>59692949</v>
      </c>
      <c r="D2622" s="2">
        <v>60746709</v>
      </c>
      <c r="E2622" s="2">
        <v>4</v>
      </c>
      <c r="F2622" s="2" t="s">
        <v>10086</v>
      </c>
      <c r="H2622" s="3">
        <v>5.9999999999999995E-4</v>
      </c>
      <c r="K2622" s="2" t="s">
        <v>10085</v>
      </c>
    </row>
    <row r="2623" spans="1:11" x14ac:dyDescent="0.2">
      <c r="A2623" s="2">
        <v>657</v>
      </c>
      <c r="B2623" s="2">
        <v>4</v>
      </c>
      <c r="C2623" s="2">
        <v>60746710</v>
      </c>
      <c r="D2623" s="2">
        <v>61971161</v>
      </c>
      <c r="E2623" s="2">
        <v>1</v>
      </c>
      <c r="F2623" s="2" t="s">
        <v>10086</v>
      </c>
      <c r="H2623" s="2">
        <v>4.4000000000000003E-3</v>
      </c>
      <c r="K2623" s="2" t="s">
        <v>10088</v>
      </c>
    </row>
    <row r="2624" spans="1:11" x14ac:dyDescent="0.2">
      <c r="A2624" s="2">
        <v>657</v>
      </c>
      <c r="B2624" s="2">
        <v>4</v>
      </c>
      <c r="C2624" s="2">
        <v>60746710</v>
      </c>
      <c r="D2624" s="2">
        <v>61971161</v>
      </c>
      <c r="E2624" s="2">
        <v>2</v>
      </c>
      <c r="F2624" s="2" t="s">
        <v>10086</v>
      </c>
      <c r="H2624" s="2">
        <v>1.5E-3</v>
      </c>
      <c r="K2624" s="2" t="s">
        <v>10085</v>
      </c>
    </row>
    <row r="2625" spans="1:11" x14ac:dyDescent="0.2">
      <c r="A2625" s="2">
        <v>657</v>
      </c>
      <c r="B2625" s="2">
        <v>4</v>
      </c>
      <c r="C2625" s="2">
        <v>60746710</v>
      </c>
      <c r="D2625" s="2">
        <v>61971161</v>
      </c>
      <c r="E2625" s="2">
        <v>3</v>
      </c>
      <c r="F2625" s="2" t="s">
        <v>10086</v>
      </c>
      <c r="H2625" s="2">
        <v>1.6000000000000001E-3</v>
      </c>
      <c r="K2625" s="2" t="s">
        <v>10089</v>
      </c>
    </row>
    <row r="2626" spans="1:11" x14ac:dyDescent="0.2">
      <c r="A2626" s="2">
        <v>657</v>
      </c>
      <c r="B2626" s="2">
        <v>4</v>
      </c>
      <c r="C2626" s="2">
        <v>60746710</v>
      </c>
      <c r="D2626" s="2">
        <v>61971161</v>
      </c>
      <c r="E2626" s="2">
        <v>4</v>
      </c>
      <c r="F2626" s="2" t="s">
        <v>10086</v>
      </c>
      <c r="H2626" s="3">
        <v>6.9999999999999999E-4</v>
      </c>
      <c r="K2626" s="2" t="s">
        <v>10087</v>
      </c>
    </row>
    <row r="2627" spans="1:11" x14ac:dyDescent="0.2">
      <c r="A2627" s="2">
        <v>658</v>
      </c>
      <c r="B2627" s="2">
        <v>4</v>
      </c>
      <c r="C2627" s="2">
        <v>61971162</v>
      </c>
      <c r="D2627" s="2">
        <v>63337954</v>
      </c>
      <c r="E2627" s="2">
        <v>1</v>
      </c>
      <c r="F2627" s="2" t="s">
        <v>10086</v>
      </c>
      <c r="H2627" s="2">
        <v>1.4E-3</v>
      </c>
      <c r="K2627" s="2" t="s">
        <v>10087</v>
      </c>
    </row>
    <row r="2628" spans="1:11" x14ac:dyDescent="0.2">
      <c r="A2628" s="2">
        <v>658</v>
      </c>
      <c r="B2628" s="2">
        <v>4</v>
      </c>
      <c r="C2628" s="2">
        <v>61971162</v>
      </c>
      <c r="D2628" s="2">
        <v>63337954</v>
      </c>
      <c r="E2628" s="2">
        <v>2</v>
      </c>
      <c r="F2628" s="2" t="s">
        <v>10086</v>
      </c>
      <c r="H2628" s="2">
        <v>1.2999999999999999E-3</v>
      </c>
      <c r="K2628" s="2" t="s">
        <v>10088</v>
      </c>
    </row>
    <row r="2629" spans="1:11" x14ac:dyDescent="0.2">
      <c r="A2629" s="2">
        <v>658</v>
      </c>
      <c r="B2629" s="2">
        <v>4</v>
      </c>
      <c r="C2629" s="2">
        <v>61971162</v>
      </c>
      <c r="D2629" s="2">
        <v>63337954</v>
      </c>
      <c r="E2629" s="2">
        <v>3</v>
      </c>
      <c r="F2629" s="2" t="s">
        <v>10086</v>
      </c>
      <c r="H2629" s="2">
        <v>1E-3</v>
      </c>
      <c r="K2629" s="2" t="s">
        <v>10085</v>
      </c>
    </row>
    <row r="2630" spans="1:11" x14ac:dyDescent="0.2">
      <c r="A2630" s="2">
        <v>658</v>
      </c>
      <c r="B2630" s="2">
        <v>4</v>
      </c>
      <c r="C2630" s="2">
        <v>61971162</v>
      </c>
      <c r="D2630" s="2">
        <v>63337954</v>
      </c>
      <c r="E2630" s="2">
        <v>4</v>
      </c>
      <c r="F2630" s="2" t="s">
        <v>10086</v>
      </c>
      <c r="H2630" s="3">
        <v>5.0000000000000001E-4</v>
      </c>
      <c r="K2630" s="2" t="s">
        <v>10089</v>
      </c>
    </row>
    <row r="2631" spans="1:11" x14ac:dyDescent="0.2">
      <c r="A2631" s="2">
        <v>659</v>
      </c>
      <c r="B2631" s="2">
        <v>4</v>
      </c>
      <c r="C2631" s="2">
        <v>63337955</v>
      </c>
      <c r="D2631" s="2">
        <v>64117431</v>
      </c>
      <c r="E2631" s="2">
        <v>1</v>
      </c>
      <c r="F2631" s="2" t="s">
        <v>10086</v>
      </c>
      <c r="H2631" s="3">
        <v>8.9999999999999998E-4</v>
      </c>
      <c r="K2631" s="2" t="s">
        <v>10085</v>
      </c>
    </row>
    <row r="2632" spans="1:11" x14ac:dyDescent="0.2">
      <c r="A2632" s="2">
        <v>659</v>
      </c>
      <c r="B2632" s="2">
        <v>4</v>
      </c>
      <c r="C2632" s="2">
        <v>63337955</v>
      </c>
      <c r="D2632" s="2">
        <v>64117431</v>
      </c>
      <c r="E2632" s="2">
        <v>2</v>
      </c>
      <c r="F2632" s="2" t="s">
        <v>10086</v>
      </c>
      <c r="H2632" s="3">
        <v>6.9999999999999999E-4</v>
      </c>
      <c r="K2632" s="2" t="s">
        <v>10087</v>
      </c>
    </row>
    <row r="2633" spans="1:11" x14ac:dyDescent="0.2">
      <c r="A2633" s="2">
        <v>659</v>
      </c>
      <c r="B2633" s="2">
        <v>4</v>
      </c>
      <c r="C2633" s="2">
        <v>63337955</v>
      </c>
      <c r="D2633" s="2">
        <v>64117431</v>
      </c>
      <c r="E2633" s="2">
        <v>3</v>
      </c>
      <c r="F2633" s="2" t="s">
        <v>10086</v>
      </c>
      <c r="H2633" s="3">
        <v>6.9999999999999999E-4</v>
      </c>
      <c r="K2633" s="2" t="s">
        <v>10089</v>
      </c>
    </row>
    <row r="2634" spans="1:11" x14ac:dyDescent="0.2">
      <c r="A2634" s="2">
        <v>659</v>
      </c>
      <c r="B2634" s="2">
        <v>4</v>
      </c>
      <c r="C2634" s="2">
        <v>63337955</v>
      </c>
      <c r="D2634" s="2">
        <v>64117431</v>
      </c>
      <c r="E2634" s="2">
        <v>4</v>
      </c>
      <c r="F2634" s="2" t="s">
        <v>10086</v>
      </c>
      <c r="H2634" s="3">
        <v>4.0000000000000002E-4</v>
      </c>
      <c r="K2634" s="2" t="s">
        <v>10088</v>
      </c>
    </row>
    <row r="2635" spans="1:11" x14ac:dyDescent="0.2">
      <c r="A2635" s="2">
        <v>660</v>
      </c>
      <c r="B2635" s="2">
        <v>4</v>
      </c>
      <c r="C2635" s="2">
        <v>64117432</v>
      </c>
      <c r="D2635" s="2">
        <v>65563100</v>
      </c>
      <c r="E2635" s="2">
        <v>1</v>
      </c>
      <c r="F2635" s="2" t="s">
        <v>10086</v>
      </c>
      <c r="H2635" s="2">
        <v>1.4E-3</v>
      </c>
      <c r="K2635" s="2" t="s">
        <v>10087</v>
      </c>
    </row>
    <row r="2636" spans="1:11" x14ac:dyDescent="0.2">
      <c r="A2636" s="2">
        <v>660</v>
      </c>
      <c r="B2636" s="2">
        <v>4</v>
      </c>
      <c r="C2636" s="2">
        <v>64117432</v>
      </c>
      <c r="D2636" s="2">
        <v>65563100</v>
      </c>
      <c r="E2636" s="2">
        <v>2</v>
      </c>
      <c r="F2636" s="2" t="s">
        <v>10086</v>
      </c>
      <c r="H2636" s="2">
        <v>1.1999999999999999E-3</v>
      </c>
      <c r="K2636" s="2" t="s">
        <v>10089</v>
      </c>
    </row>
    <row r="2637" spans="1:11" x14ac:dyDescent="0.2">
      <c r="A2637" s="2">
        <v>660</v>
      </c>
      <c r="B2637" s="2">
        <v>4</v>
      </c>
      <c r="C2637" s="2">
        <v>64117432</v>
      </c>
      <c r="D2637" s="2">
        <v>65563100</v>
      </c>
      <c r="E2637" s="2">
        <v>3</v>
      </c>
      <c r="F2637" s="2" t="s">
        <v>10086</v>
      </c>
      <c r="H2637" s="2">
        <v>1.1000000000000001E-3</v>
      </c>
      <c r="K2637" s="2" t="s">
        <v>12324</v>
      </c>
    </row>
    <row r="2638" spans="1:11" x14ac:dyDescent="0.2">
      <c r="A2638" s="2">
        <v>660</v>
      </c>
      <c r="B2638" s="2">
        <v>4</v>
      </c>
      <c r="C2638" s="2">
        <v>64117432</v>
      </c>
      <c r="D2638" s="2">
        <v>65563100</v>
      </c>
      <c r="E2638" s="2">
        <v>4</v>
      </c>
      <c r="F2638" s="2" t="s">
        <v>10086</v>
      </c>
      <c r="H2638" s="2">
        <v>1E-3</v>
      </c>
      <c r="K2638" s="2" t="s">
        <v>10085</v>
      </c>
    </row>
    <row r="2639" spans="1:11" x14ac:dyDescent="0.2">
      <c r="A2639" s="2">
        <v>661</v>
      </c>
      <c r="B2639" s="2">
        <v>4</v>
      </c>
      <c r="C2639" s="2">
        <v>65563101</v>
      </c>
      <c r="D2639" s="2">
        <v>66597446</v>
      </c>
      <c r="E2639" s="2">
        <v>1</v>
      </c>
      <c r="F2639" s="2" t="s">
        <v>10086</v>
      </c>
      <c r="H2639" s="2">
        <v>1.8E-3</v>
      </c>
      <c r="K2639" s="2" t="s">
        <v>10089</v>
      </c>
    </row>
    <row r="2640" spans="1:11" x14ac:dyDescent="0.2">
      <c r="A2640" s="2">
        <v>661</v>
      </c>
      <c r="B2640" s="2">
        <v>4</v>
      </c>
      <c r="C2640" s="2">
        <v>65563101</v>
      </c>
      <c r="D2640" s="2">
        <v>66597446</v>
      </c>
      <c r="E2640" s="2">
        <v>2</v>
      </c>
      <c r="F2640" s="2" t="s">
        <v>10086</v>
      </c>
      <c r="H2640" s="2">
        <v>1.1999999999999999E-3</v>
      </c>
      <c r="K2640" s="2" t="s">
        <v>10087</v>
      </c>
    </row>
    <row r="2641" spans="1:11" x14ac:dyDescent="0.2">
      <c r="A2641" s="2">
        <v>661</v>
      </c>
      <c r="B2641" s="2">
        <v>4</v>
      </c>
      <c r="C2641" s="2">
        <v>65563101</v>
      </c>
      <c r="D2641" s="2">
        <v>66597446</v>
      </c>
      <c r="E2641" s="2">
        <v>3</v>
      </c>
      <c r="F2641" s="2" t="s">
        <v>10086</v>
      </c>
      <c r="H2641" s="2">
        <v>1E-3</v>
      </c>
      <c r="K2641" s="2" t="s">
        <v>10085</v>
      </c>
    </row>
    <row r="2642" spans="1:11" x14ac:dyDescent="0.2">
      <c r="A2642" s="2">
        <v>661</v>
      </c>
      <c r="B2642" s="2">
        <v>4</v>
      </c>
      <c r="C2642" s="2">
        <v>65563101</v>
      </c>
      <c r="D2642" s="2">
        <v>66597446</v>
      </c>
      <c r="E2642" s="2">
        <v>4</v>
      </c>
      <c r="F2642" s="2" t="s">
        <v>10086</v>
      </c>
      <c r="H2642" s="3">
        <v>4.0000000000000002E-4</v>
      </c>
      <c r="K2642" s="2" t="s">
        <v>10088</v>
      </c>
    </row>
    <row r="2643" spans="1:11" x14ac:dyDescent="0.2">
      <c r="A2643" s="2">
        <v>662</v>
      </c>
      <c r="B2643" s="2">
        <v>4</v>
      </c>
      <c r="C2643" s="2">
        <v>66597447</v>
      </c>
      <c r="D2643" s="2">
        <v>67616362</v>
      </c>
      <c r="E2643" s="2">
        <v>1</v>
      </c>
      <c r="F2643" s="2" t="s">
        <v>10086</v>
      </c>
      <c r="H2643" s="2">
        <v>1E-3</v>
      </c>
      <c r="K2643" s="2" t="s">
        <v>10085</v>
      </c>
    </row>
    <row r="2644" spans="1:11" x14ac:dyDescent="0.2">
      <c r="A2644" s="2">
        <v>662</v>
      </c>
      <c r="B2644" s="2">
        <v>4</v>
      </c>
      <c r="C2644" s="2">
        <v>66597447</v>
      </c>
      <c r="D2644" s="2">
        <v>67616362</v>
      </c>
      <c r="E2644" s="2">
        <v>2</v>
      </c>
      <c r="F2644" s="2" t="s">
        <v>10086</v>
      </c>
      <c r="H2644" s="2">
        <v>1.2999999999999999E-3</v>
      </c>
      <c r="K2644" s="2" t="s">
        <v>10088</v>
      </c>
    </row>
    <row r="2645" spans="1:11" x14ac:dyDescent="0.2">
      <c r="A2645" s="2">
        <v>662</v>
      </c>
      <c r="B2645" s="2">
        <v>4</v>
      </c>
      <c r="C2645" s="2">
        <v>66597447</v>
      </c>
      <c r="D2645" s="2">
        <v>67616362</v>
      </c>
      <c r="E2645" s="2">
        <v>3</v>
      </c>
      <c r="F2645" s="2" t="s">
        <v>10086</v>
      </c>
      <c r="H2645" s="3">
        <v>8.0000000000000004E-4</v>
      </c>
      <c r="K2645" s="2" t="s">
        <v>10087</v>
      </c>
    </row>
    <row r="2646" spans="1:11" x14ac:dyDescent="0.2">
      <c r="A2646" s="2">
        <v>662</v>
      </c>
      <c r="B2646" s="2">
        <v>4</v>
      </c>
      <c r="C2646" s="2">
        <v>66597447</v>
      </c>
      <c r="D2646" s="2">
        <v>67616362</v>
      </c>
      <c r="E2646" s="2">
        <v>4</v>
      </c>
      <c r="F2646" s="2" t="s">
        <v>10086</v>
      </c>
      <c r="H2646" s="3">
        <v>4.0000000000000002E-4</v>
      </c>
      <c r="K2646" s="2" t="s">
        <v>10089</v>
      </c>
    </row>
    <row r="2647" spans="1:11" x14ac:dyDescent="0.2">
      <c r="A2647" s="2">
        <v>663</v>
      </c>
      <c r="B2647" s="2">
        <v>4</v>
      </c>
      <c r="C2647" s="2">
        <v>67616363</v>
      </c>
      <c r="D2647" s="2">
        <v>68742859</v>
      </c>
      <c r="E2647" s="2">
        <v>1</v>
      </c>
      <c r="F2647" s="2" t="s">
        <v>10086</v>
      </c>
      <c r="H2647" s="2">
        <v>1.8E-3</v>
      </c>
      <c r="K2647" s="2" t="s">
        <v>10087</v>
      </c>
    </row>
    <row r="2648" spans="1:11" x14ac:dyDescent="0.2">
      <c r="A2648" s="2">
        <v>663</v>
      </c>
      <c r="B2648" s="2">
        <v>4</v>
      </c>
      <c r="C2648" s="2">
        <v>67616363</v>
      </c>
      <c r="D2648" s="2">
        <v>68742859</v>
      </c>
      <c r="E2648" s="2">
        <v>2</v>
      </c>
      <c r="F2648" s="2" t="s">
        <v>10086</v>
      </c>
      <c r="H2648" s="3">
        <v>8.9999999999999998E-4</v>
      </c>
      <c r="K2648" s="2" t="s">
        <v>10088</v>
      </c>
    </row>
    <row r="2649" spans="1:11" x14ac:dyDescent="0.2">
      <c r="A2649" s="2">
        <v>663</v>
      </c>
      <c r="B2649" s="2">
        <v>4</v>
      </c>
      <c r="C2649" s="2">
        <v>67616363</v>
      </c>
      <c r="D2649" s="2">
        <v>68742859</v>
      </c>
      <c r="E2649" s="2">
        <v>3</v>
      </c>
      <c r="F2649" s="2" t="s">
        <v>10086</v>
      </c>
      <c r="H2649" s="3">
        <v>5.9999999999999995E-4</v>
      </c>
      <c r="K2649" s="2" t="s">
        <v>10089</v>
      </c>
    </row>
    <row r="2650" spans="1:11" x14ac:dyDescent="0.2">
      <c r="A2650" s="2">
        <v>663</v>
      </c>
      <c r="B2650" s="2">
        <v>4</v>
      </c>
      <c r="C2650" s="2">
        <v>67616363</v>
      </c>
      <c r="D2650" s="2">
        <v>68742859</v>
      </c>
      <c r="E2650" s="2">
        <v>4</v>
      </c>
      <c r="F2650" s="2" t="s">
        <v>10086</v>
      </c>
      <c r="H2650" s="3">
        <v>2.9999999999999997E-4</v>
      </c>
      <c r="K2650" s="2" t="s">
        <v>10085</v>
      </c>
    </row>
    <row r="2651" spans="1:11" x14ac:dyDescent="0.2">
      <c r="A2651" s="2">
        <v>664</v>
      </c>
      <c r="B2651" s="2">
        <v>4</v>
      </c>
      <c r="C2651" s="2">
        <v>68742860</v>
      </c>
      <c r="D2651" s="2">
        <v>69603368</v>
      </c>
      <c r="E2651" s="2">
        <v>1</v>
      </c>
      <c r="F2651" s="2" t="s">
        <v>10086</v>
      </c>
      <c r="H2651" s="3">
        <v>8.0000000000000004E-4</v>
      </c>
      <c r="K2651" s="2" t="s">
        <v>10089</v>
      </c>
    </row>
    <row r="2652" spans="1:11" x14ac:dyDescent="0.2">
      <c r="A2652" s="2">
        <v>664</v>
      </c>
      <c r="B2652" s="2">
        <v>4</v>
      </c>
      <c r="C2652" s="2">
        <v>68742860</v>
      </c>
      <c r="D2652" s="2">
        <v>69603368</v>
      </c>
      <c r="E2652" s="2">
        <v>2</v>
      </c>
      <c r="F2652" s="2" t="s">
        <v>10086</v>
      </c>
      <c r="H2652" s="2">
        <v>1.6999999999999999E-3</v>
      </c>
      <c r="K2652" s="2" t="s">
        <v>12324</v>
      </c>
    </row>
    <row r="2653" spans="1:11" x14ac:dyDescent="0.2">
      <c r="A2653" s="2">
        <v>664</v>
      </c>
      <c r="B2653" s="2">
        <v>4</v>
      </c>
      <c r="C2653" s="2">
        <v>68742860</v>
      </c>
      <c r="D2653" s="2">
        <v>69603368</v>
      </c>
      <c r="E2653" s="2">
        <v>3</v>
      </c>
      <c r="F2653" s="2" t="s">
        <v>10086</v>
      </c>
      <c r="H2653" s="3">
        <v>6.9999999999999999E-4</v>
      </c>
      <c r="K2653" s="2" t="s">
        <v>10085</v>
      </c>
    </row>
    <row r="2654" spans="1:11" x14ac:dyDescent="0.2">
      <c r="A2654" s="2">
        <v>664</v>
      </c>
      <c r="B2654" s="2">
        <v>4</v>
      </c>
      <c r="C2654" s="2">
        <v>68742860</v>
      </c>
      <c r="D2654" s="2">
        <v>69603368</v>
      </c>
      <c r="E2654" s="2">
        <v>4</v>
      </c>
      <c r="F2654" s="2" t="s">
        <v>10086</v>
      </c>
      <c r="H2654" s="3">
        <v>6.9999999999999999E-4</v>
      </c>
      <c r="K2654" s="2" t="s">
        <v>10087</v>
      </c>
    </row>
    <row r="2655" spans="1:11" x14ac:dyDescent="0.2">
      <c r="A2655" s="2">
        <v>665</v>
      </c>
      <c r="B2655" s="2">
        <v>4</v>
      </c>
      <c r="C2655" s="2">
        <v>69603369</v>
      </c>
      <c r="D2655" s="2">
        <v>70516836</v>
      </c>
      <c r="E2655" s="2">
        <v>1</v>
      </c>
      <c r="F2655" s="2" t="s">
        <v>10086</v>
      </c>
      <c r="H2655" s="2">
        <v>1.1000000000000001E-3</v>
      </c>
      <c r="K2655" s="2" t="s">
        <v>10087</v>
      </c>
    </row>
    <row r="2656" spans="1:11" x14ac:dyDescent="0.2">
      <c r="A2656" s="2">
        <v>665</v>
      </c>
      <c r="B2656" s="2">
        <v>4</v>
      </c>
      <c r="C2656" s="2">
        <v>69603369</v>
      </c>
      <c r="D2656" s="2">
        <v>70516836</v>
      </c>
      <c r="E2656" s="2">
        <v>2</v>
      </c>
      <c r="F2656" s="2" t="s">
        <v>10086</v>
      </c>
      <c r="H2656" s="3">
        <v>8.0000000000000004E-4</v>
      </c>
      <c r="K2656" s="2" t="s">
        <v>10088</v>
      </c>
    </row>
    <row r="2657" spans="1:11" x14ac:dyDescent="0.2">
      <c r="A2657" s="2">
        <v>665</v>
      </c>
      <c r="B2657" s="2">
        <v>4</v>
      </c>
      <c r="C2657" s="2">
        <v>69603369</v>
      </c>
      <c r="D2657" s="2">
        <v>70516836</v>
      </c>
      <c r="E2657" s="2">
        <v>3</v>
      </c>
      <c r="F2657" s="2" t="s">
        <v>10086</v>
      </c>
      <c r="H2657" s="3">
        <v>5.0000000000000001E-4</v>
      </c>
      <c r="K2657" s="2" t="s">
        <v>10085</v>
      </c>
    </row>
    <row r="2658" spans="1:11" x14ac:dyDescent="0.2">
      <c r="A2658" s="2">
        <v>665</v>
      </c>
      <c r="B2658" s="2">
        <v>4</v>
      </c>
      <c r="C2658" s="2">
        <v>69603369</v>
      </c>
      <c r="D2658" s="2">
        <v>70516836</v>
      </c>
      <c r="E2658" s="2">
        <v>4</v>
      </c>
      <c r="F2658" s="2" t="s">
        <v>10086</v>
      </c>
      <c r="H2658" s="3">
        <v>2.9999999999999997E-4</v>
      </c>
      <c r="K2658" s="2" t="s">
        <v>10089</v>
      </c>
    </row>
    <row r="2659" spans="1:11" x14ac:dyDescent="0.2">
      <c r="A2659" s="2">
        <v>666</v>
      </c>
      <c r="B2659" s="2">
        <v>4</v>
      </c>
      <c r="C2659" s="2">
        <v>70516837</v>
      </c>
      <c r="D2659" s="2">
        <v>71468300</v>
      </c>
      <c r="E2659" s="2">
        <v>1</v>
      </c>
      <c r="F2659" s="2" t="s">
        <v>10086</v>
      </c>
      <c r="H2659" s="2">
        <v>3.8999999999999998E-3</v>
      </c>
      <c r="K2659" s="2" t="s">
        <v>10085</v>
      </c>
    </row>
    <row r="2660" spans="1:11" x14ac:dyDescent="0.2">
      <c r="A2660" s="2">
        <v>666</v>
      </c>
      <c r="B2660" s="2">
        <v>4</v>
      </c>
      <c r="C2660" s="2">
        <v>70516837</v>
      </c>
      <c r="D2660" s="2">
        <v>71468300</v>
      </c>
      <c r="E2660" s="2">
        <v>2</v>
      </c>
      <c r="F2660" s="2" t="s">
        <v>10086</v>
      </c>
      <c r="H2660" s="3">
        <v>5.9999999999999995E-4</v>
      </c>
      <c r="K2660" s="2" t="s">
        <v>10089</v>
      </c>
    </row>
    <row r="2661" spans="1:11" x14ac:dyDescent="0.2">
      <c r="A2661" s="2">
        <v>666</v>
      </c>
      <c r="B2661" s="2">
        <v>4</v>
      </c>
      <c r="C2661" s="2">
        <v>70516837</v>
      </c>
      <c r="D2661" s="2">
        <v>71468300</v>
      </c>
      <c r="E2661" s="2">
        <v>3</v>
      </c>
      <c r="F2661" s="2" t="s">
        <v>10086</v>
      </c>
      <c r="H2661" s="3">
        <v>5.9999999999999995E-4</v>
      </c>
      <c r="K2661" s="2" t="s">
        <v>10088</v>
      </c>
    </row>
    <row r="2662" spans="1:11" x14ac:dyDescent="0.2">
      <c r="A2662" s="2">
        <v>666</v>
      </c>
      <c r="B2662" s="2">
        <v>4</v>
      </c>
      <c r="C2662" s="2">
        <v>70516837</v>
      </c>
      <c r="D2662" s="2">
        <v>71468300</v>
      </c>
      <c r="E2662" s="2">
        <v>4</v>
      </c>
      <c r="F2662" s="2" t="s">
        <v>10086</v>
      </c>
      <c r="H2662" s="3">
        <v>2.0000000000000001E-4</v>
      </c>
      <c r="K2662" s="2" t="s">
        <v>10087</v>
      </c>
    </row>
    <row r="2663" spans="1:11" x14ac:dyDescent="0.2">
      <c r="A2663" s="2">
        <v>667</v>
      </c>
      <c r="B2663" s="2">
        <v>4</v>
      </c>
      <c r="C2663" s="2">
        <v>71468301</v>
      </c>
      <c r="D2663" s="2">
        <v>73258294</v>
      </c>
      <c r="E2663" s="2">
        <v>1</v>
      </c>
      <c r="F2663" s="2" t="s">
        <v>10086</v>
      </c>
      <c r="H2663" s="2">
        <v>1.6999999999999999E-3</v>
      </c>
      <c r="K2663" s="2" t="s">
        <v>10088</v>
      </c>
    </row>
    <row r="2664" spans="1:11" x14ac:dyDescent="0.2">
      <c r="A2664" s="2">
        <v>667</v>
      </c>
      <c r="B2664" s="2">
        <v>4</v>
      </c>
      <c r="C2664" s="2">
        <v>71468301</v>
      </c>
      <c r="D2664" s="2">
        <v>73258294</v>
      </c>
      <c r="E2664" s="2">
        <v>2</v>
      </c>
      <c r="F2664" s="2" t="s">
        <v>10086</v>
      </c>
      <c r="H2664" s="2">
        <v>1.4E-3</v>
      </c>
      <c r="K2664" s="2" t="s">
        <v>10087</v>
      </c>
    </row>
    <row r="2665" spans="1:11" x14ac:dyDescent="0.2">
      <c r="A2665" s="2">
        <v>667</v>
      </c>
      <c r="B2665" s="2">
        <v>4</v>
      </c>
      <c r="C2665" s="2">
        <v>71468301</v>
      </c>
      <c r="D2665" s="2">
        <v>73258294</v>
      </c>
      <c r="E2665" s="2">
        <v>3</v>
      </c>
      <c r="F2665" s="2" t="s">
        <v>10086</v>
      </c>
      <c r="H2665" s="2">
        <v>1.4E-3</v>
      </c>
      <c r="K2665" s="2" t="s">
        <v>10085</v>
      </c>
    </row>
    <row r="2666" spans="1:11" x14ac:dyDescent="0.2">
      <c r="A2666" s="2">
        <v>667</v>
      </c>
      <c r="B2666" s="2">
        <v>4</v>
      </c>
      <c r="C2666" s="2">
        <v>71468301</v>
      </c>
      <c r="D2666" s="2">
        <v>73258294</v>
      </c>
      <c r="E2666" s="2">
        <v>4</v>
      </c>
      <c r="F2666" s="2" t="s">
        <v>10086</v>
      </c>
      <c r="H2666" s="3">
        <v>5.9999999999999995E-4</v>
      </c>
      <c r="K2666" s="2" t="s">
        <v>10089</v>
      </c>
    </row>
    <row r="2667" spans="1:11" x14ac:dyDescent="0.2">
      <c r="A2667" s="2">
        <v>668</v>
      </c>
      <c r="B2667" s="2">
        <v>4</v>
      </c>
      <c r="C2667" s="2">
        <v>73258295</v>
      </c>
      <c r="D2667" s="2">
        <v>74885900</v>
      </c>
      <c r="E2667" s="2">
        <v>1</v>
      </c>
      <c r="F2667" s="2" t="s">
        <v>10086</v>
      </c>
      <c r="H2667" s="2">
        <v>1.6799999999999999E-2</v>
      </c>
      <c r="K2667" s="2" t="s">
        <v>10088</v>
      </c>
    </row>
    <row r="2668" spans="1:11" x14ac:dyDescent="0.2">
      <c r="A2668" s="2">
        <v>668</v>
      </c>
      <c r="B2668" s="2">
        <v>4</v>
      </c>
      <c r="C2668" s="2">
        <v>73258295</v>
      </c>
      <c r="D2668" s="2">
        <v>74885900</v>
      </c>
      <c r="E2668" s="2">
        <v>2</v>
      </c>
      <c r="F2668" s="2" t="s">
        <v>10086</v>
      </c>
      <c r="H2668" s="2">
        <v>1.9E-3</v>
      </c>
      <c r="K2668" s="2" t="s">
        <v>10087</v>
      </c>
    </row>
    <row r="2669" spans="1:11" x14ac:dyDescent="0.2">
      <c r="A2669" s="2">
        <v>668</v>
      </c>
      <c r="B2669" s="2">
        <v>4</v>
      </c>
      <c r="C2669" s="2">
        <v>73258295</v>
      </c>
      <c r="D2669" s="2">
        <v>74885900</v>
      </c>
      <c r="E2669" s="2">
        <v>3</v>
      </c>
      <c r="F2669" s="2" t="s">
        <v>10086</v>
      </c>
      <c r="H2669" s="2">
        <v>1.5E-3</v>
      </c>
      <c r="K2669" s="2" t="s">
        <v>10085</v>
      </c>
    </row>
    <row r="2670" spans="1:11" x14ac:dyDescent="0.2">
      <c r="A2670" s="2">
        <v>668</v>
      </c>
      <c r="B2670" s="2">
        <v>4</v>
      </c>
      <c r="C2670" s="2">
        <v>73258295</v>
      </c>
      <c r="D2670" s="2">
        <v>74885900</v>
      </c>
      <c r="E2670" s="2">
        <v>4</v>
      </c>
      <c r="F2670" s="2" t="s">
        <v>10086</v>
      </c>
      <c r="H2670" s="2">
        <v>1E-3</v>
      </c>
      <c r="K2670" s="2" t="s">
        <v>10089</v>
      </c>
    </row>
    <row r="2671" spans="1:11" x14ac:dyDescent="0.2">
      <c r="A2671" s="2">
        <v>669</v>
      </c>
      <c r="B2671" s="2">
        <v>4</v>
      </c>
      <c r="C2671" s="2">
        <v>74885901</v>
      </c>
      <c r="D2671" s="2">
        <v>76497358</v>
      </c>
      <c r="E2671" s="2">
        <v>1</v>
      </c>
      <c r="F2671" s="2" t="s">
        <v>10086</v>
      </c>
      <c r="H2671" s="2">
        <v>1.6000000000000001E-3</v>
      </c>
      <c r="K2671" s="2" t="s">
        <v>10089</v>
      </c>
    </row>
    <row r="2672" spans="1:11" x14ac:dyDescent="0.2">
      <c r="A2672" s="2">
        <v>669</v>
      </c>
      <c r="B2672" s="2">
        <v>4</v>
      </c>
      <c r="C2672" s="2">
        <v>74885901</v>
      </c>
      <c r="D2672" s="2">
        <v>76497358</v>
      </c>
      <c r="E2672" s="2">
        <v>2</v>
      </c>
      <c r="F2672" s="2" t="s">
        <v>10086</v>
      </c>
      <c r="H2672" s="2">
        <v>2.5999999999999999E-3</v>
      </c>
      <c r="K2672" s="2" t="s">
        <v>10088</v>
      </c>
    </row>
    <row r="2673" spans="1:11" x14ac:dyDescent="0.2">
      <c r="A2673" s="2">
        <v>669</v>
      </c>
      <c r="B2673" s="2">
        <v>4</v>
      </c>
      <c r="C2673" s="2">
        <v>74885901</v>
      </c>
      <c r="D2673" s="2">
        <v>76497358</v>
      </c>
      <c r="E2673" s="2">
        <v>3</v>
      </c>
      <c r="F2673" s="2" t="s">
        <v>10086</v>
      </c>
      <c r="H2673" s="2">
        <v>1.1000000000000001E-3</v>
      </c>
      <c r="K2673" s="2" t="s">
        <v>10087</v>
      </c>
    </row>
    <row r="2674" spans="1:11" x14ac:dyDescent="0.2">
      <c r="A2674" s="2">
        <v>669</v>
      </c>
      <c r="B2674" s="2">
        <v>4</v>
      </c>
      <c r="C2674" s="2">
        <v>74885901</v>
      </c>
      <c r="D2674" s="2">
        <v>76497358</v>
      </c>
      <c r="E2674" s="2">
        <v>4</v>
      </c>
      <c r="F2674" s="2" t="s">
        <v>10086</v>
      </c>
      <c r="H2674" s="3">
        <v>5.0000000000000001E-4</v>
      </c>
      <c r="K2674" s="2" t="s">
        <v>10085</v>
      </c>
    </row>
    <row r="2675" spans="1:11" x14ac:dyDescent="0.2">
      <c r="A2675" s="2">
        <v>670</v>
      </c>
      <c r="B2675" s="2">
        <v>4</v>
      </c>
      <c r="C2675" s="2">
        <v>76497359</v>
      </c>
      <c r="D2675" s="2">
        <v>78045637</v>
      </c>
      <c r="E2675" s="2">
        <v>1</v>
      </c>
      <c r="F2675" s="2" t="s">
        <v>10086</v>
      </c>
      <c r="H2675" s="2">
        <v>1.8E-3</v>
      </c>
      <c r="K2675" s="2" t="s">
        <v>10087</v>
      </c>
    </row>
    <row r="2676" spans="1:11" x14ac:dyDescent="0.2">
      <c r="A2676" s="2">
        <v>670</v>
      </c>
      <c r="B2676" s="2">
        <v>4</v>
      </c>
      <c r="C2676" s="2">
        <v>76497359</v>
      </c>
      <c r="D2676" s="2">
        <v>78045637</v>
      </c>
      <c r="E2676" s="2">
        <v>2</v>
      </c>
      <c r="F2676" s="2" t="s">
        <v>10086</v>
      </c>
      <c r="H2676" s="2">
        <v>1.4E-3</v>
      </c>
      <c r="K2676" s="2" t="s">
        <v>10085</v>
      </c>
    </row>
    <row r="2677" spans="1:11" x14ac:dyDescent="0.2">
      <c r="A2677" s="2">
        <v>670</v>
      </c>
      <c r="B2677" s="2">
        <v>4</v>
      </c>
      <c r="C2677" s="2">
        <v>76497359</v>
      </c>
      <c r="D2677" s="2">
        <v>78045637</v>
      </c>
      <c r="E2677" s="2">
        <v>3</v>
      </c>
      <c r="F2677" s="2" t="s">
        <v>10086</v>
      </c>
      <c r="H2677" s="2">
        <v>1.2999999999999999E-3</v>
      </c>
      <c r="K2677" s="2" t="s">
        <v>10088</v>
      </c>
    </row>
    <row r="2678" spans="1:11" x14ac:dyDescent="0.2">
      <c r="A2678" s="2">
        <v>670</v>
      </c>
      <c r="B2678" s="2">
        <v>4</v>
      </c>
      <c r="C2678" s="2">
        <v>76497359</v>
      </c>
      <c r="D2678" s="2">
        <v>78045637</v>
      </c>
      <c r="E2678" s="2">
        <v>4</v>
      </c>
      <c r="F2678" s="2" t="s">
        <v>10086</v>
      </c>
      <c r="H2678" s="3">
        <v>5.9999999999999995E-4</v>
      </c>
      <c r="K2678" s="2" t="s">
        <v>10089</v>
      </c>
    </row>
    <row r="2679" spans="1:11" x14ac:dyDescent="0.2">
      <c r="A2679" s="2">
        <v>671</v>
      </c>
      <c r="B2679" s="2">
        <v>4</v>
      </c>
      <c r="C2679" s="2">
        <v>78045638</v>
      </c>
      <c r="D2679" s="2">
        <v>78967715</v>
      </c>
      <c r="E2679" s="2">
        <v>1</v>
      </c>
      <c r="F2679" s="2" t="s">
        <v>10086</v>
      </c>
      <c r="H2679" s="2">
        <v>1.9E-3</v>
      </c>
      <c r="K2679" s="2" t="s">
        <v>10087</v>
      </c>
    </row>
    <row r="2680" spans="1:11" x14ac:dyDescent="0.2">
      <c r="A2680" s="2">
        <v>671</v>
      </c>
      <c r="B2680" s="2">
        <v>4</v>
      </c>
      <c r="C2680" s="2">
        <v>78045638</v>
      </c>
      <c r="D2680" s="2">
        <v>78967715</v>
      </c>
      <c r="E2680" s="2">
        <v>2</v>
      </c>
      <c r="F2680" s="2" t="s">
        <v>10086</v>
      </c>
      <c r="H2680" s="2">
        <v>1.1000000000000001E-3</v>
      </c>
      <c r="K2680" s="2" t="s">
        <v>10085</v>
      </c>
    </row>
    <row r="2681" spans="1:11" x14ac:dyDescent="0.2">
      <c r="A2681" s="2">
        <v>671</v>
      </c>
      <c r="B2681" s="2">
        <v>4</v>
      </c>
      <c r="C2681" s="2">
        <v>78045638</v>
      </c>
      <c r="D2681" s="2">
        <v>78967715</v>
      </c>
      <c r="E2681" s="2">
        <v>3</v>
      </c>
      <c r="F2681" s="2" t="s">
        <v>10086</v>
      </c>
      <c r="H2681" s="3">
        <v>6.9999999999999999E-4</v>
      </c>
      <c r="K2681" s="2" t="s">
        <v>10088</v>
      </c>
    </row>
    <row r="2682" spans="1:11" x14ac:dyDescent="0.2">
      <c r="A2682" s="2">
        <v>671</v>
      </c>
      <c r="B2682" s="2">
        <v>4</v>
      </c>
      <c r="C2682" s="2">
        <v>78045638</v>
      </c>
      <c r="D2682" s="2">
        <v>78967715</v>
      </c>
      <c r="E2682" s="2">
        <v>4</v>
      </c>
      <c r="F2682" s="2" t="s">
        <v>10086</v>
      </c>
      <c r="H2682" s="3">
        <v>4.0000000000000002E-4</v>
      </c>
      <c r="K2682" s="2" t="s">
        <v>10089</v>
      </c>
    </row>
    <row r="2683" spans="1:11" x14ac:dyDescent="0.2">
      <c r="A2683" s="2">
        <v>672</v>
      </c>
      <c r="B2683" s="2">
        <v>4</v>
      </c>
      <c r="C2683" s="2">
        <v>78967716</v>
      </c>
      <c r="D2683" s="2">
        <v>79880101</v>
      </c>
      <c r="E2683" s="2">
        <v>1</v>
      </c>
      <c r="F2683" s="2" t="s">
        <v>10086</v>
      </c>
      <c r="H2683" s="2">
        <v>1.5E-3</v>
      </c>
      <c r="K2683" s="2" t="s">
        <v>10087</v>
      </c>
    </row>
    <row r="2684" spans="1:11" x14ac:dyDescent="0.2">
      <c r="A2684" s="2">
        <v>672</v>
      </c>
      <c r="B2684" s="2">
        <v>4</v>
      </c>
      <c r="C2684" s="2">
        <v>78967716</v>
      </c>
      <c r="D2684" s="2">
        <v>79880101</v>
      </c>
      <c r="E2684" s="2">
        <v>2</v>
      </c>
      <c r="F2684" s="2" t="s">
        <v>10086</v>
      </c>
      <c r="H2684" s="3">
        <v>5.9999999999999995E-4</v>
      </c>
      <c r="K2684" s="2" t="s">
        <v>10085</v>
      </c>
    </row>
    <row r="2685" spans="1:11" x14ac:dyDescent="0.2">
      <c r="A2685" s="2">
        <v>672</v>
      </c>
      <c r="B2685" s="2">
        <v>4</v>
      </c>
      <c r="C2685" s="2">
        <v>78967716</v>
      </c>
      <c r="D2685" s="2">
        <v>79880101</v>
      </c>
      <c r="E2685" s="2">
        <v>3</v>
      </c>
      <c r="F2685" s="2" t="s">
        <v>10086</v>
      </c>
      <c r="H2685" s="3">
        <v>5.9999999999999995E-4</v>
      </c>
      <c r="K2685" s="2" t="s">
        <v>10089</v>
      </c>
    </row>
    <row r="2686" spans="1:11" x14ac:dyDescent="0.2">
      <c r="A2686" s="2">
        <v>672</v>
      </c>
      <c r="B2686" s="2">
        <v>4</v>
      </c>
      <c r="C2686" s="2">
        <v>78967716</v>
      </c>
      <c r="D2686" s="2">
        <v>79880101</v>
      </c>
      <c r="E2686" s="2">
        <v>4</v>
      </c>
      <c r="F2686" s="2" t="s">
        <v>10086</v>
      </c>
      <c r="H2686" s="3">
        <v>5.0000000000000001E-4</v>
      </c>
      <c r="K2686" s="2" t="s">
        <v>10088</v>
      </c>
    </row>
    <row r="2687" spans="1:11" x14ac:dyDescent="0.2">
      <c r="A2687" s="2">
        <v>673</v>
      </c>
      <c r="B2687" s="2">
        <v>4</v>
      </c>
      <c r="C2687" s="2">
        <v>79880102</v>
      </c>
      <c r="D2687" s="2">
        <v>81206182</v>
      </c>
      <c r="E2687" s="2">
        <v>1</v>
      </c>
      <c r="F2687" s="2" t="s">
        <v>10086</v>
      </c>
      <c r="H2687" s="2">
        <v>2E-3</v>
      </c>
      <c r="K2687" s="2" t="s">
        <v>10087</v>
      </c>
    </row>
    <row r="2688" spans="1:11" x14ac:dyDescent="0.2">
      <c r="A2688" s="2">
        <v>673</v>
      </c>
      <c r="B2688" s="2">
        <v>4</v>
      </c>
      <c r="C2688" s="2">
        <v>79880102</v>
      </c>
      <c r="D2688" s="2">
        <v>81206182</v>
      </c>
      <c r="E2688" s="2">
        <v>2</v>
      </c>
      <c r="F2688" s="2" t="s">
        <v>10086</v>
      </c>
      <c r="H2688" s="2">
        <v>3.0000000000000001E-3</v>
      </c>
      <c r="K2688" s="2" t="s">
        <v>10088</v>
      </c>
    </row>
    <row r="2689" spans="1:11" x14ac:dyDescent="0.2">
      <c r="A2689" s="2">
        <v>673</v>
      </c>
      <c r="B2689" s="2">
        <v>4</v>
      </c>
      <c r="C2689" s="2">
        <v>79880102</v>
      </c>
      <c r="D2689" s="2">
        <v>81206182</v>
      </c>
      <c r="E2689" s="2">
        <v>3</v>
      </c>
      <c r="F2689" s="2" t="s">
        <v>10086</v>
      </c>
      <c r="H2689" s="2">
        <v>1E-3</v>
      </c>
      <c r="K2689" s="2" t="s">
        <v>10089</v>
      </c>
    </row>
    <row r="2690" spans="1:11" x14ac:dyDescent="0.2">
      <c r="A2690" s="2">
        <v>673</v>
      </c>
      <c r="B2690" s="2">
        <v>4</v>
      </c>
      <c r="C2690" s="2">
        <v>79880102</v>
      </c>
      <c r="D2690" s="2">
        <v>81206182</v>
      </c>
      <c r="E2690" s="2">
        <v>4</v>
      </c>
      <c r="F2690" s="2" t="s">
        <v>10086</v>
      </c>
      <c r="H2690" s="3">
        <v>4.0000000000000002E-4</v>
      </c>
      <c r="K2690" s="2" t="s">
        <v>10085</v>
      </c>
    </row>
    <row r="2691" spans="1:11" x14ac:dyDescent="0.2">
      <c r="A2691" s="2">
        <v>674</v>
      </c>
      <c r="B2691" s="2">
        <v>4</v>
      </c>
      <c r="C2691" s="2">
        <v>81206183</v>
      </c>
      <c r="D2691" s="2">
        <v>82655623</v>
      </c>
      <c r="E2691" s="2">
        <v>1</v>
      </c>
      <c r="F2691" s="2" t="s">
        <v>10086</v>
      </c>
      <c r="H2691" s="2">
        <v>2.7000000000000001E-3</v>
      </c>
      <c r="K2691" s="2" t="s">
        <v>10088</v>
      </c>
    </row>
    <row r="2692" spans="1:11" x14ac:dyDescent="0.2">
      <c r="A2692" s="2">
        <v>674</v>
      </c>
      <c r="B2692" s="2">
        <v>4</v>
      </c>
      <c r="C2692" s="2">
        <v>81206183</v>
      </c>
      <c r="D2692" s="2">
        <v>82655623</v>
      </c>
      <c r="E2692" s="2">
        <v>2</v>
      </c>
      <c r="F2692" s="2" t="s">
        <v>10086</v>
      </c>
      <c r="H2692" s="2">
        <v>1.5E-3</v>
      </c>
      <c r="K2692" s="2" t="s">
        <v>10085</v>
      </c>
    </row>
    <row r="2693" spans="1:11" x14ac:dyDescent="0.2">
      <c r="A2693" s="2">
        <v>674</v>
      </c>
      <c r="B2693" s="2">
        <v>4</v>
      </c>
      <c r="C2693" s="2">
        <v>81206183</v>
      </c>
      <c r="D2693" s="2">
        <v>82655623</v>
      </c>
      <c r="E2693" s="2">
        <v>3</v>
      </c>
      <c r="F2693" s="2" t="s">
        <v>10086</v>
      </c>
      <c r="H2693" s="2">
        <v>1.1000000000000001E-3</v>
      </c>
      <c r="K2693" s="2" t="s">
        <v>10089</v>
      </c>
    </row>
    <row r="2694" spans="1:11" x14ac:dyDescent="0.2">
      <c r="A2694" s="2">
        <v>674</v>
      </c>
      <c r="B2694" s="2">
        <v>4</v>
      </c>
      <c r="C2694" s="2">
        <v>81206183</v>
      </c>
      <c r="D2694" s="2">
        <v>82655623</v>
      </c>
      <c r="E2694" s="2">
        <v>4</v>
      </c>
      <c r="F2694" s="2" t="s">
        <v>10086</v>
      </c>
      <c r="H2694" s="3">
        <v>5.0000000000000001E-4</v>
      </c>
      <c r="K2694" s="2" t="s">
        <v>10087</v>
      </c>
    </row>
    <row r="2695" spans="1:11" x14ac:dyDescent="0.2">
      <c r="A2695" s="2">
        <v>675</v>
      </c>
      <c r="B2695" s="2">
        <v>4</v>
      </c>
      <c r="C2695" s="2">
        <v>82655624</v>
      </c>
      <c r="D2695" s="2">
        <v>84003062</v>
      </c>
      <c r="E2695" s="2">
        <v>1</v>
      </c>
      <c r="F2695" s="2" t="s">
        <v>10086</v>
      </c>
      <c r="H2695" s="2">
        <v>3.0000000000000001E-3</v>
      </c>
      <c r="K2695" s="2" t="s">
        <v>10088</v>
      </c>
    </row>
    <row r="2696" spans="1:11" x14ac:dyDescent="0.2">
      <c r="A2696" s="2">
        <v>675</v>
      </c>
      <c r="B2696" s="2">
        <v>4</v>
      </c>
      <c r="C2696" s="2">
        <v>82655624</v>
      </c>
      <c r="D2696" s="2">
        <v>84003062</v>
      </c>
      <c r="E2696" s="2">
        <v>2</v>
      </c>
      <c r="F2696" s="2" t="s">
        <v>10086</v>
      </c>
      <c r="H2696" s="2">
        <v>1.4E-3</v>
      </c>
      <c r="K2696" s="2" t="s">
        <v>10087</v>
      </c>
    </row>
    <row r="2697" spans="1:11" x14ac:dyDescent="0.2">
      <c r="A2697" s="2">
        <v>675</v>
      </c>
      <c r="B2697" s="2">
        <v>4</v>
      </c>
      <c r="C2697" s="2">
        <v>82655624</v>
      </c>
      <c r="D2697" s="2">
        <v>84003062</v>
      </c>
      <c r="E2697" s="2">
        <v>3</v>
      </c>
      <c r="F2697" s="2" t="s">
        <v>10086</v>
      </c>
      <c r="H2697" s="2">
        <v>1.1999999999999999E-3</v>
      </c>
      <c r="K2697" s="2" t="s">
        <v>10089</v>
      </c>
    </row>
    <row r="2698" spans="1:11" x14ac:dyDescent="0.2">
      <c r="A2698" s="2">
        <v>675</v>
      </c>
      <c r="B2698" s="2">
        <v>4</v>
      </c>
      <c r="C2698" s="2">
        <v>82655624</v>
      </c>
      <c r="D2698" s="2">
        <v>84003062</v>
      </c>
      <c r="E2698" s="2">
        <v>4</v>
      </c>
      <c r="F2698" s="2" t="s">
        <v>10086</v>
      </c>
      <c r="H2698" s="3">
        <v>5.0000000000000001E-4</v>
      </c>
      <c r="K2698" s="2" t="s">
        <v>10085</v>
      </c>
    </row>
    <row r="2699" spans="1:11" x14ac:dyDescent="0.2">
      <c r="A2699" s="2">
        <v>676</v>
      </c>
      <c r="B2699" s="2">
        <v>4</v>
      </c>
      <c r="C2699" s="2">
        <v>84003063</v>
      </c>
      <c r="D2699" s="2">
        <v>85437805</v>
      </c>
      <c r="E2699" s="2">
        <v>1</v>
      </c>
      <c r="F2699" s="2" t="s">
        <v>10086</v>
      </c>
      <c r="H2699" s="2">
        <v>3.5999999999999999E-3</v>
      </c>
      <c r="K2699" s="2" t="s">
        <v>10089</v>
      </c>
    </row>
    <row r="2700" spans="1:11" x14ac:dyDescent="0.2">
      <c r="A2700" s="2">
        <v>676</v>
      </c>
      <c r="B2700" s="2">
        <v>4</v>
      </c>
      <c r="C2700" s="2">
        <v>84003063</v>
      </c>
      <c r="D2700" s="2">
        <v>85437805</v>
      </c>
      <c r="E2700" s="2">
        <v>2</v>
      </c>
      <c r="F2700" s="2" t="s">
        <v>10086</v>
      </c>
      <c r="H2700" s="2">
        <v>1.1999999999999999E-3</v>
      </c>
      <c r="K2700" s="2" t="s">
        <v>10085</v>
      </c>
    </row>
    <row r="2701" spans="1:11" x14ac:dyDescent="0.2">
      <c r="A2701" s="2">
        <v>676</v>
      </c>
      <c r="B2701" s="2">
        <v>4</v>
      </c>
      <c r="C2701" s="2">
        <v>84003063</v>
      </c>
      <c r="D2701" s="2">
        <v>85437805</v>
      </c>
      <c r="E2701" s="2">
        <v>3</v>
      </c>
      <c r="F2701" s="2" t="s">
        <v>10086</v>
      </c>
      <c r="H2701" s="2">
        <v>1.1999999999999999E-3</v>
      </c>
      <c r="K2701" s="2" t="s">
        <v>10088</v>
      </c>
    </row>
    <row r="2702" spans="1:11" x14ac:dyDescent="0.2">
      <c r="A2702" s="2">
        <v>676</v>
      </c>
      <c r="B2702" s="2">
        <v>4</v>
      </c>
      <c r="C2702" s="2">
        <v>84003063</v>
      </c>
      <c r="D2702" s="2">
        <v>85437805</v>
      </c>
      <c r="E2702" s="2">
        <v>4</v>
      </c>
      <c r="F2702" s="2" t="s">
        <v>10086</v>
      </c>
      <c r="H2702" s="3">
        <v>5.9999999999999995E-4</v>
      </c>
      <c r="K2702" s="2" t="s">
        <v>10087</v>
      </c>
    </row>
    <row r="2703" spans="1:11" x14ac:dyDescent="0.2">
      <c r="A2703" s="2">
        <v>677</v>
      </c>
      <c r="B2703" s="2">
        <v>4</v>
      </c>
      <c r="C2703" s="2">
        <v>85437806</v>
      </c>
      <c r="D2703" s="2">
        <v>86931670</v>
      </c>
      <c r="E2703" s="2">
        <v>1</v>
      </c>
      <c r="F2703" s="2" t="s">
        <v>10086</v>
      </c>
      <c r="H2703" s="2">
        <v>3.49E-2</v>
      </c>
      <c r="K2703" s="2" t="s">
        <v>10085</v>
      </c>
    </row>
    <row r="2704" spans="1:11" x14ac:dyDescent="0.2">
      <c r="A2704" s="2">
        <v>677</v>
      </c>
      <c r="B2704" s="2">
        <v>4</v>
      </c>
      <c r="C2704" s="2">
        <v>85437806</v>
      </c>
      <c r="D2704" s="2">
        <v>86931670</v>
      </c>
      <c r="E2704" s="2">
        <v>2</v>
      </c>
      <c r="F2704" s="2" t="s">
        <v>10086</v>
      </c>
      <c r="H2704" s="2">
        <v>1.17E-2</v>
      </c>
      <c r="K2704" s="2" t="s">
        <v>10088</v>
      </c>
    </row>
    <row r="2705" spans="1:11" x14ac:dyDescent="0.2">
      <c r="A2705" s="2">
        <v>677</v>
      </c>
      <c r="B2705" s="2">
        <v>4</v>
      </c>
      <c r="C2705" s="2">
        <v>85437806</v>
      </c>
      <c r="D2705" s="2">
        <v>86931670</v>
      </c>
      <c r="E2705" s="2">
        <v>3</v>
      </c>
      <c r="F2705" s="2" t="s">
        <v>10086</v>
      </c>
      <c r="H2705" s="2">
        <v>1.6999999999999999E-3</v>
      </c>
      <c r="K2705" s="2" t="s">
        <v>12324</v>
      </c>
    </row>
    <row r="2706" spans="1:11" x14ac:dyDescent="0.2">
      <c r="A2706" s="2">
        <v>677</v>
      </c>
      <c r="B2706" s="2">
        <v>4</v>
      </c>
      <c r="C2706" s="2">
        <v>85437806</v>
      </c>
      <c r="D2706" s="2">
        <v>86931670</v>
      </c>
      <c r="E2706" s="2">
        <v>4</v>
      </c>
      <c r="F2706" s="2" t="s">
        <v>10086</v>
      </c>
      <c r="H2706" s="2">
        <v>1E-3</v>
      </c>
      <c r="K2706" s="2" t="s">
        <v>10089</v>
      </c>
    </row>
    <row r="2707" spans="1:11" x14ac:dyDescent="0.2">
      <c r="A2707" s="2">
        <v>678</v>
      </c>
      <c r="B2707" s="2">
        <v>4</v>
      </c>
      <c r="C2707" s="2">
        <v>86931671</v>
      </c>
      <c r="D2707" s="2">
        <v>88502717</v>
      </c>
      <c r="E2707" s="2">
        <v>1</v>
      </c>
      <c r="F2707" s="2" t="s">
        <v>10086</v>
      </c>
      <c r="H2707" s="2">
        <v>3.2000000000000002E-3</v>
      </c>
      <c r="K2707" s="2" t="s">
        <v>10088</v>
      </c>
    </row>
    <row r="2708" spans="1:11" x14ac:dyDescent="0.2">
      <c r="A2708" s="2">
        <v>678</v>
      </c>
      <c r="B2708" s="2">
        <v>4</v>
      </c>
      <c r="C2708" s="2">
        <v>86931671</v>
      </c>
      <c r="D2708" s="2">
        <v>88502717</v>
      </c>
      <c r="E2708" s="2">
        <v>2</v>
      </c>
      <c r="F2708" s="2" t="s">
        <v>10086</v>
      </c>
      <c r="H2708" s="2">
        <v>2.3999999999999998E-3</v>
      </c>
      <c r="K2708" s="2" t="s">
        <v>10085</v>
      </c>
    </row>
    <row r="2709" spans="1:11" x14ac:dyDescent="0.2">
      <c r="A2709" s="2">
        <v>678</v>
      </c>
      <c r="B2709" s="2">
        <v>4</v>
      </c>
      <c r="C2709" s="2">
        <v>86931671</v>
      </c>
      <c r="D2709" s="2">
        <v>88502717</v>
      </c>
      <c r="E2709" s="2">
        <v>3</v>
      </c>
      <c r="F2709" s="2" t="s">
        <v>10086</v>
      </c>
      <c r="H2709" s="3">
        <v>8.9999999999999998E-4</v>
      </c>
      <c r="K2709" s="2" t="s">
        <v>10089</v>
      </c>
    </row>
    <row r="2710" spans="1:11" x14ac:dyDescent="0.2">
      <c r="A2710" s="2">
        <v>678</v>
      </c>
      <c r="B2710" s="2">
        <v>4</v>
      </c>
      <c r="C2710" s="2">
        <v>86931671</v>
      </c>
      <c r="D2710" s="2">
        <v>88502717</v>
      </c>
      <c r="E2710" s="2">
        <v>4</v>
      </c>
      <c r="F2710" s="2" t="s">
        <v>10086</v>
      </c>
      <c r="H2710" s="3">
        <v>5.9999999999999995E-4</v>
      </c>
      <c r="K2710" s="2" t="s">
        <v>10087</v>
      </c>
    </row>
    <row r="2711" spans="1:11" x14ac:dyDescent="0.2">
      <c r="A2711" s="2">
        <v>679</v>
      </c>
      <c r="B2711" s="2">
        <v>4</v>
      </c>
      <c r="C2711" s="2">
        <v>88502718</v>
      </c>
      <c r="D2711" s="2">
        <v>89244554</v>
      </c>
      <c r="E2711" s="2">
        <v>1</v>
      </c>
      <c r="F2711" s="2" t="s">
        <v>10086</v>
      </c>
      <c r="H2711" s="2">
        <v>4.3E-3</v>
      </c>
      <c r="K2711" s="2" t="s">
        <v>10089</v>
      </c>
    </row>
    <row r="2712" spans="1:11" x14ac:dyDescent="0.2">
      <c r="A2712" s="2">
        <v>679</v>
      </c>
      <c r="B2712" s="2">
        <v>4</v>
      </c>
      <c r="C2712" s="2">
        <v>88502718</v>
      </c>
      <c r="D2712" s="2">
        <v>89244554</v>
      </c>
      <c r="E2712" s="2">
        <v>2</v>
      </c>
      <c r="F2712" s="2" t="s">
        <v>10086</v>
      </c>
      <c r="H2712" s="2">
        <v>1.6999999999999999E-3</v>
      </c>
      <c r="K2712" s="2" t="s">
        <v>10088</v>
      </c>
    </row>
    <row r="2713" spans="1:11" x14ac:dyDescent="0.2">
      <c r="A2713" s="2">
        <v>679</v>
      </c>
      <c r="B2713" s="2">
        <v>4</v>
      </c>
      <c r="C2713" s="2">
        <v>88502718</v>
      </c>
      <c r="D2713" s="2">
        <v>89244554</v>
      </c>
      <c r="E2713" s="2">
        <v>3</v>
      </c>
      <c r="F2713" s="2" t="s">
        <v>10086</v>
      </c>
      <c r="H2713" s="3">
        <v>8.0000000000000004E-4</v>
      </c>
      <c r="K2713" s="2" t="s">
        <v>10087</v>
      </c>
    </row>
    <row r="2714" spans="1:11" x14ac:dyDescent="0.2">
      <c r="A2714" s="2">
        <v>679</v>
      </c>
      <c r="B2714" s="2">
        <v>4</v>
      </c>
      <c r="C2714" s="2">
        <v>88502718</v>
      </c>
      <c r="D2714" s="2">
        <v>89244554</v>
      </c>
      <c r="E2714" s="2">
        <v>4</v>
      </c>
      <c r="F2714" s="2" t="s">
        <v>10086</v>
      </c>
      <c r="H2714" s="3">
        <v>8.0000000000000004E-4</v>
      </c>
      <c r="K2714" s="2" t="s">
        <v>10085</v>
      </c>
    </row>
    <row r="2715" spans="1:11" x14ac:dyDescent="0.2">
      <c r="A2715" s="2">
        <v>680</v>
      </c>
      <c r="B2715" s="2">
        <v>4</v>
      </c>
      <c r="C2715" s="2">
        <v>89244555</v>
      </c>
      <c r="D2715" s="2">
        <v>90236971</v>
      </c>
      <c r="E2715" s="2">
        <v>1</v>
      </c>
      <c r="F2715" s="2" t="s">
        <v>10086</v>
      </c>
      <c r="H2715" s="2">
        <v>3.2000000000000002E-3</v>
      </c>
      <c r="K2715" s="2" t="s">
        <v>10085</v>
      </c>
    </row>
    <row r="2716" spans="1:11" x14ac:dyDescent="0.2">
      <c r="A2716" s="2">
        <v>680</v>
      </c>
      <c r="B2716" s="2">
        <v>4</v>
      </c>
      <c r="C2716" s="2">
        <v>89244555</v>
      </c>
      <c r="D2716" s="2">
        <v>90236971</v>
      </c>
      <c r="E2716" s="2">
        <v>2</v>
      </c>
      <c r="F2716" s="2" t="s">
        <v>10086</v>
      </c>
      <c r="H2716" s="2">
        <v>2.5000000000000001E-3</v>
      </c>
      <c r="K2716" s="2" t="s">
        <v>10088</v>
      </c>
    </row>
    <row r="2717" spans="1:11" x14ac:dyDescent="0.2">
      <c r="A2717" s="2">
        <v>680</v>
      </c>
      <c r="B2717" s="2">
        <v>4</v>
      </c>
      <c r="C2717" s="2">
        <v>89244555</v>
      </c>
      <c r="D2717" s="2">
        <v>90236971</v>
      </c>
      <c r="E2717" s="2">
        <v>3</v>
      </c>
      <c r="F2717" s="2" t="s">
        <v>10086</v>
      </c>
      <c r="H2717" s="2">
        <v>1E-3</v>
      </c>
      <c r="K2717" s="2" t="s">
        <v>10089</v>
      </c>
    </row>
    <row r="2718" spans="1:11" x14ac:dyDescent="0.2">
      <c r="A2718" s="2">
        <v>680</v>
      </c>
      <c r="B2718" s="2">
        <v>4</v>
      </c>
      <c r="C2718" s="2">
        <v>89244555</v>
      </c>
      <c r="D2718" s="2">
        <v>90236971</v>
      </c>
      <c r="E2718" s="2">
        <v>4</v>
      </c>
      <c r="F2718" s="2" t="s">
        <v>10086</v>
      </c>
      <c r="H2718" s="2">
        <v>1E-3</v>
      </c>
      <c r="K2718" s="2" t="s">
        <v>10087</v>
      </c>
    </row>
    <row r="2719" spans="1:11" x14ac:dyDescent="0.2">
      <c r="A2719" s="2">
        <v>681</v>
      </c>
      <c r="B2719" s="2">
        <v>4</v>
      </c>
      <c r="C2719" s="2">
        <v>90236972</v>
      </c>
      <c r="D2719" s="2">
        <v>91309863</v>
      </c>
      <c r="E2719" s="2">
        <v>1</v>
      </c>
      <c r="F2719" s="2" t="s">
        <v>10086</v>
      </c>
      <c r="H2719" s="2">
        <v>6.1000000000000004E-3</v>
      </c>
      <c r="K2719" s="2" t="s">
        <v>10087</v>
      </c>
    </row>
    <row r="2720" spans="1:11" x14ac:dyDescent="0.2">
      <c r="A2720" s="2">
        <v>681</v>
      </c>
      <c r="B2720" s="2">
        <v>4</v>
      </c>
      <c r="C2720" s="2">
        <v>90236972</v>
      </c>
      <c r="D2720" s="2">
        <v>91309863</v>
      </c>
      <c r="E2720" s="2">
        <v>2</v>
      </c>
      <c r="F2720" s="2" t="s">
        <v>10086</v>
      </c>
      <c r="H2720" s="2">
        <v>1.6999999999999999E-3</v>
      </c>
      <c r="K2720" s="2" t="s">
        <v>12324</v>
      </c>
    </row>
    <row r="2721" spans="1:11" x14ac:dyDescent="0.2">
      <c r="A2721" s="2">
        <v>681</v>
      </c>
      <c r="B2721" s="2">
        <v>4</v>
      </c>
      <c r="C2721" s="2">
        <v>90236972</v>
      </c>
      <c r="D2721" s="2">
        <v>91309863</v>
      </c>
      <c r="E2721" s="2">
        <v>3</v>
      </c>
      <c r="F2721" s="2" t="s">
        <v>10086</v>
      </c>
      <c r="H2721" s="2">
        <v>1.2999999999999999E-3</v>
      </c>
      <c r="K2721" s="2" t="s">
        <v>10088</v>
      </c>
    </row>
    <row r="2722" spans="1:11" x14ac:dyDescent="0.2">
      <c r="A2722" s="2">
        <v>681</v>
      </c>
      <c r="B2722" s="2">
        <v>4</v>
      </c>
      <c r="C2722" s="2">
        <v>90236972</v>
      </c>
      <c r="D2722" s="2">
        <v>91309863</v>
      </c>
      <c r="E2722" s="2">
        <v>4</v>
      </c>
      <c r="F2722" s="2" t="s">
        <v>10086</v>
      </c>
      <c r="H2722" s="3">
        <v>8.0000000000000004E-4</v>
      </c>
      <c r="K2722" s="2" t="s">
        <v>10089</v>
      </c>
    </row>
    <row r="2723" spans="1:11" x14ac:dyDescent="0.2">
      <c r="A2723" s="2">
        <v>682</v>
      </c>
      <c r="B2723" s="2">
        <v>4</v>
      </c>
      <c r="C2723" s="2">
        <v>91309864</v>
      </c>
      <c r="D2723" s="2">
        <v>92219192</v>
      </c>
      <c r="E2723" s="2">
        <v>1</v>
      </c>
      <c r="F2723" s="2" t="s">
        <v>10086</v>
      </c>
      <c r="H2723" s="2">
        <v>1.6999999999999999E-3</v>
      </c>
      <c r="K2723" s="2" t="s">
        <v>10087</v>
      </c>
    </row>
    <row r="2724" spans="1:11" x14ac:dyDescent="0.2">
      <c r="A2724" s="2">
        <v>682</v>
      </c>
      <c r="B2724" s="2">
        <v>4</v>
      </c>
      <c r="C2724" s="2">
        <v>91309864</v>
      </c>
      <c r="D2724" s="2">
        <v>92219192</v>
      </c>
      <c r="E2724" s="2">
        <v>2</v>
      </c>
      <c r="F2724" s="2" t="s">
        <v>10086</v>
      </c>
      <c r="H2724" s="2">
        <v>1.4E-3</v>
      </c>
      <c r="K2724" s="2" t="s">
        <v>10088</v>
      </c>
    </row>
    <row r="2725" spans="1:11" x14ac:dyDescent="0.2">
      <c r="A2725" s="2">
        <v>682</v>
      </c>
      <c r="B2725" s="2">
        <v>4</v>
      </c>
      <c r="C2725" s="2">
        <v>91309864</v>
      </c>
      <c r="D2725" s="2">
        <v>92219192</v>
      </c>
      <c r="E2725" s="2">
        <v>3</v>
      </c>
      <c r="F2725" s="2" t="s">
        <v>10086</v>
      </c>
      <c r="H2725" s="2">
        <v>1.4E-3</v>
      </c>
      <c r="K2725" s="2" t="s">
        <v>10089</v>
      </c>
    </row>
    <row r="2726" spans="1:11" x14ac:dyDescent="0.2">
      <c r="A2726" s="2">
        <v>682</v>
      </c>
      <c r="B2726" s="2">
        <v>4</v>
      </c>
      <c r="C2726" s="2">
        <v>91309864</v>
      </c>
      <c r="D2726" s="2">
        <v>92219192</v>
      </c>
      <c r="E2726" s="2">
        <v>4</v>
      </c>
      <c r="F2726" s="2" t="s">
        <v>10086</v>
      </c>
      <c r="H2726" s="2">
        <v>1.1999999999999999E-3</v>
      </c>
      <c r="K2726" s="2" t="s">
        <v>10085</v>
      </c>
    </row>
    <row r="2727" spans="1:11" x14ac:dyDescent="0.2">
      <c r="A2727" s="2">
        <v>683</v>
      </c>
      <c r="B2727" s="2">
        <v>4</v>
      </c>
      <c r="C2727" s="2">
        <v>92219193</v>
      </c>
      <c r="D2727" s="2">
        <v>93451599</v>
      </c>
      <c r="E2727" s="2">
        <v>1</v>
      </c>
      <c r="F2727" s="2" t="s">
        <v>10086</v>
      </c>
      <c r="H2727" s="2">
        <v>1.5E-3</v>
      </c>
      <c r="K2727" s="2" t="s">
        <v>10087</v>
      </c>
    </row>
    <row r="2728" spans="1:11" x14ac:dyDescent="0.2">
      <c r="A2728" s="2">
        <v>683</v>
      </c>
      <c r="B2728" s="2">
        <v>4</v>
      </c>
      <c r="C2728" s="2">
        <v>92219193</v>
      </c>
      <c r="D2728" s="2">
        <v>93451599</v>
      </c>
      <c r="E2728" s="2">
        <v>2</v>
      </c>
      <c r="F2728" s="2" t="s">
        <v>10086</v>
      </c>
      <c r="H2728" s="2">
        <v>1.4E-3</v>
      </c>
      <c r="K2728" s="2" t="s">
        <v>10089</v>
      </c>
    </row>
    <row r="2729" spans="1:11" x14ac:dyDescent="0.2">
      <c r="A2729" s="2">
        <v>683</v>
      </c>
      <c r="B2729" s="2">
        <v>4</v>
      </c>
      <c r="C2729" s="2">
        <v>92219193</v>
      </c>
      <c r="D2729" s="2">
        <v>93451599</v>
      </c>
      <c r="E2729" s="2">
        <v>3</v>
      </c>
      <c r="F2729" s="2" t="s">
        <v>10086</v>
      </c>
      <c r="H2729" s="2">
        <v>1.1000000000000001E-3</v>
      </c>
      <c r="K2729" s="2" t="s">
        <v>10088</v>
      </c>
    </row>
    <row r="2730" spans="1:11" x14ac:dyDescent="0.2">
      <c r="A2730" s="2">
        <v>683</v>
      </c>
      <c r="B2730" s="2">
        <v>4</v>
      </c>
      <c r="C2730" s="2">
        <v>92219193</v>
      </c>
      <c r="D2730" s="2">
        <v>93451599</v>
      </c>
      <c r="E2730" s="2">
        <v>4</v>
      </c>
      <c r="F2730" s="2" t="s">
        <v>10086</v>
      </c>
      <c r="H2730" s="3">
        <v>5.9999999999999995E-4</v>
      </c>
      <c r="K2730" s="2" t="s">
        <v>10085</v>
      </c>
    </row>
    <row r="2731" spans="1:11" x14ac:dyDescent="0.2">
      <c r="A2731" s="2">
        <v>684</v>
      </c>
      <c r="B2731" s="2">
        <v>4</v>
      </c>
      <c r="C2731" s="2">
        <v>93451600</v>
      </c>
      <c r="D2731" s="2">
        <v>94757265</v>
      </c>
      <c r="E2731" s="2">
        <v>1</v>
      </c>
      <c r="F2731" s="2" t="s">
        <v>10086</v>
      </c>
      <c r="H2731" s="2">
        <v>2.5999999999999999E-3</v>
      </c>
      <c r="K2731" s="2" t="s">
        <v>10087</v>
      </c>
    </row>
    <row r="2732" spans="1:11" x14ac:dyDescent="0.2">
      <c r="A2732" s="2">
        <v>684</v>
      </c>
      <c r="B2732" s="2">
        <v>4</v>
      </c>
      <c r="C2732" s="2">
        <v>93451600</v>
      </c>
      <c r="D2732" s="2">
        <v>94757265</v>
      </c>
      <c r="E2732" s="2">
        <v>2</v>
      </c>
      <c r="F2732" s="2" t="s">
        <v>10086</v>
      </c>
      <c r="H2732" s="2">
        <v>1.1999999999999999E-3</v>
      </c>
      <c r="K2732" s="2" t="s">
        <v>10088</v>
      </c>
    </row>
    <row r="2733" spans="1:11" x14ac:dyDescent="0.2">
      <c r="A2733" s="2">
        <v>684</v>
      </c>
      <c r="B2733" s="2">
        <v>4</v>
      </c>
      <c r="C2733" s="2">
        <v>93451600</v>
      </c>
      <c r="D2733" s="2">
        <v>94757265</v>
      </c>
      <c r="E2733" s="2">
        <v>3</v>
      </c>
      <c r="F2733" s="2" t="s">
        <v>10086</v>
      </c>
      <c r="H2733" s="2">
        <v>1.1000000000000001E-3</v>
      </c>
      <c r="K2733" s="2" t="s">
        <v>10089</v>
      </c>
    </row>
    <row r="2734" spans="1:11" x14ac:dyDescent="0.2">
      <c r="A2734" s="2">
        <v>684</v>
      </c>
      <c r="B2734" s="2">
        <v>4</v>
      </c>
      <c r="C2734" s="2">
        <v>93451600</v>
      </c>
      <c r="D2734" s="2">
        <v>94757265</v>
      </c>
      <c r="E2734" s="2">
        <v>4</v>
      </c>
      <c r="F2734" s="2" t="s">
        <v>10086</v>
      </c>
      <c r="H2734" s="3">
        <v>8.9999999999999998E-4</v>
      </c>
      <c r="K2734" s="2" t="s">
        <v>10085</v>
      </c>
    </row>
    <row r="2735" spans="1:11" x14ac:dyDescent="0.2">
      <c r="A2735" s="2">
        <v>685</v>
      </c>
      <c r="B2735" s="2">
        <v>4</v>
      </c>
      <c r="C2735" s="2">
        <v>94757266</v>
      </c>
      <c r="D2735" s="2">
        <v>96183801</v>
      </c>
      <c r="E2735" s="2">
        <v>1</v>
      </c>
      <c r="F2735" s="2" t="s">
        <v>10086</v>
      </c>
      <c r="H2735" s="2">
        <v>3.2000000000000002E-3</v>
      </c>
      <c r="K2735" s="2" t="s">
        <v>10087</v>
      </c>
    </row>
    <row r="2736" spans="1:11" x14ac:dyDescent="0.2">
      <c r="A2736" s="2">
        <v>685</v>
      </c>
      <c r="B2736" s="2">
        <v>4</v>
      </c>
      <c r="C2736" s="2">
        <v>94757266</v>
      </c>
      <c r="D2736" s="2">
        <v>96183801</v>
      </c>
      <c r="E2736" s="2">
        <v>2</v>
      </c>
      <c r="F2736" s="2" t="s">
        <v>10086</v>
      </c>
      <c r="H2736" s="2">
        <v>2E-3</v>
      </c>
      <c r="K2736" s="2" t="s">
        <v>10088</v>
      </c>
    </row>
    <row r="2737" spans="1:11" x14ac:dyDescent="0.2">
      <c r="A2737" s="2">
        <v>685</v>
      </c>
      <c r="B2737" s="2">
        <v>4</v>
      </c>
      <c r="C2737" s="2">
        <v>94757266</v>
      </c>
      <c r="D2737" s="2">
        <v>96183801</v>
      </c>
      <c r="E2737" s="2">
        <v>3</v>
      </c>
      <c r="F2737" s="2" t="s">
        <v>10086</v>
      </c>
      <c r="H2737" s="2">
        <v>1.9E-3</v>
      </c>
      <c r="K2737" s="2" t="s">
        <v>10085</v>
      </c>
    </row>
    <row r="2738" spans="1:11" x14ac:dyDescent="0.2">
      <c r="A2738" s="2">
        <v>685</v>
      </c>
      <c r="B2738" s="2">
        <v>4</v>
      </c>
      <c r="C2738" s="2">
        <v>94757266</v>
      </c>
      <c r="D2738" s="2">
        <v>96183801</v>
      </c>
      <c r="E2738" s="2">
        <v>4</v>
      </c>
      <c r="F2738" s="2" t="s">
        <v>10086</v>
      </c>
      <c r="H2738" s="2">
        <v>1.4E-3</v>
      </c>
      <c r="K2738" s="2" t="s">
        <v>10089</v>
      </c>
    </row>
    <row r="2739" spans="1:11" x14ac:dyDescent="0.2">
      <c r="A2739" s="2">
        <v>686</v>
      </c>
      <c r="B2739" s="2">
        <v>4</v>
      </c>
      <c r="C2739" s="2">
        <v>96183802</v>
      </c>
      <c r="D2739" s="2">
        <v>97540787</v>
      </c>
      <c r="E2739" s="2">
        <v>1</v>
      </c>
      <c r="F2739" s="2" t="s">
        <v>10086</v>
      </c>
      <c r="H2739" s="2">
        <v>3.3999999999999998E-3</v>
      </c>
      <c r="K2739" s="2" t="s">
        <v>10085</v>
      </c>
    </row>
    <row r="2740" spans="1:11" x14ac:dyDescent="0.2">
      <c r="A2740" s="2">
        <v>686</v>
      </c>
      <c r="B2740" s="2">
        <v>4</v>
      </c>
      <c r="C2740" s="2">
        <v>96183802</v>
      </c>
      <c r="D2740" s="2">
        <v>97540787</v>
      </c>
      <c r="E2740" s="2">
        <v>2</v>
      </c>
      <c r="F2740" s="2" t="s">
        <v>10086</v>
      </c>
      <c r="H2740" s="2">
        <v>2.0999999999999999E-3</v>
      </c>
      <c r="K2740" s="2" t="s">
        <v>10087</v>
      </c>
    </row>
    <row r="2741" spans="1:11" x14ac:dyDescent="0.2">
      <c r="A2741" s="2">
        <v>686</v>
      </c>
      <c r="B2741" s="2">
        <v>4</v>
      </c>
      <c r="C2741" s="2">
        <v>96183802</v>
      </c>
      <c r="D2741" s="2">
        <v>97540787</v>
      </c>
      <c r="E2741" s="2">
        <v>3</v>
      </c>
      <c r="F2741" s="2" t="s">
        <v>10086</v>
      </c>
      <c r="H2741" s="2">
        <v>1.6000000000000001E-3</v>
      </c>
      <c r="K2741" s="2" t="s">
        <v>10088</v>
      </c>
    </row>
    <row r="2742" spans="1:11" x14ac:dyDescent="0.2">
      <c r="A2742" s="2">
        <v>686</v>
      </c>
      <c r="B2742" s="2">
        <v>4</v>
      </c>
      <c r="C2742" s="2">
        <v>96183802</v>
      </c>
      <c r="D2742" s="2">
        <v>97540787</v>
      </c>
      <c r="E2742" s="2">
        <v>4</v>
      </c>
      <c r="F2742" s="2" t="s">
        <v>10086</v>
      </c>
      <c r="H2742" s="3">
        <v>5.0000000000000001E-4</v>
      </c>
      <c r="K2742" s="2" t="s">
        <v>10089</v>
      </c>
    </row>
    <row r="2743" spans="1:11" x14ac:dyDescent="0.2">
      <c r="A2743" s="2">
        <v>687</v>
      </c>
      <c r="B2743" s="2">
        <v>4</v>
      </c>
      <c r="C2743" s="2">
        <v>97540788</v>
      </c>
      <c r="D2743" s="2">
        <v>98445515</v>
      </c>
      <c r="E2743" s="2">
        <v>1</v>
      </c>
      <c r="F2743" s="2" t="s">
        <v>10086</v>
      </c>
      <c r="H2743" s="2">
        <v>3.5999999999999999E-3</v>
      </c>
      <c r="K2743" s="2" t="s">
        <v>10085</v>
      </c>
    </row>
    <row r="2744" spans="1:11" x14ac:dyDescent="0.2">
      <c r="A2744" s="2">
        <v>687</v>
      </c>
      <c r="B2744" s="2">
        <v>4</v>
      </c>
      <c r="C2744" s="2">
        <v>97540788</v>
      </c>
      <c r="D2744" s="2">
        <v>98445515</v>
      </c>
      <c r="E2744" s="2">
        <v>2</v>
      </c>
      <c r="F2744" s="2" t="s">
        <v>10086</v>
      </c>
      <c r="H2744" s="2">
        <v>2.3E-3</v>
      </c>
      <c r="K2744" s="2" t="s">
        <v>12324</v>
      </c>
    </row>
    <row r="2745" spans="1:11" x14ac:dyDescent="0.2">
      <c r="A2745" s="2">
        <v>687</v>
      </c>
      <c r="B2745" s="2">
        <v>4</v>
      </c>
      <c r="C2745" s="2">
        <v>97540788</v>
      </c>
      <c r="D2745" s="2">
        <v>98445515</v>
      </c>
      <c r="E2745" s="2">
        <v>3</v>
      </c>
      <c r="F2745" s="2" t="s">
        <v>10086</v>
      </c>
      <c r="H2745" s="3">
        <v>6.9999999999999999E-4</v>
      </c>
      <c r="K2745" s="2" t="s">
        <v>10087</v>
      </c>
    </row>
    <row r="2746" spans="1:11" x14ac:dyDescent="0.2">
      <c r="A2746" s="2">
        <v>687</v>
      </c>
      <c r="B2746" s="2">
        <v>4</v>
      </c>
      <c r="C2746" s="2">
        <v>97540788</v>
      </c>
      <c r="D2746" s="2">
        <v>98445515</v>
      </c>
      <c r="E2746" s="2">
        <v>4</v>
      </c>
      <c r="F2746" s="2" t="s">
        <v>10086</v>
      </c>
      <c r="H2746" s="3">
        <v>5.9999999999999995E-4</v>
      </c>
      <c r="K2746" s="2" t="s">
        <v>10088</v>
      </c>
    </row>
    <row r="2747" spans="1:11" x14ac:dyDescent="0.2">
      <c r="A2747" s="2">
        <v>688</v>
      </c>
      <c r="B2747" s="2">
        <v>4</v>
      </c>
      <c r="C2747" s="2">
        <v>98445516</v>
      </c>
      <c r="D2747" s="2">
        <v>99532480</v>
      </c>
      <c r="E2747" s="2">
        <v>1</v>
      </c>
      <c r="F2747" s="2" t="s">
        <v>10086</v>
      </c>
      <c r="H2747" s="2">
        <v>1.1000000000000001E-3</v>
      </c>
      <c r="K2747" s="2" t="s">
        <v>10085</v>
      </c>
    </row>
    <row r="2748" spans="1:11" x14ac:dyDescent="0.2">
      <c r="A2748" s="2">
        <v>688</v>
      </c>
      <c r="B2748" s="2">
        <v>4</v>
      </c>
      <c r="C2748" s="2">
        <v>98445516</v>
      </c>
      <c r="D2748" s="2">
        <v>99532480</v>
      </c>
      <c r="E2748" s="2">
        <v>2</v>
      </c>
      <c r="F2748" s="2" t="s">
        <v>10086</v>
      </c>
      <c r="H2748" s="3">
        <v>6.9999999999999999E-4</v>
      </c>
      <c r="K2748" s="2" t="s">
        <v>12324</v>
      </c>
    </row>
    <row r="2749" spans="1:11" x14ac:dyDescent="0.2">
      <c r="A2749" s="2">
        <v>688</v>
      </c>
      <c r="B2749" s="2">
        <v>4</v>
      </c>
      <c r="C2749" s="2">
        <v>98445516</v>
      </c>
      <c r="D2749" s="2">
        <v>99532480</v>
      </c>
      <c r="E2749" s="2">
        <v>3</v>
      </c>
      <c r="F2749" s="2" t="s">
        <v>10086</v>
      </c>
      <c r="H2749" s="3">
        <v>6.9999999999999999E-4</v>
      </c>
      <c r="K2749" s="2" t="s">
        <v>10087</v>
      </c>
    </row>
    <row r="2750" spans="1:11" x14ac:dyDescent="0.2">
      <c r="A2750" s="2">
        <v>688</v>
      </c>
      <c r="B2750" s="2">
        <v>4</v>
      </c>
      <c r="C2750" s="2">
        <v>98445516</v>
      </c>
      <c r="D2750" s="2">
        <v>99532480</v>
      </c>
      <c r="E2750" s="2">
        <v>4</v>
      </c>
      <c r="F2750" s="2" t="s">
        <v>10086</v>
      </c>
      <c r="H2750" s="3">
        <v>5.9999999999999995E-4</v>
      </c>
      <c r="K2750" s="2" t="s">
        <v>10088</v>
      </c>
    </row>
    <row r="2751" spans="1:11" x14ac:dyDescent="0.2">
      <c r="A2751" s="2">
        <v>689</v>
      </c>
      <c r="B2751" s="2">
        <v>4</v>
      </c>
      <c r="C2751" s="2">
        <v>99532481</v>
      </c>
      <c r="D2751" s="2">
        <v>100333334</v>
      </c>
      <c r="E2751" s="2">
        <v>1</v>
      </c>
      <c r="F2751" s="2" t="s">
        <v>10086</v>
      </c>
      <c r="H2751" s="3">
        <v>6.9999999999999999E-4</v>
      </c>
      <c r="K2751" s="2" t="s">
        <v>10087</v>
      </c>
    </row>
    <row r="2752" spans="1:11" x14ac:dyDescent="0.2">
      <c r="A2752" s="2">
        <v>689</v>
      </c>
      <c r="B2752" s="2">
        <v>4</v>
      </c>
      <c r="C2752" s="2">
        <v>99532481</v>
      </c>
      <c r="D2752" s="2">
        <v>100333334</v>
      </c>
      <c r="E2752" s="2">
        <v>2</v>
      </c>
      <c r="F2752" s="2" t="s">
        <v>10086</v>
      </c>
      <c r="H2752" s="2">
        <v>1.1000000000000001E-3</v>
      </c>
      <c r="K2752" s="2" t="s">
        <v>10088</v>
      </c>
    </row>
    <row r="2753" spans="1:11" x14ac:dyDescent="0.2">
      <c r="A2753" s="2">
        <v>689</v>
      </c>
      <c r="B2753" s="2">
        <v>4</v>
      </c>
      <c r="C2753" s="2">
        <v>99532481</v>
      </c>
      <c r="D2753" s="2">
        <v>100333334</v>
      </c>
      <c r="E2753" s="2">
        <v>3</v>
      </c>
      <c r="F2753" s="2" t="s">
        <v>10086</v>
      </c>
      <c r="H2753" s="3">
        <v>6.9999999999999999E-4</v>
      </c>
      <c r="K2753" s="2" t="s">
        <v>10089</v>
      </c>
    </row>
    <row r="2754" spans="1:11" x14ac:dyDescent="0.2">
      <c r="A2754" s="2">
        <v>689</v>
      </c>
      <c r="B2754" s="2">
        <v>4</v>
      </c>
      <c r="C2754" s="2">
        <v>99532481</v>
      </c>
      <c r="D2754" s="2">
        <v>100333334</v>
      </c>
      <c r="E2754" s="2">
        <v>4</v>
      </c>
      <c r="F2754" s="2" t="s">
        <v>10086</v>
      </c>
      <c r="H2754" s="3">
        <v>4.0000000000000002E-4</v>
      </c>
      <c r="K2754" s="2" t="s">
        <v>10085</v>
      </c>
    </row>
    <row r="2755" spans="1:11" x14ac:dyDescent="0.2">
      <c r="A2755" s="2">
        <v>690</v>
      </c>
      <c r="B2755" s="2">
        <v>4</v>
      </c>
      <c r="C2755" s="2">
        <v>100333335</v>
      </c>
      <c r="D2755" s="2">
        <v>101132995</v>
      </c>
      <c r="E2755" s="2">
        <v>1</v>
      </c>
      <c r="F2755" s="2" t="s">
        <v>10086</v>
      </c>
      <c r="H2755" s="2">
        <v>1.4E-3</v>
      </c>
      <c r="K2755" s="2" t="s">
        <v>12324</v>
      </c>
    </row>
    <row r="2756" spans="1:11" x14ac:dyDescent="0.2">
      <c r="A2756" s="2">
        <v>690</v>
      </c>
      <c r="B2756" s="2">
        <v>4</v>
      </c>
      <c r="C2756" s="2">
        <v>100333335</v>
      </c>
      <c r="D2756" s="2">
        <v>101132995</v>
      </c>
      <c r="E2756" s="2">
        <v>2</v>
      </c>
      <c r="F2756" s="2" t="s">
        <v>10086</v>
      </c>
      <c r="H2756" s="2">
        <v>1E-3</v>
      </c>
      <c r="K2756" s="2" t="s">
        <v>10087</v>
      </c>
    </row>
    <row r="2757" spans="1:11" x14ac:dyDescent="0.2">
      <c r="A2757" s="2">
        <v>690</v>
      </c>
      <c r="B2757" s="2">
        <v>4</v>
      </c>
      <c r="C2757" s="2">
        <v>100333335</v>
      </c>
      <c r="D2757" s="2">
        <v>101132995</v>
      </c>
      <c r="E2757" s="2">
        <v>3</v>
      </c>
      <c r="F2757" s="2" t="s">
        <v>10086</v>
      </c>
      <c r="H2757" s="3">
        <v>8.9999999999999998E-4</v>
      </c>
      <c r="K2757" s="2" t="s">
        <v>10088</v>
      </c>
    </row>
    <row r="2758" spans="1:11" x14ac:dyDescent="0.2">
      <c r="A2758" s="2">
        <v>690</v>
      </c>
      <c r="B2758" s="2">
        <v>4</v>
      </c>
      <c r="C2758" s="2">
        <v>100333335</v>
      </c>
      <c r="D2758" s="2">
        <v>101132995</v>
      </c>
      <c r="E2758" s="2">
        <v>4</v>
      </c>
      <c r="F2758" s="2" t="s">
        <v>10086</v>
      </c>
      <c r="H2758" s="3">
        <v>6.9999999999999999E-4</v>
      </c>
      <c r="K2758" s="2" t="s">
        <v>10085</v>
      </c>
    </row>
    <row r="2759" spans="1:11" x14ac:dyDescent="0.2">
      <c r="A2759" s="2">
        <v>691</v>
      </c>
      <c r="B2759" s="2">
        <v>4</v>
      </c>
      <c r="C2759" s="2">
        <v>101132996</v>
      </c>
      <c r="D2759" s="2">
        <v>102544803</v>
      </c>
      <c r="E2759" s="2">
        <v>1</v>
      </c>
      <c r="F2759" s="2" t="s">
        <v>10086</v>
      </c>
      <c r="H2759" s="2">
        <v>1.2999999999999999E-3</v>
      </c>
      <c r="K2759" s="2" t="s">
        <v>10087</v>
      </c>
    </row>
    <row r="2760" spans="1:11" x14ac:dyDescent="0.2">
      <c r="A2760" s="2">
        <v>691</v>
      </c>
      <c r="B2760" s="2">
        <v>4</v>
      </c>
      <c r="C2760" s="2">
        <v>101132996</v>
      </c>
      <c r="D2760" s="2">
        <v>102544803</v>
      </c>
      <c r="E2760" s="2">
        <v>2</v>
      </c>
      <c r="F2760" s="2" t="s">
        <v>10086</v>
      </c>
      <c r="H2760" s="2">
        <v>1.2999999999999999E-3</v>
      </c>
      <c r="K2760" s="2" t="s">
        <v>10088</v>
      </c>
    </row>
    <row r="2761" spans="1:11" x14ac:dyDescent="0.2">
      <c r="A2761" s="2">
        <v>691</v>
      </c>
      <c r="B2761" s="2">
        <v>4</v>
      </c>
      <c r="C2761" s="2">
        <v>101132996</v>
      </c>
      <c r="D2761" s="2">
        <v>102544803</v>
      </c>
      <c r="E2761" s="2">
        <v>3</v>
      </c>
      <c r="F2761" s="2" t="s">
        <v>10086</v>
      </c>
      <c r="H2761" s="2">
        <v>1E-3</v>
      </c>
      <c r="K2761" s="2" t="s">
        <v>10085</v>
      </c>
    </row>
    <row r="2762" spans="1:11" x14ac:dyDescent="0.2">
      <c r="A2762" s="2">
        <v>691</v>
      </c>
      <c r="B2762" s="2">
        <v>4</v>
      </c>
      <c r="C2762" s="2">
        <v>101132996</v>
      </c>
      <c r="D2762" s="2">
        <v>102544803</v>
      </c>
      <c r="E2762" s="2">
        <v>4</v>
      </c>
      <c r="F2762" s="2" t="s">
        <v>10086</v>
      </c>
      <c r="H2762" s="3">
        <v>5.0000000000000001E-4</v>
      </c>
      <c r="K2762" s="2" t="s">
        <v>10089</v>
      </c>
    </row>
    <row r="2763" spans="1:11" x14ac:dyDescent="0.2">
      <c r="A2763" s="2">
        <v>692</v>
      </c>
      <c r="B2763" s="2">
        <v>4</v>
      </c>
      <c r="C2763" s="2">
        <v>102544804</v>
      </c>
      <c r="D2763" s="2">
        <v>104384534</v>
      </c>
      <c r="E2763" s="2">
        <v>1</v>
      </c>
      <c r="F2763" s="2" t="s">
        <v>10086</v>
      </c>
      <c r="H2763" s="2">
        <v>1.14E-2</v>
      </c>
      <c r="K2763" s="2" t="s">
        <v>12324</v>
      </c>
    </row>
    <row r="2764" spans="1:11" x14ac:dyDescent="0.2">
      <c r="A2764" s="2">
        <v>692</v>
      </c>
      <c r="B2764" s="2">
        <v>4</v>
      </c>
      <c r="C2764" s="2">
        <v>102544804</v>
      </c>
      <c r="D2764" s="2">
        <v>104384534</v>
      </c>
      <c r="E2764" s="2">
        <v>2</v>
      </c>
      <c r="F2764" s="2" t="s">
        <v>10086</v>
      </c>
      <c r="H2764" s="2">
        <v>2.5999999999999999E-3</v>
      </c>
      <c r="K2764" s="2" t="s">
        <v>10088</v>
      </c>
    </row>
    <row r="2765" spans="1:11" x14ac:dyDescent="0.2">
      <c r="A2765" s="2">
        <v>692</v>
      </c>
      <c r="B2765" s="2">
        <v>4</v>
      </c>
      <c r="C2765" s="2">
        <v>102544804</v>
      </c>
      <c r="D2765" s="2">
        <v>104384534</v>
      </c>
      <c r="E2765" s="2">
        <v>3</v>
      </c>
      <c r="F2765" s="2" t="s">
        <v>10086</v>
      </c>
      <c r="H2765" s="2">
        <v>3.2000000000000002E-3</v>
      </c>
      <c r="K2765" s="2" t="s">
        <v>10089</v>
      </c>
    </row>
    <row r="2766" spans="1:11" x14ac:dyDescent="0.2">
      <c r="A2766" s="2">
        <v>692</v>
      </c>
      <c r="B2766" s="2">
        <v>4</v>
      </c>
      <c r="C2766" s="2">
        <v>102544804</v>
      </c>
      <c r="D2766" s="2">
        <v>104384534</v>
      </c>
      <c r="E2766" s="2">
        <v>4</v>
      </c>
      <c r="F2766" s="2" t="s">
        <v>10086</v>
      </c>
      <c r="H2766" s="2">
        <v>1.2999999999999999E-3</v>
      </c>
      <c r="K2766" s="2" t="s">
        <v>10087</v>
      </c>
    </row>
    <row r="2767" spans="1:11" x14ac:dyDescent="0.2">
      <c r="A2767" s="2">
        <v>693</v>
      </c>
      <c r="B2767" s="2">
        <v>4</v>
      </c>
      <c r="C2767" s="2">
        <v>104384535</v>
      </c>
      <c r="D2767" s="2">
        <v>105319195</v>
      </c>
      <c r="E2767" s="2">
        <v>1</v>
      </c>
      <c r="F2767" s="2" t="s">
        <v>10086</v>
      </c>
      <c r="H2767" s="2">
        <v>1.1999999999999999E-3</v>
      </c>
      <c r="K2767" s="2" t="s">
        <v>10088</v>
      </c>
    </row>
    <row r="2768" spans="1:11" x14ac:dyDescent="0.2">
      <c r="A2768" s="2">
        <v>693</v>
      </c>
      <c r="B2768" s="2">
        <v>4</v>
      </c>
      <c r="C2768" s="2">
        <v>104384535</v>
      </c>
      <c r="D2768" s="2">
        <v>105319195</v>
      </c>
      <c r="E2768" s="2">
        <v>2</v>
      </c>
      <c r="F2768" s="2" t="s">
        <v>10086</v>
      </c>
      <c r="H2768" s="3">
        <v>8.9999999999999998E-4</v>
      </c>
      <c r="K2768" s="2" t="s">
        <v>10085</v>
      </c>
    </row>
    <row r="2769" spans="1:11" x14ac:dyDescent="0.2">
      <c r="A2769" s="2">
        <v>693</v>
      </c>
      <c r="B2769" s="2">
        <v>4</v>
      </c>
      <c r="C2769" s="2">
        <v>104384535</v>
      </c>
      <c r="D2769" s="2">
        <v>105319195</v>
      </c>
      <c r="E2769" s="2">
        <v>3</v>
      </c>
      <c r="F2769" s="2" t="s">
        <v>10086</v>
      </c>
      <c r="H2769" s="3">
        <v>8.0000000000000004E-4</v>
      </c>
      <c r="K2769" s="2" t="s">
        <v>10089</v>
      </c>
    </row>
    <row r="2770" spans="1:11" x14ac:dyDescent="0.2">
      <c r="A2770" s="2">
        <v>693</v>
      </c>
      <c r="B2770" s="2">
        <v>4</v>
      </c>
      <c r="C2770" s="2">
        <v>104384535</v>
      </c>
      <c r="D2770" s="2">
        <v>105319195</v>
      </c>
      <c r="E2770" s="2">
        <v>4</v>
      </c>
      <c r="F2770" s="2" t="s">
        <v>10086</v>
      </c>
      <c r="H2770" s="3">
        <v>4.0000000000000002E-4</v>
      </c>
      <c r="K2770" s="2" t="s">
        <v>10087</v>
      </c>
    </row>
    <row r="2771" spans="1:11" x14ac:dyDescent="0.2">
      <c r="A2771" s="2">
        <v>694</v>
      </c>
      <c r="B2771" s="2">
        <v>4</v>
      </c>
      <c r="C2771" s="2">
        <v>105319196</v>
      </c>
      <c r="D2771" s="2">
        <v>106479155</v>
      </c>
      <c r="E2771" s="2">
        <v>1</v>
      </c>
      <c r="F2771" s="2" t="s">
        <v>10086</v>
      </c>
      <c r="H2771" s="2">
        <v>1.1000000000000001E-3</v>
      </c>
      <c r="K2771" s="2" t="s">
        <v>10087</v>
      </c>
    </row>
    <row r="2772" spans="1:11" x14ac:dyDescent="0.2">
      <c r="A2772" s="2">
        <v>694</v>
      </c>
      <c r="B2772" s="2">
        <v>4</v>
      </c>
      <c r="C2772" s="2">
        <v>105319196</v>
      </c>
      <c r="D2772" s="2">
        <v>106479155</v>
      </c>
      <c r="E2772" s="2">
        <v>2</v>
      </c>
      <c r="F2772" s="2" t="s">
        <v>10086</v>
      </c>
      <c r="H2772" s="3">
        <v>8.9999999999999998E-4</v>
      </c>
      <c r="K2772" s="2" t="s">
        <v>10089</v>
      </c>
    </row>
    <row r="2773" spans="1:11" x14ac:dyDescent="0.2">
      <c r="A2773" s="2">
        <v>694</v>
      </c>
      <c r="B2773" s="2">
        <v>4</v>
      </c>
      <c r="C2773" s="2">
        <v>105319196</v>
      </c>
      <c r="D2773" s="2">
        <v>106479155</v>
      </c>
      <c r="E2773" s="2">
        <v>3</v>
      </c>
      <c r="F2773" s="2" t="s">
        <v>10086</v>
      </c>
      <c r="H2773" s="3">
        <v>8.0000000000000004E-4</v>
      </c>
      <c r="K2773" s="2" t="s">
        <v>10085</v>
      </c>
    </row>
    <row r="2774" spans="1:11" x14ac:dyDescent="0.2">
      <c r="A2774" s="2">
        <v>694</v>
      </c>
      <c r="B2774" s="2">
        <v>4</v>
      </c>
      <c r="C2774" s="2">
        <v>105319196</v>
      </c>
      <c r="D2774" s="2">
        <v>106479155</v>
      </c>
      <c r="E2774" s="2">
        <v>4</v>
      </c>
      <c r="F2774" s="2" t="s">
        <v>10086</v>
      </c>
      <c r="H2774" s="3">
        <v>5.0000000000000001E-4</v>
      </c>
      <c r="K2774" s="2" t="s">
        <v>10088</v>
      </c>
    </row>
    <row r="2775" spans="1:11" x14ac:dyDescent="0.2">
      <c r="A2775" s="2">
        <v>695</v>
      </c>
      <c r="B2775" s="2">
        <v>4</v>
      </c>
      <c r="C2775" s="2">
        <v>106479156</v>
      </c>
      <c r="D2775" s="2">
        <v>108131206</v>
      </c>
      <c r="E2775" s="2">
        <v>1</v>
      </c>
      <c r="F2775" s="2" t="s">
        <v>10086</v>
      </c>
      <c r="H2775" s="2">
        <v>2.2000000000000001E-3</v>
      </c>
      <c r="K2775" s="2" t="s">
        <v>10089</v>
      </c>
    </row>
    <row r="2776" spans="1:11" x14ac:dyDescent="0.2">
      <c r="A2776" s="2">
        <v>695</v>
      </c>
      <c r="B2776" s="2">
        <v>4</v>
      </c>
      <c r="C2776" s="2">
        <v>106479156</v>
      </c>
      <c r="D2776" s="2">
        <v>108131206</v>
      </c>
      <c r="E2776" s="2">
        <v>2</v>
      </c>
      <c r="F2776" s="2" t="s">
        <v>10086</v>
      </c>
      <c r="H2776" s="2">
        <v>1.5E-3</v>
      </c>
      <c r="K2776" s="2" t="s">
        <v>10085</v>
      </c>
    </row>
    <row r="2777" spans="1:11" x14ac:dyDescent="0.2">
      <c r="A2777" s="2">
        <v>695</v>
      </c>
      <c r="B2777" s="2">
        <v>4</v>
      </c>
      <c r="C2777" s="2">
        <v>106479156</v>
      </c>
      <c r="D2777" s="2">
        <v>108131206</v>
      </c>
      <c r="E2777" s="2">
        <v>3</v>
      </c>
      <c r="F2777" s="2" t="s">
        <v>10086</v>
      </c>
      <c r="H2777" s="2">
        <v>1.1000000000000001E-3</v>
      </c>
      <c r="K2777" s="2" t="s">
        <v>10087</v>
      </c>
    </row>
    <row r="2778" spans="1:11" x14ac:dyDescent="0.2">
      <c r="A2778" s="2">
        <v>695</v>
      </c>
      <c r="B2778" s="2">
        <v>4</v>
      </c>
      <c r="C2778" s="2">
        <v>106479156</v>
      </c>
      <c r="D2778" s="2">
        <v>108131206</v>
      </c>
      <c r="E2778" s="2">
        <v>4</v>
      </c>
      <c r="F2778" s="2" t="s">
        <v>10086</v>
      </c>
      <c r="H2778" s="3">
        <v>6.9999999999999999E-4</v>
      </c>
      <c r="K2778" s="2" t="s">
        <v>10088</v>
      </c>
    </row>
    <row r="2779" spans="1:11" x14ac:dyDescent="0.2">
      <c r="A2779" s="2">
        <v>696</v>
      </c>
      <c r="B2779" s="2">
        <v>4</v>
      </c>
      <c r="C2779" s="2">
        <v>108131207</v>
      </c>
      <c r="D2779" s="2">
        <v>109122458</v>
      </c>
      <c r="E2779" s="2">
        <v>1</v>
      </c>
      <c r="F2779" s="2" t="s">
        <v>10086</v>
      </c>
      <c r="H2779" s="2">
        <v>1.4E-3</v>
      </c>
      <c r="K2779" s="2" t="s">
        <v>10089</v>
      </c>
    </row>
    <row r="2780" spans="1:11" x14ac:dyDescent="0.2">
      <c r="A2780" s="2">
        <v>696</v>
      </c>
      <c r="B2780" s="2">
        <v>4</v>
      </c>
      <c r="C2780" s="2">
        <v>108131207</v>
      </c>
      <c r="D2780" s="2">
        <v>109122458</v>
      </c>
      <c r="E2780" s="2">
        <v>2</v>
      </c>
      <c r="F2780" s="2" t="s">
        <v>10086</v>
      </c>
      <c r="H2780" s="3">
        <v>8.9999999999999998E-4</v>
      </c>
      <c r="K2780" s="2" t="s">
        <v>10085</v>
      </c>
    </row>
    <row r="2781" spans="1:11" x14ac:dyDescent="0.2">
      <c r="A2781" s="2">
        <v>696</v>
      </c>
      <c r="B2781" s="2">
        <v>4</v>
      </c>
      <c r="C2781" s="2">
        <v>108131207</v>
      </c>
      <c r="D2781" s="2">
        <v>109122458</v>
      </c>
      <c r="E2781" s="2">
        <v>3</v>
      </c>
      <c r="F2781" s="2" t="s">
        <v>10086</v>
      </c>
      <c r="H2781" s="3">
        <v>5.9999999999999995E-4</v>
      </c>
      <c r="K2781" s="2" t="s">
        <v>10087</v>
      </c>
    </row>
    <row r="2782" spans="1:11" x14ac:dyDescent="0.2">
      <c r="A2782" s="2">
        <v>696</v>
      </c>
      <c r="B2782" s="2">
        <v>4</v>
      </c>
      <c r="C2782" s="2">
        <v>108131207</v>
      </c>
      <c r="D2782" s="2">
        <v>109122458</v>
      </c>
      <c r="E2782" s="2">
        <v>4</v>
      </c>
      <c r="F2782" s="2" t="s">
        <v>10086</v>
      </c>
      <c r="H2782" s="3">
        <v>2.9999999999999997E-4</v>
      </c>
      <c r="K2782" s="2" t="s">
        <v>10088</v>
      </c>
    </row>
    <row r="2783" spans="1:11" x14ac:dyDescent="0.2">
      <c r="A2783" s="2">
        <v>697</v>
      </c>
      <c r="B2783" s="2">
        <v>4</v>
      </c>
      <c r="C2783" s="2">
        <v>109122459</v>
      </c>
      <c r="D2783" s="2">
        <v>109978982</v>
      </c>
      <c r="E2783" s="2">
        <v>1</v>
      </c>
      <c r="F2783" s="2" t="s">
        <v>10086</v>
      </c>
      <c r="H2783" s="3">
        <v>8.9999999999999998E-4</v>
      </c>
      <c r="K2783" s="2" t="s">
        <v>10085</v>
      </c>
    </row>
    <row r="2784" spans="1:11" x14ac:dyDescent="0.2">
      <c r="A2784" s="2">
        <v>697</v>
      </c>
      <c r="B2784" s="2">
        <v>4</v>
      </c>
      <c r="C2784" s="2">
        <v>109122459</v>
      </c>
      <c r="D2784" s="2">
        <v>109978982</v>
      </c>
      <c r="E2784" s="2">
        <v>2</v>
      </c>
      <c r="F2784" s="2" t="s">
        <v>10086</v>
      </c>
      <c r="H2784" s="3">
        <v>8.9999999999999998E-4</v>
      </c>
      <c r="K2784" s="2" t="s">
        <v>12324</v>
      </c>
    </row>
    <row r="2785" spans="1:11" x14ac:dyDescent="0.2">
      <c r="A2785" s="2">
        <v>697</v>
      </c>
      <c r="B2785" s="2">
        <v>4</v>
      </c>
      <c r="C2785" s="2">
        <v>109122459</v>
      </c>
      <c r="D2785" s="2">
        <v>109978982</v>
      </c>
      <c r="E2785" s="2">
        <v>3</v>
      </c>
      <c r="F2785" s="2" t="s">
        <v>10086</v>
      </c>
      <c r="H2785" s="3">
        <v>6.9999999999999999E-4</v>
      </c>
      <c r="K2785" s="2" t="s">
        <v>10089</v>
      </c>
    </row>
    <row r="2786" spans="1:11" x14ac:dyDescent="0.2">
      <c r="A2786" s="2">
        <v>697</v>
      </c>
      <c r="B2786" s="2">
        <v>4</v>
      </c>
      <c r="C2786" s="2">
        <v>109122459</v>
      </c>
      <c r="D2786" s="2">
        <v>109978982</v>
      </c>
      <c r="E2786" s="2">
        <v>4</v>
      </c>
      <c r="F2786" s="2" t="s">
        <v>10086</v>
      </c>
      <c r="H2786" s="3">
        <v>5.9999999999999995E-4</v>
      </c>
      <c r="K2786" s="2" t="s">
        <v>10087</v>
      </c>
    </row>
    <row r="2787" spans="1:11" x14ac:dyDescent="0.2">
      <c r="A2787" s="2">
        <v>698</v>
      </c>
      <c r="B2787" s="2">
        <v>4</v>
      </c>
      <c r="C2787" s="2">
        <v>109978983</v>
      </c>
      <c r="D2787" s="2">
        <v>111733579</v>
      </c>
      <c r="E2787" s="2">
        <v>1</v>
      </c>
      <c r="F2787" s="2" t="s">
        <v>10086</v>
      </c>
      <c r="H2787" s="2">
        <v>2.3E-3</v>
      </c>
      <c r="K2787" s="2" t="s">
        <v>10087</v>
      </c>
    </row>
    <row r="2788" spans="1:11" x14ac:dyDescent="0.2">
      <c r="A2788" s="2">
        <v>698</v>
      </c>
      <c r="B2788" s="2">
        <v>4</v>
      </c>
      <c r="C2788" s="2">
        <v>109978983</v>
      </c>
      <c r="D2788" s="2">
        <v>111733579</v>
      </c>
      <c r="E2788" s="2">
        <v>2</v>
      </c>
      <c r="F2788" s="2" t="s">
        <v>10086</v>
      </c>
      <c r="H2788" s="2">
        <v>1.9E-3</v>
      </c>
      <c r="K2788" s="2" t="s">
        <v>10085</v>
      </c>
    </row>
    <row r="2789" spans="1:11" x14ac:dyDescent="0.2">
      <c r="A2789" s="2">
        <v>698</v>
      </c>
      <c r="B2789" s="2">
        <v>4</v>
      </c>
      <c r="C2789" s="2">
        <v>109978983</v>
      </c>
      <c r="D2789" s="2">
        <v>111733579</v>
      </c>
      <c r="E2789" s="2">
        <v>3</v>
      </c>
      <c r="F2789" s="2" t="s">
        <v>10086</v>
      </c>
      <c r="H2789" s="2">
        <v>1.1999999999999999E-3</v>
      </c>
      <c r="K2789" s="2" t="s">
        <v>10088</v>
      </c>
    </row>
    <row r="2790" spans="1:11" x14ac:dyDescent="0.2">
      <c r="A2790" s="2">
        <v>698</v>
      </c>
      <c r="B2790" s="2">
        <v>4</v>
      </c>
      <c r="C2790" s="2">
        <v>109978983</v>
      </c>
      <c r="D2790" s="2">
        <v>111733579</v>
      </c>
      <c r="E2790" s="2">
        <v>4</v>
      </c>
      <c r="F2790" s="2" t="s">
        <v>10086</v>
      </c>
      <c r="H2790" s="3">
        <v>5.0000000000000001E-4</v>
      </c>
      <c r="K2790" s="2" t="s">
        <v>10089</v>
      </c>
    </row>
    <row r="2791" spans="1:11" x14ac:dyDescent="0.2">
      <c r="A2791" s="2">
        <v>699</v>
      </c>
      <c r="B2791" s="2">
        <v>4</v>
      </c>
      <c r="C2791" s="2">
        <v>111733580</v>
      </c>
      <c r="D2791" s="2">
        <v>112830229</v>
      </c>
      <c r="E2791" s="2">
        <v>1</v>
      </c>
      <c r="F2791" s="2" t="s">
        <v>10086</v>
      </c>
      <c r="H2791" s="2">
        <v>1.1999999999999999E-3</v>
      </c>
      <c r="K2791" s="2" t="s">
        <v>10085</v>
      </c>
    </row>
    <row r="2792" spans="1:11" x14ac:dyDescent="0.2">
      <c r="A2792" s="2">
        <v>699</v>
      </c>
      <c r="B2792" s="2">
        <v>4</v>
      </c>
      <c r="C2792" s="2">
        <v>111733580</v>
      </c>
      <c r="D2792" s="2">
        <v>112830229</v>
      </c>
      <c r="E2792" s="2">
        <v>2</v>
      </c>
      <c r="F2792" s="2" t="s">
        <v>10086</v>
      </c>
      <c r="H2792" s="2">
        <v>1E-3</v>
      </c>
      <c r="K2792" s="2" t="s">
        <v>10088</v>
      </c>
    </row>
    <row r="2793" spans="1:11" x14ac:dyDescent="0.2">
      <c r="A2793" s="2">
        <v>699</v>
      </c>
      <c r="B2793" s="2">
        <v>4</v>
      </c>
      <c r="C2793" s="2">
        <v>111733580</v>
      </c>
      <c r="D2793" s="2">
        <v>112830229</v>
      </c>
      <c r="E2793" s="2">
        <v>3</v>
      </c>
      <c r="F2793" s="2" t="s">
        <v>10086</v>
      </c>
      <c r="H2793" s="3">
        <v>8.9999999999999998E-4</v>
      </c>
      <c r="K2793" s="2" t="s">
        <v>10087</v>
      </c>
    </row>
    <row r="2794" spans="1:11" x14ac:dyDescent="0.2">
      <c r="A2794" s="2">
        <v>699</v>
      </c>
      <c r="B2794" s="2">
        <v>4</v>
      </c>
      <c r="C2794" s="2">
        <v>111733580</v>
      </c>
      <c r="D2794" s="2">
        <v>112830229</v>
      </c>
      <c r="E2794" s="2">
        <v>4</v>
      </c>
      <c r="F2794" s="2" t="s">
        <v>10086</v>
      </c>
      <c r="H2794" s="3">
        <v>5.9999999999999995E-4</v>
      </c>
      <c r="K2794" s="2" t="s">
        <v>10089</v>
      </c>
    </row>
    <row r="2795" spans="1:11" x14ac:dyDescent="0.2">
      <c r="A2795" s="2">
        <v>700</v>
      </c>
      <c r="B2795" s="2">
        <v>4</v>
      </c>
      <c r="C2795" s="2">
        <v>112830230</v>
      </c>
      <c r="D2795" s="2">
        <v>113916002</v>
      </c>
      <c r="E2795" s="2">
        <v>1</v>
      </c>
      <c r="F2795" s="2" t="s">
        <v>10086</v>
      </c>
      <c r="H2795" s="2">
        <v>3.5000000000000001E-3</v>
      </c>
      <c r="K2795" s="2" t="s">
        <v>10085</v>
      </c>
    </row>
    <row r="2796" spans="1:11" x14ac:dyDescent="0.2">
      <c r="A2796" s="2">
        <v>700</v>
      </c>
      <c r="B2796" s="2">
        <v>4</v>
      </c>
      <c r="C2796" s="2">
        <v>112830230</v>
      </c>
      <c r="D2796" s="2">
        <v>113916002</v>
      </c>
      <c r="E2796" s="2">
        <v>2</v>
      </c>
      <c r="F2796" s="2" t="s">
        <v>10086</v>
      </c>
      <c r="H2796" s="2">
        <v>1.5E-3</v>
      </c>
      <c r="K2796" s="2" t="s">
        <v>10087</v>
      </c>
    </row>
    <row r="2797" spans="1:11" x14ac:dyDescent="0.2">
      <c r="A2797" s="2">
        <v>700</v>
      </c>
      <c r="B2797" s="2">
        <v>4</v>
      </c>
      <c r="C2797" s="2">
        <v>112830230</v>
      </c>
      <c r="D2797" s="2">
        <v>113916002</v>
      </c>
      <c r="E2797" s="2">
        <v>3</v>
      </c>
      <c r="F2797" s="2" t="s">
        <v>10086</v>
      </c>
      <c r="H2797" s="2">
        <v>1E-3</v>
      </c>
      <c r="K2797" s="2" t="s">
        <v>10088</v>
      </c>
    </row>
    <row r="2798" spans="1:11" x14ac:dyDescent="0.2">
      <c r="A2798" s="2">
        <v>700</v>
      </c>
      <c r="B2798" s="2">
        <v>4</v>
      </c>
      <c r="C2798" s="2">
        <v>112830230</v>
      </c>
      <c r="D2798" s="2">
        <v>113916002</v>
      </c>
      <c r="E2798" s="2">
        <v>4</v>
      </c>
      <c r="F2798" s="2" t="s">
        <v>10086</v>
      </c>
      <c r="H2798" s="3">
        <v>5.0000000000000001E-4</v>
      </c>
      <c r="K2798" s="2" t="s">
        <v>10089</v>
      </c>
    </row>
    <row r="2799" spans="1:11" x14ac:dyDescent="0.2">
      <c r="A2799" s="2">
        <v>701</v>
      </c>
      <c r="B2799" s="2">
        <v>4</v>
      </c>
      <c r="C2799" s="2">
        <v>113916003</v>
      </c>
      <c r="D2799" s="2">
        <v>115306149</v>
      </c>
      <c r="E2799" s="2">
        <v>1</v>
      </c>
      <c r="F2799" s="2" t="s">
        <v>10086</v>
      </c>
      <c r="H2799" s="2">
        <v>0.12089999999999999</v>
      </c>
      <c r="K2799" s="2" t="s">
        <v>12324</v>
      </c>
    </row>
    <row r="2800" spans="1:11" x14ac:dyDescent="0.2">
      <c r="A2800" s="2">
        <v>701</v>
      </c>
      <c r="B2800" s="2">
        <v>4</v>
      </c>
      <c r="C2800" s="2">
        <v>113916003</v>
      </c>
      <c r="D2800" s="2">
        <v>115306149</v>
      </c>
      <c r="E2800" s="2">
        <v>2</v>
      </c>
      <c r="F2800" s="2" t="s">
        <v>10086</v>
      </c>
      <c r="H2800" s="2">
        <v>1.9099999999999999E-2</v>
      </c>
      <c r="K2800" s="2" t="s">
        <v>10088</v>
      </c>
    </row>
    <row r="2801" spans="1:11" x14ac:dyDescent="0.2">
      <c r="A2801" s="2">
        <v>701</v>
      </c>
      <c r="B2801" s="2">
        <v>4</v>
      </c>
      <c r="C2801" s="2">
        <v>113916003</v>
      </c>
      <c r="D2801" s="2">
        <v>115306149</v>
      </c>
      <c r="E2801" s="2">
        <v>3</v>
      </c>
      <c r="F2801" s="2" t="s">
        <v>10086</v>
      </c>
      <c r="H2801" s="2">
        <v>1.2999999999999999E-3</v>
      </c>
      <c r="K2801" s="2" t="s">
        <v>10089</v>
      </c>
    </row>
    <row r="2802" spans="1:11" x14ac:dyDescent="0.2">
      <c r="A2802" s="2">
        <v>701</v>
      </c>
      <c r="B2802" s="2">
        <v>4</v>
      </c>
      <c r="C2802" s="2">
        <v>113916003</v>
      </c>
      <c r="D2802" s="2">
        <v>115306149</v>
      </c>
      <c r="E2802" s="2">
        <v>4</v>
      </c>
      <c r="F2802" s="2" t="s">
        <v>10086</v>
      </c>
      <c r="H2802" s="2">
        <v>1.1000000000000001E-3</v>
      </c>
      <c r="K2802" s="2" t="s">
        <v>10085</v>
      </c>
    </row>
    <row r="2803" spans="1:11" x14ac:dyDescent="0.2">
      <c r="A2803" s="2">
        <v>702</v>
      </c>
      <c r="B2803" s="2">
        <v>4</v>
      </c>
      <c r="C2803" s="2">
        <v>115306150</v>
      </c>
      <c r="D2803" s="2">
        <v>116204703</v>
      </c>
      <c r="E2803" s="2">
        <v>1</v>
      </c>
      <c r="F2803" s="2" t="s">
        <v>10086</v>
      </c>
      <c r="H2803" s="2">
        <v>3.3999999999999998E-3</v>
      </c>
      <c r="K2803" s="2" t="s">
        <v>10085</v>
      </c>
    </row>
    <row r="2804" spans="1:11" x14ac:dyDescent="0.2">
      <c r="A2804" s="2">
        <v>702</v>
      </c>
      <c r="B2804" s="2">
        <v>4</v>
      </c>
      <c r="C2804" s="2">
        <v>115306150</v>
      </c>
      <c r="D2804" s="2">
        <v>116204703</v>
      </c>
      <c r="E2804" s="2">
        <v>2</v>
      </c>
      <c r="F2804" s="2" t="s">
        <v>10086</v>
      </c>
      <c r="H2804" s="2">
        <v>1.1999999999999999E-3</v>
      </c>
      <c r="K2804" s="2" t="s">
        <v>10088</v>
      </c>
    </row>
    <row r="2805" spans="1:11" x14ac:dyDescent="0.2">
      <c r="A2805" s="2">
        <v>702</v>
      </c>
      <c r="B2805" s="2">
        <v>4</v>
      </c>
      <c r="C2805" s="2">
        <v>115306150</v>
      </c>
      <c r="D2805" s="2">
        <v>116204703</v>
      </c>
      <c r="E2805" s="2">
        <v>3</v>
      </c>
      <c r="F2805" s="2" t="s">
        <v>10086</v>
      </c>
      <c r="H2805" s="3">
        <v>5.9999999999999995E-4</v>
      </c>
      <c r="K2805" s="2" t="s">
        <v>10087</v>
      </c>
    </row>
    <row r="2806" spans="1:11" x14ac:dyDescent="0.2">
      <c r="A2806" s="2">
        <v>702</v>
      </c>
      <c r="B2806" s="2">
        <v>4</v>
      </c>
      <c r="C2806" s="2">
        <v>115306150</v>
      </c>
      <c r="D2806" s="2">
        <v>116204703</v>
      </c>
      <c r="E2806" s="2">
        <v>4</v>
      </c>
      <c r="F2806" s="2" t="s">
        <v>10086</v>
      </c>
      <c r="H2806" s="3">
        <v>2.9999999999999997E-4</v>
      </c>
      <c r="K2806" s="2" t="s">
        <v>10089</v>
      </c>
    </row>
    <row r="2807" spans="1:11" x14ac:dyDescent="0.2">
      <c r="A2807" s="2">
        <v>703</v>
      </c>
      <c r="B2807" s="2">
        <v>4</v>
      </c>
      <c r="C2807" s="2">
        <v>116204704</v>
      </c>
      <c r="D2807" s="2">
        <v>117313636</v>
      </c>
      <c r="E2807" s="2">
        <v>1</v>
      </c>
      <c r="F2807" s="2" t="s">
        <v>10086</v>
      </c>
      <c r="H2807" s="2">
        <v>2E-3</v>
      </c>
      <c r="K2807" s="2" t="s">
        <v>10085</v>
      </c>
    </row>
    <row r="2808" spans="1:11" x14ac:dyDescent="0.2">
      <c r="A2808" s="2">
        <v>703</v>
      </c>
      <c r="B2808" s="2">
        <v>4</v>
      </c>
      <c r="C2808" s="2">
        <v>116204704</v>
      </c>
      <c r="D2808" s="2">
        <v>117313636</v>
      </c>
      <c r="E2808" s="2">
        <v>2</v>
      </c>
      <c r="F2808" s="2" t="s">
        <v>10086</v>
      </c>
      <c r="H2808" s="3">
        <v>8.9999999999999998E-4</v>
      </c>
      <c r="K2808" s="2" t="s">
        <v>10087</v>
      </c>
    </row>
    <row r="2809" spans="1:11" x14ac:dyDescent="0.2">
      <c r="A2809" s="2">
        <v>703</v>
      </c>
      <c r="B2809" s="2">
        <v>4</v>
      </c>
      <c r="C2809" s="2">
        <v>116204704</v>
      </c>
      <c r="D2809" s="2">
        <v>117313636</v>
      </c>
      <c r="E2809" s="2">
        <v>3</v>
      </c>
      <c r="F2809" s="2" t="s">
        <v>10086</v>
      </c>
      <c r="H2809" s="3">
        <v>8.9999999999999998E-4</v>
      </c>
      <c r="K2809" s="2" t="s">
        <v>10088</v>
      </c>
    </row>
    <row r="2810" spans="1:11" x14ac:dyDescent="0.2">
      <c r="A2810" s="2">
        <v>703</v>
      </c>
      <c r="B2810" s="2">
        <v>4</v>
      </c>
      <c r="C2810" s="2">
        <v>116204704</v>
      </c>
      <c r="D2810" s="2">
        <v>117313636</v>
      </c>
      <c r="E2810" s="2">
        <v>4</v>
      </c>
      <c r="F2810" s="2" t="s">
        <v>10086</v>
      </c>
      <c r="H2810" s="3">
        <v>8.0000000000000004E-4</v>
      </c>
      <c r="K2810" s="2" t="s">
        <v>12324</v>
      </c>
    </row>
    <row r="2811" spans="1:11" x14ac:dyDescent="0.2">
      <c r="A2811" s="2">
        <v>704</v>
      </c>
      <c r="B2811" s="2">
        <v>4</v>
      </c>
      <c r="C2811" s="2">
        <v>117313637</v>
      </c>
      <c r="D2811" s="2">
        <v>118395262</v>
      </c>
      <c r="E2811" s="2">
        <v>1</v>
      </c>
      <c r="F2811" s="2" t="s">
        <v>10086</v>
      </c>
      <c r="H2811" s="2">
        <v>2.5000000000000001E-3</v>
      </c>
      <c r="K2811" s="2" t="s">
        <v>10089</v>
      </c>
    </row>
    <row r="2812" spans="1:11" x14ac:dyDescent="0.2">
      <c r="A2812" s="2">
        <v>704</v>
      </c>
      <c r="B2812" s="2">
        <v>4</v>
      </c>
      <c r="C2812" s="2">
        <v>117313637</v>
      </c>
      <c r="D2812" s="2">
        <v>118395262</v>
      </c>
      <c r="E2812" s="2">
        <v>2</v>
      </c>
      <c r="F2812" s="2" t="s">
        <v>10086</v>
      </c>
      <c r="H2812" s="2">
        <v>1.4E-3</v>
      </c>
      <c r="K2812" s="2" t="s">
        <v>10087</v>
      </c>
    </row>
    <row r="2813" spans="1:11" x14ac:dyDescent="0.2">
      <c r="A2813" s="2">
        <v>704</v>
      </c>
      <c r="B2813" s="2">
        <v>4</v>
      </c>
      <c r="C2813" s="2">
        <v>117313637</v>
      </c>
      <c r="D2813" s="2">
        <v>118395262</v>
      </c>
      <c r="E2813" s="2">
        <v>3</v>
      </c>
      <c r="F2813" s="2" t="s">
        <v>10086</v>
      </c>
      <c r="H2813" s="3">
        <v>8.9999999999999998E-4</v>
      </c>
      <c r="K2813" s="2" t="s">
        <v>10088</v>
      </c>
    </row>
    <row r="2814" spans="1:11" x14ac:dyDescent="0.2">
      <c r="A2814" s="2">
        <v>704</v>
      </c>
      <c r="B2814" s="2">
        <v>4</v>
      </c>
      <c r="C2814" s="2">
        <v>117313637</v>
      </c>
      <c r="D2814" s="2">
        <v>118395262</v>
      </c>
      <c r="E2814" s="2">
        <v>4</v>
      </c>
      <c r="F2814" s="2" t="s">
        <v>10086</v>
      </c>
      <c r="H2814" s="3">
        <v>4.0000000000000002E-4</v>
      </c>
      <c r="K2814" s="2" t="s">
        <v>10085</v>
      </c>
    </row>
    <row r="2815" spans="1:11" x14ac:dyDescent="0.2">
      <c r="A2815" s="2">
        <v>705</v>
      </c>
      <c r="B2815" s="2">
        <v>4</v>
      </c>
      <c r="C2815" s="2">
        <v>118395263</v>
      </c>
      <c r="D2815" s="2">
        <v>119138097</v>
      </c>
      <c r="E2815" s="2">
        <v>1</v>
      </c>
      <c r="F2815" s="2" t="s">
        <v>10086</v>
      </c>
      <c r="H2815" s="2">
        <v>3.8999999999999998E-3</v>
      </c>
      <c r="K2815" s="2" t="s">
        <v>10085</v>
      </c>
    </row>
    <row r="2816" spans="1:11" x14ac:dyDescent="0.2">
      <c r="A2816" s="2">
        <v>705</v>
      </c>
      <c r="B2816" s="2">
        <v>4</v>
      </c>
      <c r="C2816" s="2">
        <v>118395263</v>
      </c>
      <c r="D2816" s="2">
        <v>119138097</v>
      </c>
      <c r="E2816" s="2">
        <v>2</v>
      </c>
      <c r="F2816" s="2" t="s">
        <v>10086</v>
      </c>
      <c r="H2816" s="2">
        <v>1.9E-3</v>
      </c>
      <c r="K2816" s="2" t="s">
        <v>10088</v>
      </c>
    </row>
    <row r="2817" spans="1:11" x14ac:dyDescent="0.2">
      <c r="A2817" s="2">
        <v>705</v>
      </c>
      <c r="B2817" s="2">
        <v>4</v>
      </c>
      <c r="C2817" s="2">
        <v>118395263</v>
      </c>
      <c r="D2817" s="2">
        <v>119138097</v>
      </c>
      <c r="E2817" s="2">
        <v>3</v>
      </c>
      <c r="F2817" s="2" t="s">
        <v>10086</v>
      </c>
      <c r="H2817" s="3">
        <v>8.0000000000000004E-4</v>
      </c>
      <c r="K2817" s="2" t="s">
        <v>10089</v>
      </c>
    </row>
    <row r="2818" spans="1:11" x14ac:dyDescent="0.2">
      <c r="A2818" s="2">
        <v>705</v>
      </c>
      <c r="B2818" s="2">
        <v>4</v>
      </c>
      <c r="C2818" s="2">
        <v>118395263</v>
      </c>
      <c r="D2818" s="2">
        <v>119138097</v>
      </c>
      <c r="E2818" s="2">
        <v>4</v>
      </c>
      <c r="F2818" s="2" t="s">
        <v>10086</v>
      </c>
      <c r="H2818" s="3">
        <v>4.0000000000000002E-4</v>
      </c>
      <c r="K2818" s="2" t="s">
        <v>10087</v>
      </c>
    </row>
    <row r="2819" spans="1:11" x14ac:dyDescent="0.2">
      <c r="A2819" s="2">
        <v>706</v>
      </c>
      <c r="B2819" s="2">
        <v>4</v>
      </c>
      <c r="C2819" s="2">
        <v>119138098</v>
      </c>
      <c r="D2819" s="2">
        <v>119927262</v>
      </c>
      <c r="E2819" s="2">
        <v>1</v>
      </c>
      <c r="F2819" s="2" t="s">
        <v>10086</v>
      </c>
      <c r="H2819" s="2">
        <v>6.8999999999999999E-3</v>
      </c>
      <c r="K2819" s="2" t="s">
        <v>10085</v>
      </c>
    </row>
    <row r="2820" spans="1:11" x14ac:dyDescent="0.2">
      <c r="A2820" s="2">
        <v>706</v>
      </c>
      <c r="B2820" s="2">
        <v>4</v>
      </c>
      <c r="C2820" s="2">
        <v>119138098</v>
      </c>
      <c r="D2820" s="2">
        <v>119927262</v>
      </c>
      <c r="E2820" s="2">
        <v>2</v>
      </c>
      <c r="F2820" s="2" t="s">
        <v>10086</v>
      </c>
      <c r="H2820" s="2">
        <v>2.5999999999999999E-3</v>
      </c>
      <c r="K2820" s="2" t="s">
        <v>10089</v>
      </c>
    </row>
    <row r="2821" spans="1:11" x14ac:dyDescent="0.2">
      <c r="A2821" s="2">
        <v>706</v>
      </c>
      <c r="B2821" s="2">
        <v>4</v>
      </c>
      <c r="C2821" s="2">
        <v>119138098</v>
      </c>
      <c r="D2821" s="2">
        <v>119927262</v>
      </c>
      <c r="E2821" s="2">
        <v>3</v>
      </c>
      <c r="F2821" s="2" t="s">
        <v>10086</v>
      </c>
      <c r="H2821" s="2">
        <v>1.1999999999999999E-3</v>
      </c>
      <c r="K2821" s="2" t="s">
        <v>12324</v>
      </c>
    </row>
    <row r="2822" spans="1:11" x14ac:dyDescent="0.2">
      <c r="A2822" s="2">
        <v>706</v>
      </c>
      <c r="B2822" s="2">
        <v>4</v>
      </c>
      <c r="C2822" s="2">
        <v>119138098</v>
      </c>
      <c r="D2822" s="2">
        <v>119927262</v>
      </c>
      <c r="E2822" s="2">
        <v>4</v>
      </c>
      <c r="F2822" s="2" t="s">
        <v>10086</v>
      </c>
      <c r="H2822" s="3">
        <v>6.9999999999999999E-4</v>
      </c>
      <c r="K2822" s="2" t="s">
        <v>10088</v>
      </c>
    </row>
    <row r="2823" spans="1:11" x14ac:dyDescent="0.2">
      <c r="A2823" s="2">
        <v>707</v>
      </c>
      <c r="B2823" s="2">
        <v>4</v>
      </c>
      <c r="C2823" s="2">
        <v>119927263</v>
      </c>
      <c r="D2823" s="2">
        <v>120563073</v>
      </c>
      <c r="E2823" s="2">
        <v>1</v>
      </c>
      <c r="F2823" s="2" t="s">
        <v>10086</v>
      </c>
      <c r="H2823" s="3">
        <v>6.9999999999999999E-4</v>
      </c>
      <c r="K2823" s="2" t="s">
        <v>10085</v>
      </c>
    </row>
    <row r="2824" spans="1:11" x14ac:dyDescent="0.2">
      <c r="A2824" s="2">
        <v>707</v>
      </c>
      <c r="B2824" s="2">
        <v>4</v>
      </c>
      <c r="C2824" s="2">
        <v>119927263</v>
      </c>
      <c r="D2824" s="2">
        <v>120563073</v>
      </c>
      <c r="E2824" s="2">
        <v>2</v>
      </c>
      <c r="F2824" s="2" t="s">
        <v>10086</v>
      </c>
      <c r="H2824" s="3">
        <v>8.0000000000000004E-4</v>
      </c>
      <c r="K2824" s="2" t="s">
        <v>10088</v>
      </c>
    </row>
    <row r="2825" spans="1:11" x14ac:dyDescent="0.2">
      <c r="A2825" s="2">
        <v>707</v>
      </c>
      <c r="B2825" s="2">
        <v>4</v>
      </c>
      <c r="C2825" s="2">
        <v>119927263</v>
      </c>
      <c r="D2825" s="2">
        <v>120563073</v>
      </c>
      <c r="E2825" s="2">
        <v>3</v>
      </c>
      <c r="F2825" s="2" t="s">
        <v>10086</v>
      </c>
      <c r="H2825" s="3">
        <v>4.0000000000000002E-4</v>
      </c>
      <c r="K2825" s="2" t="s">
        <v>12324</v>
      </c>
    </row>
    <row r="2826" spans="1:11" x14ac:dyDescent="0.2">
      <c r="A2826" s="2">
        <v>707</v>
      </c>
      <c r="B2826" s="2">
        <v>4</v>
      </c>
      <c r="C2826" s="2">
        <v>119927263</v>
      </c>
      <c r="D2826" s="2">
        <v>120563073</v>
      </c>
      <c r="E2826" s="2">
        <v>4</v>
      </c>
      <c r="F2826" s="2" t="s">
        <v>10086</v>
      </c>
      <c r="H2826" s="3">
        <v>4.0000000000000002E-4</v>
      </c>
      <c r="K2826" s="2" t="s">
        <v>10089</v>
      </c>
    </row>
    <row r="2827" spans="1:11" x14ac:dyDescent="0.2">
      <c r="A2827" s="2">
        <v>708</v>
      </c>
      <c r="B2827" s="2">
        <v>4</v>
      </c>
      <c r="C2827" s="2">
        <v>120563074</v>
      </c>
      <c r="D2827" s="2">
        <v>121393008</v>
      </c>
      <c r="E2827" s="2">
        <v>1</v>
      </c>
      <c r="F2827" s="2" t="s">
        <v>10086</v>
      </c>
      <c r="H2827" s="2">
        <v>1.4E-3</v>
      </c>
      <c r="K2827" s="2" t="s">
        <v>12324</v>
      </c>
    </row>
    <row r="2828" spans="1:11" x14ac:dyDescent="0.2">
      <c r="A2828" s="2">
        <v>708</v>
      </c>
      <c r="B2828" s="2">
        <v>4</v>
      </c>
      <c r="C2828" s="2">
        <v>120563074</v>
      </c>
      <c r="D2828" s="2">
        <v>121393008</v>
      </c>
      <c r="E2828" s="2">
        <v>2</v>
      </c>
      <c r="F2828" s="2" t="s">
        <v>10086</v>
      </c>
      <c r="H2828" s="3">
        <v>6.9999999999999999E-4</v>
      </c>
      <c r="K2828" s="2" t="s">
        <v>10087</v>
      </c>
    </row>
    <row r="2829" spans="1:11" x14ac:dyDescent="0.2">
      <c r="A2829" s="2">
        <v>708</v>
      </c>
      <c r="B2829" s="2">
        <v>4</v>
      </c>
      <c r="C2829" s="2">
        <v>120563074</v>
      </c>
      <c r="D2829" s="2">
        <v>121393008</v>
      </c>
      <c r="E2829" s="2">
        <v>3</v>
      </c>
      <c r="F2829" s="2" t="s">
        <v>10086</v>
      </c>
      <c r="H2829" s="3">
        <v>5.9999999999999995E-4</v>
      </c>
      <c r="K2829" s="2" t="s">
        <v>10089</v>
      </c>
    </row>
    <row r="2830" spans="1:11" x14ac:dyDescent="0.2">
      <c r="A2830" s="2">
        <v>708</v>
      </c>
      <c r="B2830" s="2">
        <v>4</v>
      </c>
      <c r="C2830" s="2">
        <v>120563074</v>
      </c>
      <c r="D2830" s="2">
        <v>121393008</v>
      </c>
      <c r="E2830" s="2">
        <v>4</v>
      </c>
      <c r="F2830" s="2" t="s">
        <v>10086</v>
      </c>
      <c r="H2830" s="3">
        <v>5.0000000000000001E-4</v>
      </c>
      <c r="K2830" s="2" t="s">
        <v>10085</v>
      </c>
    </row>
    <row r="2831" spans="1:11" x14ac:dyDescent="0.2">
      <c r="A2831" s="2">
        <v>709</v>
      </c>
      <c r="B2831" s="2">
        <v>4</v>
      </c>
      <c r="C2831" s="2">
        <v>121393009</v>
      </c>
      <c r="D2831" s="2">
        <v>121981243</v>
      </c>
      <c r="E2831" s="2">
        <v>1</v>
      </c>
      <c r="F2831" s="2" t="s">
        <v>10086</v>
      </c>
      <c r="H2831" s="2">
        <v>1.2999999999999999E-3</v>
      </c>
      <c r="K2831" s="2" t="s">
        <v>10087</v>
      </c>
    </row>
    <row r="2832" spans="1:11" x14ac:dyDescent="0.2">
      <c r="A2832" s="2">
        <v>709</v>
      </c>
      <c r="B2832" s="2">
        <v>4</v>
      </c>
      <c r="C2832" s="2">
        <v>121393009</v>
      </c>
      <c r="D2832" s="2">
        <v>121981243</v>
      </c>
      <c r="E2832" s="2">
        <v>2</v>
      </c>
      <c r="F2832" s="2" t="s">
        <v>10086</v>
      </c>
      <c r="H2832" s="3">
        <v>8.9999999999999998E-4</v>
      </c>
      <c r="K2832" s="2" t="s">
        <v>10085</v>
      </c>
    </row>
    <row r="2833" spans="1:11" x14ac:dyDescent="0.2">
      <c r="A2833" s="2">
        <v>709</v>
      </c>
      <c r="B2833" s="2">
        <v>4</v>
      </c>
      <c r="C2833" s="2">
        <v>121393009</v>
      </c>
      <c r="D2833" s="2">
        <v>121981243</v>
      </c>
      <c r="E2833" s="2">
        <v>3</v>
      </c>
      <c r="F2833" s="2" t="s">
        <v>10086</v>
      </c>
      <c r="H2833" s="3">
        <v>5.9999999999999995E-4</v>
      </c>
      <c r="K2833" s="2" t="s">
        <v>10088</v>
      </c>
    </row>
    <row r="2834" spans="1:11" x14ac:dyDescent="0.2">
      <c r="A2834" s="2">
        <v>709</v>
      </c>
      <c r="B2834" s="2">
        <v>4</v>
      </c>
      <c r="C2834" s="2">
        <v>121393009</v>
      </c>
      <c r="D2834" s="2">
        <v>121981243</v>
      </c>
      <c r="E2834" s="2">
        <v>4</v>
      </c>
      <c r="F2834" s="2" t="s">
        <v>10086</v>
      </c>
      <c r="H2834" s="3">
        <v>2.9999999999999997E-4</v>
      </c>
      <c r="K2834" s="2" t="s">
        <v>10089</v>
      </c>
    </row>
    <row r="2835" spans="1:11" x14ac:dyDescent="0.2">
      <c r="A2835" s="2">
        <v>710</v>
      </c>
      <c r="B2835" s="2">
        <v>4</v>
      </c>
      <c r="C2835" s="2">
        <v>121981244</v>
      </c>
      <c r="D2835" s="2">
        <v>122655434</v>
      </c>
      <c r="E2835" s="2">
        <v>1</v>
      </c>
      <c r="F2835" s="2" t="s">
        <v>10086</v>
      </c>
      <c r="H2835" s="2">
        <v>2.8999999999999998E-3</v>
      </c>
      <c r="K2835" s="2" t="s">
        <v>10087</v>
      </c>
    </row>
    <row r="2836" spans="1:11" x14ac:dyDescent="0.2">
      <c r="A2836" s="2">
        <v>710</v>
      </c>
      <c r="B2836" s="2">
        <v>4</v>
      </c>
      <c r="C2836" s="2">
        <v>121981244</v>
      </c>
      <c r="D2836" s="2">
        <v>122655434</v>
      </c>
      <c r="E2836" s="2">
        <v>2</v>
      </c>
      <c r="F2836" s="2" t="s">
        <v>10086</v>
      </c>
      <c r="H2836" s="2">
        <v>2.0999999999999999E-3</v>
      </c>
      <c r="K2836" s="2" t="s">
        <v>12324</v>
      </c>
    </row>
    <row r="2837" spans="1:11" x14ac:dyDescent="0.2">
      <c r="A2837" s="2">
        <v>710</v>
      </c>
      <c r="B2837" s="2">
        <v>4</v>
      </c>
      <c r="C2837" s="2">
        <v>121981244</v>
      </c>
      <c r="D2837" s="2">
        <v>122655434</v>
      </c>
      <c r="E2837" s="2">
        <v>3</v>
      </c>
      <c r="F2837" s="2" t="s">
        <v>10086</v>
      </c>
      <c r="H2837" s="2">
        <v>1.1000000000000001E-3</v>
      </c>
      <c r="K2837" s="2" t="s">
        <v>10085</v>
      </c>
    </row>
    <row r="2838" spans="1:11" x14ac:dyDescent="0.2">
      <c r="A2838" s="2">
        <v>710</v>
      </c>
      <c r="B2838" s="2">
        <v>4</v>
      </c>
      <c r="C2838" s="2">
        <v>121981244</v>
      </c>
      <c r="D2838" s="2">
        <v>122655434</v>
      </c>
      <c r="E2838" s="2">
        <v>4</v>
      </c>
      <c r="F2838" s="2" t="s">
        <v>10086</v>
      </c>
      <c r="H2838" s="3">
        <v>6.9999999999999999E-4</v>
      </c>
      <c r="K2838" s="2" t="s">
        <v>10089</v>
      </c>
    </row>
    <row r="2839" spans="1:11" x14ac:dyDescent="0.2">
      <c r="A2839" s="2">
        <v>711</v>
      </c>
      <c r="B2839" s="2">
        <v>4</v>
      </c>
      <c r="C2839" s="2">
        <v>122655435</v>
      </c>
      <c r="D2839" s="2">
        <v>123768693</v>
      </c>
      <c r="E2839" s="2">
        <v>1</v>
      </c>
      <c r="F2839" s="2" t="s">
        <v>10086</v>
      </c>
      <c r="H2839" s="2">
        <v>1.2999999999999999E-3</v>
      </c>
      <c r="K2839" s="2" t="s">
        <v>10088</v>
      </c>
    </row>
    <row r="2840" spans="1:11" x14ac:dyDescent="0.2">
      <c r="A2840" s="2">
        <v>711</v>
      </c>
      <c r="B2840" s="2">
        <v>4</v>
      </c>
      <c r="C2840" s="2">
        <v>122655435</v>
      </c>
      <c r="D2840" s="2">
        <v>123768693</v>
      </c>
      <c r="E2840" s="2">
        <v>2</v>
      </c>
      <c r="F2840" s="2" t="s">
        <v>10086</v>
      </c>
      <c r="H2840" s="3">
        <v>6.9999999999999999E-4</v>
      </c>
      <c r="K2840" s="2" t="s">
        <v>10085</v>
      </c>
    </row>
    <row r="2841" spans="1:11" x14ac:dyDescent="0.2">
      <c r="A2841" s="2">
        <v>711</v>
      </c>
      <c r="B2841" s="2">
        <v>4</v>
      </c>
      <c r="C2841" s="2">
        <v>122655435</v>
      </c>
      <c r="D2841" s="2">
        <v>123768693</v>
      </c>
      <c r="E2841" s="2">
        <v>3</v>
      </c>
      <c r="F2841" s="2" t="s">
        <v>10086</v>
      </c>
      <c r="H2841" s="3">
        <v>5.0000000000000001E-4</v>
      </c>
      <c r="K2841" s="2" t="s">
        <v>10089</v>
      </c>
    </row>
    <row r="2842" spans="1:11" x14ac:dyDescent="0.2">
      <c r="A2842" s="2">
        <v>711</v>
      </c>
      <c r="B2842" s="2">
        <v>4</v>
      </c>
      <c r="C2842" s="2">
        <v>122655435</v>
      </c>
      <c r="D2842" s="2">
        <v>123768693</v>
      </c>
      <c r="E2842" s="2">
        <v>4</v>
      </c>
      <c r="F2842" s="2" t="s">
        <v>10086</v>
      </c>
      <c r="H2842" s="3">
        <v>2.0000000000000001E-4</v>
      </c>
      <c r="K2842" s="2" t="s">
        <v>10087</v>
      </c>
    </row>
    <row r="2843" spans="1:11" x14ac:dyDescent="0.2">
      <c r="A2843" s="2">
        <v>712</v>
      </c>
      <c r="B2843" s="2">
        <v>4</v>
      </c>
      <c r="C2843" s="2">
        <v>123768694</v>
      </c>
      <c r="D2843" s="2">
        <v>124534997</v>
      </c>
      <c r="E2843" s="2">
        <v>1</v>
      </c>
      <c r="F2843" s="2" t="s">
        <v>10086</v>
      </c>
      <c r="H2843" s="2">
        <v>1.1999999999999999E-3</v>
      </c>
      <c r="K2843" s="2" t="s">
        <v>10089</v>
      </c>
    </row>
    <row r="2844" spans="1:11" x14ac:dyDescent="0.2">
      <c r="A2844" s="2">
        <v>712</v>
      </c>
      <c r="B2844" s="2">
        <v>4</v>
      </c>
      <c r="C2844" s="2">
        <v>123768694</v>
      </c>
      <c r="D2844" s="2">
        <v>124534997</v>
      </c>
      <c r="E2844" s="2">
        <v>2</v>
      </c>
      <c r="F2844" s="2" t="s">
        <v>10086</v>
      </c>
      <c r="H2844" s="2">
        <v>1E-3</v>
      </c>
      <c r="K2844" s="2" t="s">
        <v>10085</v>
      </c>
    </row>
    <row r="2845" spans="1:11" x14ac:dyDescent="0.2">
      <c r="A2845" s="2">
        <v>712</v>
      </c>
      <c r="B2845" s="2">
        <v>4</v>
      </c>
      <c r="C2845" s="2">
        <v>123768694</v>
      </c>
      <c r="D2845" s="2">
        <v>124534997</v>
      </c>
      <c r="E2845" s="2">
        <v>3</v>
      </c>
      <c r="F2845" s="2" t="s">
        <v>10086</v>
      </c>
      <c r="H2845" s="3">
        <v>5.9999999999999995E-4</v>
      </c>
      <c r="K2845" s="2" t="s">
        <v>10088</v>
      </c>
    </row>
    <row r="2846" spans="1:11" x14ac:dyDescent="0.2">
      <c r="A2846" s="2">
        <v>712</v>
      </c>
      <c r="B2846" s="2">
        <v>4</v>
      </c>
      <c r="C2846" s="2">
        <v>123768694</v>
      </c>
      <c r="D2846" s="2">
        <v>124534997</v>
      </c>
      <c r="E2846" s="2">
        <v>4</v>
      </c>
      <c r="F2846" s="2" t="s">
        <v>10086</v>
      </c>
      <c r="H2846" s="3">
        <v>5.0000000000000001E-4</v>
      </c>
      <c r="K2846" s="2" t="s">
        <v>10087</v>
      </c>
    </row>
    <row r="2847" spans="1:11" x14ac:dyDescent="0.2">
      <c r="A2847" s="2">
        <v>713</v>
      </c>
      <c r="B2847" s="2">
        <v>4</v>
      </c>
      <c r="C2847" s="2">
        <v>124534998</v>
      </c>
      <c r="D2847" s="2">
        <v>125486535</v>
      </c>
      <c r="E2847" s="2">
        <v>1</v>
      </c>
      <c r="F2847" s="2" t="s">
        <v>10086</v>
      </c>
      <c r="H2847" s="2">
        <v>1.4E-3</v>
      </c>
      <c r="K2847" s="2" t="s">
        <v>10087</v>
      </c>
    </row>
    <row r="2848" spans="1:11" x14ac:dyDescent="0.2">
      <c r="A2848" s="2">
        <v>713</v>
      </c>
      <c r="B2848" s="2">
        <v>4</v>
      </c>
      <c r="C2848" s="2">
        <v>124534998</v>
      </c>
      <c r="D2848" s="2">
        <v>125486535</v>
      </c>
      <c r="E2848" s="2">
        <v>2</v>
      </c>
      <c r="F2848" s="2" t="s">
        <v>10086</v>
      </c>
      <c r="H2848" s="2">
        <v>1E-3</v>
      </c>
      <c r="K2848" s="2" t="s">
        <v>10085</v>
      </c>
    </row>
    <row r="2849" spans="1:11" x14ac:dyDescent="0.2">
      <c r="A2849" s="2">
        <v>713</v>
      </c>
      <c r="B2849" s="2">
        <v>4</v>
      </c>
      <c r="C2849" s="2">
        <v>124534998</v>
      </c>
      <c r="D2849" s="2">
        <v>125486535</v>
      </c>
      <c r="E2849" s="2">
        <v>3</v>
      </c>
      <c r="F2849" s="2" t="s">
        <v>10086</v>
      </c>
      <c r="H2849" s="3">
        <v>8.9999999999999998E-4</v>
      </c>
      <c r="K2849" s="2" t="s">
        <v>10089</v>
      </c>
    </row>
    <row r="2850" spans="1:11" x14ac:dyDescent="0.2">
      <c r="A2850" s="2">
        <v>713</v>
      </c>
      <c r="B2850" s="2">
        <v>4</v>
      </c>
      <c r="C2850" s="2">
        <v>124534998</v>
      </c>
      <c r="D2850" s="2">
        <v>125486535</v>
      </c>
      <c r="E2850" s="2">
        <v>4</v>
      </c>
      <c r="F2850" s="2" t="s">
        <v>10086</v>
      </c>
      <c r="H2850" s="3">
        <v>2.9999999999999997E-4</v>
      </c>
      <c r="K2850" s="2" t="s">
        <v>10088</v>
      </c>
    </row>
    <row r="2851" spans="1:11" x14ac:dyDescent="0.2">
      <c r="A2851" s="2">
        <v>714</v>
      </c>
      <c r="B2851" s="2">
        <v>4</v>
      </c>
      <c r="C2851" s="2">
        <v>125486536</v>
      </c>
      <c r="D2851" s="2">
        <v>126476842</v>
      </c>
      <c r="E2851" s="2">
        <v>1</v>
      </c>
      <c r="F2851" s="2" t="s">
        <v>10086</v>
      </c>
      <c r="H2851" s="2">
        <v>9.4999999999999998E-3</v>
      </c>
      <c r="K2851" s="2" t="s">
        <v>10089</v>
      </c>
    </row>
    <row r="2852" spans="1:11" x14ac:dyDescent="0.2">
      <c r="A2852" s="2">
        <v>714</v>
      </c>
      <c r="B2852" s="2">
        <v>4</v>
      </c>
      <c r="C2852" s="2">
        <v>125486536</v>
      </c>
      <c r="D2852" s="2">
        <v>126476842</v>
      </c>
      <c r="E2852" s="2">
        <v>2</v>
      </c>
      <c r="F2852" s="2" t="s">
        <v>10086</v>
      </c>
      <c r="H2852" s="2">
        <v>5.1999999999999998E-3</v>
      </c>
      <c r="K2852" s="2" t="s">
        <v>10087</v>
      </c>
    </row>
    <row r="2853" spans="1:11" x14ac:dyDescent="0.2">
      <c r="A2853" s="2">
        <v>714</v>
      </c>
      <c r="B2853" s="2">
        <v>4</v>
      </c>
      <c r="C2853" s="2">
        <v>125486536</v>
      </c>
      <c r="D2853" s="2">
        <v>126476842</v>
      </c>
      <c r="E2853" s="2">
        <v>3</v>
      </c>
      <c r="F2853" s="2" t="s">
        <v>10086</v>
      </c>
      <c r="H2853" s="2">
        <v>2.7000000000000001E-3</v>
      </c>
      <c r="K2853" s="2" t="s">
        <v>10088</v>
      </c>
    </row>
    <row r="2854" spans="1:11" x14ac:dyDescent="0.2">
      <c r="A2854" s="2">
        <v>714</v>
      </c>
      <c r="B2854" s="2">
        <v>4</v>
      </c>
      <c r="C2854" s="2">
        <v>125486536</v>
      </c>
      <c r="D2854" s="2">
        <v>126476842</v>
      </c>
      <c r="E2854" s="2">
        <v>4</v>
      </c>
      <c r="F2854" s="2" t="s">
        <v>10086</v>
      </c>
      <c r="H2854" s="2">
        <v>2E-3</v>
      </c>
      <c r="K2854" s="2" t="s">
        <v>12324</v>
      </c>
    </row>
    <row r="2855" spans="1:11" x14ac:dyDescent="0.2">
      <c r="A2855" s="2">
        <v>715</v>
      </c>
      <c r="B2855" s="2">
        <v>4</v>
      </c>
      <c r="C2855" s="2">
        <v>126476843</v>
      </c>
      <c r="D2855" s="2">
        <v>127279171</v>
      </c>
      <c r="E2855" s="2">
        <v>1</v>
      </c>
      <c r="F2855" s="2" t="s">
        <v>10086</v>
      </c>
      <c r="H2855" s="2">
        <v>2.7000000000000001E-3</v>
      </c>
      <c r="K2855" s="2" t="s">
        <v>10085</v>
      </c>
    </row>
    <row r="2856" spans="1:11" x14ac:dyDescent="0.2">
      <c r="A2856" s="2">
        <v>715</v>
      </c>
      <c r="B2856" s="2">
        <v>4</v>
      </c>
      <c r="C2856" s="2">
        <v>126476843</v>
      </c>
      <c r="D2856" s="2">
        <v>127279171</v>
      </c>
      <c r="E2856" s="2">
        <v>2</v>
      </c>
      <c r="F2856" s="2" t="s">
        <v>10086</v>
      </c>
      <c r="H2856" s="2">
        <v>1.4E-3</v>
      </c>
      <c r="K2856" s="2" t="s">
        <v>10089</v>
      </c>
    </row>
    <row r="2857" spans="1:11" x14ac:dyDescent="0.2">
      <c r="A2857" s="2">
        <v>715</v>
      </c>
      <c r="B2857" s="2">
        <v>4</v>
      </c>
      <c r="C2857" s="2">
        <v>126476843</v>
      </c>
      <c r="D2857" s="2">
        <v>127279171</v>
      </c>
      <c r="E2857" s="2">
        <v>3</v>
      </c>
      <c r="F2857" s="2" t="s">
        <v>10086</v>
      </c>
      <c r="H2857" s="3">
        <v>8.0000000000000004E-4</v>
      </c>
      <c r="K2857" s="2" t="s">
        <v>10087</v>
      </c>
    </row>
    <row r="2858" spans="1:11" x14ac:dyDescent="0.2">
      <c r="A2858" s="2">
        <v>715</v>
      </c>
      <c r="B2858" s="2">
        <v>4</v>
      </c>
      <c r="C2858" s="2">
        <v>126476843</v>
      </c>
      <c r="D2858" s="2">
        <v>127279171</v>
      </c>
      <c r="E2858" s="2">
        <v>4</v>
      </c>
      <c r="F2858" s="2" t="s">
        <v>10086</v>
      </c>
      <c r="H2858" s="3">
        <v>2.9999999999999997E-4</v>
      </c>
      <c r="K2858" s="2" t="s">
        <v>10088</v>
      </c>
    </row>
    <row r="2859" spans="1:11" x14ac:dyDescent="0.2">
      <c r="A2859" s="2">
        <v>716</v>
      </c>
      <c r="B2859" s="2">
        <v>4</v>
      </c>
      <c r="C2859" s="2">
        <v>127279172</v>
      </c>
      <c r="D2859" s="2">
        <v>128321876</v>
      </c>
      <c r="E2859" s="2">
        <v>1</v>
      </c>
      <c r="F2859" s="2" t="s">
        <v>10086</v>
      </c>
      <c r="H2859" s="2">
        <v>6.1000000000000004E-3</v>
      </c>
      <c r="K2859" s="2" t="s">
        <v>10087</v>
      </c>
    </row>
    <row r="2860" spans="1:11" x14ac:dyDescent="0.2">
      <c r="A2860" s="2">
        <v>716</v>
      </c>
      <c r="B2860" s="2">
        <v>4</v>
      </c>
      <c r="C2860" s="2">
        <v>127279172</v>
      </c>
      <c r="D2860" s="2">
        <v>128321876</v>
      </c>
      <c r="E2860" s="2">
        <v>2</v>
      </c>
      <c r="F2860" s="2" t="s">
        <v>10086</v>
      </c>
      <c r="H2860" s="2">
        <v>1.2999999999999999E-3</v>
      </c>
      <c r="K2860" s="2" t="s">
        <v>10089</v>
      </c>
    </row>
    <row r="2861" spans="1:11" x14ac:dyDescent="0.2">
      <c r="A2861" s="2">
        <v>716</v>
      </c>
      <c r="B2861" s="2">
        <v>4</v>
      </c>
      <c r="C2861" s="2">
        <v>127279172</v>
      </c>
      <c r="D2861" s="2">
        <v>128321876</v>
      </c>
      <c r="E2861" s="2">
        <v>3</v>
      </c>
      <c r="F2861" s="2" t="s">
        <v>10086</v>
      </c>
      <c r="H2861" s="3">
        <v>8.0000000000000004E-4</v>
      </c>
      <c r="K2861" s="2" t="s">
        <v>10085</v>
      </c>
    </row>
    <row r="2862" spans="1:11" x14ac:dyDescent="0.2">
      <c r="A2862" s="2">
        <v>716</v>
      </c>
      <c r="B2862" s="2">
        <v>4</v>
      </c>
      <c r="C2862" s="2">
        <v>127279172</v>
      </c>
      <c r="D2862" s="2">
        <v>128321876</v>
      </c>
      <c r="E2862" s="2">
        <v>4</v>
      </c>
      <c r="F2862" s="2" t="s">
        <v>10086</v>
      </c>
      <c r="H2862" s="3">
        <v>4.0000000000000002E-4</v>
      </c>
      <c r="K2862" s="2" t="s">
        <v>10088</v>
      </c>
    </row>
    <row r="2863" spans="1:11" x14ac:dyDescent="0.2">
      <c r="A2863" s="2">
        <v>717</v>
      </c>
      <c r="B2863" s="2">
        <v>4</v>
      </c>
      <c r="C2863" s="2">
        <v>128321877</v>
      </c>
      <c r="D2863" s="2">
        <v>129625376</v>
      </c>
      <c r="E2863" s="2">
        <v>1</v>
      </c>
      <c r="F2863" s="2" t="s">
        <v>10086</v>
      </c>
      <c r="H2863" s="2">
        <v>4.1000000000000003E-3</v>
      </c>
      <c r="K2863" s="2" t="s">
        <v>10089</v>
      </c>
    </row>
    <row r="2864" spans="1:11" x14ac:dyDescent="0.2">
      <c r="A2864" s="2">
        <v>717</v>
      </c>
      <c r="B2864" s="2">
        <v>4</v>
      </c>
      <c r="C2864" s="2">
        <v>128321877</v>
      </c>
      <c r="D2864" s="2">
        <v>129625376</v>
      </c>
      <c r="E2864" s="2">
        <v>2</v>
      </c>
      <c r="F2864" s="2" t="s">
        <v>10086</v>
      </c>
      <c r="H2864" s="2">
        <v>1.1999999999999999E-3</v>
      </c>
      <c r="K2864" s="2" t="s">
        <v>10087</v>
      </c>
    </row>
    <row r="2865" spans="1:11" x14ac:dyDescent="0.2">
      <c r="A2865" s="2">
        <v>717</v>
      </c>
      <c r="B2865" s="2">
        <v>4</v>
      </c>
      <c r="C2865" s="2">
        <v>128321877</v>
      </c>
      <c r="D2865" s="2">
        <v>129625376</v>
      </c>
      <c r="E2865" s="2">
        <v>3</v>
      </c>
      <c r="F2865" s="2" t="s">
        <v>10086</v>
      </c>
      <c r="H2865" s="2">
        <v>1.1000000000000001E-3</v>
      </c>
      <c r="K2865" s="2" t="s">
        <v>10088</v>
      </c>
    </row>
    <row r="2866" spans="1:11" x14ac:dyDescent="0.2">
      <c r="A2866" s="2">
        <v>717</v>
      </c>
      <c r="B2866" s="2">
        <v>4</v>
      </c>
      <c r="C2866" s="2">
        <v>128321877</v>
      </c>
      <c r="D2866" s="2">
        <v>129625376</v>
      </c>
      <c r="E2866" s="2">
        <v>4</v>
      </c>
      <c r="F2866" s="2" t="s">
        <v>10086</v>
      </c>
      <c r="H2866" s="3">
        <v>8.0000000000000004E-4</v>
      </c>
      <c r="K2866" s="2" t="s">
        <v>12324</v>
      </c>
    </row>
    <row r="2867" spans="1:11" x14ac:dyDescent="0.2">
      <c r="A2867" s="2">
        <v>718</v>
      </c>
      <c r="B2867" s="2">
        <v>4</v>
      </c>
      <c r="C2867" s="2">
        <v>129625377</v>
      </c>
      <c r="D2867" s="2">
        <v>131098950</v>
      </c>
      <c r="E2867" s="2">
        <v>1</v>
      </c>
      <c r="F2867" s="2" t="s">
        <v>10086</v>
      </c>
      <c r="H2867" s="2">
        <v>1.6999999999999999E-3</v>
      </c>
      <c r="K2867" s="2" t="s">
        <v>10088</v>
      </c>
    </row>
    <row r="2868" spans="1:11" x14ac:dyDescent="0.2">
      <c r="A2868" s="2">
        <v>718</v>
      </c>
      <c r="B2868" s="2">
        <v>4</v>
      </c>
      <c r="C2868" s="2">
        <v>129625377</v>
      </c>
      <c r="D2868" s="2">
        <v>131098950</v>
      </c>
      <c r="E2868" s="2">
        <v>2</v>
      </c>
      <c r="F2868" s="2" t="s">
        <v>10086</v>
      </c>
      <c r="H2868" s="2">
        <v>1.4E-3</v>
      </c>
      <c r="K2868" s="2" t="s">
        <v>10087</v>
      </c>
    </row>
    <row r="2869" spans="1:11" x14ac:dyDescent="0.2">
      <c r="A2869" s="2">
        <v>718</v>
      </c>
      <c r="B2869" s="2">
        <v>4</v>
      </c>
      <c r="C2869" s="2">
        <v>129625377</v>
      </c>
      <c r="D2869" s="2">
        <v>131098950</v>
      </c>
      <c r="E2869" s="2">
        <v>3</v>
      </c>
      <c r="F2869" s="2" t="s">
        <v>10086</v>
      </c>
      <c r="H2869" s="2">
        <v>1.2999999999999999E-3</v>
      </c>
      <c r="K2869" s="2" t="s">
        <v>10089</v>
      </c>
    </row>
    <row r="2870" spans="1:11" x14ac:dyDescent="0.2">
      <c r="A2870" s="2">
        <v>718</v>
      </c>
      <c r="B2870" s="2">
        <v>4</v>
      </c>
      <c r="C2870" s="2">
        <v>129625377</v>
      </c>
      <c r="D2870" s="2">
        <v>131098950</v>
      </c>
      <c r="E2870" s="2">
        <v>4</v>
      </c>
      <c r="F2870" s="2" t="s">
        <v>10086</v>
      </c>
      <c r="H2870" s="3">
        <v>5.9999999999999995E-4</v>
      </c>
      <c r="K2870" s="2" t="s">
        <v>10085</v>
      </c>
    </row>
    <row r="2871" spans="1:11" x14ac:dyDescent="0.2">
      <c r="A2871" s="2">
        <v>719</v>
      </c>
      <c r="B2871" s="2">
        <v>4</v>
      </c>
      <c r="C2871" s="2">
        <v>131098951</v>
      </c>
      <c r="D2871" s="2">
        <v>131873453</v>
      </c>
      <c r="E2871" s="2">
        <v>1</v>
      </c>
      <c r="F2871" s="2" t="s">
        <v>10086</v>
      </c>
      <c r="H2871" s="2">
        <v>2.5999999999999999E-3</v>
      </c>
      <c r="K2871" s="2" t="s">
        <v>10087</v>
      </c>
    </row>
    <row r="2872" spans="1:11" x14ac:dyDescent="0.2">
      <c r="A2872" s="2">
        <v>719</v>
      </c>
      <c r="B2872" s="2">
        <v>4</v>
      </c>
      <c r="C2872" s="2">
        <v>131098951</v>
      </c>
      <c r="D2872" s="2">
        <v>131873453</v>
      </c>
      <c r="E2872" s="2">
        <v>2</v>
      </c>
      <c r="F2872" s="2" t="s">
        <v>10086</v>
      </c>
      <c r="H2872" s="2">
        <v>2.0999999999999999E-3</v>
      </c>
      <c r="K2872" s="2" t="s">
        <v>10085</v>
      </c>
    </row>
    <row r="2873" spans="1:11" x14ac:dyDescent="0.2">
      <c r="A2873" s="2">
        <v>719</v>
      </c>
      <c r="B2873" s="2">
        <v>4</v>
      </c>
      <c r="C2873" s="2">
        <v>131098951</v>
      </c>
      <c r="D2873" s="2">
        <v>131873453</v>
      </c>
      <c r="E2873" s="2">
        <v>3</v>
      </c>
      <c r="F2873" s="2" t="s">
        <v>10086</v>
      </c>
      <c r="H2873" s="2">
        <v>3.5000000000000001E-3</v>
      </c>
      <c r="K2873" s="2" t="s">
        <v>12324</v>
      </c>
    </row>
    <row r="2874" spans="1:11" x14ac:dyDescent="0.2">
      <c r="A2874" s="2">
        <v>719</v>
      </c>
      <c r="B2874" s="2">
        <v>4</v>
      </c>
      <c r="C2874" s="2">
        <v>131098951</v>
      </c>
      <c r="D2874" s="2">
        <v>131873453</v>
      </c>
      <c r="E2874" s="2">
        <v>4</v>
      </c>
      <c r="F2874" s="2" t="s">
        <v>10086</v>
      </c>
      <c r="H2874" s="3">
        <v>5.9999999999999995E-4</v>
      </c>
      <c r="K2874" s="2" t="s">
        <v>10089</v>
      </c>
    </row>
    <row r="2875" spans="1:11" x14ac:dyDescent="0.2">
      <c r="A2875" s="2">
        <v>720</v>
      </c>
      <c r="B2875" s="2">
        <v>4</v>
      </c>
      <c r="C2875" s="2">
        <v>131873454</v>
      </c>
      <c r="D2875" s="2">
        <v>132801980</v>
      </c>
      <c r="E2875" s="2">
        <v>1</v>
      </c>
      <c r="F2875" s="2" t="s">
        <v>10086</v>
      </c>
      <c r="H2875" s="2">
        <v>3.5000000000000001E-3</v>
      </c>
      <c r="K2875" s="2" t="s">
        <v>10085</v>
      </c>
    </row>
    <row r="2876" spans="1:11" x14ac:dyDescent="0.2">
      <c r="A2876" s="2">
        <v>720</v>
      </c>
      <c r="B2876" s="2">
        <v>4</v>
      </c>
      <c r="C2876" s="2">
        <v>131873454</v>
      </c>
      <c r="D2876" s="2">
        <v>132801980</v>
      </c>
      <c r="E2876" s="2">
        <v>2</v>
      </c>
      <c r="F2876" s="2" t="s">
        <v>10086</v>
      </c>
      <c r="H2876" s="2">
        <v>1.4E-3</v>
      </c>
      <c r="K2876" s="2" t="s">
        <v>10088</v>
      </c>
    </row>
    <row r="2877" spans="1:11" x14ac:dyDescent="0.2">
      <c r="A2877" s="2">
        <v>720</v>
      </c>
      <c r="B2877" s="2">
        <v>4</v>
      </c>
      <c r="C2877" s="2">
        <v>131873454</v>
      </c>
      <c r="D2877" s="2">
        <v>132801980</v>
      </c>
      <c r="E2877" s="2">
        <v>3</v>
      </c>
      <c r="F2877" s="2" t="s">
        <v>10086</v>
      </c>
      <c r="H2877" s="3">
        <v>5.0000000000000001E-4</v>
      </c>
      <c r="K2877" s="2" t="s">
        <v>10089</v>
      </c>
    </row>
    <row r="2878" spans="1:11" x14ac:dyDescent="0.2">
      <c r="A2878" s="2">
        <v>720</v>
      </c>
      <c r="B2878" s="2">
        <v>4</v>
      </c>
      <c r="C2878" s="2">
        <v>131873454</v>
      </c>
      <c r="D2878" s="2">
        <v>132801980</v>
      </c>
      <c r="E2878" s="2">
        <v>4</v>
      </c>
      <c r="F2878" s="2" t="s">
        <v>10086</v>
      </c>
      <c r="H2878" s="3">
        <v>2.0000000000000001E-4</v>
      </c>
      <c r="K2878" s="2" t="s">
        <v>10087</v>
      </c>
    </row>
    <row r="2879" spans="1:11" x14ac:dyDescent="0.2">
      <c r="A2879" s="2">
        <v>721</v>
      </c>
      <c r="B2879" s="2">
        <v>4</v>
      </c>
      <c r="C2879" s="2">
        <v>132801981</v>
      </c>
      <c r="D2879" s="2">
        <v>133524886</v>
      </c>
      <c r="E2879" s="2">
        <v>1</v>
      </c>
      <c r="F2879" s="2" t="s">
        <v>10086</v>
      </c>
      <c r="H2879" s="2">
        <v>1.1000000000000001E-3</v>
      </c>
      <c r="K2879" s="2" t="s">
        <v>10088</v>
      </c>
    </row>
    <row r="2880" spans="1:11" x14ac:dyDescent="0.2">
      <c r="A2880" s="2">
        <v>721</v>
      </c>
      <c r="B2880" s="2">
        <v>4</v>
      </c>
      <c r="C2880" s="2">
        <v>132801981</v>
      </c>
      <c r="D2880" s="2">
        <v>133524886</v>
      </c>
      <c r="E2880" s="2">
        <v>2</v>
      </c>
      <c r="F2880" s="2" t="s">
        <v>10086</v>
      </c>
      <c r="H2880" s="3">
        <v>8.0000000000000004E-4</v>
      </c>
      <c r="K2880" s="2" t="s">
        <v>10085</v>
      </c>
    </row>
    <row r="2881" spans="1:11" x14ac:dyDescent="0.2">
      <c r="A2881" s="2">
        <v>721</v>
      </c>
      <c r="B2881" s="2">
        <v>4</v>
      </c>
      <c r="C2881" s="2">
        <v>132801981</v>
      </c>
      <c r="D2881" s="2">
        <v>133524886</v>
      </c>
      <c r="E2881" s="2">
        <v>3</v>
      </c>
      <c r="F2881" s="2" t="s">
        <v>10086</v>
      </c>
      <c r="H2881" s="3">
        <v>5.9999999999999995E-4</v>
      </c>
      <c r="K2881" s="2" t="s">
        <v>10087</v>
      </c>
    </row>
    <row r="2882" spans="1:11" x14ac:dyDescent="0.2">
      <c r="A2882" s="2">
        <v>721</v>
      </c>
      <c r="B2882" s="2">
        <v>4</v>
      </c>
      <c r="C2882" s="2">
        <v>132801981</v>
      </c>
      <c r="D2882" s="2">
        <v>133524886</v>
      </c>
      <c r="E2882" s="2">
        <v>4</v>
      </c>
      <c r="F2882" s="2" t="s">
        <v>10086</v>
      </c>
      <c r="H2882" s="3">
        <v>2.0000000000000001E-4</v>
      </c>
      <c r="K2882" s="2" t="s">
        <v>10089</v>
      </c>
    </row>
    <row r="2883" spans="1:11" x14ac:dyDescent="0.2">
      <c r="A2883" s="2">
        <v>722</v>
      </c>
      <c r="B2883" s="2">
        <v>4</v>
      </c>
      <c r="C2883" s="2">
        <v>133524887</v>
      </c>
      <c r="D2883" s="2">
        <v>134109978</v>
      </c>
      <c r="E2883" s="2">
        <v>1</v>
      </c>
      <c r="F2883" s="2" t="s">
        <v>10086</v>
      </c>
      <c r="H2883" s="2">
        <v>1.5E-3</v>
      </c>
      <c r="K2883" s="2" t="s">
        <v>10087</v>
      </c>
    </row>
    <row r="2884" spans="1:11" x14ac:dyDescent="0.2">
      <c r="A2884" s="2">
        <v>722</v>
      </c>
      <c r="B2884" s="2">
        <v>4</v>
      </c>
      <c r="C2884" s="2">
        <v>133524887</v>
      </c>
      <c r="D2884" s="2">
        <v>134109978</v>
      </c>
      <c r="E2884" s="2">
        <v>2</v>
      </c>
      <c r="F2884" s="2" t="s">
        <v>10086</v>
      </c>
      <c r="H2884" s="2">
        <v>1.4E-3</v>
      </c>
      <c r="K2884" s="2" t="s">
        <v>10088</v>
      </c>
    </row>
    <row r="2885" spans="1:11" x14ac:dyDescent="0.2">
      <c r="A2885" s="2">
        <v>722</v>
      </c>
      <c r="B2885" s="2">
        <v>4</v>
      </c>
      <c r="C2885" s="2">
        <v>133524887</v>
      </c>
      <c r="D2885" s="2">
        <v>134109978</v>
      </c>
      <c r="E2885" s="2">
        <v>3</v>
      </c>
      <c r="F2885" s="2" t="s">
        <v>10086</v>
      </c>
      <c r="H2885" s="2">
        <v>1E-3</v>
      </c>
      <c r="K2885" s="2" t="s">
        <v>10085</v>
      </c>
    </row>
    <row r="2886" spans="1:11" x14ac:dyDescent="0.2">
      <c r="A2886" s="2">
        <v>722</v>
      </c>
      <c r="B2886" s="2">
        <v>4</v>
      </c>
      <c r="C2886" s="2">
        <v>133524887</v>
      </c>
      <c r="D2886" s="2">
        <v>134109978</v>
      </c>
      <c r="E2886" s="2">
        <v>4</v>
      </c>
      <c r="F2886" s="2" t="s">
        <v>10086</v>
      </c>
      <c r="H2886" s="3">
        <v>5.0000000000000001E-4</v>
      </c>
      <c r="K2886" s="2" t="s">
        <v>10089</v>
      </c>
    </row>
    <row r="2887" spans="1:11" x14ac:dyDescent="0.2">
      <c r="A2887" s="2">
        <v>723</v>
      </c>
      <c r="B2887" s="2">
        <v>4</v>
      </c>
      <c r="C2887" s="2">
        <v>134109979</v>
      </c>
      <c r="D2887" s="2">
        <v>135809542</v>
      </c>
      <c r="E2887" s="2">
        <v>1</v>
      </c>
      <c r="F2887" s="2" t="s">
        <v>10086</v>
      </c>
      <c r="H2887" s="2">
        <v>9.4000000000000004E-3</v>
      </c>
      <c r="K2887" s="2" t="s">
        <v>10088</v>
      </c>
    </row>
    <row r="2888" spans="1:11" x14ac:dyDescent="0.2">
      <c r="A2888" s="2">
        <v>723</v>
      </c>
      <c r="B2888" s="2">
        <v>4</v>
      </c>
      <c r="C2888" s="2">
        <v>134109979</v>
      </c>
      <c r="D2888" s="2">
        <v>135809542</v>
      </c>
      <c r="E2888" s="2">
        <v>2</v>
      </c>
      <c r="F2888" s="2" t="s">
        <v>10086</v>
      </c>
      <c r="H2888" s="2">
        <v>2.3E-3</v>
      </c>
      <c r="K2888" s="2" t="s">
        <v>10087</v>
      </c>
    </row>
    <row r="2889" spans="1:11" x14ac:dyDescent="0.2">
      <c r="A2889" s="2">
        <v>723</v>
      </c>
      <c r="B2889" s="2">
        <v>4</v>
      </c>
      <c r="C2889" s="2">
        <v>134109979</v>
      </c>
      <c r="D2889" s="2">
        <v>135809542</v>
      </c>
      <c r="E2889" s="2">
        <v>3</v>
      </c>
      <c r="F2889" s="2" t="s">
        <v>10086</v>
      </c>
      <c r="H2889" s="2">
        <v>1.9E-3</v>
      </c>
      <c r="K2889" s="2" t="s">
        <v>10085</v>
      </c>
    </row>
    <row r="2890" spans="1:11" x14ac:dyDescent="0.2">
      <c r="A2890" s="2">
        <v>723</v>
      </c>
      <c r="B2890" s="2">
        <v>4</v>
      </c>
      <c r="C2890" s="2">
        <v>134109979</v>
      </c>
      <c r="D2890" s="2">
        <v>135809542</v>
      </c>
      <c r="E2890" s="2">
        <v>4</v>
      </c>
      <c r="F2890" s="2" t="s">
        <v>10086</v>
      </c>
      <c r="H2890" s="3">
        <v>6.9999999999999999E-4</v>
      </c>
      <c r="K2890" s="2" t="s">
        <v>10089</v>
      </c>
    </row>
    <row r="2891" spans="1:11" x14ac:dyDescent="0.2">
      <c r="A2891" s="2">
        <v>724</v>
      </c>
      <c r="B2891" s="2">
        <v>4</v>
      </c>
      <c r="C2891" s="2">
        <v>135809543</v>
      </c>
      <c r="D2891" s="2">
        <v>137400031</v>
      </c>
      <c r="E2891" s="2">
        <v>1</v>
      </c>
      <c r="F2891" s="2" t="s">
        <v>10086</v>
      </c>
      <c r="H2891" s="2">
        <v>6.8999999999999999E-3</v>
      </c>
      <c r="K2891" s="2" t="s">
        <v>10085</v>
      </c>
    </row>
    <row r="2892" spans="1:11" x14ac:dyDescent="0.2">
      <c r="A2892" s="2">
        <v>724</v>
      </c>
      <c r="B2892" s="2">
        <v>4</v>
      </c>
      <c r="C2892" s="2">
        <v>135809543</v>
      </c>
      <c r="D2892" s="2">
        <v>137400031</v>
      </c>
      <c r="E2892" s="2">
        <v>2</v>
      </c>
      <c r="F2892" s="2" t="s">
        <v>10086</v>
      </c>
      <c r="H2892" s="2">
        <v>1.2999999999999999E-3</v>
      </c>
      <c r="K2892" s="2" t="s">
        <v>10089</v>
      </c>
    </row>
    <row r="2893" spans="1:11" x14ac:dyDescent="0.2">
      <c r="A2893" s="2">
        <v>724</v>
      </c>
      <c r="B2893" s="2">
        <v>4</v>
      </c>
      <c r="C2893" s="2">
        <v>135809543</v>
      </c>
      <c r="D2893" s="2">
        <v>137400031</v>
      </c>
      <c r="E2893" s="2">
        <v>3</v>
      </c>
      <c r="F2893" s="2" t="s">
        <v>10086</v>
      </c>
      <c r="H2893" s="2">
        <v>2.0999999999999999E-3</v>
      </c>
      <c r="K2893" s="2" t="s">
        <v>10087</v>
      </c>
    </row>
    <row r="2894" spans="1:11" x14ac:dyDescent="0.2">
      <c r="A2894" s="2">
        <v>724</v>
      </c>
      <c r="B2894" s="2">
        <v>4</v>
      </c>
      <c r="C2894" s="2">
        <v>135809543</v>
      </c>
      <c r="D2894" s="2">
        <v>137400031</v>
      </c>
      <c r="E2894" s="2">
        <v>4</v>
      </c>
      <c r="F2894" s="2" t="s">
        <v>10086</v>
      </c>
      <c r="H2894" s="3">
        <v>5.0000000000000001E-4</v>
      </c>
      <c r="K2894" s="2" t="s">
        <v>10088</v>
      </c>
    </row>
    <row r="2895" spans="1:11" x14ac:dyDescent="0.2">
      <c r="A2895" s="2">
        <v>725</v>
      </c>
      <c r="B2895" s="2">
        <v>4</v>
      </c>
      <c r="C2895" s="2">
        <v>137400032</v>
      </c>
      <c r="D2895" s="2">
        <v>138537344</v>
      </c>
      <c r="E2895" s="2">
        <v>1</v>
      </c>
      <c r="F2895" s="2" t="s">
        <v>10086</v>
      </c>
      <c r="H2895" s="2">
        <v>1.5E-3</v>
      </c>
      <c r="K2895" s="2" t="s">
        <v>10088</v>
      </c>
    </row>
    <row r="2896" spans="1:11" x14ac:dyDescent="0.2">
      <c r="A2896" s="2">
        <v>725</v>
      </c>
      <c r="B2896" s="2">
        <v>4</v>
      </c>
      <c r="C2896" s="2">
        <v>137400032</v>
      </c>
      <c r="D2896" s="2">
        <v>138537344</v>
      </c>
      <c r="E2896" s="2">
        <v>2</v>
      </c>
      <c r="F2896" s="2" t="s">
        <v>10086</v>
      </c>
      <c r="H2896" s="2">
        <v>1.1999999999999999E-3</v>
      </c>
      <c r="K2896" s="2" t="s">
        <v>10089</v>
      </c>
    </row>
    <row r="2897" spans="1:11" x14ac:dyDescent="0.2">
      <c r="A2897" s="2">
        <v>725</v>
      </c>
      <c r="B2897" s="2">
        <v>4</v>
      </c>
      <c r="C2897" s="2">
        <v>137400032</v>
      </c>
      <c r="D2897" s="2">
        <v>138537344</v>
      </c>
      <c r="E2897" s="2">
        <v>3</v>
      </c>
      <c r="F2897" s="2" t="s">
        <v>10086</v>
      </c>
      <c r="H2897" s="2">
        <v>1E-3</v>
      </c>
      <c r="K2897" s="2" t="s">
        <v>10087</v>
      </c>
    </row>
    <row r="2898" spans="1:11" x14ac:dyDescent="0.2">
      <c r="A2898" s="2">
        <v>725</v>
      </c>
      <c r="B2898" s="2">
        <v>4</v>
      </c>
      <c r="C2898" s="2">
        <v>137400032</v>
      </c>
      <c r="D2898" s="2">
        <v>138537344</v>
      </c>
      <c r="E2898" s="2">
        <v>4</v>
      </c>
      <c r="F2898" s="2" t="s">
        <v>10086</v>
      </c>
      <c r="H2898" s="3">
        <v>5.0000000000000001E-4</v>
      </c>
      <c r="K2898" s="2" t="s">
        <v>10085</v>
      </c>
    </row>
    <row r="2899" spans="1:11" x14ac:dyDescent="0.2">
      <c r="A2899" s="2">
        <v>726</v>
      </c>
      <c r="B2899" s="2">
        <v>4</v>
      </c>
      <c r="C2899" s="2">
        <v>138537345</v>
      </c>
      <c r="D2899" s="2">
        <v>139553760</v>
      </c>
      <c r="E2899" s="2">
        <v>1</v>
      </c>
      <c r="F2899" s="2" t="s">
        <v>10086</v>
      </c>
      <c r="H2899" s="3">
        <v>5.9999999999999995E-4</v>
      </c>
      <c r="K2899" s="2" t="s">
        <v>10085</v>
      </c>
    </row>
    <row r="2900" spans="1:11" x14ac:dyDescent="0.2">
      <c r="A2900" s="2">
        <v>726</v>
      </c>
      <c r="B2900" s="2">
        <v>4</v>
      </c>
      <c r="C2900" s="2">
        <v>138537345</v>
      </c>
      <c r="D2900" s="2">
        <v>139553760</v>
      </c>
      <c r="E2900" s="2">
        <v>2</v>
      </c>
      <c r="F2900" s="2" t="s">
        <v>10086</v>
      </c>
      <c r="H2900" s="2">
        <v>1E-3</v>
      </c>
      <c r="K2900" s="2" t="s">
        <v>10088</v>
      </c>
    </row>
    <row r="2901" spans="1:11" x14ac:dyDescent="0.2">
      <c r="A2901" s="2">
        <v>726</v>
      </c>
      <c r="B2901" s="2">
        <v>4</v>
      </c>
      <c r="C2901" s="2">
        <v>138537345</v>
      </c>
      <c r="D2901" s="2">
        <v>139553760</v>
      </c>
      <c r="E2901" s="2">
        <v>3</v>
      </c>
      <c r="F2901" s="2" t="s">
        <v>10086</v>
      </c>
      <c r="H2901" s="3">
        <v>8.9999999999999998E-4</v>
      </c>
      <c r="K2901" s="2" t="s">
        <v>10089</v>
      </c>
    </row>
    <row r="2902" spans="1:11" x14ac:dyDescent="0.2">
      <c r="A2902" s="2">
        <v>726</v>
      </c>
      <c r="B2902" s="2">
        <v>4</v>
      </c>
      <c r="C2902" s="2">
        <v>138537345</v>
      </c>
      <c r="D2902" s="2">
        <v>139553760</v>
      </c>
      <c r="E2902" s="2">
        <v>4</v>
      </c>
      <c r="F2902" s="2" t="s">
        <v>10086</v>
      </c>
      <c r="H2902" s="3">
        <v>4.0000000000000002E-4</v>
      </c>
      <c r="K2902" s="2" t="s">
        <v>10087</v>
      </c>
    </row>
    <row r="2903" spans="1:11" x14ac:dyDescent="0.2">
      <c r="A2903" s="2">
        <v>727</v>
      </c>
      <c r="B2903" s="2">
        <v>4</v>
      </c>
      <c r="C2903" s="2">
        <v>139553761</v>
      </c>
      <c r="D2903" s="2">
        <v>141087047</v>
      </c>
      <c r="E2903" s="2">
        <v>1</v>
      </c>
      <c r="F2903" s="2" t="s">
        <v>10086</v>
      </c>
      <c r="H2903" s="2">
        <v>2.2000000000000001E-3</v>
      </c>
      <c r="K2903" s="2" t="s">
        <v>10089</v>
      </c>
    </row>
    <row r="2904" spans="1:11" x14ac:dyDescent="0.2">
      <c r="A2904" s="2">
        <v>727</v>
      </c>
      <c r="B2904" s="2">
        <v>4</v>
      </c>
      <c r="C2904" s="2">
        <v>139553761</v>
      </c>
      <c r="D2904" s="2">
        <v>141087047</v>
      </c>
      <c r="E2904" s="2">
        <v>2</v>
      </c>
      <c r="F2904" s="2" t="s">
        <v>10086</v>
      </c>
      <c r="H2904" s="2">
        <v>1.2999999999999999E-3</v>
      </c>
      <c r="K2904" s="2" t="s">
        <v>10087</v>
      </c>
    </row>
    <row r="2905" spans="1:11" x14ac:dyDescent="0.2">
      <c r="A2905" s="2">
        <v>727</v>
      </c>
      <c r="B2905" s="2">
        <v>4</v>
      </c>
      <c r="C2905" s="2">
        <v>139553761</v>
      </c>
      <c r="D2905" s="2">
        <v>141087047</v>
      </c>
      <c r="E2905" s="2">
        <v>3</v>
      </c>
      <c r="F2905" s="2" t="s">
        <v>10086</v>
      </c>
      <c r="H2905" s="2">
        <v>1.1000000000000001E-3</v>
      </c>
      <c r="K2905" s="2" t="s">
        <v>10085</v>
      </c>
    </row>
    <row r="2906" spans="1:11" x14ac:dyDescent="0.2">
      <c r="A2906" s="2">
        <v>727</v>
      </c>
      <c r="B2906" s="2">
        <v>4</v>
      </c>
      <c r="C2906" s="2">
        <v>139553761</v>
      </c>
      <c r="D2906" s="2">
        <v>141087047</v>
      </c>
      <c r="E2906" s="2">
        <v>4</v>
      </c>
      <c r="F2906" s="2" t="s">
        <v>10086</v>
      </c>
      <c r="H2906" s="3">
        <v>5.0000000000000001E-4</v>
      </c>
      <c r="K2906" s="2" t="s">
        <v>10088</v>
      </c>
    </row>
    <row r="2907" spans="1:11" x14ac:dyDescent="0.2">
      <c r="A2907" s="2">
        <v>728</v>
      </c>
      <c r="B2907" s="2">
        <v>4</v>
      </c>
      <c r="C2907" s="2">
        <v>141087048</v>
      </c>
      <c r="D2907" s="2">
        <v>142807914</v>
      </c>
      <c r="E2907" s="2">
        <v>1</v>
      </c>
      <c r="F2907" s="2" t="s">
        <v>10086</v>
      </c>
      <c r="H2907" s="2">
        <v>6.4999999999999997E-3</v>
      </c>
      <c r="K2907" s="2" t="s">
        <v>10087</v>
      </c>
    </row>
    <row r="2908" spans="1:11" x14ac:dyDescent="0.2">
      <c r="A2908" s="2">
        <v>728</v>
      </c>
      <c r="B2908" s="2">
        <v>4</v>
      </c>
      <c r="C2908" s="2">
        <v>141087048</v>
      </c>
      <c r="D2908" s="2">
        <v>142807914</v>
      </c>
      <c r="E2908" s="2">
        <v>2</v>
      </c>
      <c r="F2908" s="2" t="s">
        <v>10086</v>
      </c>
      <c r="H2908" s="2">
        <v>4.3E-3</v>
      </c>
      <c r="K2908" s="2" t="s">
        <v>10085</v>
      </c>
    </row>
    <row r="2909" spans="1:11" x14ac:dyDescent="0.2">
      <c r="A2909" s="2">
        <v>728</v>
      </c>
      <c r="B2909" s="2">
        <v>4</v>
      </c>
      <c r="C2909" s="2">
        <v>141087048</v>
      </c>
      <c r="D2909" s="2">
        <v>142807914</v>
      </c>
      <c r="E2909" s="2">
        <v>3</v>
      </c>
      <c r="F2909" s="2" t="s">
        <v>10086</v>
      </c>
      <c r="H2909" s="2">
        <v>2.7000000000000001E-3</v>
      </c>
      <c r="K2909" s="2" t="s">
        <v>10089</v>
      </c>
    </row>
    <row r="2910" spans="1:11" x14ac:dyDescent="0.2">
      <c r="A2910" s="2">
        <v>728</v>
      </c>
      <c r="B2910" s="2">
        <v>4</v>
      </c>
      <c r="C2910" s="2">
        <v>141087048</v>
      </c>
      <c r="D2910" s="2">
        <v>142807914</v>
      </c>
      <c r="E2910" s="2">
        <v>4</v>
      </c>
      <c r="F2910" s="2" t="s">
        <v>10086</v>
      </c>
      <c r="H2910" s="2">
        <v>1E-3</v>
      </c>
      <c r="K2910" s="2" t="s">
        <v>10088</v>
      </c>
    </row>
    <row r="2911" spans="1:11" x14ac:dyDescent="0.2">
      <c r="A2911" s="2">
        <v>729</v>
      </c>
      <c r="B2911" s="2">
        <v>4</v>
      </c>
      <c r="C2911" s="2">
        <v>142807915</v>
      </c>
      <c r="D2911" s="2">
        <v>144401042</v>
      </c>
      <c r="E2911" s="2">
        <v>1</v>
      </c>
      <c r="F2911" s="2" t="s">
        <v>10086</v>
      </c>
      <c r="H2911" s="2">
        <v>3.8999999999999998E-3</v>
      </c>
      <c r="K2911" s="2" t="s">
        <v>10085</v>
      </c>
    </row>
    <row r="2912" spans="1:11" x14ac:dyDescent="0.2">
      <c r="A2912" s="2">
        <v>729</v>
      </c>
      <c r="B2912" s="2">
        <v>4</v>
      </c>
      <c r="C2912" s="2">
        <v>142807915</v>
      </c>
      <c r="D2912" s="2">
        <v>144401042</v>
      </c>
      <c r="E2912" s="2">
        <v>2</v>
      </c>
      <c r="F2912" s="2" t="s">
        <v>10086</v>
      </c>
      <c r="H2912" s="2">
        <v>1.1999999999999999E-3</v>
      </c>
      <c r="K2912" s="2" t="s">
        <v>10088</v>
      </c>
    </row>
    <row r="2913" spans="1:11" x14ac:dyDescent="0.2">
      <c r="A2913" s="2">
        <v>729</v>
      </c>
      <c r="B2913" s="2">
        <v>4</v>
      </c>
      <c r="C2913" s="2">
        <v>142807915</v>
      </c>
      <c r="D2913" s="2">
        <v>144401042</v>
      </c>
      <c r="E2913" s="2">
        <v>3</v>
      </c>
      <c r="F2913" s="2" t="s">
        <v>10086</v>
      </c>
      <c r="H2913" s="2">
        <v>1.1999999999999999E-3</v>
      </c>
      <c r="K2913" s="2" t="s">
        <v>10089</v>
      </c>
    </row>
    <row r="2914" spans="1:11" x14ac:dyDescent="0.2">
      <c r="A2914" s="2">
        <v>729</v>
      </c>
      <c r="B2914" s="2">
        <v>4</v>
      </c>
      <c r="C2914" s="2">
        <v>142807915</v>
      </c>
      <c r="D2914" s="2">
        <v>144401042</v>
      </c>
      <c r="E2914" s="2">
        <v>4</v>
      </c>
      <c r="F2914" s="2" t="s">
        <v>10086</v>
      </c>
      <c r="H2914" s="3">
        <v>4.0000000000000002E-4</v>
      </c>
      <c r="K2914" s="2" t="s">
        <v>10087</v>
      </c>
    </row>
    <row r="2915" spans="1:11" x14ac:dyDescent="0.2">
      <c r="A2915" s="2">
        <v>730</v>
      </c>
      <c r="B2915" s="2">
        <v>4</v>
      </c>
      <c r="C2915" s="2">
        <v>144401043</v>
      </c>
      <c r="D2915" s="2">
        <v>146174871</v>
      </c>
      <c r="E2915" s="2">
        <v>1</v>
      </c>
      <c r="F2915" s="2" t="s">
        <v>10086</v>
      </c>
      <c r="H2915" s="2">
        <v>3.7000000000000002E-3</v>
      </c>
      <c r="K2915" s="2" t="s">
        <v>10085</v>
      </c>
    </row>
    <row r="2916" spans="1:11" x14ac:dyDescent="0.2">
      <c r="A2916" s="2">
        <v>730</v>
      </c>
      <c r="B2916" s="2">
        <v>4</v>
      </c>
      <c r="C2916" s="2">
        <v>144401043</v>
      </c>
      <c r="D2916" s="2">
        <v>146174871</v>
      </c>
      <c r="E2916" s="2">
        <v>2</v>
      </c>
      <c r="F2916" s="2" t="s">
        <v>10086</v>
      </c>
      <c r="H2916" s="2">
        <v>1.9E-3</v>
      </c>
      <c r="K2916" s="2" t="s">
        <v>10089</v>
      </c>
    </row>
    <row r="2917" spans="1:11" x14ac:dyDescent="0.2">
      <c r="A2917" s="2">
        <v>730</v>
      </c>
      <c r="B2917" s="2">
        <v>4</v>
      </c>
      <c r="C2917" s="2">
        <v>144401043</v>
      </c>
      <c r="D2917" s="2">
        <v>146174871</v>
      </c>
      <c r="E2917" s="2">
        <v>3</v>
      </c>
      <c r="F2917" s="2" t="s">
        <v>10086</v>
      </c>
      <c r="H2917" s="2">
        <v>1.6000000000000001E-3</v>
      </c>
      <c r="K2917" s="2" t="s">
        <v>10087</v>
      </c>
    </row>
    <row r="2918" spans="1:11" x14ac:dyDescent="0.2">
      <c r="A2918" s="2">
        <v>730</v>
      </c>
      <c r="B2918" s="2">
        <v>4</v>
      </c>
      <c r="C2918" s="2">
        <v>144401043</v>
      </c>
      <c r="D2918" s="2">
        <v>146174871</v>
      </c>
      <c r="E2918" s="2">
        <v>4</v>
      </c>
      <c r="F2918" s="2" t="s">
        <v>10086</v>
      </c>
      <c r="H2918" s="3">
        <v>8.0000000000000004E-4</v>
      </c>
      <c r="K2918" s="2" t="s">
        <v>10088</v>
      </c>
    </row>
    <row r="2919" spans="1:11" x14ac:dyDescent="0.2">
      <c r="A2919" s="2">
        <v>731</v>
      </c>
      <c r="B2919" s="2">
        <v>4</v>
      </c>
      <c r="C2919" s="2">
        <v>146174872</v>
      </c>
      <c r="D2919" s="2">
        <v>147161042</v>
      </c>
      <c r="E2919" s="2">
        <v>1</v>
      </c>
      <c r="F2919" s="2" t="s">
        <v>10086</v>
      </c>
      <c r="H2919" s="2">
        <v>2.2000000000000001E-3</v>
      </c>
      <c r="K2919" s="2" t="s">
        <v>10089</v>
      </c>
    </row>
    <row r="2920" spans="1:11" x14ac:dyDescent="0.2">
      <c r="A2920" s="2">
        <v>731</v>
      </c>
      <c r="B2920" s="2">
        <v>4</v>
      </c>
      <c r="C2920" s="2">
        <v>146174872</v>
      </c>
      <c r="D2920" s="2">
        <v>147161042</v>
      </c>
      <c r="E2920" s="2">
        <v>2</v>
      </c>
      <c r="F2920" s="2" t="s">
        <v>10086</v>
      </c>
      <c r="H2920" s="2">
        <v>1.1000000000000001E-3</v>
      </c>
      <c r="K2920" s="2" t="s">
        <v>10088</v>
      </c>
    </row>
    <row r="2921" spans="1:11" x14ac:dyDescent="0.2">
      <c r="A2921" s="2">
        <v>731</v>
      </c>
      <c r="B2921" s="2">
        <v>4</v>
      </c>
      <c r="C2921" s="2">
        <v>146174872</v>
      </c>
      <c r="D2921" s="2">
        <v>147161042</v>
      </c>
      <c r="E2921" s="2">
        <v>3</v>
      </c>
      <c r="F2921" s="2" t="s">
        <v>10086</v>
      </c>
      <c r="H2921" s="2">
        <v>1E-3</v>
      </c>
      <c r="K2921" s="2" t="s">
        <v>10087</v>
      </c>
    </row>
    <row r="2922" spans="1:11" x14ac:dyDescent="0.2">
      <c r="A2922" s="2">
        <v>731</v>
      </c>
      <c r="B2922" s="2">
        <v>4</v>
      </c>
      <c r="C2922" s="2">
        <v>146174872</v>
      </c>
      <c r="D2922" s="2">
        <v>147161042</v>
      </c>
      <c r="E2922" s="2">
        <v>4</v>
      </c>
      <c r="F2922" s="2" t="s">
        <v>10086</v>
      </c>
      <c r="H2922" s="2">
        <v>1E-3</v>
      </c>
      <c r="K2922" s="2" t="s">
        <v>10085</v>
      </c>
    </row>
    <row r="2923" spans="1:11" x14ac:dyDescent="0.2">
      <c r="A2923" s="2">
        <v>732</v>
      </c>
      <c r="B2923" s="2">
        <v>4</v>
      </c>
      <c r="C2923" s="2">
        <v>147161043</v>
      </c>
      <c r="D2923" s="2">
        <v>148462208</v>
      </c>
      <c r="E2923" s="2">
        <v>1</v>
      </c>
      <c r="F2923" s="2" t="s">
        <v>10086</v>
      </c>
      <c r="H2923" s="2">
        <v>1.6999999999999999E-3</v>
      </c>
      <c r="K2923" s="2" t="s">
        <v>10085</v>
      </c>
    </row>
    <row r="2924" spans="1:11" x14ac:dyDescent="0.2">
      <c r="A2924" s="2">
        <v>732</v>
      </c>
      <c r="B2924" s="2">
        <v>4</v>
      </c>
      <c r="C2924" s="2">
        <v>147161043</v>
      </c>
      <c r="D2924" s="2">
        <v>148462208</v>
      </c>
      <c r="E2924" s="2">
        <v>2</v>
      </c>
      <c r="F2924" s="2" t="s">
        <v>10086</v>
      </c>
      <c r="H2924" s="2">
        <v>1.9E-3</v>
      </c>
      <c r="K2924" s="2" t="s">
        <v>10088</v>
      </c>
    </row>
    <row r="2925" spans="1:11" x14ac:dyDescent="0.2">
      <c r="A2925" s="2">
        <v>732</v>
      </c>
      <c r="B2925" s="2">
        <v>4</v>
      </c>
      <c r="C2925" s="2">
        <v>147161043</v>
      </c>
      <c r="D2925" s="2">
        <v>148462208</v>
      </c>
      <c r="E2925" s="2">
        <v>3</v>
      </c>
      <c r="F2925" s="2" t="s">
        <v>10086</v>
      </c>
      <c r="H2925" s="2">
        <v>1E-3</v>
      </c>
      <c r="K2925" s="2" t="s">
        <v>10089</v>
      </c>
    </row>
    <row r="2926" spans="1:11" x14ac:dyDescent="0.2">
      <c r="A2926" s="2">
        <v>732</v>
      </c>
      <c r="B2926" s="2">
        <v>4</v>
      </c>
      <c r="C2926" s="2">
        <v>147161043</v>
      </c>
      <c r="D2926" s="2">
        <v>148462208</v>
      </c>
      <c r="E2926" s="2">
        <v>4</v>
      </c>
      <c r="F2926" s="2" t="s">
        <v>10086</v>
      </c>
      <c r="H2926" s="3">
        <v>4.0000000000000002E-4</v>
      </c>
      <c r="K2926" s="2" t="s">
        <v>10087</v>
      </c>
    </row>
    <row r="2927" spans="1:11" x14ac:dyDescent="0.2">
      <c r="A2927" s="2">
        <v>733</v>
      </c>
      <c r="B2927" s="2">
        <v>4</v>
      </c>
      <c r="C2927" s="2">
        <v>148462209</v>
      </c>
      <c r="D2927" s="2">
        <v>149998528</v>
      </c>
      <c r="E2927" s="2">
        <v>1</v>
      </c>
      <c r="F2927" s="2" t="s">
        <v>10086</v>
      </c>
      <c r="H2927" s="2">
        <v>3.7000000000000002E-3</v>
      </c>
      <c r="K2927" s="2" t="s">
        <v>10087</v>
      </c>
    </row>
    <row r="2928" spans="1:11" x14ac:dyDescent="0.2">
      <c r="A2928" s="2">
        <v>733</v>
      </c>
      <c r="B2928" s="2">
        <v>4</v>
      </c>
      <c r="C2928" s="2">
        <v>148462209</v>
      </c>
      <c r="D2928" s="2">
        <v>149998528</v>
      </c>
      <c r="E2928" s="2">
        <v>2</v>
      </c>
      <c r="F2928" s="2" t="s">
        <v>10086</v>
      </c>
      <c r="H2928" s="2">
        <v>2.3E-3</v>
      </c>
      <c r="K2928" s="2" t="s">
        <v>10089</v>
      </c>
    </row>
    <row r="2929" spans="1:11" x14ac:dyDescent="0.2">
      <c r="A2929" s="2">
        <v>733</v>
      </c>
      <c r="B2929" s="2">
        <v>4</v>
      </c>
      <c r="C2929" s="2">
        <v>148462209</v>
      </c>
      <c r="D2929" s="2">
        <v>149998528</v>
      </c>
      <c r="E2929" s="2">
        <v>3</v>
      </c>
      <c r="F2929" s="2" t="s">
        <v>10086</v>
      </c>
      <c r="H2929" s="2">
        <v>1.5E-3</v>
      </c>
      <c r="K2929" s="2" t="s">
        <v>10085</v>
      </c>
    </row>
    <row r="2930" spans="1:11" x14ac:dyDescent="0.2">
      <c r="A2930" s="2">
        <v>733</v>
      </c>
      <c r="B2930" s="2">
        <v>4</v>
      </c>
      <c r="C2930" s="2">
        <v>148462209</v>
      </c>
      <c r="D2930" s="2">
        <v>149998528</v>
      </c>
      <c r="E2930" s="2">
        <v>4</v>
      </c>
      <c r="F2930" s="2" t="s">
        <v>10086</v>
      </c>
      <c r="H2930" s="3">
        <v>5.0000000000000001E-4</v>
      </c>
      <c r="K2930" s="2" t="s">
        <v>10088</v>
      </c>
    </row>
    <row r="2931" spans="1:11" x14ac:dyDescent="0.2">
      <c r="A2931" s="2">
        <v>734</v>
      </c>
      <c r="B2931" s="2">
        <v>4</v>
      </c>
      <c r="C2931" s="2">
        <v>149998529</v>
      </c>
      <c r="D2931" s="2">
        <v>151014322</v>
      </c>
      <c r="E2931" s="2">
        <v>1</v>
      </c>
      <c r="F2931" s="2" t="s">
        <v>10086</v>
      </c>
      <c r="H2931" s="2">
        <v>1.2999999999999999E-3</v>
      </c>
      <c r="K2931" s="2" t="s">
        <v>10089</v>
      </c>
    </row>
    <row r="2932" spans="1:11" x14ac:dyDescent="0.2">
      <c r="A2932" s="2">
        <v>734</v>
      </c>
      <c r="B2932" s="2">
        <v>4</v>
      </c>
      <c r="C2932" s="2">
        <v>149998529</v>
      </c>
      <c r="D2932" s="2">
        <v>151014322</v>
      </c>
      <c r="E2932" s="2">
        <v>2</v>
      </c>
      <c r="F2932" s="2" t="s">
        <v>10086</v>
      </c>
      <c r="H2932" s="3">
        <v>6.9999999999999999E-4</v>
      </c>
      <c r="K2932" s="2" t="s">
        <v>10085</v>
      </c>
    </row>
    <row r="2933" spans="1:11" x14ac:dyDescent="0.2">
      <c r="A2933" s="2">
        <v>734</v>
      </c>
      <c r="B2933" s="2">
        <v>4</v>
      </c>
      <c r="C2933" s="2">
        <v>149998529</v>
      </c>
      <c r="D2933" s="2">
        <v>151014322</v>
      </c>
      <c r="E2933" s="2">
        <v>3</v>
      </c>
      <c r="F2933" s="2" t="s">
        <v>10086</v>
      </c>
      <c r="H2933" s="3">
        <v>8.0000000000000004E-4</v>
      </c>
      <c r="K2933" s="2" t="s">
        <v>10088</v>
      </c>
    </row>
    <row r="2934" spans="1:11" x14ac:dyDescent="0.2">
      <c r="A2934" s="2">
        <v>734</v>
      </c>
      <c r="B2934" s="2">
        <v>4</v>
      </c>
      <c r="C2934" s="2">
        <v>149998529</v>
      </c>
      <c r="D2934" s="2">
        <v>151014322</v>
      </c>
      <c r="E2934" s="2">
        <v>4</v>
      </c>
      <c r="F2934" s="2" t="s">
        <v>10086</v>
      </c>
      <c r="H2934" s="3">
        <v>5.0000000000000001E-4</v>
      </c>
      <c r="K2934" s="2" t="s">
        <v>12324</v>
      </c>
    </row>
    <row r="2935" spans="1:11" x14ac:dyDescent="0.2">
      <c r="A2935" s="2">
        <v>735</v>
      </c>
      <c r="B2935" s="2">
        <v>4</v>
      </c>
      <c r="C2935" s="2">
        <v>151014323</v>
      </c>
      <c r="D2935" s="2">
        <v>152162098</v>
      </c>
      <c r="E2935" s="2">
        <v>1</v>
      </c>
      <c r="F2935" s="2" t="s">
        <v>10086</v>
      </c>
      <c r="H2935" s="2">
        <v>2.0999999999999999E-3</v>
      </c>
      <c r="K2935" s="2" t="s">
        <v>10087</v>
      </c>
    </row>
    <row r="2936" spans="1:11" x14ac:dyDescent="0.2">
      <c r="A2936" s="2">
        <v>735</v>
      </c>
      <c r="B2936" s="2">
        <v>4</v>
      </c>
      <c r="C2936" s="2">
        <v>151014323</v>
      </c>
      <c r="D2936" s="2">
        <v>152162098</v>
      </c>
      <c r="E2936" s="2">
        <v>2</v>
      </c>
      <c r="F2936" s="2" t="s">
        <v>10086</v>
      </c>
      <c r="H2936" s="3">
        <v>8.9999999999999998E-4</v>
      </c>
      <c r="K2936" s="2" t="s">
        <v>10089</v>
      </c>
    </row>
    <row r="2937" spans="1:11" x14ac:dyDescent="0.2">
      <c r="A2937" s="2">
        <v>735</v>
      </c>
      <c r="B2937" s="2">
        <v>4</v>
      </c>
      <c r="C2937" s="2">
        <v>151014323</v>
      </c>
      <c r="D2937" s="2">
        <v>152162098</v>
      </c>
      <c r="E2937" s="2">
        <v>3</v>
      </c>
      <c r="F2937" s="2" t="s">
        <v>10086</v>
      </c>
      <c r="H2937" s="3">
        <v>6.9999999999999999E-4</v>
      </c>
      <c r="K2937" s="2" t="s">
        <v>10088</v>
      </c>
    </row>
    <row r="2938" spans="1:11" x14ac:dyDescent="0.2">
      <c r="A2938" s="2">
        <v>735</v>
      </c>
      <c r="B2938" s="2">
        <v>4</v>
      </c>
      <c r="C2938" s="2">
        <v>151014323</v>
      </c>
      <c r="D2938" s="2">
        <v>152162098</v>
      </c>
      <c r="E2938" s="2">
        <v>4</v>
      </c>
      <c r="F2938" s="2" t="s">
        <v>10086</v>
      </c>
      <c r="H2938" s="3">
        <v>2.9999999999999997E-4</v>
      </c>
      <c r="K2938" s="2" t="s">
        <v>10085</v>
      </c>
    </row>
    <row r="2939" spans="1:11" x14ac:dyDescent="0.2">
      <c r="A2939" s="2">
        <v>736</v>
      </c>
      <c r="B2939" s="2">
        <v>4</v>
      </c>
      <c r="C2939" s="2">
        <v>152162099</v>
      </c>
      <c r="D2939" s="2">
        <v>153520883</v>
      </c>
      <c r="E2939" s="2">
        <v>1</v>
      </c>
      <c r="F2939" s="2" t="s">
        <v>10086</v>
      </c>
      <c r="H2939" s="2">
        <v>3.0000000000000001E-3</v>
      </c>
      <c r="K2939" s="2" t="s">
        <v>10089</v>
      </c>
    </row>
    <row r="2940" spans="1:11" x14ac:dyDescent="0.2">
      <c r="A2940" s="2">
        <v>736</v>
      </c>
      <c r="B2940" s="2">
        <v>4</v>
      </c>
      <c r="C2940" s="2">
        <v>152162099</v>
      </c>
      <c r="D2940" s="2">
        <v>153520883</v>
      </c>
      <c r="E2940" s="2">
        <v>2</v>
      </c>
      <c r="F2940" s="2" t="s">
        <v>10086</v>
      </c>
      <c r="H2940" s="2">
        <v>1.4E-3</v>
      </c>
      <c r="K2940" s="2" t="s">
        <v>10087</v>
      </c>
    </row>
    <row r="2941" spans="1:11" x14ac:dyDescent="0.2">
      <c r="A2941" s="2">
        <v>736</v>
      </c>
      <c r="B2941" s="2">
        <v>4</v>
      </c>
      <c r="C2941" s="2">
        <v>152162099</v>
      </c>
      <c r="D2941" s="2">
        <v>153520883</v>
      </c>
      <c r="E2941" s="2">
        <v>3</v>
      </c>
      <c r="F2941" s="2" t="s">
        <v>10086</v>
      </c>
      <c r="H2941" s="2">
        <v>1.1999999999999999E-3</v>
      </c>
      <c r="K2941" s="2" t="s">
        <v>10088</v>
      </c>
    </row>
    <row r="2942" spans="1:11" x14ac:dyDescent="0.2">
      <c r="A2942" s="2">
        <v>736</v>
      </c>
      <c r="B2942" s="2">
        <v>4</v>
      </c>
      <c r="C2942" s="2">
        <v>152162099</v>
      </c>
      <c r="D2942" s="2">
        <v>153520883</v>
      </c>
      <c r="E2942" s="2">
        <v>4</v>
      </c>
      <c r="F2942" s="2" t="s">
        <v>10086</v>
      </c>
      <c r="H2942" s="3">
        <v>5.0000000000000001E-4</v>
      </c>
      <c r="K2942" s="2" t="s">
        <v>10085</v>
      </c>
    </row>
    <row r="2943" spans="1:11" x14ac:dyDescent="0.2">
      <c r="A2943" s="2">
        <v>737</v>
      </c>
      <c r="B2943" s="2">
        <v>4</v>
      </c>
      <c r="C2943" s="2">
        <v>153520884</v>
      </c>
      <c r="D2943" s="2">
        <v>155044409</v>
      </c>
      <c r="E2943" s="2">
        <v>1</v>
      </c>
      <c r="F2943" s="2" t="s">
        <v>10086</v>
      </c>
      <c r="H2943" s="2">
        <v>1.8E-3</v>
      </c>
      <c r="K2943" s="2" t="s">
        <v>10087</v>
      </c>
    </row>
    <row r="2944" spans="1:11" x14ac:dyDescent="0.2">
      <c r="A2944" s="2">
        <v>737</v>
      </c>
      <c r="B2944" s="2">
        <v>4</v>
      </c>
      <c r="C2944" s="2">
        <v>153520884</v>
      </c>
      <c r="D2944" s="2">
        <v>155044409</v>
      </c>
      <c r="E2944" s="2">
        <v>2</v>
      </c>
      <c r="F2944" s="2" t="s">
        <v>10086</v>
      </c>
      <c r="H2944" s="2">
        <v>1.8E-3</v>
      </c>
      <c r="K2944" s="2" t="s">
        <v>10088</v>
      </c>
    </row>
    <row r="2945" spans="1:11" x14ac:dyDescent="0.2">
      <c r="A2945" s="2">
        <v>737</v>
      </c>
      <c r="B2945" s="2">
        <v>4</v>
      </c>
      <c r="C2945" s="2">
        <v>153520884</v>
      </c>
      <c r="D2945" s="2">
        <v>155044409</v>
      </c>
      <c r="E2945" s="2">
        <v>3</v>
      </c>
      <c r="F2945" s="2" t="s">
        <v>10086</v>
      </c>
      <c r="H2945" s="2">
        <v>1.5E-3</v>
      </c>
      <c r="K2945" s="2" t="s">
        <v>10085</v>
      </c>
    </row>
    <row r="2946" spans="1:11" x14ac:dyDescent="0.2">
      <c r="A2946" s="2">
        <v>737</v>
      </c>
      <c r="B2946" s="2">
        <v>4</v>
      </c>
      <c r="C2946" s="2">
        <v>153520884</v>
      </c>
      <c r="D2946" s="2">
        <v>155044409</v>
      </c>
      <c r="E2946" s="2">
        <v>4</v>
      </c>
      <c r="F2946" s="2" t="s">
        <v>10086</v>
      </c>
      <c r="H2946" s="2">
        <v>1.5E-3</v>
      </c>
      <c r="K2946" s="2" t="s">
        <v>10089</v>
      </c>
    </row>
    <row r="2947" spans="1:11" x14ac:dyDescent="0.2">
      <c r="A2947" s="2">
        <v>738</v>
      </c>
      <c r="B2947" s="2">
        <v>4</v>
      </c>
      <c r="C2947" s="2">
        <v>155044410</v>
      </c>
      <c r="D2947" s="2">
        <v>156520288</v>
      </c>
      <c r="E2947" s="2">
        <v>1</v>
      </c>
      <c r="F2947" s="2" t="s">
        <v>10086</v>
      </c>
      <c r="H2947" s="2">
        <v>3.8E-3</v>
      </c>
      <c r="K2947" s="2" t="s">
        <v>10087</v>
      </c>
    </row>
    <row r="2948" spans="1:11" x14ac:dyDescent="0.2">
      <c r="A2948" s="2">
        <v>738</v>
      </c>
      <c r="B2948" s="2">
        <v>4</v>
      </c>
      <c r="C2948" s="2">
        <v>155044410</v>
      </c>
      <c r="D2948" s="2">
        <v>156520288</v>
      </c>
      <c r="E2948" s="2">
        <v>2</v>
      </c>
      <c r="F2948" s="2" t="s">
        <v>10086</v>
      </c>
      <c r="H2948" s="2">
        <v>1.2999999999999999E-3</v>
      </c>
      <c r="K2948" s="2" t="s">
        <v>10088</v>
      </c>
    </row>
    <row r="2949" spans="1:11" x14ac:dyDescent="0.2">
      <c r="A2949" s="2">
        <v>738</v>
      </c>
      <c r="B2949" s="2">
        <v>4</v>
      </c>
      <c r="C2949" s="2">
        <v>155044410</v>
      </c>
      <c r="D2949" s="2">
        <v>156520288</v>
      </c>
      <c r="E2949" s="2">
        <v>3</v>
      </c>
      <c r="F2949" s="2" t="s">
        <v>10086</v>
      </c>
      <c r="H2949" s="3">
        <v>8.9999999999999998E-4</v>
      </c>
      <c r="K2949" s="2" t="s">
        <v>10085</v>
      </c>
    </row>
    <row r="2950" spans="1:11" x14ac:dyDescent="0.2">
      <c r="A2950" s="2">
        <v>738</v>
      </c>
      <c r="B2950" s="2">
        <v>4</v>
      </c>
      <c r="C2950" s="2">
        <v>155044410</v>
      </c>
      <c r="D2950" s="2">
        <v>156520288</v>
      </c>
      <c r="E2950" s="2">
        <v>4</v>
      </c>
      <c r="F2950" s="2" t="s">
        <v>10086</v>
      </c>
      <c r="H2950" s="3">
        <v>6.9999999999999999E-4</v>
      </c>
      <c r="K2950" s="2" t="s">
        <v>12324</v>
      </c>
    </row>
    <row r="2951" spans="1:11" x14ac:dyDescent="0.2">
      <c r="A2951" s="2">
        <v>739</v>
      </c>
      <c r="B2951" s="2">
        <v>4</v>
      </c>
      <c r="C2951" s="2">
        <v>156520289</v>
      </c>
      <c r="D2951" s="2">
        <v>157597309</v>
      </c>
      <c r="E2951" s="2">
        <v>1</v>
      </c>
      <c r="F2951" s="2" t="s">
        <v>10086</v>
      </c>
      <c r="H2951" s="2">
        <v>2.1899999999999999E-2</v>
      </c>
      <c r="K2951" s="2" t="s">
        <v>10089</v>
      </c>
    </row>
    <row r="2952" spans="1:11" x14ac:dyDescent="0.2">
      <c r="A2952" s="2">
        <v>739</v>
      </c>
      <c r="B2952" s="2">
        <v>4</v>
      </c>
      <c r="C2952" s="2">
        <v>156520289</v>
      </c>
      <c r="D2952" s="2">
        <v>157597309</v>
      </c>
      <c r="E2952" s="2">
        <v>2</v>
      </c>
      <c r="F2952" s="2" t="s">
        <v>10086</v>
      </c>
      <c r="H2952" s="2">
        <v>1.9E-3</v>
      </c>
      <c r="K2952" s="2" t="s">
        <v>10087</v>
      </c>
    </row>
    <row r="2953" spans="1:11" x14ac:dyDescent="0.2">
      <c r="A2953" s="2">
        <v>739</v>
      </c>
      <c r="B2953" s="2">
        <v>4</v>
      </c>
      <c r="C2953" s="2">
        <v>156520289</v>
      </c>
      <c r="D2953" s="2">
        <v>157597309</v>
      </c>
      <c r="E2953" s="2">
        <v>3</v>
      </c>
      <c r="F2953" s="2" t="s">
        <v>10086</v>
      </c>
      <c r="H2953" s="2">
        <v>1E-3</v>
      </c>
      <c r="K2953" s="2" t="s">
        <v>10088</v>
      </c>
    </row>
    <row r="2954" spans="1:11" x14ac:dyDescent="0.2">
      <c r="A2954" s="2">
        <v>739</v>
      </c>
      <c r="B2954" s="2">
        <v>4</v>
      </c>
      <c r="C2954" s="2">
        <v>156520289</v>
      </c>
      <c r="D2954" s="2">
        <v>157597309</v>
      </c>
      <c r="E2954" s="2">
        <v>4</v>
      </c>
      <c r="F2954" s="2" t="s">
        <v>10086</v>
      </c>
      <c r="H2954" s="3">
        <v>4.0000000000000002E-4</v>
      </c>
      <c r="K2954" s="2" t="s">
        <v>10085</v>
      </c>
    </row>
    <row r="2955" spans="1:11" x14ac:dyDescent="0.2">
      <c r="A2955" s="2">
        <v>740</v>
      </c>
      <c r="B2955" s="2">
        <v>4</v>
      </c>
      <c r="C2955" s="2">
        <v>157597310</v>
      </c>
      <c r="D2955" s="2">
        <v>159176073</v>
      </c>
      <c r="E2955" s="2">
        <v>1</v>
      </c>
      <c r="F2955" s="2" t="s">
        <v>10086</v>
      </c>
      <c r="H2955" s="2">
        <v>3.0999999999999999E-3</v>
      </c>
      <c r="K2955" s="2" t="s">
        <v>10088</v>
      </c>
    </row>
    <row r="2956" spans="1:11" x14ac:dyDescent="0.2">
      <c r="A2956" s="2">
        <v>740</v>
      </c>
      <c r="B2956" s="2">
        <v>4</v>
      </c>
      <c r="C2956" s="2">
        <v>157597310</v>
      </c>
      <c r="D2956" s="2">
        <v>159176073</v>
      </c>
      <c r="E2956" s="2">
        <v>2</v>
      </c>
      <c r="F2956" s="2" t="s">
        <v>10086</v>
      </c>
      <c r="H2956" s="2">
        <v>1.2999999999999999E-3</v>
      </c>
      <c r="K2956" s="2" t="s">
        <v>10089</v>
      </c>
    </row>
    <row r="2957" spans="1:11" x14ac:dyDescent="0.2">
      <c r="A2957" s="2">
        <v>740</v>
      </c>
      <c r="B2957" s="2">
        <v>4</v>
      </c>
      <c r="C2957" s="2">
        <v>157597310</v>
      </c>
      <c r="D2957" s="2">
        <v>159176073</v>
      </c>
      <c r="E2957" s="2">
        <v>3</v>
      </c>
      <c r="F2957" s="2" t="s">
        <v>10086</v>
      </c>
      <c r="H2957" s="2">
        <v>1.1999999999999999E-3</v>
      </c>
      <c r="K2957" s="2" t="s">
        <v>10087</v>
      </c>
    </row>
    <row r="2958" spans="1:11" x14ac:dyDescent="0.2">
      <c r="A2958" s="2">
        <v>740</v>
      </c>
      <c r="B2958" s="2">
        <v>4</v>
      </c>
      <c r="C2958" s="2">
        <v>157597310</v>
      </c>
      <c r="D2958" s="2">
        <v>159176073</v>
      </c>
      <c r="E2958" s="2">
        <v>4</v>
      </c>
      <c r="F2958" s="2" t="s">
        <v>10086</v>
      </c>
      <c r="H2958" s="3">
        <v>5.9999999999999995E-4</v>
      </c>
      <c r="K2958" s="2" t="s">
        <v>10085</v>
      </c>
    </row>
    <row r="2959" spans="1:11" x14ac:dyDescent="0.2">
      <c r="A2959" s="2">
        <v>741</v>
      </c>
      <c r="B2959" s="2">
        <v>4</v>
      </c>
      <c r="C2959" s="2">
        <v>159176074</v>
      </c>
      <c r="D2959" s="2">
        <v>160828480</v>
      </c>
      <c r="E2959" s="2">
        <v>1</v>
      </c>
      <c r="F2959" s="2" t="s">
        <v>10086</v>
      </c>
      <c r="H2959" s="2">
        <v>1.7500000000000002E-2</v>
      </c>
      <c r="K2959" s="2" t="s">
        <v>10088</v>
      </c>
    </row>
    <row r="2960" spans="1:11" x14ac:dyDescent="0.2">
      <c r="A2960" s="2">
        <v>741</v>
      </c>
      <c r="B2960" s="2">
        <v>4</v>
      </c>
      <c r="C2960" s="2">
        <v>159176074</v>
      </c>
      <c r="D2960" s="2">
        <v>160828480</v>
      </c>
      <c r="E2960" s="2">
        <v>2</v>
      </c>
      <c r="F2960" s="2" t="s">
        <v>10086</v>
      </c>
      <c r="H2960" s="2">
        <v>1.8E-3</v>
      </c>
      <c r="K2960" s="2" t="s">
        <v>10087</v>
      </c>
    </row>
    <row r="2961" spans="1:11" x14ac:dyDescent="0.2">
      <c r="A2961" s="2">
        <v>741</v>
      </c>
      <c r="B2961" s="2">
        <v>4</v>
      </c>
      <c r="C2961" s="2">
        <v>159176074</v>
      </c>
      <c r="D2961" s="2">
        <v>160828480</v>
      </c>
      <c r="E2961" s="2">
        <v>3</v>
      </c>
      <c r="F2961" s="2" t="s">
        <v>10086</v>
      </c>
      <c r="H2961" s="2">
        <v>1.8E-3</v>
      </c>
      <c r="K2961" s="2" t="s">
        <v>10085</v>
      </c>
    </row>
    <row r="2962" spans="1:11" x14ac:dyDescent="0.2">
      <c r="A2962" s="2">
        <v>741</v>
      </c>
      <c r="B2962" s="2">
        <v>4</v>
      </c>
      <c r="C2962" s="2">
        <v>159176074</v>
      </c>
      <c r="D2962" s="2">
        <v>160828480</v>
      </c>
      <c r="E2962" s="2">
        <v>4</v>
      </c>
      <c r="F2962" s="2" t="s">
        <v>10086</v>
      </c>
      <c r="H2962" s="3">
        <v>4.0000000000000002E-4</v>
      </c>
      <c r="K2962" s="2" t="s">
        <v>10089</v>
      </c>
    </row>
    <row r="2963" spans="1:11" x14ac:dyDescent="0.2">
      <c r="A2963" s="2">
        <v>742</v>
      </c>
      <c r="B2963" s="2">
        <v>4</v>
      </c>
      <c r="C2963" s="2">
        <v>160828481</v>
      </c>
      <c r="D2963" s="2">
        <v>161666201</v>
      </c>
      <c r="E2963" s="2">
        <v>1</v>
      </c>
      <c r="F2963" s="2" t="s">
        <v>10086</v>
      </c>
      <c r="H2963" s="2">
        <v>3.3E-3</v>
      </c>
      <c r="K2963" s="2" t="s">
        <v>10089</v>
      </c>
    </row>
    <row r="2964" spans="1:11" x14ac:dyDescent="0.2">
      <c r="A2964" s="2">
        <v>742</v>
      </c>
      <c r="B2964" s="2">
        <v>4</v>
      </c>
      <c r="C2964" s="2">
        <v>160828481</v>
      </c>
      <c r="D2964" s="2">
        <v>161666201</v>
      </c>
      <c r="E2964" s="2">
        <v>2</v>
      </c>
      <c r="F2964" s="2" t="s">
        <v>10086</v>
      </c>
      <c r="H2964" s="3">
        <v>8.0000000000000004E-4</v>
      </c>
      <c r="K2964" s="2" t="s">
        <v>10085</v>
      </c>
    </row>
    <row r="2965" spans="1:11" x14ac:dyDescent="0.2">
      <c r="A2965" s="2">
        <v>742</v>
      </c>
      <c r="B2965" s="2">
        <v>4</v>
      </c>
      <c r="C2965" s="2">
        <v>160828481</v>
      </c>
      <c r="D2965" s="2">
        <v>161666201</v>
      </c>
      <c r="E2965" s="2">
        <v>3</v>
      </c>
      <c r="F2965" s="2" t="s">
        <v>10086</v>
      </c>
      <c r="H2965" s="3">
        <v>5.9999999999999995E-4</v>
      </c>
      <c r="K2965" s="2" t="s">
        <v>10087</v>
      </c>
    </row>
    <row r="2966" spans="1:11" x14ac:dyDescent="0.2">
      <c r="A2966" s="2">
        <v>742</v>
      </c>
      <c r="B2966" s="2">
        <v>4</v>
      </c>
      <c r="C2966" s="2">
        <v>160828481</v>
      </c>
      <c r="D2966" s="2">
        <v>161666201</v>
      </c>
      <c r="E2966" s="2">
        <v>4</v>
      </c>
      <c r="F2966" s="2" t="s">
        <v>10086</v>
      </c>
      <c r="H2966" s="3">
        <v>4.0000000000000002E-4</v>
      </c>
      <c r="K2966" s="2" t="s">
        <v>10088</v>
      </c>
    </row>
    <row r="2967" spans="1:11" x14ac:dyDescent="0.2">
      <c r="A2967" s="2">
        <v>743</v>
      </c>
      <c r="B2967" s="2">
        <v>4</v>
      </c>
      <c r="C2967" s="2">
        <v>161666202</v>
      </c>
      <c r="D2967" s="2">
        <v>162239289</v>
      </c>
      <c r="E2967" s="2">
        <v>1</v>
      </c>
      <c r="F2967" s="2" t="s">
        <v>10086</v>
      </c>
      <c r="H2967" s="2">
        <v>3.3999999999999998E-3</v>
      </c>
      <c r="K2967" s="2" t="s">
        <v>10088</v>
      </c>
    </row>
    <row r="2968" spans="1:11" x14ac:dyDescent="0.2">
      <c r="A2968" s="2">
        <v>743</v>
      </c>
      <c r="B2968" s="2">
        <v>4</v>
      </c>
      <c r="C2968" s="2">
        <v>161666202</v>
      </c>
      <c r="D2968" s="2">
        <v>162239289</v>
      </c>
      <c r="E2968" s="2">
        <v>2</v>
      </c>
      <c r="F2968" s="2" t="s">
        <v>10086</v>
      </c>
      <c r="H2968" s="2">
        <v>1.6000000000000001E-3</v>
      </c>
      <c r="K2968" s="2" t="s">
        <v>10087</v>
      </c>
    </row>
    <row r="2969" spans="1:11" x14ac:dyDescent="0.2">
      <c r="A2969" s="2">
        <v>743</v>
      </c>
      <c r="B2969" s="2">
        <v>4</v>
      </c>
      <c r="C2969" s="2">
        <v>161666202</v>
      </c>
      <c r="D2969" s="2">
        <v>162239289</v>
      </c>
      <c r="E2969" s="2">
        <v>3</v>
      </c>
      <c r="F2969" s="2" t="s">
        <v>10086</v>
      </c>
      <c r="H2969" s="3">
        <v>6.9999999999999999E-4</v>
      </c>
      <c r="K2969" s="2" t="s">
        <v>10085</v>
      </c>
    </row>
    <row r="2970" spans="1:11" x14ac:dyDescent="0.2">
      <c r="A2970" s="2">
        <v>743</v>
      </c>
      <c r="B2970" s="2">
        <v>4</v>
      </c>
      <c r="C2970" s="2">
        <v>161666202</v>
      </c>
      <c r="D2970" s="2">
        <v>162239289</v>
      </c>
      <c r="E2970" s="2">
        <v>4</v>
      </c>
      <c r="F2970" s="2" t="s">
        <v>10086</v>
      </c>
      <c r="H2970" s="3">
        <v>2.0000000000000001E-4</v>
      </c>
      <c r="K2970" s="2" t="s">
        <v>10089</v>
      </c>
    </row>
    <row r="2971" spans="1:11" x14ac:dyDescent="0.2">
      <c r="A2971" s="2">
        <v>744</v>
      </c>
      <c r="B2971" s="2">
        <v>4</v>
      </c>
      <c r="C2971" s="2">
        <v>162239290</v>
      </c>
      <c r="D2971" s="2">
        <v>163245541</v>
      </c>
      <c r="E2971" s="2">
        <v>1</v>
      </c>
      <c r="F2971" s="2" t="s">
        <v>10086</v>
      </c>
      <c r="H2971" s="2">
        <v>1.8E-3</v>
      </c>
      <c r="K2971" s="2" t="s">
        <v>10085</v>
      </c>
    </row>
    <row r="2972" spans="1:11" x14ac:dyDescent="0.2">
      <c r="A2972" s="2">
        <v>744</v>
      </c>
      <c r="B2972" s="2">
        <v>4</v>
      </c>
      <c r="C2972" s="2">
        <v>162239290</v>
      </c>
      <c r="D2972" s="2">
        <v>163245541</v>
      </c>
      <c r="E2972" s="2">
        <v>2</v>
      </c>
      <c r="F2972" s="2" t="s">
        <v>10086</v>
      </c>
      <c r="H2972" s="2">
        <v>1.4E-3</v>
      </c>
      <c r="K2972" s="2" t="s">
        <v>12324</v>
      </c>
    </row>
    <row r="2973" spans="1:11" x14ac:dyDescent="0.2">
      <c r="A2973" s="2">
        <v>744</v>
      </c>
      <c r="B2973" s="2">
        <v>4</v>
      </c>
      <c r="C2973" s="2">
        <v>162239290</v>
      </c>
      <c r="D2973" s="2">
        <v>163245541</v>
      </c>
      <c r="E2973" s="2">
        <v>3</v>
      </c>
      <c r="F2973" s="2" t="s">
        <v>10086</v>
      </c>
      <c r="H2973" s="2">
        <v>2.5000000000000001E-3</v>
      </c>
      <c r="K2973" s="2" t="s">
        <v>10087</v>
      </c>
    </row>
    <row r="2974" spans="1:11" x14ac:dyDescent="0.2">
      <c r="A2974" s="2">
        <v>744</v>
      </c>
      <c r="B2974" s="2">
        <v>4</v>
      </c>
      <c r="C2974" s="2">
        <v>162239290</v>
      </c>
      <c r="D2974" s="2">
        <v>163245541</v>
      </c>
      <c r="E2974" s="2">
        <v>4</v>
      </c>
      <c r="F2974" s="2" t="s">
        <v>10086</v>
      </c>
      <c r="H2974" s="2">
        <v>1.1000000000000001E-3</v>
      </c>
      <c r="K2974" s="2" t="s">
        <v>10089</v>
      </c>
    </row>
    <row r="2975" spans="1:11" x14ac:dyDescent="0.2">
      <c r="A2975" s="2">
        <v>745</v>
      </c>
      <c r="B2975" s="2">
        <v>4</v>
      </c>
      <c r="C2975" s="2">
        <v>163245542</v>
      </c>
      <c r="D2975" s="2">
        <v>163937103</v>
      </c>
      <c r="E2975" s="2">
        <v>1</v>
      </c>
      <c r="F2975" s="2" t="s">
        <v>10086</v>
      </c>
      <c r="H2975" s="2">
        <v>1.2999999999999999E-3</v>
      </c>
      <c r="K2975" s="2" t="s">
        <v>10085</v>
      </c>
    </row>
    <row r="2976" spans="1:11" x14ac:dyDescent="0.2">
      <c r="A2976" s="2">
        <v>745</v>
      </c>
      <c r="B2976" s="2">
        <v>4</v>
      </c>
      <c r="C2976" s="2">
        <v>163245542</v>
      </c>
      <c r="D2976" s="2">
        <v>163937103</v>
      </c>
      <c r="E2976" s="2">
        <v>2</v>
      </c>
      <c r="F2976" s="2" t="s">
        <v>10086</v>
      </c>
      <c r="H2976" s="3">
        <v>8.0000000000000004E-4</v>
      </c>
      <c r="K2976" s="2" t="s">
        <v>10087</v>
      </c>
    </row>
    <row r="2977" spans="1:11" x14ac:dyDescent="0.2">
      <c r="A2977" s="2">
        <v>745</v>
      </c>
      <c r="B2977" s="2">
        <v>4</v>
      </c>
      <c r="C2977" s="2">
        <v>163245542</v>
      </c>
      <c r="D2977" s="2">
        <v>163937103</v>
      </c>
      <c r="E2977" s="2">
        <v>3</v>
      </c>
      <c r="F2977" s="2" t="s">
        <v>10086</v>
      </c>
      <c r="H2977" s="3">
        <v>6.9999999999999999E-4</v>
      </c>
      <c r="K2977" s="2" t="s">
        <v>10088</v>
      </c>
    </row>
    <row r="2978" spans="1:11" x14ac:dyDescent="0.2">
      <c r="A2978" s="2">
        <v>745</v>
      </c>
      <c r="B2978" s="2">
        <v>4</v>
      </c>
      <c r="C2978" s="2">
        <v>163245542</v>
      </c>
      <c r="D2978" s="2">
        <v>163937103</v>
      </c>
      <c r="E2978" s="2">
        <v>4</v>
      </c>
      <c r="F2978" s="2" t="s">
        <v>10086</v>
      </c>
      <c r="H2978" s="3">
        <v>2.0000000000000001E-4</v>
      </c>
      <c r="K2978" s="2" t="s">
        <v>10089</v>
      </c>
    </row>
    <row r="2979" spans="1:11" x14ac:dyDescent="0.2">
      <c r="A2979" s="2">
        <v>746</v>
      </c>
      <c r="B2979" s="2">
        <v>4</v>
      </c>
      <c r="C2979" s="2">
        <v>163937104</v>
      </c>
      <c r="D2979" s="2">
        <v>164781847</v>
      </c>
      <c r="E2979" s="2">
        <v>1</v>
      </c>
      <c r="F2979" s="2" t="s">
        <v>10086</v>
      </c>
      <c r="H2979" s="2">
        <v>7.4000000000000003E-3</v>
      </c>
      <c r="K2979" s="2" t="s">
        <v>10088</v>
      </c>
    </row>
    <row r="2980" spans="1:11" x14ac:dyDescent="0.2">
      <c r="A2980" s="2">
        <v>746</v>
      </c>
      <c r="B2980" s="2">
        <v>4</v>
      </c>
      <c r="C2980" s="2">
        <v>163937104</v>
      </c>
      <c r="D2980" s="2">
        <v>164781847</v>
      </c>
      <c r="E2980" s="2">
        <v>2</v>
      </c>
      <c r="F2980" s="2" t="s">
        <v>10086</v>
      </c>
      <c r="H2980" s="2">
        <v>1.1000000000000001E-3</v>
      </c>
      <c r="K2980" s="2" t="s">
        <v>10085</v>
      </c>
    </row>
    <row r="2981" spans="1:11" x14ac:dyDescent="0.2">
      <c r="A2981" s="2">
        <v>746</v>
      </c>
      <c r="B2981" s="2">
        <v>4</v>
      </c>
      <c r="C2981" s="2">
        <v>163937104</v>
      </c>
      <c r="D2981" s="2">
        <v>164781847</v>
      </c>
      <c r="E2981" s="2">
        <v>3</v>
      </c>
      <c r="F2981" s="2" t="s">
        <v>10086</v>
      </c>
      <c r="H2981" s="2">
        <v>1.1000000000000001E-3</v>
      </c>
      <c r="K2981" s="2" t="s">
        <v>10089</v>
      </c>
    </row>
    <row r="2982" spans="1:11" x14ac:dyDescent="0.2">
      <c r="A2982" s="2">
        <v>746</v>
      </c>
      <c r="B2982" s="2">
        <v>4</v>
      </c>
      <c r="C2982" s="2">
        <v>163937104</v>
      </c>
      <c r="D2982" s="2">
        <v>164781847</v>
      </c>
      <c r="E2982" s="2">
        <v>4</v>
      </c>
      <c r="F2982" s="2" t="s">
        <v>10086</v>
      </c>
      <c r="H2982" s="3">
        <v>5.0000000000000001E-4</v>
      </c>
      <c r="K2982" s="2" t="s">
        <v>10087</v>
      </c>
    </row>
    <row r="2983" spans="1:11" x14ac:dyDescent="0.2">
      <c r="A2983" s="2">
        <v>747</v>
      </c>
      <c r="B2983" s="2">
        <v>4</v>
      </c>
      <c r="C2983" s="2">
        <v>164781848</v>
      </c>
      <c r="D2983" s="2">
        <v>165824650</v>
      </c>
      <c r="E2983" s="2">
        <v>1</v>
      </c>
      <c r="F2983" s="2" t="s">
        <v>10086</v>
      </c>
      <c r="H2983" s="2">
        <v>3.2000000000000002E-3</v>
      </c>
      <c r="K2983" s="2" t="s">
        <v>10088</v>
      </c>
    </row>
    <row r="2984" spans="1:11" x14ac:dyDescent="0.2">
      <c r="A2984" s="2">
        <v>747</v>
      </c>
      <c r="B2984" s="2">
        <v>4</v>
      </c>
      <c r="C2984" s="2">
        <v>164781848</v>
      </c>
      <c r="D2984" s="2">
        <v>165824650</v>
      </c>
      <c r="E2984" s="2">
        <v>2</v>
      </c>
      <c r="F2984" s="2" t="s">
        <v>10086</v>
      </c>
      <c r="H2984" s="2">
        <v>3.7000000000000002E-3</v>
      </c>
      <c r="K2984" s="2" t="s">
        <v>10089</v>
      </c>
    </row>
    <row r="2985" spans="1:11" x14ac:dyDescent="0.2">
      <c r="A2985" s="2">
        <v>747</v>
      </c>
      <c r="B2985" s="2">
        <v>4</v>
      </c>
      <c r="C2985" s="2">
        <v>164781848</v>
      </c>
      <c r="D2985" s="2">
        <v>165824650</v>
      </c>
      <c r="E2985" s="2">
        <v>3</v>
      </c>
      <c r="F2985" s="2" t="s">
        <v>10086</v>
      </c>
      <c r="H2985" s="2">
        <v>1.1999999999999999E-3</v>
      </c>
      <c r="K2985" s="2" t="s">
        <v>10085</v>
      </c>
    </row>
    <row r="2986" spans="1:11" x14ac:dyDescent="0.2">
      <c r="A2986" s="2">
        <v>747</v>
      </c>
      <c r="B2986" s="2">
        <v>4</v>
      </c>
      <c r="C2986" s="2">
        <v>164781848</v>
      </c>
      <c r="D2986" s="2">
        <v>165824650</v>
      </c>
      <c r="E2986" s="2">
        <v>4</v>
      </c>
      <c r="F2986" s="2" t="s">
        <v>10086</v>
      </c>
      <c r="H2986" s="3">
        <v>8.0000000000000004E-4</v>
      </c>
      <c r="K2986" s="2" t="s">
        <v>10087</v>
      </c>
    </row>
    <row r="2987" spans="1:11" x14ac:dyDescent="0.2">
      <c r="A2987" s="2">
        <v>748</v>
      </c>
      <c r="B2987" s="2">
        <v>4</v>
      </c>
      <c r="C2987" s="2">
        <v>165824651</v>
      </c>
      <c r="D2987" s="2">
        <v>166702855</v>
      </c>
      <c r="E2987" s="2">
        <v>1</v>
      </c>
      <c r="F2987" s="2" t="s">
        <v>10086</v>
      </c>
      <c r="H2987" s="2">
        <v>1E-3</v>
      </c>
      <c r="K2987" s="2" t="s">
        <v>10089</v>
      </c>
    </row>
    <row r="2988" spans="1:11" x14ac:dyDescent="0.2">
      <c r="A2988" s="2">
        <v>748</v>
      </c>
      <c r="B2988" s="2">
        <v>4</v>
      </c>
      <c r="C2988" s="2">
        <v>165824651</v>
      </c>
      <c r="D2988" s="2">
        <v>166702855</v>
      </c>
      <c r="E2988" s="2">
        <v>2</v>
      </c>
      <c r="F2988" s="2" t="s">
        <v>10086</v>
      </c>
      <c r="H2988" s="2">
        <v>1E-3</v>
      </c>
      <c r="K2988" s="2" t="s">
        <v>10087</v>
      </c>
    </row>
    <row r="2989" spans="1:11" x14ac:dyDescent="0.2">
      <c r="A2989" s="2">
        <v>748</v>
      </c>
      <c r="B2989" s="2">
        <v>4</v>
      </c>
      <c r="C2989" s="2">
        <v>165824651</v>
      </c>
      <c r="D2989" s="2">
        <v>166702855</v>
      </c>
      <c r="E2989" s="2">
        <v>3</v>
      </c>
      <c r="F2989" s="2" t="s">
        <v>10086</v>
      </c>
      <c r="H2989" s="3">
        <v>8.9999999999999998E-4</v>
      </c>
      <c r="K2989" s="2" t="s">
        <v>10085</v>
      </c>
    </row>
    <row r="2990" spans="1:11" x14ac:dyDescent="0.2">
      <c r="A2990" s="2">
        <v>748</v>
      </c>
      <c r="B2990" s="2">
        <v>4</v>
      </c>
      <c r="C2990" s="2">
        <v>165824651</v>
      </c>
      <c r="D2990" s="2">
        <v>166702855</v>
      </c>
      <c r="E2990" s="2">
        <v>4</v>
      </c>
      <c r="F2990" s="2" t="s">
        <v>10086</v>
      </c>
      <c r="H2990" s="3">
        <v>5.0000000000000001E-4</v>
      </c>
      <c r="K2990" s="2" t="s">
        <v>10088</v>
      </c>
    </row>
    <row r="2991" spans="1:11" x14ac:dyDescent="0.2">
      <c r="A2991" s="2">
        <v>749</v>
      </c>
      <c r="B2991" s="2">
        <v>4</v>
      </c>
      <c r="C2991" s="2">
        <v>166702856</v>
      </c>
      <c r="D2991" s="2">
        <v>167643768</v>
      </c>
      <c r="E2991" s="2">
        <v>1</v>
      </c>
      <c r="F2991" s="2" t="s">
        <v>10086</v>
      </c>
      <c r="H2991" s="2">
        <v>3.7000000000000002E-3</v>
      </c>
      <c r="K2991" s="2" t="s">
        <v>10089</v>
      </c>
    </row>
    <row r="2992" spans="1:11" x14ac:dyDescent="0.2">
      <c r="A2992" s="2">
        <v>749</v>
      </c>
      <c r="B2992" s="2">
        <v>4</v>
      </c>
      <c r="C2992" s="2">
        <v>166702856</v>
      </c>
      <c r="D2992" s="2">
        <v>167643768</v>
      </c>
      <c r="E2992" s="2">
        <v>2</v>
      </c>
      <c r="F2992" s="2" t="s">
        <v>10086</v>
      </c>
      <c r="H2992" s="2">
        <v>1.4E-3</v>
      </c>
      <c r="K2992" s="2" t="s">
        <v>10085</v>
      </c>
    </row>
    <row r="2993" spans="1:11" x14ac:dyDescent="0.2">
      <c r="A2993" s="2">
        <v>749</v>
      </c>
      <c r="B2993" s="2">
        <v>4</v>
      </c>
      <c r="C2993" s="2">
        <v>166702856</v>
      </c>
      <c r="D2993" s="2">
        <v>167643768</v>
      </c>
      <c r="E2993" s="2">
        <v>3</v>
      </c>
      <c r="F2993" s="2" t="s">
        <v>10086</v>
      </c>
      <c r="H2993" s="2">
        <v>1.2999999999999999E-3</v>
      </c>
      <c r="K2993" s="2" t="s">
        <v>10087</v>
      </c>
    </row>
    <row r="2994" spans="1:11" x14ac:dyDescent="0.2">
      <c r="A2994" s="2">
        <v>749</v>
      </c>
      <c r="B2994" s="2">
        <v>4</v>
      </c>
      <c r="C2994" s="2">
        <v>166702856</v>
      </c>
      <c r="D2994" s="2">
        <v>167643768</v>
      </c>
      <c r="E2994" s="2">
        <v>4</v>
      </c>
      <c r="F2994" s="2" t="s">
        <v>10086</v>
      </c>
      <c r="H2994" s="3">
        <v>5.9999999999999995E-4</v>
      </c>
      <c r="K2994" s="2" t="s">
        <v>10088</v>
      </c>
    </row>
    <row r="2995" spans="1:11" x14ac:dyDescent="0.2">
      <c r="A2995" s="2">
        <v>750</v>
      </c>
      <c r="B2995" s="2">
        <v>4</v>
      </c>
      <c r="C2995" s="2">
        <v>167643769</v>
      </c>
      <c r="D2995" s="2">
        <v>168623790</v>
      </c>
      <c r="E2995" s="2">
        <v>1</v>
      </c>
      <c r="F2995" s="2" t="s">
        <v>10086</v>
      </c>
      <c r="H2995" s="2">
        <v>1E-3</v>
      </c>
      <c r="K2995" s="2" t="s">
        <v>10088</v>
      </c>
    </row>
    <row r="2996" spans="1:11" x14ac:dyDescent="0.2">
      <c r="A2996" s="2">
        <v>750</v>
      </c>
      <c r="B2996" s="2">
        <v>4</v>
      </c>
      <c r="C2996" s="2">
        <v>167643769</v>
      </c>
      <c r="D2996" s="2">
        <v>168623790</v>
      </c>
      <c r="E2996" s="2">
        <v>2</v>
      </c>
      <c r="F2996" s="2" t="s">
        <v>10086</v>
      </c>
      <c r="H2996" s="2">
        <v>1E-3</v>
      </c>
      <c r="K2996" s="2" t="s">
        <v>10085</v>
      </c>
    </row>
    <row r="2997" spans="1:11" x14ac:dyDescent="0.2">
      <c r="A2997" s="2">
        <v>750</v>
      </c>
      <c r="B2997" s="2">
        <v>4</v>
      </c>
      <c r="C2997" s="2">
        <v>167643769</v>
      </c>
      <c r="D2997" s="2">
        <v>168623790</v>
      </c>
      <c r="E2997" s="2">
        <v>3</v>
      </c>
      <c r="F2997" s="2" t="s">
        <v>10086</v>
      </c>
      <c r="H2997" s="2">
        <v>1E-3</v>
      </c>
      <c r="K2997" s="2" t="s">
        <v>10087</v>
      </c>
    </row>
    <row r="2998" spans="1:11" x14ac:dyDescent="0.2">
      <c r="A2998" s="2">
        <v>750</v>
      </c>
      <c r="B2998" s="2">
        <v>4</v>
      </c>
      <c r="C2998" s="2">
        <v>167643769</v>
      </c>
      <c r="D2998" s="2">
        <v>168623790</v>
      </c>
      <c r="E2998" s="2">
        <v>4</v>
      </c>
      <c r="F2998" s="2" t="s">
        <v>10086</v>
      </c>
      <c r="H2998" s="3">
        <v>5.0000000000000001E-4</v>
      </c>
      <c r="K2998" s="2" t="s">
        <v>10089</v>
      </c>
    </row>
    <row r="2999" spans="1:11" x14ac:dyDescent="0.2">
      <c r="A2999" s="2">
        <v>751</v>
      </c>
      <c r="B2999" s="2">
        <v>4</v>
      </c>
      <c r="C2999" s="2">
        <v>168623791</v>
      </c>
      <c r="D2999" s="2">
        <v>169555114</v>
      </c>
      <c r="E2999" s="2">
        <v>1</v>
      </c>
      <c r="F2999" s="2" t="s">
        <v>10086</v>
      </c>
      <c r="H2999" s="2">
        <v>6.1999999999999998E-3</v>
      </c>
      <c r="K2999" s="2" t="s">
        <v>10088</v>
      </c>
    </row>
    <row r="3000" spans="1:11" x14ac:dyDescent="0.2">
      <c r="A3000" s="2">
        <v>751</v>
      </c>
      <c r="B3000" s="2">
        <v>4</v>
      </c>
      <c r="C3000" s="2">
        <v>168623791</v>
      </c>
      <c r="D3000" s="2">
        <v>169555114</v>
      </c>
      <c r="E3000" s="2">
        <v>2</v>
      </c>
      <c r="F3000" s="2" t="s">
        <v>10086</v>
      </c>
      <c r="H3000" s="2">
        <v>4.4000000000000003E-3</v>
      </c>
      <c r="K3000" s="2" t="s">
        <v>10085</v>
      </c>
    </row>
    <row r="3001" spans="1:11" x14ac:dyDescent="0.2">
      <c r="A3001" s="2">
        <v>751</v>
      </c>
      <c r="B3001" s="2">
        <v>4</v>
      </c>
      <c r="C3001" s="2">
        <v>168623791</v>
      </c>
      <c r="D3001" s="2">
        <v>169555114</v>
      </c>
      <c r="E3001" s="2">
        <v>3</v>
      </c>
      <c r="F3001" s="2" t="s">
        <v>10086</v>
      </c>
      <c r="H3001" s="2">
        <v>2E-3</v>
      </c>
      <c r="K3001" s="2" t="s">
        <v>10089</v>
      </c>
    </row>
    <row r="3002" spans="1:11" x14ac:dyDescent="0.2">
      <c r="A3002" s="2">
        <v>751</v>
      </c>
      <c r="B3002" s="2">
        <v>4</v>
      </c>
      <c r="C3002" s="2">
        <v>168623791</v>
      </c>
      <c r="D3002" s="2">
        <v>169555114</v>
      </c>
      <c r="E3002" s="2">
        <v>4</v>
      </c>
      <c r="F3002" s="2" t="s">
        <v>10086</v>
      </c>
      <c r="H3002" s="3">
        <v>4.0000000000000002E-4</v>
      </c>
      <c r="K3002" s="2" t="s">
        <v>10087</v>
      </c>
    </row>
    <row r="3003" spans="1:11" x14ac:dyDescent="0.2">
      <c r="A3003" s="2">
        <v>752</v>
      </c>
      <c r="B3003" s="2">
        <v>4</v>
      </c>
      <c r="C3003" s="2">
        <v>169555115</v>
      </c>
      <c r="D3003" s="2">
        <v>170682809</v>
      </c>
      <c r="E3003" s="2">
        <v>1</v>
      </c>
      <c r="F3003" s="2" t="s">
        <v>10086</v>
      </c>
      <c r="H3003" s="3">
        <v>8.9999999999999998E-4</v>
      </c>
      <c r="K3003" s="2" t="s">
        <v>10085</v>
      </c>
    </row>
    <row r="3004" spans="1:11" x14ac:dyDescent="0.2">
      <c r="A3004" s="2">
        <v>752</v>
      </c>
      <c r="B3004" s="2">
        <v>4</v>
      </c>
      <c r="C3004" s="2">
        <v>169555115</v>
      </c>
      <c r="D3004" s="2">
        <v>170682809</v>
      </c>
      <c r="E3004" s="2">
        <v>2</v>
      </c>
      <c r="F3004" s="2" t="s">
        <v>10086</v>
      </c>
      <c r="H3004" s="2">
        <v>1.1000000000000001E-3</v>
      </c>
      <c r="K3004" s="2" t="s">
        <v>10089</v>
      </c>
    </row>
    <row r="3005" spans="1:11" x14ac:dyDescent="0.2">
      <c r="A3005" s="2">
        <v>752</v>
      </c>
      <c r="B3005" s="2">
        <v>4</v>
      </c>
      <c r="C3005" s="2">
        <v>169555115</v>
      </c>
      <c r="D3005" s="2">
        <v>170682809</v>
      </c>
      <c r="E3005" s="2">
        <v>3</v>
      </c>
      <c r="F3005" s="2" t="s">
        <v>10086</v>
      </c>
      <c r="H3005" s="2">
        <v>1E-3</v>
      </c>
      <c r="K3005" s="2" t="s">
        <v>10087</v>
      </c>
    </row>
    <row r="3006" spans="1:11" x14ac:dyDescent="0.2">
      <c r="A3006" s="2">
        <v>752</v>
      </c>
      <c r="B3006" s="2">
        <v>4</v>
      </c>
      <c r="C3006" s="2">
        <v>169555115</v>
      </c>
      <c r="D3006" s="2">
        <v>170682809</v>
      </c>
      <c r="E3006" s="2">
        <v>4</v>
      </c>
      <c r="F3006" s="2" t="s">
        <v>10086</v>
      </c>
      <c r="H3006" s="3">
        <v>5.9999999999999995E-4</v>
      </c>
      <c r="K3006" s="2" t="s">
        <v>12324</v>
      </c>
    </row>
    <row r="3007" spans="1:11" x14ac:dyDescent="0.2">
      <c r="A3007" s="2">
        <v>753</v>
      </c>
      <c r="B3007" s="2">
        <v>4</v>
      </c>
      <c r="C3007" s="2">
        <v>170682810</v>
      </c>
      <c r="D3007" s="2">
        <v>171643019</v>
      </c>
      <c r="E3007" s="2">
        <v>1</v>
      </c>
      <c r="F3007" s="2" t="s">
        <v>10086</v>
      </c>
      <c r="H3007" s="2">
        <v>1.2500000000000001E-2</v>
      </c>
      <c r="K3007" s="2" t="s">
        <v>12324</v>
      </c>
    </row>
    <row r="3008" spans="1:11" x14ac:dyDescent="0.2">
      <c r="A3008" s="2">
        <v>753</v>
      </c>
      <c r="B3008" s="2">
        <v>4</v>
      </c>
      <c r="C3008" s="2">
        <v>170682810</v>
      </c>
      <c r="D3008" s="2">
        <v>171643019</v>
      </c>
      <c r="E3008" s="2">
        <v>2</v>
      </c>
      <c r="F3008" s="2" t="s">
        <v>10086</v>
      </c>
      <c r="H3008" s="2">
        <v>2.5999999999999999E-3</v>
      </c>
      <c r="K3008" s="2" t="s">
        <v>10087</v>
      </c>
    </row>
    <row r="3009" spans="1:11" x14ac:dyDescent="0.2">
      <c r="A3009" s="2">
        <v>753</v>
      </c>
      <c r="B3009" s="2">
        <v>4</v>
      </c>
      <c r="C3009" s="2">
        <v>170682810</v>
      </c>
      <c r="D3009" s="2">
        <v>171643019</v>
      </c>
      <c r="E3009" s="2">
        <v>3</v>
      </c>
      <c r="F3009" s="2" t="s">
        <v>10086</v>
      </c>
      <c r="H3009" s="2">
        <v>1E-3</v>
      </c>
      <c r="K3009" s="2" t="s">
        <v>10089</v>
      </c>
    </row>
    <row r="3010" spans="1:11" x14ac:dyDescent="0.2">
      <c r="A3010" s="2">
        <v>753</v>
      </c>
      <c r="B3010" s="2">
        <v>4</v>
      </c>
      <c r="C3010" s="2">
        <v>170682810</v>
      </c>
      <c r="D3010" s="2">
        <v>171643019</v>
      </c>
      <c r="E3010" s="2">
        <v>4</v>
      </c>
      <c r="F3010" s="2" t="s">
        <v>10086</v>
      </c>
      <c r="H3010" s="3">
        <v>8.0000000000000004E-4</v>
      </c>
      <c r="K3010" s="2" t="s">
        <v>10085</v>
      </c>
    </row>
    <row r="3011" spans="1:11" x14ac:dyDescent="0.2">
      <c r="A3011" s="2">
        <v>754</v>
      </c>
      <c r="B3011" s="2">
        <v>4</v>
      </c>
      <c r="C3011" s="2">
        <v>171643020</v>
      </c>
      <c r="D3011" s="2">
        <v>172555990</v>
      </c>
      <c r="E3011" s="2">
        <v>1</v>
      </c>
      <c r="F3011" s="2" t="s">
        <v>10086</v>
      </c>
      <c r="H3011" s="2">
        <v>1.8E-3</v>
      </c>
      <c r="K3011" s="2" t="s">
        <v>10088</v>
      </c>
    </row>
    <row r="3012" spans="1:11" x14ac:dyDescent="0.2">
      <c r="A3012" s="2">
        <v>754</v>
      </c>
      <c r="B3012" s="2">
        <v>4</v>
      </c>
      <c r="C3012" s="2">
        <v>171643020</v>
      </c>
      <c r="D3012" s="2">
        <v>172555990</v>
      </c>
      <c r="E3012" s="2">
        <v>2</v>
      </c>
      <c r="F3012" s="2" t="s">
        <v>10086</v>
      </c>
      <c r="H3012" s="2">
        <v>9.1999999999999998E-3</v>
      </c>
      <c r="K3012" s="2" t="s">
        <v>10087</v>
      </c>
    </row>
    <row r="3013" spans="1:11" x14ac:dyDescent="0.2">
      <c r="A3013" s="2">
        <v>754</v>
      </c>
      <c r="B3013" s="2">
        <v>4</v>
      </c>
      <c r="C3013" s="2">
        <v>171643020</v>
      </c>
      <c r="D3013" s="2">
        <v>172555990</v>
      </c>
      <c r="E3013" s="2">
        <v>3</v>
      </c>
      <c r="F3013" s="2" t="s">
        <v>10086</v>
      </c>
      <c r="H3013" s="2">
        <v>2.2000000000000001E-3</v>
      </c>
      <c r="K3013" s="2" t="s">
        <v>10085</v>
      </c>
    </row>
    <row r="3014" spans="1:11" x14ac:dyDescent="0.2">
      <c r="A3014" s="2">
        <v>754</v>
      </c>
      <c r="B3014" s="2">
        <v>4</v>
      </c>
      <c r="C3014" s="2">
        <v>171643020</v>
      </c>
      <c r="D3014" s="2">
        <v>172555990</v>
      </c>
      <c r="E3014" s="2">
        <v>4</v>
      </c>
      <c r="F3014" s="2" t="s">
        <v>10086</v>
      </c>
      <c r="H3014" s="3">
        <v>8.9999999999999998E-4</v>
      </c>
      <c r="K3014" s="2" t="s">
        <v>10089</v>
      </c>
    </row>
    <row r="3015" spans="1:11" x14ac:dyDescent="0.2">
      <c r="A3015" s="2">
        <v>755</v>
      </c>
      <c r="B3015" s="2">
        <v>4</v>
      </c>
      <c r="C3015" s="2">
        <v>172555991</v>
      </c>
      <c r="D3015" s="2">
        <v>174470206</v>
      </c>
      <c r="E3015" s="2">
        <v>1</v>
      </c>
      <c r="F3015" s="2" t="s">
        <v>10086</v>
      </c>
      <c r="H3015" s="2">
        <v>3.8E-3</v>
      </c>
      <c r="K3015" s="2" t="s">
        <v>10087</v>
      </c>
    </row>
    <row r="3016" spans="1:11" x14ac:dyDescent="0.2">
      <c r="A3016" s="2">
        <v>755</v>
      </c>
      <c r="B3016" s="2">
        <v>4</v>
      </c>
      <c r="C3016" s="2">
        <v>172555991</v>
      </c>
      <c r="D3016" s="2">
        <v>174470206</v>
      </c>
      <c r="E3016" s="2">
        <v>2</v>
      </c>
      <c r="F3016" s="2" t="s">
        <v>10086</v>
      </c>
      <c r="H3016" s="2">
        <v>1.9E-3</v>
      </c>
      <c r="K3016" s="2" t="s">
        <v>10085</v>
      </c>
    </row>
    <row r="3017" spans="1:11" x14ac:dyDescent="0.2">
      <c r="A3017" s="2">
        <v>755</v>
      </c>
      <c r="B3017" s="2">
        <v>4</v>
      </c>
      <c r="C3017" s="2">
        <v>172555991</v>
      </c>
      <c r="D3017" s="2">
        <v>174470206</v>
      </c>
      <c r="E3017" s="2">
        <v>3</v>
      </c>
      <c r="F3017" s="2" t="s">
        <v>10086</v>
      </c>
      <c r="H3017" s="2">
        <v>1.2999999999999999E-3</v>
      </c>
      <c r="K3017" s="2" t="s">
        <v>10089</v>
      </c>
    </row>
    <row r="3018" spans="1:11" x14ac:dyDescent="0.2">
      <c r="A3018" s="2">
        <v>755</v>
      </c>
      <c r="B3018" s="2">
        <v>4</v>
      </c>
      <c r="C3018" s="2">
        <v>172555991</v>
      </c>
      <c r="D3018" s="2">
        <v>174470206</v>
      </c>
      <c r="E3018" s="2">
        <v>4</v>
      </c>
      <c r="F3018" s="2" t="s">
        <v>10086</v>
      </c>
      <c r="H3018" s="3">
        <v>6.9999999999999999E-4</v>
      </c>
      <c r="K3018" s="2" t="s">
        <v>10088</v>
      </c>
    </row>
    <row r="3019" spans="1:11" x14ac:dyDescent="0.2">
      <c r="A3019" s="2">
        <v>756</v>
      </c>
      <c r="B3019" s="2">
        <v>4</v>
      </c>
      <c r="C3019" s="2">
        <v>174470207</v>
      </c>
      <c r="D3019" s="2">
        <v>175295842</v>
      </c>
      <c r="E3019" s="2">
        <v>1</v>
      </c>
      <c r="F3019" s="2" t="s">
        <v>10086</v>
      </c>
      <c r="H3019" s="2">
        <v>7.6E-3</v>
      </c>
      <c r="K3019" s="2" t="s">
        <v>10089</v>
      </c>
    </row>
    <row r="3020" spans="1:11" x14ac:dyDescent="0.2">
      <c r="A3020" s="2">
        <v>756</v>
      </c>
      <c r="B3020" s="2">
        <v>4</v>
      </c>
      <c r="C3020" s="2">
        <v>174470207</v>
      </c>
      <c r="D3020" s="2">
        <v>175295842</v>
      </c>
      <c r="E3020" s="2">
        <v>2</v>
      </c>
      <c r="F3020" s="2" t="s">
        <v>10086</v>
      </c>
      <c r="H3020" s="2">
        <v>1.9E-3</v>
      </c>
      <c r="K3020" s="2" t="s">
        <v>10087</v>
      </c>
    </row>
    <row r="3021" spans="1:11" x14ac:dyDescent="0.2">
      <c r="A3021" s="2">
        <v>756</v>
      </c>
      <c r="B3021" s="2">
        <v>4</v>
      </c>
      <c r="C3021" s="2">
        <v>174470207</v>
      </c>
      <c r="D3021" s="2">
        <v>175295842</v>
      </c>
      <c r="E3021" s="2">
        <v>3</v>
      </c>
      <c r="F3021" s="2" t="s">
        <v>10086</v>
      </c>
      <c r="H3021" s="2">
        <v>1E-3</v>
      </c>
      <c r="K3021" s="2" t="s">
        <v>10088</v>
      </c>
    </row>
    <row r="3022" spans="1:11" x14ac:dyDescent="0.2">
      <c r="A3022" s="2">
        <v>756</v>
      </c>
      <c r="B3022" s="2">
        <v>4</v>
      </c>
      <c r="C3022" s="2">
        <v>174470207</v>
      </c>
      <c r="D3022" s="2">
        <v>175295842</v>
      </c>
      <c r="E3022" s="2">
        <v>4</v>
      </c>
      <c r="F3022" s="2" t="s">
        <v>10086</v>
      </c>
      <c r="H3022" s="3">
        <v>4.0000000000000002E-4</v>
      </c>
      <c r="K3022" s="2" t="s">
        <v>10085</v>
      </c>
    </row>
    <row r="3023" spans="1:11" x14ac:dyDescent="0.2">
      <c r="A3023" s="2">
        <v>757</v>
      </c>
      <c r="B3023" s="2">
        <v>4</v>
      </c>
      <c r="C3023" s="2">
        <v>175295843</v>
      </c>
      <c r="D3023" s="2">
        <v>175959697</v>
      </c>
      <c r="E3023" s="2">
        <v>1</v>
      </c>
      <c r="F3023" s="2" t="s">
        <v>10086</v>
      </c>
      <c r="H3023" s="2">
        <v>8.6E-3</v>
      </c>
      <c r="K3023" s="2" t="s">
        <v>10087</v>
      </c>
    </row>
    <row r="3024" spans="1:11" x14ac:dyDescent="0.2">
      <c r="A3024" s="2">
        <v>757</v>
      </c>
      <c r="B3024" s="2">
        <v>4</v>
      </c>
      <c r="C3024" s="2">
        <v>175295843</v>
      </c>
      <c r="D3024" s="2">
        <v>175959697</v>
      </c>
      <c r="E3024" s="2">
        <v>2</v>
      </c>
      <c r="F3024" s="2" t="s">
        <v>10086</v>
      </c>
      <c r="H3024" s="2">
        <v>1.2999999999999999E-3</v>
      </c>
      <c r="K3024" s="2" t="s">
        <v>10089</v>
      </c>
    </row>
    <row r="3025" spans="1:11" x14ac:dyDescent="0.2">
      <c r="A3025" s="2">
        <v>757</v>
      </c>
      <c r="B3025" s="2">
        <v>4</v>
      </c>
      <c r="C3025" s="2">
        <v>175295843</v>
      </c>
      <c r="D3025" s="2">
        <v>175959697</v>
      </c>
      <c r="E3025" s="2">
        <v>3</v>
      </c>
      <c r="F3025" s="2" t="s">
        <v>10086</v>
      </c>
      <c r="H3025" s="3">
        <v>8.0000000000000004E-4</v>
      </c>
      <c r="K3025" s="2" t="s">
        <v>10085</v>
      </c>
    </row>
    <row r="3026" spans="1:11" x14ac:dyDescent="0.2">
      <c r="A3026" s="2">
        <v>757</v>
      </c>
      <c r="B3026" s="2">
        <v>4</v>
      </c>
      <c r="C3026" s="2">
        <v>175295843</v>
      </c>
      <c r="D3026" s="2">
        <v>175959697</v>
      </c>
      <c r="E3026" s="2">
        <v>4</v>
      </c>
      <c r="F3026" s="2" t="s">
        <v>10086</v>
      </c>
      <c r="H3026" s="3">
        <v>5.9999999999999995E-4</v>
      </c>
      <c r="K3026" s="2" t="s">
        <v>10088</v>
      </c>
    </row>
    <row r="3027" spans="1:11" x14ac:dyDescent="0.2">
      <c r="A3027" s="2">
        <v>758</v>
      </c>
      <c r="B3027" s="2">
        <v>4</v>
      </c>
      <c r="C3027" s="2">
        <v>175959698</v>
      </c>
      <c r="D3027" s="2">
        <v>177129678</v>
      </c>
      <c r="E3027" s="2">
        <v>1</v>
      </c>
      <c r="F3027" s="2" t="s">
        <v>10086</v>
      </c>
      <c r="H3027" s="2">
        <v>2.3999999999999998E-3</v>
      </c>
      <c r="K3027" s="2" t="s">
        <v>10089</v>
      </c>
    </row>
    <row r="3028" spans="1:11" x14ac:dyDescent="0.2">
      <c r="A3028" s="2">
        <v>758</v>
      </c>
      <c r="B3028" s="2">
        <v>4</v>
      </c>
      <c r="C3028" s="2">
        <v>175959698</v>
      </c>
      <c r="D3028" s="2">
        <v>177129678</v>
      </c>
      <c r="E3028" s="2">
        <v>2</v>
      </c>
      <c r="F3028" s="2" t="s">
        <v>10086</v>
      </c>
      <c r="H3028" s="2">
        <v>1.8E-3</v>
      </c>
      <c r="K3028" s="2" t="s">
        <v>10087</v>
      </c>
    </row>
    <row r="3029" spans="1:11" x14ac:dyDescent="0.2">
      <c r="A3029" s="2">
        <v>758</v>
      </c>
      <c r="B3029" s="2">
        <v>4</v>
      </c>
      <c r="C3029" s="2">
        <v>175959698</v>
      </c>
      <c r="D3029" s="2">
        <v>177129678</v>
      </c>
      <c r="E3029" s="2">
        <v>3</v>
      </c>
      <c r="F3029" s="2" t="s">
        <v>10086</v>
      </c>
      <c r="H3029" s="2">
        <v>1.4E-3</v>
      </c>
      <c r="K3029" s="2" t="s">
        <v>10085</v>
      </c>
    </row>
    <row r="3030" spans="1:11" x14ac:dyDescent="0.2">
      <c r="A3030" s="2">
        <v>758</v>
      </c>
      <c r="B3030" s="2">
        <v>4</v>
      </c>
      <c r="C3030" s="2">
        <v>175959698</v>
      </c>
      <c r="D3030" s="2">
        <v>177129678</v>
      </c>
      <c r="E3030" s="2">
        <v>4</v>
      </c>
      <c r="F3030" s="2" t="s">
        <v>10086</v>
      </c>
      <c r="H3030" s="3">
        <v>5.9999999999999995E-4</v>
      </c>
      <c r="K3030" s="2" t="s">
        <v>10088</v>
      </c>
    </row>
    <row r="3031" spans="1:11" x14ac:dyDescent="0.2">
      <c r="A3031" s="2">
        <v>759</v>
      </c>
      <c r="B3031" s="2">
        <v>4</v>
      </c>
      <c r="C3031" s="2">
        <v>177129679</v>
      </c>
      <c r="D3031" s="2">
        <v>178314527</v>
      </c>
      <c r="E3031" s="2">
        <v>1</v>
      </c>
      <c r="F3031" s="2" t="s">
        <v>10086</v>
      </c>
      <c r="H3031" s="2">
        <v>1.9E-3</v>
      </c>
      <c r="K3031" s="2" t="s">
        <v>10089</v>
      </c>
    </row>
    <row r="3032" spans="1:11" x14ac:dyDescent="0.2">
      <c r="A3032" s="2">
        <v>759</v>
      </c>
      <c r="B3032" s="2">
        <v>4</v>
      </c>
      <c r="C3032" s="2">
        <v>177129679</v>
      </c>
      <c r="D3032" s="2">
        <v>178314527</v>
      </c>
      <c r="E3032" s="2">
        <v>2</v>
      </c>
      <c r="F3032" s="2" t="s">
        <v>10086</v>
      </c>
      <c r="H3032" s="3">
        <v>8.9999999999999998E-4</v>
      </c>
      <c r="K3032" s="2" t="s">
        <v>10088</v>
      </c>
    </row>
    <row r="3033" spans="1:11" x14ac:dyDescent="0.2">
      <c r="A3033" s="2">
        <v>759</v>
      </c>
      <c r="B3033" s="2">
        <v>4</v>
      </c>
      <c r="C3033" s="2">
        <v>177129679</v>
      </c>
      <c r="D3033" s="2">
        <v>178314527</v>
      </c>
      <c r="E3033" s="2">
        <v>3</v>
      </c>
      <c r="F3033" s="2" t="s">
        <v>10086</v>
      </c>
      <c r="H3033" s="3">
        <v>8.9999999999999998E-4</v>
      </c>
      <c r="K3033" s="2" t="s">
        <v>10087</v>
      </c>
    </row>
    <row r="3034" spans="1:11" x14ac:dyDescent="0.2">
      <c r="A3034" s="2">
        <v>759</v>
      </c>
      <c r="B3034" s="2">
        <v>4</v>
      </c>
      <c r="C3034" s="2">
        <v>177129679</v>
      </c>
      <c r="D3034" s="2">
        <v>178314527</v>
      </c>
      <c r="E3034" s="2">
        <v>4</v>
      </c>
      <c r="F3034" s="2" t="s">
        <v>10086</v>
      </c>
      <c r="H3034" s="3">
        <v>5.9999999999999995E-4</v>
      </c>
      <c r="K3034" s="2" t="s">
        <v>10085</v>
      </c>
    </row>
    <row r="3035" spans="1:11" x14ac:dyDescent="0.2">
      <c r="A3035" s="2">
        <v>760</v>
      </c>
      <c r="B3035" s="2">
        <v>4</v>
      </c>
      <c r="C3035" s="2">
        <v>178314528</v>
      </c>
      <c r="D3035" s="2">
        <v>179233905</v>
      </c>
      <c r="E3035" s="2">
        <v>1</v>
      </c>
      <c r="F3035" s="2" t="s">
        <v>10086</v>
      </c>
      <c r="H3035" s="2">
        <v>1.1999999999999999E-3</v>
      </c>
      <c r="K3035" s="2" t="s">
        <v>10089</v>
      </c>
    </row>
    <row r="3036" spans="1:11" x14ac:dyDescent="0.2">
      <c r="A3036" s="2">
        <v>760</v>
      </c>
      <c r="B3036" s="2">
        <v>4</v>
      </c>
      <c r="C3036" s="2">
        <v>178314528</v>
      </c>
      <c r="D3036" s="2">
        <v>179233905</v>
      </c>
      <c r="E3036" s="2">
        <v>2</v>
      </c>
      <c r="F3036" s="2" t="s">
        <v>10086</v>
      </c>
      <c r="H3036" s="3">
        <v>6.9999999999999999E-4</v>
      </c>
      <c r="K3036" s="2" t="s">
        <v>10085</v>
      </c>
    </row>
    <row r="3037" spans="1:11" x14ac:dyDescent="0.2">
      <c r="A3037" s="2">
        <v>760</v>
      </c>
      <c r="B3037" s="2">
        <v>4</v>
      </c>
      <c r="C3037" s="2">
        <v>178314528</v>
      </c>
      <c r="D3037" s="2">
        <v>179233905</v>
      </c>
      <c r="E3037" s="2">
        <v>3</v>
      </c>
      <c r="F3037" s="2" t="s">
        <v>10086</v>
      </c>
      <c r="H3037" s="3">
        <v>5.9999999999999995E-4</v>
      </c>
      <c r="K3037" s="2" t="s">
        <v>10088</v>
      </c>
    </row>
    <row r="3038" spans="1:11" x14ac:dyDescent="0.2">
      <c r="A3038" s="2">
        <v>760</v>
      </c>
      <c r="B3038" s="2">
        <v>4</v>
      </c>
      <c r="C3038" s="2">
        <v>178314528</v>
      </c>
      <c r="D3038" s="2">
        <v>179233905</v>
      </c>
      <c r="E3038" s="2">
        <v>4</v>
      </c>
      <c r="F3038" s="2" t="s">
        <v>10086</v>
      </c>
      <c r="H3038" s="3">
        <v>2.9999999999999997E-4</v>
      </c>
      <c r="K3038" s="2" t="s">
        <v>10087</v>
      </c>
    </row>
    <row r="3039" spans="1:11" x14ac:dyDescent="0.2">
      <c r="A3039" s="2">
        <v>761</v>
      </c>
      <c r="B3039" s="2">
        <v>4</v>
      </c>
      <c r="C3039" s="2">
        <v>179233906</v>
      </c>
      <c r="D3039" s="2">
        <v>179932391</v>
      </c>
      <c r="E3039" s="2">
        <v>1</v>
      </c>
      <c r="F3039" s="2" t="s">
        <v>10086</v>
      </c>
      <c r="H3039" s="2">
        <v>1E-3</v>
      </c>
      <c r="K3039" s="2" t="s">
        <v>10089</v>
      </c>
    </row>
    <row r="3040" spans="1:11" x14ac:dyDescent="0.2">
      <c r="A3040" s="2">
        <v>761</v>
      </c>
      <c r="B3040" s="2">
        <v>4</v>
      </c>
      <c r="C3040" s="2">
        <v>179233906</v>
      </c>
      <c r="D3040" s="2">
        <v>179932391</v>
      </c>
      <c r="E3040" s="2">
        <v>2</v>
      </c>
      <c r="F3040" s="2" t="s">
        <v>10086</v>
      </c>
      <c r="H3040" s="3">
        <v>8.9999999999999998E-4</v>
      </c>
      <c r="K3040" s="2" t="s">
        <v>10087</v>
      </c>
    </row>
    <row r="3041" spans="1:11" x14ac:dyDescent="0.2">
      <c r="A3041" s="2">
        <v>761</v>
      </c>
      <c r="B3041" s="2">
        <v>4</v>
      </c>
      <c r="C3041" s="2">
        <v>179233906</v>
      </c>
      <c r="D3041" s="2">
        <v>179932391</v>
      </c>
      <c r="E3041" s="2">
        <v>3</v>
      </c>
      <c r="F3041" s="2" t="s">
        <v>10086</v>
      </c>
      <c r="H3041" s="3">
        <v>8.0000000000000004E-4</v>
      </c>
      <c r="K3041" s="2" t="s">
        <v>10085</v>
      </c>
    </row>
    <row r="3042" spans="1:11" x14ac:dyDescent="0.2">
      <c r="A3042" s="2">
        <v>761</v>
      </c>
      <c r="B3042" s="2">
        <v>4</v>
      </c>
      <c r="C3042" s="2">
        <v>179233906</v>
      </c>
      <c r="D3042" s="2">
        <v>179932391</v>
      </c>
      <c r="E3042" s="2">
        <v>4</v>
      </c>
      <c r="F3042" s="2" t="s">
        <v>10086</v>
      </c>
      <c r="H3042" s="3">
        <v>4.0000000000000002E-4</v>
      </c>
      <c r="K3042" s="2" t="s">
        <v>10088</v>
      </c>
    </row>
    <row r="3043" spans="1:11" x14ac:dyDescent="0.2">
      <c r="A3043" s="2">
        <v>762</v>
      </c>
      <c r="B3043" s="2">
        <v>4</v>
      </c>
      <c r="C3043" s="2">
        <v>179932392</v>
      </c>
      <c r="D3043" s="2">
        <v>180540877</v>
      </c>
      <c r="E3043" s="2">
        <v>1</v>
      </c>
      <c r="F3043" s="2" t="s">
        <v>10086</v>
      </c>
      <c r="H3043" s="2">
        <v>6.7000000000000002E-3</v>
      </c>
      <c r="K3043" s="2" t="s">
        <v>10088</v>
      </c>
    </row>
    <row r="3044" spans="1:11" x14ac:dyDescent="0.2">
      <c r="A3044" s="2">
        <v>762</v>
      </c>
      <c r="B3044" s="2">
        <v>4</v>
      </c>
      <c r="C3044" s="2">
        <v>179932392</v>
      </c>
      <c r="D3044" s="2">
        <v>180540877</v>
      </c>
      <c r="E3044" s="2">
        <v>2</v>
      </c>
      <c r="F3044" s="2" t="s">
        <v>10086</v>
      </c>
      <c r="H3044" s="2">
        <v>1.6000000000000001E-3</v>
      </c>
      <c r="K3044" s="2" t="s">
        <v>10085</v>
      </c>
    </row>
    <row r="3045" spans="1:11" x14ac:dyDescent="0.2">
      <c r="A3045" s="2">
        <v>762</v>
      </c>
      <c r="B3045" s="2">
        <v>4</v>
      </c>
      <c r="C3045" s="2">
        <v>179932392</v>
      </c>
      <c r="D3045" s="2">
        <v>180540877</v>
      </c>
      <c r="E3045" s="2">
        <v>3</v>
      </c>
      <c r="F3045" s="2" t="s">
        <v>10086</v>
      </c>
      <c r="H3045" s="3">
        <v>6.9999999999999999E-4</v>
      </c>
      <c r="K3045" s="2" t="s">
        <v>10087</v>
      </c>
    </row>
    <row r="3046" spans="1:11" x14ac:dyDescent="0.2">
      <c r="A3046" s="2">
        <v>762</v>
      </c>
      <c r="B3046" s="2">
        <v>4</v>
      </c>
      <c r="C3046" s="2">
        <v>179932392</v>
      </c>
      <c r="D3046" s="2">
        <v>180540877</v>
      </c>
      <c r="E3046" s="2">
        <v>4</v>
      </c>
      <c r="F3046" s="2" t="s">
        <v>10086</v>
      </c>
      <c r="H3046" s="3">
        <v>4.0000000000000002E-4</v>
      </c>
      <c r="K3046" s="2" t="s">
        <v>10089</v>
      </c>
    </row>
    <row r="3047" spans="1:11" x14ac:dyDescent="0.2">
      <c r="A3047" s="2">
        <v>763</v>
      </c>
      <c r="B3047" s="2">
        <v>4</v>
      </c>
      <c r="C3047" s="2">
        <v>180540878</v>
      </c>
      <c r="D3047" s="2">
        <v>181122433</v>
      </c>
      <c r="E3047" s="2">
        <v>1</v>
      </c>
      <c r="F3047" s="2" t="s">
        <v>10086</v>
      </c>
      <c r="H3047" s="2">
        <v>1.4E-3</v>
      </c>
      <c r="K3047" s="2" t="s">
        <v>10088</v>
      </c>
    </row>
    <row r="3048" spans="1:11" x14ac:dyDescent="0.2">
      <c r="A3048" s="2">
        <v>763</v>
      </c>
      <c r="B3048" s="2">
        <v>4</v>
      </c>
      <c r="C3048" s="2">
        <v>180540878</v>
      </c>
      <c r="D3048" s="2">
        <v>181122433</v>
      </c>
      <c r="E3048" s="2">
        <v>2</v>
      </c>
      <c r="F3048" s="2" t="s">
        <v>10086</v>
      </c>
      <c r="H3048" s="2">
        <v>1.1000000000000001E-3</v>
      </c>
      <c r="K3048" s="2" t="s">
        <v>10085</v>
      </c>
    </row>
    <row r="3049" spans="1:11" x14ac:dyDescent="0.2">
      <c r="A3049" s="2">
        <v>763</v>
      </c>
      <c r="B3049" s="2">
        <v>4</v>
      </c>
      <c r="C3049" s="2">
        <v>180540878</v>
      </c>
      <c r="D3049" s="2">
        <v>181122433</v>
      </c>
      <c r="E3049" s="2">
        <v>3</v>
      </c>
      <c r="F3049" s="2" t="s">
        <v>10086</v>
      </c>
      <c r="H3049" s="3">
        <v>6.9999999999999999E-4</v>
      </c>
      <c r="K3049" s="2" t="s">
        <v>10089</v>
      </c>
    </row>
    <row r="3050" spans="1:11" x14ac:dyDescent="0.2">
      <c r="A3050" s="2">
        <v>763</v>
      </c>
      <c r="B3050" s="2">
        <v>4</v>
      </c>
      <c r="C3050" s="2">
        <v>180540878</v>
      </c>
      <c r="D3050" s="2">
        <v>181122433</v>
      </c>
      <c r="E3050" s="2">
        <v>4</v>
      </c>
      <c r="F3050" s="2" t="s">
        <v>10086</v>
      </c>
      <c r="H3050" s="3">
        <v>4.0000000000000002E-4</v>
      </c>
      <c r="K3050" s="2" t="s">
        <v>10087</v>
      </c>
    </row>
    <row r="3051" spans="1:11" x14ac:dyDescent="0.2">
      <c r="A3051" s="2">
        <v>764</v>
      </c>
      <c r="B3051" s="2">
        <v>4</v>
      </c>
      <c r="C3051" s="2">
        <v>181122434</v>
      </c>
      <c r="D3051" s="2">
        <v>182065646</v>
      </c>
      <c r="E3051" s="2">
        <v>1</v>
      </c>
      <c r="F3051" s="2" t="s">
        <v>10086</v>
      </c>
      <c r="H3051" s="2">
        <v>1.1999999999999999E-3</v>
      </c>
      <c r="K3051" s="2" t="s">
        <v>10085</v>
      </c>
    </row>
    <row r="3052" spans="1:11" x14ac:dyDescent="0.2">
      <c r="A3052" s="2">
        <v>764</v>
      </c>
      <c r="B3052" s="2">
        <v>4</v>
      </c>
      <c r="C3052" s="2">
        <v>181122434</v>
      </c>
      <c r="D3052" s="2">
        <v>182065646</v>
      </c>
      <c r="E3052" s="2">
        <v>2</v>
      </c>
      <c r="F3052" s="2" t="s">
        <v>10086</v>
      </c>
      <c r="H3052" s="2">
        <v>1.1000000000000001E-3</v>
      </c>
      <c r="K3052" s="2" t="s">
        <v>10088</v>
      </c>
    </row>
    <row r="3053" spans="1:11" x14ac:dyDescent="0.2">
      <c r="A3053" s="2">
        <v>764</v>
      </c>
      <c r="B3053" s="2">
        <v>4</v>
      </c>
      <c r="C3053" s="2">
        <v>181122434</v>
      </c>
      <c r="D3053" s="2">
        <v>182065646</v>
      </c>
      <c r="E3053" s="2">
        <v>3</v>
      </c>
      <c r="F3053" s="2" t="s">
        <v>10086</v>
      </c>
      <c r="H3053" s="3">
        <v>8.9999999999999998E-4</v>
      </c>
      <c r="K3053" s="2" t="s">
        <v>10087</v>
      </c>
    </row>
    <row r="3054" spans="1:11" x14ac:dyDescent="0.2">
      <c r="A3054" s="2">
        <v>764</v>
      </c>
      <c r="B3054" s="2">
        <v>4</v>
      </c>
      <c r="C3054" s="2">
        <v>181122434</v>
      </c>
      <c r="D3054" s="2">
        <v>182065646</v>
      </c>
      <c r="E3054" s="2">
        <v>4</v>
      </c>
      <c r="F3054" s="2" t="s">
        <v>10086</v>
      </c>
      <c r="H3054" s="3">
        <v>5.0000000000000001E-4</v>
      </c>
      <c r="K3054" s="2" t="s">
        <v>10089</v>
      </c>
    </row>
    <row r="3055" spans="1:11" x14ac:dyDescent="0.2">
      <c r="A3055" s="2">
        <v>765</v>
      </c>
      <c r="B3055" s="2">
        <v>4</v>
      </c>
      <c r="C3055" s="2">
        <v>182065647</v>
      </c>
      <c r="D3055" s="2">
        <v>182946258</v>
      </c>
      <c r="E3055" s="2">
        <v>1</v>
      </c>
      <c r="F3055" s="2" t="s">
        <v>10086</v>
      </c>
      <c r="H3055" s="2">
        <v>1.5E-3</v>
      </c>
      <c r="K3055" s="2" t="s">
        <v>10085</v>
      </c>
    </row>
    <row r="3056" spans="1:11" x14ac:dyDescent="0.2">
      <c r="A3056" s="2">
        <v>765</v>
      </c>
      <c r="B3056" s="2">
        <v>4</v>
      </c>
      <c r="C3056" s="2">
        <v>182065647</v>
      </c>
      <c r="D3056" s="2">
        <v>182946258</v>
      </c>
      <c r="E3056" s="2">
        <v>2</v>
      </c>
      <c r="F3056" s="2" t="s">
        <v>10086</v>
      </c>
      <c r="H3056" s="2">
        <v>1.5E-3</v>
      </c>
      <c r="K3056" s="2" t="s">
        <v>10088</v>
      </c>
    </row>
    <row r="3057" spans="1:11" x14ac:dyDescent="0.2">
      <c r="A3057" s="2">
        <v>765</v>
      </c>
      <c r="B3057" s="2">
        <v>4</v>
      </c>
      <c r="C3057" s="2">
        <v>182065647</v>
      </c>
      <c r="D3057" s="2">
        <v>182946258</v>
      </c>
      <c r="E3057" s="2">
        <v>3</v>
      </c>
      <c r="F3057" s="2" t="s">
        <v>10086</v>
      </c>
      <c r="H3057" s="2">
        <v>1.1999999999999999E-3</v>
      </c>
      <c r="K3057" s="2" t="s">
        <v>10087</v>
      </c>
    </row>
    <row r="3058" spans="1:11" x14ac:dyDescent="0.2">
      <c r="A3058" s="2">
        <v>765</v>
      </c>
      <c r="B3058" s="2">
        <v>4</v>
      </c>
      <c r="C3058" s="2">
        <v>182065647</v>
      </c>
      <c r="D3058" s="2">
        <v>182946258</v>
      </c>
      <c r="E3058" s="2">
        <v>4</v>
      </c>
      <c r="F3058" s="2" t="s">
        <v>10086</v>
      </c>
      <c r="H3058" s="3">
        <v>5.0000000000000001E-4</v>
      </c>
      <c r="K3058" s="2" t="s">
        <v>10089</v>
      </c>
    </row>
    <row r="3059" spans="1:11" x14ac:dyDescent="0.2">
      <c r="A3059" s="2">
        <v>766</v>
      </c>
      <c r="B3059" s="2">
        <v>4</v>
      </c>
      <c r="C3059" s="2">
        <v>182946259</v>
      </c>
      <c r="D3059" s="2">
        <v>183603892</v>
      </c>
      <c r="E3059" s="2">
        <v>1</v>
      </c>
      <c r="F3059" s="2" t="s">
        <v>10086</v>
      </c>
      <c r="H3059" s="2">
        <v>1.21E-2</v>
      </c>
      <c r="K3059" s="2" t="s">
        <v>10087</v>
      </c>
    </row>
    <row r="3060" spans="1:11" x14ac:dyDescent="0.2">
      <c r="A3060" s="2">
        <v>766</v>
      </c>
      <c r="B3060" s="2">
        <v>4</v>
      </c>
      <c r="C3060" s="2">
        <v>182946259</v>
      </c>
      <c r="D3060" s="2">
        <v>183603892</v>
      </c>
      <c r="E3060" s="2">
        <v>2</v>
      </c>
      <c r="F3060" s="2" t="s">
        <v>10086</v>
      </c>
      <c r="H3060" s="2">
        <v>3.3999999999999998E-3</v>
      </c>
      <c r="K3060" s="2" t="s">
        <v>10089</v>
      </c>
    </row>
    <row r="3061" spans="1:11" x14ac:dyDescent="0.2">
      <c r="A3061" s="2">
        <v>766</v>
      </c>
      <c r="B3061" s="2">
        <v>4</v>
      </c>
      <c r="C3061" s="2">
        <v>182946259</v>
      </c>
      <c r="D3061" s="2">
        <v>183603892</v>
      </c>
      <c r="E3061" s="2">
        <v>3</v>
      </c>
      <c r="F3061" s="2" t="s">
        <v>10086</v>
      </c>
      <c r="H3061" s="2">
        <v>1.2999999999999999E-3</v>
      </c>
      <c r="K3061" s="2" t="s">
        <v>12324</v>
      </c>
    </row>
    <row r="3062" spans="1:11" x14ac:dyDescent="0.2">
      <c r="A3062" s="2">
        <v>766</v>
      </c>
      <c r="B3062" s="2">
        <v>4</v>
      </c>
      <c r="C3062" s="2">
        <v>182946259</v>
      </c>
      <c r="D3062" s="2">
        <v>183603892</v>
      </c>
      <c r="E3062" s="2">
        <v>4</v>
      </c>
      <c r="F3062" s="2" t="s">
        <v>10086</v>
      </c>
      <c r="H3062" s="3">
        <v>6.9999999999999999E-4</v>
      </c>
      <c r="K3062" s="2" t="s">
        <v>10088</v>
      </c>
    </row>
    <row r="3063" spans="1:11" x14ac:dyDescent="0.2">
      <c r="A3063" s="2">
        <v>767</v>
      </c>
      <c r="B3063" s="2">
        <v>4</v>
      </c>
      <c r="C3063" s="2">
        <v>183603893</v>
      </c>
      <c r="D3063" s="2">
        <v>184338584</v>
      </c>
      <c r="E3063" s="2">
        <v>1</v>
      </c>
      <c r="F3063" s="2" t="s">
        <v>10086</v>
      </c>
      <c r="H3063" s="2">
        <v>4.4999999999999997E-3</v>
      </c>
      <c r="K3063" s="2" t="s">
        <v>12324</v>
      </c>
    </row>
    <row r="3064" spans="1:11" x14ac:dyDescent="0.2">
      <c r="A3064" s="2">
        <v>767</v>
      </c>
      <c r="B3064" s="2">
        <v>4</v>
      </c>
      <c r="C3064" s="2">
        <v>183603893</v>
      </c>
      <c r="D3064" s="2">
        <v>184338584</v>
      </c>
      <c r="E3064" s="2">
        <v>2</v>
      </c>
      <c r="F3064" s="2" t="s">
        <v>10086</v>
      </c>
      <c r="H3064" s="2">
        <v>3.0000000000000001E-3</v>
      </c>
      <c r="K3064" s="2" t="s">
        <v>10087</v>
      </c>
    </row>
    <row r="3065" spans="1:11" x14ac:dyDescent="0.2">
      <c r="A3065" s="2">
        <v>767</v>
      </c>
      <c r="B3065" s="2">
        <v>4</v>
      </c>
      <c r="C3065" s="2">
        <v>183603893</v>
      </c>
      <c r="D3065" s="2">
        <v>184338584</v>
      </c>
      <c r="E3065" s="2">
        <v>3</v>
      </c>
      <c r="F3065" s="2" t="s">
        <v>10086</v>
      </c>
      <c r="H3065" s="2">
        <v>1.1000000000000001E-3</v>
      </c>
      <c r="K3065" s="2" t="s">
        <v>10088</v>
      </c>
    </row>
    <row r="3066" spans="1:11" x14ac:dyDescent="0.2">
      <c r="A3066" s="2">
        <v>767</v>
      </c>
      <c r="B3066" s="2">
        <v>4</v>
      </c>
      <c r="C3066" s="2">
        <v>183603893</v>
      </c>
      <c r="D3066" s="2">
        <v>184338584</v>
      </c>
      <c r="E3066" s="2">
        <v>4</v>
      </c>
      <c r="F3066" s="2" t="s">
        <v>10086</v>
      </c>
      <c r="H3066" s="3">
        <v>6.9999999999999999E-4</v>
      </c>
      <c r="K3066" s="2" t="s">
        <v>10085</v>
      </c>
    </row>
    <row r="3067" spans="1:11" x14ac:dyDescent="0.2">
      <c r="A3067" s="2">
        <v>768</v>
      </c>
      <c r="B3067" s="2">
        <v>4</v>
      </c>
      <c r="C3067" s="2">
        <v>184338585</v>
      </c>
      <c r="D3067" s="2">
        <v>185483262</v>
      </c>
      <c r="E3067" s="2">
        <v>1</v>
      </c>
      <c r="F3067" s="2" t="s">
        <v>10086</v>
      </c>
      <c r="H3067" s="2">
        <v>8.5000000000000006E-3</v>
      </c>
      <c r="K3067" s="2" t="s">
        <v>10088</v>
      </c>
    </row>
    <row r="3068" spans="1:11" x14ac:dyDescent="0.2">
      <c r="A3068" s="2">
        <v>768</v>
      </c>
      <c r="B3068" s="2">
        <v>4</v>
      </c>
      <c r="C3068" s="2">
        <v>184338585</v>
      </c>
      <c r="D3068" s="2">
        <v>185483262</v>
      </c>
      <c r="E3068" s="2">
        <v>2</v>
      </c>
      <c r="F3068" s="2" t="s">
        <v>10086</v>
      </c>
      <c r="H3068" s="2">
        <v>3.5999999999999999E-3</v>
      </c>
      <c r="K3068" s="2" t="s">
        <v>12324</v>
      </c>
    </row>
    <row r="3069" spans="1:11" x14ac:dyDescent="0.2">
      <c r="A3069" s="2">
        <v>768</v>
      </c>
      <c r="B3069" s="2">
        <v>4</v>
      </c>
      <c r="C3069" s="2">
        <v>184338585</v>
      </c>
      <c r="D3069" s="2">
        <v>185483262</v>
      </c>
      <c r="E3069" s="2">
        <v>3</v>
      </c>
      <c r="F3069" s="2" t="s">
        <v>10086</v>
      </c>
      <c r="H3069" s="2">
        <v>2.5999999999999999E-3</v>
      </c>
      <c r="K3069" s="2" t="s">
        <v>10089</v>
      </c>
    </row>
    <row r="3070" spans="1:11" x14ac:dyDescent="0.2">
      <c r="A3070" s="2">
        <v>768</v>
      </c>
      <c r="B3070" s="2">
        <v>4</v>
      </c>
      <c r="C3070" s="2">
        <v>184338585</v>
      </c>
      <c r="D3070" s="2">
        <v>185483262</v>
      </c>
      <c r="E3070" s="2">
        <v>4</v>
      </c>
      <c r="F3070" s="2" t="s">
        <v>10086</v>
      </c>
      <c r="H3070" s="2">
        <v>1.1000000000000001E-3</v>
      </c>
      <c r="K3070" s="2" t="s">
        <v>10087</v>
      </c>
    </row>
    <row r="3071" spans="1:11" x14ac:dyDescent="0.2">
      <c r="A3071" s="2">
        <v>769</v>
      </c>
      <c r="B3071" s="2">
        <v>4</v>
      </c>
      <c r="C3071" s="2">
        <v>185483263</v>
      </c>
      <c r="D3071" s="2">
        <v>186232882</v>
      </c>
      <c r="E3071" s="2">
        <v>1</v>
      </c>
      <c r="F3071" s="2" t="s">
        <v>10086</v>
      </c>
      <c r="H3071" s="2">
        <v>1.1999999999999999E-3</v>
      </c>
      <c r="K3071" s="2" t="s">
        <v>10087</v>
      </c>
    </row>
    <row r="3072" spans="1:11" x14ac:dyDescent="0.2">
      <c r="A3072" s="2">
        <v>769</v>
      </c>
      <c r="B3072" s="2">
        <v>4</v>
      </c>
      <c r="C3072" s="2">
        <v>185483263</v>
      </c>
      <c r="D3072" s="2">
        <v>186232882</v>
      </c>
      <c r="E3072" s="2">
        <v>2</v>
      </c>
      <c r="F3072" s="2" t="s">
        <v>10086</v>
      </c>
      <c r="H3072" s="2">
        <v>2E-3</v>
      </c>
      <c r="K3072" s="2" t="s">
        <v>12324</v>
      </c>
    </row>
    <row r="3073" spans="1:11" x14ac:dyDescent="0.2">
      <c r="A3073" s="2">
        <v>769</v>
      </c>
      <c r="B3073" s="2">
        <v>4</v>
      </c>
      <c r="C3073" s="2">
        <v>185483263</v>
      </c>
      <c r="D3073" s="2">
        <v>186232882</v>
      </c>
      <c r="E3073" s="2">
        <v>3</v>
      </c>
      <c r="F3073" s="2" t="s">
        <v>10086</v>
      </c>
      <c r="H3073" s="2">
        <v>1E-3</v>
      </c>
      <c r="K3073" s="2" t="s">
        <v>10088</v>
      </c>
    </row>
    <row r="3074" spans="1:11" x14ac:dyDescent="0.2">
      <c r="A3074" s="2">
        <v>769</v>
      </c>
      <c r="B3074" s="2">
        <v>4</v>
      </c>
      <c r="C3074" s="2">
        <v>185483263</v>
      </c>
      <c r="D3074" s="2">
        <v>186232882</v>
      </c>
      <c r="E3074" s="2">
        <v>4</v>
      </c>
      <c r="F3074" s="2" t="s">
        <v>10086</v>
      </c>
      <c r="H3074" s="3">
        <v>8.0000000000000004E-4</v>
      </c>
      <c r="K3074" s="2" t="s">
        <v>10089</v>
      </c>
    </row>
    <row r="3075" spans="1:11" x14ac:dyDescent="0.2">
      <c r="A3075" s="2">
        <v>770</v>
      </c>
      <c r="B3075" s="2">
        <v>4</v>
      </c>
      <c r="C3075" s="2">
        <v>186232883</v>
      </c>
      <c r="D3075" s="2">
        <v>186881568</v>
      </c>
      <c r="E3075" s="2">
        <v>1</v>
      </c>
      <c r="F3075" s="2" t="s">
        <v>10086</v>
      </c>
      <c r="H3075" s="2">
        <v>1.7100000000000001E-2</v>
      </c>
      <c r="K3075" s="2" t="s">
        <v>12324</v>
      </c>
    </row>
    <row r="3076" spans="1:11" x14ac:dyDescent="0.2">
      <c r="A3076" s="2">
        <v>770</v>
      </c>
      <c r="B3076" s="2">
        <v>4</v>
      </c>
      <c r="C3076" s="2">
        <v>186232883</v>
      </c>
      <c r="D3076" s="2">
        <v>186881568</v>
      </c>
      <c r="E3076" s="2">
        <v>2</v>
      </c>
      <c r="F3076" s="2" t="s">
        <v>10086</v>
      </c>
      <c r="H3076" s="2">
        <v>2.0999999999999999E-3</v>
      </c>
      <c r="K3076" s="2" t="s">
        <v>10085</v>
      </c>
    </row>
    <row r="3077" spans="1:11" x14ac:dyDescent="0.2">
      <c r="A3077" s="2">
        <v>770</v>
      </c>
      <c r="B3077" s="2">
        <v>4</v>
      </c>
      <c r="C3077" s="2">
        <v>186232883</v>
      </c>
      <c r="D3077" s="2">
        <v>186881568</v>
      </c>
      <c r="E3077" s="2">
        <v>3</v>
      </c>
      <c r="F3077" s="2" t="s">
        <v>10086</v>
      </c>
      <c r="H3077" s="2">
        <v>2.5999999999999999E-3</v>
      </c>
      <c r="K3077" s="2" t="s">
        <v>10087</v>
      </c>
    </row>
    <row r="3078" spans="1:11" x14ac:dyDescent="0.2">
      <c r="A3078" s="2">
        <v>770</v>
      </c>
      <c r="B3078" s="2">
        <v>4</v>
      </c>
      <c r="C3078" s="2">
        <v>186232883</v>
      </c>
      <c r="D3078" s="2">
        <v>186881568</v>
      </c>
      <c r="E3078" s="2">
        <v>4</v>
      </c>
      <c r="F3078" s="2" t="s">
        <v>10086</v>
      </c>
      <c r="H3078" s="2">
        <v>1E-3</v>
      </c>
      <c r="K3078" s="2" t="s">
        <v>10088</v>
      </c>
    </row>
    <row r="3079" spans="1:11" x14ac:dyDescent="0.2">
      <c r="A3079" s="2">
        <v>771</v>
      </c>
      <c r="B3079" s="2">
        <v>4</v>
      </c>
      <c r="C3079" s="2">
        <v>186881569</v>
      </c>
      <c r="D3079" s="2">
        <v>187985393</v>
      </c>
      <c r="E3079" s="2">
        <v>1</v>
      </c>
      <c r="F3079" s="2" t="s">
        <v>10086</v>
      </c>
      <c r="H3079" s="2">
        <v>1.2999999999999999E-2</v>
      </c>
      <c r="K3079" s="2" t="s">
        <v>10088</v>
      </c>
    </row>
    <row r="3080" spans="1:11" x14ac:dyDescent="0.2">
      <c r="A3080" s="2">
        <v>771</v>
      </c>
      <c r="B3080" s="2">
        <v>4</v>
      </c>
      <c r="C3080" s="2">
        <v>186881569</v>
      </c>
      <c r="D3080" s="2">
        <v>187985393</v>
      </c>
      <c r="E3080" s="2">
        <v>2</v>
      </c>
      <c r="F3080" s="2" t="s">
        <v>10086</v>
      </c>
      <c r="H3080" s="2">
        <v>3.8999999999999998E-3</v>
      </c>
      <c r="K3080" s="2" t="s">
        <v>10085</v>
      </c>
    </row>
    <row r="3081" spans="1:11" x14ac:dyDescent="0.2">
      <c r="A3081" s="2">
        <v>771</v>
      </c>
      <c r="B3081" s="2">
        <v>4</v>
      </c>
      <c r="C3081" s="2">
        <v>186881569</v>
      </c>
      <c r="D3081" s="2">
        <v>187985393</v>
      </c>
      <c r="E3081" s="2">
        <v>3</v>
      </c>
      <c r="F3081" s="2" t="s">
        <v>10086</v>
      </c>
      <c r="H3081" s="2">
        <v>1.9E-3</v>
      </c>
      <c r="K3081" s="2" t="s">
        <v>10089</v>
      </c>
    </row>
    <row r="3082" spans="1:11" x14ac:dyDescent="0.2">
      <c r="A3082" s="2">
        <v>771</v>
      </c>
      <c r="B3082" s="2">
        <v>4</v>
      </c>
      <c r="C3082" s="2">
        <v>186881569</v>
      </c>
      <c r="D3082" s="2">
        <v>187985393</v>
      </c>
      <c r="E3082" s="2">
        <v>4</v>
      </c>
      <c r="F3082" s="2" t="s">
        <v>10086</v>
      </c>
      <c r="H3082" s="3">
        <v>6.9999999999999999E-4</v>
      </c>
      <c r="K3082" s="2" t="s">
        <v>10087</v>
      </c>
    </row>
    <row r="3083" spans="1:11" x14ac:dyDescent="0.2">
      <c r="A3083" s="2">
        <v>772</v>
      </c>
      <c r="B3083" s="2">
        <v>4</v>
      </c>
      <c r="C3083" s="2">
        <v>187985394</v>
      </c>
      <c r="D3083" s="2">
        <v>189153279</v>
      </c>
      <c r="E3083" s="2">
        <v>1</v>
      </c>
      <c r="F3083" s="2" t="s">
        <v>10086</v>
      </c>
      <c r="H3083" s="2">
        <v>2.0999999999999999E-3</v>
      </c>
      <c r="K3083" s="2" t="s">
        <v>10085</v>
      </c>
    </row>
    <row r="3084" spans="1:11" x14ac:dyDescent="0.2">
      <c r="A3084" s="2">
        <v>772</v>
      </c>
      <c r="B3084" s="2">
        <v>4</v>
      </c>
      <c r="C3084" s="2">
        <v>187985394</v>
      </c>
      <c r="D3084" s="2">
        <v>189153279</v>
      </c>
      <c r="E3084" s="2">
        <v>2</v>
      </c>
      <c r="F3084" s="2" t="s">
        <v>10086</v>
      </c>
      <c r="H3084" s="2">
        <v>1.6000000000000001E-3</v>
      </c>
      <c r="K3084" s="2" t="s">
        <v>10088</v>
      </c>
    </row>
    <row r="3085" spans="1:11" x14ac:dyDescent="0.2">
      <c r="A3085" s="2">
        <v>772</v>
      </c>
      <c r="B3085" s="2">
        <v>4</v>
      </c>
      <c r="C3085" s="2">
        <v>187985394</v>
      </c>
      <c r="D3085" s="2">
        <v>189153279</v>
      </c>
      <c r="E3085" s="2">
        <v>3</v>
      </c>
      <c r="F3085" s="2" t="s">
        <v>10086</v>
      </c>
      <c r="H3085" s="2">
        <v>2.2000000000000001E-3</v>
      </c>
      <c r="K3085" s="2" t="s">
        <v>12324</v>
      </c>
    </row>
    <row r="3086" spans="1:11" x14ac:dyDescent="0.2">
      <c r="A3086" s="2">
        <v>772</v>
      </c>
      <c r="B3086" s="2">
        <v>4</v>
      </c>
      <c r="C3086" s="2">
        <v>187985394</v>
      </c>
      <c r="D3086" s="2">
        <v>189153279</v>
      </c>
      <c r="E3086" s="2">
        <v>4</v>
      </c>
      <c r="F3086" s="2" t="s">
        <v>10086</v>
      </c>
      <c r="H3086" s="2">
        <v>1.1999999999999999E-3</v>
      </c>
      <c r="K3086" s="2" t="s">
        <v>10087</v>
      </c>
    </row>
    <row r="3087" spans="1:11" x14ac:dyDescent="0.2">
      <c r="A3087" s="2">
        <v>773</v>
      </c>
      <c r="B3087" s="2">
        <v>4</v>
      </c>
      <c r="C3087" s="2">
        <v>189153280</v>
      </c>
      <c r="D3087" s="2">
        <v>189899573</v>
      </c>
      <c r="E3087" s="2">
        <v>1</v>
      </c>
      <c r="F3087" s="2" t="s">
        <v>10086</v>
      </c>
      <c r="H3087" s="2">
        <v>1.8E-3</v>
      </c>
      <c r="K3087" s="2" t="s">
        <v>10087</v>
      </c>
    </row>
    <row r="3088" spans="1:11" x14ac:dyDescent="0.2">
      <c r="A3088" s="2">
        <v>773</v>
      </c>
      <c r="B3088" s="2">
        <v>4</v>
      </c>
      <c r="C3088" s="2">
        <v>189153280</v>
      </c>
      <c r="D3088" s="2">
        <v>189899573</v>
      </c>
      <c r="E3088" s="2">
        <v>2</v>
      </c>
      <c r="F3088" s="2" t="s">
        <v>10086</v>
      </c>
      <c r="H3088" s="2">
        <v>1.1999999999999999E-3</v>
      </c>
      <c r="K3088" s="2" t="s">
        <v>10089</v>
      </c>
    </row>
    <row r="3089" spans="1:11" x14ac:dyDescent="0.2">
      <c r="A3089" s="2">
        <v>773</v>
      </c>
      <c r="B3089" s="2">
        <v>4</v>
      </c>
      <c r="C3089" s="2">
        <v>189153280</v>
      </c>
      <c r="D3089" s="2">
        <v>189899573</v>
      </c>
      <c r="E3089" s="2">
        <v>3</v>
      </c>
      <c r="F3089" s="2" t="s">
        <v>10086</v>
      </c>
      <c r="H3089" s="2">
        <v>1.1000000000000001E-3</v>
      </c>
      <c r="K3089" s="2" t="s">
        <v>10088</v>
      </c>
    </row>
    <row r="3090" spans="1:11" x14ac:dyDescent="0.2">
      <c r="A3090" s="2">
        <v>773</v>
      </c>
      <c r="B3090" s="2">
        <v>4</v>
      </c>
      <c r="C3090" s="2">
        <v>189153280</v>
      </c>
      <c r="D3090" s="2">
        <v>189899573</v>
      </c>
      <c r="E3090" s="2">
        <v>4</v>
      </c>
      <c r="F3090" s="2" t="s">
        <v>10086</v>
      </c>
      <c r="H3090" s="3">
        <v>5.9999999999999995E-4</v>
      </c>
      <c r="K3090" s="2" t="s">
        <v>10085</v>
      </c>
    </row>
    <row r="3091" spans="1:11" x14ac:dyDescent="0.2">
      <c r="A3091" s="2">
        <v>774</v>
      </c>
      <c r="B3091" s="2">
        <v>4</v>
      </c>
      <c r="C3091" s="2">
        <v>189899574</v>
      </c>
      <c r="D3091" s="2">
        <v>191043880</v>
      </c>
      <c r="E3091" s="2">
        <v>1</v>
      </c>
      <c r="F3091" s="2" t="s">
        <v>10086</v>
      </c>
      <c r="H3091" s="2">
        <v>1.2999999999999999E-3</v>
      </c>
      <c r="K3091" s="2" t="s">
        <v>10087</v>
      </c>
    </row>
    <row r="3092" spans="1:11" x14ac:dyDescent="0.2">
      <c r="A3092" s="2">
        <v>774</v>
      </c>
      <c r="B3092" s="2">
        <v>4</v>
      </c>
      <c r="C3092" s="2">
        <v>189899574</v>
      </c>
      <c r="D3092" s="2">
        <v>191043880</v>
      </c>
      <c r="E3092" s="2">
        <v>2</v>
      </c>
      <c r="F3092" s="2" t="s">
        <v>10086</v>
      </c>
      <c r="H3092" s="2">
        <v>1.1999999999999999E-3</v>
      </c>
      <c r="K3092" s="2" t="s">
        <v>10085</v>
      </c>
    </row>
    <row r="3093" spans="1:11" x14ac:dyDescent="0.2">
      <c r="A3093" s="2">
        <v>774</v>
      </c>
      <c r="B3093" s="2">
        <v>4</v>
      </c>
      <c r="C3093" s="2">
        <v>189899574</v>
      </c>
      <c r="D3093" s="2">
        <v>191043880</v>
      </c>
      <c r="E3093" s="2">
        <v>3</v>
      </c>
      <c r="F3093" s="2" t="s">
        <v>10086</v>
      </c>
      <c r="H3093" s="2">
        <v>1.1000000000000001E-3</v>
      </c>
      <c r="K3093" s="2" t="s">
        <v>10089</v>
      </c>
    </row>
    <row r="3094" spans="1:11" x14ac:dyDescent="0.2">
      <c r="A3094" s="2">
        <v>774</v>
      </c>
      <c r="B3094" s="2">
        <v>4</v>
      </c>
      <c r="C3094" s="2">
        <v>189899574</v>
      </c>
      <c r="D3094" s="2">
        <v>191043880</v>
      </c>
      <c r="E3094" s="2">
        <v>4</v>
      </c>
      <c r="F3094" s="2" t="s">
        <v>10086</v>
      </c>
      <c r="H3094" s="3">
        <v>5.0000000000000001E-4</v>
      </c>
      <c r="K3094" s="2" t="s">
        <v>10088</v>
      </c>
    </row>
    <row r="3095" spans="1:11" x14ac:dyDescent="0.2">
      <c r="A3095" s="2">
        <v>775</v>
      </c>
      <c r="B3095" s="2">
        <v>5</v>
      </c>
      <c r="C3095" s="2">
        <v>10043</v>
      </c>
      <c r="D3095" s="2">
        <v>598320</v>
      </c>
      <c r="E3095" s="2">
        <v>1</v>
      </c>
      <c r="F3095" s="2" t="s">
        <v>10086</v>
      </c>
      <c r="H3095" s="2">
        <v>1.2999999999999999E-3</v>
      </c>
      <c r="K3095" s="2" t="s">
        <v>10089</v>
      </c>
    </row>
    <row r="3096" spans="1:11" x14ac:dyDescent="0.2">
      <c r="A3096" s="2">
        <v>775</v>
      </c>
      <c r="B3096" s="2">
        <v>5</v>
      </c>
      <c r="C3096" s="2">
        <v>10043</v>
      </c>
      <c r="D3096" s="2">
        <v>598320</v>
      </c>
      <c r="E3096" s="2">
        <v>2</v>
      </c>
      <c r="F3096" s="2" t="s">
        <v>10086</v>
      </c>
      <c r="H3096" s="2">
        <v>1.1999999999999999E-3</v>
      </c>
      <c r="K3096" s="2" t="s">
        <v>10088</v>
      </c>
    </row>
    <row r="3097" spans="1:11" x14ac:dyDescent="0.2">
      <c r="A3097" s="2">
        <v>775</v>
      </c>
      <c r="B3097" s="2">
        <v>5</v>
      </c>
      <c r="C3097" s="2">
        <v>10043</v>
      </c>
      <c r="D3097" s="2">
        <v>598320</v>
      </c>
      <c r="E3097" s="2">
        <v>3</v>
      </c>
      <c r="F3097" s="2" t="s">
        <v>10086</v>
      </c>
      <c r="H3097" s="3">
        <v>8.0000000000000004E-4</v>
      </c>
      <c r="K3097" s="2" t="s">
        <v>10087</v>
      </c>
    </row>
    <row r="3098" spans="1:11" x14ac:dyDescent="0.2">
      <c r="A3098" s="2">
        <v>775</v>
      </c>
      <c r="B3098" s="2">
        <v>5</v>
      </c>
      <c r="C3098" s="2">
        <v>10043</v>
      </c>
      <c r="D3098" s="2">
        <v>598320</v>
      </c>
      <c r="E3098" s="2">
        <v>4</v>
      </c>
      <c r="F3098" s="2" t="s">
        <v>10086</v>
      </c>
      <c r="H3098" s="3">
        <v>6.9999999999999999E-4</v>
      </c>
      <c r="K3098" s="2" t="s">
        <v>10085</v>
      </c>
    </row>
    <row r="3099" spans="1:11" x14ac:dyDescent="0.2">
      <c r="A3099" s="2">
        <v>776</v>
      </c>
      <c r="B3099" s="2">
        <v>5</v>
      </c>
      <c r="C3099" s="2">
        <v>598321</v>
      </c>
      <c r="D3099" s="2">
        <v>1206609</v>
      </c>
      <c r="E3099" s="2">
        <v>1</v>
      </c>
      <c r="F3099" s="2" t="s">
        <v>10086</v>
      </c>
      <c r="H3099" s="2">
        <v>1E-3</v>
      </c>
      <c r="K3099" s="2" t="s">
        <v>10085</v>
      </c>
    </row>
    <row r="3100" spans="1:11" x14ac:dyDescent="0.2">
      <c r="A3100" s="2">
        <v>776</v>
      </c>
      <c r="B3100" s="2">
        <v>5</v>
      </c>
      <c r="C3100" s="2">
        <v>598321</v>
      </c>
      <c r="D3100" s="2">
        <v>1206609</v>
      </c>
      <c r="E3100" s="2">
        <v>2</v>
      </c>
      <c r="F3100" s="2" t="s">
        <v>10086</v>
      </c>
      <c r="H3100" s="2">
        <v>1.2999999999999999E-3</v>
      </c>
      <c r="K3100" s="2" t="s">
        <v>10088</v>
      </c>
    </row>
    <row r="3101" spans="1:11" x14ac:dyDescent="0.2">
      <c r="A3101" s="2">
        <v>776</v>
      </c>
      <c r="B3101" s="2">
        <v>5</v>
      </c>
      <c r="C3101" s="2">
        <v>598321</v>
      </c>
      <c r="D3101" s="2">
        <v>1206609</v>
      </c>
      <c r="E3101" s="2">
        <v>3</v>
      </c>
      <c r="F3101" s="2" t="s">
        <v>10086</v>
      </c>
      <c r="H3101" s="3">
        <v>6.9999999999999999E-4</v>
      </c>
      <c r="K3101" s="2" t="s">
        <v>10089</v>
      </c>
    </row>
    <row r="3102" spans="1:11" x14ac:dyDescent="0.2">
      <c r="A3102" s="2">
        <v>776</v>
      </c>
      <c r="B3102" s="2">
        <v>5</v>
      </c>
      <c r="C3102" s="2">
        <v>598321</v>
      </c>
      <c r="D3102" s="2">
        <v>1206609</v>
      </c>
      <c r="E3102" s="2">
        <v>4</v>
      </c>
      <c r="F3102" s="2" t="s">
        <v>10086</v>
      </c>
      <c r="H3102" s="3">
        <v>4.0000000000000002E-4</v>
      </c>
      <c r="K3102" s="2" t="s">
        <v>10087</v>
      </c>
    </row>
    <row r="3103" spans="1:11" x14ac:dyDescent="0.2">
      <c r="A3103" s="2">
        <v>777</v>
      </c>
      <c r="B3103" s="2">
        <v>5</v>
      </c>
      <c r="C3103" s="2">
        <v>1206610</v>
      </c>
      <c r="D3103" s="2">
        <v>2106885</v>
      </c>
      <c r="E3103" s="2">
        <v>1</v>
      </c>
      <c r="F3103" s="2" t="s">
        <v>10086</v>
      </c>
      <c r="H3103" s="2">
        <v>1.8800000000000001E-2</v>
      </c>
      <c r="K3103" s="2" t="s">
        <v>10088</v>
      </c>
    </row>
    <row r="3104" spans="1:11" x14ac:dyDescent="0.2">
      <c r="A3104" s="2">
        <v>777</v>
      </c>
      <c r="B3104" s="2">
        <v>5</v>
      </c>
      <c r="C3104" s="2">
        <v>1206610</v>
      </c>
      <c r="D3104" s="2">
        <v>2106885</v>
      </c>
      <c r="E3104" s="2">
        <v>2</v>
      </c>
      <c r="F3104" s="2" t="s">
        <v>10086</v>
      </c>
      <c r="H3104" s="2">
        <v>3.0999999999999999E-3</v>
      </c>
      <c r="K3104" s="2" t="s">
        <v>10089</v>
      </c>
    </row>
    <row r="3105" spans="1:11" x14ac:dyDescent="0.2">
      <c r="A3105" s="2">
        <v>777</v>
      </c>
      <c r="B3105" s="2">
        <v>5</v>
      </c>
      <c r="C3105" s="2">
        <v>1206610</v>
      </c>
      <c r="D3105" s="2">
        <v>2106885</v>
      </c>
      <c r="E3105" s="2">
        <v>3</v>
      </c>
      <c r="F3105" s="2" t="s">
        <v>10086</v>
      </c>
      <c r="H3105" s="2">
        <v>1E-3</v>
      </c>
      <c r="K3105" s="2" t="s">
        <v>10087</v>
      </c>
    </row>
    <row r="3106" spans="1:11" x14ac:dyDescent="0.2">
      <c r="A3106" s="2">
        <v>777</v>
      </c>
      <c r="B3106" s="2">
        <v>5</v>
      </c>
      <c r="C3106" s="2">
        <v>1206610</v>
      </c>
      <c r="D3106" s="2">
        <v>2106885</v>
      </c>
      <c r="E3106" s="2">
        <v>4</v>
      </c>
      <c r="F3106" s="2" t="s">
        <v>10086</v>
      </c>
      <c r="H3106" s="3">
        <v>5.0000000000000001E-4</v>
      </c>
      <c r="K3106" s="2" t="s">
        <v>10085</v>
      </c>
    </row>
    <row r="3107" spans="1:11" x14ac:dyDescent="0.2">
      <c r="A3107" s="2">
        <v>778</v>
      </c>
      <c r="B3107" s="2">
        <v>5</v>
      </c>
      <c r="C3107" s="2">
        <v>2106886</v>
      </c>
      <c r="D3107" s="2">
        <v>2960068</v>
      </c>
      <c r="E3107" s="2">
        <v>1</v>
      </c>
      <c r="F3107" s="2" t="s">
        <v>10086</v>
      </c>
      <c r="H3107" s="2">
        <v>2.3E-3</v>
      </c>
      <c r="K3107" s="2" t="s">
        <v>10087</v>
      </c>
    </row>
    <row r="3108" spans="1:11" x14ac:dyDescent="0.2">
      <c r="A3108" s="2">
        <v>778</v>
      </c>
      <c r="B3108" s="2">
        <v>5</v>
      </c>
      <c r="C3108" s="2">
        <v>2106886</v>
      </c>
      <c r="D3108" s="2">
        <v>2960068</v>
      </c>
      <c r="E3108" s="2">
        <v>2</v>
      </c>
      <c r="F3108" s="2" t="s">
        <v>10086</v>
      </c>
      <c r="H3108" s="2">
        <v>6.0000000000000001E-3</v>
      </c>
      <c r="K3108" s="2" t="s">
        <v>12324</v>
      </c>
    </row>
    <row r="3109" spans="1:11" x14ac:dyDescent="0.2">
      <c r="A3109" s="2">
        <v>778</v>
      </c>
      <c r="B3109" s="2">
        <v>5</v>
      </c>
      <c r="C3109" s="2">
        <v>2106886</v>
      </c>
      <c r="D3109" s="2">
        <v>2960068</v>
      </c>
      <c r="E3109" s="2">
        <v>3</v>
      </c>
      <c r="F3109" s="2" t="s">
        <v>10086</v>
      </c>
      <c r="H3109" s="2">
        <v>1.6000000000000001E-3</v>
      </c>
      <c r="K3109" s="2" t="s">
        <v>10089</v>
      </c>
    </row>
    <row r="3110" spans="1:11" x14ac:dyDescent="0.2">
      <c r="A3110" s="2">
        <v>778</v>
      </c>
      <c r="B3110" s="2">
        <v>5</v>
      </c>
      <c r="C3110" s="2">
        <v>2106886</v>
      </c>
      <c r="D3110" s="2">
        <v>2960068</v>
      </c>
      <c r="E3110" s="2">
        <v>4</v>
      </c>
      <c r="F3110" s="2" t="s">
        <v>10086</v>
      </c>
      <c r="H3110" s="2">
        <v>1E-3</v>
      </c>
      <c r="K3110" s="2" t="s">
        <v>10085</v>
      </c>
    </row>
    <row r="3111" spans="1:11" x14ac:dyDescent="0.2">
      <c r="A3111" s="2">
        <v>779</v>
      </c>
      <c r="B3111" s="2">
        <v>5</v>
      </c>
      <c r="C3111" s="2">
        <v>2960069</v>
      </c>
      <c r="D3111" s="2">
        <v>3677595</v>
      </c>
      <c r="E3111" s="2">
        <v>1</v>
      </c>
      <c r="F3111" s="2" t="s">
        <v>10086</v>
      </c>
      <c r="H3111" s="2">
        <v>2.5999999999999999E-3</v>
      </c>
      <c r="K3111" s="2" t="s">
        <v>10085</v>
      </c>
    </row>
    <row r="3112" spans="1:11" x14ac:dyDescent="0.2">
      <c r="A3112" s="2">
        <v>779</v>
      </c>
      <c r="B3112" s="2">
        <v>5</v>
      </c>
      <c r="C3112" s="2">
        <v>2960069</v>
      </c>
      <c r="D3112" s="2">
        <v>3677595</v>
      </c>
      <c r="E3112" s="2">
        <v>2</v>
      </c>
      <c r="F3112" s="2" t="s">
        <v>10086</v>
      </c>
      <c r="H3112" s="2">
        <v>1.4E-3</v>
      </c>
      <c r="K3112" s="2" t="s">
        <v>10089</v>
      </c>
    </row>
    <row r="3113" spans="1:11" x14ac:dyDescent="0.2">
      <c r="A3113" s="2">
        <v>779</v>
      </c>
      <c r="B3113" s="2">
        <v>5</v>
      </c>
      <c r="C3113" s="2">
        <v>2960069</v>
      </c>
      <c r="D3113" s="2">
        <v>3677595</v>
      </c>
      <c r="E3113" s="2">
        <v>3</v>
      </c>
      <c r="F3113" s="2" t="s">
        <v>10086</v>
      </c>
      <c r="H3113" s="2">
        <v>1.1000000000000001E-3</v>
      </c>
      <c r="K3113" s="2" t="s">
        <v>10087</v>
      </c>
    </row>
    <row r="3114" spans="1:11" x14ac:dyDescent="0.2">
      <c r="A3114" s="2">
        <v>779</v>
      </c>
      <c r="B3114" s="2">
        <v>5</v>
      </c>
      <c r="C3114" s="2">
        <v>2960069</v>
      </c>
      <c r="D3114" s="2">
        <v>3677595</v>
      </c>
      <c r="E3114" s="2">
        <v>4</v>
      </c>
      <c r="F3114" s="2" t="s">
        <v>10086</v>
      </c>
      <c r="H3114" s="3">
        <v>4.0000000000000002E-4</v>
      </c>
      <c r="K3114" s="2" t="s">
        <v>10088</v>
      </c>
    </row>
    <row r="3115" spans="1:11" x14ac:dyDescent="0.2">
      <c r="A3115" s="2">
        <v>780</v>
      </c>
      <c r="B3115" s="2">
        <v>5</v>
      </c>
      <c r="C3115" s="2">
        <v>3677596</v>
      </c>
      <c r="D3115" s="2">
        <v>4636542</v>
      </c>
      <c r="E3115" s="2">
        <v>1</v>
      </c>
      <c r="F3115" s="2" t="s">
        <v>10086</v>
      </c>
      <c r="H3115" s="2">
        <v>1.5E-3</v>
      </c>
      <c r="K3115" s="2" t="s">
        <v>10085</v>
      </c>
    </row>
    <row r="3116" spans="1:11" x14ac:dyDescent="0.2">
      <c r="A3116" s="2">
        <v>780</v>
      </c>
      <c r="B3116" s="2">
        <v>5</v>
      </c>
      <c r="C3116" s="2">
        <v>3677596</v>
      </c>
      <c r="D3116" s="2">
        <v>4636542</v>
      </c>
      <c r="E3116" s="2">
        <v>2</v>
      </c>
      <c r="F3116" s="2" t="s">
        <v>10086</v>
      </c>
      <c r="H3116" s="2">
        <v>1.1999999999999999E-3</v>
      </c>
      <c r="K3116" s="2" t="s">
        <v>10087</v>
      </c>
    </row>
    <row r="3117" spans="1:11" x14ac:dyDescent="0.2">
      <c r="A3117" s="2">
        <v>780</v>
      </c>
      <c r="B3117" s="2">
        <v>5</v>
      </c>
      <c r="C3117" s="2">
        <v>3677596</v>
      </c>
      <c r="D3117" s="2">
        <v>4636542</v>
      </c>
      <c r="E3117" s="2">
        <v>3</v>
      </c>
      <c r="F3117" s="2" t="s">
        <v>10086</v>
      </c>
      <c r="H3117" s="3">
        <v>8.0000000000000004E-4</v>
      </c>
      <c r="K3117" s="2" t="s">
        <v>10088</v>
      </c>
    </row>
    <row r="3118" spans="1:11" x14ac:dyDescent="0.2">
      <c r="A3118" s="2">
        <v>780</v>
      </c>
      <c r="B3118" s="2">
        <v>5</v>
      </c>
      <c r="C3118" s="2">
        <v>3677596</v>
      </c>
      <c r="D3118" s="2">
        <v>4636542</v>
      </c>
      <c r="E3118" s="2">
        <v>4</v>
      </c>
      <c r="F3118" s="2" t="s">
        <v>10086</v>
      </c>
      <c r="H3118" s="3">
        <v>2.9999999999999997E-4</v>
      </c>
      <c r="K3118" s="2" t="s">
        <v>10089</v>
      </c>
    </row>
    <row r="3119" spans="1:11" x14ac:dyDescent="0.2">
      <c r="A3119" s="2">
        <v>781</v>
      </c>
      <c r="B3119" s="2">
        <v>5</v>
      </c>
      <c r="C3119" s="2">
        <v>4636543</v>
      </c>
      <c r="D3119" s="2">
        <v>5828694</v>
      </c>
      <c r="E3119" s="2">
        <v>1</v>
      </c>
      <c r="F3119" s="2" t="s">
        <v>10086</v>
      </c>
      <c r="H3119" s="2">
        <v>2.7000000000000001E-3</v>
      </c>
      <c r="K3119" s="2" t="s">
        <v>10088</v>
      </c>
    </row>
    <row r="3120" spans="1:11" x14ac:dyDescent="0.2">
      <c r="A3120" s="2">
        <v>781</v>
      </c>
      <c r="B3120" s="2">
        <v>5</v>
      </c>
      <c r="C3120" s="2">
        <v>4636543</v>
      </c>
      <c r="D3120" s="2">
        <v>5828694</v>
      </c>
      <c r="E3120" s="2">
        <v>2</v>
      </c>
      <c r="F3120" s="2" t="s">
        <v>10086</v>
      </c>
      <c r="H3120" s="2">
        <v>1.2999999999999999E-3</v>
      </c>
      <c r="K3120" s="2" t="s">
        <v>10085</v>
      </c>
    </row>
    <row r="3121" spans="1:11" x14ac:dyDescent="0.2">
      <c r="A3121" s="2">
        <v>781</v>
      </c>
      <c r="B3121" s="2">
        <v>5</v>
      </c>
      <c r="C3121" s="2">
        <v>4636543</v>
      </c>
      <c r="D3121" s="2">
        <v>5828694</v>
      </c>
      <c r="E3121" s="2">
        <v>3</v>
      </c>
      <c r="F3121" s="2" t="s">
        <v>10086</v>
      </c>
      <c r="H3121" s="2">
        <v>1E-3</v>
      </c>
      <c r="K3121" s="2" t="s">
        <v>10089</v>
      </c>
    </row>
    <row r="3122" spans="1:11" x14ac:dyDescent="0.2">
      <c r="A3122" s="2">
        <v>781</v>
      </c>
      <c r="B3122" s="2">
        <v>5</v>
      </c>
      <c r="C3122" s="2">
        <v>4636543</v>
      </c>
      <c r="D3122" s="2">
        <v>5828694</v>
      </c>
      <c r="E3122" s="2">
        <v>4</v>
      </c>
      <c r="F3122" s="2" t="s">
        <v>10086</v>
      </c>
      <c r="H3122" s="3">
        <v>5.9999999999999995E-4</v>
      </c>
      <c r="K3122" s="2" t="s">
        <v>10087</v>
      </c>
    </row>
    <row r="3123" spans="1:11" x14ac:dyDescent="0.2">
      <c r="A3123" s="2">
        <v>782</v>
      </c>
      <c r="B3123" s="2">
        <v>5</v>
      </c>
      <c r="C3123" s="2">
        <v>5828695</v>
      </c>
      <c r="D3123" s="2">
        <v>6936733</v>
      </c>
      <c r="E3123" s="2">
        <v>1</v>
      </c>
      <c r="F3123" s="2" t="s">
        <v>10086</v>
      </c>
      <c r="H3123" s="2">
        <v>2.3E-3</v>
      </c>
      <c r="K3123" s="2" t="s">
        <v>10088</v>
      </c>
    </row>
    <row r="3124" spans="1:11" x14ac:dyDescent="0.2">
      <c r="A3124" s="2">
        <v>782</v>
      </c>
      <c r="B3124" s="2">
        <v>5</v>
      </c>
      <c r="C3124" s="2">
        <v>5828695</v>
      </c>
      <c r="D3124" s="2">
        <v>6936733</v>
      </c>
      <c r="E3124" s="2">
        <v>2</v>
      </c>
      <c r="F3124" s="2" t="s">
        <v>10086</v>
      </c>
      <c r="H3124" s="2">
        <v>1.6999999999999999E-3</v>
      </c>
      <c r="K3124" s="2" t="s">
        <v>10085</v>
      </c>
    </row>
    <row r="3125" spans="1:11" x14ac:dyDescent="0.2">
      <c r="A3125" s="2">
        <v>782</v>
      </c>
      <c r="B3125" s="2">
        <v>5</v>
      </c>
      <c r="C3125" s="2">
        <v>5828695</v>
      </c>
      <c r="D3125" s="2">
        <v>6936733</v>
      </c>
      <c r="E3125" s="2">
        <v>3</v>
      </c>
      <c r="F3125" s="2" t="s">
        <v>10086</v>
      </c>
      <c r="H3125" s="2">
        <v>1.1000000000000001E-3</v>
      </c>
      <c r="K3125" s="2" t="s">
        <v>10089</v>
      </c>
    </row>
    <row r="3126" spans="1:11" x14ac:dyDescent="0.2">
      <c r="A3126" s="2">
        <v>782</v>
      </c>
      <c r="B3126" s="2">
        <v>5</v>
      </c>
      <c r="C3126" s="2">
        <v>5828695</v>
      </c>
      <c r="D3126" s="2">
        <v>6936733</v>
      </c>
      <c r="E3126" s="2">
        <v>4</v>
      </c>
      <c r="F3126" s="2" t="s">
        <v>10086</v>
      </c>
      <c r="H3126" s="3">
        <v>8.9999999999999998E-4</v>
      </c>
      <c r="K3126" s="2" t="s">
        <v>12324</v>
      </c>
    </row>
    <row r="3127" spans="1:11" x14ac:dyDescent="0.2">
      <c r="A3127" s="2">
        <v>783</v>
      </c>
      <c r="B3127" s="2">
        <v>5</v>
      </c>
      <c r="C3127" s="2">
        <v>6936734</v>
      </c>
      <c r="D3127" s="2">
        <v>8079415</v>
      </c>
      <c r="E3127" s="2">
        <v>1</v>
      </c>
      <c r="F3127" s="2" t="s">
        <v>10086</v>
      </c>
      <c r="H3127" s="2">
        <v>1.5E-3</v>
      </c>
      <c r="K3127" s="2" t="s">
        <v>10085</v>
      </c>
    </row>
    <row r="3128" spans="1:11" x14ac:dyDescent="0.2">
      <c r="A3128" s="2">
        <v>783</v>
      </c>
      <c r="B3128" s="2">
        <v>5</v>
      </c>
      <c r="C3128" s="2">
        <v>6936734</v>
      </c>
      <c r="D3128" s="2">
        <v>8079415</v>
      </c>
      <c r="E3128" s="2">
        <v>2</v>
      </c>
      <c r="F3128" s="2" t="s">
        <v>10086</v>
      </c>
      <c r="H3128" s="2">
        <v>1.9E-3</v>
      </c>
      <c r="K3128" s="2" t="s">
        <v>10087</v>
      </c>
    </row>
    <row r="3129" spans="1:11" x14ac:dyDescent="0.2">
      <c r="A3129" s="2">
        <v>783</v>
      </c>
      <c r="B3129" s="2">
        <v>5</v>
      </c>
      <c r="C3129" s="2">
        <v>6936734</v>
      </c>
      <c r="D3129" s="2">
        <v>8079415</v>
      </c>
      <c r="E3129" s="2">
        <v>3</v>
      </c>
      <c r="F3129" s="2" t="s">
        <v>10086</v>
      </c>
      <c r="H3129" s="2">
        <v>1.1999999999999999E-3</v>
      </c>
      <c r="K3129" s="2" t="s">
        <v>10088</v>
      </c>
    </row>
    <row r="3130" spans="1:11" x14ac:dyDescent="0.2">
      <c r="A3130" s="2">
        <v>783</v>
      </c>
      <c r="B3130" s="2">
        <v>5</v>
      </c>
      <c r="C3130" s="2">
        <v>6936734</v>
      </c>
      <c r="D3130" s="2">
        <v>8079415</v>
      </c>
      <c r="E3130" s="2">
        <v>4</v>
      </c>
      <c r="F3130" s="2" t="s">
        <v>10086</v>
      </c>
      <c r="H3130" s="3">
        <v>5.0000000000000001E-4</v>
      </c>
      <c r="K3130" s="2" t="s">
        <v>10089</v>
      </c>
    </row>
    <row r="3131" spans="1:11" x14ac:dyDescent="0.2">
      <c r="A3131" s="2">
        <v>784</v>
      </c>
      <c r="B3131" s="2">
        <v>5</v>
      </c>
      <c r="C3131" s="2">
        <v>8079416</v>
      </c>
      <c r="D3131" s="2">
        <v>9203855</v>
      </c>
      <c r="E3131" s="2">
        <v>1</v>
      </c>
      <c r="F3131" s="2" t="s">
        <v>10086</v>
      </c>
      <c r="H3131" s="2">
        <v>1.8E-3</v>
      </c>
      <c r="K3131" s="2" t="s">
        <v>10088</v>
      </c>
    </row>
    <row r="3132" spans="1:11" x14ac:dyDescent="0.2">
      <c r="A3132" s="2">
        <v>784</v>
      </c>
      <c r="B3132" s="2">
        <v>5</v>
      </c>
      <c r="C3132" s="2">
        <v>8079416</v>
      </c>
      <c r="D3132" s="2">
        <v>9203855</v>
      </c>
      <c r="E3132" s="2">
        <v>2</v>
      </c>
      <c r="F3132" s="2" t="s">
        <v>10086</v>
      </c>
      <c r="H3132" s="2">
        <v>1.1000000000000001E-3</v>
      </c>
      <c r="K3132" s="2" t="s">
        <v>10087</v>
      </c>
    </row>
    <row r="3133" spans="1:11" x14ac:dyDescent="0.2">
      <c r="A3133" s="2">
        <v>784</v>
      </c>
      <c r="B3133" s="2">
        <v>5</v>
      </c>
      <c r="C3133" s="2">
        <v>8079416</v>
      </c>
      <c r="D3133" s="2">
        <v>9203855</v>
      </c>
      <c r="E3133" s="2">
        <v>3</v>
      </c>
      <c r="F3133" s="2" t="s">
        <v>10086</v>
      </c>
      <c r="H3133" s="2">
        <v>1.1999999999999999E-3</v>
      </c>
      <c r="K3133" s="2" t="s">
        <v>10089</v>
      </c>
    </row>
    <row r="3134" spans="1:11" x14ac:dyDescent="0.2">
      <c r="A3134" s="2">
        <v>784</v>
      </c>
      <c r="B3134" s="2">
        <v>5</v>
      </c>
      <c r="C3134" s="2">
        <v>8079416</v>
      </c>
      <c r="D3134" s="2">
        <v>9203855</v>
      </c>
      <c r="E3134" s="2">
        <v>4</v>
      </c>
      <c r="F3134" s="2" t="s">
        <v>10086</v>
      </c>
      <c r="H3134" s="3">
        <v>5.9999999999999995E-4</v>
      </c>
      <c r="K3134" s="2" t="s">
        <v>10085</v>
      </c>
    </row>
    <row r="3135" spans="1:11" x14ac:dyDescent="0.2">
      <c r="A3135" s="2">
        <v>785</v>
      </c>
      <c r="B3135" s="2">
        <v>5</v>
      </c>
      <c r="C3135" s="2">
        <v>9203856</v>
      </c>
      <c r="D3135" s="2">
        <v>10549029</v>
      </c>
      <c r="E3135" s="2">
        <v>1</v>
      </c>
      <c r="F3135" s="2" t="s">
        <v>10086</v>
      </c>
      <c r="H3135" s="2">
        <v>2.5999999999999999E-3</v>
      </c>
      <c r="K3135" s="2" t="s">
        <v>10088</v>
      </c>
    </row>
    <row r="3136" spans="1:11" x14ac:dyDescent="0.2">
      <c r="A3136" s="2">
        <v>785</v>
      </c>
      <c r="B3136" s="2">
        <v>5</v>
      </c>
      <c r="C3136" s="2">
        <v>9203856</v>
      </c>
      <c r="D3136" s="2">
        <v>10549029</v>
      </c>
      <c r="E3136" s="2">
        <v>2</v>
      </c>
      <c r="F3136" s="2" t="s">
        <v>10086</v>
      </c>
      <c r="H3136" s="2">
        <v>2.3E-3</v>
      </c>
      <c r="K3136" s="2" t="s">
        <v>10089</v>
      </c>
    </row>
    <row r="3137" spans="1:11" x14ac:dyDescent="0.2">
      <c r="A3137" s="2">
        <v>785</v>
      </c>
      <c r="B3137" s="2">
        <v>5</v>
      </c>
      <c r="C3137" s="2">
        <v>9203856</v>
      </c>
      <c r="D3137" s="2">
        <v>10549029</v>
      </c>
      <c r="E3137" s="2">
        <v>3</v>
      </c>
      <c r="F3137" s="2" t="s">
        <v>10086</v>
      </c>
      <c r="H3137" s="2">
        <v>1.6999999999999999E-3</v>
      </c>
      <c r="K3137" s="2" t="s">
        <v>10087</v>
      </c>
    </row>
    <row r="3138" spans="1:11" x14ac:dyDescent="0.2">
      <c r="A3138" s="2">
        <v>785</v>
      </c>
      <c r="B3138" s="2">
        <v>5</v>
      </c>
      <c r="C3138" s="2">
        <v>9203856</v>
      </c>
      <c r="D3138" s="2">
        <v>10549029</v>
      </c>
      <c r="E3138" s="2">
        <v>4</v>
      </c>
      <c r="F3138" s="2" t="s">
        <v>10086</v>
      </c>
      <c r="H3138" s="3">
        <v>6.9999999999999999E-4</v>
      </c>
      <c r="K3138" s="2" t="s">
        <v>10085</v>
      </c>
    </row>
    <row r="3139" spans="1:11" x14ac:dyDescent="0.2">
      <c r="A3139" s="2">
        <v>786</v>
      </c>
      <c r="B3139" s="2">
        <v>5</v>
      </c>
      <c r="C3139" s="2">
        <v>10549030</v>
      </c>
      <c r="D3139" s="2">
        <v>11850850</v>
      </c>
      <c r="E3139" s="2">
        <v>1</v>
      </c>
      <c r="F3139" s="2" t="s">
        <v>10086</v>
      </c>
      <c r="H3139" s="2">
        <v>2.2000000000000001E-3</v>
      </c>
      <c r="K3139" s="2" t="s">
        <v>10088</v>
      </c>
    </row>
    <row r="3140" spans="1:11" x14ac:dyDescent="0.2">
      <c r="A3140" s="2">
        <v>786</v>
      </c>
      <c r="B3140" s="2">
        <v>5</v>
      </c>
      <c r="C3140" s="2">
        <v>10549030</v>
      </c>
      <c r="D3140" s="2">
        <v>11850850</v>
      </c>
      <c r="E3140" s="2">
        <v>2</v>
      </c>
      <c r="F3140" s="2" t="s">
        <v>10086</v>
      </c>
      <c r="H3140" s="2">
        <v>1.6999999999999999E-3</v>
      </c>
      <c r="K3140" s="2" t="s">
        <v>10089</v>
      </c>
    </row>
    <row r="3141" spans="1:11" x14ac:dyDescent="0.2">
      <c r="A3141" s="2">
        <v>786</v>
      </c>
      <c r="B3141" s="2">
        <v>5</v>
      </c>
      <c r="C3141" s="2">
        <v>10549030</v>
      </c>
      <c r="D3141" s="2">
        <v>11850850</v>
      </c>
      <c r="E3141" s="2">
        <v>3</v>
      </c>
      <c r="F3141" s="2" t="s">
        <v>10086</v>
      </c>
      <c r="H3141" s="2">
        <v>1.5E-3</v>
      </c>
      <c r="K3141" s="2" t="s">
        <v>10085</v>
      </c>
    </row>
    <row r="3142" spans="1:11" x14ac:dyDescent="0.2">
      <c r="A3142" s="2">
        <v>786</v>
      </c>
      <c r="B3142" s="2">
        <v>5</v>
      </c>
      <c r="C3142" s="2">
        <v>10549030</v>
      </c>
      <c r="D3142" s="2">
        <v>11850850</v>
      </c>
      <c r="E3142" s="2">
        <v>4</v>
      </c>
      <c r="F3142" s="2" t="s">
        <v>10086</v>
      </c>
      <c r="H3142" s="3">
        <v>8.0000000000000004E-4</v>
      </c>
      <c r="K3142" s="2" t="s">
        <v>10087</v>
      </c>
    </row>
    <row r="3143" spans="1:11" x14ac:dyDescent="0.2">
      <c r="A3143" s="2">
        <v>787</v>
      </c>
      <c r="B3143" s="2">
        <v>5</v>
      </c>
      <c r="C3143" s="2">
        <v>11850851</v>
      </c>
      <c r="D3143" s="2">
        <v>12867189</v>
      </c>
      <c r="E3143" s="2">
        <v>1</v>
      </c>
      <c r="F3143" s="2" t="s">
        <v>10086</v>
      </c>
      <c r="H3143" s="2">
        <v>3.3999999999999998E-3</v>
      </c>
      <c r="K3143" s="2" t="s">
        <v>10089</v>
      </c>
    </row>
    <row r="3144" spans="1:11" x14ac:dyDescent="0.2">
      <c r="A3144" s="2">
        <v>787</v>
      </c>
      <c r="B3144" s="2">
        <v>5</v>
      </c>
      <c r="C3144" s="2">
        <v>11850851</v>
      </c>
      <c r="D3144" s="2">
        <v>12867189</v>
      </c>
      <c r="E3144" s="2">
        <v>2</v>
      </c>
      <c r="F3144" s="2" t="s">
        <v>10086</v>
      </c>
      <c r="H3144" s="2">
        <v>1.4E-3</v>
      </c>
      <c r="K3144" s="2" t="s">
        <v>10087</v>
      </c>
    </row>
    <row r="3145" spans="1:11" x14ac:dyDescent="0.2">
      <c r="A3145" s="2">
        <v>787</v>
      </c>
      <c r="B3145" s="2">
        <v>5</v>
      </c>
      <c r="C3145" s="2">
        <v>11850851</v>
      </c>
      <c r="D3145" s="2">
        <v>12867189</v>
      </c>
      <c r="E3145" s="2">
        <v>3</v>
      </c>
      <c r="F3145" s="2" t="s">
        <v>10086</v>
      </c>
      <c r="H3145" s="2">
        <v>1.1000000000000001E-3</v>
      </c>
      <c r="K3145" s="2" t="s">
        <v>10088</v>
      </c>
    </row>
    <row r="3146" spans="1:11" x14ac:dyDescent="0.2">
      <c r="A3146" s="2">
        <v>787</v>
      </c>
      <c r="B3146" s="2">
        <v>5</v>
      </c>
      <c r="C3146" s="2">
        <v>11850851</v>
      </c>
      <c r="D3146" s="2">
        <v>12867189</v>
      </c>
      <c r="E3146" s="2">
        <v>4</v>
      </c>
      <c r="F3146" s="2" t="s">
        <v>10086</v>
      </c>
      <c r="H3146" s="3">
        <v>5.0000000000000001E-4</v>
      </c>
      <c r="K3146" s="2" t="s">
        <v>10085</v>
      </c>
    </row>
    <row r="3147" spans="1:11" x14ac:dyDescent="0.2">
      <c r="A3147" s="2">
        <v>788</v>
      </c>
      <c r="B3147" s="2">
        <v>5</v>
      </c>
      <c r="C3147" s="2">
        <v>12867190</v>
      </c>
      <c r="D3147" s="2">
        <v>13608147</v>
      </c>
      <c r="E3147" s="2">
        <v>1</v>
      </c>
      <c r="F3147" s="2" t="s">
        <v>10086</v>
      </c>
      <c r="H3147" s="2">
        <v>6.0000000000000001E-3</v>
      </c>
      <c r="K3147" s="2" t="s">
        <v>10089</v>
      </c>
    </row>
    <row r="3148" spans="1:11" x14ac:dyDescent="0.2">
      <c r="A3148" s="2">
        <v>788</v>
      </c>
      <c r="B3148" s="2">
        <v>5</v>
      </c>
      <c r="C3148" s="2">
        <v>12867190</v>
      </c>
      <c r="D3148" s="2">
        <v>13608147</v>
      </c>
      <c r="E3148" s="2">
        <v>2</v>
      </c>
      <c r="F3148" s="2" t="s">
        <v>10086</v>
      </c>
      <c r="H3148" s="2">
        <v>2.5000000000000001E-3</v>
      </c>
      <c r="K3148" s="2" t="s">
        <v>10088</v>
      </c>
    </row>
    <row r="3149" spans="1:11" x14ac:dyDescent="0.2">
      <c r="A3149" s="2">
        <v>788</v>
      </c>
      <c r="B3149" s="2">
        <v>5</v>
      </c>
      <c r="C3149" s="2">
        <v>12867190</v>
      </c>
      <c r="D3149" s="2">
        <v>13608147</v>
      </c>
      <c r="E3149" s="2">
        <v>3</v>
      </c>
      <c r="F3149" s="2" t="s">
        <v>10086</v>
      </c>
      <c r="H3149" s="3">
        <v>8.0000000000000004E-4</v>
      </c>
      <c r="K3149" s="2" t="s">
        <v>10085</v>
      </c>
    </row>
    <row r="3150" spans="1:11" x14ac:dyDescent="0.2">
      <c r="A3150" s="2">
        <v>788</v>
      </c>
      <c r="B3150" s="2">
        <v>5</v>
      </c>
      <c r="C3150" s="2">
        <v>12867190</v>
      </c>
      <c r="D3150" s="2">
        <v>13608147</v>
      </c>
      <c r="E3150" s="2">
        <v>4</v>
      </c>
      <c r="F3150" s="2" t="s">
        <v>10086</v>
      </c>
      <c r="H3150" s="3">
        <v>2.0000000000000001E-4</v>
      </c>
      <c r="K3150" s="2" t="s">
        <v>10087</v>
      </c>
    </row>
    <row r="3151" spans="1:11" x14ac:dyDescent="0.2">
      <c r="A3151" s="2">
        <v>789</v>
      </c>
      <c r="B3151" s="2">
        <v>5</v>
      </c>
      <c r="C3151" s="2">
        <v>13608148</v>
      </c>
      <c r="D3151" s="2">
        <v>14910295</v>
      </c>
      <c r="E3151" s="2">
        <v>1</v>
      </c>
      <c r="F3151" s="2" t="s">
        <v>10086</v>
      </c>
      <c r="H3151" s="2">
        <v>1.4E-3</v>
      </c>
      <c r="K3151" s="2" t="s">
        <v>10089</v>
      </c>
    </row>
    <row r="3152" spans="1:11" x14ac:dyDescent="0.2">
      <c r="A3152" s="2">
        <v>789</v>
      </c>
      <c r="B3152" s="2">
        <v>5</v>
      </c>
      <c r="C3152" s="2">
        <v>13608148</v>
      </c>
      <c r="D3152" s="2">
        <v>14910295</v>
      </c>
      <c r="E3152" s="2">
        <v>2</v>
      </c>
      <c r="F3152" s="2" t="s">
        <v>10086</v>
      </c>
      <c r="H3152" s="2">
        <v>3.5999999999999999E-3</v>
      </c>
      <c r="K3152" s="2" t="s">
        <v>10088</v>
      </c>
    </row>
    <row r="3153" spans="1:11" x14ac:dyDescent="0.2">
      <c r="A3153" s="2">
        <v>789</v>
      </c>
      <c r="B3153" s="2">
        <v>5</v>
      </c>
      <c r="C3153" s="2">
        <v>13608148</v>
      </c>
      <c r="D3153" s="2">
        <v>14910295</v>
      </c>
      <c r="E3153" s="2">
        <v>3</v>
      </c>
      <c r="F3153" s="2" t="s">
        <v>10086</v>
      </c>
      <c r="H3153" s="2">
        <v>1.2999999999999999E-3</v>
      </c>
      <c r="K3153" s="2" t="s">
        <v>10085</v>
      </c>
    </row>
    <row r="3154" spans="1:11" x14ac:dyDescent="0.2">
      <c r="A3154" s="2">
        <v>789</v>
      </c>
      <c r="B3154" s="2">
        <v>5</v>
      </c>
      <c r="C3154" s="2">
        <v>13608148</v>
      </c>
      <c r="D3154" s="2">
        <v>14910295</v>
      </c>
      <c r="E3154" s="2">
        <v>4</v>
      </c>
      <c r="F3154" s="2" t="s">
        <v>10086</v>
      </c>
      <c r="H3154" s="3">
        <v>6.9999999999999999E-4</v>
      </c>
      <c r="K3154" s="2" t="s">
        <v>10087</v>
      </c>
    </row>
    <row r="3155" spans="1:11" x14ac:dyDescent="0.2">
      <c r="A3155" s="2">
        <v>790</v>
      </c>
      <c r="B3155" s="2">
        <v>5</v>
      </c>
      <c r="C3155" s="2">
        <v>14910296</v>
      </c>
      <c r="D3155" s="2">
        <v>16592319</v>
      </c>
      <c r="E3155" s="2">
        <v>1</v>
      </c>
      <c r="F3155" s="2" t="s">
        <v>10086</v>
      </c>
      <c r="H3155" s="2">
        <v>3.3E-3</v>
      </c>
      <c r="K3155" s="2" t="s">
        <v>10085</v>
      </c>
    </row>
    <row r="3156" spans="1:11" x14ac:dyDescent="0.2">
      <c r="A3156" s="2">
        <v>790</v>
      </c>
      <c r="B3156" s="2">
        <v>5</v>
      </c>
      <c r="C3156" s="2">
        <v>14910296</v>
      </c>
      <c r="D3156" s="2">
        <v>16592319</v>
      </c>
      <c r="E3156" s="2">
        <v>2</v>
      </c>
      <c r="F3156" s="2" t="s">
        <v>10086</v>
      </c>
      <c r="H3156" s="2">
        <v>1.6000000000000001E-3</v>
      </c>
      <c r="K3156" s="2" t="s">
        <v>10087</v>
      </c>
    </row>
    <row r="3157" spans="1:11" x14ac:dyDescent="0.2">
      <c r="A3157" s="2">
        <v>790</v>
      </c>
      <c r="B3157" s="2">
        <v>5</v>
      </c>
      <c r="C3157" s="2">
        <v>14910296</v>
      </c>
      <c r="D3157" s="2">
        <v>16592319</v>
      </c>
      <c r="E3157" s="2">
        <v>3</v>
      </c>
      <c r="F3157" s="2" t="s">
        <v>10086</v>
      </c>
      <c r="H3157" s="2">
        <v>1.4E-3</v>
      </c>
      <c r="K3157" s="2" t="s">
        <v>10089</v>
      </c>
    </row>
    <row r="3158" spans="1:11" x14ac:dyDescent="0.2">
      <c r="A3158" s="2">
        <v>790</v>
      </c>
      <c r="B3158" s="2">
        <v>5</v>
      </c>
      <c r="C3158" s="2">
        <v>14910296</v>
      </c>
      <c r="D3158" s="2">
        <v>16592319</v>
      </c>
      <c r="E3158" s="2">
        <v>4</v>
      </c>
      <c r="F3158" s="2" t="s">
        <v>10086</v>
      </c>
      <c r="H3158" s="3">
        <v>6.9999999999999999E-4</v>
      </c>
      <c r="K3158" s="2" t="s">
        <v>10088</v>
      </c>
    </row>
    <row r="3159" spans="1:11" x14ac:dyDescent="0.2">
      <c r="A3159" s="2">
        <v>791</v>
      </c>
      <c r="B3159" s="2">
        <v>5</v>
      </c>
      <c r="C3159" s="2">
        <v>16592320</v>
      </c>
      <c r="D3159" s="2">
        <v>17803477</v>
      </c>
      <c r="E3159" s="2">
        <v>1</v>
      </c>
      <c r="F3159" s="2" t="s">
        <v>10086</v>
      </c>
      <c r="H3159" s="2">
        <v>2.0999999999999999E-3</v>
      </c>
      <c r="K3159" s="2" t="s">
        <v>10087</v>
      </c>
    </row>
    <row r="3160" spans="1:11" x14ac:dyDescent="0.2">
      <c r="A3160" s="2">
        <v>791</v>
      </c>
      <c r="B3160" s="2">
        <v>5</v>
      </c>
      <c r="C3160" s="2">
        <v>16592320</v>
      </c>
      <c r="D3160" s="2">
        <v>17803477</v>
      </c>
      <c r="E3160" s="2">
        <v>2</v>
      </c>
      <c r="F3160" s="2" t="s">
        <v>10086</v>
      </c>
      <c r="H3160" s="2">
        <v>1.9E-3</v>
      </c>
      <c r="K3160" s="2" t="s">
        <v>10089</v>
      </c>
    </row>
    <row r="3161" spans="1:11" x14ac:dyDescent="0.2">
      <c r="A3161" s="2">
        <v>791</v>
      </c>
      <c r="B3161" s="2">
        <v>5</v>
      </c>
      <c r="C3161" s="2">
        <v>16592320</v>
      </c>
      <c r="D3161" s="2">
        <v>17803477</v>
      </c>
      <c r="E3161" s="2">
        <v>3</v>
      </c>
      <c r="F3161" s="2" t="s">
        <v>10086</v>
      </c>
      <c r="H3161" s="2">
        <v>2E-3</v>
      </c>
      <c r="K3161" s="2" t="s">
        <v>10085</v>
      </c>
    </row>
    <row r="3162" spans="1:11" x14ac:dyDescent="0.2">
      <c r="A3162" s="2">
        <v>791</v>
      </c>
      <c r="B3162" s="2">
        <v>5</v>
      </c>
      <c r="C3162" s="2">
        <v>16592320</v>
      </c>
      <c r="D3162" s="2">
        <v>17803477</v>
      </c>
      <c r="E3162" s="2">
        <v>4</v>
      </c>
      <c r="F3162" s="2" t="s">
        <v>10086</v>
      </c>
      <c r="H3162" s="3">
        <v>6.9999999999999999E-4</v>
      </c>
      <c r="K3162" s="2" t="s">
        <v>10088</v>
      </c>
    </row>
    <row r="3163" spans="1:11" x14ac:dyDescent="0.2">
      <c r="A3163" s="2">
        <v>792</v>
      </c>
      <c r="B3163" s="2">
        <v>5</v>
      </c>
      <c r="C3163" s="2">
        <v>17803478</v>
      </c>
      <c r="D3163" s="2">
        <v>18791410</v>
      </c>
      <c r="E3163" s="2">
        <v>1</v>
      </c>
      <c r="F3163" s="2" t="s">
        <v>10086</v>
      </c>
      <c r="H3163" s="2">
        <v>1.2999999999999999E-3</v>
      </c>
      <c r="K3163" s="2" t="s">
        <v>10085</v>
      </c>
    </row>
    <row r="3164" spans="1:11" x14ac:dyDescent="0.2">
      <c r="A3164" s="2">
        <v>792</v>
      </c>
      <c r="B3164" s="2">
        <v>5</v>
      </c>
      <c r="C3164" s="2">
        <v>17803478</v>
      </c>
      <c r="D3164" s="2">
        <v>18791410</v>
      </c>
      <c r="E3164" s="2">
        <v>2</v>
      </c>
      <c r="F3164" s="2" t="s">
        <v>10086</v>
      </c>
      <c r="H3164" s="2">
        <v>1.1999999999999999E-3</v>
      </c>
      <c r="K3164" s="2" t="s">
        <v>10088</v>
      </c>
    </row>
    <row r="3165" spans="1:11" x14ac:dyDescent="0.2">
      <c r="A3165" s="2">
        <v>792</v>
      </c>
      <c r="B3165" s="2">
        <v>5</v>
      </c>
      <c r="C3165" s="2">
        <v>17803478</v>
      </c>
      <c r="D3165" s="2">
        <v>18791410</v>
      </c>
      <c r="E3165" s="2">
        <v>3</v>
      </c>
      <c r="F3165" s="2" t="s">
        <v>10086</v>
      </c>
      <c r="H3165" s="3">
        <v>6.9999999999999999E-4</v>
      </c>
      <c r="K3165" s="2" t="s">
        <v>10087</v>
      </c>
    </row>
    <row r="3166" spans="1:11" x14ac:dyDescent="0.2">
      <c r="A3166" s="2">
        <v>792</v>
      </c>
      <c r="B3166" s="2">
        <v>5</v>
      </c>
      <c r="C3166" s="2">
        <v>17803478</v>
      </c>
      <c r="D3166" s="2">
        <v>18791410</v>
      </c>
      <c r="E3166" s="2">
        <v>4</v>
      </c>
      <c r="F3166" s="2" t="s">
        <v>10086</v>
      </c>
      <c r="H3166" s="3">
        <v>2.9999999999999997E-4</v>
      </c>
      <c r="K3166" s="2" t="s">
        <v>10089</v>
      </c>
    </row>
    <row r="3167" spans="1:11" x14ac:dyDescent="0.2">
      <c r="A3167" s="2">
        <v>793</v>
      </c>
      <c r="B3167" s="2">
        <v>5</v>
      </c>
      <c r="C3167" s="2">
        <v>18791411</v>
      </c>
      <c r="D3167" s="2">
        <v>20397013</v>
      </c>
      <c r="E3167" s="2">
        <v>1</v>
      </c>
      <c r="F3167" s="2" t="s">
        <v>10086</v>
      </c>
      <c r="H3167" s="2">
        <v>8.3000000000000001E-3</v>
      </c>
      <c r="K3167" s="2" t="s">
        <v>10085</v>
      </c>
    </row>
    <row r="3168" spans="1:11" x14ac:dyDescent="0.2">
      <c r="A3168" s="2">
        <v>793</v>
      </c>
      <c r="B3168" s="2">
        <v>5</v>
      </c>
      <c r="C3168" s="2">
        <v>18791411</v>
      </c>
      <c r="D3168" s="2">
        <v>20397013</v>
      </c>
      <c r="E3168" s="2">
        <v>2</v>
      </c>
      <c r="F3168" s="2" t="s">
        <v>10086</v>
      </c>
      <c r="H3168" s="2">
        <v>1.2999999999999999E-3</v>
      </c>
      <c r="K3168" s="2" t="s">
        <v>12324</v>
      </c>
    </row>
    <row r="3169" spans="1:11" x14ac:dyDescent="0.2">
      <c r="A3169" s="2">
        <v>793</v>
      </c>
      <c r="B3169" s="2">
        <v>5</v>
      </c>
      <c r="C3169" s="2">
        <v>18791411</v>
      </c>
      <c r="D3169" s="2">
        <v>20397013</v>
      </c>
      <c r="E3169" s="2">
        <v>3</v>
      </c>
      <c r="F3169" s="2" t="s">
        <v>10086</v>
      </c>
      <c r="H3169" s="2">
        <v>1.1000000000000001E-3</v>
      </c>
      <c r="K3169" s="2" t="s">
        <v>10089</v>
      </c>
    </row>
    <row r="3170" spans="1:11" x14ac:dyDescent="0.2">
      <c r="A3170" s="2">
        <v>793</v>
      </c>
      <c r="B3170" s="2">
        <v>5</v>
      </c>
      <c r="C3170" s="2">
        <v>18791411</v>
      </c>
      <c r="D3170" s="2">
        <v>20397013</v>
      </c>
      <c r="E3170" s="2">
        <v>4</v>
      </c>
      <c r="F3170" s="2" t="s">
        <v>10086</v>
      </c>
      <c r="H3170" s="2">
        <v>1E-3</v>
      </c>
      <c r="K3170" s="2" t="s">
        <v>10087</v>
      </c>
    </row>
    <row r="3171" spans="1:11" x14ac:dyDescent="0.2">
      <c r="A3171" s="2">
        <v>794</v>
      </c>
      <c r="B3171" s="2">
        <v>5</v>
      </c>
      <c r="C3171" s="2">
        <v>20397014</v>
      </c>
      <c r="D3171" s="2">
        <v>21211399</v>
      </c>
      <c r="E3171" s="2">
        <v>1</v>
      </c>
      <c r="F3171" s="2" t="s">
        <v>10086</v>
      </c>
      <c r="H3171" s="2">
        <v>2.2000000000000001E-3</v>
      </c>
      <c r="K3171" s="2" t="s">
        <v>10085</v>
      </c>
    </row>
    <row r="3172" spans="1:11" x14ac:dyDescent="0.2">
      <c r="A3172" s="2">
        <v>794</v>
      </c>
      <c r="B3172" s="2">
        <v>5</v>
      </c>
      <c r="C3172" s="2">
        <v>20397014</v>
      </c>
      <c r="D3172" s="2">
        <v>21211399</v>
      </c>
      <c r="E3172" s="2">
        <v>2</v>
      </c>
      <c r="F3172" s="2" t="s">
        <v>10086</v>
      </c>
      <c r="H3172" s="2">
        <v>1E-3</v>
      </c>
      <c r="K3172" s="2" t="s">
        <v>10087</v>
      </c>
    </row>
    <row r="3173" spans="1:11" x14ac:dyDescent="0.2">
      <c r="A3173" s="2">
        <v>794</v>
      </c>
      <c r="B3173" s="2">
        <v>5</v>
      </c>
      <c r="C3173" s="2">
        <v>20397014</v>
      </c>
      <c r="D3173" s="2">
        <v>21211399</v>
      </c>
      <c r="E3173" s="2">
        <v>3</v>
      </c>
      <c r="F3173" s="2" t="s">
        <v>10086</v>
      </c>
      <c r="H3173" s="2">
        <v>1.4E-3</v>
      </c>
      <c r="K3173" s="2" t="s">
        <v>12324</v>
      </c>
    </row>
    <row r="3174" spans="1:11" x14ac:dyDescent="0.2">
      <c r="A3174" s="2">
        <v>794</v>
      </c>
      <c r="B3174" s="2">
        <v>5</v>
      </c>
      <c r="C3174" s="2">
        <v>20397014</v>
      </c>
      <c r="D3174" s="2">
        <v>21211399</v>
      </c>
      <c r="E3174" s="2">
        <v>4</v>
      </c>
      <c r="F3174" s="2" t="s">
        <v>10086</v>
      </c>
      <c r="H3174" s="3">
        <v>6.9999999999999999E-4</v>
      </c>
      <c r="K3174" s="2" t="s">
        <v>10088</v>
      </c>
    </row>
    <row r="3175" spans="1:11" x14ac:dyDescent="0.2">
      <c r="A3175" s="2">
        <v>795</v>
      </c>
      <c r="B3175" s="2">
        <v>5</v>
      </c>
      <c r="C3175" s="2">
        <v>21211400</v>
      </c>
      <c r="D3175" s="2">
        <v>22149042</v>
      </c>
      <c r="E3175" s="2">
        <v>1</v>
      </c>
      <c r="F3175" s="2" t="s">
        <v>10086</v>
      </c>
      <c r="H3175" s="2">
        <v>2.5999999999999999E-3</v>
      </c>
      <c r="K3175" s="2" t="s">
        <v>10087</v>
      </c>
    </row>
    <row r="3176" spans="1:11" x14ac:dyDescent="0.2">
      <c r="A3176" s="2">
        <v>795</v>
      </c>
      <c r="B3176" s="2">
        <v>5</v>
      </c>
      <c r="C3176" s="2">
        <v>21211400</v>
      </c>
      <c r="D3176" s="2">
        <v>22149042</v>
      </c>
      <c r="E3176" s="2">
        <v>2</v>
      </c>
      <c r="F3176" s="2" t="s">
        <v>10086</v>
      </c>
      <c r="H3176" s="2">
        <v>1E-3</v>
      </c>
      <c r="K3176" s="2" t="s">
        <v>10085</v>
      </c>
    </row>
    <row r="3177" spans="1:11" x14ac:dyDescent="0.2">
      <c r="A3177" s="2">
        <v>795</v>
      </c>
      <c r="B3177" s="2">
        <v>5</v>
      </c>
      <c r="C3177" s="2">
        <v>21211400</v>
      </c>
      <c r="D3177" s="2">
        <v>22149042</v>
      </c>
      <c r="E3177" s="2">
        <v>3</v>
      </c>
      <c r="F3177" s="2" t="s">
        <v>10086</v>
      </c>
      <c r="H3177" s="3">
        <v>8.0000000000000004E-4</v>
      </c>
      <c r="K3177" s="2" t="s">
        <v>10088</v>
      </c>
    </row>
    <row r="3178" spans="1:11" x14ac:dyDescent="0.2">
      <c r="A3178" s="2">
        <v>795</v>
      </c>
      <c r="B3178" s="2">
        <v>5</v>
      </c>
      <c r="C3178" s="2">
        <v>21211400</v>
      </c>
      <c r="D3178" s="2">
        <v>22149042</v>
      </c>
      <c r="E3178" s="2">
        <v>4</v>
      </c>
      <c r="F3178" s="2" t="s">
        <v>10086</v>
      </c>
      <c r="H3178" s="3">
        <v>5.0000000000000001E-4</v>
      </c>
      <c r="K3178" s="2" t="s">
        <v>10089</v>
      </c>
    </row>
    <row r="3179" spans="1:11" x14ac:dyDescent="0.2">
      <c r="A3179" s="2">
        <v>796</v>
      </c>
      <c r="B3179" s="2">
        <v>5</v>
      </c>
      <c r="C3179" s="2">
        <v>22149043</v>
      </c>
      <c r="D3179" s="2">
        <v>23246745</v>
      </c>
      <c r="E3179" s="2">
        <v>1</v>
      </c>
      <c r="F3179" s="2" t="s">
        <v>10086</v>
      </c>
      <c r="H3179" s="2">
        <v>2.7000000000000001E-3</v>
      </c>
      <c r="K3179" s="2" t="s">
        <v>10087</v>
      </c>
    </row>
    <row r="3180" spans="1:11" x14ac:dyDescent="0.2">
      <c r="A3180" s="2">
        <v>796</v>
      </c>
      <c r="B3180" s="2">
        <v>5</v>
      </c>
      <c r="C3180" s="2">
        <v>22149043</v>
      </c>
      <c r="D3180" s="2">
        <v>23246745</v>
      </c>
      <c r="E3180" s="2">
        <v>2</v>
      </c>
      <c r="F3180" s="2" t="s">
        <v>10086</v>
      </c>
      <c r="H3180" s="2">
        <v>2.0999999999999999E-3</v>
      </c>
      <c r="K3180" s="2" t="s">
        <v>10088</v>
      </c>
    </row>
    <row r="3181" spans="1:11" x14ac:dyDescent="0.2">
      <c r="A3181" s="2">
        <v>796</v>
      </c>
      <c r="B3181" s="2">
        <v>5</v>
      </c>
      <c r="C3181" s="2">
        <v>22149043</v>
      </c>
      <c r="D3181" s="2">
        <v>23246745</v>
      </c>
      <c r="E3181" s="2">
        <v>3</v>
      </c>
      <c r="F3181" s="2" t="s">
        <v>10086</v>
      </c>
      <c r="H3181" s="2">
        <v>1.1000000000000001E-3</v>
      </c>
      <c r="K3181" s="2" t="s">
        <v>10089</v>
      </c>
    </row>
    <row r="3182" spans="1:11" x14ac:dyDescent="0.2">
      <c r="A3182" s="2">
        <v>796</v>
      </c>
      <c r="B3182" s="2">
        <v>5</v>
      </c>
      <c r="C3182" s="2">
        <v>22149043</v>
      </c>
      <c r="D3182" s="2">
        <v>23246745</v>
      </c>
      <c r="E3182" s="2">
        <v>4</v>
      </c>
      <c r="F3182" s="2" t="s">
        <v>10086</v>
      </c>
      <c r="H3182" s="3">
        <v>4.0000000000000002E-4</v>
      </c>
      <c r="K3182" s="2" t="s">
        <v>10085</v>
      </c>
    </row>
    <row r="3183" spans="1:11" x14ac:dyDescent="0.2">
      <c r="A3183" s="2">
        <v>797</v>
      </c>
      <c r="B3183" s="2">
        <v>5</v>
      </c>
      <c r="C3183" s="2">
        <v>23246746</v>
      </c>
      <c r="D3183" s="2">
        <v>24362661</v>
      </c>
      <c r="E3183" s="2">
        <v>1</v>
      </c>
      <c r="F3183" s="2" t="s">
        <v>10086</v>
      </c>
      <c r="H3183" s="2">
        <v>1.1000000000000001E-3</v>
      </c>
      <c r="K3183" s="2" t="s">
        <v>10088</v>
      </c>
    </row>
    <row r="3184" spans="1:11" x14ac:dyDescent="0.2">
      <c r="A3184" s="2">
        <v>797</v>
      </c>
      <c r="B3184" s="2">
        <v>5</v>
      </c>
      <c r="C3184" s="2">
        <v>23246746</v>
      </c>
      <c r="D3184" s="2">
        <v>24362661</v>
      </c>
      <c r="E3184" s="2">
        <v>2</v>
      </c>
      <c r="F3184" s="2" t="s">
        <v>10086</v>
      </c>
      <c r="H3184" s="3">
        <v>8.9999999999999998E-4</v>
      </c>
      <c r="K3184" s="2" t="s">
        <v>10085</v>
      </c>
    </row>
    <row r="3185" spans="1:11" x14ac:dyDescent="0.2">
      <c r="A3185" s="2">
        <v>797</v>
      </c>
      <c r="B3185" s="2">
        <v>5</v>
      </c>
      <c r="C3185" s="2">
        <v>23246746</v>
      </c>
      <c r="D3185" s="2">
        <v>24362661</v>
      </c>
      <c r="E3185" s="2">
        <v>3</v>
      </c>
      <c r="F3185" s="2" t="s">
        <v>10086</v>
      </c>
      <c r="H3185" s="3">
        <v>8.0000000000000004E-4</v>
      </c>
      <c r="K3185" s="2" t="s">
        <v>10089</v>
      </c>
    </row>
    <row r="3186" spans="1:11" x14ac:dyDescent="0.2">
      <c r="A3186" s="2">
        <v>797</v>
      </c>
      <c r="B3186" s="2">
        <v>5</v>
      </c>
      <c r="C3186" s="2">
        <v>23246746</v>
      </c>
      <c r="D3186" s="2">
        <v>24362661</v>
      </c>
      <c r="E3186" s="2">
        <v>4</v>
      </c>
      <c r="F3186" s="2" t="s">
        <v>10086</v>
      </c>
      <c r="H3186" s="3">
        <v>2.9999999999999997E-4</v>
      </c>
      <c r="K3186" s="2" t="s">
        <v>10087</v>
      </c>
    </row>
    <row r="3187" spans="1:11" x14ac:dyDescent="0.2">
      <c r="A3187" s="2">
        <v>798</v>
      </c>
      <c r="B3187" s="2">
        <v>5</v>
      </c>
      <c r="C3187" s="2">
        <v>24362662</v>
      </c>
      <c r="D3187" s="2">
        <v>25722097</v>
      </c>
      <c r="E3187" s="2">
        <v>1</v>
      </c>
      <c r="F3187" s="2" t="s">
        <v>10086</v>
      </c>
      <c r="H3187" s="2">
        <v>3.5999999999999999E-3</v>
      </c>
      <c r="K3187" s="2" t="s">
        <v>12324</v>
      </c>
    </row>
    <row r="3188" spans="1:11" x14ac:dyDescent="0.2">
      <c r="A3188" s="2">
        <v>798</v>
      </c>
      <c r="B3188" s="2">
        <v>5</v>
      </c>
      <c r="C3188" s="2">
        <v>24362662</v>
      </c>
      <c r="D3188" s="2">
        <v>25722097</v>
      </c>
      <c r="E3188" s="2">
        <v>2</v>
      </c>
      <c r="F3188" s="2" t="s">
        <v>10086</v>
      </c>
      <c r="H3188" s="2">
        <v>2.12E-2</v>
      </c>
      <c r="K3188" s="2" t="s">
        <v>10087</v>
      </c>
    </row>
    <row r="3189" spans="1:11" x14ac:dyDescent="0.2">
      <c r="A3189" s="2">
        <v>798</v>
      </c>
      <c r="B3189" s="2">
        <v>5</v>
      </c>
      <c r="C3189" s="2">
        <v>24362662</v>
      </c>
      <c r="D3189" s="2">
        <v>25722097</v>
      </c>
      <c r="E3189" s="2">
        <v>3</v>
      </c>
      <c r="F3189" s="2" t="s">
        <v>10086</v>
      </c>
      <c r="H3189" s="2">
        <v>1.8E-3</v>
      </c>
      <c r="K3189" s="2" t="s">
        <v>10089</v>
      </c>
    </row>
    <row r="3190" spans="1:11" x14ac:dyDescent="0.2">
      <c r="A3190" s="2">
        <v>798</v>
      </c>
      <c r="B3190" s="2">
        <v>5</v>
      </c>
      <c r="C3190" s="2">
        <v>24362662</v>
      </c>
      <c r="D3190" s="2">
        <v>25722097</v>
      </c>
      <c r="E3190" s="2">
        <v>4</v>
      </c>
      <c r="F3190" s="2" t="s">
        <v>10086</v>
      </c>
      <c r="H3190" s="2">
        <v>1.1000000000000001E-3</v>
      </c>
      <c r="K3190" s="2" t="s">
        <v>10088</v>
      </c>
    </row>
    <row r="3191" spans="1:11" x14ac:dyDescent="0.2">
      <c r="A3191" s="2">
        <v>799</v>
      </c>
      <c r="B3191" s="2">
        <v>5</v>
      </c>
      <c r="C3191" s="2">
        <v>25722098</v>
      </c>
      <c r="D3191" s="2">
        <v>26938178</v>
      </c>
      <c r="E3191" s="2">
        <v>1</v>
      </c>
      <c r="F3191" s="2" t="s">
        <v>10086</v>
      </c>
      <c r="H3191" s="2">
        <v>4.8999999999999998E-3</v>
      </c>
      <c r="K3191" s="2" t="s">
        <v>10089</v>
      </c>
    </row>
    <row r="3192" spans="1:11" x14ac:dyDescent="0.2">
      <c r="A3192" s="2">
        <v>799</v>
      </c>
      <c r="B3192" s="2">
        <v>5</v>
      </c>
      <c r="C3192" s="2">
        <v>25722098</v>
      </c>
      <c r="D3192" s="2">
        <v>26938178</v>
      </c>
      <c r="E3192" s="2">
        <v>2</v>
      </c>
      <c r="F3192" s="2" t="s">
        <v>10086</v>
      </c>
      <c r="H3192" s="2">
        <v>3.0000000000000001E-3</v>
      </c>
      <c r="K3192" s="2" t="s">
        <v>10087</v>
      </c>
    </row>
    <row r="3193" spans="1:11" x14ac:dyDescent="0.2">
      <c r="A3193" s="2">
        <v>799</v>
      </c>
      <c r="B3193" s="2">
        <v>5</v>
      </c>
      <c r="C3193" s="2">
        <v>25722098</v>
      </c>
      <c r="D3193" s="2">
        <v>26938178</v>
      </c>
      <c r="E3193" s="2">
        <v>3</v>
      </c>
      <c r="F3193" s="2" t="s">
        <v>10086</v>
      </c>
      <c r="H3193" s="2">
        <v>2.3999999999999998E-3</v>
      </c>
      <c r="K3193" s="2" t="s">
        <v>10085</v>
      </c>
    </row>
    <row r="3194" spans="1:11" x14ac:dyDescent="0.2">
      <c r="A3194" s="2">
        <v>799</v>
      </c>
      <c r="B3194" s="2">
        <v>5</v>
      </c>
      <c r="C3194" s="2">
        <v>25722098</v>
      </c>
      <c r="D3194" s="2">
        <v>26938178</v>
      </c>
      <c r="E3194" s="2">
        <v>4</v>
      </c>
      <c r="F3194" s="2" t="s">
        <v>10086</v>
      </c>
      <c r="H3194" s="3">
        <v>6.9999999999999999E-4</v>
      </c>
      <c r="K3194" s="2" t="s">
        <v>10088</v>
      </c>
    </row>
    <row r="3195" spans="1:11" x14ac:dyDescent="0.2">
      <c r="A3195" s="2">
        <v>800</v>
      </c>
      <c r="B3195" s="2">
        <v>5</v>
      </c>
      <c r="C3195" s="2">
        <v>26938179</v>
      </c>
      <c r="D3195" s="2">
        <v>28315653</v>
      </c>
      <c r="E3195" s="2">
        <v>1</v>
      </c>
      <c r="F3195" s="2" t="s">
        <v>10086</v>
      </c>
      <c r="H3195" s="2">
        <v>2.2000000000000001E-3</v>
      </c>
      <c r="K3195" s="2" t="s">
        <v>10088</v>
      </c>
    </row>
    <row r="3196" spans="1:11" x14ac:dyDescent="0.2">
      <c r="A3196" s="2">
        <v>800</v>
      </c>
      <c r="B3196" s="2">
        <v>5</v>
      </c>
      <c r="C3196" s="2">
        <v>26938179</v>
      </c>
      <c r="D3196" s="2">
        <v>28315653</v>
      </c>
      <c r="E3196" s="2">
        <v>2</v>
      </c>
      <c r="F3196" s="2" t="s">
        <v>10086</v>
      </c>
      <c r="H3196" s="2">
        <v>1.5E-3</v>
      </c>
      <c r="K3196" s="2" t="s">
        <v>10089</v>
      </c>
    </row>
    <row r="3197" spans="1:11" x14ac:dyDescent="0.2">
      <c r="A3197" s="2">
        <v>800</v>
      </c>
      <c r="B3197" s="2">
        <v>5</v>
      </c>
      <c r="C3197" s="2">
        <v>26938179</v>
      </c>
      <c r="D3197" s="2">
        <v>28315653</v>
      </c>
      <c r="E3197" s="2">
        <v>3</v>
      </c>
      <c r="F3197" s="2" t="s">
        <v>10086</v>
      </c>
      <c r="H3197" s="2">
        <v>1.1999999999999999E-3</v>
      </c>
      <c r="K3197" s="2" t="s">
        <v>10085</v>
      </c>
    </row>
    <row r="3198" spans="1:11" x14ac:dyDescent="0.2">
      <c r="A3198" s="2">
        <v>800</v>
      </c>
      <c r="B3198" s="2">
        <v>5</v>
      </c>
      <c r="C3198" s="2">
        <v>26938179</v>
      </c>
      <c r="D3198" s="2">
        <v>28315653</v>
      </c>
      <c r="E3198" s="2">
        <v>4</v>
      </c>
      <c r="F3198" s="2" t="s">
        <v>10086</v>
      </c>
      <c r="H3198" s="3">
        <v>4.0000000000000002E-4</v>
      </c>
      <c r="K3198" s="2" t="s">
        <v>10087</v>
      </c>
    </row>
    <row r="3199" spans="1:11" x14ac:dyDescent="0.2">
      <c r="A3199" s="2">
        <v>801</v>
      </c>
      <c r="B3199" s="2">
        <v>5</v>
      </c>
      <c r="C3199" s="2">
        <v>28315654</v>
      </c>
      <c r="D3199" s="2">
        <v>29593755</v>
      </c>
      <c r="E3199" s="2">
        <v>1</v>
      </c>
      <c r="F3199" s="2" t="s">
        <v>10086</v>
      </c>
      <c r="H3199" s="2">
        <v>2.3E-3</v>
      </c>
      <c r="K3199" s="2" t="s">
        <v>10085</v>
      </c>
    </row>
    <row r="3200" spans="1:11" x14ac:dyDescent="0.2">
      <c r="A3200" s="2">
        <v>801</v>
      </c>
      <c r="B3200" s="2">
        <v>5</v>
      </c>
      <c r="C3200" s="2">
        <v>28315654</v>
      </c>
      <c r="D3200" s="2">
        <v>29593755</v>
      </c>
      <c r="E3200" s="2">
        <v>2</v>
      </c>
      <c r="F3200" s="2" t="s">
        <v>10086</v>
      </c>
      <c r="H3200" s="2">
        <v>1.9E-3</v>
      </c>
      <c r="K3200" s="2" t="s">
        <v>10088</v>
      </c>
    </row>
    <row r="3201" spans="1:11" x14ac:dyDescent="0.2">
      <c r="A3201" s="2">
        <v>801</v>
      </c>
      <c r="B3201" s="2">
        <v>5</v>
      </c>
      <c r="C3201" s="2">
        <v>28315654</v>
      </c>
      <c r="D3201" s="2">
        <v>29593755</v>
      </c>
      <c r="E3201" s="2">
        <v>3</v>
      </c>
      <c r="F3201" s="2" t="s">
        <v>10086</v>
      </c>
      <c r="H3201" s="2">
        <v>1.1000000000000001E-3</v>
      </c>
      <c r="K3201" s="2" t="s">
        <v>10089</v>
      </c>
    </row>
    <row r="3202" spans="1:11" x14ac:dyDescent="0.2">
      <c r="A3202" s="2">
        <v>801</v>
      </c>
      <c r="B3202" s="2">
        <v>5</v>
      </c>
      <c r="C3202" s="2">
        <v>28315654</v>
      </c>
      <c r="D3202" s="2">
        <v>29593755</v>
      </c>
      <c r="E3202" s="2">
        <v>4</v>
      </c>
      <c r="F3202" s="2" t="s">
        <v>10086</v>
      </c>
      <c r="H3202" s="2">
        <v>1E-3</v>
      </c>
      <c r="K3202" s="2" t="s">
        <v>10087</v>
      </c>
    </row>
    <row r="3203" spans="1:11" x14ac:dyDescent="0.2">
      <c r="A3203" s="2">
        <v>802</v>
      </c>
      <c r="B3203" s="2">
        <v>5</v>
      </c>
      <c r="C3203" s="2">
        <v>29593756</v>
      </c>
      <c r="D3203" s="2">
        <v>30416066</v>
      </c>
      <c r="E3203" s="2">
        <v>1</v>
      </c>
      <c r="F3203" s="2" t="s">
        <v>10086</v>
      </c>
      <c r="H3203" s="2">
        <v>1.4E-3</v>
      </c>
      <c r="K3203" s="2" t="s">
        <v>10089</v>
      </c>
    </row>
    <row r="3204" spans="1:11" x14ac:dyDescent="0.2">
      <c r="A3204" s="2">
        <v>802</v>
      </c>
      <c r="B3204" s="2">
        <v>5</v>
      </c>
      <c r="C3204" s="2">
        <v>29593756</v>
      </c>
      <c r="D3204" s="2">
        <v>30416066</v>
      </c>
      <c r="E3204" s="2">
        <v>2</v>
      </c>
      <c r="F3204" s="2" t="s">
        <v>10086</v>
      </c>
      <c r="H3204" s="3">
        <v>8.0000000000000004E-4</v>
      </c>
      <c r="K3204" s="2" t="s">
        <v>10085</v>
      </c>
    </row>
    <row r="3205" spans="1:11" x14ac:dyDescent="0.2">
      <c r="A3205" s="2">
        <v>802</v>
      </c>
      <c r="B3205" s="2">
        <v>5</v>
      </c>
      <c r="C3205" s="2">
        <v>29593756</v>
      </c>
      <c r="D3205" s="2">
        <v>30416066</v>
      </c>
      <c r="E3205" s="2">
        <v>3</v>
      </c>
      <c r="F3205" s="2" t="s">
        <v>10086</v>
      </c>
      <c r="H3205" s="3">
        <v>8.9999999999999998E-4</v>
      </c>
      <c r="K3205" s="2" t="s">
        <v>10087</v>
      </c>
    </row>
    <row r="3206" spans="1:11" x14ac:dyDescent="0.2">
      <c r="A3206" s="2">
        <v>802</v>
      </c>
      <c r="B3206" s="2">
        <v>5</v>
      </c>
      <c r="C3206" s="2">
        <v>29593756</v>
      </c>
      <c r="D3206" s="2">
        <v>30416066</v>
      </c>
      <c r="E3206" s="2">
        <v>4</v>
      </c>
      <c r="F3206" s="2" t="s">
        <v>10086</v>
      </c>
      <c r="H3206" s="3">
        <v>4.0000000000000002E-4</v>
      </c>
      <c r="K3206" s="2" t="s">
        <v>10088</v>
      </c>
    </row>
    <row r="3207" spans="1:11" x14ac:dyDescent="0.2">
      <c r="A3207" s="2">
        <v>803</v>
      </c>
      <c r="B3207" s="2">
        <v>5</v>
      </c>
      <c r="C3207" s="2">
        <v>30416067</v>
      </c>
      <c r="D3207" s="2">
        <v>31679464</v>
      </c>
      <c r="E3207" s="2">
        <v>1</v>
      </c>
      <c r="F3207" s="2" t="s">
        <v>10086</v>
      </c>
      <c r="H3207" s="2">
        <v>1.3100000000000001E-2</v>
      </c>
      <c r="K3207" s="2" t="s">
        <v>10087</v>
      </c>
    </row>
    <row r="3208" spans="1:11" x14ac:dyDescent="0.2">
      <c r="A3208" s="2">
        <v>803</v>
      </c>
      <c r="B3208" s="2">
        <v>5</v>
      </c>
      <c r="C3208" s="2">
        <v>30416067</v>
      </c>
      <c r="D3208" s="2">
        <v>31679464</v>
      </c>
      <c r="E3208" s="2">
        <v>2</v>
      </c>
      <c r="F3208" s="2" t="s">
        <v>10086</v>
      </c>
      <c r="H3208" s="2">
        <v>2.8999999999999998E-3</v>
      </c>
      <c r="K3208" s="2" t="s">
        <v>10089</v>
      </c>
    </row>
    <row r="3209" spans="1:11" x14ac:dyDescent="0.2">
      <c r="A3209" s="2">
        <v>803</v>
      </c>
      <c r="B3209" s="2">
        <v>5</v>
      </c>
      <c r="C3209" s="2">
        <v>30416067</v>
      </c>
      <c r="D3209" s="2">
        <v>31679464</v>
      </c>
      <c r="E3209" s="2">
        <v>3</v>
      </c>
      <c r="F3209" s="2" t="s">
        <v>10086</v>
      </c>
      <c r="H3209" s="2">
        <v>1.2999999999999999E-3</v>
      </c>
      <c r="K3209" s="2" t="s">
        <v>10088</v>
      </c>
    </row>
    <row r="3210" spans="1:11" x14ac:dyDescent="0.2">
      <c r="A3210" s="2">
        <v>803</v>
      </c>
      <c r="B3210" s="2">
        <v>5</v>
      </c>
      <c r="C3210" s="2">
        <v>30416067</v>
      </c>
      <c r="D3210" s="2">
        <v>31679464</v>
      </c>
      <c r="E3210" s="2">
        <v>4</v>
      </c>
      <c r="F3210" s="2" t="s">
        <v>10086</v>
      </c>
      <c r="H3210" s="3">
        <v>8.0000000000000004E-4</v>
      </c>
      <c r="K3210" s="2" t="s">
        <v>10085</v>
      </c>
    </row>
    <row r="3211" spans="1:11" x14ac:dyDescent="0.2">
      <c r="A3211" s="2">
        <v>804</v>
      </c>
      <c r="B3211" s="2">
        <v>5</v>
      </c>
      <c r="C3211" s="2">
        <v>31679465</v>
      </c>
      <c r="D3211" s="2">
        <v>32727914</v>
      </c>
      <c r="E3211" s="2">
        <v>1</v>
      </c>
      <c r="F3211" s="2" t="s">
        <v>10086</v>
      </c>
      <c r="H3211" s="2">
        <v>2.2000000000000001E-3</v>
      </c>
      <c r="K3211" s="2" t="s">
        <v>10087</v>
      </c>
    </row>
    <row r="3212" spans="1:11" x14ac:dyDescent="0.2">
      <c r="A3212" s="2">
        <v>804</v>
      </c>
      <c r="B3212" s="2">
        <v>5</v>
      </c>
      <c r="C3212" s="2">
        <v>31679465</v>
      </c>
      <c r="D3212" s="2">
        <v>32727914</v>
      </c>
      <c r="E3212" s="2">
        <v>2</v>
      </c>
      <c r="F3212" s="2" t="s">
        <v>10086</v>
      </c>
      <c r="H3212" s="2">
        <v>2E-3</v>
      </c>
      <c r="K3212" s="2" t="s">
        <v>12324</v>
      </c>
    </row>
    <row r="3213" spans="1:11" x14ac:dyDescent="0.2">
      <c r="A3213" s="2">
        <v>804</v>
      </c>
      <c r="B3213" s="2">
        <v>5</v>
      </c>
      <c r="C3213" s="2">
        <v>31679465</v>
      </c>
      <c r="D3213" s="2">
        <v>32727914</v>
      </c>
      <c r="E3213" s="2">
        <v>3</v>
      </c>
      <c r="F3213" s="2" t="s">
        <v>10086</v>
      </c>
      <c r="H3213" s="2">
        <v>1.2999999999999999E-3</v>
      </c>
      <c r="K3213" s="2" t="s">
        <v>10085</v>
      </c>
    </row>
    <row r="3214" spans="1:11" x14ac:dyDescent="0.2">
      <c r="A3214" s="2">
        <v>804</v>
      </c>
      <c r="B3214" s="2">
        <v>5</v>
      </c>
      <c r="C3214" s="2">
        <v>31679465</v>
      </c>
      <c r="D3214" s="2">
        <v>32727914</v>
      </c>
      <c r="E3214" s="2">
        <v>4</v>
      </c>
      <c r="F3214" s="2" t="s">
        <v>10086</v>
      </c>
      <c r="H3214" s="2">
        <v>1.1000000000000001E-3</v>
      </c>
      <c r="K3214" s="2" t="s">
        <v>10089</v>
      </c>
    </row>
    <row r="3215" spans="1:11" x14ac:dyDescent="0.2">
      <c r="A3215" s="2">
        <v>805</v>
      </c>
      <c r="B3215" s="2">
        <v>5</v>
      </c>
      <c r="C3215" s="2">
        <v>32727915</v>
      </c>
      <c r="D3215" s="2">
        <v>33971056</v>
      </c>
      <c r="E3215" s="2">
        <v>1</v>
      </c>
      <c r="F3215" s="2" t="s">
        <v>10086</v>
      </c>
      <c r="H3215" s="2">
        <v>1.7600000000000001E-2</v>
      </c>
      <c r="K3215" s="2" t="s">
        <v>10088</v>
      </c>
    </row>
    <row r="3216" spans="1:11" x14ac:dyDescent="0.2">
      <c r="A3216" s="2">
        <v>805</v>
      </c>
      <c r="B3216" s="2">
        <v>5</v>
      </c>
      <c r="C3216" s="2">
        <v>32727915</v>
      </c>
      <c r="D3216" s="2">
        <v>33971056</v>
      </c>
      <c r="E3216" s="2">
        <v>2</v>
      </c>
      <c r="F3216" s="2" t="s">
        <v>10086</v>
      </c>
      <c r="H3216" s="2">
        <v>4.7000000000000002E-3</v>
      </c>
      <c r="K3216" s="2" t="s">
        <v>12324</v>
      </c>
    </row>
    <row r="3217" spans="1:11" x14ac:dyDescent="0.2">
      <c r="A3217" s="2">
        <v>805</v>
      </c>
      <c r="B3217" s="2">
        <v>5</v>
      </c>
      <c r="C3217" s="2">
        <v>32727915</v>
      </c>
      <c r="D3217" s="2">
        <v>33971056</v>
      </c>
      <c r="E3217" s="2">
        <v>3</v>
      </c>
      <c r="F3217" s="2" t="s">
        <v>10086</v>
      </c>
      <c r="H3217" s="2">
        <v>1.8E-3</v>
      </c>
      <c r="K3217" s="2" t="s">
        <v>10087</v>
      </c>
    </row>
    <row r="3218" spans="1:11" x14ac:dyDescent="0.2">
      <c r="A3218" s="2">
        <v>805</v>
      </c>
      <c r="B3218" s="2">
        <v>5</v>
      </c>
      <c r="C3218" s="2">
        <v>32727915</v>
      </c>
      <c r="D3218" s="2">
        <v>33971056</v>
      </c>
      <c r="E3218" s="2">
        <v>4</v>
      </c>
      <c r="F3218" s="2" t="s">
        <v>10086</v>
      </c>
      <c r="H3218" s="2">
        <v>1.2999999999999999E-3</v>
      </c>
      <c r="K3218" s="2" t="s">
        <v>10089</v>
      </c>
    </row>
    <row r="3219" spans="1:11" x14ac:dyDescent="0.2">
      <c r="A3219" s="2">
        <v>806</v>
      </c>
      <c r="B3219" s="2">
        <v>5</v>
      </c>
      <c r="C3219" s="2">
        <v>33971057</v>
      </c>
      <c r="D3219" s="2">
        <v>35157146</v>
      </c>
      <c r="E3219" s="2">
        <v>1</v>
      </c>
      <c r="F3219" s="2" t="s">
        <v>10086</v>
      </c>
      <c r="H3219" s="2">
        <v>1.9E-3</v>
      </c>
      <c r="K3219" s="2" t="s">
        <v>10089</v>
      </c>
    </row>
    <row r="3220" spans="1:11" x14ac:dyDescent="0.2">
      <c r="A3220" s="2">
        <v>806</v>
      </c>
      <c r="B3220" s="2">
        <v>5</v>
      </c>
      <c r="C3220" s="2">
        <v>33971057</v>
      </c>
      <c r="D3220" s="2">
        <v>35157146</v>
      </c>
      <c r="E3220" s="2">
        <v>2</v>
      </c>
      <c r="F3220" s="2" t="s">
        <v>10086</v>
      </c>
      <c r="H3220" s="2">
        <v>1.5E-3</v>
      </c>
      <c r="K3220" s="2" t="s">
        <v>10088</v>
      </c>
    </row>
    <row r="3221" spans="1:11" x14ac:dyDescent="0.2">
      <c r="A3221" s="2">
        <v>806</v>
      </c>
      <c r="B3221" s="2">
        <v>5</v>
      </c>
      <c r="C3221" s="2">
        <v>33971057</v>
      </c>
      <c r="D3221" s="2">
        <v>35157146</v>
      </c>
      <c r="E3221" s="2">
        <v>3</v>
      </c>
      <c r="F3221" s="2" t="s">
        <v>10086</v>
      </c>
      <c r="H3221" s="2">
        <v>1.1000000000000001E-3</v>
      </c>
      <c r="K3221" s="2" t="s">
        <v>10085</v>
      </c>
    </row>
    <row r="3222" spans="1:11" x14ac:dyDescent="0.2">
      <c r="A3222" s="2">
        <v>806</v>
      </c>
      <c r="B3222" s="2">
        <v>5</v>
      </c>
      <c r="C3222" s="2">
        <v>33971057</v>
      </c>
      <c r="D3222" s="2">
        <v>35157146</v>
      </c>
      <c r="E3222" s="2">
        <v>4</v>
      </c>
      <c r="F3222" s="2" t="s">
        <v>10086</v>
      </c>
      <c r="H3222" s="3">
        <v>5.0000000000000001E-4</v>
      </c>
      <c r="K3222" s="2" t="s">
        <v>10087</v>
      </c>
    </row>
    <row r="3223" spans="1:11" x14ac:dyDescent="0.2">
      <c r="A3223" s="2">
        <v>807</v>
      </c>
      <c r="B3223" s="2">
        <v>5</v>
      </c>
      <c r="C3223" s="2">
        <v>35157147</v>
      </c>
      <c r="D3223" s="2">
        <v>36431967</v>
      </c>
      <c r="E3223" s="2">
        <v>1</v>
      </c>
      <c r="F3223" s="2" t="s">
        <v>10086</v>
      </c>
      <c r="H3223" s="2">
        <v>1.8100000000000002E-2</v>
      </c>
      <c r="K3223" s="2" t="s">
        <v>10087</v>
      </c>
    </row>
    <row r="3224" spans="1:11" x14ac:dyDescent="0.2">
      <c r="A3224" s="2">
        <v>807</v>
      </c>
      <c r="B3224" s="2">
        <v>5</v>
      </c>
      <c r="C3224" s="2">
        <v>35157147</v>
      </c>
      <c r="D3224" s="2">
        <v>36431967</v>
      </c>
      <c r="E3224" s="2">
        <v>2</v>
      </c>
      <c r="F3224" s="2" t="s">
        <v>10086</v>
      </c>
      <c r="H3224" s="2">
        <v>1.2999999999999999E-3</v>
      </c>
      <c r="K3224" s="2" t="s">
        <v>10089</v>
      </c>
    </row>
    <row r="3225" spans="1:11" x14ac:dyDescent="0.2">
      <c r="A3225" s="2">
        <v>807</v>
      </c>
      <c r="B3225" s="2">
        <v>5</v>
      </c>
      <c r="C3225" s="2">
        <v>35157147</v>
      </c>
      <c r="D3225" s="2">
        <v>36431967</v>
      </c>
      <c r="E3225" s="2">
        <v>3</v>
      </c>
      <c r="F3225" s="2" t="s">
        <v>10086</v>
      </c>
      <c r="H3225" s="2">
        <v>1.1000000000000001E-3</v>
      </c>
      <c r="K3225" s="2" t="s">
        <v>10088</v>
      </c>
    </row>
    <row r="3226" spans="1:11" x14ac:dyDescent="0.2">
      <c r="A3226" s="2">
        <v>807</v>
      </c>
      <c r="B3226" s="2">
        <v>5</v>
      </c>
      <c r="C3226" s="2">
        <v>35157147</v>
      </c>
      <c r="D3226" s="2">
        <v>36431967</v>
      </c>
      <c r="E3226" s="2">
        <v>4</v>
      </c>
      <c r="F3226" s="2" t="s">
        <v>10086</v>
      </c>
      <c r="H3226" s="3">
        <v>4.0000000000000002E-4</v>
      </c>
      <c r="K3226" s="2" t="s">
        <v>10085</v>
      </c>
    </row>
    <row r="3227" spans="1:11" x14ac:dyDescent="0.2">
      <c r="A3227" s="2">
        <v>808</v>
      </c>
      <c r="B3227" s="2">
        <v>5</v>
      </c>
      <c r="C3227" s="2">
        <v>36431968</v>
      </c>
      <c r="D3227" s="2">
        <v>37925487</v>
      </c>
      <c r="E3227" s="2">
        <v>1</v>
      </c>
      <c r="F3227" s="2" t="s">
        <v>10086</v>
      </c>
      <c r="H3227" s="2">
        <v>1.1000000000000001E-3</v>
      </c>
      <c r="K3227" s="2" t="s">
        <v>10088</v>
      </c>
    </row>
    <row r="3228" spans="1:11" x14ac:dyDescent="0.2">
      <c r="A3228" s="2">
        <v>808</v>
      </c>
      <c r="B3228" s="2">
        <v>5</v>
      </c>
      <c r="C3228" s="2">
        <v>36431968</v>
      </c>
      <c r="D3228" s="2">
        <v>37925487</v>
      </c>
      <c r="E3228" s="2">
        <v>2</v>
      </c>
      <c r="F3228" s="2" t="s">
        <v>10086</v>
      </c>
      <c r="H3228" s="2">
        <v>1E-3</v>
      </c>
      <c r="K3228" s="2" t="s">
        <v>10089</v>
      </c>
    </row>
    <row r="3229" spans="1:11" x14ac:dyDescent="0.2">
      <c r="A3229" s="2">
        <v>808</v>
      </c>
      <c r="B3229" s="2">
        <v>5</v>
      </c>
      <c r="C3229" s="2">
        <v>36431968</v>
      </c>
      <c r="D3229" s="2">
        <v>37925487</v>
      </c>
      <c r="E3229" s="2">
        <v>3</v>
      </c>
      <c r="F3229" s="2" t="s">
        <v>10086</v>
      </c>
      <c r="H3229" s="2">
        <v>1E-3</v>
      </c>
      <c r="K3229" s="2" t="s">
        <v>10085</v>
      </c>
    </row>
    <row r="3230" spans="1:11" x14ac:dyDescent="0.2">
      <c r="A3230" s="2">
        <v>808</v>
      </c>
      <c r="B3230" s="2">
        <v>5</v>
      </c>
      <c r="C3230" s="2">
        <v>36431968</v>
      </c>
      <c r="D3230" s="2">
        <v>37925487</v>
      </c>
      <c r="E3230" s="2">
        <v>4</v>
      </c>
      <c r="F3230" s="2" t="s">
        <v>10086</v>
      </c>
      <c r="H3230" s="3">
        <v>5.0000000000000001E-4</v>
      </c>
      <c r="K3230" s="2" t="s">
        <v>10087</v>
      </c>
    </row>
    <row r="3231" spans="1:11" x14ac:dyDescent="0.2">
      <c r="A3231" s="2">
        <v>809</v>
      </c>
      <c r="B3231" s="2">
        <v>5</v>
      </c>
      <c r="C3231" s="2">
        <v>37925488</v>
      </c>
      <c r="D3231" s="2">
        <v>39438985</v>
      </c>
      <c r="E3231" s="2">
        <v>1</v>
      </c>
      <c r="F3231" s="2" t="s">
        <v>10086</v>
      </c>
      <c r="H3231" s="2">
        <v>3.3999999999999998E-3</v>
      </c>
      <c r="K3231" s="2" t="s">
        <v>10085</v>
      </c>
    </row>
    <row r="3232" spans="1:11" x14ac:dyDescent="0.2">
      <c r="A3232" s="2">
        <v>809</v>
      </c>
      <c r="B3232" s="2">
        <v>5</v>
      </c>
      <c r="C3232" s="2">
        <v>37925488</v>
      </c>
      <c r="D3232" s="2">
        <v>39438985</v>
      </c>
      <c r="E3232" s="2">
        <v>2</v>
      </c>
      <c r="F3232" s="2" t="s">
        <v>10086</v>
      </c>
      <c r="H3232" s="2">
        <v>1.9E-3</v>
      </c>
      <c r="K3232" s="2" t="s">
        <v>10087</v>
      </c>
    </row>
    <row r="3233" spans="1:11" x14ac:dyDescent="0.2">
      <c r="A3233" s="2">
        <v>809</v>
      </c>
      <c r="B3233" s="2">
        <v>5</v>
      </c>
      <c r="C3233" s="2">
        <v>37925488</v>
      </c>
      <c r="D3233" s="2">
        <v>39438985</v>
      </c>
      <c r="E3233" s="2">
        <v>3</v>
      </c>
      <c r="F3233" s="2" t="s">
        <v>10086</v>
      </c>
      <c r="H3233" s="2">
        <v>1.6000000000000001E-3</v>
      </c>
      <c r="K3233" s="2" t="s">
        <v>10088</v>
      </c>
    </row>
    <row r="3234" spans="1:11" x14ac:dyDescent="0.2">
      <c r="A3234" s="2">
        <v>809</v>
      </c>
      <c r="B3234" s="2">
        <v>5</v>
      </c>
      <c r="C3234" s="2">
        <v>37925488</v>
      </c>
      <c r="D3234" s="2">
        <v>39438985</v>
      </c>
      <c r="E3234" s="2">
        <v>4</v>
      </c>
      <c r="F3234" s="2" t="s">
        <v>10086</v>
      </c>
      <c r="H3234" s="3">
        <v>5.9999999999999995E-4</v>
      </c>
      <c r="K3234" s="2" t="s">
        <v>10089</v>
      </c>
    </row>
    <row r="3235" spans="1:11" x14ac:dyDescent="0.2">
      <c r="A3235" s="2">
        <v>810</v>
      </c>
      <c r="B3235" s="2">
        <v>5</v>
      </c>
      <c r="C3235" s="2">
        <v>39438986</v>
      </c>
      <c r="D3235" s="2">
        <v>40290851</v>
      </c>
      <c r="E3235" s="2">
        <v>1</v>
      </c>
      <c r="F3235" s="2" t="s">
        <v>10086</v>
      </c>
      <c r="H3235" s="2">
        <v>1.0200000000000001E-2</v>
      </c>
      <c r="K3235" s="2" t="s">
        <v>10085</v>
      </c>
    </row>
    <row r="3236" spans="1:11" x14ac:dyDescent="0.2">
      <c r="A3236" s="2">
        <v>810</v>
      </c>
      <c r="B3236" s="2">
        <v>5</v>
      </c>
      <c r="C3236" s="2">
        <v>39438986</v>
      </c>
      <c r="D3236" s="2">
        <v>40290851</v>
      </c>
      <c r="E3236" s="2">
        <v>2</v>
      </c>
      <c r="F3236" s="2" t="s">
        <v>10086</v>
      </c>
      <c r="H3236" s="2">
        <v>1.2999999999999999E-3</v>
      </c>
      <c r="K3236" s="2" t="s">
        <v>10088</v>
      </c>
    </row>
    <row r="3237" spans="1:11" x14ac:dyDescent="0.2">
      <c r="A3237" s="2">
        <v>810</v>
      </c>
      <c r="B3237" s="2">
        <v>5</v>
      </c>
      <c r="C3237" s="2">
        <v>39438986</v>
      </c>
      <c r="D3237" s="2">
        <v>40290851</v>
      </c>
      <c r="E3237" s="2">
        <v>3</v>
      </c>
      <c r="F3237" s="2" t="s">
        <v>10086</v>
      </c>
      <c r="H3237" s="3">
        <v>8.9999999999999998E-4</v>
      </c>
      <c r="K3237" s="2" t="s">
        <v>10089</v>
      </c>
    </row>
    <row r="3238" spans="1:11" x14ac:dyDescent="0.2">
      <c r="A3238" s="2">
        <v>810</v>
      </c>
      <c r="B3238" s="2">
        <v>5</v>
      </c>
      <c r="C3238" s="2">
        <v>39438986</v>
      </c>
      <c r="D3238" s="2">
        <v>40290851</v>
      </c>
      <c r="E3238" s="2">
        <v>4</v>
      </c>
      <c r="F3238" s="2" t="s">
        <v>10086</v>
      </c>
      <c r="H3238" s="3">
        <v>5.9999999999999995E-4</v>
      </c>
      <c r="K3238" s="2" t="s">
        <v>10087</v>
      </c>
    </row>
    <row r="3239" spans="1:11" x14ac:dyDescent="0.2">
      <c r="A3239" s="2">
        <v>811</v>
      </c>
      <c r="B3239" s="2">
        <v>5</v>
      </c>
      <c r="C3239" s="2">
        <v>40290852</v>
      </c>
      <c r="D3239" s="2">
        <v>41279590</v>
      </c>
      <c r="E3239" s="2">
        <v>1</v>
      </c>
      <c r="F3239" s="2" t="s">
        <v>10086</v>
      </c>
      <c r="H3239" s="2">
        <v>2.5000000000000001E-3</v>
      </c>
      <c r="K3239" s="2" t="s">
        <v>10087</v>
      </c>
    </row>
    <row r="3240" spans="1:11" x14ac:dyDescent="0.2">
      <c r="A3240" s="2">
        <v>811</v>
      </c>
      <c r="B3240" s="2">
        <v>5</v>
      </c>
      <c r="C3240" s="2">
        <v>40290852</v>
      </c>
      <c r="D3240" s="2">
        <v>41279590</v>
      </c>
      <c r="E3240" s="2">
        <v>2</v>
      </c>
      <c r="F3240" s="2" t="s">
        <v>10086</v>
      </c>
      <c r="H3240" s="2">
        <v>1.1999999999999999E-3</v>
      </c>
      <c r="K3240" s="2" t="s">
        <v>10088</v>
      </c>
    </row>
    <row r="3241" spans="1:11" x14ac:dyDescent="0.2">
      <c r="A3241" s="2">
        <v>811</v>
      </c>
      <c r="B3241" s="2">
        <v>5</v>
      </c>
      <c r="C3241" s="2">
        <v>40290852</v>
      </c>
      <c r="D3241" s="2">
        <v>41279590</v>
      </c>
      <c r="E3241" s="2">
        <v>3</v>
      </c>
      <c r="F3241" s="2" t="s">
        <v>10086</v>
      </c>
      <c r="H3241" s="3">
        <v>6.9999999999999999E-4</v>
      </c>
      <c r="K3241" s="2" t="s">
        <v>12324</v>
      </c>
    </row>
    <row r="3242" spans="1:11" x14ac:dyDescent="0.2">
      <c r="A3242" s="2">
        <v>811</v>
      </c>
      <c r="B3242" s="2">
        <v>5</v>
      </c>
      <c r="C3242" s="2">
        <v>40290852</v>
      </c>
      <c r="D3242" s="2">
        <v>41279590</v>
      </c>
      <c r="E3242" s="2">
        <v>4</v>
      </c>
      <c r="F3242" s="2" t="s">
        <v>10086</v>
      </c>
      <c r="H3242" s="3">
        <v>5.9999999999999995E-4</v>
      </c>
      <c r="K3242" s="2" t="s">
        <v>10089</v>
      </c>
    </row>
    <row r="3243" spans="1:11" x14ac:dyDescent="0.2">
      <c r="A3243" s="2">
        <v>812</v>
      </c>
      <c r="B3243" s="2">
        <v>5</v>
      </c>
      <c r="C3243" s="2">
        <v>41279591</v>
      </c>
      <c r="D3243" s="2">
        <v>42856332</v>
      </c>
      <c r="E3243" s="2">
        <v>1</v>
      </c>
      <c r="F3243" s="2" t="s">
        <v>10086</v>
      </c>
      <c r="H3243" s="2">
        <v>3.3799999999999997E-2</v>
      </c>
      <c r="K3243" s="2" t="s">
        <v>12324</v>
      </c>
    </row>
    <row r="3244" spans="1:11" x14ac:dyDescent="0.2">
      <c r="A3244" s="2">
        <v>812</v>
      </c>
      <c r="B3244" s="2">
        <v>5</v>
      </c>
      <c r="C3244" s="2">
        <v>41279591</v>
      </c>
      <c r="D3244" s="2">
        <v>42856332</v>
      </c>
      <c r="E3244" s="2">
        <v>2</v>
      </c>
      <c r="F3244" s="2" t="s">
        <v>10086</v>
      </c>
      <c r="H3244" s="2">
        <v>1.1000000000000001E-3</v>
      </c>
      <c r="K3244" s="2" t="s">
        <v>10087</v>
      </c>
    </row>
    <row r="3245" spans="1:11" x14ac:dyDescent="0.2">
      <c r="A3245" s="2">
        <v>812</v>
      </c>
      <c r="B3245" s="2">
        <v>5</v>
      </c>
      <c r="C3245" s="2">
        <v>41279591</v>
      </c>
      <c r="D3245" s="2">
        <v>42856332</v>
      </c>
      <c r="E3245" s="2">
        <v>3</v>
      </c>
      <c r="F3245" s="2" t="s">
        <v>10086</v>
      </c>
      <c r="H3245" s="3">
        <v>8.9999999999999998E-4</v>
      </c>
      <c r="K3245" s="2" t="s">
        <v>10085</v>
      </c>
    </row>
    <row r="3246" spans="1:11" x14ac:dyDescent="0.2">
      <c r="A3246" s="2">
        <v>812</v>
      </c>
      <c r="B3246" s="2">
        <v>5</v>
      </c>
      <c r="C3246" s="2">
        <v>41279591</v>
      </c>
      <c r="D3246" s="2">
        <v>42856332</v>
      </c>
      <c r="E3246" s="2">
        <v>4</v>
      </c>
      <c r="F3246" s="2" t="s">
        <v>10086</v>
      </c>
      <c r="H3246" s="3">
        <v>8.9999999999999998E-4</v>
      </c>
      <c r="K3246" s="2" t="s">
        <v>10088</v>
      </c>
    </row>
    <row r="3247" spans="1:11" x14ac:dyDescent="0.2">
      <c r="A3247" s="2">
        <v>813</v>
      </c>
      <c r="B3247" s="2">
        <v>5</v>
      </c>
      <c r="C3247" s="2">
        <v>42856333</v>
      </c>
      <c r="D3247" s="2">
        <v>44049878</v>
      </c>
      <c r="E3247" s="2">
        <v>1</v>
      </c>
      <c r="F3247" s="2" t="s">
        <v>10086</v>
      </c>
      <c r="H3247" s="2">
        <v>1.32E-2</v>
      </c>
      <c r="K3247" s="2" t="s">
        <v>10087</v>
      </c>
    </row>
    <row r="3248" spans="1:11" x14ac:dyDescent="0.2">
      <c r="A3248" s="2">
        <v>813</v>
      </c>
      <c r="B3248" s="2">
        <v>5</v>
      </c>
      <c r="C3248" s="2">
        <v>42856333</v>
      </c>
      <c r="D3248" s="2">
        <v>44049878</v>
      </c>
      <c r="E3248" s="2">
        <v>2</v>
      </c>
      <c r="F3248" s="2" t="s">
        <v>10086</v>
      </c>
      <c r="H3248" s="2">
        <v>4.4000000000000003E-3</v>
      </c>
      <c r="K3248" s="2" t="s">
        <v>10089</v>
      </c>
    </row>
    <row r="3249" spans="1:11" x14ac:dyDescent="0.2">
      <c r="A3249" s="2">
        <v>813</v>
      </c>
      <c r="B3249" s="2">
        <v>5</v>
      </c>
      <c r="C3249" s="2">
        <v>42856333</v>
      </c>
      <c r="D3249" s="2">
        <v>44049878</v>
      </c>
      <c r="E3249" s="2">
        <v>3</v>
      </c>
      <c r="F3249" s="2" t="s">
        <v>10086</v>
      </c>
      <c r="H3249" s="2">
        <v>1.4E-3</v>
      </c>
      <c r="K3249" s="2" t="s">
        <v>10088</v>
      </c>
    </row>
    <row r="3250" spans="1:11" x14ac:dyDescent="0.2">
      <c r="A3250" s="2">
        <v>813</v>
      </c>
      <c r="B3250" s="2">
        <v>5</v>
      </c>
      <c r="C3250" s="2">
        <v>42856333</v>
      </c>
      <c r="D3250" s="2">
        <v>44049878</v>
      </c>
      <c r="E3250" s="2">
        <v>4</v>
      </c>
      <c r="F3250" s="2" t="s">
        <v>10086</v>
      </c>
      <c r="H3250" s="2">
        <v>1.1000000000000001E-3</v>
      </c>
      <c r="K3250" s="2" t="s">
        <v>10085</v>
      </c>
    </row>
    <row r="3251" spans="1:11" x14ac:dyDescent="0.2">
      <c r="A3251" s="2">
        <v>814</v>
      </c>
      <c r="B3251" s="2">
        <v>5</v>
      </c>
      <c r="C3251" s="2">
        <v>44049879</v>
      </c>
      <c r="D3251" s="2">
        <v>45305566</v>
      </c>
      <c r="E3251" s="2">
        <v>1</v>
      </c>
      <c r="F3251" s="2" t="s">
        <v>10086</v>
      </c>
      <c r="H3251" s="2">
        <v>3.7000000000000002E-3</v>
      </c>
      <c r="K3251" s="2" t="s">
        <v>10088</v>
      </c>
    </row>
    <row r="3252" spans="1:11" x14ac:dyDescent="0.2">
      <c r="A3252" s="2">
        <v>814</v>
      </c>
      <c r="B3252" s="2">
        <v>5</v>
      </c>
      <c r="C3252" s="2">
        <v>44049879</v>
      </c>
      <c r="D3252" s="2">
        <v>45305566</v>
      </c>
      <c r="E3252" s="2">
        <v>2</v>
      </c>
      <c r="F3252" s="2" t="s">
        <v>10086</v>
      </c>
      <c r="H3252" s="3">
        <v>5.9999999999999995E-4</v>
      </c>
      <c r="K3252" s="2" t="s">
        <v>10087</v>
      </c>
    </row>
    <row r="3253" spans="1:11" x14ac:dyDescent="0.2">
      <c r="A3253" s="2">
        <v>814</v>
      </c>
      <c r="B3253" s="2">
        <v>5</v>
      </c>
      <c r="C3253" s="2">
        <v>44049879</v>
      </c>
      <c r="D3253" s="2">
        <v>45305566</v>
      </c>
      <c r="E3253" s="2">
        <v>3</v>
      </c>
      <c r="F3253" s="2" t="s">
        <v>10086</v>
      </c>
      <c r="H3253" s="3">
        <v>5.9999999999999995E-4</v>
      </c>
      <c r="K3253" s="2" t="s">
        <v>12324</v>
      </c>
    </row>
    <row r="3254" spans="1:11" x14ac:dyDescent="0.2">
      <c r="A3254" s="2">
        <v>814</v>
      </c>
      <c r="B3254" s="2">
        <v>5</v>
      </c>
      <c r="C3254" s="2">
        <v>44049879</v>
      </c>
      <c r="D3254" s="2">
        <v>45305566</v>
      </c>
      <c r="E3254" s="2">
        <v>4</v>
      </c>
      <c r="F3254" s="2" t="s">
        <v>10086</v>
      </c>
      <c r="H3254" s="3">
        <v>5.0000000000000001E-4</v>
      </c>
      <c r="K3254" s="2" t="s">
        <v>10085</v>
      </c>
    </row>
    <row r="3255" spans="1:11" x14ac:dyDescent="0.2">
      <c r="A3255" s="2">
        <v>815</v>
      </c>
      <c r="B3255" s="2">
        <v>5</v>
      </c>
      <c r="C3255" s="2">
        <v>45305567</v>
      </c>
      <c r="D3255" s="2">
        <v>46388848</v>
      </c>
      <c r="E3255" s="2">
        <v>1</v>
      </c>
      <c r="F3255" s="2" t="s">
        <v>10086</v>
      </c>
      <c r="H3255" s="2">
        <v>1.1999999999999999E-3</v>
      </c>
      <c r="K3255" s="2" t="s">
        <v>12324</v>
      </c>
    </row>
    <row r="3256" spans="1:11" x14ac:dyDescent="0.2">
      <c r="A3256" s="2">
        <v>815</v>
      </c>
      <c r="B3256" s="2">
        <v>5</v>
      </c>
      <c r="C3256" s="2">
        <v>45305567</v>
      </c>
      <c r="D3256" s="2">
        <v>46388848</v>
      </c>
      <c r="E3256" s="2">
        <v>2</v>
      </c>
      <c r="F3256" s="2" t="s">
        <v>10086</v>
      </c>
      <c r="H3256" s="2">
        <v>1E-3</v>
      </c>
      <c r="K3256" s="2" t="s">
        <v>10087</v>
      </c>
    </row>
    <row r="3257" spans="1:11" x14ac:dyDescent="0.2">
      <c r="A3257" s="2">
        <v>815</v>
      </c>
      <c r="B3257" s="2">
        <v>5</v>
      </c>
      <c r="C3257" s="2">
        <v>45305567</v>
      </c>
      <c r="D3257" s="2">
        <v>46388848</v>
      </c>
      <c r="E3257" s="2">
        <v>3</v>
      </c>
      <c r="F3257" s="2" t="s">
        <v>10086</v>
      </c>
      <c r="H3257" s="3">
        <v>5.9999999999999995E-4</v>
      </c>
      <c r="K3257" s="2" t="s">
        <v>10085</v>
      </c>
    </row>
    <row r="3258" spans="1:11" x14ac:dyDescent="0.2">
      <c r="A3258" s="2">
        <v>815</v>
      </c>
      <c r="B3258" s="2">
        <v>5</v>
      </c>
      <c r="C3258" s="2">
        <v>45305567</v>
      </c>
      <c r="D3258" s="2">
        <v>46388848</v>
      </c>
      <c r="E3258" s="2">
        <v>4</v>
      </c>
      <c r="F3258" s="2" t="s">
        <v>10086</v>
      </c>
      <c r="H3258" s="3">
        <v>5.0000000000000001E-4</v>
      </c>
      <c r="K3258" s="2" t="s">
        <v>10088</v>
      </c>
    </row>
    <row r="3259" spans="1:11" x14ac:dyDescent="0.2">
      <c r="A3259" s="2">
        <v>816</v>
      </c>
      <c r="B3259" s="2">
        <v>5</v>
      </c>
      <c r="C3259" s="2">
        <v>46388849</v>
      </c>
      <c r="D3259" s="2">
        <v>50164835</v>
      </c>
      <c r="E3259" s="2">
        <v>1</v>
      </c>
      <c r="F3259" s="2" t="s">
        <v>10086</v>
      </c>
      <c r="H3259" s="2">
        <v>2.0999999999999999E-3</v>
      </c>
      <c r="K3259" s="2" t="s">
        <v>12324</v>
      </c>
    </row>
    <row r="3260" spans="1:11" x14ac:dyDescent="0.2">
      <c r="A3260" s="2">
        <v>816</v>
      </c>
      <c r="B3260" s="2">
        <v>5</v>
      </c>
      <c r="C3260" s="2">
        <v>46388849</v>
      </c>
      <c r="D3260" s="2">
        <v>50164835</v>
      </c>
      <c r="E3260" s="2">
        <v>2</v>
      </c>
      <c r="F3260" s="2" t="s">
        <v>10086</v>
      </c>
      <c r="H3260" s="3">
        <v>6.9999999999999999E-4</v>
      </c>
      <c r="K3260" s="2" t="s">
        <v>10088</v>
      </c>
    </row>
    <row r="3261" spans="1:11" x14ac:dyDescent="0.2">
      <c r="A3261" s="2">
        <v>816</v>
      </c>
      <c r="B3261" s="2">
        <v>5</v>
      </c>
      <c r="C3261" s="2">
        <v>46388849</v>
      </c>
      <c r="D3261" s="2">
        <v>50164835</v>
      </c>
      <c r="E3261" s="2">
        <v>3</v>
      </c>
      <c r="F3261" s="2" t="s">
        <v>10086</v>
      </c>
      <c r="H3261" s="3">
        <v>5.0000000000000001E-4</v>
      </c>
      <c r="K3261" s="2" t="s">
        <v>10085</v>
      </c>
    </row>
    <row r="3262" spans="1:11" x14ac:dyDescent="0.2">
      <c r="A3262" s="2">
        <v>816</v>
      </c>
      <c r="B3262" s="2">
        <v>5</v>
      </c>
      <c r="C3262" s="2">
        <v>46388849</v>
      </c>
      <c r="D3262" s="2">
        <v>50164835</v>
      </c>
      <c r="E3262" s="2">
        <v>4</v>
      </c>
      <c r="F3262" s="2" t="s">
        <v>10086</v>
      </c>
      <c r="H3262" s="3">
        <v>4.0000000000000002E-4</v>
      </c>
      <c r="K3262" s="2" t="s">
        <v>10089</v>
      </c>
    </row>
    <row r="3263" spans="1:11" x14ac:dyDescent="0.2">
      <c r="A3263" s="2">
        <v>817</v>
      </c>
      <c r="B3263" s="2">
        <v>5</v>
      </c>
      <c r="C3263" s="2">
        <v>50164836</v>
      </c>
      <c r="D3263" s="2">
        <v>51203265</v>
      </c>
      <c r="E3263" s="2">
        <v>1</v>
      </c>
      <c r="F3263" s="2" t="s">
        <v>10086</v>
      </c>
      <c r="H3263" s="3">
        <v>6.9999999999999999E-4</v>
      </c>
      <c r="K3263" s="2" t="s">
        <v>10088</v>
      </c>
    </row>
    <row r="3264" spans="1:11" x14ac:dyDescent="0.2">
      <c r="A3264" s="2">
        <v>817</v>
      </c>
      <c r="B3264" s="2">
        <v>5</v>
      </c>
      <c r="C3264" s="2">
        <v>50164836</v>
      </c>
      <c r="D3264" s="2">
        <v>51203265</v>
      </c>
      <c r="E3264" s="2">
        <v>2</v>
      </c>
      <c r="F3264" s="2" t="s">
        <v>10086</v>
      </c>
      <c r="H3264" s="3">
        <v>6.9999999999999999E-4</v>
      </c>
      <c r="K3264" s="2" t="s">
        <v>10085</v>
      </c>
    </row>
    <row r="3265" spans="1:11" x14ac:dyDescent="0.2">
      <c r="A3265" s="2">
        <v>817</v>
      </c>
      <c r="B3265" s="2">
        <v>5</v>
      </c>
      <c r="C3265" s="2">
        <v>50164836</v>
      </c>
      <c r="D3265" s="2">
        <v>51203265</v>
      </c>
      <c r="E3265" s="2">
        <v>3</v>
      </c>
      <c r="F3265" s="2" t="s">
        <v>10086</v>
      </c>
      <c r="H3265" s="3">
        <v>5.9999999999999995E-4</v>
      </c>
      <c r="K3265" s="2" t="s">
        <v>10087</v>
      </c>
    </row>
    <row r="3266" spans="1:11" x14ac:dyDescent="0.2">
      <c r="A3266" s="2">
        <v>817</v>
      </c>
      <c r="B3266" s="2">
        <v>5</v>
      </c>
      <c r="C3266" s="2">
        <v>50164836</v>
      </c>
      <c r="D3266" s="2">
        <v>51203265</v>
      </c>
      <c r="E3266" s="2">
        <v>4</v>
      </c>
      <c r="F3266" s="2" t="s">
        <v>10086</v>
      </c>
      <c r="H3266" s="3">
        <v>4.0000000000000002E-4</v>
      </c>
      <c r="K3266" s="2" t="s">
        <v>12324</v>
      </c>
    </row>
    <row r="3267" spans="1:11" x14ac:dyDescent="0.2">
      <c r="A3267" s="2">
        <v>818</v>
      </c>
      <c r="B3267" s="2">
        <v>5</v>
      </c>
      <c r="C3267" s="2">
        <v>51203266</v>
      </c>
      <c r="D3267" s="2">
        <v>52139773</v>
      </c>
      <c r="E3267" s="2">
        <v>1</v>
      </c>
      <c r="F3267" s="2" t="s">
        <v>10086</v>
      </c>
      <c r="H3267" s="2">
        <v>1.1000000000000001E-3</v>
      </c>
      <c r="K3267" s="2" t="s">
        <v>10087</v>
      </c>
    </row>
    <row r="3268" spans="1:11" x14ac:dyDescent="0.2">
      <c r="A3268" s="2">
        <v>818</v>
      </c>
      <c r="B3268" s="2">
        <v>5</v>
      </c>
      <c r="C3268" s="2">
        <v>51203266</v>
      </c>
      <c r="D3268" s="2">
        <v>52139773</v>
      </c>
      <c r="E3268" s="2">
        <v>2</v>
      </c>
      <c r="F3268" s="2" t="s">
        <v>10086</v>
      </c>
      <c r="H3268" s="2">
        <v>1E-3</v>
      </c>
      <c r="K3268" s="2" t="s">
        <v>10089</v>
      </c>
    </row>
    <row r="3269" spans="1:11" x14ac:dyDescent="0.2">
      <c r="A3269" s="2">
        <v>818</v>
      </c>
      <c r="B3269" s="2">
        <v>5</v>
      </c>
      <c r="C3269" s="2">
        <v>51203266</v>
      </c>
      <c r="D3269" s="2">
        <v>52139773</v>
      </c>
      <c r="E3269" s="2">
        <v>3</v>
      </c>
      <c r="F3269" s="2" t="s">
        <v>10086</v>
      </c>
      <c r="H3269" s="3">
        <v>8.0000000000000004E-4</v>
      </c>
      <c r="K3269" s="2" t="s">
        <v>10088</v>
      </c>
    </row>
    <row r="3270" spans="1:11" x14ac:dyDescent="0.2">
      <c r="A3270" s="2">
        <v>818</v>
      </c>
      <c r="B3270" s="2">
        <v>5</v>
      </c>
      <c r="C3270" s="2">
        <v>51203266</v>
      </c>
      <c r="D3270" s="2">
        <v>52139773</v>
      </c>
      <c r="E3270" s="2">
        <v>4</v>
      </c>
      <c r="F3270" s="2" t="s">
        <v>10086</v>
      </c>
      <c r="H3270" s="3">
        <v>5.0000000000000001E-4</v>
      </c>
      <c r="K3270" s="2" t="s">
        <v>10085</v>
      </c>
    </row>
    <row r="3271" spans="1:11" x14ac:dyDescent="0.2">
      <c r="A3271" s="2">
        <v>819</v>
      </c>
      <c r="B3271" s="2">
        <v>5</v>
      </c>
      <c r="C3271" s="2">
        <v>52139774</v>
      </c>
      <c r="D3271" s="2">
        <v>52837225</v>
      </c>
      <c r="E3271" s="2">
        <v>1</v>
      </c>
      <c r="F3271" s="2" t="s">
        <v>10086</v>
      </c>
      <c r="H3271" s="2">
        <v>2.3999999999999998E-3</v>
      </c>
      <c r="K3271" s="2" t="s">
        <v>10087</v>
      </c>
    </row>
    <row r="3272" spans="1:11" x14ac:dyDescent="0.2">
      <c r="A3272" s="2">
        <v>819</v>
      </c>
      <c r="B3272" s="2">
        <v>5</v>
      </c>
      <c r="C3272" s="2">
        <v>52139774</v>
      </c>
      <c r="D3272" s="2">
        <v>52837225</v>
      </c>
      <c r="E3272" s="2">
        <v>2</v>
      </c>
      <c r="F3272" s="2" t="s">
        <v>10086</v>
      </c>
      <c r="H3272" s="3">
        <v>8.0000000000000004E-4</v>
      </c>
      <c r="K3272" s="2" t="s">
        <v>10085</v>
      </c>
    </row>
    <row r="3273" spans="1:11" x14ac:dyDescent="0.2">
      <c r="A3273" s="2">
        <v>819</v>
      </c>
      <c r="B3273" s="2">
        <v>5</v>
      </c>
      <c r="C3273" s="2">
        <v>52139774</v>
      </c>
      <c r="D3273" s="2">
        <v>52837225</v>
      </c>
      <c r="E3273" s="2">
        <v>3</v>
      </c>
      <c r="F3273" s="2" t="s">
        <v>10086</v>
      </c>
      <c r="H3273" s="3">
        <v>5.9999999999999995E-4</v>
      </c>
      <c r="K3273" s="2" t="s">
        <v>10088</v>
      </c>
    </row>
    <row r="3274" spans="1:11" x14ac:dyDescent="0.2">
      <c r="A3274" s="2">
        <v>819</v>
      </c>
      <c r="B3274" s="2">
        <v>5</v>
      </c>
      <c r="C3274" s="2">
        <v>52139774</v>
      </c>
      <c r="D3274" s="2">
        <v>52837225</v>
      </c>
      <c r="E3274" s="2">
        <v>4</v>
      </c>
      <c r="F3274" s="2" t="s">
        <v>10086</v>
      </c>
      <c r="H3274" s="3">
        <v>2.9999999999999997E-4</v>
      </c>
      <c r="K3274" s="2" t="s">
        <v>10089</v>
      </c>
    </row>
    <row r="3275" spans="1:11" x14ac:dyDescent="0.2">
      <c r="A3275" s="2">
        <v>820</v>
      </c>
      <c r="B3275" s="2">
        <v>5</v>
      </c>
      <c r="C3275" s="2">
        <v>52837226</v>
      </c>
      <c r="D3275" s="2">
        <v>53747856</v>
      </c>
      <c r="E3275" s="2">
        <v>1</v>
      </c>
      <c r="F3275" s="2" t="s">
        <v>10086</v>
      </c>
      <c r="H3275" s="2">
        <v>1.4E-3</v>
      </c>
      <c r="K3275" s="2" t="s">
        <v>10089</v>
      </c>
    </row>
    <row r="3276" spans="1:11" x14ac:dyDescent="0.2">
      <c r="A3276" s="2">
        <v>820</v>
      </c>
      <c r="B3276" s="2">
        <v>5</v>
      </c>
      <c r="C3276" s="2">
        <v>52837226</v>
      </c>
      <c r="D3276" s="2">
        <v>53747856</v>
      </c>
      <c r="E3276" s="2">
        <v>2</v>
      </c>
      <c r="F3276" s="2" t="s">
        <v>10086</v>
      </c>
      <c r="H3276" s="2">
        <v>1E-3</v>
      </c>
      <c r="K3276" s="2" t="s">
        <v>10088</v>
      </c>
    </row>
    <row r="3277" spans="1:11" x14ac:dyDescent="0.2">
      <c r="A3277" s="2">
        <v>820</v>
      </c>
      <c r="B3277" s="2">
        <v>5</v>
      </c>
      <c r="C3277" s="2">
        <v>52837226</v>
      </c>
      <c r="D3277" s="2">
        <v>53747856</v>
      </c>
      <c r="E3277" s="2">
        <v>3</v>
      </c>
      <c r="F3277" s="2" t="s">
        <v>10086</v>
      </c>
      <c r="H3277" s="3">
        <v>8.9999999999999998E-4</v>
      </c>
      <c r="K3277" s="2" t="s">
        <v>10085</v>
      </c>
    </row>
    <row r="3278" spans="1:11" x14ac:dyDescent="0.2">
      <c r="A3278" s="2">
        <v>820</v>
      </c>
      <c r="B3278" s="2">
        <v>5</v>
      </c>
      <c r="C3278" s="2">
        <v>52837226</v>
      </c>
      <c r="D3278" s="2">
        <v>53747856</v>
      </c>
      <c r="E3278" s="2">
        <v>4</v>
      </c>
      <c r="F3278" s="2" t="s">
        <v>10086</v>
      </c>
      <c r="H3278" s="3">
        <v>4.0000000000000002E-4</v>
      </c>
      <c r="K3278" s="2" t="s">
        <v>10087</v>
      </c>
    </row>
    <row r="3279" spans="1:11" x14ac:dyDescent="0.2">
      <c r="A3279" s="2">
        <v>821</v>
      </c>
      <c r="B3279" s="2">
        <v>5</v>
      </c>
      <c r="C3279" s="2">
        <v>53747857</v>
      </c>
      <c r="D3279" s="2">
        <v>55221398</v>
      </c>
      <c r="E3279" s="2">
        <v>1</v>
      </c>
      <c r="F3279" s="2" t="s">
        <v>10086</v>
      </c>
      <c r="H3279" s="2">
        <v>2.3E-3</v>
      </c>
      <c r="K3279" s="2" t="s">
        <v>10088</v>
      </c>
    </row>
    <row r="3280" spans="1:11" x14ac:dyDescent="0.2">
      <c r="A3280" s="2">
        <v>821</v>
      </c>
      <c r="B3280" s="2">
        <v>5</v>
      </c>
      <c r="C3280" s="2">
        <v>53747857</v>
      </c>
      <c r="D3280" s="2">
        <v>55221398</v>
      </c>
      <c r="E3280" s="2">
        <v>2</v>
      </c>
      <c r="F3280" s="2" t="s">
        <v>10086</v>
      </c>
      <c r="H3280" s="2">
        <v>1.4E-3</v>
      </c>
      <c r="K3280" s="2" t="s">
        <v>10087</v>
      </c>
    </row>
    <row r="3281" spans="1:11" x14ac:dyDescent="0.2">
      <c r="A3281" s="2">
        <v>821</v>
      </c>
      <c r="B3281" s="2">
        <v>5</v>
      </c>
      <c r="C3281" s="2">
        <v>53747857</v>
      </c>
      <c r="D3281" s="2">
        <v>55221398</v>
      </c>
      <c r="E3281" s="2">
        <v>3</v>
      </c>
      <c r="F3281" s="2" t="s">
        <v>10086</v>
      </c>
      <c r="H3281" s="2">
        <v>1.1000000000000001E-3</v>
      </c>
      <c r="K3281" s="2" t="s">
        <v>10089</v>
      </c>
    </row>
    <row r="3282" spans="1:11" x14ac:dyDescent="0.2">
      <c r="A3282" s="2">
        <v>821</v>
      </c>
      <c r="B3282" s="2">
        <v>5</v>
      </c>
      <c r="C3282" s="2">
        <v>53747857</v>
      </c>
      <c r="D3282" s="2">
        <v>55221398</v>
      </c>
      <c r="E3282" s="2">
        <v>4</v>
      </c>
      <c r="F3282" s="2" t="s">
        <v>10086</v>
      </c>
      <c r="H3282" s="3">
        <v>8.0000000000000004E-4</v>
      </c>
      <c r="K3282" s="2" t="s">
        <v>10085</v>
      </c>
    </row>
    <row r="3283" spans="1:11" x14ac:dyDescent="0.2">
      <c r="A3283" s="2">
        <v>822</v>
      </c>
      <c r="B3283" s="2">
        <v>5</v>
      </c>
      <c r="C3283" s="2">
        <v>55221399</v>
      </c>
      <c r="D3283" s="2">
        <v>55968966</v>
      </c>
      <c r="E3283" s="2">
        <v>1</v>
      </c>
      <c r="F3283" s="2" t="s">
        <v>10086</v>
      </c>
      <c r="H3283" s="2">
        <v>2.8E-3</v>
      </c>
      <c r="K3283" s="2" t="s">
        <v>10087</v>
      </c>
    </row>
    <row r="3284" spans="1:11" x14ac:dyDescent="0.2">
      <c r="A3284" s="2">
        <v>822</v>
      </c>
      <c r="B3284" s="2">
        <v>5</v>
      </c>
      <c r="C3284" s="2">
        <v>55221399</v>
      </c>
      <c r="D3284" s="2">
        <v>55968966</v>
      </c>
      <c r="E3284" s="2">
        <v>2</v>
      </c>
      <c r="F3284" s="2" t="s">
        <v>10086</v>
      </c>
      <c r="H3284" s="2">
        <v>1.6000000000000001E-3</v>
      </c>
      <c r="K3284" s="2" t="s">
        <v>10085</v>
      </c>
    </row>
    <row r="3285" spans="1:11" x14ac:dyDescent="0.2">
      <c r="A3285" s="2">
        <v>822</v>
      </c>
      <c r="B3285" s="2">
        <v>5</v>
      </c>
      <c r="C3285" s="2">
        <v>55221399</v>
      </c>
      <c r="D3285" s="2">
        <v>55968966</v>
      </c>
      <c r="E3285" s="2">
        <v>3</v>
      </c>
      <c r="F3285" s="2" t="s">
        <v>10086</v>
      </c>
      <c r="H3285" s="2">
        <v>1E-3</v>
      </c>
      <c r="K3285" s="2" t="s">
        <v>10089</v>
      </c>
    </row>
    <row r="3286" spans="1:11" x14ac:dyDescent="0.2">
      <c r="A3286" s="2">
        <v>822</v>
      </c>
      <c r="B3286" s="2">
        <v>5</v>
      </c>
      <c r="C3286" s="2">
        <v>55221399</v>
      </c>
      <c r="D3286" s="2">
        <v>55968966</v>
      </c>
      <c r="E3286" s="2">
        <v>4</v>
      </c>
      <c r="F3286" s="2" t="s">
        <v>10086</v>
      </c>
      <c r="H3286" s="3">
        <v>5.0000000000000001E-4</v>
      </c>
      <c r="K3286" s="2" t="s">
        <v>10088</v>
      </c>
    </row>
    <row r="3287" spans="1:11" x14ac:dyDescent="0.2">
      <c r="A3287" s="2">
        <v>823</v>
      </c>
      <c r="B3287" s="2">
        <v>5</v>
      </c>
      <c r="C3287" s="2">
        <v>55968967</v>
      </c>
      <c r="D3287" s="2">
        <v>56896890</v>
      </c>
      <c r="E3287" s="2">
        <v>1</v>
      </c>
      <c r="F3287" s="2" t="s">
        <v>10086</v>
      </c>
      <c r="H3287" s="2">
        <v>2.8999999999999998E-3</v>
      </c>
      <c r="K3287" s="2" t="s">
        <v>10089</v>
      </c>
    </row>
    <row r="3288" spans="1:11" x14ac:dyDescent="0.2">
      <c r="A3288" s="2">
        <v>823</v>
      </c>
      <c r="B3288" s="2">
        <v>5</v>
      </c>
      <c r="C3288" s="2">
        <v>55968967</v>
      </c>
      <c r="D3288" s="2">
        <v>56896890</v>
      </c>
      <c r="E3288" s="2">
        <v>2</v>
      </c>
      <c r="F3288" s="2" t="s">
        <v>10086</v>
      </c>
      <c r="H3288" s="2">
        <v>1.4E-3</v>
      </c>
      <c r="K3288" s="2" t="s">
        <v>10085</v>
      </c>
    </row>
    <row r="3289" spans="1:11" x14ac:dyDescent="0.2">
      <c r="A3289" s="2">
        <v>823</v>
      </c>
      <c r="B3289" s="2">
        <v>5</v>
      </c>
      <c r="C3289" s="2">
        <v>55968967</v>
      </c>
      <c r="D3289" s="2">
        <v>56896890</v>
      </c>
      <c r="E3289" s="2">
        <v>3</v>
      </c>
      <c r="F3289" s="2" t="s">
        <v>10086</v>
      </c>
      <c r="H3289" s="3">
        <v>6.9999999999999999E-4</v>
      </c>
      <c r="K3289" s="2" t="s">
        <v>10087</v>
      </c>
    </row>
    <row r="3290" spans="1:11" x14ac:dyDescent="0.2">
      <c r="A3290" s="2">
        <v>823</v>
      </c>
      <c r="B3290" s="2">
        <v>5</v>
      </c>
      <c r="C3290" s="2">
        <v>55968967</v>
      </c>
      <c r="D3290" s="2">
        <v>56896890</v>
      </c>
      <c r="E3290" s="2">
        <v>4</v>
      </c>
      <c r="F3290" s="2" t="s">
        <v>10086</v>
      </c>
      <c r="H3290" s="3">
        <v>5.0000000000000001E-4</v>
      </c>
      <c r="K3290" s="2" t="s">
        <v>12324</v>
      </c>
    </row>
    <row r="3291" spans="1:11" x14ac:dyDescent="0.2">
      <c r="A3291" s="2">
        <v>824</v>
      </c>
      <c r="B3291" s="2">
        <v>5</v>
      </c>
      <c r="C3291" s="2">
        <v>56896891</v>
      </c>
      <c r="D3291" s="2">
        <v>57895012</v>
      </c>
      <c r="E3291" s="2">
        <v>1</v>
      </c>
      <c r="F3291" s="2" t="s">
        <v>10086</v>
      </c>
      <c r="H3291" s="2">
        <v>1.1999999999999999E-3</v>
      </c>
      <c r="K3291" s="2" t="s">
        <v>10085</v>
      </c>
    </row>
    <row r="3292" spans="1:11" x14ac:dyDescent="0.2">
      <c r="A3292" s="2">
        <v>824</v>
      </c>
      <c r="B3292" s="2">
        <v>5</v>
      </c>
      <c r="C3292" s="2">
        <v>56896891</v>
      </c>
      <c r="D3292" s="2">
        <v>57895012</v>
      </c>
      <c r="E3292" s="2">
        <v>2</v>
      </c>
      <c r="F3292" s="2" t="s">
        <v>10086</v>
      </c>
      <c r="H3292" s="2">
        <v>1.1999999999999999E-3</v>
      </c>
      <c r="K3292" s="2" t="s">
        <v>10087</v>
      </c>
    </row>
    <row r="3293" spans="1:11" x14ac:dyDescent="0.2">
      <c r="A3293" s="2">
        <v>824</v>
      </c>
      <c r="B3293" s="2">
        <v>5</v>
      </c>
      <c r="C3293" s="2">
        <v>56896891</v>
      </c>
      <c r="D3293" s="2">
        <v>57895012</v>
      </c>
      <c r="E3293" s="2">
        <v>3</v>
      </c>
      <c r="F3293" s="2" t="s">
        <v>10086</v>
      </c>
      <c r="H3293" s="3">
        <v>8.0000000000000004E-4</v>
      </c>
      <c r="K3293" s="2" t="s">
        <v>10089</v>
      </c>
    </row>
    <row r="3294" spans="1:11" x14ac:dyDescent="0.2">
      <c r="A3294" s="2">
        <v>824</v>
      </c>
      <c r="B3294" s="2">
        <v>5</v>
      </c>
      <c r="C3294" s="2">
        <v>56896891</v>
      </c>
      <c r="D3294" s="2">
        <v>57895012</v>
      </c>
      <c r="E3294" s="2">
        <v>4</v>
      </c>
      <c r="F3294" s="2" t="s">
        <v>10086</v>
      </c>
      <c r="H3294" s="3">
        <v>4.0000000000000002E-4</v>
      </c>
      <c r="K3294" s="2" t="s">
        <v>10088</v>
      </c>
    </row>
    <row r="3295" spans="1:11" x14ac:dyDescent="0.2">
      <c r="A3295" s="2">
        <v>825</v>
      </c>
      <c r="B3295" s="2">
        <v>5</v>
      </c>
      <c r="C3295" s="2">
        <v>57895013</v>
      </c>
      <c r="D3295" s="2">
        <v>58721458</v>
      </c>
      <c r="E3295" s="2">
        <v>1</v>
      </c>
      <c r="F3295" s="2" t="s">
        <v>10086</v>
      </c>
      <c r="H3295" s="2">
        <v>2.5000000000000001E-3</v>
      </c>
      <c r="K3295" s="2" t="s">
        <v>10085</v>
      </c>
    </row>
    <row r="3296" spans="1:11" x14ac:dyDescent="0.2">
      <c r="A3296" s="2">
        <v>825</v>
      </c>
      <c r="B3296" s="2">
        <v>5</v>
      </c>
      <c r="C3296" s="2">
        <v>57895013</v>
      </c>
      <c r="D3296" s="2">
        <v>58721458</v>
      </c>
      <c r="E3296" s="2">
        <v>2</v>
      </c>
      <c r="F3296" s="2" t="s">
        <v>10086</v>
      </c>
      <c r="H3296" s="3">
        <v>8.9999999999999998E-4</v>
      </c>
      <c r="K3296" s="2" t="s">
        <v>10089</v>
      </c>
    </row>
    <row r="3297" spans="1:11" x14ac:dyDescent="0.2">
      <c r="A3297" s="2">
        <v>825</v>
      </c>
      <c r="B3297" s="2">
        <v>5</v>
      </c>
      <c r="C3297" s="2">
        <v>57895013</v>
      </c>
      <c r="D3297" s="2">
        <v>58721458</v>
      </c>
      <c r="E3297" s="2">
        <v>3</v>
      </c>
      <c r="F3297" s="2" t="s">
        <v>10086</v>
      </c>
      <c r="H3297" s="3">
        <v>8.9999999999999998E-4</v>
      </c>
      <c r="K3297" s="2" t="s">
        <v>10088</v>
      </c>
    </row>
    <row r="3298" spans="1:11" x14ac:dyDescent="0.2">
      <c r="A3298" s="2">
        <v>825</v>
      </c>
      <c r="B3298" s="2">
        <v>5</v>
      </c>
      <c r="C3298" s="2">
        <v>57895013</v>
      </c>
      <c r="D3298" s="2">
        <v>58721458</v>
      </c>
      <c r="E3298" s="2">
        <v>4</v>
      </c>
      <c r="F3298" s="2" t="s">
        <v>10086</v>
      </c>
      <c r="H3298" s="3">
        <v>5.9999999999999995E-4</v>
      </c>
      <c r="K3298" s="2" t="s">
        <v>12324</v>
      </c>
    </row>
    <row r="3299" spans="1:11" x14ac:dyDescent="0.2">
      <c r="A3299" s="2">
        <v>826</v>
      </c>
      <c r="B3299" s="2">
        <v>5</v>
      </c>
      <c r="C3299" s="2">
        <v>58721459</v>
      </c>
      <c r="D3299" s="2">
        <v>59868567</v>
      </c>
      <c r="E3299" s="2">
        <v>1</v>
      </c>
      <c r="F3299" s="2" t="s">
        <v>10086</v>
      </c>
      <c r="H3299" s="2">
        <v>2.5000000000000001E-3</v>
      </c>
      <c r="K3299" s="2" t="s">
        <v>10085</v>
      </c>
    </row>
    <row r="3300" spans="1:11" x14ac:dyDescent="0.2">
      <c r="A3300" s="2">
        <v>826</v>
      </c>
      <c r="B3300" s="2">
        <v>5</v>
      </c>
      <c r="C3300" s="2">
        <v>58721459</v>
      </c>
      <c r="D3300" s="2">
        <v>59868567</v>
      </c>
      <c r="E3300" s="2">
        <v>2</v>
      </c>
      <c r="F3300" s="2" t="s">
        <v>10086</v>
      </c>
      <c r="H3300" s="3">
        <v>8.0000000000000004E-4</v>
      </c>
      <c r="K3300" s="2" t="s">
        <v>10087</v>
      </c>
    </row>
    <row r="3301" spans="1:11" x14ac:dyDescent="0.2">
      <c r="A3301" s="2">
        <v>826</v>
      </c>
      <c r="B3301" s="2">
        <v>5</v>
      </c>
      <c r="C3301" s="2">
        <v>58721459</v>
      </c>
      <c r="D3301" s="2">
        <v>59868567</v>
      </c>
      <c r="E3301" s="2">
        <v>3</v>
      </c>
      <c r="F3301" s="2" t="s">
        <v>10086</v>
      </c>
      <c r="H3301" s="3">
        <v>8.0000000000000004E-4</v>
      </c>
      <c r="K3301" s="2" t="s">
        <v>10088</v>
      </c>
    </row>
    <row r="3302" spans="1:11" x14ac:dyDescent="0.2">
      <c r="A3302" s="2">
        <v>826</v>
      </c>
      <c r="B3302" s="2">
        <v>5</v>
      </c>
      <c r="C3302" s="2">
        <v>58721459</v>
      </c>
      <c r="D3302" s="2">
        <v>59868567</v>
      </c>
      <c r="E3302" s="2">
        <v>4</v>
      </c>
      <c r="F3302" s="2" t="s">
        <v>10086</v>
      </c>
      <c r="H3302" s="3">
        <v>5.9999999999999995E-4</v>
      </c>
      <c r="K3302" s="2" t="s">
        <v>10089</v>
      </c>
    </row>
    <row r="3303" spans="1:11" x14ac:dyDescent="0.2">
      <c r="A3303" s="2">
        <v>827</v>
      </c>
      <c r="B3303" s="2">
        <v>5</v>
      </c>
      <c r="C3303" s="2">
        <v>59868568</v>
      </c>
      <c r="D3303" s="2">
        <v>60930753</v>
      </c>
      <c r="E3303" s="2">
        <v>1</v>
      </c>
      <c r="F3303" s="2" t="s">
        <v>10086</v>
      </c>
      <c r="H3303" s="2">
        <v>4.4000000000000003E-3</v>
      </c>
      <c r="K3303" s="2" t="s">
        <v>10085</v>
      </c>
    </row>
    <row r="3304" spans="1:11" x14ac:dyDescent="0.2">
      <c r="A3304" s="2">
        <v>827</v>
      </c>
      <c r="B3304" s="2">
        <v>5</v>
      </c>
      <c r="C3304" s="2">
        <v>59868568</v>
      </c>
      <c r="D3304" s="2">
        <v>60930753</v>
      </c>
      <c r="E3304" s="2">
        <v>2</v>
      </c>
      <c r="F3304" s="2" t="s">
        <v>10086</v>
      </c>
      <c r="H3304" s="2">
        <v>3.2000000000000002E-3</v>
      </c>
      <c r="K3304" s="2" t="s">
        <v>12324</v>
      </c>
    </row>
    <row r="3305" spans="1:11" x14ac:dyDescent="0.2">
      <c r="A3305" s="2">
        <v>827</v>
      </c>
      <c r="B3305" s="2">
        <v>5</v>
      </c>
      <c r="C3305" s="2">
        <v>59868568</v>
      </c>
      <c r="D3305" s="2">
        <v>60930753</v>
      </c>
      <c r="E3305" s="2">
        <v>3</v>
      </c>
      <c r="F3305" s="2" t="s">
        <v>10086</v>
      </c>
      <c r="H3305" s="2">
        <v>1.4E-3</v>
      </c>
      <c r="K3305" s="2" t="s">
        <v>10089</v>
      </c>
    </row>
    <row r="3306" spans="1:11" x14ac:dyDescent="0.2">
      <c r="A3306" s="2">
        <v>827</v>
      </c>
      <c r="B3306" s="2">
        <v>5</v>
      </c>
      <c r="C3306" s="2">
        <v>59868568</v>
      </c>
      <c r="D3306" s="2">
        <v>60930753</v>
      </c>
      <c r="E3306" s="2">
        <v>4</v>
      </c>
      <c r="F3306" s="2" t="s">
        <v>10086</v>
      </c>
      <c r="H3306" s="2">
        <v>1.4E-3</v>
      </c>
      <c r="K3306" s="2" t="s">
        <v>10087</v>
      </c>
    </row>
    <row r="3307" spans="1:11" x14ac:dyDescent="0.2">
      <c r="A3307" s="2">
        <v>828</v>
      </c>
      <c r="B3307" s="2">
        <v>5</v>
      </c>
      <c r="C3307" s="2">
        <v>60930754</v>
      </c>
      <c r="D3307" s="2">
        <v>62180368</v>
      </c>
      <c r="E3307" s="2">
        <v>1</v>
      </c>
      <c r="F3307" s="2" t="s">
        <v>10086</v>
      </c>
      <c r="H3307" s="2">
        <v>2.5999999999999999E-3</v>
      </c>
      <c r="K3307" s="2" t="s">
        <v>10085</v>
      </c>
    </row>
    <row r="3308" spans="1:11" x14ac:dyDescent="0.2">
      <c r="A3308" s="2">
        <v>828</v>
      </c>
      <c r="B3308" s="2">
        <v>5</v>
      </c>
      <c r="C3308" s="2">
        <v>60930754</v>
      </c>
      <c r="D3308" s="2">
        <v>62180368</v>
      </c>
      <c r="E3308" s="2">
        <v>2</v>
      </c>
      <c r="F3308" s="2" t="s">
        <v>10086</v>
      </c>
      <c r="H3308" s="2">
        <v>1.1000000000000001E-3</v>
      </c>
      <c r="K3308" s="2" t="s">
        <v>10087</v>
      </c>
    </row>
    <row r="3309" spans="1:11" x14ac:dyDescent="0.2">
      <c r="A3309" s="2">
        <v>828</v>
      </c>
      <c r="B3309" s="2">
        <v>5</v>
      </c>
      <c r="C3309" s="2">
        <v>60930754</v>
      </c>
      <c r="D3309" s="2">
        <v>62180368</v>
      </c>
      <c r="E3309" s="2">
        <v>3</v>
      </c>
      <c r="F3309" s="2" t="s">
        <v>10086</v>
      </c>
      <c r="H3309" s="3">
        <v>8.9999999999999998E-4</v>
      </c>
      <c r="K3309" s="2" t="s">
        <v>10089</v>
      </c>
    </row>
    <row r="3310" spans="1:11" x14ac:dyDescent="0.2">
      <c r="A3310" s="2">
        <v>828</v>
      </c>
      <c r="B3310" s="2">
        <v>5</v>
      </c>
      <c r="C3310" s="2">
        <v>60930754</v>
      </c>
      <c r="D3310" s="2">
        <v>62180368</v>
      </c>
      <c r="E3310" s="2">
        <v>4</v>
      </c>
      <c r="F3310" s="2" t="s">
        <v>10086</v>
      </c>
      <c r="H3310" s="3">
        <v>4.0000000000000002E-4</v>
      </c>
      <c r="K3310" s="2" t="s">
        <v>10088</v>
      </c>
    </row>
    <row r="3311" spans="1:11" x14ac:dyDescent="0.2">
      <c r="A3311" s="2">
        <v>829</v>
      </c>
      <c r="B3311" s="2">
        <v>5</v>
      </c>
      <c r="C3311" s="2">
        <v>62180369</v>
      </c>
      <c r="D3311" s="2">
        <v>63214089</v>
      </c>
      <c r="E3311" s="2">
        <v>1</v>
      </c>
      <c r="F3311" s="2" t="s">
        <v>10086</v>
      </c>
      <c r="H3311" s="2">
        <v>3.2000000000000002E-3</v>
      </c>
      <c r="K3311" s="2" t="s">
        <v>10085</v>
      </c>
    </row>
    <row r="3312" spans="1:11" x14ac:dyDescent="0.2">
      <c r="A3312" s="2">
        <v>829</v>
      </c>
      <c r="B3312" s="2">
        <v>5</v>
      </c>
      <c r="C3312" s="2">
        <v>62180369</v>
      </c>
      <c r="D3312" s="2">
        <v>63214089</v>
      </c>
      <c r="E3312" s="2">
        <v>2</v>
      </c>
      <c r="F3312" s="2" t="s">
        <v>10086</v>
      </c>
      <c r="H3312" s="2">
        <v>1.4E-3</v>
      </c>
      <c r="K3312" s="2" t="s">
        <v>10087</v>
      </c>
    </row>
    <row r="3313" spans="1:11" x14ac:dyDescent="0.2">
      <c r="A3313" s="2">
        <v>829</v>
      </c>
      <c r="B3313" s="2">
        <v>5</v>
      </c>
      <c r="C3313" s="2">
        <v>62180369</v>
      </c>
      <c r="D3313" s="2">
        <v>63214089</v>
      </c>
      <c r="E3313" s="2">
        <v>3</v>
      </c>
      <c r="F3313" s="2" t="s">
        <v>10086</v>
      </c>
      <c r="H3313" s="3">
        <v>8.0000000000000004E-4</v>
      </c>
      <c r="K3313" s="2" t="s">
        <v>10089</v>
      </c>
    </row>
    <row r="3314" spans="1:11" x14ac:dyDescent="0.2">
      <c r="A3314" s="2">
        <v>829</v>
      </c>
      <c r="B3314" s="2">
        <v>5</v>
      </c>
      <c r="C3314" s="2">
        <v>62180369</v>
      </c>
      <c r="D3314" s="2">
        <v>63214089</v>
      </c>
      <c r="E3314" s="2">
        <v>4</v>
      </c>
      <c r="F3314" s="2" t="s">
        <v>10086</v>
      </c>
      <c r="H3314" s="3">
        <v>5.0000000000000001E-4</v>
      </c>
      <c r="K3314" s="2" t="s">
        <v>10088</v>
      </c>
    </row>
    <row r="3315" spans="1:11" x14ac:dyDescent="0.2">
      <c r="A3315" s="2">
        <v>830</v>
      </c>
      <c r="B3315" s="2">
        <v>5</v>
      </c>
      <c r="C3315" s="2">
        <v>63214090</v>
      </c>
      <c r="D3315" s="2">
        <v>64438518</v>
      </c>
      <c r="E3315" s="2">
        <v>1</v>
      </c>
      <c r="F3315" s="2" t="s">
        <v>10086</v>
      </c>
      <c r="H3315" s="2">
        <v>1.6000000000000001E-3</v>
      </c>
      <c r="K3315" s="2" t="s">
        <v>10085</v>
      </c>
    </row>
    <row r="3316" spans="1:11" x14ac:dyDescent="0.2">
      <c r="A3316" s="2">
        <v>830</v>
      </c>
      <c r="B3316" s="2">
        <v>5</v>
      </c>
      <c r="C3316" s="2">
        <v>63214090</v>
      </c>
      <c r="D3316" s="2">
        <v>64438518</v>
      </c>
      <c r="E3316" s="2">
        <v>2</v>
      </c>
      <c r="F3316" s="2" t="s">
        <v>10086</v>
      </c>
      <c r="H3316" s="3">
        <v>8.9999999999999998E-4</v>
      </c>
      <c r="K3316" s="2" t="s">
        <v>10087</v>
      </c>
    </row>
    <row r="3317" spans="1:11" x14ac:dyDescent="0.2">
      <c r="A3317" s="2">
        <v>830</v>
      </c>
      <c r="B3317" s="2">
        <v>5</v>
      </c>
      <c r="C3317" s="2">
        <v>63214090</v>
      </c>
      <c r="D3317" s="2">
        <v>64438518</v>
      </c>
      <c r="E3317" s="2">
        <v>3</v>
      </c>
      <c r="F3317" s="2" t="s">
        <v>10086</v>
      </c>
      <c r="H3317" s="3">
        <v>8.9999999999999998E-4</v>
      </c>
      <c r="K3317" s="2" t="s">
        <v>12324</v>
      </c>
    </row>
    <row r="3318" spans="1:11" x14ac:dyDescent="0.2">
      <c r="A3318" s="2">
        <v>830</v>
      </c>
      <c r="B3318" s="2">
        <v>5</v>
      </c>
      <c r="C3318" s="2">
        <v>63214090</v>
      </c>
      <c r="D3318" s="2">
        <v>64438518</v>
      </c>
      <c r="E3318" s="2">
        <v>4</v>
      </c>
      <c r="F3318" s="2" t="s">
        <v>10086</v>
      </c>
      <c r="H3318" s="3">
        <v>8.0000000000000004E-4</v>
      </c>
      <c r="K3318" s="2" t="s">
        <v>10089</v>
      </c>
    </row>
    <row r="3319" spans="1:11" x14ac:dyDescent="0.2">
      <c r="A3319" s="2">
        <v>831</v>
      </c>
      <c r="B3319" s="2">
        <v>5</v>
      </c>
      <c r="C3319" s="2">
        <v>64438519</v>
      </c>
      <c r="D3319" s="2">
        <v>65606870</v>
      </c>
      <c r="E3319" s="2">
        <v>1</v>
      </c>
      <c r="F3319" s="2" t="s">
        <v>10086</v>
      </c>
      <c r="H3319" s="2">
        <v>2.5000000000000001E-3</v>
      </c>
      <c r="K3319" s="2" t="s">
        <v>10085</v>
      </c>
    </row>
    <row r="3320" spans="1:11" x14ac:dyDescent="0.2">
      <c r="A3320" s="2">
        <v>831</v>
      </c>
      <c r="B3320" s="2">
        <v>5</v>
      </c>
      <c r="C3320" s="2">
        <v>64438519</v>
      </c>
      <c r="D3320" s="2">
        <v>65606870</v>
      </c>
      <c r="E3320" s="2">
        <v>2</v>
      </c>
      <c r="F3320" s="2" t="s">
        <v>10086</v>
      </c>
      <c r="H3320" s="2">
        <v>1.4E-3</v>
      </c>
      <c r="K3320" s="2" t="s">
        <v>12324</v>
      </c>
    </row>
    <row r="3321" spans="1:11" x14ac:dyDescent="0.2">
      <c r="A3321" s="2">
        <v>831</v>
      </c>
      <c r="B3321" s="2">
        <v>5</v>
      </c>
      <c r="C3321" s="2">
        <v>64438519</v>
      </c>
      <c r="D3321" s="2">
        <v>65606870</v>
      </c>
      <c r="E3321" s="2">
        <v>3</v>
      </c>
      <c r="F3321" s="2" t="s">
        <v>10086</v>
      </c>
      <c r="H3321" s="2">
        <v>1.6999999999999999E-3</v>
      </c>
      <c r="K3321" s="2" t="s">
        <v>10087</v>
      </c>
    </row>
    <row r="3322" spans="1:11" x14ac:dyDescent="0.2">
      <c r="A3322" s="2">
        <v>831</v>
      </c>
      <c r="B3322" s="2">
        <v>5</v>
      </c>
      <c r="C3322" s="2">
        <v>64438519</v>
      </c>
      <c r="D3322" s="2">
        <v>65606870</v>
      </c>
      <c r="E3322" s="2">
        <v>4</v>
      </c>
      <c r="F3322" s="2" t="s">
        <v>10086</v>
      </c>
      <c r="H3322" s="2">
        <v>1.1000000000000001E-3</v>
      </c>
      <c r="K3322" s="2" t="s">
        <v>10088</v>
      </c>
    </row>
    <row r="3323" spans="1:11" x14ac:dyDescent="0.2">
      <c r="A3323" s="2">
        <v>832</v>
      </c>
      <c r="B3323" s="2">
        <v>5</v>
      </c>
      <c r="C3323" s="2">
        <v>65606871</v>
      </c>
      <c r="D3323" s="2">
        <v>67096191</v>
      </c>
      <c r="E3323" s="2">
        <v>1</v>
      </c>
      <c r="F3323" s="2" t="s">
        <v>10086</v>
      </c>
      <c r="H3323" s="2">
        <v>5.3E-3</v>
      </c>
      <c r="K3323" s="2" t="s">
        <v>10088</v>
      </c>
    </row>
    <row r="3324" spans="1:11" x14ac:dyDescent="0.2">
      <c r="A3324" s="2">
        <v>832</v>
      </c>
      <c r="B3324" s="2">
        <v>5</v>
      </c>
      <c r="C3324" s="2">
        <v>65606871</v>
      </c>
      <c r="D3324" s="2">
        <v>67096191</v>
      </c>
      <c r="E3324" s="2">
        <v>2</v>
      </c>
      <c r="F3324" s="2" t="s">
        <v>10086</v>
      </c>
      <c r="H3324" s="2">
        <v>3.8999999999999998E-3</v>
      </c>
      <c r="K3324" s="2" t="s">
        <v>10085</v>
      </c>
    </row>
    <row r="3325" spans="1:11" x14ac:dyDescent="0.2">
      <c r="A3325" s="2">
        <v>832</v>
      </c>
      <c r="B3325" s="2">
        <v>5</v>
      </c>
      <c r="C3325" s="2">
        <v>65606871</v>
      </c>
      <c r="D3325" s="2">
        <v>67096191</v>
      </c>
      <c r="E3325" s="2">
        <v>3</v>
      </c>
      <c r="F3325" s="2" t="s">
        <v>10086</v>
      </c>
      <c r="H3325" s="2">
        <v>1.2999999999999999E-3</v>
      </c>
      <c r="K3325" s="2" t="s">
        <v>10087</v>
      </c>
    </row>
    <row r="3326" spans="1:11" x14ac:dyDescent="0.2">
      <c r="A3326" s="2">
        <v>832</v>
      </c>
      <c r="B3326" s="2">
        <v>5</v>
      </c>
      <c r="C3326" s="2">
        <v>65606871</v>
      </c>
      <c r="D3326" s="2">
        <v>67096191</v>
      </c>
      <c r="E3326" s="2">
        <v>4</v>
      </c>
      <c r="F3326" s="2" t="s">
        <v>10086</v>
      </c>
      <c r="H3326" s="3">
        <v>5.0000000000000001E-4</v>
      </c>
      <c r="K3326" s="2" t="s">
        <v>10089</v>
      </c>
    </row>
    <row r="3327" spans="1:11" x14ac:dyDescent="0.2">
      <c r="A3327" s="2">
        <v>833</v>
      </c>
      <c r="B3327" s="2">
        <v>5</v>
      </c>
      <c r="C3327" s="2">
        <v>67096192</v>
      </c>
      <c r="D3327" s="2">
        <v>68006993</v>
      </c>
      <c r="E3327" s="2">
        <v>1</v>
      </c>
      <c r="F3327" s="2" t="s">
        <v>10086</v>
      </c>
      <c r="H3327" s="2">
        <v>3.5000000000000001E-3</v>
      </c>
      <c r="K3327" s="2" t="s">
        <v>10088</v>
      </c>
    </row>
    <row r="3328" spans="1:11" x14ac:dyDescent="0.2">
      <c r="A3328" s="2">
        <v>833</v>
      </c>
      <c r="B3328" s="2">
        <v>5</v>
      </c>
      <c r="C3328" s="2">
        <v>67096192</v>
      </c>
      <c r="D3328" s="2">
        <v>68006993</v>
      </c>
      <c r="E3328" s="2">
        <v>2</v>
      </c>
      <c r="F3328" s="2" t="s">
        <v>10086</v>
      </c>
      <c r="H3328" s="2">
        <v>1.5E-3</v>
      </c>
      <c r="K3328" s="2" t="s">
        <v>10087</v>
      </c>
    </row>
    <row r="3329" spans="1:11" x14ac:dyDescent="0.2">
      <c r="A3329" s="2">
        <v>833</v>
      </c>
      <c r="B3329" s="2">
        <v>5</v>
      </c>
      <c r="C3329" s="2">
        <v>67096192</v>
      </c>
      <c r="D3329" s="2">
        <v>68006993</v>
      </c>
      <c r="E3329" s="2">
        <v>3</v>
      </c>
      <c r="F3329" s="2" t="s">
        <v>10086</v>
      </c>
      <c r="H3329" s="3">
        <v>8.9999999999999998E-4</v>
      </c>
      <c r="K3329" s="2" t="s">
        <v>10085</v>
      </c>
    </row>
    <row r="3330" spans="1:11" x14ac:dyDescent="0.2">
      <c r="A3330" s="2">
        <v>833</v>
      </c>
      <c r="B3330" s="2">
        <v>5</v>
      </c>
      <c r="C3330" s="2">
        <v>67096192</v>
      </c>
      <c r="D3330" s="2">
        <v>68006993</v>
      </c>
      <c r="E3330" s="2">
        <v>4</v>
      </c>
      <c r="F3330" s="2" t="s">
        <v>10086</v>
      </c>
      <c r="H3330" s="3">
        <v>4.0000000000000002E-4</v>
      </c>
      <c r="K3330" s="2" t="s">
        <v>10089</v>
      </c>
    </row>
    <row r="3331" spans="1:11" x14ac:dyDescent="0.2">
      <c r="A3331" s="2">
        <v>834</v>
      </c>
      <c r="B3331" s="2">
        <v>5</v>
      </c>
      <c r="C3331" s="2">
        <v>68006994</v>
      </c>
      <c r="D3331" s="2">
        <v>71468651</v>
      </c>
      <c r="E3331" s="2">
        <v>1</v>
      </c>
      <c r="F3331" s="2" t="s">
        <v>10086</v>
      </c>
      <c r="H3331" s="2">
        <v>3.2000000000000002E-3</v>
      </c>
      <c r="K3331" s="2" t="s">
        <v>10085</v>
      </c>
    </row>
    <row r="3332" spans="1:11" x14ac:dyDescent="0.2">
      <c r="A3332" s="2">
        <v>834</v>
      </c>
      <c r="B3332" s="2">
        <v>5</v>
      </c>
      <c r="C3332" s="2">
        <v>68006994</v>
      </c>
      <c r="D3332" s="2">
        <v>71468651</v>
      </c>
      <c r="E3332" s="2">
        <v>2</v>
      </c>
      <c r="F3332" s="2" t="s">
        <v>10086</v>
      </c>
      <c r="H3332" s="2">
        <v>1.8E-3</v>
      </c>
      <c r="K3332" s="2" t="s">
        <v>10087</v>
      </c>
    </row>
    <row r="3333" spans="1:11" x14ac:dyDescent="0.2">
      <c r="A3333" s="2">
        <v>834</v>
      </c>
      <c r="B3333" s="2">
        <v>5</v>
      </c>
      <c r="C3333" s="2">
        <v>68006994</v>
      </c>
      <c r="D3333" s="2">
        <v>71468651</v>
      </c>
      <c r="E3333" s="2">
        <v>3</v>
      </c>
      <c r="F3333" s="2" t="s">
        <v>10086</v>
      </c>
      <c r="H3333" s="2">
        <v>1.5E-3</v>
      </c>
      <c r="K3333" s="2" t="s">
        <v>10089</v>
      </c>
    </row>
    <row r="3334" spans="1:11" x14ac:dyDescent="0.2">
      <c r="A3334" s="2">
        <v>834</v>
      </c>
      <c r="B3334" s="2">
        <v>5</v>
      </c>
      <c r="C3334" s="2">
        <v>68006994</v>
      </c>
      <c r="D3334" s="2">
        <v>71468651</v>
      </c>
      <c r="E3334" s="2">
        <v>4</v>
      </c>
      <c r="F3334" s="2" t="s">
        <v>10086</v>
      </c>
      <c r="H3334" s="3">
        <v>4.0000000000000002E-4</v>
      </c>
      <c r="K3334" s="2" t="s">
        <v>10088</v>
      </c>
    </row>
    <row r="3335" spans="1:11" x14ac:dyDescent="0.2">
      <c r="A3335" s="2">
        <v>835</v>
      </c>
      <c r="B3335" s="2">
        <v>5</v>
      </c>
      <c r="C3335" s="2">
        <v>71468652</v>
      </c>
      <c r="D3335" s="2">
        <v>73314061</v>
      </c>
      <c r="E3335" s="2">
        <v>1</v>
      </c>
      <c r="F3335" s="2" t="s">
        <v>10086</v>
      </c>
      <c r="H3335" s="2">
        <v>4.0000000000000001E-3</v>
      </c>
      <c r="K3335" s="2" t="s">
        <v>12324</v>
      </c>
    </row>
    <row r="3336" spans="1:11" x14ac:dyDescent="0.2">
      <c r="A3336" s="2">
        <v>835</v>
      </c>
      <c r="B3336" s="2">
        <v>5</v>
      </c>
      <c r="C3336" s="2">
        <v>71468652</v>
      </c>
      <c r="D3336" s="2">
        <v>73314061</v>
      </c>
      <c r="E3336" s="2">
        <v>2</v>
      </c>
      <c r="F3336" s="2" t="s">
        <v>10086</v>
      </c>
      <c r="H3336" s="2">
        <v>1.1999999999999999E-3</v>
      </c>
      <c r="K3336" s="2" t="s">
        <v>10088</v>
      </c>
    </row>
    <row r="3337" spans="1:11" x14ac:dyDescent="0.2">
      <c r="A3337" s="2">
        <v>835</v>
      </c>
      <c r="B3337" s="2">
        <v>5</v>
      </c>
      <c r="C3337" s="2">
        <v>71468652</v>
      </c>
      <c r="D3337" s="2">
        <v>73314061</v>
      </c>
      <c r="E3337" s="2">
        <v>3</v>
      </c>
      <c r="F3337" s="2" t="s">
        <v>10086</v>
      </c>
      <c r="H3337" s="2">
        <v>1.1999999999999999E-3</v>
      </c>
      <c r="K3337" s="2" t="s">
        <v>10089</v>
      </c>
    </row>
    <row r="3338" spans="1:11" x14ac:dyDescent="0.2">
      <c r="A3338" s="2">
        <v>835</v>
      </c>
      <c r="B3338" s="2">
        <v>5</v>
      </c>
      <c r="C3338" s="2">
        <v>71468652</v>
      </c>
      <c r="D3338" s="2">
        <v>73314061</v>
      </c>
      <c r="E3338" s="2">
        <v>4</v>
      </c>
      <c r="F3338" s="2" t="s">
        <v>10086</v>
      </c>
      <c r="H3338" s="2">
        <v>1.1999999999999999E-3</v>
      </c>
      <c r="K3338" s="2" t="s">
        <v>10087</v>
      </c>
    </row>
    <row r="3339" spans="1:11" x14ac:dyDescent="0.2">
      <c r="A3339" s="2">
        <v>836</v>
      </c>
      <c r="B3339" s="2">
        <v>5</v>
      </c>
      <c r="C3339" s="2">
        <v>73314062</v>
      </c>
      <c r="D3339" s="2">
        <v>74245354</v>
      </c>
      <c r="E3339" s="2">
        <v>1</v>
      </c>
      <c r="F3339" s="2" t="s">
        <v>10086</v>
      </c>
      <c r="H3339" s="2">
        <v>1.6999999999999999E-3</v>
      </c>
      <c r="K3339" s="2" t="s">
        <v>10085</v>
      </c>
    </row>
    <row r="3340" spans="1:11" x14ac:dyDescent="0.2">
      <c r="A3340" s="2">
        <v>836</v>
      </c>
      <c r="B3340" s="2">
        <v>5</v>
      </c>
      <c r="C3340" s="2">
        <v>73314062</v>
      </c>
      <c r="D3340" s="2">
        <v>74245354</v>
      </c>
      <c r="E3340" s="2">
        <v>2</v>
      </c>
      <c r="F3340" s="2" t="s">
        <v>10086</v>
      </c>
      <c r="H3340" s="2">
        <v>1.8E-3</v>
      </c>
      <c r="K3340" s="2" t="s">
        <v>10087</v>
      </c>
    </row>
    <row r="3341" spans="1:11" x14ac:dyDescent="0.2">
      <c r="A3341" s="2">
        <v>836</v>
      </c>
      <c r="B3341" s="2">
        <v>5</v>
      </c>
      <c r="C3341" s="2">
        <v>73314062</v>
      </c>
      <c r="D3341" s="2">
        <v>74245354</v>
      </c>
      <c r="E3341" s="2">
        <v>3</v>
      </c>
      <c r="F3341" s="2" t="s">
        <v>10086</v>
      </c>
      <c r="H3341" s="3">
        <v>6.9999999999999999E-4</v>
      </c>
      <c r="K3341" s="2" t="s">
        <v>10089</v>
      </c>
    </row>
    <row r="3342" spans="1:11" x14ac:dyDescent="0.2">
      <c r="A3342" s="2">
        <v>836</v>
      </c>
      <c r="B3342" s="2">
        <v>5</v>
      </c>
      <c r="C3342" s="2">
        <v>73314062</v>
      </c>
      <c r="D3342" s="2">
        <v>74245354</v>
      </c>
      <c r="E3342" s="2">
        <v>4</v>
      </c>
      <c r="F3342" s="2" t="s">
        <v>10086</v>
      </c>
      <c r="H3342" s="3">
        <v>2.9999999999999997E-4</v>
      </c>
      <c r="K3342" s="2" t="s">
        <v>10088</v>
      </c>
    </row>
    <row r="3343" spans="1:11" x14ac:dyDescent="0.2">
      <c r="A3343" s="2">
        <v>837</v>
      </c>
      <c r="B3343" s="2">
        <v>5</v>
      </c>
      <c r="C3343" s="2">
        <v>74245355</v>
      </c>
      <c r="D3343" s="2">
        <v>75239302</v>
      </c>
      <c r="E3343" s="2">
        <v>1</v>
      </c>
      <c r="F3343" s="2" t="s">
        <v>10086</v>
      </c>
      <c r="H3343" s="2">
        <v>1.14E-2</v>
      </c>
      <c r="K3343" s="2" t="s">
        <v>10087</v>
      </c>
    </row>
    <row r="3344" spans="1:11" x14ac:dyDescent="0.2">
      <c r="A3344" s="2">
        <v>837</v>
      </c>
      <c r="B3344" s="2">
        <v>5</v>
      </c>
      <c r="C3344" s="2">
        <v>74245355</v>
      </c>
      <c r="D3344" s="2">
        <v>75239302</v>
      </c>
      <c r="E3344" s="2">
        <v>2</v>
      </c>
      <c r="F3344" s="2" t="s">
        <v>10086</v>
      </c>
      <c r="H3344" s="2">
        <v>1.2999999999999999E-3</v>
      </c>
      <c r="K3344" s="2" t="s">
        <v>10088</v>
      </c>
    </row>
    <row r="3345" spans="1:11" x14ac:dyDescent="0.2">
      <c r="A3345" s="2">
        <v>837</v>
      </c>
      <c r="B3345" s="2">
        <v>5</v>
      </c>
      <c r="C3345" s="2">
        <v>74245355</v>
      </c>
      <c r="D3345" s="2">
        <v>75239302</v>
      </c>
      <c r="E3345" s="2">
        <v>3</v>
      </c>
      <c r="F3345" s="2" t="s">
        <v>10086</v>
      </c>
      <c r="H3345" s="3">
        <v>6.9999999999999999E-4</v>
      </c>
      <c r="K3345" s="2" t="s">
        <v>10085</v>
      </c>
    </row>
    <row r="3346" spans="1:11" x14ac:dyDescent="0.2">
      <c r="A3346" s="2">
        <v>837</v>
      </c>
      <c r="B3346" s="2">
        <v>5</v>
      </c>
      <c r="C3346" s="2">
        <v>74245355</v>
      </c>
      <c r="D3346" s="2">
        <v>75239302</v>
      </c>
      <c r="E3346" s="2">
        <v>4</v>
      </c>
      <c r="F3346" s="2" t="s">
        <v>10086</v>
      </c>
      <c r="H3346" s="3">
        <v>5.0000000000000001E-4</v>
      </c>
      <c r="K3346" s="2" t="s">
        <v>12324</v>
      </c>
    </row>
    <row r="3347" spans="1:11" x14ac:dyDescent="0.2">
      <c r="A3347" s="2">
        <v>838</v>
      </c>
      <c r="B3347" s="2">
        <v>5</v>
      </c>
      <c r="C3347" s="2">
        <v>75239303</v>
      </c>
      <c r="D3347" s="2">
        <v>75959515</v>
      </c>
      <c r="E3347" s="2">
        <v>1</v>
      </c>
      <c r="F3347" s="2" t="s">
        <v>10086</v>
      </c>
      <c r="H3347" s="2">
        <v>3.3E-3</v>
      </c>
      <c r="K3347" s="2" t="s">
        <v>10088</v>
      </c>
    </row>
    <row r="3348" spans="1:11" x14ac:dyDescent="0.2">
      <c r="A3348" s="2">
        <v>838</v>
      </c>
      <c r="B3348" s="2">
        <v>5</v>
      </c>
      <c r="C3348" s="2">
        <v>75239303</v>
      </c>
      <c r="D3348" s="2">
        <v>75959515</v>
      </c>
      <c r="E3348" s="2">
        <v>2</v>
      </c>
      <c r="F3348" s="2" t="s">
        <v>10086</v>
      </c>
      <c r="H3348" s="2">
        <v>1.1000000000000001E-3</v>
      </c>
      <c r="K3348" s="2" t="s">
        <v>10089</v>
      </c>
    </row>
    <row r="3349" spans="1:11" x14ac:dyDescent="0.2">
      <c r="A3349" s="2">
        <v>838</v>
      </c>
      <c r="B3349" s="2">
        <v>5</v>
      </c>
      <c r="C3349" s="2">
        <v>75239303</v>
      </c>
      <c r="D3349" s="2">
        <v>75959515</v>
      </c>
      <c r="E3349" s="2">
        <v>3</v>
      </c>
      <c r="F3349" s="2" t="s">
        <v>10086</v>
      </c>
      <c r="H3349" s="3">
        <v>8.9999999999999998E-4</v>
      </c>
      <c r="K3349" s="2" t="s">
        <v>10087</v>
      </c>
    </row>
    <row r="3350" spans="1:11" x14ac:dyDescent="0.2">
      <c r="A3350" s="2">
        <v>838</v>
      </c>
      <c r="B3350" s="2">
        <v>5</v>
      </c>
      <c r="C3350" s="2">
        <v>75239303</v>
      </c>
      <c r="D3350" s="2">
        <v>75959515</v>
      </c>
      <c r="E3350" s="2">
        <v>4</v>
      </c>
      <c r="F3350" s="2" t="s">
        <v>10086</v>
      </c>
      <c r="H3350" s="3">
        <v>5.9999999999999995E-4</v>
      </c>
      <c r="K3350" s="2" t="s">
        <v>12324</v>
      </c>
    </row>
    <row r="3351" spans="1:11" x14ac:dyDescent="0.2">
      <c r="A3351" s="2">
        <v>839</v>
      </c>
      <c r="B3351" s="2">
        <v>5</v>
      </c>
      <c r="C3351" s="2">
        <v>75959516</v>
      </c>
      <c r="D3351" s="2">
        <v>77290255</v>
      </c>
      <c r="E3351" s="2">
        <v>1</v>
      </c>
      <c r="F3351" s="2" t="s">
        <v>10086</v>
      </c>
      <c r="H3351" s="2">
        <v>1.3599999999999999E-2</v>
      </c>
      <c r="K3351" s="2" t="s">
        <v>12324</v>
      </c>
    </row>
    <row r="3352" spans="1:11" x14ac:dyDescent="0.2">
      <c r="A3352" s="2">
        <v>839</v>
      </c>
      <c r="B3352" s="2">
        <v>5</v>
      </c>
      <c r="C3352" s="2">
        <v>75959516</v>
      </c>
      <c r="D3352" s="2">
        <v>77290255</v>
      </c>
      <c r="E3352" s="2">
        <v>2</v>
      </c>
      <c r="F3352" s="2" t="s">
        <v>10086</v>
      </c>
      <c r="H3352" s="2">
        <v>2.3E-3</v>
      </c>
      <c r="K3352" s="2" t="s">
        <v>10089</v>
      </c>
    </row>
    <row r="3353" spans="1:11" x14ac:dyDescent="0.2">
      <c r="A3353" s="2">
        <v>839</v>
      </c>
      <c r="B3353" s="2">
        <v>5</v>
      </c>
      <c r="C3353" s="2">
        <v>75959516</v>
      </c>
      <c r="D3353" s="2">
        <v>77290255</v>
      </c>
      <c r="E3353" s="2">
        <v>3</v>
      </c>
      <c r="F3353" s="2" t="s">
        <v>10086</v>
      </c>
      <c r="H3353" s="2">
        <v>2E-3</v>
      </c>
      <c r="K3353" s="2" t="s">
        <v>10087</v>
      </c>
    </row>
    <row r="3354" spans="1:11" x14ac:dyDescent="0.2">
      <c r="A3354" s="2">
        <v>839</v>
      </c>
      <c r="B3354" s="2">
        <v>5</v>
      </c>
      <c r="C3354" s="2">
        <v>75959516</v>
      </c>
      <c r="D3354" s="2">
        <v>77290255</v>
      </c>
      <c r="E3354" s="2">
        <v>4</v>
      </c>
      <c r="F3354" s="2" t="s">
        <v>10086</v>
      </c>
      <c r="H3354" s="2">
        <v>1.1000000000000001E-3</v>
      </c>
      <c r="K3354" s="2" t="s">
        <v>10088</v>
      </c>
    </row>
    <row r="3355" spans="1:11" x14ac:dyDescent="0.2">
      <c r="A3355" s="2">
        <v>840</v>
      </c>
      <c r="B3355" s="2">
        <v>5</v>
      </c>
      <c r="C3355" s="2">
        <v>77290256</v>
      </c>
      <c r="D3355" s="2">
        <v>79005158</v>
      </c>
      <c r="E3355" s="2">
        <v>1</v>
      </c>
      <c r="F3355" s="2" t="s">
        <v>10086</v>
      </c>
      <c r="H3355" s="2">
        <v>1.6999999999999999E-3</v>
      </c>
      <c r="K3355" s="2" t="s">
        <v>10088</v>
      </c>
    </row>
    <row r="3356" spans="1:11" x14ac:dyDescent="0.2">
      <c r="A3356" s="2">
        <v>840</v>
      </c>
      <c r="B3356" s="2">
        <v>5</v>
      </c>
      <c r="C3356" s="2">
        <v>77290256</v>
      </c>
      <c r="D3356" s="2">
        <v>79005158</v>
      </c>
      <c r="E3356" s="2">
        <v>2</v>
      </c>
      <c r="F3356" s="2" t="s">
        <v>10086</v>
      </c>
      <c r="H3356" s="2">
        <v>6.7000000000000002E-3</v>
      </c>
      <c r="K3356" s="2" t="s">
        <v>12324</v>
      </c>
    </row>
    <row r="3357" spans="1:11" x14ac:dyDescent="0.2">
      <c r="A3357" s="2">
        <v>840</v>
      </c>
      <c r="B3357" s="2">
        <v>5</v>
      </c>
      <c r="C3357" s="2">
        <v>77290256</v>
      </c>
      <c r="D3357" s="2">
        <v>79005158</v>
      </c>
      <c r="E3357" s="2">
        <v>3</v>
      </c>
      <c r="F3357" s="2" t="s">
        <v>10086</v>
      </c>
      <c r="H3357" s="2">
        <v>1.6000000000000001E-3</v>
      </c>
      <c r="K3357" s="2" t="s">
        <v>10089</v>
      </c>
    </row>
    <row r="3358" spans="1:11" x14ac:dyDescent="0.2">
      <c r="A3358" s="2">
        <v>840</v>
      </c>
      <c r="B3358" s="2">
        <v>5</v>
      </c>
      <c r="C3358" s="2">
        <v>77290256</v>
      </c>
      <c r="D3358" s="2">
        <v>79005158</v>
      </c>
      <c r="E3358" s="2">
        <v>4</v>
      </c>
      <c r="F3358" s="2" t="s">
        <v>10086</v>
      </c>
      <c r="H3358" s="2">
        <v>1.4E-3</v>
      </c>
      <c r="K3358" s="2" t="s">
        <v>10087</v>
      </c>
    </row>
    <row r="3359" spans="1:11" x14ac:dyDescent="0.2">
      <c r="A3359" s="2">
        <v>841</v>
      </c>
      <c r="B3359" s="2">
        <v>5</v>
      </c>
      <c r="C3359" s="2">
        <v>79005159</v>
      </c>
      <c r="D3359" s="2">
        <v>80448225</v>
      </c>
      <c r="E3359" s="2">
        <v>1</v>
      </c>
      <c r="F3359" s="2" t="s">
        <v>10086</v>
      </c>
      <c r="H3359" s="2">
        <v>2.5000000000000001E-3</v>
      </c>
      <c r="K3359" s="2" t="s">
        <v>10087</v>
      </c>
    </row>
    <row r="3360" spans="1:11" x14ac:dyDescent="0.2">
      <c r="A3360" s="2">
        <v>841</v>
      </c>
      <c r="B3360" s="2">
        <v>5</v>
      </c>
      <c r="C3360" s="2">
        <v>79005159</v>
      </c>
      <c r="D3360" s="2">
        <v>80448225</v>
      </c>
      <c r="E3360" s="2">
        <v>2</v>
      </c>
      <c r="F3360" s="2" t="s">
        <v>10086</v>
      </c>
      <c r="H3360" s="2">
        <v>1.5E-3</v>
      </c>
      <c r="K3360" s="2" t="s">
        <v>10088</v>
      </c>
    </row>
    <row r="3361" spans="1:11" x14ac:dyDescent="0.2">
      <c r="A3361" s="2">
        <v>841</v>
      </c>
      <c r="B3361" s="2">
        <v>5</v>
      </c>
      <c r="C3361" s="2">
        <v>79005159</v>
      </c>
      <c r="D3361" s="2">
        <v>80448225</v>
      </c>
      <c r="E3361" s="2">
        <v>3</v>
      </c>
      <c r="F3361" s="2" t="s">
        <v>10086</v>
      </c>
      <c r="H3361" s="2">
        <v>1.4E-3</v>
      </c>
      <c r="K3361" s="2" t="s">
        <v>10085</v>
      </c>
    </row>
    <row r="3362" spans="1:11" x14ac:dyDescent="0.2">
      <c r="A3362" s="2">
        <v>841</v>
      </c>
      <c r="B3362" s="2">
        <v>5</v>
      </c>
      <c r="C3362" s="2">
        <v>79005159</v>
      </c>
      <c r="D3362" s="2">
        <v>80448225</v>
      </c>
      <c r="E3362" s="2">
        <v>4</v>
      </c>
      <c r="F3362" s="2" t="s">
        <v>10086</v>
      </c>
      <c r="H3362" s="3">
        <v>5.0000000000000001E-4</v>
      </c>
      <c r="K3362" s="2" t="s">
        <v>10089</v>
      </c>
    </row>
    <row r="3363" spans="1:11" x14ac:dyDescent="0.2">
      <c r="A3363" s="2">
        <v>842</v>
      </c>
      <c r="B3363" s="2">
        <v>5</v>
      </c>
      <c r="C3363" s="2">
        <v>80448226</v>
      </c>
      <c r="D3363" s="2">
        <v>81710194</v>
      </c>
      <c r="E3363" s="2">
        <v>1</v>
      </c>
      <c r="F3363" s="2" t="s">
        <v>10086</v>
      </c>
      <c r="H3363" s="2">
        <v>4.7999999999999996E-3</v>
      </c>
      <c r="K3363" s="2" t="s">
        <v>10089</v>
      </c>
    </row>
    <row r="3364" spans="1:11" x14ac:dyDescent="0.2">
      <c r="A3364" s="2">
        <v>842</v>
      </c>
      <c r="B3364" s="2">
        <v>5</v>
      </c>
      <c r="C3364" s="2">
        <v>80448226</v>
      </c>
      <c r="D3364" s="2">
        <v>81710194</v>
      </c>
      <c r="E3364" s="2">
        <v>2</v>
      </c>
      <c r="F3364" s="2" t="s">
        <v>10086</v>
      </c>
      <c r="H3364" s="2">
        <v>1.1999999999999999E-3</v>
      </c>
      <c r="K3364" s="2" t="s">
        <v>10085</v>
      </c>
    </row>
    <row r="3365" spans="1:11" x14ac:dyDescent="0.2">
      <c r="A3365" s="2">
        <v>842</v>
      </c>
      <c r="B3365" s="2">
        <v>5</v>
      </c>
      <c r="C3365" s="2">
        <v>80448226</v>
      </c>
      <c r="D3365" s="2">
        <v>81710194</v>
      </c>
      <c r="E3365" s="2">
        <v>3</v>
      </c>
      <c r="F3365" s="2" t="s">
        <v>10086</v>
      </c>
      <c r="H3365" s="2">
        <v>1.1999999999999999E-3</v>
      </c>
      <c r="K3365" s="2" t="s">
        <v>10087</v>
      </c>
    </row>
    <row r="3366" spans="1:11" x14ac:dyDescent="0.2">
      <c r="A3366" s="2">
        <v>842</v>
      </c>
      <c r="B3366" s="2">
        <v>5</v>
      </c>
      <c r="C3366" s="2">
        <v>80448226</v>
      </c>
      <c r="D3366" s="2">
        <v>81710194</v>
      </c>
      <c r="E3366" s="2">
        <v>4</v>
      </c>
      <c r="F3366" s="2" t="s">
        <v>10086</v>
      </c>
      <c r="H3366" s="3">
        <v>5.0000000000000001E-4</v>
      </c>
      <c r="K3366" s="2" t="s">
        <v>10088</v>
      </c>
    </row>
    <row r="3367" spans="1:11" x14ac:dyDescent="0.2">
      <c r="A3367" s="2">
        <v>843</v>
      </c>
      <c r="B3367" s="2">
        <v>5</v>
      </c>
      <c r="C3367" s="2">
        <v>81710195</v>
      </c>
      <c r="D3367" s="2">
        <v>82720248</v>
      </c>
      <c r="E3367" s="2">
        <v>1</v>
      </c>
      <c r="F3367" s="2" t="s">
        <v>10086</v>
      </c>
      <c r="H3367" s="2">
        <v>2.5000000000000001E-3</v>
      </c>
      <c r="K3367" s="2" t="s">
        <v>12324</v>
      </c>
    </row>
    <row r="3368" spans="1:11" x14ac:dyDescent="0.2">
      <c r="A3368" s="2">
        <v>843</v>
      </c>
      <c r="B3368" s="2">
        <v>5</v>
      </c>
      <c r="C3368" s="2">
        <v>81710195</v>
      </c>
      <c r="D3368" s="2">
        <v>82720248</v>
      </c>
      <c r="E3368" s="2">
        <v>2</v>
      </c>
      <c r="F3368" s="2" t="s">
        <v>10086</v>
      </c>
      <c r="H3368" s="2">
        <v>1.4E-3</v>
      </c>
      <c r="K3368" s="2" t="s">
        <v>10089</v>
      </c>
    </row>
    <row r="3369" spans="1:11" x14ac:dyDescent="0.2">
      <c r="A3369" s="2">
        <v>843</v>
      </c>
      <c r="B3369" s="2">
        <v>5</v>
      </c>
      <c r="C3369" s="2">
        <v>81710195</v>
      </c>
      <c r="D3369" s="2">
        <v>82720248</v>
      </c>
      <c r="E3369" s="2">
        <v>3</v>
      </c>
      <c r="F3369" s="2" t="s">
        <v>10086</v>
      </c>
      <c r="H3369" s="2">
        <v>1.9E-3</v>
      </c>
      <c r="K3369" s="2" t="s">
        <v>10088</v>
      </c>
    </row>
    <row r="3370" spans="1:11" x14ac:dyDescent="0.2">
      <c r="A3370" s="2">
        <v>843</v>
      </c>
      <c r="B3370" s="2">
        <v>5</v>
      </c>
      <c r="C3370" s="2">
        <v>81710195</v>
      </c>
      <c r="D3370" s="2">
        <v>82720248</v>
      </c>
      <c r="E3370" s="2">
        <v>4</v>
      </c>
      <c r="F3370" s="2" t="s">
        <v>10086</v>
      </c>
      <c r="H3370" s="3">
        <v>8.0000000000000004E-4</v>
      </c>
      <c r="K3370" s="2" t="s">
        <v>10085</v>
      </c>
    </row>
    <row r="3371" spans="1:11" x14ac:dyDescent="0.2">
      <c r="A3371" s="2">
        <v>844</v>
      </c>
      <c r="B3371" s="2">
        <v>5</v>
      </c>
      <c r="C3371" s="2">
        <v>82720249</v>
      </c>
      <c r="D3371" s="2">
        <v>84094797</v>
      </c>
      <c r="E3371" s="2">
        <v>1</v>
      </c>
      <c r="F3371" s="2" t="s">
        <v>10086</v>
      </c>
      <c r="H3371" s="2">
        <v>2.1700000000000001E-2</v>
      </c>
      <c r="K3371" s="2" t="s">
        <v>10088</v>
      </c>
    </row>
    <row r="3372" spans="1:11" x14ac:dyDescent="0.2">
      <c r="A3372" s="2">
        <v>844</v>
      </c>
      <c r="B3372" s="2">
        <v>5</v>
      </c>
      <c r="C3372" s="2">
        <v>82720249</v>
      </c>
      <c r="D3372" s="2">
        <v>84094797</v>
      </c>
      <c r="E3372" s="2">
        <v>2</v>
      </c>
      <c r="F3372" s="2" t="s">
        <v>10086</v>
      </c>
      <c r="H3372" s="2">
        <v>1.5E-3</v>
      </c>
      <c r="K3372" s="2" t="s">
        <v>10087</v>
      </c>
    </row>
    <row r="3373" spans="1:11" x14ac:dyDescent="0.2">
      <c r="A3373" s="2">
        <v>844</v>
      </c>
      <c r="B3373" s="2">
        <v>5</v>
      </c>
      <c r="C3373" s="2">
        <v>82720249</v>
      </c>
      <c r="D3373" s="2">
        <v>84094797</v>
      </c>
      <c r="E3373" s="2">
        <v>3</v>
      </c>
      <c r="F3373" s="2" t="s">
        <v>10086</v>
      </c>
      <c r="H3373" s="3">
        <v>8.9999999999999998E-4</v>
      </c>
      <c r="K3373" s="2" t="s">
        <v>10089</v>
      </c>
    </row>
    <row r="3374" spans="1:11" x14ac:dyDescent="0.2">
      <c r="A3374" s="2">
        <v>844</v>
      </c>
      <c r="B3374" s="2">
        <v>5</v>
      </c>
      <c r="C3374" s="2">
        <v>82720249</v>
      </c>
      <c r="D3374" s="2">
        <v>84094797</v>
      </c>
      <c r="E3374" s="2">
        <v>4</v>
      </c>
      <c r="F3374" s="2" t="s">
        <v>10086</v>
      </c>
      <c r="H3374" s="3">
        <v>4.0000000000000002E-4</v>
      </c>
      <c r="K3374" s="2" t="s">
        <v>10085</v>
      </c>
    </row>
    <row r="3375" spans="1:11" x14ac:dyDescent="0.2">
      <c r="A3375" s="2">
        <v>845</v>
      </c>
      <c r="B3375" s="2">
        <v>5</v>
      </c>
      <c r="C3375" s="2">
        <v>84094798</v>
      </c>
      <c r="D3375" s="2">
        <v>84697850</v>
      </c>
      <c r="E3375" s="2">
        <v>1</v>
      </c>
      <c r="F3375" s="2" t="s">
        <v>10086</v>
      </c>
      <c r="H3375" s="2">
        <v>1.6999999999999999E-3</v>
      </c>
      <c r="K3375" s="2" t="s">
        <v>10085</v>
      </c>
    </row>
    <row r="3376" spans="1:11" x14ac:dyDescent="0.2">
      <c r="A3376" s="2">
        <v>845</v>
      </c>
      <c r="B3376" s="2">
        <v>5</v>
      </c>
      <c r="C3376" s="2">
        <v>84094798</v>
      </c>
      <c r="D3376" s="2">
        <v>84697850</v>
      </c>
      <c r="E3376" s="2">
        <v>2</v>
      </c>
      <c r="F3376" s="2" t="s">
        <v>10086</v>
      </c>
      <c r="H3376" s="2">
        <v>1.6999999999999999E-3</v>
      </c>
      <c r="K3376" s="2" t="s">
        <v>10087</v>
      </c>
    </row>
    <row r="3377" spans="1:11" x14ac:dyDescent="0.2">
      <c r="A3377" s="2">
        <v>845</v>
      </c>
      <c r="B3377" s="2">
        <v>5</v>
      </c>
      <c r="C3377" s="2">
        <v>84094798</v>
      </c>
      <c r="D3377" s="2">
        <v>84697850</v>
      </c>
      <c r="E3377" s="2">
        <v>3</v>
      </c>
      <c r="F3377" s="2" t="s">
        <v>10086</v>
      </c>
      <c r="H3377" s="3">
        <v>8.0000000000000004E-4</v>
      </c>
      <c r="K3377" s="2" t="s">
        <v>10089</v>
      </c>
    </row>
    <row r="3378" spans="1:11" x14ac:dyDescent="0.2">
      <c r="A3378" s="2">
        <v>845</v>
      </c>
      <c r="B3378" s="2">
        <v>5</v>
      </c>
      <c r="C3378" s="2">
        <v>84094798</v>
      </c>
      <c r="D3378" s="2">
        <v>84697850</v>
      </c>
      <c r="E3378" s="2">
        <v>4</v>
      </c>
      <c r="F3378" s="2" t="s">
        <v>10086</v>
      </c>
      <c r="H3378" s="3">
        <v>2.0000000000000001E-4</v>
      </c>
      <c r="K3378" s="2" t="s">
        <v>10088</v>
      </c>
    </row>
    <row r="3379" spans="1:11" x14ac:dyDescent="0.2">
      <c r="A3379" s="2">
        <v>846</v>
      </c>
      <c r="B3379" s="2">
        <v>5</v>
      </c>
      <c r="C3379" s="2">
        <v>84697851</v>
      </c>
      <c r="D3379" s="2">
        <v>85311779</v>
      </c>
      <c r="E3379" s="2">
        <v>1</v>
      </c>
      <c r="F3379" s="2" t="s">
        <v>10086</v>
      </c>
      <c r="H3379" s="2">
        <v>1.5E-3</v>
      </c>
      <c r="K3379" s="2" t="s">
        <v>10085</v>
      </c>
    </row>
    <row r="3380" spans="1:11" x14ac:dyDescent="0.2">
      <c r="A3380" s="2">
        <v>846</v>
      </c>
      <c r="B3380" s="2">
        <v>5</v>
      </c>
      <c r="C3380" s="2">
        <v>84697851</v>
      </c>
      <c r="D3380" s="2">
        <v>85311779</v>
      </c>
      <c r="E3380" s="2">
        <v>2</v>
      </c>
      <c r="F3380" s="2" t="s">
        <v>10086</v>
      </c>
      <c r="H3380" s="3">
        <v>5.0000000000000001E-4</v>
      </c>
      <c r="K3380" s="2" t="s">
        <v>10087</v>
      </c>
    </row>
    <row r="3381" spans="1:11" x14ac:dyDescent="0.2">
      <c r="A3381" s="2">
        <v>846</v>
      </c>
      <c r="B3381" s="2">
        <v>5</v>
      </c>
      <c r="C3381" s="2">
        <v>84697851</v>
      </c>
      <c r="D3381" s="2">
        <v>85311779</v>
      </c>
      <c r="E3381" s="2">
        <v>3</v>
      </c>
      <c r="F3381" s="2" t="s">
        <v>10086</v>
      </c>
      <c r="H3381" s="3">
        <v>5.0000000000000001E-4</v>
      </c>
      <c r="K3381" s="2" t="s">
        <v>10089</v>
      </c>
    </row>
    <row r="3382" spans="1:11" x14ac:dyDescent="0.2">
      <c r="A3382" s="2">
        <v>846</v>
      </c>
      <c r="B3382" s="2">
        <v>5</v>
      </c>
      <c r="C3382" s="2">
        <v>84697851</v>
      </c>
      <c r="D3382" s="2">
        <v>85311779</v>
      </c>
      <c r="E3382" s="2">
        <v>4</v>
      </c>
      <c r="F3382" s="2" t="s">
        <v>10086</v>
      </c>
      <c r="H3382" s="3">
        <v>2.9999999999999997E-4</v>
      </c>
      <c r="K3382" s="2" t="s">
        <v>10088</v>
      </c>
    </row>
    <row r="3383" spans="1:11" x14ac:dyDescent="0.2">
      <c r="A3383" s="2">
        <v>847</v>
      </c>
      <c r="B3383" s="2">
        <v>5</v>
      </c>
      <c r="C3383" s="2">
        <v>85311780</v>
      </c>
      <c r="D3383" s="2">
        <v>86493763</v>
      </c>
      <c r="E3383" s="2">
        <v>1</v>
      </c>
      <c r="F3383" s="2" t="s">
        <v>10086</v>
      </c>
      <c r="H3383" s="2">
        <v>2.3999999999999998E-3</v>
      </c>
      <c r="K3383" s="2" t="s">
        <v>10085</v>
      </c>
    </row>
    <row r="3384" spans="1:11" x14ac:dyDescent="0.2">
      <c r="A3384" s="2">
        <v>847</v>
      </c>
      <c r="B3384" s="2">
        <v>5</v>
      </c>
      <c r="C3384" s="2">
        <v>85311780</v>
      </c>
      <c r="D3384" s="2">
        <v>86493763</v>
      </c>
      <c r="E3384" s="2">
        <v>2</v>
      </c>
      <c r="F3384" s="2" t="s">
        <v>10086</v>
      </c>
      <c r="H3384" s="2">
        <v>1.2999999999999999E-3</v>
      </c>
      <c r="K3384" s="2" t="s">
        <v>12324</v>
      </c>
    </row>
    <row r="3385" spans="1:11" x14ac:dyDescent="0.2">
      <c r="A3385" s="2">
        <v>847</v>
      </c>
      <c r="B3385" s="2">
        <v>5</v>
      </c>
      <c r="C3385" s="2">
        <v>85311780</v>
      </c>
      <c r="D3385" s="2">
        <v>86493763</v>
      </c>
      <c r="E3385" s="2">
        <v>3</v>
      </c>
      <c r="F3385" s="2" t="s">
        <v>10086</v>
      </c>
      <c r="H3385" s="2">
        <v>1E-3</v>
      </c>
      <c r="K3385" s="2" t="s">
        <v>10089</v>
      </c>
    </row>
    <row r="3386" spans="1:11" x14ac:dyDescent="0.2">
      <c r="A3386" s="2">
        <v>847</v>
      </c>
      <c r="B3386" s="2">
        <v>5</v>
      </c>
      <c r="C3386" s="2">
        <v>85311780</v>
      </c>
      <c r="D3386" s="2">
        <v>86493763</v>
      </c>
      <c r="E3386" s="2">
        <v>4</v>
      </c>
      <c r="F3386" s="2" t="s">
        <v>10086</v>
      </c>
      <c r="H3386" s="3">
        <v>8.9999999999999998E-4</v>
      </c>
      <c r="K3386" s="2" t="s">
        <v>10088</v>
      </c>
    </row>
    <row r="3387" spans="1:11" x14ac:dyDescent="0.2">
      <c r="A3387" s="2">
        <v>848</v>
      </c>
      <c r="B3387" s="2">
        <v>5</v>
      </c>
      <c r="C3387" s="2">
        <v>86493764</v>
      </c>
      <c r="D3387" s="2">
        <v>87943482</v>
      </c>
      <c r="E3387" s="2">
        <v>1</v>
      </c>
      <c r="F3387" s="2" t="s">
        <v>10086</v>
      </c>
      <c r="H3387" s="2">
        <v>3.5999999999999999E-3</v>
      </c>
      <c r="K3387" s="2" t="s">
        <v>12324</v>
      </c>
    </row>
    <row r="3388" spans="1:11" x14ac:dyDescent="0.2">
      <c r="A3388" s="2">
        <v>848</v>
      </c>
      <c r="B3388" s="2">
        <v>5</v>
      </c>
      <c r="C3388" s="2">
        <v>86493764</v>
      </c>
      <c r="D3388" s="2">
        <v>87943482</v>
      </c>
      <c r="E3388" s="2">
        <v>2</v>
      </c>
      <c r="F3388" s="2" t="s">
        <v>10086</v>
      </c>
      <c r="H3388" s="2">
        <v>1.9E-3</v>
      </c>
      <c r="K3388" s="2" t="s">
        <v>10085</v>
      </c>
    </row>
    <row r="3389" spans="1:11" x14ac:dyDescent="0.2">
      <c r="A3389" s="2">
        <v>848</v>
      </c>
      <c r="B3389" s="2">
        <v>5</v>
      </c>
      <c r="C3389" s="2">
        <v>86493764</v>
      </c>
      <c r="D3389" s="2">
        <v>87943482</v>
      </c>
      <c r="E3389" s="2">
        <v>3</v>
      </c>
      <c r="F3389" s="2" t="s">
        <v>10086</v>
      </c>
      <c r="H3389" s="2">
        <v>1.6999999999999999E-3</v>
      </c>
      <c r="K3389" s="2" t="s">
        <v>10089</v>
      </c>
    </row>
    <row r="3390" spans="1:11" x14ac:dyDescent="0.2">
      <c r="A3390" s="2">
        <v>848</v>
      </c>
      <c r="B3390" s="2">
        <v>5</v>
      </c>
      <c r="C3390" s="2">
        <v>86493764</v>
      </c>
      <c r="D3390" s="2">
        <v>87943482</v>
      </c>
      <c r="E3390" s="2">
        <v>4</v>
      </c>
      <c r="F3390" s="2" t="s">
        <v>10086</v>
      </c>
      <c r="H3390" s="2">
        <v>1.1999999999999999E-3</v>
      </c>
      <c r="K3390" s="2" t="s">
        <v>10087</v>
      </c>
    </row>
    <row r="3391" spans="1:11" x14ac:dyDescent="0.2">
      <c r="A3391" s="2">
        <v>849</v>
      </c>
      <c r="B3391" s="2">
        <v>5</v>
      </c>
      <c r="C3391" s="2">
        <v>87943483</v>
      </c>
      <c r="D3391" s="2">
        <v>89584466</v>
      </c>
      <c r="E3391" s="2">
        <v>1</v>
      </c>
      <c r="F3391" s="2" t="s">
        <v>10086</v>
      </c>
      <c r="H3391" s="2">
        <v>3.5999999999999999E-3</v>
      </c>
      <c r="K3391" s="2" t="s">
        <v>10089</v>
      </c>
    </row>
    <row r="3392" spans="1:11" x14ac:dyDescent="0.2">
      <c r="A3392" s="2">
        <v>849</v>
      </c>
      <c r="B3392" s="2">
        <v>5</v>
      </c>
      <c r="C3392" s="2">
        <v>87943483</v>
      </c>
      <c r="D3392" s="2">
        <v>89584466</v>
      </c>
      <c r="E3392" s="2">
        <v>2</v>
      </c>
      <c r="F3392" s="2" t="s">
        <v>10086</v>
      </c>
      <c r="H3392" s="2">
        <v>1.6000000000000001E-3</v>
      </c>
      <c r="K3392" s="2" t="s">
        <v>10085</v>
      </c>
    </row>
    <row r="3393" spans="1:11" x14ac:dyDescent="0.2">
      <c r="A3393" s="2">
        <v>849</v>
      </c>
      <c r="B3393" s="2">
        <v>5</v>
      </c>
      <c r="C3393" s="2">
        <v>87943483</v>
      </c>
      <c r="D3393" s="2">
        <v>89584466</v>
      </c>
      <c r="E3393" s="2">
        <v>3</v>
      </c>
      <c r="F3393" s="2" t="s">
        <v>10086</v>
      </c>
      <c r="H3393" s="2">
        <v>1.4E-3</v>
      </c>
      <c r="K3393" s="2" t="s">
        <v>10087</v>
      </c>
    </row>
    <row r="3394" spans="1:11" x14ac:dyDescent="0.2">
      <c r="A3394" s="2">
        <v>849</v>
      </c>
      <c r="B3394" s="2">
        <v>5</v>
      </c>
      <c r="C3394" s="2">
        <v>87943483</v>
      </c>
      <c r="D3394" s="2">
        <v>89584466</v>
      </c>
      <c r="E3394" s="2">
        <v>4</v>
      </c>
      <c r="F3394" s="2" t="s">
        <v>10086</v>
      </c>
      <c r="H3394" s="3">
        <v>6.9999999999999999E-4</v>
      </c>
      <c r="K3394" s="2" t="s">
        <v>10088</v>
      </c>
    </row>
    <row r="3395" spans="1:11" x14ac:dyDescent="0.2">
      <c r="A3395" s="2">
        <v>850</v>
      </c>
      <c r="B3395" s="2">
        <v>5</v>
      </c>
      <c r="C3395" s="2">
        <v>89584467</v>
      </c>
      <c r="D3395" s="2">
        <v>90793804</v>
      </c>
      <c r="E3395" s="2">
        <v>1</v>
      </c>
      <c r="F3395" s="2" t="s">
        <v>10086</v>
      </c>
      <c r="H3395" s="2">
        <v>6.8999999999999999E-3</v>
      </c>
      <c r="K3395" s="2" t="s">
        <v>10088</v>
      </c>
    </row>
    <row r="3396" spans="1:11" x14ac:dyDescent="0.2">
      <c r="A3396" s="2">
        <v>850</v>
      </c>
      <c r="B3396" s="2">
        <v>5</v>
      </c>
      <c r="C3396" s="2">
        <v>89584467</v>
      </c>
      <c r="D3396" s="2">
        <v>90793804</v>
      </c>
      <c r="E3396" s="2">
        <v>2</v>
      </c>
      <c r="F3396" s="2" t="s">
        <v>10086</v>
      </c>
      <c r="H3396" s="2">
        <v>1.4E-3</v>
      </c>
      <c r="K3396" s="2" t="s">
        <v>10089</v>
      </c>
    </row>
    <row r="3397" spans="1:11" x14ac:dyDescent="0.2">
      <c r="A3397" s="2">
        <v>850</v>
      </c>
      <c r="B3397" s="2">
        <v>5</v>
      </c>
      <c r="C3397" s="2">
        <v>89584467</v>
      </c>
      <c r="D3397" s="2">
        <v>90793804</v>
      </c>
      <c r="E3397" s="2">
        <v>3</v>
      </c>
      <c r="F3397" s="2" t="s">
        <v>10086</v>
      </c>
      <c r="H3397" s="3">
        <v>8.9999999999999998E-4</v>
      </c>
      <c r="K3397" s="2" t="s">
        <v>10087</v>
      </c>
    </row>
    <row r="3398" spans="1:11" x14ac:dyDescent="0.2">
      <c r="A3398" s="2">
        <v>850</v>
      </c>
      <c r="B3398" s="2">
        <v>5</v>
      </c>
      <c r="C3398" s="2">
        <v>89584467</v>
      </c>
      <c r="D3398" s="2">
        <v>90793804</v>
      </c>
      <c r="E3398" s="2">
        <v>4</v>
      </c>
      <c r="F3398" s="2" t="s">
        <v>10086</v>
      </c>
      <c r="H3398" s="3">
        <v>5.9999999999999995E-4</v>
      </c>
      <c r="K3398" s="2" t="s">
        <v>10085</v>
      </c>
    </row>
    <row r="3399" spans="1:11" x14ac:dyDescent="0.2">
      <c r="A3399" s="2">
        <v>851</v>
      </c>
      <c r="B3399" s="2">
        <v>5</v>
      </c>
      <c r="C3399" s="2">
        <v>90793805</v>
      </c>
      <c r="D3399" s="2">
        <v>91956905</v>
      </c>
      <c r="E3399" s="2">
        <v>1</v>
      </c>
      <c r="F3399" s="2" t="s">
        <v>10086</v>
      </c>
      <c r="H3399" s="2">
        <v>2.7000000000000001E-3</v>
      </c>
      <c r="K3399" s="2" t="s">
        <v>10088</v>
      </c>
    </row>
    <row r="3400" spans="1:11" x14ac:dyDescent="0.2">
      <c r="A3400" s="2">
        <v>851</v>
      </c>
      <c r="B3400" s="2">
        <v>5</v>
      </c>
      <c r="C3400" s="2">
        <v>90793805</v>
      </c>
      <c r="D3400" s="2">
        <v>91956905</v>
      </c>
      <c r="E3400" s="2">
        <v>2</v>
      </c>
      <c r="F3400" s="2" t="s">
        <v>10086</v>
      </c>
      <c r="H3400" s="3">
        <v>8.0000000000000004E-4</v>
      </c>
      <c r="K3400" s="2" t="s">
        <v>12324</v>
      </c>
    </row>
    <row r="3401" spans="1:11" x14ac:dyDescent="0.2">
      <c r="A3401" s="2">
        <v>851</v>
      </c>
      <c r="B3401" s="2">
        <v>5</v>
      </c>
      <c r="C3401" s="2">
        <v>90793805</v>
      </c>
      <c r="D3401" s="2">
        <v>91956905</v>
      </c>
      <c r="E3401" s="2">
        <v>3</v>
      </c>
      <c r="F3401" s="2" t="s">
        <v>10086</v>
      </c>
      <c r="H3401" s="3">
        <v>6.9999999999999999E-4</v>
      </c>
      <c r="K3401" s="2" t="s">
        <v>10087</v>
      </c>
    </row>
    <row r="3402" spans="1:11" x14ac:dyDescent="0.2">
      <c r="A3402" s="2">
        <v>851</v>
      </c>
      <c r="B3402" s="2">
        <v>5</v>
      </c>
      <c r="C3402" s="2">
        <v>90793805</v>
      </c>
      <c r="D3402" s="2">
        <v>91956905</v>
      </c>
      <c r="E3402" s="2">
        <v>4</v>
      </c>
      <c r="F3402" s="2" t="s">
        <v>10086</v>
      </c>
      <c r="H3402" s="3">
        <v>5.9999999999999995E-4</v>
      </c>
      <c r="K3402" s="2" t="s">
        <v>10089</v>
      </c>
    </row>
    <row r="3403" spans="1:11" x14ac:dyDescent="0.2">
      <c r="A3403" s="2">
        <v>852</v>
      </c>
      <c r="B3403" s="2">
        <v>5</v>
      </c>
      <c r="C3403" s="2">
        <v>91956906</v>
      </c>
      <c r="D3403" s="2">
        <v>93814604</v>
      </c>
      <c r="E3403" s="2">
        <v>1</v>
      </c>
      <c r="F3403" s="2" t="s">
        <v>10086</v>
      </c>
      <c r="H3403" s="2">
        <v>2.7699999999999999E-2</v>
      </c>
      <c r="K3403" s="2" t="s">
        <v>12324</v>
      </c>
    </row>
    <row r="3404" spans="1:11" x14ac:dyDescent="0.2">
      <c r="A3404" s="2">
        <v>852</v>
      </c>
      <c r="B3404" s="2">
        <v>5</v>
      </c>
      <c r="C3404" s="2">
        <v>91956906</v>
      </c>
      <c r="D3404" s="2">
        <v>93814604</v>
      </c>
      <c r="E3404" s="2">
        <v>2</v>
      </c>
      <c r="F3404" s="2" t="s">
        <v>10086</v>
      </c>
      <c r="H3404" s="2">
        <v>6.3E-3</v>
      </c>
      <c r="K3404" s="2" t="s">
        <v>10087</v>
      </c>
    </row>
    <row r="3405" spans="1:11" x14ac:dyDescent="0.2">
      <c r="A3405" s="2">
        <v>852</v>
      </c>
      <c r="B3405" s="2">
        <v>5</v>
      </c>
      <c r="C3405" s="2">
        <v>91956906</v>
      </c>
      <c r="D3405" s="2">
        <v>93814604</v>
      </c>
      <c r="E3405" s="2">
        <v>3</v>
      </c>
      <c r="F3405" s="2" t="s">
        <v>10086</v>
      </c>
      <c r="H3405" s="2">
        <v>1.6999999999999999E-3</v>
      </c>
      <c r="K3405" s="2" t="s">
        <v>10085</v>
      </c>
    </row>
    <row r="3406" spans="1:11" x14ac:dyDescent="0.2">
      <c r="A3406" s="2">
        <v>852</v>
      </c>
      <c r="B3406" s="2">
        <v>5</v>
      </c>
      <c r="C3406" s="2">
        <v>91956906</v>
      </c>
      <c r="D3406" s="2">
        <v>93814604</v>
      </c>
      <c r="E3406" s="2">
        <v>4</v>
      </c>
      <c r="F3406" s="2" t="s">
        <v>10086</v>
      </c>
      <c r="H3406" s="2">
        <v>1.6000000000000001E-3</v>
      </c>
      <c r="K3406" s="2" t="s">
        <v>10088</v>
      </c>
    </row>
    <row r="3407" spans="1:11" x14ac:dyDescent="0.2">
      <c r="A3407" s="2">
        <v>853</v>
      </c>
      <c r="B3407" s="2">
        <v>5</v>
      </c>
      <c r="C3407" s="2">
        <v>93814605</v>
      </c>
      <c r="D3407" s="2">
        <v>95117259</v>
      </c>
      <c r="E3407" s="2">
        <v>1</v>
      </c>
      <c r="F3407" s="2" t="s">
        <v>10086</v>
      </c>
      <c r="H3407" s="2">
        <v>1.6000000000000001E-3</v>
      </c>
      <c r="K3407" s="2" t="s">
        <v>10085</v>
      </c>
    </row>
    <row r="3408" spans="1:11" x14ac:dyDescent="0.2">
      <c r="A3408" s="2">
        <v>853</v>
      </c>
      <c r="B3408" s="2">
        <v>5</v>
      </c>
      <c r="C3408" s="2">
        <v>93814605</v>
      </c>
      <c r="D3408" s="2">
        <v>95117259</v>
      </c>
      <c r="E3408" s="2">
        <v>2</v>
      </c>
      <c r="F3408" s="2" t="s">
        <v>10086</v>
      </c>
      <c r="H3408" s="2">
        <v>2.2000000000000001E-3</v>
      </c>
      <c r="K3408" s="2" t="s">
        <v>10087</v>
      </c>
    </row>
    <row r="3409" spans="1:11" x14ac:dyDescent="0.2">
      <c r="A3409" s="2">
        <v>853</v>
      </c>
      <c r="B3409" s="2">
        <v>5</v>
      </c>
      <c r="C3409" s="2">
        <v>93814605</v>
      </c>
      <c r="D3409" s="2">
        <v>95117259</v>
      </c>
      <c r="E3409" s="2">
        <v>3</v>
      </c>
      <c r="F3409" s="2" t="s">
        <v>10086</v>
      </c>
      <c r="H3409" s="2">
        <v>1.4E-3</v>
      </c>
      <c r="K3409" s="2" t="s">
        <v>10089</v>
      </c>
    </row>
    <row r="3410" spans="1:11" x14ac:dyDescent="0.2">
      <c r="A3410" s="2">
        <v>853</v>
      </c>
      <c r="B3410" s="2">
        <v>5</v>
      </c>
      <c r="C3410" s="2">
        <v>93814605</v>
      </c>
      <c r="D3410" s="2">
        <v>95117259</v>
      </c>
      <c r="E3410" s="2">
        <v>4</v>
      </c>
      <c r="F3410" s="2" t="s">
        <v>10086</v>
      </c>
      <c r="H3410" s="3">
        <v>4.0000000000000002E-4</v>
      </c>
      <c r="K3410" s="2" t="s">
        <v>10088</v>
      </c>
    </row>
    <row r="3411" spans="1:11" x14ac:dyDescent="0.2">
      <c r="A3411" s="2">
        <v>854</v>
      </c>
      <c r="B3411" s="2">
        <v>5</v>
      </c>
      <c r="C3411" s="2">
        <v>95117260</v>
      </c>
      <c r="D3411" s="2">
        <v>96467377</v>
      </c>
      <c r="E3411" s="2">
        <v>1</v>
      </c>
      <c r="F3411" s="2" t="s">
        <v>10086</v>
      </c>
      <c r="H3411" s="2">
        <v>1.8E-3</v>
      </c>
      <c r="K3411" s="2" t="s">
        <v>10088</v>
      </c>
    </row>
    <row r="3412" spans="1:11" x14ac:dyDescent="0.2">
      <c r="A3412" s="2">
        <v>854</v>
      </c>
      <c r="B3412" s="2">
        <v>5</v>
      </c>
      <c r="C3412" s="2">
        <v>95117260</v>
      </c>
      <c r="D3412" s="2">
        <v>96467377</v>
      </c>
      <c r="E3412" s="2">
        <v>2</v>
      </c>
      <c r="F3412" s="2" t="s">
        <v>10086</v>
      </c>
      <c r="H3412" s="2">
        <v>1.4E-3</v>
      </c>
      <c r="K3412" s="2" t="s">
        <v>10085</v>
      </c>
    </row>
    <row r="3413" spans="1:11" x14ac:dyDescent="0.2">
      <c r="A3413" s="2">
        <v>854</v>
      </c>
      <c r="B3413" s="2">
        <v>5</v>
      </c>
      <c r="C3413" s="2">
        <v>95117260</v>
      </c>
      <c r="D3413" s="2">
        <v>96467377</v>
      </c>
      <c r="E3413" s="2">
        <v>3</v>
      </c>
      <c r="F3413" s="2" t="s">
        <v>10086</v>
      </c>
      <c r="H3413" s="2">
        <v>1.4E-3</v>
      </c>
      <c r="K3413" s="2" t="s">
        <v>10087</v>
      </c>
    </row>
    <row r="3414" spans="1:11" x14ac:dyDescent="0.2">
      <c r="A3414" s="2">
        <v>854</v>
      </c>
      <c r="B3414" s="2">
        <v>5</v>
      </c>
      <c r="C3414" s="2">
        <v>95117260</v>
      </c>
      <c r="D3414" s="2">
        <v>96467377</v>
      </c>
      <c r="E3414" s="2">
        <v>4</v>
      </c>
      <c r="F3414" s="2" t="s">
        <v>10086</v>
      </c>
      <c r="H3414" s="3">
        <v>8.9999999999999998E-4</v>
      </c>
      <c r="K3414" s="2" t="s">
        <v>10089</v>
      </c>
    </row>
    <row r="3415" spans="1:11" x14ac:dyDescent="0.2">
      <c r="A3415" s="2">
        <v>855</v>
      </c>
      <c r="B3415" s="2">
        <v>5</v>
      </c>
      <c r="C3415" s="2">
        <v>96467378</v>
      </c>
      <c r="D3415" s="2">
        <v>97316601</v>
      </c>
      <c r="E3415" s="2">
        <v>1</v>
      </c>
      <c r="F3415" s="2" t="s">
        <v>10086</v>
      </c>
      <c r="H3415" s="2">
        <v>8.0699999999999994E-2</v>
      </c>
      <c r="K3415" s="2" t="s">
        <v>10088</v>
      </c>
    </row>
    <row r="3416" spans="1:11" x14ac:dyDescent="0.2">
      <c r="A3416" s="2">
        <v>855</v>
      </c>
      <c r="B3416" s="2">
        <v>5</v>
      </c>
      <c r="C3416" s="2">
        <v>96467378</v>
      </c>
      <c r="D3416" s="2">
        <v>97316601</v>
      </c>
      <c r="E3416" s="2">
        <v>2</v>
      </c>
      <c r="F3416" s="2" t="s">
        <v>10086</v>
      </c>
      <c r="H3416" s="2">
        <v>1.1999999999999999E-3</v>
      </c>
      <c r="K3416" s="2" t="s">
        <v>10087</v>
      </c>
    </row>
    <row r="3417" spans="1:11" x14ac:dyDescent="0.2">
      <c r="A3417" s="2">
        <v>855</v>
      </c>
      <c r="B3417" s="2">
        <v>5</v>
      </c>
      <c r="C3417" s="2">
        <v>96467378</v>
      </c>
      <c r="D3417" s="2">
        <v>97316601</v>
      </c>
      <c r="E3417" s="2">
        <v>3</v>
      </c>
      <c r="F3417" s="2" t="s">
        <v>10086</v>
      </c>
      <c r="H3417" s="3">
        <v>5.9999999999999995E-4</v>
      </c>
      <c r="K3417" s="2" t="s">
        <v>10085</v>
      </c>
    </row>
    <row r="3418" spans="1:11" x14ac:dyDescent="0.2">
      <c r="A3418" s="2">
        <v>855</v>
      </c>
      <c r="B3418" s="2">
        <v>5</v>
      </c>
      <c r="C3418" s="2">
        <v>96467378</v>
      </c>
      <c r="D3418" s="2">
        <v>97316601</v>
      </c>
      <c r="E3418" s="2">
        <v>4</v>
      </c>
      <c r="F3418" s="2" t="s">
        <v>10086</v>
      </c>
      <c r="H3418" s="3">
        <v>2.9999999999999997E-4</v>
      </c>
      <c r="K3418" s="2" t="s">
        <v>10089</v>
      </c>
    </row>
    <row r="3419" spans="1:11" x14ac:dyDescent="0.2">
      <c r="A3419" s="2">
        <v>856</v>
      </c>
      <c r="B3419" s="2">
        <v>5</v>
      </c>
      <c r="C3419" s="2">
        <v>97316602</v>
      </c>
      <c r="D3419" s="2">
        <v>98567769</v>
      </c>
      <c r="E3419" s="2">
        <v>1</v>
      </c>
      <c r="F3419" s="2" t="s">
        <v>10086</v>
      </c>
      <c r="H3419" s="2">
        <v>4.53E-2</v>
      </c>
      <c r="K3419" s="2" t="s">
        <v>10087</v>
      </c>
    </row>
    <row r="3420" spans="1:11" x14ac:dyDescent="0.2">
      <c r="A3420" s="2">
        <v>856</v>
      </c>
      <c r="B3420" s="2">
        <v>5</v>
      </c>
      <c r="C3420" s="2">
        <v>97316602</v>
      </c>
      <c r="D3420" s="2">
        <v>98567769</v>
      </c>
      <c r="E3420" s="2">
        <v>2</v>
      </c>
      <c r="F3420" s="2" t="s">
        <v>10086</v>
      </c>
      <c r="H3420" s="2">
        <v>7.7999999999999996E-3</v>
      </c>
      <c r="K3420" s="2" t="s">
        <v>10088</v>
      </c>
    </row>
    <row r="3421" spans="1:11" x14ac:dyDescent="0.2">
      <c r="A3421" s="2">
        <v>856</v>
      </c>
      <c r="B3421" s="2">
        <v>5</v>
      </c>
      <c r="C3421" s="2">
        <v>97316602</v>
      </c>
      <c r="D3421" s="2">
        <v>98567769</v>
      </c>
      <c r="E3421" s="2">
        <v>3</v>
      </c>
      <c r="F3421" s="2" t="s">
        <v>10086</v>
      </c>
      <c r="H3421" s="2">
        <v>3.2000000000000002E-3</v>
      </c>
      <c r="K3421" s="2" t="s">
        <v>10089</v>
      </c>
    </row>
    <row r="3422" spans="1:11" x14ac:dyDescent="0.2">
      <c r="A3422" s="2">
        <v>856</v>
      </c>
      <c r="B3422" s="2">
        <v>5</v>
      </c>
      <c r="C3422" s="2">
        <v>97316602</v>
      </c>
      <c r="D3422" s="2">
        <v>98567769</v>
      </c>
      <c r="E3422" s="2">
        <v>4</v>
      </c>
      <c r="F3422" s="2" t="s">
        <v>10086</v>
      </c>
      <c r="H3422" s="3">
        <v>6.9999999999999999E-4</v>
      </c>
      <c r="K3422" s="2" t="s">
        <v>10085</v>
      </c>
    </row>
    <row r="3423" spans="1:11" x14ac:dyDescent="0.2">
      <c r="A3423" s="2">
        <v>857</v>
      </c>
      <c r="B3423" s="2">
        <v>5</v>
      </c>
      <c r="C3423" s="2">
        <v>98567770</v>
      </c>
      <c r="D3423" s="2">
        <v>99257995</v>
      </c>
      <c r="E3423" s="2">
        <v>1</v>
      </c>
      <c r="F3423" s="2" t="s">
        <v>10086</v>
      </c>
      <c r="H3423" s="2">
        <v>1.8E-3</v>
      </c>
      <c r="K3423" s="2" t="s">
        <v>10087</v>
      </c>
    </row>
    <row r="3424" spans="1:11" x14ac:dyDescent="0.2">
      <c r="A3424" s="2">
        <v>857</v>
      </c>
      <c r="B3424" s="2">
        <v>5</v>
      </c>
      <c r="C3424" s="2">
        <v>98567770</v>
      </c>
      <c r="D3424" s="2">
        <v>99257995</v>
      </c>
      <c r="E3424" s="2">
        <v>2</v>
      </c>
      <c r="F3424" s="2" t="s">
        <v>10086</v>
      </c>
      <c r="H3424" s="2">
        <v>1E-3</v>
      </c>
      <c r="K3424" s="2" t="s">
        <v>10089</v>
      </c>
    </row>
    <row r="3425" spans="1:11" x14ac:dyDescent="0.2">
      <c r="A3425" s="2">
        <v>857</v>
      </c>
      <c r="B3425" s="2">
        <v>5</v>
      </c>
      <c r="C3425" s="2">
        <v>98567770</v>
      </c>
      <c r="D3425" s="2">
        <v>99257995</v>
      </c>
      <c r="E3425" s="2">
        <v>3</v>
      </c>
      <c r="F3425" s="2" t="s">
        <v>10086</v>
      </c>
      <c r="H3425" s="3">
        <v>5.0000000000000001E-4</v>
      </c>
      <c r="K3425" s="2" t="s">
        <v>10088</v>
      </c>
    </row>
    <row r="3426" spans="1:11" x14ac:dyDescent="0.2">
      <c r="A3426" s="2">
        <v>857</v>
      </c>
      <c r="B3426" s="2">
        <v>5</v>
      </c>
      <c r="C3426" s="2">
        <v>98567770</v>
      </c>
      <c r="D3426" s="2">
        <v>99257995</v>
      </c>
      <c r="E3426" s="2">
        <v>4</v>
      </c>
      <c r="F3426" s="2" t="s">
        <v>10086</v>
      </c>
      <c r="H3426" s="3">
        <v>2.0000000000000001E-4</v>
      </c>
      <c r="K3426" s="2" t="s">
        <v>10085</v>
      </c>
    </row>
    <row r="3427" spans="1:11" x14ac:dyDescent="0.2">
      <c r="A3427" s="2">
        <v>858</v>
      </c>
      <c r="B3427" s="2">
        <v>5</v>
      </c>
      <c r="C3427" s="2">
        <v>99257996</v>
      </c>
      <c r="D3427" s="2">
        <v>100594081</v>
      </c>
      <c r="E3427" s="2">
        <v>1</v>
      </c>
      <c r="F3427" s="2" t="s">
        <v>10086</v>
      </c>
      <c r="H3427" s="2">
        <v>1.2999999999999999E-3</v>
      </c>
      <c r="K3427" s="2" t="s">
        <v>10085</v>
      </c>
    </row>
    <row r="3428" spans="1:11" x14ac:dyDescent="0.2">
      <c r="A3428" s="2">
        <v>858</v>
      </c>
      <c r="B3428" s="2">
        <v>5</v>
      </c>
      <c r="C3428" s="2">
        <v>99257996</v>
      </c>
      <c r="D3428" s="2">
        <v>100594081</v>
      </c>
      <c r="E3428" s="2">
        <v>2</v>
      </c>
      <c r="F3428" s="2" t="s">
        <v>10086</v>
      </c>
      <c r="H3428" s="2">
        <v>1E-3</v>
      </c>
      <c r="K3428" s="2" t="s">
        <v>10089</v>
      </c>
    </row>
    <row r="3429" spans="1:11" x14ac:dyDescent="0.2">
      <c r="A3429" s="2">
        <v>858</v>
      </c>
      <c r="B3429" s="2">
        <v>5</v>
      </c>
      <c r="C3429" s="2">
        <v>99257996</v>
      </c>
      <c r="D3429" s="2">
        <v>100594081</v>
      </c>
      <c r="E3429" s="2">
        <v>3</v>
      </c>
      <c r="F3429" s="2" t="s">
        <v>10086</v>
      </c>
      <c r="H3429" s="2">
        <v>1.8E-3</v>
      </c>
      <c r="K3429" s="2" t="s">
        <v>10088</v>
      </c>
    </row>
    <row r="3430" spans="1:11" x14ac:dyDescent="0.2">
      <c r="A3430" s="2">
        <v>858</v>
      </c>
      <c r="B3430" s="2">
        <v>5</v>
      </c>
      <c r="C3430" s="2">
        <v>99257996</v>
      </c>
      <c r="D3430" s="2">
        <v>100594081</v>
      </c>
      <c r="E3430" s="2">
        <v>4</v>
      </c>
      <c r="F3430" s="2" t="s">
        <v>10086</v>
      </c>
      <c r="H3430" s="3">
        <v>4.0000000000000002E-4</v>
      </c>
      <c r="K3430" s="2" t="s">
        <v>10087</v>
      </c>
    </row>
    <row r="3431" spans="1:11" x14ac:dyDescent="0.2">
      <c r="A3431" s="2">
        <v>859</v>
      </c>
      <c r="B3431" s="2">
        <v>5</v>
      </c>
      <c r="C3431" s="2">
        <v>100594082</v>
      </c>
      <c r="D3431" s="2">
        <v>101575367</v>
      </c>
      <c r="E3431" s="2">
        <v>1</v>
      </c>
      <c r="F3431" s="2" t="s">
        <v>10086</v>
      </c>
      <c r="H3431" s="2">
        <v>1.5E-3</v>
      </c>
      <c r="K3431" s="2" t="s">
        <v>10089</v>
      </c>
    </row>
    <row r="3432" spans="1:11" x14ac:dyDescent="0.2">
      <c r="A3432" s="2">
        <v>859</v>
      </c>
      <c r="B3432" s="2">
        <v>5</v>
      </c>
      <c r="C3432" s="2">
        <v>100594082</v>
      </c>
      <c r="D3432" s="2">
        <v>101575367</v>
      </c>
      <c r="E3432" s="2">
        <v>2</v>
      </c>
      <c r="F3432" s="2" t="s">
        <v>10086</v>
      </c>
      <c r="H3432" s="2">
        <v>2.5000000000000001E-3</v>
      </c>
      <c r="K3432" s="2" t="s">
        <v>10088</v>
      </c>
    </row>
    <row r="3433" spans="1:11" x14ac:dyDescent="0.2">
      <c r="A3433" s="2">
        <v>859</v>
      </c>
      <c r="B3433" s="2">
        <v>5</v>
      </c>
      <c r="C3433" s="2">
        <v>100594082</v>
      </c>
      <c r="D3433" s="2">
        <v>101575367</v>
      </c>
      <c r="E3433" s="2">
        <v>3</v>
      </c>
      <c r="F3433" s="2" t="s">
        <v>10086</v>
      </c>
      <c r="H3433" s="2">
        <v>1.5E-3</v>
      </c>
      <c r="K3433" s="2" t="s">
        <v>10087</v>
      </c>
    </row>
    <row r="3434" spans="1:11" x14ac:dyDescent="0.2">
      <c r="A3434" s="2">
        <v>859</v>
      </c>
      <c r="B3434" s="2">
        <v>5</v>
      </c>
      <c r="C3434" s="2">
        <v>100594082</v>
      </c>
      <c r="D3434" s="2">
        <v>101575367</v>
      </c>
      <c r="E3434" s="2">
        <v>4</v>
      </c>
      <c r="F3434" s="2" t="s">
        <v>10086</v>
      </c>
      <c r="H3434" s="2">
        <v>1E-3</v>
      </c>
      <c r="K3434" s="2" t="s">
        <v>10085</v>
      </c>
    </row>
    <row r="3435" spans="1:11" x14ac:dyDescent="0.2">
      <c r="A3435" s="2">
        <v>860</v>
      </c>
      <c r="B3435" s="2">
        <v>5</v>
      </c>
      <c r="C3435" s="2">
        <v>101575368</v>
      </c>
      <c r="D3435" s="2">
        <v>102903985</v>
      </c>
      <c r="E3435" s="2">
        <v>1</v>
      </c>
      <c r="F3435" s="2" t="s">
        <v>10086</v>
      </c>
      <c r="H3435" s="2">
        <v>1E-3</v>
      </c>
      <c r="K3435" s="2" t="s">
        <v>10088</v>
      </c>
    </row>
    <row r="3436" spans="1:11" x14ac:dyDescent="0.2">
      <c r="A3436" s="2">
        <v>860</v>
      </c>
      <c r="B3436" s="2">
        <v>5</v>
      </c>
      <c r="C3436" s="2">
        <v>101575368</v>
      </c>
      <c r="D3436" s="2">
        <v>102903985</v>
      </c>
      <c r="E3436" s="2">
        <v>2</v>
      </c>
      <c r="F3436" s="2" t="s">
        <v>10086</v>
      </c>
      <c r="H3436" s="2">
        <v>1.9E-3</v>
      </c>
      <c r="K3436" s="2" t="s">
        <v>10087</v>
      </c>
    </row>
    <row r="3437" spans="1:11" x14ac:dyDescent="0.2">
      <c r="A3437" s="2">
        <v>860</v>
      </c>
      <c r="B3437" s="2">
        <v>5</v>
      </c>
      <c r="C3437" s="2">
        <v>101575368</v>
      </c>
      <c r="D3437" s="2">
        <v>102903985</v>
      </c>
      <c r="E3437" s="2">
        <v>3</v>
      </c>
      <c r="F3437" s="2" t="s">
        <v>10086</v>
      </c>
      <c r="H3437" s="2">
        <v>1.1999999999999999E-3</v>
      </c>
      <c r="K3437" s="2" t="s">
        <v>10085</v>
      </c>
    </row>
    <row r="3438" spans="1:11" x14ac:dyDescent="0.2">
      <c r="A3438" s="2">
        <v>860</v>
      </c>
      <c r="B3438" s="2">
        <v>5</v>
      </c>
      <c r="C3438" s="2">
        <v>101575368</v>
      </c>
      <c r="D3438" s="2">
        <v>102903985</v>
      </c>
      <c r="E3438" s="2">
        <v>4</v>
      </c>
      <c r="F3438" s="2" t="s">
        <v>10086</v>
      </c>
      <c r="H3438" s="3">
        <v>5.0000000000000001E-4</v>
      </c>
      <c r="K3438" s="2" t="s">
        <v>10089</v>
      </c>
    </row>
    <row r="3439" spans="1:11" x14ac:dyDescent="0.2">
      <c r="A3439" s="2">
        <v>861</v>
      </c>
      <c r="B3439" s="2">
        <v>5</v>
      </c>
      <c r="C3439" s="2">
        <v>102903986</v>
      </c>
      <c r="D3439" s="2">
        <v>103788460</v>
      </c>
      <c r="E3439" s="2">
        <v>1</v>
      </c>
      <c r="F3439" s="2" t="s">
        <v>10086</v>
      </c>
      <c r="H3439" s="2">
        <v>1.6000000000000001E-3</v>
      </c>
      <c r="K3439" s="2" t="s">
        <v>10085</v>
      </c>
    </row>
    <row r="3440" spans="1:11" x14ac:dyDescent="0.2">
      <c r="A3440" s="2">
        <v>861</v>
      </c>
      <c r="B3440" s="2">
        <v>5</v>
      </c>
      <c r="C3440" s="2">
        <v>102903986</v>
      </c>
      <c r="D3440" s="2">
        <v>103788460</v>
      </c>
      <c r="E3440" s="2">
        <v>2</v>
      </c>
      <c r="F3440" s="2" t="s">
        <v>10086</v>
      </c>
      <c r="H3440" s="2">
        <v>1.4E-3</v>
      </c>
      <c r="K3440" s="2" t="s">
        <v>10088</v>
      </c>
    </row>
    <row r="3441" spans="1:11" x14ac:dyDescent="0.2">
      <c r="A3441" s="2">
        <v>861</v>
      </c>
      <c r="B3441" s="2">
        <v>5</v>
      </c>
      <c r="C3441" s="2">
        <v>102903986</v>
      </c>
      <c r="D3441" s="2">
        <v>103788460</v>
      </c>
      <c r="E3441" s="2">
        <v>3</v>
      </c>
      <c r="F3441" s="2" t="s">
        <v>10086</v>
      </c>
      <c r="H3441" s="3">
        <v>6.9999999999999999E-4</v>
      </c>
      <c r="K3441" s="2" t="s">
        <v>10089</v>
      </c>
    </row>
    <row r="3442" spans="1:11" x14ac:dyDescent="0.2">
      <c r="A3442" s="2">
        <v>861</v>
      </c>
      <c r="B3442" s="2">
        <v>5</v>
      </c>
      <c r="C3442" s="2">
        <v>102903986</v>
      </c>
      <c r="D3442" s="2">
        <v>103788460</v>
      </c>
      <c r="E3442" s="2">
        <v>4</v>
      </c>
      <c r="F3442" s="2" t="s">
        <v>10086</v>
      </c>
      <c r="H3442" s="3">
        <v>2.0000000000000001E-4</v>
      </c>
      <c r="K3442" s="2" t="s">
        <v>10087</v>
      </c>
    </row>
    <row r="3443" spans="1:11" x14ac:dyDescent="0.2">
      <c r="A3443" s="2">
        <v>862</v>
      </c>
      <c r="B3443" s="2">
        <v>5</v>
      </c>
      <c r="C3443" s="2">
        <v>103788461</v>
      </c>
      <c r="D3443" s="2">
        <v>104850490</v>
      </c>
      <c r="E3443" s="2">
        <v>1</v>
      </c>
      <c r="F3443" s="2" t="s">
        <v>10086</v>
      </c>
      <c r="H3443" s="2">
        <v>3.0999999999999999E-3</v>
      </c>
      <c r="K3443" s="2" t="s">
        <v>10089</v>
      </c>
    </row>
    <row r="3444" spans="1:11" x14ac:dyDescent="0.2">
      <c r="A3444" s="2">
        <v>862</v>
      </c>
      <c r="B3444" s="2">
        <v>5</v>
      </c>
      <c r="C3444" s="2">
        <v>103788461</v>
      </c>
      <c r="D3444" s="2">
        <v>104850490</v>
      </c>
      <c r="E3444" s="2">
        <v>2</v>
      </c>
      <c r="F3444" s="2" t="s">
        <v>10086</v>
      </c>
      <c r="H3444" s="2">
        <v>1.6000000000000001E-3</v>
      </c>
      <c r="K3444" s="2" t="s">
        <v>10087</v>
      </c>
    </row>
    <row r="3445" spans="1:11" x14ac:dyDescent="0.2">
      <c r="A3445" s="2">
        <v>862</v>
      </c>
      <c r="B3445" s="2">
        <v>5</v>
      </c>
      <c r="C3445" s="2">
        <v>103788461</v>
      </c>
      <c r="D3445" s="2">
        <v>104850490</v>
      </c>
      <c r="E3445" s="2">
        <v>3</v>
      </c>
      <c r="F3445" s="2" t="s">
        <v>10086</v>
      </c>
      <c r="H3445" s="2">
        <v>1.1000000000000001E-3</v>
      </c>
      <c r="K3445" s="2" t="s">
        <v>10088</v>
      </c>
    </row>
    <row r="3446" spans="1:11" x14ac:dyDescent="0.2">
      <c r="A3446" s="2">
        <v>862</v>
      </c>
      <c r="B3446" s="2">
        <v>5</v>
      </c>
      <c r="C3446" s="2">
        <v>103788461</v>
      </c>
      <c r="D3446" s="2">
        <v>104850490</v>
      </c>
      <c r="E3446" s="2">
        <v>4</v>
      </c>
      <c r="F3446" s="2" t="s">
        <v>10086</v>
      </c>
      <c r="H3446" s="3">
        <v>6.9999999999999999E-4</v>
      </c>
      <c r="K3446" s="2" t="s">
        <v>12324</v>
      </c>
    </row>
    <row r="3447" spans="1:11" x14ac:dyDescent="0.2">
      <c r="A3447" s="2">
        <v>863</v>
      </c>
      <c r="B3447" s="2">
        <v>5</v>
      </c>
      <c r="C3447" s="2">
        <v>104850491</v>
      </c>
      <c r="D3447" s="2">
        <v>106389388</v>
      </c>
      <c r="E3447" s="2">
        <v>1</v>
      </c>
      <c r="F3447" s="2" t="s">
        <v>10086</v>
      </c>
      <c r="H3447" s="2">
        <v>1.9E-3</v>
      </c>
      <c r="K3447" s="2" t="s">
        <v>10087</v>
      </c>
    </row>
    <row r="3448" spans="1:11" x14ac:dyDescent="0.2">
      <c r="A3448" s="2">
        <v>863</v>
      </c>
      <c r="B3448" s="2">
        <v>5</v>
      </c>
      <c r="C3448" s="2">
        <v>104850491</v>
      </c>
      <c r="D3448" s="2">
        <v>106389388</v>
      </c>
      <c r="E3448" s="2">
        <v>2</v>
      </c>
      <c r="F3448" s="2" t="s">
        <v>10086</v>
      </c>
      <c r="H3448" s="2">
        <v>2.2000000000000001E-3</v>
      </c>
      <c r="K3448" s="2" t="s">
        <v>10085</v>
      </c>
    </row>
    <row r="3449" spans="1:11" x14ac:dyDescent="0.2">
      <c r="A3449" s="2">
        <v>863</v>
      </c>
      <c r="B3449" s="2">
        <v>5</v>
      </c>
      <c r="C3449" s="2">
        <v>104850491</v>
      </c>
      <c r="D3449" s="2">
        <v>106389388</v>
      </c>
      <c r="E3449" s="2">
        <v>3</v>
      </c>
      <c r="F3449" s="2" t="s">
        <v>10086</v>
      </c>
      <c r="H3449" s="2">
        <v>1.1000000000000001E-3</v>
      </c>
      <c r="K3449" s="2" t="s">
        <v>10089</v>
      </c>
    </row>
    <row r="3450" spans="1:11" x14ac:dyDescent="0.2">
      <c r="A3450" s="2">
        <v>863</v>
      </c>
      <c r="B3450" s="2">
        <v>5</v>
      </c>
      <c r="C3450" s="2">
        <v>104850491</v>
      </c>
      <c r="D3450" s="2">
        <v>106389388</v>
      </c>
      <c r="E3450" s="2">
        <v>4</v>
      </c>
      <c r="F3450" s="2" t="s">
        <v>10086</v>
      </c>
      <c r="H3450" s="3">
        <v>5.0000000000000001E-4</v>
      </c>
      <c r="K3450" s="2" t="s">
        <v>10088</v>
      </c>
    </row>
    <row r="3451" spans="1:11" x14ac:dyDescent="0.2">
      <c r="A3451" s="2">
        <v>864</v>
      </c>
      <c r="B3451" s="2">
        <v>5</v>
      </c>
      <c r="C3451" s="2">
        <v>106389389</v>
      </c>
      <c r="D3451" s="2">
        <v>107265911</v>
      </c>
      <c r="E3451" s="2">
        <v>1</v>
      </c>
      <c r="F3451" s="2" t="s">
        <v>10086</v>
      </c>
      <c r="H3451" s="2">
        <v>2.0999999999999999E-3</v>
      </c>
      <c r="K3451" s="2" t="s">
        <v>10089</v>
      </c>
    </row>
    <row r="3452" spans="1:11" x14ac:dyDescent="0.2">
      <c r="A3452" s="2">
        <v>864</v>
      </c>
      <c r="B3452" s="2">
        <v>5</v>
      </c>
      <c r="C3452" s="2">
        <v>106389389</v>
      </c>
      <c r="D3452" s="2">
        <v>107265911</v>
      </c>
      <c r="E3452" s="2">
        <v>2</v>
      </c>
      <c r="F3452" s="2" t="s">
        <v>10086</v>
      </c>
      <c r="H3452" s="2">
        <v>1.5E-3</v>
      </c>
      <c r="K3452" s="2" t="s">
        <v>10087</v>
      </c>
    </row>
    <row r="3453" spans="1:11" x14ac:dyDescent="0.2">
      <c r="A3453" s="2">
        <v>864</v>
      </c>
      <c r="B3453" s="2">
        <v>5</v>
      </c>
      <c r="C3453" s="2">
        <v>106389389</v>
      </c>
      <c r="D3453" s="2">
        <v>107265911</v>
      </c>
      <c r="E3453" s="2">
        <v>3</v>
      </c>
      <c r="F3453" s="2" t="s">
        <v>10086</v>
      </c>
      <c r="H3453" s="3">
        <v>8.9999999999999998E-4</v>
      </c>
      <c r="K3453" s="2" t="s">
        <v>10088</v>
      </c>
    </row>
    <row r="3454" spans="1:11" x14ac:dyDescent="0.2">
      <c r="A3454" s="2">
        <v>864</v>
      </c>
      <c r="B3454" s="2">
        <v>5</v>
      </c>
      <c r="C3454" s="2">
        <v>106389389</v>
      </c>
      <c r="D3454" s="2">
        <v>107265911</v>
      </c>
      <c r="E3454" s="2">
        <v>4</v>
      </c>
      <c r="F3454" s="2" t="s">
        <v>10086</v>
      </c>
      <c r="H3454" s="3">
        <v>6.9999999999999999E-4</v>
      </c>
      <c r="K3454" s="2" t="s">
        <v>10085</v>
      </c>
    </row>
    <row r="3455" spans="1:11" x14ac:dyDescent="0.2">
      <c r="A3455" s="2">
        <v>865</v>
      </c>
      <c r="B3455" s="2">
        <v>5</v>
      </c>
      <c r="C3455" s="2">
        <v>107265912</v>
      </c>
      <c r="D3455" s="2">
        <v>108641784</v>
      </c>
      <c r="E3455" s="2">
        <v>1</v>
      </c>
      <c r="F3455" s="2" t="s">
        <v>10086</v>
      </c>
      <c r="H3455" s="2">
        <v>8.9999999999999993E-3</v>
      </c>
      <c r="K3455" s="2" t="s">
        <v>10085</v>
      </c>
    </row>
    <row r="3456" spans="1:11" x14ac:dyDescent="0.2">
      <c r="A3456" s="2">
        <v>865</v>
      </c>
      <c r="B3456" s="2">
        <v>5</v>
      </c>
      <c r="C3456" s="2">
        <v>107265912</v>
      </c>
      <c r="D3456" s="2">
        <v>108641784</v>
      </c>
      <c r="E3456" s="2">
        <v>2</v>
      </c>
      <c r="F3456" s="2" t="s">
        <v>10086</v>
      </c>
      <c r="H3456" s="2">
        <v>3.0999999999999999E-3</v>
      </c>
      <c r="K3456" s="2" t="s">
        <v>12324</v>
      </c>
    </row>
    <row r="3457" spans="1:11" x14ac:dyDescent="0.2">
      <c r="A3457" s="2">
        <v>865</v>
      </c>
      <c r="B3457" s="2">
        <v>5</v>
      </c>
      <c r="C3457" s="2">
        <v>107265912</v>
      </c>
      <c r="D3457" s="2">
        <v>108641784</v>
      </c>
      <c r="E3457" s="2">
        <v>3</v>
      </c>
      <c r="F3457" s="2" t="s">
        <v>10086</v>
      </c>
      <c r="H3457" s="2">
        <v>1.6000000000000001E-3</v>
      </c>
      <c r="K3457" s="2" t="s">
        <v>10089</v>
      </c>
    </row>
    <row r="3458" spans="1:11" x14ac:dyDescent="0.2">
      <c r="A3458" s="2">
        <v>865</v>
      </c>
      <c r="B3458" s="2">
        <v>5</v>
      </c>
      <c r="C3458" s="2">
        <v>107265912</v>
      </c>
      <c r="D3458" s="2">
        <v>108641784</v>
      </c>
      <c r="E3458" s="2">
        <v>4</v>
      </c>
      <c r="F3458" s="2" t="s">
        <v>10086</v>
      </c>
      <c r="H3458" s="2">
        <v>1.5E-3</v>
      </c>
      <c r="K3458" s="2" t="s">
        <v>10088</v>
      </c>
    </row>
    <row r="3459" spans="1:11" x14ac:dyDescent="0.2">
      <c r="A3459" s="2">
        <v>866</v>
      </c>
      <c r="B3459" s="2">
        <v>5</v>
      </c>
      <c r="C3459" s="2">
        <v>108641785</v>
      </c>
      <c r="D3459" s="2">
        <v>109606905</v>
      </c>
      <c r="E3459" s="2">
        <v>1</v>
      </c>
      <c r="F3459" s="2" t="s">
        <v>10086</v>
      </c>
      <c r="H3459" s="2">
        <v>1E-3</v>
      </c>
      <c r="K3459" s="2" t="s">
        <v>10085</v>
      </c>
    </row>
    <row r="3460" spans="1:11" x14ac:dyDescent="0.2">
      <c r="A3460" s="2">
        <v>866</v>
      </c>
      <c r="B3460" s="2">
        <v>5</v>
      </c>
      <c r="C3460" s="2">
        <v>108641785</v>
      </c>
      <c r="D3460" s="2">
        <v>109606905</v>
      </c>
      <c r="E3460" s="2">
        <v>2</v>
      </c>
      <c r="F3460" s="2" t="s">
        <v>10086</v>
      </c>
      <c r="H3460" s="2">
        <v>1.1000000000000001E-3</v>
      </c>
      <c r="K3460" s="2" t="s">
        <v>10088</v>
      </c>
    </row>
    <row r="3461" spans="1:11" x14ac:dyDescent="0.2">
      <c r="A3461" s="2">
        <v>866</v>
      </c>
      <c r="B3461" s="2">
        <v>5</v>
      </c>
      <c r="C3461" s="2">
        <v>108641785</v>
      </c>
      <c r="D3461" s="2">
        <v>109606905</v>
      </c>
      <c r="E3461" s="2">
        <v>3</v>
      </c>
      <c r="F3461" s="2" t="s">
        <v>10086</v>
      </c>
      <c r="H3461" s="2">
        <v>1.1000000000000001E-3</v>
      </c>
      <c r="K3461" s="2" t="s">
        <v>10087</v>
      </c>
    </row>
    <row r="3462" spans="1:11" x14ac:dyDescent="0.2">
      <c r="A3462" s="2">
        <v>866</v>
      </c>
      <c r="B3462" s="2">
        <v>5</v>
      </c>
      <c r="C3462" s="2">
        <v>108641785</v>
      </c>
      <c r="D3462" s="2">
        <v>109606905</v>
      </c>
      <c r="E3462" s="2">
        <v>4</v>
      </c>
      <c r="F3462" s="2" t="s">
        <v>10086</v>
      </c>
      <c r="H3462" s="2">
        <v>1E-3</v>
      </c>
      <c r="K3462" s="2" t="s">
        <v>10089</v>
      </c>
    </row>
    <row r="3463" spans="1:11" x14ac:dyDescent="0.2">
      <c r="A3463" s="2">
        <v>867</v>
      </c>
      <c r="B3463" s="2">
        <v>5</v>
      </c>
      <c r="C3463" s="2">
        <v>109606906</v>
      </c>
      <c r="D3463" s="2">
        <v>110819517</v>
      </c>
      <c r="E3463" s="2">
        <v>1</v>
      </c>
      <c r="F3463" s="2" t="s">
        <v>10086</v>
      </c>
      <c r="H3463" s="2">
        <v>4.3E-3</v>
      </c>
      <c r="K3463" s="2" t="s">
        <v>12324</v>
      </c>
    </row>
    <row r="3464" spans="1:11" x14ac:dyDescent="0.2">
      <c r="A3464" s="2">
        <v>867</v>
      </c>
      <c r="B3464" s="2">
        <v>5</v>
      </c>
      <c r="C3464" s="2">
        <v>109606906</v>
      </c>
      <c r="D3464" s="2">
        <v>110819517</v>
      </c>
      <c r="E3464" s="2">
        <v>2</v>
      </c>
      <c r="F3464" s="2" t="s">
        <v>10086</v>
      </c>
      <c r="H3464" s="2">
        <v>7.0000000000000001E-3</v>
      </c>
      <c r="K3464" s="2" t="s">
        <v>10088</v>
      </c>
    </row>
    <row r="3465" spans="1:11" x14ac:dyDescent="0.2">
      <c r="A3465" s="2">
        <v>867</v>
      </c>
      <c r="B3465" s="2">
        <v>5</v>
      </c>
      <c r="C3465" s="2">
        <v>109606906</v>
      </c>
      <c r="D3465" s="2">
        <v>110819517</v>
      </c>
      <c r="E3465" s="2">
        <v>3</v>
      </c>
      <c r="F3465" s="2" t="s">
        <v>10086</v>
      </c>
      <c r="H3465" s="2">
        <v>4.4999999999999997E-3</v>
      </c>
      <c r="K3465" s="2" t="s">
        <v>10089</v>
      </c>
    </row>
    <row r="3466" spans="1:11" x14ac:dyDescent="0.2">
      <c r="A3466" s="2">
        <v>867</v>
      </c>
      <c r="B3466" s="2">
        <v>5</v>
      </c>
      <c r="C3466" s="2">
        <v>109606906</v>
      </c>
      <c r="D3466" s="2">
        <v>110819517</v>
      </c>
      <c r="E3466" s="2">
        <v>4</v>
      </c>
      <c r="F3466" s="2" t="s">
        <v>10086</v>
      </c>
      <c r="H3466" s="2">
        <v>1.1000000000000001E-3</v>
      </c>
      <c r="K3466" s="2" t="s">
        <v>10087</v>
      </c>
    </row>
    <row r="3467" spans="1:11" x14ac:dyDescent="0.2">
      <c r="A3467" s="2">
        <v>868</v>
      </c>
      <c r="B3467" s="2">
        <v>5</v>
      </c>
      <c r="C3467" s="2">
        <v>110819518</v>
      </c>
      <c r="D3467" s="2">
        <v>111983115</v>
      </c>
      <c r="E3467" s="2">
        <v>1</v>
      </c>
      <c r="F3467" s="2" t="s">
        <v>10086</v>
      </c>
      <c r="H3467" s="2">
        <v>3.0999999999999999E-3</v>
      </c>
      <c r="K3467" s="2" t="s">
        <v>12324</v>
      </c>
    </row>
    <row r="3468" spans="1:11" x14ac:dyDescent="0.2">
      <c r="A3468" s="2">
        <v>868</v>
      </c>
      <c r="B3468" s="2">
        <v>5</v>
      </c>
      <c r="C3468" s="2">
        <v>110819518</v>
      </c>
      <c r="D3468" s="2">
        <v>111983115</v>
      </c>
      <c r="E3468" s="2">
        <v>2</v>
      </c>
      <c r="F3468" s="2" t="s">
        <v>10086</v>
      </c>
      <c r="H3468" s="2">
        <v>2.7000000000000001E-3</v>
      </c>
      <c r="K3468" s="2" t="s">
        <v>10089</v>
      </c>
    </row>
    <row r="3469" spans="1:11" x14ac:dyDescent="0.2">
      <c r="A3469" s="2">
        <v>868</v>
      </c>
      <c r="B3469" s="2">
        <v>5</v>
      </c>
      <c r="C3469" s="2">
        <v>110819518</v>
      </c>
      <c r="D3469" s="2">
        <v>111983115</v>
      </c>
      <c r="E3469" s="2">
        <v>3</v>
      </c>
      <c r="F3469" s="2" t="s">
        <v>10086</v>
      </c>
      <c r="H3469" s="2">
        <v>1.5E-3</v>
      </c>
      <c r="K3469" s="2" t="s">
        <v>10085</v>
      </c>
    </row>
    <row r="3470" spans="1:11" x14ac:dyDescent="0.2">
      <c r="A3470" s="2">
        <v>868</v>
      </c>
      <c r="B3470" s="2">
        <v>5</v>
      </c>
      <c r="C3470" s="2">
        <v>110819518</v>
      </c>
      <c r="D3470" s="2">
        <v>111983115</v>
      </c>
      <c r="E3470" s="2">
        <v>4</v>
      </c>
      <c r="F3470" s="2" t="s">
        <v>10086</v>
      </c>
      <c r="H3470" s="2">
        <v>1.2999999999999999E-3</v>
      </c>
      <c r="K3470" s="2" t="s">
        <v>10087</v>
      </c>
    </row>
    <row r="3471" spans="1:11" x14ac:dyDescent="0.2">
      <c r="A3471" s="2">
        <v>869</v>
      </c>
      <c r="B3471" s="2">
        <v>5</v>
      </c>
      <c r="C3471" s="2">
        <v>111983116</v>
      </c>
      <c r="D3471" s="2">
        <v>113121555</v>
      </c>
      <c r="E3471" s="2">
        <v>1</v>
      </c>
      <c r="F3471" s="2" t="s">
        <v>10086</v>
      </c>
      <c r="H3471" s="2">
        <v>1.6000000000000001E-3</v>
      </c>
      <c r="K3471" s="2" t="s">
        <v>10088</v>
      </c>
    </row>
    <row r="3472" spans="1:11" x14ac:dyDescent="0.2">
      <c r="A3472" s="2">
        <v>869</v>
      </c>
      <c r="B3472" s="2">
        <v>5</v>
      </c>
      <c r="C3472" s="2">
        <v>111983116</v>
      </c>
      <c r="D3472" s="2">
        <v>113121555</v>
      </c>
      <c r="E3472" s="2">
        <v>2</v>
      </c>
      <c r="F3472" s="2" t="s">
        <v>10086</v>
      </c>
      <c r="H3472" s="2">
        <v>1.1000000000000001E-3</v>
      </c>
      <c r="K3472" s="2" t="s">
        <v>10087</v>
      </c>
    </row>
    <row r="3473" spans="1:11" x14ac:dyDescent="0.2">
      <c r="A3473" s="2">
        <v>869</v>
      </c>
      <c r="B3473" s="2">
        <v>5</v>
      </c>
      <c r="C3473" s="2">
        <v>111983116</v>
      </c>
      <c r="D3473" s="2">
        <v>113121555</v>
      </c>
      <c r="E3473" s="2">
        <v>3</v>
      </c>
      <c r="F3473" s="2" t="s">
        <v>10086</v>
      </c>
      <c r="H3473" s="2">
        <v>1.1000000000000001E-3</v>
      </c>
      <c r="K3473" s="2" t="s">
        <v>10085</v>
      </c>
    </row>
    <row r="3474" spans="1:11" x14ac:dyDescent="0.2">
      <c r="A3474" s="2">
        <v>869</v>
      </c>
      <c r="B3474" s="2">
        <v>5</v>
      </c>
      <c r="C3474" s="2">
        <v>111983116</v>
      </c>
      <c r="D3474" s="2">
        <v>113121555</v>
      </c>
      <c r="E3474" s="2">
        <v>4</v>
      </c>
      <c r="F3474" s="2" t="s">
        <v>10086</v>
      </c>
      <c r="H3474" s="3">
        <v>8.0000000000000004E-4</v>
      </c>
      <c r="K3474" s="2" t="s">
        <v>10089</v>
      </c>
    </row>
    <row r="3475" spans="1:11" x14ac:dyDescent="0.2">
      <c r="A3475" s="2">
        <v>870</v>
      </c>
      <c r="B3475" s="2">
        <v>5</v>
      </c>
      <c r="C3475" s="2">
        <v>113121556</v>
      </c>
      <c r="D3475" s="2">
        <v>113998532</v>
      </c>
      <c r="E3475" s="2">
        <v>1</v>
      </c>
      <c r="F3475" s="2" t="s">
        <v>10086</v>
      </c>
      <c r="H3475" s="2">
        <v>1.4E-3</v>
      </c>
      <c r="K3475" s="2" t="s">
        <v>10088</v>
      </c>
    </row>
    <row r="3476" spans="1:11" x14ac:dyDescent="0.2">
      <c r="A3476" s="2">
        <v>870</v>
      </c>
      <c r="B3476" s="2">
        <v>5</v>
      </c>
      <c r="C3476" s="2">
        <v>113121556</v>
      </c>
      <c r="D3476" s="2">
        <v>113998532</v>
      </c>
      <c r="E3476" s="2">
        <v>2</v>
      </c>
      <c r="F3476" s="2" t="s">
        <v>10086</v>
      </c>
      <c r="H3476" s="2">
        <v>2.3E-3</v>
      </c>
      <c r="K3476" s="2" t="s">
        <v>10087</v>
      </c>
    </row>
    <row r="3477" spans="1:11" x14ac:dyDescent="0.2">
      <c r="A3477" s="2">
        <v>870</v>
      </c>
      <c r="B3477" s="2">
        <v>5</v>
      </c>
      <c r="C3477" s="2">
        <v>113121556</v>
      </c>
      <c r="D3477" s="2">
        <v>113998532</v>
      </c>
      <c r="E3477" s="2">
        <v>3</v>
      </c>
      <c r="F3477" s="2" t="s">
        <v>10086</v>
      </c>
      <c r="H3477" s="3">
        <v>6.9999999999999999E-4</v>
      </c>
      <c r="K3477" s="2" t="s">
        <v>10085</v>
      </c>
    </row>
    <row r="3478" spans="1:11" x14ac:dyDescent="0.2">
      <c r="A3478" s="2">
        <v>870</v>
      </c>
      <c r="B3478" s="2">
        <v>5</v>
      </c>
      <c r="C3478" s="2">
        <v>113121556</v>
      </c>
      <c r="D3478" s="2">
        <v>113998532</v>
      </c>
      <c r="E3478" s="2">
        <v>4</v>
      </c>
      <c r="F3478" s="2" t="s">
        <v>10086</v>
      </c>
      <c r="H3478" s="3">
        <v>4.0000000000000002E-4</v>
      </c>
      <c r="K3478" s="2" t="s">
        <v>10089</v>
      </c>
    </row>
    <row r="3479" spans="1:11" x14ac:dyDescent="0.2">
      <c r="A3479" s="2">
        <v>871</v>
      </c>
      <c r="B3479" s="2">
        <v>5</v>
      </c>
      <c r="C3479" s="2">
        <v>113998533</v>
      </c>
      <c r="D3479" s="2">
        <v>115117631</v>
      </c>
      <c r="E3479" s="2">
        <v>1</v>
      </c>
      <c r="F3479" s="2" t="s">
        <v>10086</v>
      </c>
      <c r="H3479" s="2">
        <v>3.3E-3</v>
      </c>
      <c r="K3479" s="2" t="s">
        <v>10088</v>
      </c>
    </row>
    <row r="3480" spans="1:11" x14ac:dyDescent="0.2">
      <c r="A3480" s="2">
        <v>871</v>
      </c>
      <c r="B3480" s="2">
        <v>5</v>
      </c>
      <c r="C3480" s="2">
        <v>113998533</v>
      </c>
      <c r="D3480" s="2">
        <v>115117631</v>
      </c>
      <c r="E3480" s="2">
        <v>2</v>
      </c>
      <c r="F3480" s="2" t="s">
        <v>10086</v>
      </c>
      <c r="H3480" s="2">
        <v>1.1999999999999999E-3</v>
      </c>
      <c r="K3480" s="2" t="s">
        <v>10085</v>
      </c>
    </row>
    <row r="3481" spans="1:11" x14ac:dyDescent="0.2">
      <c r="A3481" s="2">
        <v>871</v>
      </c>
      <c r="B3481" s="2">
        <v>5</v>
      </c>
      <c r="C3481" s="2">
        <v>113998533</v>
      </c>
      <c r="D3481" s="2">
        <v>115117631</v>
      </c>
      <c r="E3481" s="2">
        <v>3</v>
      </c>
      <c r="F3481" s="2" t="s">
        <v>10086</v>
      </c>
      <c r="H3481" s="2">
        <v>1.1999999999999999E-3</v>
      </c>
      <c r="K3481" s="2" t="s">
        <v>10087</v>
      </c>
    </row>
    <row r="3482" spans="1:11" x14ac:dyDescent="0.2">
      <c r="A3482" s="2">
        <v>871</v>
      </c>
      <c r="B3482" s="2">
        <v>5</v>
      </c>
      <c r="C3482" s="2">
        <v>113998533</v>
      </c>
      <c r="D3482" s="2">
        <v>115117631</v>
      </c>
      <c r="E3482" s="2">
        <v>4</v>
      </c>
      <c r="F3482" s="2" t="s">
        <v>10086</v>
      </c>
      <c r="H3482" s="3">
        <v>5.0000000000000001E-4</v>
      </c>
      <c r="K3482" s="2" t="s">
        <v>10089</v>
      </c>
    </row>
    <row r="3483" spans="1:11" x14ac:dyDescent="0.2">
      <c r="A3483" s="2">
        <v>872</v>
      </c>
      <c r="B3483" s="2">
        <v>5</v>
      </c>
      <c r="C3483" s="2">
        <v>115117632</v>
      </c>
      <c r="D3483" s="2">
        <v>116208000</v>
      </c>
      <c r="E3483" s="2">
        <v>1</v>
      </c>
      <c r="F3483" s="2" t="s">
        <v>10086</v>
      </c>
      <c r="H3483" s="2">
        <v>2.2000000000000001E-3</v>
      </c>
      <c r="K3483" s="2" t="s">
        <v>10085</v>
      </c>
    </row>
    <row r="3484" spans="1:11" x14ac:dyDescent="0.2">
      <c r="A3484" s="2">
        <v>872</v>
      </c>
      <c r="B3484" s="2">
        <v>5</v>
      </c>
      <c r="C3484" s="2">
        <v>115117632</v>
      </c>
      <c r="D3484" s="2">
        <v>116208000</v>
      </c>
      <c r="E3484" s="2">
        <v>2</v>
      </c>
      <c r="F3484" s="2" t="s">
        <v>10086</v>
      </c>
      <c r="H3484" s="2">
        <v>1.6000000000000001E-3</v>
      </c>
      <c r="K3484" s="2" t="s">
        <v>10087</v>
      </c>
    </row>
    <row r="3485" spans="1:11" x14ac:dyDescent="0.2">
      <c r="A3485" s="2">
        <v>872</v>
      </c>
      <c r="B3485" s="2">
        <v>5</v>
      </c>
      <c r="C3485" s="2">
        <v>115117632</v>
      </c>
      <c r="D3485" s="2">
        <v>116208000</v>
      </c>
      <c r="E3485" s="2">
        <v>3</v>
      </c>
      <c r="F3485" s="2" t="s">
        <v>10086</v>
      </c>
      <c r="H3485" s="2">
        <v>1.6000000000000001E-3</v>
      </c>
      <c r="K3485" s="2" t="s">
        <v>10089</v>
      </c>
    </row>
    <row r="3486" spans="1:11" x14ac:dyDescent="0.2">
      <c r="A3486" s="2">
        <v>872</v>
      </c>
      <c r="B3486" s="2">
        <v>5</v>
      </c>
      <c r="C3486" s="2">
        <v>115117632</v>
      </c>
      <c r="D3486" s="2">
        <v>116208000</v>
      </c>
      <c r="E3486" s="2">
        <v>4</v>
      </c>
      <c r="F3486" s="2" t="s">
        <v>10086</v>
      </c>
      <c r="H3486" s="3">
        <v>5.9999999999999995E-4</v>
      </c>
      <c r="K3486" s="2" t="s">
        <v>10088</v>
      </c>
    </row>
    <row r="3487" spans="1:11" x14ac:dyDescent="0.2">
      <c r="A3487" s="2">
        <v>873</v>
      </c>
      <c r="B3487" s="2">
        <v>5</v>
      </c>
      <c r="C3487" s="2">
        <v>116208001</v>
      </c>
      <c r="D3487" s="2">
        <v>117348497</v>
      </c>
      <c r="E3487" s="2">
        <v>1</v>
      </c>
      <c r="F3487" s="2" t="s">
        <v>10086</v>
      </c>
      <c r="H3487" s="2">
        <v>2.5000000000000001E-3</v>
      </c>
      <c r="K3487" s="2" t="s">
        <v>10087</v>
      </c>
    </row>
    <row r="3488" spans="1:11" x14ac:dyDescent="0.2">
      <c r="A3488" s="2">
        <v>873</v>
      </c>
      <c r="B3488" s="2">
        <v>5</v>
      </c>
      <c r="C3488" s="2">
        <v>116208001</v>
      </c>
      <c r="D3488" s="2">
        <v>117348497</v>
      </c>
      <c r="E3488" s="2">
        <v>2</v>
      </c>
      <c r="F3488" s="2" t="s">
        <v>10086</v>
      </c>
      <c r="H3488" s="2">
        <v>1.1999999999999999E-3</v>
      </c>
      <c r="K3488" s="2" t="s">
        <v>10089</v>
      </c>
    </row>
    <row r="3489" spans="1:11" x14ac:dyDescent="0.2">
      <c r="A3489" s="2">
        <v>873</v>
      </c>
      <c r="B3489" s="2">
        <v>5</v>
      </c>
      <c r="C3489" s="2">
        <v>116208001</v>
      </c>
      <c r="D3489" s="2">
        <v>117348497</v>
      </c>
      <c r="E3489" s="2">
        <v>3</v>
      </c>
      <c r="F3489" s="2" t="s">
        <v>10086</v>
      </c>
      <c r="H3489" s="2">
        <v>1.1000000000000001E-3</v>
      </c>
      <c r="K3489" s="2" t="s">
        <v>10085</v>
      </c>
    </row>
    <row r="3490" spans="1:11" x14ac:dyDescent="0.2">
      <c r="A3490" s="2">
        <v>873</v>
      </c>
      <c r="B3490" s="2">
        <v>5</v>
      </c>
      <c r="C3490" s="2">
        <v>116208001</v>
      </c>
      <c r="D3490" s="2">
        <v>117348497</v>
      </c>
      <c r="E3490" s="2">
        <v>4</v>
      </c>
      <c r="F3490" s="2" t="s">
        <v>10086</v>
      </c>
      <c r="H3490" s="3">
        <v>6.9999999999999999E-4</v>
      </c>
      <c r="K3490" s="2" t="s">
        <v>10088</v>
      </c>
    </row>
    <row r="3491" spans="1:11" x14ac:dyDescent="0.2">
      <c r="A3491" s="2">
        <v>874</v>
      </c>
      <c r="B3491" s="2">
        <v>5</v>
      </c>
      <c r="C3491" s="2">
        <v>117348498</v>
      </c>
      <c r="D3491" s="2">
        <v>118605251</v>
      </c>
      <c r="E3491" s="2">
        <v>1</v>
      </c>
      <c r="F3491" s="2" t="s">
        <v>10086</v>
      </c>
      <c r="H3491" s="2">
        <v>1.5E-3</v>
      </c>
      <c r="K3491" s="2" t="s">
        <v>10088</v>
      </c>
    </row>
    <row r="3492" spans="1:11" x14ac:dyDescent="0.2">
      <c r="A3492" s="2">
        <v>874</v>
      </c>
      <c r="B3492" s="2">
        <v>5</v>
      </c>
      <c r="C3492" s="2">
        <v>117348498</v>
      </c>
      <c r="D3492" s="2">
        <v>118605251</v>
      </c>
      <c r="E3492" s="2">
        <v>2</v>
      </c>
      <c r="F3492" s="2" t="s">
        <v>10086</v>
      </c>
      <c r="H3492" s="2">
        <v>1.6999999999999999E-3</v>
      </c>
      <c r="K3492" s="2" t="s">
        <v>10089</v>
      </c>
    </row>
    <row r="3493" spans="1:11" x14ac:dyDescent="0.2">
      <c r="A3493" s="2">
        <v>874</v>
      </c>
      <c r="B3493" s="2">
        <v>5</v>
      </c>
      <c r="C3493" s="2">
        <v>117348498</v>
      </c>
      <c r="D3493" s="2">
        <v>118605251</v>
      </c>
      <c r="E3493" s="2">
        <v>3</v>
      </c>
      <c r="F3493" s="2" t="s">
        <v>10086</v>
      </c>
      <c r="H3493" s="2">
        <v>1.6000000000000001E-3</v>
      </c>
      <c r="K3493" s="2" t="s">
        <v>10087</v>
      </c>
    </row>
    <row r="3494" spans="1:11" x14ac:dyDescent="0.2">
      <c r="A3494" s="2">
        <v>874</v>
      </c>
      <c r="B3494" s="2">
        <v>5</v>
      </c>
      <c r="C3494" s="2">
        <v>117348498</v>
      </c>
      <c r="D3494" s="2">
        <v>118605251</v>
      </c>
      <c r="E3494" s="2">
        <v>4</v>
      </c>
      <c r="F3494" s="2" t="s">
        <v>10086</v>
      </c>
      <c r="H3494" s="3">
        <v>5.9999999999999995E-4</v>
      </c>
      <c r="K3494" s="2" t="s">
        <v>10085</v>
      </c>
    </row>
    <row r="3495" spans="1:11" x14ac:dyDescent="0.2">
      <c r="A3495" s="2">
        <v>875</v>
      </c>
      <c r="B3495" s="2">
        <v>5</v>
      </c>
      <c r="C3495" s="2">
        <v>118605252</v>
      </c>
      <c r="D3495" s="2">
        <v>119664173</v>
      </c>
      <c r="E3495" s="2">
        <v>1</v>
      </c>
      <c r="F3495" s="2" t="s">
        <v>10086</v>
      </c>
      <c r="H3495" s="2">
        <v>3.5000000000000001E-3</v>
      </c>
      <c r="K3495" s="2" t="s">
        <v>10087</v>
      </c>
    </row>
    <row r="3496" spans="1:11" x14ac:dyDescent="0.2">
      <c r="A3496" s="2">
        <v>875</v>
      </c>
      <c r="B3496" s="2">
        <v>5</v>
      </c>
      <c r="C3496" s="2">
        <v>118605252</v>
      </c>
      <c r="D3496" s="2">
        <v>119664173</v>
      </c>
      <c r="E3496" s="2">
        <v>2</v>
      </c>
      <c r="F3496" s="2" t="s">
        <v>10086</v>
      </c>
      <c r="H3496" s="2">
        <v>1.5E-3</v>
      </c>
      <c r="K3496" s="2" t="s">
        <v>10089</v>
      </c>
    </row>
    <row r="3497" spans="1:11" x14ac:dyDescent="0.2">
      <c r="A3497" s="2">
        <v>875</v>
      </c>
      <c r="B3497" s="2">
        <v>5</v>
      </c>
      <c r="C3497" s="2">
        <v>118605252</v>
      </c>
      <c r="D3497" s="2">
        <v>119664173</v>
      </c>
      <c r="E3497" s="2">
        <v>3</v>
      </c>
      <c r="F3497" s="2" t="s">
        <v>10086</v>
      </c>
      <c r="H3497" s="2">
        <v>1.2999999999999999E-3</v>
      </c>
      <c r="K3497" s="2" t="s">
        <v>10085</v>
      </c>
    </row>
    <row r="3498" spans="1:11" x14ac:dyDescent="0.2">
      <c r="A3498" s="2">
        <v>875</v>
      </c>
      <c r="B3498" s="2">
        <v>5</v>
      </c>
      <c r="C3498" s="2">
        <v>118605252</v>
      </c>
      <c r="D3498" s="2">
        <v>119664173</v>
      </c>
      <c r="E3498" s="2">
        <v>4</v>
      </c>
      <c r="F3498" s="2" t="s">
        <v>10086</v>
      </c>
      <c r="H3498" s="3">
        <v>5.9999999999999995E-4</v>
      </c>
      <c r="K3498" s="2" t="s">
        <v>10088</v>
      </c>
    </row>
    <row r="3499" spans="1:11" x14ac:dyDescent="0.2">
      <c r="A3499" s="2">
        <v>876</v>
      </c>
      <c r="B3499" s="2">
        <v>5</v>
      </c>
      <c r="C3499" s="2">
        <v>119664174</v>
      </c>
      <c r="D3499" s="2">
        <v>120371857</v>
      </c>
      <c r="E3499" s="2">
        <v>1</v>
      </c>
      <c r="F3499" s="2" t="s">
        <v>10086</v>
      </c>
      <c r="H3499" s="2">
        <v>1.6999999999999999E-3</v>
      </c>
      <c r="K3499" s="2" t="s">
        <v>10087</v>
      </c>
    </row>
    <row r="3500" spans="1:11" x14ac:dyDescent="0.2">
      <c r="A3500" s="2">
        <v>876</v>
      </c>
      <c r="B3500" s="2">
        <v>5</v>
      </c>
      <c r="C3500" s="2">
        <v>119664174</v>
      </c>
      <c r="D3500" s="2">
        <v>120371857</v>
      </c>
      <c r="E3500" s="2">
        <v>2</v>
      </c>
      <c r="F3500" s="2" t="s">
        <v>10086</v>
      </c>
      <c r="H3500" s="2">
        <v>1E-3</v>
      </c>
      <c r="K3500" s="2" t="s">
        <v>10089</v>
      </c>
    </row>
    <row r="3501" spans="1:11" x14ac:dyDescent="0.2">
      <c r="A3501" s="2">
        <v>876</v>
      </c>
      <c r="B3501" s="2">
        <v>5</v>
      </c>
      <c r="C3501" s="2">
        <v>119664174</v>
      </c>
      <c r="D3501" s="2">
        <v>120371857</v>
      </c>
      <c r="E3501" s="2">
        <v>3</v>
      </c>
      <c r="F3501" s="2" t="s">
        <v>10086</v>
      </c>
      <c r="H3501" s="3">
        <v>6.9999999999999999E-4</v>
      </c>
      <c r="K3501" s="2" t="s">
        <v>10085</v>
      </c>
    </row>
    <row r="3502" spans="1:11" x14ac:dyDescent="0.2">
      <c r="A3502" s="2">
        <v>876</v>
      </c>
      <c r="B3502" s="2">
        <v>5</v>
      </c>
      <c r="C3502" s="2">
        <v>119664174</v>
      </c>
      <c r="D3502" s="2">
        <v>120371857</v>
      </c>
      <c r="E3502" s="2">
        <v>4</v>
      </c>
      <c r="F3502" s="2" t="s">
        <v>10086</v>
      </c>
      <c r="H3502" s="3">
        <v>4.0000000000000002E-4</v>
      </c>
      <c r="K3502" s="2" t="s">
        <v>10088</v>
      </c>
    </row>
    <row r="3503" spans="1:11" x14ac:dyDescent="0.2">
      <c r="A3503" s="2">
        <v>877</v>
      </c>
      <c r="B3503" s="2">
        <v>5</v>
      </c>
      <c r="C3503" s="2">
        <v>120371858</v>
      </c>
      <c r="D3503" s="2">
        <v>120960737</v>
      </c>
      <c r="E3503" s="2">
        <v>1</v>
      </c>
      <c r="F3503" s="2" t="s">
        <v>10086</v>
      </c>
      <c r="H3503" s="3">
        <v>6.9999999999999999E-4</v>
      </c>
      <c r="K3503" s="2" t="s">
        <v>10089</v>
      </c>
    </row>
    <row r="3504" spans="1:11" x14ac:dyDescent="0.2">
      <c r="A3504" s="2">
        <v>877</v>
      </c>
      <c r="B3504" s="2">
        <v>5</v>
      </c>
      <c r="C3504" s="2">
        <v>120371858</v>
      </c>
      <c r="D3504" s="2">
        <v>120960737</v>
      </c>
      <c r="E3504" s="2">
        <v>2</v>
      </c>
      <c r="F3504" s="2" t="s">
        <v>10086</v>
      </c>
      <c r="H3504" s="3">
        <v>5.9999999999999995E-4</v>
      </c>
      <c r="K3504" s="2" t="s">
        <v>10087</v>
      </c>
    </row>
    <row r="3505" spans="1:11" x14ac:dyDescent="0.2">
      <c r="A3505" s="2">
        <v>877</v>
      </c>
      <c r="B3505" s="2">
        <v>5</v>
      </c>
      <c r="C3505" s="2">
        <v>120371858</v>
      </c>
      <c r="D3505" s="2">
        <v>120960737</v>
      </c>
      <c r="E3505" s="2">
        <v>3</v>
      </c>
      <c r="F3505" s="2" t="s">
        <v>10086</v>
      </c>
      <c r="H3505" s="3">
        <v>8.9999999999999998E-4</v>
      </c>
      <c r="K3505" s="2" t="s">
        <v>10085</v>
      </c>
    </row>
    <row r="3506" spans="1:11" x14ac:dyDescent="0.2">
      <c r="A3506" s="2">
        <v>877</v>
      </c>
      <c r="B3506" s="2">
        <v>5</v>
      </c>
      <c r="C3506" s="2">
        <v>120371858</v>
      </c>
      <c r="D3506" s="2">
        <v>120960737</v>
      </c>
      <c r="E3506" s="2">
        <v>4</v>
      </c>
      <c r="F3506" s="2" t="s">
        <v>10086</v>
      </c>
      <c r="H3506" s="3">
        <v>2.0000000000000001E-4</v>
      </c>
      <c r="K3506" s="2" t="s">
        <v>10088</v>
      </c>
    </row>
    <row r="3507" spans="1:11" x14ac:dyDescent="0.2">
      <c r="A3507" s="2">
        <v>878</v>
      </c>
      <c r="B3507" s="2">
        <v>5</v>
      </c>
      <c r="C3507" s="2">
        <v>120960738</v>
      </c>
      <c r="D3507" s="2">
        <v>122005291</v>
      </c>
      <c r="E3507" s="2">
        <v>1</v>
      </c>
      <c r="F3507" s="2" t="s">
        <v>10086</v>
      </c>
      <c r="H3507" s="2">
        <v>1.1999999999999999E-3</v>
      </c>
      <c r="K3507" s="2" t="s">
        <v>10089</v>
      </c>
    </row>
    <row r="3508" spans="1:11" x14ac:dyDescent="0.2">
      <c r="A3508" s="2">
        <v>878</v>
      </c>
      <c r="B3508" s="2">
        <v>5</v>
      </c>
      <c r="C3508" s="2">
        <v>120960738</v>
      </c>
      <c r="D3508" s="2">
        <v>122005291</v>
      </c>
      <c r="E3508" s="2">
        <v>2</v>
      </c>
      <c r="F3508" s="2" t="s">
        <v>10086</v>
      </c>
      <c r="H3508" s="2">
        <v>1.4E-3</v>
      </c>
      <c r="K3508" s="2" t="s">
        <v>10088</v>
      </c>
    </row>
    <row r="3509" spans="1:11" x14ac:dyDescent="0.2">
      <c r="A3509" s="2">
        <v>878</v>
      </c>
      <c r="B3509" s="2">
        <v>5</v>
      </c>
      <c r="C3509" s="2">
        <v>120960738</v>
      </c>
      <c r="D3509" s="2">
        <v>122005291</v>
      </c>
      <c r="E3509" s="2">
        <v>3</v>
      </c>
      <c r="F3509" s="2" t="s">
        <v>10086</v>
      </c>
      <c r="H3509" s="3">
        <v>8.0000000000000004E-4</v>
      </c>
      <c r="K3509" s="2" t="s">
        <v>10087</v>
      </c>
    </row>
    <row r="3510" spans="1:11" x14ac:dyDescent="0.2">
      <c r="A3510" s="2">
        <v>878</v>
      </c>
      <c r="B3510" s="2">
        <v>5</v>
      </c>
      <c r="C3510" s="2">
        <v>120960738</v>
      </c>
      <c r="D3510" s="2">
        <v>122005291</v>
      </c>
      <c r="E3510" s="2">
        <v>4</v>
      </c>
      <c r="F3510" s="2" t="s">
        <v>10086</v>
      </c>
      <c r="H3510" s="3">
        <v>4.0000000000000002E-4</v>
      </c>
      <c r="K3510" s="2" t="s">
        <v>10085</v>
      </c>
    </row>
    <row r="3511" spans="1:11" x14ac:dyDescent="0.2">
      <c r="A3511" s="2">
        <v>879</v>
      </c>
      <c r="B3511" s="2">
        <v>5</v>
      </c>
      <c r="C3511" s="2">
        <v>122005292</v>
      </c>
      <c r="D3511" s="2">
        <v>123191941</v>
      </c>
      <c r="E3511" s="2">
        <v>1</v>
      </c>
      <c r="F3511" s="2" t="s">
        <v>10086</v>
      </c>
      <c r="H3511" s="2">
        <v>2.7000000000000001E-3</v>
      </c>
      <c r="K3511" s="2" t="s">
        <v>10087</v>
      </c>
    </row>
    <row r="3512" spans="1:11" x14ac:dyDescent="0.2">
      <c r="A3512" s="2">
        <v>879</v>
      </c>
      <c r="B3512" s="2">
        <v>5</v>
      </c>
      <c r="C3512" s="2">
        <v>122005292</v>
      </c>
      <c r="D3512" s="2">
        <v>123191941</v>
      </c>
      <c r="E3512" s="2">
        <v>2</v>
      </c>
      <c r="F3512" s="2" t="s">
        <v>10086</v>
      </c>
      <c r="H3512" s="2">
        <v>1.6000000000000001E-3</v>
      </c>
      <c r="K3512" s="2" t="s">
        <v>10089</v>
      </c>
    </row>
    <row r="3513" spans="1:11" x14ac:dyDescent="0.2">
      <c r="A3513" s="2">
        <v>879</v>
      </c>
      <c r="B3513" s="2">
        <v>5</v>
      </c>
      <c r="C3513" s="2">
        <v>122005292</v>
      </c>
      <c r="D3513" s="2">
        <v>123191941</v>
      </c>
      <c r="E3513" s="2">
        <v>3</v>
      </c>
      <c r="F3513" s="2" t="s">
        <v>10086</v>
      </c>
      <c r="H3513" s="3">
        <v>6.9999999999999999E-4</v>
      </c>
      <c r="K3513" s="2" t="s">
        <v>10088</v>
      </c>
    </row>
    <row r="3514" spans="1:11" x14ac:dyDescent="0.2">
      <c r="A3514" s="2">
        <v>879</v>
      </c>
      <c r="B3514" s="2">
        <v>5</v>
      </c>
      <c r="C3514" s="2">
        <v>122005292</v>
      </c>
      <c r="D3514" s="2">
        <v>123191941</v>
      </c>
      <c r="E3514" s="2">
        <v>4</v>
      </c>
      <c r="F3514" s="2" t="s">
        <v>10086</v>
      </c>
      <c r="H3514" s="3">
        <v>2.9999999999999997E-4</v>
      </c>
      <c r="K3514" s="2" t="s">
        <v>10085</v>
      </c>
    </row>
    <row r="3515" spans="1:11" x14ac:dyDescent="0.2">
      <c r="A3515" s="2">
        <v>880</v>
      </c>
      <c r="B3515" s="2">
        <v>5</v>
      </c>
      <c r="C3515" s="2">
        <v>123191942</v>
      </c>
      <c r="D3515" s="2">
        <v>124109485</v>
      </c>
      <c r="E3515" s="2">
        <v>1</v>
      </c>
      <c r="F3515" s="2" t="s">
        <v>10086</v>
      </c>
      <c r="H3515" s="2">
        <v>2.8999999999999998E-3</v>
      </c>
      <c r="K3515" s="2" t="s">
        <v>10087</v>
      </c>
    </row>
    <row r="3516" spans="1:11" x14ac:dyDescent="0.2">
      <c r="A3516" s="2">
        <v>880</v>
      </c>
      <c r="B3516" s="2">
        <v>5</v>
      </c>
      <c r="C3516" s="2">
        <v>123191942</v>
      </c>
      <c r="D3516" s="2">
        <v>124109485</v>
      </c>
      <c r="E3516" s="2">
        <v>2</v>
      </c>
      <c r="F3516" s="2" t="s">
        <v>10086</v>
      </c>
      <c r="H3516" s="2">
        <v>2.8999999999999998E-3</v>
      </c>
      <c r="K3516" s="2" t="s">
        <v>10089</v>
      </c>
    </row>
    <row r="3517" spans="1:11" x14ac:dyDescent="0.2">
      <c r="A3517" s="2">
        <v>880</v>
      </c>
      <c r="B3517" s="2">
        <v>5</v>
      </c>
      <c r="C3517" s="2">
        <v>123191942</v>
      </c>
      <c r="D3517" s="2">
        <v>124109485</v>
      </c>
      <c r="E3517" s="2">
        <v>3</v>
      </c>
      <c r="F3517" s="2" t="s">
        <v>10086</v>
      </c>
      <c r="H3517" s="3">
        <v>8.9999999999999998E-4</v>
      </c>
      <c r="K3517" s="2" t="s">
        <v>10085</v>
      </c>
    </row>
    <row r="3518" spans="1:11" x14ac:dyDescent="0.2">
      <c r="A3518" s="2">
        <v>880</v>
      </c>
      <c r="B3518" s="2">
        <v>5</v>
      </c>
      <c r="C3518" s="2">
        <v>123191942</v>
      </c>
      <c r="D3518" s="2">
        <v>124109485</v>
      </c>
      <c r="E3518" s="2">
        <v>4</v>
      </c>
      <c r="F3518" s="2" t="s">
        <v>10086</v>
      </c>
      <c r="H3518" s="3">
        <v>5.9999999999999995E-4</v>
      </c>
      <c r="K3518" s="2" t="s">
        <v>10088</v>
      </c>
    </row>
    <row r="3519" spans="1:11" x14ac:dyDescent="0.2">
      <c r="A3519" s="2">
        <v>881</v>
      </c>
      <c r="B3519" s="2">
        <v>5</v>
      </c>
      <c r="C3519" s="2">
        <v>124109486</v>
      </c>
      <c r="D3519" s="2">
        <v>125131720</v>
      </c>
      <c r="E3519" s="2">
        <v>1</v>
      </c>
      <c r="F3519" s="2" t="s">
        <v>10086</v>
      </c>
      <c r="H3519" s="2">
        <v>2.2000000000000001E-3</v>
      </c>
      <c r="K3519" s="2" t="s">
        <v>10088</v>
      </c>
    </row>
    <row r="3520" spans="1:11" x14ac:dyDescent="0.2">
      <c r="A3520" s="2">
        <v>881</v>
      </c>
      <c r="B3520" s="2">
        <v>5</v>
      </c>
      <c r="C3520" s="2">
        <v>124109486</v>
      </c>
      <c r="D3520" s="2">
        <v>125131720</v>
      </c>
      <c r="E3520" s="2">
        <v>2</v>
      </c>
      <c r="F3520" s="2" t="s">
        <v>10086</v>
      </c>
      <c r="H3520" s="2">
        <v>1.6000000000000001E-3</v>
      </c>
      <c r="K3520" s="2" t="s">
        <v>10089</v>
      </c>
    </row>
    <row r="3521" spans="1:11" x14ac:dyDescent="0.2">
      <c r="A3521" s="2">
        <v>881</v>
      </c>
      <c r="B3521" s="2">
        <v>5</v>
      </c>
      <c r="C3521" s="2">
        <v>124109486</v>
      </c>
      <c r="D3521" s="2">
        <v>125131720</v>
      </c>
      <c r="E3521" s="2">
        <v>3</v>
      </c>
      <c r="F3521" s="2" t="s">
        <v>10086</v>
      </c>
      <c r="H3521" s="2">
        <v>1.2999999999999999E-3</v>
      </c>
      <c r="K3521" s="2" t="s">
        <v>10087</v>
      </c>
    </row>
    <row r="3522" spans="1:11" x14ac:dyDescent="0.2">
      <c r="A3522" s="2">
        <v>881</v>
      </c>
      <c r="B3522" s="2">
        <v>5</v>
      </c>
      <c r="C3522" s="2">
        <v>124109486</v>
      </c>
      <c r="D3522" s="2">
        <v>125131720</v>
      </c>
      <c r="E3522" s="2">
        <v>4</v>
      </c>
      <c r="F3522" s="2" t="s">
        <v>10086</v>
      </c>
      <c r="H3522" s="3">
        <v>8.0000000000000004E-4</v>
      </c>
      <c r="K3522" s="2" t="s">
        <v>12324</v>
      </c>
    </row>
    <row r="3523" spans="1:11" x14ac:dyDescent="0.2">
      <c r="A3523" s="2">
        <v>882</v>
      </c>
      <c r="B3523" s="2">
        <v>5</v>
      </c>
      <c r="C3523" s="2">
        <v>125131721</v>
      </c>
      <c r="D3523" s="2">
        <v>126054697</v>
      </c>
      <c r="E3523" s="2">
        <v>1</v>
      </c>
      <c r="F3523" s="2" t="s">
        <v>10086</v>
      </c>
      <c r="H3523" s="2">
        <v>5.5999999999999999E-3</v>
      </c>
      <c r="K3523" s="2" t="s">
        <v>10085</v>
      </c>
    </row>
    <row r="3524" spans="1:11" x14ac:dyDescent="0.2">
      <c r="A3524" s="2">
        <v>882</v>
      </c>
      <c r="B3524" s="2">
        <v>5</v>
      </c>
      <c r="C3524" s="2">
        <v>125131721</v>
      </c>
      <c r="D3524" s="2">
        <v>126054697</v>
      </c>
      <c r="E3524" s="2">
        <v>2</v>
      </c>
      <c r="F3524" s="2" t="s">
        <v>10086</v>
      </c>
      <c r="H3524" s="2">
        <v>1.6999999999999999E-3</v>
      </c>
      <c r="K3524" s="2" t="s">
        <v>10088</v>
      </c>
    </row>
    <row r="3525" spans="1:11" x14ac:dyDescent="0.2">
      <c r="A3525" s="2">
        <v>882</v>
      </c>
      <c r="B3525" s="2">
        <v>5</v>
      </c>
      <c r="C3525" s="2">
        <v>125131721</v>
      </c>
      <c r="D3525" s="2">
        <v>126054697</v>
      </c>
      <c r="E3525" s="2">
        <v>3</v>
      </c>
      <c r="F3525" s="2" t="s">
        <v>10086</v>
      </c>
      <c r="H3525" s="2">
        <v>1E-3</v>
      </c>
      <c r="K3525" s="2" t="s">
        <v>10087</v>
      </c>
    </row>
    <row r="3526" spans="1:11" x14ac:dyDescent="0.2">
      <c r="A3526" s="2">
        <v>882</v>
      </c>
      <c r="B3526" s="2">
        <v>5</v>
      </c>
      <c r="C3526" s="2">
        <v>125131721</v>
      </c>
      <c r="D3526" s="2">
        <v>126054697</v>
      </c>
      <c r="E3526" s="2">
        <v>4</v>
      </c>
      <c r="F3526" s="2" t="s">
        <v>10086</v>
      </c>
      <c r="H3526" s="3">
        <v>2.9999999999999997E-4</v>
      </c>
      <c r="K3526" s="2" t="s">
        <v>10089</v>
      </c>
    </row>
    <row r="3527" spans="1:11" x14ac:dyDescent="0.2">
      <c r="A3527" s="2">
        <v>883</v>
      </c>
      <c r="B3527" s="2">
        <v>5</v>
      </c>
      <c r="C3527" s="2">
        <v>126054698</v>
      </c>
      <c r="D3527" s="2">
        <v>126992836</v>
      </c>
      <c r="E3527" s="2">
        <v>1</v>
      </c>
      <c r="F3527" s="2" t="s">
        <v>10086</v>
      </c>
      <c r="H3527" s="2">
        <v>4.3E-3</v>
      </c>
      <c r="K3527" s="2" t="s">
        <v>10087</v>
      </c>
    </row>
    <row r="3528" spans="1:11" x14ac:dyDescent="0.2">
      <c r="A3528" s="2">
        <v>883</v>
      </c>
      <c r="B3528" s="2">
        <v>5</v>
      </c>
      <c r="C3528" s="2">
        <v>126054698</v>
      </c>
      <c r="D3528" s="2">
        <v>126992836</v>
      </c>
      <c r="E3528" s="2">
        <v>2</v>
      </c>
      <c r="F3528" s="2" t="s">
        <v>10086</v>
      </c>
      <c r="H3528" s="2">
        <v>1.9E-3</v>
      </c>
      <c r="K3528" s="2" t="s">
        <v>10085</v>
      </c>
    </row>
    <row r="3529" spans="1:11" x14ac:dyDescent="0.2">
      <c r="A3529" s="2">
        <v>883</v>
      </c>
      <c r="B3529" s="2">
        <v>5</v>
      </c>
      <c r="C3529" s="2">
        <v>126054698</v>
      </c>
      <c r="D3529" s="2">
        <v>126992836</v>
      </c>
      <c r="E3529" s="2">
        <v>3</v>
      </c>
      <c r="F3529" s="2" t="s">
        <v>10086</v>
      </c>
      <c r="H3529" s="3">
        <v>8.9999999999999998E-4</v>
      </c>
      <c r="K3529" s="2" t="s">
        <v>10088</v>
      </c>
    </row>
    <row r="3530" spans="1:11" x14ac:dyDescent="0.2">
      <c r="A3530" s="2">
        <v>883</v>
      </c>
      <c r="B3530" s="2">
        <v>5</v>
      </c>
      <c r="C3530" s="2">
        <v>126054698</v>
      </c>
      <c r="D3530" s="2">
        <v>126992836</v>
      </c>
      <c r="E3530" s="2">
        <v>4</v>
      </c>
      <c r="F3530" s="2" t="s">
        <v>10086</v>
      </c>
      <c r="H3530" s="3">
        <v>6.9999999999999999E-4</v>
      </c>
      <c r="K3530" s="2" t="s">
        <v>12324</v>
      </c>
    </row>
    <row r="3531" spans="1:11" x14ac:dyDescent="0.2">
      <c r="A3531" s="2">
        <v>884</v>
      </c>
      <c r="B3531" s="2">
        <v>5</v>
      </c>
      <c r="C3531" s="2">
        <v>126992837</v>
      </c>
      <c r="D3531" s="2">
        <v>128067414</v>
      </c>
      <c r="E3531" s="2">
        <v>1</v>
      </c>
      <c r="F3531" s="2" t="s">
        <v>10086</v>
      </c>
      <c r="H3531" s="2">
        <v>1E-3</v>
      </c>
      <c r="K3531" s="2" t="s">
        <v>10087</v>
      </c>
    </row>
    <row r="3532" spans="1:11" x14ac:dyDescent="0.2">
      <c r="A3532" s="2">
        <v>884</v>
      </c>
      <c r="B3532" s="2">
        <v>5</v>
      </c>
      <c r="C3532" s="2">
        <v>126992837</v>
      </c>
      <c r="D3532" s="2">
        <v>128067414</v>
      </c>
      <c r="E3532" s="2">
        <v>2</v>
      </c>
      <c r="F3532" s="2" t="s">
        <v>10086</v>
      </c>
      <c r="H3532" s="2">
        <v>1E-3</v>
      </c>
      <c r="K3532" s="2" t="s">
        <v>10085</v>
      </c>
    </row>
    <row r="3533" spans="1:11" x14ac:dyDescent="0.2">
      <c r="A3533" s="2">
        <v>884</v>
      </c>
      <c r="B3533" s="2">
        <v>5</v>
      </c>
      <c r="C3533" s="2">
        <v>126992837</v>
      </c>
      <c r="D3533" s="2">
        <v>128067414</v>
      </c>
      <c r="E3533" s="2">
        <v>3</v>
      </c>
      <c r="F3533" s="2" t="s">
        <v>10086</v>
      </c>
      <c r="H3533" s="3">
        <v>8.9999999999999998E-4</v>
      </c>
      <c r="K3533" s="2" t="s">
        <v>10089</v>
      </c>
    </row>
    <row r="3534" spans="1:11" x14ac:dyDescent="0.2">
      <c r="A3534" s="2">
        <v>884</v>
      </c>
      <c r="B3534" s="2">
        <v>5</v>
      </c>
      <c r="C3534" s="2">
        <v>126992837</v>
      </c>
      <c r="D3534" s="2">
        <v>128067414</v>
      </c>
      <c r="E3534" s="2">
        <v>4</v>
      </c>
      <c r="F3534" s="2" t="s">
        <v>10086</v>
      </c>
      <c r="H3534" s="3">
        <v>4.0000000000000002E-4</v>
      </c>
      <c r="K3534" s="2" t="s">
        <v>10088</v>
      </c>
    </row>
    <row r="3535" spans="1:11" x14ac:dyDescent="0.2">
      <c r="A3535" s="2">
        <v>885</v>
      </c>
      <c r="B3535" s="2">
        <v>5</v>
      </c>
      <c r="C3535" s="2">
        <v>128067415</v>
      </c>
      <c r="D3535" s="2">
        <v>128734905</v>
      </c>
      <c r="E3535" s="2">
        <v>1</v>
      </c>
      <c r="F3535" s="2" t="s">
        <v>10086</v>
      </c>
      <c r="H3535" s="3">
        <v>8.9999999999999998E-4</v>
      </c>
      <c r="K3535" s="2" t="s">
        <v>10089</v>
      </c>
    </row>
    <row r="3536" spans="1:11" x14ac:dyDescent="0.2">
      <c r="A3536" s="2">
        <v>885</v>
      </c>
      <c r="B3536" s="2">
        <v>5</v>
      </c>
      <c r="C3536" s="2">
        <v>128067415</v>
      </c>
      <c r="D3536" s="2">
        <v>128734905</v>
      </c>
      <c r="E3536" s="2">
        <v>2</v>
      </c>
      <c r="F3536" s="2" t="s">
        <v>10086</v>
      </c>
      <c r="H3536" s="3">
        <v>8.0000000000000004E-4</v>
      </c>
      <c r="K3536" s="2" t="s">
        <v>10085</v>
      </c>
    </row>
    <row r="3537" spans="1:11" x14ac:dyDescent="0.2">
      <c r="A3537" s="2">
        <v>885</v>
      </c>
      <c r="B3537" s="2">
        <v>5</v>
      </c>
      <c r="C3537" s="2">
        <v>128067415</v>
      </c>
      <c r="D3537" s="2">
        <v>128734905</v>
      </c>
      <c r="E3537" s="2">
        <v>3</v>
      </c>
      <c r="F3537" s="2" t="s">
        <v>10086</v>
      </c>
      <c r="H3537" s="3">
        <v>8.0000000000000004E-4</v>
      </c>
      <c r="K3537" s="2" t="s">
        <v>10087</v>
      </c>
    </row>
    <row r="3538" spans="1:11" x14ac:dyDescent="0.2">
      <c r="A3538" s="2">
        <v>885</v>
      </c>
      <c r="B3538" s="2">
        <v>5</v>
      </c>
      <c r="C3538" s="2">
        <v>128067415</v>
      </c>
      <c r="D3538" s="2">
        <v>128734905</v>
      </c>
      <c r="E3538" s="2">
        <v>4</v>
      </c>
      <c r="F3538" s="2" t="s">
        <v>10086</v>
      </c>
      <c r="H3538" s="3">
        <v>5.0000000000000001E-4</v>
      </c>
      <c r="K3538" s="2" t="s">
        <v>12324</v>
      </c>
    </row>
    <row r="3539" spans="1:11" x14ac:dyDescent="0.2">
      <c r="A3539" s="2">
        <v>886</v>
      </c>
      <c r="B3539" s="2">
        <v>5</v>
      </c>
      <c r="C3539" s="2">
        <v>128734906</v>
      </c>
      <c r="D3539" s="2">
        <v>130573817</v>
      </c>
      <c r="E3539" s="2">
        <v>1</v>
      </c>
      <c r="F3539" s="2" t="s">
        <v>10086</v>
      </c>
      <c r="H3539" s="2">
        <v>5.4000000000000003E-3</v>
      </c>
      <c r="K3539" s="2" t="s">
        <v>10088</v>
      </c>
    </row>
    <row r="3540" spans="1:11" x14ac:dyDescent="0.2">
      <c r="A3540" s="2">
        <v>886</v>
      </c>
      <c r="B3540" s="2">
        <v>5</v>
      </c>
      <c r="C3540" s="2">
        <v>128734906</v>
      </c>
      <c r="D3540" s="2">
        <v>130573817</v>
      </c>
      <c r="E3540" s="2">
        <v>2</v>
      </c>
      <c r="F3540" s="2" t="s">
        <v>10086</v>
      </c>
      <c r="H3540" s="2">
        <v>5.8999999999999999E-3</v>
      </c>
      <c r="K3540" s="2" t="s">
        <v>10087</v>
      </c>
    </row>
    <row r="3541" spans="1:11" x14ac:dyDescent="0.2">
      <c r="A3541" s="2">
        <v>886</v>
      </c>
      <c r="B3541" s="2">
        <v>5</v>
      </c>
      <c r="C3541" s="2">
        <v>128734906</v>
      </c>
      <c r="D3541" s="2">
        <v>130573817</v>
      </c>
      <c r="E3541" s="2">
        <v>3</v>
      </c>
      <c r="F3541" s="2" t="s">
        <v>10086</v>
      </c>
      <c r="H3541" s="2">
        <v>1.1999999999999999E-3</v>
      </c>
      <c r="K3541" s="2" t="s">
        <v>10085</v>
      </c>
    </row>
    <row r="3542" spans="1:11" x14ac:dyDescent="0.2">
      <c r="A3542" s="2">
        <v>886</v>
      </c>
      <c r="B3542" s="2">
        <v>5</v>
      </c>
      <c r="C3542" s="2">
        <v>128734906</v>
      </c>
      <c r="D3542" s="2">
        <v>130573817</v>
      </c>
      <c r="E3542" s="2">
        <v>4</v>
      </c>
      <c r="F3542" s="2" t="s">
        <v>10086</v>
      </c>
      <c r="H3542" s="3">
        <v>8.9999999999999998E-4</v>
      </c>
      <c r="K3542" s="2" t="s">
        <v>10089</v>
      </c>
    </row>
    <row r="3543" spans="1:11" x14ac:dyDescent="0.2">
      <c r="A3543" s="2">
        <v>887</v>
      </c>
      <c r="B3543" s="2">
        <v>5</v>
      </c>
      <c r="C3543" s="2">
        <v>130573818</v>
      </c>
      <c r="D3543" s="2">
        <v>132554690</v>
      </c>
      <c r="E3543" s="2">
        <v>1</v>
      </c>
      <c r="F3543" s="2" t="s">
        <v>10086</v>
      </c>
      <c r="H3543" s="2">
        <v>3.5000000000000001E-3</v>
      </c>
      <c r="K3543" s="2" t="s">
        <v>10087</v>
      </c>
    </row>
    <row r="3544" spans="1:11" x14ac:dyDescent="0.2">
      <c r="A3544" s="2">
        <v>887</v>
      </c>
      <c r="B3544" s="2">
        <v>5</v>
      </c>
      <c r="C3544" s="2">
        <v>130573818</v>
      </c>
      <c r="D3544" s="2">
        <v>132554690</v>
      </c>
      <c r="E3544" s="2">
        <v>2</v>
      </c>
      <c r="F3544" s="2" t="s">
        <v>10086</v>
      </c>
      <c r="H3544" s="2">
        <v>2.2000000000000001E-3</v>
      </c>
      <c r="K3544" s="2" t="s">
        <v>10088</v>
      </c>
    </row>
    <row r="3545" spans="1:11" x14ac:dyDescent="0.2">
      <c r="A3545" s="2">
        <v>887</v>
      </c>
      <c r="B3545" s="2">
        <v>5</v>
      </c>
      <c r="C3545" s="2">
        <v>130573818</v>
      </c>
      <c r="D3545" s="2">
        <v>132554690</v>
      </c>
      <c r="E3545" s="2">
        <v>3</v>
      </c>
      <c r="F3545" s="2" t="s">
        <v>10086</v>
      </c>
      <c r="H3545" s="2">
        <v>1.5E-3</v>
      </c>
      <c r="K3545" s="2" t="s">
        <v>10089</v>
      </c>
    </row>
    <row r="3546" spans="1:11" x14ac:dyDescent="0.2">
      <c r="A3546" s="2">
        <v>887</v>
      </c>
      <c r="B3546" s="2">
        <v>5</v>
      </c>
      <c r="C3546" s="2">
        <v>130573818</v>
      </c>
      <c r="D3546" s="2">
        <v>132554690</v>
      </c>
      <c r="E3546" s="2">
        <v>4</v>
      </c>
      <c r="F3546" s="2" t="s">
        <v>10086</v>
      </c>
      <c r="H3546" s="3">
        <v>5.0000000000000001E-4</v>
      </c>
      <c r="K3546" s="2" t="s">
        <v>10085</v>
      </c>
    </row>
    <row r="3547" spans="1:11" x14ac:dyDescent="0.2">
      <c r="A3547" s="2">
        <v>888</v>
      </c>
      <c r="B3547" s="2">
        <v>5</v>
      </c>
      <c r="C3547" s="2">
        <v>132554691</v>
      </c>
      <c r="D3547" s="2">
        <v>134556570</v>
      </c>
      <c r="E3547" s="2">
        <v>1</v>
      </c>
      <c r="F3547" s="2" t="s">
        <v>10086</v>
      </c>
      <c r="H3547" s="2">
        <v>4.4999999999999997E-3</v>
      </c>
      <c r="K3547" s="2" t="s">
        <v>10089</v>
      </c>
    </row>
    <row r="3548" spans="1:11" x14ac:dyDescent="0.2">
      <c r="A3548" s="2">
        <v>888</v>
      </c>
      <c r="B3548" s="2">
        <v>5</v>
      </c>
      <c r="C3548" s="2">
        <v>132554691</v>
      </c>
      <c r="D3548" s="2">
        <v>134556570</v>
      </c>
      <c r="E3548" s="2">
        <v>2</v>
      </c>
      <c r="F3548" s="2" t="s">
        <v>10086</v>
      </c>
      <c r="H3548" s="2">
        <v>3.3999999999999998E-3</v>
      </c>
      <c r="K3548" s="2" t="s">
        <v>10087</v>
      </c>
    </row>
    <row r="3549" spans="1:11" x14ac:dyDescent="0.2">
      <c r="A3549" s="2">
        <v>888</v>
      </c>
      <c r="B3549" s="2">
        <v>5</v>
      </c>
      <c r="C3549" s="2">
        <v>132554691</v>
      </c>
      <c r="D3549" s="2">
        <v>134556570</v>
      </c>
      <c r="E3549" s="2">
        <v>3</v>
      </c>
      <c r="F3549" s="2" t="s">
        <v>10086</v>
      </c>
      <c r="H3549" s="2">
        <v>1.6000000000000001E-3</v>
      </c>
      <c r="K3549" s="2" t="s">
        <v>10088</v>
      </c>
    </row>
    <row r="3550" spans="1:11" x14ac:dyDescent="0.2">
      <c r="A3550" s="2">
        <v>888</v>
      </c>
      <c r="B3550" s="2">
        <v>5</v>
      </c>
      <c r="C3550" s="2">
        <v>132554691</v>
      </c>
      <c r="D3550" s="2">
        <v>134556570</v>
      </c>
      <c r="E3550" s="2">
        <v>4</v>
      </c>
      <c r="F3550" s="2" t="s">
        <v>10086</v>
      </c>
      <c r="H3550" s="3">
        <v>8.9999999999999998E-4</v>
      </c>
      <c r="K3550" s="2" t="s">
        <v>10085</v>
      </c>
    </row>
    <row r="3551" spans="1:11" x14ac:dyDescent="0.2">
      <c r="A3551" s="2">
        <v>889</v>
      </c>
      <c r="B3551" s="2">
        <v>5</v>
      </c>
      <c r="C3551" s="2">
        <v>134556571</v>
      </c>
      <c r="D3551" s="2">
        <v>135344943</v>
      </c>
      <c r="E3551" s="2">
        <v>1</v>
      </c>
      <c r="F3551" s="2" t="s">
        <v>10086</v>
      </c>
      <c r="H3551" s="2">
        <v>1.5E-3</v>
      </c>
      <c r="K3551" s="2" t="s">
        <v>10089</v>
      </c>
    </row>
    <row r="3552" spans="1:11" x14ac:dyDescent="0.2">
      <c r="A3552" s="2">
        <v>889</v>
      </c>
      <c r="B3552" s="2">
        <v>5</v>
      </c>
      <c r="C3552" s="2">
        <v>134556571</v>
      </c>
      <c r="D3552" s="2">
        <v>135344943</v>
      </c>
      <c r="E3552" s="2">
        <v>2</v>
      </c>
      <c r="F3552" s="2" t="s">
        <v>10086</v>
      </c>
      <c r="H3552" s="3">
        <v>6.9999999999999999E-4</v>
      </c>
      <c r="K3552" s="2" t="s">
        <v>10085</v>
      </c>
    </row>
    <row r="3553" spans="1:11" x14ac:dyDescent="0.2">
      <c r="A3553" s="2">
        <v>889</v>
      </c>
      <c r="B3553" s="2">
        <v>5</v>
      </c>
      <c r="C3553" s="2">
        <v>134556571</v>
      </c>
      <c r="D3553" s="2">
        <v>135344943</v>
      </c>
      <c r="E3553" s="2">
        <v>3</v>
      </c>
      <c r="F3553" s="2" t="s">
        <v>10086</v>
      </c>
      <c r="H3553" s="3">
        <v>6.9999999999999999E-4</v>
      </c>
      <c r="K3553" s="2" t="s">
        <v>10088</v>
      </c>
    </row>
    <row r="3554" spans="1:11" x14ac:dyDescent="0.2">
      <c r="A3554" s="2">
        <v>889</v>
      </c>
      <c r="B3554" s="2">
        <v>5</v>
      </c>
      <c r="C3554" s="2">
        <v>134556571</v>
      </c>
      <c r="D3554" s="2">
        <v>135344943</v>
      </c>
      <c r="E3554" s="2">
        <v>4</v>
      </c>
      <c r="F3554" s="2" t="s">
        <v>10086</v>
      </c>
      <c r="H3554" s="3">
        <v>4.0000000000000002E-4</v>
      </c>
      <c r="K3554" s="2" t="s">
        <v>10087</v>
      </c>
    </row>
    <row r="3555" spans="1:11" x14ac:dyDescent="0.2">
      <c r="A3555" s="2">
        <v>890</v>
      </c>
      <c r="B3555" s="2">
        <v>5</v>
      </c>
      <c r="C3555" s="2">
        <v>135344944</v>
      </c>
      <c r="D3555" s="2">
        <v>136949853</v>
      </c>
      <c r="E3555" s="2">
        <v>1</v>
      </c>
      <c r="F3555" s="2" t="s">
        <v>10086</v>
      </c>
      <c r="H3555" s="2">
        <v>2.8999999999999998E-3</v>
      </c>
      <c r="K3555" s="2" t="s">
        <v>10087</v>
      </c>
    </row>
    <row r="3556" spans="1:11" x14ac:dyDescent="0.2">
      <c r="A3556" s="2">
        <v>890</v>
      </c>
      <c r="B3556" s="2">
        <v>5</v>
      </c>
      <c r="C3556" s="2">
        <v>135344944</v>
      </c>
      <c r="D3556" s="2">
        <v>136949853</v>
      </c>
      <c r="E3556" s="2">
        <v>2</v>
      </c>
      <c r="F3556" s="2" t="s">
        <v>10086</v>
      </c>
      <c r="H3556" s="2">
        <v>1.8E-3</v>
      </c>
      <c r="K3556" s="2" t="s">
        <v>10085</v>
      </c>
    </row>
    <row r="3557" spans="1:11" x14ac:dyDescent="0.2">
      <c r="A3557" s="2">
        <v>890</v>
      </c>
      <c r="B3557" s="2">
        <v>5</v>
      </c>
      <c r="C3557" s="2">
        <v>135344944</v>
      </c>
      <c r="D3557" s="2">
        <v>136949853</v>
      </c>
      <c r="E3557" s="2">
        <v>3</v>
      </c>
      <c r="F3557" s="2" t="s">
        <v>10086</v>
      </c>
      <c r="H3557" s="2">
        <v>1.6000000000000001E-3</v>
      </c>
      <c r="K3557" s="2" t="s">
        <v>12324</v>
      </c>
    </row>
    <row r="3558" spans="1:11" x14ac:dyDescent="0.2">
      <c r="A3558" s="2">
        <v>890</v>
      </c>
      <c r="B3558" s="2">
        <v>5</v>
      </c>
      <c r="C3558" s="2">
        <v>135344944</v>
      </c>
      <c r="D3558" s="2">
        <v>136949853</v>
      </c>
      <c r="E3558" s="2">
        <v>4</v>
      </c>
      <c r="F3558" s="2" t="s">
        <v>10086</v>
      </c>
      <c r="H3558" s="2">
        <v>1.1999999999999999E-3</v>
      </c>
      <c r="K3558" s="2" t="s">
        <v>10089</v>
      </c>
    </row>
    <row r="3559" spans="1:11" x14ac:dyDescent="0.2">
      <c r="A3559" s="2">
        <v>891</v>
      </c>
      <c r="B3559" s="2">
        <v>5</v>
      </c>
      <c r="C3559" s="2">
        <v>136949854</v>
      </c>
      <c r="D3559" s="2">
        <v>139408116</v>
      </c>
      <c r="E3559" s="2">
        <v>1</v>
      </c>
      <c r="F3559" s="2" t="s">
        <v>10086</v>
      </c>
      <c r="H3559" s="2">
        <v>2.5999999999999999E-3</v>
      </c>
      <c r="K3559" s="2" t="s">
        <v>10085</v>
      </c>
    </row>
    <row r="3560" spans="1:11" x14ac:dyDescent="0.2">
      <c r="A3560" s="2">
        <v>891</v>
      </c>
      <c r="B3560" s="2">
        <v>5</v>
      </c>
      <c r="C3560" s="2">
        <v>136949854</v>
      </c>
      <c r="D3560" s="2">
        <v>139408116</v>
      </c>
      <c r="E3560" s="2">
        <v>2</v>
      </c>
      <c r="F3560" s="2" t="s">
        <v>10086</v>
      </c>
      <c r="H3560" s="2">
        <v>3.8999999999999998E-3</v>
      </c>
      <c r="K3560" s="2" t="s">
        <v>10087</v>
      </c>
    </row>
    <row r="3561" spans="1:11" x14ac:dyDescent="0.2">
      <c r="A3561" s="2">
        <v>891</v>
      </c>
      <c r="B3561" s="2">
        <v>5</v>
      </c>
      <c r="C3561" s="2">
        <v>136949854</v>
      </c>
      <c r="D3561" s="2">
        <v>139408116</v>
      </c>
      <c r="E3561" s="2">
        <v>3</v>
      </c>
      <c r="F3561" s="2" t="s">
        <v>10086</v>
      </c>
      <c r="H3561" s="2">
        <v>1.5E-3</v>
      </c>
      <c r="K3561" s="2" t="s">
        <v>10088</v>
      </c>
    </row>
    <row r="3562" spans="1:11" x14ac:dyDescent="0.2">
      <c r="A3562" s="2">
        <v>891</v>
      </c>
      <c r="B3562" s="2">
        <v>5</v>
      </c>
      <c r="C3562" s="2">
        <v>136949854</v>
      </c>
      <c r="D3562" s="2">
        <v>139408116</v>
      </c>
      <c r="E3562" s="2">
        <v>4</v>
      </c>
      <c r="F3562" s="2" t="s">
        <v>10086</v>
      </c>
      <c r="H3562" s="2">
        <v>1.2999999999999999E-3</v>
      </c>
      <c r="K3562" s="2" t="s">
        <v>10089</v>
      </c>
    </row>
    <row r="3563" spans="1:11" x14ac:dyDescent="0.2">
      <c r="A3563" s="2">
        <v>892</v>
      </c>
      <c r="B3563" s="2">
        <v>5</v>
      </c>
      <c r="C3563" s="2">
        <v>139408117</v>
      </c>
      <c r="D3563" s="2">
        <v>141253830</v>
      </c>
      <c r="E3563" s="2">
        <v>1</v>
      </c>
      <c r="F3563" s="2" t="s">
        <v>10086</v>
      </c>
      <c r="H3563" s="2">
        <v>4.1000000000000003E-3</v>
      </c>
      <c r="K3563" s="2" t="s">
        <v>10088</v>
      </c>
    </row>
    <row r="3564" spans="1:11" x14ac:dyDescent="0.2">
      <c r="A3564" s="2">
        <v>892</v>
      </c>
      <c r="B3564" s="2">
        <v>5</v>
      </c>
      <c r="C3564" s="2">
        <v>139408117</v>
      </c>
      <c r="D3564" s="2">
        <v>141253830</v>
      </c>
      <c r="E3564" s="2">
        <v>2</v>
      </c>
      <c r="F3564" s="2" t="s">
        <v>10086</v>
      </c>
      <c r="H3564" s="2">
        <v>2.0999999999999999E-3</v>
      </c>
      <c r="K3564" s="2" t="s">
        <v>10089</v>
      </c>
    </row>
    <row r="3565" spans="1:11" x14ac:dyDescent="0.2">
      <c r="A3565" s="2">
        <v>892</v>
      </c>
      <c r="B3565" s="2">
        <v>5</v>
      </c>
      <c r="C3565" s="2">
        <v>139408117</v>
      </c>
      <c r="D3565" s="2">
        <v>141253830</v>
      </c>
      <c r="E3565" s="2">
        <v>3</v>
      </c>
      <c r="F3565" s="2" t="s">
        <v>10086</v>
      </c>
      <c r="H3565" s="2">
        <v>1.4E-3</v>
      </c>
      <c r="K3565" s="2" t="s">
        <v>10085</v>
      </c>
    </row>
    <row r="3566" spans="1:11" x14ac:dyDescent="0.2">
      <c r="A3566" s="2">
        <v>892</v>
      </c>
      <c r="B3566" s="2">
        <v>5</v>
      </c>
      <c r="C3566" s="2">
        <v>139408117</v>
      </c>
      <c r="D3566" s="2">
        <v>141253830</v>
      </c>
      <c r="E3566" s="2">
        <v>4</v>
      </c>
      <c r="F3566" s="2" t="s">
        <v>10086</v>
      </c>
      <c r="H3566" s="3">
        <v>8.0000000000000004E-4</v>
      </c>
      <c r="K3566" s="2" t="s">
        <v>10087</v>
      </c>
    </row>
    <row r="3567" spans="1:11" x14ac:dyDescent="0.2">
      <c r="A3567" s="2">
        <v>893</v>
      </c>
      <c r="B3567" s="2">
        <v>5</v>
      </c>
      <c r="C3567" s="2">
        <v>141253831</v>
      </c>
      <c r="D3567" s="2">
        <v>142532956</v>
      </c>
      <c r="E3567" s="2">
        <v>1</v>
      </c>
      <c r="F3567" s="2" t="s">
        <v>10086</v>
      </c>
      <c r="H3567" s="2">
        <v>3.8999999999999998E-3</v>
      </c>
      <c r="K3567" s="2" t="s">
        <v>10087</v>
      </c>
    </row>
    <row r="3568" spans="1:11" x14ac:dyDescent="0.2">
      <c r="A3568" s="2">
        <v>893</v>
      </c>
      <c r="B3568" s="2">
        <v>5</v>
      </c>
      <c r="C3568" s="2">
        <v>141253831</v>
      </c>
      <c r="D3568" s="2">
        <v>142532956</v>
      </c>
      <c r="E3568" s="2">
        <v>2</v>
      </c>
      <c r="F3568" s="2" t="s">
        <v>10086</v>
      </c>
      <c r="H3568" s="2">
        <v>1.2999999999999999E-3</v>
      </c>
      <c r="K3568" s="2" t="s">
        <v>10088</v>
      </c>
    </row>
    <row r="3569" spans="1:11" x14ac:dyDescent="0.2">
      <c r="A3569" s="2">
        <v>893</v>
      </c>
      <c r="B3569" s="2">
        <v>5</v>
      </c>
      <c r="C3569" s="2">
        <v>141253831</v>
      </c>
      <c r="D3569" s="2">
        <v>142532956</v>
      </c>
      <c r="E3569" s="2">
        <v>3</v>
      </c>
      <c r="F3569" s="2" t="s">
        <v>10086</v>
      </c>
      <c r="H3569" s="2">
        <v>1.1000000000000001E-3</v>
      </c>
      <c r="K3569" s="2" t="s">
        <v>10089</v>
      </c>
    </row>
    <row r="3570" spans="1:11" x14ac:dyDescent="0.2">
      <c r="A3570" s="2">
        <v>893</v>
      </c>
      <c r="B3570" s="2">
        <v>5</v>
      </c>
      <c r="C3570" s="2">
        <v>141253831</v>
      </c>
      <c r="D3570" s="2">
        <v>142532956</v>
      </c>
      <c r="E3570" s="2">
        <v>4</v>
      </c>
      <c r="F3570" s="2" t="s">
        <v>10086</v>
      </c>
      <c r="H3570" s="3">
        <v>8.0000000000000004E-4</v>
      </c>
      <c r="K3570" s="2" t="s">
        <v>10085</v>
      </c>
    </row>
    <row r="3571" spans="1:11" x14ac:dyDescent="0.2">
      <c r="A3571" s="2">
        <v>894</v>
      </c>
      <c r="B3571" s="2">
        <v>5</v>
      </c>
      <c r="C3571" s="2">
        <v>142532957</v>
      </c>
      <c r="D3571" s="2">
        <v>143605908</v>
      </c>
      <c r="E3571" s="2">
        <v>1</v>
      </c>
      <c r="F3571" s="2" t="s">
        <v>10086</v>
      </c>
      <c r="H3571" s="3">
        <v>8.9999999999999998E-4</v>
      </c>
      <c r="K3571" s="2" t="s">
        <v>10085</v>
      </c>
    </row>
    <row r="3572" spans="1:11" x14ac:dyDescent="0.2">
      <c r="A3572" s="2">
        <v>894</v>
      </c>
      <c r="B3572" s="2">
        <v>5</v>
      </c>
      <c r="C3572" s="2">
        <v>142532957</v>
      </c>
      <c r="D3572" s="2">
        <v>143605908</v>
      </c>
      <c r="E3572" s="2">
        <v>2</v>
      </c>
      <c r="F3572" s="2" t="s">
        <v>10086</v>
      </c>
      <c r="H3572" s="3">
        <v>8.0000000000000004E-4</v>
      </c>
      <c r="K3572" s="2" t="s">
        <v>10087</v>
      </c>
    </row>
    <row r="3573" spans="1:11" x14ac:dyDescent="0.2">
      <c r="A3573" s="2">
        <v>894</v>
      </c>
      <c r="B3573" s="2">
        <v>5</v>
      </c>
      <c r="C3573" s="2">
        <v>142532957</v>
      </c>
      <c r="D3573" s="2">
        <v>143605908</v>
      </c>
      <c r="E3573" s="2">
        <v>3</v>
      </c>
      <c r="F3573" s="2" t="s">
        <v>10086</v>
      </c>
      <c r="H3573" s="3">
        <v>6.9999999999999999E-4</v>
      </c>
      <c r="K3573" s="2" t="s">
        <v>12324</v>
      </c>
    </row>
    <row r="3574" spans="1:11" x14ac:dyDescent="0.2">
      <c r="A3574" s="2">
        <v>894</v>
      </c>
      <c r="B3574" s="2">
        <v>5</v>
      </c>
      <c r="C3574" s="2">
        <v>142532957</v>
      </c>
      <c r="D3574" s="2">
        <v>143605908</v>
      </c>
      <c r="E3574" s="2">
        <v>4</v>
      </c>
      <c r="F3574" s="2" t="s">
        <v>10086</v>
      </c>
      <c r="H3574" s="3">
        <v>5.9999999999999995E-4</v>
      </c>
      <c r="K3574" s="2" t="s">
        <v>10089</v>
      </c>
    </row>
    <row r="3575" spans="1:11" x14ac:dyDescent="0.2">
      <c r="A3575" s="2">
        <v>895</v>
      </c>
      <c r="B3575" s="2">
        <v>5</v>
      </c>
      <c r="C3575" s="2">
        <v>143605909</v>
      </c>
      <c r="D3575" s="2">
        <v>145319096</v>
      </c>
      <c r="E3575" s="2">
        <v>1</v>
      </c>
      <c r="F3575" s="2" t="s">
        <v>10086</v>
      </c>
      <c r="H3575" s="2">
        <v>5.1000000000000004E-3</v>
      </c>
      <c r="K3575" s="2" t="s">
        <v>10085</v>
      </c>
    </row>
    <row r="3576" spans="1:11" x14ac:dyDescent="0.2">
      <c r="A3576" s="2">
        <v>895</v>
      </c>
      <c r="B3576" s="2">
        <v>5</v>
      </c>
      <c r="C3576" s="2">
        <v>143605909</v>
      </c>
      <c r="D3576" s="2">
        <v>145319096</v>
      </c>
      <c r="E3576" s="2">
        <v>2</v>
      </c>
      <c r="F3576" s="2" t="s">
        <v>10086</v>
      </c>
      <c r="H3576" s="2">
        <v>1.9E-3</v>
      </c>
      <c r="K3576" s="2" t="s">
        <v>10088</v>
      </c>
    </row>
    <row r="3577" spans="1:11" x14ac:dyDescent="0.2">
      <c r="A3577" s="2">
        <v>895</v>
      </c>
      <c r="B3577" s="2">
        <v>5</v>
      </c>
      <c r="C3577" s="2">
        <v>143605909</v>
      </c>
      <c r="D3577" s="2">
        <v>145319096</v>
      </c>
      <c r="E3577" s="2">
        <v>3</v>
      </c>
      <c r="F3577" s="2" t="s">
        <v>10086</v>
      </c>
      <c r="H3577" s="2">
        <v>1E-3</v>
      </c>
      <c r="K3577" s="2" t="s">
        <v>10089</v>
      </c>
    </row>
    <row r="3578" spans="1:11" x14ac:dyDescent="0.2">
      <c r="A3578" s="2">
        <v>895</v>
      </c>
      <c r="B3578" s="2">
        <v>5</v>
      </c>
      <c r="C3578" s="2">
        <v>143605909</v>
      </c>
      <c r="D3578" s="2">
        <v>145319096</v>
      </c>
      <c r="E3578" s="2">
        <v>4</v>
      </c>
      <c r="F3578" s="2" t="s">
        <v>10086</v>
      </c>
      <c r="H3578" s="3">
        <v>4.0000000000000002E-4</v>
      </c>
      <c r="K3578" s="2" t="s">
        <v>10087</v>
      </c>
    </row>
    <row r="3579" spans="1:11" x14ac:dyDescent="0.2">
      <c r="A3579" s="2">
        <v>896</v>
      </c>
      <c r="B3579" s="2">
        <v>5</v>
      </c>
      <c r="C3579" s="2">
        <v>145319097</v>
      </c>
      <c r="D3579" s="2">
        <v>147180171</v>
      </c>
      <c r="E3579" s="2">
        <v>1</v>
      </c>
      <c r="F3579" s="2" t="s">
        <v>10086</v>
      </c>
      <c r="H3579" s="2">
        <v>7.7999999999999996E-3</v>
      </c>
      <c r="K3579" s="2" t="s">
        <v>10089</v>
      </c>
    </row>
    <row r="3580" spans="1:11" x14ac:dyDescent="0.2">
      <c r="A3580" s="2">
        <v>896</v>
      </c>
      <c r="B3580" s="2">
        <v>5</v>
      </c>
      <c r="C3580" s="2">
        <v>145319097</v>
      </c>
      <c r="D3580" s="2">
        <v>147180171</v>
      </c>
      <c r="E3580" s="2">
        <v>2</v>
      </c>
      <c r="F3580" s="2" t="s">
        <v>10086</v>
      </c>
      <c r="H3580" s="2">
        <v>1.9E-3</v>
      </c>
      <c r="K3580" s="2" t="s">
        <v>12324</v>
      </c>
    </row>
    <row r="3581" spans="1:11" x14ac:dyDescent="0.2">
      <c r="A3581" s="2">
        <v>896</v>
      </c>
      <c r="B3581" s="2">
        <v>5</v>
      </c>
      <c r="C3581" s="2">
        <v>145319097</v>
      </c>
      <c r="D3581" s="2">
        <v>147180171</v>
      </c>
      <c r="E3581" s="2">
        <v>3</v>
      </c>
      <c r="F3581" s="2" t="s">
        <v>10086</v>
      </c>
      <c r="H3581" s="2">
        <v>1.2999999999999999E-3</v>
      </c>
      <c r="K3581" s="2" t="s">
        <v>10085</v>
      </c>
    </row>
    <row r="3582" spans="1:11" x14ac:dyDescent="0.2">
      <c r="A3582" s="2">
        <v>896</v>
      </c>
      <c r="B3582" s="2">
        <v>5</v>
      </c>
      <c r="C3582" s="2">
        <v>145319097</v>
      </c>
      <c r="D3582" s="2">
        <v>147180171</v>
      </c>
      <c r="E3582" s="2">
        <v>4</v>
      </c>
      <c r="F3582" s="2" t="s">
        <v>10086</v>
      </c>
      <c r="H3582" s="2">
        <v>1.6000000000000001E-3</v>
      </c>
      <c r="K3582" s="2" t="s">
        <v>10088</v>
      </c>
    </row>
    <row r="3583" spans="1:11" x14ac:dyDescent="0.2">
      <c r="A3583" s="2">
        <v>897</v>
      </c>
      <c r="B3583" s="2">
        <v>5</v>
      </c>
      <c r="C3583" s="2">
        <v>147180172</v>
      </c>
      <c r="D3583" s="2">
        <v>148662214</v>
      </c>
      <c r="E3583" s="2">
        <v>1</v>
      </c>
      <c r="F3583" s="2" t="s">
        <v>10086</v>
      </c>
      <c r="H3583" s="2">
        <v>3.61E-2</v>
      </c>
      <c r="K3583" s="2" t="s">
        <v>12324</v>
      </c>
    </row>
    <row r="3584" spans="1:11" x14ac:dyDescent="0.2">
      <c r="A3584" s="2">
        <v>897</v>
      </c>
      <c r="B3584" s="2">
        <v>5</v>
      </c>
      <c r="C3584" s="2">
        <v>147180172</v>
      </c>
      <c r="D3584" s="2">
        <v>148662214</v>
      </c>
      <c r="E3584" s="2">
        <v>2</v>
      </c>
      <c r="F3584" s="2" t="s">
        <v>10086</v>
      </c>
      <c r="H3584" s="2">
        <v>5.1000000000000004E-3</v>
      </c>
      <c r="K3584" s="2" t="s">
        <v>10085</v>
      </c>
    </row>
    <row r="3585" spans="1:11" x14ac:dyDescent="0.2">
      <c r="A3585" s="2">
        <v>897</v>
      </c>
      <c r="B3585" s="2">
        <v>5</v>
      </c>
      <c r="C3585" s="2">
        <v>147180172</v>
      </c>
      <c r="D3585" s="2">
        <v>148662214</v>
      </c>
      <c r="E3585" s="2">
        <v>3</v>
      </c>
      <c r="F3585" s="2" t="s">
        <v>10086</v>
      </c>
      <c r="H3585" s="2">
        <v>3.8E-3</v>
      </c>
      <c r="K3585" s="2" t="s">
        <v>10088</v>
      </c>
    </row>
    <row r="3586" spans="1:11" x14ac:dyDescent="0.2">
      <c r="A3586" s="2">
        <v>897</v>
      </c>
      <c r="B3586" s="2">
        <v>5</v>
      </c>
      <c r="C3586" s="2">
        <v>147180172</v>
      </c>
      <c r="D3586" s="2">
        <v>148662214</v>
      </c>
      <c r="E3586" s="2">
        <v>4</v>
      </c>
      <c r="F3586" s="2" t="s">
        <v>10086</v>
      </c>
      <c r="H3586" s="2">
        <v>1.6000000000000001E-3</v>
      </c>
      <c r="K3586" s="2" t="s">
        <v>10089</v>
      </c>
    </row>
    <row r="3587" spans="1:11" x14ac:dyDescent="0.2">
      <c r="A3587" s="2">
        <v>898</v>
      </c>
      <c r="B3587" s="2">
        <v>5</v>
      </c>
      <c r="C3587" s="2">
        <v>148662215</v>
      </c>
      <c r="D3587" s="2">
        <v>149850203</v>
      </c>
      <c r="E3587" s="2">
        <v>1</v>
      </c>
      <c r="F3587" s="2" t="s">
        <v>10086</v>
      </c>
      <c r="H3587" s="2">
        <v>2.8E-3</v>
      </c>
      <c r="K3587" s="2" t="s">
        <v>10085</v>
      </c>
    </row>
    <row r="3588" spans="1:11" x14ac:dyDescent="0.2">
      <c r="A3588" s="2">
        <v>898</v>
      </c>
      <c r="B3588" s="2">
        <v>5</v>
      </c>
      <c r="C3588" s="2">
        <v>148662215</v>
      </c>
      <c r="D3588" s="2">
        <v>149850203</v>
      </c>
      <c r="E3588" s="2">
        <v>2</v>
      </c>
      <c r="F3588" s="2" t="s">
        <v>10086</v>
      </c>
      <c r="H3588" s="2">
        <v>1.8E-3</v>
      </c>
      <c r="K3588" s="2" t="s">
        <v>10089</v>
      </c>
    </row>
    <row r="3589" spans="1:11" x14ac:dyDescent="0.2">
      <c r="A3589" s="2">
        <v>898</v>
      </c>
      <c r="B3589" s="2">
        <v>5</v>
      </c>
      <c r="C3589" s="2">
        <v>148662215</v>
      </c>
      <c r="D3589" s="2">
        <v>149850203</v>
      </c>
      <c r="E3589" s="2">
        <v>3</v>
      </c>
      <c r="F3589" s="2" t="s">
        <v>10086</v>
      </c>
      <c r="H3589" s="2">
        <v>1.1000000000000001E-3</v>
      </c>
      <c r="K3589" s="2" t="s">
        <v>10088</v>
      </c>
    </row>
    <row r="3590" spans="1:11" x14ac:dyDescent="0.2">
      <c r="A3590" s="2">
        <v>898</v>
      </c>
      <c r="B3590" s="2">
        <v>5</v>
      </c>
      <c r="C3590" s="2">
        <v>148662215</v>
      </c>
      <c r="D3590" s="2">
        <v>149850203</v>
      </c>
      <c r="E3590" s="2">
        <v>4</v>
      </c>
      <c r="F3590" s="2" t="s">
        <v>10086</v>
      </c>
      <c r="H3590" s="3">
        <v>5.0000000000000001E-4</v>
      </c>
      <c r="K3590" s="2" t="s">
        <v>10087</v>
      </c>
    </row>
    <row r="3591" spans="1:11" x14ac:dyDescent="0.2">
      <c r="A3591" s="2">
        <v>899</v>
      </c>
      <c r="B3591" s="2">
        <v>5</v>
      </c>
      <c r="C3591" s="2">
        <v>149850204</v>
      </c>
      <c r="D3591" s="2">
        <v>150981934</v>
      </c>
      <c r="E3591" s="2">
        <v>1</v>
      </c>
      <c r="F3591" s="2" t="s">
        <v>10086</v>
      </c>
      <c r="H3591" s="2">
        <v>1.1999999999999999E-3</v>
      </c>
      <c r="K3591" s="2" t="s">
        <v>10089</v>
      </c>
    </row>
    <row r="3592" spans="1:11" x14ac:dyDescent="0.2">
      <c r="A3592" s="2">
        <v>899</v>
      </c>
      <c r="B3592" s="2">
        <v>5</v>
      </c>
      <c r="C3592" s="2">
        <v>149850204</v>
      </c>
      <c r="D3592" s="2">
        <v>150981934</v>
      </c>
      <c r="E3592" s="2">
        <v>2</v>
      </c>
      <c r="F3592" s="2" t="s">
        <v>10086</v>
      </c>
      <c r="H3592" s="2">
        <v>1.1000000000000001E-3</v>
      </c>
      <c r="K3592" s="2" t="s">
        <v>10087</v>
      </c>
    </row>
    <row r="3593" spans="1:11" x14ac:dyDescent="0.2">
      <c r="A3593" s="2">
        <v>899</v>
      </c>
      <c r="B3593" s="2">
        <v>5</v>
      </c>
      <c r="C3593" s="2">
        <v>149850204</v>
      </c>
      <c r="D3593" s="2">
        <v>150981934</v>
      </c>
      <c r="E3593" s="2">
        <v>3</v>
      </c>
      <c r="F3593" s="2" t="s">
        <v>10086</v>
      </c>
      <c r="H3593" s="3">
        <v>8.0000000000000004E-4</v>
      </c>
      <c r="K3593" s="2" t="s">
        <v>10088</v>
      </c>
    </row>
    <row r="3594" spans="1:11" x14ac:dyDescent="0.2">
      <c r="A3594" s="2">
        <v>899</v>
      </c>
      <c r="B3594" s="2">
        <v>5</v>
      </c>
      <c r="C3594" s="2">
        <v>149850204</v>
      </c>
      <c r="D3594" s="2">
        <v>150981934</v>
      </c>
      <c r="E3594" s="2">
        <v>4</v>
      </c>
      <c r="F3594" s="2" t="s">
        <v>10086</v>
      </c>
      <c r="H3594" s="3">
        <v>6.9999999999999999E-4</v>
      </c>
      <c r="K3594" s="2" t="s">
        <v>12324</v>
      </c>
    </row>
    <row r="3595" spans="1:11" x14ac:dyDescent="0.2">
      <c r="A3595" s="2">
        <v>900</v>
      </c>
      <c r="B3595" s="2">
        <v>5</v>
      </c>
      <c r="C3595" s="2">
        <v>150981935</v>
      </c>
      <c r="D3595" s="2">
        <v>151892617</v>
      </c>
      <c r="E3595" s="2">
        <v>1</v>
      </c>
      <c r="F3595" s="2" t="s">
        <v>10086</v>
      </c>
      <c r="H3595" s="2">
        <v>1.23E-2</v>
      </c>
      <c r="K3595" s="2" t="s">
        <v>12324</v>
      </c>
    </row>
    <row r="3596" spans="1:11" x14ac:dyDescent="0.2">
      <c r="A3596" s="2">
        <v>900</v>
      </c>
      <c r="B3596" s="2">
        <v>5</v>
      </c>
      <c r="C3596" s="2">
        <v>150981935</v>
      </c>
      <c r="D3596" s="2">
        <v>151892617</v>
      </c>
      <c r="E3596" s="2">
        <v>2</v>
      </c>
      <c r="F3596" s="2" t="s">
        <v>10086</v>
      </c>
      <c r="H3596" s="2">
        <v>3.5000000000000001E-3</v>
      </c>
      <c r="K3596" s="2" t="s">
        <v>10085</v>
      </c>
    </row>
    <row r="3597" spans="1:11" x14ac:dyDescent="0.2">
      <c r="A3597" s="2">
        <v>900</v>
      </c>
      <c r="B3597" s="2">
        <v>5</v>
      </c>
      <c r="C3597" s="2">
        <v>150981935</v>
      </c>
      <c r="D3597" s="2">
        <v>151892617</v>
      </c>
      <c r="E3597" s="2">
        <v>3</v>
      </c>
      <c r="F3597" s="2" t="s">
        <v>10086</v>
      </c>
      <c r="H3597" s="2">
        <v>2.3999999999999998E-3</v>
      </c>
      <c r="K3597" s="2" t="s">
        <v>10088</v>
      </c>
    </row>
    <row r="3598" spans="1:11" x14ac:dyDescent="0.2">
      <c r="A3598" s="2">
        <v>900</v>
      </c>
      <c r="B3598" s="2">
        <v>5</v>
      </c>
      <c r="C3598" s="2">
        <v>150981935</v>
      </c>
      <c r="D3598" s="2">
        <v>151892617</v>
      </c>
      <c r="E3598" s="2">
        <v>4</v>
      </c>
      <c r="F3598" s="2" t="s">
        <v>10086</v>
      </c>
      <c r="H3598" s="3">
        <v>5.9999999999999995E-4</v>
      </c>
      <c r="K3598" s="2" t="s">
        <v>10089</v>
      </c>
    </row>
    <row r="3599" spans="1:11" x14ac:dyDescent="0.2">
      <c r="A3599" s="2">
        <v>901</v>
      </c>
      <c r="B3599" s="2">
        <v>5</v>
      </c>
      <c r="C3599" s="2">
        <v>151892618</v>
      </c>
      <c r="D3599" s="2">
        <v>152878627</v>
      </c>
      <c r="E3599" s="2">
        <v>1</v>
      </c>
      <c r="F3599" s="2" t="s">
        <v>10086</v>
      </c>
      <c r="H3599" s="2">
        <v>1.1900000000000001E-2</v>
      </c>
      <c r="K3599" s="2" t="s">
        <v>10085</v>
      </c>
    </row>
    <row r="3600" spans="1:11" x14ac:dyDescent="0.2">
      <c r="A3600" s="2">
        <v>901</v>
      </c>
      <c r="B3600" s="2">
        <v>5</v>
      </c>
      <c r="C3600" s="2">
        <v>151892618</v>
      </c>
      <c r="D3600" s="2">
        <v>152878627</v>
      </c>
      <c r="E3600" s="2">
        <v>2</v>
      </c>
      <c r="F3600" s="2" t="s">
        <v>10086</v>
      </c>
      <c r="H3600" s="3">
        <v>8.9999999999999998E-4</v>
      </c>
      <c r="K3600" s="2" t="s">
        <v>10088</v>
      </c>
    </row>
    <row r="3601" spans="1:11" x14ac:dyDescent="0.2">
      <c r="A3601" s="2">
        <v>901</v>
      </c>
      <c r="B3601" s="2">
        <v>5</v>
      </c>
      <c r="C3601" s="2">
        <v>151892618</v>
      </c>
      <c r="D3601" s="2">
        <v>152878627</v>
      </c>
      <c r="E3601" s="2">
        <v>3</v>
      </c>
      <c r="F3601" s="2" t="s">
        <v>10086</v>
      </c>
      <c r="H3601" s="2">
        <v>1.5E-3</v>
      </c>
      <c r="K3601" s="2" t="s">
        <v>12324</v>
      </c>
    </row>
    <row r="3602" spans="1:11" x14ac:dyDescent="0.2">
      <c r="A3602" s="2">
        <v>901</v>
      </c>
      <c r="B3602" s="2">
        <v>5</v>
      </c>
      <c r="C3602" s="2">
        <v>151892618</v>
      </c>
      <c r="D3602" s="2">
        <v>152878627</v>
      </c>
      <c r="E3602" s="2">
        <v>4</v>
      </c>
      <c r="F3602" s="2" t="s">
        <v>10086</v>
      </c>
      <c r="H3602" s="3">
        <v>5.9999999999999995E-4</v>
      </c>
      <c r="K3602" s="2" t="s">
        <v>10087</v>
      </c>
    </row>
    <row r="3603" spans="1:11" x14ac:dyDescent="0.2">
      <c r="A3603" s="2">
        <v>902</v>
      </c>
      <c r="B3603" s="2">
        <v>5</v>
      </c>
      <c r="C3603" s="2">
        <v>152878628</v>
      </c>
      <c r="D3603" s="2">
        <v>153734494</v>
      </c>
      <c r="E3603" s="2">
        <v>1</v>
      </c>
      <c r="F3603" s="2" t="s">
        <v>10086</v>
      </c>
      <c r="H3603" s="2">
        <v>5.1000000000000004E-3</v>
      </c>
      <c r="K3603" s="2" t="s">
        <v>10087</v>
      </c>
    </row>
    <row r="3604" spans="1:11" x14ac:dyDescent="0.2">
      <c r="A3604" s="2">
        <v>902</v>
      </c>
      <c r="B3604" s="2">
        <v>5</v>
      </c>
      <c r="C3604" s="2">
        <v>152878628</v>
      </c>
      <c r="D3604" s="2">
        <v>153734494</v>
      </c>
      <c r="E3604" s="2">
        <v>2</v>
      </c>
      <c r="F3604" s="2" t="s">
        <v>10086</v>
      </c>
      <c r="H3604" s="2">
        <v>2.3999999999999998E-3</v>
      </c>
      <c r="K3604" s="2" t="s">
        <v>10089</v>
      </c>
    </row>
    <row r="3605" spans="1:11" x14ac:dyDescent="0.2">
      <c r="A3605" s="2">
        <v>902</v>
      </c>
      <c r="B3605" s="2">
        <v>5</v>
      </c>
      <c r="C3605" s="2">
        <v>152878628</v>
      </c>
      <c r="D3605" s="2">
        <v>153734494</v>
      </c>
      <c r="E3605" s="2">
        <v>3</v>
      </c>
      <c r="F3605" s="2" t="s">
        <v>10086</v>
      </c>
      <c r="H3605" s="3">
        <v>8.9999999999999998E-4</v>
      </c>
      <c r="K3605" s="2" t="s">
        <v>10088</v>
      </c>
    </row>
    <row r="3606" spans="1:11" x14ac:dyDescent="0.2">
      <c r="A3606" s="2">
        <v>902</v>
      </c>
      <c r="B3606" s="2">
        <v>5</v>
      </c>
      <c r="C3606" s="2">
        <v>152878628</v>
      </c>
      <c r="D3606" s="2">
        <v>153734494</v>
      </c>
      <c r="E3606" s="2">
        <v>4</v>
      </c>
      <c r="F3606" s="2" t="s">
        <v>10086</v>
      </c>
      <c r="H3606" s="3">
        <v>5.9999999999999995E-4</v>
      </c>
      <c r="K3606" s="2" t="s">
        <v>10085</v>
      </c>
    </row>
    <row r="3607" spans="1:11" x14ac:dyDescent="0.2">
      <c r="A3607" s="2">
        <v>903</v>
      </c>
      <c r="B3607" s="2">
        <v>5</v>
      </c>
      <c r="C3607" s="2">
        <v>153734495</v>
      </c>
      <c r="D3607" s="2">
        <v>154599750</v>
      </c>
      <c r="E3607" s="2">
        <v>1</v>
      </c>
      <c r="F3607" s="2" t="s">
        <v>10086</v>
      </c>
      <c r="H3607" s="2">
        <v>2.2000000000000001E-3</v>
      </c>
      <c r="K3607" s="2" t="s">
        <v>10087</v>
      </c>
    </row>
    <row r="3608" spans="1:11" x14ac:dyDescent="0.2">
      <c r="A3608" s="2">
        <v>903</v>
      </c>
      <c r="B3608" s="2">
        <v>5</v>
      </c>
      <c r="C3608" s="2">
        <v>153734495</v>
      </c>
      <c r="D3608" s="2">
        <v>154599750</v>
      </c>
      <c r="E3608" s="2">
        <v>2</v>
      </c>
      <c r="F3608" s="2" t="s">
        <v>10086</v>
      </c>
      <c r="H3608" s="2">
        <v>1.6000000000000001E-3</v>
      </c>
      <c r="K3608" s="2" t="s">
        <v>10088</v>
      </c>
    </row>
    <row r="3609" spans="1:11" x14ac:dyDescent="0.2">
      <c r="A3609" s="2">
        <v>903</v>
      </c>
      <c r="B3609" s="2">
        <v>5</v>
      </c>
      <c r="C3609" s="2">
        <v>153734495</v>
      </c>
      <c r="D3609" s="2">
        <v>154599750</v>
      </c>
      <c r="E3609" s="2">
        <v>3</v>
      </c>
      <c r="F3609" s="2" t="s">
        <v>10086</v>
      </c>
      <c r="H3609" s="3">
        <v>8.0000000000000004E-4</v>
      </c>
      <c r="K3609" s="2" t="s">
        <v>10085</v>
      </c>
    </row>
    <row r="3610" spans="1:11" x14ac:dyDescent="0.2">
      <c r="A3610" s="2">
        <v>903</v>
      </c>
      <c r="B3610" s="2">
        <v>5</v>
      </c>
      <c r="C3610" s="2">
        <v>153734495</v>
      </c>
      <c r="D3610" s="2">
        <v>154599750</v>
      </c>
      <c r="E3610" s="2">
        <v>4</v>
      </c>
      <c r="F3610" s="2" t="s">
        <v>10086</v>
      </c>
      <c r="H3610" s="3">
        <v>4.0000000000000002E-4</v>
      </c>
      <c r="K3610" s="2" t="s">
        <v>10089</v>
      </c>
    </row>
    <row r="3611" spans="1:11" x14ac:dyDescent="0.2">
      <c r="A3611" s="2">
        <v>904</v>
      </c>
      <c r="B3611" s="2">
        <v>5</v>
      </c>
      <c r="C3611" s="2">
        <v>154599751</v>
      </c>
      <c r="D3611" s="2">
        <v>155459556</v>
      </c>
      <c r="E3611" s="2">
        <v>1</v>
      </c>
      <c r="F3611" s="2" t="s">
        <v>10086</v>
      </c>
      <c r="H3611" s="2">
        <v>1.6999999999999999E-3</v>
      </c>
      <c r="K3611" s="2" t="s">
        <v>10089</v>
      </c>
    </row>
    <row r="3612" spans="1:11" x14ac:dyDescent="0.2">
      <c r="A3612" s="2">
        <v>904</v>
      </c>
      <c r="B3612" s="2">
        <v>5</v>
      </c>
      <c r="C3612" s="2">
        <v>154599751</v>
      </c>
      <c r="D3612" s="2">
        <v>155459556</v>
      </c>
      <c r="E3612" s="2">
        <v>2</v>
      </c>
      <c r="F3612" s="2" t="s">
        <v>10086</v>
      </c>
      <c r="H3612" s="3">
        <v>8.0000000000000004E-4</v>
      </c>
      <c r="K3612" s="2" t="s">
        <v>10085</v>
      </c>
    </row>
    <row r="3613" spans="1:11" x14ac:dyDescent="0.2">
      <c r="A3613" s="2">
        <v>904</v>
      </c>
      <c r="B3613" s="2">
        <v>5</v>
      </c>
      <c r="C3613" s="2">
        <v>154599751</v>
      </c>
      <c r="D3613" s="2">
        <v>155459556</v>
      </c>
      <c r="E3613" s="2">
        <v>3</v>
      </c>
      <c r="F3613" s="2" t="s">
        <v>10086</v>
      </c>
      <c r="H3613" s="2">
        <v>1E-3</v>
      </c>
      <c r="K3613" s="2" t="s">
        <v>10088</v>
      </c>
    </row>
    <row r="3614" spans="1:11" x14ac:dyDescent="0.2">
      <c r="A3614" s="2">
        <v>904</v>
      </c>
      <c r="B3614" s="2">
        <v>5</v>
      </c>
      <c r="C3614" s="2">
        <v>154599751</v>
      </c>
      <c r="D3614" s="2">
        <v>155459556</v>
      </c>
      <c r="E3614" s="2">
        <v>4</v>
      </c>
      <c r="F3614" s="2" t="s">
        <v>10086</v>
      </c>
      <c r="H3614" s="3">
        <v>5.9999999999999995E-4</v>
      </c>
      <c r="K3614" s="2" t="s">
        <v>10087</v>
      </c>
    </row>
    <row r="3615" spans="1:11" x14ac:dyDescent="0.2">
      <c r="A3615" s="2">
        <v>905</v>
      </c>
      <c r="B3615" s="2">
        <v>5</v>
      </c>
      <c r="C3615" s="2">
        <v>155459557</v>
      </c>
      <c r="D3615" s="2">
        <v>156345451</v>
      </c>
      <c r="E3615" s="2">
        <v>1</v>
      </c>
      <c r="F3615" s="2" t="s">
        <v>10086</v>
      </c>
      <c r="H3615" s="2">
        <v>2.8999999999999998E-3</v>
      </c>
      <c r="K3615" s="2" t="s">
        <v>10087</v>
      </c>
    </row>
    <row r="3616" spans="1:11" x14ac:dyDescent="0.2">
      <c r="A3616" s="2">
        <v>905</v>
      </c>
      <c r="B3616" s="2">
        <v>5</v>
      </c>
      <c r="C3616" s="2">
        <v>155459557</v>
      </c>
      <c r="D3616" s="2">
        <v>156345451</v>
      </c>
      <c r="E3616" s="2">
        <v>2</v>
      </c>
      <c r="F3616" s="2" t="s">
        <v>10086</v>
      </c>
      <c r="H3616" s="2">
        <v>1.5E-3</v>
      </c>
      <c r="K3616" s="2" t="s">
        <v>10085</v>
      </c>
    </row>
    <row r="3617" spans="1:11" x14ac:dyDescent="0.2">
      <c r="A3617" s="2">
        <v>905</v>
      </c>
      <c r="B3617" s="2">
        <v>5</v>
      </c>
      <c r="C3617" s="2">
        <v>155459557</v>
      </c>
      <c r="D3617" s="2">
        <v>156345451</v>
      </c>
      <c r="E3617" s="2">
        <v>3</v>
      </c>
      <c r="F3617" s="2" t="s">
        <v>10086</v>
      </c>
      <c r="H3617" s="2">
        <v>1E-3</v>
      </c>
      <c r="K3617" s="2" t="s">
        <v>10088</v>
      </c>
    </row>
    <row r="3618" spans="1:11" x14ac:dyDescent="0.2">
      <c r="A3618" s="2">
        <v>905</v>
      </c>
      <c r="B3618" s="2">
        <v>5</v>
      </c>
      <c r="C3618" s="2">
        <v>155459557</v>
      </c>
      <c r="D3618" s="2">
        <v>156345451</v>
      </c>
      <c r="E3618" s="2">
        <v>4</v>
      </c>
      <c r="F3618" s="2" t="s">
        <v>10086</v>
      </c>
      <c r="H3618" s="3">
        <v>5.0000000000000001E-4</v>
      </c>
      <c r="K3618" s="2" t="s">
        <v>10089</v>
      </c>
    </row>
    <row r="3619" spans="1:11" x14ac:dyDescent="0.2">
      <c r="A3619" s="2">
        <v>906</v>
      </c>
      <c r="B3619" s="2">
        <v>5</v>
      </c>
      <c r="C3619" s="2">
        <v>156345452</v>
      </c>
      <c r="D3619" s="2">
        <v>157191081</v>
      </c>
      <c r="E3619" s="2">
        <v>1</v>
      </c>
      <c r="F3619" s="2" t="s">
        <v>10086</v>
      </c>
      <c r="H3619" s="2">
        <v>2.0999999999999999E-3</v>
      </c>
      <c r="K3619" s="2" t="s">
        <v>10085</v>
      </c>
    </row>
    <row r="3620" spans="1:11" x14ac:dyDescent="0.2">
      <c r="A3620" s="2">
        <v>906</v>
      </c>
      <c r="B3620" s="2">
        <v>5</v>
      </c>
      <c r="C3620" s="2">
        <v>156345452</v>
      </c>
      <c r="D3620" s="2">
        <v>157191081</v>
      </c>
      <c r="E3620" s="2">
        <v>2</v>
      </c>
      <c r="F3620" s="2" t="s">
        <v>10086</v>
      </c>
      <c r="H3620" s="2">
        <v>2E-3</v>
      </c>
      <c r="K3620" s="2" t="s">
        <v>10087</v>
      </c>
    </row>
    <row r="3621" spans="1:11" x14ac:dyDescent="0.2">
      <c r="A3621" s="2">
        <v>906</v>
      </c>
      <c r="B3621" s="2">
        <v>5</v>
      </c>
      <c r="C3621" s="2">
        <v>156345452</v>
      </c>
      <c r="D3621" s="2">
        <v>157191081</v>
      </c>
      <c r="E3621" s="2">
        <v>3</v>
      </c>
      <c r="F3621" s="2" t="s">
        <v>10086</v>
      </c>
      <c r="H3621" s="3">
        <v>8.9999999999999998E-4</v>
      </c>
      <c r="K3621" s="2" t="s">
        <v>10089</v>
      </c>
    </row>
    <row r="3622" spans="1:11" x14ac:dyDescent="0.2">
      <c r="A3622" s="2">
        <v>906</v>
      </c>
      <c r="B3622" s="2">
        <v>5</v>
      </c>
      <c r="C3622" s="2">
        <v>156345452</v>
      </c>
      <c r="D3622" s="2">
        <v>157191081</v>
      </c>
      <c r="E3622" s="2">
        <v>4</v>
      </c>
      <c r="F3622" s="2" t="s">
        <v>10086</v>
      </c>
      <c r="H3622" s="3">
        <v>4.0000000000000002E-4</v>
      </c>
      <c r="K3622" s="2" t="s">
        <v>12324</v>
      </c>
    </row>
    <row r="3623" spans="1:11" x14ac:dyDescent="0.2">
      <c r="A3623" s="2">
        <v>907</v>
      </c>
      <c r="B3623" s="2">
        <v>5</v>
      </c>
      <c r="C3623" s="2">
        <v>157191082</v>
      </c>
      <c r="D3623" s="2">
        <v>158484775</v>
      </c>
      <c r="E3623" s="2">
        <v>1</v>
      </c>
      <c r="F3623" s="2" t="s">
        <v>10086</v>
      </c>
      <c r="H3623" s="2">
        <v>2.2000000000000001E-3</v>
      </c>
      <c r="K3623" s="2" t="s">
        <v>10087</v>
      </c>
    </row>
    <row r="3624" spans="1:11" x14ac:dyDescent="0.2">
      <c r="A3624" s="2">
        <v>907</v>
      </c>
      <c r="B3624" s="2">
        <v>5</v>
      </c>
      <c r="C3624" s="2">
        <v>157191082</v>
      </c>
      <c r="D3624" s="2">
        <v>158484775</v>
      </c>
      <c r="E3624" s="2">
        <v>2</v>
      </c>
      <c r="F3624" s="2" t="s">
        <v>10086</v>
      </c>
      <c r="H3624" s="2">
        <v>1.9E-3</v>
      </c>
      <c r="K3624" s="2" t="s">
        <v>10088</v>
      </c>
    </row>
    <row r="3625" spans="1:11" x14ac:dyDescent="0.2">
      <c r="A3625" s="2">
        <v>907</v>
      </c>
      <c r="B3625" s="2">
        <v>5</v>
      </c>
      <c r="C3625" s="2">
        <v>157191082</v>
      </c>
      <c r="D3625" s="2">
        <v>158484775</v>
      </c>
      <c r="E3625" s="2">
        <v>3</v>
      </c>
      <c r="F3625" s="2" t="s">
        <v>10086</v>
      </c>
      <c r="H3625" s="2">
        <v>1.8E-3</v>
      </c>
      <c r="K3625" s="2" t="s">
        <v>10089</v>
      </c>
    </row>
    <row r="3626" spans="1:11" x14ac:dyDescent="0.2">
      <c r="A3626" s="2">
        <v>907</v>
      </c>
      <c r="B3626" s="2">
        <v>5</v>
      </c>
      <c r="C3626" s="2">
        <v>157191082</v>
      </c>
      <c r="D3626" s="2">
        <v>158484775</v>
      </c>
      <c r="E3626" s="2">
        <v>4</v>
      </c>
      <c r="F3626" s="2" t="s">
        <v>10086</v>
      </c>
      <c r="H3626" s="3">
        <v>4.0000000000000002E-4</v>
      </c>
      <c r="K3626" s="2" t="s">
        <v>10085</v>
      </c>
    </row>
    <row r="3627" spans="1:11" x14ac:dyDescent="0.2">
      <c r="A3627" s="2">
        <v>908</v>
      </c>
      <c r="B3627" s="2">
        <v>5</v>
      </c>
      <c r="C3627" s="2">
        <v>158484776</v>
      </c>
      <c r="D3627" s="2">
        <v>159663733</v>
      </c>
      <c r="E3627" s="2">
        <v>1</v>
      </c>
      <c r="F3627" s="2" t="s">
        <v>10086</v>
      </c>
      <c r="H3627" s="2">
        <v>2.8E-3</v>
      </c>
      <c r="K3627" s="2" t="s">
        <v>10085</v>
      </c>
    </row>
    <row r="3628" spans="1:11" x14ac:dyDescent="0.2">
      <c r="A3628" s="2">
        <v>908</v>
      </c>
      <c r="B3628" s="2">
        <v>5</v>
      </c>
      <c r="C3628" s="2">
        <v>158484776</v>
      </c>
      <c r="D3628" s="2">
        <v>159663733</v>
      </c>
      <c r="E3628" s="2">
        <v>2</v>
      </c>
      <c r="F3628" s="2" t="s">
        <v>10086</v>
      </c>
      <c r="H3628" s="2">
        <v>2.5999999999999999E-3</v>
      </c>
      <c r="K3628" s="2" t="s">
        <v>10087</v>
      </c>
    </row>
    <row r="3629" spans="1:11" x14ac:dyDescent="0.2">
      <c r="A3629" s="2">
        <v>908</v>
      </c>
      <c r="B3629" s="2">
        <v>5</v>
      </c>
      <c r="C3629" s="2">
        <v>158484776</v>
      </c>
      <c r="D3629" s="2">
        <v>159663733</v>
      </c>
      <c r="E3629" s="2">
        <v>3</v>
      </c>
      <c r="F3629" s="2" t="s">
        <v>10086</v>
      </c>
      <c r="H3629" s="2">
        <v>1.4E-3</v>
      </c>
      <c r="K3629" s="2" t="s">
        <v>10088</v>
      </c>
    </row>
    <row r="3630" spans="1:11" x14ac:dyDescent="0.2">
      <c r="A3630" s="2">
        <v>908</v>
      </c>
      <c r="B3630" s="2">
        <v>5</v>
      </c>
      <c r="C3630" s="2">
        <v>158484776</v>
      </c>
      <c r="D3630" s="2">
        <v>159663733</v>
      </c>
      <c r="E3630" s="2">
        <v>4</v>
      </c>
      <c r="F3630" s="2" t="s">
        <v>10086</v>
      </c>
      <c r="H3630" s="3">
        <v>5.9999999999999995E-4</v>
      </c>
      <c r="K3630" s="2" t="s">
        <v>10089</v>
      </c>
    </row>
    <row r="3631" spans="1:11" x14ac:dyDescent="0.2">
      <c r="A3631" s="2">
        <v>909</v>
      </c>
      <c r="B3631" s="2">
        <v>5</v>
      </c>
      <c r="C3631" s="2">
        <v>159663734</v>
      </c>
      <c r="D3631" s="2">
        <v>160519049</v>
      </c>
      <c r="E3631" s="2">
        <v>1</v>
      </c>
      <c r="F3631" s="2" t="s">
        <v>10086</v>
      </c>
      <c r="H3631" s="2">
        <v>2.5000000000000001E-3</v>
      </c>
      <c r="K3631" s="2" t="s">
        <v>10085</v>
      </c>
    </row>
    <row r="3632" spans="1:11" x14ac:dyDescent="0.2">
      <c r="A3632" s="2">
        <v>909</v>
      </c>
      <c r="B3632" s="2">
        <v>5</v>
      </c>
      <c r="C3632" s="2">
        <v>159663734</v>
      </c>
      <c r="D3632" s="2">
        <v>160519049</v>
      </c>
      <c r="E3632" s="2">
        <v>2</v>
      </c>
      <c r="F3632" s="2" t="s">
        <v>10086</v>
      </c>
      <c r="H3632" s="2">
        <v>1.8E-3</v>
      </c>
      <c r="K3632" s="2" t="s">
        <v>10087</v>
      </c>
    </row>
    <row r="3633" spans="1:11" x14ac:dyDescent="0.2">
      <c r="A3633" s="2">
        <v>909</v>
      </c>
      <c r="B3633" s="2">
        <v>5</v>
      </c>
      <c r="C3633" s="2">
        <v>159663734</v>
      </c>
      <c r="D3633" s="2">
        <v>160519049</v>
      </c>
      <c r="E3633" s="2">
        <v>3</v>
      </c>
      <c r="F3633" s="2" t="s">
        <v>10086</v>
      </c>
      <c r="H3633" s="2">
        <v>1.1999999999999999E-3</v>
      </c>
      <c r="K3633" s="2" t="s">
        <v>10089</v>
      </c>
    </row>
    <row r="3634" spans="1:11" x14ac:dyDescent="0.2">
      <c r="A3634" s="2">
        <v>909</v>
      </c>
      <c r="B3634" s="2">
        <v>5</v>
      </c>
      <c r="C3634" s="2">
        <v>159663734</v>
      </c>
      <c r="D3634" s="2">
        <v>160519049</v>
      </c>
      <c r="E3634" s="2">
        <v>4</v>
      </c>
      <c r="F3634" s="2" t="s">
        <v>10086</v>
      </c>
      <c r="H3634" s="3">
        <v>4.0000000000000002E-4</v>
      </c>
      <c r="K3634" s="2" t="s">
        <v>10088</v>
      </c>
    </row>
    <row r="3635" spans="1:11" x14ac:dyDescent="0.2">
      <c r="A3635" s="2">
        <v>910</v>
      </c>
      <c r="B3635" s="2">
        <v>5</v>
      </c>
      <c r="C3635" s="2">
        <v>160519050</v>
      </c>
      <c r="D3635" s="2">
        <v>161478177</v>
      </c>
      <c r="E3635" s="2">
        <v>1</v>
      </c>
      <c r="F3635" s="2" t="s">
        <v>10086</v>
      </c>
      <c r="H3635" s="2">
        <v>1.8E-3</v>
      </c>
      <c r="K3635" s="2" t="s">
        <v>10087</v>
      </c>
    </row>
    <row r="3636" spans="1:11" x14ac:dyDescent="0.2">
      <c r="A3636" s="2">
        <v>910</v>
      </c>
      <c r="B3636" s="2">
        <v>5</v>
      </c>
      <c r="C3636" s="2">
        <v>160519050</v>
      </c>
      <c r="D3636" s="2">
        <v>161478177</v>
      </c>
      <c r="E3636" s="2">
        <v>2</v>
      </c>
      <c r="F3636" s="2" t="s">
        <v>10086</v>
      </c>
      <c r="H3636" s="2">
        <v>1.2999999999999999E-3</v>
      </c>
      <c r="K3636" s="2" t="s">
        <v>10088</v>
      </c>
    </row>
    <row r="3637" spans="1:11" x14ac:dyDescent="0.2">
      <c r="A3637" s="2">
        <v>910</v>
      </c>
      <c r="B3637" s="2">
        <v>5</v>
      </c>
      <c r="C3637" s="2">
        <v>160519050</v>
      </c>
      <c r="D3637" s="2">
        <v>161478177</v>
      </c>
      <c r="E3637" s="2">
        <v>3</v>
      </c>
      <c r="F3637" s="2" t="s">
        <v>10086</v>
      </c>
      <c r="H3637" s="2">
        <v>1E-3</v>
      </c>
      <c r="K3637" s="2" t="s">
        <v>10089</v>
      </c>
    </row>
    <row r="3638" spans="1:11" x14ac:dyDescent="0.2">
      <c r="A3638" s="2">
        <v>910</v>
      </c>
      <c r="B3638" s="2">
        <v>5</v>
      </c>
      <c r="C3638" s="2">
        <v>160519050</v>
      </c>
      <c r="D3638" s="2">
        <v>161478177</v>
      </c>
      <c r="E3638" s="2">
        <v>4</v>
      </c>
      <c r="F3638" s="2" t="s">
        <v>10086</v>
      </c>
      <c r="H3638" s="3">
        <v>8.0000000000000004E-4</v>
      </c>
      <c r="K3638" s="2" t="s">
        <v>10085</v>
      </c>
    </row>
    <row r="3639" spans="1:11" x14ac:dyDescent="0.2">
      <c r="A3639" s="2">
        <v>911</v>
      </c>
      <c r="B3639" s="2">
        <v>5</v>
      </c>
      <c r="C3639" s="2">
        <v>161478178</v>
      </c>
      <c r="D3639" s="2">
        <v>162386027</v>
      </c>
      <c r="E3639" s="2">
        <v>1</v>
      </c>
      <c r="F3639" s="2" t="s">
        <v>10086</v>
      </c>
      <c r="H3639" s="2">
        <v>5.7000000000000002E-3</v>
      </c>
      <c r="K3639" s="2" t="s">
        <v>10088</v>
      </c>
    </row>
    <row r="3640" spans="1:11" x14ac:dyDescent="0.2">
      <c r="A3640" s="2">
        <v>911</v>
      </c>
      <c r="B3640" s="2">
        <v>5</v>
      </c>
      <c r="C3640" s="2">
        <v>161478178</v>
      </c>
      <c r="D3640" s="2">
        <v>162386027</v>
      </c>
      <c r="E3640" s="2">
        <v>2</v>
      </c>
      <c r="F3640" s="2" t="s">
        <v>10086</v>
      </c>
      <c r="H3640" s="2">
        <v>1.8E-3</v>
      </c>
      <c r="K3640" s="2" t="s">
        <v>10089</v>
      </c>
    </row>
    <row r="3641" spans="1:11" x14ac:dyDescent="0.2">
      <c r="A3641" s="2">
        <v>911</v>
      </c>
      <c r="B3641" s="2">
        <v>5</v>
      </c>
      <c r="C3641" s="2">
        <v>161478178</v>
      </c>
      <c r="D3641" s="2">
        <v>162386027</v>
      </c>
      <c r="E3641" s="2">
        <v>3</v>
      </c>
      <c r="F3641" s="2" t="s">
        <v>10086</v>
      </c>
      <c r="H3641" s="2">
        <v>1.4E-3</v>
      </c>
      <c r="K3641" s="2" t="s">
        <v>12324</v>
      </c>
    </row>
    <row r="3642" spans="1:11" x14ac:dyDescent="0.2">
      <c r="A3642" s="2">
        <v>911</v>
      </c>
      <c r="B3642" s="2">
        <v>5</v>
      </c>
      <c r="C3642" s="2">
        <v>161478178</v>
      </c>
      <c r="D3642" s="2">
        <v>162386027</v>
      </c>
      <c r="E3642" s="2">
        <v>4</v>
      </c>
      <c r="F3642" s="2" t="s">
        <v>10086</v>
      </c>
      <c r="H3642" s="3">
        <v>6.9999999999999999E-4</v>
      </c>
      <c r="K3642" s="2" t="s">
        <v>10085</v>
      </c>
    </row>
    <row r="3643" spans="1:11" x14ac:dyDescent="0.2">
      <c r="A3643" s="2">
        <v>912</v>
      </c>
      <c r="B3643" s="2">
        <v>5</v>
      </c>
      <c r="C3643" s="2">
        <v>162386028</v>
      </c>
      <c r="D3643" s="2">
        <v>163781268</v>
      </c>
      <c r="E3643" s="2">
        <v>1</v>
      </c>
      <c r="F3643" s="2" t="s">
        <v>10086</v>
      </c>
      <c r="H3643" s="2">
        <v>3.3999999999999998E-3</v>
      </c>
      <c r="K3643" s="2" t="s">
        <v>10088</v>
      </c>
    </row>
    <row r="3644" spans="1:11" x14ac:dyDescent="0.2">
      <c r="A3644" s="2">
        <v>912</v>
      </c>
      <c r="B3644" s="2">
        <v>5</v>
      </c>
      <c r="C3644" s="2">
        <v>162386028</v>
      </c>
      <c r="D3644" s="2">
        <v>163781268</v>
      </c>
      <c r="E3644" s="2">
        <v>2</v>
      </c>
      <c r="F3644" s="2" t="s">
        <v>10086</v>
      </c>
      <c r="H3644" s="2">
        <v>1.1000000000000001E-3</v>
      </c>
      <c r="K3644" s="2" t="s">
        <v>10087</v>
      </c>
    </row>
    <row r="3645" spans="1:11" x14ac:dyDescent="0.2">
      <c r="A3645" s="2">
        <v>912</v>
      </c>
      <c r="B3645" s="2">
        <v>5</v>
      </c>
      <c r="C3645" s="2">
        <v>162386028</v>
      </c>
      <c r="D3645" s="2">
        <v>163781268</v>
      </c>
      <c r="E3645" s="2">
        <v>3</v>
      </c>
      <c r="F3645" s="2" t="s">
        <v>10086</v>
      </c>
      <c r="H3645" s="3">
        <v>8.0000000000000004E-4</v>
      </c>
      <c r="K3645" s="2" t="s">
        <v>10085</v>
      </c>
    </row>
    <row r="3646" spans="1:11" x14ac:dyDescent="0.2">
      <c r="A3646" s="2">
        <v>912</v>
      </c>
      <c r="B3646" s="2">
        <v>5</v>
      </c>
      <c r="C3646" s="2">
        <v>162386028</v>
      </c>
      <c r="D3646" s="2">
        <v>163781268</v>
      </c>
      <c r="E3646" s="2">
        <v>4</v>
      </c>
      <c r="F3646" s="2" t="s">
        <v>10086</v>
      </c>
      <c r="H3646" s="3">
        <v>5.0000000000000001E-4</v>
      </c>
      <c r="K3646" s="2" t="s">
        <v>10089</v>
      </c>
    </row>
    <row r="3647" spans="1:11" x14ac:dyDescent="0.2">
      <c r="A3647" s="2">
        <v>913</v>
      </c>
      <c r="B3647" s="2">
        <v>5</v>
      </c>
      <c r="C3647" s="2">
        <v>163781269</v>
      </c>
      <c r="D3647" s="2">
        <v>165289211</v>
      </c>
      <c r="E3647" s="2">
        <v>1</v>
      </c>
      <c r="F3647" s="2" t="s">
        <v>10086</v>
      </c>
      <c r="H3647" s="2">
        <v>2.7000000000000001E-3</v>
      </c>
      <c r="K3647" s="2" t="s">
        <v>10087</v>
      </c>
    </row>
    <row r="3648" spans="1:11" x14ac:dyDescent="0.2">
      <c r="A3648" s="2">
        <v>913</v>
      </c>
      <c r="B3648" s="2">
        <v>5</v>
      </c>
      <c r="C3648" s="2">
        <v>163781269</v>
      </c>
      <c r="D3648" s="2">
        <v>165289211</v>
      </c>
      <c r="E3648" s="2">
        <v>2</v>
      </c>
      <c r="F3648" s="2" t="s">
        <v>10086</v>
      </c>
      <c r="H3648" s="2">
        <v>1.9E-3</v>
      </c>
      <c r="K3648" s="2" t="s">
        <v>10089</v>
      </c>
    </row>
    <row r="3649" spans="1:11" x14ac:dyDescent="0.2">
      <c r="A3649" s="2">
        <v>913</v>
      </c>
      <c r="B3649" s="2">
        <v>5</v>
      </c>
      <c r="C3649" s="2">
        <v>163781269</v>
      </c>
      <c r="D3649" s="2">
        <v>165289211</v>
      </c>
      <c r="E3649" s="2">
        <v>3</v>
      </c>
      <c r="F3649" s="2" t="s">
        <v>10086</v>
      </c>
      <c r="H3649" s="2">
        <v>1E-3</v>
      </c>
      <c r="K3649" s="2" t="s">
        <v>10085</v>
      </c>
    </row>
    <row r="3650" spans="1:11" x14ac:dyDescent="0.2">
      <c r="A3650" s="2">
        <v>913</v>
      </c>
      <c r="B3650" s="2">
        <v>5</v>
      </c>
      <c r="C3650" s="2">
        <v>163781269</v>
      </c>
      <c r="D3650" s="2">
        <v>165289211</v>
      </c>
      <c r="E3650" s="2">
        <v>4</v>
      </c>
      <c r="F3650" s="2" t="s">
        <v>10086</v>
      </c>
      <c r="H3650" s="3">
        <v>5.9999999999999995E-4</v>
      </c>
      <c r="K3650" s="2" t="s">
        <v>10088</v>
      </c>
    </row>
    <row r="3651" spans="1:11" x14ac:dyDescent="0.2">
      <c r="A3651" s="2">
        <v>914</v>
      </c>
      <c r="B3651" s="2">
        <v>5</v>
      </c>
      <c r="C3651" s="2">
        <v>165289212</v>
      </c>
      <c r="D3651" s="2">
        <v>166863413</v>
      </c>
      <c r="E3651" s="2">
        <v>1</v>
      </c>
      <c r="F3651" s="2" t="s">
        <v>10086</v>
      </c>
      <c r="H3651" s="2">
        <v>2.0999999999999999E-3</v>
      </c>
      <c r="K3651" s="2" t="s">
        <v>10088</v>
      </c>
    </row>
    <row r="3652" spans="1:11" x14ac:dyDescent="0.2">
      <c r="A3652" s="2">
        <v>914</v>
      </c>
      <c r="B3652" s="2">
        <v>5</v>
      </c>
      <c r="C3652" s="2">
        <v>165289212</v>
      </c>
      <c r="D3652" s="2">
        <v>166863413</v>
      </c>
      <c r="E3652" s="2">
        <v>2</v>
      </c>
      <c r="F3652" s="2" t="s">
        <v>10086</v>
      </c>
      <c r="H3652" s="2">
        <v>2.0999999999999999E-3</v>
      </c>
      <c r="K3652" s="2" t="s">
        <v>10087</v>
      </c>
    </row>
    <row r="3653" spans="1:11" x14ac:dyDescent="0.2">
      <c r="A3653" s="2">
        <v>914</v>
      </c>
      <c r="B3653" s="2">
        <v>5</v>
      </c>
      <c r="C3653" s="2">
        <v>165289212</v>
      </c>
      <c r="D3653" s="2">
        <v>166863413</v>
      </c>
      <c r="E3653" s="2">
        <v>3</v>
      </c>
      <c r="F3653" s="2" t="s">
        <v>10086</v>
      </c>
      <c r="H3653" s="2">
        <v>1.4E-3</v>
      </c>
      <c r="K3653" s="2" t="s">
        <v>10089</v>
      </c>
    </row>
    <row r="3654" spans="1:11" x14ac:dyDescent="0.2">
      <c r="A3654" s="2">
        <v>914</v>
      </c>
      <c r="B3654" s="2">
        <v>5</v>
      </c>
      <c r="C3654" s="2">
        <v>165289212</v>
      </c>
      <c r="D3654" s="2">
        <v>166863413</v>
      </c>
      <c r="E3654" s="2">
        <v>4</v>
      </c>
      <c r="F3654" s="2" t="s">
        <v>10086</v>
      </c>
      <c r="H3654" s="3">
        <v>5.9999999999999995E-4</v>
      </c>
      <c r="K3654" s="2" t="s">
        <v>10085</v>
      </c>
    </row>
    <row r="3655" spans="1:11" x14ac:dyDescent="0.2">
      <c r="A3655" s="2">
        <v>915</v>
      </c>
      <c r="B3655" s="2">
        <v>5</v>
      </c>
      <c r="C3655" s="2">
        <v>166863414</v>
      </c>
      <c r="D3655" s="2">
        <v>168342743</v>
      </c>
      <c r="E3655" s="2">
        <v>1</v>
      </c>
      <c r="F3655" s="2" t="s">
        <v>10086</v>
      </c>
      <c r="H3655" s="2">
        <v>3.0000000000000001E-3</v>
      </c>
      <c r="K3655" s="2" t="s">
        <v>10088</v>
      </c>
    </row>
    <row r="3656" spans="1:11" x14ac:dyDescent="0.2">
      <c r="A3656" s="2">
        <v>915</v>
      </c>
      <c r="B3656" s="2">
        <v>5</v>
      </c>
      <c r="C3656" s="2">
        <v>166863414</v>
      </c>
      <c r="D3656" s="2">
        <v>168342743</v>
      </c>
      <c r="E3656" s="2">
        <v>2</v>
      </c>
      <c r="F3656" s="2" t="s">
        <v>10086</v>
      </c>
      <c r="H3656" s="2">
        <v>1.5E-3</v>
      </c>
      <c r="K3656" s="2" t="s">
        <v>10085</v>
      </c>
    </row>
    <row r="3657" spans="1:11" x14ac:dyDescent="0.2">
      <c r="A3657" s="2">
        <v>915</v>
      </c>
      <c r="B3657" s="2">
        <v>5</v>
      </c>
      <c r="C3657" s="2">
        <v>166863414</v>
      </c>
      <c r="D3657" s="2">
        <v>168342743</v>
      </c>
      <c r="E3657" s="2">
        <v>3</v>
      </c>
      <c r="F3657" s="2" t="s">
        <v>10086</v>
      </c>
      <c r="H3657" s="2">
        <v>1.1000000000000001E-3</v>
      </c>
      <c r="K3657" s="2" t="s">
        <v>10087</v>
      </c>
    </row>
    <row r="3658" spans="1:11" x14ac:dyDescent="0.2">
      <c r="A3658" s="2">
        <v>915</v>
      </c>
      <c r="B3658" s="2">
        <v>5</v>
      </c>
      <c r="C3658" s="2">
        <v>166863414</v>
      </c>
      <c r="D3658" s="2">
        <v>168342743</v>
      </c>
      <c r="E3658" s="2">
        <v>4</v>
      </c>
      <c r="F3658" s="2" t="s">
        <v>10086</v>
      </c>
      <c r="H3658" s="3">
        <v>5.9999999999999995E-4</v>
      </c>
      <c r="K3658" s="2" t="s">
        <v>10089</v>
      </c>
    </row>
    <row r="3659" spans="1:11" x14ac:dyDescent="0.2">
      <c r="A3659" s="2">
        <v>916</v>
      </c>
      <c r="B3659" s="2">
        <v>5</v>
      </c>
      <c r="C3659" s="2">
        <v>168342744</v>
      </c>
      <c r="D3659" s="2">
        <v>169506966</v>
      </c>
      <c r="E3659" s="2">
        <v>1</v>
      </c>
      <c r="F3659" s="2" t="s">
        <v>10086</v>
      </c>
      <c r="H3659" s="2">
        <v>3.0999999999999999E-3</v>
      </c>
      <c r="K3659" s="2" t="s">
        <v>10087</v>
      </c>
    </row>
    <row r="3660" spans="1:11" x14ac:dyDescent="0.2">
      <c r="A3660" s="2">
        <v>916</v>
      </c>
      <c r="B3660" s="2">
        <v>5</v>
      </c>
      <c r="C3660" s="2">
        <v>168342744</v>
      </c>
      <c r="D3660" s="2">
        <v>169506966</v>
      </c>
      <c r="E3660" s="2">
        <v>2</v>
      </c>
      <c r="F3660" s="2" t="s">
        <v>10086</v>
      </c>
      <c r="H3660" s="2">
        <v>1.6000000000000001E-3</v>
      </c>
      <c r="K3660" s="2" t="s">
        <v>10089</v>
      </c>
    </row>
    <row r="3661" spans="1:11" x14ac:dyDescent="0.2">
      <c r="A3661" s="2">
        <v>916</v>
      </c>
      <c r="B3661" s="2">
        <v>5</v>
      </c>
      <c r="C3661" s="2">
        <v>168342744</v>
      </c>
      <c r="D3661" s="2">
        <v>169506966</v>
      </c>
      <c r="E3661" s="2">
        <v>3</v>
      </c>
      <c r="F3661" s="2" t="s">
        <v>10086</v>
      </c>
      <c r="H3661" s="2">
        <v>1.1999999999999999E-3</v>
      </c>
      <c r="K3661" s="2" t="s">
        <v>10085</v>
      </c>
    </row>
    <row r="3662" spans="1:11" x14ac:dyDescent="0.2">
      <c r="A3662" s="2">
        <v>916</v>
      </c>
      <c r="B3662" s="2">
        <v>5</v>
      </c>
      <c r="C3662" s="2">
        <v>168342744</v>
      </c>
      <c r="D3662" s="2">
        <v>169506966</v>
      </c>
      <c r="E3662" s="2">
        <v>4</v>
      </c>
      <c r="F3662" s="2" t="s">
        <v>10086</v>
      </c>
      <c r="H3662" s="2">
        <v>1.2999999999999999E-3</v>
      </c>
      <c r="K3662" s="2" t="s">
        <v>10088</v>
      </c>
    </row>
    <row r="3663" spans="1:11" x14ac:dyDescent="0.2">
      <c r="A3663" s="2">
        <v>917</v>
      </c>
      <c r="B3663" s="2">
        <v>5</v>
      </c>
      <c r="C3663" s="2">
        <v>169506967</v>
      </c>
      <c r="D3663" s="2">
        <v>170898340</v>
      </c>
      <c r="E3663" s="2">
        <v>1</v>
      </c>
      <c r="F3663" s="2" t="s">
        <v>10086</v>
      </c>
      <c r="H3663" s="2">
        <v>3.5000000000000001E-3</v>
      </c>
      <c r="K3663" s="2" t="s">
        <v>10087</v>
      </c>
    </row>
    <row r="3664" spans="1:11" x14ac:dyDescent="0.2">
      <c r="A3664" s="2">
        <v>917</v>
      </c>
      <c r="B3664" s="2">
        <v>5</v>
      </c>
      <c r="C3664" s="2">
        <v>169506967</v>
      </c>
      <c r="D3664" s="2">
        <v>170898340</v>
      </c>
      <c r="E3664" s="2">
        <v>2</v>
      </c>
      <c r="F3664" s="2" t="s">
        <v>10086</v>
      </c>
      <c r="H3664" s="2">
        <v>2.7000000000000001E-3</v>
      </c>
      <c r="K3664" s="2" t="s">
        <v>10085</v>
      </c>
    </row>
    <row r="3665" spans="1:11" x14ac:dyDescent="0.2">
      <c r="A3665" s="2">
        <v>917</v>
      </c>
      <c r="B3665" s="2">
        <v>5</v>
      </c>
      <c r="C3665" s="2">
        <v>169506967</v>
      </c>
      <c r="D3665" s="2">
        <v>170898340</v>
      </c>
      <c r="E3665" s="2">
        <v>3</v>
      </c>
      <c r="F3665" s="2" t="s">
        <v>10086</v>
      </c>
      <c r="H3665" s="2">
        <v>1E-3</v>
      </c>
      <c r="K3665" s="2" t="s">
        <v>10088</v>
      </c>
    </row>
    <row r="3666" spans="1:11" x14ac:dyDescent="0.2">
      <c r="A3666" s="2">
        <v>917</v>
      </c>
      <c r="B3666" s="2">
        <v>5</v>
      </c>
      <c r="C3666" s="2">
        <v>169506967</v>
      </c>
      <c r="D3666" s="2">
        <v>170898340</v>
      </c>
      <c r="E3666" s="2">
        <v>4</v>
      </c>
      <c r="F3666" s="2" t="s">
        <v>10086</v>
      </c>
      <c r="H3666" s="3">
        <v>5.0000000000000001E-4</v>
      </c>
      <c r="K3666" s="2" t="s">
        <v>10089</v>
      </c>
    </row>
    <row r="3667" spans="1:11" x14ac:dyDescent="0.2">
      <c r="A3667" s="2">
        <v>918</v>
      </c>
      <c r="B3667" s="2">
        <v>5</v>
      </c>
      <c r="C3667" s="2">
        <v>170898341</v>
      </c>
      <c r="D3667" s="2">
        <v>172285682</v>
      </c>
      <c r="E3667" s="2">
        <v>1</v>
      </c>
      <c r="F3667" s="2" t="s">
        <v>10086</v>
      </c>
      <c r="H3667" s="2">
        <v>3.3E-3</v>
      </c>
      <c r="K3667" s="2" t="s">
        <v>10087</v>
      </c>
    </row>
    <row r="3668" spans="1:11" x14ac:dyDescent="0.2">
      <c r="A3668" s="2">
        <v>918</v>
      </c>
      <c r="B3668" s="2">
        <v>5</v>
      </c>
      <c r="C3668" s="2">
        <v>170898341</v>
      </c>
      <c r="D3668" s="2">
        <v>172285682</v>
      </c>
      <c r="E3668" s="2">
        <v>2</v>
      </c>
      <c r="F3668" s="2" t="s">
        <v>10086</v>
      </c>
      <c r="H3668" s="2">
        <v>2E-3</v>
      </c>
      <c r="K3668" s="2" t="s">
        <v>10089</v>
      </c>
    </row>
    <row r="3669" spans="1:11" x14ac:dyDescent="0.2">
      <c r="A3669" s="2">
        <v>918</v>
      </c>
      <c r="B3669" s="2">
        <v>5</v>
      </c>
      <c r="C3669" s="2">
        <v>170898341</v>
      </c>
      <c r="D3669" s="2">
        <v>172285682</v>
      </c>
      <c r="E3669" s="2">
        <v>3</v>
      </c>
      <c r="F3669" s="2" t="s">
        <v>10086</v>
      </c>
      <c r="H3669" s="2">
        <v>1.5E-3</v>
      </c>
      <c r="K3669" s="2" t="s">
        <v>10085</v>
      </c>
    </row>
    <row r="3670" spans="1:11" x14ac:dyDescent="0.2">
      <c r="A3670" s="2">
        <v>918</v>
      </c>
      <c r="B3670" s="2">
        <v>5</v>
      </c>
      <c r="C3670" s="2">
        <v>170898341</v>
      </c>
      <c r="D3670" s="2">
        <v>172285682</v>
      </c>
      <c r="E3670" s="2">
        <v>4</v>
      </c>
      <c r="F3670" s="2" t="s">
        <v>10086</v>
      </c>
      <c r="H3670" s="2">
        <v>1E-3</v>
      </c>
      <c r="K3670" s="2" t="s">
        <v>10088</v>
      </c>
    </row>
    <row r="3671" spans="1:11" x14ac:dyDescent="0.2">
      <c r="A3671" s="2">
        <v>919</v>
      </c>
      <c r="B3671" s="2">
        <v>5</v>
      </c>
      <c r="C3671" s="2">
        <v>172285683</v>
      </c>
      <c r="D3671" s="2">
        <v>173606995</v>
      </c>
      <c r="E3671" s="2">
        <v>1</v>
      </c>
      <c r="F3671" s="2" t="s">
        <v>10086</v>
      </c>
      <c r="H3671" s="2">
        <v>4.0000000000000001E-3</v>
      </c>
      <c r="K3671" s="2" t="s">
        <v>10088</v>
      </c>
    </row>
    <row r="3672" spans="1:11" x14ac:dyDescent="0.2">
      <c r="A3672" s="2">
        <v>919</v>
      </c>
      <c r="B3672" s="2">
        <v>5</v>
      </c>
      <c r="C3672" s="2">
        <v>172285683</v>
      </c>
      <c r="D3672" s="2">
        <v>173606995</v>
      </c>
      <c r="E3672" s="2">
        <v>2</v>
      </c>
      <c r="F3672" s="2" t="s">
        <v>10086</v>
      </c>
      <c r="H3672" s="2">
        <v>1.9E-3</v>
      </c>
      <c r="K3672" s="2" t="s">
        <v>10089</v>
      </c>
    </row>
    <row r="3673" spans="1:11" x14ac:dyDescent="0.2">
      <c r="A3673" s="2">
        <v>919</v>
      </c>
      <c r="B3673" s="2">
        <v>5</v>
      </c>
      <c r="C3673" s="2">
        <v>172285683</v>
      </c>
      <c r="D3673" s="2">
        <v>173606995</v>
      </c>
      <c r="E3673" s="2">
        <v>3</v>
      </c>
      <c r="F3673" s="2" t="s">
        <v>10086</v>
      </c>
      <c r="H3673" s="2">
        <v>1.1999999999999999E-3</v>
      </c>
      <c r="K3673" s="2" t="s">
        <v>10087</v>
      </c>
    </row>
    <row r="3674" spans="1:11" x14ac:dyDescent="0.2">
      <c r="A3674" s="2">
        <v>919</v>
      </c>
      <c r="B3674" s="2">
        <v>5</v>
      </c>
      <c r="C3674" s="2">
        <v>172285683</v>
      </c>
      <c r="D3674" s="2">
        <v>173606995</v>
      </c>
      <c r="E3674" s="2">
        <v>4</v>
      </c>
      <c r="F3674" s="2" t="s">
        <v>10086</v>
      </c>
      <c r="H3674" s="3">
        <v>5.0000000000000001E-4</v>
      </c>
      <c r="K3674" s="2" t="s">
        <v>10085</v>
      </c>
    </row>
    <row r="3675" spans="1:11" x14ac:dyDescent="0.2">
      <c r="A3675" s="2">
        <v>920</v>
      </c>
      <c r="B3675" s="2">
        <v>5</v>
      </c>
      <c r="C3675" s="2">
        <v>173606996</v>
      </c>
      <c r="D3675" s="2">
        <v>174662885</v>
      </c>
      <c r="E3675" s="2">
        <v>1</v>
      </c>
      <c r="F3675" s="2" t="s">
        <v>10086</v>
      </c>
      <c r="H3675" s="2">
        <v>5.1999999999999998E-3</v>
      </c>
      <c r="K3675" s="2" t="s">
        <v>10088</v>
      </c>
    </row>
    <row r="3676" spans="1:11" x14ac:dyDescent="0.2">
      <c r="A3676" s="2">
        <v>920</v>
      </c>
      <c r="B3676" s="2">
        <v>5</v>
      </c>
      <c r="C3676" s="2">
        <v>173606996</v>
      </c>
      <c r="D3676" s="2">
        <v>174662885</v>
      </c>
      <c r="E3676" s="2">
        <v>2</v>
      </c>
      <c r="F3676" s="2" t="s">
        <v>10086</v>
      </c>
      <c r="H3676" s="2">
        <v>1.8E-3</v>
      </c>
      <c r="K3676" s="2" t="s">
        <v>10089</v>
      </c>
    </row>
    <row r="3677" spans="1:11" x14ac:dyDescent="0.2">
      <c r="A3677" s="2">
        <v>920</v>
      </c>
      <c r="B3677" s="2">
        <v>5</v>
      </c>
      <c r="C3677" s="2">
        <v>173606996</v>
      </c>
      <c r="D3677" s="2">
        <v>174662885</v>
      </c>
      <c r="E3677" s="2">
        <v>3</v>
      </c>
      <c r="F3677" s="2" t="s">
        <v>10086</v>
      </c>
      <c r="H3677" s="2">
        <v>1.2999999999999999E-3</v>
      </c>
      <c r="K3677" s="2" t="s">
        <v>10087</v>
      </c>
    </row>
    <row r="3678" spans="1:11" x14ac:dyDescent="0.2">
      <c r="A3678" s="2">
        <v>920</v>
      </c>
      <c r="B3678" s="2">
        <v>5</v>
      </c>
      <c r="C3678" s="2">
        <v>173606996</v>
      </c>
      <c r="D3678" s="2">
        <v>174662885</v>
      </c>
      <c r="E3678" s="2">
        <v>4</v>
      </c>
      <c r="F3678" s="2" t="s">
        <v>10086</v>
      </c>
      <c r="H3678" s="3">
        <v>5.9999999999999995E-4</v>
      </c>
      <c r="K3678" s="2" t="s">
        <v>10085</v>
      </c>
    </row>
    <row r="3679" spans="1:11" x14ac:dyDescent="0.2">
      <c r="A3679" s="2">
        <v>921</v>
      </c>
      <c r="B3679" s="2">
        <v>5</v>
      </c>
      <c r="C3679" s="2">
        <v>174662886</v>
      </c>
      <c r="D3679" s="2">
        <v>176180301</v>
      </c>
      <c r="E3679" s="2">
        <v>1</v>
      </c>
      <c r="F3679" s="2" t="s">
        <v>10086</v>
      </c>
      <c r="H3679" s="2">
        <v>7.1000000000000004E-3</v>
      </c>
      <c r="K3679" s="2" t="s">
        <v>10085</v>
      </c>
    </row>
    <row r="3680" spans="1:11" x14ac:dyDescent="0.2">
      <c r="A3680" s="2">
        <v>921</v>
      </c>
      <c r="B3680" s="2">
        <v>5</v>
      </c>
      <c r="C3680" s="2">
        <v>174662886</v>
      </c>
      <c r="D3680" s="2">
        <v>176180301</v>
      </c>
      <c r="E3680" s="2">
        <v>2</v>
      </c>
      <c r="F3680" s="2" t="s">
        <v>10086</v>
      </c>
      <c r="H3680" s="2">
        <v>1.6000000000000001E-3</v>
      </c>
      <c r="K3680" s="2" t="s">
        <v>10089</v>
      </c>
    </row>
    <row r="3681" spans="1:11" x14ac:dyDescent="0.2">
      <c r="A3681" s="2">
        <v>921</v>
      </c>
      <c r="B3681" s="2">
        <v>5</v>
      </c>
      <c r="C3681" s="2">
        <v>174662886</v>
      </c>
      <c r="D3681" s="2">
        <v>176180301</v>
      </c>
      <c r="E3681" s="2">
        <v>3</v>
      </c>
      <c r="F3681" s="2" t="s">
        <v>10086</v>
      </c>
      <c r="H3681" s="2">
        <v>1.5E-3</v>
      </c>
      <c r="K3681" s="2" t="s">
        <v>10087</v>
      </c>
    </row>
    <row r="3682" spans="1:11" x14ac:dyDescent="0.2">
      <c r="A3682" s="2">
        <v>921</v>
      </c>
      <c r="B3682" s="2">
        <v>5</v>
      </c>
      <c r="C3682" s="2">
        <v>174662886</v>
      </c>
      <c r="D3682" s="2">
        <v>176180301</v>
      </c>
      <c r="E3682" s="2">
        <v>4</v>
      </c>
      <c r="F3682" s="2" t="s">
        <v>10086</v>
      </c>
      <c r="H3682" s="3">
        <v>6.9999999999999999E-4</v>
      </c>
      <c r="K3682" s="2" t="s">
        <v>10088</v>
      </c>
    </row>
    <row r="3683" spans="1:11" x14ac:dyDescent="0.2">
      <c r="A3683" s="2">
        <v>922</v>
      </c>
      <c r="B3683" s="2">
        <v>5</v>
      </c>
      <c r="C3683" s="2">
        <v>176180302</v>
      </c>
      <c r="D3683" s="2">
        <v>177659902</v>
      </c>
      <c r="E3683" s="2">
        <v>1</v>
      </c>
      <c r="F3683" s="2" t="s">
        <v>10086</v>
      </c>
      <c r="H3683" s="2">
        <v>5.7999999999999996E-3</v>
      </c>
      <c r="K3683" s="2" t="s">
        <v>10087</v>
      </c>
    </row>
    <row r="3684" spans="1:11" x14ac:dyDescent="0.2">
      <c r="A3684" s="2">
        <v>922</v>
      </c>
      <c r="B3684" s="2">
        <v>5</v>
      </c>
      <c r="C3684" s="2">
        <v>176180302</v>
      </c>
      <c r="D3684" s="2">
        <v>177659902</v>
      </c>
      <c r="E3684" s="2">
        <v>2</v>
      </c>
      <c r="F3684" s="2" t="s">
        <v>10086</v>
      </c>
      <c r="H3684" s="2">
        <v>4.0000000000000001E-3</v>
      </c>
      <c r="K3684" s="2" t="s">
        <v>12324</v>
      </c>
    </row>
    <row r="3685" spans="1:11" x14ac:dyDescent="0.2">
      <c r="A3685" s="2">
        <v>922</v>
      </c>
      <c r="B3685" s="2">
        <v>5</v>
      </c>
      <c r="C3685" s="2">
        <v>176180302</v>
      </c>
      <c r="D3685" s="2">
        <v>177659902</v>
      </c>
      <c r="E3685" s="2">
        <v>3</v>
      </c>
      <c r="F3685" s="2" t="s">
        <v>10086</v>
      </c>
      <c r="H3685" s="2">
        <v>2.5999999999999999E-3</v>
      </c>
      <c r="K3685" s="2" t="s">
        <v>10089</v>
      </c>
    </row>
    <row r="3686" spans="1:11" x14ac:dyDescent="0.2">
      <c r="A3686" s="2">
        <v>922</v>
      </c>
      <c r="B3686" s="2">
        <v>5</v>
      </c>
      <c r="C3686" s="2">
        <v>176180302</v>
      </c>
      <c r="D3686" s="2">
        <v>177659902</v>
      </c>
      <c r="E3686" s="2">
        <v>4</v>
      </c>
      <c r="F3686" s="2" t="s">
        <v>10086</v>
      </c>
      <c r="H3686" s="2">
        <v>1.4E-3</v>
      </c>
      <c r="K3686" s="2" t="s">
        <v>10088</v>
      </c>
    </row>
    <row r="3687" spans="1:11" x14ac:dyDescent="0.2">
      <c r="A3687" s="2">
        <v>923</v>
      </c>
      <c r="B3687" s="2">
        <v>5</v>
      </c>
      <c r="C3687" s="2">
        <v>177659903</v>
      </c>
      <c r="D3687" s="2">
        <v>178595252</v>
      </c>
      <c r="E3687" s="2">
        <v>1</v>
      </c>
      <c r="F3687" s="2" t="s">
        <v>10086</v>
      </c>
      <c r="H3687" s="2">
        <v>4.1000000000000003E-3</v>
      </c>
      <c r="K3687" s="2" t="s">
        <v>10088</v>
      </c>
    </row>
    <row r="3688" spans="1:11" x14ac:dyDescent="0.2">
      <c r="A3688" s="2">
        <v>923</v>
      </c>
      <c r="B3688" s="2">
        <v>5</v>
      </c>
      <c r="C3688" s="2">
        <v>177659903</v>
      </c>
      <c r="D3688" s="2">
        <v>178595252</v>
      </c>
      <c r="E3688" s="2">
        <v>2</v>
      </c>
      <c r="F3688" s="2" t="s">
        <v>10086</v>
      </c>
      <c r="H3688" s="2">
        <v>1.2999999999999999E-3</v>
      </c>
      <c r="K3688" s="2" t="s">
        <v>10089</v>
      </c>
    </row>
    <row r="3689" spans="1:11" x14ac:dyDescent="0.2">
      <c r="A3689" s="2">
        <v>923</v>
      </c>
      <c r="B3689" s="2">
        <v>5</v>
      </c>
      <c r="C3689" s="2">
        <v>177659903</v>
      </c>
      <c r="D3689" s="2">
        <v>178595252</v>
      </c>
      <c r="E3689" s="2">
        <v>3</v>
      </c>
      <c r="F3689" s="2" t="s">
        <v>10086</v>
      </c>
      <c r="H3689" s="2">
        <v>1E-3</v>
      </c>
      <c r="K3689" s="2" t="s">
        <v>10085</v>
      </c>
    </row>
    <row r="3690" spans="1:11" x14ac:dyDescent="0.2">
      <c r="A3690" s="2">
        <v>923</v>
      </c>
      <c r="B3690" s="2">
        <v>5</v>
      </c>
      <c r="C3690" s="2">
        <v>177659903</v>
      </c>
      <c r="D3690" s="2">
        <v>178595252</v>
      </c>
      <c r="E3690" s="2">
        <v>4</v>
      </c>
      <c r="F3690" s="2" t="s">
        <v>10086</v>
      </c>
      <c r="H3690" s="3">
        <v>5.9999999999999995E-4</v>
      </c>
      <c r="K3690" s="2" t="s">
        <v>10087</v>
      </c>
    </row>
    <row r="3691" spans="1:11" x14ac:dyDescent="0.2">
      <c r="A3691" s="2">
        <v>924</v>
      </c>
      <c r="B3691" s="2">
        <v>5</v>
      </c>
      <c r="C3691" s="2">
        <v>178595253</v>
      </c>
      <c r="D3691" s="2">
        <v>179794710</v>
      </c>
      <c r="E3691" s="2">
        <v>1</v>
      </c>
      <c r="F3691" s="2" t="s">
        <v>10086</v>
      </c>
      <c r="H3691" s="2">
        <v>9.5999999999999992E-3</v>
      </c>
      <c r="K3691" s="2" t="s">
        <v>12324</v>
      </c>
    </row>
    <row r="3692" spans="1:11" x14ac:dyDescent="0.2">
      <c r="A3692" s="2">
        <v>924</v>
      </c>
      <c r="B3692" s="2">
        <v>5</v>
      </c>
      <c r="C3692" s="2">
        <v>178595253</v>
      </c>
      <c r="D3692" s="2">
        <v>179794710</v>
      </c>
      <c r="E3692" s="2">
        <v>2</v>
      </c>
      <c r="F3692" s="2" t="s">
        <v>10086</v>
      </c>
      <c r="H3692" s="2">
        <v>2.5000000000000001E-3</v>
      </c>
      <c r="K3692" s="2" t="s">
        <v>10085</v>
      </c>
    </row>
    <row r="3693" spans="1:11" x14ac:dyDescent="0.2">
      <c r="A3693" s="2">
        <v>924</v>
      </c>
      <c r="B3693" s="2">
        <v>5</v>
      </c>
      <c r="C3693" s="2">
        <v>178595253</v>
      </c>
      <c r="D3693" s="2">
        <v>179794710</v>
      </c>
      <c r="E3693" s="2">
        <v>3</v>
      </c>
      <c r="F3693" s="2" t="s">
        <v>10086</v>
      </c>
      <c r="H3693" s="2">
        <v>2E-3</v>
      </c>
      <c r="K3693" s="2" t="s">
        <v>10089</v>
      </c>
    </row>
    <row r="3694" spans="1:11" x14ac:dyDescent="0.2">
      <c r="A3694" s="2">
        <v>924</v>
      </c>
      <c r="B3694" s="2">
        <v>5</v>
      </c>
      <c r="C3694" s="2">
        <v>178595253</v>
      </c>
      <c r="D3694" s="2">
        <v>179794710</v>
      </c>
      <c r="E3694" s="2">
        <v>4</v>
      </c>
      <c r="F3694" s="2" t="s">
        <v>10086</v>
      </c>
      <c r="H3694" s="2">
        <v>1.9E-3</v>
      </c>
      <c r="K3694" s="2" t="s">
        <v>10087</v>
      </c>
    </row>
    <row r="3695" spans="1:11" x14ac:dyDescent="0.2">
      <c r="A3695" s="2">
        <v>925</v>
      </c>
      <c r="B3695" s="2">
        <v>5</v>
      </c>
      <c r="C3695" s="2">
        <v>179794711</v>
      </c>
      <c r="D3695" s="2">
        <v>180902886</v>
      </c>
      <c r="E3695" s="2">
        <v>1</v>
      </c>
      <c r="F3695" s="2" t="s">
        <v>10086</v>
      </c>
      <c r="H3695" s="2">
        <v>1.4E-3</v>
      </c>
      <c r="K3695" s="2" t="s">
        <v>10085</v>
      </c>
    </row>
    <row r="3696" spans="1:11" x14ac:dyDescent="0.2">
      <c r="A3696" s="2">
        <v>925</v>
      </c>
      <c r="B3696" s="2">
        <v>5</v>
      </c>
      <c r="C3696" s="2">
        <v>179794711</v>
      </c>
      <c r="D3696" s="2">
        <v>180902886</v>
      </c>
      <c r="E3696" s="2">
        <v>2</v>
      </c>
      <c r="F3696" s="2" t="s">
        <v>10086</v>
      </c>
      <c r="H3696" s="2">
        <v>1.6000000000000001E-3</v>
      </c>
      <c r="K3696" s="2" t="s">
        <v>10089</v>
      </c>
    </row>
    <row r="3697" spans="1:11" x14ac:dyDescent="0.2">
      <c r="A3697" s="2">
        <v>925</v>
      </c>
      <c r="B3697" s="2">
        <v>5</v>
      </c>
      <c r="C3697" s="2">
        <v>179794711</v>
      </c>
      <c r="D3697" s="2">
        <v>180902886</v>
      </c>
      <c r="E3697" s="2">
        <v>3</v>
      </c>
      <c r="F3697" s="2" t="s">
        <v>10086</v>
      </c>
      <c r="H3697" s="2">
        <v>1.5E-3</v>
      </c>
      <c r="K3697" s="2" t="s">
        <v>10088</v>
      </c>
    </row>
    <row r="3698" spans="1:11" x14ac:dyDescent="0.2">
      <c r="A3698" s="2">
        <v>925</v>
      </c>
      <c r="B3698" s="2">
        <v>5</v>
      </c>
      <c r="C3698" s="2">
        <v>179794711</v>
      </c>
      <c r="D3698" s="2">
        <v>180902886</v>
      </c>
      <c r="E3698" s="2">
        <v>4</v>
      </c>
      <c r="F3698" s="2" t="s">
        <v>10086</v>
      </c>
      <c r="H3698" s="3">
        <v>6.9999999999999999E-4</v>
      </c>
      <c r="K3698" s="2" t="s">
        <v>10087</v>
      </c>
    </row>
    <row r="3699" spans="1:11" x14ac:dyDescent="0.2">
      <c r="A3699" s="2">
        <v>926</v>
      </c>
      <c r="B3699" s="2">
        <v>6</v>
      </c>
      <c r="C3699" s="2">
        <v>63979</v>
      </c>
      <c r="D3699" s="2">
        <v>1380679</v>
      </c>
      <c r="E3699" s="2">
        <v>1</v>
      </c>
      <c r="F3699" s="2" t="s">
        <v>10086</v>
      </c>
      <c r="H3699" s="2">
        <v>3.7000000000000002E-3</v>
      </c>
      <c r="K3699" s="2" t="s">
        <v>10088</v>
      </c>
    </row>
    <row r="3700" spans="1:11" x14ac:dyDescent="0.2">
      <c r="A3700" s="2">
        <v>926</v>
      </c>
      <c r="B3700" s="2">
        <v>6</v>
      </c>
      <c r="C3700" s="2">
        <v>63979</v>
      </c>
      <c r="D3700" s="2">
        <v>1380679</v>
      </c>
      <c r="E3700" s="2">
        <v>2</v>
      </c>
      <c r="F3700" s="2" t="s">
        <v>10086</v>
      </c>
      <c r="H3700" s="2">
        <v>2.0999999999999999E-3</v>
      </c>
      <c r="K3700" s="2" t="s">
        <v>10089</v>
      </c>
    </row>
    <row r="3701" spans="1:11" x14ac:dyDescent="0.2">
      <c r="A3701" s="2">
        <v>926</v>
      </c>
      <c r="B3701" s="2">
        <v>6</v>
      </c>
      <c r="C3701" s="2">
        <v>63979</v>
      </c>
      <c r="D3701" s="2">
        <v>1380679</v>
      </c>
      <c r="E3701" s="2">
        <v>3</v>
      </c>
      <c r="F3701" s="2" t="s">
        <v>10086</v>
      </c>
      <c r="H3701" s="2">
        <v>1.2999999999999999E-3</v>
      </c>
      <c r="K3701" s="2" t="s">
        <v>10085</v>
      </c>
    </row>
    <row r="3702" spans="1:11" x14ac:dyDescent="0.2">
      <c r="A3702" s="2">
        <v>926</v>
      </c>
      <c r="B3702" s="2">
        <v>6</v>
      </c>
      <c r="C3702" s="2">
        <v>63979</v>
      </c>
      <c r="D3702" s="2">
        <v>1380679</v>
      </c>
      <c r="E3702" s="2">
        <v>4</v>
      </c>
      <c r="F3702" s="2" t="s">
        <v>10086</v>
      </c>
      <c r="H3702" s="3">
        <v>5.0000000000000001E-4</v>
      </c>
      <c r="K3702" s="2" t="s">
        <v>10087</v>
      </c>
    </row>
    <row r="3703" spans="1:11" x14ac:dyDescent="0.2">
      <c r="A3703" s="2">
        <v>927</v>
      </c>
      <c r="B3703" s="2">
        <v>6</v>
      </c>
      <c r="C3703" s="2">
        <v>1380680</v>
      </c>
      <c r="D3703" s="2">
        <v>2746531</v>
      </c>
      <c r="E3703" s="2">
        <v>1</v>
      </c>
      <c r="F3703" s="2" t="s">
        <v>10086</v>
      </c>
      <c r="H3703" s="2">
        <v>5.4999999999999997E-3</v>
      </c>
      <c r="K3703" s="2" t="s">
        <v>10087</v>
      </c>
    </row>
    <row r="3704" spans="1:11" x14ac:dyDescent="0.2">
      <c r="A3704" s="2">
        <v>927</v>
      </c>
      <c r="B3704" s="2">
        <v>6</v>
      </c>
      <c r="C3704" s="2">
        <v>1380680</v>
      </c>
      <c r="D3704" s="2">
        <v>2746531</v>
      </c>
      <c r="E3704" s="2">
        <v>2</v>
      </c>
      <c r="F3704" s="2" t="s">
        <v>10086</v>
      </c>
      <c r="H3704" s="2">
        <v>8.8999999999999999E-3</v>
      </c>
      <c r="K3704" s="2" t="s">
        <v>12324</v>
      </c>
    </row>
    <row r="3705" spans="1:11" x14ac:dyDescent="0.2">
      <c r="A3705" s="2">
        <v>927</v>
      </c>
      <c r="B3705" s="2">
        <v>6</v>
      </c>
      <c r="C3705" s="2">
        <v>1380680</v>
      </c>
      <c r="D3705" s="2">
        <v>2746531</v>
      </c>
      <c r="E3705" s="2">
        <v>3</v>
      </c>
      <c r="F3705" s="2" t="s">
        <v>10086</v>
      </c>
      <c r="H3705" s="2">
        <v>1.8E-3</v>
      </c>
      <c r="K3705" s="2" t="s">
        <v>10088</v>
      </c>
    </row>
    <row r="3706" spans="1:11" x14ac:dyDescent="0.2">
      <c r="A3706" s="2">
        <v>927</v>
      </c>
      <c r="B3706" s="2">
        <v>6</v>
      </c>
      <c r="C3706" s="2">
        <v>1380680</v>
      </c>
      <c r="D3706" s="2">
        <v>2746531</v>
      </c>
      <c r="E3706" s="2">
        <v>4</v>
      </c>
      <c r="F3706" s="2" t="s">
        <v>10086</v>
      </c>
      <c r="H3706" s="2">
        <v>1.8E-3</v>
      </c>
      <c r="K3706" s="2" t="s">
        <v>10085</v>
      </c>
    </row>
    <row r="3707" spans="1:11" x14ac:dyDescent="0.2">
      <c r="A3707" s="2">
        <v>928</v>
      </c>
      <c r="B3707" s="2">
        <v>6</v>
      </c>
      <c r="C3707" s="2">
        <v>2746532</v>
      </c>
      <c r="D3707" s="2">
        <v>3964072</v>
      </c>
      <c r="E3707" s="2">
        <v>1</v>
      </c>
      <c r="F3707" s="2" t="s">
        <v>10086</v>
      </c>
      <c r="H3707" s="2">
        <v>3.0000000000000001E-3</v>
      </c>
      <c r="K3707" s="2" t="s">
        <v>10088</v>
      </c>
    </row>
    <row r="3708" spans="1:11" x14ac:dyDescent="0.2">
      <c r="A3708" s="2">
        <v>928</v>
      </c>
      <c r="B3708" s="2">
        <v>6</v>
      </c>
      <c r="C3708" s="2">
        <v>2746532</v>
      </c>
      <c r="D3708" s="2">
        <v>3964072</v>
      </c>
      <c r="E3708" s="2">
        <v>2</v>
      </c>
      <c r="F3708" s="2" t="s">
        <v>10086</v>
      </c>
      <c r="H3708" s="2">
        <v>1.5E-3</v>
      </c>
      <c r="K3708" s="2" t="s">
        <v>10089</v>
      </c>
    </row>
    <row r="3709" spans="1:11" x14ac:dyDescent="0.2">
      <c r="A3709" s="2">
        <v>928</v>
      </c>
      <c r="B3709" s="2">
        <v>6</v>
      </c>
      <c r="C3709" s="2">
        <v>2746532</v>
      </c>
      <c r="D3709" s="2">
        <v>3964072</v>
      </c>
      <c r="E3709" s="2">
        <v>3</v>
      </c>
      <c r="F3709" s="2" t="s">
        <v>10086</v>
      </c>
      <c r="H3709" s="2">
        <v>2.0999999999999999E-3</v>
      </c>
      <c r="K3709" s="2" t="s">
        <v>10085</v>
      </c>
    </row>
    <row r="3710" spans="1:11" x14ac:dyDescent="0.2">
      <c r="A3710" s="2">
        <v>928</v>
      </c>
      <c r="B3710" s="2">
        <v>6</v>
      </c>
      <c r="C3710" s="2">
        <v>2746532</v>
      </c>
      <c r="D3710" s="2">
        <v>3964072</v>
      </c>
      <c r="E3710" s="2">
        <v>4</v>
      </c>
      <c r="F3710" s="2" t="s">
        <v>10086</v>
      </c>
      <c r="H3710" s="3">
        <v>8.9999999999999998E-4</v>
      </c>
      <c r="K3710" s="2" t="s">
        <v>10087</v>
      </c>
    </row>
    <row r="3711" spans="1:11" x14ac:dyDescent="0.2">
      <c r="A3711" s="2">
        <v>929</v>
      </c>
      <c r="B3711" s="2">
        <v>6</v>
      </c>
      <c r="C3711" s="2">
        <v>3964073</v>
      </c>
      <c r="D3711" s="2">
        <v>4657086</v>
      </c>
      <c r="E3711" s="2">
        <v>1</v>
      </c>
      <c r="F3711" s="2" t="s">
        <v>10086</v>
      </c>
      <c r="H3711" s="2">
        <v>1.1999999999999999E-3</v>
      </c>
      <c r="K3711" s="2" t="s">
        <v>10089</v>
      </c>
    </row>
    <row r="3712" spans="1:11" x14ac:dyDescent="0.2">
      <c r="A3712" s="2">
        <v>929</v>
      </c>
      <c r="B3712" s="2">
        <v>6</v>
      </c>
      <c r="C3712" s="2">
        <v>3964073</v>
      </c>
      <c r="D3712" s="2">
        <v>4657086</v>
      </c>
      <c r="E3712" s="2">
        <v>2</v>
      </c>
      <c r="F3712" s="2" t="s">
        <v>10086</v>
      </c>
      <c r="H3712" s="3">
        <v>8.0000000000000004E-4</v>
      </c>
      <c r="K3712" s="2" t="s">
        <v>10087</v>
      </c>
    </row>
    <row r="3713" spans="1:11" x14ac:dyDescent="0.2">
      <c r="A3713" s="2">
        <v>929</v>
      </c>
      <c r="B3713" s="2">
        <v>6</v>
      </c>
      <c r="C3713" s="2">
        <v>3964073</v>
      </c>
      <c r="D3713" s="2">
        <v>4657086</v>
      </c>
      <c r="E3713" s="2">
        <v>3</v>
      </c>
      <c r="F3713" s="2" t="s">
        <v>10086</v>
      </c>
      <c r="H3713" s="2">
        <v>1E-3</v>
      </c>
      <c r="K3713" s="2" t="s">
        <v>12324</v>
      </c>
    </row>
    <row r="3714" spans="1:11" x14ac:dyDescent="0.2">
      <c r="A3714" s="2">
        <v>929</v>
      </c>
      <c r="B3714" s="2">
        <v>6</v>
      </c>
      <c r="C3714" s="2">
        <v>3964073</v>
      </c>
      <c r="D3714" s="2">
        <v>4657086</v>
      </c>
      <c r="E3714" s="2">
        <v>4</v>
      </c>
      <c r="F3714" s="2" t="s">
        <v>10086</v>
      </c>
      <c r="H3714" s="3">
        <v>5.9999999999999995E-4</v>
      </c>
      <c r="K3714" s="2" t="s">
        <v>10085</v>
      </c>
    </row>
    <row r="3715" spans="1:11" x14ac:dyDescent="0.2">
      <c r="A3715" s="2">
        <v>930</v>
      </c>
      <c r="B3715" s="2">
        <v>6</v>
      </c>
      <c r="C3715" s="2">
        <v>4657087</v>
      </c>
      <c r="D3715" s="2">
        <v>5378213</v>
      </c>
      <c r="E3715" s="2">
        <v>1</v>
      </c>
      <c r="F3715" s="2" t="s">
        <v>10086</v>
      </c>
      <c r="H3715" s="2">
        <v>1.1000000000000001E-3</v>
      </c>
      <c r="K3715" s="2" t="s">
        <v>10088</v>
      </c>
    </row>
    <row r="3716" spans="1:11" x14ac:dyDescent="0.2">
      <c r="A3716" s="2">
        <v>930</v>
      </c>
      <c r="B3716" s="2">
        <v>6</v>
      </c>
      <c r="C3716" s="2">
        <v>4657087</v>
      </c>
      <c r="D3716" s="2">
        <v>5378213</v>
      </c>
      <c r="E3716" s="2">
        <v>2</v>
      </c>
      <c r="F3716" s="2" t="s">
        <v>10086</v>
      </c>
      <c r="H3716" s="3">
        <v>8.9999999999999998E-4</v>
      </c>
      <c r="K3716" s="2" t="s">
        <v>10085</v>
      </c>
    </row>
    <row r="3717" spans="1:11" x14ac:dyDescent="0.2">
      <c r="A3717" s="2">
        <v>930</v>
      </c>
      <c r="B3717" s="2">
        <v>6</v>
      </c>
      <c r="C3717" s="2">
        <v>4657087</v>
      </c>
      <c r="D3717" s="2">
        <v>5378213</v>
      </c>
      <c r="E3717" s="2">
        <v>3</v>
      </c>
      <c r="F3717" s="2" t="s">
        <v>10086</v>
      </c>
      <c r="H3717" s="3">
        <v>6.9999999999999999E-4</v>
      </c>
      <c r="K3717" s="2" t="s">
        <v>10087</v>
      </c>
    </row>
    <row r="3718" spans="1:11" x14ac:dyDescent="0.2">
      <c r="A3718" s="2">
        <v>930</v>
      </c>
      <c r="B3718" s="2">
        <v>6</v>
      </c>
      <c r="C3718" s="2">
        <v>4657087</v>
      </c>
      <c r="D3718" s="2">
        <v>5378213</v>
      </c>
      <c r="E3718" s="2">
        <v>4</v>
      </c>
      <c r="F3718" s="2" t="s">
        <v>10086</v>
      </c>
      <c r="H3718" s="3">
        <v>2.9999999999999997E-4</v>
      </c>
      <c r="K3718" s="2" t="s">
        <v>10089</v>
      </c>
    </row>
    <row r="3719" spans="1:11" x14ac:dyDescent="0.2">
      <c r="A3719" s="2">
        <v>931</v>
      </c>
      <c r="B3719" s="2">
        <v>6</v>
      </c>
      <c r="C3719" s="2">
        <v>5378214</v>
      </c>
      <c r="D3719" s="2">
        <v>6621937</v>
      </c>
      <c r="E3719" s="2">
        <v>1</v>
      </c>
      <c r="F3719" s="2" t="s">
        <v>10086</v>
      </c>
      <c r="H3719" s="2">
        <v>1.4E-3</v>
      </c>
      <c r="K3719" s="2" t="s">
        <v>10085</v>
      </c>
    </row>
    <row r="3720" spans="1:11" x14ac:dyDescent="0.2">
      <c r="A3720" s="2">
        <v>931</v>
      </c>
      <c r="B3720" s="2">
        <v>6</v>
      </c>
      <c r="C3720" s="2">
        <v>5378214</v>
      </c>
      <c r="D3720" s="2">
        <v>6621937</v>
      </c>
      <c r="E3720" s="2">
        <v>2</v>
      </c>
      <c r="F3720" s="2" t="s">
        <v>10086</v>
      </c>
      <c r="H3720" s="2">
        <v>1.5E-3</v>
      </c>
      <c r="K3720" s="2" t="s">
        <v>10088</v>
      </c>
    </row>
    <row r="3721" spans="1:11" x14ac:dyDescent="0.2">
      <c r="A3721" s="2">
        <v>931</v>
      </c>
      <c r="B3721" s="2">
        <v>6</v>
      </c>
      <c r="C3721" s="2">
        <v>5378214</v>
      </c>
      <c r="D3721" s="2">
        <v>6621937</v>
      </c>
      <c r="E3721" s="2">
        <v>3</v>
      </c>
      <c r="F3721" s="2" t="s">
        <v>10086</v>
      </c>
      <c r="H3721" s="2">
        <v>1E-3</v>
      </c>
      <c r="K3721" s="2" t="s">
        <v>10087</v>
      </c>
    </row>
    <row r="3722" spans="1:11" x14ac:dyDescent="0.2">
      <c r="A3722" s="2">
        <v>931</v>
      </c>
      <c r="B3722" s="2">
        <v>6</v>
      </c>
      <c r="C3722" s="2">
        <v>5378214</v>
      </c>
      <c r="D3722" s="2">
        <v>6621937</v>
      </c>
      <c r="E3722" s="2">
        <v>4</v>
      </c>
      <c r="F3722" s="2" t="s">
        <v>10086</v>
      </c>
      <c r="H3722" s="3">
        <v>8.9999999999999998E-4</v>
      </c>
      <c r="K3722" s="2" t="s">
        <v>10089</v>
      </c>
    </row>
    <row r="3723" spans="1:11" x14ac:dyDescent="0.2">
      <c r="A3723" s="2">
        <v>932</v>
      </c>
      <c r="B3723" s="2">
        <v>6</v>
      </c>
      <c r="C3723" s="2">
        <v>6621938</v>
      </c>
      <c r="D3723" s="2">
        <v>7808323</v>
      </c>
      <c r="E3723" s="2">
        <v>1</v>
      </c>
      <c r="F3723" s="2" t="s">
        <v>10086</v>
      </c>
      <c r="H3723" s="2">
        <v>2.5000000000000001E-3</v>
      </c>
      <c r="K3723" s="2" t="s">
        <v>10087</v>
      </c>
    </row>
    <row r="3724" spans="1:11" x14ac:dyDescent="0.2">
      <c r="A3724" s="2">
        <v>932</v>
      </c>
      <c r="B3724" s="2">
        <v>6</v>
      </c>
      <c r="C3724" s="2">
        <v>6621938</v>
      </c>
      <c r="D3724" s="2">
        <v>7808323</v>
      </c>
      <c r="E3724" s="2">
        <v>2</v>
      </c>
      <c r="F3724" s="2" t="s">
        <v>10086</v>
      </c>
      <c r="H3724" s="2">
        <v>1.8E-3</v>
      </c>
      <c r="K3724" s="2" t="s">
        <v>10089</v>
      </c>
    </row>
    <row r="3725" spans="1:11" x14ac:dyDescent="0.2">
      <c r="A3725" s="2">
        <v>932</v>
      </c>
      <c r="B3725" s="2">
        <v>6</v>
      </c>
      <c r="C3725" s="2">
        <v>6621938</v>
      </c>
      <c r="D3725" s="2">
        <v>7808323</v>
      </c>
      <c r="E3725" s="2">
        <v>3</v>
      </c>
      <c r="F3725" s="2" t="s">
        <v>10086</v>
      </c>
      <c r="H3725" s="2">
        <v>1.1000000000000001E-3</v>
      </c>
      <c r="K3725" s="2" t="s">
        <v>10088</v>
      </c>
    </row>
    <row r="3726" spans="1:11" x14ac:dyDescent="0.2">
      <c r="A3726" s="2">
        <v>932</v>
      </c>
      <c r="B3726" s="2">
        <v>6</v>
      </c>
      <c r="C3726" s="2">
        <v>6621938</v>
      </c>
      <c r="D3726" s="2">
        <v>7808323</v>
      </c>
      <c r="E3726" s="2">
        <v>4</v>
      </c>
      <c r="F3726" s="2" t="s">
        <v>10086</v>
      </c>
      <c r="H3726" s="3">
        <v>6.9999999999999999E-4</v>
      </c>
      <c r="K3726" s="2" t="s">
        <v>10085</v>
      </c>
    </row>
    <row r="3727" spans="1:11" x14ac:dyDescent="0.2">
      <c r="A3727" s="2">
        <v>933</v>
      </c>
      <c r="B3727" s="2">
        <v>6</v>
      </c>
      <c r="C3727" s="2">
        <v>7808324</v>
      </c>
      <c r="D3727" s="2">
        <v>9020710</v>
      </c>
      <c r="E3727" s="2">
        <v>1</v>
      </c>
      <c r="F3727" s="2" t="s">
        <v>10086</v>
      </c>
      <c r="H3727" s="2">
        <v>9.4999999999999998E-3</v>
      </c>
      <c r="K3727" s="2" t="s">
        <v>10087</v>
      </c>
    </row>
    <row r="3728" spans="1:11" x14ac:dyDescent="0.2">
      <c r="A3728" s="2">
        <v>933</v>
      </c>
      <c r="B3728" s="2">
        <v>6</v>
      </c>
      <c r="C3728" s="2">
        <v>7808324</v>
      </c>
      <c r="D3728" s="2">
        <v>9020710</v>
      </c>
      <c r="E3728" s="2">
        <v>2</v>
      </c>
      <c r="F3728" s="2" t="s">
        <v>10086</v>
      </c>
      <c r="H3728" s="2">
        <v>2.0999999999999999E-3</v>
      </c>
      <c r="K3728" s="2" t="s">
        <v>10088</v>
      </c>
    </row>
    <row r="3729" spans="1:11" x14ac:dyDescent="0.2">
      <c r="A3729" s="2">
        <v>933</v>
      </c>
      <c r="B3729" s="2">
        <v>6</v>
      </c>
      <c r="C3729" s="2">
        <v>7808324</v>
      </c>
      <c r="D3729" s="2">
        <v>9020710</v>
      </c>
      <c r="E3729" s="2">
        <v>3</v>
      </c>
      <c r="F3729" s="2" t="s">
        <v>10086</v>
      </c>
      <c r="H3729" s="2">
        <v>1.1999999999999999E-3</v>
      </c>
      <c r="K3729" s="2" t="s">
        <v>12324</v>
      </c>
    </row>
    <row r="3730" spans="1:11" x14ac:dyDescent="0.2">
      <c r="A3730" s="2">
        <v>933</v>
      </c>
      <c r="B3730" s="2">
        <v>6</v>
      </c>
      <c r="C3730" s="2">
        <v>7808324</v>
      </c>
      <c r="D3730" s="2">
        <v>9020710</v>
      </c>
      <c r="E3730" s="2">
        <v>4</v>
      </c>
      <c r="F3730" s="2" t="s">
        <v>10086</v>
      </c>
      <c r="H3730" s="2">
        <v>1.1999999999999999E-3</v>
      </c>
      <c r="K3730" s="2" t="s">
        <v>10089</v>
      </c>
    </row>
    <row r="3731" spans="1:11" x14ac:dyDescent="0.2">
      <c r="A3731" s="2">
        <v>934</v>
      </c>
      <c r="B3731" s="2">
        <v>6</v>
      </c>
      <c r="C3731" s="2">
        <v>9020711</v>
      </c>
      <c r="D3731" s="2">
        <v>10416550</v>
      </c>
      <c r="E3731" s="2">
        <v>1</v>
      </c>
      <c r="F3731" s="2" t="s">
        <v>10086</v>
      </c>
      <c r="H3731" s="2">
        <v>4.7000000000000002E-3</v>
      </c>
      <c r="K3731" s="2" t="s">
        <v>10087</v>
      </c>
    </row>
    <row r="3732" spans="1:11" x14ac:dyDescent="0.2">
      <c r="A3732" s="2">
        <v>934</v>
      </c>
      <c r="B3732" s="2">
        <v>6</v>
      </c>
      <c r="C3732" s="2">
        <v>9020711</v>
      </c>
      <c r="D3732" s="2">
        <v>10416550</v>
      </c>
      <c r="E3732" s="2">
        <v>2</v>
      </c>
      <c r="F3732" s="2" t="s">
        <v>10086</v>
      </c>
      <c r="H3732" s="2">
        <v>2.5000000000000001E-3</v>
      </c>
      <c r="K3732" s="2" t="s">
        <v>10088</v>
      </c>
    </row>
    <row r="3733" spans="1:11" x14ac:dyDescent="0.2">
      <c r="A3733" s="2">
        <v>934</v>
      </c>
      <c r="B3733" s="2">
        <v>6</v>
      </c>
      <c r="C3733" s="2">
        <v>9020711</v>
      </c>
      <c r="D3733" s="2">
        <v>10416550</v>
      </c>
      <c r="E3733" s="2">
        <v>3</v>
      </c>
      <c r="F3733" s="2" t="s">
        <v>10086</v>
      </c>
      <c r="H3733" s="2">
        <v>1.2999999999999999E-3</v>
      </c>
      <c r="K3733" s="2" t="s">
        <v>10085</v>
      </c>
    </row>
    <row r="3734" spans="1:11" x14ac:dyDescent="0.2">
      <c r="A3734" s="2">
        <v>934</v>
      </c>
      <c r="B3734" s="2">
        <v>6</v>
      </c>
      <c r="C3734" s="2">
        <v>9020711</v>
      </c>
      <c r="D3734" s="2">
        <v>10416550</v>
      </c>
      <c r="E3734" s="2">
        <v>4</v>
      </c>
      <c r="F3734" s="2" t="s">
        <v>10086</v>
      </c>
      <c r="H3734" s="3">
        <v>8.0000000000000004E-4</v>
      </c>
      <c r="K3734" s="2" t="s">
        <v>10089</v>
      </c>
    </row>
    <row r="3735" spans="1:11" x14ac:dyDescent="0.2">
      <c r="A3735" s="2">
        <v>935</v>
      </c>
      <c r="B3735" s="2">
        <v>6</v>
      </c>
      <c r="C3735" s="2">
        <v>10416551</v>
      </c>
      <c r="D3735" s="2">
        <v>11790671</v>
      </c>
      <c r="E3735" s="2">
        <v>1</v>
      </c>
      <c r="F3735" s="2" t="s">
        <v>10086</v>
      </c>
      <c r="H3735" s="2">
        <v>1.4E-3</v>
      </c>
      <c r="K3735" s="2" t="s">
        <v>10085</v>
      </c>
    </row>
    <row r="3736" spans="1:11" x14ac:dyDescent="0.2">
      <c r="A3736" s="2">
        <v>935</v>
      </c>
      <c r="B3736" s="2">
        <v>6</v>
      </c>
      <c r="C3736" s="2">
        <v>10416551</v>
      </c>
      <c r="D3736" s="2">
        <v>11790671</v>
      </c>
      <c r="E3736" s="2">
        <v>2</v>
      </c>
      <c r="F3736" s="2" t="s">
        <v>10086</v>
      </c>
      <c r="H3736" s="2">
        <v>1.4E-3</v>
      </c>
      <c r="K3736" s="2" t="s">
        <v>10089</v>
      </c>
    </row>
    <row r="3737" spans="1:11" x14ac:dyDescent="0.2">
      <c r="A3737" s="2">
        <v>935</v>
      </c>
      <c r="B3737" s="2">
        <v>6</v>
      </c>
      <c r="C3737" s="2">
        <v>10416551</v>
      </c>
      <c r="D3737" s="2">
        <v>11790671</v>
      </c>
      <c r="E3737" s="2">
        <v>3</v>
      </c>
      <c r="F3737" s="2" t="s">
        <v>10086</v>
      </c>
      <c r="H3737" s="2">
        <v>1.4E-3</v>
      </c>
      <c r="K3737" s="2" t="s">
        <v>10088</v>
      </c>
    </row>
    <row r="3738" spans="1:11" x14ac:dyDescent="0.2">
      <c r="A3738" s="2">
        <v>935</v>
      </c>
      <c r="B3738" s="2">
        <v>6</v>
      </c>
      <c r="C3738" s="2">
        <v>10416551</v>
      </c>
      <c r="D3738" s="2">
        <v>11790671</v>
      </c>
      <c r="E3738" s="2">
        <v>4</v>
      </c>
      <c r="F3738" s="2" t="s">
        <v>10086</v>
      </c>
      <c r="H3738" s="3">
        <v>6.9999999999999999E-4</v>
      </c>
      <c r="K3738" s="2" t="s">
        <v>10087</v>
      </c>
    </row>
    <row r="3739" spans="1:11" x14ac:dyDescent="0.2">
      <c r="A3739" s="2">
        <v>936</v>
      </c>
      <c r="B3739" s="2">
        <v>6</v>
      </c>
      <c r="C3739" s="2">
        <v>11790672</v>
      </c>
      <c r="D3739" s="2">
        <v>13352326</v>
      </c>
      <c r="E3739" s="2">
        <v>1</v>
      </c>
      <c r="F3739" s="2" t="s">
        <v>10086</v>
      </c>
      <c r="H3739" s="2">
        <v>8.8999999999999999E-3</v>
      </c>
      <c r="K3739" s="2" t="s">
        <v>10085</v>
      </c>
    </row>
    <row r="3740" spans="1:11" x14ac:dyDescent="0.2">
      <c r="A3740" s="2">
        <v>936</v>
      </c>
      <c r="B3740" s="2">
        <v>6</v>
      </c>
      <c r="C3740" s="2">
        <v>11790672</v>
      </c>
      <c r="D3740" s="2">
        <v>13352326</v>
      </c>
      <c r="E3740" s="2">
        <v>2</v>
      </c>
      <c r="F3740" s="2" t="s">
        <v>10086</v>
      </c>
      <c r="H3740" s="2">
        <v>2E-3</v>
      </c>
      <c r="K3740" s="2" t="s">
        <v>10087</v>
      </c>
    </row>
    <row r="3741" spans="1:11" x14ac:dyDescent="0.2">
      <c r="A3741" s="2">
        <v>936</v>
      </c>
      <c r="B3741" s="2">
        <v>6</v>
      </c>
      <c r="C3741" s="2">
        <v>11790672</v>
      </c>
      <c r="D3741" s="2">
        <v>13352326</v>
      </c>
      <c r="E3741" s="2">
        <v>3</v>
      </c>
      <c r="F3741" s="2" t="s">
        <v>10086</v>
      </c>
      <c r="H3741" s="2">
        <v>1.4E-3</v>
      </c>
      <c r="K3741" s="2" t="s">
        <v>10089</v>
      </c>
    </row>
    <row r="3742" spans="1:11" x14ac:dyDescent="0.2">
      <c r="A3742" s="2">
        <v>936</v>
      </c>
      <c r="B3742" s="2">
        <v>6</v>
      </c>
      <c r="C3742" s="2">
        <v>11790672</v>
      </c>
      <c r="D3742" s="2">
        <v>13352326</v>
      </c>
      <c r="E3742" s="2">
        <v>4</v>
      </c>
      <c r="F3742" s="2" t="s">
        <v>10086</v>
      </c>
      <c r="H3742" s="3">
        <v>8.9999999999999998E-4</v>
      </c>
      <c r="K3742" s="2" t="s">
        <v>10088</v>
      </c>
    </row>
    <row r="3743" spans="1:11" x14ac:dyDescent="0.2">
      <c r="A3743" s="2">
        <v>937</v>
      </c>
      <c r="B3743" s="2">
        <v>6</v>
      </c>
      <c r="C3743" s="2">
        <v>13352327</v>
      </c>
      <c r="D3743" s="2">
        <v>15069421</v>
      </c>
      <c r="E3743" s="2">
        <v>1</v>
      </c>
      <c r="F3743" s="2" t="s">
        <v>10086</v>
      </c>
      <c r="H3743" s="2">
        <v>1.6999999999999999E-3</v>
      </c>
      <c r="K3743" s="2" t="s">
        <v>10085</v>
      </c>
    </row>
    <row r="3744" spans="1:11" x14ac:dyDescent="0.2">
      <c r="A3744" s="2">
        <v>937</v>
      </c>
      <c r="B3744" s="2">
        <v>6</v>
      </c>
      <c r="C3744" s="2">
        <v>13352327</v>
      </c>
      <c r="D3744" s="2">
        <v>15069421</v>
      </c>
      <c r="E3744" s="2">
        <v>2</v>
      </c>
      <c r="F3744" s="2" t="s">
        <v>10086</v>
      </c>
      <c r="H3744" s="2">
        <v>1.6999999999999999E-3</v>
      </c>
      <c r="K3744" s="2" t="s">
        <v>10087</v>
      </c>
    </row>
    <row r="3745" spans="1:11" x14ac:dyDescent="0.2">
      <c r="A3745" s="2">
        <v>937</v>
      </c>
      <c r="B3745" s="2">
        <v>6</v>
      </c>
      <c r="C3745" s="2">
        <v>13352327</v>
      </c>
      <c r="D3745" s="2">
        <v>15069421</v>
      </c>
      <c r="E3745" s="2">
        <v>3</v>
      </c>
      <c r="F3745" s="2" t="s">
        <v>10086</v>
      </c>
      <c r="H3745" s="2">
        <v>1.5E-3</v>
      </c>
      <c r="K3745" s="2" t="s">
        <v>12324</v>
      </c>
    </row>
    <row r="3746" spans="1:11" x14ac:dyDescent="0.2">
      <c r="A3746" s="2">
        <v>937</v>
      </c>
      <c r="B3746" s="2">
        <v>6</v>
      </c>
      <c r="C3746" s="2">
        <v>13352327</v>
      </c>
      <c r="D3746" s="2">
        <v>15069421</v>
      </c>
      <c r="E3746" s="2">
        <v>4</v>
      </c>
      <c r="F3746" s="2" t="s">
        <v>10086</v>
      </c>
      <c r="H3746" s="2">
        <v>1.1000000000000001E-3</v>
      </c>
      <c r="K3746" s="2" t="s">
        <v>10088</v>
      </c>
    </row>
    <row r="3747" spans="1:11" x14ac:dyDescent="0.2">
      <c r="A3747" s="2">
        <v>938</v>
      </c>
      <c r="B3747" s="2">
        <v>6</v>
      </c>
      <c r="C3747" s="2">
        <v>15069422</v>
      </c>
      <c r="D3747" s="2">
        <v>16566882</v>
      </c>
      <c r="E3747" s="2">
        <v>1</v>
      </c>
      <c r="F3747" s="2" t="s">
        <v>10086</v>
      </c>
      <c r="H3747" s="2">
        <v>1.8E-3</v>
      </c>
      <c r="K3747" s="2" t="s">
        <v>10088</v>
      </c>
    </row>
    <row r="3748" spans="1:11" x14ac:dyDescent="0.2">
      <c r="A3748" s="2">
        <v>938</v>
      </c>
      <c r="B3748" s="2">
        <v>6</v>
      </c>
      <c r="C3748" s="2">
        <v>15069422</v>
      </c>
      <c r="D3748" s="2">
        <v>16566882</v>
      </c>
      <c r="E3748" s="2">
        <v>2</v>
      </c>
      <c r="F3748" s="2" t="s">
        <v>10086</v>
      </c>
      <c r="H3748" s="2">
        <v>1.8E-3</v>
      </c>
      <c r="K3748" s="2" t="s">
        <v>10087</v>
      </c>
    </row>
    <row r="3749" spans="1:11" x14ac:dyDescent="0.2">
      <c r="A3749" s="2">
        <v>938</v>
      </c>
      <c r="B3749" s="2">
        <v>6</v>
      </c>
      <c r="C3749" s="2">
        <v>15069422</v>
      </c>
      <c r="D3749" s="2">
        <v>16566882</v>
      </c>
      <c r="E3749" s="2">
        <v>3</v>
      </c>
      <c r="F3749" s="2" t="s">
        <v>10086</v>
      </c>
      <c r="H3749" s="2">
        <v>1.4E-3</v>
      </c>
      <c r="K3749" s="2" t="s">
        <v>10085</v>
      </c>
    </row>
    <row r="3750" spans="1:11" x14ac:dyDescent="0.2">
      <c r="A3750" s="2">
        <v>938</v>
      </c>
      <c r="B3750" s="2">
        <v>6</v>
      </c>
      <c r="C3750" s="2">
        <v>15069422</v>
      </c>
      <c r="D3750" s="2">
        <v>16566882</v>
      </c>
      <c r="E3750" s="2">
        <v>4</v>
      </c>
      <c r="F3750" s="2" t="s">
        <v>10086</v>
      </c>
      <c r="H3750" s="3">
        <v>5.9999999999999995E-4</v>
      </c>
      <c r="K3750" s="2" t="s">
        <v>10089</v>
      </c>
    </row>
    <row r="3751" spans="1:11" x14ac:dyDescent="0.2">
      <c r="A3751" s="2">
        <v>939</v>
      </c>
      <c r="B3751" s="2">
        <v>6</v>
      </c>
      <c r="C3751" s="2">
        <v>16566883</v>
      </c>
      <c r="D3751" s="2">
        <v>17391994</v>
      </c>
      <c r="E3751" s="2">
        <v>1</v>
      </c>
      <c r="F3751" s="2" t="s">
        <v>10086</v>
      </c>
      <c r="H3751" s="3">
        <v>8.9999999999999998E-4</v>
      </c>
      <c r="K3751" s="2" t="s">
        <v>10089</v>
      </c>
    </row>
    <row r="3752" spans="1:11" x14ac:dyDescent="0.2">
      <c r="A3752" s="2">
        <v>939</v>
      </c>
      <c r="B3752" s="2">
        <v>6</v>
      </c>
      <c r="C3752" s="2">
        <v>16566883</v>
      </c>
      <c r="D3752" s="2">
        <v>17391994</v>
      </c>
      <c r="E3752" s="2">
        <v>2</v>
      </c>
      <c r="F3752" s="2" t="s">
        <v>10086</v>
      </c>
      <c r="H3752" s="3">
        <v>5.9999999999999995E-4</v>
      </c>
      <c r="K3752" s="2" t="s">
        <v>10088</v>
      </c>
    </row>
    <row r="3753" spans="1:11" x14ac:dyDescent="0.2">
      <c r="A3753" s="2">
        <v>939</v>
      </c>
      <c r="B3753" s="2">
        <v>6</v>
      </c>
      <c r="C3753" s="2">
        <v>16566883</v>
      </c>
      <c r="D3753" s="2">
        <v>17391994</v>
      </c>
      <c r="E3753" s="2">
        <v>3</v>
      </c>
      <c r="F3753" s="2" t="s">
        <v>10086</v>
      </c>
      <c r="H3753" s="3">
        <v>5.9999999999999995E-4</v>
      </c>
      <c r="K3753" s="2" t="s">
        <v>10085</v>
      </c>
    </row>
    <row r="3754" spans="1:11" x14ac:dyDescent="0.2">
      <c r="A3754" s="2">
        <v>939</v>
      </c>
      <c r="B3754" s="2">
        <v>6</v>
      </c>
      <c r="C3754" s="2">
        <v>16566883</v>
      </c>
      <c r="D3754" s="2">
        <v>17391994</v>
      </c>
      <c r="E3754" s="2">
        <v>4</v>
      </c>
      <c r="F3754" s="2" t="s">
        <v>10086</v>
      </c>
      <c r="H3754" s="3">
        <v>5.0000000000000001E-4</v>
      </c>
      <c r="K3754" s="2" t="s">
        <v>10087</v>
      </c>
    </row>
    <row r="3755" spans="1:11" x14ac:dyDescent="0.2">
      <c r="A3755" s="2">
        <v>940</v>
      </c>
      <c r="B3755" s="2">
        <v>6</v>
      </c>
      <c r="C3755" s="2">
        <v>17391995</v>
      </c>
      <c r="D3755" s="2">
        <v>18208676</v>
      </c>
      <c r="E3755" s="2">
        <v>1</v>
      </c>
      <c r="F3755" s="2" t="s">
        <v>10086</v>
      </c>
      <c r="H3755" s="2">
        <v>1.1000000000000001E-3</v>
      </c>
      <c r="K3755" s="2" t="s">
        <v>10085</v>
      </c>
    </row>
    <row r="3756" spans="1:11" x14ac:dyDescent="0.2">
      <c r="A3756" s="2">
        <v>940</v>
      </c>
      <c r="B3756" s="2">
        <v>6</v>
      </c>
      <c r="C3756" s="2">
        <v>17391995</v>
      </c>
      <c r="D3756" s="2">
        <v>18208676</v>
      </c>
      <c r="E3756" s="2">
        <v>2</v>
      </c>
      <c r="F3756" s="2" t="s">
        <v>10086</v>
      </c>
      <c r="H3756" s="2">
        <v>1.5E-3</v>
      </c>
      <c r="K3756" s="2" t="s">
        <v>10089</v>
      </c>
    </row>
    <row r="3757" spans="1:11" x14ac:dyDescent="0.2">
      <c r="A3757" s="2">
        <v>940</v>
      </c>
      <c r="B3757" s="2">
        <v>6</v>
      </c>
      <c r="C3757" s="2">
        <v>17391995</v>
      </c>
      <c r="D3757" s="2">
        <v>18208676</v>
      </c>
      <c r="E3757" s="2">
        <v>3</v>
      </c>
      <c r="F3757" s="2" t="s">
        <v>10086</v>
      </c>
      <c r="H3757" s="2">
        <v>1.1999999999999999E-3</v>
      </c>
      <c r="K3757" s="2" t="s">
        <v>12324</v>
      </c>
    </row>
    <row r="3758" spans="1:11" x14ac:dyDescent="0.2">
      <c r="A3758" s="2">
        <v>940</v>
      </c>
      <c r="B3758" s="2">
        <v>6</v>
      </c>
      <c r="C3758" s="2">
        <v>17391995</v>
      </c>
      <c r="D3758" s="2">
        <v>18208676</v>
      </c>
      <c r="E3758" s="2">
        <v>4</v>
      </c>
      <c r="F3758" s="2" t="s">
        <v>10086</v>
      </c>
      <c r="H3758" s="2">
        <v>1.1999999999999999E-3</v>
      </c>
      <c r="K3758" s="2" t="s">
        <v>10088</v>
      </c>
    </row>
    <row r="3759" spans="1:11" x14ac:dyDescent="0.2">
      <c r="A3759" s="2">
        <v>941</v>
      </c>
      <c r="B3759" s="2">
        <v>6</v>
      </c>
      <c r="C3759" s="2">
        <v>18208677</v>
      </c>
      <c r="D3759" s="2">
        <v>18775022</v>
      </c>
      <c r="E3759" s="2">
        <v>1</v>
      </c>
      <c r="F3759" s="2" t="s">
        <v>10086</v>
      </c>
      <c r="H3759" s="3">
        <v>8.9999999999999998E-4</v>
      </c>
      <c r="K3759" s="2" t="s">
        <v>10089</v>
      </c>
    </row>
    <row r="3760" spans="1:11" x14ac:dyDescent="0.2">
      <c r="A3760" s="2">
        <v>941</v>
      </c>
      <c r="B3760" s="2">
        <v>6</v>
      </c>
      <c r="C3760" s="2">
        <v>18208677</v>
      </c>
      <c r="D3760" s="2">
        <v>18775022</v>
      </c>
      <c r="E3760" s="2">
        <v>2</v>
      </c>
      <c r="F3760" s="2" t="s">
        <v>10086</v>
      </c>
      <c r="H3760" s="3">
        <v>8.9999999999999998E-4</v>
      </c>
      <c r="K3760" s="2" t="s">
        <v>10087</v>
      </c>
    </row>
    <row r="3761" spans="1:11" x14ac:dyDescent="0.2">
      <c r="A3761" s="2">
        <v>941</v>
      </c>
      <c r="B3761" s="2">
        <v>6</v>
      </c>
      <c r="C3761" s="2">
        <v>18208677</v>
      </c>
      <c r="D3761" s="2">
        <v>18775022</v>
      </c>
      <c r="E3761" s="2">
        <v>3</v>
      </c>
      <c r="F3761" s="2" t="s">
        <v>10086</v>
      </c>
      <c r="H3761" s="3">
        <v>6.9999999999999999E-4</v>
      </c>
      <c r="K3761" s="2" t="s">
        <v>10085</v>
      </c>
    </row>
    <row r="3762" spans="1:11" x14ac:dyDescent="0.2">
      <c r="A3762" s="2">
        <v>941</v>
      </c>
      <c r="B3762" s="2">
        <v>6</v>
      </c>
      <c r="C3762" s="2">
        <v>18208677</v>
      </c>
      <c r="D3762" s="2">
        <v>18775022</v>
      </c>
      <c r="E3762" s="2">
        <v>4</v>
      </c>
      <c r="F3762" s="2" t="s">
        <v>10086</v>
      </c>
      <c r="H3762" s="3">
        <v>2.0000000000000001E-4</v>
      </c>
      <c r="K3762" s="2" t="s">
        <v>10088</v>
      </c>
    </row>
    <row r="3763" spans="1:11" x14ac:dyDescent="0.2">
      <c r="A3763" s="2">
        <v>942</v>
      </c>
      <c r="B3763" s="2">
        <v>6</v>
      </c>
      <c r="C3763" s="2">
        <v>18775023</v>
      </c>
      <c r="D3763" s="2">
        <v>19449152</v>
      </c>
      <c r="E3763" s="2">
        <v>1</v>
      </c>
      <c r="F3763" s="2" t="s">
        <v>10086</v>
      </c>
      <c r="H3763" s="2">
        <v>1E-3</v>
      </c>
      <c r="K3763" s="2" t="s">
        <v>10085</v>
      </c>
    </row>
    <row r="3764" spans="1:11" x14ac:dyDescent="0.2">
      <c r="A3764" s="2">
        <v>942</v>
      </c>
      <c r="B3764" s="2">
        <v>6</v>
      </c>
      <c r="C3764" s="2">
        <v>18775023</v>
      </c>
      <c r="D3764" s="2">
        <v>19449152</v>
      </c>
      <c r="E3764" s="2">
        <v>2</v>
      </c>
      <c r="F3764" s="2" t="s">
        <v>10086</v>
      </c>
      <c r="H3764" s="3">
        <v>8.0000000000000004E-4</v>
      </c>
      <c r="K3764" s="2" t="s">
        <v>10089</v>
      </c>
    </row>
    <row r="3765" spans="1:11" x14ac:dyDescent="0.2">
      <c r="A3765" s="2">
        <v>942</v>
      </c>
      <c r="B3765" s="2">
        <v>6</v>
      </c>
      <c r="C3765" s="2">
        <v>18775023</v>
      </c>
      <c r="D3765" s="2">
        <v>19449152</v>
      </c>
      <c r="E3765" s="2">
        <v>3</v>
      </c>
      <c r="F3765" s="2" t="s">
        <v>10086</v>
      </c>
      <c r="H3765" s="3">
        <v>6.9999999999999999E-4</v>
      </c>
      <c r="K3765" s="2" t="s">
        <v>10087</v>
      </c>
    </row>
    <row r="3766" spans="1:11" x14ac:dyDescent="0.2">
      <c r="A3766" s="2">
        <v>942</v>
      </c>
      <c r="B3766" s="2">
        <v>6</v>
      </c>
      <c r="C3766" s="2">
        <v>18775023</v>
      </c>
      <c r="D3766" s="2">
        <v>19449152</v>
      </c>
      <c r="E3766" s="2">
        <v>4</v>
      </c>
      <c r="F3766" s="2" t="s">
        <v>10086</v>
      </c>
      <c r="H3766" s="3">
        <v>2.0000000000000001E-4</v>
      </c>
      <c r="K3766" s="2" t="s">
        <v>10088</v>
      </c>
    </row>
    <row r="3767" spans="1:11" x14ac:dyDescent="0.2">
      <c r="A3767" s="2">
        <v>943</v>
      </c>
      <c r="B3767" s="2">
        <v>6</v>
      </c>
      <c r="C3767" s="2">
        <v>19449153</v>
      </c>
      <c r="D3767" s="2">
        <v>20418020</v>
      </c>
      <c r="E3767" s="2">
        <v>1</v>
      </c>
      <c r="F3767" s="2" t="s">
        <v>10086</v>
      </c>
      <c r="H3767" s="2">
        <v>1.2999999999999999E-3</v>
      </c>
      <c r="K3767" s="2" t="s">
        <v>10085</v>
      </c>
    </row>
    <row r="3768" spans="1:11" x14ac:dyDescent="0.2">
      <c r="A3768" s="2">
        <v>943</v>
      </c>
      <c r="B3768" s="2">
        <v>6</v>
      </c>
      <c r="C3768" s="2">
        <v>19449153</v>
      </c>
      <c r="D3768" s="2">
        <v>20418020</v>
      </c>
      <c r="E3768" s="2">
        <v>2</v>
      </c>
      <c r="F3768" s="2" t="s">
        <v>10086</v>
      </c>
      <c r="H3768" s="2">
        <v>1.6000000000000001E-3</v>
      </c>
      <c r="K3768" s="2" t="s">
        <v>10088</v>
      </c>
    </row>
    <row r="3769" spans="1:11" x14ac:dyDescent="0.2">
      <c r="A3769" s="2">
        <v>943</v>
      </c>
      <c r="B3769" s="2">
        <v>6</v>
      </c>
      <c r="C3769" s="2">
        <v>19449153</v>
      </c>
      <c r="D3769" s="2">
        <v>20418020</v>
      </c>
      <c r="E3769" s="2">
        <v>3</v>
      </c>
      <c r="F3769" s="2" t="s">
        <v>10086</v>
      </c>
      <c r="H3769" s="3">
        <v>8.0000000000000004E-4</v>
      </c>
      <c r="K3769" s="2" t="s">
        <v>10087</v>
      </c>
    </row>
    <row r="3770" spans="1:11" x14ac:dyDescent="0.2">
      <c r="A3770" s="2">
        <v>943</v>
      </c>
      <c r="B3770" s="2">
        <v>6</v>
      </c>
      <c r="C3770" s="2">
        <v>19449153</v>
      </c>
      <c r="D3770" s="2">
        <v>20418020</v>
      </c>
      <c r="E3770" s="2">
        <v>4</v>
      </c>
      <c r="F3770" s="2" t="s">
        <v>10086</v>
      </c>
      <c r="H3770" s="3">
        <v>2.9999999999999997E-4</v>
      </c>
      <c r="K3770" s="2" t="s">
        <v>10089</v>
      </c>
    </row>
    <row r="3771" spans="1:11" x14ac:dyDescent="0.2">
      <c r="A3771" s="2">
        <v>944</v>
      </c>
      <c r="B3771" s="2">
        <v>6</v>
      </c>
      <c r="C3771" s="2">
        <v>20418021</v>
      </c>
      <c r="D3771" s="2">
        <v>21295864</v>
      </c>
      <c r="E3771" s="2">
        <v>1</v>
      </c>
      <c r="F3771" s="2" t="s">
        <v>10086</v>
      </c>
      <c r="H3771" s="2">
        <v>1.5E-3</v>
      </c>
      <c r="K3771" s="2" t="s">
        <v>10089</v>
      </c>
    </row>
    <row r="3772" spans="1:11" x14ac:dyDescent="0.2">
      <c r="A3772" s="2">
        <v>944</v>
      </c>
      <c r="B3772" s="2">
        <v>6</v>
      </c>
      <c r="C3772" s="2">
        <v>20418021</v>
      </c>
      <c r="D3772" s="2">
        <v>21295864</v>
      </c>
      <c r="E3772" s="2">
        <v>2</v>
      </c>
      <c r="F3772" s="2" t="s">
        <v>10086</v>
      </c>
      <c r="H3772" s="2">
        <v>7.1000000000000004E-3</v>
      </c>
      <c r="K3772" s="2" t="s">
        <v>10088</v>
      </c>
    </row>
    <row r="3773" spans="1:11" x14ac:dyDescent="0.2">
      <c r="A3773" s="2">
        <v>944</v>
      </c>
      <c r="B3773" s="2">
        <v>6</v>
      </c>
      <c r="C3773" s="2">
        <v>20418021</v>
      </c>
      <c r="D3773" s="2">
        <v>21295864</v>
      </c>
      <c r="E3773" s="2">
        <v>3</v>
      </c>
      <c r="F3773" s="2" t="s">
        <v>10086</v>
      </c>
      <c r="H3773" s="3">
        <v>8.0000000000000004E-4</v>
      </c>
      <c r="K3773" s="2" t="s">
        <v>10087</v>
      </c>
    </row>
    <row r="3774" spans="1:11" x14ac:dyDescent="0.2">
      <c r="A3774" s="2">
        <v>944</v>
      </c>
      <c r="B3774" s="2">
        <v>6</v>
      </c>
      <c r="C3774" s="2">
        <v>20418021</v>
      </c>
      <c r="D3774" s="2">
        <v>21295864</v>
      </c>
      <c r="E3774" s="2">
        <v>4</v>
      </c>
      <c r="F3774" s="2" t="s">
        <v>10086</v>
      </c>
      <c r="H3774" s="3">
        <v>5.0000000000000001E-4</v>
      </c>
      <c r="K3774" s="2" t="s">
        <v>12324</v>
      </c>
    </row>
    <row r="3775" spans="1:11" x14ac:dyDescent="0.2">
      <c r="A3775" s="2">
        <v>945</v>
      </c>
      <c r="B3775" s="2">
        <v>6</v>
      </c>
      <c r="C3775" s="2">
        <v>21295865</v>
      </c>
      <c r="D3775" s="2">
        <v>22199713</v>
      </c>
      <c r="E3775" s="2">
        <v>1</v>
      </c>
      <c r="F3775" s="2" t="s">
        <v>10086</v>
      </c>
      <c r="H3775" s="2">
        <v>2.5999999999999999E-3</v>
      </c>
      <c r="K3775" s="2" t="s">
        <v>10088</v>
      </c>
    </row>
    <row r="3776" spans="1:11" x14ac:dyDescent="0.2">
      <c r="A3776" s="2">
        <v>945</v>
      </c>
      <c r="B3776" s="2">
        <v>6</v>
      </c>
      <c r="C3776" s="2">
        <v>21295865</v>
      </c>
      <c r="D3776" s="2">
        <v>22199713</v>
      </c>
      <c r="E3776" s="2">
        <v>2</v>
      </c>
      <c r="F3776" s="2" t="s">
        <v>10086</v>
      </c>
      <c r="H3776" s="2">
        <v>1E-3</v>
      </c>
      <c r="K3776" s="2" t="s">
        <v>10087</v>
      </c>
    </row>
    <row r="3777" spans="1:11" x14ac:dyDescent="0.2">
      <c r="A3777" s="2">
        <v>945</v>
      </c>
      <c r="B3777" s="2">
        <v>6</v>
      </c>
      <c r="C3777" s="2">
        <v>21295865</v>
      </c>
      <c r="D3777" s="2">
        <v>22199713</v>
      </c>
      <c r="E3777" s="2">
        <v>3</v>
      </c>
      <c r="F3777" s="2" t="s">
        <v>10086</v>
      </c>
      <c r="H3777" s="3">
        <v>8.0000000000000004E-4</v>
      </c>
      <c r="K3777" s="2" t="s">
        <v>10085</v>
      </c>
    </row>
    <row r="3778" spans="1:11" x14ac:dyDescent="0.2">
      <c r="A3778" s="2">
        <v>945</v>
      </c>
      <c r="B3778" s="2">
        <v>6</v>
      </c>
      <c r="C3778" s="2">
        <v>21295865</v>
      </c>
      <c r="D3778" s="2">
        <v>22199713</v>
      </c>
      <c r="E3778" s="2">
        <v>4</v>
      </c>
      <c r="F3778" s="2" t="s">
        <v>10086</v>
      </c>
      <c r="H3778" s="3">
        <v>4.0000000000000002E-4</v>
      </c>
      <c r="K3778" s="2" t="s">
        <v>10089</v>
      </c>
    </row>
    <row r="3779" spans="1:11" x14ac:dyDescent="0.2">
      <c r="A3779" s="2">
        <v>946</v>
      </c>
      <c r="B3779" s="2">
        <v>6</v>
      </c>
      <c r="C3779" s="2">
        <v>22199714</v>
      </c>
      <c r="D3779" s="2">
        <v>23192337</v>
      </c>
      <c r="E3779" s="2">
        <v>1</v>
      </c>
      <c r="F3779" s="2" t="s">
        <v>10086</v>
      </c>
      <c r="H3779" s="2">
        <v>4.4000000000000003E-3</v>
      </c>
      <c r="K3779" s="2" t="s">
        <v>10087</v>
      </c>
    </row>
    <row r="3780" spans="1:11" x14ac:dyDescent="0.2">
      <c r="A3780" s="2">
        <v>946</v>
      </c>
      <c r="B3780" s="2">
        <v>6</v>
      </c>
      <c r="C3780" s="2">
        <v>22199714</v>
      </c>
      <c r="D3780" s="2">
        <v>23192337</v>
      </c>
      <c r="E3780" s="2">
        <v>2</v>
      </c>
      <c r="F3780" s="2" t="s">
        <v>10086</v>
      </c>
      <c r="H3780" s="2">
        <v>3.8999999999999998E-3</v>
      </c>
      <c r="K3780" s="2" t="s">
        <v>10089</v>
      </c>
    </row>
    <row r="3781" spans="1:11" x14ac:dyDescent="0.2">
      <c r="A3781" s="2">
        <v>946</v>
      </c>
      <c r="B3781" s="2">
        <v>6</v>
      </c>
      <c r="C3781" s="2">
        <v>22199714</v>
      </c>
      <c r="D3781" s="2">
        <v>23192337</v>
      </c>
      <c r="E3781" s="2">
        <v>3</v>
      </c>
      <c r="F3781" s="2" t="s">
        <v>10086</v>
      </c>
      <c r="H3781" s="2">
        <v>1.5E-3</v>
      </c>
      <c r="K3781" s="2" t="s">
        <v>10085</v>
      </c>
    </row>
    <row r="3782" spans="1:11" x14ac:dyDescent="0.2">
      <c r="A3782" s="2">
        <v>946</v>
      </c>
      <c r="B3782" s="2">
        <v>6</v>
      </c>
      <c r="C3782" s="2">
        <v>22199714</v>
      </c>
      <c r="D3782" s="2">
        <v>23192337</v>
      </c>
      <c r="E3782" s="2">
        <v>4</v>
      </c>
      <c r="F3782" s="2" t="s">
        <v>10086</v>
      </c>
      <c r="H3782" s="2">
        <v>1.1999999999999999E-3</v>
      </c>
      <c r="K3782" s="2" t="s">
        <v>12324</v>
      </c>
    </row>
    <row r="3783" spans="1:11" x14ac:dyDescent="0.2">
      <c r="A3783" s="2">
        <v>947</v>
      </c>
      <c r="B3783" s="2">
        <v>6</v>
      </c>
      <c r="C3783" s="2">
        <v>23192338</v>
      </c>
      <c r="D3783" s="2">
        <v>23939306</v>
      </c>
      <c r="E3783" s="2">
        <v>1</v>
      </c>
      <c r="F3783" s="2" t="s">
        <v>10086</v>
      </c>
      <c r="H3783" s="2">
        <v>1.8E-3</v>
      </c>
      <c r="K3783" s="2" t="s">
        <v>10088</v>
      </c>
    </row>
    <row r="3784" spans="1:11" x14ac:dyDescent="0.2">
      <c r="A3784" s="2">
        <v>947</v>
      </c>
      <c r="B3784" s="2">
        <v>6</v>
      </c>
      <c r="C3784" s="2">
        <v>23192338</v>
      </c>
      <c r="D3784" s="2">
        <v>23939306</v>
      </c>
      <c r="E3784" s="2">
        <v>2</v>
      </c>
      <c r="F3784" s="2" t="s">
        <v>10086</v>
      </c>
      <c r="H3784" s="3">
        <v>8.9999999999999998E-4</v>
      </c>
      <c r="K3784" s="2" t="s">
        <v>10087</v>
      </c>
    </row>
    <row r="3785" spans="1:11" x14ac:dyDescent="0.2">
      <c r="A3785" s="2">
        <v>947</v>
      </c>
      <c r="B3785" s="2">
        <v>6</v>
      </c>
      <c r="C3785" s="2">
        <v>23192338</v>
      </c>
      <c r="D3785" s="2">
        <v>23939306</v>
      </c>
      <c r="E3785" s="2">
        <v>3</v>
      </c>
      <c r="F3785" s="2" t="s">
        <v>10086</v>
      </c>
      <c r="H3785" s="3">
        <v>6.9999999999999999E-4</v>
      </c>
      <c r="K3785" s="2" t="s">
        <v>10085</v>
      </c>
    </row>
    <row r="3786" spans="1:11" x14ac:dyDescent="0.2">
      <c r="A3786" s="2">
        <v>947</v>
      </c>
      <c r="B3786" s="2">
        <v>6</v>
      </c>
      <c r="C3786" s="2">
        <v>23192338</v>
      </c>
      <c r="D3786" s="2">
        <v>23939306</v>
      </c>
      <c r="E3786" s="2">
        <v>4</v>
      </c>
      <c r="F3786" s="2" t="s">
        <v>10086</v>
      </c>
      <c r="H3786" s="3">
        <v>2.9999999999999997E-4</v>
      </c>
      <c r="K3786" s="2" t="s">
        <v>10089</v>
      </c>
    </row>
    <row r="3787" spans="1:11" x14ac:dyDescent="0.2">
      <c r="A3787" s="2">
        <v>948</v>
      </c>
      <c r="B3787" s="2">
        <v>6</v>
      </c>
      <c r="C3787" s="2">
        <v>23939307</v>
      </c>
      <c r="D3787" s="2">
        <v>24950379</v>
      </c>
      <c r="E3787" s="2">
        <v>1</v>
      </c>
      <c r="F3787" s="2" t="s">
        <v>10086</v>
      </c>
      <c r="H3787" s="2">
        <v>4.7999999999999996E-3</v>
      </c>
      <c r="K3787" s="2" t="s">
        <v>10088</v>
      </c>
    </row>
    <row r="3788" spans="1:11" x14ac:dyDescent="0.2">
      <c r="A3788" s="2">
        <v>948</v>
      </c>
      <c r="B3788" s="2">
        <v>6</v>
      </c>
      <c r="C3788" s="2">
        <v>23939307</v>
      </c>
      <c r="D3788" s="2">
        <v>24950379</v>
      </c>
      <c r="E3788" s="2">
        <v>2</v>
      </c>
      <c r="F3788" s="2" t="s">
        <v>10086</v>
      </c>
      <c r="H3788" s="2">
        <v>2.5000000000000001E-3</v>
      </c>
      <c r="K3788" s="2" t="s">
        <v>10085</v>
      </c>
    </row>
    <row r="3789" spans="1:11" x14ac:dyDescent="0.2">
      <c r="A3789" s="2">
        <v>948</v>
      </c>
      <c r="B3789" s="2">
        <v>6</v>
      </c>
      <c r="C3789" s="2">
        <v>23939307</v>
      </c>
      <c r="D3789" s="2">
        <v>24950379</v>
      </c>
      <c r="E3789" s="2">
        <v>3</v>
      </c>
      <c r="F3789" s="2" t="s">
        <v>10086</v>
      </c>
      <c r="H3789" s="2">
        <v>1E-3</v>
      </c>
      <c r="K3789" s="2" t="s">
        <v>10089</v>
      </c>
    </row>
    <row r="3790" spans="1:11" x14ac:dyDescent="0.2">
      <c r="A3790" s="2">
        <v>948</v>
      </c>
      <c r="B3790" s="2">
        <v>6</v>
      </c>
      <c r="C3790" s="2">
        <v>23939307</v>
      </c>
      <c r="D3790" s="2">
        <v>24950379</v>
      </c>
      <c r="E3790" s="2">
        <v>4</v>
      </c>
      <c r="F3790" s="2" t="s">
        <v>10086</v>
      </c>
      <c r="H3790" s="3">
        <v>6.9999999999999999E-4</v>
      </c>
      <c r="K3790" s="2" t="s">
        <v>10087</v>
      </c>
    </row>
    <row r="3791" spans="1:11" x14ac:dyDescent="0.2">
      <c r="A3791" s="2">
        <v>949</v>
      </c>
      <c r="B3791" s="2">
        <v>6</v>
      </c>
      <c r="C3791" s="2">
        <v>24950380</v>
      </c>
      <c r="D3791" s="2">
        <v>25684629</v>
      </c>
      <c r="E3791" s="2">
        <v>1</v>
      </c>
      <c r="F3791" s="2" t="s">
        <v>10086</v>
      </c>
      <c r="H3791" s="2">
        <v>1.5E-3</v>
      </c>
      <c r="K3791" s="2" t="s">
        <v>10089</v>
      </c>
    </row>
    <row r="3792" spans="1:11" x14ac:dyDescent="0.2">
      <c r="A3792" s="2">
        <v>949</v>
      </c>
      <c r="B3792" s="2">
        <v>6</v>
      </c>
      <c r="C3792" s="2">
        <v>24950380</v>
      </c>
      <c r="D3792" s="2">
        <v>25684629</v>
      </c>
      <c r="E3792" s="2">
        <v>2</v>
      </c>
      <c r="F3792" s="2" t="s">
        <v>10086</v>
      </c>
      <c r="H3792" s="2">
        <v>1E-3</v>
      </c>
      <c r="K3792" s="2" t="s">
        <v>10085</v>
      </c>
    </row>
    <row r="3793" spans="1:11" x14ac:dyDescent="0.2">
      <c r="A3793" s="2">
        <v>949</v>
      </c>
      <c r="B3793" s="2">
        <v>6</v>
      </c>
      <c r="C3793" s="2">
        <v>24950380</v>
      </c>
      <c r="D3793" s="2">
        <v>25684629</v>
      </c>
      <c r="E3793" s="2">
        <v>3</v>
      </c>
      <c r="F3793" s="2" t="s">
        <v>10086</v>
      </c>
      <c r="H3793" s="3">
        <v>6.9999999999999999E-4</v>
      </c>
      <c r="K3793" s="2" t="s">
        <v>10088</v>
      </c>
    </row>
    <row r="3794" spans="1:11" x14ac:dyDescent="0.2">
      <c r="A3794" s="2">
        <v>949</v>
      </c>
      <c r="B3794" s="2">
        <v>6</v>
      </c>
      <c r="C3794" s="2">
        <v>24950380</v>
      </c>
      <c r="D3794" s="2">
        <v>25684629</v>
      </c>
      <c r="E3794" s="2">
        <v>4</v>
      </c>
      <c r="F3794" s="2" t="s">
        <v>10086</v>
      </c>
      <c r="H3794" s="3">
        <v>4.0000000000000002E-4</v>
      </c>
      <c r="K3794" s="2" t="s">
        <v>12324</v>
      </c>
    </row>
    <row r="3795" spans="1:11" x14ac:dyDescent="0.2">
      <c r="A3795" s="2">
        <v>950</v>
      </c>
      <c r="B3795" s="2">
        <v>6</v>
      </c>
      <c r="C3795" s="2">
        <v>25684630</v>
      </c>
      <c r="D3795" s="2">
        <v>26396200</v>
      </c>
      <c r="E3795" s="2">
        <v>1</v>
      </c>
      <c r="F3795" s="2" t="s">
        <v>10086</v>
      </c>
      <c r="H3795" s="2">
        <v>1.2999999999999999E-3</v>
      </c>
      <c r="K3795" s="2" t="s">
        <v>10089</v>
      </c>
    </row>
    <row r="3796" spans="1:11" x14ac:dyDescent="0.2">
      <c r="A3796" s="2">
        <v>950</v>
      </c>
      <c r="B3796" s="2">
        <v>6</v>
      </c>
      <c r="C3796" s="2">
        <v>25684630</v>
      </c>
      <c r="D3796" s="2">
        <v>26396200</v>
      </c>
      <c r="E3796" s="2">
        <v>2</v>
      </c>
      <c r="F3796" s="2" t="s">
        <v>10086</v>
      </c>
      <c r="H3796" s="2">
        <v>1.1000000000000001E-3</v>
      </c>
      <c r="K3796" s="2" t="s">
        <v>10088</v>
      </c>
    </row>
    <row r="3797" spans="1:11" x14ac:dyDescent="0.2">
      <c r="A3797" s="2">
        <v>950</v>
      </c>
      <c r="B3797" s="2">
        <v>6</v>
      </c>
      <c r="C3797" s="2">
        <v>25684630</v>
      </c>
      <c r="D3797" s="2">
        <v>26396200</v>
      </c>
      <c r="E3797" s="2">
        <v>3</v>
      </c>
      <c r="F3797" s="2" t="s">
        <v>10086</v>
      </c>
      <c r="H3797" s="3">
        <v>4.0000000000000002E-4</v>
      </c>
      <c r="K3797" s="2" t="s">
        <v>10087</v>
      </c>
    </row>
    <row r="3798" spans="1:11" x14ac:dyDescent="0.2">
      <c r="A3798" s="2">
        <v>950</v>
      </c>
      <c r="B3798" s="2">
        <v>6</v>
      </c>
      <c r="C3798" s="2">
        <v>25684630</v>
      </c>
      <c r="D3798" s="2">
        <v>26396200</v>
      </c>
      <c r="E3798" s="2">
        <v>4</v>
      </c>
      <c r="F3798" s="2" t="s">
        <v>10086</v>
      </c>
      <c r="H3798" s="3">
        <v>2.9999999999999997E-4</v>
      </c>
      <c r="K3798" s="2" t="s">
        <v>10085</v>
      </c>
    </row>
    <row r="3799" spans="1:11" x14ac:dyDescent="0.2">
      <c r="A3799" s="2">
        <v>951</v>
      </c>
      <c r="B3799" s="2">
        <v>6</v>
      </c>
      <c r="C3799" s="2">
        <v>26396201</v>
      </c>
      <c r="D3799" s="2">
        <v>27261035</v>
      </c>
      <c r="E3799" s="2">
        <v>1</v>
      </c>
      <c r="F3799" s="2" t="s">
        <v>10086</v>
      </c>
      <c r="H3799" s="2">
        <v>3.2199999999999999E-2</v>
      </c>
      <c r="K3799" s="2" t="s">
        <v>12324</v>
      </c>
    </row>
    <row r="3800" spans="1:11" x14ac:dyDescent="0.2">
      <c r="A3800" s="2">
        <v>951</v>
      </c>
      <c r="B3800" s="2">
        <v>6</v>
      </c>
      <c r="C3800" s="2">
        <v>26396201</v>
      </c>
      <c r="D3800" s="2">
        <v>27261035</v>
      </c>
      <c r="E3800" s="2">
        <v>2</v>
      </c>
      <c r="F3800" s="2" t="s">
        <v>10086</v>
      </c>
      <c r="H3800" s="2">
        <v>1.5E-3</v>
      </c>
      <c r="K3800" s="2" t="s">
        <v>10085</v>
      </c>
    </row>
    <row r="3801" spans="1:11" x14ac:dyDescent="0.2">
      <c r="A3801" s="2">
        <v>951</v>
      </c>
      <c r="B3801" s="2">
        <v>6</v>
      </c>
      <c r="C3801" s="2">
        <v>26396201</v>
      </c>
      <c r="D3801" s="2">
        <v>27261035</v>
      </c>
      <c r="E3801" s="2">
        <v>3</v>
      </c>
      <c r="F3801" s="2" t="s">
        <v>10086</v>
      </c>
      <c r="H3801" s="3">
        <v>5.9999999999999995E-4</v>
      </c>
      <c r="K3801" s="2" t="s">
        <v>10087</v>
      </c>
    </row>
    <row r="3802" spans="1:11" x14ac:dyDescent="0.2">
      <c r="A3802" s="2">
        <v>951</v>
      </c>
      <c r="B3802" s="2">
        <v>6</v>
      </c>
      <c r="C3802" s="2">
        <v>26396201</v>
      </c>
      <c r="D3802" s="2">
        <v>27261035</v>
      </c>
      <c r="E3802" s="2">
        <v>4</v>
      </c>
      <c r="F3802" s="2" t="s">
        <v>10086</v>
      </c>
      <c r="H3802" s="3">
        <v>5.0000000000000001E-4</v>
      </c>
      <c r="K3802" s="2" t="s">
        <v>10088</v>
      </c>
    </row>
    <row r="3803" spans="1:11" x14ac:dyDescent="0.2">
      <c r="A3803" s="2">
        <v>952</v>
      </c>
      <c r="B3803" s="2">
        <v>6</v>
      </c>
      <c r="C3803" s="2">
        <v>27261036</v>
      </c>
      <c r="D3803" s="2">
        <v>28666364</v>
      </c>
      <c r="E3803" s="2">
        <v>1</v>
      </c>
      <c r="F3803" s="2" t="s">
        <v>10086</v>
      </c>
      <c r="H3803" s="2">
        <v>6.6E-3</v>
      </c>
      <c r="K3803" s="2" t="s">
        <v>10085</v>
      </c>
    </row>
    <row r="3804" spans="1:11" x14ac:dyDescent="0.2">
      <c r="A3804" s="2">
        <v>952</v>
      </c>
      <c r="B3804" s="2">
        <v>6</v>
      </c>
      <c r="C3804" s="2">
        <v>27261036</v>
      </c>
      <c r="D3804" s="2">
        <v>28666364</v>
      </c>
      <c r="E3804" s="2">
        <v>2</v>
      </c>
      <c r="F3804" s="2" t="s">
        <v>10086</v>
      </c>
      <c r="H3804" s="2">
        <v>1.1999999999999999E-3</v>
      </c>
      <c r="K3804" s="2" t="s">
        <v>10088</v>
      </c>
    </row>
    <row r="3805" spans="1:11" x14ac:dyDescent="0.2">
      <c r="A3805" s="2">
        <v>952</v>
      </c>
      <c r="B3805" s="2">
        <v>6</v>
      </c>
      <c r="C3805" s="2">
        <v>27261036</v>
      </c>
      <c r="D3805" s="2">
        <v>28666364</v>
      </c>
      <c r="E3805" s="2">
        <v>3</v>
      </c>
      <c r="F3805" s="2" t="s">
        <v>10086</v>
      </c>
      <c r="H3805" s="2">
        <v>1.4E-3</v>
      </c>
      <c r="K3805" s="2" t="s">
        <v>10089</v>
      </c>
    </row>
    <row r="3806" spans="1:11" x14ac:dyDescent="0.2">
      <c r="A3806" s="2">
        <v>952</v>
      </c>
      <c r="B3806" s="2">
        <v>6</v>
      </c>
      <c r="C3806" s="2">
        <v>27261036</v>
      </c>
      <c r="D3806" s="2">
        <v>28666364</v>
      </c>
      <c r="E3806" s="2">
        <v>4</v>
      </c>
      <c r="F3806" s="2" t="s">
        <v>10086</v>
      </c>
      <c r="H3806" s="2">
        <v>1E-3</v>
      </c>
      <c r="K3806" s="2" t="s">
        <v>10087</v>
      </c>
    </row>
    <row r="3807" spans="1:11" x14ac:dyDescent="0.2">
      <c r="A3807" s="2">
        <v>953</v>
      </c>
      <c r="B3807" s="2">
        <v>6</v>
      </c>
      <c r="C3807" s="2">
        <v>28666365</v>
      </c>
      <c r="D3807" s="2">
        <v>29529755</v>
      </c>
      <c r="E3807" s="2">
        <v>1</v>
      </c>
      <c r="F3807" s="2" t="s">
        <v>10086</v>
      </c>
      <c r="H3807" s="2">
        <v>2.2000000000000001E-3</v>
      </c>
      <c r="K3807" s="2" t="s">
        <v>10085</v>
      </c>
    </row>
    <row r="3808" spans="1:11" x14ac:dyDescent="0.2">
      <c r="A3808" s="2">
        <v>953</v>
      </c>
      <c r="B3808" s="2">
        <v>6</v>
      </c>
      <c r="C3808" s="2">
        <v>28666365</v>
      </c>
      <c r="D3808" s="2">
        <v>29529755</v>
      </c>
      <c r="E3808" s="2">
        <v>2</v>
      </c>
      <c r="F3808" s="2" t="s">
        <v>10086</v>
      </c>
      <c r="H3808" s="2">
        <v>1.8E-3</v>
      </c>
      <c r="K3808" s="2" t="s">
        <v>10087</v>
      </c>
    </row>
    <row r="3809" spans="1:11" x14ac:dyDescent="0.2">
      <c r="A3809" s="2">
        <v>953</v>
      </c>
      <c r="B3809" s="2">
        <v>6</v>
      </c>
      <c r="C3809" s="2">
        <v>28666365</v>
      </c>
      <c r="D3809" s="2">
        <v>29529755</v>
      </c>
      <c r="E3809" s="2">
        <v>3</v>
      </c>
      <c r="F3809" s="2" t="s">
        <v>10086</v>
      </c>
      <c r="H3809" s="2">
        <v>1.1000000000000001E-3</v>
      </c>
      <c r="K3809" s="2" t="s">
        <v>10088</v>
      </c>
    </row>
    <row r="3810" spans="1:11" x14ac:dyDescent="0.2">
      <c r="A3810" s="2">
        <v>953</v>
      </c>
      <c r="B3810" s="2">
        <v>6</v>
      </c>
      <c r="C3810" s="2">
        <v>28666365</v>
      </c>
      <c r="D3810" s="2">
        <v>29529755</v>
      </c>
      <c r="E3810" s="2">
        <v>4</v>
      </c>
      <c r="F3810" s="2" t="s">
        <v>10086</v>
      </c>
      <c r="H3810" s="3">
        <v>5.0000000000000001E-4</v>
      </c>
      <c r="K3810" s="2" t="s">
        <v>10089</v>
      </c>
    </row>
    <row r="3811" spans="1:11" x14ac:dyDescent="0.2">
      <c r="A3811" s="2">
        <v>954</v>
      </c>
      <c r="B3811" s="2">
        <v>6</v>
      </c>
      <c r="C3811" s="2">
        <v>29529756</v>
      </c>
      <c r="D3811" s="2">
        <v>29833843</v>
      </c>
      <c r="E3811" s="2">
        <v>1</v>
      </c>
      <c r="F3811" s="2" t="s">
        <v>10086</v>
      </c>
      <c r="H3811" s="2">
        <v>1.1999999999999999E-3</v>
      </c>
      <c r="K3811" s="2" t="s">
        <v>10085</v>
      </c>
    </row>
    <row r="3812" spans="1:11" x14ac:dyDescent="0.2">
      <c r="A3812" s="2">
        <v>954</v>
      </c>
      <c r="B3812" s="2">
        <v>6</v>
      </c>
      <c r="C3812" s="2">
        <v>29529756</v>
      </c>
      <c r="D3812" s="2">
        <v>29833843</v>
      </c>
      <c r="E3812" s="2">
        <v>2</v>
      </c>
      <c r="F3812" s="2" t="s">
        <v>10086</v>
      </c>
      <c r="H3812" s="2">
        <v>1E-3</v>
      </c>
      <c r="K3812" s="2" t="s">
        <v>10087</v>
      </c>
    </row>
    <row r="3813" spans="1:11" x14ac:dyDescent="0.2">
      <c r="A3813" s="2">
        <v>954</v>
      </c>
      <c r="B3813" s="2">
        <v>6</v>
      </c>
      <c r="C3813" s="2">
        <v>29529756</v>
      </c>
      <c r="D3813" s="2">
        <v>29833843</v>
      </c>
      <c r="E3813" s="2">
        <v>3</v>
      </c>
      <c r="F3813" s="2" t="s">
        <v>10086</v>
      </c>
      <c r="H3813" s="3">
        <v>8.0000000000000004E-4</v>
      </c>
      <c r="K3813" s="2" t="s">
        <v>10088</v>
      </c>
    </row>
    <row r="3814" spans="1:11" x14ac:dyDescent="0.2">
      <c r="A3814" s="2">
        <v>954</v>
      </c>
      <c r="B3814" s="2">
        <v>6</v>
      </c>
      <c r="C3814" s="2">
        <v>29529756</v>
      </c>
      <c r="D3814" s="2">
        <v>29833843</v>
      </c>
      <c r="E3814" s="2">
        <v>4</v>
      </c>
      <c r="F3814" s="2" t="s">
        <v>10086</v>
      </c>
      <c r="H3814" s="3">
        <v>4.0000000000000002E-4</v>
      </c>
      <c r="K3814" s="2" t="s">
        <v>10089</v>
      </c>
    </row>
    <row r="3815" spans="1:11" x14ac:dyDescent="0.2">
      <c r="A3815" s="2">
        <v>955</v>
      </c>
      <c r="B3815" s="2">
        <v>6</v>
      </c>
      <c r="C3815" s="2">
        <v>29833844</v>
      </c>
      <c r="D3815" s="2">
        <v>30070717</v>
      </c>
      <c r="E3815" s="2">
        <v>1</v>
      </c>
      <c r="F3815" s="2" t="s">
        <v>10086</v>
      </c>
      <c r="H3815" s="2">
        <v>1E-3</v>
      </c>
      <c r="K3815" s="2" t="s">
        <v>10087</v>
      </c>
    </row>
    <row r="3816" spans="1:11" x14ac:dyDescent="0.2">
      <c r="A3816" s="2">
        <v>955</v>
      </c>
      <c r="B3816" s="2">
        <v>6</v>
      </c>
      <c r="C3816" s="2">
        <v>29833844</v>
      </c>
      <c r="D3816" s="2">
        <v>30070717</v>
      </c>
      <c r="E3816" s="2">
        <v>2</v>
      </c>
      <c r="F3816" s="2" t="s">
        <v>10086</v>
      </c>
      <c r="H3816" s="3">
        <v>8.0000000000000004E-4</v>
      </c>
      <c r="K3816" s="2" t="s">
        <v>10085</v>
      </c>
    </row>
    <row r="3817" spans="1:11" x14ac:dyDescent="0.2">
      <c r="A3817" s="2">
        <v>955</v>
      </c>
      <c r="B3817" s="2">
        <v>6</v>
      </c>
      <c r="C3817" s="2">
        <v>29833844</v>
      </c>
      <c r="D3817" s="2">
        <v>30070717</v>
      </c>
      <c r="E3817" s="2">
        <v>3</v>
      </c>
      <c r="F3817" s="2" t="s">
        <v>10086</v>
      </c>
      <c r="H3817" s="3">
        <v>5.9999999999999995E-4</v>
      </c>
      <c r="K3817" s="2" t="s">
        <v>10088</v>
      </c>
    </row>
    <row r="3818" spans="1:11" x14ac:dyDescent="0.2">
      <c r="A3818" s="2">
        <v>955</v>
      </c>
      <c r="B3818" s="2">
        <v>6</v>
      </c>
      <c r="C3818" s="2">
        <v>29833844</v>
      </c>
      <c r="D3818" s="2">
        <v>30070717</v>
      </c>
      <c r="E3818" s="2">
        <v>4</v>
      </c>
      <c r="F3818" s="2" t="s">
        <v>10086</v>
      </c>
      <c r="H3818" s="3">
        <v>2.9999999999999997E-4</v>
      </c>
      <c r="K3818" s="2" t="s">
        <v>10089</v>
      </c>
    </row>
    <row r="3819" spans="1:11" x14ac:dyDescent="0.2">
      <c r="A3819" s="2">
        <v>956</v>
      </c>
      <c r="B3819" s="2">
        <v>6</v>
      </c>
      <c r="C3819" s="2">
        <v>30070718</v>
      </c>
      <c r="D3819" s="2">
        <v>30715006</v>
      </c>
      <c r="E3819" s="2">
        <v>1</v>
      </c>
      <c r="F3819" s="2" t="s">
        <v>10086</v>
      </c>
      <c r="H3819" s="2">
        <v>2.8E-3</v>
      </c>
      <c r="K3819" s="2" t="s">
        <v>12324</v>
      </c>
    </row>
    <row r="3820" spans="1:11" x14ac:dyDescent="0.2">
      <c r="A3820" s="2">
        <v>956</v>
      </c>
      <c r="B3820" s="2">
        <v>6</v>
      </c>
      <c r="C3820" s="2">
        <v>30070718</v>
      </c>
      <c r="D3820" s="2">
        <v>30715006</v>
      </c>
      <c r="E3820" s="2">
        <v>2</v>
      </c>
      <c r="F3820" s="2" t="s">
        <v>10086</v>
      </c>
      <c r="H3820" s="2">
        <v>1.6000000000000001E-3</v>
      </c>
      <c r="K3820" s="2" t="s">
        <v>10088</v>
      </c>
    </row>
    <row r="3821" spans="1:11" x14ac:dyDescent="0.2">
      <c r="A3821" s="2">
        <v>956</v>
      </c>
      <c r="B3821" s="2">
        <v>6</v>
      </c>
      <c r="C3821" s="2">
        <v>30070718</v>
      </c>
      <c r="D3821" s="2">
        <v>30715006</v>
      </c>
      <c r="E3821" s="2">
        <v>3</v>
      </c>
      <c r="F3821" s="2" t="s">
        <v>10086</v>
      </c>
      <c r="H3821" s="2">
        <v>1.1999999999999999E-3</v>
      </c>
      <c r="K3821" s="2" t="s">
        <v>10085</v>
      </c>
    </row>
    <row r="3822" spans="1:11" x14ac:dyDescent="0.2">
      <c r="A3822" s="2">
        <v>956</v>
      </c>
      <c r="B3822" s="2">
        <v>6</v>
      </c>
      <c r="C3822" s="2">
        <v>30070718</v>
      </c>
      <c r="D3822" s="2">
        <v>30715006</v>
      </c>
      <c r="E3822" s="2">
        <v>4</v>
      </c>
      <c r="F3822" s="2" t="s">
        <v>10086</v>
      </c>
      <c r="H3822" s="3">
        <v>8.9999999999999998E-4</v>
      </c>
      <c r="K3822" s="2" t="s">
        <v>10089</v>
      </c>
    </row>
    <row r="3823" spans="1:11" x14ac:dyDescent="0.2">
      <c r="A3823" s="2">
        <v>957</v>
      </c>
      <c r="B3823" s="2">
        <v>6</v>
      </c>
      <c r="C3823" s="2">
        <v>30715007</v>
      </c>
      <c r="D3823" s="2">
        <v>31106493</v>
      </c>
      <c r="E3823" s="2">
        <v>1</v>
      </c>
      <c r="F3823" s="2" t="s">
        <v>10086</v>
      </c>
      <c r="H3823" s="2">
        <v>1.01E-2</v>
      </c>
      <c r="K3823" s="2" t="s">
        <v>10089</v>
      </c>
    </row>
    <row r="3824" spans="1:11" x14ac:dyDescent="0.2">
      <c r="A3824" s="2">
        <v>957</v>
      </c>
      <c r="B3824" s="2">
        <v>6</v>
      </c>
      <c r="C3824" s="2">
        <v>30715007</v>
      </c>
      <c r="D3824" s="2">
        <v>31106493</v>
      </c>
      <c r="E3824" s="2">
        <v>2</v>
      </c>
      <c r="F3824" s="2" t="s">
        <v>10086</v>
      </c>
      <c r="H3824" s="2">
        <v>2.0999999999999999E-3</v>
      </c>
      <c r="K3824" s="2" t="s">
        <v>10088</v>
      </c>
    </row>
    <row r="3825" spans="1:11" x14ac:dyDescent="0.2">
      <c r="A3825" s="2">
        <v>957</v>
      </c>
      <c r="B3825" s="2">
        <v>6</v>
      </c>
      <c r="C3825" s="2">
        <v>30715007</v>
      </c>
      <c r="D3825" s="2">
        <v>31106493</v>
      </c>
      <c r="E3825" s="2">
        <v>3</v>
      </c>
      <c r="F3825" s="2" t="s">
        <v>10086</v>
      </c>
      <c r="H3825" s="2">
        <v>1.5E-3</v>
      </c>
      <c r="K3825" s="2" t="s">
        <v>12324</v>
      </c>
    </row>
    <row r="3826" spans="1:11" x14ac:dyDescent="0.2">
      <c r="A3826" s="2">
        <v>957</v>
      </c>
      <c r="B3826" s="2">
        <v>6</v>
      </c>
      <c r="C3826" s="2">
        <v>30715007</v>
      </c>
      <c r="D3826" s="2">
        <v>31106493</v>
      </c>
      <c r="E3826" s="2">
        <v>4</v>
      </c>
      <c r="F3826" s="2" t="s">
        <v>10086</v>
      </c>
      <c r="H3826" s="3">
        <v>8.9999999999999998E-4</v>
      </c>
      <c r="K3826" s="2" t="s">
        <v>10087</v>
      </c>
    </row>
    <row r="3827" spans="1:11" x14ac:dyDescent="0.2">
      <c r="A3827" s="2">
        <v>958</v>
      </c>
      <c r="B3827" s="2">
        <v>6</v>
      </c>
      <c r="C3827" s="2">
        <v>31106494</v>
      </c>
      <c r="D3827" s="2">
        <v>31250556</v>
      </c>
      <c r="E3827" s="2">
        <v>1</v>
      </c>
      <c r="F3827" s="2" t="s">
        <v>10086</v>
      </c>
      <c r="H3827" s="2">
        <v>3.0999999999999999E-3</v>
      </c>
      <c r="K3827" s="2" t="s">
        <v>12324</v>
      </c>
    </row>
    <row r="3828" spans="1:11" x14ac:dyDescent="0.2">
      <c r="A3828" s="2">
        <v>958</v>
      </c>
      <c r="B3828" s="2">
        <v>6</v>
      </c>
      <c r="C3828" s="2">
        <v>31106494</v>
      </c>
      <c r="D3828" s="2">
        <v>31250556</v>
      </c>
      <c r="E3828" s="2">
        <v>2</v>
      </c>
      <c r="F3828" s="2" t="s">
        <v>10086</v>
      </c>
      <c r="H3828" s="2">
        <v>1.4E-3</v>
      </c>
      <c r="K3828" s="2" t="s">
        <v>10088</v>
      </c>
    </row>
    <row r="3829" spans="1:11" x14ac:dyDescent="0.2">
      <c r="A3829" s="2">
        <v>958</v>
      </c>
      <c r="B3829" s="2">
        <v>6</v>
      </c>
      <c r="C3829" s="2">
        <v>31106494</v>
      </c>
      <c r="D3829" s="2">
        <v>31250556</v>
      </c>
      <c r="E3829" s="2">
        <v>3</v>
      </c>
      <c r="F3829" s="2" t="s">
        <v>10086</v>
      </c>
      <c r="H3829" s="3">
        <v>5.9999999999999995E-4</v>
      </c>
      <c r="K3829" s="2" t="s">
        <v>10089</v>
      </c>
    </row>
    <row r="3830" spans="1:11" x14ac:dyDescent="0.2">
      <c r="A3830" s="2">
        <v>958</v>
      </c>
      <c r="B3830" s="2">
        <v>6</v>
      </c>
      <c r="C3830" s="2">
        <v>31106494</v>
      </c>
      <c r="D3830" s="2">
        <v>31250556</v>
      </c>
      <c r="E3830" s="2">
        <v>4</v>
      </c>
      <c r="F3830" s="2" t="s">
        <v>10086</v>
      </c>
      <c r="H3830" s="3">
        <v>4.0000000000000002E-4</v>
      </c>
      <c r="K3830" s="2" t="s">
        <v>10085</v>
      </c>
    </row>
    <row r="3831" spans="1:11" x14ac:dyDescent="0.2">
      <c r="A3831" s="2">
        <v>959</v>
      </c>
      <c r="B3831" s="2">
        <v>6</v>
      </c>
      <c r="C3831" s="2">
        <v>31250557</v>
      </c>
      <c r="D3831" s="2">
        <v>31320268</v>
      </c>
      <c r="E3831" s="2">
        <v>1</v>
      </c>
      <c r="F3831" s="2" t="s">
        <v>10086</v>
      </c>
      <c r="H3831" s="2">
        <v>1.1000000000000001E-3</v>
      </c>
      <c r="K3831" s="2" t="s">
        <v>10089</v>
      </c>
    </row>
    <row r="3832" spans="1:11" x14ac:dyDescent="0.2">
      <c r="A3832" s="2">
        <v>959</v>
      </c>
      <c r="B3832" s="2">
        <v>6</v>
      </c>
      <c r="C3832" s="2">
        <v>31250557</v>
      </c>
      <c r="D3832" s="2">
        <v>31320268</v>
      </c>
      <c r="E3832" s="2">
        <v>2</v>
      </c>
      <c r="F3832" s="2" t="s">
        <v>10086</v>
      </c>
      <c r="H3832" s="3">
        <v>8.9999999999999998E-4</v>
      </c>
      <c r="K3832" s="2" t="s">
        <v>10088</v>
      </c>
    </row>
    <row r="3833" spans="1:11" x14ac:dyDescent="0.2">
      <c r="A3833" s="2">
        <v>959</v>
      </c>
      <c r="B3833" s="2">
        <v>6</v>
      </c>
      <c r="C3833" s="2">
        <v>31250557</v>
      </c>
      <c r="D3833" s="2">
        <v>31320268</v>
      </c>
      <c r="E3833" s="2">
        <v>3</v>
      </c>
      <c r="F3833" s="2" t="s">
        <v>10086</v>
      </c>
      <c r="H3833" s="3">
        <v>5.0000000000000001E-4</v>
      </c>
      <c r="K3833" s="2" t="s">
        <v>12324</v>
      </c>
    </row>
    <row r="3834" spans="1:11" x14ac:dyDescent="0.2">
      <c r="A3834" s="2">
        <v>959</v>
      </c>
      <c r="B3834" s="2">
        <v>6</v>
      </c>
      <c r="C3834" s="2">
        <v>31250557</v>
      </c>
      <c r="D3834" s="2">
        <v>31320268</v>
      </c>
      <c r="E3834" s="2">
        <v>4</v>
      </c>
      <c r="F3834" s="2" t="s">
        <v>10086</v>
      </c>
      <c r="H3834" s="3">
        <v>2.9999999999999997E-4</v>
      </c>
      <c r="K3834" s="2" t="s">
        <v>10087</v>
      </c>
    </row>
    <row r="3835" spans="1:11" x14ac:dyDescent="0.2">
      <c r="A3835" s="2">
        <v>960</v>
      </c>
      <c r="B3835" s="2">
        <v>6</v>
      </c>
      <c r="C3835" s="2">
        <v>31320269</v>
      </c>
      <c r="D3835" s="2">
        <v>31427209</v>
      </c>
      <c r="E3835" s="2">
        <v>1</v>
      </c>
      <c r="F3835" s="2" t="s">
        <v>10086</v>
      </c>
      <c r="H3835" s="3">
        <v>8.0000000000000004E-4</v>
      </c>
      <c r="K3835" s="2" t="s">
        <v>10088</v>
      </c>
    </row>
    <row r="3836" spans="1:11" x14ac:dyDescent="0.2">
      <c r="A3836" s="2">
        <v>960</v>
      </c>
      <c r="B3836" s="2">
        <v>6</v>
      </c>
      <c r="C3836" s="2">
        <v>31320269</v>
      </c>
      <c r="D3836" s="2">
        <v>31427209</v>
      </c>
      <c r="E3836" s="2">
        <v>2</v>
      </c>
      <c r="F3836" s="2" t="s">
        <v>10086</v>
      </c>
      <c r="H3836" s="3">
        <v>5.9999999999999995E-4</v>
      </c>
      <c r="K3836" s="2" t="s">
        <v>12324</v>
      </c>
    </row>
    <row r="3837" spans="1:11" x14ac:dyDescent="0.2">
      <c r="A3837" s="2">
        <v>960</v>
      </c>
      <c r="B3837" s="2">
        <v>6</v>
      </c>
      <c r="C3837" s="2">
        <v>31320269</v>
      </c>
      <c r="D3837" s="2">
        <v>31427209</v>
      </c>
      <c r="E3837" s="2">
        <v>3</v>
      </c>
      <c r="F3837" s="2" t="s">
        <v>10086</v>
      </c>
      <c r="H3837" s="3">
        <v>5.0000000000000001E-4</v>
      </c>
      <c r="K3837" s="2" t="s">
        <v>10089</v>
      </c>
    </row>
    <row r="3838" spans="1:11" x14ac:dyDescent="0.2">
      <c r="A3838" s="2">
        <v>960</v>
      </c>
      <c r="B3838" s="2">
        <v>6</v>
      </c>
      <c r="C3838" s="2">
        <v>31320269</v>
      </c>
      <c r="D3838" s="2">
        <v>31427209</v>
      </c>
      <c r="E3838" s="2">
        <v>4</v>
      </c>
      <c r="F3838" s="2" t="s">
        <v>10086</v>
      </c>
      <c r="H3838" s="3">
        <v>2.9999999999999997E-4</v>
      </c>
      <c r="K3838" s="2" t="s">
        <v>10087</v>
      </c>
    </row>
    <row r="3839" spans="1:11" x14ac:dyDescent="0.2">
      <c r="A3839" s="2">
        <v>961</v>
      </c>
      <c r="B3839" s="2">
        <v>6</v>
      </c>
      <c r="C3839" s="2">
        <v>31427210</v>
      </c>
      <c r="D3839" s="2">
        <v>32208901</v>
      </c>
      <c r="E3839" s="2">
        <v>1</v>
      </c>
      <c r="F3839" s="2" t="s">
        <v>10086</v>
      </c>
      <c r="H3839" s="2">
        <v>1.0699999999999999E-2</v>
      </c>
      <c r="K3839" s="2" t="s">
        <v>12324</v>
      </c>
    </row>
    <row r="3840" spans="1:11" x14ac:dyDescent="0.2">
      <c r="A3840" s="2">
        <v>961</v>
      </c>
      <c r="B3840" s="2">
        <v>6</v>
      </c>
      <c r="C3840" s="2">
        <v>31427210</v>
      </c>
      <c r="D3840" s="2">
        <v>32208901</v>
      </c>
      <c r="E3840" s="2">
        <v>2</v>
      </c>
      <c r="F3840" s="2" t="s">
        <v>10086</v>
      </c>
      <c r="H3840" s="2">
        <v>1.4E-3</v>
      </c>
      <c r="K3840" s="2" t="s">
        <v>10089</v>
      </c>
    </row>
    <row r="3841" spans="1:11" x14ac:dyDescent="0.2">
      <c r="A3841" s="2">
        <v>961</v>
      </c>
      <c r="B3841" s="2">
        <v>6</v>
      </c>
      <c r="C3841" s="2">
        <v>31427210</v>
      </c>
      <c r="D3841" s="2">
        <v>32208901</v>
      </c>
      <c r="E3841" s="2">
        <v>3</v>
      </c>
      <c r="F3841" s="2" t="s">
        <v>10086</v>
      </c>
      <c r="H3841" s="2">
        <v>1.1999999999999999E-3</v>
      </c>
      <c r="K3841" s="2" t="s">
        <v>10087</v>
      </c>
    </row>
    <row r="3842" spans="1:11" x14ac:dyDescent="0.2">
      <c r="A3842" s="2">
        <v>961</v>
      </c>
      <c r="B3842" s="2">
        <v>6</v>
      </c>
      <c r="C3842" s="2">
        <v>31427210</v>
      </c>
      <c r="D3842" s="2">
        <v>32208901</v>
      </c>
      <c r="E3842" s="2">
        <v>4</v>
      </c>
      <c r="F3842" s="2" t="s">
        <v>10086</v>
      </c>
      <c r="H3842" s="2">
        <v>1E-3</v>
      </c>
      <c r="K3842" s="2" t="s">
        <v>10085</v>
      </c>
    </row>
    <row r="3843" spans="1:11" x14ac:dyDescent="0.2">
      <c r="A3843" s="2">
        <v>962</v>
      </c>
      <c r="B3843" s="2">
        <v>6</v>
      </c>
      <c r="C3843" s="2">
        <v>32208902</v>
      </c>
      <c r="D3843" s="2">
        <v>32454577</v>
      </c>
      <c r="E3843" s="2">
        <v>1</v>
      </c>
      <c r="F3843" s="2" t="s">
        <v>10086</v>
      </c>
      <c r="H3843" s="2">
        <v>9.1000000000000004E-3</v>
      </c>
      <c r="K3843" s="2" t="s">
        <v>12324</v>
      </c>
    </row>
    <row r="3844" spans="1:11" x14ac:dyDescent="0.2">
      <c r="A3844" s="2">
        <v>962</v>
      </c>
      <c r="B3844" s="2">
        <v>6</v>
      </c>
      <c r="C3844" s="2">
        <v>32208902</v>
      </c>
      <c r="D3844" s="2">
        <v>32454577</v>
      </c>
      <c r="E3844" s="2">
        <v>2</v>
      </c>
      <c r="F3844" s="2" t="s">
        <v>10086</v>
      </c>
      <c r="H3844" s="2">
        <v>1.6999999999999999E-3</v>
      </c>
      <c r="K3844" s="2" t="s">
        <v>10089</v>
      </c>
    </row>
    <row r="3845" spans="1:11" x14ac:dyDescent="0.2">
      <c r="A3845" s="2">
        <v>962</v>
      </c>
      <c r="B3845" s="2">
        <v>6</v>
      </c>
      <c r="C3845" s="2">
        <v>32208902</v>
      </c>
      <c r="D3845" s="2">
        <v>32454577</v>
      </c>
      <c r="E3845" s="2">
        <v>3</v>
      </c>
      <c r="F3845" s="2" t="s">
        <v>10086</v>
      </c>
      <c r="H3845" s="2">
        <v>1E-3</v>
      </c>
      <c r="K3845" s="2" t="s">
        <v>10088</v>
      </c>
    </row>
    <row r="3846" spans="1:11" x14ac:dyDescent="0.2">
      <c r="A3846" s="2">
        <v>962</v>
      </c>
      <c r="B3846" s="2">
        <v>6</v>
      </c>
      <c r="C3846" s="2">
        <v>32208902</v>
      </c>
      <c r="D3846" s="2">
        <v>32454577</v>
      </c>
      <c r="E3846" s="2">
        <v>4</v>
      </c>
      <c r="F3846" s="2" t="s">
        <v>10086</v>
      </c>
      <c r="H3846" s="3">
        <v>5.0000000000000001E-4</v>
      </c>
      <c r="K3846" s="2" t="s">
        <v>10087</v>
      </c>
    </row>
    <row r="3847" spans="1:11" x14ac:dyDescent="0.2">
      <c r="A3847" s="2">
        <v>963</v>
      </c>
      <c r="B3847" s="2">
        <v>6</v>
      </c>
      <c r="C3847" s="2">
        <v>32454578</v>
      </c>
      <c r="D3847" s="2">
        <v>32539567</v>
      </c>
      <c r="E3847" s="2">
        <v>1</v>
      </c>
      <c r="F3847" s="2" t="s">
        <v>10086</v>
      </c>
      <c r="H3847" s="2">
        <v>1.8E-3</v>
      </c>
      <c r="K3847" s="2" t="s">
        <v>12324</v>
      </c>
    </row>
    <row r="3848" spans="1:11" x14ac:dyDescent="0.2">
      <c r="A3848" s="2">
        <v>963</v>
      </c>
      <c r="B3848" s="2">
        <v>6</v>
      </c>
      <c r="C3848" s="2">
        <v>32454578</v>
      </c>
      <c r="D3848" s="2">
        <v>32539567</v>
      </c>
      <c r="E3848" s="2">
        <v>2</v>
      </c>
      <c r="F3848" s="2" t="s">
        <v>10086</v>
      </c>
      <c r="H3848" s="3">
        <v>8.9999999999999998E-4</v>
      </c>
      <c r="K3848" s="2" t="s">
        <v>10088</v>
      </c>
    </row>
    <row r="3849" spans="1:11" x14ac:dyDescent="0.2">
      <c r="A3849" s="2">
        <v>963</v>
      </c>
      <c r="B3849" s="2">
        <v>6</v>
      </c>
      <c r="C3849" s="2">
        <v>32454578</v>
      </c>
      <c r="D3849" s="2">
        <v>32539567</v>
      </c>
      <c r="E3849" s="2">
        <v>3</v>
      </c>
      <c r="F3849" s="2" t="s">
        <v>10086</v>
      </c>
      <c r="H3849" s="3">
        <v>2.9999999999999997E-4</v>
      </c>
      <c r="K3849" s="2" t="s">
        <v>10085</v>
      </c>
    </row>
    <row r="3850" spans="1:11" x14ac:dyDescent="0.2">
      <c r="A3850" s="2">
        <v>963</v>
      </c>
      <c r="B3850" s="2">
        <v>6</v>
      </c>
      <c r="C3850" s="2">
        <v>32454578</v>
      </c>
      <c r="D3850" s="2">
        <v>32539567</v>
      </c>
      <c r="E3850" s="2">
        <v>4</v>
      </c>
      <c r="F3850" s="2" t="s">
        <v>10086</v>
      </c>
      <c r="H3850" s="3">
        <v>2.0000000000000001E-4</v>
      </c>
      <c r="K3850" s="2" t="s">
        <v>10089</v>
      </c>
    </row>
    <row r="3851" spans="1:11" x14ac:dyDescent="0.2">
      <c r="A3851" s="2">
        <v>964</v>
      </c>
      <c r="B3851" s="2">
        <v>6</v>
      </c>
      <c r="C3851" s="2">
        <v>32539568</v>
      </c>
      <c r="D3851" s="2">
        <v>32586784</v>
      </c>
      <c r="E3851" s="2">
        <v>1</v>
      </c>
      <c r="F3851" s="2" t="s">
        <v>10086</v>
      </c>
      <c r="H3851" s="2">
        <v>1.2699999999999999E-2</v>
      </c>
      <c r="K3851" s="2" t="s">
        <v>12324</v>
      </c>
    </row>
    <row r="3852" spans="1:11" x14ac:dyDescent="0.2">
      <c r="A3852" s="2">
        <v>964</v>
      </c>
      <c r="B3852" s="2">
        <v>6</v>
      </c>
      <c r="C3852" s="2">
        <v>32539568</v>
      </c>
      <c r="D3852" s="2">
        <v>32586784</v>
      </c>
      <c r="E3852" s="2">
        <v>2</v>
      </c>
      <c r="F3852" s="2" t="s">
        <v>10086</v>
      </c>
      <c r="H3852" s="2">
        <v>2.2000000000000001E-3</v>
      </c>
      <c r="K3852" s="2" t="s">
        <v>10088</v>
      </c>
    </row>
    <row r="3853" spans="1:11" x14ac:dyDescent="0.2">
      <c r="A3853" s="2">
        <v>964</v>
      </c>
      <c r="B3853" s="2">
        <v>6</v>
      </c>
      <c r="C3853" s="2">
        <v>32539568</v>
      </c>
      <c r="D3853" s="2">
        <v>32586784</v>
      </c>
      <c r="E3853" s="2">
        <v>3</v>
      </c>
      <c r="F3853" s="2" t="s">
        <v>10086</v>
      </c>
      <c r="H3853" s="2">
        <v>1.2999999999999999E-3</v>
      </c>
      <c r="K3853" s="2" t="s">
        <v>10089</v>
      </c>
    </row>
    <row r="3854" spans="1:11" x14ac:dyDescent="0.2">
      <c r="A3854" s="2">
        <v>964</v>
      </c>
      <c r="B3854" s="2">
        <v>6</v>
      </c>
      <c r="C3854" s="2">
        <v>32539568</v>
      </c>
      <c r="D3854" s="2">
        <v>32586784</v>
      </c>
      <c r="E3854" s="2">
        <v>4</v>
      </c>
      <c r="F3854" s="2" t="s">
        <v>10086</v>
      </c>
      <c r="H3854" s="3">
        <v>4.0000000000000002E-4</v>
      </c>
      <c r="K3854" s="2" t="s">
        <v>10085</v>
      </c>
    </row>
    <row r="3855" spans="1:11" x14ac:dyDescent="0.2">
      <c r="A3855" s="2">
        <v>965</v>
      </c>
      <c r="B3855" s="2">
        <v>6</v>
      </c>
      <c r="C3855" s="2">
        <v>32586785</v>
      </c>
      <c r="D3855" s="2">
        <v>32629239</v>
      </c>
      <c r="E3855" s="2">
        <v>1</v>
      </c>
      <c r="F3855" s="2" t="s">
        <v>10086</v>
      </c>
      <c r="H3855" s="2">
        <v>1.1599999999999999E-2</v>
      </c>
      <c r="K3855" s="2" t="s">
        <v>12324</v>
      </c>
    </row>
    <row r="3856" spans="1:11" x14ac:dyDescent="0.2">
      <c r="A3856" s="2">
        <v>965</v>
      </c>
      <c r="B3856" s="2">
        <v>6</v>
      </c>
      <c r="C3856" s="2">
        <v>32586785</v>
      </c>
      <c r="D3856" s="2">
        <v>32629239</v>
      </c>
      <c r="E3856" s="2">
        <v>2</v>
      </c>
      <c r="F3856" s="2" t="s">
        <v>10086</v>
      </c>
      <c r="H3856" s="2">
        <v>2.5999999999999999E-3</v>
      </c>
      <c r="K3856" s="2" t="s">
        <v>10085</v>
      </c>
    </row>
    <row r="3857" spans="1:11" x14ac:dyDescent="0.2">
      <c r="A3857" s="2">
        <v>965</v>
      </c>
      <c r="B3857" s="2">
        <v>6</v>
      </c>
      <c r="C3857" s="2">
        <v>32586785</v>
      </c>
      <c r="D3857" s="2">
        <v>32629239</v>
      </c>
      <c r="E3857" s="2">
        <v>3</v>
      </c>
      <c r="F3857" s="2" t="s">
        <v>10086</v>
      </c>
      <c r="H3857" s="2">
        <v>1.9E-3</v>
      </c>
      <c r="K3857" s="2" t="s">
        <v>10088</v>
      </c>
    </row>
    <row r="3858" spans="1:11" x14ac:dyDescent="0.2">
      <c r="A3858" s="2">
        <v>965</v>
      </c>
      <c r="B3858" s="2">
        <v>6</v>
      </c>
      <c r="C3858" s="2">
        <v>32586785</v>
      </c>
      <c r="D3858" s="2">
        <v>32629239</v>
      </c>
      <c r="E3858" s="2">
        <v>4</v>
      </c>
      <c r="F3858" s="2" t="s">
        <v>10086</v>
      </c>
      <c r="H3858" s="2">
        <v>1.4E-3</v>
      </c>
      <c r="K3858" s="2" t="s">
        <v>10089</v>
      </c>
    </row>
    <row r="3859" spans="1:11" x14ac:dyDescent="0.2">
      <c r="A3859" s="2">
        <v>966</v>
      </c>
      <c r="B3859" s="2">
        <v>6</v>
      </c>
      <c r="C3859" s="2">
        <v>32629240</v>
      </c>
      <c r="D3859" s="2">
        <v>32682213</v>
      </c>
      <c r="E3859" s="2">
        <v>1</v>
      </c>
      <c r="F3859" s="2" t="s">
        <v>10086</v>
      </c>
      <c r="H3859" s="2">
        <v>8.9999999999999993E-3</v>
      </c>
      <c r="K3859" s="2" t="s">
        <v>12324</v>
      </c>
    </row>
    <row r="3860" spans="1:11" x14ac:dyDescent="0.2">
      <c r="A3860" s="2">
        <v>966</v>
      </c>
      <c r="B3860" s="2">
        <v>6</v>
      </c>
      <c r="C3860" s="2">
        <v>32629240</v>
      </c>
      <c r="D3860" s="2">
        <v>32682213</v>
      </c>
      <c r="E3860" s="2">
        <v>2</v>
      </c>
      <c r="F3860" s="2" t="s">
        <v>10086</v>
      </c>
      <c r="H3860" s="2">
        <v>1.1000000000000001E-3</v>
      </c>
      <c r="K3860" s="2" t="s">
        <v>10089</v>
      </c>
    </row>
    <row r="3861" spans="1:11" x14ac:dyDescent="0.2">
      <c r="A3861" s="2">
        <v>966</v>
      </c>
      <c r="B3861" s="2">
        <v>6</v>
      </c>
      <c r="C3861" s="2">
        <v>32629240</v>
      </c>
      <c r="D3861" s="2">
        <v>32682213</v>
      </c>
      <c r="E3861" s="2">
        <v>3</v>
      </c>
      <c r="F3861" s="2" t="s">
        <v>10086</v>
      </c>
      <c r="H3861" s="3">
        <v>8.9999999999999998E-4</v>
      </c>
      <c r="K3861" s="2" t="s">
        <v>10085</v>
      </c>
    </row>
    <row r="3862" spans="1:11" x14ac:dyDescent="0.2">
      <c r="A3862" s="2">
        <v>966</v>
      </c>
      <c r="B3862" s="2">
        <v>6</v>
      </c>
      <c r="C3862" s="2">
        <v>32629240</v>
      </c>
      <c r="D3862" s="2">
        <v>32682213</v>
      </c>
      <c r="E3862" s="2">
        <v>4</v>
      </c>
      <c r="F3862" s="2" t="s">
        <v>10086</v>
      </c>
      <c r="H3862" s="3">
        <v>4.0000000000000002E-4</v>
      </c>
      <c r="K3862" s="2" t="s">
        <v>10087</v>
      </c>
    </row>
    <row r="3863" spans="1:11" x14ac:dyDescent="0.2">
      <c r="A3863" s="2">
        <v>967</v>
      </c>
      <c r="B3863" s="2">
        <v>6</v>
      </c>
      <c r="C3863" s="2">
        <v>32682214</v>
      </c>
      <c r="D3863" s="2">
        <v>32897998</v>
      </c>
      <c r="E3863" s="2">
        <v>1</v>
      </c>
      <c r="F3863" s="2" t="s">
        <v>10086</v>
      </c>
      <c r="H3863" s="2">
        <v>7.6E-3</v>
      </c>
      <c r="K3863" s="2" t="s">
        <v>12324</v>
      </c>
    </row>
    <row r="3864" spans="1:11" x14ac:dyDescent="0.2">
      <c r="A3864" s="2">
        <v>967</v>
      </c>
      <c r="B3864" s="2">
        <v>6</v>
      </c>
      <c r="C3864" s="2">
        <v>32682214</v>
      </c>
      <c r="D3864" s="2">
        <v>32897998</v>
      </c>
      <c r="E3864" s="2">
        <v>2</v>
      </c>
      <c r="F3864" s="2" t="s">
        <v>10086</v>
      </c>
      <c r="H3864" s="2">
        <v>1.6000000000000001E-3</v>
      </c>
      <c r="K3864" s="2" t="s">
        <v>10088</v>
      </c>
    </row>
    <row r="3865" spans="1:11" x14ac:dyDescent="0.2">
      <c r="A3865" s="2">
        <v>967</v>
      </c>
      <c r="B3865" s="2">
        <v>6</v>
      </c>
      <c r="C3865" s="2">
        <v>32682214</v>
      </c>
      <c r="D3865" s="2">
        <v>32897998</v>
      </c>
      <c r="E3865" s="2">
        <v>3</v>
      </c>
      <c r="F3865" s="2" t="s">
        <v>10086</v>
      </c>
      <c r="H3865" s="3">
        <v>5.0000000000000001E-4</v>
      </c>
      <c r="K3865" s="2" t="s">
        <v>10087</v>
      </c>
    </row>
    <row r="3866" spans="1:11" x14ac:dyDescent="0.2">
      <c r="A3866" s="2">
        <v>967</v>
      </c>
      <c r="B3866" s="2">
        <v>6</v>
      </c>
      <c r="C3866" s="2">
        <v>32682214</v>
      </c>
      <c r="D3866" s="2">
        <v>32897998</v>
      </c>
      <c r="E3866" s="2">
        <v>4</v>
      </c>
      <c r="F3866" s="2" t="s">
        <v>10086</v>
      </c>
      <c r="H3866" s="3">
        <v>5.0000000000000001E-4</v>
      </c>
      <c r="K3866" s="2" t="s">
        <v>10085</v>
      </c>
    </row>
    <row r="3867" spans="1:11" x14ac:dyDescent="0.2">
      <c r="A3867" s="2">
        <v>968</v>
      </c>
      <c r="B3867" s="2">
        <v>6</v>
      </c>
      <c r="C3867" s="2">
        <v>32897999</v>
      </c>
      <c r="D3867" s="2">
        <v>33194975</v>
      </c>
      <c r="E3867" s="2">
        <v>1</v>
      </c>
      <c r="F3867" s="2" t="s">
        <v>10086</v>
      </c>
      <c r="H3867" s="3">
        <v>8.0000000000000004E-4</v>
      </c>
      <c r="K3867" s="2" t="s">
        <v>10088</v>
      </c>
    </row>
    <row r="3868" spans="1:11" x14ac:dyDescent="0.2">
      <c r="A3868" s="2">
        <v>968</v>
      </c>
      <c r="B3868" s="2">
        <v>6</v>
      </c>
      <c r="C3868" s="2">
        <v>32897999</v>
      </c>
      <c r="D3868" s="2">
        <v>33194975</v>
      </c>
      <c r="E3868" s="2">
        <v>2</v>
      </c>
      <c r="F3868" s="2" t="s">
        <v>10086</v>
      </c>
      <c r="H3868" s="2">
        <v>1.4E-3</v>
      </c>
      <c r="K3868" s="2" t="s">
        <v>10089</v>
      </c>
    </row>
    <row r="3869" spans="1:11" x14ac:dyDescent="0.2">
      <c r="A3869" s="2">
        <v>968</v>
      </c>
      <c r="B3869" s="2">
        <v>6</v>
      </c>
      <c r="C3869" s="2">
        <v>32897999</v>
      </c>
      <c r="D3869" s="2">
        <v>33194975</v>
      </c>
      <c r="E3869" s="2">
        <v>3</v>
      </c>
      <c r="F3869" s="2" t="s">
        <v>10086</v>
      </c>
      <c r="H3869" s="3">
        <v>5.0000000000000001E-4</v>
      </c>
      <c r="K3869" s="2" t="s">
        <v>10087</v>
      </c>
    </row>
    <row r="3870" spans="1:11" x14ac:dyDescent="0.2">
      <c r="A3870" s="2">
        <v>968</v>
      </c>
      <c r="B3870" s="2">
        <v>6</v>
      </c>
      <c r="C3870" s="2">
        <v>32897999</v>
      </c>
      <c r="D3870" s="2">
        <v>33194975</v>
      </c>
      <c r="E3870" s="2">
        <v>4</v>
      </c>
      <c r="F3870" s="2" t="s">
        <v>10086</v>
      </c>
      <c r="H3870" s="3">
        <v>2.0000000000000001E-4</v>
      </c>
      <c r="K3870" s="2" t="s">
        <v>10085</v>
      </c>
    </row>
    <row r="3871" spans="1:11" x14ac:dyDescent="0.2">
      <c r="A3871" s="2">
        <v>969</v>
      </c>
      <c r="B3871" s="2">
        <v>6</v>
      </c>
      <c r="C3871" s="2">
        <v>33194976</v>
      </c>
      <c r="D3871" s="2">
        <v>33864262</v>
      </c>
      <c r="E3871" s="2">
        <v>1</v>
      </c>
      <c r="F3871" s="2" t="s">
        <v>10086</v>
      </c>
      <c r="H3871" s="2">
        <v>3.7000000000000002E-3</v>
      </c>
      <c r="K3871" s="2" t="s">
        <v>10087</v>
      </c>
    </row>
    <row r="3872" spans="1:11" x14ac:dyDescent="0.2">
      <c r="A3872" s="2">
        <v>969</v>
      </c>
      <c r="B3872" s="2">
        <v>6</v>
      </c>
      <c r="C3872" s="2">
        <v>33194976</v>
      </c>
      <c r="D3872" s="2">
        <v>33864262</v>
      </c>
      <c r="E3872" s="2">
        <v>2</v>
      </c>
      <c r="F3872" s="2" t="s">
        <v>10086</v>
      </c>
      <c r="H3872" s="2">
        <v>1E-3</v>
      </c>
      <c r="K3872" s="2" t="s">
        <v>10089</v>
      </c>
    </row>
    <row r="3873" spans="1:11" x14ac:dyDescent="0.2">
      <c r="A3873" s="2">
        <v>969</v>
      </c>
      <c r="B3873" s="2">
        <v>6</v>
      </c>
      <c r="C3873" s="2">
        <v>33194976</v>
      </c>
      <c r="D3873" s="2">
        <v>33864262</v>
      </c>
      <c r="E3873" s="2">
        <v>3</v>
      </c>
      <c r="F3873" s="2" t="s">
        <v>10086</v>
      </c>
      <c r="H3873" s="3">
        <v>5.0000000000000001E-4</v>
      </c>
      <c r="K3873" s="2" t="s">
        <v>10088</v>
      </c>
    </row>
    <row r="3874" spans="1:11" x14ac:dyDescent="0.2">
      <c r="A3874" s="2">
        <v>969</v>
      </c>
      <c r="B3874" s="2">
        <v>6</v>
      </c>
      <c r="C3874" s="2">
        <v>33194976</v>
      </c>
      <c r="D3874" s="2">
        <v>33864262</v>
      </c>
      <c r="E3874" s="2">
        <v>4</v>
      </c>
      <c r="F3874" s="2" t="s">
        <v>10086</v>
      </c>
      <c r="H3874" s="3">
        <v>2.9999999999999997E-4</v>
      </c>
      <c r="K3874" s="2" t="s">
        <v>10085</v>
      </c>
    </row>
    <row r="3875" spans="1:11" x14ac:dyDescent="0.2">
      <c r="A3875" s="2">
        <v>970</v>
      </c>
      <c r="B3875" s="2">
        <v>6</v>
      </c>
      <c r="C3875" s="2">
        <v>33864263</v>
      </c>
      <c r="D3875" s="2">
        <v>34979270</v>
      </c>
      <c r="E3875" s="2">
        <v>1</v>
      </c>
      <c r="F3875" s="2" t="s">
        <v>10086</v>
      </c>
      <c r="H3875" s="2">
        <v>3.5999999999999999E-3</v>
      </c>
      <c r="K3875" s="2" t="s">
        <v>10088</v>
      </c>
    </row>
    <row r="3876" spans="1:11" x14ac:dyDescent="0.2">
      <c r="A3876" s="2">
        <v>970</v>
      </c>
      <c r="B3876" s="2">
        <v>6</v>
      </c>
      <c r="C3876" s="2">
        <v>33864263</v>
      </c>
      <c r="D3876" s="2">
        <v>34979270</v>
      </c>
      <c r="E3876" s="2">
        <v>2</v>
      </c>
      <c r="F3876" s="2" t="s">
        <v>10086</v>
      </c>
      <c r="H3876" s="2">
        <v>1.4E-3</v>
      </c>
      <c r="K3876" s="2" t="s">
        <v>10085</v>
      </c>
    </row>
    <row r="3877" spans="1:11" x14ac:dyDescent="0.2">
      <c r="A3877" s="2">
        <v>970</v>
      </c>
      <c r="B3877" s="2">
        <v>6</v>
      </c>
      <c r="C3877" s="2">
        <v>33864263</v>
      </c>
      <c r="D3877" s="2">
        <v>34979270</v>
      </c>
      <c r="E3877" s="2">
        <v>3</v>
      </c>
      <c r="F3877" s="2" t="s">
        <v>10086</v>
      </c>
      <c r="H3877" s="2">
        <v>1.1999999999999999E-3</v>
      </c>
      <c r="K3877" s="2" t="s">
        <v>10089</v>
      </c>
    </row>
    <row r="3878" spans="1:11" x14ac:dyDescent="0.2">
      <c r="A3878" s="2">
        <v>970</v>
      </c>
      <c r="B3878" s="2">
        <v>6</v>
      </c>
      <c r="C3878" s="2">
        <v>33864263</v>
      </c>
      <c r="D3878" s="2">
        <v>34979270</v>
      </c>
      <c r="E3878" s="2">
        <v>4</v>
      </c>
      <c r="F3878" s="2" t="s">
        <v>10086</v>
      </c>
      <c r="H3878" s="2">
        <v>1E-3</v>
      </c>
      <c r="K3878" s="2" t="s">
        <v>12324</v>
      </c>
    </row>
    <row r="3879" spans="1:11" x14ac:dyDescent="0.2">
      <c r="A3879" s="2">
        <v>971</v>
      </c>
      <c r="B3879" s="2">
        <v>6</v>
      </c>
      <c r="C3879" s="2">
        <v>34979271</v>
      </c>
      <c r="D3879" s="2">
        <v>36346353</v>
      </c>
      <c r="E3879" s="2">
        <v>1</v>
      </c>
      <c r="F3879" s="2" t="s">
        <v>10086</v>
      </c>
      <c r="H3879" s="2">
        <v>1.2999999999999999E-3</v>
      </c>
      <c r="K3879" s="2" t="s">
        <v>10088</v>
      </c>
    </row>
    <row r="3880" spans="1:11" x14ac:dyDescent="0.2">
      <c r="A3880" s="2">
        <v>971</v>
      </c>
      <c r="B3880" s="2">
        <v>6</v>
      </c>
      <c r="C3880" s="2">
        <v>34979271</v>
      </c>
      <c r="D3880" s="2">
        <v>36346353</v>
      </c>
      <c r="E3880" s="2">
        <v>2</v>
      </c>
      <c r="F3880" s="2" t="s">
        <v>10086</v>
      </c>
      <c r="H3880" s="2">
        <v>1E-3</v>
      </c>
      <c r="K3880" s="2" t="s">
        <v>10089</v>
      </c>
    </row>
    <row r="3881" spans="1:11" x14ac:dyDescent="0.2">
      <c r="A3881" s="2">
        <v>971</v>
      </c>
      <c r="B3881" s="2">
        <v>6</v>
      </c>
      <c r="C3881" s="2">
        <v>34979271</v>
      </c>
      <c r="D3881" s="2">
        <v>36346353</v>
      </c>
      <c r="E3881" s="2">
        <v>3</v>
      </c>
      <c r="F3881" s="2" t="s">
        <v>10086</v>
      </c>
      <c r="H3881" s="2">
        <v>1E-3</v>
      </c>
      <c r="K3881" s="2" t="s">
        <v>10087</v>
      </c>
    </row>
    <row r="3882" spans="1:11" x14ac:dyDescent="0.2">
      <c r="A3882" s="2">
        <v>971</v>
      </c>
      <c r="B3882" s="2">
        <v>6</v>
      </c>
      <c r="C3882" s="2">
        <v>34979271</v>
      </c>
      <c r="D3882" s="2">
        <v>36346353</v>
      </c>
      <c r="E3882" s="2">
        <v>4</v>
      </c>
      <c r="F3882" s="2" t="s">
        <v>10086</v>
      </c>
      <c r="H3882" s="3">
        <v>5.9999999999999995E-4</v>
      </c>
      <c r="K3882" s="2" t="s">
        <v>10085</v>
      </c>
    </row>
    <row r="3883" spans="1:11" x14ac:dyDescent="0.2">
      <c r="A3883" s="2">
        <v>972</v>
      </c>
      <c r="B3883" s="2">
        <v>6</v>
      </c>
      <c r="C3883" s="2">
        <v>36346354</v>
      </c>
      <c r="D3883" s="2">
        <v>37570051</v>
      </c>
      <c r="E3883" s="2">
        <v>1</v>
      </c>
      <c r="F3883" s="2" t="s">
        <v>10086</v>
      </c>
      <c r="H3883" s="2">
        <v>1.2999999999999999E-3</v>
      </c>
      <c r="K3883" s="2" t="s">
        <v>10087</v>
      </c>
    </row>
    <row r="3884" spans="1:11" x14ac:dyDescent="0.2">
      <c r="A3884" s="2">
        <v>972</v>
      </c>
      <c r="B3884" s="2">
        <v>6</v>
      </c>
      <c r="C3884" s="2">
        <v>36346354</v>
      </c>
      <c r="D3884" s="2">
        <v>37570051</v>
      </c>
      <c r="E3884" s="2">
        <v>2</v>
      </c>
      <c r="F3884" s="2" t="s">
        <v>10086</v>
      </c>
      <c r="H3884" s="2">
        <v>1.1000000000000001E-3</v>
      </c>
      <c r="K3884" s="2" t="s">
        <v>10089</v>
      </c>
    </row>
    <row r="3885" spans="1:11" x14ac:dyDescent="0.2">
      <c r="A3885" s="2">
        <v>972</v>
      </c>
      <c r="B3885" s="2">
        <v>6</v>
      </c>
      <c r="C3885" s="2">
        <v>36346354</v>
      </c>
      <c r="D3885" s="2">
        <v>37570051</v>
      </c>
      <c r="E3885" s="2">
        <v>3</v>
      </c>
      <c r="F3885" s="2" t="s">
        <v>10086</v>
      </c>
      <c r="H3885" s="3">
        <v>8.9999999999999998E-4</v>
      </c>
      <c r="K3885" s="2" t="s">
        <v>10085</v>
      </c>
    </row>
    <row r="3886" spans="1:11" x14ac:dyDescent="0.2">
      <c r="A3886" s="2">
        <v>972</v>
      </c>
      <c r="B3886" s="2">
        <v>6</v>
      </c>
      <c r="C3886" s="2">
        <v>36346354</v>
      </c>
      <c r="D3886" s="2">
        <v>37570051</v>
      </c>
      <c r="E3886" s="2">
        <v>4</v>
      </c>
      <c r="F3886" s="2" t="s">
        <v>10086</v>
      </c>
      <c r="H3886" s="3">
        <v>5.0000000000000001E-4</v>
      </c>
      <c r="K3886" s="2" t="s">
        <v>10088</v>
      </c>
    </row>
    <row r="3887" spans="1:11" x14ac:dyDescent="0.2">
      <c r="A3887" s="2">
        <v>973</v>
      </c>
      <c r="B3887" s="2">
        <v>6</v>
      </c>
      <c r="C3887" s="2">
        <v>37570052</v>
      </c>
      <c r="D3887" s="2">
        <v>38688720</v>
      </c>
      <c r="E3887" s="2">
        <v>1</v>
      </c>
      <c r="F3887" s="2" t="s">
        <v>10086</v>
      </c>
      <c r="H3887" s="2">
        <v>2.7000000000000001E-3</v>
      </c>
      <c r="K3887" s="2" t="s">
        <v>10087</v>
      </c>
    </row>
    <row r="3888" spans="1:11" x14ac:dyDescent="0.2">
      <c r="A3888" s="2">
        <v>973</v>
      </c>
      <c r="B3888" s="2">
        <v>6</v>
      </c>
      <c r="C3888" s="2">
        <v>37570052</v>
      </c>
      <c r="D3888" s="2">
        <v>38688720</v>
      </c>
      <c r="E3888" s="2">
        <v>2</v>
      </c>
      <c r="F3888" s="2" t="s">
        <v>10086</v>
      </c>
      <c r="H3888" s="2">
        <v>1.6999999999999999E-3</v>
      </c>
      <c r="K3888" s="2" t="s">
        <v>10088</v>
      </c>
    </row>
    <row r="3889" spans="1:11" x14ac:dyDescent="0.2">
      <c r="A3889" s="2">
        <v>973</v>
      </c>
      <c r="B3889" s="2">
        <v>6</v>
      </c>
      <c r="C3889" s="2">
        <v>37570052</v>
      </c>
      <c r="D3889" s="2">
        <v>38688720</v>
      </c>
      <c r="E3889" s="2">
        <v>3</v>
      </c>
      <c r="F3889" s="2" t="s">
        <v>10086</v>
      </c>
      <c r="H3889" s="2">
        <v>2.0999999999999999E-3</v>
      </c>
      <c r="K3889" s="2" t="s">
        <v>10085</v>
      </c>
    </row>
    <row r="3890" spans="1:11" x14ac:dyDescent="0.2">
      <c r="A3890" s="2">
        <v>973</v>
      </c>
      <c r="B3890" s="2">
        <v>6</v>
      </c>
      <c r="C3890" s="2">
        <v>37570052</v>
      </c>
      <c r="D3890" s="2">
        <v>38688720</v>
      </c>
      <c r="E3890" s="2">
        <v>4</v>
      </c>
      <c r="F3890" s="2" t="s">
        <v>10086</v>
      </c>
      <c r="H3890" s="2">
        <v>1.1999999999999999E-3</v>
      </c>
      <c r="K3890" s="2" t="s">
        <v>10089</v>
      </c>
    </row>
    <row r="3891" spans="1:11" x14ac:dyDescent="0.2">
      <c r="A3891" s="2">
        <v>974</v>
      </c>
      <c r="B3891" s="2">
        <v>6</v>
      </c>
      <c r="C3891" s="2">
        <v>38688721</v>
      </c>
      <c r="D3891" s="2">
        <v>39785907</v>
      </c>
      <c r="E3891" s="2">
        <v>1</v>
      </c>
      <c r="F3891" s="2" t="s">
        <v>10086</v>
      </c>
      <c r="H3891" s="2">
        <v>7.7999999999999996E-3</v>
      </c>
      <c r="K3891" s="2" t="s">
        <v>10087</v>
      </c>
    </row>
    <row r="3892" spans="1:11" x14ac:dyDescent="0.2">
      <c r="A3892" s="2">
        <v>974</v>
      </c>
      <c r="B3892" s="2">
        <v>6</v>
      </c>
      <c r="C3892" s="2">
        <v>38688721</v>
      </c>
      <c r="D3892" s="2">
        <v>39785907</v>
      </c>
      <c r="E3892" s="2">
        <v>2</v>
      </c>
      <c r="F3892" s="2" t="s">
        <v>10086</v>
      </c>
      <c r="H3892" s="2">
        <v>1.8800000000000001E-2</v>
      </c>
      <c r="K3892" s="2" t="s">
        <v>10085</v>
      </c>
    </row>
    <row r="3893" spans="1:11" x14ac:dyDescent="0.2">
      <c r="A3893" s="2">
        <v>974</v>
      </c>
      <c r="B3893" s="2">
        <v>6</v>
      </c>
      <c r="C3893" s="2">
        <v>38688721</v>
      </c>
      <c r="D3893" s="2">
        <v>39785907</v>
      </c>
      <c r="E3893" s="2">
        <v>3</v>
      </c>
      <c r="F3893" s="2" t="s">
        <v>10086</v>
      </c>
      <c r="H3893" s="2">
        <v>2.0999999999999999E-3</v>
      </c>
      <c r="K3893" s="2" t="s">
        <v>10088</v>
      </c>
    </row>
    <row r="3894" spans="1:11" x14ac:dyDescent="0.2">
      <c r="A3894" s="2">
        <v>974</v>
      </c>
      <c r="B3894" s="2">
        <v>6</v>
      </c>
      <c r="C3894" s="2">
        <v>38688721</v>
      </c>
      <c r="D3894" s="2">
        <v>39785907</v>
      </c>
      <c r="E3894" s="2">
        <v>4</v>
      </c>
      <c r="F3894" s="2" t="s">
        <v>10086</v>
      </c>
      <c r="H3894" s="3">
        <v>5.9999999999999995E-4</v>
      </c>
      <c r="K3894" s="2" t="s">
        <v>10089</v>
      </c>
    </row>
    <row r="3895" spans="1:11" x14ac:dyDescent="0.2">
      <c r="A3895" s="2">
        <v>975</v>
      </c>
      <c r="B3895" s="2">
        <v>6</v>
      </c>
      <c r="C3895" s="2">
        <v>39785908</v>
      </c>
      <c r="D3895" s="2">
        <v>40778401</v>
      </c>
      <c r="E3895" s="2">
        <v>1</v>
      </c>
      <c r="F3895" s="2" t="s">
        <v>10086</v>
      </c>
      <c r="H3895" s="2">
        <v>2E-3</v>
      </c>
      <c r="K3895" s="2" t="s">
        <v>10087</v>
      </c>
    </row>
    <row r="3896" spans="1:11" x14ac:dyDescent="0.2">
      <c r="A3896" s="2">
        <v>975</v>
      </c>
      <c r="B3896" s="2">
        <v>6</v>
      </c>
      <c r="C3896" s="2">
        <v>39785908</v>
      </c>
      <c r="D3896" s="2">
        <v>40778401</v>
      </c>
      <c r="E3896" s="2">
        <v>2</v>
      </c>
      <c r="F3896" s="2" t="s">
        <v>10086</v>
      </c>
      <c r="H3896" s="2">
        <v>2.3E-3</v>
      </c>
      <c r="K3896" s="2" t="s">
        <v>10088</v>
      </c>
    </row>
    <row r="3897" spans="1:11" x14ac:dyDescent="0.2">
      <c r="A3897" s="2">
        <v>975</v>
      </c>
      <c r="B3897" s="2">
        <v>6</v>
      </c>
      <c r="C3897" s="2">
        <v>39785908</v>
      </c>
      <c r="D3897" s="2">
        <v>40778401</v>
      </c>
      <c r="E3897" s="2">
        <v>3</v>
      </c>
      <c r="F3897" s="2" t="s">
        <v>10086</v>
      </c>
      <c r="H3897" s="2">
        <v>1.1999999999999999E-3</v>
      </c>
      <c r="K3897" s="2" t="s">
        <v>10089</v>
      </c>
    </row>
    <row r="3898" spans="1:11" x14ac:dyDescent="0.2">
      <c r="A3898" s="2">
        <v>975</v>
      </c>
      <c r="B3898" s="2">
        <v>6</v>
      </c>
      <c r="C3898" s="2">
        <v>39785908</v>
      </c>
      <c r="D3898" s="2">
        <v>40778401</v>
      </c>
      <c r="E3898" s="2">
        <v>4</v>
      </c>
      <c r="F3898" s="2" t="s">
        <v>10086</v>
      </c>
      <c r="H3898" s="3">
        <v>5.9999999999999995E-4</v>
      </c>
      <c r="K3898" s="2" t="s">
        <v>10085</v>
      </c>
    </row>
    <row r="3899" spans="1:11" x14ac:dyDescent="0.2">
      <c r="A3899" s="2">
        <v>976</v>
      </c>
      <c r="B3899" s="2">
        <v>6</v>
      </c>
      <c r="C3899" s="2">
        <v>40778402</v>
      </c>
      <c r="D3899" s="2">
        <v>42103738</v>
      </c>
      <c r="E3899" s="2">
        <v>1</v>
      </c>
      <c r="F3899" s="2" t="s">
        <v>10086</v>
      </c>
      <c r="H3899" s="2">
        <v>6.7000000000000002E-3</v>
      </c>
      <c r="K3899" s="2" t="s">
        <v>10087</v>
      </c>
    </row>
    <row r="3900" spans="1:11" x14ac:dyDescent="0.2">
      <c r="A3900" s="2">
        <v>976</v>
      </c>
      <c r="B3900" s="2">
        <v>6</v>
      </c>
      <c r="C3900" s="2">
        <v>40778402</v>
      </c>
      <c r="D3900" s="2">
        <v>42103738</v>
      </c>
      <c r="E3900" s="2">
        <v>2</v>
      </c>
      <c r="F3900" s="2" t="s">
        <v>10086</v>
      </c>
      <c r="H3900" s="2">
        <v>4.7000000000000002E-3</v>
      </c>
      <c r="K3900" s="2" t="s">
        <v>10088</v>
      </c>
    </row>
    <row r="3901" spans="1:11" x14ac:dyDescent="0.2">
      <c r="A3901" s="2">
        <v>976</v>
      </c>
      <c r="B3901" s="2">
        <v>6</v>
      </c>
      <c r="C3901" s="2">
        <v>40778402</v>
      </c>
      <c r="D3901" s="2">
        <v>42103738</v>
      </c>
      <c r="E3901" s="2">
        <v>3</v>
      </c>
      <c r="F3901" s="2" t="s">
        <v>10086</v>
      </c>
      <c r="H3901" s="2">
        <v>2.0999999999999999E-3</v>
      </c>
      <c r="K3901" s="2" t="s">
        <v>10085</v>
      </c>
    </row>
    <row r="3902" spans="1:11" x14ac:dyDescent="0.2">
      <c r="A3902" s="2">
        <v>976</v>
      </c>
      <c r="B3902" s="2">
        <v>6</v>
      </c>
      <c r="C3902" s="2">
        <v>40778402</v>
      </c>
      <c r="D3902" s="2">
        <v>42103738</v>
      </c>
      <c r="E3902" s="2">
        <v>4</v>
      </c>
      <c r="F3902" s="2" t="s">
        <v>10086</v>
      </c>
      <c r="H3902" s="3">
        <v>8.9999999999999998E-4</v>
      </c>
      <c r="K3902" s="2" t="s">
        <v>10089</v>
      </c>
    </row>
    <row r="3903" spans="1:11" x14ac:dyDescent="0.2">
      <c r="A3903" s="2">
        <v>977</v>
      </c>
      <c r="B3903" s="2">
        <v>6</v>
      </c>
      <c r="C3903" s="2">
        <v>42103739</v>
      </c>
      <c r="D3903" s="2">
        <v>43770626</v>
      </c>
      <c r="E3903" s="2">
        <v>1</v>
      </c>
      <c r="F3903" s="2" t="s">
        <v>10086</v>
      </c>
      <c r="H3903" s="2">
        <v>4.3E-3</v>
      </c>
      <c r="K3903" s="2" t="s">
        <v>12324</v>
      </c>
    </row>
    <row r="3904" spans="1:11" x14ac:dyDescent="0.2">
      <c r="A3904" s="2">
        <v>977</v>
      </c>
      <c r="B3904" s="2">
        <v>6</v>
      </c>
      <c r="C3904" s="2">
        <v>42103739</v>
      </c>
      <c r="D3904" s="2">
        <v>43770626</v>
      </c>
      <c r="E3904" s="2">
        <v>2</v>
      </c>
      <c r="F3904" s="2" t="s">
        <v>10086</v>
      </c>
      <c r="H3904" s="2">
        <v>1.21E-2</v>
      </c>
      <c r="K3904" s="2" t="s">
        <v>10088</v>
      </c>
    </row>
    <row r="3905" spans="1:11" x14ac:dyDescent="0.2">
      <c r="A3905" s="2">
        <v>977</v>
      </c>
      <c r="B3905" s="2">
        <v>6</v>
      </c>
      <c r="C3905" s="2">
        <v>42103739</v>
      </c>
      <c r="D3905" s="2">
        <v>43770626</v>
      </c>
      <c r="E3905" s="2">
        <v>3</v>
      </c>
      <c r="F3905" s="2" t="s">
        <v>10086</v>
      </c>
      <c r="H3905" s="2">
        <v>2.0999999999999999E-3</v>
      </c>
      <c r="K3905" s="2" t="s">
        <v>10087</v>
      </c>
    </row>
    <row r="3906" spans="1:11" x14ac:dyDescent="0.2">
      <c r="A3906" s="2">
        <v>977</v>
      </c>
      <c r="B3906" s="2">
        <v>6</v>
      </c>
      <c r="C3906" s="2">
        <v>42103739</v>
      </c>
      <c r="D3906" s="2">
        <v>43770626</v>
      </c>
      <c r="E3906" s="2">
        <v>4</v>
      </c>
      <c r="F3906" s="2" t="s">
        <v>10086</v>
      </c>
      <c r="H3906" s="2">
        <v>1.1999999999999999E-3</v>
      </c>
      <c r="K3906" s="2" t="s">
        <v>10085</v>
      </c>
    </row>
    <row r="3907" spans="1:11" x14ac:dyDescent="0.2">
      <c r="A3907" s="2">
        <v>978</v>
      </c>
      <c r="B3907" s="2">
        <v>6</v>
      </c>
      <c r="C3907" s="2">
        <v>43770627</v>
      </c>
      <c r="D3907" s="2">
        <v>44596897</v>
      </c>
      <c r="E3907" s="2">
        <v>1</v>
      </c>
      <c r="F3907" s="2" t="s">
        <v>10086</v>
      </c>
      <c r="H3907" s="2">
        <v>4.1000000000000003E-3</v>
      </c>
      <c r="K3907" s="2" t="s">
        <v>10088</v>
      </c>
    </row>
    <row r="3908" spans="1:11" x14ac:dyDescent="0.2">
      <c r="A3908" s="2">
        <v>978</v>
      </c>
      <c r="B3908" s="2">
        <v>6</v>
      </c>
      <c r="C3908" s="2">
        <v>43770627</v>
      </c>
      <c r="D3908" s="2">
        <v>44596897</v>
      </c>
      <c r="E3908" s="2">
        <v>2</v>
      </c>
      <c r="F3908" s="2" t="s">
        <v>10086</v>
      </c>
      <c r="H3908" s="2">
        <v>1.8E-3</v>
      </c>
      <c r="K3908" s="2" t="s">
        <v>10089</v>
      </c>
    </row>
    <row r="3909" spans="1:11" x14ac:dyDescent="0.2">
      <c r="A3909" s="2">
        <v>978</v>
      </c>
      <c r="B3909" s="2">
        <v>6</v>
      </c>
      <c r="C3909" s="2">
        <v>43770627</v>
      </c>
      <c r="D3909" s="2">
        <v>44596897</v>
      </c>
      <c r="E3909" s="2">
        <v>3</v>
      </c>
      <c r="F3909" s="2" t="s">
        <v>10086</v>
      </c>
      <c r="H3909" s="2">
        <v>1.1999999999999999E-3</v>
      </c>
      <c r="K3909" s="2" t="s">
        <v>10087</v>
      </c>
    </row>
    <row r="3910" spans="1:11" x14ac:dyDescent="0.2">
      <c r="A3910" s="2">
        <v>978</v>
      </c>
      <c r="B3910" s="2">
        <v>6</v>
      </c>
      <c r="C3910" s="2">
        <v>43770627</v>
      </c>
      <c r="D3910" s="2">
        <v>44596897</v>
      </c>
      <c r="E3910" s="2">
        <v>4</v>
      </c>
      <c r="F3910" s="2" t="s">
        <v>10086</v>
      </c>
      <c r="H3910" s="3">
        <v>5.0000000000000001E-4</v>
      </c>
      <c r="K3910" s="2" t="s">
        <v>10085</v>
      </c>
    </row>
    <row r="3911" spans="1:11" x14ac:dyDescent="0.2">
      <c r="A3911" s="2">
        <v>979</v>
      </c>
      <c r="B3911" s="2">
        <v>6</v>
      </c>
      <c r="C3911" s="2">
        <v>44596898</v>
      </c>
      <c r="D3911" s="2">
        <v>45408421</v>
      </c>
      <c r="E3911" s="2">
        <v>1</v>
      </c>
      <c r="F3911" s="2" t="s">
        <v>10086</v>
      </c>
      <c r="H3911" s="2">
        <v>9.4999999999999998E-3</v>
      </c>
      <c r="K3911" s="2" t="s">
        <v>10085</v>
      </c>
    </row>
    <row r="3912" spans="1:11" x14ac:dyDescent="0.2">
      <c r="A3912" s="2">
        <v>979</v>
      </c>
      <c r="B3912" s="2">
        <v>6</v>
      </c>
      <c r="C3912" s="2">
        <v>44596898</v>
      </c>
      <c r="D3912" s="2">
        <v>45408421</v>
      </c>
      <c r="E3912" s="2">
        <v>2</v>
      </c>
      <c r="F3912" s="2" t="s">
        <v>10086</v>
      </c>
      <c r="H3912" s="2">
        <v>1.4E-3</v>
      </c>
      <c r="K3912" s="2" t="s">
        <v>10087</v>
      </c>
    </row>
    <row r="3913" spans="1:11" x14ac:dyDescent="0.2">
      <c r="A3913" s="2">
        <v>979</v>
      </c>
      <c r="B3913" s="2">
        <v>6</v>
      </c>
      <c r="C3913" s="2">
        <v>44596898</v>
      </c>
      <c r="D3913" s="2">
        <v>45408421</v>
      </c>
      <c r="E3913" s="2">
        <v>3</v>
      </c>
      <c r="F3913" s="2" t="s">
        <v>10086</v>
      </c>
      <c r="H3913" s="2">
        <v>1.4E-3</v>
      </c>
      <c r="K3913" s="2" t="s">
        <v>10089</v>
      </c>
    </row>
    <row r="3914" spans="1:11" x14ac:dyDescent="0.2">
      <c r="A3914" s="2">
        <v>979</v>
      </c>
      <c r="B3914" s="2">
        <v>6</v>
      </c>
      <c r="C3914" s="2">
        <v>44596898</v>
      </c>
      <c r="D3914" s="2">
        <v>45408421</v>
      </c>
      <c r="E3914" s="2">
        <v>4</v>
      </c>
      <c r="F3914" s="2" t="s">
        <v>10086</v>
      </c>
      <c r="H3914" s="3">
        <v>4.0000000000000002E-4</v>
      </c>
      <c r="K3914" s="2" t="s">
        <v>10088</v>
      </c>
    </row>
    <row r="3915" spans="1:11" x14ac:dyDescent="0.2">
      <c r="A3915" s="2">
        <v>980</v>
      </c>
      <c r="B3915" s="2">
        <v>6</v>
      </c>
      <c r="C3915" s="2">
        <v>45408422</v>
      </c>
      <c r="D3915" s="2">
        <v>46430701</v>
      </c>
      <c r="E3915" s="2">
        <v>1</v>
      </c>
      <c r="F3915" s="2" t="s">
        <v>10086</v>
      </c>
      <c r="H3915" s="2">
        <v>2.3E-3</v>
      </c>
      <c r="K3915" s="2" t="s">
        <v>10088</v>
      </c>
    </row>
    <row r="3916" spans="1:11" x14ac:dyDescent="0.2">
      <c r="A3916" s="2">
        <v>980</v>
      </c>
      <c r="B3916" s="2">
        <v>6</v>
      </c>
      <c r="C3916" s="2">
        <v>45408422</v>
      </c>
      <c r="D3916" s="2">
        <v>46430701</v>
      </c>
      <c r="E3916" s="2">
        <v>2</v>
      </c>
      <c r="F3916" s="2" t="s">
        <v>10086</v>
      </c>
      <c r="H3916" s="2">
        <v>2.3E-3</v>
      </c>
      <c r="K3916" s="2" t="s">
        <v>10089</v>
      </c>
    </row>
    <row r="3917" spans="1:11" x14ac:dyDescent="0.2">
      <c r="A3917" s="2">
        <v>980</v>
      </c>
      <c r="B3917" s="2">
        <v>6</v>
      </c>
      <c r="C3917" s="2">
        <v>45408422</v>
      </c>
      <c r="D3917" s="2">
        <v>46430701</v>
      </c>
      <c r="E3917" s="2">
        <v>3</v>
      </c>
      <c r="F3917" s="2" t="s">
        <v>10086</v>
      </c>
      <c r="H3917" s="3">
        <v>8.9999999999999998E-4</v>
      </c>
      <c r="K3917" s="2" t="s">
        <v>10085</v>
      </c>
    </row>
    <row r="3918" spans="1:11" x14ac:dyDescent="0.2">
      <c r="A3918" s="2">
        <v>980</v>
      </c>
      <c r="B3918" s="2">
        <v>6</v>
      </c>
      <c r="C3918" s="2">
        <v>45408422</v>
      </c>
      <c r="D3918" s="2">
        <v>46430701</v>
      </c>
      <c r="E3918" s="2">
        <v>4</v>
      </c>
      <c r="F3918" s="2" t="s">
        <v>10086</v>
      </c>
      <c r="H3918" s="3">
        <v>5.0000000000000001E-4</v>
      </c>
      <c r="K3918" s="2" t="s">
        <v>10087</v>
      </c>
    </row>
    <row r="3919" spans="1:11" x14ac:dyDescent="0.2">
      <c r="A3919" s="2">
        <v>981</v>
      </c>
      <c r="B3919" s="2">
        <v>6</v>
      </c>
      <c r="C3919" s="2">
        <v>46430702</v>
      </c>
      <c r="D3919" s="2">
        <v>47313443</v>
      </c>
      <c r="E3919" s="2">
        <v>1</v>
      </c>
      <c r="F3919" s="2" t="s">
        <v>10086</v>
      </c>
      <c r="H3919" s="2">
        <v>6.0000000000000001E-3</v>
      </c>
      <c r="K3919" s="2" t="s">
        <v>10089</v>
      </c>
    </row>
    <row r="3920" spans="1:11" x14ac:dyDescent="0.2">
      <c r="A3920" s="2">
        <v>981</v>
      </c>
      <c r="B3920" s="2">
        <v>6</v>
      </c>
      <c r="C3920" s="2">
        <v>46430702</v>
      </c>
      <c r="D3920" s="2">
        <v>47313443</v>
      </c>
      <c r="E3920" s="2">
        <v>2</v>
      </c>
      <c r="F3920" s="2" t="s">
        <v>10086</v>
      </c>
      <c r="H3920" s="2">
        <v>1.1000000000000001E-3</v>
      </c>
      <c r="K3920" s="2" t="s">
        <v>10085</v>
      </c>
    </row>
    <row r="3921" spans="1:11" x14ac:dyDescent="0.2">
      <c r="A3921" s="2">
        <v>981</v>
      </c>
      <c r="B3921" s="2">
        <v>6</v>
      </c>
      <c r="C3921" s="2">
        <v>46430702</v>
      </c>
      <c r="D3921" s="2">
        <v>47313443</v>
      </c>
      <c r="E3921" s="2">
        <v>3</v>
      </c>
      <c r="F3921" s="2" t="s">
        <v>10086</v>
      </c>
      <c r="H3921" s="2">
        <v>1E-3</v>
      </c>
      <c r="K3921" s="2" t="s">
        <v>10087</v>
      </c>
    </row>
    <row r="3922" spans="1:11" x14ac:dyDescent="0.2">
      <c r="A3922" s="2">
        <v>981</v>
      </c>
      <c r="B3922" s="2">
        <v>6</v>
      </c>
      <c r="C3922" s="2">
        <v>46430702</v>
      </c>
      <c r="D3922" s="2">
        <v>47313443</v>
      </c>
      <c r="E3922" s="2">
        <v>4</v>
      </c>
      <c r="F3922" s="2" t="s">
        <v>10086</v>
      </c>
      <c r="H3922" s="3">
        <v>2.9999999999999997E-4</v>
      </c>
      <c r="K3922" s="2" t="s">
        <v>10088</v>
      </c>
    </row>
    <row r="3923" spans="1:11" x14ac:dyDescent="0.2">
      <c r="A3923" s="2">
        <v>982</v>
      </c>
      <c r="B3923" s="2">
        <v>6</v>
      </c>
      <c r="C3923" s="2">
        <v>47313444</v>
      </c>
      <c r="D3923" s="2">
        <v>48393981</v>
      </c>
      <c r="E3923" s="2">
        <v>1</v>
      </c>
      <c r="F3923" s="2" t="s">
        <v>10086</v>
      </c>
      <c r="H3923" s="2">
        <v>1.6999999999999999E-3</v>
      </c>
      <c r="K3923" s="2" t="s">
        <v>12324</v>
      </c>
    </row>
    <row r="3924" spans="1:11" x14ac:dyDescent="0.2">
      <c r="A3924" s="2">
        <v>982</v>
      </c>
      <c r="B3924" s="2">
        <v>6</v>
      </c>
      <c r="C3924" s="2">
        <v>47313444</v>
      </c>
      <c r="D3924" s="2">
        <v>48393981</v>
      </c>
      <c r="E3924" s="2">
        <v>2</v>
      </c>
      <c r="F3924" s="2" t="s">
        <v>10086</v>
      </c>
      <c r="H3924" s="2">
        <v>1.1999999999999999E-3</v>
      </c>
      <c r="K3924" s="2" t="s">
        <v>10088</v>
      </c>
    </row>
    <row r="3925" spans="1:11" x14ac:dyDescent="0.2">
      <c r="A3925" s="2">
        <v>982</v>
      </c>
      <c r="B3925" s="2">
        <v>6</v>
      </c>
      <c r="C3925" s="2">
        <v>47313444</v>
      </c>
      <c r="D3925" s="2">
        <v>48393981</v>
      </c>
      <c r="E3925" s="2">
        <v>3</v>
      </c>
      <c r="F3925" s="2" t="s">
        <v>10086</v>
      </c>
      <c r="H3925" s="2">
        <v>1.1000000000000001E-3</v>
      </c>
      <c r="K3925" s="2" t="s">
        <v>10089</v>
      </c>
    </row>
    <row r="3926" spans="1:11" x14ac:dyDescent="0.2">
      <c r="A3926" s="2">
        <v>982</v>
      </c>
      <c r="B3926" s="2">
        <v>6</v>
      </c>
      <c r="C3926" s="2">
        <v>47313444</v>
      </c>
      <c r="D3926" s="2">
        <v>48393981</v>
      </c>
      <c r="E3926" s="2">
        <v>4</v>
      </c>
      <c r="F3926" s="2" t="s">
        <v>10086</v>
      </c>
      <c r="H3926" s="3">
        <v>5.0000000000000001E-4</v>
      </c>
      <c r="K3926" s="2" t="s">
        <v>10085</v>
      </c>
    </row>
    <row r="3927" spans="1:11" x14ac:dyDescent="0.2">
      <c r="A3927" s="2">
        <v>983</v>
      </c>
      <c r="B3927" s="2">
        <v>6</v>
      </c>
      <c r="C3927" s="2">
        <v>48393982</v>
      </c>
      <c r="D3927" s="2">
        <v>49528164</v>
      </c>
      <c r="E3927" s="2">
        <v>1</v>
      </c>
      <c r="F3927" s="2" t="s">
        <v>10086</v>
      </c>
      <c r="H3927" s="2">
        <v>1.6999999999999999E-3</v>
      </c>
      <c r="K3927" s="2" t="s">
        <v>10087</v>
      </c>
    </row>
    <row r="3928" spans="1:11" x14ac:dyDescent="0.2">
      <c r="A3928" s="2">
        <v>983</v>
      </c>
      <c r="B3928" s="2">
        <v>6</v>
      </c>
      <c r="C3928" s="2">
        <v>48393982</v>
      </c>
      <c r="D3928" s="2">
        <v>49528164</v>
      </c>
      <c r="E3928" s="2">
        <v>2</v>
      </c>
      <c r="F3928" s="2" t="s">
        <v>10086</v>
      </c>
      <c r="H3928" s="3">
        <v>8.9999999999999998E-4</v>
      </c>
      <c r="K3928" s="2" t="s">
        <v>10089</v>
      </c>
    </row>
    <row r="3929" spans="1:11" x14ac:dyDescent="0.2">
      <c r="A3929" s="2">
        <v>983</v>
      </c>
      <c r="B3929" s="2">
        <v>6</v>
      </c>
      <c r="C3929" s="2">
        <v>48393982</v>
      </c>
      <c r="D3929" s="2">
        <v>49528164</v>
      </c>
      <c r="E3929" s="2">
        <v>3</v>
      </c>
      <c r="F3929" s="2" t="s">
        <v>10086</v>
      </c>
      <c r="H3929" s="3">
        <v>5.0000000000000001E-4</v>
      </c>
      <c r="K3929" s="2" t="s">
        <v>10088</v>
      </c>
    </row>
    <row r="3930" spans="1:11" x14ac:dyDescent="0.2">
      <c r="A3930" s="2">
        <v>983</v>
      </c>
      <c r="B3930" s="2">
        <v>6</v>
      </c>
      <c r="C3930" s="2">
        <v>48393982</v>
      </c>
      <c r="D3930" s="2">
        <v>49528164</v>
      </c>
      <c r="E3930" s="2">
        <v>4</v>
      </c>
      <c r="F3930" s="2" t="s">
        <v>10086</v>
      </c>
      <c r="H3930" s="3">
        <v>2.9999999999999997E-4</v>
      </c>
      <c r="K3930" s="2" t="s">
        <v>10085</v>
      </c>
    </row>
    <row r="3931" spans="1:11" x14ac:dyDescent="0.2">
      <c r="A3931" s="2">
        <v>984</v>
      </c>
      <c r="B3931" s="2">
        <v>6</v>
      </c>
      <c r="C3931" s="2">
        <v>49528165</v>
      </c>
      <c r="D3931" s="2">
        <v>50940767</v>
      </c>
      <c r="E3931" s="2">
        <v>1</v>
      </c>
      <c r="F3931" s="2" t="s">
        <v>10086</v>
      </c>
      <c r="H3931" s="2">
        <v>2.7099999999999999E-2</v>
      </c>
      <c r="K3931" s="2" t="s">
        <v>10089</v>
      </c>
    </row>
    <row r="3932" spans="1:11" x14ac:dyDescent="0.2">
      <c r="A3932" s="2">
        <v>984</v>
      </c>
      <c r="B3932" s="2">
        <v>6</v>
      </c>
      <c r="C3932" s="2">
        <v>49528165</v>
      </c>
      <c r="D3932" s="2">
        <v>50940767</v>
      </c>
      <c r="E3932" s="2">
        <v>2</v>
      </c>
      <c r="F3932" s="2" t="s">
        <v>10086</v>
      </c>
      <c r="H3932" s="2">
        <v>3.3E-3</v>
      </c>
      <c r="K3932" s="2" t="s">
        <v>10088</v>
      </c>
    </row>
    <row r="3933" spans="1:11" x14ac:dyDescent="0.2">
      <c r="A3933" s="2">
        <v>984</v>
      </c>
      <c r="B3933" s="2">
        <v>6</v>
      </c>
      <c r="C3933" s="2">
        <v>49528165</v>
      </c>
      <c r="D3933" s="2">
        <v>50940767</v>
      </c>
      <c r="E3933" s="2">
        <v>3</v>
      </c>
      <c r="F3933" s="2" t="s">
        <v>10086</v>
      </c>
      <c r="H3933" s="2">
        <v>1E-3</v>
      </c>
      <c r="K3933" s="2" t="s">
        <v>10085</v>
      </c>
    </row>
    <row r="3934" spans="1:11" x14ac:dyDescent="0.2">
      <c r="A3934" s="2">
        <v>984</v>
      </c>
      <c r="B3934" s="2">
        <v>6</v>
      </c>
      <c r="C3934" s="2">
        <v>49528165</v>
      </c>
      <c r="D3934" s="2">
        <v>50940767</v>
      </c>
      <c r="E3934" s="2">
        <v>4</v>
      </c>
      <c r="F3934" s="2" t="s">
        <v>10086</v>
      </c>
      <c r="H3934" s="3">
        <v>4.0000000000000002E-4</v>
      </c>
      <c r="K3934" s="2" t="s">
        <v>10087</v>
      </c>
    </row>
    <row r="3935" spans="1:11" x14ac:dyDescent="0.2">
      <c r="A3935" s="2">
        <v>985</v>
      </c>
      <c r="B3935" s="2">
        <v>6</v>
      </c>
      <c r="C3935" s="2">
        <v>50940768</v>
      </c>
      <c r="D3935" s="2">
        <v>51826423</v>
      </c>
      <c r="E3935" s="2">
        <v>1</v>
      </c>
      <c r="F3935" s="2" t="s">
        <v>10086</v>
      </c>
      <c r="H3935" s="2">
        <v>2E-3</v>
      </c>
      <c r="K3935" s="2" t="s">
        <v>10085</v>
      </c>
    </row>
    <row r="3936" spans="1:11" x14ac:dyDescent="0.2">
      <c r="A3936" s="2">
        <v>985</v>
      </c>
      <c r="B3936" s="2">
        <v>6</v>
      </c>
      <c r="C3936" s="2">
        <v>50940768</v>
      </c>
      <c r="D3936" s="2">
        <v>51826423</v>
      </c>
      <c r="E3936" s="2">
        <v>2</v>
      </c>
      <c r="F3936" s="2" t="s">
        <v>10086</v>
      </c>
      <c r="H3936" s="2">
        <v>1.5E-3</v>
      </c>
      <c r="K3936" s="2" t="s">
        <v>10089</v>
      </c>
    </row>
    <row r="3937" spans="1:11" x14ac:dyDescent="0.2">
      <c r="A3937" s="2">
        <v>985</v>
      </c>
      <c r="B3937" s="2">
        <v>6</v>
      </c>
      <c r="C3937" s="2">
        <v>50940768</v>
      </c>
      <c r="D3937" s="2">
        <v>51826423</v>
      </c>
      <c r="E3937" s="2">
        <v>3</v>
      </c>
      <c r="F3937" s="2" t="s">
        <v>10086</v>
      </c>
      <c r="H3937" s="2">
        <v>1.1999999999999999E-3</v>
      </c>
      <c r="K3937" s="2" t="s">
        <v>10088</v>
      </c>
    </row>
    <row r="3938" spans="1:11" x14ac:dyDescent="0.2">
      <c r="A3938" s="2">
        <v>985</v>
      </c>
      <c r="B3938" s="2">
        <v>6</v>
      </c>
      <c r="C3938" s="2">
        <v>50940768</v>
      </c>
      <c r="D3938" s="2">
        <v>51826423</v>
      </c>
      <c r="E3938" s="2">
        <v>4</v>
      </c>
      <c r="F3938" s="2" t="s">
        <v>10086</v>
      </c>
      <c r="H3938" s="3">
        <v>4.0000000000000002E-4</v>
      </c>
      <c r="K3938" s="2" t="s">
        <v>10087</v>
      </c>
    </row>
    <row r="3939" spans="1:11" x14ac:dyDescent="0.2">
      <c r="A3939" s="2">
        <v>986</v>
      </c>
      <c r="B3939" s="2">
        <v>6</v>
      </c>
      <c r="C3939" s="2">
        <v>51826424</v>
      </c>
      <c r="D3939" s="2">
        <v>52598879</v>
      </c>
      <c r="E3939" s="2">
        <v>1</v>
      </c>
      <c r="F3939" s="2" t="s">
        <v>10086</v>
      </c>
      <c r="H3939" s="2">
        <v>2.3E-3</v>
      </c>
      <c r="K3939" s="2" t="s">
        <v>10087</v>
      </c>
    </row>
    <row r="3940" spans="1:11" x14ac:dyDescent="0.2">
      <c r="A3940" s="2">
        <v>986</v>
      </c>
      <c r="B3940" s="2">
        <v>6</v>
      </c>
      <c r="C3940" s="2">
        <v>51826424</v>
      </c>
      <c r="D3940" s="2">
        <v>52598879</v>
      </c>
      <c r="E3940" s="2">
        <v>2</v>
      </c>
      <c r="F3940" s="2" t="s">
        <v>10086</v>
      </c>
      <c r="H3940" s="2">
        <v>1.4E-3</v>
      </c>
      <c r="K3940" s="2" t="s">
        <v>10089</v>
      </c>
    </row>
    <row r="3941" spans="1:11" x14ac:dyDescent="0.2">
      <c r="A3941" s="2">
        <v>986</v>
      </c>
      <c r="B3941" s="2">
        <v>6</v>
      </c>
      <c r="C3941" s="2">
        <v>51826424</v>
      </c>
      <c r="D3941" s="2">
        <v>52598879</v>
      </c>
      <c r="E3941" s="2">
        <v>3</v>
      </c>
      <c r="F3941" s="2" t="s">
        <v>10086</v>
      </c>
      <c r="H3941" s="3">
        <v>5.9999999999999995E-4</v>
      </c>
      <c r="K3941" s="2" t="s">
        <v>10088</v>
      </c>
    </row>
    <row r="3942" spans="1:11" x14ac:dyDescent="0.2">
      <c r="A3942" s="2">
        <v>986</v>
      </c>
      <c r="B3942" s="2">
        <v>6</v>
      </c>
      <c r="C3942" s="2">
        <v>51826424</v>
      </c>
      <c r="D3942" s="2">
        <v>52598879</v>
      </c>
      <c r="E3942" s="2">
        <v>4</v>
      </c>
      <c r="F3942" s="2" t="s">
        <v>10086</v>
      </c>
      <c r="H3942" s="3">
        <v>5.0000000000000001E-4</v>
      </c>
      <c r="K3942" s="2" t="s">
        <v>10085</v>
      </c>
    </row>
    <row r="3943" spans="1:11" x14ac:dyDescent="0.2">
      <c r="A3943" s="2">
        <v>987</v>
      </c>
      <c r="B3943" s="2">
        <v>6</v>
      </c>
      <c r="C3943" s="2">
        <v>52598880</v>
      </c>
      <c r="D3943" s="2">
        <v>53425492</v>
      </c>
      <c r="E3943" s="2">
        <v>1</v>
      </c>
      <c r="F3943" s="2" t="s">
        <v>10086</v>
      </c>
      <c r="H3943" s="2">
        <v>1.2999999999999999E-3</v>
      </c>
      <c r="K3943" s="2" t="s">
        <v>10089</v>
      </c>
    </row>
    <row r="3944" spans="1:11" x14ac:dyDescent="0.2">
      <c r="A3944" s="2">
        <v>987</v>
      </c>
      <c r="B3944" s="2">
        <v>6</v>
      </c>
      <c r="C3944" s="2">
        <v>52598880</v>
      </c>
      <c r="D3944" s="2">
        <v>53425492</v>
      </c>
      <c r="E3944" s="2">
        <v>2</v>
      </c>
      <c r="F3944" s="2" t="s">
        <v>10086</v>
      </c>
      <c r="H3944" s="3">
        <v>6.9999999999999999E-4</v>
      </c>
      <c r="K3944" s="2" t="s">
        <v>10087</v>
      </c>
    </row>
    <row r="3945" spans="1:11" x14ac:dyDescent="0.2">
      <c r="A3945" s="2">
        <v>987</v>
      </c>
      <c r="B3945" s="2">
        <v>6</v>
      </c>
      <c r="C3945" s="2">
        <v>52598880</v>
      </c>
      <c r="D3945" s="2">
        <v>53425492</v>
      </c>
      <c r="E3945" s="2">
        <v>3</v>
      </c>
      <c r="F3945" s="2" t="s">
        <v>10086</v>
      </c>
      <c r="H3945" s="3">
        <v>5.9999999999999995E-4</v>
      </c>
      <c r="K3945" s="2" t="s">
        <v>10085</v>
      </c>
    </row>
    <row r="3946" spans="1:11" x14ac:dyDescent="0.2">
      <c r="A3946" s="2">
        <v>987</v>
      </c>
      <c r="B3946" s="2">
        <v>6</v>
      </c>
      <c r="C3946" s="2">
        <v>52598880</v>
      </c>
      <c r="D3946" s="2">
        <v>53425492</v>
      </c>
      <c r="E3946" s="2">
        <v>4</v>
      </c>
      <c r="F3946" s="2" t="s">
        <v>10086</v>
      </c>
      <c r="H3946" s="3">
        <v>2.9999999999999997E-4</v>
      </c>
      <c r="K3946" s="2" t="s">
        <v>10088</v>
      </c>
    </row>
    <row r="3947" spans="1:11" x14ac:dyDescent="0.2">
      <c r="A3947" s="2">
        <v>988</v>
      </c>
      <c r="B3947" s="2">
        <v>6</v>
      </c>
      <c r="C3947" s="2">
        <v>53425493</v>
      </c>
      <c r="D3947" s="2">
        <v>54452767</v>
      </c>
      <c r="E3947" s="2">
        <v>1</v>
      </c>
      <c r="F3947" s="2" t="s">
        <v>10086</v>
      </c>
      <c r="H3947" s="2">
        <v>2E-3</v>
      </c>
      <c r="K3947" s="2" t="s">
        <v>10085</v>
      </c>
    </row>
    <row r="3948" spans="1:11" x14ac:dyDescent="0.2">
      <c r="A3948" s="2">
        <v>988</v>
      </c>
      <c r="B3948" s="2">
        <v>6</v>
      </c>
      <c r="C3948" s="2">
        <v>53425493</v>
      </c>
      <c r="D3948" s="2">
        <v>54452767</v>
      </c>
      <c r="E3948" s="2">
        <v>2</v>
      </c>
      <c r="F3948" s="2" t="s">
        <v>10086</v>
      </c>
      <c r="H3948" s="2">
        <v>1.2999999999999999E-3</v>
      </c>
      <c r="K3948" s="2" t="s">
        <v>10088</v>
      </c>
    </row>
    <row r="3949" spans="1:11" x14ac:dyDescent="0.2">
      <c r="A3949" s="2">
        <v>988</v>
      </c>
      <c r="B3949" s="2">
        <v>6</v>
      </c>
      <c r="C3949" s="2">
        <v>53425493</v>
      </c>
      <c r="D3949" s="2">
        <v>54452767</v>
      </c>
      <c r="E3949" s="2">
        <v>3</v>
      </c>
      <c r="F3949" s="2" t="s">
        <v>10086</v>
      </c>
      <c r="H3949" s="3">
        <v>6.9999999999999999E-4</v>
      </c>
      <c r="K3949" s="2" t="s">
        <v>10087</v>
      </c>
    </row>
    <row r="3950" spans="1:11" x14ac:dyDescent="0.2">
      <c r="A3950" s="2">
        <v>988</v>
      </c>
      <c r="B3950" s="2">
        <v>6</v>
      </c>
      <c r="C3950" s="2">
        <v>53425493</v>
      </c>
      <c r="D3950" s="2">
        <v>54452767</v>
      </c>
      <c r="E3950" s="2">
        <v>4</v>
      </c>
      <c r="F3950" s="2" t="s">
        <v>10086</v>
      </c>
      <c r="H3950" s="3">
        <v>4.0000000000000002E-4</v>
      </c>
      <c r="K3950" s="2" t="s">
        <v>12324</v>
      </c>
    </row>
    <row r="3951" spans="1:11" x14ac:dyDescent="0.2">
      <c r="A3951" s="2">
        <v>989</v>
      </c>
      <c r="B3951" s="2">
        <v>6</v>
      </c>
      <c r="C3951" s="2">
        <v>54452768</v>
      </c>
      <c r="D3951" s="2">
        <v>55469137</v>
      </c>
      <c r="E3951" s="2">
        <v>1</v>
      </c>
      <c r="F3951" s="2" t="s">
        <v>10086</v>
      </c>
      <c r="H3951" s="2">
        <v>1.6999999999999999E-3</v>
      </c>
      <c r="K3951" s="2" t="s">
        <v>10088</v>
      </c>
    </row>
    <row r="3952" spans="1:11" x14ac:dyDescent="0.2">
      <c r="A3952" s="2">
        <v>989</v>
      </c>
      <c r="B3952" s="2">
        <v>6</v>
      </c>
      <c r="C3952" s="2">
        <v>54452768</v>
      </c>
      <c r="D3952" s="2">
        <v>55469137</v>
      </c>
      <c r="E3952" s="2">
        <v>2</v>
      </c>
      <c r="F3952" s="2" t="s">
        <v>10086</v>
      </c>
      <c r="H3952" s="2">
        <v>1.2999999999999999E-3</v>
      </c>
      <c r="K3952" s="2" t="s">
        <v>10087</v>
      </c>
    </row>
    <row r="3953" spans="1:11" x14ac:dyDescent="0.2">
      <c r="A3953" s="2">
        <v>989</v>
      </c>
      <c r="B3953" s="2">
        <v>6</v>
      </c>
      <c r="C3953" s="2">
        <v>54452768</v>
      </c>
      <c r="D3953" s="2">
        <v>55469137</v>
      </c>
      <c r="E3953" s="2">
        <v>3</v>
      </c>
      <c r="F3953" s="2" t="s">
        <v>10086</v>
      </c>
      <c r="H3953" s="3">
        <v>8.0000000000000004E-4</v>
      </c>
      <c r="K3953" s="2" t="s">
        <v>10089</v>
      </c>
    </row>
    <row r="3954" spans="1:11" x14ac:dyDescent="0.2">
      <c r="A3954" s="2">
        <v>989</v>
      </c>
      <c r="B3954" s="2">
        <v>6</v>
      </c>
      <c r="C3954" s="2">
        <v>54452768</v>
      </c>
      <c r="D3954" s="2">
        <v>55469137</v>
      </c>
      <c r="E3954" s="2">
        <v>4</v>
      </c>
      <c r="F3954" s="2" t="s">
        <v>10086</v>
      </c>
      <c r="H3954" s="3">
        <v>4.0000000000000002E-4</v>
      </c>
      <c r="K3954" s="2" t="s">
        <v>10085</v>
      </c>
    </row>
    <row r="3955" spans="1:11" x14ac:dyDescent="0.2">
      <c r="A3955" s="2">
        <v>990</v>
      </c>
      <c r="B3955" s="2">
        <v>6</v>
      </c>
      <c r="C3955" s="2">
        <v>55469138</v>
      </c>
      <c r="D3955" s="2">
        <v>56200985</v>
      </c>
      <c r="E3955" s="2">
        <v>1</v>
      </c>
      <c r="F3955" s="2" t="s">
        <v>10086</v>
      </c>
      <c r="H3955" s="2">
        <v>1.6000000000000001E-3</v>
      </c>
      <c r="K3955" s="2" t="s">
        <v>10089</v>
      </c>
    </row>
    <row r="3956" spans="1:11" x14ac:dyDescent="0.2">
      <c r="A3956" s="2">
        <v>990</v>
      </c>
      <c r="B3956" s="2">
        <v>6</v>
      </c>
      <c r="C3956" s="2">
        <v>55469138</v>
      </c>
      <c r="D3956" s="2">
        <v>56200985</v>
      </c>
      <c r="E3956" s="2">
        <v>2</v>
      </c>
      <c r="F3956" s="2" t="s">
        <v>10086</v>
      </c>
      <c r="H3956" s="2">
        <v>1.2999999999999999E-3</v>
      </c>
      <c r="K3956" s="2" t="s">
        <v>10088</v>
      </c>
    </row>
    <row r="3957" spans="1:11" x14ac:dyDescent="0.2">
      <c r="A3957" s="2">
        <v>990</v>
      </c>
      <c r="B3957" s="2">
        <v>6</v>
      </c>
      <c r="C3957" s="2">
        <v>55469138</v>
      </c>
      <c r="D3957" s="2">
        <v>56200985</v>
      </c>
      <c r="E3957" s="2">
        <v>3</v>
      </c>
      <c r="F3957" s="2" t="s">
        <v>10086</v>
      </c>
      <c r="H3957" s="3">
        <v>5.9999999999999995E-4</v>
      </c>
      <c r="K3957" s="2" t="s">
        <v>10087</v>
      </c>
    </row>
    <row r="3958" spans="1:11" x14ac:dyDescent="0.2">
      <c r="A3958" s="2">
        <v>990</v>
      </c>
      <c r="B3958" s="2">
        <v>6</v>
      </c>
      <c r="C3958" s="2">
        <v>55469138</v>
      </c>
      <c r="D3958" s="2">
        <v>56200985</v>
      </c>
      <c r="E3958" s="2">
        <v>4</v>
      </c>
      <c r="F3958" s="2" t="s">
        <v>10086</v>
      </c>
      <c r="H3958" s="3">
        <v>4.0000000000000002E-4</v>
      </c>
      <c r="K3958" s="2" t="s">
        <v>10085</v>
      </c>
    </row>
    <row r="3959" spans="1:11" x14ac:dyDescent="0.2">
      <c r="A3959" s="2">
        <v>991</v>
      </c>
      <c r="B3959" s="2">
        <v>6</v>
      </c>
      <c r="C3959" s="2">
        <v>56200986</v>
      </c>
      <c r="D3959" s="2">
        <v>57316157</v>
      </c>
      <c r="E3959" s="2">
        <v>1</v>
      </c>
      <c r="F3959" s="2" t="s">
        <v>10086</v>
      </c>
      <c r="H3959" s="2">
        <v>1.6000000000000001E-3</v>
      </c>
      <c r="K3959" s="2" t="s">
        <v>10089</v>
      </c>
    </row>
    <row r="3960" spans="1:11" x14ac:dyDescent="0.2">
      <c r="A3960" s="2">
        <v>991</v>
      </c>
      <c r="B3960" s="2">
        <v>6</v>
      </c>
      <c r="C3960" s="2">
        <v>56200986</v>
      </c>
      <c r="D3960" s="2">
        <v>57316157</v>
      </c>
      <c r="E3960" s="2">
        <v>2</v>
      </c>
      <c r="F3960" s="2" t="s">
        <v>10086</v>
      </c>
      <c r="H3960" s="2">
        <v>1.1999999999999999E-3</v>
      </c>
      <c r="K3960" s="2" t="s">
        <v>10087</v>
      </c>
    </row>
    <row r="3961" spans="1:11" x14ac:dyDescent="0.2">
      <c r="A3961" s="2">
        <v>991</v>
      </c>
      <c r="B3961" s="2">
        <v>6</v>
      </c>
      <c r="C3961" s="2">
        <v>56200986</v>
      </c>
      <c r="D3961" s="2">
        <v>57316157</v>
      </c>
      <c r="E3961" s="2">
        <v>3</v>
      </c>
      <c r="F3961" s="2" t="s">
        <v>10086</v>
      </c>
      <c r="H3961" s="3">
        <v>8.9999999999999998E-4</v>
      </c>
      <c r="K3961" s="2" t="s">
        <v>10088</v>
      </c>
    </row>
    <row r="3962" spans="1:11" x14ac:dyDescent="0.2">
      <c r="A3962" s="2">
        <v>991</v>
      </c>
      <c r="B3962" s="2">
        <v>6</v>
      </c>
      <c r="C3962" s="2">
        <v>56200986</v>
      </c>
      <c r="D3962" s="2">
        <v>57316157</v>
      </c>
      <c r="E3962" s="2">
        <v>4</v>
      </c>
      <c r="F3962" s="2" t="s">
        <v>10086</v>
      </c>
      <c r="H3962" s="3">
        <v>2.9999999999999997E-4</v>
      </c>
      <c r="K3962" s="2" t="s">
        <v>10085</v>
      </c>
    </row>
    <row r="3963" spans="1:11" x14ac:dyDescent="0.2">
      <c r="A3963" s="2">
        <v>992</v>
      </c>
      <c r="B3963" s="2">
        <v>6</v>
      </c>
      <c r="C3963" s="2">
        <v>57316158</v>
      </c>
      <c r="D3963" s="2">
        <v>58141889</v>
      </c>
      <c r="E3963" s="2">
        <v>1</v>
      </c>
      <c r="F3963" s="2" t="s">
        <v>10086</v>
      </c>
      <c r="H3963" s="2">
        <v>1.5E-3</v>
      </c>
      <c r="K3963" s="2" t="s">
        <v>10087</v>
      </c>
    </row>
    <row r="3964" spans="1:11" x14ac:dyDescent="0.2">
      <c r="A3964" s="2">
        <v>992</v>
      </c>
      <c r="B3964" s="2">
        <v>6</v>
      </c>
      <c r="C3964" s="2">
        <v>57316158</v>
      </c>
      <c r="D3964" s="2">
        <v>58141889</v>
      </c>
      <c r="E3964" s="2">
        <v>2</v>
      </c>
      <c r="F3964" s="2" t="s">
        <v>10086</v>
      </c>
      <c r="H3964" s="3">
        <v>5.9999999999999995E-4</v>
      </c>
      <c r="K3964" s="2" t="s">
        <v>10088</v>
      </c>
    </row>
    <row r="3965" spans="1:11" x14ac:dyDescent="0.2">
      <c r="A3965" s="2">
        <v>992</v>
      </c>
      <c r="B3965" s="2">
        <v>6</v>
      </c>
      <c r="C3965" s="2">
        <v>57316158</v>
      </c>
      <c r="D3965" s="2">
        <v>58141889</v>
      </c>
      <c r="E3965" s="2">
        <v>3</v>
      </c>
      <c r="F3965" s="2" t="s">
        <v>10086</v>
      </c>
      <c r="H3965" s="3">
        <v>5.0000000000000001E-4</v>
      </c>
      <c r="K3965" s="2" t="s">
        <v>10089</v>
      </c>
    </row>
    <row r="3966" spans="1:11" x14ac:dyDescent="0.2">
      <c r="A3966" s="2">
        <v>992</v>
      </c>
      <c r="B3966" s="2">
        <v>6</v>
      </c>
      <c r="C3966" s="2">
        <v>57316158</v>
      </c>
      <c r="D3966" s="2">
        <v>58141889</v>
      </c>
      <c r="E3966" s="2">
        <v>4</v>
      </c>
      <c r="F3966" s="2" t="s">
        <v>10086</v>
      </c>
      <c r="H3966" s="3">
        <v>4.0000000000000002E-4</v>
      </c>
      <c r="K3966" s="2" t="s">
        <v>10085</v>
      </c>
    </row>
    <row r="3967" spans="1:11" x14ac:dyDescent="0.2">
      <c r="A3967" s="2">
        <v>993</v>
      </c>
      <c r="B3967" s="2">
        <v>6</v>
      </c>
      <c r="C3967" s="2">
        <v>58141890</v>
      </c>
      <c r="D3967" s="2">
        <v>61883560</v>
      </c>
      <c r="E3967" s="2">
        <v>1</v>
      </c>
      <c r="F3967" s="2" t="s">
        <v>10086</v>
      </c>
      <c r="H3967" s="3">
        <v>6.9999999999999999E-4</v>
      </c>
      <c r="K3967" s="2" t="s">
        <v>10087</v>
      </c>
    </row>
    <row r="3968" spans="1:11" x14ac:dyDescent="0.2">
      <c r="A3968" s="2">
        <v>993</v>
      </c>
      <c r="B3968" s="2">
        <v>6</v>
      </c>
      <c r="C3968" s="2">
        <v>58141890</v>
      </c>
      <c r="D3968" s="2">
        <v>61883560</v>
      </c>
      <c r="E3968" s="2">
        <v>2</v>
      </c>
      <c r="F3968" s="2" t="s">
        <v>10086</v>
      </c>
      <c r="H3968" s="3">
        <v>5.9999999999999995E-4</v>
      </c>
      <c r="K3968" s="2" t="s">
        <v>10088</v>
      </c>
    </row>
    <row r="3969" spans="1:11" x14ac:dyDescent="0.2">
      <c r="A3969" s="2">
        <v>993</v>
      </c>
      <c r="B3969" s="2">
        <v>6</v>
      </c>
      <c r="C3969" s="2">
        <v>58141890</v>
      </c>
      <c r="D3969" s="2">
        <v>61883560</v>
      </c>
      <c r="E3969" s="2">
        <v>3</v>
      </c>
      <c r="F3969" s="2" t="s">
        <v>10086</v>
      </c>
      <c r="H3969" s="3">
        <v>4.0000000000000002E-4</v>
      </c>
      <c r="K3969" s="2" t="s">
        <v>10089</v>
      </c>
    </row>
    <row r="3970" spans="1:11" x14ac:dyDescent="0.2">
      <c r="A3970" s="2">
        <v>993</v>
      </c>
      <c r="B3970" s="2">
        <v>6</v>
      </c>
      <c r="C3970" s="2">
        <v>58141890</v>
      </c>
      <c r="D3970" s="2">
        <v>61883560</v>
      </c>
      <c r="E3970" s="2">
        <v>4</v>
      </c>
      <c r="F3970" s="2" t="s">
        <v>10086</v>
      </c>
      <c r="H3970" s="3">
        <v>2.9999999999999997E-4</v>
      </c>
      <c r="K3970" s="2" t="s">
        <v>10085</v>
      </c>
    </row>
    <row r="3971" spans="1:11" x14ac:dyDescent="0.2">
      <c r="A3971" s="2">
        <v>994</v>
      </c>
      <c r="B3971" s="2">
        <v>6</v>
      </c>
      <c r="C3971" s="2">
        <v>61883561</v>
      </c>
      <c r="D3971" s="2">
        <v>62693128</v>
      </c>
      <c r="E3971" s="2">
        <v>1</v>
      </c>
      <c r="F3971" s="2" t="s">
        <v>10086</v>
      </c>
      <c r="H3971" s="2">
        <v>1.2999999999999999E-3</v>
      </c>
      <c r="K3971" s="2" t="s">
        <v>10087</v>
      </c>
    </row>
    <row r="3972" spans="1:11" x14ac:dyDescent="0.2">
      <c r="A3972" s="2">
        <v>994</v>
      </c>
      <c r="B3972" s="2">
        <v>6</v>
      </c>
      <c r="C3972" s="2">
        <v>61883561</v>
      </c>
      <c r="D3972" s="2">
        <v>62693128</v>
      </c>
      <c r="E3972" s="2">
        <v>2</v>
      </c>
      <c r="F3972" s="2" t="s">
        <v>10086</v>
      </c>
      <c r="H3972" s="3">
        <v>5.9999999999999995E-4</v>
      </c>
      <c r="K3972" s="2" t="s">
        <v>10088</v>
      </c>
    </row>
    <row r="3973" spans="1:11" x14ac:dyDescent="0.2">
      <c r="A3973" s="2">
        <v>994</v>
      </c>
      <c r="B3973" s="2">
        <v>6</v>
      </c>
      <c r="C3973" s="2">
        <v>61883561</v>
      </c>
      <c r="D3973" s="2">
        <v>62693128</v>
      </c>
      <c r="E3973" s="2">
        <v>3</v>
      </c>
      <c r="F3973" s="2" t="s">
        <v>10086</v>
      </c>
      <c r="H3973" s="3">
        <v>5.0000000000000001E-4</v>
      </c>
      <c r="K3973" s="2" t="s">
        <v>10089</v>
      </c>
    </row>
    <row r="3974" spans="1:11" x14ac:dyDescent="0.2">
      <c r="A3974" s="2">
        <v>994</v>
      </c>
      <c r="B3974" s="2">
        <v>6</v>
      </c>
      <c r="C3974" s="2">
        <v>61883561</v>
      </c>
      <c r="D3974" s="2">
        <v>62693128</v>
      </c>
      <c r="E3974" s="2">
        <v>4</v>
      </c>
      <c r="F3974" s="2" t="s">
        <v>10086</v>
      </c>
      <c r="H3974" s="3">
        <v>5.0000000000000001E-4</v>
      </c>
      <c r="K3974" s="2" t="s">
        <v>12324</v>
      </c>
    </row>
    <row r="3975" spans="1:11" x14ac:dyDescent="0.2">
      <c r="A3975" s="2">
        <v>995</v>
      </c>
      <c r="B3975" s="2">
        <v>6</v>
      </c>
      <c r="C3975" s="2">
        <v>62693129</v>
      </c>
      <c r="D3975" s="2">
        <v>64010286</v>
      </c>
      <c r="E3975" s="2">
        <v>1</v>
      </c>
      <c r="F3975" s="2" t="s">
        <v>10086</v>
      </c>
      <c r="H3975" s="2">
        <v>1.2999999999999999E-3</v>
      </c>
      <c r="K3975" s="2" t="s">
        <v>10087</v>
      </c>
    </row>
    <row r="3976" spans="1:11" x14ac:dyDescent="0.2">
      <c r="A3976" s="2">
        <v>995</v>
      </c>
      <c r="B3976" s="2">
        <v>6</v>
      </c>
      <c r="C3976" s="2">
        <v>62693129</v>
      </c>
      <c r="D3976" s="2">
        <v>64010286</v>
      </c>
      <c r="E3976" s="2">
        <v>2</v>
      </c>
      <c r="F3976" s="2" t="s">
        <v>10086</v>
      </c>
      <c r="H3976" s="2">
        <v>1E-3</v>
      </c>
      <c r="K3976" s="2" t="s">
        <v>10085</v>
      </c>
    </row>
    <row r="3977" spans="1:11" x14ac:dyDescent="0.2">
      <c r="A3977" s="2">
        <v>995</v>
      </c>
      <c r="B3977" s="2">
        <v>6</v>
      </c>
      <c r="C3977" s="2">
        <v>62693129</v>
      </c>
      <c r="D3977" s="2">
        <v>64010286</v>
      </c>
      <c r="E3977" s="2">
        <v>3</v>
      </c>
      <c r="F3977" s="2" t="s">
        <v>10086</v>
      </c>
      <c r="H3977" s="3">
        <v>6.9999999999999999E-4</v>
      </c>
      <c r="K3977" s="2" t="s">
        <v>10088</v>
      </c>
    </row>
    <row r="3978" spans="1:11" x14ac:dyDescent="0.2">
      <c r="A3978" s="2">
        <v>995</v>
      </c>
      <c r="B3978" s="2">
        <v>6</v>
      </c>
      <c r="C3978" s="2">
        <v>62693129</v>
      </c>
      <c r="D3978" s="2">
        <v>64010286</v>
      </c>
      <c r="E3978" s="2">
        <v>4</v>
      </c>
      <c r="F3978" s="2" t="s">
        <v>10086</v>
      </c>
      <c r="H3978" s="3">
        <v>2.9999999999999997E-4</v>
      </c>
      <c r="K3978" s="2" t="s">
        <v>10089</v>
      </c>
    </row>
    <row r="3979" spans="1:11" x14ac:dyDescent="0.2">
      <c r="A3979" s="2">
        <v>996</v>
      </c>
      <c r="B3979" s="2">
        <v>6</v>
      </c>
      <c r="C3979" s="2">
        <v>64010287</v>
      </c>
      <c r="D3979" s="2">
        <v>65759861</v>
      </c>
      <c r="E3979" s="2">
        <v>1</v>
      </c>
      <c r="F3979" s="2" t="s">
        <v>10086</v>
      </c>
      <c r="H3979" s="2">
        <v>1.8E-3</v>
      </c>
      <c r="K3979" s="2" t="s">
        <v>10085</v>
      </c>
    </row>
    <row r="3980" spans="1:11" x14ac:dyDescent="0.2">
      <c r="A3980" s="2">
        <v>996</v>
      </c>
      <c r="B3980" s="2">
        <v>6</v>
      </c>
      <c r="C3980" s="2">
        <v>64010287</v>
      </c>
      <c r="D3980" s="2">
        <v>65759861</v>
      </c>
      <c r="E3980" s="2">
        <v>2</v>
      </c>
      <c r="F3980" s="2" t="s">
        <v>10086</v>
      </c>
      <c r="H3980" s="2">
        <v>1.9E-3</v>
      </c>
      <c r="K3980" s="2" t="s">
        <v>10089</v>
      </c>
    </row>
    <row r="3981" spans="1:11" x14ac:dyDescent="0.2">
      <c r="A3981" s="2">
        <v>996</v>
      </c>
      <c r="B3981" s="2">
        <v>6</v>
      </c>
      <c r="C3981" s="2">
        <v>64010287</v>
      </c>
      <c r="D3981" s="2">
        <v>65759861</v>
      </c>
      <c r="E3981" s="2">
        <v>3</v>
      </c>
      <c r="F3981" s="2" t="s">
        <v>10086</v>
      </c>
      <c r="H3981" s="2">
        <v>1.2999999999999999E-3</v>
      </c>
      <c r="K3981" s="2" t="s">
        <v>12324</v>
      </c>
    </row>
    <row r="3982" spans="1:11" x14ac:dyDescent="0.2">
      <c r="A3982" s="2">
        <v>996</v>
      </c>
      <c r="B3982" s="2">
        <v>6</v>
      </c>
      <c r="C3982" s="2">
        <v>64010287</v>
      </c>
      <c r="D3982" s="2">
        <v>65759861</v>
      </c>
      <c r="E3982" s="2">
        <v>4</v>
      </c>
      <c r="F3982" s="2" t="s">
        <v>10086</v>
      </c>
      <c r="H3982" s="2">
        <v>1.4E-3</v>
      </c>
      <c r="K3982" s="2" t="s">
        <v>10087</v>
      </c>
    </row>
    <row r="3983" spans="1:11" x14ac:dyDescent="0.2">
      <c r="A3983" s="2">
        <v>997</v>
      </c>
      <c r="B3983" s="2">
        <v>6</v>
      </c>
      <c r="C3983" s="2">
        <v>65759862</v>
      </c>
      <c r="D3983" s="2">
        <v>66445495</v>
      </c>
      <c r="E3983" s="2">
        <v>1</v>
      </c>
      <c r="F3983" s="2" t="s">
        <v>10086</v>
      </c>
      <c r="H3983" s="3">
        <v>8.0000000000000004E-4</v>
      </c>
      <c r="K3983" s="2" t="s">
        <v>10088</v>
      </c>
    </row>
    <row r="3984" spans="1:11" x14ac:dyDescent="0.2">
      <c r="A3984" s="2">
        <v>997</v>
      </c>
      <c r="B3984" s="2">
        <v>6</v>
      </c>
      <c r="C3984" s="2">
        <v>65759862</v>
      </c>
      <c r="D3984" s="2">
        <v>66445495</v>
      </c>
      <c r="E3984" s="2">
        <v>2</v>
      </c>
      <c r="F3984" s="2" t="s">
        <v>10086</v>
      </c>
      <c r="H3984" s="3">
        <v>5.9999999999999995E-4</v>
      </c>
      <c r="K3984" s="2" t="s">
        <v>10089</v>
      </c>
    </row>
    <row r="3985" spans="1:11" x14ac:dyDescent="0.2">
      <c r="A3985" s="2">
        <v>997</v>
      </c>
      <c r="B3985" s="2">
        <v>6</v>
      </c>
      <c r="C3985" s="2">
        <v>65759862</v>
      </c>
      <c r="D3985" s="2">
        <v>66445495</v>
      </c>
      <c r="E3985" s="2">
        <v>3</v>
      </c>
      <c r="F3985" s="2" t="s">
        <v>10086</v>
      </c>
      <c r="H3985" s="3">
        <v>5.0000000000000001E-4</v>
      </c>
      <c r="K3985" s="2" t="s">
        <v>10085</v>
      </c>
    </row>
    <row r="3986" spans="1:11" x14ac:dyDescent="0.2">
      <c r="A3986" s="2">
        <v>997</v>
      </c>
      <c r="B3986" s="2">
        <v>6</v>
      </c>
      <c r="C3986" s="2">
        <v>65759862</v>
      </c>
      <c r="D3986" s="2">
        <v>66445495</v>
      </c>
      <c r="E3986" s="2">
        <v>4</v>
      </c>
      <c r="F3986" s="2" t="s">
        <v>10086</v>
      </c>
      <c r="H3986" s="3">
        <v>4.0000000000000002E-4</v>
      </c>
      <c r="K3986" s="2" t="s">
        <v>10087</v>
      </c>
    </row>
    <row r="3987" spans="1:11" x14ac:dyDescent="0.2">
      <c r="A3987" s="2">
        <v>998</v>
      </c>
      <c r="B3987" s="2">
        <v>6</v>
      </c>
      <c r="C3987" s="2">
        <v>66445496</v>
      </c>
      <c r="D3987" s="2">
        <v>67036787</v>
      </c>
      <c r="E3987" s="2">
        <v>1</v>
      </c>
      <c r="F3987" s="2" t="s">
        <v>10086</v>
      </c>
      <c r="H3987" s="2">
        <v>2.3E-3</v>
      </c>
      <c r="K3987" s="2" t="s">
        <v>10087</v>
      </c>
    </row>
    <row r="3988" spans="1:11" x14ac:dyDescent="0.2">
      <c r="A3988" s="2">
        <v>998</v>
      </c>
      <c r="B3988" s="2">
        <v>6</v>
      </c>
      <c r="C3988" s="2">
        <v>66445496</v>
      </c>
      <c r="D3988" s="2">
        <v>67036787</v>
      </c>
      <c r="E3988" s="2">
        <v>2</v>
      </c>
      <c r="F3988" s="2" t="s">
        <v>10086</v>
      </c>
      <c r="H3988" s="2">
        <v>1.4E-3</v>
      </c>
      <c r="K3988" s="2" t="s">
        <v>10085</v>
      </c>
    </row>
    <row r="3989" spans="1:11" x14ac:dyDescent="0.2">
      <c r="A3989" s="2">
        <v>998</v>
      </c>
      <c r="B3989" s="2">
        <v>6</v>
      </c>
      <c r="C3989" s="2">
        <v>66445496</v>
      </c>
      <c r="D3989" s="2">
        <v>67036787</v>
      </c>
      <c r="E3989" s="2">
        <v>3</v>
      </c>
      <c r="F3989" s="2" t="s">
        <v>10086</v>
      </c>
      <c r="H3989" s="3">
        <v>5.0000000000000001E-4</v>
      </c>
      <c r="K3989" s="2" t="s">
        <v>10089</v>
      </c>
    </row>
    <row r="3990" spans="1:11" x14ac:dyDescent="0.2">
      <c r="A3990" s="2">
        <v>998</v>
      </c>
      <c r="B3990" s="2">
        <v>6</v>
      </c>
      <c r="C3990" s="2">
        <v>66445496</v>
      </c>
      <c r="D3990" s="2">
        <v>67036787</v>
      </c>
      <c r="E3990" s="2">
        <v>4</v>
      </c>
      <c r="F3990" s="2" t="s">
        <v>10086</v>
      </c>
      <c r="H3990" s="3">
        <v>4.0000000000000002E-4</v>
      </c>
      <c r="K3990" s="2" t="s">
        <v>12324</v>
      </c>
    </row>
    <row r="3991" spans="1:11" x14ac:dyDescent="0.2">
      <c r="A3991" s="2">
        <v>999</v>
      </c>
      <c r="B3991" s="2">
        <v>6</v>
      </c>
      <c r="C3991" s="2">
        <v>67036788</v>
      </c>
      <c r="D3991" s="2">
        <v>67559694</v>
      </c>
      <c r="E3991" s="2">
        <v>1</v>
      </c>
      <c r="F3991" s="2" t="s">
        <v>10086</v>
      </c>
      <c r="H3991" s="2">
        <v>1.4200000000000001E-2</v>
      </c>
      <c r="K3991" s="2" t="s">
        <v>10088</v>
      </c>
    </row>
    <row r="3992" spans="1:11" x14ac:dyDescent="0.2">
      <c r="A3992" s="2">
        <v>999</v>
      </c>
      <c r="B3992" s="2">
        <v>6</v>
      </c>
      <c r="C3992" s="2">
        <v>67036788</v>
      </c>
      <c r="D3992" s="2">
        <v>67559694</v>
      </c>
      <c r="E3992" s="2">
        <v>2</v>
      </c>
      <c r="F3992" s="2" t="s">
        <v>10086</v>
      </c>
      <c r="H3992" s="2">
        <v>2.3999999999999998E-3</v>
      </c>
      <c r="K3992" s="2" t="s">
        <v>12324</v>
      </c>
    </row>
    <row r="3993" spans="1:11" x14ac:dyDescent="0.2">
      <c r="A3993" s="2">
        <v>999</v>
      </c>
      <c r="B3993" s="2">
        <v>6</v>
      </c>
      <c r="C3993" s="2">
        <v>67036788</v>
      </c>
      <c r="D3993" s="2">
        <v>67559694</v>
      </c>
      <c r="E3993" s="2">
        <v>3</v>
      </c>
      <c r="F3993" s="2" t="s">
        <v>10086</v>
      </c>
      <c r="H3993" s="2">
        <v>1.5E-3</v>
      </c>
      <c r="K3993" s="2" t="s">
        <v>10085</v>
      </c>
    </row>
    <row r="3994" spans="1:11" x14ac:dyDescent="0.2">
      <c r="A3994" s="2">
        <v>999</v>
      </c>
      <c r="B3994" s="2">
        <v>6</v>
      </c>
      <c r="C3994" s="2">
        <v>67036788</v>
      </c>
      <c r="D3994" s="2">
        <v>67559694</v>
      </c>
      <c r="E3994" s="2">
        <v>4</v>
      </c>
      <c r="F3994" s="2" t="s">
        <v>10086</v>
      </c>
      <c r="H3994" s="2">
        <v>1.4E-3</v>
      </c>
      <c r="K3994" s="2" t="s">
        <v>10089</v>
      </c>
    </row>
    <row r="3995" spans="1:11" x14ac:dyDescent="0.2">
      <c r="A3995" s="2">
        <v>1000</v>
      </c>
      <c r="B3995" s="2">
        <v>6</v>
      </c>
      <c r="C3995" s="2">
        <v>67559695</v>
      </c>
      <c r="D3995" s="2">
        <v>68547494</v>
      </c>
      <c r="E3995" s="2">
        <v>1</v>
      </c>
      <c r="F3995" s="2" t="s">
        <v>10086</v>
      </c>
      <c r="H3995" s="2">
        <v>3.3999999999999998E-3</v>
      </c>
      <c r="K3995" s="2" t="s">
        <v>12324</v>
      </c>
    </row>
    <row r="3996" spans="1:11" x14ac:dyDescent="0.2">
      <c r="A3996" s="2">
        <v>1000</v>
      </c>
      <c r="B3996" s="2">
        <v>6</v>
      </c>
      <c r="C3996" s="2">
        <v>67559695</v>
      </c>
      <c r="D3996" s="2">
        <v>68547494</v>
      </c>
      <c r="E3996" s="2">
        <v>2</v>
      </c>
      <c r="F3996" s="2" t="s">
        <v>10086</v>
      </c>
      <c r="H3996" s="2">
        <v>1.4E-3</v>
      </c>
      <c r="K3996" s="2" t="s">
        <v>10087</v>
      </c>
    </row>
    <row r="3997" spans="1:11" x14ac:dyDescent="0.2">
      <c r="A3997" s="2">
        <v>1000</v>
      </c>
      <c r="B3997" s="2">
        <v>6</v>
      </c>
      <c r="C3997" s="2">
        <v>67559695</v>
      </c>
      <c r="D3997" s="2">
        <v>68547494</v>
      </c>
      <c r="E3997" s="2">
        <v>3</v>
      </c>
      <c r="F3997" s="2" t="s">
        <v>10086</v>
      </c>
      <c r="H3997" s="2">
        <v>1.8E-3</v>
      </c>
      <c r="K3997" s="2" t="s">
        <v>10089</v>
      </c>
    </row>
    <row r="3998" spans="1:11" x14ac:dyDescent="0.2">
      <c r="A3998" s="2">
        <v>1000</v>
      </c>
      <c r="B3998" s="2">
        <v>6</v>
      </c>
      <c r="C3998" s="2">
        <v>67559695</v>
      </c>
      <c r="D3998" s="2">
        <v>68547494</v>
      </c>
      <c r="E3998" s="2">
        <v>4</v>
      </c>
      <c r="F3998" s="2" t="s">
        <v>10086</v>
      </c>
      <c r="H3998" s="2">
        <v>1.1999999999999999E-3</v>
      </c>
      <c r="K3998" s="2" t="s">
        <v>10085</v>
      </c>
    </row>
    <row r="3999" spans="1:11" x14ac:dyDescent="0.2">
      <c r="A3999" s="2">
        <v>1001</v>
      </c>
      <c r="B3999" s="2">
        <v>6</v>
      </c>
      <c r="C3999" s="2">
        <v>68547495</v>
      </c>
      <c r="D3999" s="2">
        <v>69294227</v>
      </c>
      <c r="E3999" s="2">
        <v>1</v>
      </c>
      <c r="F3999" s="2" t="s">
        <v>10086</v>
      </c>
      <c r="H3999" s="2">
        <v>1E-3</v>
      </c>
      <c r="K3999" s="2" t="s">
        <v>10085</v>
      </c>
    </row>
    <row r="4000" spans="1:11" x14ac:dyDescent="0.2">
      <c r="A4000" s="2">
        <v>1001</v>
      </c>
      <c r="B4000" s="2">
        <v>6</v>
      </c>
      <c r="C4000" s="2">
        <v>68547495</v>
      </c>
      <c r="D4000" s="2">
        <v>69294227</v>
      </c>
      <c r="E4000" s="2">
        <v>2</v>
      </c>
      <c r="F4000" s="2" t="s">
        <v>10086</v>
      </c>
      <c r="H4000" s="3">
        <v>6.9999999999999999E-4</v>
      </c>
      <c r="K4000" s="2" t="s">
        <v>10088</v>
      </c>
    </row>
    <row r="4001" spans="1:11" x14ac:dyDescent="0.2">
      <c r="A4001" s="2">
        <v>1001</v>
      </c>
      <c r="B4001" s="2">
        <v>6</v>
      </c>
      <c r="C4001" s="2">
        <v>68547495</v>
      </c>
      <c r="D4001" s="2">
        <v>69294227</v>
      </c>
      <c r="E4001" s="2">
        <v>3</v>
      </c>
      <c r="F4001" s="2" t="s">
        <v>10086</v>
      </c>
      <c r="H4001" s="3">
        <v>6.9999999999999999E-4</v>
      </c>
      <c r="K4001" s="2" t="s">
        <v>10087</v>
      </c>
    </row>
    <row r="4002" spans="1:11" x14ac:dyDescent="0.2">
      <c r="A4002" s="2">
        <v>1001</v>
      </c>
      <c r="B4002" s="2">
        <v>6</v>
      </c>
      <c r="C4002" s="2">
        <v>68547495</v>
      </c>
      <c r="D4002" s="2">
        <v>69294227</v>
      </c>
      <c r="E4002" s="2">
        <v>4</v>
      </c>
      <c r="F4002" s="2" t="s">
        <v>10086</v>
      </c>
      <c r="H4002" s="3">
        <v>4.0000000000000002E-4</v>
      </c>
      <c r="K4002" s="2" t="s">
        <v>10089</v>
      </c>
    </row>
    <row r="4003" spans="1:11" x14ac:dyDescent="0.2">
      <c r="A4003" s="2">
        <v>1002</v>
      </c>
      <c r="B4003" s="2">
        <v>6</v>
      </c>
      <c r="C4003" s="2">
        <v>69294228</v>
      </c>
      <c r="D4003" s="2">
        <v>70363348</v>
      </c>
      <c r="E4003" s="2">
        <v>1</v>
      </c>
      <c r="F4003" s="2" t="s">
        <v>10086</v>
      </c>
      <c r="H4003" s="2">
        <v>3.0999999999999999E-3</v>
      </c>
      <c r="K4003" s="2" t="s">
        <v>10085</v>
      </c>
    </row>
    <row r="4004" spans="1:11" x14ac:dyDescent="0.2">
      <c r="A4004" s="2">
        <v>1002</v>
      </c>
      <c r="B4004" s="2">
        <v>6</v>
      </c>
      <c r="C4004" s="2">
        <v>69294228</v>
      </c>
      <c r="D4004" s="2">
        <v>70363348</v>
      </c>
      <c r="E4004" s="2">
        <v>2</v>
      </c>
      <c r="F4004" s="2" t="s">
        <v>10086</v>
      </c>
      <c r="H4004" s="2">
        <v>1.8E-3</v>
      </c>
      <c r="K4004" s="2" t="s">
        <v>10088</v>
      </c>
    </row>
    <row r="4005" spans="1:11" x14ac:dyDescent="0.2">
      <c r="A4005" s="2">
        <v>1002</v>
      </c>
      <c r="B4005" s="2">
        <v>6</v>
      </c>
      <c r="C4005" s="2">
        <v>69294228</v>
      </c>
      <c r="D4005" s="2">
        <v>70363348</v>
      </c>
      <c r="E4005" s="2">
        <v>3</v>
      </c>
      <c r="F4005" s="2" t="s">
        <v>10086</v>
      </c>
      <c r="H4005" s="3">
        <v>8.0000000000000004E-4</v>
      </c>
      <c r="K4005" s="2" t="s">
        <v>10087</v>
      </c>
    </row>
    <row r="4006" spans="1:11" x14ac:dyDescent="0.2">
      <c r="A4006" s="2">
        <v>1002</v>
      </c>
      <c r="B4006" s="2">
        <v>6</v>
      </c>
      <c r="C4006" s="2">
        <v>69294228</v>
      </c>
      <c r="D4006" s="2">
        <v>70363348</v>
      </c>
      <c r="E4006" s="2">
        <v>4</v>
      </c>
      <c r="F4006" s="2" t="s">
        <v>10086</v>
      </c>
      <c r="H4006" s="3">
        <v>5.0000000000000001E-4</v>
      </c>
      <c r="K4006" s="2" t="s">
        <v>10089</v>
      </c>
    </row>
    <row r="4007" spans="1:11" x14ac:dyDescent="0.2">
      <c r="A4007" s="2">
        <v>1003</v>
      </c>
      <c r="B4007" s="2">
        <v>6</v>
      </c>
      <c r="C4007" s="2">
        <v>70363349</v>
      </c>
      <c r="D4007" s="2">
        <v>71610787</v>
      </c>
      <c r="E4007" s="2">
        <v>1</v>
      </c>
      <c r="F4007" s="2" t="s">
        <v>10086</v>
      </c>
      <c r="H4007" s="2">
        <v>1.1000000000000001E-3</v>
      </c>
      <c r="K4007" s="2" t="s">
        <v>10088</v>
      </c>
    </row>
    <row r="4008" spans="1:11" x14ac:dyDescent="0.2">
      <c r="A4008" s="2">
        <v>1003</v>
      </c>
      <c r="B4008" s="2">
        <v>6</v>
      </c>
      <c r="C4008" s="2">
        <v>70363349</v>
      </c>
      <c r="D4008" s="2">
        <v>71610787</v>
      </c>
      <c r="E4008" s="2">
        <v>2</v>
      </c>
      <c r="F4008" s="2" t="s">
        <v>10086</v>
      </c>
      <c r="H4008" s="2">
        <v>2.3999999999999998E-3</v>
      </c>
      <c r="K4008" s="2" t="s">
        <v>12324</v>
      </c>
    </row>
    <row r="4009" spans="1:11" x14ac:dyDescent="0.2">
      <c r="A4009" s="2">
        <v>1003</v>
      </c>
      <c r="B4009" s="2">
        <v>6</v>
      </c>
      <c r="C4009" s="2">
        <v>70363349</v>
      </c>
      <c r="D4009" s="2">
        <v>71610787</v>
      </c>
      <c r="E4009" s="2">
        <v>3</v>
      </c>
      <c r="F4009" s="2" t="s">
        <v>10086</v>
      </c>
      <c r="H4009" s="2">
        <v>1E-3</v>
      </c>
      <c r="K4009" s="2" t="s">
        <v>10085</v>
      </c>
    </row>
    <row r="4010" spans="1:11" x14ac:dyDescent="0.2">
      <c r="A4010" s="2">
        <v>1003</v>
      </c>
      <c r="B4010" s="2">
        <v>6</v>
      </c>
      <c r="C4010" s="2">
        <v>70363349</v>
      </c>
      <c r="D4010" s="2">
        <v>71610787</v>
      </c>
      <c r="E4010" s="2">
        <v>4</v>
      </c>
      <c r="F4010" s="2" t="s">
        <v>10086</v>
      </c>
      <c r="H4010" s="3">
        <v>8.9999999999999998E-4</v>
      </c>
      <c r="K4010" s="2" t="s">
        <v>10087</v>
      </c>
    </row>
    <row r="4011" spans="1:11" x14ac:dyDescent="0.2">
      <c r="A4011" s="2">
        <v>1004</v>
      </c>
      <c r="B4011" s="2">
        <v>6</v>
      </c>
      <c r="C4011" s="2">
        <v>71610788</v>
      </c>
      <c r="D4011" s="2">
        <v>72290723</v>
      </c>
      <c r="E4011" s="2">
        <v>1</v>
      </c>
      <c r="F4011" s="2" t="s">
        <v>10086</v>
      </c>
      <c r="H4011" s="2">
        <v>1.1000000000000001E-3</v>
      </c>
      <c r="K4011" s="2" t="s">
        <v>10088</v>
      </c>
    </row>
    <row r="4012" spans="1:11" x14ac:dyDescent="0.2">
      <c r="A4012" s="2">
        <v>1004</v>
      </c>
      <c r="B4012" s="2">
        <v>6</v>
      </c>
      <c r="C4012" s="2">
        <v>71610788</v>
      </c>
      <c r="D4012" s="2">
        <v>72290723</v>
      </c>
      <c r="E4012" s="2">
        <v>2</v>
      </c>
      <c r="F4012" s="2" t="s">
        <v>10086</v>
      </c>
      <c r="H4012" s="3">
        <v>6.9999999999999999E-4</v>
      </c>
      <c r="K4012" s="2" t="s">
        <v>10085</v>
      </c>
    </row>
    <row r="4013" spans="1:11" x14ac:dyDescent="0.2">
      <c r="A4013" s="2">
        <v>1004</v>
      </c>
      <c r="B4013" s="2">
        <v>6</v>
      </c>
      <c r="C4013" s="2">
        <v>71610788</v>
      </c>
      <c r="D4013" s="2">
        <v>72290723</v>
      </c>
      <c r="E4013" s="2">
        <v>3</v>
      </c>
      <c r="F4013" s="2" t="s">
        <v>10086</v>
      </c>
      <c r="H4013" s="3">
        <v>5.9999999999999995E-4</v>
      </c>
      <c r="K4013" s="2" t="s">
        <v>10089</v>
      </c>
    </row>
    <row r="4014" spans="1:11" x14ac:dyDescent="0.2">
      <c r="A4014" s="2">
        <v>1004</v>
      </c>
      <c r="B4014" s="2">
        <v>6</v>
      </c>
      <c r="C4014" s="2">
        <v>71610788</v>
      </c>
      <c r="D4014" s="2">
        <v>72290723</v>
      </c>
      <c r="E4014" s="2">
        <v>4</v>
      </c>
      <c r="F4014" s="2" t="s">
        <v>10086</v>
      </c>
      <c r="H4014" s="3">
        <v>4.0000000000000002E-4</v>
      </c>
      <c r="K4014" s="2" t="s">
        <v>12324</v>
      </c>
    </row>
    <row r="4015" spans="1:11" x14ac:dyDescent="0.2">
      <c r="A4015" s="2">
        <v>1005</v>
      </c>
      <c r="B4015" s="2">
        <v>6</v>
      </c>
      <c r="C4015" s="2">
        <v>72290724</v>
      </c>
      <c r="D4015" s="2">
        <v>73170168</v>
      </c>
      <c r="E4015" s="2">
        <v>1</v>
      </c>
      <c r="F4015" s="2" t="s">
        <v>10086</v>
      </c>
      <c r="H4015" s="2">
        <v>1.1000000000000001E-3</v>
      </c>
      <c r="K4015" s="2" t="s">
        <v>10087</v>
      </c>
    </row>
    <row r="4016" spans="1:11" x14ac:dyDescent="0.2">
      <c r="A4016" s="2">
        <v>1005</v>
      </c>
      <c r="B4016" s="2">
        <v>6</v>
      </c>
      <c r="C4016" s="2">
        <v>72290724</v>
      </c>
      <c r="D4016" s="2">
        <v>73170168</v>
      </c>
      <c r="E4016" s="2">
        <v>2</v>
      </c>
      <c r="F4016" s="2" t="s">
        <v>10086</v>
      </c>
      <c r="H4016" s="3">
        <v>8.0000000000000004E-4</v>
      </c>
      <c r="K4016" s="2" t="s">
        <v>10088</v>
      </c>
    </row>
    <row r="4017" spans="1:11" x14ac:dyDescent="0.2">
      <c r="A4017" s="2">
        <v>1005</v>
      </c>
      <c r="B4017" s="2">
        <v>6</v>
      </c>
      <c r="C4017" s="2">
        <v>72290724</v>
      </c>
      <c r="D4017" s="2">
        <v>73170168</v>
      </c>
      <c r="E4017" s="2">
        <v>3</v>
      </c>
      <c r="F4017" s="2" t="s">
        <v>10086</v>
      </c>
      <c r="H4017" s="3">
        <v>5.9999999999999995E-4</v>
      </c>
      <c r="K4017" s="2" t="s">
        <v>10089</v>
      </c>
    </row>
    <row r="4018" spans="1:11" x14ac:dyDescent="0.2">
      <c r="A4018" s="2">
        <v>1005</v>
      </c>
      <c r="B4018" s="2">
        <v>6</v>
      </c>
      <c r="C4018" s="2">
        <v>72290724</v>
      </c>
      <c r="D4018" s="2">
        <v>73170168</v>
      </c>
      <c r="E4018" s="2">
        <v>4</v>
      </c>
      <c r="F4018" s="2" t="s">
        <v>10086</v>
      </c>
      <c r="H4018" s="3">
        <v>2.0000000000000001E-4</v>
      </c>
      <c r="K4018" s="2" t="s">
        <v>10085</v>
      </c>
    </row>
    <row r="4019" spans="1:11" x14ac:dyDescent="0.2">
      <c r="A4019" s="2">
        <v>1006</v>
      </c>
      <c r="B4019" s="2">
        <v>6</v>
      </c>
      <c r="C4019" s="2">
        <v>73170169</v>
      </c>
      <c r="D4019" s="2">
        <v>74401506</v>
      </c>
      <c r="E4019" s="2">
        <v>1</v>
      </c>
      <c r="F4019" s="2" t="s">
        <v>10086</v>
      </c>
      <c r="H4019" s="2">
        <v>1.0699999999999999E-2</v>
      </c>
      <c r="K4019" s="2" t="s">
        <v>10085</v>
      </c>
    </row>
    <row r="4020" spans="1:11" x14ac:dyDescent="0.2">
      <c r="A4020" s="2">
        <v>1006</v>
      </c>
      <c r="B4020" s="2">
        <v>6</v>
      </c>
      <c r="C4020" s="2">
        <v>73170169</v>
      </c>
      <c r="D4020" s="2">
        <v>74401506</v>
      </c>
      <c r="E4020" s="2">
        <v>2</v>
      </c>
      <c r="F4020" s="2" t="s">
        <v>10086</v>
      </c>
      <c r="H4020" s="2">
        <v>2E-3</v>
      </c>
      <c r="K4020" s="2" t="s">
        <v>10087</v>
      </c>
    </row>
    <row r="4021" spans="1:11" x14ac:dyDescent="0.2">
      <c r="A4021" s="2">
        <v>1006</v>
      </c>
      <c r="B4021" s="2">
        <v>6</v>
      </c>
      <c r="C4021" s="2">
        <v>73170169</v>
      </c>
      <c r="D4021" s="2">
        <v>74401506</v>
      </c>
      <c r="E4021" s="2">
        <v>3</v>
      </c>
      <c r="F4021" s="2" t="s">
        <v>10086</v>
      </c>
      <c r="H4021" s="2">
        <v>1E-3</v>
      </c>
      <c r="K4021" s="2" t="s">
        <v>10088</v>
      </c>
    </row>
    <row r="4022" spans="1:11" x14ac:dyDescent="0.2">
      <c r="A4022" s="2">
        <v>1006</v>
      </c>
      <c r="B4022" s="2">
        <v>6</v>
      </c>
      <c r="C4022" s="2">
        <v>73170169</v>
      </c>
      <c r="D4022" s="2">
        <v>74401506</v>
      </c>
      <c r="E4022" s="2">
        <v>4</v>
      </c>
      <c r="F4022" s="2" t="s">
        <v>10086</v>
      </c>
      <c r="H4022" s="3">
        <v>6.9999999999999999E-4</v>
      </c>
      <c r="K4022" s="2" t="s">
        <v>12324</v>
      </c>
    </row>
    <row r="4023" spans="1:11" x14ac:dyDescent="0.2">
      <c r="A4023" s="2">
        <v>1007</v>
      </c>
      <c r="B4023" s="2">
        <v>6</v>
      </c>
      <c r="C4023" s="2">
        <v>74401507</v>
      </c>
      <c r="D4023" s="2">
        <v>75461313</v>
      </c>
      <c r="E4023" s="2">
        <v>1</v>
      </c>
      <c r="F4023" s="2" t="s">
        <v>10086</v>
      </c>
      <c r="H4023" s="2">
        <v>3.5000000000000001E-3</v>
      </c>
      <c r="K4023" s="2" t="s">
        <v>10088</v>
      </c>
    </row>
    <row r="4024" spans="1:11" x14ac:dyDescent="0.2">
      <c r="A4024" s="2">
        <v>1007</v>
      </c>
      <c r="B4024" s="2">
        <v>6</v>
      </c>
      <c r="C4024" s="2">
        <v>74401507</v>
      </c>
      <c r="D4024" s="2">
        <v>75461313</v>
      </c>
      <c r="E4024" s="2">
        <v>2</v>
      </c>
      <c r="F4024" s="2" t="s">
        <v>10086</v>
      </c>
      <c r="H4024" s="2">
        <v>1.1999999999999999E-3</v>
      </c>
      <c r="K4024" s="2" t="s">
        <v>10087</v>
      </c>
    </row>
    <row r="4025" spans="1:11" x14ac:dyDescent="0.2">
      <c r="A4025" s="2">
        <v>1007</v>
      </c>
      <c r="B4025" s="2">
        <v>6</v>
      </c>
      <c r="C4025" s="2">
        <v>74401507</v>
      </c>
      <c r="D4025" s="2">
        <v>75461313</v>
      </c>
      <c r="E4025" s="2">
        <v>3</v>
      </c>
      <c r="F4025" s="2" t="s">
        <v>10086</v>
      </c>
      <c r="H4025" s="2">
        <v>1.1000000000000001E-3</v>
      </c>
      <c r="K4025" s="2" t="s">
        <v>10085</v>
      </c>
    </row>
    <row r="4026" spans="1:11" x14ac:dyDescent="0.2">
      <c r="A4026" s="2">
        <v>1007</v>
      </c>
      <c r="B4026" s="2">
        <v>6</v>
      </c>
      <c r="C4026" s="2">
        <v>74401507</v>
      </c>
      <c r="D4026" s="2">
        <v>75461313</v>
      </c>
      <c r="E4026" s="2">
        <v>4</v>
      </c>
      <c r="F4026" s="2" t="s">
        <v>10086</v>
      </c>
      <c r="H4026" s="3">
        <v>5.0000000000000001E-4</v>
      </c>
      <c r="K4026" s="2" t="s">
        <v>10089</v>
      </c>
    </row>
    <row r="4027" spans="1:11" x14ac:dyDescent="0.2">
      <c r="A4027" s="2">
        <v>1008</v>
      </c>
      <c r="B4027" s="2">
        <v>6</v>
      </c>
      <c r="C4027" s="2">
        <v>75461314</v>
      </c>
      <c r="D4027" s="2">
        <v>77274030</v>
      </c>
      <c r="E4027" s="2">
        <v>1</v>
      </c>
      <c r="F4027" s="2" t="s">
        <v>10086</v>
      </c>
      <c r="H4027" s="2">
        <v>2.3999999999999998E-3</v>
      </c>
      <c r="K4027" s="2" t="s">
        <v>10088</v>
      </c>
    </row>
    <row r="4028" spans="1:11" x14ac:dyDescent="0.2">
      <c r="A4028" s="2">
        <v>1008</v>
      </c>
      <c r="B4028" s="2">
        <v>6</v>
      </c>
      <c r="C4028" s="2">
        <v>75461314</v>
      </c>
      <c r="D4028" s="2">
        <v>77274030</v>
      </c>
      <c r="E4028" s="2">
        <v>2</v>
      </c>
      <c r="F4028" s="2" t="s">
        <v>10086</v>
      </c>
      <c r="H4028" s="2">
        <v>2.5999999999999999E-3</v>
      </c>
      <c r="K4028" s="2" t="s">
        <v>10085</v>
      </c>
    </row>
    <row r="4029" spans="1:11" x14ac:dyDescent="0.2">
      <c r="A4029" s="2">
        <v>1008</v>
      </c>
      <c r="B4029" s="2">
        <v>6</v>
      </c>
      <c r="C4029" s="2">
        <v>75461314</v>
      </c>
      <c r="D4029" s="2">
        <v>77274030</v>
      </c>
      <c r="E4029" s="2">
        <v>3</v>
      </c>
      <c r="F4029" s="2" t="s">
        <v>10086</v>
      </c>
      <c r="H4029" s="2">
        <v>2.3999999999999998E-3</v>
      </c>
      <c r="K4029" s="2" t="s">
        <v>12324</v>
      </c>
    </row>
    <row r="4030" spans="1:11" x14ac:dyDescent="0.2">
      <c r="A4030" s="2">
        <v>1008</v>
      </c>
      <c r="B4030" s="2">
        <v>6</v>
      </c>
      <c r="C4030" s="2">
        <v>75461314</v>
      </c>
      <c r="D4030" s="2">
        <v>77274030</v>
      </c>
      <c r="E4030" s="2">
        <v>4</v>
      </c>
      <c r="F4030" s="2" t="s">
        <v>10086</v>
      </c>
      <c r="H4030" s="2">
        <v>1.1999999999999999E-3</v>
      </c>
      <c r="K4030" s="2" t="s">
        <v>10089</v>
      </c>
    </row>
    <row r="4031" spans="1:11" x14ac:dyDescent="0.2">
      <c r="A4031" s="2">
        <v>1009</v>
      </c>
      <c r="B4031" s="2">
        <v>6</v>
      </c>
      <c r="C4031" s="2">
        <v>77274031</v>
      </c>
      <c r="D4031" s="2">
        <v>78168731</v>
      </c>
      <c r="E4031" s="2">
        <v>1</v>
      </c>
      <c r="F4031" s="2" t="s">
        <v>10086</v>
      </c>
      <c r="H4031" s="2">
        <v>3.2000000000000002E-3</v>
      </c>
      <c r="K4031" s="2" t="s">
        <v>10089</v>
      </c>
    </row>
    <row r="4032" spans="1:11" x14ac:dyDescent="0.2">
      <c r="A4032" s="2">
        <v>1009</v>
      </c>
      <c r="B4032" s="2">
        <v>6</v>
      </c>
      <c r="C4032" s="2">
        <v>77274031</v>
      </c>
      <c r="D4032" s="2">
        <v>78168731</v>
      </c>
      <c r="E4032" s="2">
        <v>2</v>
      </c>
      <c r="F4032" s="2" t="s">
        <v>10086</v>
      </c>
      <c r="H4032" s="3">
        <v>8.9999999999999998E-4</v>
      </c>
      <c r="K4032" s="2" t="s">
        <v>10087</v>
      </c>
    </row>
    <row r="4033" spans="1:11" x14ac:dyDescent="0.2">
      <c r="A4033" s="2">
        <v>1009</v>
      </c>
      <c r="B4033" s="2">
        <v>6</v>
      </c>
      <c r="C4033" s="2">
        <v>77274031</v>
      </c>
      <c r="D4033" s="2">
        <v>78168731</v>
      </c>
      <c r="E4033" s="2">
        <v>3</v>
      </c>
      <c r="F4033" s="2" t="s">
        <v>10086</v>
      </c>
      <c r="H4033" s="3">
        <v>5.9999999999999995E-4</v>
      </c>
      <c r="K4033" s="2" t="s">
        <v>10088</v>
      </c>
    </row>
    <row r="4034" spans="1:11" x14ac:dyDescent="0.2">
      <c r="A4034" s="2">
        <v>1009</v>
      </c>
      <c r="B4034" s="2">
        <v>6</v>
      </c>
      <c r="C4034" s="2">
        <v>77274031</v>
      </c>
      <c r="D4034" s="2">
        <v>78168731</v>
      </c>
      <c r="E4034" s="2">
        <v>4</v>
      </c>
      <c r="F4034" s="2" t="s">
        <v>10086</v>
      </c>
      <c r="H4034" s="3">
        <v>2.0000000000000001E-4</v>
      </c>
      <c r="K4034" s="2" t="s">
        <v>10085</v>
      </c>
    </row>
    <row r="4035" spans="1:11" x14ac:dyDescent="0.2">
      <c r="A4035" s="2">
        <v>1010</v>
      </c>
      <c r="B4035" s="2">
        <v>6</v>
      </c>
      <c r="C4035" s="2">
        <v>78168732</v>
      </c>
      <c r="D4035" s="2">
        <v>78959762</v>
      </c>
      <c r="E4035" s="2">
        <v>1</v>
      </c>
      <c r="F4035" s="2" t="s">
        <v>10086</v>
      </c>
      <c r="H4035" s="2">
        <v>2.8E-3</v>
      </c>
      <c r="K4035" s="2" t="s">
        <v>10085</v>
      </c>
    </row>
    <row r="4036" spans="1:11" x14ac:dyDescent="0.2">
      <c r="A4036" s="2">
        <v>1010</v>
      </c>
      <c r="B4036" s="2">
        <v>6</v>
      </c>
      <c r="C4036" s="2">
        <v>78168732</v>
      </c>
      <c r="D4036" s="2">
        <v>78959762</v>
      </c>
      <c r="E4036" s="2">
        <v>2</v>
      </c>
      <c r="F4036" s="2" t="s">
        <v>10086</v>
      </c>
      <c r="H4036" s="2">
        <v>2.5999999999999999E-3</v>
      </c>
      <c r="K4036" s="2" t="s">
        <v>10089</v>
      </c>
    </row>
    <row r="4037" spans="1:11" x14ac:dyDescent="0.2">
      <c r="A4037" s="2">
        <v>1010</v>
      </c>
      <c r="B4037" s="2">
        <v>6</v>
      </c>
      <c r="C4037" s="2">
        <v>78168732</v>
      </c>
      <c r="D4037" s="2">
        <v>78959762</v>
      </c>
      <c r="E4037" s="2">
        <v>3</v>
      </c>
      <c r="F4037" s="2" t="s">
        <v>10086</v>
      </c>
      <c r="H4037" s="3">
        <v>8.0000000000000004E-4</v>
      </c>
      <c r="K4037" s="2" t="s">
        <v>10087</v>
      </c>
    </row>
    <row r="4038" spans="1:11" x14ac:dyDescent="0.2">
      <c r="A4038" s="2">
        <v>1010</v>
      </c>
      <c r="B4038" s="2">
        <v>6</v>
      </c>
      <c r="C4038" s="2">
        <v>78168732</v>
      </c>
      <c r="D4038" s="2">
        <v>78959762</v>
      </c>
      <c r="E4038" s="2">
        <v>4</v>
      </c>
      <c r="F4038" s="2" t="s">
        <v>10086</v>
      </c>
      <c r="H4038" s="3">
        <v>4.0000000000000002E-4</v>
      </c>
      <c r="K4038" s="2" t="s">
        <v>10088</v>
      </c>
    </row>
    <row r="4039" spans="1:11" x14ac:dyDescent="0.2">
      <c r="A4039" s="2">
        <v>1011</v>
      </c>
      <c r="B4039" s="2">
        <v>6</v>
      </c>
      <c r="C4039" s="2">
        <v>78959763</v>
      </c>
      <c r="D4039" s="2">
        <v>79859903</v>
      </c>
      <c r="E4039" s="2">
        <v>1</v>
      </c>
      <c r="F4039" s="2" t="s">
        <v>10086</v>
      </c>
      <c r="H4039" s="2">
        <v>1.6999999999999999E-3</v>
      </c>
      <c r="K4039" s="2" t="s">
        <v>10087</v>
      </c>
    </row>
    <row r="4040" spans="1:11" x14ac:dyDescent="0.2">
      <c r="A4040" s="2">
        <v>1011</v>
      </c>
      <c r="B4040" s="2">
        <v>6</v>
      </c>
      <c r="C4040" s="2">
        <v>78959763</v>
      </c>
      <c r="D4040" s="2">
        <v>79859903</v>
      </c>
      <c r="E4040" s="2">
        <v>2</v>
      </c>
      <c r="F4040" s="2" t="s">
        <v>10086</v>
      </c>
      <c r="H4040" s="3">
        <v>8.0000000000000004E-4</v>
      </c>
      <c r="K4040" s="2" t="s">
        <v>10085</v>
      </c>
    </row>
    <row r="4041" spans="1:11" x14ac:dyDescent="0.2">
      <c r="A4041" s="2">
        <v>1011</v>
      </c>
      <c r="B4041" s="2">
        <v>6</v>
      </c>
      <c r="C4041" s="2">
        <v>78959763</v>
      </c>
      <c r="D4041" s="2">
        <v>79859903</v>
      </c>
      <c r="E4041" s="2">
        <v>3</v>
      </c>
      <c r="F4041" s="2" t="s">
        <v>10086</v>
      </c>
      <c r="H4041" s="3">
        <v>5.9999999999999995E-4</v>
      </c>
      <c r="K4041" s="2" t="s">
        <v>10089</v>
      </c>
    </row>
    <row r="4042" spans="1:11" x14ac:dyDescent="0.2">
      <c r="A4042" s="2">
        <v>1011</v>
      </c>
      <c r="B4042" s="2">
        <v>6</v>
      </c>
      <c r="C4042" s="2">
        <v>78959763</v>
      </c>
      <c r="D4042" s="2">
        <v>79859903</v>
      </c>
      <c r="E4042" s="2">
        <v>4</v>
      </c>
      <c r="F4042" s="2" t="s">
        <v>10086</v>
      </c>
      <c r="H4042" s="3">
        <v>2.0000000000000001E-4</v>
      </c>
      <c r="K4042" s="2" t="s">
        <v>10088</v>
      </c>
    </row>
    <row r="4043" spans="1:11" x14ac:dyDescent="0.2">
      <c r="A4043" s="2">
        <v>1012</v>
      </c>
      <c r="B4043" s="2">
        <v>6</v>
      </c>
      <c r="C4043" s="2">
        <v>79859904</v>
      </c>
      <c r="D4043" s="2">
        <v>80693927</v>
      </c>
      <c r="E4043" s="2">
        <v>1</v>
      </c>
      <c r="F4043" s="2" t="s">
        <v>10086</v>
      </c>
      <c r="H4043" s="2">
        <v>1.1999999999999999E-3</v>
      </c>
      <c r="K4043" s="2" t="s">
        <v>10085</v>
      </c>
    </row>
    <row r="4044" spans="1:11" x14ac:dyDescent="0.2">
      <c r="A4044" s="2">
        <v>1012</v>
      </c>
      <c r="B4044" s="2">
        <v>6</v>
      </c>
      <c r="C4044" s="2">
        <v>79859904</v>
      </c>
      <c r="D4044" s="2">
        <v>80693927</v>
      </c>
      <c r="E4044" s="2">
        <v>2</v>
      </c>
      <c r="F4044" s="2" t="s">
        <v>10086</v>
      </c>
      <c r="H4044" s="3">
        <v>8.9999999999999998E-4</v>
      </c>
      <c r="K4044" s="2" t="s">
        <v>10089</v>
      </c>
    </row>
    <row r="4045" spans="1:11" x14ac:dyDescent="0.2">
      <c r="A4045" s="2">
        <v>1012</v>
      </c>
      <c r="B4045" s="2">
        <v>6</v>
      </c>
      <c r="C4045" s="2">
        <v>79859904</v>
      </c>
      <c r="D4045" s="2">
        <v>80693927</v>
      </c>
      <c r="E4045" s="2">
        <v>3</v>
      </c>
      <c r="F4045" s="2" t="s">
        <v>10086</v>
      </c>
      <c r="H4045" s="2">
        <v>1.2999999999999999E-3</v>
      </c>
      <c r="K4045" s="2" t="s">
        <v>10088</v>
      </c>
    </row>
    <row r="4046" spans="1:11" x14ac:dyDescent="0.2">
      <c r="A4046" s="2">
        <v>1012</v>
      </c>
      <c r="B4046" s="2">
        <v>6</v>
      </c>
      <c r="C4046" s="2">
        <v>79859904</v>
      </c>
      <c r="D4046" s="2">
        <v>80693927</v>
      </c>
      <c r="E4046" s="2">
        <v>4</v>
      </c>
      <c r="F4046" s="2" t="s">
        <v>10086</v>
      </c>
      <c r="H4046" s="3">
        <v>2.9999999999999997E-4</v>
      </c>
      <c r="K4046" s="2" t="s">
        <v>10087</v>
      </c>
    </row>
    <row r="4047" spans="1:11" x14ac:dyDescent="0.2">
      <c r="A4047" s="2">
        <v>1013</v>
      </c>
      <c r="B4047" s="2">
        <v>6</v>
      </c>
      <c r="C4047" s="2">
        <v>80693928</v>
      </c>
      <c r="D4047" s="2">
        <v>81567706</v>
      </c>
      <c r="E4047" s="2">
        <v>1</v>
      </c>
      <c r="F4047" s="2" t="s">
        <v>10086</v>
      </c>
      <c r="H4047" s="2">
        <v>2.2000000000000001E-3</v>
      </c>
      <c r="K4047" s="2" t="s">
        <v>10088</v>
      </c>
    </row>
    <row r="4048" spans="1:11" x14ac:dyDescent="0.2">
      <c r="A4048" s="2">
        <v>1013</v>
      </c>
      <c r="B4048" s="2">
        <v>6</v>
      </c>
      <c r="C4048" s="2">
        <v>80693928</v>
      </c>
      <c r="D4048" s="2">
        <v>81567706</v>
      </c>
      <c r="E4048" s="2">
        <v>2</v>
      </c>
      <c r="F4048" s="2" t="s">
        <v>10086</v>
      </c>
      <c r="H4048" s="2">
        <v>1.6000000000000001E-3</v>
      </c>
      <c r="K4048" s="2" t="s">
        <v>10085</v>
      </c>
    </row>
    <row r="4049" spans="1:11" x14ac:dyDescent="0.2">
      <c r="A4049" s="2">
        <v>1013</v>
      </c>
      <c r="B4049" s="2">
        <v>6</v>
      </c>
      <c r="C4049" s="2">
        <v>80693928</v>
      </c>
      <c r="D4049" s="2">
        <v>81567706</v>
      </c>
      <c r="E4049" s="2">
        <v>3</v>
      </c>
      <c r="F4049" s="2" t="s">
        <v>10086</v>
      </c>
      <c r="H4049" s="3">
        <v>8.9999999999999998E-4</v>
      </c>
      <c r="K4049" s="2" t="s">
        <v>10087</v>
      </c>
    </row>
    <row r="4050" spans="1:11" x14ac:dyDescent="0.2">
      <c r="A4050" s="2">
        <v>1013</v>
      </c>
      <c r="B4050" s="2">
        <v>6</v>
      </c>
      <c r="C4050" s="2">
        <v>80693928</v>
      </c>
      <c r="D4050" s="2">
        <v>81567706</v>
      </c>
      <c r="E4050" s="2">
        <v>4</v>
      </c>
      <c r="F4050" s="2" t="s">
        <v>10086</v>
      </c>
      <c r="H4050" s="3">
        <v>4.0000000000000002E-4</v>
      </c>
      <c r="K4050" s="2" t="s">
        <v>10089</v>
      </c>
    </row>
    <row r="4051" spans="1:11" x14ac:dyDescent="0.2">
      <c r="A4051" s="2">
        <v>1014</v>
      </c>
      <c r="B4051" s="2">
        <v>6</v>
      </c>
      <c r="C4051" s="2">
        <v>81567707</v>
      </c>
      <c r="D4051" s="2">
        <v>82388204</v>
      </c>
      <c r="E4051" s="2">
        <v>1</v>
      </c>
      <c r="F4051" s="2" t="s">
        <v>10086</v>
      </c>
      <c r="H4051" s="2">
        <v>1.1000000000000001E-3</v>
      </c>
      <c r="K4051" s="2" t="s">
        <v>10087</v>
      </c>
    </row>
    <row r="4052" spans="1:11" x14ac:dyDescent="0.2">
      <c r="A4052" s="2">
        <v>1014</v>
      </c>
      <c r="B4052" s="2">
        <v>6</v>
      </c>
      <c r="C4052" s="2">
        <v>81567707</v>
      </c>
      <c r="D4052" s="2">
        <v>82388204</v>
      </c>
      <c r="E4052" s="2">
        <v>2</v>
      </c>
      <c r="F4052" s="2" t="s">
        <v>10086</v>
      </c>
      <c r="H4052" s="2">
        <v>1.6999999999999999E-3</v>
      </c>
      <c r="K4052" s="2" t="s">
        <v>10089</v>
      </c>
    </row>
    <row r="4053" spans="1:11" x14ac:dyDescent="0.2">
      <c r="A4053" s="2">
        <v>1014</v>
      </c>
      <c r="B4053" s="2">
        <v>6</v>
      </c>
      <c r="C4053" s="2">
        <v>81567707</v>
      </c>
      <c r="D4053" s="2">
        <v>82388204</v>
      </c>
      <c r="E4053" s="2">
        <v>3</v>
      </c>
      <c r="F4053" s="2" t="s">
        <v>10086</v>
      </c>
      <c r="H4053" s="3">
        <v>6.9999999999999999E-4</v>
      </c>
      <c r="K4053" s="2" t="s">
        <v>10088</v>
      </c>
    </row>
    <row r="4054" spans="1:11" x14ac:dyDescent="0.2">
      <c r="A4054" s="2">
        <v>1014</v>
      </c>
      <c r="B4054" s="2">
        <v>6</v>
      </c>
      <c r="C4054" s="2">
        <v>81567707</v>
      </c>
      <c r="D4054" s="2">
        <v>82388204</v>
      </c>
      <c r="E4054" s="2">
        <v>4</v>
      </c>
      <c r="F4054" s="2" t="s">
        <v>10086</v>
      </c>
      <c r="H4054" s="3">
        <v>4.0000000000000002E-4</v>
      </c>
      <c r="K4054" s="2" t="s">
        <v>10085</v>
      </c>
    </row>
    <row r="4055" spans="1:11" x14ac:dyDescent="0.2">
      <c r="A4055" s="2">
        <v>1015</v>
      </c>
      <c r="B4055" s="2">
        <v>6</v>
      </c>
      <c r="C4055" s="2">
        <v>82388205</v>
      </c>
      <c r="D4055" s="2">
        <v>83571953</v>
      </c>
      <c r="E4055" s="2">
        <v>1</v>
      </c>
      <c r="F4055" s="2" t="s">
        <v>10086</v>
      </c>
      <c r="H4055" s="2">
        <v>1.4E-3</v>
      </c>
      <c r="K4055" s="2" t="s">
        <v>10088</v>
      </c>
    </row>
    <row r="4056" spans="1:11" x14ac:dyDescent="0.2">
      <c r="A4056" s="2">
        <v>1015</v>
      </c>
      <c r="B4056" s="2">
        <v>6</v>
      </c>
      <c r="C4056" s="2">
        <v>82388205</v>
      </c>
      <c r="D4056" s="2">
        <v>83571953</v>
      </c>
      <c r="E4056" s="2">
        <v>2</v>
      </c>
      <c r="F4056" s="2" t="s">
        <v>10086</v>
      </c>
      <c r="H4056" s="2">
        <v>1E-3</v>
      </c>
      <c r="K4056" s="2" t="s">
        <v>10089</v>
      </c>
    </row>
    <row r="4057" spans="1:11" x14ac:dyDescent="0.2">
      <c r="A4057" s="2">
        <v>1015</v>
      </c>
      <c r="B4057" s="2">
        <v>6</v>
      </c>
      <c r="C4057" s="2">
        <v>82388205</v>
      </c>
      <c r="D4057" s="2">
        <v>83571953</v>
      </c>
      <c r="E4057" s="2">
        <v>3</v>
      </c>
      <c r="F4057" s="2" t="s">
        <v>10086</v>
      </c>
      <c r="H4057" s="3">
        <v>8.0000000000000004E-4</v>
      </c>
      <c r="K4057" s="2" t="s">
        <v>12324</v>
      </c>
    </row>
    <row r="4058" spans="1:11" x14ac:dyDescent="0.2">
      <c r="A4058" s="2">
        <v>1015</v>
      </c>
      <c r="B4058" s="2">
        <v>6</v>
      </c>
      <c r="C4058" s="2">
        <v>82388205</v>
      </c>
      <c r="D4058" s="2">
        <v>83571953</v>
      </c>
      <c r="E4058" s="2">
        <v>4</v>
      </c>
      <c r="F4058" s="2" t="s">
        <v>10086</v>
      </c>
      <c r="H4058" s="3">
        <v>8.0000000000000004E-4</v>
      </c>
      <c r="K4058" s="2" t="s">
        <v>10087</v>
      </c>
    </row>
    <row r="4059" spans="1:11" x14ac:dyDescent="0.2">
      <c r="A4059" s="2">
        <v>1016</v>
      </c>
      <c r="B4059" s="2">
        <v>6</v>
      </c>
      <c r="C4059" s="2">
        <v>83571954</v>
      </c>
      <c r="D4059" s="2">
        <v>85038134</v>
      </c>
      <c r="E4059" s="2">
        <v>1</v>
      </c>
      <c r="F4059" s="2" t="s">
        <v>10086</v>
      </c>
      <c r="H4059" s="2">
        <v>1.12E-2</v>
      </c>
      <c r="K4059" s="2" t="s">
        <v>12324</v>
      </c>
    </row>
    <row r="4060" spans="1:11" x14ac:dyDescent="0.2">
      <c r="A4060" s="2">
        <v>1016</v>
      </c>
      <c r="B4060" s="2">
        <v>6</v>
      </c>
      <c r="C4060" s="2">
        <v>83571954</v>
      </c>
      <c r="D4060" s="2">
        <v>85038134</v>
      </c>
      <c r="E4060" s="2">
        <v>2</v>
      </c>
      <c r="F4060" s="2" t="s">
        <v>10086</v>
      </c>
      <c r="H4060" s="2">
        <v>7.0000000000000001E-3</v>
      </c>
      <c r="K4060" s="2" t="s">
        <v>10088</v>
      </c>
    </row>
    <row r="4061" spans="1:11" x14ac:dyDescent="0.2">
      <c r="A4061" s="2">
        <v>1016</v>
      </c>
      <c r="B4061" s="2">
        <v>6</v>
      </c>
      <c r="C4061" s="2">
        <v>83571954</v>
      </c>
      <c r="D4061" s="2">
        <v>85038134</v>
      </c>
      <c r="E4061" s="2">
        <v>3</v>
      </c>
      <c r="F4061" s="2" t="s">
        <v>10086</v>
      </c>
      <c r="H4061" s="2">
        <v>1.5E-3</v>
      </c>
      <c r="K4061" s="2" t="s">
        <v>10089</v>
      </c>
    </row>
    <row r="4062" spans="1:11" x14ac:dyDescent="0.2">
      <c r="A4062" s="2">
        <v>1016</v>
      </c>
      <c r="B4062" s="2">
        <v>6</v>
      </c>
      <c r="C4062" s="2">
        <v>83571954</v>
      </c>
      <c r="D4062" s="2">
        <v>85038134</v>
      </c>
      <c r="E4062" s="2">
        <v>4</v>
      </c>
      <c r="F4062" s="2" t="s">
        <v>10086</v>
      </c>
      <c r="H4062" s="2">
        <v>1E-3</v>
      </c>
      <c r="K4062" s="2" t="s">
        <v>10085</v>
      </c>
    </row>
    <row r="4063" spans="1:11" x14ac:dyDescent="0.2">
      <c r="A4063" s="2">
        <v>1017</v>
      </c>
      <c r="B4063" s="2">
        <v>6</v>
      </c>
      <c r="C4063" s="2">
        <v>85038135</v>
      </c>
      <c r="D4063" s="2">
        <v>85837203</v>
      </c>
      <c r="E4063" s="2">
        <v>1</v>
      </c>
      <c r="F4063" s="2" t="s">
        <v>10086</v>
      </c>
      <c r="H4063" s="2">
        <v>5.6599999999999998E-2</v>
      </c>
      <c r="K4063" s="2" t="s">
        <v>10088</v>
      </c>
    </row>
    <row r="4064" spans="1:11" x14ac:dyDescent="0.2">
      <c r="A4064" s="2">
        <v>1017</v>
      </c>
      <c r="B4064" s="2">
        <v>6</v>
      </c>
      <c r="C4064" s="2">
        <v>85038135</v>
      </c>
      <c r="D4064" s="2">
        <v>85837203</v>
      </c>
      <c r="E4064" s="2">
        <v>2</v>
      </c>
      <c r="F4064" s="2" t="s">
        <v>10086</v>
      </c>
      <c r="H4064" s="2">
        <v>3.5999999999999999E-3</v>
      </c>
      <c r="K4064" s="2" t="s">
        <v>12324</v>
      </c>
    </row>
    <row r="4065" spans="1:11" x14ac:dyDescent="0.2">
      <c r="A4065" s="2">
        <v>1017</v>
      </c>
      <c r="B4065" s="2">
        <v>6</v>
      </c>
      <c r="C4065" s="2">
        <v>85038135</v>
      </c>
      <c r="D4065" s="2">
        <v>85837203</v>
      </c>
      <c r="E4065" s="2">
        <v>3</v>
      </c>
      <c r="F4065" s="2" t="s">
        <v>10086</v>
      </c>
      <c r="H4065" s="2">
        <v>2.2000000000000001E-3</v>
      </c>
      <c r="K4065" s="2" t="s">
        <v>10087</v>
      </c>
    </row>
    <row r="4066" spans="1:11" x14ac:dyDescent="0.2">
      <c r="A4066" s="2">
        <v>1017</v>
      </c>
      <c r="B4066" s="2">
        <v>6</v>
      </c>
      <c r="C4066" s="2">
        <v>85038135</v>
      </c>
      <c r="D4066" s="2">
        <v>85837203</v>
      </c>
      <c r="E4066" s="2">
        <v>4</v>
      </c>
      <c r="F4066" s="2" t="s">
        <v>10086</v>
      </c>
      <c r="H4066" s="2">
        <v>1.5E-3</v>
      </c>
      <c r="K4066" s="2" t="s">
        <v>10089</v>
      </c>
    </row>
    <row r="4067" spans="1:11" x14ac:dyDescent="0.2">
      <c r="A4067" s="2">
        <v>1018</v>
      </c>
      <c r="B4067" s="2">
        <v>6</v>
      </c>
      <c r="C4067" s="2">
        <v>85837204</v>
      </c>
      <c r="D4067" s="2">
        <v>86818669</v>
      </c>
      <c r="E4067" s="2">
        <v>1</v>
      </c>
      <c r="F4067" s="2" t="s">
        <v>10086</v>
      </c>
      <c r="H4067" s="2">
        <v>2.3999999999999998E-3</v>
      </c>
      <c r="K4067" s="2" t="s">
        <v>10088</v>
      </c>
    </row>
    <row r="4068" spans="1:11" x14ac:dyDescent="0.2">
      <c r="A4068" s="2">
        <v>1018</v>
      </c>
      <c r="B4068" s="2">
        <v>6</v>
      </c>
      <c r="C4068" s="2">
        <v>85837204</v>
      </c>
      <c r="D4068" s="2">
        <v>86818669</v>
      </c>
      <c r="E4068" s="2">
        <v>2</v>
      </c>
      <c r="F4068" s="2" t="s">
        <v>10086</v>
      </c>
      <c r="H4068" s="3">
        <v>8.0000000000000004E-4</v>
      </c>
      <c r="K4068" s="2" t="s">
        <v>10089</v>
      </c>
    </row>
    <row r="4069" spans="1:11" x14ac:dyDescent="0.2">
      <c r="A4069" s="2">
        <v>1018</v>
      </c>
      <c r="B4069" s="2">
        <v>6</v>
      </c>
      <c r="C4069" s="2">
        <v>85837204</v>
      </c>
      <c r="D4069" s="2">
        <v>86818669</v>
      </c>
      <c r="E4069" s="2">
        <v>3</v>
      </c>
      <c r="F4069" s="2" t="s">
        <v>10086</v>
      </c>
      <c r="H4069" s="3">
        <v>4.0000000000000002E-4</v>
      </c>
      <c r="K4069" s="2" t="s">
        <v>10085</v>
      </c>
    </row>
    <row r="4070" spans="1:11" x14ac:dyDescent="0.2">
      <c r="A4070" s="2">
        <v>1018</v>
      </c>
      <c r="B4070" s="2">
        <v>6</v>
      </c>
      <c r="C4070" s="2">
        <v>85837204</v>
      </c>
      <c r="D4070" s="2">
        <v>86818669</v>
      </c>
      <c r="E4070" s="2">
        <v>4</v>
      </c>
      <c r="F4070" s="2" t="s">
        <v>10086</v>
      </c>
      <c r="H4070" s="3">
        <v>2.9999999999999997E-4</v>
      </c>
      <c r="K4070" s="2" t="s">
        <v>10087</v>
      </c>
    </row>
    <row r="4071" spans="1:11" x14ac:dyDescent="0.2">
      <c r="A4071" s="2">
        <v>1019</v>
      </c>
      <c r="B4071" s="2">
        <v>6</v>
      </c>
      <c r="C4071" s="2">
        <v>86818670</v>
      </c>
      <c r="D4071" s="2">
        <v>87516322</v>
      </c>
      <c r="E4071" s="2">
        <v>1</v>
      </c>
      <c r="F4071" s="2" t="s">
        <v>10086</v>
      </c>
      <c r="H4071" s="2">
        <v>3.5999999999999999E-3</v>
      </c>
      <c r="K4071" s="2" t="s">
        <v>12324</v>
      </c>
    </row>
    <row r="4072" spans="1:11" x14ac:dyDescent="0.2">
      <c r="A4072" s="2">
        <v>1019</v>
      </c>
      <c r="B4072" s="2">
        <v>6</v>
      </c>
      <c r="C4072" s="2">
        <v>86818670</v>
      </c>
      <c r="D4072" s="2">
        <v>87516322</v>
      </c>
      <c r="E4072" s="2">
        <v>2</v>
      </c>
      <c r="F4072" s="2" t="s">
        <v>10086</v>
      </c>
      <c r="H4072" s="3">
        <v>6.9999999999999999E-4</v>
      </c>
      <c r="K4072" s="2" t="s">
        <v>10089</v>
      </c>
    </row>
    <row r="4073" spans="1:11" x14ac:dyDescent="0.2">
      <c r="A4073" s="2">
        <v>1019</v>
      </c>
      <c r="B4073" s="2">
        <v>6</v>
      </c>
      <c r="C4073" s="2">
        <v>86818670</v>
      </c>
      <c r="D4073" s="2">
        <v>87516322</v>
      </c>
      <c r="E4073" s="2">
        <v>3</v>
      </c>
      <c r="F4073" s="2" t="s">
        <v>10086</v>
      </c>
      <c r="H4073" s="3">
        <v>6.9999999999999999E-4</v>
      </c>
      <c r="K4073" s="2" t="s">
        <v>10088</v>
      </c>
    </row>
    <row r="4074" spans="1:11" x14ac:dyDescent="0.2">
      <c r="A4074" s="2">
        <v>1019</v>
      </c>
      <c r="B4074" s="2">
        <v>6</v>
      </c>
      <c r="C4074" s="2">
        <v>86818670</v>
      </c>
      <c r="D4074" s="2">
        <v>87516322</v>
      </c>
      <c r="E4074" s="2">
        <v>4</v>
      </c>
      <c r="F4074" s="2" t="s">
        <v>10086</v>
      </c>
      <c r="H4074" s="3">
        <v>5.0000000000000001E-4</v>
      </c>
      <c r="K4074" s="2" t="s">
        <v>10087</v>
      </c>
    </row>
    <row r="4075" spans="1:11" x14ac:dyDescent="0.2">
      <c r="A4075" s="2">
        <v>1020</v>
      </c>
      <c r="B4075" s="2">
        <v>6</v>
      </c>
      <c r="C4075" s="2">
        <v>87516323</v>
      </c>
      <c r="D4075" s="2">
        <v>88499745</v>
      </c>
      <c r="E4075" s="2">
        <v>1</v>
      </c>
      <c r="F4075" s="2" t="s">
        <v>10086</v>
      </c>
      <c r="H4075" s="2">
        <v>6.1999999999999998E-3</v>
      </c>
      <c r="K4075" s="2" t="s">
        <v>10089</v>
      </c>
    </row>
    <row r="4076" spans="1:11" x14ac:dyDescent="0.2">
      <c r="A4076" s="2">
        <v>1020</v>
      </c>
      <c r="B4076" s="2">
        <v>6</v>
      </c>
      <c r="C4076" s="2">
        <v>87516323</v>
      </c>
      <c r="D4076" s="2">
        <v>88499745</v>
      </c>
      <c r="E4076" s="2">
        <v>2</v>
      </c>
      <c r="F4076" s="2" t="s">
        <v>10086</v>
      </c>
      <c r="H4076" s="2">
        <v>1.1000000000000001E-3</v>
      </c>
      <c r="K4076" s="2" t="s">
        <v>10085</v>
      </c>
    </row>
    <row r="4077" spans="1:11" x14ac:dyDescent="0.2">
      <c r="A4077" s="2">
        <v>1020</v>
      </c>
      <c r="B4077" s="2">
        <v>6</v>
      </c>
      <c r="C4077" s="2">
        <v>87516323</v>
      </c>
      <c r="D4077" s="2">
        <v>88499745</v>
      </c>
      <c r="E4077" s="2">
        <v>3</v>
      </c>
      <c r="F4077" s="2" t="s">
        <v>10086</v>
      </c>
      <c r="H4077" s="2">
        <v>1E-3</v>
      </c>
      <c r="K4077" s="2" t="s">
        <v>10087</v>
      </c>
    </row>
    <row r="4078" spans="1:11" x14ac:dyDescent="0.2">
      <c r="A4078" s="2">
        <v>1020</v>
      </c>
      <c r="B4078" s="2">
        <v>6</v>
      </c>
      <c r="C4078" s="2">
        <v>87516323</v>
      </c>
      <c r="D4078" s="2">
        <v>88499745</v>
      </c>
      <c r="E4078" s="2">
        <v>4</v>
      </c>
      <c r="F4078" s="2" t="s">
        <v>10086</v>
      </c>
      <c r="H4078" s="3">
        <v>2.9999999999999997E-4</v>
      </c>
      <c r="K4078" s="2" t="s">
        <v>10088</v>
      </c>
    </row>
    <row r="4079" spans="1:11" x14ac:dyDescent="0.2">
      <c r="A4079" s="2">
        <v>1021</v>
      </c>
      <c r="B4079" s="2">
        <v>6</v>
      </c>
      <c r="C4079" s="2">
        <v>88499746</v>
      </c>
      <c r="D4079" s="2">
        <v>89974267</v>
      </c>
      <c r="E4079" s="2">
        <v>1</v>
      </c>
      <c r="F4079" s="2" t="s">
        <v>10086</v>
      </c>
      <c r="H4079" s="2">
        <v>1.6999999999999999E-3</v>
      </c>
      <c r="K4079" s="2" t="s">
        <v>10088</v>
      </c>
    </row>
    <row r="4080" spans="1:11" x14ac:dyDescent="0.2">
      <c r="A4080" s="2">
        <v>1021</v>
      </c>
      <c r="B4080" s="2">
        <v>6</v>
      </c>
      <c r="C4080" s="2">
        <v>88499746</v>
      </c>
      <c r="D4080" s="2">
        <v>89974267</v>
      </c>
      <c r="E4080" s="2">
        <v>2</v>
      </c>
      <c r="F4080" s="2" t="s">
        <v>10086</v>
      </c>
      <c r="H4080" s="2">
        <v>1.1999999999999999E-3</v>
      </c>
      <c r="K4080" s="2" t="s">
        <v>10089</v>
      </c>
    </row>
    <row r="4081" spans="1:11" x14ac:dyDescent="0.2">
      <c r="A4081" s="2">
        <v>1021</v>
      </c>
      <c r="B4081" s="2">
        <v>6</v>
      </c>
      <c r="C4081" s="2">
        <v>88499746</v>
      </c>
      <c r="D4081" s="2">
        <v>89974267</v>
      </c>
      <c r="E4081" s="2">
        <v>3</v>
      </c>
      <c r="F4081" s="2" t="s">
        <v>10086</v>
      </c>
      <c r="H4081" s="2">
        <v>1E-3</v>
      </c>
      <c r="K4081" s="2" t="s">
        <v>10087</v>
      </c>
    </row>
    <row r="4082" spans="1:11" x14ac:dyDescent="0.2">
      <c r="A4082" s="2">
        <v>1021</v>
      </c>
      <c r="B4082" s="2">
        <v>6</v>
      </c>
      <c r="C4082" s="2">
        <v>88499746</v>
      </c>
      <c r="D4082" s="2">
        <v>89974267</v>
      </c>
      <c r="E4082" s="2">
        <v>4</v>
      </c>
      <c r="F4082" s="2" t="s">
        <v>10086</v>
      </c>
      <c r="H4082" s="3">
        <v>6.9999999999999999E-4</v>
      </c>
      <c r="K4082" s="2" t="s">
        <v>10085</v>
      </c>
    </row>
    <row r="4083" spans="1:11" x14ac:dyDescent="0.2">
      <c r="A4083" s="2">
        <v>1022</v>
      </c>
      <c r="B4083" s="2">
        <v>6</v>
      </c>
      <c r="C4083" s="2">
        <v>89974268</v>
      </c>
      <c r="D4083" s="2">
        <v>91097024</v>
      </c>
      <c r="E4083" s="2">
        <v>1</v>
      </c>
      <c r="F4083" s="2" t="s">
        <v>10086</v>
      </c>
      <c r="H4083" s="2">
        <v>3.3300000000000003E-2</v>
      </c>
      <c r="K4083" s="2" t="s">
        <v>10089</v>
      </c>
    </row>
    <row r="4084" spans="1:11" x14ac:dyDescent="0.2">
      <c r="A4084" s="2">
        <v>1022</v>
      </c>
      <c r="B4084" s="2">
        <v>6</v>
      </c>
      <c r="C4084" s="2">
        <v>89974268</v>
      </c>
      <c r="D4084" s="2">
        <v>91097024</v>
      </c>
      <c r="E4084" s="2">
        <v>2</v>
      </c>
      <c r="F4084" s="2" t="s">
        <v>10086</v>
      </c>
      <c r="H4084" s="2">
        <v>1.1000000000000001E-3</v>
      </c>
      <c r="K4084" s="2" t="s">
        <v>10085</v>
      </c>
    </row>
    <row r="4085" spans="1:11" x14ac:dyDescent="0.2">
      <c r="A4085" s="2">
        <v>1022</v>
      </c>
      <c r="B4085" s="2">
        <v>6</v>
      </c>
      <c r="C4085" s="2">
        <v>89974268</v>
      </c>
      <c r="D4085" s="2">
        <v>91097024</v>
      </c>
      <c r="E4085" s="2">
        <v>3</v>
      </c>
      <c r="F4085" s="2" t="s">
        <v>10086</v>
      </c>
      <c r="H4085" s="3">
        <v>8.9999999999999998E-4</v>
      </c>
      <c r="K4085" s="2" t="s">
        <v>10088</v>
      </c>
    </row>
    <row r="4086" spans="1:11" x14ac:dyDescent="0.2">
      <c r="A4086" s="2">
        <v>1022</v>
      </c>
      <c r="B4086" s="2">
        <v>6</v>
      </c>
      <c r="C4086" s="2">
        <v>89974268</v>
      </c>
      <c r="D4086" s="2">
        <v>91097024</v>
      </c>
      <c r="E4086" s="2">
        <v>4</v>
      </c>
      <c r="F4086" s="2" t="s">
        <v>10086</v>
      </c>
      <c r="H4086" s="3">
        <v>5.0000000000000001E-4</v>
      </c>
      <c r="K4086" s="2" t="s">
        <v>12324</v>
      </c>
    </row>
    <row r="4087" spans="1:11" x14ac:dyDescent="0.2">
      <c r="A4087" s="2">
        <v>1023</v>
      </c>
      <c r="B4087" s="2">
        <v>6</v>
      </c>
      <c r="C4087" s="2">
        <v>91097025</v>
      </c>
      <c r="D4087" s="2">
        <v>92015279</v>
      </c>
      <c r="E4087" s="2">
        <v>1</v>
      </c>
      <c r="F4087" s="2" t="s">
        <v>10086</v>
      </c>
      <c r="H4087" s="2">
        <v>2.7000000000000001E-3</v>
      </c>
      <c r="K4087" s="2" t="s">
        <v>10085</v>
      </c>
    </row>
    <row r="4088" spans="1:11" x14ac:dyDescent="0.2">
      <c r="A4088" s="2">
        <v>1023</v>
      </c>
      <c r="B4088" s="2">
        <v>6</v>
      </c>
      <c r="C4088" s="2">
        <v>91097025</v>
      </c>
      <c r="D4088" s="2">
        <v>92015279</v>
      </c>
      <c r="E4088" s="2">
        <v>2</v>
      </c>
      <c r="F4088" s="2" t="s">
        <v>10086</v>
      </c>
      <c r="H4088" s="2">
        <v>1.2999999999999999E-3</v>
      </c>
      <c r="K4088" s="2" t="s">
        <v>10087</v>
      </c>
    </row>
    <row r="4089" spans="1:11" x14ac:dyDescent="0.2">
      <c r="A4089" s="2">
        <v>1023</v>
      </c>
      <c r="B4089" s="2">
        <v>6</v>
      </c>
      <c r="C4089" s="2">
        <v>91097025</v>
      </c>
      <c r="D4089" s="2">
        <v>92015279</v>
      </c>
      <c r="E4089" s="2">
        <v>3</v>
      </c>
      <c r="F4089" s="2" t="s">
        <v>10086</v>
      </c>
      <c r="H4089" s="3">
        <v>6.9999999999999999E-4</v>
      </c>
      <c r="K4089" s="2" t="s">
        <v>10089</v>
      </c>
    </row>
    <row r="4090" spans="1:11" x14ac:dyDescent="0.2">
      <c r="A4090" s="2">
        <v>1023</v>
      </c>
      <c r="B4090" s="2">
        <v>6</v>
      </c>
      <c r="C4090" s="2">
        <v>91097025</v>
      </c>
      <c r="D4090" s="2">
        <v>92015279</v>
      </c>
      <c r="E4090" s="2">
        <v>4</v>
      </c>
      <c r="F4090" s="2" t="s">
        <v>10086</v>
      </c>
      <c r="H4090" s="3">
        <v>2.9999999999999997E-4</v>
      </c>
      <c r="K4090" s="2" t="s">
        <v>10088</v>
      </c>
    </row>
    <row r="4091" spans="1:11" x14ac:dyDescent="0.2">
      <c r="A4091" s="2">
        <v>1024</v>
      </c>
      <c r="B4091" s="2">
        <v>6</v>
      </c>
      <c r="C4091" s="2">
        <v>92015280</v>
      </c>
      <c r="D4091" s="2">
        <v>92953798</v>
      </c>
      <c r="E4091" s="2">
        <v>1</v>
      </c>
      <c r="F4091" s="2" t="s">
        <v>10086</v>
      </c>
      <c r="H4091" s="3">
        <v>8.9999999999999998E-4</v>
      </c>
      <c r="K4091" s="2" t="s">
        <v>10088</v>
      </c>
    </row>
    <row r="4092" spans="1:11" x14ac:dyDescent="0.2">
      <c r="A4092" s="2">
        <v>1024</v>
      </c>
      <c r="B4092" s="2">
        <v>6</v>
      </c>
      <c r="C4092" s="2">
        <v>92015280</v>
      </c>
      <c r="D4092" s="2">
        <v>92953798</v>
      </c>
      <c r="E4092" s="2">
        <v>2</v>
      </c>
      <c r="F4092" s="2" t="s">
        <v>10086</v>
      </c>
      <c r="H4092" s="3">
        <v>8.0000000000000004E-4</v>
      </c>
      <c r="K4092" s="2" t="s">
        <v>10085</v>
      </c>
    </row>
    <row r="4093" spans="1:11" x14ac:dyDescent="0.2">
      <c r="A4093" s="2">
        <v>1024</v>
      </c>
      <c r="B4093" s="2">
        <v>6</v>
      </c>
      <c r="C4093" s="2">
        <v>92015280</v>
      </c>
      <c r="D4093" s="2">
        <v>92953798</v>
      </c>
      <c r="E4093" s="2">
        <v>3</v>
      </c>
      <c r="F4093" s="2" t="s">
        <v>10086</v>
      </c>
      <c r="H4093" s="3">
        <v>6.9999999999999999E-4</v>
      </c>
      <c r="K4093" s="2" t="s">
        <v>12324</v>
      </c>
    </row>
    <row r="4094" spans="1:11" x14ac:dyDescent="0.2">
      <c r="A4094" s="2">
        <v>1024</v>
      </c>
      <c r="B4094" s="2">
        <v>6</v>
      </c>
      <c r="C4094" s="2">
        <v>92015280</v>
      </c>
      <c r="D4094" s="2">
        <v>92953798</v>
      </c>
      <c r="E4094" s="2">
        <v>4</v>
      </c>
      <c r="F4094" s="2" t="s">
        <v>10086</v>
      </c>
      <c r="H4094" s="3">
        <v>5.0000000000000001E-4</v>
      </c>
      <c r="K4094" s="2" t="s">
        <v>10087</v>
      </c>
    </row>
    <row r="4095" spans="1:11" x14ac:dyDescent="0.2">
      <c r="A4095" s="2">
        <v>1025</v>
      </c>
      <c r="B4095" s="2">
        <v>6</v>
      </c>
      <c r="C4095" s="2">
        <v>92953799</v>
      </c>
      <c r="D4095" s="2">
        <v>93696825</v>
      </c>
      <c r="E4095" s="2">
        <v>1</v>
      </c>
      <c r="F4095" s="2" t="s">
        <v>10086</v>
      </c>
      <c r="H4095" s="2">
        <v>1.5E-3</v>
      </c>
      <c r="K4095" s="2" t="s">
        <v>10088</v>
      </c>
    </row>
    <row r="4096" spans="1:11" x14ac:dyDescent="0.2">
      <c r="A4096" s="2">
        <v>1025</v>
      </c>
      <c r="B4096" s="2">
        <v>6</v>
      </c>
      <c r="C4096" s="2">
        <v>92953799</v>
      </c>
      <c r="D4096" s="2">
        <v>93696825</v>
      </c>
      <c r="E4096" s="2">
        <v>2</v>
      </c>
      <c r="F4096" s="2" t="s">
        <v>10086</v>
      </c>
      <c r="H4096" s="2">
        <v>1E-3</v>
      </c>
      <c r="K4096" s="2" t="s">
        <v>10085</v>
      </c>
    </row>
    <row r="4097" spans="1:11" x14ac:dyDescent="0.2">
      <c r="A4097" s="2">
        <v>1025</v>
      </c>
      <c r="B4097" s="2">
        <v>6</v>
      </c>
      <c r="C4097" s="2">
        <v>92953799</v>
      </c>
      <c r="D4097" s="2">
        <v>93696825</v>
      </c>
      <c r="E4097" s="2">
        <v>3</v>
      </c>
      <c r="F4097" s="2" t="s">
        <v>10086</v>
      </c>
      <c r="H4097" s="3">
        <v>8.0000000000000004E-4</v>
      </c>
      <c r="K4097" s="2" t="s">
        <v>10087</v>
      </c>
    </row>
    <row r="4098" spans="1:11" x14ac:dyDescent="0.2">
      <c r="A4098" s="2">
        <v>1025</v>
      </c>
      <c r="B4098" s="2">
        <v>6</v>
      </c>
      <c r="C4098" s="2">
        <v>92953799</v>
      </c>
      <c r="D4098" s="2">
        <v>93696825</v>
      </c>
      <c r="E4098" s="2">
        <v>4</v>
      </c>
      <c r="F4098" s="2" t="s">
        <v>10086</v>
      </c>
      <c r="H4098" s="3">
        <v>5.9999999999999995E-4</v>
      </c>
      <c r="K4098" s="2" t="s">
        <v>10089</v>
      </c>
    </row>
    <row r="4099" spans="1:11" x14ac:dyDescent="0.2">
      <c r="A4099" s="2">
        <v>1026</v>
      </c>
      <c r="B4099" s="2">
        <v>6</v>
      </c>
      <c r="C4099" s="2">
        <v>93696826</v>
      </c>
      <c r="D4099" s="2">
        <v>95176337</v>
      </c>
      <c r="E4099" s="2">
        <v>1</v>
      </c>
      <c r="F4099" s="2" t="s">
        <v>10086</v>
      </c>
      <c r="H4099" s="2">
        <v>3.8E-3</v>
      </c>
      <c r="K4099" s="2" t="s">
        <v>10085</v>
      </c>
    </row>
    <row r="4100" spans="1:11" x14ac:dyDescent="0.2">
      <c r="A4100" s="2">
        <v>1026</v>
      </c>
      <c r="B4100" s="2">
        <v>6</v>
      </c>
      <c r="C4100" s="2">
        <v>93696826</v>
      </c>
      <c r="D4100" s="2">
        <v>95176337</v>
      </c>
      <c r="E4100" s="2">
        <v>2</v>
      </c>
      <c r="F4100" s="2" t="s">
        <v>10086</v>
      </c>
      <c r="H4100" s="2">
        <v>1.6000000000000001E-3</v>
      </c>
      <c r="K4100" s="2" t="s">
        <v>10089</v>
      </c>
    </row>
    <row r="4101" spans="1:11" x14ac:dyDescent="0.2">
      <c r="A4101" s="2">
        <v>1026</v>
      </c>
      <c r="B4101" s="2">
        <v>6</v>
      </c>
      <c r="C4101" s="2">
        <v>93696826</v>
      </c>
      <c r="D4101" s="2">
        <v>95176337</v>
      </c>
      <c r="E4101" s="2">
        <v>3</v>
      </c>
      <c r="F4101" s="2" t="s">
        <v>10086</v>
      </c>
      <c r="H4101" s="2">
        <v>1.1999999999999999E-3</v>
      </c>
      <c r="K4101" s="2" t="s">
        <v>10087</v>
      </c>
    </row>
    <row r="4102" spans="1:11" x14ac:dyDescent="0.2">
      <c r="A4102" s="2">
        <v>1026</v>
      </c>
      <c r="B4102" s="2">
        <v>6</v>
      </c>
      <c r="C4102" s="2">
        <v>93696826</v>
      </c>
      <c r="D4102" s="2">
        <v>95176337</v>
      </c>
      <c r="E4102" s="2">
        <v>4</v>
      </c>
      <c r="F4102" s="2" t="s">
        <v>10086</v>
      </c>
      <c r="H4102" s="3">
        <v>8.0000000000000004E-4</v>
      </c>
      <c r="K4102" s="2" t="s">
        <v>10088</v>
      </c>
    </row>
    <row r="4103" spans="1:11" x14ac:dyDescent="0.2">
      <c r="A4103" s="2">
        <v>1027</v>
      </c>
      <c r="B4103" s="2">
        <v>6</v>
      </c>
      <c r="C4103" s="2">
        <v>95176338</v>
      </c>
      <c r="D4103" s="2">
        <v>96480153</v>
      </c>
      <c r="E4103" s="2">
        <v>1</v>
      </c>
      <c r="F4103" s="2" t="s">
        <v>10086</v>
      </c>
      <c r="H4103" s="2">
        <v>3.3E-3</v>
      </c>
      <c r="K4103" s="2" t="s">
        <v>10089</v>
      </c>
    </row>
    <row r="4104" spans="1:11" x14ac:dyDescent="0.2">
      <c r="A4104" s="2">
        <v>1027</v>
      </c>
      <c r="B4104" s="2">
        <v>6</v>
      </c>
      <c r="C4104" s="2">
        <v>95176338</v>
      </c>
      <c r="D4104" s="2">
        <v>96480153</v>
      </c>
      <c r="E4104" s="2">
        <v>2</v>
      </c>
      <c r="F4104" s="2" t="s">
        <v>10086</v>
      </c>
      <c r="H4104" s="2">
        <v>1.6000000000000001E-3</v>
      </c>
      <c r="K4104" s="2" t="s">
        <v>12324</v>
      </c>
    </row>
    <row r="4105" spans="1:11" x14ac:dyDescent="0.2">
      <c r="A4105" s="2">
        <v>1027</v>
      </c>
      <c r="B4105" s="2">
        <v>6</v>
      </c>
      <c r="C4105" s="2">
        <v>95176338</v>
      </c>
      <c r="D4105" s="2">
        <v>96480153</v>
      </c>
      <c r="E4105" s="2">
        <v>3</v>
      </c>
      <c r="F4105" s="2" t="s">
        <v>10086</v>
      </c>
      <c r="H4105" s="2">
        <v>1.6000000000000001E-3</v>
      </c>
      <c r="K4105" s="2" t="s">
        <v>10088</v>
      </c>
    </row>
    <row r="4106" spans="1:11" x14ac:dyDescent="0.2">
      <c r="A4106" s="2">
        <v>1027</v>
      </c>
      <c r="B4106" s="2">
        <v>6</v>
      </c>
      <c r="C4106" s="2">
        <v>95176338</v>
      </c>
      <c r="D4106" s="2">
        <v>96480153</v>
      </c>
      <c r="E4106" s="2">
        <v>4</v>
      </c>
      <c r="F4106" s="2" t="s">
        <v>10086</v>
      </c>
      <c r="H4106" s="2">
        <v>1E-3</v>
      </c>
      <c r="K4106" s="2" t="s">
        <v>10085</v>
      </c>
    </row>
    <row r="4107" spans="1:11" x14ac:dyDescent="0.2">
      <c r="A4107" s="2">
        <v>1028</v>
      </c>
      <c r="B4107" s="2">
        <v>6</v>
      </c>
      <c r="C4107" s="2">
        <v>96480154</v>
      </c>
      <c r="D4107" s="2">
        <v>98173003</v>
      </c>
      <c r="E4107" s="2">
        <v>1</v>
      </c>
      <c r="F4107" s="2" t="s">
        <v>10086</v>
      </c>
      <c r="H4107" s="2">
        <v>1.8E-3</v>
      </c>
      <c r="K4107" s="2" t="s">
        <v>10089</v>
      </c>
    </row>
    <row r="4108" spans="1:11" x14ac:dyDescent="0.2">
      <c r="A4108" s="2">
        <v>1028</v>
      </c>
      <c r="B4108" s="2">
        <v>6</v>
      </c>
      <c r="C4108" s="2">
        <v>96480154</v>
      </c>
      <c r="D4108" s="2">
        <v>98173003</v>
      </c>
      <c r="E4108" s="2">
        <v>2</v>
      </c>
      <c r="F4108" s="2" t="s">
        <v>10086</v>
      </c>
      <c r="H4108" s="2">
        <v>1.6999999999999999E-3</v>
      </c>
      <c r="K4108" s="2" t="s">
        <v>10085</v>
      </c>
    </row>
    <row r="4109" spans="1:11" x14ac:dyDescent="0.2">
      <c r="A4109" s="2">
        <v>1028</v>
      </c>
      <c r="B4109" s="2">
        <v>6</v>
      </c>
      <c r="C4109" s="2">
        <v>96480154</v>
      </c>
      <c r="D4109" s="2">
        <v>98173003</v>
      </c>
      <c r="E4109" s="2">
        <v>3</v>
      </c>
      <c r="F4109" s="2" t="s">
        <v>10086</v>
      </c>
      <c r="H4109" s="2">
        <v>1.5E-3</v>
      </c>
      <c r="K4109" s="2" t="s">
        <v>10087</v>
      </c>
    </row>
    <row r="4110" spans="1:11" x14ac:dyDescent="0.2">
      <c r="A4110" s="2">
        <v>1028</v>
      </c>
      <c r="B4110" s="2">
        <v>6</v>
      </c>
      <c r="C4110" s="2">
        <v>96480154</v>
      </c>
      <c r="D4110" s="2">
        <v>98173003</v>
      </c>
      <c r="E4110" s="2">
        <v>4</v>
      </c>
      <c r="F4110" s="2" t="s">
        <v>10086</v>
      </c>
      <c r="H4110" s="2">
        <v>1E-3</v>
      </c>
      <c r="K4110" s="2" t="s">
        <v>10088</v>
      </c>
    </row>
    <row r="4111" spans="1:11" x14ac:dyDescent="0.2">
      <c r="A4111" s="2">
        <v>1029</v>
      </c>
      <c r="B4111" s="2">
        <v>6</v>
      </c>
      <c r="C4111" s="2">
        <v>98173004</v>
      </c>
      <c r="D4111" s="2">
        <v>99678876</v>
      </c>
      <c r="E4111" s="2">
        <v>1</v>
      </c>
      <c r="F4111" s="2" t="s">
        <v>10086</v>
      </c>
      <c r="H4111" s="2">
        <v>2.5999999999999999E-3</v>
      </c>
      <c r="K4111" s="2" t="s">
        <v>10087</v>
      </c>
    </row>
    <row r="4112" spans="1:11" x14ac:dyDescent="0.2">
      <c r="A4112" s="2">
        <v>1029</v>
      </c>
      <c r="B4112" s="2">
        <v>6</v>
      </c>
      <c r="C4112" s="2">
        <v>98173004</v>
      </c>
      <c r="D4112" s="2">
        <v>99678876</v>
      </c>
      <c r="E4112" s="2">
        <v>2</v>
      </c>
      <c r="F4112" s="2" t="s">
        <v>10086</v>
      </c>
      <c r="H4112" s="2">
        <v>1.1000000000000001E-3</v>
      </c>
      <c r="K4112" s="2" t="s">
        <v>10089</v>
      </c>
    </row>
    <row r="4113" spans="1:11" x14ac:dyDescent="0.2">
      <c r="A4113" s="2">
        <v>1029</v>
      </c>
      <c r="B4113" s="2">
        <v>6</v>
      </c>
      <c r="C4113" s="2">
        <v>98173004</v>
      </c>
      <c r="D4113" s="2">
        <v>99678876</v>
      </c>
      <c r="E4113" s="2">
        <v>3</v>
      </c>
      <c r="F4113" s="2" t="s">
        <v>10086</v>
      </c>
      <c r="H4113" s="2">
        <v>1E-3</v>
      </c>
      <c r="K4113" s="2" t="s">
        <v>10085</v>
      </c>
    </row>
    <row r="4114" spans="1:11" x14ac:dyDescent="0.2">
      <c r="A4114" s="2">
        <v>1029</v>
      </c>
      <c r="B4114" s="2">
        <v>6</v>
      </c>
      <c r="C4114" s="2">
        <v>98173004</v>
      </c>
      <c r="D4114" s="2">
        <v>99678876</v>
      </c>
      <c r="E4114" s="2">
        <v>4</v>
      </c>
      <c r="F4114" s="2" t="s">
        <v>10086</v>
      </c>
      <c r="H4114" s="3">
        <v>4.0000000000000002E-4</v>
      </c>
      <c r="K4114" s="2" t="s">
        <v>10088</v>
      </c>
    </row>
    <row r="4115" spans="1:11" x14ac:dyDescent="0.2">
      <c r="A4115" s="2">
        <v>1030</v>
      </c>
      <c r="B4115" s="2">
        <v>6</v>
      </c>
      <c r="C4115" s="2">
        <v>99678877</v>
      </c>
      <c r="D4115" s="2">
        <v>100878645</v>
      </c>
      <c r="E4115" s="2">
        <v>1</v>
      </c>
      <c r="F4115" s="2" t="s">
        <v>10086</v>
      </c>
      <c r="H4115" s="2">
        <v>2.0999999999999999E-3</v>
      </c>
      <c r="K4115" s="2" t="s">
        <v>10088</v>
      </c>
    </row>
    <row r="4116" spans="1:11" x14ac:dyDescent="0.2">
      <c r="A4116" s="2">
        <v>1030</v>
      </c>
      <c r="B4116" s="2">
        <v>6</v>
      </c>
      <c r="C4116" s="2">
        <v>99678877</v>
      </c>
      <c r="D4116" s="2">
        <v>100878645</v>
      </c>
      <c r="E4116" s="2">
        <v>2</v>
      </c>
      <c r="F4116" s="2" t="s">
        <v>10086</v>
      </c>
      <c r="H4116" s="2">
        <v>1.4E-3</v>
      </c>
      <c r="K4116" s="2" t="s">
        <v>10085</v>
      </c>
    </row>
    <row r="4117" spans="1:11" x14ac:dyDescent="0.2">
      <c r="A4117" s="2">
        <v>1030</v>
      </c>
      <c r="B4117" s="2">
        <v>6</v>
      </c>
      <c r="C4117" s="2">
        <v>99678877</v>
      </c>
      <c r="D4117" s="2">
        <v>100878645</v>
      </c>
      <c r="E4117" s="2">
        <v>3</v>
      </c>
      <c r="F4117" s="2" t="s">
        <v>10086</v>
      </c>
      <c r="H4117" s="2">
        <v>1.4E-3</v>
      </c>
      <c r="K4117" s="2" t="s">
        <v>10089</v>
      </c>
    </row>
    <row r="4118" spans="1:11" x14ac:dyDescent="0.2">
      <c r="A4118" s="2">
        <v>1030</v>
      </c>
      <c r="B4118" s="2">
        <v>6</v>
      </c>
      <c r="C4118" s="2">
        <v>99678877</v>
      </c>
      <c r="D4118" s="2">
        <v>100878645</v>
      </c>
      <c r="E4118" s="2">
        <v>4</v>
      </c>
      <c r="F4118" s="2" t="s">
        <v>10086</v>
      </c>
      <c r="H4118" s="3">
        <v>8.0000000000000004E-4</v>
      </c>
      <c r="K4118" s="2" t="s">
        <v>10087</v>
      </c>
    </row>
    <row r="4119" spans="1:11" x14ac:dyDescent="0.2">
      <c r="A4119" s="2">
        <v>1031</v>
      </c>
      <c r="B4119" s="2">
        <v>6</v>
      </c>
      <c r="C4119" s="2">
        <v>100878646</v>
      </c>
      <c r="D4119" s="2">
        <v>101793542</v>
      </c>
      <c r="E4119" s="2">
        <v>1</v>
      </c>
      <c r="F4119" s="2" t="s">
        <v>10086</v>
      </c>
      <c r="H4119" s="2">
        <v>1.2999999999999999E-3</v>
      </c>
      <c r="K4119" s="2" t="s">
        <v>10085</v>
      </c>
    </row>
    <row r="4120" spans="1:11" x14ac:dyDescent="0.2">
      <c r="A4120" s="2">
        <v>1031</v>
      </c>
      <c r="B4120" s="2">
        <v>6</v>
      </c>
      <c r="C4120" s="2">
        <v>100878646</v>
      </c>
      <c r="D4120" s="2">
        <v>101793542</v>
      </c>
      <c r="E4120" s="2">
        <v>2</v>
      </c>
      <c r="F4120" s="2" t="s">
        <v>10086</v>
      </c>
      <c r="H4120" s="2">
        <v>1.1999999999999999E-3</v>
      </c>
      <c r="K4120" s="2" t="s">
        <v>10088</v>
      </c>
    </row>
    <row r="4121" spans="1:11" x14ac:dyDescent="0.2">
      <c r="A4121" s="2">
        <v>1031</v>
      </c>
      <c r="B4121" s="2">
        <v>6</v>
      </c>
      <c r="C4121" s="2">
        <v>100878646</v>
      </c>
      <c r="D4121" s="2">
        <v>101793542</v>
      </c>
      <c r="E4121" s="2">
        <v>3</v>
      </c>
      <c r="F4121" s="2" t="s">
        <v>10086</v>
      </c>
      <c r="H4121" s="2">
        <v>1.2999999999999999E-3</v>
      </c>
      <c r="K4121" s="2" t="s">
        <v>10087</v>
      </c>
    </row>
    <row r="4122" spans="1:11" x14ac:dyDescent="0.2">
      <c r="A4122" s="2">
        <v>1031</v>
      </c>
      <c r="B4122" s="2">
        <v>6</v>
      </c>
      <c r="C4122" s="2">
        <v>100878646</v>
      </c>
      <c r="D4122" s="2">
        <v>101793542</v>
      </c>
      <c r="E4122" s="2">
        <v>4</v>
      </c>
      <c r="F4122" s="2" t="s">
        <v>10086</v>
      </c>
      <c r="H4122" s="3">
        <v>4.0000000000000002E-4</v>
      </c>
      <c r="K4122" s="2" t="s">
        <v>10089</v>
      </c>
    </row>
    <row r="4123" spans="1:11" x14ac:dyDescent="0.2">
      <c r="A4123" s="2">
        <v>1032</v>
      </c>
      <c r="B4123" s="2">
        <v>6</v>
      </c>
      <c r="C4123" s="2">
        <v>101793543</v>
      </c>
      <c r="D4123" s="2">
        <v>102637706</v>
      </c>
      <c r="E4123" s="2">
        <v>1</v>
      </c>
      <c r="F4123" s="2" t="s">
        <v>10086</v>
      </c>
      <c r="H4123" s="2">
        <v>3.3E-3</v>
      </c>
      <c r="K4123" s="2" t="s">
        <v>10085</v>
      </c>
    </row>
    <row r="4124" spans="1:11" x14ac:dyDescent="0.2">
      <c r="A4124" s="2">
        <v>1032</v>
      </c>
      <c r="B4124" s="2">
        <v>6</v>
      </c>
      <c r="C4124" s="2">
        <v>101793543</v>
      </c>
      <c r="D4124" s="2">
        <v>102637706</v>
      </c>
      <c r="E4124" s="2">
        <v>2</v>
      </c>
      <c r="F4124" s="2" t="s">
        <v>10086</v>
      </c>
      <c r="H4124" s="2">
        <v>1.2999999999999999E-3</v>
      </c>
      <c r="K4124" s="2" t="s">
        <v>10089</v>
      </c>
    </row>
    <row r="4125" spans="1:11" x14ac:dyDescent="0.2">
      <c r="A4125" s="2">
        <v>1032</v>
      </c>
      <c r="B4125" s="2">
        <v>6</v>
      </c>
      <c r="C4125" s="2">
        <v>101793543</v>
      </c>
      <c r="D4125" s="2">
        <v>102637706</v>
      </c>
      <c r="E4125" s="2">
        <v>3</v>
      </c>
      <c r="F4125" s="2" t="s">
        <v>10086</v>
      </c>
      <c r="H4125" s="2">
        <v>1E-3</v>
      </c>
      <c r="K4125" s="2" t="s">
        <v>10087</v>
      </c>
    </row>
    <row r="4126" spans="1:11" x14ac:dyDescent="0.2">
      <c r="A4126" s="2">
        <v>1032</v>
      </c>
      <c r="B4126" s="2">
        <v>6</v>
      </c>
      <c r="C4126" s="2">
        <v>101793543</v>
      </c>
      <c r="D4126" s="2">
        <v>102637706</v>
      </c>
      <c r="E4126" s="2">
        <v>4</v>
      </c>
      <c r="F4126" s="2" t="s">
        <v>10086</v>
      </c>
      <c r="H4126" s="3">
        <v>5.0000000000000001E-4</v>
      </c>
      <c r="K4126" s="2" t="s">
        <v>10088</v>
      </c>
    </row>
    <row r="4127" spans="1:11" x14ac:dyDescent="0.2">
      <c r="A4127" s="2">
        <v>1033</v>
      </c>
      <c r="B4127" s="2">
        <v>6</v>
      </c>
      <c r="C4127" s="2">
        <v>102637707</v>
      </c>
      <c r="D4127" s="2">
        <v>103612625</v>
      </c>
      <c r="E4127" s="2">
        <v>1</v>
      </c>
      <c r="F4127" s="2" t="s">
        <v>10086</v>
      </c>
      <c r="H4127" s="2">
        <v>3.7000000000000002E-3</v>
      </c>
      <c r="K4127" s="2" t="s">
        <v>10089</v>
      </c>
    </row>
    <row r="4128" spans="1:11" x14ac:dyDescent="0.2">
      <c r="A4128" s="2">
        <v>1033</v>
      </c>
      <c r="B4128" s="2">
        <v>6</v>
      </c>
      <c r="C4128" s="2">
        <v>102637707</v>
      </c>
      <c r="D4128" s="2">
        <v>103612625</v>
      </c>
      <c r="E4128" s="2">
        <v>2</v>
      </c>
      <c r="F4128" s="2" t="s">
        <v>10086</v>
      </c>
      <c r="H4128" s="2">
        <v>1.6999999999999999E-3</v>
      </c>
      <c r="K4128" s="2" t="s">
        <v>10088</v>
      </c>
    </row>
    <row r="4129" spans="1:11" x14ac:dyDescent="0.2">
      <c r="A4129" s="2">
        <v>1033</v>
      </c>
      <c r="B4129" s="2">
        <v>6</v>
      </c>
      <c r="C4129" s="2">
        <v>102637707</v>
      </c>
      <c r="D4129" s="2">
        <v>103612625</v>
      </c>
      <c r="E4129" s="2">
        <v>3</v>
      </c>
      <c r="F4129" s="2" t="s">
        <v>10086</v>
      </c>
      <c r="H4129" s="3">
        <v>8.0000000000000004E-4</v>
      </c>
      <c r="K4129" s="2" t="s">
        <v>10085</v>
      </c>
    </row>
    <row r="4130" spans="1:11" x14ac:dyDescent="0.2">
      <c r="A4130" s="2">
        <v>1033</v>
      </c>
      <c r="B4130" s="2">
        <v>6</v>
      </c>
      <c r="C4130" s="2">
        <v>102637707</v>
      </c>
      <c r="D4130" s="2">
        <v>103612625</v>
      </c>
      <c r="E4130" s="2">
        <v>4</v>
      </c>
      <c r="F4130" s="2" t="s">
        <v>10086</v>
      </c>
      <c r="H4130" s="3">
        <v>2.0000000000000001E-4</v>
      </c>
      <c r="K4130" s="2" t="s">
        <v>10087</v>
      </c>
    </row>
    <row r="4131" spans="1:11" x14ac:dyDescent="0.2">
      <c r="A4131" s="2">
        <v>1034</v>
      </c>
      <c r="B4131" s="2">
        <v>6</v>
      </c>
      <c r="C4131" s="2">
        <v>103612626</v>
      </c>
      <c r="D4131" s="2">
        <v>104209796</v>
      </c>
      <c r="E4131" s="2">
        <v>1</v>
      </c>
      <c r="F4131" s="2" t="s">
        <v>10086</v>
      </c>
      <c r="H4131" s="2">
        <v>6.8999999999999999E-3</v>
      </c>
      <c r="K4131" s="2" t="s">
        <v>10088</v>
      </c>
    </row>
    <row r="4132" spans="1:11" x14ac:dyDescent="0.2">
      <c r="A4132" s="2">
        <v>1034</v>
      </c>
      <c r="B4132" s="2">
        <v>6</v>
      </c>
      <c r="C4132" s="2">
        <v>103612626</v>
      </c>
      <c r="D4132" s="2">
        <v>104209796</v>
      </c>
      <c r="E4132" s="2">
        <v>2</v>
      </c>
      <c r="F4132" s="2" t="s">
        <v>10086</v>
      </c>
      <c r="H4132" s="3">
        <v>8.0000000000000004E-4</v>
      </c>
      <c r="K4132" s="2" t="s">
        <v>10085</v>
      </c>
    </row>
    <row r="4133" spans="1:11" x14ac:dyDescent="0.2">
      <c r="A4133" s="2">
        <v>1034</v>
      </c>
      <c r="B4133" s="2">
        <v>6</v>
      </c>
      <c r="C4133" s="2">
        <v>103612626</v>
      </c>
      <c r="D4133" s="2">
        <v>104209796</v>
      </c>
      <c r="E4133" s="2">
        <v>3</v>
      </c>
      <c r="F4133" s="2" t="s">
        <v>10086</v>
      </c>
      <c r="H4133" s="3">
        <v>5.9999999999999995E-4</v>
      </c>
      <c r="K4133" s="2" t="s">
        <v>10087</v>
      </c>
    </row>
    <row r="4134" spans="1:11" x14ac:dyDescent="0.2">
      <c r="A4134" s="2">
        <v>1034</v>
      </c>
      <c r="B4134" s="2">
        <v>6</v>
      </c>
      <c r="C4134" s="2">
        <v>103612626</v>
      </c>
      <c r="D4134" s="2">
        <v>104209796</v>
      </c>
      <c r="E4134" s="2">
        <v>4</v>
      </c>
      <c r="F4134" s="2" t="s">
        <v>10086</v>
      </c>
      <c r="H4134" s="3">
        <v>2.9999999999999997E-4</v>
      </c>
      <c r="K4134" s="2" t="s">
        <v>10089</v>
      </c>
    </row>
    <row r="4135" spans="1:11" x14ac:dyDescent="0.2">
      <c r="A4135" s="2">
        <v>1035</v>
      </c>
      <c r="B4135" s="2">
        <v>6</v>
      </c>
      <c r="C4135" s="2">
        <v>104209797</v>
      </c>
      <c r="D4135" s="2">
        <v>104951344</v>
      </c>
      <c r="E4135" s="2">
        <v>1</v>
      </c>
      <c r="F4135" s="2" t="s">
        <v>10086</v>
      </c>
      <c r="H4135" s="2">
        <v>1.8E-3</v>
      </c>
      <c r="K4135" s="2" t="s">
        <v>10089</v>
      </c>
    </row>
    <row r="4136" spans="1:11" x14ac:dyDescent="0.2">
      <c r="A4136" s="2">
        <v>1035</v>
      </c>
      <c r="B4136" s="2">
        <v>6</v>
      </c>
      <c r="C4136" s="2">
        <v>104209797</v>
      </c>
      <c r="D4136" s="2">
        <v>104951344</v>
      </c>
      <c r="E4136" s="2">
        <v>2</v>
      </c>
      <c r="F4136" s="2" t="s">
        <v>10086</v>
      </c>
      <c r="H4136" s="3">
        <v>6.9999999999999999E-4</v>
      </c>
      <c r="K4136" s="2" t="s">
        <v>10087</v>
      </c>
    </row>
    <row r="4137" spans="1:11" x14ac:dyDescent="0.2">
      <c r="A4137" s="2">
        <v>1035</v>
      </c>
      <c r="B4137" s="2">
        <v>6</v>
      </c>
      <c r="C4137" s="2">
        <v>104209797</v>
      </c>
      <c r="D4137" s="2">
        <v>104951344</v>
      </c>
      <c r="E4137" s="2">
        <v>3</v>
      </c>
      <c r="F4137" s="2" t="s">
        <v>10086</v>
      </c>
      <c r="H4137" s="3">
        <v>5.9999999999999995E-4</v>
      </c>
      <c r="K4137" s="2" t="s">
        <v>10088</v>
      </c>
    </row>
    <row r="4138" spans="1:11" x14ac:dyDescent="0.2">
      <c r="A4138" s="2">
        <v>1035</v>
      </c>
      <c r="B4138" s="2">
        <v>6</v>
      </c>
      <c r="C4138" s="2">
        <v>104209797</v>
      </c>
      <c r="D4138" s="2">
        <v>104951344</v>
      </c>
      <c r="E4138" s="2">
        <v>4</v>
      </c>
      <c r="F4138" s="2" t="s">
        <v>10086</v>
      </c>
      <c r="H4138" s="3">
        <v>2.9999999999999997E-4</v>
      </c>
      <c r="K4138" s="2" t="s">
        <v>10085</v>
      </c>
    </row>
    <row r="4139" spans="1:11" x14ac:dyDescent="0.2">
      <c r="A4139" s="2">
        <v>1036</v>
      </c>
      <c r="B4139" s="2">
        <v>6</v>
      </c>
      <c r="C4139" s="2">
        <v>104951345</v>
      </c>
      <c r="D4139" s="2">
        <v>106053915</v>
      </c>
      <c r="E4139" s="2">
        <v>1</v>
      </c>
      <c r="F4139" s="2" t="s">
        <v>10086</v>
      </c>
      <c r="H4139" s="2">
        <v>2.5000000000000001E-3</v>
      </c>
      <c r="K4139" s="2" t="s">
        <v>10087</v>
      </c>
    </row>
    <row r="4140" spans="1:11" x14ac:dyDescent="0.2">
      <c r="A4140" s="2">
        <v>1036</v>
      </c>
      <c r="B4140" s="2">
        <v>6</v>
      </c>
      <c r="C4140" s="2">
        <v>104951345</v>
      </c>
      <c r="D4140" s="2">
        <v>106053915</v>
      </c>
      <c r="E4140" s="2">
        <v>2</v>
      </c>
      <c r="F4140" s="2" t="s">
        <v>10086</v>
      </c>
      <c r="H4140" s="2">
        <v>1E-3</v>
      </c>
      <c r="K4140" s="2" t="s">
        <v>10085</v>
      </c>
    </row>
    <row r="4141" spans="1:11" x14ac:dyDescent="0.2">
      <c r="A4141" s="2">
        <v>1036</v>
      </c>
      <c r="B4141" s="2">
        <v>6</v>
      </c>
      <c r="C4141" s="2">
        <v>104951345</v>
      </c>
      <c r="D4141" s="2">
        <v>106053915</v>
      </c>
      <c r="E4141" s="2">
        <v>3</v>
      </c>
      <c r="F4141" s="2" t="s">
        <v>10086</v>
      </c>
      <c r="H4141" s="2">
        <v>1E-3</v>
      </c>
      <c r="K4141" s="2" t="s">
        <v>10088</v>
      </c>
    </row>
    <row r="4142" spans="1:11" x14ac:dyDescent="0.2">
      <c r="A4142" s="2">
        <v>1036</v>
      </c>
      <c r="B4142" s="2">
        <v>6</v>
      </c>
      <c r="C4142" s="2">
        <v>104951345</v>
      </c>
      <c r="D4142" s="2">
        <v>106053915</v>
      </c>
      <c r="E4142" s="2">
        <v>4</v>
      </c>
      <c r="F4142" s="2" t="s">
        <v>10086</v>
      </c>
      <c r="H4142" s="3">
        <v>4.0000000000000002E-4</v>
      </c>
      <c r="K4142" s="2" t="s">
        <v>10089</v>
      </c>
    </row>
    <row r="4143" spans="1:11" x14ac:dyDescent="0.2">
      <c r="A4143" s="2">
        <v>1037</v>
      </c>
      <c r="B4143" s="2">
        <v>6</v>
      </c>
      <c r="C4143" s="2">
        <v>106053916</v>
      </c>
      <c r="D4143" s="2">
        <v>107309327</v>
      </c>
      <c r="E4143" s="2">
        <v>1</v>
      </c>
      <c r="F4143" s="2" t="s">
        <v>10086</v>
      </c>
      <c r="H4143" s="2">
        <v>2.2000000000000001E-3</v>
      </c>
      <c r="K4143" s="2" t="s">
        <v>10089</v>
      </c>
    </row>
    <row r="4144" spans="1:11" x14ac:dyDescent="0.2">
      <c r="A4144" s="2">
        <v>1037</v>
      </c>
      <c r="B4144" s="2">
        <v>6</v>
      </c>
      <c r="C4144" s="2">
        <v>106053916</v>
      </c>
      <c r="D4144" s="2">
        <v>107309327</v>
      </c>
      <c r="E4144" s="2">
        <v>2</v>
      </c>
      <c r="F4144" s="2" t="s">
        <v>10086</v>
      </c>
      <c r="H4144" s="2">
        <v>2.5999999999999999E-3</v>
      </c>
      <c r="K4144" s="2" t="s">
        <v>10088</v>
      </c>
    </row>
    <row r="4145" spans="1:11" x14ac:dyDescent="0.2">
      <c r="A4145" s="2">
        <v>1037</v>
      </c>
      <c r="B4145" s="2">
        <v>6</v>
      </c>
      <c r="C4145" s="2">
        <v>106053916</v>
      </c>
      <c r="D4145" s="2">
        <v>107309327</v>
      </c>
      <c r="E4145" s="2">
        <v>3</v>
      </c>
      <c r="F4145" s="2" t="s">
        <v>10086</v>
      </c>
      <c r="H4145" s="2">
        <v>1.2999999999999999E-3</v>
      </c>
      <c r="K4145" s="2" t="s">
        <v>10087</v>
      </c>
    </row>
    <row r="4146" spans="1:11" x14ac:dyDescent="0.2">
      <c r="A4146" s="2">
        <v>1037</v>
      </c>
      <c r="B4146" s="2">
        <v>6</v>
      </c>
      <c r="C4146" s="2">
        <v>106053916</v>
      </c>
      <c r="D4146" s="2">
        <v>107309327</v>
      </c>
      <c r="E4146" s="2">
        <v>4</v>
      </c>
      <c r="F4146" s="2" t="s">
        <v>10086</v>
      </c>
      <c r="H4146" s="3">
        <v>5.9999999999999995E-4</v>
      </c>
      <c r="K4146" s="2" t="s">
        <v>10085</v>
      </c>
    </row>
    <row r="4147" spans="1:11" x14ac:dyDescent="0.2">
      <c r="A4147" s="2">
        <v>1038</v>
      </c>
      <c r="B4147" s="2">
        <v>6</v>
      </c>
      <c r="C4147" s="2">
        <v>107309328</v>
      </c>
      <c r="D4147" s="2">
        <v>109043244</v>
      </c>
      <c r="E4147" s="2">
        <v>1</v>
      </c>
      <c r="F4147" s="2" t="s">
        <v>10086</v>
      </c>
      <c r="H4147" s="2">
        <v>2.3999999999999998E-3</v>
      </c>
      <c r="K4147" s="2" t="s">
        <v>10088</v>
      </c>
    </row>
    <row r="4148" spans="1:11" x14ac:dyDescent="0.2">
      <c r="A4148" s="2">
        <v>1038</v>
      </c>
      <c r="B4148" s="2">
        <v>6</v>
      </c>
      <c r="C4148" s="2">
        <v>107309328</v>
      </c>
      <c r="D4148" s="2">
        <v>109043244</v>
      </c>
      <c r="E4148" s="2">
        <v>2</v>
      </c>
      <c r="F4148" s="2" t="s">
        <v>10086</v>
      </c>
      <c r="H4148" s="2">
        <v>2.0999999999999999E-3</v>
      </c>
      <c r="K4148" s="2" t="s">
        <v>10085</v>
      </c>
    </row>
    <row r="4149" spans="1:11" x14ac:dyDescent="0.2">
      <c r="A4149" s="2">
        <v>1038</v>
      </c>
      <c r="B4149" s="2">
        <v>6</v>
      </c>
      <c r="C4149" s="2">
        <v>107309328</v>
      </c>
      <c r="D4149" s="2">
        <v>109043244</v>
      </c>
      <c r="E4149" s="2">
        <v>3</v>
      </c>
      <c r="F4149" s="2" t="s">
        <v>10086</v>
      </c>
      <c r="H4149" s="2">
        <v>1.4E-3</v>
      </c>
      <c r="K4149" s="2" t="s">
        <v>10087</v>
      </c>
    </row>
    <row r="4150" spans="1:11" x14ac:dyDescent="0.2">
      <c r="A4150" s="2">
        <v>1038</v>
      </c>
      <c r="B4150" s="2">
        <v>6</v>
      </c>
      <c r="C4150" s="2">
        <v>107309328</v>
      </c>
      <c r="D4150" s="2">
        <v>109043244</v>
      </c>
      <c r="E4150" s="2">
        <v>4</v>
      </c>
      <c r="F4150" s="2" t="s">
        <v>10086</v>
      </c>
      <c r="H4150" s="3">
        <v>8.9999999999999998E-4</v>
      </c>
      <c r="K4150" s="2" t="s">
        <v>10089</v>
      </c>
    </row>
    <row r="4151" spans="1:11" x14ac:dyDescent="0.2">
      <c r="A4151" s="2">
        <v>1039</v>
      </c>
      <c r="B4151" s="2">
        <v>6</v>
      </c>
      <c r="C4151" s="2">
        <v>109043245</v>
      </c>
      <c r="D4151" s="2">
        <v>110647842</v>
      </c>
      <c r="E4151" s="2">
        <v>1</v>
      </c>
      <c r="F4151" s="2" t="s">
        <v>10086</v>
      </c>
      <c r="H4151" s="2">
        <v>3.0999999999999999E-3</v>
      </c>
      <c r="K4151" s="2" t="s">
        <v>10088</v>
      </c>
    </row>
    <row r="4152" spans="1:11" x14ac:dyDescent="0.2">
      <c r="A4152" s="2">
        <v>1039</v>
      </c>
      <c r="B4152" s="2">
        <v>6</v>
      </c>
      <c r="C4152" s="2">
        <v>109043245</v>
      </c>
      <c r="D4152" s="2">
        <v>110647842</v>
      </c>
      <c r="E4152" s="2">
        <v>2</v>
      </c>
      <c r="F4152" s="2" t="s">
        <v>10086</v>
      </c>
      <c r="H4152" s="2">
        <v>1.5E-3</v>
      </c>
      <c r="K4152" s="2" t="s">
        <v>10085</v>
      </c>
    </row>
    <row r="4153" spans="1:11" x14ac:dyDescent="0.2">
      <c r="A4153" s="2">
        <v>1039</v>
      </c>
      <c r="B4153" s="2">
        <v>6</v>
      </c>
      <c r="C4153" s="2">
        <v>109043245</v>
      </c>
      <c r="D4153" s="2">
        <v>110647842</v>
      </c>
      <c r="E4153" s="2">
        <v>3</v>
      </c>
      <c r="F4153" s="2" t="s">
        <v>10086</v>
      </c>
      <c r="H4153" s="2">
        <v>1.1000000000000001E-3</v>
      </c>
      <c r="K4153" s="2" t="s">
        <v>10087</v>
      </c>
    </row>
    <row r="4154" spans="1:11" x14ac:dyDescent="0.2">
      <c r="A4154" s="2">
        <v>1039</v>
      </c>
      <c r="B4154" s="2">
        <v>6</v>
      </c>
      <c r="C4154" s="2">
        <v>109043245</v>
      </c>
      <c r="D4154" s="2">
        <v>110647842</v>
      </c>
      <c r="E4154" s="2">
        <v>4</v>
      </c>
      <c r="F4154" s="2" t="s">
        <v>10086</v>
      </c>
      <c r="H4154" s="3">
        <v>6.9999999999999999E-4</v>
      </c>
      <c r="K4154" s="2" t="s">
        <v>10089</v>
      </c>
    </row>
    <row r="4155" spans="1:11" x14ac:dyDescent="0.2">
      <c r="A4155" s="2">
        <v>1040</v>
      </c>
      <c r="B4155" s="2">
        <v>6</v>
      </c>
      <c r="C4155" s="2">
        <v>110647843</v>
      </c>
      <c r="D4155" s="2">
        <v>111363443</v>
      </c>
      <c r="E4155" s="2">
        <v>1</v>
      </c>
      <c r="F4155" s="2" t="s">
        <v>10086</v>
      </c>
      <c r="H4155" s="2">
        <v>2.3E-3</v>
      </c>
      <c r="K4155" s="2" t="s">
        <v>10088</v>
      </c>
    </row>
    <row r="4156" spans="1:11" x14ac:dyDescent="0.2">
      <c r="A4156" s="2">
        <v>1040</v>
      </c>
      <c r="B4156" s="2">
        <v>6</v>
      </c>
      <c r="C4156" s="2">
        <v>110647843</v>
      </c>
      <c r="D4156" s="2">
        <v>111363443</v>
      </c>
      <c r="E4156" s="2">
        <v>2</v>
      </c>
      <c r="F4156" s="2" t="s">
        <v>10086</v>
      </c>
      <c r="H4156" s="2">
        <v>1.1999999999999999E-3</v>
      </c>
      <c r="K4156" s="2" t="s">
        <v>10089</v>
      </c>
    </row>
    <row r="4157" spans="1:11" x14ac:dyDescent="0.2">
      <c r="A4157" s="2">
        <v>1040</v>
      </c>
      <c r="B4157" s="2">
        <v>6</v>
      </c>
      <c r="C4157" s="2">
        <v>110647843</v>
      </c>
      <c r="D4157" s="2">
        <v>111363443</v>
      </c>
      <c r="E4157" s="2">
        <v>3</v>
      </c>
      <c r="F4157" s="2" t="s">
        <v>10086</v>
      </c>
      <c r="H4157" s="3">
        <v>6.9999999999999999E-4</v>
      </c>
      <c r="K4157" s="2" t="s">
        <v>10085</v>
      </c>
    </row>
    <row r="4158" spans="1:11" x14ac:dyDescent="0.2">
      <c r="A4158" s="2">
        <v>1040</v>
      </c>
      <c r="B4158" s="2">
        <v>6</v>
      </c>
      <c r="C4158" s="2">
        <v>110647843</v>
      </c>
      <c r="D4158" s="2">
        <v>111363443</v>
      </c>
      <c r="E4158" s="2">
        <v>4</v>
      </c>
      <c r="F4158" s="2" t="s">
        <v>10086</v>
      </c>
      <c r="H4158" s="3">
        <v>2.0000000000000001E-4</v>
      </c>
      <c r="K4158" s="2" t="s">
        <v>10087</v>
      </c>
    </row>
    <row r="4159" spans="1:11" x14ac:dyDescent="0.2">
      <c r="A4159" s="2">
        <v>1041</v>
      </c>
      <c r="B4159" s="2">
        <v>6</v>
      </c>
      <c r="C4159" s="2">
        <v>111363444</v>
      </c>
      <c r="D4159" s="2">
        <v>112342873</v>
      </c>
      <c r="E4159" s="2">
        <v>1</v>
      </c>
      <c r="F4159" s="2" t="s">
        <v>10086</v>
      </c>
      <c r="H4159" s="2">
        <v>2.5000000000000001E-3</v>
      </c>
      <c r="K4159" s="2" t="s">
        <v>10089</v>
      </c>
    </row>
    <row r="4160" spans="1:11" x14ac:dyDescent="0.2">
      <c r="A4160" s="2">
        <v>1041</v>
      </c>
      <c r="B4160" s="2">
        <v>6</v>
      </c>
      <c r="C4160" s="2">
        <v>111363444</v>
      </c>
      <c r="D4160" s="2">
        <v>112342873</v>
      </c>
      <c r="E4160" s="2">
        <v>2</v>
      </c>
      <c r="F4160" s="2" t="s">
        <v>10086</v>
      </c>
      <c r="H4160" s="2">
        <v>1.5E-3</v>
      </c>
      <c r="K4160" s="2" t="s">
        <v>10088</v>
      </c>
    </row>
    <row r="4161" spans="1:11" x14ac:dyDescent="0.2">
      <c r="A4161" s="2">
        <v>1041</v>
      </c>
      <c r="B4161" s="2">
        <v>6</v>
      </c>
      <c r="C4161" s="2">
        <v>111363444</v>
      </c>
      <c r="D4161" s="2">
        <v>112342873</v>
      </c>
      <c r="E4161" s="2">
        <v>3</v>
      </c>
      <c r="F4161" s="2" t="s">
        <v>10086</v>
      </c>
      <c r="H4161" s="2">
        <v>1E-3</v>
      </c>
      <c r="K4161" s="2" t="s">
        <v>10087</v>
      </c>
    </row>
    <row r="4162" spans="1:11" x14ac:dyDescent="0.2">
      <c r="A4162" s="2">
        <v>1041</v>
      </c>
      <c r="B4162" s="2">
        <v>6</v>
      </c>
      <c r="C4162" s="2">
        <v>111363444</v>
      </c>
      <c r="D4162" s="2">
        <v>112342873</v>
      </c>
      <c r="E4162" s="2">
        <v>4</v>
      </c>
      <c r="F4162" s="2" t="s">
        <v>10086</v>
      </c>
      <c r="H4162" s="3">
        <v>5.0000000000000001E-4</v>
      </c>
      <c r="K4162" s="2" t="s">
        <v>10085</v>
      </c>
    </row>
    <row r="4163" spans="1:11" x14ac:dyDescent="0.2">
      <c r="A4163" s="2">
        <v>1042</v>
      </c>
      <c r="B4163" s="2">
        <v>6</v>
      </c>
      <c r="C4163" s="2">
        <v>112342874</v>
      </c>
      <c r="D4163" s="2">
        <v>113705003</v>
      </c>
      <c r="E4163" s="2">
        <v>1</v>
      </c>
      <c r="F4163" s="2" t="s">
        <v>10086</v>
      </c>
      <c r="H4163" s="2">
        <v>1.6999999999999999E-3</v>
      </c>
      <c r="K4163" s="2" t="s">
        <v>10088</v>
      </c>
    </row>
    <row r="4164" spans="1:11" x14ac:dyDescent="0.2">
      <c r="A4164" s="2">
        <v>1042</v>
      </c>
      <c r="B4164" s="2">
        <v>6</v>
      </c>
      <c r="C4164" s="2">
        <v>112342874</v>
      </c>
      <c r="D4164" s="2">
        <v>113705003</v>
      </c>
      <c r="E4164" s="2">
        <v>2</v>
      </c>
      <c r="F4164" s="2" t="s">
        <v>10086</v>
      </c>
      <c r="H4164" s="2">
        <v>1.6000000000000001E-3</v>
      </c>
      <c r="K4164" s="2" t="s">
        <v>10085</v>
      </c>
    </row>
    <row r="4165" spans="1:11" x14ac:dyDescent="0.2">
      <c r="A4165" s="2">
        <v>1042</v>
      </c>
      <c r="B4165" s="2">
        <v>6</v>
      </c>
      <c r="C4165" s="2">
        <v>112342874</v>
      </c>
      <c r="D4165" s="2">
        <v>113705003</v>
      </c>
      <c r="E4165" s="2">
        <v>3</v>
      </c>
      <c r="F4165" s="2" t="s">
        <v>10086</v>
      </c>
      <c r="H4165" s="2">
        <v>1.5E-3</v>
      </c>
      <c r="K4165" s="2" t="s">
        <v>10089</v>
      </c>
    </row>
    <row r="4166" spans="1:11" x14ac:dyDescent="0.2">
      <c r="A4166" s="2">
        <v>1042</v>
      </c>
      <c r="B4166" s="2">
        <v>6</v>
      </c>
      <c r="C4166" s="2">
        <v>112342874</v>
      </c>
      <c r="D4166" s="2">
        <v>113705003</v>
      </c>
      <c r="E4166" s="2">
        <v>4</v>
      </c>
      <c r="F4166" s="2" t="s">
        <v>10086</v>
      </c>
      <c r="H4166" s="3">
        <v>8.0000000000000004E-4</v>
      </c>
      <c r="K4166" s="2" t="s">
        <v>12324</v>
      </c>
    </row>
    <row r="4167" spans="1:11" x14ac:dyDescent="0.2">
      <c r="A4167" s="2">
        <v>1043</v>
      </c>
      <c r="B4167" s="2">
        <v>6</v>
      </c>
      <c r="C4167" s="2">
        <v>113705004</v>
      </c>
      <c r="D4167" s="2">
        <v>115062811</v>
      </c>
      <c r="E4167" s="2">
        <v>1</v>
      </c>
      <c r="F4167" s="2" t="s">
        <v>10086</v>
      </c>
      <c r="H4167" s="2">
        <v>1.6000000000000001E-3</v>
      </c>
      <c r="K4167" s="2" t="s">
        <v>10085</v>
      </c>
    </row>
    <row r="4168" spans="1:11" x14ac:dyDescent="0.2">
      <c r="A4168" s="2">
        <v>1043</v>
      </c>
      <c r="B4168" s="2">
        <v>6</v>
      </c>
      <c r="C4168" s="2">
        <v>113705004</v>
      </c>
      <c r="D4168" s="2">
        <v>115062811</v>
      </c>
      <c r="E4168" s="2">
        <v>2</v>
      </c>
      <c r="F4168" s="2" t="s">
        <v>10086</v>
      </c>
      <c r="H4168" s="3">
        <v>8.9999999999999998E-4</v>
      </c>
      <c r="K4168" s="2" t="s">
        <v>10088</v>
      </c>
    </row>
    <row r="4169" spans="1:11" x14ac:dyDescent="0.2">
      <c r="A4169" s="2">
        <v>1043</v>
      </c>
      <c r="B4169" s="2">
        <v>6</v>
      </c>
      <c r="C4169" s="2">
        <v>113705004</v>
      </c>
      <c r="D4169" s="2">
        <v>115062811</v>
      </c>
      <c r="E4169" s="2">
        <v>3</v>
      </c>
      <c r="F4169" s="2" t="s">
        <v>10086</v>
      </c>
      <c r="H4169" s="3">
        <v>8.9999999999999998E-4</v>
      </c>
      <c r="K4169" s="2" t="s">
        <v>10089</v>
      </c>
    </row>
    <row r="4170" spans="1:11" x14ac:dyDescent="0.2">
      <c r="A4170" s="2">
        <v>1043</v>
      </c>
      <c r="B4170" s="2">
        <v>6</v>
      </c>
      <c r="C4170" s="2">
        <v>113705004</v>
      </c>
      <c r="D4170" s="2">
        <v>115062811</v>
      </c>
      <c r="E4170" s="2">
        <v>4</v>
      </c>
      <c r="F4170" s="2" t="s">
        <v>10086</v>
      </c>
      <c r="H4170" s="3">
        <v>6.9999999999999999E-4</v>
      </c>
      <c r="K4170" s="2" t="s">
        <v>10087</v>
      </c>
    </row>
    <row r="4171" spans="1:11" x14ac:dyDescent="0.2">
      <c r="A4171" s="2">
        <v>1044</v>
      </c>
      <c r="B4171" s="2">
        <v>6</v>
      </c>
      <c r="C4171" s="2">
        <v>115062812</v>
      </c>
      <c r="D4171" s="2">
        <v>116132147</v>
      </c>
      <c r="E4171" s="2">
        <v>1</v>
      </c>
      <c r="F4171" s="2" t="s">
        <v>10086</v>
      </c>
      <c r="H4171" s="2">
        <v>1.1000000000000001E-3</v>
      </c>
      <c r="K4171" s="2" t="s">
        <v>10087</v>
      </c>
    </row>
    <row r="4172" spans="1:11" x14ac:dyDescent="0.2">
      <c r="A4172" s="2">
        <v>1044</v>
      </c>
      <c r="B4172" s="2">
        <v>6</v>
      </c>
      <c r="C4172" s="2">
        <v>115062812</v>
      </c>
      <c r="D4172" s="2">
        <v>116132147</v>
      </c>
      <c r="E4172" s="2">
        <v>2</v>
      </c>
      <c r="F4172" s="2" t="s">
        <v>10086</v>
      </c>
      <c r="H4172" s="3">
        <v>5.9999999999999995E-4</v>
      </c>
      <c r="K4172" s="2" t="s">
        <v>10085</v>
      </c>
    </row>
    <row r="4173" spans="1:11" x14ac:dyDescent="0.2">
      <c r="A4173" s="2">
        <v>1044</v>
      </c>
      <c r="B4173" s="2">
        <v>6</v>
      </c>
      <c r="C4173" s="2">
        <v>115062812</v>
      </c>
      <c r="D4173" s="2">
        <v>116132147</v>
      </c>
      <c r="E4173" s="2">
        <v>3</v>
      </c>
      <c r="F4173" s="2" t="s">
        <v>10086</v>
      </c>
      <c r="H4173" s="3">
        <v>5.0000000000000001E-4</v>
      </c>
      <c r="K4173" s="2" t="s">
        <v>10088</v>
      </c>
    </row>
    <row r="4174" spans="1:11" x14ac:dyDescent="0.2">
      <c r="A4174" s="2">
        <v>1044</v>
      </c>
      <c r="B4174" s="2">
        <v>6</v>
      </c>
      <c r="C4174" s="2">
        <v>115062812</v>
      </c>
      <c r="D4174" s="2">
        <v>116132147</v>
      </c>
      <c r="E4174" s="2">
        <v>4</v>
      </c>
      <c r="F4174" s="2" t="s">
        <v>10086</v>
      </c>
      <c r="H4174" s="3">
        <v>2.0000000000000001E-4</v>
      </c>
      <c r="K4174" s="2" t="s">
        <v>10089</v>
      </c>
    </row>
    <row r="4175" spans="1:11" x14ac:dyDescent="0.2">
      <c r="A4175" s="2">
        <v>1045</v>
      </c>
      <c r="B4175" s="2">
        <v>6</v>
      </c>
      <c r="C4175" s="2">
        <v>116132148</v>
      </c>
      <c r="D4175" s="2">
        <v>117674076</v>
      </c>
      <c r="E4175" s="2">
        <v>1</v>
      </c>
      <c r="F4175" s="2" t="s">
        <v>10086</v>
      </c>
      <c r="H4175" s="2">
        <v>3.8999999999999998E-3</v>
      </c>
      <c r="K4175" s="2" t="s">
        <v>10088</v>
      </c>
    </row>
    <row r="4176" spans="1:11" x14ac:dyDescent="0.2">
      <c r="A4176" s="2">
        <v>1045</v>
      </c>
      <c r="B4176" s="2">
        <v>6</v>
      </c>
      <c r="C4176" s="2">
        <v>116132148</v>
      </c>
      <c r="D4176" s="2">
        <v>117674076</v>
      </c>
      <c r="E4176" s="2">
        <v>2</v>
      </c>
      <c r="F4176" s="2" t="s">
        <v>10086</v>
      </c>
      <c r="H4176" s="2">
        <v>1.6999999999999999E-3</v>
      </c>
      <c r="K4176" s="2" t="s">
        <v>10087</v>
      </c>
    </row>
    <row r="4177" spans="1:11" x14ac:dyDescent="0.2">
      <c r="A4177" s="2">
        <v>1045</v>
      </c>
      <c r="B4177" s="2">
        <v>6</v>
      </c>
      <c r="C4177" s="2">
        <v>116132148</v>
      </c>
      <c r="D4177" s="2">
        <v>117674076</v>
      </c>
      <c r="E4177" s="2">
        <v>3</v>
      </c>
      <c r="F4177" s="2" t="s">
        <v>10086</v>
      </c>
      <c r="H4177" s="3">
        <v>6.9999999999999999E-4</v>
      </c>
      <c r="K4177" s="2" t="s">
        <v>10085</v>
      </c>
    </row>
    <row r="4178" spans="1:11" x14ac:dyDescent="0.2">
      <c r="A4178" s="2">
        <v>1045</v>
      </c>
      <c r="B4178" s="2">
        <v>6</v>
      </c>
      <c r="C4178" s="2">
        <v>116132148</v>
      </c>
      <c r="D4178" s="2">
        <v>117674076</v>
      </c>
      <c r="E4178" s="2">
        <v>4</v>
      </c>
      <c r="F4178" s="2" t="s">
        <v>10086</v>
      </c>
      <c r="H4178" s="3">
        <v>5.0000000000000001E-4</v>
      </c>
      <c r="K4178" s="2" t="s">
        <v>10089</v>
      </c>
    </row>
    <row r="4179" spans="1:11" x14ac:dyDescent="0.2">
      <c r="A4179" s="2">
        <v>1046</v>
      </c>
      <c r="B4179" s="2">
        <v>6</v>
      </c>
      <c r="C4179" s="2">
        <v>117674077</v>
      </c>
      <c r="D4179" s="2">
        <v>118529071</v>
      </c>
      <c r="E4179" s="2">
        <v>1</v>
      </c>
      <c r="F4179" s="2" t="s">
        <v>10086</v>
      </c>
      <c r="H4179" s="2">
        <v>1.1999999999999999E-3</v>
      </c>
      <c r="K4179" s="2" t="s">
        <v>10087</v>
      </c>
    </row>
    <row r="4180" spans="1:11" x14ac:dyDescent="0.2">
      <c r="A4180" s="2">
        <v>1046</v>
      </c>
      <c r="B4180" s="2">
        <v>6</v>
      </c>
      <c r="C4180" s="2">
        <v>117674077</v>
      </c>
      <c r="D4180" s="2">
        <v>118529071</v>
      </c>
      <c r="E4180" s="2">
        <v>2</v>
      </c>
      <c r="F4180" s="2" t="s">
        <v>10086</v>
      </c>
      <c r="H4180" s="2">
        <v>1.1000000000000001E-3</v>
      </c>
      <c r="K4180" s="2" t="s">
        <v>10085</v>
      </c>
    </row>
    <row r="4181" spans="1:11" x14ac:dyDescent="0.2">
      <c r="A4181" s="2">
        <v>1046</v>
      </c>
      <c r="B4181" s="2">
        <v>6</v>
      </c>
      <c r="C4181" s="2">
        <v>117674077</v>
      </c>
      <c r="D4181" s="2">
        <v>118529071</v>
      </c>
      <c r="E4181" s="2">
        <v>3</v>
      </c>
      <c r="F4181" s="2" t="s">
        <v>10086</v>
      </c>
      <c r="H4181" s="3">
        <v>6.9999999999999999E-4</v>
      </c>
      <c r="K4181" s="2" t="s">
        <v>10089</v>
      </c>
    </row>
    <row r="4182" spans="1:11" x14ac:dyDescent="0.2">
      <c r="A4182" s="2">
        <v>1046</v>
      </c>
      <c r="B4182" s="2">
        <v>6</v>
      </c>
      <c r="C4182" s="2">
        <v>117674077</v>
      </c>
      <c r="D4182" s="2">
        <v>118529071</v>
      </c>
      <c r="E4182" s="2">
        <v>4</v>
      </c>
      <c r="F4182" s="2" t="s">
        <v>10086</v>
      </c>
      <c r="H4182" s="3">
        <v>2.9999999999999997E-4</v>
      </c>
      <c r="K4182" s="2" t="s">
        <v>10088</v>
      </c>
    </row>
    <row r="4183" spans="1:11" x14ac:dyDescent="0.2">
      <c r="A4183" s="2">
        <v>1047</v>
      </c>
      <c r="B4183" s="2">
        <v>6</v>
      </c>
      <c r="C4183" s="2">
        <v>118529072</v>
      </c>
      <c r="D4183" s="2">
        <v>119451294</v>
      </c>
      <c r="E4183" s="2">
        <v>1</v>
      </c>
      <c r="F4183" s="2" t="s">
        <v>10086</v>
      </c>
      <c r="H4183" s="2">
        <v>1.1000000000000001E-3</v>
      </c>
      <c r="K4183" s="2" t="s">
        <v>10087</v>
      </c>
    </row>
    <row r="4184" spans="1:11" x14ac:dyDescent="0.2">
      <c r="A4184" s="2">
        <v>1047</v>
      </c>
      <c r="B4184" s="2">
        <v>6</v>
      </c>
      <c r="C4184" s="2">
        <v>118529072</v>
      </c>
      <c r="D4184" s="2">
        <v>119451294</v>
      </c>
      <c r="E4184" s="2">
        <v>2</v>
      </c>
      <c r="F4184" s="2" t="s">
        <v>10086</v>
      </c>
      <c r="H4184" s="3">
        <v>8.0000000000000004E-4</v>
      </c>
      <c r="K4184" s="2" t="s">
        <v>10089</v>
      </c>
    </row>
    <row r="4185" spans="1:11" x14ac:dyDescent="0.2">
      <c r="A4185" s="2">
        <v>1047</v>
      </c>
      <c r="B4185" s="2">
        <v>6</v>
      </c>
      <c r="C4185" s="2">
        <v>118529072</v>
      </c>
      <c r="D4185" s="2">
        <v>119451294</v>
      </c>
      <c r="E4185" s="2">
        <v>3</v>
      </c>
      <c r="F4185" s="2" t="s">
        <v>10086</v>
      </c>
      <c r="H4185" s="3">
        <v>5.9999999999999995E-4</v>
      </c>
      <c r="K4185" s="2" t="s">
        <v>10088</v>
      </c>
    </row>
    <row r="4186" spans="1:11" x14ac:dyDescent="0.2">
      <c r="A4186" s="2">
        <v>1047</v>
      </c>
      <c r="B4186" s="2">
        <v>6</v>
      </c>
      <c r="C4186" s="2">
        <v>118529072</v>
      </c>
      <c r="D4186" s="2">
        <v>119451294</v>
      </c>
      <c r="E4186" s="2">
        <v>4</v>
      </c>
      <c r="F4186" s="2" t="s">
        <v>10086</v>
      </c>
      <c r="H4186" s="3">
        <v>2.9999999999999997E-4</v>
      </c>
      <c r="K4186" s="2" t="s">
        <v>10085</v>
      </c>
    </row>
    <row r="4187" spans="1:11" x14ac:dyDescent="0.2">
      <c r="A4187" s="2">
        <v>1048</v>
      </c>
      <c r="B4187" s="2">
        <v>6</v>
      </c>
      <c r="C4187" s="2">
        <v>119451295</v>
      </c>
      <c r="D4187" s="2">
        <v>120339244</v>
      </c>
      <c r="E4187" s="2">
        <v>1</v>
      </c>
      <c r="F4187" s="2" t="s">
        <v>10086</v>
      </c>
      <c r="H4187" s="3">
        <v>8.0000000000000004E-4</v>
      </c>
      <c r="K4187" s="2" t="s">
        <v>10089</v>
      </c>
    </row>
    <row r="4188" spans="1:11" x14ac:dyDescent="0.2">
      <c r="A4188" s="2">
        <v>1048</v>
      </c>
      <c r="B4188" s="2">
        <v>6</v>
      </c>
      <c r="C4188" s="2">
        <v>119451295</v>
      </c>
      <c r="D4188" s="2">
        <v>120339244</v>
      </c>
      <c r="E4188" s="2">
        <v>2</v>
      </c>
      <c r="F4188" s="2" t="s">
        <v>10086</v>
      </c>
      <c r="H4188" s="3">
        <v>5.9999999999999995E-4</v>
      </c>
      <c r="K4188" s="2" t="s">
        <v>10087</v>
      </c>
    </row>
    <row r="4189" spans="1:11" x14ac:dyDescent="0.2">
      <c r="A4189" s="2">
        <v>1048</v>
      </c>
      <c r="B4189" s="2">
        <v>6</v>
      </c>
      <c r="C4189" s="2">
        <v>119451295</v>
      </c>
      <c r="D4189" s="2">
        <v>120339244</v>
      </c>
      <c r="E4189" s="2">
        <v>3</v>
      </c>
      <c r="F4189" s="2" t="s">
        <v>10086</v>
      </c>
      <c r="H4189" s="3">
        <v>5.0000000000000001E-4</v>
      </c>
      <c r="K4189" s="2" t="s">
        <v>10085</v>
      </c>
    </row>
    <row r="4190" spans="1:11" x14ac:dyDescent="0.2">
      <c r="A4190" s="2">
        <v>1048</v>
      </c>
      <c r="B4190" s="2">
        <v>6</v>
      </c>
      <c r="C4190" s="2">
        <v>119451295</v>
      </c>
      <c r="D4190" s="2">
        <v>120339244</v>
      </c>
      <c r="E4190" s="2">
        <v>4</v>
      </c>
      <c r="F4190" s="2" t="s">
        <v>10086</v>
      </c>
      <c r="H4190" s="3">
        <v>2.9999999999999997E-4</v>
      </c>
      <c r="K4190" s="2" t="s">
        <v>10088</v>
      </c>
    </row>
    <row r="4191" spans="1:11" x14ac:dyDescent="0.2">
      <c r="A4191" s="2">
        <v>1049</v>
      </c>
      <c r="B4191" s="2">
        <v>6</v>
      </c>
      <c r="C4191" s="2">
        <v>120339245</v>
      </c>
      <c r="D4191" s="2">
        <v>121087444</v>
      </c>
      <c r="E4191" s="2">
        <v>1</v>
      </c>
      <c r="F4191" s="2" t="s">
        <v>10086</v>
      </c>
      <c r="H4191" s="3">
        <v>5.0000000000000001E-4</v>
      </c>
      <c r="K4191" s="2" t="s">
        <v>10087</v>
      </c>
    </row>
    <row r="4192" spans="1:11" x14ac:dyDescent="0.2">
      <c r="A4192" s="2">
        <v>1049</v>
      </c>
      <c r="B4192" s="2">
        <v>6</v>
      </c>
      <c r="C4192" s="2">
        <v>120339245</v>
      </c>
      <c r="D4192" s="2">
        <v>121087444</v>
      </c>
      <c r="E4192" s="2">
        <v>2</v>
      </c>
      <c r="F4192" s="2" t="s">
        <v>10086</v>
      </c>
      <c r="H4192" s="3">
        <v>5.0000000000000001E-4</v>
      </c>
      <c r="K4192" s="2" t="s">
        <v>10089</v>
      </c>
    </row>
    <row r="4193" spans="1:11" x14ac:dyDescent="0.2">
      <c r="A4193" s="2">
        <v>1049</v>
      </c>
      <c r="B4193" s="2">
        <v>6</v>
      </c>
      <c r="C4193" s="2">
        <v>120339245</v>
      </c>
      <c r="D4193" s="2">
        <v>121087444</v>
      </c>
      <c r="E4193" s="2">
        <v>3</v>
      </c>
      <c r="F4193" s="2" t="s">
        <v>10086</v>
      </c>
      <c r="H4193" s="3">
        <v>4.0000000000000002E-4</v>
      </c>
      <c r="K4193" s="2" t="s">
        <v>10085</v>
      </c>
    </row>
    <row r="4194" spans="1:11" x14ac:dyDescent="0.2">
      <c r="A4194" s="2">
        <v>1049</v>
      </c>
      <c r="B4194" s="2">
        <v>6</v>
      </c>
      <c r="C4194" s="2">
        <v>120339245</v>
      </c>
      <c r="D4194" s="2">
        <v>121087444</v>
      </c>
      <c r="E4194" s="2">
        <v>4</v>
      </c>
      <c r="F4194" s="2" t="s">
        <v>10086</v>
      </c>
      <c r="H4194" s="3">
        <v>2.0000000000000001E-4</v>
      </c>
      <c r="K4194" s="2" t="s">
        <v>10088</v>
      </c>
    </row>
    <row r="4195" spans="1:11" x14ac:dyDescent="0.2">
      <c r="A4195" s="2">
        <v>1050</v>
      </c>
      <c r="B4195" s="2">
        <v>6</v>
      </c>
      <c r="C4195" s="2">
        <v>121087445</v>
      </c>
      <c r="D4195" s="2">
        <v>121908063</v>
      </c>
      <c r="E4195" s="2">
        <v>1</v>
      </c>
      <c r="F4195" s="2" t="s">
        <v>10086</v>
      </c>
      <c r="H4195" s="3">
        <v>6.9999999999999999E-4</v>
      </c>
      <c r="K4195" s="2" t="s">
        <v>10085</v>
      </c>
    </row>
    <row r="4196" spans="1:11" x14ac:dyDescent="0.2">
      <c r="A4196" s="2">
        <v>1050</v>
      </c>
      <c r="B4196" s="2">
        <v>6</v>
      </c>
      <c r="C4196" s="2">
        <v>121087445</v>
      </c>
      <c r="D4196" s="2">
        <v>121908063</v>
      </c>
      <c r="E4196" s="2">
        <v>2</v>
      </c>
      <c r="F4196" s="2" t="s">
        <v>10086</v>
      </c>
      <c r="H4196" s="2">
        <v>1E-3</v>
      </c>
      <c r="K4196" s="2" t="s">
        <v>10088</v>
      </c>
    </row>
    <row r="4197" spans="1:11" x14ac:dyDescent="0.2">
      <c r="A4197" s="2">
        <v>1050</v>
      </c>
      <c r="B4197" s="2">
        <v>6</v>
      </c>
      <c r="C4197" s="2">
        <v>121087445</v>
      </c>
      <c r="D4197" s="2">
        <v>121908063</v>
      </c>
      <c r="E4197" s="2">
        <v>3</v>
      </c>
      <c r="F4197" s="2" t="s">
        <v>10086</v>
      </c>
      <c r="H4197" s="3">
        <v>5.9999999999999995E-4</v>
      </c>
      <c r="K4197" s="2" t="s">
        <v>10087</v>
      </c>
    </row>
    <row r="4198" spans="1:11" x14ac:dyDescent="0.2">
      <c r="A4198" s="2">
        <v>1050</v>
      </c>
      <c r="B4198" s="2">
        <v>6</v>
      </c>
      <c r="C4198" s="2">
        <v>121087445</v>
      </c>
      <c r="D4198" s="2">
        <v>121908063</v>
      </c>
      <c r="E4198" s="2">
        <v>4</v>
      </c>
      <c r="F4198" s="2" t="s">
        <v>10086</v>
      </c>
      <c r="H4198" s="3">
        <v>4.0000000000000002E-4</v>
      </c>
      <c r="K4198" s="2" t="s">
        <v>10089</v>
      </c>
    </row>
    <row r="4199" spans="1:11" x14ac:dyDescent="0.2">
      <c r="A4199" s="2">
        <v>1051</v>
      </c>
      <c r="B4199" s="2">
        <v>6</v>
      </c>
      <c r="C4199" s="2">
        <v>121908064</v>
      </c>
      <c r="D4199" s="2">
        <v>122929290</v>
      </c>
      <c r="E4199" s="2">
        <v>1</v>
      </c>
      <c r="F4199" s="2" t="s">
        <v>10086</v>
      </c>
      <c r="H4199" s="2">
        <v>1.1999999999999999E-3</v>
      </c>
      <c r="K4199" s="2" t="s">
        <v>10089</v>
      </c>
    </row>
    <row r="4200" spans="1:11" x14ac:dyDescent="0.2">
      <c r="A4200" s="2">
        <v>1051</v>
      </c>
      <c r="B4200" s="2">
        <v>6</v>
      </c>
      <c r="C4200" s="2">
        <v>121908064</v>
      </c>
      <c r="D4200" s="2">
        <v>122929290</v>
      </c>
      <c r="E4200" s="2">
        <v>2</v>
      </c>
      <c r="F4200" s="2" t="s">
        <v>10086</v>
      </c>
      <c r="H4200" s="3">
        <v>8.0000000000000004E-4</v>
      </c>
      <c r="K4200" s="2" t="s">
        <v>10087</v>
      </c>
    </row>
    <row r="4201" spans="1:11" x14ac:dyDescent="0.2">
      <c r="A4201" s="2">
        <v>1051</v>
      </c>
      <c r="B4201" s="2">
        <v>6</v>
      </c>
      <c r="C4201" s="2">
        <v>121908064</v>
      </c>
      <c r="D4201" s="2">
        <v>122929290</v>
      </c>
      <c r="E4201" s="2">
        <v>3</v>
      </c>
      <c r="F4201" s="2" t="s">
        <v>10086</v>
      </c>
      <c r="H4201" s="3">
        <v>6.9999999999999999E-4</v>
      </c>
      <c r="K4201" s="2" t="s">
        <v>10088</v>
      </c>
    </row>
    <row r="4202" spans="1:11" x14ac:dyDescent="0.2">
      <c r="A4202" s="2">
        <v>1051</v>
      </c>
      <c r="B4202" s="2">
        <v>6</v>
      </c>
      <c r="C4202" s="2">
        <v>121908064</v>
      </c>
      <c r="D4202" s="2">
        <v>122929290</v>
      </c>
      <c r="E4202" s="2">
        <v>4</v>
      </c>
      <c r="F4202" s="2" t="s">
        <v>10086</v>
      </c>
      <c r="H4202" s="3">
        <v>2.9999999999999997E-4</v>
      </c>
      <c r="K4202" s="2" t="s">
        <v>10085</v>
      </c>
    </row>
    <row r="4203" spans="1:11" x14ac:dyDescent="0.2">
      <c r="A4203" s="2">
        <v>1052</v>
      </c>
      <c r="B4203" s="2">
        <v>6</v>
      </c>
      <c r="C4203" s="2">
        <v>122929291</v>
      </c>
      <c r="D4203" s="2">
        <v>123854857</v>
      </c>
      <c r="E4203" s="2">
        <v>1</v>
      </c>
      <c r="F4203" s="2" t="s">
        <v>10086</v>
      </c>
      <c r="H4203" s="2">
        <v>1.8E-3</v>
      </c>
      <c r="K4203" s="2" t="s">
        <v>10089</v>
      </c>
    </row>
    <row r="4204" spans="1:11" x14ac:dyDescent="0.2">
      <c r="A4204" s="2">
        <v>1052</v>
      </c>
      <c r="B4204" s="2">
        <v>6</v>
      </c>
      <c r="C4204" s="2">
        <v>122929291</v>
      </c>
      <c r="D4204" s="2">
        <v>123854857</v>
      </c>
      <c r="E4204" s="2">
        <v>2</v>
      </c>
      <c r="F4204" s="2" t="s">
        <v>10086</v>
      </c>
      <c r="H4204" s="2">
        <v>1.1999999999999999E-3</v>
      </c>
      <c r="K4204" s="2" t="s">
        <v>10085</v>
      </c>
    </row>
    <row r="4205" spans="1:11" x14ac:dyDescent="0.2">
      <c r="A4205" s="2">
        <v>1052</v>
      </c>
      <c r="B4205" s="2">
        <v>6</v>
      </c>
      <c r="C4205" s="2">
        <v>122929291</v>
      </c>
      <c r="D4205" s="2">
        <v>123854857</v>
      </c>
      <c r="E4205" s="2">
        <v>3</v>
      </c>
      <c r="F4205" s="2" t="s">
        <v>10086</v>
      </c>
      <c r="H4205" s="2">
        <v>1E-3</v>
      </c>
      <c r="K4205" s="2" t="s">
        <v>10088</v>
      </c>
    </row>
    <row r="4206" spans="1:11" x14ac:dyDescent="0.2">
      <c r="A4206" s="2">
        <v>1052</v>
      </c>
      <c r="B4206" s="2">
        <v>6</v>
      </c>
      <c r="C4206" s="2">
        <v>122929291</v>
      </c>
      <c r="D4206" s="2">
        <v>123854857</v>
      </c>
      <c r="E4206" s="2">
        <v>4</v>
      </c>
      <c r="F4206" s="2" t="s">
        <v>10086</v>
      </c>
      <c r="H4206" s="3">
        <v>4.0000000000000002E-4</v>
      </c>
      <c r="K4206" s="2" t="s">
        <v>10087</v>
      </c>
    </row>
    <row r="4207" spans="1:11" x14ac:dyDescent="0.2">
      <c r="A4207" s="2">
        <v>1053</v>
      </c>
      <c r="B4207" s="2">
        <v>6</v>
      </c>
      <c r="C4207" s="2">
        <v>123854858</v>
      </c>
      <c r="D4207" s="2">
        <v>125365054</v>
      </c>
      <c r="E4207" s="2">
        <v>1</v>
      </c>
      <c r="F4207" s="2" t="s">
        <v>10086</v>
      </c>
      <c r="H4207" s="2">
        <v>1.6999999999999999E-3</v>
      </c>
      <c r="K4207" s="2" t="s">
        <v>10089</v>
      </c>
    </row>
    <row r="4208" spans="1:11" x14ac:dyDescent="0.2">
      <c r="A4208" s="2">
        <v>1053</v>
      </c>
      <c r="B4208" s="2">
        <v>6</v>
      </c>
      <c r="C4208" s="2">
        <v>123854858</v>
      </c>
      <c r="D4208" s="2">
        <v>125365054</v>
      </c>
      <c r="E4208" s="2">
        <v>2</v>
      </c>
      <c r="F4208" s="2" t="s">
        <v>10086</v>
      </c>
      <c r="H4208" s="2">
        <v>2E-3</v>
      </c>
      <c r="K4208" s="2" t="s">
        <v>10088</v>
      </c>
    </row>
    <row r="4209" spans="1:11" x14ac:dyDescent="0.2">
      <c r="A4209" s="2">
        <v>1053</v>
      </c>
      <c r="B4209" s="2">
        <v>6</v>
      </c>
      <c r="C4209" s="2">
        <v>123854858</v>
      </c>
      <c r="D4209" s="2">
        <v>125365054</v>
      </c>
      <c r="E4209" s="2">
        <v>3</v>
      </c>
      <c r="F4209" s="2" t="s">
        <v>10086</v>
      </c>
      <c r="H4209" s="2">
        <v>1.1000000000000001E-3</v>
      </c>
      <c r="K4209" s="2" t="s">
        <v>10087</v>
      </c>
    </row>
    <row r="4210" spans="1:11" x14ac:dyDescent="0.2">
      <c r="A4210" s="2">
        <v>1053</v>
      </c>
      <c r="B4210" s="2">
        <v>6</v>
      </c>
      <c r="C4210" s="2">
        <v>123854858</v>
      </c>
      <c r="D4210" s="2">
        <v>125365054</v>
      </c>
      <c r="E4210" s="2">
        <v>4</v>
      </c>
      <c r="F4210" s="2" t="s">
        <v>10086</v>
      </c>
      <c r="H4210" s="2">
        <v>1E-3</v>
      </c>
      <c r="K4210" s="2" t="s">
        <v>12324</v>
      </c>
    </row>
    <row r="4211" spans="1:11" x14ac:dyDescent="0.2">
      <c r="A4211" s="2">
        <v>1054</v>
      </c>
      <c r="B4211" s="2">
        <v>6</v>
      </c>
      <c r="C4211" s="2">
        <v>125365055</v>
      </c>
      <c r="D4211" s="2">
        <v>127545459</v>
      </c>
      <c r="E4211" s="2">
        <v>1</v>
      </c>
      <c r="F4211" s="2" t="s">
        <v>10086</v>
      </c>
      <c r="H4211" s="2">
        <v>8.3000000000000001E-3</v>
      </c>
      <c r="K4211" s="2" t="s">
        <v>10089</v>
      </c>
    </row>
    <row r="4212" spans="1:11" x14ac:dyDescent="0.2">
      <c r="A4212" s="2">
        <v>1054</v>
      </c>
      <c r="B4212" s="2">
        <v>6</v>
      </c>
      <c r="C4212" s="2">
        <v>125365055</v>
      </c>
      <c r="D4212" s="2">
        <v>127545459</v>
      </c>
      <c r="E4212" s="2">
        <v>2</v>
      </c>
      <c r="F4212" s="2" t="s">
        <v>10086</v>
      </c>
      <c r="H4212" s="2">
        <v>2.5000000000000001E-3</v>
      </c>
      <c r="K4212" s="2" t="s">
        <v>10087</v>
      </c>
    </row>
    <row r="4213" spans="1:11" x14ac:dyDescent="0.2">
      <c r="A4213" s="2">
        <v>1054</v>
      </c>
      <c r="B4213" s="2">
        <v>6</v>
      </c>
      <c r="C4213" s="2">
        <v>125365055</v>
      </c>
      <c r="D4213" s="2">
        <v>127545459</v>
      </c>
      <c r="E4213" s="2">
        <v>3</v>
      </c>
      <c r="F4213" s="2" t="s">
        <v>10086</v>
      </c>
      <c r="H4213" s="2">
        <v>2E-3</v>
      </c>
      <c r="K4213" s="2" t="s">
        <v>10088</v>
      </c>
    </row>
    <row r="4214" spans="1:11" x14ac:dyDescent="0.2">
      <c r="A4214" s="2">
        <v>1054</v>
      </c>
      <c r="B4214" s="2">
        <v>6</v>
      </c>
      <c r="C4214" s="2">
        <v>125365055</v>
      </c>
      <c r="D4214" s="2">
        <v>127545459</v>
      </c>
      <c r="E4214" s="2">
        <v>4</v>
      </c>
      <c r="F4214" s="2" t="s">
        <v>10086</v>
      </c>
      <c r="H4214" s="3">
        <v>5.9999999999999995E-4</v>
      </c>
      <c r="K4214" s="2" t="s">
        <v>10085</v>
      </c>
    </row>
    <row r="4215" spans="1:11" x14ac:dyDescent="0.2">
      <c r="A4215" s="2">
        <v>1055</v>
      </c>
      <c r="B4215" s="2">
        <v>6</v>
      </c>
      <c r="C4215" s="2">
        <v>127545460</v>
      </c>
      <c r="D4215" s="2">
        <v>128763380</v>
      </c>
      <c r="E4215" s="2">
        <v>1</v>
      </c>
      <c r="F4215" s="2" t="s">
        <v>10086</v>
      </c>
      <c r="H4215" s="2">
        <v>1.4E-3</v>
      </c>
      <c r="K4215" s="2" t="s">
        <v>10088</v>
      </c>
    </row>
    <row r="4216" spans="1:11" x14ac:dyDescent="0.2">
      <c r="A4216" s="2">
        <v>1055</v>
      </c>
      <c r="B4216" s="2">
        <v>6</v>
      </c>
      <c r="C4216" s="2">
        <v>127545460</v>
      </c>
      <c r="D4216" s="2">
        <v>128763380</v>
      </c>
      <c r="E4216" s="2">
        <v>2</v>
      </c>
      <c r="F4216" s="2" t="s">
        <v>10086</v>
      </c>
      <c r="H4216" s="2">
        <v>1.1000000000000001E-3</v>
      </c>
      <c r="K4216" s="2" t="s">
        <v>10085</v>
      </c>
    </row>
    <row r="4217" spans="1:11" x14ac:dyDescent="0.2">
      <c r="A4217" s="2">
        <v>1055</v>
      </c>
      <c r="B4217" s="2">
        <v>6</v>
      </c>
      <c r="C4217" s="2">
        <v>127545460</v>
      </c>
      <c r="D4217" s="2">
        <v>128763380</v>
      </c>
      <c r="E4217" s="2">
        <v>3</v>
      </c>
      <c r="F4217" s="2" t="s">
        <v>10086</v>
      </c>
      <c r="H4217" s="2">
        <v>1E-3</v>
      </c>
      <c r="K4217" s="2" t="s">
        <v>10087</v>
      </c>
    </row>
    <row r="4218" spans="1:11" x14ac:dyDescent="0.2">
      <c r="A4218" s="2">
        <v>1055</v>
      </c>
      <c r="B4218" s="2">
        <v>6</v>
      </c>
      <c r="C4218" s="2">
        <v>127545460</v>
      </c>
      <c r="D4218" s="2">
        <v>128763380</v>
      </c>
      <c r="E4218" s="2">
        <v>4</v>
      </c>
      <c r="F4218" s="2" t="s">
        <v>10086</v>
      </c>
      <c r="H4218" s="3">
        <v>4.0000000000000002E-4</v>
      </c>
      <c r="K4218" s="2" t="s">
        <v>10089</v>
      </c>
    </row>
    <row r="4219" spans="1:11" x14ac:dyDescent="0.2">
      <c r="A4219" s="2">
        <v>1056</v>
      </c>
      <c r="B4219" s="2">
        <v>6</v>
      </c>
      <c r="C4219" s="2">
        <v>128763381</v>
      </c>
      <c r="D4219" s="2">
        <v>129850178</v>
      </c>
      <c r="E4219" s="2">
        <v>1</v>
      </c>
      <c r="F4219" s="2" t="s">
        <v>10086</v>
      </c>
      <c r="H4219" s="2">
        <v>3.2000000000000002E-3</v>
      </c>
      <c r="K4219" s="2" t="s">
        <v>10088</v>
      </c>
    </row>
    <row r="4220" spans="1:11" x14ac:dyDescent="0.2">
      <c r="A4220" s="2">
        <v>1056</v>
      </c>
      <c r="B4220" s="2">
        <v>6</v>
      </c>
      <c r="C4220" s="2">
        <v>128763381</v>
      </c>
      <c r="D4220" s="2">
        <v>129850178</v>
      </c>
      <c r="E4220" s="2">
        <v>2</v>
      </c>
      <c r="F4220" s="2" t="s">
        <v>10086</v>
      </c>
      <c r="H4220" s="3">
        <v>8.0000000000000004E-4</v>
      </c>
      <c r="K4220" s="2" t="s">
        <v>10089</v>
      </c>
    </row>
    <row r="4221" spans="1:11" x14ac:dyDescent="0.2">
      <c r="A4221" s="2">
        <v>1056</v>
      </c>
      <c r="B4221" s="2">
        <v>6</v>
      </c>
      <c r="C4221" s="2">
        <v>128763381</v>
      </c>
      <c r="D4221" s="2">
        <v>129850178</v>
      </c>
      <c r="E4221" s="2">
        <v>3</v>
      </c>
      <c r="F4221" s="2" t="s">
        <v>10086</v>
      </c>
      <c r="H4221" s="3">
        <v>5.9999999999999995E-4</v>
      </c>
      <c r="K4221" s="2" t="s">
        <v>10085</v>
      </c>
    </row>
    <row r="4222" spans="1:11" x14ac:dyDescent="0.2">
      <c r="A4222" s="2">
        <v>1056</v>
      </c>
      <c r="B4222" s="2">
        <v>6</v>
      </c>
      <c r="C4222" s="2">
        <v>128763381</v>
      </c>
      <c r="D4222" s="2">
        <v>129850178</v>
      </c>
      <c r="E4222" s="2">
        <v>4</v>
      </c>
      <c r="F4222" s="2" t="s">
        <v>10086</v>
      </c>
      <c r="H4222" s="3">
        <v>4.0000000000000002E-4</v>
      </c>
      <c r="K4222" s="2" t="s">
        <v>10087</v>
      </c>
    </row>
    <row r="4223" spans="1:11" x14ac:dyDescent="0.2">
      <c r="A4223" s="2">
        <v>1057</v>
      </c>
      <c r="B4223" s="2">
        <v>6</v>
      </c>
      <c r="C4223" s="2">
        <v>129850179</v>
      </c>
      <c r="D4223" s="2">
        <v>130550137</v>
      </c>
      <c r="E4223" s="2">
        <v>1</v>
      </c>
      <c r="F4223" s="2" t="s">
        <v>10086</v>
      </c>
      <c r="H4223" s="2">
        <v>1.5E-3</v>
      </c>
      <c r="K4223" s="2" t="s">
        <v>10088</v>
      </c>
    </row>
    <row r="4224" spans="1:11" x14ac:dyDescent="0.2">
      <c r="A4224" s="2">
        <v>1057</v>
      </c>
      <c r="B4224" s="2">
        <v>6</v>
      </c>
      <c r="C4224" s="2">
        <v>129850179</v>
      </c>
      <c r="D4224" s="2">
        <v>130550137</v>
      </c>
      <c r="E4224" s="2">
        <v>2</v>
      </c>
      <c r="F4224" s="2" t="s">
        <v>10086</v>
      </c>
      <c r="H4224" s="2">
        <v>1E-3</v>
      </c>
      <c r="K4224" s="2" t="s">
        <v>10087</v>
      </c>
    </row>
    <row r="4225" spans="1:11" x14ac:dyDescent="0.2">
      <c r="A4225" s="2">
        <v>1057</v>
      </c>
      <c r="B4225" s="2">
        <v>6</v>
      </c>
      <c r="C4225" s="2">
        <v>129850179</v>
      </c>
      <c r="D4225" s="2">
        <v>130550137</v>
      </c>
      <c r="E4225" s="2">
        <v>3</v>
      </c>
      <c r="F4225" s="2" t="s">
        <v>10086</v>
      </c>
      <c r="H4225" s="3">
        <v>8.0000000000000004E-4</v>
      </c>
      <c r="K4225" s="2" t="s">
        <v>10085</v>
      </c>
    </row>
    <row r="4226" spans="1:11" x14ac:dyDescent="0.2">
      <c r="A4226" s="2">
        <v>1057</v>
      </c>
      <c r="B4226" s="2">
        <v>6</v>
      </c>
      <c r="C4226" s="2">
        <v>129850179</v>
      </c>
      <c r="D4226" s="2">
        <v>130550137</v>
      </c>
      <c r="E4226" s="2">
        <v>4</v>
      </c>
      <c r="F4226" s="2" t="s">
        <v>10086</v>
      </c>
      <c r="H4226" s="3">
        <v>6.9999999999999999E-4</v>
      </c>
      <c r="K4226" s="2" t="s">
        <v>10089</v>
      </c>
    </row>
    <row r="4227" spans="1:11" x14ac:dyDescent="0.2">
      <c r="A4227" s="2">
        <v>1058</v>
      </c>
      <c r="B4227" s="2">
        <v>6</v>
      </c>
      <c r="C4227" s="2">
        <v>130550138</v>
      </c>
      <c r="D4227" s="2">
        <v>131457164</v>
      </c>
      <c r="E4227" s="2">
        <v>1</v>
      </c>
      <c r="F4227" s="2" t="s">
        <v>10086</v>
      </c>
      <c r="H4227" s="2">
        <v>4.3E-3</v>
      </c>
      <c r="K4227" s="2" t="s">
        <v>10088</v>
      </c>
    </row>
    <row r="4228" spans="1:11" x14ac:dyDescent="0.2">
      <c r="A4228" s="2">
        <v>1058</v>
      </c>
      <c r="B4228" s="2">
        <v>6</v>
      </c>
      <c r="C4228" s="2">
        <v>130550138</v>
      </c>
      <c r="D4228" s="2">
        <v>131457164</v>
      </c>
      <c r="E4228" s="2">
        <v>2</v>
      </c>
      <c r="F4228" s="2" t="s">
        <v>10086</v>
      </c>
      <c r="H4228" s="2">
        <v>1.1999999999999999E-3</v>
      </c>
      <c r="K4228" s="2" t="s">
        <v>10087</v>
      </c>
    </row>
    <row r="4229" spans="1:11" x14ac:dyDescent="0.2">
      <c r="A4229" s="2">
        <v>1058</v>
      </c>
      <c r="B4229" s="2">
        <v>6</v>
      </c>
      <c r="C4229" s="2">
        <v>130550138</v>
      </c>
      <c r="D4229" s="2">
        <v>131457164</v>
      </c>
      <c r="E4229" s="2">
        <v>3</v>
      </c>
      <c r="F4229" s="2" t="s">
        <v>10086</v>
      </c>
      <c r="H4229" s="2">
        <v>1.2999999999999999E-3</v>
      </c>
      <c r="K4229" s="2" t="s">
        <v>12324</v>
      </c>
    </row>
    <row r="4230" spans="1:11" x14ac:dyDescent="0.2">
      <c r="A4230" s="2">
        <v>1058</v>
      </c>
      <c r="B4230" s="2">
        <v>6</v>
      </c>
      <c r="C4230" s="2">
        <v>130550138</v>
      </c>
      <c r="D4230" s="2">
        <v>131457164</v>
      </c>
      <c r="E4230" s="2">
        <v>4</v>
      </c>
      <c r="F4230" s="2" t="s">
        <v>10086</v>
      </c>
      <c r="H4230" s="2">
        <v>1E-3</v>
      </c>
      <c r="K4230" s="2" t="s">
        <v>10089</v>
      </c>
    </row>
    <row r="4231" spans="1:11" x14ac:dyDescent="0.2">
      <c r="A4231" s="2">
        <v>1059</v>
      </c>
      <c r="B4231" s="2">
        <v>6</v>
      </c>
      <c r="C4231" s="2">
        <v>131457165</v>
      </c>
      <c r="D4231" s="2">
        <v>132890694</v>
      </c>
      <c r="E4231" s="2">
        <v>1</v>
      </c>
      <c r="F4231" s="2" t="s">
        <v>10086</v>
      </c>
      <c r="H4231" s="2">
        <v>2.5999999999999999E-3</v>
      </c>
      <c r="K4231" s="2" t="s">
        <v>10085</v>
      </c>
    </row>
    <row r="4232" spans="1:11" x14ac:dyDescent="0.2">
      <c r="A4232" s="2">
        <v>1059</v>
      </c>
      <c r="B4232" s="2">
        <v>6</v>
      </c>
      <c r="C4232" s="2">
        <v>131457165</v>
      </c>
      <c r="D4232" s="2">
        <v>132890694</v>
      </c>
      <c r="E4232" s="2">
        <v>2</v>
      </c>
      <c r="F4232" s="2" t="s">
        <v>10086</v>
      </c>
      <c r="H4232" s="2">
        <v>2.3999999999999998E-3</v>
      </c>
      <c r="K4232" s="2" t="s">
        <v>10088</v>
      </c>
    </row>
    <row r="4233" spans="1:11" x14ac:dyDescent="0.2">
      <c r="A4233" s="2">
        <v>1059</v>
      </c>
      <c r="B4233" s="2">
        <v>6</v>
      </c>
      <c r="C4233" s="2">
        <v>131457165</v>
      </c>
      <c r="D4233" s="2">
        <v>132890694</v>
      </c>
      <c r="E4233" s="2">
        <v>3</v>
      </c>
      <c r="F4233" s="2" t="s">
        <v>10086</v>
      </c>
      <c r="H4233" s="2">
        <v>1.6000000000000001E-3</v>
      </c>
      <c r="K4233" s="2" t="s">
        <v>12324</v>
      </c>
    </row>
    <row r="4234" spans="1:11" x14ac:dyDescent="0.2">
      <c r="A4234" s="2">
        <v>1059</v>
      </c>
      <c r="B4234" s="2">
        <v>6</v>
      </c>
      <c r="C4234" s="2">
        <v>131457165</v>
      </c>
      <c r="D4234" s="2">
        <v>132890694</v>
      </c>
      <c r="E4234" s="2">
        <v>4</v>
      </c>
      <c r="F4234" s="2" t="s">
        <v>10086</v>
      </c>
      <c r="H4234" s="2">
        <v>1.6000000000000001E-3</v>
      </c>
      <c r="K4234" s="2" t="s">
        <v>10087</v>
      </c>
    </row>
    <row r="4235" spans="1:11" x14ac:dyDescent="0.2">
      <c r="A4235" s="2">
        <v>1060</v>
      </c>
      <c r="B4235" s="2">
        <v>6</v>
      </c>
      <c r="C4235" s="2">
        <v>132890695</v>
      </c>
      <c r="D4235" s="2">
        <v>134313643</v>
      </c>
      <c r="E4235" s="2">
        <v>1</v>
      </c>
      <c r="F4235" s="2" t="s">
        <v>10086</v>
      </c>
      <c r="H4235" s="2">
        <v>3.5999999999999999E-3</v>
      </c>
      <c r="K4235" s="2" t="s">
        <v>12324</v>
      </c>
    </row>
    <row r="4236" spans="1:11" x14ac:dyDescent="0.2">
      <c r="A4236" s="2">
        <v>1060</v>
      </c>
      <c r="B4236" s="2">
        <v>6</v>
      </c>
      <c r="C4236" s="2">
        <v>132890695</v>
      </c>
      <c r="D4236" s="2">
        <v>134313643</v>
      </c>
      <c r="E4236" s="2">
        <v>2</v>
      </c>
      <c r="F4236" s="2" t="s">
        <v>10086</v>
      </c>
      <c r="H4236" s="2">
        <v>7.7000000000000002E-3</v>
      </c>
      <c r="K4236" s="2" t="s">
        <v>10088</v>
      </c>
    </row>
    <row r="4237" spans="1:11" x14ac:dyDescent="0.2">
      <c r="A4237" s="2">
        <v>1060</v>
      </c>
      <c r="B4237" s="2">
        <v>6</v>
      </c>
      <c r="C4237" s="2">
        <v>132890695</v>
      </c>
      <c r="D4237" s="2">
        <v>134313643</v>
      </c>
      <c r="E4237" s="2">
        <v>3</v>
      </c>
      <c r="F4237" s="2" t="s">
        <v>10086</v>
      </c>
      <c r="H4237" s="2">
        <v>2.3999999999999998E-3</v>
      </c>
      <c r="K4237" s="2" t="s">
        <v>10087</v>
      </c>
    </row>
    <row r="4238" spans="1:11" x14ac:dyDescent="0.2">
      <c r="A4238" s="2">
        <v>1060</v>
      </c>
      <c r="B4238" s="2">
        <v>6</v>
      </c>
      <c r="C4238" s="2">
        <v>132890695</v>
      </c>
      <c r="D4238" s="2">
        <v>134313643</v>
      </c>
      <c r="E4238" s="2">
        <v>4</v>
      </c>
      <c r="F4238" s="2" t="s">
        <v>10086</v>
      </c>
      <c r="H4238" s="2">
        <v>1.1999999999999999E-3</v>
      </c>
      <c r="K4238" s="2" t="s">
        <v>10089</v>
      </c>
    </row>
    <row r="4239" spans="1:11" x14ac:dyDescent="0.2">
      <c r="A4239" s="2">
        <v>1061</v>
      </c>
      <c r="B4239" s="2">
        <v>6</v>
      </c>
      <c r="C4239" s="2">
        <v>134313644</v>
      </c>
      <c r="D4239" s="2">
        <v>135544083</v>
      </c>
      <c r="E4239" s="2">
        <v>1</v>
      </c>
      <c r="F4239" s="2" t="s">
        <v>10086</v>
      </c>
      <c r="H4239" s="2">
        <v>7.1999999999999998E-3</v>
      </c>
      <c r="K4239" s="2" t="s">
        <v>10085</v>
      </c>
    </row>
    <row r="4240" spans="1:11" x14ac:dyDescent="0.2">
      <c r="A4240" s="2">
        <v>1061</v>
      </c>
      <c r="B4240" s="2">
        <v>6</v>
      </c>
      <c r="C4240" s="2">
        <v>134313644</v>
      </c>
      <c r="D4240" s="2">
        <v>135544083</v>
      </c>
      <c r="E4240" s="2">
        <v>2</v>
      </c>
      <c r="F4240" s="2" t="s">
        <v>10086</v>
      </c>
      <c r="H4240" s="2">
        <v>2.8999999999999998E-3</v>
      </c>
      <c r="K4240" s="2" t="s">
        <v>10087</v>
      </c>
    </row>
    <row r="4241" spans="1:11" x14ac:dyDescent="0.2">
      <c r="A4241" s="2">
        <v>1061</v>
      </c>
      <c r="B4241" s="2">
        <v>6</v>
      </c>
      <c r="C4241" s="2">
        <v>134313644</v>
      </c>
      <c r="D4241" s="2">
        <v>135544083</v>
      </c>
      <c r="E4241" s="2">
        <v>3</v>
      </c>
      <c r="F4241" s="2" t="s">
        <v>10086</v>
      </c>
      <c r="H4241" s="2">
        <v>1.2999999999999999E-3</v>
      </c>
      <c r="K4241" s="2" t="s">
        <v>10088</v>
      </c>
    </row>
    <row r="4242" spans="1:11" x14ac:dyDescent="0.2">
      <c r="A4242" s="2">
        <v>1061</v>
      </c>
      <c r="B4242" s="2">
        <v>6</v>
      </c>
      <c r="C4242" s="2">
        <v>134313644</v>
      </c>
      <c r="D4242" s="2">
        <v>135544083</v>
      </c>
      <c r="E4242" s="2">
        <v>4</v>
      </c>
      <c r="F4242" s="2" t="s">
        <v>10086</v>
      </c>
      <c r="H4242" s="3">
        <v>5.0000000000000001E-4</v>
      </c>
      <c r="K4242" s="2" t="s">
        <v>10089</v>
      </c>
    </row>
    <row r="4243" spans="1:11" x14ac:dyDescent="0.2">
      <c r="A4243" s="2">
        <v>1062</v>
      </c>
      <c r="B4243" s="2">
        <v>6</v>
      </c>
      <c r="C4243" s="2">
        <v>135544084</v>
      </c>
      <c r="D4243" s="2">
        <v>137553212</v>
      </c>
      <c r="E4243" s="2">
        <v>1</v>
      </c>
      <c r="F4243" s="2" t="s">
        <v>10086</v>
      </c>
      <c r="H4243" s="2">
        <v>4.1000000000000003E-3</v>
      </c>
      <c r="K4243" s="2" t="s">
        <v>10089</v>
      </c>
    </row>
    <row r="4244" spans="1:11" x14ac:dyDescent="0.2">
      <c r="A4244" s="2">
        <v>1062</v>
      </c>
      <c r="B4244" s="2">
        <v>6</v>
      </c>
      <c r="C4244" s="2">
        <v>135544084</v>
      </c>
      <c r="D4244" s="2">
        <v>137553212</v>
      </c>
      <c r="E4244" s="2">
        <v>2</v>
      </c>
      <c r="F4244" s="2" t="s">
        <v>10086</v>
      </c>
      <c r="H4244" s="2">
        <v>2.8E-3</v>
      </c>
      <c r="K4244" s="2" t="s">
        <v>10085</v>
      </c>
    </row>
    <row r="4245" spans="1:11" x14ac:dyDescent="0.2">
      <c r="A4245" s="2">
        <v>1062</v>
      </c>
      <c r="B4245" s="2">
        <v>6</v>
      </c>
      <c r="C4245" s="2">
        <v>135544084</v>
      </c>
      <c r="D4245" s="2">
        <v>137553212</v>
      </c>
      <c r="E4245" s="2">
        <v>3</v>
      </c>
      <c r="F4245" s="2" t="s">
        <v>10086</v>
      </c>
      <c r="H4245" s="2">
        <v>2.0999999999999999E-3</v>
      </c>
      <c r="K4245" s="2" t="s">
        <v>10088</v>
      </c>
    </row>
    <row r="4246" spans="1:11" x14ac:dyDescent="0.2">
      <c r="A4246" s="2">
        <v>1062</v>
      </c>
      <c r="B4246" s="2">
        <v>6</v>
      </c>
      <c r="C4246" s="2">
        <v>135544084</v>
      </c>
      <c r="D4246" s="2">
        <v>137553212</v>
      </c>
      <c r="E4246" s="2">
        <v>4</v>
      </c>
      <c r="F4246" s="2" t="s">
        <v>10086</v>
      </c>
      <c r="H4246" s="3">
        <v>8.9999999999999998E-4</v>
      </c>
      <c r="K4246" s="2" t="s">
        <v>12324</v>
      </c>
    </row>
    <row r="4247" spans="1:11" x14ac:dyDescent="0.2">
      <c r="A4247" s="2">
        <v>1063</v>
      </c>
      <c r="B4247" s="2">
        <v>6</v>
      </c>
      <c r="C4247" s="2">
        <v>137553213</v>
      </c>
      <c r="D4247" s="2">
        <v>138825721</v>
      </c>
      <c r="E4247" s="2">
        <v>1</v>
      </c>
      <c r="F4247" s="2" t="s">
        <v>10086</v>
      </c>
      <c r="H4247" s="2">
        <v>3.5000000000000001E-3</v>
      </c>
      <c r="K4247" s="2" t="s">
        <v>10087</v>
      </c>
    </row>
    <row r="4248" spans="1:11" x14ac:dyDescent="0.2">
      <c r="A4248" s="2">
        <v>1063</v>
      </c>
      <c r="B4248" s="2">
        <v>6</v>
      </c>
      <c r="C4248" s="2">
        <v>137553213</v>
      </c>
      <c r="D4248" s="2">
        <v>138825721</v>
      </c>
      <c r="E4248" s="2">
        <v>2</v>
      </c>
      <c r="F4248" s="2" t="s">
        <v>10086</v>
      </c>
      <c r="H4248" s="2">
        <v>2.0999999999999999E-3</v>
      </c>
      <c r="K4248" s="2" t="s">
        <v>10088</v>
      </c>
    </row>
    <row r="4249" spans="1:11" x14ac:dyDescent="0.2">
      <c r="A4249" s="2">
        <v>1063</v>
      </c>
      <c r="B4249" s="2">
        <v>6</v>
      </c>
      <c r="C4249" s="2">
        <v>137553213</v>
      </c>
      <c r="D4249" s="2">
        <v>138825721</v>
      </c>
      <c r="E4249" s="2">
        <v>3</v>
      </c>
      <c r="F4249" s="2" t="s">
        <v>10086</v>
      </c>
      <c r="H4249" s="2">
        <v>1.6000000000000001E-3</v>
      </c>
      <c r="K4249" s="2" t="s">
        <v>10089</v>
      </c>
    </row>
    <row r="4250" spans="1:11" x14ac:dyDescent="0.2">
      <c r="A4250" s="2">
        <v>1063</v>
      </c>
      <c r="B4250" s="2">
        <v>6</v>
      </c>
      <c r="C4250" s="2">
        <v>137553213</v>
      </c>
      <c r="D4250" s="2">
        <v>138825721</v>
      </c>
      <c r="E4250" s="2">
        <v>4</v>
      </c>
      <c r="F4250" s="2" t="s">
        <v>10086</v>
      </c>
      <c r="H4250" s="3">
        <v>5.0000000000000001E-4</v>
      </c>
      <c r="K4250" s="2" t="s">
        <v>10085</v>
      </c>
    </row>
    <row r="4251" spans="1:11" x14ac:dyDescent="0.2">
      <c r="A4251" s="2">
        <v>1064</v>
      </c>
      <c r="B4251" s="2">
        <v>6</v>
      </c>
      <c r="C4251" s="2">
        <v>138825722</v>
      </c>
      <c r="D4251" s="2">
        <v>139716713</v>
      </c>
      <c r="E4251" s="2">
        <v>1</v>
      </c>
      <c r="F4251" s="2" t="s">
        <v>10086</v>
      </c>
      <c r="H4251" s="2">
        <v>3.0000000000000001E-3</v>
      </c>
      <c r="K4251" s="2" t="s">
        <v>10088</v>
      </c>
    </row>
    <row r="4252" spans="1:11" x14ac:dyDescent="0.2">
      <c r="A4252" s="2">
        <v>1064</v>
      </c>
      <c r="B4252" s="2">
        <v>6</v>
      </c>
      <c r="C4252" s="2">
        <v>138825722</v>
      </c>
      <c r="D4252" s="2">
        <v>139716713</v>
      </c>
      <c r="E4252" s="2">
        <v>2</v>
      </c>
      <c r="F4252" s="2" t="s">
        <v>10086</v>
      </c>
      <c r="H4252" s="2">
        <v>2.0999999999999999E-3</v>
      </c>
      <c r="K4252" s="2" t="s">
        <v>10089</v>
      </c>
    </row>
    <row r="4253" spans="1:11" x14ac:dyDescent="0.2">
      <c r="A4253" s="2">
        <v>1064</v>
      </c>
      <c r="B4253" s="2">
        <v>6</v>
      </c>
      <c r="C4253" s="2">
        <v>138825722</v>
      </c>
      <c r="D4253" s="2">
        <v>139716713</v>
      </c>
      <c r="E4253" s="2">
        <v>3</v>
      </c>
      <c r="F4253" s="2" t="s">
        <v>10086</v>
      </c>
      <c r="H4253" s="2">
        <v>1.1999999999999999E-3</v>
      </c>
      <c r="K4253" s="2" t="s">
        <v>10087</v>
      </c>
    </row>
    <row r="4254" spans="1:11" x14ac:dyDescent="0.2">
      <c r="A4254" s="2">
        <v>1064</v>
      </c>
      <c r="B4254" s="2">
        <v>6</v>
      </c>
      <c r="C4254" s="2">
        <v>138825722</v>
      </c>
      <c r="D4254" s="2">
        <v>139716713</v>
      </c>
      <c r="E4254" s="2">
        <v>4</v>
      </c>
      <c r="F4254" s="2" t="s">
        <v>10086</v>
      </c>
      <c r="H4254" s="3">
        <v>5.9999999999999995E-4</v>
      </c>
      <c r="K4254" s="2" t="s">
        <v>10085</v>
      </c>
    </row>
    <row r="4255" spans="1:11" x14ac:dyDescent="0.2">
      <c r="A4255" s="2">
        <v>1065</v>
      </c>
      <c r="B4255" s="2">
        <v>6</v>
      </c>
      <c r="C4255" s="2">
        <v>139716714</v>
      </c>
      <c r="D4255" s="2">
        <v>141449453</v>
      </c>
      <c r="E4255" s="2">
        <v>1</v>
      </c>
      <c r="F4255" s="2" t="s">
        <v>10086</v>
      </c>
      <c r="H4255" s="2">
        <v>3.8999999999999998E-3</v>
      </c>
      <c r="K4255" s="2" t="s">
        <v>10085</v>
      </c>
    </row>
    <row r="4256" spans="1:11" x14ac:dyDescent="0.2">
      <c r="A4256" s="2">
        <v>1065</v>
      </c>
      <c r="B4256" s="2">
        <v>6</v>
      </c>
      <c r="C4256" s="2">
        <v>139716714</v>
      </c>
      <c r="D4256" s="2">
        <v>141449453</v>
      </c>
      <c r="E4256" s="2">
        <v>2</v>
      </c>
      <c r="F4256" s="2" t="s">
        <v>10086</v>
      </c>
      <c r="H4256" s="2">
        <v>3.0000000000000001E-3</v>
      </c>
      <c r="K4256" s="2" t="s">
        <v>10087</v>
      </c>
    </row>
    <row r="4257" spans="1:11" x14ac:dyDescent="0.2">
      <c r="A4257" s="2">
        <v>1065</v>
      </c>
      <c r="B4257" s="2">
        <v>6</v>
      </c>
      <c r="C4257" s="2">
        <v>139716714</v>
      </c>
      <c r="D4257" s="2">
        <v>141449453</v>
      </c>
      <c r="E4257" s="2">
        <v>3</v>
      </c>
      <c r="F4257" s="2" t="s">
        <v>10086</v>
      </c>
      <c r="H4257" s="2">
        <v>1.4E-3</v>
      </c>
      <c r="K4257" s="2" t="s">
        <v>10088</v>
      </c>
    </row>
    <row r="4258" spans="1:11" x14ac:dyDescent="0.2">
      <c r="A4258" s="2">
        <v>1065</v>
      </c>
      <c r="B4258" s="2">
        <v>6</v>
      </c>
      <c r="C4258" s="2">
        <v>139716714</v>
      </c>
      <c r="D4258" s="2">
        <v>141449453</v>
      </c>
      <c r="E4258" s="2">
        <v>4</v>
      </c>
      <c r="F4258" s="2" t="s">
        <v>10086</v>
      </c>
      <c r="H4258" s="3">
        <v>8.9999999999999998E-4</v>
      </c>
      <c r="K4258" s="2" t="s">
        <v>10089</v>
      </c>
    </row>
    <row r="4259" spans="1:11" x14ac:dyDescent="0.2">
      <c r="A4259" s="2">
        <v>1066</v>
      </c>
      <c r="B4259" s="2">
        <v>6</v>
      </c>
      <c r="C4259" s="2">
        <v>141449454</v>
      </c>
      <c r="D4259" s="2">
        <v>143083347</v>
      </c>
      <c r="E4259" s="2">
        <v>1</v>
      </c>
      <c r="F4259" s="2" t="s">
        <v>10086</v>
      </c>
      <c r="H4259" s="2">
        <v>3.0599999999999999E-2</v>
      </c>
      <c r="K4259" s="2" t="s">
        <v>10089</v>
      </c>
    </row>
    <row r="4260" spans="1:11" x14ac:dyDescent="0.2">
      <c r="A4260" s="2">
        <v>1066</v>
      </c>
      <c r="B4260" s="2">
        <v>6</v>
      </c>
      <c r="C4260" s="2">
        <v>141449454</v>
      </c>
      <c r="D4260" s="2">
        <v>143083347</v>
      </c>
      <c r="E4260" s="2">
        <v>2</v>
      </c>
      <c r="F4260" s="2" t="s">
        <v>10086</v>
      </c>
      <c r="H4260" s="2">
        <v>1.0699999999999999E-2</v>
      </c>
      <c r="K4260" s="2" t="s">
        <v>12324</v>
      </c>
    </row>
    <row r="4261" spans="1:11" x14ac:dyDescent="0.2">
      <c r="A4261" s="2">
        <v>1066</v>
      </c>
      <c r="B4261" s="2">
        <v>6</v>
      </c>
      <c r="C4261" s="2">
        <v>141449454</v>
      </c>
      <c r="D4261" s="2">
        <v>143083347</v>
      </c>
      <c r="E4261" s="2">
        <v>3</v>
      </c>
      <c r="F4261" s="2" t="s">
        <v>10086</v>
      </c>
      <c r="H4261" s="2">
        <v>2.2000000000000001E-3</v>
      </c>
      <c r="K4261" s="2" t="s">
        <v>10088</v>
      </c>
    </row>
    <row r="4262" spans="1:11" x14ac:dyDescent="0.2">
      <c r="A4262" s="2">
        <v>1066</v>
      </c>
      <c r="B4262" s="2">
        <v>6</v>
      </c>
      <c r="C4262" s="2">
        <v>141449454</v>
      </c>
      <c r="D4262" s="2">
        <v>143083347</v>
      </c>
      <c r="E4262" s="2">
        <v>4</v>
      </c>
      <c r="F4262" s="2" t="s">
        <v>10086</v>
      </c>
      <c r="H4262" s="2">
        <v>2.2000000000000001E-3</v>
      </c>
      <c r="K4262" s="2" t="s">
        <v>10085</v>
      </c>
    </row>
    <row r="4263" spans="1:11" x14ac:dyDescent="0.2">
      <c r="A4263" s="2">
        <v>1067</v>
      </c>
      <c r="B4263" s="2">
        <v>6</v>
      </c>
      <c r="C4263" s="2">
        <v>143083348</v>
      </c>
      <c r="D4263" s="2">
        <v>144791455</v>
      </c>
      <c r="E4263" s="2">
        <v>1</v>
      </c>
      <c r="F4263" s="2" t="s">
        <v>10086</v>
      </c>
      <c r="H4263" s="2">
        <v>0.12609999999999999</v>
      </c>
      <c r="K4263" s="2" t="s">
        <v>10085</v>
      </c>
    </row>
    <row r="4264" spans="1:11" x14ac:dyDescent="0.2">
      <c r="A4264" s="2">
        <v>1067</v>
      </c>
      <c r="B4264" s="2">
        <v>6</v>
      </c>
      <c r="C4264" s="2">
        <v>143083348</v>
      </c>
      <c r="D4264" s="2">
        <v>144791455</v>
      </c>
      <c r="E4264" s="2">
        <v>2</v>
      </c>
      <c r="F4264" s="2" t="s">
        <v>10086</v>
      </c>
      <c r="H4264" s="2">
        <v>4.0000000000000001E-3</v>
      </c>
      <c r="K4264" s="2" t="s">
        <v>10089</v>
      </c>
    </row>
    <row r="4265" spans="1:11" x14ac:dyDescent="0.2">
      <c r="A4265" s="2">
        <v>1067</v>
      </c>
      <c r="B4265" s="2">
        <v>6</v>
      </c>
      <c r="C4265" s="2">
        <v>143083348</v>
      </c>
      <c r="D4265" s="2">
        <v>144791455</v>
      </c>
      <c r="E4265" s="2">
        <v>3</v>
      </c>
      <c r="F4265" s="2" t="s">
        <v>10086</v>
      </c>
      <c r="H4265" s="2">
        <v>3.8E-3</v>
      </c>
      <c r="K4265" s="2" t="s">
        <v>10087</v>
      </c>
    </row>
    <row r="4266" spans="1:11" x14ac:dyDescent="0.2">
      <c r="A4266" s="2">
        <v>1067</v>
      </c>
      <c r="B4266" s="2">
        <v>6</v>
      </c>
      <c r="C4266" s="2">
        <v>143083348</v>
      </c>
      <c r="D4266" s="2">
        <v>144791455</v>
      </c>
      <c r="E4266" s="2">
        <v>4</v>
      </c>
      <c r="F4266" s="2" t="s">
        <v>10086</v>
      </c>
      <c r="H4266" s="3">
        <v>8.9999999999999998E-4</v>
      </c>
      <c r="K4266" s="2" t="s">
        <v>10088</v>
      </c>
    </row>
    <row r="4267" spans="1:11" x14ac:dyDescent="0.2">
      <c r="A4267" s="2">
        <v>1068</v>
      </c>
      <c r="B4267" s="2">
        <v>6</v>
      </c>
      <c r="C4267" s="2">
        <v>144791456</v>
      </c>
      <c r="D4267" s="2">
        <v>145778282</v>
      </c>
      <c r="E4267" s="2">
        <v>1</v>
      </c>
      <c r="F4267" s="2" t="s">
        <v>10086</v>
      </c>
      <c r="H4267" s="2">
        <v>2.4199999999999999E-2</v>
      </c>
      <c r="K4267" s="2" t="s">
        <v>10087</v>
      </c>
    </row>
    <row r="4268" spans="1:11" x14ac:dyDescent="0.2">
      <c r="A4268" s="2">
        <v>1068</v>
      </c>
      <c r="B4268" s="2">
        <v>6</v>
      </c>
      <c r="C4268" s="2">
        <v>144791456</v>
      </c>
      <c r="D4268" s="2">
        <v>145778282</v>
      </c>
      <c r="E4268" s="2">
        <v>2</v>
      </c>
      <c r="F4268" s="2" t="s">
        <v>10086</v>
      </c>
      <c r="H4268" s="2">
        <v>4.5999999999999999E-3</v>
      </c>
      <c r="K4268" s="2" t="s">
        <v>10088</v>
      </c>
    </row>
    <row r="4269" spans="1:11" x14ac:dyDescent="0.2">
      <c r="A4269" s="2">
        <v>1068</v>
      </c>
      <c r="B4269" s="2">
        <v>6</v>
      </c>
      <c r="C4269" s="2">
        <v>144791456</v>
      </c>
      <c r="D4269" s="2">
        <v>145778282</v>
      </c>
      <c r="E4269" s="2">
        <v>3</v>
      </c>
      <c r="F4269" s="2" t="s">
        <v>10086</v>
      </c>
      <c r="H4269" s="2">
        <v>2.2000000000000001E-3</v>
      </c>
      <c r="K4269" s="2" t="s">
        <v>10089</v>
      </c>
    </row>
    <row r="4270" spans="1:11" x14ac:dyDescent="0.2">
      <c r="A4270" s="2">
        <v>1068</v>
      </c>
      <c r="B4270" s="2">
        <v>6</v>
      </c>
      <c r="C4270" s="2">
        <v>144791456</v>
      </c>
      <c r="D4270" s="2">
        <v>145778282</v>
      </c>
      <c r="E4270" s="2">
        <v>4</v>
      </c>
      <c r="F4270" s="2" t="s">
        <v>10086</v>
      </c>
      <c r="H4270" s="3">
        <v>5.0000000000000001E-4</v>
      </c>
      <c r="K4270" s="2" t="s">
        <v>10085</v>
      </c>
    </row>
    <row r="4271" spans="1:11" x14ac:dyDescent="0.2">
      <c r="A4271" s="2">
        <v>1069</v>
      </c>
      <c r="B4271" s="2">
        <v>6</v>
      </c>
      <c r="C4271" s="2">
        <v>145778283</v>
      </c>
      <c r="D4271" s="2">
        <v>147015882</v>
      </c>
      <c r="E4271" s="2">
        <v>1</v>
      </c>
      <c r="F4271" s="2" t="s">
        <v>10086</v>
      </c>
      <c r="H4271" s="2">
        <v>2.8999999999999998E-3</v>
      </c>
      <c r="K4271" s="2" t="s">
        <v>10088</v>
      </c>
    </row>
    <row r="4272" spans="1:11" x14ac:dyDescent="0.2">
      <c r="A4272" s="2">
        <v>1069</v>
      </c>
      <c r="B4272" s="2">
        <v>6</v>
      </c>
      <c r="C4272" s="2">
        <v>145778283</v>
      </c>
      <c r="D4272" s="2">
        <v>147015882</v>
      </c>
      <c r="E4272" s="2">
        <v>2</v>
      </c>
      <c r="F4272" s="2" t="s">
        <v>10086</v>
      </c>
      <c r="H4272" s="2">
        <v>1.1000000000000001E-3</v>
      </c>
      <c r="K4272" s="2" t="s">
        <v>10089</v>
      </c>
    </row>
    <row r="4273" spans="1:11" x14ac:dyDescent="0.2">
      <c r="A4273" s="2">
        <v>1069</v>
      </c>
      <c r="B4273" s="2">
        <v>6</v>
      </c>
      <c r="C4273" s="2">
        <v>145778283</v>
      </c>
      <c r="D4273" s="2">
        <v>147015882</v>
      </c>
      <c r="E4273" s="2">
        <v>3</v>
      </c>
      <c r="F4273" s="2" t="s">
        <v>10086</v>
      </c>
      <c r="H4273" s="3">
        <v>5.9999999999999995E-4</v>
      </c>
      <c r="K4273" s="2" t="s">
        <v>12324</v>
      </c>
    </row>
    <row r="4274" spans="1:11" x14ac:dyDescent="0.2">
      <c r="A4274" s="2">
        <v>1069</v>
      </c>
      <c r="B4274" s="2">
        <v>6</v>
      </c>
      <c r="C4274" s="2">
        <v>145778283</v>
      </c>
      <c r="D4274" s="2">
        <v>147015882</v>
      </c>
      <c r="E4274" s="2">
        <v>4</v>
      </c>
      <c r="F4274" s="2" t="s">
        <v>10086</v>
      </c>
      <c r="H4274" s="3">
        <v>5.9999999999999995E-4</v>
      </c>
      <c r="K4274" s="2" t="s">
        <v>10085</v>
      </c>
    </row>
    <row r="4275" spans="1:11" x14ac:dyDescent="0.2">
      <c r="A4275" s="2">
        <v>1070</v>
      </c>
      <c r="B4275" s="2">
        <v>6</v>
      </c>
      <c r="C4275" s="2">
        <v>147015883</v>
      </c>
      <c r="D4275" s="2">
        <v>148184844</v>
      </c>
      <c r="E4275" s="2">
        <v>1</v>
      </c>
      <c r="F4275" s="2" t="s">
        <v>10086</v>
      </c>
      <c r="H4275" s="2">
        <v>2.7000000000000001E-3</v>
      </c>
      <c r="K4275" s="2" t="s">
        <v>10089</v>
      </c>
    </row>
    <row r="4276" spans="1:11" x14ac:dyDescent="0.2">
      <c r="A4276" s="2">
        <v>1070</v>
      </c>
      <c r="B4276" s="2">
        <v>6</v>
      </c>
      <c r="C4276" s="2">
        <v>147015883</v>
      </c>
      <c r="D4276" s="2">
        <v>148184844</v>
      </c>
      <c r="E4276" s="2">
        <v>2</v>
      </c>
      <c r="F4276" s="2" t="s">
        <v>10086</v>
      </c>
      <c r="H4276" s="2">
        <v>1.6999999999999999E-3</v>
      </c>
      <c r="K4276" s="2" t="s">
        <v>10085</v>
      </c>
    </row>
    <row r="4277" spans="1:11" x14ac:dyDescent="0.2">
      <c r="A4277" s="2">
        <v>1070</v>
      </c>
      <c r="B4277" s="2">
        <v>6</v>
      </c>
      <c r="C4277" s="2">
        <v>147015883</v>
      </c>
      <c r="D4277" s="2">
        <v>148184844</v>
      </c>
      <c r="E4277" s="2">
        <v>3</v>
      </c>
      <c r="F4277" s="2" t="s">
        <v>10086</v>
      </c>
      <c r="H4277" s="2">
        <v>1.1999999999999999E-3</v>
      </c>
      <c r="K4277" s="2" t="s">
        <v>10087</v>
      </c>
    </row>
    <row r="4278" spans="1:11" x14ac:dyDescent="0.2">
      <c r="A4278" s="2">
        <v>1070</v>
      </c>
      <c r="B4278" s="2">
        <v>6</v>
      </c>
      <c r="C4278" s="2">
        <v>147015883</v>
      </c>
      <c r="D4278" s="2">
        <v>148184844</v>
      </c>
      <c r="E4278" s="2">
        <v>4</v>
      </c>
      <c r="F4278" s="2" t="s">
        <v>10086</v>
      </c>
      <c r="H4278" s="3">
        <v>5.9999999999999995E-4</v>
      </c>
      <c r="K4278" s="2" t="s">
        <v>12324</v>
      </c>
    </row>
    <row r="4279" spans="1:11" x14ac:dyDescent="0.2">
      <c r="A4279" s="2">
        <v>1071</v>
      </c>
      <c r="B4279" s="2">
        <v>6</v>
      </c>
      <c r="C4279" s="2">
        <v>148184845</v>
      </c>
      <c r="D4279" s="2">
        <v>149278798</v>
      </c>
      <c r="E4279" s="2">
        <v>1</v>
      </c>
      <c r="F4279" s="2" t="s">
        <v>10086</v>
      </c>
      <c r="H4279" s="2">
        <v>2.2000000000000001E-3</v>
      </c>
      <c r="K4279" s="2" t="s">
        <v>10088</v>
      </c>
    </row>
    <row r="4280" spans="1:11" x14ac:dyDescent="0.2">
      <c r="A4280" s="2">
        <v>1071</v>
      </c>
      <c r="B4280" s="2">
        <v>6</v>
      </c>
      <c r="C4280" s="2">
        <v>148184845</v>
      </c>
      <c r="D4280" s="2">
        <v>149278798</v>
      </c>
      <c r="E4280" s="2">
        <v>2</v>
      </c>
      <c r="F4280" s="2" t="s">
        <v>10086</v>
      </c>
      <c r="H4280" s="2">
        <v>2.3999999999999998E-3</v>
      </c>
      <c r="K4280" s="2" t="s">
        <v>12324</v>
      </c>
    </row>
    <row r="4281" spans="1:11" x14ac:dyDescent="0.2">
      <c r="A4281" s="2">
        <v>1071</v>
      </c>
      <c r="B4281" s="2">
        <v>6</v>
      </c>
      <c r="C4281" s="2">
        <v>148184845</v>
      </c>
      <c r="D4281" s="2">
        <v>149278798</v>
      </c>
      <c r="E4281" s="2">
        <v>3</v>
      </c>
      <c r="F4281" s="2" t="s">
        <v>10086</v>
      </c>
      <c r="H4281" s="2">
        <v>1.4E-3</v>
      </c>
      <c r="K4281" s="2" t="s">
        <v>10089</v>
      </c>
    </row>
    <row r="4282" spans="1:11" x14ac:dyDescent="0.2">
      <c r="A4282" s="2">
        <v>1071</v>
      </c>
      <c r="B4282" s="2">
        <v>6</v>
      </c>
      <c r="C4282" s="2">
        <v>148184845</v>
      </c>
      <c r="D4282" s="2">
        <v>149278798</v>
      </c>
      <c r="E4282" s="2">
        <v>4</v>
      </c>
      <c r="F4282" s="2" t="s">
        <v>10086</v>
      </c>
      <c r="H4282" s="3">
        <v>8.9999999999999998E-4</v>
      </c>
      <c r="K4282" s="2" t="s">
        <v>10085</v>
      </c>
    </row>
    <row r="4283" spans="1:11" x14ac:dyDescent="0.2">
      <c r="A4283" s="2">
        <v>1072</v>
      </c>
      <c r="B4283" s="2">
        <v>6</v>
      </c>
      <c r="C4283" s="2">
        <v>149278799</v>
      </c>
      <c r="D4283" s="2">
        <v>150635315</v>
      </c>
      <c r="E4283" s="2">
        <v>1</v>
      </c>
      <c r="F4283" s="2" t="s">
        <v>10086</v>
      </c>
      <c r="H4283" s="2">
        <v>6.8999999999999999E-3</v>
      </c>
      <c r="K4283" s="2" t="s">
        <v>10088</v>
      </c>
    </row>
    <row r="4284" spans="1:11" x14ac:dyDescent="0.2">
      <c r="A4284" s="2">
        <v>1072</v>
      </c>
      <c r="B4284" s="2">
        <v>6</v>
      </c>
      <c r="C4284" s="2">
        <v>149278799</v>
      </c>
      <c r="D4284" s="2">
        <v>150635315</v>
      </c>
      <c r="E4284" s="2">
        <v>2</v>
      </c>
      <c r="F4284" s="2" t="s">
        <v>10086</v>
      </c>
      <c r="H4284" s="2">
        <v>2.0999999999999999E-3</v>
      </c>
      <c r="K4284" s="2" t="s">
        <v>10089</v>
      </c>
    </row>
    <row r="4285" spans="1:11" x14ac:dyDescent="0.2">
      <c r="A4285" s="2">
        <v>1072</v>
      </c>
      <c r="B4285" s="2">
        <v>6</v>
      </c>
      <c r="C4285" s="2">
        <v>149278799</v>
      </c>
      <c r="D4285" s="2">
        <v>150635315</v>
      </c>
      <c r="E4285" s="2">
        <v>3</v>
      </c>
      <c r="F4285" s="2" t="s">
        <v>10086</v>
      </c>
      <c r="H4285" s="2">
        <v>1.1000000000000001E-3</v>
      </c>
      <c r="K4285" s="2" t="s">
        <v>10085</v>
      </c>
    </row>
    <row r="4286" spans="1:11" x14ac:dyDescent="0.2">
      <c r="A4286" s="2">
        <v>1072</v>
      </c>
      <c r="B4286" s="2">
        <v>6</v>
      </c>
      <c r="C4286" s="2">
        <v>149278799</v>
      </c>
      <c r="D4286" s="2">
        <v>150635315</v>
      </c>
      <c r="E4286" s="2">
        <v>4</v>
      </c>
      <c r="F4286" s="2" t="s">
        <v>10086</v>
      </c>
      <c r="H4286" s="3">
        <v>6.9999999999999999E-4</v>
      </c>
      <c r="K4286" s="2" t="s">
        <v>12324</v>
      </c>
    </row>
    <row r="4287" spans="1:11" x14ac:dyDescent="0.2">
      <c r="A4287" s="2">
        <v>1073</v>
      </c>
      <c r="B4287" s="2">
        <v>6</v>
      </c>
      <c r="C4287" s="2">
        <v>150635316</v>
      </c>
      <c r="D4287" s="2">
        <v>151629954</v>
      </c>
      <c r="E4287" s="2">
        <v>1</v>
      </c>
      <c r="F4287" s="2" t="s">
        <v>10086</v>
      </c>
      <c r="H4287" s="2">
        <v>9.7000000000000003E-3</v>
      </c>
      <c r="K4287" s="2" t="s">
        <v>10089</v>
      </c>
    </row>
    <row r="4288" spans="1:11" x14ac:dyDescent="0.2">
      <c r="A4288" s="2">
        <v>1073</v>
      </c>
      <c r="B4288" s="2">
        <v>6</v>
      </c>
      <c r="C4288" s="2">
        <v>150635316</v>
      </c>
      <c r="D4288" s="2">
        <v>151629954</v>
      </c>
      <c r="E4288" s="2">
        <v>2</v>
      </c>
      <c r="F4288" s="2" t="s">
        <v>10086</v>
      </c>
      <c r="H4288" s="2">
        <v>3.5999999999999999E-3</v>
      </c>
      <c r="K4288" s="2" t="s">
        <v>12324</v>
      </c>
    </row>
    <row r="4289" spans="1:11" x14ac:dyDescent="0.2">
      <c r="A4289" s="2">
        <v>1073</v>
      </c>
      <c r="B4289" s="2">
        <v>6</v>
      </c>
      <c r="C4289" s="2">
        <v>150635316</v>
      </c>
      <c r="D4289" s="2">
        <v>151629954</v>
      </c>
      <c r="E4289" s="2">
        <v>3</v>
      </c>
      <c r="F4289" s="2" t="s">
        <v>10086</v>
      </c>
      <c r="H4289" s="2">
        <v>2.0999999999999999E-3</v>
      </c>
      <c r="K4289" s="2" t="s">
        <v>10085</v>
      </c>
    </row>
    <row r="4290" spans="1:11" x14ac:dyDescent="0.2">
      <c r="A4290" s="2">
        <v>1073</v>
      </c>
      <c r="B4290" s="2">
        <v>6</v>
      </c>
      <c r="C4290" s="2">
        <v>150635316</v>
      </c>
      <c r="D4290" s="2">
        <v>151629954</v>
      </c>
      <c r="E4290" s="2">
        <v>4</v>
      </c>
      <c r="F4290" s="2" t="s">
        <v>10086</v>
      </c>
      <c r="H4290" s="2">
        <v>1.6999999999999999E-3</v>
      </c>
      <c r="K4290" s="2" t="s">
        <v>10088</v>
      </c>
    </row>
    <row r="4291" spans="1:11" x14ac:dyDescent="0.2">
      <c r="A4291" s="2">
        <v>1074</v>
      </c>
      <c r="B4291" s="2">
        <v>6</v>
      </c>
      <c r="C4291" s="2">
        <v>151629955</v>
      </c>
      <c r="D4291" s="2">
        <v>152376499</v>
      </c>
      <c r="E4291" s="2">
        <v>1</v>
      </c>
      <c r="F4291" s="2" t="s">
        <v>10086</v>
      </c>
      <c r="H4291" s="2">
        <v>2E-3</v>
      </c>
      <c r="K4291" s="2" t="s">
        <v>10085</v>
      </c>
    </row>
    <row r="4292" spans="1:11" x14ac:dyDescent="0.2">
      <c r="A4292" s="2">
        <v>1074</v>
      </c>
      <c r="B4292" s="2">
        <v>6</v>
      </c>
      <c r="C4292" s="2">
        <v>151629955</v>
      </c>
      <c r="D4292" s="2">
        <v>152376499</v>
      </c>
      <c r="E4292" s="2">
        <v>2</v>
      </c>
      <c r="F4292" s="2" t="s">
        <v>10086</v>
      </c>
      <c r="H4292" s="2">
        <v>1.6999999999999999E-3</v>
      </c>
      <c r="K4292" s="2" t="s">
        <v>10087</v>
      </c>
    </row>
    <row r="4293" spans="1:11" x14ac:dyDescent="0.2">
      <c r="A4293" s="2">
        <v>1074</v>
      </c>
      <c r="B4293" s="2">
        <v>6</v>
      </c>
      <c r="C4293" s="2">
        <v>151629955</v>
      </c>
      <c r="D4293" s="2">
        <v>152376499</v>
      </c>
      <c r="E4293" s="2">
        <v>3</v>
      </c>
      <c r="F4293" s="2" t="s">
        <v>10086</v>
      </c>
      <c r="H4293" s="2">
        <v>1.1999999999999999E-3</v>
      </c>
      <c r="K4293" s="2" t="s">
        <v>10089</v>
      </c>
    </row>
    <row r="4294" spans="1:11" x14ac:dyDescent="0.2">
      <c r="A4294" s="2">
        <v>1074</v>
      </c>
      <c r="B4294" s="2">
        <v>6</v>
      </c>
      <c r="C4294" s="2">
        <v>151629955</v>
      </c>
      <c r="D4294" s="2">
        <v>152376499</v>
      </c>
      <c r="E4294" s="2">
        <v>4</v>
      </c>
      <c r="F4294" s="2" t="s">
        <v>10086</v>
      </c>
      <c r="H4294" s="3">
        <v>5.0000000000000001E-4</v>
      </c>
      <c r="K4294" s="2" t="s">
        <v>10088</v>
      </c>
    </row>
    <row r="4295" spans="1:11" x14ac:dyDescent="0.2">
      <c r="A4295" s="2">
        <v>1075</v>
      </c>
      <c r="B4295" s="2">
        <v>6</v>
      </c>
      <c r="C4295" s="2">
        <v>152376500</v>
      </c>
      <c r="D4295" s="2">
        <v>153082361</v>
      </c>
      <c r="E4295" s="2">
        <v>1</v>
      </c>
      <c r="F4295" s="2" t="s">
        <v>10086</v>
      </c>
      <c r="H4295" s="3">
        <v>6.9999999999999999E-4</v>
      </c>
      <c r="K4295" s="2" t="s">
        <v>10089</v>
      </c>
    </row>
    <row r="4296" spans="1:11" x14ac:dyDescent="0.2">
      <c r="A4296" s="2">
        <v>1075</v>
      </c>
      <c r="B4296" s="2">
        <v>6</v>
      </c>
      <c r="C4296" s="2">
        <v>152376500</v>
      </c>
      <c r="D4296" s="2">
        <v>153082361</v>
      </c>
      <c r="E4296" s="2">
        <v>2</v>
      </c>
      <c r="F4296" s="2" t="s">
        <v>10086</v>
      </c>
      <c r="H4296" s="3">
        <v>8.0000000000000004E-4</v>
      </c>
      <c r="K4296" s="2" t="s">
        <v>10088</v>
      </c>
    </row>
    <row r="4297" spans="1:11" x14ac:dyDescent="0.2">
      <c r="A4297" s="2">
        <v>1075</v>
      </c>
      <c r="B4297" s="2">
        <v>6</v>
      </c>
      <c r="C4297" s="2">
        <v>152376500</v>
      </c>
      <c r="D4297" s="2">
        <v>153082361</v>
      </c>
      <c r="E4297" s="2">
        <v>3</v>
      </c>
      <c r="F4297" s="2" t="s">
        <v>10086</v>
      </c>
      <c r="H4297" s="3">
        <v>5.0000000000000001E-4</v>
      </c>
      <c r="K4297" s="2" t="s">
        <v>10085</v>
      </c>
    </row>
    <row r="4298" spans="1:11" x14ac:dyDescent="0.2">
      <c r="A4298" s="2">
        <v>1075</v>
      </c>
      <c r="B4298" s="2">
        <v>6</v>
      </c>
      <c r="C4298" s="2">
        <v>152376500</v>
      </c>
      <c r="D4298" s="2">
        <v>153082361</v>
      </c>
      <c r="E4298" s="2">
        <v>4</v>
      </c>
      <c r="F4298" s="2" t="s">
        <v>10086</v>
      </c>
      <c r="H4298" s="3">
        <v>2.0000000000000001E-4</v>
      </c>
      <c r="K4298" s="2" t="s">
        <v>10087</v>
      </c>
    </row>
    <row r="4299" spans="1:11" x14ac:dyDescent="0.2">
      <c r="A4299" s="2">
        <v>1076</v>
      </c>
      <c r="B4299" s="2">
        <v>6</v>
      </c>
      <c r="C4299" s="2">
        <v>153082362</v>
      </c>
      <c r="D4299" s="2">
        <v>153791461</v>
      </c>
      <c r="E4299" s="2">
        <v>1</v>
      </c>
      <c r="F4299" s="2" t="s">
        <v>10086</v>
      </c>
      <c r="H4299" s="3">
        <v>8.9999999999999998E-4</v>
      </c>
      <c r="K4299" s="2" t="s">
        <v>10089</v>
      </c>
    </row>
    <row r="4300" spans="1:11" x14ac:dyDescent="0.2">
      <c r="A4300" s="2">
        <v>1076</v>
      </c>
      <c r="B4300" s="2">
        <v>6</v>
      </c>
      <c r="C4300" s="2">
        <v>153082362</v>
      </c>
      <c r="D4300" s="2">
        <v>153791461</v>
      </c>
      <c r="E4300" s="2">
        <v>2</v>
      </c>
      <c r="F4300" s="2" t="s">
        <v>10086</v>
      </c>
      <c r="H4300" s="2">
        <v>2.2000000000000001E-3</v>
      </c>
      <c r="K4300" s="2" t="s">
        <v>10087</v>
      </c>
    </row>
    <row r="4301" spans="1:11" x14ac:dyDescent="0.2">
      <c r="A4301" s="2">
        <v>1076</v>
      </c>
      <c r="B4301" s="2">
        <v>6</v>
      </c>
      <c r="C4301" s="2">
        <v>153082362</v>
      </c>
      <c r="D4301" s="2">
        <v>153791461</v>
      </c>
      <c r="E4301" s="2">
        <v>3</v>
      </c>
      <c r="F4301" s="2" t="s">
        <v>10086</v>
      </c>
      <c r="H4301" s="3">
        <v>5.9999999999999995E-4</v>
      </c>
      <c r="K4301" s="2" t="s">
        <v>10088</v>
      </c>
    </row>
    <row r="4302" spans="1:11" x14ac:dyDescent="0.2">
      <c r="A4302" s="2">
        <v>1076</v>
      </c>
      <c r="B4302" s="2">
        <v>6</v>
      </c>
      <c r="C4302" s="2">
        <v>153082362</v>
      </c>
      <c r="D4302" s="2">
        <v>153791461</v>
      </c>
      <c r="E4302" s="2">
        <v>4</v>
      </c>
      <c r="F4302" s="2" t="s">
        <v>10086</v>
      </c>
      <c r="H4302" s="3">
        <v>2.9999999999999997E-4</v>
      </c>
      <c r="K4302" s="2" t="s">
        <v>10085</v>
      </c>
    </row>
    <row r="4303" spans="1:11" x14ac:dyDescent="0.2">
      <c r="A4303" s="2">
        <v>1077</v>
      </c>
      <c r="B4303" s="2">
        <v>6</v>
      </c>
      <c r="C4303" s="2">
        <v>153791462</v>
      </c>
      <c r="D4303" s="2">
        <v>154462010</v>
      </c>
      <c r="E4303" s="2">
        <v>1</v>
      </c>
      <c r="F4303" s="2" t="s">
        <v>10086</v>
      </c>
      <c r="H4303" s="2">
        <v>1.1999999999999999E-3</v>
      </c>
      <c r="K4303" s="2" t="s">
        <v>10088</v>
      </c>
    </row>
    <row r="4304" spans="1:11" x14ac:dyDescent="0.2">
      <c r="A4304" s="2">
        <v>1077</v>
      </c>
      <c r="B4304" s="2">
        <v>6</v>
      </c>
      <c r="C4304" s="2">
        <v>153791462</v>
      </c>
      <c r="D4304" s="2">
        <v>154462010</v>
      </c>
      <c r="E4304" s="2">
        <v>2</v>
      </c>
      <c r="F4304" s="2" t="s">
        <v>10086</v>
      </c>
      <c r="H4304" s="3">
        <v>5.9999999999999995E-4</v>
      </c>
      <c r="K4304" s="2" t="s">
        <v>10085</v>
      </c>
    </row>
    <row r="4305" spans="1:11" x14ac:dyDescent="0.2">
      <c r="A4305" s="2">
        <v>1077</v>
      </c>
      <c r="B4305" s="2">
        <v>6</v>
      </c>
      <c r="C4305" s="2">
        <v>153791462</v>
      </c>
      <c r="D4305" s="2">
        <v>154462010</v>
      </c>
      <c r="E4305" s="2">
        <v>3</v>
      </c>
      <c r="F4305" s="2" t="s">
        <v>10086</v>
      </c>
      <c r="H4305" s="3">
        <v>2.9999999999999997E-4</v>
      </c>
      <c r="K4305" s="2" t="s">
        <v>10087</v>
      </c>
    </row>
    <row r="4306" spans="1:11" x14ac:dyDescent="0.2">
      <c r="A4306" s="2">
        <v>1077</v>
      </c>
      <c r="B4306" s="2">
        <v>6</v>
      </c>
      <c r="C4306" s="2">
        <v>153791462</v>
      </c>
      <c r="D4306" s="2">
        <v>154462010</v>
      </c>
      <c r="E4306" s="2">
        <v>4</v>
      </c>
      <c r="F4306" s="2" t="s">
        <v>10086</v>
      </c>
      <c r="H4306" s="3">
        <v>2.0000000000000001E-4</v>
      </c>
      <c r="K4306" s="2" t="s">
        <v>10089</v>
      </c>
    </row>
    <row r="4307" spans="1:11" x14ac:dyDescent="0.2">
      <c r="A4307" s="2">
        <v>1078</v>
      </c>
      <c r="B4307" s="2">
        <v>6</v>
      </c>
      <c r="C4307" s="2">
        <v>154462011</v>
      </c>
      <c r="D4307" s="2">
        <v>155523957</v>
      </c>
      <c r="E4307" s="2">
        <v>1</v>
      </c>
      <c r="F4307" s="2" t="s">
        <v>10086</v>
      </c>
      <c r="H4307" s="2">
        <v>2.8999999999999998E-3</v>
      </c>
      <c r="K4307" s="2" t="s">
        <v>10087</v>
      </c>
    </row>
    <row r="4308" spans="1:11" x14ac:dyDescent="0.2">
      <c r="A4308" s="2">
        <v>1078</v>
      </c>
      <c r="B4308" s="2">
        <v>6</v>
      </c>
      <c r="C4308" s="2">
        <v>154462011</v>
      </c>
      <c r="D4308" s="2">
        <v>155523957</v>
      </c>
      <c r="E4308" s="2">
        <v>2</v>
      </c>
      <c r="F4308" s="2" t="s">
        <v>10086</v>
      </c>
      <c r="H4308" s="2">
        <v>3.5000000000000001E-3</v>
      </c>
      <c r="K4308" s="2" t="s">
        <v>10089</v>
      </c>
    </row>
    <row r="4309" spans="1:11" x14ac:dyDescent="0.2">
      <c r="A4309" s="2">
        <v>1078</v>
      </c>
      <c r="B4309" s="2">
        <v>6</v>
      </c>
      <c r="C4309" s="2">
        <v>154462011</v>
      </c>
      <c r="D4309" s="2">
        <v>155523957</v>
      </c>
      <c r="E4309" s="2">
        <v>3</v>
      </c>
      <c r="F4309" s="2" t="s">
        <v>10086</v>
      </c>
      <c r="H4309" s="2">
        <v>1.6999999999999999E-3</v>
      </c>
      <c r="K4309" s="2" t="s">
        <v>12324</v>
      </c>
    </row>
    <row r="4310" spans="1:11" x14ac:dyDescent="0.2">
      <c r="A4310" s="2">
        <v>1078</v>
      </c>
      <c r="B4310" s="2">
        <v>6</v>
      </c>
      <c r="C4310" s="2">
        <v>154462011</v>
      </c>
      <c r="D4310" s="2">
        <v>155523957</v>
      </c>
      <c r="E4310" s="2">
        <v>4</v>
      </c>
      <c r="F4310" s="2" t="s">
        <v>10086</v>
      </c>
      <c r="H4310" s="2">
        <v>1.5E-3</v>
      </c>
      <c r="K4310" s="2" t="s">
        <v>10085</v>
      </c>
    </row>
    <row r="4311" spans="1:11" x14ac:dyDescent="0.2">
      <c r="A4311" s="2">
        <v>1079</v>
      </c>
      <c r="B4311" s="2">
        <v>6</v>
      </c>
      <c r="C4311" s="2">
        <v>155523958</v>
      </c>
      <c r="D4311" s="2">
        <v>156762740</v>
      </c>
      <c r="E4311" s="2">
        <v>1</v>
      </c>
      <c r="F4311" s="2" t="s">
        <v>10086</v>
      </c>
      <c r="H4311" s="2">
        <v>2E-3</v>
      </c>
      <c r="K4311" s="2" t="s">
        <v>10089</v>
      </c>
    </row>
    <row r="4312" spans="1:11" x14ac:dyDescent="0.2">
      <c r="A4312" s="2">
        <v>1079</v>
      </c>
      <c r="B4312" s="2">
        <v>6</v>
      </c>
      <c r="C4312" s="2">
        <v>155523958</v>
      </c>
      <c r="D4312" s="2">
        <v>156762740</v>
      </c>
      <c r="E4312" s="2">
        <v>2</v>
      </c>
      <c r="F4312" s="2" t="s">
        <v>10086</v>
      </c>
      <c r="H4312" s="2">
        <v>6.1000000000000004E-3</v>
      </c>
      <c r="K4312" s="2" t="s">
        <v>10088</v>
      </c>
    </row>
    <row r="4313" spans="1:11" x14ac:dyDescent="0.2">
      <c r="A4313" s="2">
        <v>1079</v>
      </c>
      <c r="B4313" s="2">
        <v>6</v>
      </c>
      <c r="C4313" s="2">
        <v>155523958</v>
      </c>
      <c r="D4313" s="2">
        <v>156762740</v>
      </c>
      <c r="E4313" s="2">
        <v>3</v>
      </c>
      <c r="F4313" s="2" t="s">
        <v>10086</v>
      </c>
      <c r="H4313" s="2">
        <v>1.1000000000000001E-3</v>
      </c>
      <c r="K4313" s="2" t="s">
        <v>10085</v>
      </c>
    </row>
    <row r="4314" spans="1:11" x14ac:dyDescent="0.2">
      <c r="A4314" s="2">
        <v>1079</v>
      </c>
      <c r="B4314" s="2">
        <v>6</v>
      </c>
      <c r="C4314" s="2">
        <v>155523958</v>
      </c>
      <c r="D4314" s="2">
        <v>156762740</v>
      </c>
      <c r="E4314" s="2">
        <v>4</v>
      </c>
      <c r="F4314" s="2" t="s">
        <v>10086</v>
      </c>
      <c r="H4314" s="3">
        <v>5.0000000000000001E-4</v>
      </c>
      <c r="K4314" s="2" t="s">
        <v>10087</v>
      </c>
    </row>
    <row r="4315" spans="1:11" x14ac:dyDescent="0.2">
      <c r="A4315" s="2">
        <v>1080</v>
      </c>
      <c r="B4315" s="2">
        <v>6</v>
      </c>
      <c r="C4315" s="2">
        <v>156762741</v>
      </c>
      <c r="D4315" s="2">
        <v>158220143</v>
      </c>
      <c r="E4315" s="2">
        <v>1</v>
      </c>
      <c r="F4315" s="2" t="s">
        <v>10086</v>
      </c>
      <c r="H4315" s="2">
        <v>2E-3</v>
      </c>
      <c r="K4315" s="2" t="s">
        <v>10087</v>
      </c>
    </row>
    <row r="4316" spans="1:11" x14ac:dyDescent="0.2">
      <c r="A4316" s="2">
        <v>1080</v>
      </c>
      <c r="B4316" s="2">
        <v>6</v>
      </c>
      <c r="C4316" s="2">
        <v>156762741</v>
      </c>
      <c r="D4316" s="2">
        <v>158220143</v>
      </c>
      <c r="E4316" s="2">
        <v>2</v>
      </c>
      <c r="F4316" s="2" t="s">
        <v>10086</v>
      </c>
      <c r="H4316" s="2">
        <v>1.1999999999999999E-3</v>
      </c>
      <c r="K4316" s="2" t="s">
        <v>10085</v>
      </c>
    </row>
    <row r="4317" spans="1:11" x14ac:dyDescent="0.2">
      <c r="A4317" s="2">
        <v>1080</v>
      </c>
      <c r="B4317" s="2">
        <v>6</v>
      </c>
      <c r="C4317" s="2">
        <v>156762741</v>
      </c>
      <c r="D4317" s="2">
        <v>158220143</v>
      </c>
      <c r="E4317" s="2">
        <v>3</v>
      </c>
      <c r="F4317" s="2" t="s">
        <v>10086</v>
      </c>
      <c r="H4317" s="2">
        <v>1.1000000000000001E-3</v>
      </c>
      <c r="K4317" s="2" t="s">
        <v>10089</v>
      </c>
    </row>
    <row r="4318" spans="1:11" x14ac:dyDescent="0.2">
      <c r="A4318" s="2">
        <v>1080</v>
      </c>
      <c r="B4318" s="2">
        <v>6</v>
      </c>
      <c r="C4318" s="2">
        <v>156762741</v>
      </c>
      <c r="D4318" s="2">
        <v>158220143</v>
      </c>
      <c r="E4318" s="2">
        <v>4</v>
      </c>
      <c r="F4318" s="2" t="s">
        <v>10086</v>
      </c>
      <c r="H4318" s="3">
        <v>8.9999999999999998E-4</v>
      </c>
      <c r="K4318" s="2" t="s">
        <v>12324</v>
      </c>
    </row>
    <row r="4319" spans="1:11" x14ac:dyDescent="0.2">
      <c r="A4319" s="2">
        <v>1081</v>
      </c>
      <c r="B4319" s="2">
        <v>6</v>
      </c>
      <c r="C4319" s="2">
        <v>158220144</v>
      </c>
      <c r="D4319" s="2">
        <v>158952060</v>
      </c>
      <c r="E4319" s="2">
        <v>1</v>
      </c>
      <c r="F4319" s="2" t="s">
        <v>10086</v>
      </c>
      <c r="H4319" s="2">
        <v>4.3E-3</v>
      </c>
      <c r="K4319" s="2" t="s">
        <v>12324</v>
      </c>
    </row>
    <row r="4320" spans="1:11" x14ac:dyDescent="0.2">
      <c r="A4320" s="2">
        <v>1081</v>
      </c>
      <c r="B4320" s="2">
        <v>6</v>
      </c>
      <c r="C4320" s="2">
        <v>158220144</v>
      </c>
      <c r="D4320" s="2">
        <v>158952060</v>
      </c>
      <c r="E4320" s="2">
        <v>2</v>
      </c>
      <c r="F4320" s="2" t="s">
        <v>10086</v>
      </c>
      <c r="H4320" s="2">
        <v>1.1999999999999999E-3</v>
      </c>
      <c r="K4320" s="2" t="s">
        <v>10088</v>
      </c>
    </row>
    <row r="4321" spans="1:11" x14ac:dyDescent="0.2">
      <c r="A4321" s="2">
        <v>1081</v>
      </c>
      <c r="B4321" s="2">
        <v>6</v>
      </c>
      <c r="C4321" s="2">
        <v>158220144</v>
      </c>
      <c r="D4321" s="2">
        <v>158952060</v>
      </c>
      <c r="E4321" s="2">
        <v>3</v>
      </c>
      <c r="F4321" s="2" t="s">
        <v>10086</v>
      </c>
      <c r="H4321" s="2">
        <v>1.5E-3</v>
      </c>
      <c r="K4321" s="2" t="s">
        <v>10087</v>
      </c>
    </row>
    <row r="4322" spans="1:11" x14ac:dyDescent="0.2">
      <c r="A4322" s="2">
        <v>1081</v>
      </c>
      <c r="B4322" s="2">
        <v>6</v>
      </c>
      <c r="C4322" s="2">
        <v>158220144</v>
      </c>
      <c r="D4322" s="2">
        <v>158952060</v>
      </c>
      <c r="E4322" s="2">
        <v>4</v>
      </c>
      <c r="F4322" s="2" t="s">
        <v>10086</v>
      </c>
      <c r="H4322" s="3">
        <v>8.9999999999999998E-4</v>
      </c>
      <c r="K4322" s="2" t="s">
        <v>10085</v>
      </c>
    </row>
    <row r="4323" spans="1:11" x14ac:dyDescent="0.2">
      <c r="A4323" s="2">
        <v>1082</v>
      </c>
      <c r="B4323" s="2">
        <v>6</v>
      </c>
      <c r="C4323" s="2">
        <v>158952061</v>
      </c>
      <c r="D4323" s="2">
        <v>159604052</v>
      </c>
      <c r="E4323" s="2">
        <v>1</v>
      </c>
      <c r="F4323" s="2" t="s">
        <v>10086</v>
      </c>
      <c r="H4323" s="2">
        <v>1.1000000000000001E-3</v>
      </c>
      <c r="K4323" s="2" t="s">
        <v>10087</v>
      </c>
    </row>
    <row r="4324" spans="1:11" x14ac:dyDescent="0.2">
      <c r="A4324" s="2">
        <v>1082</v>
      </c>
      <c r="B4324" s="2">
        <v>6</v>
      </c>
      <c r="C4324" s="2">
        <v>158952061</v>
      </c>
      <c r="D4324" s="2">
        <v>159604052</v>
      </c>
      <c r="E4324" s="2">
        <v>2</v>
      </c>
      <c r="F4324" s="2" t="s">
        <v>10086</v>
      </c>
      <c r="H4324" s="3">
        <v>8.9999999999999998E-4</v>
      </c>
      <c r="K4324" s="2" t="s">
        <v>10089</v>
      </c>
    </row>
    <row r="4325" spans="1:11" x14ac:dyDescent="0.2">
      <c r="A4325" s="2">
        <v>1082</v>
      </c>
      <c r="B4325" s="2">
        <v>6</v>
      </c>
      <c r="C4325" s="2">
        <v>158952061</v>
      </c>
      <c r="D4325" s="2">
        <v>159604052</v>
      </c>
      <c r="E4325" s="2">
        <v>3</v>
      </c>
      <c r="F4325" s="2" t="s">
        <v>10086</v>
      </c>
      <c r="H4325" s="3">
        <v>6.9999999999999999E-4</v>
      </c>
      <c r="K4325" s="2" t="s">
        <v>10085</v>
      </c>
    </row>
    <row r="4326" spans="1:11" x14ac:dyDescent="0.2">
      <c r="A4326" s="2">
        <v>1082</v>
      </c>
      <c r="B4326" s="2">
        <v>6</v>
      </c>
      <c r="C4326" s="2">
        <v>158952061</v>
      </c>
      <c r="D4326" s="2">
        <v>159604052</v>
      </c>
      <c r="E4326" s="2">
        <v>4</v>
      </c>
      <c r="F4326" s="2" t="s">
        <v>10086</v>
      </c>
      <c r="H4326" s="3">
        <v>5.0000000000000001E-4</v>
      </c>
      <c r="K4326" s="2" t="s">
        <v>10088</v>
      </c>
    </row>
    <row r="4327" spans="1:11" x14ac:dyDescent="0.2">
      <c r="A4327" s="2">
        <v>1083</v>
      </c>
      <c r="B4327" s="2">
        <v>6</v>
      </c>
      <c r="C4327" s="2">
        <v>159604053</v>
      </c>
      <c r="D4327" s="2">
        <v>160583918</v>
      </c>
      <c r="E4327" s="2">
        <v>1</v>
      </c>
      <c r="F4327" s="2" t="s">
        <v>10086</v>
      </c>
      <c r="H4327" s="2">
        <v>1.2999999999999999E-3</v>
      </c>
      <c r="K4327" s="2" t="s">
        <v>10087</v>
      </c>
    </row>
    <row r="4328" spans="1:11" x14ac:dyDescent="0.2">
      <c r="A4328" s="2">
        <v>1083</v>
      </c>
      <c r="B4328" s="2">
        <v>6</v>
      </c>
      <c r="C4328" s="2">
        <v>159604053</v>
      </c>
      <c r="D4328" s="2">
        <v>160583918</v>
      </c>
      <c r="E4328" s="2">
        <v>2</v>
      </c>
      <c r="F4328" s="2" t="s">
        <v>10086</v>
      </c>
      <c r="H4328" s="3">
        <v>8.0000000000000004E-4</v>
      </c>
      <c r="K4328" s="2" t="s">
        <v>10085</v>
      </c>
    </row>
    <row r="4329" spans="1:11" x14ac:dyDescent="0.2">
      <c r="A4329" s="2">
        <v>1083</v>
      </c>
      <c r="B4329" s="2">
        <v>6</v>
      </c>
      <c r="C4329" s="2">
        <v>159604053</v>
      </c>
      <c r="D4329" s="2">
        <v>160583918</v>
      </c>
      <c r="E4329" s="2">
        <v>3</v>
      </c>
      <c r="F4329" s="2" t="s">
        <v>10086</v>
      </c>
      <c r="H4329" s="3">
        <v>6.9999999999999999E-4</v>
      </c>
      <c r="K4329" s="2" t="s">
        <v>10088</v>
      </c>
    </row>
    <row r="4330" spans="1:11" x14ac:dyDescent="0.2">
      <c r="A4330" s="2">
        <v>1083</v>
      </c>
      <c r="B4330" s="2">
        <v>6</v>
      </c>
      <c r="C4330" s="2">
        <v>159604053</v>
      </c>
      <c r="D4330" s="2">
        <v>160583918</v>
      </c>
      <c r="E4330" s="2">
        <v>4</v>
      </c>
      <c r="F4330" s="2" t="s">
        <v>10086</v>
      </c>
      <c r="H4330" s="3">
        <v>2.9999999999999997E-4</v>
      </c>
      <c r="K4330" s="2" t="s">
        <v>10089</v>
      </c>
    </row>
    <row r="4331" spans="1:11" x14ac:dyDescent="0.2">
      <c r="A4331" s="2">
        <v>1084</v>
      </c>
      <c r="B4331" s="2">
        <v>6</v>
      </c>
      <c r="C4331" s="2">
        <v>160583919</v>
      </c>
      <c r="D4331" s="2">
        <v>161371014</v>
      </c>
      <c r="E4331" s="2">
        <v>1</v>
      </c>
      <c r="F4331" s="2" t="s">
        <v>10086</v>
      </c>
      <c r="H4331" s="2">
        <v>1.5E-3</v>
      </c>
      <c r="K4331" s="2" t="s">
        <v>10088</v>
      </c>
    </row>
    <row r="4332" spans="1:11" x14ac:dyDescent="0.2">
      <c r="A4332" s="2">
        <v>1084</v>
      </c>
      <c r="B4332" s="2">
        <v>6</v>
      </c>
      <c r="C4332" s="2">
        <v>160583919</v>
      </c>
      <c r="D4332" s="2">
        <v>161371014</v>
      </c>
      <c r="E4332" s="2">
        <v>2</v>
      </c>
      <c r="F4332" s="2" t="s">
        <v>10086</v>
      </c>
      <c r="H4332" s="3">
        <v>8.9999999999999998E-4</v>
      </c>
      <c r="K4332" s="2" t="s">
        <v>10089</v>
      </c>
    </row>
    <row r="4333" spans="1:11" x14ac:dyDescent="0.2">
      <c r="A4333" s="2">
        <v>1084</v>
      </c>
      <c r="B4333" s="2">
        <v>6</v>
      </c>
      <c r="C4333" s="2">
        <v>160583919</v>
      </c>
      <c r="D4333" s="2">
        <v>161371014</v>
      </c>
      <c r="E4333" s="2">
        <v>3</v>
      </c>
      <c r="F4333" s="2" t="s">
        <v>10086</v>
      </c>
      <c r="H4333" s="3">
        <v>5.0000000000000001E-4</v>
      </c>
      <c r="K4333" s="2" t="s">
        <v>10087</v>
      </c>
    </row>
    <row r="4334" spans="1:11" x14ac:dyDescent="0.2">
      <c r="A4334" s="2">
        <v>1084</v>
      </c>
      <c r="B4334" s="2">
        <v>6</v>
      </c>
      <c r="C4334" s="2">
        <v>160583919</v>
      </c>
      <c r="D4334" s="2">
        <v>161371014</v>
      </c>
      <c r="E4334" s="2">
        <v>4</v>
      </c>
      <c r="F4334" s="2" t="s">
        <v>10086</v>
      </c>
      <c r="H4334" s="3">
        <v>2.0000000000000001E-4</v>
      </c>
      <c r="K4334" s="2" t="s">
        <v>10085</v>
      </c>
    </row>
    <row r="4335" spans="1:11" x14ac:dyDescent="0.2">
      <c r="A4335" s="2">
        <v>1085</v>
      </c>
      <c r="B4335" s="2">
        <v>6</v>
      </c>
      <c r="C4335" s="2">
        <v>161371015</v>
      </c>
      <c r="D4335" s="2">
        <v>162254229</v>
      </c>
      <c r="E4335" s="2">
        <v>1</v>
      </c>
      <c r="F4335" s="2" t="s">
        <v>10086</v>
      </c>
      <c r="H4335" s="2">
        <v>1.8E-3</v>
      </c>
      <c r="K4335" s="2" t="s">
        <v>10089</v>
      </c>
    </row>
    <row r="4336" spans="1:11" x14ac:dyDescent="0.2">
      <c r="A4336" s="2">
        <v>1085</v>
      </c>
      <c r="B4336" s="2">
        <v>6</v>
      </c>
      <c r="C4336" s="2">
        <v>161371015</v>
      </c>
      <c r="D4336" s="2">
        <v>162254229</v>
      </c>
      <c r="E4336" s="2">
        <v>2</v>
      </c>
      <c r="F4336" s="2" t="s">
        <v>10086</v>
      </c>
      <c r="H4336" s="2">
        <v>1.4E-3</v>
      </c>
      <c r="K4336" s="2" t="s">
        <v>10087</v>
      </c>
    </row>
    <row r="4337" spans="1:11" x14ac:dyDescent="0.2">
      <c r="A4337" s="2">
        <v>1085</v>
      </c>
      <c r="B4337" s="2">
        <v>6</v>
      </c>
      <c r="C4337" s="2">
        <v>161371015</v>
      </c>
      <c r="D4337" s="2">
        <v>162254229</v>
      </c>
      <c r="E4337" s="2">
        <v>3</v>
      </c>
      <c r="F4337" s="2" t="s">
        <v>10086</v>
      </c>
      <c r="H4337" s="2">
        <v>1E-3</v>
      </c>
      <c r="K4337" s="2" t="s">
        <v>10088</v>
      </c>
    </row>
    <row r="4338" spans="1:11" x14ac:dyDescent="0.2">
      <c r="A4338" s="2">
        <v>1085</v>
      </c>
      <c r="B4338" s="2">
        <v>6</v>
      </c>
      <c r="C4338" s="2">
        <v>161371015</v>
      </c>
      <c r="D4338" s="2">
        <v>162254229</v>
      </c>
      <c r="E4338" s="2">
        <v>4</v>
      </c>
      <c r="F4338" s="2" t="s">
        <v>10086</v>
      </c>
      <c r="H4338" s="3">
        <v>5.9999999999999995E-4</v>
      </c>
      <c r="K4338" s="2" t="s">
        <v>10085</v>
      </c>
    </row>
    <row r="4339" spans="1:11" x14ac:dyDescent="0.2">
      <c r="A4339" s="2">
        <v>1086</v>
      </c>
      <c r="B4339" s="2">
        <v>6</v>
      </c>
      <c r="C4339" s="2">
        <v>162254230</v>
      </c>
      <c r="D4339" s="2">
        <v>163336361</v>
      </c>
      <c r="E4339" s="2">
        <v>1</v>
      </c>
      <c r="F4339" s="2" t="s">
        <v>10086</v>
      </c>
      <c r="H4339" s="2">
        <v>4.4999999999999997E-3</v>
      </c>
      <c r="K4339" s="2" t="s">
        <v>10087</v>
      </c>
    </row>
    <row r="4340" spans="1:11" x14ac:dyDescent="0.2">
      <c r="A4340" s="2">
        <v>1086</v>
      </c>
      <c r="B4340" s="2">
        <v>6</v>
      </c>
      <c r="C4340" s="2">
        <v>162254230</v>
      </c>
      <c r="D4340" s="2">
        <v>163336361</v>
      </c>
      <c r="E4340" s="2">
        <v>2</v>
      </c>
      <c r="F4340" s="2" t="s">
        <v>10086</v>
      </c>
      <c r="H4340" s="2">
        <v>1.6000000000000001E-3</v>
      </c>
      <c r="K4340" s="2" t="s">
        <v>10088</v>
      </c>
    </row>
    <row r="4341" spans="1:11" x14ac:dyDescent="0.2">
      <c r="A4341" s="2">
        <v>1086</v>
      </c>
      <c r="B4341" s="2">
        <v>6</v>
      </c>
      <c r="C4341" s="2">
        <v>162254230</v>
      </c>
      <c r="D4341" s="2">
        <v>163336361</v>
      </c>
      <c r="E4341" s="2">
        <v>3</v>
      </c>
      <c r="F4341" s="2" t="s">
        <v>10086</v>
      </c>
      <c r="H4341" s="2">
        <v>1E-3</v>
      </c>
      <c r="K4341" s="2" t="s">
        <v>10085</v>
      </c>
    </row>
    <row r="4342" spans="1:11" x14ac:dyDescent="0.2">
      <c r="A4342" s="2">
        <v>1086</v>
      </c>
      <c r="B4342" s="2">
        <v>6</v>
      </c>
      <c r="C4342" s="2">
        <v>162254230</v>
      </c>
      <c r="D4342" s="2">
        <v>163336361</v>
      </c>
      <c r="E4342" s="2">
        <v>4</v>
      </c>
      <c r="F4342" s="2" t="s">
        <v>10086</v>
      </c>
      <c r="H4342" s="3">
        <v>5.9999999999999995E-4</v>
      </c>
      <c r="K4342" s="2" t="s">
        <v>10089</v>
      </c>
    </row>
    <row r="4343" spans="1:11" x14ac:dyDescent="0.2">
      <c r="A4343" s="2">
        <v>1087</v>
      </c>
      <c r="B4343" s="2">
        <v>6</v>
      </c>
      <c r="C4343" s="2">
        <v>163336362</v>
      </c>
      <c r="D4343" s="2">
        <v>164687462</v>
      </c>
      <c r="E4343" s="2">
        <v>1</v>
      </c>
      <c r="F4343" s="2" t="s">
        <v>10086</v>
      </c>
      <c r="H4343" s="2">
        <v>2.0999999999999999E-3</v>
      </c>
      <c r="K4343" s="2" t="s">
        <v>10088</v>
      </c>
    </row>
    <row r="4344" spans="1:11" x14ac:dyDescent="0.2">
      <c r="A4344" s="2">
        <v>1087</v>
      </c>
      <c r="B4344" s="2">
        <v>6</v>
      </c>
      <c r="C4344" s="2">
        <v>163336362</v>
      </c>
      <c r="D4344" s="2">
        <v>164687462</v>
      </c>
      <c r="E4344" s="2">
        <v>2</v>
      </c>
      <c r="F4344" s="2" t="s">
        <v>10086</v>
      </c>
      <c r="H4344" s="2">
        <v>1.6999999999999999E-3</v>
      </c>
      <c r="K4344" s="2" t="s">
        <v>10087</v>
      </c>
    </row>
    <row r="4345" spans="1:11" x14ac:dyDescent="0.2">
      <c r="A4345" s="2">
        <v>1087</v>
      </c>
      <c r="B4345" s="2">
        <v>6</v>
      </c>
      <c r="C4345" s="2">
        <v>163336362</v>
      </c>
      <c r="D4345" s="2">
        <v>164687462</v>
      </c>
      <c r="E4345" s="2">
        <v>3</v>
      </c>
      <c r="F4345" s="2" t="s">
        <v>10086</v>
      </c>
      <c r="H4345" s="2">
        <v>1.1000000000000001E-3</v>
      </c>
      <c r="K4345" s="2" t="s">
        <v>10085</v>
      </c>
    </row>
    <row r="4346" spans="1:11" x14ac:dyDescent="0.2">
      <c r="A4346" s="2">
        <v>1087</v>
      </c>
      <c r="B4346" s="2">
        <v>6</v>
      </c>
      <c r="C4346" s="2">
        <v>163336362</v>
      </c>
      <c r="D4346" s="2">
        <v>164687462</v>
      </c>
      <c r="E4346" s="2">
        <v>4</v>
      </c>
      <c r="F4346" s="2" t="s">
        <v>10086</v>
      </c>
      <c r="H4346" s="3">
        <v>6.9999999999999999E-4</v>
      </c>
      <c r="K4346" s="2" t="s">
        <v>12324</v>
      </c>
    </row>
    <row r="4347" spans="1:11" x14ac:dyDescent="0.2">
      <c r="A4347" s="2">
        <v>1088</v>
      </c>
      <c r="B4347" s="2">
        <v>6</v>
      </c>
      <c r="C4347" s="2">
        <v>164687463</v>
      </c>
      <c r="D4347" s="2">
        <v>165835953</v>
      </c>
      <c r="E4347" s="2">
        <v>1</v>
      </c>
      <c r="F4347" s="2" t="s">
        <v>10086</v>
      </c>
      <c r="H4347" s="2">
        <v>3.2899999999999999E-2</v>
      </c>
      <c r="K4347" s="2" t="s">
        <v>10087</v>
      </c>
    </row>
    <row r="4348" spans="1:11" x14ac:dyDescent="0.2">
      <c r="A4348" s="2">
        <v>1088</v>
      </c>
      <c r="B4348" s="2">
        <v>6</v>
      </c>
      <c r="C4348" s="2">
        <v>164687463</v>
      </c>
      <c r="D4348" s="2">
        <v>165835953</v>
      </c>
      <c r="E4348" s="2">
        <v>2</v>
      </c>
      <c r="F4348" s="2" t="s">
        <v>10086</v>
      </c>
      <c r="H4348" s="2">
        <v>1.6999999999999999E-3</v>
      </c>
      <c r="K4348" s="2" t="s">
        <v>10088</v>
      </c>
    </row>
    <row r="4349" spans="1:11" x14ac:dyDescent="0.2">
      <c r="A4349" s="2">
        <v>1088</v>
      </c>
      <c r="B4349" s="2">
        <v>6</v>
      </c>
      <c r="C4349" s="2">
        <v>164687463</v>
      </c>
      <c r="D4349" s="2">
        <v>165835953</v>
      </c>
      <c r="E4349" s="2">
        <v>3</v>
      </c>
      <c r="F4349" s="2" t="s">
        <v>10086</v>
      </c>
      <c r="H4349" s="2">
        <v>1.4E-3</v>
      </c>
      <c r="K4349" s="2" t="s">
        <v>10089</v>
      </c>
    </row>
    <row r="4350" spans="1:11" x14ac:dyDescent="0.2">
      <c r="A4350" s="2">
        <v>1088</v>
      </c>
      <c r="B4350" s="2">
        <v>6</v>
      </c>
      <c r="C4350" s="2">
        <v>164687463</v>
      </c>
      <c r="D4350" s="2">
        <v>165835953</v>
      </c>
      <c r="E4350" s="2">
        <v>4</v>
      </c>
      <c r="F4350" s="2" t="s">
        <v>10086</v>
      </c>
      <c r="H4350" s="3">
        <v>6.9999999999999999E-4</v>
      </c>
      <c r="K4350" s="2" t="s">
        <v>10085</v>
      </c>
    </row>
    <row r="4351" spans="1:11" x14ac:dyDescent="0.2">
      <c r="A4351" s="2">
        <v>1089</v>
      </c>
      <c r="B4351" s="2">
        <v>6</v>
      </c>
      <c r="C4351" s="2">
        <v>165835954</v>
      </c>
      <c r="D4351" s="2">
        <v>166853325</v>
      </c>
      <c r="E4351" s="2">
        <v>1</v>
      </c>
      <c r="F4351" s="2" t="s">
        <v>10086</v>
      </c>
      <c r="H4351" s="2">
        <v>3.3999999999999998E-3</v>
      </c>
      <c r="K4351" s="2" t="s">
        <v>10088</v>
      </c>
    </row>
    <row r="4352" spans="1:11" x14ac:dyDescent="0.2">
      <c r="A4352" s="2">
        <v>1089</v>
      </c>
      <c r="B4352" s="2">
        <v>6</v>
      </c>
      <c r="C4352" s="2">
        <v>165835954</v>
      </c>
      <c r="D4352" s="2">
        <v>166853325</v>
      </c>
      <c r="E4352" s="2">
        <v>2</v>
      </c>
      <c r="F4352" s="2" t="s">
        <v>10086</v>
      </c>
      <c r="H4352" s="2">
        <v>2.0999999999999999E-3</v>
      </c>
      <c r="K4352" s="2" t="s">
        <v>10087</v>
      </c>
    </row>
    <row r="4353" spans="1:11" x14ac:dyDescent="0.2">
      <c r="A4353" s="2">
        <v>1089</v>
      </c>
      <c r="B4353" s="2">
        <v>6</v>
      </c>
      <c r="C4353" s="2">
        <v>165835954</v>
      </c>
      <c r="D4353" s="2">
        <v>166853325</v>
      </c>
      <c r="E4353" s="2">
        <v>3</v>
      </c>
      <c r="F4353" s="2" t="s">
        <v>10086</v>
      </c>
      <c r="H4353" s="3">
        <v>8.9999999999999998E-4</v>
      </c>
      <c r="K4353" s="2" t="s">
        <v>10085</v>
      </c>
    </row>
    <row r="4354" spans="1:11" x14ac:dyDescent="0.2">
      <c r="A4354" s="2">
        <v>1089</v>
      </c>
      <c r="B4354" s="2">
        <v>6</v>
      </c>
      <c r="C4354" s="2">
        <v>165835954</v>
      </c>
      <c r="D4354" s="2">
        <v>166853325</v>
      </c>
      <c r="E4354" s="2">
        <v>4</v>
      </c>
      <c r="F4354" s="2" t="s">
        <v>10086</v>
      </c>
      <c r="H4354" s="3">
        <v>6.9999999999999999E-4</v>
      </c>
      <c r="K4354" s="2" t="s">
        <v>10089</v>
      </c>
    </row>
    <row r="4355" spans="1:11" x14ac:dyDescent="0.2">
      <c r="A4355" s="2">
        <v>1090</v>
      </c>
      <c r="B4355" s="2">
        <v>6</v>
      </c>
      <c r="C4355" s="2">
        <v>166853326</v>
      </c>
      <c r="D4355" s="2">
        <v>167714865</v>
      </c>
      <c r="E4355" s="2">
        <v>1</v>
      </c>
      <c r="F4355" s="2" t="s">
        <v>10086</v>
      </c>
      <c r="H4355" s="2">
        <v>2.3999999999999998E-3</v>
      </c>
      <c r="K4355" s="2" t="s">
        <v>10085</v>
      </c>
    </row>
    <row r="4356" spans="1:11" x14ac:dyDescent="0.2">
      <c r="A4356" s="2">
        <v>1090</v>
      </c>
      <c r="B4356" s="2">
        <v>6</v>
      </c>
      <c r="C4356" s="2">
        <v>166853326</v>
      </c>
      <c r="D4356" s="2">
        <v>167714865</v>
      </c>
      <c r="E4356" s="2">
        <v>2</v>
      </c>
      <c r="F4356" s="2" t="s">
        <v>10086</v>
      </c>
      <c r="H4356" s="2">
        <v>1.6999999999999999E-3</v>
      </c>
      <c r="K4356" s="2" t="s">
        <v>10089</v>
      </c>
    </row>
    <row r="4357" spans="1:11" x14ac:dyDescent="0.2">
      <c r="A4357" s="2">
        <v>1090</v>
      </c>
      <c r="B4357" s="2">
        <v>6</v>
      </c>
      <c r="C4357" s="2">
        <v>166853326</v>
      </c>
      <c r="D4357" s="2">
        <v>167714865</v>
      </c>
      <c r="E4357" s="2">
        <v>3</v>
      </c>
      <c r="F4357" s="2" t="s">
        <v>10086</v>
      </c>
      <c r="H4357" s="2">
        <v>1.2999999999999999E-3</v>
      </c>
      <c r="K4357" s="2" t="s">
        <v>10087</v>
      </c>
    </row>
    <row r="4358" spans="1:11" x14ac:dyDescent="0.2">
      <c r="A4358" s="2">
        <v>1090</v>
      </c>
      <c r="B4358" s="2">
        <v>6</v>
      </c>
      <c r="C4358" s="2">
        <v>166853326</v>
      </c>
      <c r="D4358" s="2">
        <v>167714865</v>
      </c>
      <c r="E4358" s="2">
        <v>4</v>
      </c>
      <c r="F4358" s="2" t="s">
        <v>10086</v>
      </c>
      <c r="H4358" s="3">
        <v>4.0000000000000002E-4</v>
      </c>
      <c r="K4358" s="2" t="s">
        <v>10088</v>
      </c>
    </row>
    <row r="4359" spans="1:11" x14ac:dyDescent="0.2">
      <c r="A4359" s="2">
        <v>1091</v>
      </c>
      <c r="B4359" s="2">
        <v>6</v>
      </c>
      <c r="C4359" s="2">
        <v>167714866</v>
      </c>
      <c r="D4359" s="2">
        <v>168707338</v>
      </c>
      <c r="E4359" s="2">
        <v>1</v>
      </c>
      <c r="F4359" s="2" t="s">
        <v>10086</v>
      </c>
      <c r="H4359" s="2">
        <v>1.8E-3</v>
      </c>
      <c r="K4359" s="2" t="s">
        <v>10089</v>
      </c>
    </row>
    <row r="4360" spans="1:11" x14ac:dyDescent="0.2">
      <c r="A4360" s="2">
        <v>1091</v>
      </c>
      <c r="B4360" s="2">
        <v>6</v>
      </c>
      <c r="C4360" s="2">
        <v>167714866</v>
      </c>
      <c r="D4360" s="2">
        <v>168707338</v>
      </c>
      <c r="E4360" s="2">
        <v>2</v>
      </c>
      <c r="F4360" s="2" t="s">
        <v>10086</v>
      </c>
      <c r="H4360" s="2">
        <v>1.2999999999999999E-3</v>
      </c>
      <c r="K4360" s="2" t="s">
        <v>10085</v>
      </c>
    </row>
    <row r="4361" spans="1:11" x14ac:dyDescent="0.2">
      <c r="A4361" s="2">
        <v>1091</v>
      </c>
      <c r="B4361" s="2">
        <v>6</v>
      </c>
      <c r="C4361" s="2">
        <v>167714866</v>
      </c>
      <c r="D4361" s="2">
        <v>168707338</v>
      </c>
      <c r="E4361" s="2">
        <v>3</v>
      </c>
      <c r="F4361" s="2" t="s">
        <v>10086</v>
      </c>
      <c r="H4361" s="2">
        <v>1E-3</v>
      </c>
      <c r="K4361" s="2" t="s">
        <v>10088</v>
      </c>
    </row>
    <row r="4362" spans="1:11" x14ac:dyDescent="0.2">
      <c r="A4362" s="2">
        <v>1091</v>
      </c>
      <c r="B4362" s="2">
        <v>6</v>
      </c>
      <c r="C4362" s="2">
        <v>167714866</v>
      </c>
      <c r="D4362" s="2">
        <v>168707338</v>
      </c>
      <c r="E4362" s="2">
        <v>4</v>
      </c>
      <c r="F4362" s="2" t="s">
        <v>10086</v>
      </c>
      <c r="H4362" s="3">
        <v>5.9999999999999995E-4</v>
      </c>
      <c r="K4362" s="2" t="s">
        <v>10087</v>
      </c>
    </row>
    <row r="4363" spans="1:11" x14ac:dyDescent="0.2">
      <c r="A4363" s="2">
        <v>1092</v>
      </c>
      <c r="B4363" s="2">
        <v>6</v>
      </c>
      <c r="C4363" s="2">
        <v>168707339</v>
      </c>
      <c r="D4363" s="2">
        <v>169667886</v>
      </c>
      <c r="E4363" s="2">
        <v>1</v>
      </c>
      <c r="F4363" s="2" t="s">
        <v>10086</v>
      </c>
      <c r="H4363" s="2">
        <v>2.5999999999999999E-3</v>
      </c>
      <c r="K4363" s="2" t="s">
        <v>10085</v>
      </c>
    </row>
    <row r="4364" spans="1:11" x14ac:dyDescent="0.2">
      <c r="A4364" s="2">
        <v>1092</v>
      </c>
      <c r="B4364" s="2">
        <v>6</v>
      </c>
      <c r="C4364" s="2">
        <v>168707339</v>
      </c>
      <c r="D4364" s="2">
        <v>169667886</v>
      </c>
      <c r="E4364" s="2">
        <v>2</v>
      </c>
      <c r="F4364" s="2" t="s">
        <v>10086</v>
      </c>
      <c r="H4364" s="2">
        <v>1.2999999999999999E-3</v>
      </c>
      <c r="K4364" s="2" t="s">
        <v>10089</v>
      </c>
    </row>
    <row r="4365" spans="1:11" x14ac:dyDescent="0.2">
      <c r="A4365" s="2">
        <v>1092</v>
      </c>
      <c r="B4365" s="2">
        <v>6</v>
      </c>
      <c r="C4365" s="2">
        <v>168707339</v>
      </c>
      <c r="D4365" s="2">
        <v>169667886</v>
      </c>
      <c r="E4365" s="2">
        <v>3</v>
      </c>
      <c r="F4365" s="2" t="s">
        <v>10086</v>
      </c>
      <c r="H4365" s="2">
        <v>1.1000000000000001E-3</v>
      </c>
      <c r="K4365" s="2" t="s">
        <v>10087</v>
      </c>
    </row>
    <row r="4366" spans="1:11" x14ac:dyDescent="0.2">
      <c r="A4366" s="2">
        <v>1092</v>
      </c>
      <c r="B4366" s="2">
        <v>6</v>
      </c>
      <c r="C4366" s="2">
        <v>168707339</v>
      </c>
      <c r="D4366" s="2">
        <v>169667886</v>
      </c>
      <c r="E4366" s="2">
        <v>4</v>
      </c>
      <c r="F4366" s="2" t="s">
        <v>10086</v>
      </c>
      <c r="H4366" s="3">
        <v>5.0000000000000001E-4</v>
      </c>
      <c r="K4366" s="2" t="s">
        <v>10088</v>
      </c>
    </row>
    <row r="4367" spans="1:11" x14ac:dyDescent="0.2">
      <c r="A4367" s="2">
        <v>1093</v>
      </c>
      <c r="B4367" s="2">
        <v>6</v>
      </c>
      <c r="C4367" s="2">
        <v>169667887</v>
      </c>
      <c r="D4367" s="2">
        <v>171053405</v>
      </c>
      <c r="E4367" s="2">
        <v>1</v>
      </c>
      <c r="F4367" s="2" t="s">
        <v>10086</v>
      </c>
      <c r="H4367" s="2">
        <v>5.0000000000000001E-3</v>
      </c>
      <c r="K4367" s="2" t="s">
        <v>10088</v>
      </c>
    </row>
    <row r="4368" spans="1:11" x14ac:dyDescent="0.2">
      <c r="A4368" s="2">
        <v>1093</v>
      </c>
      <c r="B4368" s="2">
        <v>6</v>
      </c>
      <c r="C4368" s="2">
        <v>169667887</v>
      </c>
      <c r="D4368" s="2">
        <v>171053405</v>
      </c>
      <c r="E4368" s="2">
        <v>2</v>
      </c>
      <c r="F4368" s="2" t="s">
        <v>10086</v>
      </c>
      <c r="H4368" s="2">
        <v>3.5000000000000001E-3</v>
      </c>
      <c r="K4368" s="2" t="s">
        <v>10089</v>
      </c>
    </row>
    <row r="4369" spans="1:11" x14ac:dyDescent="0.2">
      <c r="A4369" s="2">
        <v>1093</v>
      </c>
      <c r="B4369" s="2">
        <v>6</v>
      </c>
      <c r="C4369" s="2">
        <v>169667887</v>
      </c>
      <c r="D4369" s="2">
        <v>171053405</v>
      </c>
      <c r="E4369" s="2">
        <v>3</v>
      </c>
      <c r="F4369" s="2" t="s">
        <v>10086</v>
      </c>
      <c r="H4369" s="2">
        <v>2.2000000000000001E-3</v>
      </c>
      <c r="K4369" s="2" t="s">
        <v>10085</v>
      </c>
    </row>
    <row r="4370" spans="1:11" x14ac:dyDescent="0.2">
      <c r="A4370" s="2">
        <v>1093</v>
      </c>
      <c r="B4370" s="2">
        <v>6</v>
      </c>
      <c r="C4370" s="2">
        <v>169667887</v>
      </c>
      <c r="D4370" s="2">
        <v>171053405</v>
      </c>
      <c r="E4370" s="2">
        <v>4</v>
      </c>
      <c r="F4370" s="2" t="s">
        <v>10086</v>
      </c>
      <c r="H4370" s="2">
        <v>1.6999999999999999E-3</v>
      </c>
      <c r="K4370" s="2" t="s">
        <v>12324</v>
      </c>
    </row>
    <row r="4371" spans="1:11" x14ac:dyDescent="0.2">
      <c r="A4371" s="2">
        <v>1094</v>
      </c>
      <c r="B4371" s="2">
        <v>7</v>
      </c>
      <c r="C4371" s="2">
        <v>15064</v>
      </c>
      <c r="D4371" s="2">
        <v>617319</v>
      </c>
      <c r="E4371" s="2">
        <v>1</v>
      </c>
      <c r="F4371" s="2" t="s">
        <v>10086</v>
      </c>
      <c r="H4371" s="2">
        <v>1.2999999999999999E-3</v>
      </c>
      <c r="K4371" s="2" t="s">
        <v>10089</v>
      </c>
    </row>
    <row r="4372" spans="1:11" x14ac:dyDescent="0.2">
      <c r="A4372" s="2">
        <v>1094</v>
      </c>
      <c r="B4372" s="2">
        <v>7</v>
      </c>
      <c r="C4372" s="2">
        <v>15064</v>
      </c>
      <c r="D4372" s="2">
        <v>617319</v>
      </c>
      <c r="E4372" s="2">
        <v>2</v>
      </c>
      <c r="F4372" s="2" t="s">
        <v>10086</v>
      </c>
      <c r="H4372" s="2">
        <v>1.1999999999999999E-3</v>
      </c>
      <c r="K4372" s="2" t="s">
        <v>12324</v>
      </c>
    </row>
    <row r="4373" spans="1:11" x14ac:dyDescent="0.2">
      <c r="A4373" s="2">
        <v>1094</v>
      </c>
      <c r="B4373" s="2">
        <v>7</v>
      </c>
      <c r="C4373" s="2">
        <v>15064</v>
      </c>
      <c r="D4373" s="2">
        <v>617319</v>
      </c>
      <c r="E4373" s="2">
        <v>3</v>
      </c>
      <c r="F4373" s="2" t="s">
        <v>10086</v>
      </c>
      <c r="H4373" s="2">
        <v>1.1000000000000001E-3</v>
      </c>
      <c r="K4373" s="2" t="s">
        <v>10088</v>
      </c>
    </row>
    <row r="4374" spans="1:11" x14ac:dyDescent="0.2">
      <c r="A4374" s="2">
        <v>1094</v>
      </c>
      <c r="B4374" s="2">
        <v>7</v>
      </c>
      <c r="C4374" s="2">
        <v>15064</v>
      </c>
      <c r="D4374" s="2">
        <v>617319</v>
      </c>
      <c r="E4374" s="2">
        <v>4</v>
      </c>
      <c r="F4374" s="2" t="s">
        <v>10086</v>
      </c>
      <c r="H4374" s="3">
        <v>5.9999999999999995E-4</v>
      </c>
      <c r="K4374" s="2" t="s">
        <v>10087</v>
      </c>
    </row>
    <row r="4375" spans="1:11" x14ac:dyDescent="0.2">
      <c r="A4375" s="2">
        <v>1095</v>
      </c>
      <c r="B4375" s="2">
        <v>7</v>
      </c>
      <c r="C4375" s="2">
        <v>617320</v>
      </c>
      <c r="D4375" s="2">
        <v>1366972</v>
      </c>
      <c r="E4375" s="2">
        <v>1</v>
      </c>
      <c r="F4375" s="2" t="s">
        <v>10086</v>
      </c>
      <c r="H4375" s="2">
        <v>6.3E-3</v>
      </c>
      <c r="K4375" s="2" t="s">
        <v>10087</v>
      </c>
    </row>
    <row r="4376" spans="1:11" x14ac:dyDescent="0.2">
      <c r="A4376" s="2">
        <v>1095</v>
      </c>
      <c r="B4376" s="2">
        <v>7</v>
      </c>
      <c r="C4376" s="2">
        <v>617320</v>
      </c>
      <c r="D4376" s="2">
        <v>1366972</v>
      </c>
      <c r="E4376" s="2">
        <v>2</v>
      </c>
      <c r="F4376" s="2" t="s">
        <v>10086</v>
      </c>
      <c r="H4376" s="2">
        <v>2.5000000000000001E-3</v>
      </c>
      <c r="K4376" s="2" t="s">
        <v>10085</v>
      </c>
    </row>
    <row r="4377" spans="1:11" x14ac:dyDescent="0.2">
      <c r="A4377" s="2">
        <v>1095</v>
      </c>
      <c r="B4377" s="2">
        <v>7</v>
      </c>
      <c r="C4377" s="2">
        <v>617320</v>
      </c>
      <c r="D4377" s="2">
        <v>1366972</v>
      </c>
      <c r="E4377" s="2">
        <v>3</v>
      </c>
      <c r="F4377" s="2" t="s">
        <v>10086</v>
      </c>
      <c r="H4377" s="2">
        <v>1.8E-3</v>
      </c>
      <c r="K4377" s="2" t="s">
        <v>10088</v>
      </c>
    </row>
    <row r="4378" spans="1:11" x14ac:dyDescent="0.2">
      <c r="A4378" s="2">
        <v>1095</v>
      </c>
      <c r="B4378" s="2">
        <v>7</v>
      </c>
      <c r="C4378" s="2">
        <v>617320</v>
      </c>
      <c r="D4378" s="2">
        <v>1366972</v>
      </c>
      <c r="E4378" s="2">
        <v>4</v>
      </c>
      <c r="F4378" s="2" t="s">
        <v>10086</v>
      </c>
      <c r="H4378" s="3">
        <v>4.0000000000000002E-4</v>
      </c>
      <c r="K4378" s="2" t="s">
        <v>10089</v>
      </c>
    </row>
    <row r="4379" spans="1:11" x14ac:dyDescent="0.2">
      <c r="A4379" s="2">
        <v>1096</v>
      </c>
      <c r="B4379" s="2">
        <v>7</v>
      </c>
      <c r="C4379" s="2">
        <v>1366973</v>
      </c>
      <c r="D4379" s="2">
        <v>2473749</v>
      </c>
      <c r="E4379" s="2">
        <v>1</v>
      </c>
      <c r="F4379" s="2" t="s">
        <v>10086</v>
      </c>
      <c r="H4379" s="2">
        <v>5.1200000000000002E-2</v>
      </c>
      <c r="K4379" s="2" t="s">
        <v>10088</v>
      </c>
    </row>
    <row r="4380" spans="1:11" x14ac:dyDescent="0.2">
      <c r="A4380" s="2">
        <v>1096</v>
      </c>
      <c r="B4380" s="2">
        <v>7</v>
      </c>
      <c r="C4380" s="2">
        <v>1366973</v>
      </c>
      <c r="D4380" s="2">
        <v>2473749</v>
      </c>
      <c r="E4380" s="2">
        <v>2</v>
      </c>
      <c r="F4380" s="2" t="s">
        <v>10086</v>
      </c>
      <c r="H4380" s="2">
        <v>3.0000000000000001E-3</v>
      </c>
      <c r="K4380" s="2" t="s">
        <v>10089</v>
      </c>
    </row>
    <row r="4381" spans="1:11" x14ac:dyDescent="0.2">
      <c r="A4381" s="2">
        <v>1096</v>
      </c>
      <c r="B4381" s="2">
        <v>7</v>
      </c>
      <c r="C4381" s="2">
        <v>1366973</v>
      </c>
      <c r="D4381" s="2">
        <v>2473749</v>
      </c>
      <c r="E4381" s="2">
        <v>3</v>
      </c>
      <c r="F4381" s="2" t="s">
        <v>10086</v>
      </c>
      <c r="H4381" s="2">
        <v>2E-3</v>
      </c>
      <c r="K4381" s="2" t="s">
        <v>10087</v>
      </c>
    </row>
    <row r="4382" spans="1:11" x14ac:dyDescent="0.2">
      <c r="A4382" s="2">
        <v>1096</v>
      </c>
      <c r="B4382" s="2">
        <v>7</v>
      </c>
      <c r="C4382" s="2">
        <v>1366973</v>
      </c>
      <c r="D4382" s="2">
        <v>2473749</v>
      </c>
      <c r="E4382" s="2">
        <v>4</v>
      </c>
      <c r="F4382" s="2" t="s">
        <v>10086</v>
      </c>
      <c r="H4382" s="2">
        <v>1.8E-3</v>
      </c>
      <c r="K4382" s="2" t="s">
        <v>12324</v>
      </c>
    </row>
    <row r="4383" spans="1:11" x14ac:dyDescent="0.2">
      <c r="A4383" s="2">
        <v>1097</v>
      </c>
      <c r="B4383" s="2">
        <v>7</v>
      </c>
      <c r="C4383" s="2">
        <v>2473750</v>
      </c>
      <c r="D4383" s="2">
        <v>3100211</v>
      </c>
      <c r="E4383" s="2">
        <v>1</v>
      </c>
      <c r="F4383" s="2" t="s">
        <v>10086</v>
      </c>
      <c r="H4383" s="2">
        <v>3.0000000000000001E-3</v>
      </c>
      <c r="K4383" s="2" t="s">
        <v>10085</v>
      </c>
    </row>
    <row r="4384" spans="1:11" x14ac:dyDescent="0.2">
      <c r="A4384" s="2">
        <v>1097</v>
      </c>
      <c r="B4384" s="2">
        <v>7</v>
      </c>
      <c r="C4384" s="2">
        <v>2473750</v>
      </c>
      <c r="D4384" s="2">
        <v>3100211</v>
      </c>
      <c r="E4384" s="2">
        <v>2</v>
      </c>
      <c r="F4384" s="2" t="s">
        <v>10086</v>
      </c>
      <c r="H4384" s="2">
        <v>1.5E-3</v>
      </c>
      <c r="K4384" s="2" t="s">
        <v>10089</v>
      </c>
    </row>
    <row r="4385" spans="1:11" x14ac:dyDescent="0.2">
      <c r="A4385" s="2">
        <v>1097</v>
      </c>
      <c r="B4385" s="2">
        <v>7</v>
      </c>
      <c r="C4385" s="2">
        <v>2473750</v>
      </c>
      <c r="D4385" s="2">
        <v>3100211</v>
      </c>
      <c r="E4385" s="2">
        <v>3</v>
      </c>
      <c r="F4385" s="2" t="s">
        <v>10086</v>
      </c>
      <c r="H4385" s="2">
        <v>1E-3</v>
      </c>
      <c r="K4385" s="2" t="s">
        <v>10087</v>
      </c>
    </row>
    <row r="4386" spans="1:11" x14ac:dyDescent="0.2">
      <c r="A4386" s="2">
        <v>1097</v>
      </c>
      <c r="B4386" s="2">
        <v>7</v>
      </c>
      <c r="C4386" s="2">
        <v>2473750</v>
      </c>
      <c r="D4386" s="2">
        <v>3100211</v>
      </c>
      <c r="E4386" s="2">
        <v>4</v>
      </c>
      <c r="F4386" s="2" t="s">
        <v>10086</v>
      </c>
      <c r="H4386" s="3">
        <v>4.0000000000000002E-4</v>
      </c>
      <c r="K4386" s="2" t="s">
        <v>10088</v>
      </c>
    </row>
    <row r="4387" spans="1:11" x14ac:dyDescent="0.2">
      <c r="A4387" s="2">
        <v>1098</v>
      </c>
      <c r="B4387" s="2">
        <v>7</v>
      </c>
      <c r="C4387" s="2">
        <v>3100212</v>
      </c>
      <c r="D4387" s="2">
        <v>4139431</v>
      </c>
      <c r="E4387" s="2">
        <v>1</v>
      </c>
      <c r="F4387" s="2" t="s">
        <v>10086</v>
      </c>
      <c r="H4387" s="2">
        <v>1.2999999999999999E-3</v>
      </c>
      <c r="K4387" s="2" t="s">
        <v>10089</v>
      </c>
    </row>
    <row r="4388" spans="1:11" x14ac:dyDescent="0.2">
      <c r="A4388" s="2">
        <v>1098</v>
      </c>
      <c r="B4388" s="2">
        <v>7</v>
      </c>
      <c r="C4388" s="2">
        <v>3100212</v>
      </c>
      <c r="D4388" s="2">
        <v>4139431</v>
      </c>
      <c r="E4388" s="2">
        <v>2</v>
      </c>
      <c r="F4388" s="2" t="s">
        <v>10086</v>
      </c>
      <c r="H4388" s="2">
        <v>1.4E-3</v>
      </c>
      <c r="K4388" s="2" t="s">
        <v>10085</v>
      </c>
    </row>
    <row r="4389" spans="1:11" x14ac:dyDescent="0.2">
      <c r="A4389" s="2">
        <v>1098</v>
      </c>
      <c r="B4389" s="2">
        <v>7</v>
      </c>
      <c r="C4389" s="2">
        <v>3100212</v>
      </c>
      <c r="D4389" s="2">
        <v>4139431</v>
      </c>
      <c r="E4389" s="2">
        <v>3</v>
      </c>
      <c r="F4389" s="2" t="s">
        <v>10086</v>
      </c>
      <c r="H4389" s="2">
        <v>1.5E-3</v>
      </c>
      <c r="K4389" s="2" t="s">
        <v>10087</v>
      </c>
    </row>
    <row r="4390" spans="1:11" x14ac:dyDescent="0.2">
      <c r="A4390" s="2">
        <v>1098</v>
      </c>
      <c r="B4390" s="2">
        <v>7</v>
      </c>
      <c r="C4390" s="2">
        <v>3100212</v>
      </c>
      <c r="D4390" s="2">
        <v>4139431</v>
      </c>
      <c r="E4390" s="2">
        <v>4</v>
      </c>
      <c r="F4390" s="2" t="s">
        <v>10086</v>
      </c>
      <c r="H4390" s="3">
        <v>5.0000000000000001E-4</v>
      </c>
      <c r="K4390" s="2" t="s">
        <v>10088</v>
      </c>
    </row>
    <row r="4391" spans="1:11" x14ac:dyDescent="0.2">
      <c r="A4391" s="2">
        <v>1099</v>
      </c>
      <c r="B4391" s="2">
        <v>7</v>
      </c>
      <c r="C4391" s="2">
        <v>4139432</v>
      </c>
      <c r="D4391" s="2">
        <v>4938442</v>
      </c>
      <c r="E4391" s="2">
        <v>1</v>
      </c>
      <c r="F4391" s="2" t="s">
        <v>10086</v>
      </c>
      <c r="H4391" s="2">
        <v>5.5999999999999999E-3</v>
      </c>
      <c r="K4391" s="2" t="s">
        <v>10085</v>
      </c>
    </row>
    <row r="4392" spans="1:11" x14ac:dyDescent="0.2">
      <c r="A4392" s="2">
        <v>1099</v>
      </c>
      <c r="B4392" s="2">
        <v>7</v>
      </c>
      <c r="C4392" s="2">
        <v>4139432</v>
      </c>
      <c r="D4392" s="2">
        <v>4938442</v>
      </c>
      <c r="E4392" s="2">
        <v>2</v>
      </c>
      <c r="F4392" s="2" t="s">
        <v>10086</v>
      </c>
      <c r="H4392" s="2">
        <v>1.4E-3</v>
      </c>
      <c r="K4392" s="2" t="s">
        <v>10089</v>
      </c>
    </row>
    <row r="4393" spans="1:11" x14ac:dyDescent="0.2">
      <c r="A4393" s="2">
        <v>1099</v>
      </c>
      <c r="B4393" s="2">
        <v>7</v>
      </c>
      <c r="C4393" s="2">
        <v>4139432</v>
      </c>
      <c r="D4393" s="2">
        <v>4938442</v>
      </c>
      <c r="E4393" s="2">
        <v>3</v>
      </c>
      <c r="F4393" s="2" t="s">
        <v>10086</v>
      </c>
      <c r="H4393" s="2">
        <v>1E-3</v>
      </c>
      <c r="K4393" s="2" t="s">
        <v>10088</v>
      </c>
    </row>
    <row r="4394" spans="1:11" x14ac:dyDescent="0.2">
      <c r="A4394" s="2">
        <v>1099</v>
      </c>
      <c r="B4394" s="2">
        <v>7</v>
      </c>
      <c r="C4394" s="2">
        <v>4139432</v>
      </c>
      <c r="D4394" s="2">
        <v>4938442</v>
      </c>
      <c r="E4394" s="2">
        <v>4</v>
      </c>
      <c r="F4394" s="2" t="s">
        <v>10086</v>
      </c>
      <c r="H4394" s="3">
        <v>4.0000000000000002E-4</v>
      </c>
      <c r="K4394" s="2" t="s">
        <v>10087</v>
      </c>
    </row>
    <row r="4395" spans="1:11" x14ac:dyDescent="0.2">
      <c r="A4395" s="2">
        <v>1100</v>
      </c>
      <c r="B4395" s="2">
        <v>7</v>
      </c>
      <c r="C4395" s="2">
        <v>4938443</v>
      </c>
      <c r="D4395" s="2">
        <v>6020653</v>
      </c>
      <c r="E4395" s="2">
        <v>1</v>
      </c>
      <c r="F4395" s="2" t="s">
        <v>10086</v>
      </c>
      <c r="H4395" s="2">
        <v>3.2000000000000002E-3</v>
      </c>
      <c r="K4395" s="2" t="s">
        <v>10089</v>
      </c>
    </row>
    <row r="4396" spans="1:11" x14ac:dyDescent="0.2">
      <c r="A4396" s="2">
        <v>1100</v>
      </c>
      <c r="B4396" s="2">
        <v>7</v>
      </c>
      <c r="C4396" s="2">
        <v>4938443</v>
      </c>
      <c r="D4396" s="2">
        <v>6020653</v>
      </c>
      <c r="E4396" s="2">
        <v>2</v>
      </c>
      <c r="F4396" s="2" t="s">
        <v>10086</v>
      </c>
      <c r="H4396" s="2">
        <v>2.2000000000000001E-3</v>
      </c>
      <c r="K4396" s="2" t="s">
        <v>10085</v>
      </c>
    </row>
    <row r="4397" spans="1:11" x14ac:dyDescent="0.2">
      <c r="A4397" s="2">
        <v>1100</v>
      </c>
      <c r="B4397" s="2">
        <v>7</v>
      </c>
      <c r="C4397" s="2">
        <v>4938443</v>
      </c>
      <c r="D4397" s="2">
        <v>6020653</v>
      </c>
      <c r="E4397" s="2">
        <v>3</v>
      </c>
      <c r="F4397" s="2" t="s">
        <v>10086</v>
      </c>
      <c r="H4397" s="2">
        <v>1.2999999999999999E-3</v>
      </c>
      <c r="K4397" s="2" t="s">
        <v>10087</v>
      </c>
    </row>
    <row r="4398" spans="1:11" x14ac:dyDescent="0.2">
      <c r="A4398" s="2">
        <v>1100</v>
      </c>
      <c r="B4398" s="2">
        <v>7</v>
      </c>
      <c r="C4398" s="2">
        <v>4938443</v>
      </c>
      <c r="D4398" s="2">
        <v>6020653</v>
      </c>
      <c r="E4398" s="2">
        <v>4</v>
      </c>
      <c r="F4398" s="2" t="s">
        <v>10086</v>
      </c>
      <c r="H4398" s="3">
        <v>4.0000000000000002E-4</v>
      </c>
      <c r="K4398" s="2" t="s">
        <v>10088</v>
      </c>
    </row>
    <row r="4399" spans="1:11" x14ac:dyDescent="0.2">
      <c r="A4399" s="2">
        <v>1101</v>
      </c>
      <c r="B4399" s="2">
        <v>7</v>
      </c>
      <c r="C4399" s="2">
        <v>6020654</v>
      </c>
      <c r="D4399" s="2">
        <v>6716905</v>
      </c>
      <c r="E4399" s="2">
        <v>1</v>
      </c>
      <c r="F4399" s="2" t="s">
        <v>10086</v>
      </c>
      <c r="H4399" s="2">
        <v>2E-3</v>
      </c>
      <c r="K4399" s="2" t="s">
        <v>10085</v>
      </c>
    </row>
    <row r="4400" spans="1:11" x14ac:dyDescent="0.2">
      <c r="A4400" s="2">
        <v>1101</v>
      </c>
      <c r="B4400" s="2">
        <v>7</v>
      </c>
      <c r="C4400" s="2">
        <v>6020654</v>
      </c>
      <c r="D4400" s="2">
        <v>6716905</v>
      </c>
      <c r="E4400" s="2">
        <v>2</v>
      </c>
      <c r="F4400" s="2" t="s">
        <v>10086</v>
      </c>
      <c r="H4400" s="2">
        <v>2.0999999999999999E-3</v>
      </c>
      <c r="K4400" s="2" t="s">
        <v>10089</v>
      </c>
    </row>
    <row r="4401" spans="1:11" x14ac:dyDescent="0.2">
      <c r="A4401" s="2">
        <v>1101</v>
      </c>
      <c r="B4401" s="2">
        <v>7</v>
      </c>
      <c r="C4401" s="2">
        <v>6020654</v>
      </c>
      <c r="D4401" s="2">
        <v>6716905</v>
      </c>
      <c r="E4401" s="2">
        <v>3</v>
      </c>
      <c r="F4401" s="2" t="s">
        <v>10086</v>
      </c>
      <c r="H4401" s="3">
        <v>6.9999999999999999E-4</v>
      </c>
      <c r="K4401" s="2" t="s">
        <v>10088</v>
      </c>
    </row>
    <row r="4402" spans="1:11" x14ac:dyDescent="0.2">
      <c r="A4402" s="2">
        <v>1101</v>
      </c>
      <c r="B4402" s="2">
        <v>7</v>
      </c>
      <c r="C4402" s="2">
        <v>6020654</v>
      </c>
      <c r="D4402" s="2">
        <v>6716905</v>
      </c>
      <c r="E4402" s="2">
        <v>4</v>
      </c>
      <c r="F4402" s="2" t="s">
        <v>10086</v>
      </c>
      <c r="H4402" s="3">
        <v>4.0000000000000002E-4</v>
      </c>
      <c r="K4402" s="2" t="s">
        <v>10087</v>
      </c>
    </row>
    <row r="4403" spans="1:11" x14ac:dyDescent="0.2">
      <c r="A4403" s="2">
        <v>1102</v>
      </c>
      <c r="B4403" s="2">
        <v>7</v>
      </c>
      <c r="C4403" s="2">
        <v>6716906</v>
      </c>
      <c r="D4403" s="2">
        <v>7167610</v>
      </c>
      <c r="E4403" s="2">
        <v>1</v>
      </c>
      <c r="F4403" s="2" t="s">
        <v>10086</v>
      </c>
      <c r="H4403" s="2">
        <v>1.8E-3</v>
      </c>
      <c r="K4403" s="2" t="s">
        <v>12324</v>
      </c>
    </row>
    <row r="4404" spans="1:11" x14ac:dyDescent="0.2">
      <c r="A4404" s="2">
        <v>1102</v>
      </c>
      <c r="B4404" s="2">
        <v>7</v>
      </c>
      <c r="C4404" s="2">
        <v>6716906</v>
      </c>
      <c r="D4404" s="2">
        <v>7167610</v>
      </c>
      <c r="E4404" s="2">
        <v>2</v>
      </c>
      <c r="F4404" s="2" t="s">
        <v>10086</v>
      </c>
      <c r="H4404" s="2">
        <v>2.3999999999999998E-3</v>
      </c>
      <c r="K4404" s="2" t="s">
        <v>10087</v>
      </c>
    </row>
    <row r="4405" spans="1:11" x14ac:dyDescent="0.2">
      <c r="A4405" s="2">
        <v>1102</v>
      </c>
      <c r="B4405" s="2">
        <v>7</v>
      </c>
      <c r="C4405" s="2">
        <v>6716906</v>
      </c>
      <c r="D4405" s="2">
        <v>7167610</v>
      </c>
      <c r="E4405" s="2">
        <v>3</v>
      </c>
      <c r="F4405" s="2" t="s">
        <v>10086</v>
      </c>
      <c r="H4405" s="2">
        <v>1E-3</v>
      </c>
      <c r="K4405" s="2" t="s">
        <v>10085</v>
      </c>
    </row>
    <row r="4406" spans="1:11" x14ac:dyDescent="0.2">
      <c r="A4406" s="2">
        <v>1102</v>
      </c>
      <c r="B4406" s="2">
        <v>7</v>
      </c>
      <c r="C4406" s="2">
        <v>6716906</v>
      </c>
      <c r="D4406" s="2">
        <v>7167610</v>
      </c>
      <c r="E4406" s="2">
        <v>4</v>
      </c>
      <c r="F4406" s="2" t="s">
        <v>10086</v>
      </c>
      <c r="H4406" s="3">
        <v>6.9999999999999999E-4</v>
      </c>
      <c r="K4406" s="2" t="s">
        <v>10088</v>
      </c>
    </row>
    <row r="4407" spans="1:11" x14ac:dyDescent="0.2">
      <c r="A4407" s="2">
        <v>1103</v>
      </c>
      <c r="B4407" s="2">
        <v>7</v>
      </c>
      <c r="C4407" s="2">
        <v>7167611</v>
      </c>
      <c r="D4407" s="2">
        <v>7926500</v>
      </c>
      <c r="E4407" s="2">
        <v>1</v>
      </c>
      <c r="F4407" s="2" t="s">
        <v>10086</v>
      </c>
      <c r="H4407" s="2">
        <v>6.1999999999999998E-3</v>
      </c>
      <c r="K4407" s="2" t="s">
        <v>10088</v>
      </c>
    </row>
    <row r="4408" spans="1:11" x14ac:dyDescent="0.2">
      <c r="A4408" s="2">
        <v>1103</v>
      </c>
      <c r="B4408" s="2">
        <v>7</v>
      </c>
      <c r="C4408" s="2">
        <v>7167611</v>
      </c>
      <c r="D4408" s="2">
        <v>7926500</v>
      </c>
      <c r="E4408" s="2">
        <v>2</v>
      </c>
      <c r="F4408" s="2" t="s">
        <v>10086</v>
      </c>
      <c r="H4408" s="2">
        <v>1.8E-3</v>
      </c>
      <c r="K4408" s="2" t="s">
        <v>10089</v>
      </c>
    </row>
    <row r="4409" spans="1:11" x14ac:dyDescent="0.2">
      <c r="A4409" s="2">
        <v>1103</v>
      </c>
      <c r="B4409" s="2">
        <v>7</v>
      </c>
      <c r="C4409" s="2">
        <v>7167611</v>
      </c>
      <c r="D4409" s="2">
        <v>7926500</v>
      </c>
      <c r="E4409" s="2">
        <v>3</v>
      </c>
      <c r="F4409" s="2" t="s">
        <v>10086</v>
      </c>
      <c r="H4409" s="3">
        <v>8.9999999999999998E-4</v>
      </c>
      <c r="K4409" s="2" t="s">
        <v>10087</v>
      </c>
    </row>
    <row r="4410" spans="1:11" x14ac:dyDescent="0.2">
      <c r="A4410" s="2">
        <v>1103</v>
      </c>
      <c r="B4410" s="2">
        <v>7</v>
      </c>
      <c r="C4410" s="2">
        <v>7167611</v>
      </c>
      <c r="D4410" s="2">
        <v>7926500</v>
      </c>
      <c r="E4410" s="2">
        <v>4</v>
      </c>
      <c r="F4410" s="2" t="s">
        <v>10086</v>
      </c>
      <c r="H4410" s="3">
        <v>5.9999999999999995E-4</v>
      </c>
      <c r="K4410" s="2" t="s">
        <v>10085</v>
      </c>
    </row>
    <row r="4411" spans="1:11" x14ac:dyDescent="0.2">
      <c r="A4411" s="2">
        <v>1104</v>
      </c>
      <c r="B4411" s="2">
        <v>7</v>
      </c>
      <c r="C4411" s="2">
        <v>7926501</v>
      </c>
      <c r="D4411" s="2">
        <v>8718351</v>
      </c>
      <c r="E4411" s="2">
        <v>1</v>
      </c>
      <c r="F4411" s="2" t="s">
        <v>10086</v>
      </c>
      <c r="H4411" s="2">
        <v>8.6999999999999994E-3</v>
      </c>
      <c r="K4411" s="2" t="s">
        <v>10089</v>
      </c>
    </row>
    <row r="4412" spans="1:11" x14ac:dyDescent="0.2">
      <c r="A4412" s="2">
        <v>1104</v>
      </c>
      <c r="B4412" s="2">
        <v>7</v>
      </c>
      <c r="C4412" s="2">
        <v>7926501</v>
      </c>
      <c r="D4412" s="2">
        <v>8718351</v>
      </c>
      <c r="E4412" s="2">
        <v>2</v>
      </c>
      <c r="F4412" s="2" t="s">
        <v>10086</v>
      </c>
      <c r="H4412" s="2">
        <v>3.0000000000000001E-3</v>
      </c>
      <c r="K4412" s="2" t="s">
        <v>10087</v>
      </c>
    </row>
    <row r="4413" spans="1:11" x14ac:dyDescent="0.2">
      <c r="A4413" s="2">
        <v>1104</v>
      </c>
      <c r="B4413" s="2">
        <v>7</v>
      </c>
      <c r="C4413" s="2">
        <v>7926501</v>
      </c>
      <c r="D4413" s="2">
        <v>8718351</v>
      </c>
      <c r="E4413" s="2">
        <v>3</v>
      </c>
      <c r="F4413" s="2" t="s">
        <v>10086</v>
      </c>
      <c r="H4413" s="2">
        <v>1.1999999999999999E-3</v>
      </c>
      <c r="K4413" s="2" t="s">
        <v>10088</v>
      </c>
    </row>
    <row r="4414" spans="1:11" x14ac:dyDescent="0.2">
      <c r="A4414" s="2">
        <v>1104</v>
      </c>
      <c r="B4414" s="2">
        <v>7</v>
      </c>
      <c r="C4414" s="2">
        <v>7926501</v>
      </c>
      <c r="D4414" s="2">
        <v>8718351</v>
      </c>
      <c r="E4414" s="2">
        <v>4</v>
      </c>
      <c r="F4414" s="2" t="s">
        <v>10086</v>
      </c>
      <c r="H4414" s="3">
        <v>5.9999999999999995E-4</v>
      </c>
      <c r="K4414" s="2" t="s">
        <v>10085</v>
      </c>
    </row>
    <row r="4415" spans="1:11" x14ac:dyDescent="0.2">
      <c r="A4415" s="2">
        <v>1105</v>
      </c>
      <c r="B4415" s="2">
        <v>7</v>
      </c>
      <c r="C4415" s="2">
        <v>8718352</v>
      </c>
      <c r="D4415" s="2">
        <v>9225106</v>
      </c>
      <c r="E4415" s="2">
        <v>1</v>
      </c>
      <c r="F4415" s="2" t="s">
        <v>10086</v>
      </c>
      <c r="H4415" s="2">
        <v>1.2999999999999999E-3</v>
      </c>
      <c r="K4415" s="2" t="s">
        <v>10089</v>
      </c>
    </row>
    <row r="4416" spans="1:11" x14ac:dyDescent="0.2">
      <c r="A4416" s="2">
        <v>1105</v>
      </c>
      <c r="B4416" s="2">
        <v>7</v>
      </c>
      <c r="C4416" s="2">
        <v>8718352</v>
      </c>
      <c r="D4416" s="2">
        <v>9225106</v>
      </c>
      <c r="E4416" s="2">
        <v>2</v>
      </c>
      <c r="F4416" s="2" t="s">
        <v>10086</v>
      </c>
      <c r="H4416" s="2">
        <v>1.1999999999999999E-3</v>
      </c>
      <c r="K4416" s="2" t="s">
        <v>10085</v>
      </c>
    </row>
    <row r="4417" spans="1:11" x14ac:dyDescent="0.2">
      <c r="A4417" s="2">
        <v>1105</v>
      </c>
      <c r="B4417" s="2">
        <v>7</v>
      </c>
      <c r="C4417" s="2">
        <v>8718352</v>
      </c>
      <c r="D4417" s="2">
        <v>9225106</v>
      </c>
      <c r="E4417" s="2">
        <v>3</v>
      </c>
      <c r="F4417" s="2" t="s">
        <v>10086</v>
      </c>
      <c r="H4417" s="3">
        <v>6.9999999999999999E-4</v>
      </c>
      <c r="K4417" s="2" t="s">
        <v>10087</v>
      </c>
    </row>
    <row r="4418" spans="1:11" x14ac:dyDescent="0.2">
      <c r="A4418" s="2">
        <v>1105</v>
      </c>
      <c r="B4418" s="2">
        <v>7</v>
      </c>
      <c r="C4418" s="2">
        <v>8718352</v>
      </c>
      <c r="D4418" s="2">
        <v>9225106</v>
      </c>
      <c r="E4418" s="2">
        <v>4</v>
      </c>
      <c r="F4418" s="2" t="s">
        <v>10086</v>
      </c>
      <c r="H4418" s="3">
        <v>5.0000000000000001E-4</v>
      </c>
      <c r="K4418" s="2" t="s">
        <v>10088</v>
      </c>
    </row>
    <row r="4419" spans="1:11" x14ac:dyDescent="0.2">
      <c r="A4419" s="2">
        <v>1106</v>
      </c>
      <c r="B4419" s="2">
        <v>7</v>
      </c>
      <c r="C4419" s="2">
        <v>9225107</v>
      </c>
      <c r="D4419" s="2">
        <v>9900801</v>
      </c>
      <c r="E4419" s="2">
        <v>1</v>
      </c>
      <c r="F4419" s="2" t="s">
        <v>10086</v>
      </c>
      <c r="H4419" s="2">
        <v>1E-3</v>
      </c>
      <c r="K4419" s="2" t="s">
        <v>10089</v>
      </c>
    </row>
    <row r="4420" spans="1:11" x14ac:dyDescent="0.2">
      <c r="A4420" s="2">
        <v>1106</v>
      </c>
      <c r="B4420" s="2">
        <v>7</v>
      </c>
      <c r="C4420" s="2">
        <v>9225107</v>
      </c>
      <c r="D4420" s="2">
        <v>9900801</v>
      </c>
      <c r="E4420" s="2">
        <v>2</v>
      </c>
      <c r="F4420" s="2" t="s">
        <v>10086</v>
      </c>
      <c r="H4420" s="3">
        <v>6.9999999999999999E-4</v>
      </c>
      <c r="K4420" s="2" t="s">
        <v>10087</v>
      </c>
    </row>
    <row r="4421" spans="1:11" x14ac:dyDescent="0.2">
      <c r="A4421" s="2">
        <v>1106</v>
      </c>
      <c r="B4421" s="2">
        <v>7</v>
      </c>
      <c r="C4421" s="2">
        <v>9225107</v>
      </c>
      <c r="D4421" s="2">
        <v>9900801</v>
      </c>
      <c r="E4421" s="2">
        <v>3</v>
      </c>
      <c r="F4421" s="2" t="s">
        <v>10086</v>
      </c>
      <c r="H4421" s="3">
        <v>8.0000000000000004E-4</v>
      </c>
      <c r="K4421" s="2" t="s">
        <v>10085</v>
      </c>
    </row>
    <row r="4422" spans="1:11" x14ac:dyDescent="0.2">
      <c r="A4422" s="2">
        <v>1106</v>
      </c>
      <c r="B4422" s="2">
        <v>7</v>
      </c>
      <c r="C4422" s="2">
        <v>9225107</v>
      </c>
      <c r="D4422" s="2">
        <v>9900801</v>
      </c>
      <c r="E4422" s="2">
        <v>4</v>
      </c>
      <c r="F4422" s="2" t="s">
        <v>10086</v>
      </c>
      <c r="H4422" s="3">
        <v>5.0000000000000001E-4</v>
      </c>
      <c r="K4422" s="2" t="s">
        <v>10088</v>
      </c>
    </row>
    <row r="4423" spans="1:11" x14ac:dyDescent="0.2">
      <c r="A4423" s="2">
        <v>1107</v>
      </c>
      <c r="B4423" s="2">
        <v>7</v>
      </c>
      <c r="C4423" s="2">
        <v>9900802</v>
      </c>
      <c r="D4423" s="2">
        <v>10481677</v>
      </c>
      <c r="E4423" s="2">
        <v>1</v>
      </c>
      <c r="F4423" s="2" t="s">
        <v>10086</v>
      </c>
      <c r="H4423" s="2">
        <v>2.3E-3</v>
      </c>
      <c r="K4423" s="2" t="s">
        <v>10089</v>
      </c>
    </row>
    <row r="4424" spans="1:11" x14ac:dyDescent="0.2">
      <c r="A4424" s="2">
        <v>1107</v>
      </c>
      <c r="B4424" s="2">
        <v>7</v>
      </c>
      <c r="C4424" s="2">
        <v>9900802</v>
      </c>
      <c r="D4424" s="2">
        <v>10481677</v>
      </c>
      <c r="E4424" s="2">
        <v>2</v>
      </c>
      <c r="F4424" s="2" t="s">
        <v>10086</v>
      </c>
      <c r="H4424" s="2">
        <v>2.0999999999999999E-3</v>
      </c>
      <c r="K4424" s="2" t="s">
        <v>10087</v>
      </c>
    </row>
    <row r="4425" spans="1:11" x14ac:dyDescent="0.2">
      <c r="A4425" s="2">
        <v>1107</v>
      </c>
      <c r="B4425" s="2">
        <v>7</v>
      </c>
      <c r="C4425" s="2">
        <v>9900802</v>
      </c>
      <c r="D4425" s="2">
        <v>10481677</v>
      </c>
      <c r="E4425" s="2">
        <v>3</v>
      </c>
      <c r="F4425" s="2" t="s">
        <v>10086</v>
      </c>
      <c r="H4425" s="3">
        <v>6.9999999999999999E-4</v>
      </c>
      <c r="K4425" s="2" t="s">
        <v>10088</v>
      </c>
    </row>
    <row r="4426" spans="1:11" x14ac:dyDescent="0.2">
      <c r="A4426" s="2">
        <v>1107</v>
      </c>
      <c r="B4426" s="2">
        <v>7</v>
      </c>
      <c r="C4426" s="2">
        <v>9900802</v>
      </c>
      <c r="D4426" s="2">
        <v>10481677</v>
      </c>
      <c r="E4426" s="2">
        <v>4</v>
      </c>
      <c r="F4426" s="2" t="s">
        <v>10086</v>
      </c>
      <c r="H4426" s="3">
        <v>5.9999999999999995E-4</v>
      </c>
      <c r="K4426" s="2" t="s">
        <v>10085</v>
      </c>
    </row>
    <row r="4427" spans="1:11" x14ac:dyDescent="0.2">
      <c r="A4427" s="2">
        <v>1108</v>
      </c>
      <c r="B4427" s="2">
        <v>7</v>
      </c>
      <c r="C4427" s="2">
        <v>10481678</v>
      </c>
      <c r="D4427" s="2">
        <v>11232447</v>
      </c>
      <c r="E4427" s="2">
        <v>1</v>
      </c>
      <c r="F4427" s="2" t="s">
        <v>10086</v>
      </c>
      <c r="H4427" s="2">
        <v>2.0999999999999999E-3</v>
      </c>
      <c r="K4427" s="2" t="s">
        <v>10087</v>
      </c>
    </row>
    <row r="4428" spans="1:11" x14ac:dyDescent="0.2">
      <c r="A4428" s="2">
        <v>1108</v>
      </c>
      <c r="B4428" s="2">
        <v>7</v>
      </c>
      <c r="C4428" s="2">
        <v>10481678</v>
      </c>
      <c r="D4428" s="2">
        <v>11232447</v>
      </c>
      <c r="E4428" s="2">
        <v>2</v>
      </c>
      <c r="F4428" s="2" t="s">
        <v>10086</v>
      </c>
      <c r="H4428" s="2">
        <v>3.0999999999999999E-3</v>
      </c>
      <c r="K4428" s="2" t="s">
        <v>10088</v>
      </c>
    </row>
    <row r="4429" spans="1:11" x14ac:dyDescent="0.2">
      <c r="A4429" s="2">
        <v>1108</v>
      </c>
      <c r="B4429" s="2">
        <v>7</v>
      </c>
      <c r="C4429" s="2">
        <v>10481678</v>
      </c>
      <c r="D4429" s="2">
        <v>11232447</v>
      </c>
      <c r="E4429" s="2">
        <v>3</v>
      </c>
      <c r="F4429" s="2" t="s">
        <v>10086</v>
      </c>
      <c r="H4429" s="2">
        <v>1E-3</v>
      </c>
      <c r="K4429" s="2" t="s">
        <v>10089</v>
      </c>
    </row>
    <row r="4430" spans="1:11" x14ac:dyDescent="0.2">
      <c r="A4430" s="2">
        <v>1108</v>
      </c>
      <c r="B4430" s="2">
        <v>7</v>
      </c>
      <c r="C4430" s="2">
        <v>10481678</v>
      </c>
      <c r="D4430" s="2">
        <v>11232447</v>
      </c>
      <c r="E4430" s="2">
        <v>4</v>
      </c>
      <c r="F4430" s="2" t="s">
        <v>10086</v>
      </c>
      <c r="H4430" s="3">
        <v>4.0000000000000002E-4</v>
      </c>
      <c r="K4430" s="2" t="s">
        <v>10085</v>
      </c>
    </row>
    <row r="4431" spans="1:11" x14ac:dyDescent="0.2">
      <c r="A4431" s="2">
        <v>1109</v>
      </c>
      <c r="B4431" s="2">
        <v>7</v>
      </c>
      <c r="C4431" s="2">
        <v>11232448</v>
      </c>
      <c r="D4431" s="2">
        <v>11855413</v>
      </c>
      <c r="E4431" s="2">
        <v>1</v>
      </c>
      <c r="F4431" s="2" t="s">
        <v>10086</v>
      </c>
      <c r="H4431" s="2">
        <v>1.4E-3</v>
      </c>
      <c r="K4431" s="2" t="s">
        <v>10089</v>
      </c>
    </row>
    <row r="4432" spans="1:11" x14ac:dyDescent="0.2">
      <c r="A4432" s="2">
        <v>1109</v>
      </c>
      <c r="B4432" s="2">
        <v>7</v>
      </c>
      <c r="C4432" s="2">
        <v>11232448</v>
      </c>
      <c r="D4432" s="2">
        <v>11855413</v>
      </c>
      <c r="E4432" s="2">
        <v>2</v>
      </c>
      <c r="F4432" s="2" t="s">
        <v>10086</v>
      </c>
      <c r="H4432" s="2">
        <v>1.1000000000000001E-3</v>
      </c>
      <c r="K4432" s="2" t="s">
        <v>12324</v>
      </c>
    </row>
    <row r="4433" spans="1:11" x14ac:dyDescent="0.2">
      <c r="A4433" s="2">
        <v>1109</v>
      </c>
      <c r="B4433" s="2">
        <v>7</v>
      </c>
      <c r="C4433" s="2">
        <v>11232448</v>
      </c>
      <c r="D4433" s="2">
        <v>11855413</v>
      </c>
      <c r="E4433" s="2">
        <v>3</v>
      </c>
      <c r="F4433" s="2" t="s">
        <v>10086</v>
      </c>
      <c r="H4433" s="2">
        <v>1.4E-3</v>
      </c>
      <c r="K4433" s="2" t="s">
        <v>10087</v>
      </c>
    </row>
    <row r="4434" spans="1:11" x14ac:dyDescent="0.2">
      <c r="A4434" s="2">
        <v>1109</v>
      </c>
      <c r="B4434" s="2">
        <v>7</v>
      </c>
      <c r="C4434" s="2">
        <v>11232448</v>
      </c>
      <c r="D4434" s="2">
        <v>11855413</v>
      </c>
      <c r="E4434" s="2">
        <v>4</v>
      </c>
      <c r="F4434" s="2" t="s">
        <v>10086</v>
      </c>
      <c r="H4434" s="3">
        <v>8.9999999999999998E-4</v>
      </c>
      <c r="K4434" s="2" t="s">
        <v>10085</v>
      </c>
    </row>
    <row r="4435" spans="1:11" x14ac:dyDescent="0.2">
      <c r="A4435" s="2">
        <v>1110</v>
      </c>
      <c r="B4435" s="2">
        <v>7</v>
      </c>
      <c r="C4435" s="2">
        <v>11855414</v>
      </c>
      <c r="D4435" s="2">
        <v>12694915</v>
      </c>
      <c r="E4435" s="2">
        <v>1</v>
      </c>
      <c r="F4435" s="2" t="s">
        <v>10086</v>
      </c>
      <c r="H4435" s="2">
        <v>2.5000000000000001E-3</v>
      </c>
      <c r="K4435" s="2" t="s">
        <v>10087</v>
      </c>
    </row>
    <row r="4436" spans="1:11" x14ac:dyDescent="0.2">
      <c r="A4436" s="2">
        <v>1110</v>
      </c>
      <c r="B4436" s="2">
        <v>7</v>
      </c>
      <c r="C4436" s="2">
        <v>11855414</v>
      </c>
      <c r="D4436" s="2">
        <v>12694915</v>
      </c>
      <c r="E4436" s="2">
        <v>2</v>
      </c>
      <c r="F4436" s="2" t="s">
        <v>10086</v>
      </c>
      <c r="H4436" s="2">
        <v>1E-3</v>
      </c>
      <c r="K4436" s="2" t="s">
        <v>10085</v>
      </c>
    </row>
    <row r="4437" spans="1:11" x14ac:dyDescent="0.2">
      <c r="A4437" s="2">
        <v>1110</v>
      </c>
      <c r="B4437" s="2">
        <v>7</v>
      </c>
      <c r="C4437" s="2">
        <v>11855414</v>
      </c>
      <c r="D4437" s="2">
        <v>12694915</v>
      </c>
      <c r="E4437" s="2">
        <v>3</v>
      </c>
      <c r="F4437" s="2" t="s">
        <v>10086</v>
      </c>
      <c r="H4437" s="3">
        <v>8.0000000000000004E-4</v>
      </c>
      <c r="K4437" s="2" t="s">
        <v>10089</v>
      </c>
    </row>
    <row r="4438" spans="1:11" x14ac:dyDescent="0.2">
      <c r="A4438" s="2">
        <v>1110</v>
      </c>
      <c r="B4438" s="2">
        <v>7</v>
      </c>
      <c r="C4438" s="2">
        <v>11855414</v>
      </c>
      <c r="D4438" s="2">
        <v>12694915</v>
      </c>
      <c r="E4438" s="2">
        <v>4</v>
      </c>
      <c r="F4438" s="2" t="s">
        <v>10086</v>
      </c>
      <c r="H4438" s="3">
        <v>4.0000000000000002E-4</v>
      </c>
      <c r="K4438" s="2" t="s">
        <v>10088</v>
      </c>
    </row>
    <row r="4439" spans="1:11" x14ac:dyDescent="0.2">
      <c r="A4439" s="2">
        <v>1111</v>
      </c>
      <c r="B4439" s="2">
        <v>7</v>
      </c>
      <c r="C4439" s="2">
        <v>12694916</v>
      </c>
      <c r="D4439" s="2">
        <v>13213541</v>
      </c>
      <c r="E4439" s="2">
        <v>1</v>
      </c>
      <c r="F4439" s="2" t="s">
        <v>10086</v>
      </c>
      <c r="H4439" s="2">
        <v>1E-3</v>
      </c>
      <c r="K4439" s="2" t="s">
        <v>12324</v>
      </c>
    </row>
    <row r="4440" spans="1:11" x14ac:dyDescent="0.2">
      <c r="A4440" s="2">
        <v>1111</v>
      </c>
      <c r="B4440" s="2">
        <v>7</v>
      </c>
      <c r="C4440" s="2">
        <v>12694916</v>
      </c>
      <c r="D4440" s="2">
        <v>13213541</v>
      </c>
      <c r="E4440" s="2">
        <v>2</v>
      </c>
      <c r="F4440" s="2" t="s">
        <v>10086</v>
      </c>
      <c r="H4440" s="3">
        <v>8.0000000000000004E-4</v>
      </c>
      <c r="K4440" s="2" t="s">
        <v>10085</v>
      </c>
    </row>
    <row r="4441" spans="1:11" x14ac:dyDescent="0.2">
      <c r="A4441" s="2">
        <v>1111</v>
      </c>
      <c r="B4441" s="2">
        <v>7</v>
      </c>
      <c r="C4441" s="2">
        <v>12694916</v>
      </c>
      <c r="D4441" s="2">
        <v>13213541</v>
      </c>
      <c r="E4441" s="2">
        <v>3</v>
      </c>
      <c r="F4441" s="2" t="s">
        <v>10086</v>
      </c>
      <c r="H4441" s="3">
        <v>8.9999999999999998E-4</v>
      </c>
      <c r="K4441" s="2" t="s">
        <v>10087</v>
      </c>
    </row>
    <row r="4442" spans="1:11" x14ac:dyDescent="0.2">
      <c r="A4442" s="2">
        <v>1111</v>
      </c>
      <c r="B4442" s="2">
        <v>7</v>
      </c>
      <c r="C4442" s="2">
        <v>12694916</v>
      </c>
      <c r="D4442" s="2">
        <v>13213541</v>
      </c>
      <c r="E4442" s="2">
        <v>4</v>
      </c>
      <c r="F4442" s="2" t="s">
        <v>10086</v>
      </c>
      <c r="H4442" s="3">
        <v>6.9999999999999999E-4</v>
      </c>
      <c r="K4442" s="2" t="s">
        <v>10088</v>
      </c>
    </row>
    <row r="4443" spans="1:11" x14ac:dyDescent="0.2">
      <c r="A4443" s="2">
        <v>1112</v>
      </c>
      <c r="B4443" s="2">
        <v>7</v>
      </c>
      <c r="C4443" s="2">
        <v>13213542</v>
      </c>
      <c r="D4443" s="2">
        <v>13676747</v>
      </c>
      <c r="E4443" s="2">
        <v>1</v>
      </c>
      <c r="F4443" s="2" t="s">
        <v>10086</v>
      </c>
      <c r="H4443" s="2">
        <v>2.8E-3</v>
      </c>
      <c r="K4443" s="2" t="s">
        <v>10088</v>
      </c>
    </row>
    <row r="4444" spans="1:11" x14ac:dyDescent="0.2">
      <c r="A4444" s="2">
        <v>1112</v>
      </c>
      <c r="B4444" s="2">
        <v>7</v>
      </c>
      <c r="C4444" s="2">
        <v>13213542</v>
      </c>
      <c r="D4444" s="2">
        <v>13676747</v>
      </c>
      <c r="E4444" s="2">
        <v>2</v>
      </c>
      <c r="F4444" s="2" t="s">
        <v>10086</v>
      </c>
      <c r="H4444" s="2">
        <v>1.6000000000000001E-3</v>
      </c>
      <c r="K4444" s="2" t="s">
        <v>10085</v>
      </c>
    </row>
    <row r="4445" spans="1:11" x14ac:dyDescent="0.2">
      <c r="A4445" s="2">
        <v>1112</v>
      </c>
      <c r="B4445" s="2">
        <v>7</v>
      </c>
      <c r="C4445" s="2">
        <v>13213542</v>
      </c>
      <c r="D4445" s="2">
        <v>13676747</v>
      </c>
      <c r="E4445" s="2">
        <v>3</v>
      </c>
      <c r="F4445" s="2" t="s">
        <v>10086</v>
      </c>
      <c r="H4445" s="3">
        <v>8.0000000000000004E-4</v>
      </c>
      <c r="K4445" s="2" t="s">
        <v>10087</v>
      </c>
    </row>
    <row r="4446" spans="1:11" x14ac:dyDescent="0.2">
      <c r="A4446" s="2">
        <v>1112</v>
      </c>
      <c r="B4446" s="2">
        <v>7</v>
      </c>
      <c r="C4446" s="2">
        <v>13213542</v>
      </c>
      <c r="D4446" s="2">
        <v>13676747</v>
      </c>
      <c r="E4446" s="2">
        <v>4</v>
      </c>
      <c r="F4446" s="2" t="s">
        <v>10086</v>
      </c>
      <c r="H4446" s="3">
        <v>5.0000000000000001E-4</v>
      </c>
      <c r="K4446" s="2" t="s">
        <v>10089</v>
      </c>
    </row>
    <row r="4447" spans="1:11" x14ac:dyDescent="0.2">
      <c r="A4447" s="2">
        <v>1113</v>
      </c>
      <c r="B4447" s="2">
        <v>7</v>
      </c>
      <c r="C4447" s="2">
        <v>13676748</v>
      </c>
      <c r="D4447" s="2">
        <v>15013694</v>
      </c>
      <c r="E4447" s="2">
        <v>1</v>
      </c>
      <c r="F4447" s="2" t="s">
        <v>10086</v>
      </c>
      <c r="H4447" s="2">
        <v>5.4800000000000001E-2</v>
      </c>
      <c r="K4447" s="2" t="s">
        <v>12324</v>
      </c>
    </row>
    <row r="4448" spans="1:11" x14ac:dyDescent="0.2">
      <c r="A4448" s="2">
        <v>1113</v>
      </c>
      <c r="B4448" s="2">
        <v>7</v>
      </c>
      <c r="C4448" s="2">
        <v>13676748</v>
      </c>
      <c r="D4448" s="2">
        <v>15013694</v>
      </c>
      <c r="E4448" s="2">
        <v>2</v>
      </c>
      <c r="F4448" s="2" t="s">
        <v>10086</v>
      </c>
      <c r="H4448" s="2">
        <v>1.6999999999999999E-3</v>
      </c>
      <c r="K4448" s="2" t="s">
        <v>10088</v>
      </c>
    </row>
    <row r="4449" spans="1:11" x14ac:dyDescent="0.2">
      <c r="A4449" s="2">
        <v>1113</v>
      </c>
      <c r="B4449" s="2">
        <v>7</v>
      </c>
      <c r="C4449" s="2">
        <v>13676748</v>
      </c>
      <c r="D4449" s="2">
        <v>15013694</v>
      </c>
      <c r="E4449" s="2">
        <v>3</v>
      </c>
      <c r="F4449" s="2" t="s">
        <v>10086</v>
      </c>
      <c r="H4449" s="2">
        <v>1.2999999999999999E-3</v>
      </c>
      <c r="K4449" s="2" t="s">
        <v>10085</v>
      </c>
    </row>
    <row r="4450" spans="1:11" x14ac:dyDescent="0.2">
      <c r="A4450" s="2">
        <v>1113</v>
      </c>
      <c r="B4450" s="2">
        <v>7</v>
      </c>
      <c r="C4450" s="2">
        <v>13676748</v>
      </c>
      <c r="D4450" s="2">
        <v>15013694</v>
      </c>
      <c r="E4450" s="2">
        <v>4</v>
      </c>
      <c r="F4450" s="2" t="s">
        <v>10086</v>
      </c>
      <c r="H4450" s="2">
        <v>1E-3</v>
      </c>
      <c r="K4450" s="2" t="s">
        <v>10087</v>
      </c>
    </row>
    <row r="4451" spans="1:11" x14ac:dyDescent="0.2">
      <c r="A4451" s="2">
        <v>1114</v>
      </c>
      <c r="B4451" s="2">
        <v>7</v>
      </c>
      <c r="C4451" s="2">
        <v>15013695</v>
      </c>
      <c r="D4451" s="2">
        <v>15877564</v>
      </c>
      <c r="E4451" s="2">
        <v>1</v>
      </c>
      <c r="F4451" s="2" t="s">
        <v>10086</v>
      </c>
      <c r="H4451" s="2">
        <v>1.9E-3</v>
      </c>
      <c r="K4451" s="2" t="s">
        <v>10085</v>
      </c>
    </row>
    <row r="4452" spans="1:11" x14ac:dyDescent="0.2">
      <c r="A4452" s="2">
        <v>1114</v>
      </c>
      <c r="B4452" s="2">
        <v>7</v>
      </c>
      <c r="C4452" s="2">
        <v>15013695</v>
      </c>
      <c r="D4452" s="2">
        <v>15877564</v>
      </c>
      <c r="E4452" s="2">
        <v>2</v>
      </c>
      <c r="F4452" s="2" t="s">
        <v>10086</v>
      </c>
      <c r="H4452" s="2">
        <v>1.1999999999999999E-3</v>
      </c>
      <c r="K4452" s="2" t="s">
        <v>10087</v>
      </c>
    </row>
    <row r="4453" spans="1:11" x14ac:dyDescent="0.2">
      <c r="A4453" s="2">
        <v>1114</v>
      </c>
      <c r="B4453" s="2">
        <v>7</v>
      </c>
      <c r="C4453" s="2">
        <v>15013695</v>
      </c>
      <c r="D4453" s="2">
        <v>15877564</v>
      </c>
      <c r="E4453" s="2">
        <v>3</v>
      </c>
      <c r="F4453" s="2" t="s">
        <v>10086</v>
      </c>
      <c r="H4453" s="3">
        <v>8.9999999999999998E-4</v>
      </c>
      <c r="K4453" s="2" t="s">
        <v>10088</v>
      </c>
    </row>
    <row r="4454" spans="1:11" x14ac:dyDescent="0.2">
      <c r="A4454" s="2">
        <v>1114</v>
      </c>
      <c r="B4454" s="2">
        <v>7</v>
      </c>
      <c r="C4454" s="2">
        <v>15013695</v>
      </c>
      <c r="D4454" s="2">
        <v>15877564</v>
      </c>
      <c r="E4454" s="2">
        <v>4</v>
      </c>
      <c r="F4454" s="2" t="s">
        <v>10086</v>
      </c>
      <c r="H4454" s="3">
        <v>5.9999999999999995E-4</v>
      </c>
      <c r="K4454" s="2" t="s">
        <v>10089</v>
      </c>
    </row>
    <row r="4455" spans="1:11" x14ac:dyDescent="0.2">
      <c r="A4455" s="2">
        <v>1115</v>
      </c>
      <c r="B4455" s="2">
        <v>7</v>
      </c>
      <c r="C4455" s="2">
        <v>15877565</v>
      </c>
      <c r="D4455" s="2">
        <v>16739013</v>
      </c>
      <c r="E4455" s="2">
        <v>1</v>
      </c>
      <c r="F4455" s="2" t="s">
        <v>10086</v>
      </c>
      <c r="H4455" s="2">
        <v>1.1000000000000001E-3</v>
      </c>
      <c r="K4455" s="2" t="s">
        <v>10085</v>
      </c>
    </row>
    <row r="4456" spans="1:11" x14ac:dyDescent="0.2">
      <c r="A4456" s="2">
        <v>1115</v>
      </c>
      <c r="B4456" s="2">
        <v>7</v>
      </c>
      <c r="C4456" s="2">
        <v>15877565</v>
      </c>
      <c r="D4456" s="2">
        <v>16739013</v>
      </c>
      <c r="E4456" s="2">
        <v>2</v>
      </c>
      <c r="F4456" s="2" t="s">
        <v>10086</v>
      </c>
      <c r="H4456" s="2">
        <v>1.2999999999999999E-3</v>
      </c>
      <c r="K4456" s="2" t="s">
        <v>10087</v>
      </c>
    </row>
    <row r="4457" spans="1:11" x14ac:dyDescent="0.2">
      <c r="A4457" s="2">
        <v>1115</v>
      </c>
      <c r="B4457" s="2">
        <v>7</v>
      </c>
      <c r="C4457" s="2">
        <v>15877565</v>
      </c>
      <c r="D4457" s="2">
        <v>16739013</v>
      </c>
      <c r="E4457" s="2">
        <v>3</v>
      </c>
      <c r="F4457" s="2" t="s">
        <v>10086</v>
      </c>
      <c r="H4457" s="2">
        <v>1.1999999999999999E-3</v>
      </c>
      <c r="K4457" s="2" t="s">
        <v>12324</v>
      </c>
    </row>
    <row r="4458" spans="1:11" x14ac:dyDescent="0.2">
      <c r="A4458" s="2">
        <v>1115</v>
      </c>
      <c r="B4458" s="2">
        <v>7</v>
      </c>
      <c r="C4458" s="2">
        <v>15877565</v>
      </c>
      <c r="D4458" s="2">
        <v>16739013</v>
      </c>
      <c r="E4458" s="2">
        <v>4</v>
      </c>
      <c r="F4458" s="2" t="s">
        <v>10086</v>
      </c>
      <c r="H4458" s="3">
        <v>5.9999999999999995E-4</v>
      </c>
      <c r="K4458" s="2" t="s">
        <v>10088</v>
      </c>
    </row>
    <row r="4459" spans="1:11" x14ac:dyDescent="0.2">
      <c r="A4459" s="2">
        <v>1116</v>
      </c>
      <c r="B4459" s="2">
        <v>7</v>
      </c>
      <c r="C4459" s="2">
        <v>16739014</v>
      </c>
      <c r="D4459" s="2">
        <v>17596578</v>
      </c>
      <c r="E4459" s="2">
        <v>1</v>
      </c>
      <c r="F4459" s="2" t="s">
        <v>10086</v>
      </c>
      <c r="H4459" s="2">
        <v>1.6000000000000001E-3</v>
      </c>
      <c r="K4459" s="2" t="s">
        <v>10087</v>
      </c>
    </row>
    <row r="4460" spans="1:11" x14ac:dyDescent="0.2">
      <c r="A4460" s="2">
        <v>1116</v>
      </c>
      <c r="B4460" s="2">
        <v>7</v>
      </c>
      <c r="C4460" s="2">
        <v>16739014</v>
      </c>
      <c r="D4460" s="2">
        <v>17596578</v>
      </c>
      <c r="E4460" s="2">
        <v>2</v>
      </c>
      <c r="F4460" s="2" t="s">
        <v>10086</v>
      </c>
      <c r="H4460" s="3">
        <v>8.0000000000000004E-4</v>
      </c>
      <c r="K4460" s="2" t="s">
        <v>10089</v>
      </c>
    </row>
    <row r="4461" spans="1:11" x14ac:dyDescent="0.2">
      <c r="A4461" s="2">
        <v>1116</v>
      </c>
      <c r="B4461" s="2">
        <v>7</v>
      </c>
      <c r="C4461" s="2">
        <v>16739014</v>
      </c>
      <c r="D4461" s="2">
        <v>17596578</v>
      </c>
      <c r="E4461" s="2">
        <v>3</v>
      </c>
      <c r="F4461" s="2" t="s">
        <v>10086</v>
      </c>
      <c r="H4461" s="3">
        <v>5.9999999999999995E-4</v>
      </c>
      <c r="K4461" s="2" t="s">
        <v>10085</v>
      </c>
    </row>
    <row r="4462" spans="1:11" x14ac:dyDescent="0.2">
      <c r="A4462" s="2">
        <v>1116</v>
      </c>
      <c r="B4462" s="2">
        <v>7</v>
      </c>
      <c r="C4462" s="2">
        <v>16739014</v>
      </c>
      <c r="D4462" s="2">
        <v>17596578</v>
      </c>
      <c r="E4462" s="2">
        <v>4</v>
      </c>
      <c r="F4462" s="2" t="s">
        <v>10086</v>
      </c>
      <c r="H4462" s="3">
        <v>2.9999999999999997E-4</v>
      </c>
      <c r="K4462" s="2" t="s">
        <v>10088</v>
      </c>
    </row>
    <row r="4463" spans="1:11" x14ac:dyDescent="0.2">
      <c r="A4463" s="2">
        <v>1117</v>
      </c>
      <c r="B4463" s="2">
        <v>7</v>
      </c>
      <c r="C4463" s="2">
        <v>17596579</v>
      </c>
      <c r="D4463" s="2">
        <v>19131026</v>
      </c>
      <c r="E4463" s="2">
        <v>1</v>
      </c>
      <c r="F4463" s="2" t="s">
        <v>10086</v>
      </c>
      <c r="H4463" s="2">
        <v>8.6E-3</v>
      </c>
      <c r="K4463" s="2" t="s">
        <v>10089</v>
      </c>
    </row>
    <row r="4464" spans="1:11" x14ac:dyDescent="0.2">
      <c r="A4464" s="2">
        <v>1117</v>
      </c>
      <c r="B4464" s="2">
        <v>7</v>
      </c>
      <c r="C4464" s="2">
        <v>17596579</v>
      </c>
      <c r="D4464" s="2">
        <v>19131026</v>
      </c>
      <c r="E4464" s="2">
        <v>2</v>
      </c>
      <c r="F4464" s="2" t="s">
        <v>10086</v>
      </c>
      <c r="H4464" s="2">
        <v>2.3999999999999998E-3</v>
      </c>
      <c r="K4464" s="2" t="s">
        <v>10088</v>
      </c>
    </row>
    <row r="4465" spans="1:11" x14ac:dyDescent="0.2">
      <c r="A4465" s="2">
        <v>1117</v>
      </c>
      <c r="B4465" s="2">
        <v>7</v>
      </c>
      <c r="C4465" s="2">
        <v>17596579</v>
      </c>
      <c r="D4465" s="2">
        <v>19131026</v>
      </c>
      <c r="E4465" s="2">
        <v>3</v>
      </c>
      <c r="F4465" s="2" t="s">
        <v>10086</v>
      </c>
      <c r="H4465" s="2">
        <v>1.1000000000000001E-3</v>
      </c>
      <c r="K4465" s="2" t="s">
        <v>10085</v>
      </c>
    </row>
    <row r="4466" spans="1:11" x14ac:dyDescent="0.2">
      <c r="A4466" s="2">
        <v>1117</v>
      </c>
      <c r="B4466" s="2">
        <v>7</v>
      </c>
      <c r="C4466" s="2">
        <v>17596579</v>
      </c>
      <c r="D4466" s="2">
        <v>19131026</v>
      </c>
      <c r="E4466" s="2">
        <v>4</v>
      </c>
      <c r="F4466" s="2" t="s">
        <v>10086</v>
      </c>
      <c r="H4466" s="3">
        <v>5.9999999999999995E-4</v>
      </c>
      <c r="K4466" s="2" t="s">
        <v>10087</v>
      </c>
    </row>
    <row r="4467" spans="1:11" x14ac:dyDescent="0.2">
      <c r="A4467" s="2">
        <v>1118</v>
      </c>
      <c r="B4467" s="2">
        <v>7</v>
      </c>
      <c r="C4467" s="2">
        <v>19131027</v>
      </c>
      <c r="D4467" s="2">
        <v>20122179</v>
      </c>
      <c r="E4467" s="2">
        <v>1</v>
      </c>
      <c r="F4467" s="2" t="s">
        <v>10086</v>
      </c>
      <c r="H4467" s="2">
        <v>3.8999999999999998E-3</v>
      </c>
      <c r="K4467" s="2" t="s">
        <v>10089</v>
      </c>
    </row>
    <row r="4468" spans="1:11" x14ac:dyDescent="0.2">
      <c r="A4468" s="2">
        <v>1118</v>
      </c>
      <c r="B4468" s="2">
        <v>7</v>
      </c>
      <c r="C4468" s="2">
        <v>19131027</v>
      </c>
      <c r="D4468" s="2">
        <v>20122179</v>
      </c>
      <c r="E4468" s="2">
        <v>2</v>
      </c>
      <c r="F4468" s="2" t="s">
        <v>10086</v>
      </c>
      <c r="H4468" s="2">
        <v>1.6000000000000001E-3</v>
      </c>
      <c r="K4468" s="2" t="s">
        <v>10085</v>
      </c>
    </row>
    <row r="4469" spans="1:11" x14ac:dyDescent="0.2">
      <c r="A4469" s="2">
        <v>1118</v>
      </c>
      <c r="B4469" s="2">
        <v>7</v>
      </c>
      <c r="C4469" s="2">
        <v>19131027</v>
      </c>
      <c r="D4469" s="2">
        <v>20122179</v>
      </c>
      <c r="E4469" s="2">
        <v>3</v>
      </c>
      <c r="F4469" s="2" t="s">
        <v>10086</v>
      </c>
      <c r="H4469" s="2">
        <v>1.1999999999999999E-3</v>
      </c>
      <c r="K4469" s="2" t="s">
        <v>10088</v>
      </c>
    </row>
    <row r="4470" spans="1:11" x14ac:dyDescent="0.2">
      <c r="A4470" s="2">
        <v>1118</v>
      </c>
      <c r="B4470" s="2">
        <v>7</v>
      </c>
      <c r="C4470" s="2">
        <v>19131027</v>
      </c>
      <c r="D4470" s="2">
        <v>20122179</v>
      </c>
      <c r="E4470" s="2">
        <v>4</v>
      </c>
      <c r="F4470" s="2" t="s">
        <v>10086</v>
      </c>
      <c r="H4470" s="3">
        <v>5.9999999999999995E-4</v>
      </c>
      <c r="K4470" s="2" t="s">
        <v>10087</v>
      </c>
    </row>
    <row r="4471" spans="1:11" x14ac:dyDescent="0.2">
      <c r="A4471" s="2">
        <v>1119</v>
      </c>
      <c r="B4471" s="2">
        <v>7</v>
      </c>
      <c r="C4471" s="2">
        <v>20122180</v>
      </c>
      <c r="D4471" s="2">
        <v>21390644</v>
      </c>
      <c r="E4471" s="2">
        <v>1</v>
      </c>
      <c r="F4471" s="2" t="s">
        <v>10086</v>
      </c>
      <c r="H4471" s="2">
        <v>3.2000000000000002E-3</v>
      </c>
      <c r="K4471" s="2" t="s">
        <v>10088</v>
      </c>
    </row>
    <row r="4472" spans="1:11" x14ac:dyDescent="0.2">
      <c r="A4472" s="2">
        <v>1119</v>
      </c>
      <c r="B4472" s="2">
        <v>7</v>
      </c>
      <c r="C4472" s="2">
        <v>20122180</v>
      </c>
      <c r="D4472" s="2">
        <v>21390644</v>
      </c>
      <c r="E4472" s="2">
        <v>2</v>
      </c>
      <c r="F4472" s="2" t="s">
        <v>10086</v>
      </c>
      <c r="H4472" s="2">
        <v>1.8E-3</v>
      </c>
      <c r="K4472" s="2" t="s">
        <v>10087</v>
      </c>
    </row>
    <row r="4473" spans="1:11" x14ac:dyDescent="0.2">
      <c r="A4473" s="2">
        <v>1119</v>
      </c>
      <c r="B4473" s="2">
        <v>7</v>
      </c>
      <c r="C4473" s="2">
        <v>20122180</v>
      </c>
      <c r="D4473" s="2">
        <v>21390644</v>
      </c>
      <c r="E4473" s="2">
        <v>3</v>
      </c>
      <c r="F4473" s="2" t="s">
        <v>10086</v>
      </c>
      <c r="H4473" s="2">
        <v>1.6999999999999999E-3</v>
      </c>
      <c r="K4473" s="2" t="s">
        <v>10089</v>
      </c>
    </row>
    <row r="4474" spans="1:11" x14ac:dyDescent="0.2">
      <c r="A4474" s="2">
        <v>1119</v>
      </c>
      <c r="B4474" s="2">
        <v>7</v>
      </c>
      <c r="C4474" s="2">
        <v>20122180</v>
      </c>
      <c r="D4474" s="2">
        <v>21390644</v>
      </c>
      <c r="E4474" s="2">
        <v>4</v>
      </c>
      <c r="F4474" s="2" t="s">
        <v>10086</v>
      </c>
      <c r="H4474" s="2">
        <v>1E-3</v>
      </c>
      <c r="K4474" s="2" t="s">
        <v>10085</v>
      </c>
    </row>
    <row r="4475" spans="1:11" x14ac:dyDescent="0.2">
      <c r="A4475" s="2">
        <v>1120</v>
      </c>
      <c r="B4475" s="2">
        <v>7</v>
      </c>
      <c r="C4475" s="2">
        <v>21390645</v>
      </c>
      <c r="D4475" s="2">
        <v>22165060</v>
      </c>
      <c r="E4475" s="2">
        <v>1</v>
      </c>
      <c r="F4475" s="2" t="s">
        <v>10086</v>
      </c>
      <c r="H4475" s="2">
        <v>1.6999999999999999E-3</v>
      </c>
      <c r="K4475" s="2" t="s">
        <v>10087</v>
      </c>
    </row>
    <row r="4476" spans="1:11" x14ac:dyDescent="0.2">
      <c r="A4476" s="2">
        <v>1120</v>
      </c>
      <c r="B4476" s="2">
        <v>7</v>
      </c>
      <c r="C4476" s="2">
        <v>21390645</v>
      </c>
      <c r="D4476" s="2">
        <v>22165060</v>
      </c>
      <c r="E4476" s="2">
        <v>2</v>
      </c>
      <c r="F4476" s="2" t="s">
        <v>10086</v>
      </c>
      <c r="H4476" s="2">
        <v>1.2999999999999999E-3</v>
      </c>
      <c r="K4476" s="2" t="s">
        <v>10088</v>
      </c>
    </row>
    <row r="4477" spans="1:11" x14ac:dyDescent="0.2">
      <c r="A4477" s="2">
        <v>1120</v>
      </c>
      <c r="B4477" s="2">
        <v>7</v>
      </c>
      <c r="C4477" s="2">
        <v>21390645</v>
      </c>
      <c r="D4477" s="2">
        <v>22165060</v>
      </c>
      <c r="E4477" s="2">
        <v>3</v>
      </c>
      <c r="F4477" s="2" t="s">
        <v>10086</v>
      </c>
      <c r="H4477" s="3">
        <v>8.0000000000000004E-4</v>
      </c>
      <c r="K4477" s="2" t="s">
        <v>10085</v>
      </c>
    </row>
    <row r="4478" spans="1:11" x14ac:dyDescent="0.2">
      <c r="A4478" s="2">
        <v>1120</v>
      </c>
      <c r="B4478" s="2">
        <v>7</v>
      </c>
      <c r="C4478" s="2">
        <v>21390645</v>
      </c>
      <c r="D4478" s="2">
        <v>22165060</v>
      </c>
      <c r="E4478" s="2">
        <v>4</v>
      </c>
      <c r="F4478" s="2" t="s">
        <v>10086</v>
      </c>
      <c r="H4478" s="3">
        <v>4.0000000000000002E-4</v>
      </c>
      <c r="K4478" s="2" t="s">
        <v>10089</v>
      </c>
    </row>
    <row r="4479" spans="1:11" x14ac:dyDescent="0.2">
      <c r="A4479" s="2">
        <v>1121</v>
      </c>
      <c r="B4479" s="2">
        <v>7</v>
      </c>
      <c r="C4479" s="2">
        <v>22165061</v>
      </c>
      <c r="D4479" s="2">
        <v>23106680</v>
      </c>
      <c r="E4479" s="2">
        <v>1</v>
      </c>
      <c r="F4479" s="2" t="s">
        <v>10086</v>
      </c>
      <c r="H4479" s="2">
        <v>1.2999999999999999E-3</v>
      </c>
      <c r="K4479" s="2" t="s">
        <v>10085</v>
      </c>
    </row>
    <row r="4480" spans="1:11" x14ac:dyDescent="0.2">
      <c r="A4480" s="2">
        <v>1121</v>
      </c>
      <c r="B4480" s="2">
        <v>7</v>
      </c>
      <c r="C4480" s="2">
        <v>22165061</v>
      </c>
      <c r="D4480" s="2">
        <v>23106680</v>
      </c>
      <c r="E4480" s="2">
        <v>2</v>
      </c>
      <c r="F4480" s="2" t="s">
        <v>10086</v>
      </c>
      <c r="H4480" s="2">
        <v>1.6999999999999999E-3</v>
      </c>
      <c r="K4480" s="2" t="s">
        <v>10087</v>
      </c>
    </row>
    <row r="4481" spans="1:11" x14ac:dyDescent="0.2">
      <c r="A4481" s="2">
        <v>1121</v>
      </c>
      <c r="B4481" s="2">
        <v>7</v>
      </c>
      <c r="C4481" s="2">
        <v>22165061</v>
      </c>
      <c r="D4481" s="2">
        <v>23106680</v>
      </c>
      <c r="E4481" s="2">
        <v>3</v>
      </c>
      <c r="F4481" s="2" t="s">
        <v>10086</v>
      </c>
      <c r="H4481" s="2">
        <v>1.6000000000000001E-3</v>
      </c>
      <c r="K4481" s="2" t="s">
        <v>10089</v>
      </c>
    </row>
    <row r="4482" spans="1:11" x14ac:dyDescent="0.2">
      <c r="A4482" s="2">
        <v>1121</v>
      </c>
      <c r="B4482" s="2">
        <v>7</v>
      </c>
      <c r="C4482" s="2">
        <v>22165061</v>
      </c>
      <c r="D4482" s="2">
        <v>23106680</v>
      </c>
      <c r="E4482" s="2">
        <v>4</v>
      </c>
      <c r="F4482" s="2" t="s">
        <v>10086</v>
      </c>
      <c r="H4482" s="3">
        <v>2.9999999999999997E-4</v>
      </c>
      <c r="K4482" s="2" t="s">
        <v>10088</v>
      </c>
    </row>
    <row r="4483" spans="1:11" x14ac:dyDescent="0.2">
      <c r="A4483" s="2">
        <v>1122</v>
      </c>
      <c r="B4483" s="2">
        <v>7</v>
      </c>
      <c r="C4483" s="2">
        <v>23106681</v>
      </c>
      <c r="D4483" s="2">
        <v>24151099</v>
      </c>
      <c r="E4483" s="2">
        <v>1</v>
      </c>
      <c r="F4483" s="2" t="s">
        <v>10086</v>
      </c>
      <c r="H4483" s="2">
        <v>1.9E-3</v>
      </c>
      <c r="K4483" s="2" t="s">
        <v>10088</v>
      </c>
    </row>
    <row r="4484" spans="1:11" x14ac:dyDescent="0.2">
      <c r="A4484" s="2">
        <v>1122</v>
      </c>
      <c r="B4484" s="2">
        <v>7</v>
      </c>
      <c r="C4484" s="2">
        <v>23106681</v>
      </c>
      <c r="D4484" s="2">
        <v>24151099</v>
      </c>
      <c r="E4484" s="2">
        <v>2</v>
      </c>
      <c r="F4484" s="2" t="s">
        <v>10086</v>
      </c>
      <c r="H4484" s="2">
        <v>1.6999999999999999E-3</v>
      </c>
      <c r="K4484" s="2" t="s">
        <v>10087</v>
      </c>
    </row>
    <row r="4485" spans="1:11" x14ac:dyDescent="0.2">
      <c r="A4485" s="2">
        <v>1122</v>
      </c>
      <c r="B4485" s="2">
        <v>7</v>
      </c>
      <c r="C4485" s="2">
        <v>23106681</v>
      </c>
      <c r="D4485" s="2">
        <v>24151099</v>
      </c>
      <c r="E4485" s="2">
        <v>3</v>
      </c>
      <c r="F4485" s="2" t="s">
        <v>10086</v>
      </c>
      <c r="H4485" s="3">
        <v>8.0000000000000004E-4</v>
      </c>
      <c r="K4485" s="2" t="s">
        <v>10089</v>
      </c>
    </row>
    <row r="4486" spans="1:11" x14ac:dyDescent="0.2">
      <c r="A4486" s="2">
        <v>1122</v>
      </c>
      <c r="B4486" s="2">
        <v>7</v>
      </c>
      <c r="C4486" s="2">
        <v>23106681</v>
      </c>
      <c r="D4486" s="2">
        <v>24151099</v>
      </c>
      <c r="E4486" s="2">
        <v>4</v>
      </c>
      <c r="F4486" s="2" t="s">
        <v>10086</v>
      </c>
      <c r="H4486" s="3">
        <v>2.9999999999999997E-4</v>
      </c>
      <c r="K4486" s="2" t="s">
        <v>10085</v>
      </c>
    </row>
    <row r="4487" spans="1:11" x14ac:dyDescent="0.2">
      <c r="A4487" s="2">
        <v>1123</v>
      </c>
      <c r="B4487" s="2">
        <v>7</v>
      </c>
      <c r="C4487" s="2">
        <v>24151100</v>
      </c>
      <c r="D4487" s="2">
        <v>24894119</v>
      </c>
      <c r="E4487" s="2">
        <v>1</v>
      </c>
      <c r="F4487" s="2" t="s">
        <v>10086</v>
      </c>
      <c r="H4487" s="2">
        <v>7.9000000000000008E-3</v>
      </c>
      <c r="K4487" s="2" t="s">
        <v>10087</v>
      </c>
    </row>
    <row r="4488" spans="1:11" x14ac:dyDescent="0.2">
      <c r="A4488" s="2">
        <v>1123</v>
      </c>
      <c r="B4488" s="2">
        <v>7</v>
      </c>
      <c r="C4488" s="2">
        <v>24151100</v>
      </c>
      <c r="D4488" s="2">
        <v>24894119</v>
      </c>
      <c r="E4488" s="2">
        <v>2</v>
      </c>
      <c r="F4488" s="2" t="s">
        <v>10086</v>
      </c>
      <c r="H4488" s="3">
        <v>8.0000000000000004E-4</v>
      </c>
      <c r="K4488" s="2" t="s">
        <v>10089</v>
      </c>
    </row>
    <row r="4489" spans="1:11" x14ac:dyDescent="0.2">
      <c r="A4489" s="2">
        <v>1123</v>
      </c>
      <c r="B4489" s="2">
        <v>7</v>
      </c>
      <c r="C4489" s="2">
        <v>24151100</v>
      </c>
      <c r="D4489" s="2">
        <v>24894119</v>
      </c>
      <c r="E4489" s="2">
        <v>3</v>
      </c>
      <c r="F4489" s="2" t="s">
        <v>10086</v>
      </c>
      <c r="H4489" s="3">
        <v>5.9999999999999995E-4</v>
      </c>
      <c r="K4489" s="2" t="s">
        <v>10085</v>
      </c>
    </row>
    <row r="4490" spans="1:11" x14ac:dyDescent="0.2">
      <c r="A4490" s="2">
        <v>1123</v>
      </c>
      <c r="B4490" s="2">
        <v>7</v>
      </c>
      <c r="C4490" s="2">
        <v>24151100</v>
      </c>
      <c r="D4490" s="2">
        <v>24894119</v>
      </c>
      <c r="E4490" s="2">
        <v>4</v>
      </c>
      <c r="F4490" s="2" t="s">
        <v>10086</v>
      </c>
      <c r="H4490" s="3">
        <v>2.9999999999999997E-4</v>
      </c>
      <c r="K4490" s="2" t="s">
        <v>10088</v>
      </c>
    </row>
    <row r="4491" spans="1:11" x14ac:dyDescent="0.2">
      <c r="A4491" s="2">
        <v>1124</v>
      </c>
      <c r="B4491" s="2">
        <v>7</v>
      </c>
      <c r="C4491" s="2">
        <v>24894120</v>
      </c>
      <c r="D4491" s="2">
        <v>25671575</v>
      </c>
      <c r="E4491" s="2">
        <v>1</v>
      </c>
      <c r="F4491" s="2" t="s">
        <v>10086</v>
      </c>
      <c r="H4491" s="2">
        <v>9.4999999999999998E-3</v>
      </c>
      <c r="K4491" s="2" t="s">
        <v>10088</v>
      </c>
    </row>
    <row r="4492" spans="1:11" x14ac:dyDescent="0.2">
      <c r="A4492" s="2">
        <v>1124</v>
      </c>
      <c r="B4492" s="2">
        <v>7</v>
      </c>
      <c r="C4492" s="2">
        <v>24894120</v>
      </c>
      <c r="D4492" s="2">
        <v>25671575</v>
      </c>
      <c r="E4492" s="2">
        <v>2</v>
      </c>
      <c r="F4492" s="2" t="s">
        <v>10086</v>
      </c>
      <c r="H4492" s="2">
        <v>2E-3</v>
      </c>
      <c r="K4492" s="2" t="s">
        <v>10087</v>
      </c>
    </row>
    <row r="4493" spans="1:11" x14ac:dyDescent="0.2">
      <c r="A4493" s="2">
        <v>1124</v>
      </c>
      <c r="B4493" s="2">
        <v>7</v>
      </c>
      <c r="C4493" s="2">
        <v>24894120</v>
      </c>
      <c r="D4493" s="2">
        <v>25671575</v>
      </c>
      <c r="E4493" s="2">
        <v>3</v>
      </c>
      <c r="F4493" s="2" t="s">
        <v>10086</v>
      </c>
      <c r="H4493" s="2">
        <v>1E-3</v>
      </c>
      <c r="K4493" s="2" t="s">
        <v>10089</v>
      </c>
    </row>
    <row r="4494" spans="1:11" x14ac:dyDescent="0.2">
      <c r="A4494" s="2">
        <v>1124</v>
      </c>
      <c r="B4494" s="2">
        <v>7</v>
      </c>
      <c r="C4494" s="2">
        <v>24894120</v>
      </c>
      <c r="D4494" s="2">
        <v>25671575</v>
      </c>
      <c r="E4494" s="2">
        <v>4</v>
      </c>
      <c r="F4494" s="2" t="s">
        <v>10086</v>
      </c>
      <c r="H4494" s="3">
        <v>6.9999999999999999E-4</v>
      </c>
      <c r="K4494" s="2" t="s">
        <v>10085</v>
      </c>
    </row>
    <row r="4495" spans="1:11" x14ac:dyDescent="0.2">
      <c r="A4495" s="2">
        <v>1125</v>
      </c>
      <c r="B4495" s="2">
        <v>7</v>
      </c>
      <c r="C4495" s="2">
        <v>25671576</v>
      </c>
      <c r="D4495" s="2">
        <v>27351286</v>
      </c>
      <c r="E4495" s="2">
        <v>1</v>
      </c>
      <c r="F4495" s="2" t="s">
        <v>10086</v>
      </c>
      <c r="H4495" s="2">
        <v>3.0999999999999999E-3</v>
      </c>
      <c r="K4495" s="2" t="s">
        <v>10085</v>
      </c>
    </row>
    <row r="4496" spans="1:11" x14ac:dyDescent="0.2">
      <c r="A4496" s="2">
        <v>1125</v>
      </c>
      <c r="B4496" s="2">
        <v>7</v>
      </c>
      <c r="C4496" s="2">
        <v>25671576</v>
      </c>
      <c r="D4496" s="2">
        <v>27351286</v>
      </c>
      <c r="E4496" s="2">
        <v>2</v>
      </c>
      <c r="F4496" s="2" t="s">
        <v>10086</v>
      </c>
      <c r="H4496" s="2">
        <v>2.8E-3</v>
      </c>
      <c r="K4496" s="2" t="s">
        <v>10089</v>
      </c>
    </row>
    <row r="4497" spans="1:11" x14ac:dyDescent="0.2">
      <c r="A4497" s="2">
        <v>1125</v>
      </c>
      <c r="B4497" s="2">
        <v>7</v>
      </c>
      <c r="C4497" s="2">
        <v>25671576</v>
      </c>
      <c r="D4497" s="2">
        <v>27351286</v>
      </c>
      <c r="E4497" s="2">
        <v>3</v>
      </c>
      <c r="F4497" s="2" t="s">
        <v>10086</v>
      </c>
      <c r="H4497" s="2">
        <v>1.6999999999999999E-3</v>
      </c>
      <c r="K4497" s="2" t="s">
        <v>10088</v>
      </c>
    </row>
    <row r="4498" spans="1:11" x14ac:dyDescent="0.2">
      <c r="A4498" s="2">
        <v>1125</v>
      </c>
      <c r="B4498" s="2">
        <v>7</v>
      </c>
      <c r="C4498" s="2">
        <v>25671576</v>
      </c>
      <c r="D4498" s="2">
        <v>27351286</v>
      </c>
      <c r="E4498" s="2">
        <v>4</v>
      </c>
      <c r="F4498" s="2" t="s">
        <v>10086</v>
      </c>
      <c r="H4498" s="3">
        <v>4.0000000000000002E-4</v>
      </c>
      <c r="K4498" s="2" t="s">
        <v>10087</v>
      </c>
    </row>
    <row r="4499" spans="1:11" x14ac:dyDescent="0.2">
      <c r="A4499" s="2">
        <v>1126</v>
      </c>
      <c r="B4499" s="2">
        <v>7</v>
      </c>
      <c r="C4499" s="2">
        <v>27351287</v>
      </c>
      <c r="D4499" s="2">
        <v>28890886</v>
      </c>
      <c r="E4499" s="2">
        <v>1</v>
      </c>
      <c r="F4499" s="2" t="s">
        <v>10086</v>
      </c>
      <c r="H4499" s="2">
        <v>3.5999999999999999E-3</v>
      </c>
      <c r="K4499" s="2" t="s">
        <v>10089</v>
      </c>
    </row>
    <row r="4500" spans="1:11" x14ac:dyDescent="0.2">
      <c r="A4500" s="2">
        <v>1126</v>
      </c>
      <c r="B4500" s="2">
        <v>7</v>
      </c>
      <c r="C4500" s="2">
        <v>27351287</v>
      </c>
      <c r="D4500" s="2">
        <v>28890886</v>
      </c>
      <c r="E4500" s="2">
        <v>2</v>
      </c>
      <c r="F4500" s="2" t="s">
        <v>10086</v>
      </c>
      <c r="H4500" s="2">
        <v>1.1000000000000001E-3</v>
      </c>
      <c r="K4500" s="2" t="s">
        <v>10088</v>
      </c>
    </row>
    <row r="4501" spans="1:11" x14ac:dyDescent="0.2">
      <c r="A4501" s="2">
        <v>1126</v>
      </c>
      <c r="B4501" s="2">
        <v>7</v>
      </c>
      <c r="C4501" s="2">
        <v>27351287</v>
      </c>
      <c r="D4501" s="2">
        <v>28890886</v>
      </c>
      <c r="E4501" s="2">
        <v>3</v>
      </c>
      <c r="F4501" s="2" t="s">
        <v>10086</v>
      </c>
      <c r="H4501" s="2">
        <v>1.4E-3</v>
      </c>
      <c r="K4501" s="2" t="s">
        <v>10087</v>
      </c>
    </row>
    <row r="4502" spans="1:11" x14ac:dyDescent="0.2">
      <c r="A4502" s="2">
        <v>1126</v>
      </c>
      <c r="B4502" s="2">
        <v>7</v>
      </c>
      <c r="C4502" s="2">
        <v>27351287</v>
      </c>
      <c r="D4502" s="2">
        <v>28890886</v>
      </c>
      <c r="E4502" s="2">
        <v>4</v>
      </c>
      <c r="F4502" s="2" t="s">
        <v>10086</v>
      </c>
      <c r="H4502" s="3">
        <v>8.0000000000000004E-4</v>
      </c>
      <c r="K4502" s="2" t="s">
        <v>10085</v>
      </c>
    </row>
    <row r="4503" spans="1:11" x14ac:dyDescent="0.2">
      <c r="A4503" s="2">
        <v>1127</v>
      </c>
      <c r="B4503" s="2">
        <v>7</v>
      </c>
      <c r="C4503" s="2">
        <v>28890887</v>
      </c>
      <c r="D4503" s="2">
        <v>30175113</v>
      </c>
      <c r="E4503" s="2">
        <v>1</v>
      </c>
      <c r="F4503" s="2" t="s">
        <v>10086</v>
      </c>
      <c r="H4503" s="2">
        <v>4.3E-3</v>
      </c>
      <c r="K4503" s="2" t="s">
        <v>10088</v>
      </c>
    </row>
    <row r="4504" spans="1:11" x14ac:dyDescent="0.2">
      <c r="A4504" s="2">
        <v>1127</v>
      </c>
      <c r="B4504" s="2">
        <v>7</v>
      </c>
      <c r="C4504" s="2">
        <v>28890887</v>
      </c>
      <c r="D4504" s="2">
        <v>30175113</v>
      </c>
      <c r="E4504" s="2">
        <v>2</v>
      </c>
      <c r="F4504" s="2" t="s">
        <v>10086</v>
      </c>
      <c r="H4504" s="2">
        <v>2.3E-3</v>
      </c>
      <c r="K4504" s="2" t="s">
        <v>10089</v>
      </c>
    </row>
    <row r="4505" spans="1:11" x14ac:dyDescent="0.2">
      <c r="A4505" s="2">
        <v>1127</v>
      </c>
      <c r="B4505" s="2">
        <v>7</v>
      </c>
      <c r="C4505" s="2">
        <v>28890887</v>
      </c>
      <c r="D4505" s="2">
        <v>30175113</v>
      </c>
      <c r="E4505" s="2">
        <v>3</v>
      </c>
      <c r="F4505" s="2" t="s">
        <v>10086</v>
      </c>
      <c r="H4505" s="2">
        <v>1.6000000000000001E-3</v>
      </c>
      <c r="K4505" s="2" t="s">
        <v>10087</v>
      </c>
    </row>
    <row r="4506" spans="1:11" x14ac:dyDescent="0.2">
      <c r="A4506" s="2">
        <v>1127</v>
      </c>
      <c r="B4506" s="2">
        <v>7</v>
      </c>
      <c r="C4506" s="2">
        <v>28890887</v>
      </c>
      <c r="D4506" s="2">
        <v>30175113</v>
      </c>
      <c r="E4506" s="2">
        <v>4</v>
      </c>
      <c r="F4506" s="2" t="s">
        <v>10086</v>
      </c>
      <c r="H4506" s="3">
        <v>5.9999999999999995E-4</v>
      </c>
      <c r="K4506" s="2" t="s">
        <v>10085</v>
      </c>
    </row>
    <row r="4507" spans="1:11" x14ac:dyDescent="0.2">
      <c r="A4507" s="2">
        <v>1128</v>
      </c>
      <c r="B4507" s="2">
        <v>7</v>
      </c>
      <c r="C4507" s="2">
        <v>30175114</v>
      </c>
      <c r="D4507" s="2">
        <v>31730554</v>
      </c>
      <c r="E4507" s="2">
        <v>1</v>
      </c>
      <c r="F4507" s="2" t="s">
        <v>10086</v>
      </c>
      <c r="H4507" s="2">
        <v>2E-3</v>
      </c>
      <c r="K4507" s="2" t="s">
        <v>10088</v>
      </c>
    </row>
    <row r="4508" spans="1:11" x14ac:dyDescent="0.2">
      <c r="A4508" s="2">
        <v>1128</v>
      </c>
      <c r="B4508" s="2">
        <v>7</v>
      </c>
      <c r="C4508" s="2">
        <v>30175114</v>
      </c>
      <c r="D4508" s="2">
        <v>31730554</v>
      </c>
      <c r="E4508" s="2">
        <v>2</v>
      </c>
      <c r="F4508" s="2" t="s">
        <v>10086</v>
      </c>
      <c r="H4508" s="2">
        <v>1.6000000000000001E-3</v>
      </c>
      <c r="K4508" s="2" t="s">
        <v>10085</v>
      </c>
    </row>
    <row r="4509" spans="1:11" x14ac:dyDescent="0.2">
      <c r="A4509" s="2">
        <v>1128</v>
      </c>
      <c r="B4509" s="2">
        <v>7</v>
      </c>
      <c r="C4509" s="2">
        <v>30175114</v>
      </c>
      <c r="D4509" s="2">
        <v>31730554</v>
      </c>
      <c r="E4509" s="2">
        <v>3</v>
      </c>
      <c r="F4509" s="2" t="s">
        <v>10086</v>
      </c>
      <c r="H4509" s="2">
        <v>1.6000000000000001E-3</v>
      </c>
      <c r="K4509" s="2" t="s">
        <v>10087</v>
      </c>
    </row>
    <row r="4510" spans="1:11" x14ac:dyDescent="0.2">
      <c r="A4510" s="2">
        <v>1128</v>
      </c>
      <c r="B4510" s="2">
        <v>7</v>
      </c>
      <c r="C4510" s="2">
        <v>30175114</v>
      </c>
      <c r="D4510" s="2">
        <v>31730554</v>
      </c>
      <c r="E4510" s="2">
        <v>4</v>
      </c>
      <c r="F4510" s="2" t="s">
        <v>10086</v>
      </c>
      <c r="H4510" s="3">
        <v>6.9999999999999999E-4</v>
      </c>
      <c r="K4510" s="2" t="s">
        <v>10089</v>
      </c>
    </row>
    <row r="4511" spans="1:11" x14ac:dyDescent="0.2">
      <c r="A4511" s="2">
        <v>1129</v>
      </c>
      <c r="B4511" s="2">
        <v>7</v>
      </c>
      <c r="C4511" s="2">
        <v>31730555</v>
      </c>
      <c r="D4511" s="2">
        <v>32460228</v>
      </c>
      <c r="E4511" s="2">
        <v>1</v>
      </c>
      <c r="F4511" s="2" t="s">
        <v>10086</v>
      </c>
      <c r="H4511" s="2">
        <v>4.3999999999999997E-2</v>
      </c>
      <c r="K4511" s="2" t="s">
        <v>10085</v>
      </c>
    </row>
    <row r="4512" spans="1:11" x14ac:dyDescent="0.2">
      <c r="A4512" s="2">
        <v>1129</v>
      </c>
      <c r="B4512" s="2">
        <v>7</v>
      </c>
      <c r="C4512" s="2">
        <v>31730555</v>
      </c>
      <c r="D4512" s="2">
        <v>32460228</v>
      </c>
      <c r="E4512" s="2">
        <v>2</v>
      </c>
      <c r="F4512" s="2" t="s">
        <v>10086</v>
      </c>
      <c r="H4512" s="2">
        <v>1.6000000000000001E-3</v>
      </c>
      <c r="K4512" s="2" t="s">
        <v>10088</v>
      </c>
    </row>
    <row r="4513" spans="1:11" x14ac:dyDescent="0.2">
      <c r="A4513" s="2">
        <v>1129</v>
      </c>
      <c r="B4513" s="2">
        <v>7</v>
      </c>
      <c r="C4513" s="2">
        <v>31730555</v>
      </c>
      <c r="D4513" s="2">
        <v>32460228</v>
      </c>
      <c r="E4513" s="2">
        <v>3</v>
      </c>
      <c r="F4513" s="2" t="s">
        <v>10086</v>
      </c>
      <c r="H4513" s="2">
        <v>1.2999999999999999E-3</v>
      </c>
      <c r="K4513" s="2" t="s">
        <v>10087</v>
      </c>
    </row>
    <row r="4514" spans="1:11" x14ac:dyDescent="0.2">
      <c r="A4514" s="2">
        <v>1129</v>
      </c>
      <c r="B4514" s="2">
        <v>7</v>
      </c>
      <c r="C4514" s="2">
        <v>31730555</v>
      </c>
      <c r="D4514" s="2">
        <v>32460228</v>
      </c>
      <c r="E4514" s="2">
        <v>4</v>
      </c>
      <c r="F4514" s="2" t="s">
        <v>10086</v>
      </c>
      <c r="H4514" s="3">
        <v>8.0000000000000004E-4</v>
      </c>
      <c r="K4514" s="2" t="s">
        <v>10089</v>
      </c>
    </row>
    <row r="4515" spans="1:11" x14ac:dyDescent="0.2">
      <c r="A4515" s="2">
        <v>1130</v>
      </c>
      <c r="B4515" s="2">
        <v>7</v>
      </c>
      <c r="C4515" s="2">
        <v>32460229</v>
      </c>
      <c r="D4515" s="2">
        <v>33159277</v>
      </c>
      <c r="E4515" s="2">
        <v>1</v>
      </c>
      <c r="F4515" s="2" t="s">
        <v>10086</v>
      </c>
      <c r="H4515" s="2">
        <v>1.5E-3</v>
      </c>
      <c r="K4515" s="2" t="s">
        <v>10085</v>
      </c>
    </row>
    <row r="4516" spans="1:11" x14ac:dyDescent="0.2">
      <c r="A4516" s="2">
        <v>1130</v>
      </c>
      <c r="B4516" s="2">
        <v>7</v>
      </c>
      <c r="C4516" s="2">
        <v>32460229</v>
      </c>
      <c r="D4516" s="2">
        <v>33159277</v>
      </c>
      <c r="E4516" s="2">
        <v>2</v>
      </c>
      <c r="F4516" s="2" t="s">
        <v>10086</v>
      </c>
      <c r="H4516" s="2">
        <v>1.2999999999999999E-3</v>
      </c>
      <c r="K4516" s="2" t="s">
        <v>10089</v>
      </c>
    </row>
    <row r="4517" spans="1:11" x14ac:dyDescent="0.2">
      <c r="A4517" s="2">
        <v>1130</v>
      </c>
      <c r="B4517" s="2">
        <v>7</v>
      </c>
      <c r="C4517" s="2">
        <v>32460229</v>
      </c>
      <c r="D4517" s="2">
        <v>33159277</v>
      </c>
      <c r="E4517" s="2">
        <v>3</v>
      </c>
      <c r="F4517" s="2" t="s">
        <v>10086</v>
      </c>
      <c r="H4517" s="3">
        <v>5.0000000000000001E-4</v>
      </c>
      <c r="K4517" s="2" t="s">
        <v>10087</v>
      </c>
    </row>
    <row r="4518" spans="1:11" x14ac:dyDescent="0.2">
      <c r="A4518" s="2">
        <v>1130</v>
      </c>
      <c r="B4518" s="2">
        <v>7</v>
      </c>
      <c r="C4518" s="2">
        <v>32460229</v>
      </c>
      <c r="D4518" s="2">
        <v>33159277</v>
      </c>
      <c r="E4518" s="2">
        <v>4</v>
      </c>
      <c r="F4518" s="2" t="s">
        <v>10086</v>
      </c>
      <c r="H4518" s="3">
        <v>2.9999999999999997E-4</v>
      </c>
      <c r="K4518" s="2" t="s">
        <v>10088</v>
      </c>
    </row>
    <row r="4519" spans="1:11" x14ac:dyDescent="0.2">
      <c r="A4519" s="2">
        <v>1131</v>
      </c>
      <c r="B4519" s="2">
        <v>7</v>
      </c>
      <c r="C4519" s="2">
        <v>33159278</v>
      </c>
      <c r="D4519" s="2">
        <v>34114532</v>
      </c>
      <c r="E4519" s="2">
        <v>1</v>
      </c>
      <c r="F4519" s="2" t="s">
        <v>10086</v>
      </c>
      <c r="H4519" s="2">
        <v>2.3999999999999998E-3</v>
      </c>
      <c r="K4519" s="2" t="s">
        <v>10087</v>
      </c>
    </row>
    <row r="4520" spans="1:11" x14ac:dyDescent="0.2">
      <c r="A4520" s="2">
        <v>1131</v>
      </c>
      <c r="B4520" s="2">
        <v>7</v>
      </c>
      <c r="C4520" s="2">
        <v>33159278</v>
      </c>
      <c r="D4520" s="2">
        <v>34114532</v>
      </c>
      <c r="E4520" s="2">
        <v>2</v>
      </c>
      <c r="F4520" s="2" t="s">
        <v>10086</v>
      </c>
      <c r="H4520" s="3">
        <v>8.0000000000000004E-4</v>
      </c>
      <c r="K4520" s="2" t="s">
        <v>10085</v>
      </c>
    </row>
    <row r="4521" spans="1:11" x14ac:dyDescent="0.2">
      <c r="A4521" s="2">
        <v>1131</v>
      </c>
      <c r="B4521" s="2">
        <v>7</v>
      </c>
      <c r="C4521" s="2">
        <v>33159278</v>
      </c>
      <c r="D4521" s="2">
        <v>34114532</v>
      </c>
      <c r="E4521" s="2">
        <v>3</v>
      </c>
      <c r="F4521" s="2" t="s">
        <v>10086</v>
      </c>
      <c r="H4521" s="3">
        <v>6.9999999999999999E-4</v>
      </c>
      <c r="K4521" s="2" t="s">
        <v>10089</v>
      </c>
    </row>
    <row r="4522" spans="1:11" x14ac:dyDescent="0.2">
      <c r="A4522" s="2">
        <v>1131</v>
      </c>
      <c r="B4522" s="2">
        <v>7</v>
      </c>
      <c r="C4522" s="2">
        <v>33159278</v>
      </c>
      <c r="D4522" s="2">
        <v>34114532</v>
      </c>
      <c r="E4522" s="2">
        <v>4</v>
      </c>
      <c r="F4522" s="2" t="s">
        <v>10086</v>
      </c>
      <c r="H4522" s="3">
        <v>2.9999999999999997E-4</v>
      </c>
      <c r="K4522" s="2" t="s">
        <v>10088</v>
      </c>
    </row>
    <row r="4523" spans="1:11" x14ac:dyDescent="0.2">
      <c r="A4523" s="2">
        <v>1132</v>
      </c>
      <c r="B4523" s="2">
        <v>7</v>
      </c>
      <c r="C4523" s="2">
        <v>34114533</v>
      </c>
      <c r="D4523" s="2">
        <v>35354135</v>
      </c>
      <c r="E4523" s="2">
        <v>1</v>
      </c>
      <c r="F4523" s="2" t="s">
        <v>10086</v>
      </c>
      <c r="H4523" s="2">
        <v>3.5000000000000001E-3</v>
      </c>
      <c r="K4523" s="2" t="s">
        <v>10087</v>
      </c>
    </row>
    <row r="4524" spans="1:11" x14ac:dyDescent="0.2">
      <c r="A4524" s="2">
        <v>1132</v>
      </c>
      <c r="B4524" s="2">
        <v>7</v>
      </c>
      <c r="C4524" s="2">
        <v>34114533</v>
      </c>
      <c r="D4524" s="2">
        <v>35354135</v>
      </c>
      <c r="E4524" s="2">
        <v>2</v>
      </c>
      <c r="F4524" s="2" t="s">
        <v>10086</v>
      </c>
      <c r="H4524" s="2">
        <v>1.1999999999999999E-3</v>
      </c>
      <c r="K4524" s="2" t="s">
        <v>10085</v>
      </c>
    </row>
    <row r="4525" spans="1:11" x14ac:dyDescent="0.2">
      <c r="A4525" s="2">
        <v>1132</v>
      </c>
      <c r="B4525" s="2">
        <v>7</v>
      </c>
      <c r="C4525" s="2">
        <v>34114533</v>
      </c>
      <c r="D4525" s="2">
        <v>35354135</v>
      </c>
      <c r="E4525" s="2">
        <v>3</v>
      </c>
      <c r="F4525" s="2" t="s">
        <v>10086</v>
      </c>
      <c r="H4525" s="3">
        <v>8.9999999999999998E-4</v>
      </c>
      <c r="K4525" s="2" t="s">
        <v>10088</v>
      </c>
    </row>
    <row r="4526" spans="1:11" x14ac:dyDescent="0.2">
      <c r="A4526" s="2">
        <v>1132</v>
      </c>
      <c r="B4526" s="2">
        <v>7</v>
      </c>
      <c r="C4526" s="2">
        <v>34114533</v>
      </c>
      <c r="D4526" s="2">
        <v>35354135</v>
      </c>
      <c r="E4526" s="2">
        <v>4</v>
      </c>
      <c r="F4526" s="2" t="s">
        <v>10086</v>
      </c>
      <c r="H4526" s="3">
        <v>5.9999999999999995E-4</v>
      </c>
      <c r="K4526" s="2" t="s">
        <v>10089</v>
      </c>
    </row>
    <row r="4527" spans="1:11" x14ac:dyDescent="0.2">
      <c r="A4527" s="2">
        <v>1133</v>
      </c>
      <c r="B4527" s="2">
        <v>7</v>
      </c>
      <c r="C4527" s="2">
        <v>35354136</v>
      </c>
      <c r="D4527" s="2">
        <v>36507690</v>
      </c>
      <c r="E4527" s="2">
        <v>1</v>
      </c>
      <c r="F4527" s="2" t="s">
        <v>10086</v>
      </c>
      <c r="H4527" s="2">
        <v>1.2999999999999999E-3</v>
      </c>
      <c r="K4527" s="2" t="s">
        <v>10089</v>
      </c>
    </row>
    <row r="4528" spans="1:11" x14ac:dyDescent="0.2">
      <c r="A4528" s="2">
        <v>1133</v>
      </c>
      <c r="B4528" s="2">
        <v>7</v>
      </c>
      <c r="C4528" s="2">
        <v>35354136</v>
      </c>
      <c r="D4528" s="2">
        <v>36507690</v>
      </c>
      <c r="E4528" s="2">
        <v>2</v>
      </c>
      <c r="F4528" s="2" t="s">
        <v>10086</v>
      </c>
      <c r="H4528" s="2">
        <v>1E-3</v>
      </c>
      <c r="K4528" s="2" t="s">
        <v>10088</v>
      </c>
    </row>
    <row r="4529" spans="1:11" x14ac:dyDescent="0.2">
      <c r="A4529" s="2">
        <v>1133</v>
      </c>
      <c r="B4529" s="2">
        <v>7</v>
      </c>
      <c r="C4529" s="2">
        <v>35354136</v>
      </c>
      <c r="D4529" s="2">
        <v>36507690</v>
      </c>
      <c r="E4529" s="2">
        <v>3</v>
      </c>
      <c r="F4529" s="2" t="s">
        <v>10086</v>
      </c>
      <c r="H4529" s="3">
        <v>8.0000000000000004E-4</v>
      </c>
      <c r="K4529" s="2" t="s">
        <v>10087</v>
      </c>
    </row>
    <row r="4530" spans="1:11" x14ac:dyDescent="0.2">
      <c r="A4530" s="2">
        <v>1133</v>
      </c>
      <c r="B4530" s="2">
        <v>7</v>
      </c>
      <c r="C4530" s="2">
        <v>35354136</v>
      </c>
      <c r="D4530" s="2">
        <v>36507690</v>
      </c>
      <c r="E4530" s="2">
        <v>4</v>
      </c>
      <c r="F4530" s="2" t="s">
        <v>10086</v>
      </c>
      <c r="H4530" s="3">
        <v>5.0000000000000001E-4</v>
      </c>
      <c r="K4530" s="2" t="s">
        <v>10085</v>
      </c>
    </row>
    <row r="4531" spans="1:11" x14ac:dyDescent="0.2">
      <c r="A4531" s="2">
        <v>1134</v>
      </c>
      <c r="B4531" s="2">
        <v>7</v>
      </c>
      <c r="C4531" s="2">
        <v>36507691</v>
      </c>
      <c r="D4531" s="2">
        <v>37981936</v>
      </c>
      <c r="E4531" s="2">
        <v>1</v>
      </c>
      <c r="F4531" s="2" t="s">
        <v>10086</v>
      </c>
      <c r="H4531" s="2">
        <v>2.5000000000000001E-3</v>
      </c>
      <c r="K4531" s="2" t="s">
        <v>10085</v>
      </c>
    </row>
    <row r="4532" spans="1:11" x14ac:dyDescent="0.2">
      <c r="A4532" s="2">
        <v>1134</v>
      </c>
      <c r="B4532" s="2">
        <v>7</v>
      </c>
      <c r="C4532" s="2">
        <v>36507691</v>
      </c>
      <c r="D4532" s="2">
        <v>37981936</v>
      </c>
      <c r="E4532" s="2">
        <v>2</v>
      </c>
      <c r="F4532" s="2" t="s">
        <v>10086</v>
      </c>
      <c r="H4532" s="2">
        <v>1.6999999999999999E-3</v>
      </c>
      <c r="K4532" s="2" t="s">
        <v>10089</v>
      </c>
    </row>
    <row r="4533" spans="1:11" x14ac:dyDescent="0.2">
      <c r="A4533" s="2">
        <v>1134</v>
      </c>
      <c r="B4533" s="2">
        <v>7</v>
      </c>
      <c r="C4533" s="2">
        <v>36507691</v>
      </c>
      <c r="D4533" s="2">
        <v>37981936</v>
      </c>
      <c r="E4533" s="2">
        <v>3</v>
      </c>
      <c r="F4533" s="2" t="s">
        <v>10086</v>
      </c>
      <c r="H4533" s="2">
        <v>1.6999999999999999E-3</v>
      </c>
      <c r="K4533" s="2" t="s">
        <v>10087</v>
      </c>
    </row>
    <row r="4534" spans="1:11" x14ac:dyDescent="0.2">
      <c r="A4534" s="2">
        <v>1134</v>
      </c>
      <c r="B4534" s="2">
        <v>7</v>
      </c>
      <c r="C4534" s="2">
        <v>36507691</v>
      </c>
      <c r="D4534" s="2">
        <v>37981936</v>
      </c>
      <c r="E4534" s="2">
        <v>4</v>
      </c>
      <c r="F4534" s="2" t="s">
        <v>10086</v>
      </c>
      <c r="H4534" s="2">
        <v>1.1000000000000001E-3</v>
      </c>
      <c r="K4534" s="2" t="s">
        <v>10088</v>
      </c>
    </row>
    <row r="4535" spans="1:11" x14ac:dyDescent="0.2">
      <c r="A4535" s="2">
        <v>1135</v>
      </c>
      <c r="B4535" s="2">
        <v>7</v>
      </c>
      <c r="C4535" s="2">
        <v>37981937</v>
      </c>
      <c r="D4535" s="2">
        <v>38966483</v>
      </c>
      <c r="E4535" s="2">
        <v>1</v>
      </c>
      <c r="F4535" s="2" t="s">
        <v>10086</v>
      </c>
      <c r="H4535" s="2">
        <v>7.6300000000000007E-2</v>
      </c>
      <c r="K4535" s="2" t="s">
        <v>10087</v>
      </c>
    </row>
    <row r="4536" spans="1:11" x14ac:dyDescent="0.2">
      <c r="A4536" s="2">
        <v>1135</v>
      </c>
      <c r="B4536" s="2">
        <v>7</v>
      </c>
      <c r="C4536" s="2">
        <v>37981937</v>
      </c>
      <c r="D4536" s="2">
        <v>38966483</v>
      </c>
      <c r="E4536" s="2">
        <v>2</v>
      </c>
      <c r="F4536" s="2" t="s">
        <v>10086</v>
      </c>
      <c r="H4536" s="2">
        <v>1.5E-3</v>
      </c>
      <c r="K4536" s="2" t="s">
        <v>10088</v>
      </c>
    </row>
    <row r="4537" spans="1:11" x14ac:dyDescent="0.2">
      <c r="A4537" s="2">
        <v>1135</v>
      </c>
      <c r="B4537" s="2">
        <v>7</v>
      </c>
      <c r="C4537" s="2">
        <v>37981937</v>
      </c>
      <c r="D4537" s="2">
        <v>38966483</v>
      </c>
      <c r="E4537" s="2">
        <v>3</v>
      </c>
      <c r="F4537" s="2" t="s">
        <v>10086</v>
      </c>
      <c r="H4537" s="2">
        <v>1E-3</v>
      </c>
      <c r="K4537" s="2" t="s">
        <v>10085</v>
      </c>
    </row>
    <row r="4538" spans="1:11" x14ac:dyDescent="0.2">
      <c r="A4538" s="2">
        <v>1135</v>
      </c>
      <c r="B4538" s="2">
        <v>7</v>
      </c>
      <c r="C4538" s="2">
        <v>37981937</v>
      </c>
      <c r="D4538" s="2">
        <v>38966483</v>
      </c>
      <c r="E4538" s="2">
        <v>4</v>
      </c>
      <c r="F4538" s="2" t="s">
        <v>10086</v>
      </c>
      <c r="H4538" s="3">
        <v>5.0000000000000001E-4</v>
      </c>
      <c r="K4538" s="2" t="s">
        <v>10089</v>
      </c>
    </row>
    <row r="4539" spans="1:11" x14ac:dyDescent="0.2">
      <c r="A4539" s="2">
        <v>1136</v>
      </c>
      <c r="B4539" s="2">
        <v>7</v>
      </c>
      <c r="C4539" s="2">
        <v>38966484</v>
      </c>
      <c r="D4539" s="2">
        <v>40261240</v>
      </c>
      <c r="E4539" s="2">
        <v>1</v>
      </c>
      <c r="F4539" s="2" t="s">
        <v>10086</v>
      </c>
      <c r="H4539" s="2">
        <v>1.6999999999999999E-3</v>
      </c>
      <c r="K4539" s="2" t="s">
        <v>10089</v>
      </c>
    </row>
    <row r="4540" spans="1:11" x14ac:dyDescent="0.2">
      <c r="A4540" s="2">
        <v>1136</v>
      </c>
      <c r="B4540" s="2">
        <v>7</v>
      </c>
      <c r="C4540" s="2">
        <v>38966484</v>
      </c>
      <c r="D4540" s="2">
        <v>40261240</v>
      </c>
      <c r="E4540" s="2">
        <v>2</v>
      </c>
      <c r="F4540" s="2" t="s">
        <v>10086</v>
      </c>
      <c r="H4540" s="2">
        <v>1.6000000000000001E-3</v>
      </c>
      <c r="K4540" s="2" t="s">
        <v>10087</v>
      </c>
    </row>
    <row r="4541" spans="1:11" x14ac:dyDescent="0.2">
      <c r="A4541" s="2">
        <v>1136</v>
      </c>
      <c r="B4541" s="2">
        <v>7</v>
      </c>
      <c r="C4541" s="2">
        <v>38966484</v>
      </c>
      <c r="D4541" s="2">
        <v>40261240</v>
      </c>
      <c r="E4541" s="2">
        <v>3</v>
      </c>
      <c r="F4541" s="2" t="s">
        <v>10086</v>
      </c>
      <c r="H4541" s="3">
        <v>8.9999999999999998E-4</v>
      </c>
      <c r="K4541" s="2" t="s">
        <v>10088</v>
      </c>
    </row>
    <row r="4542" spans="1:11" x14ac:dyDescent="0.2">
      <c r="A4542" s="2">
        <v>1136</v>
      </c>
      <c r="B4542" s="2">
        <v>7</v>
      </c>
      <c r="C4542" s="2">
        <v>38966484</v>
      </c>
      <c r="D4542" s="2">
        <v>40261240</v>
      </c>
      <c r="E4542" s="2">
        <v>4</v>
      </c>
      <c r="F4542" s="2" t="s">
        <v>10086</v>
      </c>
      <c r="H4542" s="3">
        <v>4.0000000000000002E-4</v>
      </c>
      <c r="K4542" s="2" t="s">
        <v>10085</v>
      </c>
    </row>
    <row r="4543" spans="1:11" x14ac:dyDescent="0.2">
      <c r="A4543" s="2">
        <v>1137</v>
      </c>
      <c r="B4543" s="2">
        <v>7</v>
      </c>
      <c r="C4543" s="2">
        <v>40261241</v>
      </c>
      <c r="D4543" s="2">
        <v>41415925</v>
      </c>
      <c r="E4543" s="2">
        <v>1</v>
      </c>
      <c r="F4543" s="2" t="s">
        <v>10086</v>
      </c>
      <c r="H4543" s="2">
        <v>1.5E-3</v>
      </c>
      <c r="K4543" s="2" t="s">
        <v>10089</v>
      </c>
    </row>
    <row r="4544" spans="1:11" x14ac:dyDescent="0.2">
      <c r="A4544" s="2">
        <v>1137</v>
      </c>
      <c r="B4544" s="2">
        <v>7</v>
      </c>
      <c r="C4544" s="2">
        <v>40261241</v>
      </c>
      <c r="D4544" s="2">
        <v>41415925</v>
      </c>
      <c r="E4544" s="2">
        <v>2</v>
      </c>
      <c r="F4544" s="2" t="s">
        <v>10086</v>
      </c>
      <c r="H4544" s="2">
        <v>1.1000000000000001E-3</v>
      </c>
      <c r="K4544" s="2" t="s">
        <v>10085</v>
      </c>
    </row>
    <row r="4545" spans="1:11" x14ac:dyDescent="0.2">
      <c r="A4545" s="2">
        <v>1137</v>
      </c>
      <c r="B4545" s="2">
        <v>7</v>
      </c>
      <c r="C4545" s="2">
        <v>40261241</v>
      </c>
      <c r="D4545" s="2">
        <v>41415925</v>
      </c>
      <c r="E4545" s="2">
        <v>3</v>
      </c>
      <c r="F4545" s="2" t="s">
        <v>10086</v>
      </c>
      <c r="H4545" s="2">
        <v>1.6999999999999999E-3</v>
      </c>
      <c r="K4545" s="2" t="s">
        <v>10087</v>
      </c>
    </row>
    <row r="4546" spans="1:11" x14ac:dyDescent="0.2">
      <c r="A4546" s="2">
        <v>1137</v>
      </c>
      <c r="B4546" s="2">
        <v>7</v>
      </c>
      <c r="C4546" s="2">
        <v>40261241</v>
      </c>
      <c r="D4546" s="2">
        <v>41415925</v>
      </c>
      <c r="E4546" s="2">
        <v>4</v>
      </c>
      <c r="F4546" s="2" t="s">
        <v>10086</v>
      </c>
      <c r="H4546" s="3">
        <v>2.9999999999999997E-4</v>
      </c>
      <c r="K4546" s="2" t="s">
        <v>10088</v>
      </c>
    </row>
    <row r="4547" spans="1:11" x14ac:dyDescent="0.2">
      <c r="A4547" s="2">
        <v>1138</v>
      </c>
      <c r="B4547" s="2">
        <v>7</v>
      </c>
      <c r="C4547" s="2">
        <v>41415926</v>
      </c>
      <c r="D4547" s="2">
        <v>42494806</v>
      </c>
      <c r="E4547" s="2">
        <v>1</v>
      </c>
      <c r="F4547" s="2" t="s">
        <v>10086</v>
      </c>
      <c r="H4547" s="2">
        <v>2.2000000000000001E-3</v>
      </c>
      <c r="K4547" s="2" t="s">
        <v>10089</v>
      </c>
    </row>
    <row r="4548" spans="1:11" x14ac:dyDescent="0.2">
      <c r="A4548" s="2">
        <v>1138</v>
      </c>
      <c r="B4548" s="2">
        <v>7</v>
      </c>
      <c r="C4548" s="2">
        <v>41415926</v>
      </c>
      <c r="D4548" s="2">
        <v>42494806</v>
      </c>
      <c r="E4548" s="2">
        <v>2</v>
      </c>
      <c r="F4548" s="2" t="s">
        <v>10086</v>
      </c>
      <c r="H4548" s="2">
        <v>1.1999999999999999E-3</v>
      </c>
      <c r="K4548" s="2" t="s">
        <v>10085</v>
      </c>
    </row>
    <row r="4549" spans="1:11" x14ac:dyDescent="0.2">
      <c r="A4549" s="2">
        <v>1138</v>
      </c>
      <c r="B4549" s="2">
        <v>7</v>
      </c>
      <c r="C4549" s="2">
        <v>41415926</v>
      </c>
      <c r="D4549" s="2">
        <v>42494806</v>
      </c>
      <c r="E4549" s="2">
        <v>3</v>
      </c>
      <c r="F4549" s="2" t="s">
        <v>10086</v>
      </c>
      <c r="H4549" s="2">
        <v>1E-3</v>
      </c>
      <c r="K4549" s="2" t="s">
        <v>10087</v>
      </c>
    </row>
    <row r="4550" spans="1:11" x14ac:dyDescent="0.2">
      <c r="A4550" s="2">
        <v>1138</v>
      </c>
      <c r="B4550" s="2">
        <v>7</v>
      </c>
      <c r="C4550" s="2">
        <v>41415926</v>
      </c>
      <c r="D4550" s="2">
        <v>42494806</v>
      </c>
      <c r="E4550" s="2">
        <v>4</v>
      </c>
      <c r="F4550" s="2" t="s">
        <v>10086</v>
      </c>
      <c r="H4550" s="3">
        <v>8.0000000000000004E-4</v>
      </c>
      <c r="K4550" s="2" t="s">
        <v>10088</v>
      </c>
    </row>
    <row r="4551" spans="1:11" x14ac:dyDescent="0.2">
      <c r="A4551" s="2">
        <v>1139</v>
      </c>
      <c r="B4551" s="2">
        <v>7</v>
      </c>
      <c r="C4551" s="2">
        <v>42494807</v>
      </c>
      <c r="D4551" s="2">
        <v>43448815</v>
      </c>
      <c r="E4551" s="2">
        <v>1</v>
      </c>
      <c r="F4551" s="2" t="s">
        <v>10086</v>
      </c>
      <c r="H4551" s="2">
        <v>5.9200000000000003E-2</v>
      </c>
      <c r="K4551" s="2" t="s">
        <v>12324</v>
      </c>
    </row>
    <row r="4552" spans="1:11" x14ac:dyDescent="0.2">
      <c r="A4552" s="2">
        <v>1139</v>
      </c>
      <c r="B4552" s="2">
        <v>7</v>
      </c>
      <c r="C4552" s="2">
        <v>42494807</v>
      </c>
      <c r="D4552" s="2">
        <v>43448815</v>
      </c>
      <c r="E4552" s="2">
        <v>2</v>
      </c>
      <c r="F4552" s="2" t="s">
        <v>10086</v>
      </c>
      <c r="H4552" s="2">
        <v>1.6000000000000001E-3</v>
      </c>
      <c r="K4552" s="2" t="s">
        <v>10088</v>
      </c>
    </row>
    <row r="4553" spans="1:11" x14ac:dyDescent="0.2">
      <c r="A4553" s="2">
        <v>1139</v>
      </c>
      <c r="B4553" s="2">
        <v>7</v>
      </c>
      <c r="C4553" s="2">
        <v>42494807</v>
      </c>
      <c r="D4553" s="2">
        <v>43448815</v>
      </c>
      <c r="E4553" s="2">
        <v>3</v>
      </c>
      <c r="F4553" s="2" t="s">
        <v>10086</v>
      </c>
      <c r="H4553" s="2">
        <v>1E-3</v>
      </c>
      <c r="K4553" s="2" t="s">
        <v>10089</v>
      </c>
    </row>
    <row r="4554" spans="1:11" x14ac:dyDescent="0.2">
      <c r="A4554" s="2">
        <v>1139</v>
      </c>
      <c r="B4554" s="2">
        <v>7</v>
      </c>
      <c r="C4554" s="2">
        <v>42494807</v>
      </c>
      <c r="D4554" s="2">
        <v>43448815</v>
      </c>
      <c r="E4554" s="2">
        <v>4</v>
      </c>
      <c r="F4554" s="2" t="s">
        <v>10086</v>
      </c>
      <c r="H4554" s="3">
        <v>8.9999999999999998E-4</v>
      </c>
      <c r="K4554" s="2" t="s">
        <v>10085</v>
      </c>
    </row>
    <row r="4555" spans="1:11" x14ac:dyDescent="0.2">
      <c r="A4555" s="2">
        <v>1140</v>
      </c>
      <c r="B4555" s="2">
        <v>7</v>
      </c>
      <c r="C4555" s="2">
        <v>43448816</v>
      </c>
      <c r="D4555" s="2">
        <v>44989571</v>
      </c>
      <c r="E4555" s="2">
        <v>1</v>
      </c>
      <c r="F4555" s="2" t="s">
        <v>10086</v>
      </c>
      <c r="H4555" s="2">
        <v>5.0000000000000001E-3</v>
      </c>
      <c r="K4555" s="2" t="s">
        <v>10089</v>
      </c>
    </row>
    <row r="4556" spans="1:11" x14ac:dyDescent="0.2">
      <c r="A4556" s="2">
        <v>1140</v>
      </c>
      <c r="B4556" s="2">
        <v>7</v>
      </c>
      <c r="C4556" s="2">
        <v>43448816</v>
      </c>
      <c r="D4556" s="2">
        <v>44989571</v>
      </c>
      <c r="E4556" s="2">
        <v>2</v>
      </c>
      <c r="F4556" s="2" t="s">
        <v>10086</v>
      </c>
      <c r="H4556" s="2">
        <v>3.5999999999999999E-3</v>
      </c>
      <c r="K4556" s="2" t="s">
        <v>10085</v>
      </c>
    </row>
    <row r="4557" spans="1:11" x14ac:dyDescent="0.2">
      <c r="A4557" s="2">
        <v>1140</v>
      </c>
      <c r="B4557" s="2">
        <v>7</v>
      </c>
      <c r="C4557" s="2">
        <v>43448816</v>
      </c>
      <c r="D4557" s="2">
        <v>44989571</v>
      </c>
      <c r="E4557" s="2">
        <v>3</v>
      </c>
      <c r="F4557" s="2" t="s">
        <v>10086</v>
      </c>
      <c r="H4557" s="2">
        <v>1.1000000000000001E-3</v>
      </c>
      <c r="K4557" s="2" t="s">
        <v>10088</v>
      </c>
    </row>
    <row r="4558" spans="1:11" x14ac:dyDescent="0.2">
      <c r="A4558" s="2">
        <v>1140</v>
      </c>
      <c r="B4558" s="2">
        <v>7</v>
      </c>
      <c r="C4558" s="2">
        <v>43448816</v>
      </c>
      <c r="D4558" s="2">
        <v>44989571</v>
      </c>
      <c r="E4558" s="2">
        <v>4</v>
      </c>
      <c r="F4558" s="2" t="s">
        <v>10086</v>
      </c>
      <c r="H4558" s="3">
        <v>5.9999999999999995E-4</v>
      </c>
      <c r="K4558" s="2" t="s">
        <v>10087</v>
      </c>
    </row>
    <row r="4559" spans="1:11" x14ac:dyDescent="0.2">
      <c r="A4559" s="2">
        <v>1141</v>
      </c>
      <c r="B4559" s="2">
        <v>7</v>
      </c>
      <c r="C4559" s="2">
        <v>44989572</v>
      </c>
      <c r="D4559" s="2">
        <v>46247335</v>
      </c>
      <c r="E4559" s="2">
        <v>1</v>
      </c>
      <c r="F4559" s="2" t="s">
        <v>10086</v>
      </c>
      <c r="H4559" s="2">
        <v>1.9E-3</v>
      </c>
      <c r="K4559" s="2" t="s">
        <v>10088</v>
      </c>
    </row>
    <row r="4560" spans="1:11" x14ac:dyDescent="0.2">
      <c r="A4560" s="2">
        <v>1141</v>
      </c>
      <c r="B4560" s="2">
        <v>7</v>
      </c>
      <c r="C4560" s="2">
        <v>44989572</v>
      </c>
      <c r="D4560" s="2">
        <v>46247335</v>
      </c>
      <c r="E4560" s="2">
        <v>2</v>
      </c>
      <c r="F4560" s="2" t="s">
        <v>10086</v>
      </c>
      <c r="H4560" s="2">
        <v>2.2000000000000001E-3</v>
      </c>
      <c r="K4560" s="2" t="s">
        <v>10085</v>
      </c>
    </row>
    <row r="4561" spans="1:11" x14ac:dyDescent="0.2">
      <c r="A4561" s="2">
        <v>1141</v>
      </c>
      <c r="B4561" s="2">
        <v>7</v>
      </c>
      <c r="C4561" s="2">
        <v>44989572</v>
      </c>
      <c r="D4561" s="2">
        <v>46247335</v>
      </c>
      <c r="E4561" s="2">
        <v>3</v>
      </c>
      <c r="F4561" s="2" t="s">
        <v>10086</v>
      </c>
      <c r="H4561" s="2">
        <v>1.1999999999999999E-3</v>
      </c>
      <c r="K4561" s="2" t="s">
        <v>10089</v>
      </c>
    </row>
    <row r="4562" spans="1:11" x14ac:dyDescent="0.2">
      <c r="A4562" s="2">
        <v>1141</v>
      </c>
      <c r="B4562" s="2">
        <v>7</v>
      </c>
      <c r="C4562" s="2">
        <v>44989572</v>
      </c>
      <c r="D4562" s="2">
        <v>46247335</v>
      </c>
      <c r="E4562" s="2">
        <v>4</v>
      </c>
      <c r="F4562" s="2" t="s">
        <v>10086</v>
      </c>
      <c r="H4562" s="3">
        <v>5.9999999999999995E-4</v>
      </c>
      <c r="K4562" s="2" t="s">
        <v>10087</v>
      </c>
    </row>
    <row r="4563" spans="1:11" x14ac:dyDescent="0.2">
      <c r="A4563" s="2">
        <v>1142</v>
      </c>
      <c r="B4563" s="2">
        <v>7</v>
      </c>
      <c r="C4563" s="2">
        <v>46247336</v>
      </c>
      <c r="D4563" s="2">
        <v>47253454</v>
      </c>
      <c r="E4563" s="2">
        <v>1</v>
      </c>
      <c r="F4563" s="2" t="s">
        <v>10086</v>
      </c>
      <c r="H4563" s="2">
        <v>4.7000000000000002E-3</v>
      </c>
      <c r="K4563" s="2" t="s">
        <v>10087</v>
      </c>
    </row>
    <row r="4564" spans="1:11" x14ac:dyDescent="0.2">
      <c r="A4564" s="2">
        <v>1142</v>
      </c>
      <c r="B4564" s="2">
        <v>7</v>
      </c>
      <c r="C4564" s="2">
        <v>46247336</v>
      </c>
      <c r="D4564" s="2">
        <v>47253454</v>
      </c>
      <c r="E4564" s="2">
        <v>2</v>
      </c>
      <c r="F4564" s="2" t="s">
        <v>10086</v>
      </c>
      <c r="H4564" s="2">
        <v>1.1999999999999999E-3</v>
      </c>
      <c r="K4564" s="2" t="s">
        <v>10088</v>
      </c>
    </row>
    <row r="4565" spans="1:11" x14ac:dyDescent="0.2">
      <c r="A4565" s="2">
        <v>1142</v>
      </c>
      <c r="B4565" s="2">
        <v>7</v>
      </c>
      <c r="C4565" s="2">
        <v>46247336</v>
      </c>
      <c r="D4565" s="2">
        <v>47253454</v>
      </c>
      <c r="E4565" s="2">
        <v>3</v>
      </c>
      <c r="F4565" s="2" t="s">
        <v>10086</v>
      </c>
      <c r="H4565" s="3">
        <v>8.9999999999999998E-4</v>
      </c>
      <c r="K4565" s="2" t="s">
        <v>10089</v>
      </c>
    </row>
    <row r="4566" spans="1:11" x14ac:dyDescent="0.2">
      <c r="A4566" s="2">
        <v>1142</v>
      </c>
      <c r="B4566" s="2">
        <v>7</v>
      </c>
      <c r="C4566" s="2">
        <v>46247336</v>
      </c>
      <c r="D4566" s="2">
        <v>47253454</v>
      </c>
      <c r="E4566" s="2">
        <v>4</v>
      </c>
      <c r="F4566" s="2" t="s">
        <v>10086</v>
      </c>
      <c r="H4566" s="3">
        <v>5.0000000000000001E-4</v>
      </c>
      <c r="K4566" s="2" t="s">
        <v>10085</v>
      </c>
    </row>
    <row r="4567" spans="1:11" x14ac:dyDescent="0.2">
      <c r="A4567" s="2">
        <v>1143</v>
      </c>
      <c r="B4567" s="2">
        <v>7</v>
      </c>
      <c r="C4567" s="2">
        <v>47253455</v>
      </c>
      <c r="D4567" s="2">
        <v>48363585</v>
      </c>
      <c r="E4567" s="2">
        <v>1</v>
      </c>
      <c r="F4567" s="2" t="s">
        <v>10086</v>
      </c>
      <c r="H4567" s="2">
        <v>2E-3</v>
      </c>
      <c r="K4567" s="2" t="s">
        <v>10088</v>
      </c>
    </row>
    <row r="4568" spans="1:11" x14ac:dyDescent="0.2">
      <c r="A4568" s="2">
        <v>1143</v>
      </c>
      <c r="B4568" s="2">
        <v>7</v>
      </c>
      <c r="C4568" s="2">
        <v>47253455</v>
      </c>
      <c r="D4568" s="2">
        <v>48363585</v>
      </c>
      <c r="E4568" s="2">
        <v>2</v>
      </c>
      <c r="F4568" s="2" t="s">
        <v>10086</v>
      </c>
      <c r="H4568" s="2">
        <v>1.5E-3</v>
      </c>
      <c r="K4568" s="2" t="s">
        <v>10089</v>
      </c>
    </row>
    <row r="4569" spans="1:11" x14ac:dyDescent="0.2">
      <c r="A4569" s="2">
        <v>1143</v>
      </c>
      <c r="B4569" s="2">
        <v>7</v>
      </c>
      <c r="C4569" s="2">
        <v>47253455</v>
      </c>
      <c r="D4569" s="2">
        <v>48363585</v>
      </c>
      <c r="E4569" s="2">
        <v>3</v>
      </c>
      <c r="F4569" s="2" t="s">
        <v>10086</v>
      </c>
      <c r="H4569" s="2">
        <v>1.4E-3</v>
      </c>
      <c r="K4569" s="2" t="s">
        <v>10087</v>
      </c>
    </row>
    <row r="4570" spans="1:11" x14ac:dyDescent="0.2">
      <c r="A4570" s="2">
        <v>1143</v>
      </c>
      <c r="B4570" s="2">
        <v>7</v>
      </c>
      <c r="C4570" s="2">
        <v>47253455</v>
      </c>
      <c r="D4570" s="2">
        <v>48363585</v>
      </c>
      <c r="E4570" s="2">
        <v>4</v>
      </c>
      <c r="F4570" s="2" t="s">
        <v>10086</v>
      </c>
      <c r="H4570" s="3">
        <v>8.0000000000000004E-4</v>
      </c>
      <c r="K4570" s="2" t="s">
        <v>12324</v>
      </c>
    </row>
    <row r="4571" spans="1:11" x14ac:dyDescent="0.2">
      <c r="A4571" s="2">
        <v>1144</v>
      </c>
      <c r="B4571" s="2">
        <v>7</v>
      </c>
      <c r="C4571" s="2">
        <v>48363586</v>
      </c>
      <c r="D4571" s="2">
        <v>48984625</v>
      </c>
      <c r="E4571" s="2">
        <v>1</v>
      </c>
      <c r="F4571" s="2" t="s">
        <v>10086</v>
      </c>
      <c r="H4571" s="2">
        <v>1.6999999999999999E-3</v>
      </c>
      <c r="K4571" s="2" t="s">
        <v>10087</v>
      </c>
    </row>
    <row r="4572" spans="1:11" x14ac:dyDescent="0.2">
      <c r="A4572" s="2">
        <v>1144</v>
      </c>
      <c r="B4572" s="2">
        <v>7</v>
      </c>
      <c r="C4572" s="2">
        <v>48363586</v>
      </c>
      <c r="D4572" s="2">
        <v>48984625</v>
      </c>
      <c r="E4572" s="2">
        <v>2</v>
      </c>
      <c r="F4572" s="2" t="s">
        <v>10086</v>
      </c>
      <c r="H4572" s="3">
        <v>5.9999999999999995E-4</v>
      </c>
      <c r="K4572" s="2" t="s">
        <v>10089</v>
      </c>
    </row>
    <row r="4573" spans="1:11" x14ac:dyDescent="0.2">
      <c r="A4573" s="2">
        <v>1144</v>
      </c>
      <c r="B4573" s="2">
        <v>7</v>
      </c>
      <c r="C4573" s="2">
        <v>48363586</v>
      </c>
      <c r="D4573" s="2">
        <v>48984625</v>
      </c>
      <c r="E4573" s="2">
        <v>3</v>
      </c>
      <c r="F4573" s="2" t="s">
        <v>10086</v>
      </c>
      <c r="H4573" s="3">
        <v>5.9999999999999995E-4</v>
      </c>
      <c r="K4573" s="2" t="s">
        <v>10085</v>
      </c>
    </row>
    <row r="4574" spans="1:11" x14ac:dyDescent="0.2">
      <c r="A4574" s="2">
        <v>1144</v>
      </c>
      <c r="B4574" s="2">
        <v>7</v>
      </c>
      <c r="C4574" s="2">
        <v>48363586</v>
      </c>
      <c r="D4574" s="2">
        <v>48984625</v>
      </c>
      <c r="E4574" s="2">
        <v>4</v>
      </c>
      <c r="F4574" s="2" t="s">
        <v>10086</v>
      </c>
      <c r="H4574" s="3">
        <v>2.9999999999999997E-4</v>
      </c>
      <c r="K4574" s="2" t="s">
        <v>10088</v>
      </c>
    </row>
    <row r="4575" spans="1:11" x14ac:dyDescent="0.2">
      <c r="A4575" s="2">
        <v>1145</v>
      </c>
      <c r="B4575" s="2">
        <v>7</v>
      </c>
      <c r="C4575" s="2">
        <v>48984626</v>
      </c>
      <c r="D4575" s="2">
        <v>49632426</v>
      </c>
      <c r="E4575" s="2">
        <v>1</v>
      </c>
      <c r="F4575" s="2" t="s">
        <v>10086</v>
      </c>
      <c r="H4575" s="2">
        <v>1.6000000000000001E-3</v>
      </c>
      <c r="K4575" s="2" t="s">
        <v>10089</v>
      </c>
    </row>
    <row r="4576" spans="1:11" x14ac:dyDescent="0.2">
      <c r="A4576" s="2">
        <v>1145</v>
      </c>
      <c r="B4576" s="2">
        <v>7</v>
      </c>
      <c r="C4576" s="2">
        <v>48984626</v>
      </c>
      <c r="D4576" s="2">
        <v>49632426</v>
      </c>
      <c r="E4576" s="2">
        <v>2</v>
      </c>
      <c r="F4576" s="2" t="s">
        <v>10086</v>
      </c>
      <c r="H4576" s="2">
        <v>1E-3</v>
      </c>
      <c r="K4576" s="2" t="s">
        <v>10087</v>
      </c>
    </row>
    <row r="4577" spans="1:11" x14ac:dyDescent="0.2">
      <c r="A4577" s="2">
        <v>1145</v>
      </c>
      <c r="B4577" s="2">
        <v>7</v>
      </c>
      <c r="C4577" s="2">
        <v>48984626</v>
      </c>
      <c r="D4577" s="2">
        <v>49632426</v>
      </c>
      <c r="E4577" s="2">
        <v>3</v>
      </c>
      <c r="F4577" s="2" t="s">
        <v>10086</v>
      </c>
      <c r="H4577" s="3">
        <v>5.0000000000000001E-4</v>
      </c>
      <c r="K4577" s="2" t="s">
        <v>10085</v>
      </c>
    </row>
    <row r="4578" spans="1:11" x14ac:dyDescent="0.2">
      <c r="A4578" s="2">
        <v>1145</v>
      </c>
      <c r="B4578" s="2">
        <v>7</v>
      </c>
      <c r="C4578" s="2">
        <v>48984626</v>
      </c>
      <c r="D4578" s="2">
        <v>49632426</v>
      </c>
      <c r="E4578" s="2">
        <v>4</v>
      </c>
      <c r="F4578" s="2" t="s">
        <v>10086</v>
      </c>
      <c r="H4578" s="3">
        <v>2.0000000000000001E-4</v>
      </c>
      <c r="K4578" s="2" t="s">
        <v>10088</v>
      </c>
    </row>
    <row r="4579" spans="1:11" x14ac:dyDescent="0.2">
      <c r="A4579" s="2">
        <v>1146</v>
      </c>
      <c r="B4579" s="2">
        <v>7</v>
      </c>
      <c r="C4579" s="2">
        <v>49632427</v>
      </c>
      <c r="D4579" s="2">
        <v>50894508</v>
      </c>
      <c r="E4579" s="2">
        <v>1</v>
      </c>
      <c r="F4579" s="2" t="s">
        <v>10086</v>
      </c>
      <c r="H4579" s="2">
        <v>1.3599999999999999E-2</v>
      </c>
      <c r="K4579" s="2" t="s">
        <v>12324</v>
      </c>
    </row>
    <row r="4580" spans="1:11" x14ac:dyDescent="0.2">
      <c r="A4580" s="2">
        <v>1146</v>
      </c>
      <c r="B4580" s="2">
        <v>7</v>
      </c>
      <c r="C4580" s="2">
        <v>49632427</v>
      </c>
      <c r="D4580" s="2">
        <v>50894508</v>
      </c>
      <c r="E4580" s="2">
        <v>2</v>
      </c>
      <c r="F4580" s="2" t="s">
        <v>10086</v>
      </c>
      <c r="H4580" s="2">
        <v>7.1000000000000004E-3</v>
      </c>
      <c r="K4580" s="2" t="s">
        <v>10088</v>
      </c>
    </row>
    <row r="4581" spans="1:11" x14ac:dyDescent="0.2">
      <c r="A4581" s="2">
        <v>1146</v>
      </c>
      <c r="B4581" s="2">
        <v>7</v>
      </c>
      <c r="C4581" s="2">
        <v>49632427</v>
      </c>
      <c r="D4581" s="2">
        <v>50894508</v>
      </c>
      <c r="E4581" s="2">
        <v>3</v>
      </c>
      <c r="F4581" s="2" t="s">
        <v>10086</v>
      </c>
      <c r="H4581" s="2">
        <v>1E-3</v>
      </c>
      <c r="K4581" s="2" t="s">
        <v>10085</v>
      </c>
    </row>
    <row r="4582" spans="1:11" x14ac:dyDescent="0.2">
      <c r="A4582" s="2">
        <v>1146</v>
      </c>
      <c r="B4582" s="2">
        <v>7</v>
      </c>
      <c r="C4582" s="2">
        <v>49632427</v>
      </c>
      <c r="D4582" s="2">
        <v>50894508</v>
      </c>
      <c r="E4582" s="2">
        <v>4</v>
      </c>
      <c r="F4582" s="2" t="s">
        <v>10086</v>
      </c>
      <c r="H4582" s="3">
        <v>8.9999999999999998E-4</v>
      </c>
      <c r="K4582" s="2" t="s">
        <v>10087</v>
      </c>
    </row>
    <row r="4583" spans="1:11" x14ac:dyDescent="0.2">
      <c r="A4583" s="2">
        <v>1147</v>
      </c>
      <c r="B4583" s="2">
        <v>7</v>
      </c>
      <c r="C4583" s="2">
        <v>50894509</v>
      </c>
      <c r="D4583" s="2">
        <v>51951647</v>
      </c>
      <c r="E4583" s="2">
        <v>1</v>
      </c>
      <c r="F4583" s="2" t="s">
        <v>10086</v>
      </c>
      <c r="H4583" s="2">
        <v>2.9499999999999998E-2</v>
      </c>
      <c r="K4583" s="2" t="s">
        <v>10085</v>
      </c>
    </row>
    <row r="4584" spans="1:11" x14ac:dyDescent="0.2">
      <c r="A4584" s="2">
        <v>1147</v>
      </c>
      <c r="B4584" s="2">
        <v>7</v>
      </c>
      <c r="C4584" s="2">
        <v>50894509</v>
      </c>
      <c r="D4584" s="2">
        <v>51951647</v>
      </c>
      <c r="E4584" s="2">
        <v>2</v>
      </c>
      <c r="F4584" s="2" t="s">
        <v>10086</v>
      </c>
      <c r="H4584" s="2">
        <v>5.3E-3</v>
      </c>
      <c r="K4584" s="2" t="s">
        <v>10088</v>
      </c>
    </row>
    <row r="4585" spans="1:11" x14ac:dyDescent="0.2">
      <c r="A4585" s="2">
        <v>1147</v>
      </c>
      <c r="B4585" s="2">
        <v>7</v>
      </c>
      <c r="C4585" s="2">
        <v>50894509</v>
      </c>
      <c r="D4585" s="2">
        <v>51951647</v>
      </c>
      <c r="E4585" s="2">
        <v>3</v>
      </c>
      <c r="F4585" s="2" t="s">
        <v>10086</v>
      </c>
      <c r="H4585" s="2">
        <v>1.2999999999999999E-3</v>
      </c>
      <c r="K4585" s="2" t="s">
        <v>12324</v>
      </c>
    </row>
    <row r="4586" spans="1:11" x14ac:dyDescent="0.2">
      <c r="A4586" s="2">
        <v>1147</v>
      </c>
      <c r="B4586" s="2">
        <v>7</v>
      </c>
      <c r="C4586" s="2">
        <v>50894509</v>
      </c>
      <c r="D4586" s="2">
        <v>51951647</v>
      </c>
      <c r="E4586" s="2">
        <v>4</v>
      </c>
      <c r="F4586" s="2" t="s">
        <v>10086</v>
      </c>
      <c r="H4586" s="3">
        <v>8.9999999999999998E-4</v>
      </c>
      <c r="K4586" s="2" t="s">
        <v>10089</v>
      </c>
    </row>
    <row r="4587" spans="1:11" x14ac:dyDescent="0.2">
      <c r="A4587" s="2">
        <v>1148</v>
      </c>
      <c r="B4587" s="2">
        <v>7</v>
      </c>
      <c r="C4587" s="2">
        <v>51951648</v>
      </c>
      <c r="D4587" s="2">
        <v>52635123</v>
      </c>
      <c r="E4587" s="2">
        <v>1</v>
      </c>
      <c r="F4587" s="2" t="s">
        <v>10086</v>
      </c>
      <c r="H4587" s="2">
        <v>5.5999999999999999E-3</v>
      </c>
      <c r="K4587" s="2" t="s">
        <v>10087</v>
      </c>
    </row>
    <row r="4588" spans="1:11" x14ac:dyDescent="0.2">
      <c r="A4588" s="2">
        <v>1148</v>
      </c>
      <c r="B4588" s="2">
        <v>7</v>
      </c>
      <c r="C4588" s="2">
        <v>51951648</v>
      </c>
      <c r="D4588" s="2">
        <v>52635123</v>
      </c>
      <c r="E4588" s="2">
        <v>2</v>
      </c>
      <c r="F4588" s="2" t="s">
        <v>10086</v>
      </c>
      <c r="H4588" s="2">
        <v>1.6999999999999999E-3</v>
      </c>
      <c r="K4588" s="2" t="s">
        <v>10089</v>
      </c>
    </row>
    <row r="4589" spans="1:11" x14ac:dyDescent="0.2">
      <c r="A4589" s="2">
        <v>1148</v>
      </c>
      <c r="B4589" s="2">
        <v>7</v>
      </c>
      <c r="C4589" s="2">
        <v>51951648</v>
      </c>
      <c r="D4589" s="2">
        <v>52635123</v>
      </c>
      <c r="E4589" s="2">
        <v>3</v>
      </c>
      <c r="F4589" s="2" t="s">
        <v>10086</v>
      </c>
      <c r="H4589" s="3">
        <v>8.0000000000000004E-4</v>
      </c>
      <c r="K4589" s="2" t="s">
        <v>10088</v>
      </c>
    </row>
    <row r="4590" spans="1:11" x14ac:dyDescent="0.2">
      <c r="A4590" s="2">
        <v>1148</v>
      </c>
      <c r="B4590" s="2">
        <v>7</v>
      </c>
      <c r="C4590" s="2">
        <v>51951648</v>
      </c>
      <c r="D4590" s="2">
        <v>52635123</v>
      </c>
      <c r="E4590" s="2">
        <v>4</v>
      </c>
      <c r="F4590" s="2" t="s">
        <v>10086</v>
      </c>
      <c r="H4590" s="3">
        <v>2.9999999999999997E-4</v>
      </c>
      <c r="K4590" s="2" t="s">
        <v>10085</v>
      </c>
    </row>
    <row r="4591" spans="1:11" x14ac:dyDescent="0.2">
      <c r="A4591" s="2">
        <v>1149</v>
      </c>
      <c r="B4591" s="2">
        <v>7</v>
      </c>
      <c r="C4591" s="2">
        <v>52635124</v>
      </c>
      <c r="D4591" s="2">
        <v>53176523</v>
      </c>
      <c r="E4591" s="2">
        <v>1</v>
      </c>
      <c r="F4591" s="2" t="s">
        <v>10086</v>
      </c>
      <c r="H4591" s="2">
        <v>4.6100000000000002E-2</v>
      </c>
      <c r="K4591" s="2" t="s">
        <v>10088</v>
      </c>
    </row>
    <row r="4592" spans="1:11" x14ac:dyDescent="0.2">
      <c r="A4592" s="2">
        <v>1149</v>
      </c>
      <c r="B4592" s="2">
        <v>7</v>
      </c>
      <c r="C4592" s="2">
        <v>52635124</v>
      </c>
      <c r="D4592" s="2">
        <v>53176523</v>
      </c>
      <c r="E4592" s="2">
        <v>2</v>
      </c>
      <c r="F4592" s="2" t="s">
        <v>10086</v>
      </c>
      <c r="H4592" s="2">
        <v>1E-3</v>
      </c>
      <c r="K4592" s="2" t="s">
        <v>10085</v>
      </c>
    </row>
    <row r="4593" spans="1:11" x14ac:dyDescent="0.2">
      <c r="A4593" s="2">
        <v>1149</v>
      </c>
      <c r="B4593" s="2">
        <v>7</v>
      </c>
      <c r="C4593" s="2">
        <v>52635124</v>
      </c>
      <c r="D4593" s="2">
        <v>53176523</v>
      </c>
      <c r="E4593" s="2">
        <v>3</v>
      </c>
      <c r="F4593" s="2" t="s">
        <v>10086</v>
      </c>
      <c r="H4593" s="3">
        <v>6.9999999999999999E-4</v>
      </c>
      <c r="K4593" s="2" t="s">
        <v>10089</v>
      </c>
    </row>
    <row r="4594" spans="1:11" x14ac:dyDescent="0.2">
      <c r="A4594" s="2">
        <v>1149</v>
      </c>
      <c r="B4594" s="2">
        <v>7</v>
      </c>
      <c r="C4594" s="2">
        <v>52635124</v>
      </c>
      <c r="D4594" s="2">
        <v>53176523</v>
      </c>
      <c r="E4594" s="2">
        <v>4</v>
      </c>
      <c r="F4594" s="2" t="s">
        <v>10086</v>
      </c>
      <c r="H4594" s="3">
        <v>2.9999999999999997E-4</v>
      </c>
      <c r="K4594" s="2" t="s">
        <v>10087</v>
      </c>
    </row>
    <row r="4595" spans="1:11" x14ac:dyDescent="0.2">
      <c r="A4595" s="2">
        <v>1150</v>
      </c>
      <c r="B4595" s="2">
        <v>7</v>
      </c>
      <c r="C4595" s="2">
        <v>53176524</v>
      </c>
      <c r="D4595" s="2">
        <v>54086987</v>
      </c>
      <c r="E4595" s="2">
        <v>1</v>
      </c>
      <c r="F4595" s="2" t="s">
        <v>10086</v>
      </c>
      <c r="H4595" s="2">
        <v>8.0999999999999996E-3</v>
      </c>
      <c r="K4595" s="2" t="s">
        <v>10088</v>
      </c>
    </row>
    <row r="4596" spans="1:11" x14ac:dyDescent="0.2">
      <c r="A4596" s="2">
        <v>1150</v>
      </c>
      <c r="B4596" s="2">
        <v>7</v>
      </c>
      <c r="C4596" s="2">
        <v>53176524</v>
      </c>
      <c r="D4596" s="2">
        <v>54086987</v>
      </c>
      <c r="E4596" s="2">
        <v>2</v>
      </c>
      <c r="F4596" s="2" t="s">
        <v>10086</v>
      </c>
      <c r="H4596" s="2">
        <v>2E-3</v>
      </c>
      <c r="K4596" s="2" t="s">
        <v>10085</v>
      </c>
    </row>
    <row r="4597" spans="1:11" x14ac:dyDescent="0.2">
      <c r="A4597" s="2">
        <v>1150</v>
      </c>
      <c r="B4597" s="2">
        <v>7</v>
      </c>
      <c r="C4597" s="2">
        <v>53176524</v>
      </c>
      <c r="D4597" s="2">
        <v>54086987</v>
      </c>
      <c r="E4597" s="2">
        <v>3</v>
      </c>
      <c r="F4597" s="2" t="s">
        <v>10086</v>
      </c>
      <c r="H4597" s="2">
        <v>1.1000000000000001E-3</v>
      </c>
      <c r="K4597" s="2" t="s">
        <v>10089</v>
      </c>
    </row>
    <row r="4598" spans="1:11" x14ac:dyDescent="0.2">
      <c r="A4598" s="2">
        <v>1150</v>
      </c>
      <c r="B4598" s="2">
        <v>7</v>
      </c>
      <c r="C4598" s="2">
        <v>53176524</v>
      </c>
      <c r="D4598" s="2">
        <v>54086987</v>
      </c>
      <c r="E4598" s="2">
        <v>4</v>
      </c>
      <c r="F4598" s="2" t="s">
        <v>10086</v>
      </c>
      <c r="H4598" s="3">
        <v>4.0000000000000002E-4</v>
      </c>
      <c r="K4598" s="2" t="s">
        <v>10087</v>
      </c>
    </row>
    <row r="4599" spans="1:11" x14ac:dyDescent="0.2">
      <c r="A4599" s="2">
        <v>1151</v>
      </c>
      <c r="B4599" s="2">
        <v>7</v>
      </c>
      <c r="C4599" s="2">
        <v>54086988</v>
      </c>
      <c r="D4599" s="2">
        <v>54550500</v>
      </c>
      <c r="E4599" s="2">
        <v>1</v>
      </c>
      <c r="F4599" s="2" t="s">
        <v>10086</v>
      </c>
      <c r="H4599" s="2">
        <v>1.1999999999999999E-3</v>
      </c>
      <c r="K4599" s="2" t="s">
        <v>10088</v>
      </c>
    </row>
    <row r="4600" spans="1:11" x14ac:dyDescent="0.2">
      <c r="A4600" s="2">
        <v>1151</v>
      </c>
      <c r="B4600" s="2">
        <v>7</v>
      </c>
      <c r="C4600" s="2">
        <v>54086988</v>
      </c>
      <c r="D4600" s="2">
        <v>54550500</v>
      </c>
      <c r="E4600" s="2">
        <v>2</v>
      </c>
      <c r="F4600" s="2" t="s">
        <v>10086</v>
      </c>
      <c r="H4600" s="3">
        <v>6.9999999999999999E-4</v>
      </c>
      <c r="K4600" s="2" t="s">
        <v>10087</v>
      </c>
    </row>
    <row r="4601" spans="1:11" x14ac:dyDescent="0.2">
      <c r="A4601" s="2">
        <v>1151</v>
      </c>
      <c r="B4601" s="2">
        <v>7</v>
      </c>
      <c r="C4601" s="2">
        <v>54086988</v>
      </c>
      <c r="D4601" s="2">
        <v>54550500</v>
      </c>
      <c r="E4601" s="2">
        <v>3</v>
      </c>
      <c r="F4601" s="2" t="s">
        <v>10086</v>
      </c>
      <c r="H4601" s="3">
        <v>5.9999999999999995E-4</v>
      </c>
      <c r="K4601" s="2" t="s">
        <v>10089</v>
      </c>
    </row>
    <row r="4602" spans="1:11" x14ac:dyDescent="0.2">
      <c r="A4602" s="2">
        <v>1151</v>
      </c>
      <c r="B4602" s="2">
        <v>7</v>
      </c>
      <c r="C4602" s="2">
        <v>54086988</v>
      </c>
      <c r="D4602" s="2">
        <v>54550500</v>
      </c>
      <c r="E4602" s="2">
        <v>4</v>
      </c>
      <c r="F4602" s="2" t="s">
        <v>10086</v>
      </c>
      <c r="H4602" s="3">
        <v>2.0000000000000001E-4</v>
      </c>
      <c r="K4602" s="2" t="s">
        <v>10085</v>
      </c>
    </row>
    <row r="4603" spans="1:11" x14ac:dyDescent="0.2">
      <c r="A4603" s="2">
        <v>1152</v>
      </c>
      <c r="B4603" s="2">
        <v>7</v>
      </c>
      <c r="C4603" s="2">
        <v>54550501</v>
      </c>
      <c r="D4603" s="2">
        <v>55161394</v>
      </c>
      <c r="E4603" s="2">
        <v>1</v>
      </c>
      <c r="F4603" s="2" t="s">
        <v>10086</v>
      </c>
      <c r="H4603" s="2">
        <v>1.6999999999999999E-3</v>
      </c>
      <c r="K4603" s="2" t="s">
        <v>10085</v>
      </c>
    </row>
    <row r="4604" spans="1:11" x14ac:dyDescent="0.2">
      <c r="A4604" s="2">
        <v>1152</v>
      </c>
      <c r="B4604" s="2">
        <v>7</v>
      </c>
      <c r="C4604" s="2">
        <v>54550501</v>
      </c>
      <c r="D4604" s="2">
        <v>55161394</v>
      </c>
      <c r="E4604" s="2">
        <v>2</v>
      </c>
      <c r="F4604" s="2" t="s">
        <v>10086</v>
      </c>
      <c r="H4604" s="3">
        <v>8.0000000000000004E-4</v>
      </c>
      <c r="K4604" s="2" t="s">
        <v>12324</v>
      </c>
    </row>
    <row r="4605" spans="1:11" x14ac:dyDescent="0.2">
      <c r="A4605" s="2">
        <v>1152</v>
      </c>
      <c r="B4605" s="2">
        <v>7</v>
      </c>
      <c r="C4605" s="2">
        <v>54550501</v>
      </c>
      <c r="D4605" s="2">
        <v>55161394</v>
      </c>
      <c r="E4605" s="2">
        <v>3</v>
      </c>
      <c r="F4605" s="2" t="s">
        <v>10086</v>
      </c>
      <c r="H4605" s="2">
        <v>1.1999999999999999E-3</v>
      </c>
      <c r="K4605" s="2" t="s">
        <v>10087</v>
      </c>
    </row>
    <row r="4606" spans="1:11" x14ac:dyDescent="0.2">
      <c r="A4606" s="2">
        <v>1152</v>
      </c>
      <c r="B4606" s="2">
        <v>7</v>
      </c>
      <c r="C4606" s="2">
        <v>54550501</v>
      </c>
      <c r="D4606" s="2">
        <v>55161394</v>
      </c>
      <c r="E4606" s="2">
        <v>4</v>
      </c>
      <c r="F4606" s="2" t="s">
        <v>10086</v>
      </c>
      <c r="H4606" s="3">
        <v>8.0000000000000004E-4</v>
      </c>
      <c r="K4606" s="2" t="s">
        <v>10088</v>
      </c>
    </row>
    <row r="4607" spans="1:11" x14ac:dyDescent="0.2">
      <c r="A4607" s="2">
        <v>1153</v>
      </c>
      <c r="B4607" s="2">
        <v>7</v>
      </c>
      <c r="C4607" s="2">
        <v>55161395</v>
      </c>
      <c r="D4607" s="2">
        <v>56303513</v>
      </c>
      <c r="E4607" s="2">
        <v>1</v>
      </c>
      <c r="F4607" s="2" t="s">
        <v>10086</v>
      </c>
      <c r="H4607" s="2">
        <v>3.2000000000000002E-3</v>
      </c>
      <c r="K4607" s="2" t="s">
        <v>10088</v>
      </c>
    </row>
    <row r="4608" spans="1:11" x14ac:dyDescent="0.2">
      <c r="A4608" s="2">
        <v>1153</v>
      </c>
      <c r="B4608" s="2">
        <v>7</v>
      </c>
      <c r="C4608" s="2">
        <v>55161395</v>
      </c>
      <c r="D4608" s="2">
        <v>56303513</v>
      </c>
      <c r="E4608" s="2">
        <v>2</v>
      </c>
      <c r="F4608" s="2" t="s">
        <v>10086</v>
      </c>
      <c r="H4608" s="2">
        <v>1.6000000000000001E-3</v>
      </c>
      <c r="K4608" s="2" t="s">
        <v>10087</v>
      </c>
    </row>
    <row r="4609" spans="1:11" x14ac:dyDescent="0.2">
      <c r="A4609" s="2">
        <v>1153</v>
      </c>
      <c r="B4609" s="2">
        <v>7</v>
      </c>
      <c r="C4609" s="2">
        <v>55161395</v>
      </c>
      <c r="D4609" s="2">
        <v>56303513</v>
      </c>
      <c r="E4609" s="2">
        <v>3</v>
      </c>
      <c r="F4609" s="2" t="s">
        <v>10086</v>
      </c>
      <c r="H4609" s="3">
        <v>8.0000000000000004E-4</v>
      </c>
      <c r="K4609" s="2" t="s">
        <v>10089</v>
      </c>
    </row>
    <row r="4610" spans="1:11" x14ac:dyDescent="0.2">
      <c r="A4610" s="2">
        <v>1153</v>
      </c>
      <c r="B4610" s="2">
        <v>7</v>
      </c>
      <c r="C4610" s="2">
        <v>55161395</v>
      </c>
      <c r="D4610" s="2">
        <v>56303513</v>
      </c>
      <c r="E4610" s="2">
        <v>4</v>
      </c>
      <c r="F4610" s="2" t="s">
        <v>10086</v>
      </c>
      <c r="H4610" s="3">
        <v>6.9999999999999999E-4</v>
      </c>
      <c r="K4610" s="2" t="s">
        <v>10085</v>
      </c>
    </row>
    <row r="4611" spans="1:11" x14ac:dyDescent="0.2">
      <c r="A4611" s="2">
        <v>1154</v>
      </c>
      <c r="B4611" s="2">
        <v>7</v>
      </c>
      <c r="C4611" s="2">
        <v>56303514</v>
      </c>
      <c r="D4611" s="2">
        <v>57383657</v>
      </c>
      <c r="E4611" s="2">
        <v>1</v>
      </c>
      <c r="F4611" s="2" t="s">
        <v>10086</v>
      </c>
      <c r="H4611" s="2">
        <v>1.6000000000000001E-3</v>
      </c>
      <c r="K4611" s="2" t="s">
        <v>10087</v>
      </c>
    </row>
    <row r="4612" spans="1:11" x14ac:dyDescent="0.2">
      <c r="A4612" s="2">
        <v>1154</v>
      </c>
      <c r="B4612" s="2">
        <v>7</v>
      </c>
      <c r="C4612" s="2">
        <v>56303514</v>
      </c>
      <c r="D4612" s="2">
        <v>57383657</v>
      </c>
      <c r="E4612" s="2">
        <v>2</v>
      </c>
      <c r="F4612" s="2" t="s">
        <v>10086</v>
      </c>
      <c r="H4612" s="2">
        <v>1.1999999999999999E-3</v>
      </c>
      <c r="K4612" s="2" t="s">
        <v>10088</v>
      </c>
    </row>
    <row r="4613" spans="1:11" x14ac:dyDescent="0.2">
      <c r="A4613" s="2">
        <v>1154</v>
      </c>
      <c r="B4613" s="2">
        <v>7</v>
      </c>
      <c r="C4613" s="2">
        <v>56303514</v>
      </c>
      <c r="D4613" s="2">
        <v>57383657</v>
      </c>
      <c r="E4613" s="2">
        <v>3</v>
      </c>
      <c r="F4613" s="2" t="s">
        <v>10086</v>
      </c>
      <c r="H4613" s="2">
        <v>1.1000000000000001E-3</v>
      </c>
      <c r="K4613" s="2" t="s">
        <v>10085</v>
      </c>
    </row>
    <row r="4614" spans="1:11" x14ac:dyDescent="0.2">
      <c r="A4614" s="2">
        <v>1154</v>
      </c>
      <c r="B4614" s="2">
        <v>7</v>
      </c>
      <c r="C4614" s="2">
        <v>56303514</v>
      </c>
      <c r="D4614" s="2">
        <v>57383657</v>
      </c>
      <c r="E4614" s="2">
        <v>4</v>
      </c>
      <c r="F4614" s="2" t="s">
        <v>10086</v>
      </c>
      <c r="H4614" s="3">
        <v>2.9999999999999997E-4</v>
      </c>
      <c r="K4614" s="2" t="s">
        <v>10089</v>
      </c>
    </row>
    <row r="4615" spans="1:11" x14ac:dyDescent="0.2">
      <c r="A4615" s="2">
        <v>1155</v>
      </c>
      <c r="B4615" s="2">
        <v>7</v>
      </c>
      <c r="C4615" s="2">
        <v>57383658</v>
      </c>
      <c r="D4615" s="2">
        <v>61969717</v>
      </c>
      <c r="E4615" s="2">
        <v>1</v>
      </c>
      <c r="F4615" s="2" t="s">
        <v>10086</v>
      </c>
      <c r="H4615" s="3">
        <v>4.0000000000000002E-4</v>
      </c>
      <c r="K4615" s="2" t="s">
        <v>10089</v>
      </c>
    </row>
    <row r="4616" spans="1:11" x14ac:dyDescent="0.2">
      <c r="A4616" s="2">
        <v>1155</v>
      </c>
      <c r="B4616" s="2">
        <v>7</v>
      </c>
      <c r="C4616" s="2">
        <v>57383658</v>
      </c>
      <c r="D4616" s="2">
        <v>61969717</v>
      </c>
      <c r="E4616" s="2">
        <v>2</v>
      </c>
      <c r="F4616" s="2" t="s">
        <v>10086</v>
      </c>
      <c r="H4616" s="3">
        <v>4.0000000000000002E-4</v>
      </c>
      <c r="K4616" s="2" t="s">
        <v>10087</v>
      </c>
    </row>
    <row r="4617" spans="1:11" x14ac:dyDescent="0.2">
      <c r="A4617" s="2">
        <v>1155</v>
      </c>
      <c r="B4617" s="2">
        <v>7</v>
      </c>
      <c r="C4617" s="2">
        <v>57383658</v>
      </c>
      <c r="D4617" s="2">
        <v>61969717</v>
      </c>
      <c r="E4617" s="2">
        <v>3</v>
      </c>
      <c r="F4617" s="2" t="s">
        <v>10086</v>
      </c>
      <c r="H4617" s="3">
        <v>2.0000000000000001E-4</v>
      </c>
      <c r="K4617" s="2" t="s">
        <v>10085</v>
      </c>
    </row>
    <row r="4618" spans="1:11" x14ac:dyDescent="0.2">
      <c r="A4618" s="2">
        <v>1155</v>
      </c>
      <c r="B4618" s="2">
        <v>7</v>
      </c>
      <c r="C4618" s="2">
        <v>57383658</v>
      </c>
      <c r="D4618" s="2">
        <v>61969717</v>
      </c>
      <c r="E4618" s="2">
        <v>4</v>
      </c>
      <c r="F4618" s="2" t="s">
        <v>10086</v>
      </c>
      <c r="H4618" s="3">
        <v>1E-4</v>
      </c>
      <c r="K4618" s="2" t="s">
        <v>10088</v>
      </c>
    </row>
    <row r="4619" spans="1:11" x14ac:dyDescent="0.2">
      <c r="A4619" s="2">
        <v>1156</v>
      </c>
      <c r="B4619" s="2">
        <v>7</v>
      </c>
      <c r="C4619" s="2">
        <v>61969718</v>
      </c>
      <c r="D4619" s="2">
        <v>63311297</v>
      </c>
      <c r="E4619" s="2">
        <v>1</v>
      </c>
      <c r="F4619" s="2" t="s">
        <v>10086</v>
      </c>
      <c r="H4619" s="2">
        <v>1.1000000000000001E-3</v>
      </c>
      <c r="K4619" s="2" t="s">
        <v>10085</v>
      </c>
    </row>
    <row r="4620" spans="1:11" x14ac:dyDescent="0.2">
      <c r="A4620" s="2">
        <v>1156</v>
      </c>
      <c r="B4620" s="2">
        <v>7</v>
      </c>
      <c r="C4620" s="2">
        <v>61969718</v>
      </c>
      <c r="D4620" s="2">
        <v>63311297</v>
      </c>
      <c r="E4620" s="2">
        <v>2</v>
      </c>
      <c r="F4620" s="2" t="s">
        <v>10086</v>
      </c>
      <c r="H4620" s="3">
        <v>8.9999999999999998E-4</v>
      </c>
      <c r="K4620" s="2" t="s">
        <v>10089</v>
      </c>
    </row>
    <row r="4621" spans="1:11" x14ac:dyDescent="0.2">
      <c r="A4621" s="2">
        <v>1156</v>
      </c>
      <c r="B4621" s="2">
        <v>7</v>
      </c>
      <c r="C4621" s="2">
        <v>61969718</v>
      </c>
      <c r="D4621" s="2">
        <v>63311297</v>
      </c>
      <c r="E4621" s="2">
        <v>3</v>
      </c>
      <c r="F4621" s="2" t="s">
        <v>10086</v>
      </c>
      <c r="H4621" s="3">
        <v>8.0000000000000004E-4</v>
      </c>
      <c r="K4621" s="2" t="s">
        <v>10087</v>
      </c>
    </row>
    <row r="4622" spans="1:11" x14ac:dyDescent="0.2">
      <c r="A4622" s="2">
        <v>1156</v>
      </c>
      <c r="B4622" s="2">
        <v>7</v>
      </c>
      <c r="C4622" s="2">
        <v>61969718</v>
      </c>
      <c r="D4622" s="2">
        <v>63311297</v>
      </c>
      <c r="E4622" s="2">
        <v>4</v>
      </c>
      <c r="F4622" s="2" t="s">
        <v>10086</v>
      </c>
      <c r="H4622" s="3">
        <v>4.0000000000000002E-4</v>
      </c>
      <c r="K4622" s="2" t="s">
        <v>10088</v>
      </c>
    </row>
    <row r="4623" spans="1:11" x14ac:dyDescent="0.2">
      <c r="A4623" s="2">
        <v>1157</v>
      </c>
      <c r="B4623" s="2">
        <v>7</v>
      </c>
      <c r="C4623" s="2">
        <v>63311298</v>
      </c>
      <c r="D4623" s="2">
        <v>64216135</v>
      </c>
      <c r="E4623" s="2">
        <v>1</v>
      </c>
      <c r="F4623" s="2" t="s">
        <v>10086</v>
      </c>
      <c r="H4623" s="2">
        <v>1.1999999999999999E-3</v>
      </c>
      <c r="K4623" s="2" t="s">
        <v>10088</v>
      </c>
    </row>
    <row r="4624" spans="1:11" x14ac:dyDescent="0.2">
      <c r="A4624" s="2">
        <v>1157</v>
      </c>
      <c r="B4624" s="2">
        <v>7</v>
      </c>
      <c r="C4624" s="2">
        <v>63311298</v>
      </c>
      <c r="D4624" s="2">
        <v>64216135</v>
      </c>
      <c r="E4624" s="2">
        <v>2</v>
      </c>
      <c r="F4624" s="2" t="s">
        <v>10086</v>
      </c>
      <c r="H4624" s="2">
        <v>1E-3</v>
      </c>
      <c r="K4624" s="2" t="s">
        <v>12324</v>
      </c>
    </row>
    <row r="4625" spans="1:11" x14ac:dyDescent="0.2">
      <c r="A4625" s="2">
        <v>1157</v>
      </c>
      <c r="B4625" s="2">
        <v>7</v>
      </c>
      <c r="C4625" s="2">
        <v>63311298</v>
      </c>
      <c r="D4625" s="2">
        <v>64216135</v>
      </c>
      <c r="E4625" s="2">
        <v>3</v>
      </c>
      <c r="F4625" s="2" t="s">
        <v>10086</v>
      </c>
      <c r="H4625" s="3">
        <v>6.9999999999999999E-4</v>
      </c>
      <c r="K4625" s="2" t="s">
        <v>10089</v>
      </c>
    </row>
    <row r="4626" spans="1:11" x14ac:dyDescent="0.2">
      <c r="A4626" s="2">
        <v>1157</v>
      </c>
      <c r="B4626" s="2">
        <v>7</v>
      </c>
      <c r="C4626" s="2">
        <v>63311298</v>
      </c>
      <c r="D4626" s="2">
        <v>64216135</v>
      </c>
      <c r="E4626" s="2">
        <v>4</v>
      </c>
      <c r="F4626" s="2" t="s">
        <v>10086</v>
      </c>
      <c r="H4626" s="3">
        <v>5.0000000000000001E-4</v>
      </c>
      <c r="K4626" s="2" t="s">
        <v>10085</v>
      </c>
    </row>
    <row r="4627" spans="1:11" x14ac:dyDescent="0.2">
      <c r="A4627" s="2">
        <v>1158</v>
      </c>
      <c r="B4627" s="2">
        <v>7</v>
      </c>
      <c r="C4627" s="2">
        <v>64216136</v>
      </c>
      <c r="D4627" s="2">
        <v>65294277</v>
      </c>
      <c r="E4627" s="2">
        <v>1</v>
      </c>
      <c r="F4627" s="2" t="s">
        <v>10086</v>
      </c>
      <c r="H4627" s="3">
        <v>8.9999999999999998E-4</v>
      </c>
      <c r="K4627" s="2" t="s">
        <v>10088</v>
      </c>
    </row>
    <row r="4628" spans="1:11" x14ac:dyDescent="0.2">
      <c r="A4628" s="2">
        <v>1158</v>
      </c>
      <c r="B4628" s="2">
        <v>7</v>
      </c>
      <c r="C4628" s="2">
        <v>64216136</v>
      </c>
      <c r="D4628" s="2">
        <v>65294277</v>
      </c>
      <c r="E4628" s="2">
        <v>2</v>
      </c>
      <c r="F4628" s="2" t="s">
        <v>10086</v>
      </c>
      <c r="H4628" s="3">
        <v>5.0000000000000001E-4</v>
      </c>
      <c r="K4628" s="2" t="s">
        <v>10085</v>
      </c>
    </row>
    <row r="4629" spans="1:11" x14ac:dyDescent="0.2">
      <c r="A4629" s="2">
        <v>1158</v>
      </c>
      <c r="B4629" s="2">
        <v>7</v>
      </c>
      <c r="C4629" s="2">
        <v>64216136</v>
      </c>
      <c r="D4629" s="2">
        <v>65294277</v>
      </c>
      <c r="E4629" s="2">
        <v>3</v>
      </c>
      <c r="F4629" s="2" t="s">
        <v>10086</v>
      </c>
      <c r="H4629" s="3">
        <v>5.0000000000000001E-4</v>
      </c>
      <c r="K4629" s="2" t="s">
        <v>10089</v>
      </c>
    </row>
    <row r="4630" spans="1:11" x14ac:dyDescent="0.2">
      <c r="A4630" s="2">
        <v>1158</v>
      </c>
      <c r="B4630" s="2">
        <v>7</v>
      </c>
      <c r="C4630" s="2">
        <v>64216136</v>
      </c>
      <c r="D4630" s="2">
        <v>65294277</v>
      </c>
      <c r="E4630" s="2">
        <v>4</v>
      </c>
      <c r="F4630" s="2" t="s">
        <v>10086</v>
      </c>
      <c r="H4630" s="3">
        <v>2.0000000000000001E-4</v>
      </c>
      <c r="K4630" s="2" t="s">
        <v>10087</v>
      </c>
    </row>
    <row r="4631" spans="1:11" x14ac:dyDescent="0.2">
      <c r="A4631" s="2">
        <v>1159</v>
      </c>
      <c r="B4631" s="2">
        <v>7</v>
      </c>
      <c r="C4631" s="2">
        <v>65294278</v>
      </c>
      <c r="D4631" s="2">
        <v>66453993</v>
      </c>
      <c r="E4631" s="2">
        <v>1</v>
      </c>
      <c r="F4631" s="2" t="s">
        <v>10086</v>
      </c>
      <c r="H4631" s="2">
        <v>1.1999999999999999E-3</v>
      </c>
      <c r="K4631" s="2" t="s">
        <v>10088</v>
      </c>
    </row>
    <row r="4632" spans="1:11" x14ac:dyDescent="0.2">
      <c r="A4632" s="2">
        <v>1159</v>
      </c>
      <c r="B4632" s="2">
        <v>7</v>
      </c>
      <c r="C4632" s="2">
        <v>65294278</v>
      </c>
      <c r="D4632" s="2">
        <v>66453993</v>
      </c>
      <c r="E4632" s="2">
        <v>2</v>
      </c>
      <c r="F4632" s="2" t="s">
        <v>10086</v>
      </c>
      <c r="H4632" s="3">
        <v>5.0000000000000001E-4</v>
      </c>
      <c r="K4632" s="2" t="s">
        <v>10085</v>
      </c>
    </row>
    <row r="4633" spans="1:11" x14ac:dyDescent="0.2">
      <c r="A4633" s="2">
        <v>1159</v>
      </c>
      <c r="B4633" s="2">
        <v>7</v>
      </c>
      <c r="C4633" s="2">
        <v>65294278</v>
      </c>
      <c r="D4633" s="2">
        <v>66453993</v>
      </c>
      <c r="E4633" s="2">
        <v>3</v>
      </c>
      <c r="F4633" s="2" t="s">
        <v>10086</v>
      </c>
      <c r="H4633" s="3">
        <v>4.0000000000000002E-4</v>
      </c>
      <c r="K4633" s="2" t="s">
        <v>10087</v>
      </c>
    </row>
    <row r="4634" spans="1:11" x14ac:dyDescent="0.2">
      <c r="A4634" s="2">
        <v>1159</v>
      </c>
      <c r="B4634" s="2">
        <v>7</v>
      </c>
      <c r="C4634" s="2">
        <v>65294278</v>
      </c>
      <c r="D4634" s="2">
        <v>66453993</v>
      </c>
      <c r="E4634" s="2">
        <v>4</v>
      </c>
      <c r="F4634" s="2" t="s">
        <v>10086</v>
      </c>
      <c r="H4634" s="3">
        <v>2.9999999999999997E-4</v>
      </c>
      <c r="K4634" s="2" t="s">
        <v>12324</v>
      </c>
    </row>
    <row r="4635" spans="1:11" x14ac:dyDescent="0.2">
      <c r="A4635" s="2">
        <v>1160</v>
      </c>
      <c r="B4635" s="2">
        <v>7</v>
      </c>
      <c r="C4635" s="2">
        <v>66453994</v>
      </c>
      <c r="D4635" s="2">
        <v>66914875</v>
      </c>
      <c r="E4635" s="2">
        <v>1</v>
      </c>
      <c r="F4635" s="2" t="s">
        <v>10086</v>
      </c>
      <c r="H4635" s="3">
        <v>8.0000000000000004E-4</v>
      </c>
      <c r="K4635" s="2" t="s">
        <v>10088</v>
      </c>
    </row>
    <row r="4636" spans="1:11" x14ac:dyDescent="0.2">
      <c r="A4636" s="2">
        <v>1160</v>
      </c>
      <c r="B4636" s="2">
        <v>7</v>
      </c>
      <c r="C4636" s="2">
        <v>66453994</v>
      </c>
      <c r="D4636" s="2">
        <v>66914875</v>
      </c>
      <c r="E4636" s="2">
        <v>2</v>
      </c>
      <c r="F4636" s="2" t="s">
        <v>10086</v>
      </c>
      <c r="H4636" s="3">
        <v>4.0000000000000002E-4</v>
      </c>
      <c r="K4636" s="2" t="s">
        <v>10085</v>
      </c>
    </row>
    <row r="4637" spans="1:11" x14ac:dyDescent="0.2">
      <c r="A4637" s="2">
        <v>1160</v>
      </c>
      <c r="B4637" s="2">
        <v>7</v>
      </c>
      <c r="C4637" s="2">
        <v>66453994</v>
      </c>
      <c r="D4637" s="2">
        <v>66914875</v>
      </c>
      <c r="E4637" s="2">
        <v>3</v>
      </c>
      <c r="F4637" s="2" t="s">
        <v>10086</v>
      </c>
      <c r="H4637" s="3">
        <v>2.0000000000000001E-4</v>
      </c>
      <c r="K4637" s="2" t="s">
        <v>10087</v>
      </c>
    </row>
    <row r="4638" spans="1:11" x14ac:dyDescent="0.2">
      <c r="A4638" s="2">
        <v>1160</v>
      </c>
      <c r="B4638" s="2">
        <v>7</v>
      </c>
      <c r="C4638" s="2">
        <v>66453994</v>
      </c>
      <c r="D4638" s="2">
        <v>66914875</v>
      </c>
      <c r="E4638" s="2">
        <v>4</v>
      </c>
      <c r="F4638" s="2" t="s">
        <v>10086</v>
      </c>
      <c r="H4638" s="3">
        <v>2.0000000000000001E-4</v>
      </c>
      <c r="K4638" s="2" t="s">
        <v>10089</v>
      </c>
    </row>
    <row r="4639" spans="1:11" x14ac:dyDescent="0.2">
      <c r="A4639" s="2">
        <v>1161</v>
      </c>
      <c r="B4639" s="2">
        <v>7</v>
      </c>
      <c r="C4639" s="2">
        <v>66914876</v>
      </c>
      <c r="D4639" s="2">
        <v>67474722</v>
      </c>
      <c r="E4639" s="2">
        <v>1</v>
      </c>
      <c r="F4639" s="2" t="s">
        <v>10086</v>
      </c>
      <c r="H4639" s="3">
        <v>8.0000000000000004E-4</v>
      </c>
      <c r="K4639" s="2" t="s">
        <v>10087</v>
      </c>
    </row>
    <row r="4640" spans="1:11" x14ac:dyDescent="0.2">
      <c r="A4640" s="2">
        <v>1161</v>
      </c>
      <c r="B4640" s="2">
        <v>7</v>
      </c>
      <c r="C4640" s="2">
        <v>66914876</v>
      </c>
      <c r="D4640" s="2">
        <v>67474722</v>
      </c>
      <c r="E4640" s="2">
        <v>2</v>
      </c>
      <c r="F4640" s="2" t="s">
        <v>10086</v>
      </c>
      <c r="H4640" s="3">
        <v>6.9999999999999999E-4</v>
      </c>
      <c r="K4640" s="2" t="s">
        <v>10085</v>
      </c>
    </row>
    <row r="4641" spans="1:11" x14ac:dyDescent="0.2">
      <c r="A4641" s="2">
        <v>1161</v>
      </c>
      <c r="B4641" s="2">
        <v>7</v>
      </c>
      <c r="C4641" s="2">
        <v>66914876</v>
      </c>
      <c r="D4641" s="2">
        <v>67474722</v>
      </c>
      <c r="E4641" s="2">
        <v>3</v>
      </c>
      <c r="F4641" s="2" t="s">
        <v>10086</v>
      </c>
      <c r="H4641" s="3">
        <v>5.9999999999999995E-4</v>
      </c>
      <c r="K4641" s="2" t="s">
        <v>10088</v>
      </c>
    </row>
    <row r="4642" spans="1:11" x14ac:dyDescent="0.2">
      <c r="A4642" s="2">
        <v>1161</v>
      </c>
      <c r="B4642" s="2">
        <v>7</v>
      </c>
      <c r="C4642" s="2">
        <v>66914876</v>
      </c>
      <c r="D4642" s="2">
        <v>67474722</v>
      </c>
      <c r="E4642" s="2">
        <v>4</v>
      </c>
      <c r="F4642" s="2" t="s">
        <v>10086</v>
      </c>
      <c r="H4642" s="3">
        <v>4.0000000000000002E-4</v>
      </c>
      <c r="K4642" s="2" t="s">
        <v>12324</v>
      </c>
    </row>
    <row r="4643" spans="1:11" x14ac:dyDescent="0.2">
      <c r="A4643" s="2">
        <v>1162</v>
      </c>
      <c r="B4643" s="2">
        <v>7</v>
      </c>
      <c r="C4643" s="2">
        <v>67474723</v>
      </c>
      <c r="D4643" s="2">
        <v>68569224</v>
      </c>
      <c r="E4643" s="2">
        <v>1</v>
      </c>
      <c r="F4643" s="2" t="s">
        <v>10086</v>
      </c>
      <c r="H4643" s="2">
        <v>5.8999999999999999E-3</v>
      </c>
      <c r="K4643" s="2" t="s">
        <v>10087</v>
      </c>
    </row>
    <row r="4644" spans="1:11" x14ac:dyDescent="0.2">
      <c r="A4644" s="2">
        <v>1162</v>
      </c>
      <c r="B4644" s="2">
        <v>7</v>
      </c>
      <c r="C4644" s="2">
        <v>67474723</v>
      </c>
      <c r="D4644" s="2">
        <v>68569224</v>
      </c>
      <c r="E4644" s="2">
        <v>2</v>
      </c>
      <c r="F4644" s="2" t="s">
        <v>10086</v>
      </c>
      <c r="H4644" s="2">
        <v>1.6999999999999999E-3</v>
      </c>
      <c r="K4644" s="2" t="s">
        <v>10085</v>
      </c>
    </row>
    <row r="4645" spans="1:11" x14ac:dyDescent="0.2">
      <c r="A4645" s="2">
        <v>1162</v>
      </c>
      <c r="B4645" s="2">
        <v>7</v>
      </c>
      <c r="C4645" s="2">
        <v>67474723</v>
      </c>
      <c r="D4645" s="2">
        <v>68569224</v>
      </c>
      <c r="E4645" s="2">
        <v>3</v>
      </c>
      <c r="F4645" s="2" t="s">
        <v>10086</v>
      </c>
      <c r="H4645" s="2">
        <v>1.5E-3</v>
      </c>
      <c r="K4645" s="2" t="s">
        <v>10089</v>
      </c>
    </row>
    <row r="4646" spans="1:11" x14ac:dyDescent="0.2">
      <c r="A4646" s="2">
        <v>1162</v>
      </c>
      <c r="B4646" s="2">
        <v>7</v>
      </c>
      <c r="C4646" s="2">
        <v>67474723</v>
      </c>
      <c r="D4646" s="2">
        <v>68569224</v>
      </c>
      <c r="E4646" s="2">
        <v>4</v>
      </c>
      <c r="F4646" s="2" t="s">
        <v>10086</v>
      </c>
      <c r="H4646" s="3">
        <v>5.0000000000000001E-4</v>
      </c>
      <c r="K4646" s="2" t="s">
        <v>10088</v>
      </c>
    </row>
    <row r="4647" spans="1:11" x14ac:dyDescent="0.2">
      <c r="A4647" s="2">
        <v>1163</v>
      </c>
      <c r="B4647" s="2">
        <v>7</v>
      </c>
      <c r="C4647" s="2">
        <v>68569225</v>
      </c>
      <c r="D4647" s="2">
        <v>70144614</v>
      </c>
      <c r="E4647" s="2">
        <v>1</v>
      </c>
      <c r="F4647" s="2" t="s">
        <v>10086</v>
      </c>
      <c r="H4647" s="2">
        <v>1.5100000000000001E-2</v>
      </c>
      <c r="K4647" s="2" t="s">
        <v>10087</v>
      </c>
    </row>
    <row r="4648" spans="1:11" x14ac:dyDescent="0.2">
      <c r="A4648" s="2">
        <v>1163</v>
      </c>
      <c r="B4648" s="2">
        <v>7</v>
      </c>
      <c r="C4648" s="2">
        <v>68569225</v>
      </c>
      <c r="D4648" s="2">
        <v>70144614</v>
      </c>
      <c r="E4648" s="2">
        <v>2</v>
      </c>
      <c r="F4648" s="2" t="s">
        <v>10086</v>
      </c>
      <c r="H4648" s="2">
        <v>1.9E-3</v>
      </c>
      <c r="K4648" s="2" t="s">
        <v>12324</v>
      </c>
    </row>
    <row r="4649" spans="1:11" x14ac:dyDescent="0.2">
      <c r="A4649" s="2">
        <v>1163</v>
      </c>
      <c r="B4649" s="2">
        <v>7</v>
      </c>
      <c r="C4649" s="2">
        <v>68569225</v>
      </c>
      <c r="D4649" s="2">
        <v>70144614</v>
      </c>
      <c r="E4649" s="2">
        <v>3</v>
      </c>
      <c r="F4649" s="2" t="s">
        <v>10086</v>
      </c>
      <c r="H4649" s="2">
        <v>1.2999999999999999E-3</v>
      </c>
      <c r="K4649" s="2" t="s">
        <v>10089</v>
      </c>
    </row>
    <row r="4650" spans="1:11" x14ac:dyDescent="0.2">
      <c r="A4650" s="2">
        <v>1163</v>
      </c>
      <c r="B4650" s="2">
        <v>7</v>
      </c>
      <c r="C4650" s="2">
        <v>68569225</v>
      </c>
      <c r="D4650" s="2">
        <v>70144614</v>
      </c>
      <c r="E4650" s="2">
        <v>4</v>
      </c>
      <c r="F4650" s="2" t="s">
        <v>10086</v>
      </c>
      <c r="H4650" s="2">
        <v>1.1000000000000001E-3</v>
      </c>
      <c r="K4650" s="2" t="s">
        <v>10088</v>
      </c>
    </row>
    <row r="4651" spans="1:11" x14ac:dyDescent="0.2">
      <c r="A4651" s="2">
        <v>1164</v>
      </c>
      <c r="B4651" s="2">
        <v>7</v>
      </c>
      <c r="C4651" s="2">
        <v>70144615</v>
      </c>
      <c r="D4651" s="2">
        <v>71215741</v>
      </c>
      <c r="E4651" s="2">
        <v>1</v>
      </c>
      <c r="F4651" s="2" t="s">
        <v>10086</v>
      </c>
      <c r="H4651" s="2">
        <v>4.3E-3</v>
      </c>
      <c r="K4651" s="2" t="s">
        <v>10087</v>
      </c>
    </row>
    <row r="4652" spans="1:11" x14ac:dyDescent="0.2">
      <c r="A4652" s="2">
        <v>1164</v>
      </c>
      <c r="B4652" s="2">
        <v>7</v>
      </c>
      <c r="C4652" s="2">
        <v>70144615</v>
      </c>
      <c r="D4652" s="2">
        <v>71215741</v>
      </c>
      <c r="E4652" s="2">
        <v>2</v>
      </c>
      <c r="F4652" s="2" t="s">
        <v>10086</v>
      </c>
      <c r="H4652" s="2">
        <v>3.5999999999999999E-3</v>
      </c>
      <c r="K4652" s="2" t="s">
        <v>10085</v>
      </c>
    </row>
    <row r="4653" spans="1:11" x14ac:dyDescent="0.2">
      <c r="A4653" s="2">
        <v>1164</v>
      </c>
      <c r="B4653" s="2">
        <v>7</v>
      </c>
      <c r="C4653" s="2">
        <v>70144615</v>
      </c>
      <c r="D4653" s="2">
        <v>71215741</v>
      </c>
      <c r="E4653" s="2">
        <v>3</v>
      </c>
      <c r="F4653" s="2" t="s">
        <v>10086</v>
      </c>
      <c r="H4653" s="2">
        <v>1.9E-3</v>
      </c>
      <c r="K4653" s="2" t="s">
        <v>10088</v>
      </c>
    </row>
    <row r="4654" spans="1:11" x14ac:dyDescent="0.2">
      <c r="A4654" s="2">
        <v>1164</v>
      </c>
      <c r="B4654" s="2">
        <v>7</v>
      </c>
      <c r="C4654" s="2">
        <v>70144615</v>
      </c>
      <c r="D4654" s="2">
        <v>71215741</v>
      </c>
      <c r="E4654" s="2">
        <v>4</v>
      </c>
      <c r="F4654" s="2" t="s">
        <v>10086</v>
      </c>
      <c r="H4654" s="3">
        <v>5.9999999999999995E-4</v>
      </c>
      <c r="K4654" s="2" t="s">
        <v>10089</v>
      </c>
    </row>
    <row r="4655" spans="1:11" x14ac:dyDescent="0.2">
      <c r="A4655" s="2">
        <v>1165</v>
      </c>
      <c r="B4655" s="2">
        <v>7</v>
      </c>
      <c r="C4655" s="2">
        <v>71215742</v>
      </c>
      <c r="D4655" s="2">
        <v>73128830</v>
      </c>
      <c r="E4655" s="2">
        <v>1</v>
      </c>
      <c r="F4655" s="2" t="s">
        <v>10086</v>
      </c>
      <c r="H4655" s="2">
        <v>5.1999999999999998E-3</v>
      </c>
      <c r="K4655" s="2" t="s">
        <v>12324</v>
      </c>
    </row>
    <row r="4656" spans="1:11" x14ac:dyDescent="0.2">
      <c r="A4656" s="2">
        <v>1165</v>
      </c>
      <c r="B4656" s="2">
        <v>7</v>
      </c>
      <c r="C4656" s="2">
        <v>71215742</v>
      </c>
      <c r="D4656" s="2">
        <v>73128830</v>
      </c>
      <c r="E4656" s="2">
        <v>2</v>
      </c>
      <c r="F4656" s="2" t="s">
        <v>10086</v>
      </c>
      <c r="H4656" s="2">
        <v>2.3E-3</v>
      </c>
      <c r="K4656" s="2" t="s">
        <v>10088</v>
      </c>
    </row>
    <row r="4657" spans="1:11" x14ac:dyDescent="0.2">
      <c r="A4657" s="2">
        <v>1165</v>
      </c>
      <c r="B4657" s="2">
        <v>7</v>
      </c>
      <c r="C4657" s="2">
        <v>71215742</v>
      </c>
      <c r="D4657" s="2">
        <v>73128830</v>
      </c>
      <c r="E4657" s="2">
        <v>3</v>
      </c>
      <c r="F4657" s="2" t="s">
        <v>10086</v>
      </c>
      <c r="H4657" s="2">
        <v>1.6000000000000001E-3</v>
      </c>
      <c r="K4657" s="2" t="s">
        <v>10089</v>
      </c>
    </row>
    <row r="4658" spans="1:11" x14ac:dyDescent="0.2">
      <c r="A4658" s="2">
        <v>1165</v>
      </c>
      <c r="B4658" s="2">
        <v>7</v>
      </c>
      <c r="C4658" s="2">
        <v>71215742</v>
      </c>
      <c r="D4658" s="2">
        <v>73128830</v>
      </c>
      <c r="E4658" s="2">
        <v>4</v>
      </c>
      <c r="F4658" s="2" t="s">
        <v>10086</v>
      </c>
      <c r="H4658" s="2">
        <v>1.1000000000000001E-3</v>
      </c>
      <c r="K4658" s="2" t="s">
        <v>10085</v>
      </c>
    </row>
    <row r="4659" spans="1:11" x14ac:dyDescent="0.2">
      <c r="A4659" s="2">
        <v>1166</v>
      </c>
      <c r="B4659" s="2">
        <v>7</v>
      </c>
      <c r="C4659" s="2">
        <v>73128831</v>
      </c>
      <c r="D4659" s="2">
        <v>75243899</v>
      </c>
      <c r="E4659" s="2">
        <v>1</v>
      </c>
      <c r="F4659" s="2" t="s">
        <v>10086</v>
      </c>
      <c r="H4659" s="2">
        <v>2.3199999999999998E-2</v>
      </c>
      <c r="K4659" s="2" t="s">
        <v>10088</v>
      </c>
    </row>
    <row r="4660" spans="1:11" x14ac:dyDescent="0.2">
      <c r="A4660" s="2">
        <v>1166</v>
      </c>
      <c r="B4660" s="2">
        <v>7</v>
      </c>
      <c r="C4660" s="2">
        <v>73128831</v>
      </c>
      <c r="D4660" s="2">
        <v>75243899</v>
      </c>
      <c r="E4660" s="2">
        <v>2</v>
      </c>
      <c r="F4660" s="2" t="s">
        <v>10086</v>
      </c>
      <c r="H4660" s="2">
        <v>6.4999999999999997E-3</v>
      </c>
      <c r="K4660" s="2" t="s">
        <v>12324</v>
      </c>
    </row>
    <row r="4661" spans="1:11" x14ac:dyDescent="0.2">
      <c r="A4661" s="2">
        <v>1166</v>
      </c>
      <c r="B4661" s="2">
        <v>7</v>
      </c>
      <c r="C4661" s="2">
        <v>73128831</v>
      </c>
      <c r="D4661" s="2">
        <v>75243899</v>
      </c>
      <c r="E4661" s="2">
        <v>3</v>
      </c>
      <c r="F4661" s="2" t="s">
        <v>10086</v>
      </c>
      <c r="H4661" s="2">
        <v>2.8E-3</v>
      </c>
      <c r="K4661" s="2" t="s">
        <v>10085</v>
      </c>
    </row>
    <row r="4662" spans="1:11" x14ac:dyDescent="0.2">
      <c r="A4662" s="2">
        <v>1166</v>
      </c>
      <c r="B4662" s="2">
        <v>7</v>
      </c>
      <c r="C4662" s="2">
        <v>73128831</v>
      </c>
      <c r="D4662" s="2">
        <v>75243899</v>
      </c>
      <c r="E4662" s="2">
        <v>4</v>
      </c>
      <c r="F4662" s="2" t="s">
        <v>10086</v>
      </c>
      <c r="H4662" s="2">
        <v>2.3999999999999998E-3</v>
      </c>
      <c r="K4662" s="2" t="s">
        <v>10087</v>
      </c>
    </row>
    <row r="4663" spans="1:11" x14ac:dyDescent="0.2">
      <c r="A4663" s="2">
        <v>1167</v>
      </c>
      <c r="B4663" s="2">
        <v>7</v>
      </c>
      <c r="C4663" s="2">
        <v>75243900</v>
      </c>
      <c r="D4663" s="2">
        <v>76451928</v>
      </c>
      <c r="E4663" s="2">
        <v>1</v>
      </c>
      <c r="F4663" s="2" t="s">
        <v>10086</v>
      </c>
      <c r="H4663" s="2">
        <v>1E-3</v>
      </c>
      <c r="K4663" s="2" t="s">
        <v>10089</v>
      </c>
    </row>
    <row r="4664" spans="1:11" x14ac:dyDescent="0.2">
      <c r="A4664" s="2">
        <v>1167</v>
      </c>
      <c r="B4664" s="2">
        <v>7</v>
      </c>
      <c r="C4664" s="2">
        <v>75243900</v>
      </c>
      <c r="D4664" s="2">
        <v>76451928</v>
      </c>
      <c r="E4664" s="2">
        <v>2</v>
      </c>
      <c r="F4664" s="2" t="s">
        <v>10086</v>
      </c>
      <c r="H4664" s="2">
        <v>1.1999999999999999E-3</v>
      </c>
      <c r="K4664" s="2" t="s">
        <v>10087</v>
      </c>
    </row>
    <row r="4665" spans="1:11" x14ac:dyDescent="0.2">
      <c r="A4665" s="2">
        <v>1167</v>
      </c>
      <c r="B4665" s="2">
        <v>7</v>
      </c>
      <c r="C4665" s="2">
        <v>75243900</v>
      </c>
      <c r="D4665" s="2">
        <v>76451928</v>
      </c>
      <c r="E4665" s="2">
        <v>3</v>
      </c>
      <c r="F4665" s="2" t="s">
        <v>10086</v>
      </c>
      <c r="H4665" s="3">
        <v>8.9999999999999998E-4</v>
      </c>
      <c r="K4665" s="2" t="s">
        <v>10088</v>
      </c>
    </row>
    <row r="4666" spans="1:11" x14ac:dyDescent="0.2">
      <c r="A4666" s="2">
        <v>1167</v>
      </c>
      <c r="B4666" s="2">
        <v>7</v>
      </c>
      <c r="C4666" s="2">
        <v>75243900</v>
      </c>
      <c r="D4666" s="2">
        <v>76451928</v>
      </c>
      <c r="E4666" s="2">
        <v>4</v>
      </c>
      <c r="F4666" s="2" t="s">
        <v>10086</v>
      </c>
      <c r="H4666" s="3">
        <v>5.0000000000000001E-4</v>
      </c>
      <c r="K4666" s="2" t="s">
        <v>10085</v>
      </c>
    </row>
    <row r="4667" spans="1:11" x14ac:dyDescent="0.2">
      <c r="A4667" s="2">
        <v>1168</v>
      </c>
      <c r="B4667" s="2">
        <v>7</v>
      </c>
      <c r="C4667" s="2">
        <v>76451929</v>
      </c>
      <c r="D4667" s="2">
        <v>77663964</v>
      </c>
      <c r="E4667" s="2">
        <v>1</v>
      </c>
      <c r="F4667" s="2" t="s">
        <v>10086</v>
      </c>
      <c r="H4667" s="2">
        <v>1E-3</v>
      </c>
      <c r="K4667" s="2" t="s">
        <v>10087</v>
      </c>
    </row>
    <row r="4668" spans="1:11" x14ac:dyDescent="0.2">
      <c r="A4668" s="2">
        <v>1168</v>
      </c>
      <c r="B4668" s="2">
        <v>7</v>
      </c>
      <c r="C4668" s="2">
        <v>76451929</v>
      </c>
      <c r="D4668" s="2">
        <v>77663964</v>
      </c>
      <c r="E4668" s="2">
        <v>2</v>
      </c>
      <c r="F4668" s="2" t="s">
        <v>10086</v>
      </c>
      <c r="H4668" s="3">
        <v>8.9999999999999998E-4</v>
      </c>
      <c r="K4668" s="2" t="s">
        <v>10089</v>
      </c>
    </row>
    <row r="4669" spans="1:11" x14ac:dyDescent="0.2">
      <c r="A4669" s="2">
        <v>1168</v>
      </c>
      <c r="B4669" s="2">
        <v>7</v>
      </c>
      <c r="C4669" s="2">
        <v>76451929</v>
      </c>
      <c r="D4669" s="2">
        <v>77663964</v>
      </c>
      <c r="E4669" s="2">
        <v>3</v>
      </c>
      <c r="F4669" s="2" t="s">
        <v>10086</v>
      </c>
      <c r="H4669" s="3">
        <v>8.9999999999999998E-4</v>
      </c>
      <c r="K4669" s="2" t="s">
        <v>10085</v>
      </c>
    </row>
    <row r="4670" spans="1:11" x14ac:dyDescent="0.2">
      <c r="A4670" s="2">
        <v>1168</v>
      </c>
      <c r="B4670" s="2">
        <v>7</v>
      </c>
      <c r="C4670" s="2">
        <v>76451929</v>
      </c>
      <c r="D4670" s="2">
        <v>77663964</v>
      </c>
      <c r="E4670" s="2">
        <v>4</v>
      </c>
      <c r="F4670" s="2" t="s">
        <v>10086</v>
      </c>
      <c r="H4670" s="3">
        <v>4.0000000000000002E-4</v>
      </c>
      <c r="K4670" s="2" t="s">
        <v>10088</v>
      </c>
    </row>
    <row r="4671" spans="1:11" x14ac:dyDescent="0.2">
      <c r="A4671" s="2">
        <v>1169</v>
      </c>
      <c r="B4671" s="2">
        <v>7</v>
      </c>
      <c r="C4671" s="2">
        <v>77663965</v>
      </c>
      <c r="D4671" s="2">
        <v>78685009</v>
      </c>
      <c r="E4671" s="2">
        <v>1</v>
      </c>
      <c r="F4671" s="2" t="s">
        <v>10086</v>
      </c>
      <c r="H4671" s="2">
        <v>2.0999999999999999E-3</v>
      </c>
      <c r="K4671" s="2" t="s">
        <v>10085</v>
      </c>
    </row>
    <row r="4672" spans="1:11" x14ac:dyDescent="0.2">
      <c r="A4672" s="2">
        <v>1169</v>
      </c>
      <c r="B4672" s="2">
        <v>7</v>
      </c>
      <c r="C4672" s="2">
        <v>77663965</v>
      </c>
      <c r="D4672" s="2">
        <v>78685009</v>
      </c>
      <c r="E4672" s="2">
        <v>2</v>
      </c>
      <c r="F4672" s="2" t="s">
        <v>10086</v>
      </c>
      <c r="H4672" s="2">
        <v>2.3999999999999998E-3</v>
      </c>
      <c r="K4672" s="2" t="s">
        <v>10087</v>
      </c>
    </row>
    <row r="4673" spans="1:11" x14ac:dyDescent="0.2">
      <c r="A4673" s="2">
        <v>1169</v>
      </c>
      <c r="B4673" s="2">
        <v>7</v>
      </c>
      <c r="C4673" s="2">
        <v>77663965</v>
      </c>
      <c r="D4673" s="2">
        <v>78685009</v>
      </c>
      <c r="E4673" s="2">
        <v>3</v>
      </c>
      <c r="F4673" s="2" t="s">
        <v>10086</v>
      </c>
      <c r="H4673" s="2">
        <v>1.6000000000000001E-3</v>
      </c>
      <c r="K4673" s="2" t="s">
        <v>10089</v>
      </c>
    </row>
    <row r="4674" spans="1:11" x14ac:dyDescent="0.2">
      <c r="A4674" s="2">
        <v>1169</v>
      </c>
      <c r="B4674" s="2">
        <v>7</v>
      </c>
      <c r="C4674" s="2">
        <v>77663965</v>
      </c>
      <c r="D4674" s="2">
        <v>78685009</v>
      </c>
      <c r="E4674" s="2">
        <v>4</v>
      </c>
      <c r="F4674" s="2" t="s">
        <v>10086</v>
      </c>
      <c r="H4674" s="3">
        <v>4.0000000000000002E-4</v>
      </c>
      <c r="K4674" s="2" t="s">
        <v>10088</v>
      </c>
    </row>
    <row r="4675" spans="1:11" x14ac:dyDescent="0.2">
      <c r="A4675" s="2">
        <v>1170</v>
      </c>
      <c r="B4675" s="2">
        <v>7</v>
      </c>
      <c r="C4675" s="2">
        <v>78685010</v>
      </c>
      <c r="D4675" s="2">
        <v>80055721</v>
      </c>
      <c r="E4675" s="2">
        <v>1</v>
      </c>
      <c r="F4675" s="2" t="s">
        <v>10086</v>
      </c>
      <c r="H4675" s="2">
        <v>1.6000000000000001E-3</v>
      </c>
      <c r="K4675" s="2" t="s">
        <v>10085</v>
      </c>
    </row>
    <row r="4676" spans="1:11" x14ac:dyDescent="0.2">
      <c r="A4676" s="2">
        <v>1170</v>
      </c>
      <c r="B4676" s="2">
        <v>7</v>
      </c>
      <c r="C4676" s="2">
        <v>78685010</v>
      </c>
      <c r="D4676" s="2">
        <v>80055721</v>
      </c>
      <c r="E4676" s="2">
        <v>2</v>
      </c>
      <c r="F4676" s="2" t="s">
        <v>10086</v>
      </c>
      <c r="H4676" s="2">
        <v>1.1999999999999999E-3</v>
      </c>
      <c r="K4676" s="2" t="s">
        <v>10087</v>
      </c>
    </row>
    <row r="4677" spans="1:11" x14ac:dyDescent="0.2">
      <c r="A4677" s="2">
        <v>1170</v>
      </c>
      <c r="B4677" s="2">
        <v>7</v>
      </c>
      <c r="C4677" s="2">
        <v>78685010</v>
      </c>
      <c r="D4677" s="2">
        <v>80055721</v>
      </c>
      <c r="E4677" s="2">
        <v>3</v>
      </c>
      <c r="F4677" s="2" t="s">
        <v>10086</v>
      </c>
      <c r="H4677" s="2">
        <v>1.1000000000000001E-3</v>
      </c>
      <c r="K4677" s="2" t="s">
        <v>10088</v>
      </c>
    </row>
    <row r="4678" spans="1:11" x14ac:dyDescent="0.2">
      <c r="A4678" s="2">
        <v>1170</v>
      </c>
      <c r="B4678" s="2">
        <v>7</v>
      </c>
      <c r="C4678" s="2">
        <v>78685010</v>
      </c>
      <c r="D4678" s="2">
        <v>80055721</v>
      </c>
      <c r="E4678" s="2">
        <v>4</v>
      </c>
      <c r="F4678" s="2" t="s">
        <v>10086</v>
      </c>
      <c r="H4678" s="3">
        <v>4.0000000000000002E-4</v>
      </c>
      <c r="K4678" s="2" t="s">
        <v>10089</v>
      </c>
    </row>
    <row r="4679" spans="1:11" x14ac:dyDescent="0.2">
      <c r="A4679" s="2">
        <v>1171</v>
      </c>
      <c r="B4679" s="2">
        <v>7</v>
      </c>
      <c r="C4679" s="2">
        <v>80055722</v>
      </c>
      <c r="D4679" s="2">
        <v>81533566</v>
      </c>
      <c r="E4679" s="2">
        <v>1</v>
      </c>
      <c r="F4679" s="2" t="s">
        <v>10086</v>
      </c>
      <c r="H4679" s="2">
        <v>1.46E-2</v>
      </c>
      <c r="K4679" s="2" t="s">
        <v>10087</v>
      </c>
    </row>
    <row r="4680" spans="1:11" x14ac:dyDescent="0.2">
      <c r="A4680" s="2">
        <v>1171</v>
      </c>
      <c r="B4680" s="2">
        <v>7</v>
      </c>
      <c r="C4680" s="2">
        <v>80055722</v>
      </c>
      <c r="D4680" s="2">
        <v>81533566</v>
      </c>
      <c r="E4680" s="2">
        <v>2</v>
      </c>
      <c r="F4680" s="2" t="s">
        <v>10086</v>
      </c>
      <c r="H4680" s="2">
        <v>3.0000000000000001E-3</v>
      </c>
      <c r="K4680" s="2" t="s">
        <v>10088</v>
      </c>
    </row>
    <row r="4681" spans="1:11" x14ac:dyDescent="0.2">
      <c r="A4681" s="2">
        <v>1171</v>
      </c>
      <c r="B4681" s="2">
        <v>7</v>
      </c>
      <c r="C4681" s="2">
        <v>80055722</v>
      </c>
      <c r="D4681" s="2">
        <v>81533566</v>
      </c>
      <c r="E4681" s="2">
        <v>3</v>
      </c>
      <c r="F4681" s="2" t="s">
        <v>10086</v>
      </c>
      <c r="H4681" s="2">
        <v>1.6999999999999999E-3</v>
      </c>
      <c r="K4681" s="2" t="s">
        <v>10089</v>
      </c>
    </row>
    <row r="4682" spans="1:11" x14ac:dyDescent="0.2">
      <c r="A4682" s="2">
        <v>1171</v>
      </c>
      <c r="B4682" s="2">
        <v>7</v>
      </c>
      <c r="C4682" s="2">
        <v>80055722</v>
      </c>
      <c r="D4682" s="2">
        <v>81533566</v>
      </c>
      <c r="E4682" s="2">
        <v>4</v>
      </c>
      <c r="F4682" s="2" t="s">
        <v>10086</v>
      </c>
      <c r="H4682" s="3">
        <v>5.9999999999999995E-4</v>
      </c>
      <c r="K4682" s="2" t="s">
        <v>10085</v>
      </c>
    </row>
    <row r="4683" spans="1:11" x14ac:dyDescent="0.2">
      <c r="A4683" s="2">
        <v>1172</v>
      </c>
      <c r="B4683" s="2">
        <v>7</v>
      </c>
      <c r="C4683" s="2">
        <v>81533567</v>
      </c>
      <c r="D4683" s="2">
        <v>82759283</v>
      </c>
      <c r="E4683" s="2">
        <v>1</v>
      </c>
      <c r="F4683" s="2" t="s">
        <v>10086</v>
      </c>
      <c r="H4683" s="2">
        <v>4.41E-2</v>
      </c>
      <c r="K4683" s="2" t="s">
        <v>10089</v>
      </c>
    </row>
    <row r="4684" spans="1:11" x14ac:dyDescent="0.2">
      <c r="A4684" s="2">
        <v>1172</v>
      </c>
      <c r="B4684" s="2">
        <v>7</v>
      </c>
      <c r="C4684" s="2">
        <v>81533567</v>
      </c>
      <c r="D4684" s="2">
        <v>82759283</v>
      </c>
      <c r="E4684" s="2">
        <v>2</v>
      </c>
      <c r="F4684" s="2" t="s">
        <v>10086</v>
      </c>
      <c r="H4684" s="2">
        <v>5.1000000000000004E-3</v>
      </c>
      <c r="K4684" s="2" t="s">
        <v>10088</v>
      </c>
    </row>
    <row r="4685" spans="1:11" x14ac:dyDescent="0.2">
      <c r="A4685" s="2">
        <v>1172</v>
      </c>
      <c r="B4685" s="2">
        <v>7</v>
      </c>
      <c r="C4685" s="2">
        <v>81533567</v>
      </c>
      <c r="D4685" s="2">
        <v>82759283</v>
      </c>
      <c r="E4685" s="2">
        <v>3</v>
      </c>
      <c r="F4685" s="2" t="s">
        <v>10086</v>
      </c>
      <c r="H4685" s="2">
        <v>3.0000000000000001E-3</v>
      </c>
      <c r="K4685" s="2" t="s">
        <v>10087</v>
      </c>
    </row>
    <row r="4686" spans="1:11" x14ac:dyDescent="0.2">
      <c r="A4686" s="2">
        <v>1172</v>
      </c>
      <c r="B4686" s="2">
        <v>7</v>
      </c>
      <c r="C4686" s="2">
        <v>81533567</v>
      </c>
      <c r="D4686" s="2">
        <v>82759283</v>
      </c>
      <c r="E4686" s="2">
        <v>4</v>
      </c>
      <c r="F4686" s="2" t="s">
        <v>10086</v>
      </c>
      <c r="H4686" s="3">
        <v>8.0000000000000004E-4</v>
      </c>
      <c r="K4686" s="2" t="s">
        <v>10085</v>
      </c>
    </row>
    <row r="4687" spans="1:11" x14ac:dyDescent="0.2">
      <c r="A4687" s="2">
        <v>1173</v>
      </c>
      <c r="B4687" s="2">
        <v>7</v>
      </c>
      <c r="C4687" s="2">
        <v>82759284</v>
      </c>
      <c r="D4687" s="2">
        <v>83953009</v>
      </c>
      <c r="E4687" s="2">
        <v>1</v>
      </c>
      <c r="F4687" s="2" t="s">
        <v>10086</v>
      </c>
      <c r="H4687" s="2">
        <v>1.6000000000000001E-3</v>
      </c>
      <c r="K4687" s="2" t="s">
        <v>10085</v>
      </c>
    </row>
    <row r="4688" spans="1:11" x14ac:dyDescent="0.2">
      <c r="A4688" s="2">
        <v>1173</v>
      </c>
      <c r="B4688" s="2">
        <v>7</v>
      </c>
      <c r="C4688" s="2">
        <v>82759284</v>
      </c>
      <c r="D4688" s="2">
        <v>83953009</v>
      </c>
      <c r="E4688" s="2">
        <v>2</v>
      </c>
      <c r="F4688" s="2" t="s">
        <v>10086</v>
      </c>
      <c r="H4688" s="2">
        <v>1.6999999999999999E-3</v>
      </c>
      <c r="K4688" s="2" t="s">
        <v>10087</v>
      </c>
    </row>
    <row r="4689" spans="1:11" x14ac:dyDescent="0.2">
      <c r="A4689" s="2">
        <v>1173</v>
      </c>
      <c r="B4689" s="2">
        <v>7</v>
      </c>
      <c r="C4689" s="2">
        <v>82759284</v>
      </c>
      <c r="D4689" s="2">
        <v>83953009</v>
      </c>
      <c r="E4689" s="2">
        <v>3</v>
      </c>
      <c r="F4689" s="2" t="s">
        <v>10086</v>
      </c>
      <c r="H4689" s="2">
        <v>1.1999999999999999E-3</v>
      </c>
      <c r="K4689" s="2" t="s">
        <v>10088</v>
      </c>
    </row>
    <row r="4690" spans="1:11" x14ac:dyDescent="0.2">
      <c r="A4690" s="2">
        <v>1173</v>
      </c>
      <c r="B4690" s="2">
        <v>7</v>
      </c>
      <c r="C4690" s="2">
        <v>82759284</v>
      </c>
      <c r="D4690" s="2">
        <v>83953009</v>
      </c>
      <c r="E4690" s="2">
        <v>4</v>
      </c>
      <c r="F4690" s="2" t="s">
        <v>10086</v>
      </c>
      <c r="H4690" s="3">
        <v>5.0000000000000001E-4</v>
      </c>
      <c r="K4690" s="2" t="s">
        <v>10089</v>
      </c>
    </row>
    <row r="4691" spans="1:11" x14ac:dyDescent="0.2">
      <c r="A4691" s="2">
        <v>1174</v>
      </c>
      <c r="B4691" s="2">
        <v>7</v>
      </c>
      <c r="C4691" s="2">
        <v>83953010</v>
      </c>
      <c r="D4691" s="2">
        <v>85356715</v>
      </c>
      <c r="E4691" s="2">
        <v>1</v>
      </c>
      <c r="F4691" s="2" t="s">
        <v>10086</v>
      </c>
      <c r="H4691" s="2">
        <v>1.52E-2</v>
      </c>
      <c r="K4691" s="2" t="s">
        <v>10088</v>
      </c>
    </row>
    <row r="4692" spans="1:11" x14ac:dyDescent="0.2">
      <c r="A4692" s="2">
        <v>1174</v>
      </c>
      <c r="B4692" s="2">
        <v>7</v>
      </c>
      <c r="C4692" s="2">
        <v>83953010</v>
      </c>
      <c r="D4692" s="2">
        <v>85356715</v>
      </c>
      <c r="E4692" s="2">
        <v>2</v>
      </c>
      <c r="F4692" s="2" t="s">
        <v>10086</v>
      </c>
      <c r="H4692" s="2">
        <v>1.1000000000000001E-3</v>
      </c>
      <c r="K4692" s="2" t="s">
        <v>10085</v>
      </c>
    </row>
    <row r="4693" spans="1:11" x14ac:dyDescent="0.2">
      <c r="A4693" s="2">
        <v>1174</v>
      </c>
      <c r="B4693" s="2">
        <v>7</v>
      </c>
      <c r="C4693" s="2">
        <v>83953010</v>
      </c>
      <c r="D4693" s="2">
        <v>85356715</v>
      </c>
      <c r="E4693" s="2">
        <v>3</v>
      </c>
      <c r="F4693" s="2" t="s">
        <v>10086</v>
      </c>
      <c r="H4693" s="3">
        <v>8.9999999999999998E-4</v>
      </c>
      <c r="K4693" s="2" t="s">
        <v>12324</v>
      </c>
    </row>
    <row r="4694" spans="1:11" x14ac:dyDescent="0.2">
      <c r="A4694" s="2">
        <v>1174</v>
      </c>
      <c r="B4694" s="2">
        <v>7</v>
      </c>
      <c r="C4694" s="2">
        <v>83953010</v>
      </c>
      <c r="D4694" s="2">
        <v>85356715</v>
      </c>
      <c r="E4694" s="2">
        <v>4</v>
      </c>
      <c r="F4694" s="2" t="s">
        <v>10086</v>
      </c>
      <c r="H4694" s="2">
        <v>1.1000000000000001E-3</v>
      </c>
      <c r="K4694" s="2" t="s">
        <v>10089</v>
      </c>
    </row>
    <row r="4695" spans="1:11" x14ac:dyDescent="0.2">
      <c r="A4695" s="2">
        <v>1175</v>
      </c>
      <c r="B4695" s="2">
        <v>7</v>
      </c>
      <c r="C4695" s="2">
        <v>85356716</v>
      </c>
      <c r="D4695" s="2">
        <v>86446538</v>
      </c>
      <c r="E4695" s="2">
        <v>1</v>
      </c>
      <c r="F4695" s="2" t="s">
        <v>10086</v>
      </c>
      <c r="H4695" s="2">
        <v>1.8E-3</v>
      </c>
      <c r="K4695" s="2" t="s">
        <v>10087</v>
      </c>
    </row>
    <row r="4696" spans="1:11" x14ac:dyDescent="0.2">
      <c r="A4696" s="2">
        <v>1175</v>
      </c>
      <c r="B4696" s="2">
        <v>7</v>
      </c>
      <c r="C4696" s="2">
        <v>85356716</v>
      </c>
      <c r="D4696" s="2">
        <v>86446538</v>
      </c>
      <c r="E4696" s="2">
        <v>2</v>
      </c>
      <c r="F4696" s="2" t="s">
        <v>10086</v>
      </c>
      <c r="H4696" s="3">
        <v>8.9999999999999998E-4</v>
      </c>
      <c r="K4696" s="2" t="s">
        <v>10088</v>
      </c>
    </row>
    <row r="4697" spans="1:11" x14ac:dyDescent="0.2">
      <c r="A4697" s="2">
        <v>1175</v>
      </c>
      <c r="B4697" s="2">
        <v>7</v>
      </c>
      <c r="C4697" s="2">
        <v>85356716</v>
      </c>
      <c r="D4697" s="2">
        <v>86446538</v>
      </c>
      <c r="E4697" s="2">
        <v>3</v>
      </c>
      <c r="F4697" s="2" t="s">
        <v>10086</v>
      </c>
      <c r="H4697" s="3">
        <v>5.0000000000000001E-4</v>
      </c>
      <c r="K4697" s="2" t="s">
        <v>10089</v>
      </c>
    </row>
    <row r="4698" spans="1:11" x14ac:dyDescent="0.2">
      <c r="A4698" s="2">
        <v>1175</v>
      </c>
      <c r="B4698" s="2">
        <v>7</v>
      </c>
      <c r="C4698" s="2">
        <v>85356716</v>
      </c>
      <c r="D4698" s="2">
        <v>86446538</v>
      </c>
      <c r="E4698" s="2">
        <v>4</v>
      </c>
      <c r="F4698" s="2" t="s">
        <v>10086</v>
      </c>
      <c r="H4698" s="3">
        <v>2.9999999999999997E-4</v>
      </c>
      <c r="K4698" s="2" t="s">
        <v>10085</v>
      </c>
    </row>
    <row r="4699" spans="1:11" x14ac:dyDescent="0.2">
      <c r="A4699" s="2">
        <v>1176</v>
      </c>
      <c r="B4699" s="2">
        <v>7</v>
      </c>
      <c r="C4699" s="2">
        <v>86446539</v>
      </c>
      <c r="D4699" s="2">
        <v>87836641</v>
      </c>
      <c r="E4699" s="2">
        <v>1</v>
      </c>
      <c r="F4699" s="2" t="s">
        <v>10086</v>
      </c>
      <c r="H4699" s="2">
        <v>2.0999999999999999E-3</v>
      </c>
      <c r="K4699" s="2" t="s">
        <v>10088</v>
      </c>
    </row>
    <row r="4700" spans="1:11" x14ac:dyDescent="0.2">
      <c r="A4700" s="2">
        <v>1176</v>
      </c>
      <c r="B4700" s="2">
        <v>7</v>
      </c>
      <c r="C4700" s="2">
        <v>86446539</v>
      </c>
      <c r="D4700" s="2">
        <v>87836641</v>
      </c>
      <c r="E4700" s="2">
        <v>2</v>
      </c>
      <c r="F4700" s="2" t="s">
        <v>10086</v>
      </c>
      <c r="H4700" s="2">
        <v>1.1999999999999999E-3</v>
      </c>
      <c r="K4700" s="2" t="s">
        <v>10085</v>
      </c>
    </row>
    <row r="4701" spans="1:11" x14ac:dyDescent="0.2">
      <c r="A4701" s="2">
        <v>1176</v>
      </c>
      <c r="B4701" s="2">
        <v>7</v>
      </c>
      <c r="C4701" s="2">
        <v>86446539</v>
      </c>
      <c r="D4701" s="2">
        <v>87836641</v>
      </c>
      <c r="E4701" s="2">
        <v>3</v>
      </c>
      <c r="F4701" s="2" t="s">
        <v>10086</v>
      </c>
      <c r="H4701" s="3">
        <v>8.0000000000000004E-4</v>
      </c>
      <c r="K4701" s="2" t="s">
        <v>10089</v>
      </c>
    </row>
    <row r="4702" spans="1:11" x14ac:dyDescent="0.2">
      <c r="A4702" s="2">
        <v>1176</v>
      </c>
      <c r="B4702" s="2">
        <v>7</v>
      </c>
      <c r="C4702" s="2">
        <v>86446539</v>
      </c>
      <c r="D4702" s="2">
        <v>87836641</v>
      </c>
      <c r="E4702" s="2">
        <v>4</v>
      </c>
      <c r="F4702" s="2" t="s">
        <v>10086</v>
      </c>
      <c r="H4702" s="3">
        <v>2.9999999999999997E-4</v>
      </c>
      <c r="K4702" s="2" t="s">
        <v>10087</v>
      </c>
    </row>
    <row r="4703" spans="1:11" x14ac:dyDescent="0.2">
      <c r="A4703" s="2">
        <v>1177</v>
      </c>
      <c r="B4703" s="2">
        <v>7</v>
      </c>
      <c r="C4703" s="2">
        <v>87836642</v>
      </c>
      <c r="D4703" s="2">
        <v>89330087</v>
      </c>
      <c r="E4703" s="2">
        <v>1</v>
      </c>
      <c r="F4703" s="2" t="s">
        <v>10086</v>
      </c>
      <c r="H4703" s="2">
        <v>2.7000000000000001E-3</v>
      </c>
      <c r="K4703" s="2" t="s">
        <v>10088</v>
      </c>
    </row>
    <row r="4704" spans="1:11" x14ac:dyDescent="0.2">
      <c r="A4704" s="2">
        <v>1177</v>
      </c>
      <c r="B4704" s="2">
        <v>7</v>
      </c>
      <c r="C4704" s="2">
        <v>87836642</v>
      </c>
      <c r="D4704" s="2">
        <v>89330087</v>
      </c>
      <c r="E4704" s="2">
        <v>2</v>
      </c>
      <c r="F4704" s="2" t="s">
        <v>10086</v>
      </c>
      <c r="H4704" s="2">
        <v>1.2999999999999999E-3</v>
      </c>
      <c r="K4704" s="2" t="s">
        <v>10085</v>
      </c>
    </row>
    <row r="4705" spans="1:11" x14ac:dyDescent="0.2">
      <c r="A4705" s="2">
        <v>1177</v>
      </c>
      <c r="B4705" s="2">
        <v>7</v>
      </c>
      <c r="C4705" s="2">
        <v>87836642</v>
      </c>
      <c r="D4705" s="2">
        <v>89330087</v>
      </c>
      <c r="E4705" s="2">
        <v>3</v>
      </c>
      <c r="F4705" s="2" t="s">
        <v>10086</v>
      </c>
      <c r="H4705" s="2">
        <v>1.6000000000000001E-3</v>
      </c>
      <c r="K4705" s="2" t="s">
        <v>10087</v>
      </c>
    </row>
    <row r="4706" spans="1:11" x14ac:dyDescent="0.2">
      <c r="A4706" s="2">
        <v>1177</v>
      </c>
      <c r="B4706" s="2">
        <v>7</v>
      </c>
      <c r="C4706" s="2">
        <v>87836642</v>
      </c>
      <c r="D4706" s="2">
        <v>89330087</v>
      </c>
      <c r="E4706" s="2">
        <v>4</v>
      </c>
      <c r="F4706" s="2" t="s">
        <v>10086</v>
      </c>
      <c r="H4706" s="2">
        <v>1.1999999999999999E-3</v>
      </c>
      <c r="K4706" s="2" t="s">
        <v>10089</v>
      </c>
    </row>
    <row r="4707" spans="1:11" x14ac:dyDescent="0.2">
      <c r="A4707" s="2">
        <v>1178</v>
      </c>
      <c r="B4707" s="2">
        <v>7</v>
      </c>
      <c r="C4707" s="2">
        <v>89330088</v>
      </c>
      <c r="D4707" s="2">
        <v>90660831</v>
      </c>
      <c r="E4707" s="2">
        <v>1</v>
      </c>
      <c r="F4707" s="2" t="s">
        <v>10086</v>
      </c>
      <c r="H4707" s="2">
        <v>3.8999999999999998E-3</v>
      </c>
      <c r="K4707" s="2" t="s">
        <v>10088</v>
      </c>
    </row>
    <row r="4708" spans="1:11" x14ac:dyDescent="0.2">
      <c r="A4708" s="2">
        <v>1178</v>
      </c>
      <c r="B4708" s="2">
        <v>7</v>
      </c>
      <c r="C4708" s="2">
        <v>89330088</v>
      </c>
      <c r="D4708" s="2">
        <v>90660831</v>
      </c>
      <c r="E4708" s="2">
        <v>2</v>
      </c>
      <c r="F4708" s="2" t="s">
        <v>10086</v>
      </c>
      <c r="H4708" s="2">
        <v>4.8999999999999998E-3</v>
      </c>
      <c r="K4708" s="2" t="s">
        <v>10087</v>
      </c>
    </row>
    <row r="4709" spans="1:11" x14ac:dyDescent="0.2">
      <c r="A4709" s="2">
        <v>1178</v>
      </c>
      <c r="B4709" s="2">
        <v>7</v>
      </c>
      <c r="C4709" s="2">
        <v>89330088</v>
      </c>
      <c r="D4709" s="2">
        <v>90660831</v>
      </c>
      <c r="E4709" s="2">
        <v>3</v>
      </c>
      <c r="F4709" s="2" t="s">
        <v>10086</v>
      </c>
      <c r="H4709" s="2">
        <v>1E-3</v>
      </c>
      <c r="K4709" s="2" t="s">
        <v>10085</v>
      </c>
    </row>
    <row r="4710" spans="1:11" x14ac:dyDescent="0.2">
      <c r="A4710" s="2">
        <v>1178</v>
      </c>
      <c r="B4710" s="2">
        <v>7</v>
      </c>
      <c r="C4710" s="2">
        <v>89330088</v>
      </c>
      <c r="D4710" s="2">
        <v>90660831</v>
      </c>
      <c r="E4710" s="2">
        <v>4</v>
      </c>
      <c r="F4710" s="2" t="s">
        <v>10086</v>
      </c>
      <c r="H4710" s="3">
        <v>6.9999999999999999E-4</v>
      </c>
      <c r="K4710" s="2" t="s">
        <v>10089</v>
      </c>
    </row>
    <row r="4711" spans="1:11" x14ac:dyDescent="0.2">
      <c r="A4711" s="2">
        <v>1179</v>
      </c>
      <c r="B4711" s="2">
        <v>7</v>
      </c>
      <c r="C4711" s="2">
        <v>90660832</v>
      </c>
      <c r="D4711" s="2">
        <v>92530165</v>
      </c>
      <c r="E4711" s="2">
        <v>1</v>
      </c>
      <c r="F4711" s="2" t="s">
        <v>10086</v>
      </c>
      <c r="H4711" s="2">
        <v>2.5000000000000001E-3</v>
      </c>
      <c r="K4711" s="2" t="s">
        <v>10088</v>
      </c>
    </row>
    <row r="4712" spans="1:11" x14ac:dyDescent="0.2">
      <c r="A4712" s="2">
        <v>1179</v>
      </c>
      <c r="B4712" s="2">
        <v>7</v>
      </c>
      <c r="C4712" s="2">
        <v>90660832</v>
      </c>
      <c r="D4712" s="2">
        <v>92530165</v>
      </c>
      <c r="E4712" s="2">
        <v>2</v>
      </c>
      <c r="F4712" s="2" t="s">
        <v>10086</v>
      </c>
      <c r="H4712" s="2">
        <v>1.4E-3</v>
      </c>
      <c r="K4712" s="2" t="s">
        <v>10087</v>
      </c>
    </row>
    <row r="4713" spans="1:11" x14ac:dyDescent="0.2">
      <c r="A4713" s="2">
        <v>1179</v>
      </c>
      <c r="B4713" s="2">
        <v>7</v>
      </c>
      <c r="C4713" s="2">
        <v>90660832</v>
      </c>
      <c r="D4713" s="2">
        <v>92530165</v>
      </c>
      <c r="E4713" s="2">
        <v>3</v>
      </c>
      <c r="F4713" s="2" t="s">
        <v>10086</v>
      </c>
      <c r="H4713" s="3">
        <v>8.9999999999999998E-4</v>
      </c>
      <c r="K4713" s="2" t="s">
        <v>10089</v>
      </c>
    </row>
    <row r="4714" spans="1:11" x14ac:dyDescent="0.2">
      <c r="A4714" s="2">
        <v>1179</v>
      </c>
      <c r="B4714" s="2">
        <v>7</v>
      </c>
      <c r="C4714" s="2">
        <v>90660832</v>
      </c>
      <c r="D4714" s="2">
        <v>92530165</v>
      </c>
      <c r="E4714" s="2">
        <v>4</v>
      </c>
      <c r="F4714" s="2" t="s">
        <v>10086</v>
      </c>
      <c r="H4714" s="3">
        <v>4.0000000000000002E-4</v>
      </c>
      <c r="K4714" s="2" t="s">
        <v>10085</v>
      </c>
    </row>
    <row r="4715" spans="1:11" x14ac:dyDescent="0.2">
      <c r="A4715" s="2">
        <v>1180</v>
      </c>
      <c r="B4715" s="2">
        <v>7</v>
      </c>
      <c r="C4715" s="2">
        <v>92530166</v>
      </c>
      <c r="D4715" s="2">
        <v>93691725</v>
      </c>
      <c r="E4715" s="2">
        <v>1</v>
      </c>
      <c r="F4715" s="2" t="s">
        <v>10086</v>
      </c>
      <c r="H4715" s="2">
        <v>5.1999999999999998E-3</v>
      </c>
      <c r="K4715" s="2" t="s">
        <v>10089</v>
      </c>
    </row>
    <row r="4716" spans="1:11" x14ac:dyDescent="0.2">
      <c r="A4716" s="2">
        <v>1180</v>
      </c>
      <c r="B4716" s="2">
        <v>7</v>
      </c>
      <c r="C4716" s="2">
        <v>92530166</v>
      </c>
      <c r="D4716" s="2">
        <v>93691725</v>
      </c>
      <c r="E4716" s="2">
        <v>2</v>
      </c>
      <c r="F4716" s="2" t="s">
        <v>10086</v>
      </c>
      <c r="H4716" s="2">
        <v>1.6000000000000001E-3</v>
      </c>
      <c r="K4716" s="2" t="s">
        <v>10085</v>
      </c>
    </row>
    <row r="4717" spans="1:11" x14ac:dyDescent="0.2">
      <c r="A4717" s="2">
        <v>1180</v>
      </c>
      <c r="B4717" s="2">
        <v>7</v>
      </c>
      <c r="C4717" s="2">
        <v>92530166</v>
      </c>
      <c r="D4717" s="2">
        <v>93691725</v>
      </c>
      <c r="E4717" s="2">
        <v>3</v>
      </c>
      <c r="F4717" s="2" t="s">
        <v>10086</v>
      </c>
      <c r="H4717" s="2">
        <v>1.6000000000000001E-3</v>
      </c>
      <c r="K4717" s="2" t="s">
        <v>10088</v>
      </c>
    </row>
    <row r="4718" spans="1:11" x14ac:dyDescent="0.2">
      <c r="A4718" s="2">
        <v>1180</v>
      </c>
      <c r="B4718" s="2">
        <v>7</v>
      </c>
      <c r="C4718" s="2">
        <v>92530166</v>
      </c>
      <c r="D4718" s="2">
        <v>93691725</v>
      </c>
      <c r="E4718" s="2">
        <v>4</v>
      </c>
      <c r="F4718" s="2" t="s">
        <v>10086</v>
      </c>
      <c r="H4718" s="3">
        <v>5.9999999999999995E-4</v>
      </c>
      <c r="K4718" s="2" t="s">
        <v>10087</v>
      </c>
    </row>
    <row r="4719" spans="1:11" x14ac:dyDescent="0.2">
      <c r="A4719" s="2">
        <v>1181</v>
      </c>
      <c r="B4719" s="2">
        <v>7</v>
      </c>
      <c r="C4719" s="2">
        <v>93691726</v>
      </c>
      <c r="D4719" s="2">
        <v>95174847</v>
      </c>
      <c r="E4719" s="2">
        <v>1</v>
      </c>
      <c r="F4719" s="2" t="s">
        <v>10086</v>
      </c>
      <c r="H4719" s="2">
        <v>1.8E-3</v>
      </c>
      <c r="K4719" s="2" t="s">
        <v>10087</v>
      </c>
    </row>
    <row r="4720" spans="1:11" x14ac:dyDescent="0.2">
      <c r="A4720" s="2">
        <v>1181</v>
      </c>
      <c r="B4720" s="2">
        <v>7</v>
      </c>
      <c r="C4720" s="2">
        <v>93691726</v>
      </c>
      <c r="D4720" s="2">
        <v>95174847</v>
      </c>
      <c r="E4720" s="2">
        <v>2</v>
      </c>
      <c r="F4720" s="2" t="s">
        <v>10086</v>
      </c>
      <c r="H4720" s="2">
        <v>2.7000000000000001E-3</v>
      </c>
      <c r="K4720" s="2" t="s">
        <v>10088</v>
      </c>
    </row>
    <row r="4721" spans="1:11" x14ac:dyDescent="0.2">
      <c r="A4721" s="2">
        <v>1181</v>
      </c>
      <c r="B4721" s="2">
        <v>7</v>
      </c>
      <c r="C4721" s="2">
        <v>93691726</v>
      </c>
      <c r="D4721" s="2">
        <v>95174847</v>
      </c>
      <c r="E4721" s="2">
        <v>3</v>
      </c>
      <c r="F4721" s="2" t="s">
        <v>10086</v>
      </c>
      <c r="H4721" s="3">
        <v>8.9999999999999998E-4</v>
      </c>
      <c r="K4721" s="2" t="s">
        <v>10089</v>
      </c>
    </row>
    <row r="4722" spans="1:11" x14ac:dyDescent="0.2">
      <c r="A4722" s="2">
        <v>1181</v>
      </c>
      <c r="B4722" s="2">
        <v>7</v>
      </c>
      <c r="C4722" s="2">
        <v>93691726</v>
      </c>
      <c r="D4722" s="2">
        <v>95174847</v>
      </c>
      <c r="E4722" s="2">
        <v>4</v>
      </c>
      <c r="F4722" s="2" t="s">
        <v>10086</v>
      </c>
      <c r="H4722" s="3">
        <v>8.0000000000000004E-4</v>
      </c>
      <c r="K4722" s="2" t="s">
        <v>10085</v>
      </c>
    </row>
    <row r="4723" spans="1:11" x14ac:dyDescent="0.2">
      <c r="A4723" s="2">
        <v>1182</v>
      </c>
      <c r="B4723" s="2">
        <v>7</v>
      </c>
      <c r="C4723" s="2">
        <v>95174848</v>
      </c>
      <c r="D4723" s="2">
        <v>96564981</v>
      </c>
      <c r="E4723" s="2">
        <v>1</v>
      </c>
      <c r="F4723" s="2" t="s">
        <v>10086</v>
      </c>
      <c r="H4723" s="2">
        <v>2.5000000000000001E-3</v>
      </c>
      <c r="K4723" s="2" t="s">
        <v>10085</v>
      </c>
    </row>
    <row r="4724" spans="1:11" x14ac:dyDescent="0.2">
      <c r="A4724" s="2">
        <v>1182</v>
      </c>
      <c r="B4724" s="2">
        <v>7</v>
      </c>
      <c r="C4724" s="2">
        <v>95174848</v>
      </c>
      <c r="D4724" s="2">
        <v>96564981</v>
      </c>
      <c r="E4724" s="2">
        <v>2</v>
      </c>
      <c r="F4724" s="2" t="s">
        <v>10086</v>
      </c>
      <c r="H4724" s="2">
        <v>1.6000000000000001E-3</v>
      </c>
      <c r="K4724" s="2" t="s">
        <v>10089</v>
      </c>
    </row>
    <row r="4725" spans="1:11" x14ac:dyDescent="0.2">
      <c r="A4725" s="2">
        <v>1182</v>
      </c>
      <c r="B4725" s="2">
        <v>7</v>
      </c>
      <c r="C4725" s="2">
        <v>95174848</v>
      </c>
      <c r="D4725" s="2">
        <v>96564981</v>
      </c>
      <c r="E4725" s="2">
        <v>3</v>
      </c>
      <c r="F4725" s="2" t="s">
        <v>10086</v>
      </c>
      <c r="H4725" s="3">
        <v>6.9999999999999999E-4</v>
      </c>
      <c r="K4725" s="2" t="s">
        <v>10087</v>
      </c>
    </row>
    <row r="4726" spans="1:11" x14ac:dyDescent="0.2">
      <c r="A4726" s="2">
        <v>1182</v>
      </c>
      <c r="B4726" s="2">
        <v>7</v>
      </c>
      <c r="C4726" s="2">
        <v>95174848</v>
      </c>
      <c r="D4726" s="2">
        <v>96564981</v>
      </c>
      <c r="E4726" s="2">
        <v>4</v>
      </c>
      <c r="F4726" s="2" t="s">
        <v>10086</v>
      </c>
      <c r="H4726" s="3">
        <v>5.0000000000000001E-4</v>
      </c>
      <c r="K4726" s="2" t="s">
        <v>10088</v>
      </c>
    </row>
    <row r="4727" spans="1:11" x14ac:dyDescent="0.2">
      <c r="A4727" s="2">
        <v>1183</v>
      </c>
      <c r="B4727" s="2">
        <v>7</v>
      </c>
      <c r="C4727" s="2">
        <v>96564982</v>
      </c>
      <c r="D4727" s="2">
        <v>97420207</v>
      </c>
      <c r="E4727" s="2">
        <v>1</v>
      </c>
      <c r="F4727" s="2" t="s">
        <v>10086</v>
      </c>
      <c r="H4727" s="2">
        <v>1.1999999999999999E-3</v>
      </c>
      <c r="K4727" s="2" t="s">
        <v>10088</v>
      </c>
    </row>
    <row r="4728" spans="1:11" x14ac:dyDescent="0.2">
      <c r="A4728" s="2">
        <v>1183</v>
      </c>
      <c r="B4728" s="2">
        <v>7</v>
      </c>
      <c r="C4728" s="2">
        <v>96564982</v>
      </c>
      <c r="D4728" s="2">
        <v>97420207</v>
      </c>
      <c r="E4728" s="2">
        <v>2</v>
      </c>
      <c r="F4728" s="2" t="s">
        <v>10086</v>
      </c>
      <c r="H4728" s="3">
        <v>8.0000000000000004E-4</v>
      </c>
      <c r="K4728" s="2" t="s">
        <v>10087</v>
      </c>
    </row>
    <row r="4729" spans="1:11" x14ac:dyDescent="0.2">
      <c r="A4729" s="2">
        <v>1183</v>
      </c>
      <c r="B4729" s="2">
        <v>7</v>
      </c>
      <c r="C4729" s="2">
        <v>96564982</v>
      </c>
      <c r="D4729" s="2">
        <v>97420207</v>
      </c>
      <c r="E4729" s="2">
        <v>3</v>
      </c>
      <c r="F4729" s="2" t="s">
        <v>10086</v>
      </c>
      <c r="H4729" s="3">
        <v>5.9999999999999995E-4</v>
      </c>
      <c r="K4729" s="2" t="s">
        <v>10089</v>
      </c>
    </row>
    <row r="4730" spans="1:11" x14ac:dyDescent="0.2">
      <c r="A4730" s="2">
        <v>1183</v>
      </c>
      <c r="B4730" s="2">
        <v>7</v>
      </c>
      <c r="C4730" s="2">
        <v>96564982</v>
      </c>
      <c r="D4730" s="2">
        <v>97420207</v>
      </c>
      <c r="E4730" s="2">
        <v>4</v>
      </c>
      <c r="F4730" s="2" t="s">
        <v>10086</v>
      </c>
      <c r="H4730" s="3">
        <v>4.0000000000000002E-4</v>
      </c>
      <c r="K4730" s="2" t="s">
        <v>10085</v>
      </c>
    </row>
    <row r="4731" spans="1:11" x14ac:dyDescent="0.2">
      <c r="A4731" s="2">
        <v>1184</v>
      </c>
      <c r="B4731" s="2">
        <v>7</v>
      </c>
      <c r="C4731" s="2">
        <v>97420208</v>
      </c>
      <c r="D4731" s="2">
        <v>98173564</v>
      </c>
      <c r="E4731" s="2">
        <v>1</v>
      </c>
      <c r="F4731" s="2" t="s">
        <v>10086</v>
      </c>
      <c r="H4731" s="2">
        <v>3.0999999999999999E-3</v>
      </c>
      <c r="K4731" s="2" t="s">
        <v>10087</v>
      </c>
    </row>
    <row r="4732" spans="1:11" x14ac:dyDescent="0.2">
      <c r="A4732" s="2">
        <v>1184</v>
      </c>
      <c r="B4732" s="2">
        <v>7</v>
      </c>
      <c r="C4732" s="2">
        <v>97420208</v>
      </c>
      <c r="D4732" s="2">
        <v>98173564</v>
      </c>
      <c r="E4732" s="2">
        <v>2</v>
      </c>
      <c r="F4732" s="2" t="s">
        <v>10086</v>
      </c>
      <c r="H4732" s="3">
        <v>8.9999999999999998E-4</v>
      </c>
      <c r="K4732" s="2" t="s">
        <v>10089</v>
      </c>
    </row>
    <row r="4733" spans="1:11" x14ac:dyDescent="0.2">
      <c r="A4733" s="2">
        <v>1184</v>
      </c>
      <c r="B4733" s="2">
        <v>7</v>
      </c>
      <c r="C4733" s="2">
        <v>97420208</v>
      </c>
      <c r="D4733" s="2">
        <v>98173564</v>
      </c>
      <c r="E4733" s="2">
        <v>3</v>
      </c>
      <c r="F4733" s="2" t="s">
        <v>10086</v>
      </c>
      <c r="H4733" s="3">
        <v>5.0000000000000001E-4</v>
      </c>
      <c r="K4733" s="2" t="s">
        <v>10085</v>
      </c>
    </row>
    <row r="4734" spans="1:11" x14ac:dyDescent="0.2">
      <c r="A4734" s="2">
        <v>1184</v>
      </c>
      <c r="B4734" s="2">
        <v>7</v>
      </c>
      <c r="C4734" s="2">
        <v>97420208</v>
      </c>
      <c r="D4734" s="2">
        <v>98173564</v>
      </c>
      <c r="E4734" s="2">
        <v>4</v>
      </c>
      <c r="F4734" s="2" t="s">
        <v>10086</v>
      </c>
      <c r="H4734" s="3">
        <v>2.9999999999999997E-4</v>
      </c>
      <c r="K4734" s="2" t="s">
        <v>10088</v>
      </c>
    </row>
    <row r="4735" spans="1:11" x14ac:dyDescent="0.2">
      <c r="A4735" s="2">
        <v>1185</v>
      </c>
      <c r="B4735" s="2">
        <v>7</v>
      </c>
      <c r="C4735" s="2">
        <v>98173565</v>
      </c>
      <c r="D4735" s="2">
        <v>99465540</v>
      </c>
      <c r="E4735" s="2">
        <v>1</v>
      </c>
      <c r="F4735" s="2" t="s">
        <v>10086</v>
      </c>
      <c r="H4735" s="2">
        <v>1.6000000000000001E-3</v>
      </c>
      <c r="K4735" s="2" t="s">
        <v>10087</v>
      </c>
    </row>
    <row r="4736" spans="1:11" x14ac:dyDescent="0.2">
      <c r="A4736" s="2">
        <v>1185</v>
      </c>
      <c r="B4736" s="2">
        <v>7</v>
      </c>
      <c r="C4736" s="2">
        <v>98173565</v>
      </c>
      <c r="D4736" s="2">
        <v>99465540</v>
      </c>
      <c r="E4736" s="2">
        <v>2</v>
      </c>
      <c r="F4736" s="2" t="s">
        <v>10086</v>
      </c>
      <c r="H4736" s="2">
        <v>1.1999999999999999E-3</v>
      </c>
      <c r="K4736" s="2" t="s">
        <v>10089</v>
      </c>
    </row>
    <row r="4737" spans="1:11" x14ac:dyDescent="0.2">
      <c r="A4737" s="2">
        <v>1185</v>
      </c>
      <c r="B4737" s="2">
        <v>7</v>
      </c>
      <c r="C4737" s="2">
        <v>98173565</v>
      </c>
      <c r="D4737" s="2">
        <v>99465540</v>
      </c>
      <c r="E4737" s="2">
        <v>3</v>
      </c>
      <c r="F4737" s="2" t="s">
        <v>10086</v>
      </c>
      <c r="H4737" s="3">
        <v>8.0000000000000004E-4</v>
      </c>
      <c r="K4737" s="2" t="s">
        <v>10085</v>
      </c>
    </row>
    <row r="4738" spans="1:11" x14ac:dyDescent="0.2">
      <c r="A4738" s="2">
        <v>1185</v>
      </c>
      <c r="B4738" s="2">
        <v>7</v>
      </c>
      <c r="C4738" s="2">
        <v>98173565</v>
      </c>
      <c r="D4738" s="2">
        <v>99465540</v>
      </c>
      <c r="E4738" s="2">
        <v>4</v>
      </c>
      <c r="F4738" s="2" t="s">
        <v>10086</v>
      </c>
      <c r="H4738" s="3">
        <v>4.0000000000000002E-4</v>
      </c>
      <c r="K4738" s="2" t="s">
        <v>10088</v>
      </c>
    </row>
    <row r="4739" spans="1:11" x14ac:dyDescent="0.2">
      <c r="A4739" s="2">
        <v>1186</v>
      </c>
      <c r="B4739" s="2">
        <v>7</v>
      </c>
      <c r="C4739" s="2">
        <v>99465541</v>
      </c>
      <c r="D4739" s="2">
        <v>100849307</v>
      </c>
      <c r="E4739" s="2">
        <v>1</v>
      </c>
      <c r="F4739" s="2" t="s">
        <v>10086</v>
      </c>
      <c r="H4739" s="2">
        <v>2.3E-3</v>
      </c>
      <c r="K4739" s="2" t="s">
        <v>10087</v>
      </c>
    </row>
    <row r="4740" spans="1:11" x14ac:dyDescent="0.2">
      <c r="A4740" s="2">
        <v>1186</v>
      </c>
      <c r="B4740" s="2">
        <v>7</v>
      </c>
      <c r="C4740" s="2">
        <v>99465541</v>
      </c>
      <c r="D4740" s="2">
        <v>100849307</v>
      </c>
      <c r="E4740" s="2">
        <v>2</v>
      </c>
      <c r="F4740" s="2" t="s">
        <v>10086</v>
      </c>
      <c r="H4740" s="2">
        <v>1.8E-3</v>
      </c>
      <c r="K4740" s="2" t="s">
        <v>10089</v>
      </c>
    </row>
    <row r="4741" spans="1:11" x14ac:dyDescent="0.2">
      <c r="A4741" s="2">
        <v>1186</v>
      </c>
      <c r="B4741" s="2">
        <v>7</v>
      </c>
      <c r="C4741" s="2">
        <v>99465541</v>
      </c>
      <c r="D4741" s="2">
        <v>100849307</v>
      </c>
      <c r="E4741" s="2">
        <v>3</v>
      </c>
      <c r="F4741" s="2" t="s">
        <v>10086</v>
      </c>
      <c r="H4741" s="3">
        <v>8.9999999999999998E-4</v>
      </c>
      <c r="K4741" s="2" t="s">
        <v>10088</v>
      </c>
    </row>
    <row r="4742" spans="1:11" x14ac:dyDescent="0.2">
      <c r="A4742" s="2">
        <v>1186</v>
      </c>
      <c r="B4742" s="2">
        <v>7</v>
      </c>
      <c r="C4742" s="2">
        <v>99465541</v>
      </c>
      <c r="D4742" s="2">
        <v>100849307</v>
      </c>
      <c r="E4742" s="2">
        <v>4</v>
      </c>
      <c r="F4742" s="2" t="s">
        <v>10086</v>
      </c>
      <c r="H4742" s="3">
        <v>4.0000000000000002E-4</v>
      </c>
      <c r="K4742" s="2" t="s">
        <v>10085</v>
      </c>
    </row>
    <row r="4743" spans="1:11" x14ac:dyDescent="0.2">
      <c r="A4743" s="2">
        <v>1187</v>
      </c>
      <c r="B4743" s="2">
        <v>7</v>
      </c>
      <c r="C4743" s="2">
        <v>100849308</v>
      </c>
      <c r="D4743" s="2">
        <v>101950748</v>
      </c>
      <c r="E4743" s="2">
        <v>1</v>
      </c>
      <c r="F4743" s="2" t="s">
        <v>10086</v>
      </c>
      <c r="H4743" s="2">
        <v>3.8999999999999998E-3</v>
      </c>
      <c r="K4743" s="2" t="s">
        <v>10085</v>
      </c>
    </row>
    <row r="4744" spans="1:11" x14ac:dyDescent="0.2">
      <c r="A4744" s="2">
        <v>1187</v>
      </c>
      <c r="B4744" s="2">
        <v>7</v>
      </c>
      <c r="C4744" s="2">
        <v>100849308</v>
      </c>
      <c r="D4744" s="2">
        <v>101950748</v>
      </c>
      <c r="E4744" s="2">
        <v>2</v>
      </c>
      <c r="F4744" s="2" t="s">
        <v>10086</v>
      </c>
      <c r="H4744" s="2">
        <v>2.8E-3</v>
      </c>
      <c r="K4744" s="2" t="s">
        <v>10088</v>
      </c>
    </row>
    <row r="4745" spans="1:11" x14ac:dyDescent="0.2">
      <c r="A4745" s="2">
        <v>1187</v>
      </c>
      <c r="B4745" s="2">
        <v>7</v>
      </c>
      <c r="C4745" s="2">
        <v>100849308</v>
      </c>
      <c r="D4745" s="2">
        <v>101950748</v>
      </c>
      <c r="E4745" s="2">
        <v>3</v>
      </c>
      <c r="F4745" s="2" t="s">
        <v>10086</v>
      </c>
      <c r="H4745" s="2">
        <v>1.1999999999999999E-3</v>
      </c>
      <c r="K4745" s="2" t="s">
        <v>10087</v>
      </c>
    </row>
    <row r="4746" spans="1:11" x14ac:dyDescent="0.2">
      <c r="A4746" s="2">
        <v>1187</v>
      </c>
      <c r="B4746" s="2">
        <v>7</v>
      </c>
      <c r="C4746" s="2">
        <v>100849308</v>
      </c>
      <c r="D4746" s="2">
        <v>101950748</v>
      </c>
      <c r="E4746" s="2">
        <v>4</v>
      </c>
      <c r="F4746" s="2" t="s">
        <v>10086</v>
      </c>
      <c r="H4746" s="3">
        <v>5.9999999999999995E-4</v>
      </c>
      <c r="K4746" s="2" t="s">
        <v>10089</v>
      </c>
    </row>
    <row r="4747" spans="1:11" x14ac:dyDescent="0.2">
      <c r="A4747" s="2">
        <v>1188</v>
      </c>
      <c r="B4747" s="2">
        <v>7</v>
      </c>
      <c r="C4747" s="2">
        <v>101950749</v>
      </c>
      <c r="D4747" s="2">
        <v>103191322</v>
      </c>
      <c r="E4747" s="2">
        <v>1</v>
      </c>
      <c r="F4747" s="2" t="s">
        <v>10086</v>
      </c>
      <c r="H4747" s="2">
        <v>1.6000000000000001E-3</v>
      </c>
      <c r="K4747" s="2" t="s">
        <v>12324</v>
      </c>
    </row>
    <row r="4748" spans="1:11" x14ac:dyDescent="0.2">
      <c r="A4748" s="2">
        <v>1188</v>
      </c>
      <c r="B4748" s="2">
        <v>7</v>
      </c>
      <c r="C4748" s="2">
        <v>101950749</v>
      </c>
      <c r="D4748" s="2">
        <v>103191322</v>
      </c>
      <c r="E4748" s="2">
        <v>2</v>
      </c>
      <c r="F4748" s="2" t="s">
        <v>10086</v>
      </c>
      <c r="H4748" s="3">
        <v>8.9999999999999998E-4</v>
      </c>
      <c r="K4748" s="2" t="s">
        <v>10088</v>
      </c>
    </row>
    <row r="4749" spans="1:11" x14ac:dyDescent="0.2">
      <c r="A4749" s="2">
        <v>1188</v>
      </c>
      <c r="B4749" s="2">
        <v>7</v>
      </c>
      <c r="C4749" s="2">
        <v>101950749</v>
      </c>
      <c r="D4749" s="2">
        <v>103191322</v>
      </c>
      <c r="E4749" s="2">
        <v>3</v>
      </c>
      <c r="F4749" s="2" t="s">
        <v>10086</v>
      </c>
      <c r="H4749" s="3">
        <v>8.0000000000000004E-4</v>
      </c>
      <c r="K4749" s="2" t="s">
        <v>10085</v>
      </c>
    </row>
    <row r="4750" spans="1:11" x14ac:dyDescent="0.2">
      <c r="A4750" s="2">
        <v>1188</v>
      </c>
      <c r="B4750" s="2">
        <v>7</v>
      </c>
      <c r="C4750" s="2">
        <v>101950749</v>
      </c>
      <c r="D4750" s="2">
        <v>103191322</v>
      </c>
      <c r="E4750" s="2">
        <v>4</v>
      </c>
      <c r="F4750" s="2" t="s">
        <v>10086</v>
      </c>
      <c r="H4750" s="3">
        <v>5.0000000000000001E-4</v>
      </c>
      <c r="K4750" s="2" t="s">
        <v>10089</v>
      </c>
    </row>
    <row r="4751" spans="1:11" x14ac:dyDescent="0.2">
      <c r="A4751" s="2">
        <v>1189</v>
      </c>
      <c r="B4751" s="2">
        <v>7</v>
      </c>
      <c r="C4751" s="2">
        <v>103191323</v>
      </c>
      <c r="D4751" s="2">
        <v>104109231</v>
      </c>
      <c r="E4751" s="2">
        <v>1</v>
      </c>
      <c r="F4751" s="2" t="s">
        <v>10086</v>
      </c>
      <c r="H4751" s="2">
        <v>4.8999999999999998E-3</v>
      </c>
      <c r="K4751" s="2" t="s">
        <v>12324</v>
      </c>
    </row>
    <row r="4752" spans="1:11" x14ac:dyDescent="0.2">
      <c r="A4752" s="2">
        <v>1189</v>
      </c>
      <c r="B4752" s="2">
        <v>7</v>
      </c>
      <c r="C4752" s="2">
        <v>103191323</v>
      </c>
      <c r="D4752" s="2">
        <v>104109231</v>
      </c>
      <c r="E4752" s="2">
        <v>2</v>
      </c>
      <c r="F4752" s="2" t="s">
        <v>10086</v>
      </c>
      <c r="H4752" s="2">
        <v>1.8E-3</v>
      </c>
      <c r="K4752" s="2" t="s">
        <v>10087</v>
      </c>
    </row>
    <row r="4753" spans="1:11" x14ac:dyDescent="0.2">
      <c r="A4753" s="2">
        <v>1189</v>
      </c>
      <c r="B4753" s="2">
        <v>7</v>
      </c>
      <c r="C4753" s="2">
        <v>103191323</v>
      </c>
      <c r="D4753" s="2">
        <v>104109231</v>
      </c>
      <c r="E4753" s="2">
        <v>3</v>
      </c>
      <c r="F4753" s="2" t="s">
        <v>10086</v>
      </c>
      <c r="H4753" s="2">
        <v>1.2999999999999999E-3</v>
      </c>
      <c r="K4753" s="2" t="s">
        <v>10088</v>
      </c>
    </row>
    <row r="4754" spans="1:11" x14ac:dyDescent="0.2">
      <c r="A4754" s="2">
        <v>1189</v>
      </c>
      <c r="B4754" s="2">
        <v>7</v>
      </c>
      <c r="C4754" s="2">
        <v>103191323</v>
      </c>
      <c r="D4754" s="2">
        <v>104109231</v>
      </c>
      <c r="E4754" s="2">
        <v>4</v>
      </c>
      <c r="F4754" s="2" t="s">
        <v>10086</v>
      </c>
      <c r="H4754" s="3">
        <v>8.0000000000000004E-4</v>
      </c>
      <c r="K4754" s="2" t="s">
        <v>10089</v>
      </c>
    </row>
    <row r="4755" spans="1:11" x14ac:dyDescent="0.2">
      <c r="A4755" s="2">
        <v>1190</v>
      </c>
      <c r="B4755" s="2">
        <v>7</v>
      </c>
      <c r="C4755" s="2">
        <v>104109232</v>
      </c>
      <c r="D4755" s="2">
        <v>105312563</v>
      </c>
      <c r="E4755" s="2">
        <v>1</v>
      </c>
      <c r="F4755" s="2" t="s">
        <v>10086</v>
      </c>
      <c r="H4755" s="2">
        <v>1.8E-3</v>
      </c>
      <c r="K4755" s="2" t="s">
        <v>10089</v>
      </c>
    </row>
    <row r="4756" spans="1:11" x14ac:dyDescent="0.2">
      <c r="A4756" s="2">
        <v>1190</v>
      </c>
      <c r="B4756" s="2">
        <v>7</v>
      </c>
      <c r="C4756" s="2">
        <v>104109232</v>
      </c>
      <c r="D4756" s="2">
        <v>105312563</v>
      </c>
      <c r="E4756" s="2">
        <v>2</v>
      </c>
      <c r="F4756" s="2" t="s">
        <v>10086</v>
      </c>
      <c r="H4756" s="2">
        <v>2.7000000000000001E-3</v>
      </c>
      <c r="K4756" s="2" t="s">
        <v>12324</v>
      </c>
    </row>
    <row r="4757" spans="1:11" x14ac:dyDescent="0.2">
      <c r="A4757" s="2">
        <v>1190</v>
      </c>
      <c r="B4757" s="2">
        <v>7</v>
      </c>
      <c r="C4757" s="2">
        <v>104109232</v>
      </c>
      <c r="D4757" s="2">
        <v>105312563</v>
      </c>
      <c r="E4757" s="2">
        <v>3</v>
      </c>
      <c r="F4757" s="2" t="s">
        <v>10086</v>
      </c>
      <c r="H4757" s="2">
        <v>1.1000000000000001E-3</v>
      </c>
      <c r="K4757" s="2" t="s">
        <v>10088</v>
      </c>
    </row>
    <row r="4758" spans="1:11" x14ac:dyDescent="0.2">
      <c r="A4758" s="2">
        <v>1190</v>
      </c>
      <c r="B4758" s="2">
        <v>7</v>
      </c>
      <c r="C4758" s="2">
        <v>104109232</v>
      </c>
      <c r="D4758" s="2">
        <v>105312563</v>
      </c>
      <c r="E4758" s="2">
        <v>4</v>
      </c>
      <c r="F4758" s="2" t="s">
        <v>10086</v>
      </c>
      <c r="H4758" s="3">
        <v>6.9999999999999999E-4</v>
      </c>
      <c r="K4758" s="2" t="s">
        <v>10087</v>
      </c>
    </row>
    <row r="4759" spans="1:11" x14ac:dyDescent="0.2">
      <c r="A4759" s="2">
        <v>1191</v>
      </c>
      <c r="B4759" s="2">
        <v>7</v>
      </c>
      <c r="C4759" s="2">
        <v>105312564</v>
      </c>
      <c r="D4759" s="2">
        <v>106399739</v>
      </c>
      <c r="E4759" s="2">
        <v>1</v>
      </c>
      <c r="F4759" s="2" t="s">
        <v>10086</v>
      </c>
      <c r="H4759" s="2">
        <v>1.1999999999999999E-3</v>
      </c>
      <c r="K4759" s="2" t="s">
        <v>10087</v>
      </c>
    </row>
    <row r="4760" spans="1:11" x14ac:dyDescent="0.2">
      <c r="A4760" s="2">
        <v>1191</v>
      </c>
      <c r="B4760" s="2">
        <v>7</v>
      </c>
      <c r="C4760" s="2">
        <v>105312564</v>
      </c>
      <c r="D4760" s="2">
        <v>106399739</v>
      </c>
      <c r="E4760" s="2">
        <v>2</v>
      </c>
      <c r="F4760" s="2" t="s">
        <v>10086</v>
      </c>
      <c r="H4760" s="2">
        <v>1.4E-3</v>
      </c>
      <c r="K4760" s="2" t="s">
        <v>10085</v>
      </c>
    </row>
    <row r="4761" spans="1:11" x14ac:dyDescent="0.2">
      <c r="A4761" s="2">
        <v>1191</v>
      </c>
      <c r="B4761" s="2">
        <v>7</v>
      </c>
      <c r="C4761" s="2">
        <v>105312564</v>
      </c>
      <c r="D4761" s="2">
        <v>106399739</v>
      </c>
      <c r="E4761" s="2">
        <v>3</v>
      </c>
      <c r="F4761" s="2" t="s">
        <v>10086</v>
      </c>
      <c r="H4761" s="2">
        <v>1.1000000000000001E-3</v>
      </c>
      <c r="K4761" s="2" t="s">
        <v>10088</v>
      </c>
    </row>
    <row r="4762" spans="1:11" x14ac:dyDescent="0.2">
      <c r="A4762" s="2">
        <v>1191</v>
      </c>
      <c r="B4762" s="2">
        <v>7</v>
      </c>
      <c r="C4762" s="2">
        <v>105312564</v>
      </c>
      <c r="D4762" s="2">
        <v>106399739</v>
      </c>
      <c r="E4762" s="2">
        <v>4</v>
      </c>
      <c r="F4762" s="2" t="s">
        <v>10086</v>
      </c>
      <c r="H4762" s="3">
        <v>8.9999999999999998E-4</v>
      </c>
      <c r="K4762" s="2" t="s">
        <v>10089</v>
      </c>
    </row>
    <row r="4763" spans="1:11" x14ac:dyDescent="0.2">
      <c r="A4763" s="2">
        <v>1192</v>
      </c>
      <c r="B4763" s="2">
        <v>7</v>
      </c>
      <c r="C4763" s="2">
        <v>106399740</v>
      </c>
      <c r="D4763" s="2">
        <v>107658603</v>
      </c>
      <c r="E4763" s="2">
        <v>1</v>
      </c>
      <c r="F4763" s="2" t="s">
        <v>10086</v>
      </c>
      <c r="H4763" s="2">
        <v>2.5000000000000001E-3</v>
      </c>
      <c r="K4763" s="2" t="s">
        <v>10085</v>
      </c>
    </row>
    <row r="4764" spans="1:11" x14ac:dyDescent="0.2">
      <c r="A4764" s="2">
        <v>1192</v>
      </c>
      <c r="B4764" s="2">
        <v>7</v>
      </c>
      <c r="C4764" s="2">
        <v>106399740</v>
      </c>
      <c r="D4764" s="2">
        <v>107658603</v>
      </c>
      <c r="E4764" s="2">
        <v>2</v>
      </c>
      <c r="F4764" s="2" t="s">
        <v>10086</v>
      </c>
      <c r="H4764" s="2">
        <v>1.5E-3</v>
      </c>
      <c r="K4764" s="2" t="s">
        <v>10088</v>
      </c>
    </row>
    <row r="4765" spans="1:11" x14ac:dyDescent="0.2">
      <c r="A4765" s="2">
        <v>1192</v>
      </c>
      <c r="B4765" s="2">
        <v>7</v>
      </c>
      <c r="C4765" s="2">
        <v>106399740</v>
      </c>
      <c r="D4765" s="2">
        <v>107658603</v>
      </c>
      <c r="E4765" s="2">
        <v>3</v>
      </c>
      <c r="F4765" s="2" t="s">
        <v>10086</v>
      </c>
      <c r="H4765" s="3">
        <v>8.0000000000000004E-4</v>
      </c>
      <c r="K4765" s="2" t="s">
        <v>10087</v>
      </c>
    </row>
    <row r="4766" spans="1:11" x14ac:dyDescent="0.2">
      <c r="A4766" s="2">
        <v>1192</v>
      </c>
      <c r="B4766" s="2">
        <v>7</v>
      </c>
      <c r="C4766" s="2">
        <v>106399740</v>
      </c>
      <c r="D4766" s="2">
        <v>107658603</v>
      </c>
      <c r="E4766" s="2">
        <v>4</v>
      </c>
      <c r="F4766" s="2" t="s">
        <v>10086</v>
      </c>
      <c r="H4766" s="3">
        <v>5.0000000000000001E-4</v>
      </c>
      <c r="K4766" s="2" t="s">
        <v>10089</v>
      </c>
    </row>
    <row r="4767" spans="1:11" x14ac:dyDescent="0.2">
      <c r="A4767" s="2">
        <v>1193</v>
      </c>
      <c r="B4767" s="2">
        <v>7</v>
      </c>
      <c r="C4767" s="2">
        <v>107658604</v>
      </c>
      <c r="D4767" s="2">
        <v>109095558</v>
      </c>
      <c r="E4767" s="2">
        <v>1</v>
      </c>
      <c r="F4767" s="2" t="s">
        <v>10086</v>
      </c>
      <c r="H4767" s="2">
        <v>1.1999999999999999E-3</v>
      </c>
      <c r="K4767" s="2" t="s">
        <v>10085</v>
      </c>
    </row>
    <row r="4768" spans="1:11" x14ac:dyDescent="0.2">
      <c r="A4768" s="2">
        <v>1193</v>
      </c>
      <c r="B4768" s="2">
        <v>7</v>
      </c>
      <c r="C4768" s="2">
        <v>107658604</v>
      </c>
      <c r="D4768" s="2">
        <v>109095558</v>
      </c>
      <c r="E4768" s="2">
        <v>2</v>
      </c>
      <c r="F4768" s="2" t="s">
        <v>10086</v>
      </c>
      <c r="H4768" s="2">
        <v>1E-3</v>
      </c>
      <c r="K4768" s="2" t="s">
        <v>10088</v>
      </c>
    </row>
    <row r="4769" spans="1:11" x14ac:dyDescent="0.2">
      <c r="A4769" s="2">
        <v>1193</v>
      </c>
      <c r="B4769" s="2">
        <v>7</v>
      </c>
      <c r="C4769" s="2">
        <v>107658604</v>
      </c>
      <c r="D4769" s="2">
        <v>109095558</v>
      </c>
      <c r="E4769" s="2">
        <v>3</v>
      </c>
      <c r="F4769" s="2" t="s">
        <v>10086</v>
      </c>
      <c r="H4769" s="3">
        <v>8.0000000000000004E-4</v>
      </c>
      <c r="K4769" s="2" t="s">
        <v>10089</v>
      </c>
    </row>
    <row r="4770" spans="1:11" x14ac:dyDescent="0.2">
      <c r="A4770" s="2">
        <v>1193</v>
      </c>
      <c r="B4770" s="2">
        <v>7</v>
      </c>
      <c r="C4770" s="2">
        <v>107658604</v>
      </c>
      <c r="D4770" s="2">
        <v>109095558</v>
      </c>
      <c r="E4770" s="2">
        <v>4</v>
      </c>
      <c r="F4770" s="2" t="s">
        <v>10086</v>
      </c>
      <c r="H4770" s="3">
        <v>4.0000000000000002E-4</v>
      </c>
      <c r="K4770" s="2" t="s">
        <v>10087</v>
      </c>
    </row>
    <row r="4771" spans="1:11" x14ac:dyDescent="0.2">
      <c r="A4771" s="2">
        <v>1194</v>
      </c>
      <c r="B4771" s="2">
        <v>7</v>
      </c>
      <c r="C4771" s="2">
        <v>109095559</v>
      </c>
      <c r="D4771" s="2">
        <v>110479479</v>
      </c>
      <c r="E4771" s="2">
        <v>1</v>
      </c>
      <c r="F4771" s="2" t="s">
        <v>10086</v>
      </c>
      <c r="H4771" s="2">
        <v>1.41E-2</v>
      </c>
      <c r="K4771" s="2" t="s">
        <v>10088</v>
      </c>
    </row>
    <row r="4772" spans="1:11" x14ac:dyDescent="0.2">
      <c r="A4772" s="2">
        <v>1194</v>
      </c>
      <c r="B4772" s="2">
        <v>7</v>
      </c>
      <c r="C4772" s="2">
        <v>109095559</v>
      </c>
      <c r="D4772" s="2">
        <v>110479479</v>
      </c>
      <c r="E4772" s="2">
        <v>2</v>
      </c>
      <c r="F4772" s="2" t="s">
        <v>10086</v>
      </c>
      <c r="H4772" s="2">
        <v>1.4E-3</v>
      </c>
      <c r="K4772" s="2" t="s">
        <v>10085</v>
      </c>
    </row>
    <row r="4773" spans="1:11" x14ac:dyDescent="0.2">
      <c r="A4773" s="2">
        <v>1194</v>
      </c>
      <c r="B4773" s="2">
        <v>7</v>
      </c>
      <c r="C4773" s="2">
        <v>109095559</v>
      </c>
      <c r="D4773" s="2">
        <v>110479479</v>
      </c>
      <c r="E4773" s="2">
        <v>3</v>
      </c>
      <c r="F4773" s="2" t="s">
        <v>10086</v>
      </c>
      <c r="H4773" s="2">
        <v>1.1000000000000001E-3</v>
      </c>
      <c r="K4773" s="2" t="s">
        <v>10089</v>
      </c>
    </row>
    <row r="4774" spans="1:11" x14ac:dyDescent="0.2">
      <c r="A4774" s="2">
        <v>1194</v>
      </c>
      <c r="B4774" s="2">
        <v>7</v>
      </c>
      <c r="C4774" s="2">
        <v>109095559</v>
      </c>
      <c r="D4774" s="2">
        <v>110479479</v>
      </c>
      <c r="E4774" s="2">
        <v>4</v>
      </c>
      <c r="F4774" s="2" t="s">
        <v>10086</v>
      </c>
      <c r="H4774" s="3">
        <v>6.9999999999999999E-4</v>
      </c>
      <c r="K4774" s="2" t="s">
        <v>10087</v>
      </c>
    </row>
    <row r="4775" spans="1:11" x14ac:dyDescent="0.2">
      <c r="A4775" s="2">
        <v>1195</v>
      </c>
      <c r="B4775" s="2">
        <v>7</v>
      </c>
      <c r="C4775" s="2">
        <v>110479480</v>
      </c>
      <c r="D4775" s="2">
        <v>111795299</v>
      </c>
      <c r="E4775" s="2">
        <v>1</v>
      </c>
      <c r="F4775" s="2" t="s">
        <v>10086</v>
      </c>
      <c r="H4775" s="2">
        <v>1.2999999999999999E-3</v>
      </c>
      <c r="K4775" s="2" t="s">
        <v>10085</v>
      </c>
    </row>
    <row r="4776" spans="1:11" x14ac:dyDescent="0.2">
      <c r="A4776" s="2">
        <v>1195</v>
      </c>
      <c r="B4776" s="2">
        <v>7</v>
      </c>
      <c r="C4776" s="2">
        <v>110479480</v>
      </c>
      <c r="D4776" s="2">
        <v>111795299</v>
      </c>
      <c r="E4776" s="2">
        <v>2</v>
      </c>
      <c r="F4776" s="2" t="s">
        <v>10086</v>
      </c>
      <c r="H4776" s="2">
        <v>1.1999999999999999E-3</v>
      </c>
      <c r="K4776" s="2" t="s">
        <v>10088</v>
      </c>
    </row>
    <row r="4777" spans="1:11" x14ac:dyDescent="0.2">
      <c r="A4777" s="2">
        <v>1195</v>
      </c>
      <c r="B4777" s="2">
        <v>7</v>
      </c>
      <c r="C4777" s="2">
        <v>110479480</v>
      </c>
      <c r="D4777" s="2">
        <v>111795299</v>
      </c>
      <c r="E4777" s="2">
        <v>3</v>
      </c>
      <c r="F4777" s="2" t="s">
        <v>10086</v>
      </c>
      <c r="H4777" s="3">
        <v>8.9999999999999998E-4</v>
      </c>
      <c r="K4777" s="2" t="s">
        <v>10089</v>
      </c>
    </row>
    <row r="4778" spans="1:11" x14ac:dyDescent="0.2">
      <c r="A4778" s="2">
        <v>1195</v>
      </c>
      <c r="B4778" s="2">
        <v>7</v>
      </c>
      <c r="C4778" s="2">
        <v>110479480</v>
      </c>
      <c r="D4778" s="2">
        <v>111795299</v>
      </c>
      <c r="E4778" s="2">
        <v>4</v>
      </c>
      <c r="F4778" s="2" t="s">
        <v>10086</v>
      </c>
      <c r="H4778" s="3">
        <v>5.0000000000000001E-4</v>
      </c>
      <c r="K4778" s="2" t="s">
        <v>10087</v>
      </c>
    </row>
    <row r="4779" spans="1:11" x14ac:dyDescent="0.2">
      <c r="A4779" s="2">
        <v>1196</v>
      </c>
      <c r="B4779" s="2">
        <v>7</v>
      </c>
      <c r="C4779" s="2">
        <v>111795300</v>
      </c>
      <c r="D4779" s="2">
        <v>113339386</v>
      </c>
      <c r="E4779" s="2">
        <v>1</v>
      </c>
      <c r="F4779" s="2" t="s">
        <v>10086</v>
      </c>
      <c r="H4779" s="2">
        <v>1.5800000000000002E-2</v>
      </c>
      <c r="K4779" s="2" t="s">
        <v>10089</v>
      </c>
    </row>
    <row r="4780" spans="1:11" x14ac:dyDescent="0.2">
      <c r="A4780" s="2">
        <v>1196</v>
      </c>
      <c r="B4780" s="2">
        <v>7</v>
      </c>
      <c r="C4780" s="2">
        <v>111795300</v>
      </c>
      <c r="D4780" s="2">
        <v>113339386</v>
      </c>
      <c r="E4780" s="2">
        <v>2</v>
      </c>
      <c r="F4780" s="2" t="s">
        <v>10086</v>
      </c>
      <c r="H4780" s="2">
        <v>8.8999999999999999E-3</v>
      </c>
      <c r="K4780" s="2" t="s">
        <v>10088</v>
      </c>
    </row>
    <row r="4781" spans="1:11" x14ac:dyDescent="0.2">
      <c r="A4781" s="2">
        <v>1196</v>
      </c>
      <c r="B4781" s="2">
        <v>7</v>
      </c>
      <c r="C4781" s="2">
        <v>111795300</v>
      </c>
      <c r="D4781" s="2">
        <v>113339386</v>
      </c>
      <c r="E4781" s="2">
        <v>3</v>
      </c>
      <c r="F4781" s="2" t="s">
        <v>10086</v>
      </c>
      <c r="H4781" s="2">
        <v>1.8E-3</v>
      </c>
      <c r="K4781" s="2" t="s">
        <v>10085</v>
      </c>
    </row>
    <row r="4782" spans="1:11" x14ac:dyDescent="0.2">
      <c r="A4782" s="2">
        <v>1196</v>
      </c>
      <c r="B4782" s="2">
        <v>7</v>
      </c>
      <c r="C4782" s="2">
        <v>111795300</v>
      </c>
      <c r="D4782" s="2">
        <v>113339386</v>
      </c>
      <c r="E4782" s="2">
        <v>4</v>
      </c>
      <c r="F4782" s="2" t="s">
        <v>10086</v>
      </c>
      <c r="H4782" s="3">
        <v>8.0000000000000004E-4</v>
      </c>
      <c r="K4782" s="2" t="s">
        <v>12324</v>
      </c>
    </row>
    <row r="4783" spans="1:11" x14ac:dyDescent="0.2">
      <c r="A4783" s="2">
        <v>1197</v>
      </c>
      <c r="B4783" s="2">
        <v>7</v>
      </c>
      <c r="C4783" s="2">
        <v>113339387</v>
      </c>
      <c r="D4783" s="2">
        <v>115321301</v>
      </c>
      <c r="E4783" s="2">
        <v>1</v>
      </c>
      <c r="F4783" s="2" t="s">
        <v>10086</v>
      </c>
      <c r="H4783" s="2">
        <v>7.1999999999999998E-3</v>
      </c>
      <c r="K4783" s="2" t="s">
        <v>10087</v>
      </c>
    </row>
    <row r="4784" spans="1:11" x14ac:dyDescent="0.2">
      <c r="A4784" s="2">
        <v>1197</v>
      </c>
      <c r="B4784" s="2">
        <v>7</v>
      </c>
      <c r="C4784" s="2">
        <v>113339387</v>
      </c>
      <c r="D4784" s="2">
        <v>115321301</v>
      </c>
      <c r="E4784" s="2">
        <v>2</v>
      </c>
      <c r="F4784" s="2" t="s">
        <v>10086</v>
      </c>
      <c r="H4784" s="2">
        <v>2.5999999999999999E-3</v>
      </c>
      <c r="K4784" s="2" t="s">
        <v>10085</v>
      </c>
    </row>
    <row r="4785" spans="1:11" x14ac:dyDescent="0.2">
      <c r="A4785" s="2">
        <v>1197</v>
      </c>
      <c r="B4785" s="2">
        <v>7</v>
      </c>
      <c r="C4785" s="2">
        <v>113339387</v>
      </c>
      <c r="D4785" s="2">
        <v>115321301</v>
      </c>
      <c r="E4785" s="2">
        <v>3</v>
      </c>
      <c r="F4785" s="2" t="s">
        <v>10086</v>
      </c>
      <c r="H4785" s="2">
        <v>2.2000000000000001E-3</v>
      </c>
      <c r="K4785" s="2" t="s">
        <v>12324</v>
      </c>
    </row>
    <row r="4786" spans="1:11" x14ac:dyDescent="0.2">
      <c r="A4786" s="2">
        <v>1197</v>
      </c>
      <c r="B4786" s="2">
        <v>7</v>
      </c>
      <c r="C4786" s="2">
        <v>113339387</v>
      </c>
      <c r="D4786" s="2">
        <v>115321301</v>
      </c>
      <c r="E4786" s="2">
        <v>4</v>
      </c>
      <c r="F4786" s="2" t="s">
        <v>10086</v>
      </c>
      <c r="H4786" s="2">
        <v>2.3E-3</v>
      </c>
      <c r="K4786" s="2" t="s">
        <v>10088</v>
      </c>
    </row>
    <row r="4787" spans="1:11" x14ac:dyDescent="0.2">
      <c r="A4787" s="2">
        <v>1198</v>
      </c>
      <c r="B4787" s="2">
        <v>7</v>
      </c>
      <c r="C4787" s="2">
        <v>115321302</v>
      </c>
      <c r="D4787" s="2">
        <v>116835336</v>
      </c>
      <c r="E4787" s="2">
        <v>1</v>
      </c>
      <c r="F4787" s="2" t="s">
        <v>10086</v>
      </c>
      <c r="H4787" s="2">
        <v>1.9E-3</v>
      </c>
      <c r="K4787" s="2" t="s">
        <v>10085</v>
      </c>
    </row>
    <row r="4788" spans="1:11" x14ac:dyDescent="0.2">
      <c r="A4788" s="2">
        <v>1198</v>
      </c>
      <c r="B4788" s="2">
        <v>7</v>
      </c>
      <c r="C4788" s="2">
        <v>115321302</v>
      </c>
      <c r="D4788" s="2">
        <v>116835336</v>
      </c>
      <c r="E4788" s="2">
        <v>2</v>
      </c>
      <c r="F4788" s="2" t="s">
        <v>10086</v>
      </c>
      <c r="H4788" s="2">
        <v>1.8E-3</v>
      </c>
      <c r="K4788" s="2" t="s">
        <v>10087</v>
      </c>
    </row>
    <row r="4789" spans="1:11" x14ac:dyDescent="0.2">
      <c r="A4789" s="2">
        <v>1198</v>
      </c>
      <c r="B4789" s="2">
        <v>7</v>
      </c>
      <c r="C4789" s="2">
        <v>115321302</v>
      </c>
      <c r="D4789" s="2">
        <v>116835336</v>
      </c>
      <c r="E4789" s="2">
        <v>3</v>
      </c>
      <c r="F4789" s="2" t="s">
        <v>10086</v>
      </c>
      <c r="H4789" s="2">
        <v>1.5E-3</v>
      </c>
      <c r="K4789" s="2" t="s">
        <v>10089</v>
      </c>
    </row>
    <row r="4790" spans="1:11" x14ac:dyDescent="0.2">
      <c r="A4790" s="2">
        <v>1198</v>
      </c>
      <c r="B4790" s="2">
        <v>7</v>
      </c>
      <c r="C4790" s="2">
        <v>115321302</v>
      </c>
      <c r="D4790" s="2">
        <v>116835336</v>
      </c>
      <c r="E4790" s="2">
        <v>4</v>
      </c>
      <c r="F4790" s="2" t="s">
        <v>10086</v>
      </c>
      <c r="H4790" s="3">
        <v>5.9999999999999995E-4</v>
      </c>
      <c r="K4790" s="2" t="s">
        <v>10088</v>
      </c>
    </row>
    <row r="4791" spans="1:11" x14ac:dyDescent="0.2">
      <c r="A4791" s="2">
        <v>1199</v>
      </c>
      <c r="B4791" s="2">
        <v>7</v>
      </c>
      <c r="C4791" s="2">
        <v>116835337</v>
      </c>
      <c r="D4791" s="2">
        <v>118342090</v>
      </c>
      <c r="E4791" s="2">
        <v>1</v>
      </c>
      <c r="F4791" s="2" t="s">
        <v>10086</v>
      </c>
      <c r="H4791" s="2">
        <v>3.0000000000000001E-3</v>
      </c>
      <c r="K4791" s="2" t="s">
        <v>10085</v>
      </c>
    </row>
    <row r="4792" spans="1:11" x14ac:dyDescent="0.2">
      <c r="A4792" s="2">
        <v>1199</v>
      </c>
      <c r="B4792" s="2">
        <v>7</v>
      </c>
      <c r="C4792" s="2">
        <v>116835337</v>
      </c>
      <c r="D4792" s="2">
        <v>118342090</v>
      </c>
      <c r="E4792" s="2">
        <v>2</v>
      </c>
      <c r="F4792" s="2" t="s">
        <v>10086</v>
      </c>
      <c r="H4792" s="2">
        <v>2.3999999999999998E-3</v>
      </c>
      <c r="K4792" s="2" t="s">
        <v>10088</v>
      </c>
    </row>
    <row r="4793" spans="1:11" x14ac:dyDescent="0.2">
      <c r="A4793" s="2">
        <v>1199</v>
      </c>
      <c r="B4793" s="2">
        <v>7</v>
      </c>
      <c r="C4793" s="2">
        <v>116835337</v>
      </c>
      <c r="D4793" s="2">
        <v>118342090</v>
      </c>
      <c r="E4793" s="2">
        <v>3</v>
      </c>
      <c r="F4793" s="2" t="s">
        <v>10086</v>
      </c>
      <c r="H4793" s="2">
        <v>1.2999999999999999E-3</v>
      </c>
      <c r="K4793" s="2" t="s">
        <v>10087</v>
      </c>
    </row>
    <row r="4794" spans="1:11" x14ac:dyDescent="0.2">
      <c r="A4794" s="2">
        <v>1199</v>
      </c>
      <c r="B4794" s="2">
        <v>7</v>
      </c>
      <c r="C4794" s="2">
        <v>116835337</v>
      </c>
      <c r="D4794" s="2">
        <v>118342090</v>
      </c>
      <c r="E4794" s="2">
        <v>4</v>
      </c>
      <c r="F4794" s="2" t="s">
        <v>10086</v>
      </c>
      <c r="H4794" s="3">
        <v>5.9999999999999995E-4</v>
      </c>
      <c r="K4794" s="2" t="s">
        <v>10089</v>
      </c>
    </row>
    <row r="4795" spans="1:11" x14ac:dyDescent="0.2">
      <c r="A4795" s="2">
        <v>1200</v>
      </c>
      <c r="B4795" s="2">
        <v>7</v>
      </c>
      <c r="C4795" s="2">
        <v>118342091</v>
      </c>
      <c r="D4795" s="2">
        <v>119568236</v>
      </c>
      <c r="E4795" s="2">
        <v>1</v>
      </c>
      <c r="F4795" s="2" t="s">
        <v>10086</v>
      </c>
      <c r="H4795" s="2">
        <v>3.1899999999999998E-2</v>
      </c>
      <c r="K4795" s="2" t="s">
        <v>10088</v>
      </c>
    </row>
    <row r="4796" spans="1:11" x14ac:dyDescent="0.2">
      <c r="A4796" s="2">
        <v>1200</v>
      </c>
      <c r="B4796" s="2">
        <v>7</v>
      </c>
      <c r="C4796" s="2">
        <v>118342091</v>
      </c>
      <c r="D4796" s="2">
        <v>119568236</v>
      </c>
      <c r="E4796" s="2">
        <v>2</v>
      </c>
      <c r="F4796" s="2" t="s">
        <v>10086</v>
      </c>
      <c r="H4796" s="2">
        <v>1E-3</v>
      </c>
      <c r="K4796" s="2" t="s">
        <v>10089</v>
      </c>
    </row>
    <row r="4797" spans="1:11" x14ac:dyDescent="0.2">
      <c r="A4797" s="2">
        <v>1200</v>
      </c>
      <c r="B4797" s="2">
        <v>7</v>
      </c>
      <c r="C4797" s="2">
        <v>118342091</v>
      </c>
      <c r="D4797" s="2">
        <v>119568236</v>
      </c>
      <c r="E4797" s="2">
        <v>3</v>
      </c>
      <c r="F4797" s="2" t="s">
        <v>10086</v>
      </c>
      <c r="H4797" s="3">
        <v>8.9999999999999998E-4</v>
      </c>
      <c r="K4797" s="2" t="s">
        <v>10087</v>
      </c>
    </row>
    <row r="4798" spans="1:11" x14ac:dyDescent="0.2">
      <c r="A4798" s="2">
        <v>1200</v>
      </c>
      <c r="B4798" s="2">
        <v>7</v>
      </c>
      <c r="C4798" s="2">
        <v>118342091</v>
      </c>
      <c r="D4798" s="2">
        <v>119568236</v>
      </c>
      <c r="E4798" s="2">
        <v>4</v>
      </c>
      <c r="F4798" s="2" t="s">
        <v>10086</v>
      </c>
      <c r="H4798" s="3">
        <v>4.0000000000000002E-4</v>
      </c>
      <c r="K4798" s="2" t="s">
        <v>10085</v>
      </c>
    </row>
    <row r="4799" spans="1:11" x14ac:dyDescent="0.2">
      <c r="A4799" s="2">
        <v>1201</v>
      </c>
      <c r="B4799" s="2">
        <v>7</v>
      </c>
      <c r="C4799" s="2">
        <v>119568237</v>
      </c>
      <c r="D4799" s="2">
        <v>121042050</v>
      </c>
      <c r="E4799" s="2">
        <v>1</v>
      </c>
      <c r="F4799" s="2" t="s">
        <v>10086</v>
      </c>
      <c r="H4799" s="2">
        <v>5.1999999999999998E-3</v>
      </c>
      <c r="K4799" s="2" t="s">
        <v>10087</v>
      </c>
    </row>
    <row r="4800" spans="1:11" x14ac:dyDescent="0.2">
      <c r="A4800" s="2">
        <v>1201</v>
      </c>
      <c r="B4800" s="2">
        <v>7</v>
      </c>
      <c r="C4800" s="2">
        <v>119568237</v>
      </c>
      <c r="D4800" s="2">
        <v>121042050</v>
      </c>
      <c r="E4800" s="2">
        <v>2</v>
      </c>
      <c r="F4800" s="2" t="s">
        <v>10086</v>
      </c>
      <c r="H4800" s="2">
        <v>2.7000000000000001E-3</v>
      </c>
      <c r="K4800" s="2" t="s">
        <v>10088</v>
      </c>
    </row>
    <row r="4801" spans="1:11" x14ac:dyDescent="0.2">
      <c r="A4801" s="2">
        <v>1201</v>
      </c>
      <c r="B4801" s="2">
        <v>7</v>
      </c>
      <c r="C4801" s="2">
        <v>119568237</v>
      </c>
      <c r="D4801" s="2">
        <v>121042050</v>
      </c>
      <c r="E4801" s="2">
        <v>3</v>
      </c>
      <c r="F4801" s="2" t="s">
        <v>10086</v>
      </c>
      <c r="H4801" s="2">
        <v>3.0000000000000001E-3</v>
      </c>
      <c r="K4801" s="2" t="s">
        <v>12324</v>
      </c>
    </row>
    <row r="4802" spans="1:11" x14ac:dyDescent="0.2">
      <c r="A4802" s="2">
        <v>1201</v>
      </c>
      <c r="B4802" s="2">
        <v>7</v>
      </c>
      <c r="C4802" s="2">
        <v>119568237</v>
      </c>
      <c r="D4802" s="2">
        <v>121042050</v>
      </c>
      <c r="E4802" s="2">
        <v>4</v>
      </c>
      <c r="F4802" s="2" t="s">
        <v>10086</v>
      </c>
      <c r="H4802" s="2">
        <v>1.8E-3</v>
      </c>
      <c r="K4802" s="2" t="s">
        <v>10089</v>
      </c>
    </row>
    <row r="4803" spans="1:11" x14ac:dyDescent="0.2">
      <c r="A4803" s="2">
        <v>1202</v>
      </c>
      <c r="B4803" s="2">
        <v>7</v>
      </c>
      <c r="C4803" s="2">
        <v>121042051</v>
      </c>
      <c r="D4803" s="2">
        <v>121946052</v>
      </c>
      <c r="E4803" s="2">
        <v>1</v>
      </c>
      <c r="F4803" s="2" t="s">
        <v>10086</v>
      </c>
      <c r="H4803" s="2">
        <v>2.5000000000000001E-3</v>
      </c>
      <c r="K4803" s="2" t="s">
        <v>10088</v>
      </c>
    </row>
    <row r="4804" spans="1:11" x14ac:dyDescent="0.2">
      <c r="A4804" s="2">
        <v>1202</v>
      </c>
      <c r="B4804" s="2">
        <v>7</v>
      </c>
      <c r="C4804" s="2">
        <v>121042051</v>
      </c>
      <c r="D4804" s="2">
        <v>121946052</v>
      </c>
      <c r="E4804" s="2">
        <v>2</v>
      </c>
      <c r="F4804" s="2" t="s">
        <v>10086</v>
      </c>
      <c r="H4804" s="2">
        <v>1.1000000000000001E-3</v>
      </c>
      <c r="K4804" s="2" t="s">
        <v>10087</v>
      </c>
    </row>
    <row r="4805" spans="1:11" x14ac:dyDescent="0.2">
      <c r="A4805" s="2">
        <v>1202</v>
      </c>
      <c r="B4805" s="2">
        <v>7</v>
      </c>
      <c r="C4805" s="2">
        <v>121042051</v>
      </c>
      <c r="D4805" s="2">
        <v>121946052</v>
      </c>
      <c r="E4805" s="2">
        <v>3</v>
      </c>
      <c r="F4805" s="2" t="s">
        <v>10086</v>
      </c>
      <c r="H4805" s="3">
        <v>8.0000000000000004E-4</v>
      </c>
      <c r="K4805" s="2" t="s">
        <v>12324</v>
      </c>
    </row>
    <row r="4806" spans="1:11" x14ac:dyDescent="0.2">
      <c r="A4806" s="2">
        <v>1202</v>
      </c>
      <c r="B4806" s="2">
        <v>7</v>
      </c>
      <c r="C4806" s="2">
        <v>121042051</v>
      </c>
      <c r="D4806" s="2">
        <v>121946052</v>
      </c>
      <c r="E4806" s="2">
        <v>4</v>
      </c>
      <c r="F4806" s="2" t="s">
        <v>10086</v>
      </c>
      <c r="H4806" s="3">
        <v>6.9999999999999999E-4</v>
      </c>
      <c r="K4806" s="2" t="s">
        <v>10085</v>
      </c>
    </row>
    <row r="4807" spans="1:11" x14ac:dyDescent="0.2">
      <c r="A4807" s="2">
        <v>1203</v>
      </c>
      <c r="B4807" s="2">
        <v>7</v>
      </c>
      <c r="C4807" s="2">
        <v>121946053</v>
      </c>
      <c r="D4807" s="2">
        <v>123859746</v>
      </c>
      <c r="E4807" s="2">
        <v>1</v>
      </c>
      <c r="F4807" s="2" t="s">
        <v>10086</v>
      </c>
      <c r="H4807" s="2">
        <v>3.8E-3</v>
      </c>
      <c r="K4807" s="2" t="s">
        <v>10087</v>
      </c>
    </row>
    <row r="4808" spans="1:11" x14ac:dyDescent="0.2">
      <c r="A4808" s="2">
        <v>1203</v>
      </c>
      <c r="B4808" s="2">
        <v>7</v>
      </c>
      <c r="C4808" s="2">
        <v>121946053</v>
      </c>
      <c r="D4808" s="2">
        <v>123859746</v>
      </c>
      <c r="E4808" s="2">
        <v>2</v>
      </c>
      <c r="F4808" s="2" t="s">
        <v>10086</v>
      </c>
      <c r="H4808" s="2">
        <v>3.0000000000000001E-3</v>
      </c>
      <c r="K4808" s="2" t="s">
        <v>10089</v>
      </c>
    </row>
    <row r="4809" spans="1:11" x14ac:dyDescent="0.2">
      <c r="A4809" s="2">
        <v>1203</v>
      </c>
      <c r="B4809" s="2">
        <v>7</v>
      </c>
      <c r="C4809" s="2">
        <v>121946053</v>
      </c>
      <c r="D4809" s="2">
        <v>123859746</v>
      </c>
      <c r="E4809" s="2">
        <v>3</v>
      </c>
      <c r="F4809" s="2" t="s">
        <v>10086</v>
      </c>
      <c r="H4809" s="2">
        <v>1.5E-3</v>
      </c>
      <c r="K4809" s="2" t="s">
        <v>10085</v>
      </c>
    </row>
    <row r="4810" spans="1:11" x14ac:dyDescent="0.2">
      <c r="A4810" s="2">
        <v>1203</v>
      </c>
      <c r="B4810" s="2">
        <v>7</v>
      </c>
      <c r="C4810" s="2">
        <v>121946053</v>
      </c>
      <c r="D4810" s="2">
        <v>123859746</v>
      </c>
      <c r="E4810" s="2">
        <v>4</v>
      </c>
      <c r="F4810" s="2" t="s">
        <v>10086</v>
      </c>
      <c r="H4810" s="3">
        <v>8.9999999999999998E-4</v>
      </c>
      <c r="K4810" s="2" t="s">
        <v>10088</v>
      </c>
    </row>
    <row r="4811" spans="1:11" x14ac:dyDescent="0.2">
      <c r="A4811" s="2">
        <v>1204</v>
      </c>
      <c r="B4811" s="2">
        <v>7</v>
      </c>
      <c r="C4811" s="2">
        <v>123859747</v>
      </c>
      <c r="D4811" s="2">
        <v>125389586</v>
      </c>
      <c r="E4811" s="2">
        <v>1</v>
      </c>
      <c r="F4811" s="2" t="s">
        <v>10086</v>
      </c>
      <c r="H4811" s="2">
        <v>2E-3</v>
      </c>
      <c r="K4811" s="2" t="s">
        <v>10087</v>
      </c>
    </row>
    <row r="4812" spans="1:11" x14ac:dyDescent="0.2">
      <c r="A4812" s="2">
        <v>1204</v>
      </c>
      <c r="B4812" s="2">
        <v>7</v>
      </c>
      <c r="C4812" s="2">
        <v>123859747</v>
      </c>
      <c r="D4812" s="2">
        <v>125389586</v>
      </c>
      <c r="E4812" s="2">
        <v>2</v>
      </c>
      <c r="F4812" s="2" t="s">
        <v>10086</v>
      </c>
      <c r="H4812" s="2">
        <v>1.5E-3</v>
      </c>
      <c r="K4812" s="2" t="s">
        <v>10089</v>
      </c>
    </row>
    <row r="4813" spans="1:11" x14ac:dyDescent="0.2">
      <c r="A4813" s="2">
        <v>1204</v>
      </c>
      <c r="B4813" s="2">
        <v>7</v>
      </c>
      <c r="C4813" s="2">
        <v>123859747</v>
      </c>
      <c r="D4813" s="2">
        <v>125389586</v>
      </c>
      <c r="E4813" s="2">
        <v>3</v>
      </c>
      <c r="F4813" s="2" t="s">
        <v>10086</v>
      </c>
      <c r="H4813" s="2">
        <v>1.1000000000000001E-3</v>
      </c>
      <c r="K4813" s="2" t="s">
        <v>10085</v>
      </c>
    </row>
    <row r="4814" spans="1:11" x14ac:dyDescent="0.2">
      <c r="A4814" s="2">
        <v>1204</v>
      </c>
      <c r="B4814" s="2">
        <v>7</v>
      </c>
      <c r="C4814" s="2">
        <v>123859747</v>
      </c>
      <c r="D4814" s="2">
        <v>125389586</v>
      </c>
      <c r="E4814" s="2">
        <v>4</v>
      </c>
      <c r="F4814" s="2" t="s">
        <v>10086</v>
      </c>
      <c r="H4814" s="3">
        <v>5.9999999999999995E-4</v>
      </c>
      <c r="K4814" s="2" t="s">
        <v>10088</v>
      </c>
    </row>
    <row r="4815" spans="1:11" x14ac:dyDescent="0.2">
      <c r="A4815" s="2">
        <v>1205</v>
      </c>
      <c r="B4815" s="2">
        <v>7</v>
      </c>
      <c r="C4815" s="2">
        <v>125389587</v>
      </c>
      <c r="D4815" s="2">
        <v>126640872</v>
      </c>
      <c r="E4815" s="2">
        <v>1</v>
      </c>
      <c r="F4815" s="2" t="s">
        <v>10086</v>
      </c>
      <c r="H4815" s="2">
        <v>2.8E-3</v>
      </c>
      <c r="K4815" s="2" t="s">
        <v>10087</v>
      </c>
    </row>
    <row r="4816" spans="1:11" x14ac:dyDescent="0.2">
      <c r="A4816" s="2">
        <v>1205</v>
      </c>
      <c r="B4816" s="2">
        <v>7</v>
      </c>
      <c r="C4816" s="2">
        <v>125389587</v>
      </c>
      <c r="D4816" s="2">
        <v>126640872</v>
      </c>
      <c r="E4816" s="2">
        <v>2</v>
      </c>
      <c r="F4816" s="2" t="s">
        <v>10086</v>
      </c>
      <c r="H4816" s="3">
        <v>8.0000000000000004E-4</v>
      </c>
      <c r="K4816" s="2" t="s">
        <v>10089</v>
      </c>
    </row>
    <row r="4817" spans="1:11" x14ac:dyDescent="0.2">
      <c r="A4817" s="2">
        <v>1205</v>
      </c>
      <c r="B4817" s="2">
        <v>7</v>
      </c>
      <c r="C4817" s="2">
        <v>125389587</v>
      </c>
      <c r="D4817" s="2">
        <v>126640872</v>
      </c>
      <c r="E4817" s="2">
        <v>3</v>
      </c>
      <c r="F4817" s="2" t="s">
        <v>10086</v>
      </c>
      <c r="H4817" s="3">
        <v>5.9999999999999995E-4</v>
      </c>
      <c r="K4817" s="2" t="s">
        <v>10088</v>
      </c>
    </row>
    <row r="4818" spans="1:11" x14ac:dyDescent="0.2">
      <c r="A4818" s="2">
        <v>1205</v>
      </c>
      <c r="B4818" s="2">
        <v>7</v>
      </c>
      <c r="C4818" s="2">
        <v>125389587</v>
      </c>
      <c r="D4818" s="2">
        <v>126640872</v>
      </c>
      <c r="E4818" s="2">
        <v>4</v>
      </c>
      <c r="F4818" s="2" t="s">
        <v>10086</v>
      </c>
      <c r="H4818" s="3">
        <v>2.0000000000000001E-4</v>
      </c>
      <c r="K4818" s="2" t="s">
        <v>10085</v>
      </c>
    </row>
    <row r="4819" spans="1:11" x14ac:dyDescent="0.2">
      <c r="A4819" s="2">
        <v>1206</v>
      </c>
      <c r="B4819" s="2">
        <v>7</v>
      </c>
      <c r="C4819" s="2">
        <v>126640873</v>
      </c>
      <c r="D4819" s="2">
        <v>127903738</v>
      </c>
      <c r="E4819" s="2">
        <v>1</v>
      </c>
      <c r="F4819" s="2" t="s">
        <v>10086</v>
      </c>
      <c r="H4819" s="2">
        <v>9.1999999999999998E-3</v>
      </c>
      <c r="K4819" s="2" t="s">
        <v>10087</v>
      </c>
    </row>
    <row r="4820" spans="1:11" x14ac:dyDescent="0.2">
      <c r="A4820" s="2">
        <v>1206</v>
      </c>
      <c r="B4820" s="2">
        <v>7</v>
      </c>
      <c r="C4820" s="2">
        <v>126640873</v>
      </c>
      <c r="D4820" s="2">
        <v>127903738</v>
      </c>
      <c r="E4820" s="2">
        <v>2</v>
      </c>
      <c r="F4820" s="2" t="s">
        <v>10086</v>
      </c>
      <c r="H4820" s="3">
        <v>8.0000000000000004E-4</v>
      </c>
      <c r="K4820" s="2" t="s">
        <v>10085</v>
      </c>
    </row>
    <row r="4821" spans="1:11" x14ac:dyDescent="0.2">
      <c r="A4821" s="2">
        <v>1206</v>
      </c>
      <c r="B4821" s="2">
        <v>7</v>
      </c>
      <c r="C4821" s="2">
        <v>126640873</v>
      </c>
      <c r="D4821" s="2">
        <v>127903738</v>
      </c>
      <c r="E4821" s="2">
        <v>3</v>
      </c>
      <c r="F4821" s="2" t="s">
        <v>10086</v>
      </c>
      <c r="H4821" s="3">
        <v>8.9999999999999998E-4</v>
      </c>
      <c r="K4821" s="2" t="s">
        <v>10089</v>
      </c>
    </row>
    <row r="4822" spans="1:11" x14ac:dyDescent="0.2">
      <c r="A4822" s="2">
        <v>1206</v>
      </c>
      <c r="B4822" s="2">
        <v>7</v>
      </c>
      <c r="C4822" s="2">
        <v>126640873</v>
      </c>
      <c r="D4822" s="2">
        <v>127903738</v>
      </c>
      <c r="E4822" s="2">
        <v>4</v>
      </c>
      <c r="F4822" s="2" t="s">
        <v>10086</v>
      </c>
      <c r="H4822" s="3">
        <v>5.0000000000000001E-4</v>
      </c>
      <c r="K4822" s="2" t="s">
        <v>10088</v>
      </c>
    </row>
    <row r="4823" spans="1:11" x14ac:dyDescent="0.2">
      <c r="A4823" s="2">
        <v>1207</v>
      </c>
      <c r="B4823" s="2">
        <v>7</v>
      </c>
      <c r="C4823" s="2">
        <v>127903739</v>
      </c>
      <c r="D4823" s="2">
        <v>128779173</v>
      </c>
      <c r="E4823" s="2">
        <v>1</v>
      </c>
      <c r="F4823" s="2" t="s">
        <v>10086</v>
      </c>
      <c r="H4823" s="2">
        <v>7.4000000000000003E-3</v>
      </c>
      <c r="K4823" s="2" t="s">
        <v>10087</v>
      </c>
    </row>
    <row r="4824" spans="1:11" x14ac:dyDescent="0.2">
      <c r="A4824" s="2">
        <v>1207</v>
      </c>
      <c r="B4824" s="2">
        <v>7</v>
      </c>
      <c r="C4824" s="2">
        <v>127903739</v>
      </c>
      <c r="D4824" s="2">
        <v>128779173</v>
      </c>
      <c r="E4824" s="2">
        <v>2</v>
      </c>
      <c r="F4824" s="2" t="s">
        <v>10086</v>
      </c>
      <c r="H4824" s="2">
        <v>1.2999999999999999E-3</v>
      </c>
      <c r="K4824" s="2" t="s">
        <v>12324</v>
      </c>
    </row>
    <row r="4825" spans="1:11" x14ac:dyDescent="0.2">
      <c r="A4825" s="2">
        <v>1207</v>
      </c>
      <c r="B4825" s="2">
        <v>7</v>
      </c>
      <c r="C4825" s="2">
        <v>127903739</v>
      </c>
      <c r="D4825" s="2">
        <v>128779173</v>
      </c>
      <c r="E4825" s="2">
        <v>3</v>
      </c>
      <c r="F4825" s="2" t="s">
        <v>10086</v>
      </c>
      <c r="H4825" s="3">
        <v>6.9999999999999999E-4</v>
      </c>
      <c r="K4825" s="2" t="s">
        <v>10089</v>
      </c>
    </row>
    <row r="4826" spans="1:11" x14ac:dyDescent="0.2">
      <c r="A4826" s="2">
        <v>1207</v>
      </c>
      <c r="B4826" s="2">
        <v>7</v>
      </c>
      <c r="C4826" s="2">
        <v>127903739</v>
      </c>
      <c r="D4826" s="2">
        <v>128779173</v>
      </c>
      <c r="E4826" s="2">
        <v>4</v>
      </c>
      <c r="F4826" s="2" t="s">
        <v>10086</v>
      </c>
      <c r="H4826" s="3">
        <v>6.9999999999999999E-4</v>
      </c>
      <c r="K4826" s="2" t="s">
        <v>10085</v>
      </c>
    </row>
    <row r="4827" spans="1:11" x14ac:dyDescent="0.2">
      <c r="A4827" s="2">
        <v>1208</v>
      </c>
      <c r="B4827" s="2">
        <v>7</v>
      </c>
      <c r="C4827" s="2">
        <v>128779174</v>
      </c>
      <c r="D4827" s="2">
        <v>130418704</v>
      </c>
      <c r="E4827" s="2">
        <v>1</v>
      </c>
      <c r="F4827" s="2" t="s">
        <v>10086</v>
      </c>
      <c r="H4827" s="2">
        <v>8.3000000000000001E-3</v>
      </c>
      <c r="K4827" s="2" t="s">
        <v>10085</v>
      </c>
    </row>
    <row r="4828" spans="1:11" x14ac:dyDescent="0.2">
      <c r="A4828" s="2">
        <v>1208</v>
      </c>
      <c r="B4828" s="2">
        <v>7</v>
      </c>
      <c r="C4828" s="2">
        <v>128779174</v>
      </c>
      <c r="D4828" s="2">
        <v>130418704</v>
      </c>
      <c r="E4828" s="2">
        <v>2</v>
      </c>
      <c r="F4828" s="2" t="s">
        <v>10086</v>
      </c>
      <c r="H4828" s="2">
        <v>1.2999999999999999E-3</v>
      </c>
      <c r="K4828" s="2" t="s">
        <v>10088</v>
      </c>
    </row>
    <row r="4829" spans="1:11" x14ac:dyDescent="0.2">
      <c r="A4829" s="2">
        <v>1208</v>
      </c>
      <c r="B4829" s="2">
        <v>7</v>
      </c>
      <c r="C4829" s="2">
        <v>128779174</v>
      </c>
      <c r="D4829" s="2">
        <v>130418704</v>
      </c>
      <c r="E4829" s="2">
        <v>3</v>
      </c>
      <c r="F4829" s="2" t="s">
        <v>10086</v>
      </c>
      <c r="H4829" s="2">
        <v>1.1999999999999999E-3</v>
      </c>
      <c r="K4829" s="2" t="s">
        <v>10089</v>
      </c>
    </row>
    <row r="4830" spans="1:11" x14ac:dyDescent="0.2">
      <c r="A4830" s="2">
        <v>1208</v>
      </c>
      <c r="B4830" s="2">
        <v>7</v>
      </c>
      <c r="C4830" s="2">
        <v>128779174</v>
      </c>
      <c r="D4830" s="2">
        <v>130418704</v>
      </c>
      <c r="E4830" s="2">
        <v>4</v>
      </c>
      <c r="F4830" s="2" t="s">
        <v>10086</v>
      </c>
      <c r="H4830" s="3">
        <v>8.9999999999999998E-4</v>
      </c>
      <c r="K4830" s="2" t="s">
        <v>12324</v>
      </c>
    </row>
    <row r="4831" spans="1:11" x14ac:dyDescent="0.2">
      <c r="A4831" s="2">
        <v>1209</v>
      </c>
      <c r="B4831" s="2">
        <v>7</v>
      </c>
      <c r="C4831" s="2">
        <v>130418705</v>
      </c>
      <c r="D4831" s="2">
        <v>131856481</v>
      </c>
      <c r="E4831" s="2">
        <v>1</v>
      </c>
      <c r="F4831" s="2" t="s">
        <v>10086</v>
      </c>
      <c r="H4831" s="2">
        <v>2.7000000000000001E-3</v>
      </c>
      <c r="K4831" s="2" t="s">
        <v>10087</v>
      </c>
    </row>
    <row r="4832" spans="1:11" x14ac:dyDescent="0.2">
      <c r="A4832" s="2">
        <v>1209</v>
      </c>
      <c r="B4832" s="2">
        <v>7</v>
      </c>
      <c r="C4832" s="2">
        <v>130418705</v>
      </c>
      <c r="D4832" s="2">
        <v>131856481</v>
      </c>
      <c r="E4832" s="2">
        <v>2</v>
      </c>
      <c r="F4832" s="2" t="s">
        <v>10086</v>
      </c>
      <c r="H4832" s="2">
        <v>1.6999999999999999E-3</v>
      </c>
      <c r="K4832" s="2" t="s">
        <v>10085</v>
      </c>
    </row>
    <row r="4833" spans="1:11" x14ac:dyDescent="0.2">
      <c r="A4833" s="2">
        <v>1209</v>
      </c>
      <c r="B4833" s="2">
        <v>7</v>
      </c>
      <c r="C4833" s="2">
        <v>130418705</v>
      </c>
      <c r="D4833" s="2">
        <v>131856481</v>
      </c>
      <c r="E4833" s="2">
        <v>3</v>
      </c>
      <c r="F4833" s="2" t="s">
        <v>10086</v>
      </c>
      <c r="H4833" s="2">
        <v>1.6999999999999999E-3</v>
      </c>
      <c r="K4833" s="2" t="s">
        <v>10088</v>
      </c>
    </row>
    <row r="4834" spans="1:11" x14ac:dyDescent="0.2">
      <c r="A4834" s="2">
        <v>1209</v>
      </c>
      <c r="B4834" s="2">
        <v>7</v>
      </c>
      <c r="C4834" s="2">
        <v>130418705</v>
      </c>
      <c r="D4834" s="2">
        <v>131856481</v>
      </c>
      <c r="E4834" s="2">
        <v>4</v>
      </c>
      <c r="F4834" s="2" t="s">
        <v>10086</v>
      </c>
      <c r="H4834" s="3">
        <v>5.9999999999999995E-4</v>
      </c>
      <c r="K4834" s="2" t="s">
        <v>10089</v>
      </c>
    </row>
    <row r="4835" spans="1:11" x14ac:dyDescent="0.2">
      <c r="A4835" s="2">
        <v>1210</v>
      </c>
      <c r="B4835" s="2">
        <v>7</v>
      </c>
      <c r="C4835" s="2">
        <v>131856482</v>
      </c>
      <c r="D4835" s="2">
        <v>133807216</v>
      </c>
      <c r="E4835" s="2">
        <v>1</v>
      </c>
      <c r="F4835" s="2" t="s">
        <v>10086</v>
      </c>
      <c r="H4835" s="2">
        <v>3.3E-3</v>
      </c>
      <c r="K4835" s="2" t="s">
        <v>10088</v>
      </c>
    </row>
    <row r="4836" spans="1:11" x14ac:dyDescent="0.2">
      <c r="A4836" s="2">
        <v>1210</v>
      </c>
      <c r="B4836" s="2">
        <v>7</v>
      </c>
      <c r="C4836" s="2">
        <v>131856482</v>
      </c>
      <c r="D4836" s="2">
        <v>133807216</v>
      </c>
      <c r="E4836" s="2">
        <v>2</v>
      </c>
      <c r="F4836" s="2" t="s">
        <v>10086</v>
      </c>
      <c r="H4836" s="2">
        <v>2.3999999999999998E-3</v>
      </c>
      <c r="K4836" s="2" t="s">
        <v>10085</v>
      </c>
    </row>
    <row r="4837" spans="1:11" x14ac:dyDescent="0.2">
      <c r="A4837" s="2">
        <v>1210</v>
      </c>
      <c r="B4837" s="2">
        <v>7</v>
      </c>
      <c r="C4837" s="2">
        <v>131856482</v>
      </c>
      <c r="D4837" s="2">
        <v>133807216</v>
      </c>
      <c r="E4837" s="2">
        <v>3</v>
      </c>
      <c r="F4837" s="2" t="s">
        <v>10086</v>
      </c>
      <c r="H4837" s="2">
        <v>2E-3</v>
      </c>
      <c r="K4837" s="2" t="s">
        <v>10089</v>
      </c>
    </row>
    <row r="4838" spans="1:11" x14ac:dyDescent="0.2">
      <c r="A4838" s="2">
        <v>1210</v>
      </c>
      <c r="B4838" s="2">
        <v>7</v>
      </c>
      <c r="C4838" s="2">
        <v>131856482</v>
      </c>
      <c r="D4838" s="2">
        <v>133807216</v>
      </c>
      <c r="E4838" s="2">
        <v>4</v>
      </c>
      <c r="F4838" s="2" t="s">
        <v>10086</v>
      </c>
      <c r="H4838" s="2">
        <v>1.1000000000000001E-3</v>
      </c>
      <c r="K4838" s="2" t="s">
        <v>10087</v>
      </c>
    </row>
    <row r="4839" spans="1:11" x14ac:dyDescent="0.2">
      <c r="A4839" s="2">
        <v>1211</v>
      </c>
      <c r="B4839" s="2">
        <v>7</v>
      </c>
      <c r="C4839" s="2">
        <v>133807217</v>
      </c>
      <c r="D4839" s="2">
        <v>134943221</v>
      </c>
      <c r="E4839" s="2">
        <v>1</v>
      </c>
      <c r="F4839" s="2" t="s">
        <v>10086</v>
      </c>
      <c r="H4839" s="2">
        <v>2.2000000000000001E-3</v>
      </c>
      <c r="K4839" s="2" t="s">
        <v>10085</v>
      </c>
    </row>
    <row r="4840" spans="1:11" x14ac:dyDescent="0.2">
      <c r="A4840" s="2">
        <v>1211</v>
      </c>
      <c r="B4840" s="2">
        <v>7</v>
      </c>
      <c r="C4840" s="2">
        <v>133807217</v>
      </c>
      <c r="D4840" s="2">
        <v>134943221</v>
      </c>
      <c r="E4840" s="2">
        <v>2</v>
      </c>
      <c r="F4840" s="2" t="s">
        <v>10086</v>
      </c>
      <c r="H4840" s="2">
        <v>1.1000000000000001E-3</v>
      </c>
      <c r="K4840" s="2" t="s">
        <v>10088</v>
      </c>
    </row>
    <row r="4841" spans="1:11" x14ac:dyDescent="0.2">
      <c r="A4841" s="2">
        <v>1211</v>
      </c>
      <c r="B4841" s="2">
        <v>7</v>
      </c>
      <c r="C4841" s="2">
        <v>133807217</v>
      </c>
      <c r="D4841" s="2">
        <v>134943221</v>
      </c>
      <c r="E4841" s="2">
        <v>3</v>
      </c>
      <c r="F4841" s="2" t="s">
        <v>10086</v>
      </c>
      <c r="H4841" s="3">
        <v>8.9999999999999998E-4</v>
      </c>
      <c r="K4841" s="2" t="s">
        <v>10089</v>
      </c>
    </row>
    <row r="4842" spans="1:11" x14ac:dyDescent="0.2">
      <c r="A4842" s="2">
        <v>1211</v>
      </c>
      <c r="B4842" s="2">
        <v>7</v>
      </c>
      <c r="C4842" s="2">
        <v>133807217</v>
      </c>
      <c r="D4842" s="2">
        <v>134943221</v>
      </c>
      <c r="E4842" s="2">
        <v>4</v>
      </c>
      <c r="F4842" s="2" t="s">
        <v>10086</v>
      </c>
      <c r="H4842" s="3">
        <v>2.9999999999999997E-4</v>
      </c>
      <c r="K4842" s="2" t="s">
        <v>10087</v>
      </c>
    </row>
    <row r="4843" spans="1:11" x14ac:dyDescent="0.2">
      <c r="A4843" s="2">
        <v>1212</v>
      </c>
      <c r="B4843" s="2">
        <v>7</v>
      </c>
      <c r="C4843" s="2">
        <v>134943222</v>
      </c>
      <c r="D4843" s="2">
        <v>136113467</v>
      </c>
      <c r="E4843" s="2">
        <v>1</v>
      </c>
      <c r="F4843" s="2" t="s">
        <v>10086</v>
      </c>
      <c r="H4843" s="2">
        <v>7.6E-3</v>
      </c>
      <c r="K4843" s="2" t="s">
        <v>10088</v>
      </c>
    </row>
    <row r="4844" spans="1:11" x14ac:dyDescent="0.2">
      <c r="A4844" s="2">
        <v>1212</v>
      </c>
      <c r="B4844" s="2">
        <v>7</v>
      </c>
      <c r="C4844" s="2">
        <v>134943222</v>
      </c>
      <c r="D4844" s="2">
        <v>136113467</v>
      </c>
      <c r="E4844" s="2">
        <v>2</v>
      </c>
      <c r="F4844" s="2" t="s">
        <v>10086</v>
      </c>
      <c r="H4844" s="2">
        <v>2.2000000000000001E-3</v>
      </c>
      <c r="K4844" s="2" t="s">
        <v>12324</v>
      </c>
    </row>
    <row r="4845" spans="1:11" x14ac:dyDescent="0.2">
      <c r="A4845" s="2">
        <v>1212</v>
      </c>
      <c r="B4845" s="2">
        <v>7</v>
      </c>
      <c r="C4845" s="2">
        <v>134943222</v>
      </c>
      <c r="D4845" s="2">
        <v>136113467</v>
      </c>
      <c r="E4845" s="2">
        <v>3</v>
      </c>
      <c r="F4845" s="2" t="s">
        <v>10086</v>
      </c>
      <c r="H4845" s="2">
        <v>1.5E-3</v>
      </c>
      <c r="K4845" s="2" t="s">
        <v>10089</v>
      </c>
    </row>
    <row r="4846" spans="1:11" x14ac:dyDescent="0.2">
      <c r="A4846" s="2">
        <v>1212</v>
      </c>
      <c r="B4846" s="2">
        <v>7</v>
      </c>
      <c r="C4846" s="2">
        <v>134943222</v>
      </c>
      <c r="D4846" s="2">
        <v>136113467</v>
      </c>
      <c r="E4846" s="2">
        <v>4</v>
      </c>
      <c r="F4846" s="2" t="s">
        <v>10086</v>
      </c>
      <c r="H4846" s="2">
        <v>1.1999999999999999E-3</v>
      </c>
      <c r="K4846" s="2" t="s">
        <v>10085</v>
      </c>
    </row>
    <row r="4847" spans="1:11" x14ac:dyDescent="0.2">
      <c r="A4847" s="2">
        <v>1213</v>
      </c>
      <c r="B4847" s="2">
        <v>7</v>
      </c>
      <c r="C4847" s="2">
        <v>136113468</v>
      </c>
      <c r="D4847" s="2">
        <v>137657459</v>
      </c>
      <c r="E4847" s="2">
        <v>1</v>
      </c>
      <c r="F4847" s="2" t="s">
        <v>10086</v>
      </c>
      <c r="H4847" s="2">
        <v>1.6999999999999999E-3</v>
      </c>
      <c r="K4847" s="2" t="s">
        <v>10085</v>
      </c>
    </row>
    <row r="4848" spans="1:11" x14ac:dyDescent="0.2">
      <c r="A4848" s="2">
        <v>1213</v>
      </c>
      <c r="B4848" s="2">
        <v>7</v>
      </c>
      <c r="C4848" s="2">
        <v>136113468</v>
      </c>
      <c r="D4848" s="2">
        <v>137657459</v>
      </c>
      <c r="E4848" s="2">
        <v>2</v>
      </c>
      <c r="F4848" s="2" t="s">
        <v>10086</v>
      </c>
      <c r="H4848" s="2">
        <v>1.6000000000000001E-3</v>
      </c>
      <c r="K4848" s="2" t="s">
        <v>10087</v>
      </c>
    </row>
    <row r="4849" spans="1:11" x14ac:dyDescent="0.2">
      <c r="A4849" s="2">
        <v>1213</v>
      </c>
      <c r="B4849" s="2">
        <v>7</v>
      </c>
      <c r="C4849" s="2">
        <v>136113468</v>
      </c>
      <c r="D4849" s="2">
        <v>137657459</v>
      </c>
      <c r="E4849" s="2">
        <v>3</v>
      </c>
      <c r="F4849" s="2" t="s">
        <v>10086</v>
      </c>
      <c r="H4849" s="2">
        <v>1.2999999999999999E-3</v>
      </c>
      <c r="K4849" s="2" t="s">
        <v>10088</v>
      </c>
    </row>
    <row r="4850" spans="1:11" x14ac:dyDescent="0.2">
      <c r="A4850" s="2">
        <v>1213</v>
      </c>
      <c r="B4850" s="2">
        <v>7</v>
      </c>
      <c r="C4850" s="2">
        <v>136113468</v>
      </c>
      <c r="D4850" s="2">
        <v>137657459</v>
      </c>
      <c r="E4850" s="2">
        <v>4</v>
      </c>
      <c r="F4850" s="2" t="s">
        <v>10086</v>
      </c>
      <c r="H4850" s="2">
        <v>1.1000000000000001E-3</v>
      </c>
      <c r="K4850" s="2" t="s">
        <v>10089</v>
      </c>
    </row>
    <row r="4851" spans="1:11" x14ac:dyDescent="0.2">
      <c r="A4851" s="2">
        <v>1214</v>
      </c>
      <c r="B4851" s="2">
        <v>7</v>
      </c>
      <c r="C4851" s="2">
        <v>137657460</v>
      </c>
      <c r="D4851" s="2">
        <v>138755107</v>
      </c>
      <c r="E4851" s="2">
        <v>1</v>
      </c>
      <c r="F4851" s="2" t="s">
        <v>10086</v>
      </c>
      <c r="H4851" s="2">
        <v>4.0000000000000001E-3</v>
      </c>
      <c r="K4851" s="2" t="s">
        <v>12324</v>
      </c>
    </row>
    <row r="4852" spans="1:11" x14ac:dyDescent="0.2">
      <c r="A4852" s="2">
        <v>1214</v>
      </c>
      <c r="B4852" s="2">
        <v>7</v>
      </c>
      <c r="C4852" s="2">
        <v>137657460</v>
      </c>
      <c r="D4852" s="2">
        <v>138755107</v>
      </c>
      <c r="E4852" s="2">
        <v>2</v>
      </c>
      <c r="F4852" s="2" t="s">
        <v>10086</v>
      </c>
      <c r="H4852" s="2">
        <v>3.2000000000000002E-3</v>
      </c>
      <c r="K4852" s="2" t="s">
        <v>10089</v>
      </c>
    </row>
    <row r="4853" spans="1:11" x14ac:dyDescent="0.2">
      <c r="A4853" s="2">
        <v>1214</v>
      </c>
      <c r="B4853" s="2">
        <v>7</v>
      </c>
      <c r="C4853" s="2">
        <v>137657460</v>
      </c>
      <c r="D4853" s="2">
        <v>138755107</v>
      </c>
      <c r="E4853" s="2">
        <v>3</v>
      </c>
      <c r="F4853" s="2" t="s">
        <v>10086</v>
      </c>
      <c r="H4853" s="2">
        <v>1.6000000000000001E-3</v>
      </c>
      <c r="K4853" s="2" t="s">
        <v>10085</v>
      </c>
    </row>
    <row r="4854" spans="1:11" x14ac:dyDescent="0.2">
      <c r="A4854" s="2">
        <v>1214</v>
      </c>
      <c r="B4854" s="2">
        <v>7</v>
      </c>
      <c r="C4854" s="2">
        <v>137657460</v>
      </c>
      <c r="D4854" s="2">
        <v>138755107</v>
      </c>
      <c r="E4854" s="2">
        <v>4</v>
      </c>
      <c r="F4854" s="2" t="s">
        <v>10086</v>
      </c>
      <c r="H4854" s="2">
        <v>1.6999999999999999E-3</v>
      </c>
      <c r="K4854" s="2" t="s">
        <v>10088</v>
      </c>
    </row>
    <row r="4855" spans="1:11" x14ac:dyDescent="0.2">
      <c r="A4855" s="2">
        <v>1215</v>
      </c>
      <c r="B4855" s="2">
        <v>7</v>
      </c>
      <c r="C4855" s="2">
        <v>138755108</v>
      </c>
      <c r="D4855" s="2">
        <v>140217630</v>
      </c>
      <c r="E4855" s="2">
        <v>1</v>
      </c>
      <c r="F4855" s="2" t="s">
        <v>10086</v>
      </c>
      <c r="H4855" s="2">
        <v>5.7999999999999996E-3</v>
      </c>
      <c r="K4855" s="2" t="s">
        <v>10089</v>
      </c>
    </row>
    <row r="4856" spans="1:11" x14ac:dyDescent="0.2">
      <c r="A4856" s="2">
        <v>1215</v>
      </c>
      <c r="B4856" s="2">
        <v>7</v>
      </c>
      <c r="C4856" s="2">
        <v>138755108</v>
      </c>
      <c r="D4856" s="2">
        <v>140217630</v>
      </c>
      <c r="E4856" s="2">
        <v>2</v>
      </c>
      <c r="F4856" s="2" t="s">
        <v>10086</v>
      </c>
      <c r="H4856" s="2">
        <v>2.8999999999999998E-3</v>
      </c>
      <c r="K4856" s="2" t="s">
        <v>10087</v>
      </c>
    </row>
    <row r="4857" spans="1:11" x14ac:dyDescent="0.2">
      <c r="A4857" s="2">
        <v>1215</v>
      </c>
      <c r="B4857" s="2">
        <v>7</v>
      </c>
      <c r="C4857" s="2">
        <v>138755108</v>
      </c>
      <c r="D4857" s="2">
        <v>140217630</v>
      </c>
      <c r="E4857" s="2">
        <v>3</v>
      </c>
      <c r="F4857" s="2" t="s">
        <v>10086</v>
      </c>
      <c r="H4857" s="2">
        <v>1.6999999999999999E-3</v>
      </c>
      <c r="K4857" s="2" t="s">
        <v>10088</v>
      </c>
    </row>
    <row r="4858" spans="1:11" x14ac:dyDescent="0.2">
      <c r="A4858" s="2">
        <v>1215</v>
      </c>
      <c r="B4858" s="2">
        <v>7</v>
      </c>
      <c r="C4858" s="2">
        <v>138755108</v>
      </c>
      <c r="D4858" s="2">
        <v>140217630</v>
      </c>
      <c r="E4858" s="2">
        <v>4</v>
      </c>
      <c r="F4858" s="2" t="s">
        <v>10086</v>
      </c>
      <c r="H4858" s="3">
        <v>5.9999999999999995E-4</v>
      </c>
      <c r="K4858" s="2" t="s">
        <v>10085</v>
      </c>
    </row>
    <row r="4859" spans="1:11" x14ac:dyDescent="0.2">
      <c r="A4859" s="2">
        <v>1216</v>
      </c>
      <c r="B4859" s="2">
        <v>7</v>
      </c>
      <c r="C4859" s="2">
        <v>140217631</v>
      </c>
      <c r="D4859" s="2">
        <v>142098979</v>
      </c>
      <c r="E4859" s="2">
        <v>1</v>
      </c>
      <c r="F4859" s="2" t="s">
        <v>10086</v>
      </c>
      <c r="H4859" s="2">
        <v>5.7000000000000002E-3</v>
      </c>
      <c r="K4859" s="2" t="s">
        <v>10087</v>
      </c>
    </row>
    <row r="4860" spans="1:11" x14ac:dyDescent="0.2">
      <c r="A4860" s="2">
        <v>1216</v>
      </c>
      <c r="B4860" s="2">
        <v>7</v>
      </c>
      <c r="C4860" s="2">
        <v>140217631</v>
      </c>
      <c r="D4860" s="2">
        <v>142098979</v>
      </c>
      <c r="E4860" s="2">
        <v>2</v>
      </c>
      <c r="F4860" s="2" t="s">
        <v>10086</v>
      </c>
      <c r="H4860" s="2">
        <v>1.4E-3</v>
      </c>
      <c r="K4860" s="2" t="s">
        <v>10088</v>
      </c>
    </row>
    <row r="4861" spans="1:11" x14ac:dyDescent="0.2">
      <c r="A4861" s="2">
        <v>1216</v>
      </c>
      <c r="B4861" s="2">
        <v>7</v>
      </c>
      <c r="C4861" s="2">
        <v>140217631</v>
      </c>
      <c r="D4861" s="2">
        <v>142098979</v>
      </c>
      <c r="E4861" s="2">
        <v>3</v>
      </c>
      <c r="F4861" s="2" t="s">
        <v>10086</v>
      </c>
      <c r="H4861" s="2">
        <v>1.1000000000000001E-3</v>
      </c>
      <c r="K4861" s="2" t="s">
        <v>10085</v>
      </c>
    </row>
    <row r="4862" spans="1:11" x14ac:dyDescent="0.2">
      <c r="A4862" s="2">
        <v>1216</v>
      </c>
      <c r="B4862" s="2">
        <v>7</v>
      </c>
      <c r="C4862" s="2">
        <v>140217631</v>
      </c>
      <c r="D4862" s="2">
        <v>142098979</v>
      </c>
      <c r="E4862" s="2">
        <v>4</v>
      </c>
      <c r="F4862" s="2" t="s">
        <v>10086</v>
      </c>
      <c r="H4862" s="3">
        <v>5.0000000000000001E-4</v>
      </c>
      <c r="K4862" s="2" t="s">
        <v>10089</v>
      </c>
    </row>
    <row r="4863" spans="1:11" x14ac:dyDescent="0.2">
      <c r="A4863" s="2">
        <v>1217</v>
      </c>
      <c r="B4863" s="2">
        <v>7</v>
      </c>
      <c r="C4863" s="2">
        <v>142098980</v>
      </c>
      <c r="D4863" s="2">
        <v>144324464</v>
      </c>
      <c r="E4863" s="2">
        <v>1</v>
      </c>
      <c r="F4863" s="2" t="s">
        <v>10086</v>
      </c>
      <c r="H4863" s="2">
        <v>1.6000000000000001E-3</v>
      </c>
      <c r="K4863" s="2" t="s">
        <v>10087</v>
      </c>
    </row>
    <row r="4864" spans="1:11" x14ac:dyDescent="0.2">
      <c r="A4864" s="2">
        <v>1217</v>
      </c>
      <c r="B4864" s="2">
        <v>7</v>
      </c>
      <c r="C4864" s="2">
        <v>142098980</v>
      </c>
      <c r="D4864" s="2">
        <v>144324464</v>
      </c>
      <c r="E4864" s="2">
        <v>2</v>
      </c>
      <c r="F4864" s="2" t="s">
        <v>10086</v>
      </c>
      <c r="H4864" s="2">
        <v>1.1000000000000001E-3</v>
      </c>
      <c r="K4864" s="2" t="s">
        <v>10088</v>
      </c>
    </row>
    <row r="4865" spans="1:11" x14ac:dyDescent="0.2">
      <c r="A4865" s="2">
        <v>1217</v>
      </c>
      <c r="B4865" s="2">
        <v>7</v>
      </c>
      <c r="C4865" s="2">
        <v>142098980</v>
      </c>
      <c r="D4865" s="2">
        <v>144324464</v>
      </c>
      <c r="E4865" s="2">
        <v>3</v>
      </c>
      <c r="F4865" s="2" t="s">
        <v>10086</v>
      </c>
      <c r="H4865" s="2">
        <v>1.1000000000000001E-3</v>
      </c>
      <c r="K4865" s="2" t="s">
        <v>10085</v>
      </c>
    </row>
    <row r="4866" spans="1:11" x14ac:dyDescent="0.2">
      <c r="A4866" s="2">
        <v>1217</v>
      </c>
      <c r="B4866" s="2">
        <v>7</v>
      </c>
      <c r="C4866" s="2">
        <v>142098980</v>
      </c>
      <c r="D4866" s="2">
        <v>144324464</v>
      </c>
      <c r="E4866" s="2">
        <v>4</v>
      </c>
      <c r="F4866" s="2" t="s">
        <v>10086</v>
      </c>
      <c r="H4866" s="3">
        <v>8.0000000000000004E-4</v>
      </c>
      <c r="K4866" s="2" t="s">
        <v>10089</v>
      </c>
    </row>
    <row r="4867" spans="1:11" x14ac:dyDescent="0.2">
      <c r="A4867" s="2">
        <v>1218</v>
      </c>
      <c r="B4867" s="2">
        <v>7</v>
      </c>
      <c r="C4867" s="2">
        <v>144324465</v>
      </c>
      <c r="D4867" s="2">
        <v>145415775</v>
      </c>
      <c r="E4867" s="2">
        <v>1</v>
      </c>
      <c r="F4867" s="2" t="s">
        <v>10086</v>
      </c>
      <c r="H4867" s="2">
        <v>4.7000000000000002E-3</v>
      </c>
      <c r="K4867" s="2" t="s">
        <v>12324</v>
      </c>
    </row>
    <row r="4868" spans="1:11" x14ac:dyDescent="0.2">
      <c r="A4868" s="2">
        <v>1218</v>
      </c>
      <c r="B4868" s="2">
        <v>7</v>
      </c>
      <c r="C4868" s="2">
        <v>144324465</v>
      </c>
      <c r="D4868" s="2">
        <v>145415775</v>
      </c>
      <c r="E4868" s="2">
        <v>2</v>
      </c>
      <c r="F4868" s="2" t="s">
        <v>10086</v>
      </c>
      <c r="H4868" s="2">
        <v>1E-3</v>
      </c>
      <c r="K4868" s="2" t="s">
        <v>10085</v>
      </c>
    </row>
    <row r="4869" spans="1:11" x14ac:dyDescent="0.2">
      <c r="A4869" s="2">
        <v>1218</v>
      </c>
      <c r="B4869" s="2">
        <v>7</v>
      </c>
      <c r="C4869" s="2">
        <v>144324465</v>
      </c>
      <c r="D4869" s="2">
        <v>145415775</v>
      </c>
      <c r="E4869" s="2">
        <v>3</v>
      </c>
      <c r="F4869" s="2" t="s">
        <v>10086</v>
      </c>
      <c r="H4869" s="2">
        <v>1.1999999999999999E-3</v>
      </c>
      <c r="K4869" s="2" t="s">
        <v>10089</v>
      </c>
    </row>
    <row r="4870" spans="1:11" x14ac:dyDescent="0.2">
      <c r="A4870" s="2">
        <v>1218</v>
      </c>
      <c r="B4870" s="2">
        <v>7</v>
      </c>
      <c r="C4870" s="2">
        <v>144324465</v>
      </c>
      <c r="D4870" s="2">
        <v>145415775</v>
      </c>
      <c r="E4870" s="2">
        <v>4</v>
      </c>
      <c r="F4870" s="2" t="s">
        <v>10086</v>
      </c>
      <c r="H4870" s="2">
        <v>1.1000000000000001E-3</v>
      </c>
      <c r="K4870" s="2" t="s">
        <v>10087</v>
      </c>
    </row>
    <row r="4871" spans="1:11" x14ac:dyDescent="0.2">
      <c r="A4871" s="2">
        <v>1219</v>
      </c>
      <c r="B4871" s="2">
        <v>7</v>
      </c>
      <c r="C4871" s="2">
        <v>145415776</v>
      </c>
      <c r="D4871" s="2">
        <v>146574327</v>
      </c>
      <c r="E4871" s="2">
        <v>1</v>
      </c>
      <c r="F4871" s="2" t="s">
        <v>10086</v>
      </c>
      <c r="H4871" s="2">
        <v>4.4999999999999997E-3</v>
      </c>
      <c r="K4871" s="2" t="s">
        <v>10085</v>
      </c>
    </row>
    <row r="4872" spans="1:11" x14ac:dyDescent="0.2">
      <c r="A4872" s="2">
        <v>1219</v>
      </c>
      <c r="B4872" s="2">
        <v>7</v>
      </c>
      <c r="C4872" s="2">
        <v>145415776</v>
      </c>
      <c r="D4872" s="2">
        <v>146574327</v>
      </c>
      <c r="E4872" s="2">
        <v>2</v>
      </c>
      <c r="F4872" s="2" t="s">
        <v>10086</v>
      </c>
      <c r="H4872" s="2">
        <v>3.3E-3</v>
      </c>
      <c r="K4872" s="2" t="s">
        <v>12324</v>
      </c>
    </row>
    <row r="4873" spans="1:11" x14ac:dyDescent="0.2">
      <c r="A4873" s="2">
        <v>1219</v>
      </c>
      <c r="B4873" s="2">
        <v>7</v>
      </c>
      <c r="C4873" s="2">
        <v>145415776</v>
      </c>
      <c r="D4873" s="2">
        <v>146574327</v>
      </c>
      <c r="E4873" s="2">
        <v>3</v>
      </c>
      <c r="F4873" s="2" t="s">
        <v>10086</v>
      </c>
      <c r="H4873" s="2">
        <v>1.6000000000000001E-3</v>
      </c>
      <c r="K4873" s="2" t="s">
        <v>10088</v>
      </c>
    </row>
    <row r="4874" spans="1:11" x14ac:dyDescent="0.2">
      <c r="A4874" s="2">
        <v>1219</v>
      </c>
      <c r="B4874" s="2">
        <v>7</v>
      </c>
      <c r="C4874" s="2">
        <v>145415776</v>
      </c>
      <c r="D4874" s="2">
        <v>146574327</v>
      </c>
      <c r="E4874" s="2">
        <v>4</v>
      </c>
      <c r="F4874" s="2" t="s">
        <v>10086</v>
      </c>
      <c r="H4874" s="2">
        <v>1.1000000000000001E-3</v>
      </c>
      <c r="K4874" s="2" t="s">
        <v>10087</v>
      </c>
    </row>
    <row r="4875" spans="1:11" x14ac:dyDescent="0.2">
      <c r="A4875" s="2">
        <v>1220</v>
      </c>
      <c r="B4875" s="2">
        <v>7</v>
      </c>
      <c r="C4875" s="2">
        <v>146574328</v>
      </c>
      <c r="D4875" s="2">
        <v>147352171</v>
      </c>
      <c r="E4875" s="2">
        <v>1</v>
      </c>
      <c r="F4875" s="2" t="s">
        <v>10086</v>
      </c>
      <c r="H4875" s="2">
        <v>3.0999999999999999E-3</v>
      </c>
      <c r="K4875" s="2" t="s">
        <v>10085</v>
      </c>
    </row>
    <row r="4876" spans="1:11" x14ac:dyDescent="0.2">
      <c r="A4876" s="2">
        <v>1220</v>
      </c>
      <c r="B4876" s="2">
        <v>7</v>
      </c>
      <c r="C4876" s="2">
        <v>146574328</v>
      </c>
      <c r="D4876" s="2">
        <v>147352171</v>
      </c>
      <c r="E4876" s="2">
        <v>2</v>
      </c>
      <c r="F4876" s="2" t="s">
        <v>10086</v>
      </c>
      <c r="H4876" s="2">
        <v>1.1999999999999999E-3</v>
      </c>
      <c r="K4876" s="2" t="s">
        <v>10088</v>
      </c>
    </row>
    <row r="4877" spans="1:11" x14ac:dyDescent="0.2">
      <c r="A4877" s="2">
        <v>1220</v>
      </c>
      <c r="B4877" s="2">
        <v>7</v>
      </c>
      <c r="C4877" s="2">
        <v>146574328</v>
      </c>
      <c r="D4877" s="2">
        <v>147352171</v>
      </c>
      <c r="E4877" s="2">
        <v>3</v>
      </c>
      <c r="F4877" s="2" t="s">
        <v>10086</v>
      </c>
      <c r="H4877" s="3">
        <v>6.9999999999999999E-4</v>
      </c>
      <c r="K4877" s="2" t="s">
        <v>10089</v>
      </c>
    </row>
    <row r="4878" spans="1:11" x14ac:dyDescent="0.2">
      <c r="A4878" s="2">
        <v>1220</v>
      </c>
      <c r="B4878" s="2">
        <v>7</v>
      </c>
      <c r="C4878" s="2">
        <v>146574328</v>
      </c>
      <c r="D4878" s="2">
        <v>147352171</v>
      </c>
      <c r="E4878" s="2">
        <v>4</v>
      </c>
      <c r="F4878" s="2" t="s">
        <v>10086</v>
      </c>
      <c r="H4878" s="3">
        <v>2.9999999999999997E-4</v>
      </c>
      <c r="K4878" s="2" t="s">
        <v>10087</v>
      </c>
    </row>
    <row r="4879" spans="1:11" x14ac:dyDescent="0.2">
      <c r="A4879" s="2">
        <v>1221</v>
      </c>
      <c r="B4879" s="2">
        <v>7</v>
      </c>
      <c r="C4879" s="2">
        <v>147352172</v>
      </c>
      <c r="D4879" s="2">
        <v>148622913</v>
      </c>
      <c r="E4879" s="2">
        <v>1</v>
      </c>
      <c r="F4879" s="2" t="s">
        <v>10086</v>
      </c>
      <c r="H4879" s="2">
        <v>4.7000000000000002E-3</v>
      </c>
      <c r="K4879" s="2" t="s">
        <v>10088</v>
      </c>
    </row>
    <row r="4880" spans="1:11" x14ac:dyDescent="0.2">
      <c r="A4880" s="2">
        <v>1221</v>
      </c>
      <c r="B4880" s="2">
        <v>7</v>
      </c>
      <c r="C4880" s="2">
        <v>147352172</v>
      </c>
      <c r="D4880" s="2">
        <v>148622913</v>
      </c>
      <c r="E4880" s="2">
        <v>2</v>
      </c>
      <c r="F4880" s="2" t="s">
        <v>10086</v>
      </c>
      <c r="H4880" s="2">
        <v>1.6000000000000001E-3</v>
      </c>
      <c r="K4880" s="2" t="s">
        <v>10087</v>
      </c>
    </row>
    <row r="4881" spans="1:11" x14ac:dyDescent="0.2">
      <c r="A4881" s="2">
        <v>1221</v>
      </c>
      <c r="B4881" s="2">
        <v>7</v>
      </c>
      <c r="C4881" s="2">
        <v>147352172</v>
      </c>
      <c r="D4881" s="2">
        <v>148622913</v>
      </c>
      <c r="E4881" s="2">
        <v>3</v>
      </c>
      <c r="F4881" s="2" t="s">
        <v>10086</v>
      </c>
      <c r="H4881" s="2">
        <v>1.4E-3</v>
      </c>
      <c r="K4881" s="2" t="s">
        <v>10085</v>
      </c>
    </row>
    <row r="4882" spans="1:11" x14ac:dyDescent="0.2">
      <c r="A4882" s="2">
        <v>1221</v>
      </c>
      <c r="B4882" s="2">
        <v>7</v>
      </c>
      <c r="C4882" s="2">
        <v>147352172</v>
      </c>
      <c r="D4882" s="2">
        <v>148622913</v>
      </c>
      <c r="E4882" s="2">
        <v>4</v>
      </c>
      <c r="F4882" s="2" t="s">
        <v>10086</v>
      </c>
      <c r="H4882" s="3">
        <v>5.9999999999999995E-4</v>
      </c>
      <c r="K4882" s="2" t="s">
        <v>10089</v>
      </c>
    </row>
    <row r="4883" spans="1:11" x14ac:dyDescent="0.2">
      <c r="A4883" s="2">
        <v>1222</v>
      </c>
      <c r="B4883" s="2">
        <v>7</v>
      </c>
      <c r="C4883" s="2">
        <v>148622914</v>
      </c>
      <c r="D4883" s="2">
        <v>149842999</v>
      </c>
      <c r="E4883" s="2">
        <v>1</v>
      </c>
      <c r="F4883" s="2" t="s">
        <v>10086</v>
      </c>
      <c r="H4883" s="2">
        <v>2.5999999999999999E-3</v>
      </c>
      <c r="K4883" s="2" t="s">
        <v>10088</v>
      </c>
    </row>
    <row r="4884" spans="1:11" x14ac:dyDescent="0.2">
      <c r="A4884" s="2">
        <v>1222</v>
      </c>
      <c r="B4884" s="2">
        <v>7</v>
      </c>
      <c r="C4884" s="2">
        <v>148622914</v>
      </c>
      <c r="D4884" s="2">
        <v>149842999</v>
      </c>
      <c r="E4884" s="2">
        <v>2</v>
      </c>
      <c r="F4884" s="2" t="s">
        <v>10086</v>
      </c>
      <c r="H4884" s="2">
        <v>3.0000000000000001E-3</v>
      </c>
      <c r="K4884" s="2" t="s">
        <v>10089</v>
      </c>
    </row>
    <row r="4885" spans="1:11" x14ac:dyDescent="0.2">
      <c r="A4885" s="2">
        <v>1222</v>
      </c>
      <c r="B4885" s="2">
        <v>7</v>
      </c>
      <c r="C4885" s="2">
        <v>148622914</v>
      </c>
      <c r="D4885" s="2">
        <v>149842999</v>
      </c>
      <c r="E4885" s="2">
        <v>3</v>
      </c>
      <c r="F4885" s="2" t="s">
        <v>10086</v>
      </c>
      <c r="H4885" s="2">
        <v>1.2999999999999999E-3</v>
      </c>
      <c r="K4885" s="2" t="s">
        <v>10085</v>
      </c>
    </row>
    <row r="4886" spans="1:11" x14ac:dyDescent="0.2">
      <c r="A4886" s="2">
        <v>1222</v>
      </c>
      <c r="B4886" s="2">
        <v>7</v>
      </c>
      <c r="C4886" s="2">
        <v>148622914</v>
      </c>
      <c r="D4886" s="2">
        <v>149842999</v>
      </c>
      <c r="E4886" s="2">
        <v>4</v>
      </c>
      <c r="F4886" s="2" t="s">
        <v>10086</v>
      </c>
      <c r="H4886" s="3">
        <v>8.9999999999999998E-4</v>
      </c>
      <c r="K4886" s="2" t="s">
        <v>10087</v>
      </c>
    </row>
    <row r="4887" spans="1:11" x14ac:dyDescent="0.2">
      <c r="A4887" s="2">
        <v>1223</v>
      </c>
      <c r="B4887" s="2">
        <v>7</v>
      </c>
      <c r="C4887" s="2">
        <v>149843000</v>
      </c>
      <c r="D4887" s="2">
        <v>150897818</v>
      </c>
      <c r="E4887" s="2">
        <v>1</v>
      </c>
      <c r="F4887" s="2" t="s">
        <v>10086</v>
      </c>
      <c r="H4887" s="2">
        <v>2.8999999999999998E-3</v>
      </c>
      <c r="K4887" s="2" t="s">
        <v>10085</v>
      </c>
    </row>
    <row r="4888" spans="1:11" x14ac:dyDescent="0.2">
      <c r="A4888" s="2">
        <v>1223</v>
      </c>
      <c r="B4888" s="2">
        <v>7</v>
      </c>
      <c r="C4888" s="2">
        <v>149843000</v>
      </c>
      <c r="D4888" s="2">
        <v>150897818</v>
      </c>
      <c r="E4888" s="2">
        <v>2</v>
      </c>
      <c r="F4888" s="2" t="s">
        <v>10086</v>
      </c>
      <c r="H4888" s="2">
        <v>2E-3</v>
      </c>
      <c r="K4888" s="2" t="s">
        <v>10088</v>
      </c>
    </row>
    <row r="4889" spans="1:11" x14ac:dyDescent="0.2">
      <c r="A4889" s="2">
        <v>1223</v>
      </c>
      <c r="B4889" s="2">
        <v>7</v>
      </c>
      <c r="C4889" s="2">
        <v>149843000</v>
      </c>
      <c r="D4889" s="2">
        <v>150897818</v>
      </c>
      <c r="E4889" s="2">
        <v>3</v>
      </c>
      <c r="F4889" s="2" t="s">
        <v>10086</v>
      </c>
      <c r="H4889" s="3">
        <v>8.0000000000000004E-4</v>
      </c>
      <c r="K4889" s="2" t="s">
        <v>10087</v>
      </c>
    </row>
    <row r="4890" spans="1:11" x14ac:dyDescent="0.2">
      <c r="A4890" s="2">
        <v>1223</v>
      </c>
      <c r="B4890" s="2">
        <v>7</v>
      </c>
      <c r="C4890" s="2">
        <v>149843000</v>
      </c>
      <c r="D4890" s="2">
        <v>150897818</v>
      </c>
      <c r="E4890" s="2">
        <v>4</v>
      </c>
      <c r="F4890" s="2" t="s">
        <v>10086</v>
      </c>
      <c r="H4890" s="3">
        <v>4.0000000000000002E-4</v>
      </c>
      <c r="K4890" s="2" t="s">
        <v>10089</v>
      </c>
    </row>
    <row r="4891" spans="1:11" x14ac:dyDescent="0.2">
      <c r="A4891" s="2">
        <v>1224</v>
      </c>
      <c r="B4891" s="2">
        <v>7</v>
      </c>
      <c r="C4891" s="2">
        <v>150897819</v>
      </c>
      <c r="D4891" s="2">
        <v>152253294</v>
      </c>
      <c r="E4891" s="2">
        <v>1</v>
      </c>
      <c r="F4891" s="2" t="s">
        <v>10086</v>
      </c>
      <c r="H4891" s="2">
        <v>2.8999999999999998E-3</v>
      </c>
      <c r="K4891" s="2" t="s">
        <v>10088</v>
      </c>
    </row>
    <row r="4892" spans="1:11" x14ac:dyDescent="0.2">
      <c r="A4892" s="2">
        <v>1224</v>
      </c>
      <c r="B4892" s="2">
        <v>7</v>
      </c>
      <c r="C4892" s="2">
        <v>150897819</v>
      </c>
      <c r="D4892" s="2">
        <v>152253294</v>
      </c>
      <c r="E4892" s="2">
        <v>2</v>
      </c>
      <c r="F4892" s="2" t="s">
        <v>10086</v>
      </c>
      <c r="H4892" s="2">
        <v>2.8E-3</v>
      </c>
      <c r="K4892" s="2" t="s">
        <v>10087</v>
      </c>
    </row>
    <row r="4893" spans="1:11" x14ac:dyDescent="0.2">
      <c r="A4893" s="2">
        <v>1224</v>
      </c>
      <c r="B4893" s="2">
        <v>7</v>
      </c>
      <c r="C4893" s="2">
        <v>150897819</v>
      </c>
      <c r="D4893" s="2">
        <v>152253294</v>
      </c>
      <c r="E4893" s="2">
        <v>3</v>
      </c>
      <c r="F4893" s="2" t="s">
        <v>10086</v>
      </c>
      <c r="H4893" s="2">
        <v>1.1999999999999999E-3</v>
      </c>
      <c r="K4893" s="2" t="s">
        <v>10089</v>
      </c>
    </row>
    <row r="4894" spans="1:11" x14ac:dyDescent="0.2">
      <c r="A4894" s="2">
        <v>1224</v>
      </c>
      <c r="B4894" s="2">
        <v>7</v>
      </c>
      <c r="C4894" s="2">
        <v>150897819</v>
      </c>
      <c r="D4894" s="2">
        <v>152253294</v>
      </c>
      <c r="E4894" s="2">
        <v>4</v>
      </c>
      <c r="F4894" s="2" t="s">
        <v>10086</v>
      </c>
      <c r="H4894" s="3">
        <v>5.0000000000000001E-4</v>
      </c>
      <c r="K4894" s="2" t="s">
        <v>10085</v>
      </c>
    </row>
    <row r="4895" spans="1:11" x14ac:dyDescent="0.2">
      <c r="A4895" s="2">
        <v>1225</v>
      </c>
      <c r="B4895" s="2">
        <v>7</v>
      </c>
      <c r="C4895" s="2">
        <v>152253295</v>
      </c>
      <c r="D4895" s="2">
        <v>153241228</v>
      </c>
      <c r="E4895" s="2">
        <v>1</v>
      </c>
      <c r="F4895" s="2" t="s">
        <v>10086</v>
      </c>
      <c r="H4895" s="2">
        <v>3.5000000000000001E-3</v>
      </c>
      <c r="K4895" s="2" t="s">
        <v>10085</v>
      </c>
    </row>
    <row r="4896" spans="1:11" x14ac:dyDescent="0.2">
      <c r="A4896" s="2">
        <v>1225</v>
      </c>
      <c r="B4896" s="2">
        <v>7</v>
      </c>
      <c r="C4896" s="2">
        <v>152253295</v>
      </c>
      <c r="D4896" s="2">
        <v>153241228</v>
      </c>
      <c r="E4896" s="2">
        <v>2</v>
      </c>
      <c r="F4896" s="2" t="s">
        <v>10086</v>
      </c>
      <c r="H4896" s="2">
        <v>2.0999999999999999E-3</v>
      </c>
      <c r="K4896" s="2" t="s">
        <v>10089</v>
      </c>
    </row>
    <row r="4897" spans="1:11" x14ac:dyDescent="0.2">
      <c r="A4897" s="2">
        <v>1225</v>
      </c>
      <c r="B4897" s="2">
        <v>7</v>
      </c>
      <c r="C4897" s="2">
        <v>152253295</v>
      </c>
      <c r="D4897" s="2">
        <v>153241228</v>
      </c>
      <c r="E4897" s="2">
        <v>3</v>
      </c>
      <c r="F4897" s="2" t="s">
        <v>10086</v>
      </c>
      <c r="H4897" s="2">
        <v>1.4E-3</v>
      </c>
      <c r="K4897" s="2" t="s">
        <v>10088</v>
      </c>
    </row>
    <row r="4898" spans="1:11" x14ac:dyDescent="0.2">
      <c r="A4898" s="2">
        <v>1225</v>
      </c>
      <c r="B4898" s="2">
        <v>7</v>
      </c>
      <c r="C4898" s="2">
        <v>152253295</v>
      </c>
      <c r="D4898" s="2">
        <v>153241228</v>
      </c>
      <c r="E4898" s="2">
        <v>4</v>
      </c>
      <c r="F4898" s="2" t="s">
        <v>10086</v>
      </c>
      <c r="H4898" s="3">
        <v>4.0000000000000002E-4</v>
      </c>
      <c r="K4898" s="2" t="s">
        <v>10087</v>
      </c>
    </row>
    <row r="4899" spans="1:11" x14ac:dyDescent="0.2">
      <c r="A4899" s="2">
        <v>1226</v>
      </c>
      <c r="B4899" s="2">
        <v>7</v>
      </c>
      <c r="C4899" s="2">
        <v>153241229</v>
      </c>
      <c r="D4899" s="2">
        <v>154407487</v>
      </c>
      <c r="E4899" s="2">
        <v>1</v>
      </c>
      <c r="F4899" s="2" t="s">
        <v>10086</v>
      </c>
      <c r="H4899" s="2">
        <v>1.5E-3</v>
      </c>
      <c r="K4899" s="2" t="s">
        <v>10085</v>
      </c>
    </row>
    <row r="4900" spans="1:11" x14ac:dyDescent="0.2">
      <c r="A4900" s="2">
        <v>1226</v>
      </c>
      <c r="B4900" s="2">
        <v>7</v>
      </c>
      <c r="C4900" s="2">
        <v>153241229</v>
      </c>
      <c r="D4900" s="2">
        <v>154407487</v>
      </c>
      <c r="E4900" s="2">
        <v>2</v>
      </c>
      <c r="F4900" s="2" t="s">
        <v>10086</v>
      </c>
      <c r="H4900" s="2">
        <v>1.1000000000000001E-3</v>
      </c>
      <c r="K4900" s="2" t="s">
        <v>10088</v>
      </c>
    </row>
    <row r="4901" spans="1:11" x14ac:dyDescent="0.2">
      <c r="A4901" s="2">
        <v>1226</v>
      </c>
      <c r="B4901" s="2">
        <v>7</v>
      </c>
      <c r="C4901" s="2">
        <v>153241229</v>
      </c>
      <c r="D4901" s="2">
        <v>154407487</v>
      </c>
      <c r="E4901" s="2">
        <v>3</v>
      </c>
      <c r="F4901" s="2" t="s">
        <v>10086</v>
      </c>
      <c r="H4901" s="2">
        <v>1E-3</v>
      </c>
      <c r="K4901" s="2" t="s">
        <v>10089</v>
      </c>
    </row>
    <row r="4902" spans="1:11" x14ac:dyDescent="0.2">
      <c r="A4902" s="2">
        <v>1226</v>
      </c>
      <c r="B4902" s="2">
        <v>7</v>
      </c>
      <c r="C4902" s="2">
        <v>153241229</v>
      </c>
      <c r="D4902" s="2">
        <v>154407487</v>
      </c>
      <c r="E4902" s="2">
        <v>4</v>
      </c>
      <c r="F4902" s="2" t="s">
        <v>10086</v>
      </c>
      <c r="H4902" s="3">
        <v>4.0000000000000002E-4</v>
      </c>
      <c r="K4902" s="2" t="s">
        <v>10087</v>
      </c>
    </row>
    <row r="4903" spans="1:11" x14ac:dyDescent="0.2">
      <c r="A4903" s="2">
        <v>1227</v>
      </c>
      <c r="B4903" s="2">
        <v>7</v>
      </c>
      <c r="C4903" s="2">
        <v>154407488</v>
      </c>
      <c r="D4903" s="2">
        <v>155280610</v>
      </c>
      <c r="E4903" s="2">
        <v>1</v>
      </c>
      <c r="F4903" s="2" t="s">
        <v>10086</v>
      </c>
      <c r="H4903" s="2">
        <v>2.2000000000000001E-3</v>
      </c>
      <c r="K4903" s="2" t="s">
        <v>10085</v>
      </c>
    </row>
    <row r="4904" spans="1:11" x14ac:dyDescent="0.2">
      <c r="A4904" s="2">
        <v>1227</v>
      </c>
      <c r="B4904" s="2">
        <v>7</v>
      </c>
      <c r="C4904" s="2">
        <v>154407488</v>
      </c>
      <c r="D4904" s="2">
        <v>155280610</v>
      </c>
      <c r="E4904" s="2">
        <v>2</v>
      </c>
      <c r="F4904" s="2" t="s">
        <v>10086</v>
      </c>
      <c r="H4904" s="2">
        <v>3.2000000000000002E-3</v>
      </c>
      <c r="K4904" s="2" t="s">
        <v>10088</v>
      </c>
    </row>
    <row r="4905" spans="1:11" x14ac:dyDescent="0.2">
      <c r="A4905" s="2">
        <v>1227</v>
      </c>
      <c r="B4905" s="2">
        <v>7</v>
      </c>
      <c r="C4905" s="2">
        <v>154407488</v>
      </c>
      <c r="D4905" s="2">
        <v>155280610</v>
      </c>
      <c r="E4905" s="2">
        <v>3</v>
      </c>
      <c r="F4905" s="2" t="s">
        <v>10086</v>
      </c>
      <c r="H4905" s="2">
        <v>1.2999999999999999E-3</v>
      </c>
      <c r="K4905" s="2" t="s">
        <v>10089</v>
      </c>
    </row>
    <row r="4906" spans="1:11" x14ac:dyDescent="0.2">
      <c r="A4906" s="2">
        <v>1227</v>
      </c>
      <c r="B4906" s="2">
        <v>7</v>
      </c>
      <c r="C4906" s="2">
        <v>154407488</v>
      </c>
      <c r="D4906" s="2">
        <v>155280610</v>
      </c>
      <c r="E4906" s="2">
        <v>4</v>
      </c>
      <c r="F4906" s="2" t="s">
        <v>10086</v>
      </c>
      <c r="H4906" s="3">
        <v>6.9999999999999999E-4</v>
      </c>
      <c r="K4906" s="2" t="s">
        <v>10087</v>
      </c>
    </row>
    <row r="4907" spans="1:11" x14ac:dyDescent="0.2">
      <c r="A4907" s="2">
        <v>1228</v>
      </c>
      <c r="B4907" s="2">
        <v>7</v>
      </c>
      <c r="C4907" s="2">
        <v>155280611</v>
      </c>
      <c r="D4907" s="2">
        <v>156344386</v>
      </c>
      <c r="E4907" s="2">
        <v>1</v>
      </c>
      <c r="F4907" s="2" t="s">
        <v>10086</v>
      </c>
      <c r="H4907" s="2">
        <v>5.1999999999999998E-3</v>
      </c>
      <c r="K4907" s="2" t="s">
        <v>10089</v>
      </c>
    </row>
    <row r="4908" spans="1:11" x14ac:dyDescent="0.2">
      <c r="A4908" s="2">
        <v>1228</v>
      </c>
      <c r="B4908" s="2">
        <v>7</v>
      </c>
      <c r="C4908" s="2">
        <v>155280611</v>
      </c>
      <c r="D4908" s="2">
        <v>156344386</v>
      </c>
      <c r="E4908" s="2">
        <v>2</v>
      </c>
      <c r="F4908" s="2" t="s">
        <v>10086</v>
      </c>
      <c r="H4908" s="2">
        <v>2.2000000000000001E-3</v>
      </c>
      <c r="K4908" s="2" t="s">
        <v>10088</v>
      </c>
    </row>
    <row r="4909" spans="1:11" x14ac:dyDescent="0.2">
      <c r="A4909" s="2">
        <v>1228</v>
      </c>
      <c r="B4909" s="2">
        <v>7</v>
      </c>
      <c r="C4909" s="2">
        <v>155280611</v>
      </c>
      <c r="D4909" s="2">
        <v>156344386</v>
      </c>
      <c r="E4909" s="2">
        <v>3</v>
      </c>
      <c r="F4909" s="2" t="s">
        <v>10086</v>
      </c>
      <c r="H4909" s="2">
        <v>1E-3</v>
      </c>
      <c r="K4909" s="2" t="s">
        <v>10087</v>
      </c>
    </row>
    <row r="4910" spans="1:11" x14ac:dyDescent="0.2">
      <c r="A4910" s="2">
        <v>1228</v>
      </c>
      <c r="B4910" s="2">
        <v>7</v>
      </c>
      <c r="C4910" s="2">
        <v>155280611</v>
      </c>
      <c r="D4910" s="2">
        <v>156344386</v>
      </c>
      <c r="E4910" s="2">
        <v>4</v>
      </c>
      <c r="F4910" s="2" t="s">
        <v>10086</v>
      </c>
      <c r="H4910" s="3">
        <v>5.9999999999999995E-4</v>
      </c>
      <c r="K4910" s="2" t="s">
        <v>10085</v>
      </c>
    </row>
    <row r="4911" spans="1:11" x14ac:dyDescent="0.2">
      <c r="A4911" s="2">
        <v>1229</v>
      </c>
      <c r="B4911" s="2">
        <v>7</v>
      </c>
      <c r="C4911" s="2">
        <v>156344387</v>
      </c>
      <c r="D4911" s="2">
        <v>157199331</v>
      </c>
      <c r="E4911" s="2">
        <v>1</v>
      </c>
      <c r="F4911" s="2" t="s">
        <v>10086</v>
      </c>
      <c r="H4911" s="2">
        <v>3.3E-3</v>
      </c>
      <c r="K4911" s="2" t="s">
        <v>10088</v>
      </c>
    </row>
    <row r="4912" spans="1:11" x14ac:dyDescent="0.2">
      <c r="A4912" s="2">
        <v>1229</v>
      </c>
      <c r="B4912" s="2">
        <v>7</v>
      </c>
      <c r="C4912" s="2">
        <v>156344387</v>
      </c>
      <c r="D4912" s="2">
        <v>157199331</v>
      </c>
      <c r="E4912" s="2">
        <v>2</v>
      </c>
      <c r="F4912" s="2" t="s">
        <v>10086</v>
      </c>
      <c r="H4912" s="3">
        <v>8.0000000000000004E-4</v>
      </c>
      <c r="K4912" s="2" t="s">
        <v>10089</v>
      </c>
    </row>
    <row r="4913" spans="1:11" x14ac:dyDescent="0.2">
      <c r="A4913" s="2">
        <v>1229</v>
      </c>
      <c r="B4913" s="2">
        <v>7</v>
      </c>
      <c r="C4913" s="2">
        <v>156344387</v>
      </c>
      <c r="D4913" s="2">
        <v>157199331</v>
      </c>
      <c r="E4913" s="2">
        <v>3</v>
      </c>
      <c r="F4913" s="2" t="s">
        <v>10086</v>
      </c>
      <c r="H4913" s="3">
        <v>8.0000000000000004E-4</v>
      </c>
      <c r="K4913" s="2" t="s">
        <v>10085</v>
      </c>
    </row>
    <row r="4914" spans="1:11" x14ac:dyDescent="0.2">
      <c r="A4914" s="2">
        <v>1229</v>
      </c>
      <c r="B4914" s="2">
        <v>7</v>
      </c>
      <c r="C4914" s="2">
        <v>156344387</v>
      </c>
      <c r="D4914" s="2">
        <v>157199331</v>
      </c>
      <c r="E4914" s="2">
        <v>4</v>
      </c>
      <c r="F4914" s="2" t="s">
        <v>10086</v>
      </c>
      <c r="H4914" s="3">
        <v>4.0000000000000002E-4</v>
      </c>
      <c r="K4914" s="2" t="s">
        <v>10087</v>
      </c>
    </row>
    <row r="4915" spans="1:11" x14ac:dyDescent="0.2">
      <c r="A4915" s="2">
        <v>1230</v>
      </c>
      <c r="B4915" s="2">
        <v>7</v>
      </c>
      <c r="C4915" s="2">
        <v>157199332</v>
      </c>
      <c r="D4915" s="2">
        <v>158031247</v>
      </c>
      <c r="E4915" s="2">
        <v>1</v>
      </c>
      <c r="F4915" s="2" t="s">
        <v>10086</v>
      </c>
      <c r="H4915" s="2">
        <v>1.5E-3</v>
      </c>
      <c r="K4915" s="2" t="s">
        <v>10088</v>
      </c>
    </row>
    <row r="4916" spans="1:11" x14ac:dyDescent="0.2">
      <c r="A4916" s="2">
        <v>1230</v>
      </c>
      <c r="B4916" s="2">
        <v>7</v>
      </c>
      <c r="C4916" s="2">
        <v>157199332</v>
      </c>
      <c r="D4916" s="2">
        <v>158031247</v>
      </c>
      <c r="E4916" s="2">
        <v>2</v>
      </c>
      <c r="F4916" s="2" t="s">
        <v>10086</v>
      </c>
      <c r="H4916" s="2">
        <v>1.1999999999999999E-3</v>
      </c>
      <c r="K4916" s="2" t="s">
        <v>10089</v>
      </c>
    </row>
    <row r="4917" spans="1:11" x14ac:dyDescent="0.2">
      <c r="A4917" s="2">
        <v>1230</v>
      </c>
      <c r="B4917" s="2">
        <v>7</v>
      </c>
      <c r="C4917" s="2">
        <v>157199332</v>
      </c>
      <c r="D4917" s="2">
        <v>158031247</v>
      </c>
      <c r="E4917" s="2">
        <v>3</v>
      </c>
      <c r="F4917" s="2" t="s">
        <v>10086</v>
      </c>
      <c r="H4917" s="3">
        <v>8.0000000000000004E-4</v>
      </c>
      <c r="K4917" s="2" t="s">
        <v>10085</v>
      </c>
    </row>
    <row r="4918" spans="1:11" x14ac:dyDescent="0.2">
      <c r="A4918" s="2">
        <v>1230</v>
      </c>
      <c r="B4918" s="2">
        <v>7</v>
      </c>
      <c r="C4918" s="2">
        <v>157199332</v>
      </c>
      <c r="D4918" s="2">
        <v>158031247</v>
      </c>
      <c r="E4918" s="2">
        <v>4</v>
      </c>
      <c r="F4918" s="2" t="s">
        <v>10086</v>
      </c>
      <c r="H4918" s="3">
        <v>5.0000000000000001E-4</v>
      </c>
      <c r="K4918" s="2" t="s">
        <v>10087</v>
      </c>
    </row>
    <row r="4919" spans="1:11" x14ac:dyDescent="0.2">
      <c r="A4919" s="2">
        <v>1231</v>
      </c>
      <c r="B4919" s="2">
        <v>7</v>
      </c>
      <c r="C4919" s="2">
        <v>158031248</v>
      </c>
      <c r="D4919" s="2">
        <v>159128566</v>
      </c>
      <c r="E4919" s="2">
        <v>1</v>
      </c>
      <c r="F4919" s="2" t="s">
        <v>10086</v>
      </c>
      <c r="H4919" s="2">
        <v>1.4E-3</v>
      </c>
      <c r="K4919" s="2" t="s">
        <v>10085</v>
      </c>
    </row>
    <row r="4920" spans="1:11" x14ac:dyDescent="0.2">
      <c r="A4920" s="2">
        <v>1231</v>
      </c>
      <c r="B4920" s="2">
        <v>7</v>
      </c>
      <c r="C4920" s="2">
        <v>158031248</v>
      </c>
      <c r="D4920" s="2">
        <v>159128566</v>
      </c>
      <c r="E4920" s="2">
        <v>2</v>
      </c>
      <c r="F4920" s="2" t="s">
        <v>10086</v>
      </c>
      <c r="H4920" s="2">
        <v>1.6000000000000001E-3</v>
      </c>
      <c r="K4920" s="2" t="s">
        <v>10089</v>
      </c>
    </row>
    <row r="4921" spans="1:11" x14ac:dyDescent="0.2">
      <c r="A4921" s="2">
        <v>1231</v>
      </c>
      <c r="B4921" s="2">
        <v>7</v>
      </c>
      <c r="C4921" s="2">
        <v>158031248</v>
      </c>
      <c r="D4921" s="2">
        <v>159128566</v>
      </c>
      <c r="E4921" s="2">
        <v>3</v>
      </c>
      <c r="F4921" s="2" t="s">
        <v>10086</v>
      </c>
      <c r="H4921" s="2">
        <v>1.4E-3</v>
      </c>
      <c r="K4921" s="2" t="s">
        <v>10088</v>
      </c>
    </row>
    <row r="4922" spans="1:11" x14ac:dyDescent="0.2">
      <c r="A4922" s="2">
        <v>1231</v>
      </c>
      <c r="B4922" s="2">
        <v>7</v>
      </c>
      <c r="C4922" s="2">
        <v>158031248</v>
      </c>
      <c r="D4922" s="2">
        <v>159128566</v>
      </c>
      <c r="E4922" s="2">
        <v>4</v>
      </c>
      <c r="F4922" s="2" t="s">
        <v>10086</v>
      </c>
      <c r="H4922" s="3">
        <v>5.9999999999999995E-4</v>
      </c>
      <c r="K4922" s="2" t="s">
        <v>10087</v>
      </c>
    </row>
    <row r="4923" spans="1:11" x14ac:dyDescent="0.2">
      <c r="A4923" s="2">
        <v>1232</v>
      </c>
      <c r="B4923" s="2">
        <v>8</v>
      </c>
      <c r="C4923" s="2">
        <v>11740</v>
      </c>
      <c r="D4923" s="2">
        <v>660414</v>
      </c>
      <c r="E4923" s="2">
        <v>1</v>
      </c>
      <c r="F4923" s="2" t="s">
        <v>10086</v>
      </c>
      <c r="H4923" s="2">
        <v>1E-3</v>
      </c>
      <c r="K4923" s="2" t="s">
        <v>10088</v>
      </c>
    </row>
    <row r="4924" spans="1:11" x14ac:dyDescent="0.2">
      <c r="A4924" s="2">
        <v>1232</v>
      </c>
      <c r="B4924" s="2">
        <v>8</v>
      </c>
      <c r="C4924" s="2">
        <v>11740</v>
      </c>
      <c r="D4924" s="2">
        <v>660414</v>
      </c>
      <c r="E4924" s="2">
        <v>2</v>
      </c>
      <c r="F4924" s="2" t="s">
        <v>10086</v>
      </c>
      <c r="H4924" s="3">
        <v>6.9999999999999999E-4</v>
      </c>
      <c r="K4924" s="2" t="s">
        <v>10089</v>
      </c>
    </row>
    <row r="4925" spans="1:11" x14ac:dyDescent="0.2">
      <c r="A4925" s="2">
        <v>1232</v>
      </c>
      <c r="B4925" s="2">
        <v>8</v>
      </c>
      <c r="C4925" s="2">
        <v>11740</v>
      </c>
      <c r="D4925" s="2">
        <v>660414</v>
      </c>
      <c r="E4925" s="2">
        <v>3</v>
      </c>
      <c r="F4925" s="2" t="s">
        <v>10086</v>
      </c>
      <c r="H4925" s="3">
        <v>5.0000000000000001E-4</v>
      </c>
      <c r="K4925" s="2" t="s">
        <v>10085</v>
      </c>
    </row>
    <row r="4926" spans="1:11" x14ac:dyDescent="0.2">
      <c r="A4926" s="2">
        <v>1232</v>
      </c>
      <c r="B4926" s="2">
        <v>8</v>
      </c>
      <c r="C4926" s="2">
        <v>11740</v>
      </c>
      <c r="D4926" s="2">
        <v>660414</v>
      </c>
      <c r="E4926" s="2">
        <v>4</v>
      </c>
      <c r="F4926" s="2" t="s">
        <v>10086</v>
      </c>
      <c r="H4926" s="3">
        <v>2.9999999999999997E-4</v>
      </c>
      <c r="K4926" s="2" t="s">
        <v>10087</v>
      </c>
    </row>
    <row r="4927" spans="1:11" x14ac:dyDescent="0.2">
      <c r="A4927" s="2">
        <v>1233</v>
      </c>
      <c r="B4927" s="2">
        <v>8</v>
      </c>
      <c r="C4927" s="2">
        <v>660415</v>
      </c>
      <c r="D4927" s="2">
        <v>1161824</v>
      </c>
      <c r="E4927" s="2">
        <v>1</v>
      </c>
      <c r="F4927" s="2" t="s">
        <v>10086</v>
      </c>
      <c r="H4927" s="2">
        <v>1.5E-3</v>
      </c>
      <c r="K4927" s="2" t="s">
        <v>10089</v>
      </c>
    </row>
    <row r="4928" spans="1:11" x14ac:dyDescent="0.2">
      <c r="A4928" s="2">
        <v>1233</v>
      </c>
      <c r="B4928" s="2">
        <v>8</v>
      </c>
      <c r="C4928" s="2">
        <v>660415</v>
      </c>
      <c r="D4928" s="2">
        <v>1161824</v>
      </c>
      <c r="E4928" s="2">
        <v>2</v>
      </c>
      <c r="F4928" s="2" t="s">
        <v>10086</v>
      </c>
      <c r="H4928" s="3">
        <v>8.0000000000000004E-4</v>
      </c>
      <c r="K4928" s="2" t="s">
        <v>10085</v>
      </c>
    </row>
    <row r="4929" spans="1:11" x14ac:dyDescent="0.2">
      <c r="A4929" s="2">
        <v>1233</v>
      </c>
      <c r="B4929" s="2">
        <v>8</v>
      </c>
      <c r="C4929" s="2">
        <v>660415</v>
      </c>
      <c r="D4929" s="2">
        <v>1161824</v>
      </c>
      <c r="E4929" s="2">
        <v>3</v>
      </c>
      <c r="F4929" s="2" t="s">
        <v>10086</v>
      </c>
      <c r="H4929" s="3">
        <v>5.9999999999999995E-4</v>
      </c>
      <c r="K4929" s="2" t="s">
        <v>10088</v>
      </c>
    </row>
    <row r="4930" spans="1:11" x14ac:dyDescent="0.2">
      <c r="A4930" s="2">
        <v>1233</v>
      </c>
      <c r="B4930" s="2">
        <v>8</v>
      </c>
      <c r="C4930" s="2">
        <v>660415</v>
      </c>
      <c r="D4930" s="2">
        <v>1161824</v>
      </c>
      <c r="E4930" s="2">
        <v>4</v>
      </c>
      <c r="F4930" s="2" t="s">
        <v>10086</v>
      </c>
      <c r="H4930" s="3">
        <v>2.9999999999999997E-4</v>
      </c>
      <c r="K4930" s="2" t="s">
        <v>10087</v>
      </c>
    </row>
    <row r="4931" spans="1:11" x14ac:dyDescent="0.2">
      <c r="A4931" s="2">
        <v>1234</v>
      </c>
      <c r="B4931" s="2">
        <v>8</v>
      </c>
      <c r="C4931" s="2">
        <v>1161825</v>
      </c>
      <c r="D4931" s="2">
        <v>1628039</v>
      </c>
      <c r="E4931" s="2">
        <v>1</v>
      </c>
      <c r="F4931" s="2" t="s">
        <v>10086</v>
      </c>
      <c r="H4931" s="2">
        <v>1.1000000000000001E-3</v>
      </c>
      <c r="K4931" s="2" t="s">
        <v>10089</v>
      </c>
    </row>
    <row r="4932" spans="1:11" x14ac:dyDescent="0.2">
      <c r="A4932" s="2">
        <v>1234</v>
      </c>
      <c r="B4932" s="2">
        <v>8</v>
      </c>
      <c r="C4932" s="2">
        <v>1161825</v>
      </c>
      <c r="D4932" s="2">
        <v>1628039</v>
      </c>
      <c r="E4932" s="2">
        <v>2</v>
      </c>
      <c r="F4932" s="2" t="s">
        <v>10086</v>
      </c>
      <c r="H4932" s="3">
        <v>8.0000000000000004E-4</v>
      </c>
      <c r="K4932" s="2" t="s">
        <v>10085</v>
      </c>
    </row>
    <row r="4933" spans="1:11" x14ac:dyDescent="0.2">
      <c r="A4933" s="2">
        <v>1234</v>
      </c>
      <c r="B4933" s="2">
        <v>8</v>
      </c>
      <c r="C4933" s="2">
        <v>1161825</v>
      </c>
      <c r="D4933" s="2">
        <v>1628039</v>
      </c>
      <c r="E4933" s="2">
        <v>3</v>
      </c>
      <c r="F4933" s="2" t="s">
        <v>10086</v>
      </c>
      <c r="H4933" s="3">
        <v>6.9999999999999999E-4</v>
      </c>
      <c r="K4933" s="2" t="s">
        <v>10087</v>
      </c>
    </row>
    <row r="4934" spans="1:11" x14ac:dyDescent="0.2">
      <c r="A4934" s="2">
        <v>1234</v>
      </c>
      <c r="B4934" s="2">
        <v>8</v>
      </c>
      <c r="C4934" s="2">
        <v>1161825</v>
      </c>
      <c r="D4934" s="2">
        <v>1628039</v>
      </c>
      <c r="E4934" s="2">
        <v>4</v>
      </c>
      <c r="F4934" s="2" t="s">
        <v>10086</v>
      </c>
      <c r="H4934" s="3">
        <v>2.9999999999999997E-4</v>
      </c>
      <c r="K4934" s="2" t="s">
        <v>10088</v>
      </c>
    </row>
    <row r="4935" spans="1:11" x14ac:dyDescent="0.2">
      <c r="A4935" s="2">
        <v>1235</v>
      </c>
      <c r="B4935" s="2">
        <v>8</v>
      </c>
      <c r="C4935" s="2">
        <v>1628040</v>
      </c>
      <c r="D4935" s="2">
        <v>2070902</v>
      </c>
      <c r="E4935" s="2">
        <v>1</v>
      </c>
      <c r="F4935" s="2" t="s">
        <v>10086</v>
      </c>
      <c r="H4935" s="2">
        <v>2E-3</v>
      </c>
      <c r="K4935" s="2" t="s">
        <v>10085</v>
      </c>
    </row>
    <row r="4936" spans="1:11" x14ac:dyDescent="0.2">
      <c r="A4936" s="2">
        <v>1235</v>
      </c>
      <c r="B4936" s="2">
        <v>8</v>
      </c>
      <c r="C4936" s="2">
        <v>1628040</v>
      </c>
      <c r="D4936" s="2">
        <v>2070902</v>
      </c>
      <c r="E4936" s="2">
        <v>2</v>
      </c>
      <c r="F4936" s="2" t="s">
        <v>10086</v>
      </c>
      <c r="H4936" s="2">
        <v>1.1999999999999999E-3</v>
      </c>
      <c r="K4936" s="2" t="s">
        <v>10087</v>
      </c>
    </row>
    <row r="4937" spans="1:11" x14ac:dyDescent="0.2">
      <c r="A4937" s="2">
        <v>1235</v>
      </c>
      <c r="B4937" s="2">
        <v>8</v>
      </c>
      <c r="C4937" s="2">
        <v>1628040</v>
      </c>
      <c r="D4937" s="2">
        <v>2070902</v>
      </c>
      <c r="E4937" s="2">
        <v>3</v>
      </c>
      <c r="F4937" s="2" t="s">
        <v>10086</v>
      </c>
      <c r="H4937" s="3">
        <v>8.0000000000000004E-4</v>
      </c>
      <c r="K4937" s="2" t="s">
        <v>10089</v>
      </c>
    </row>
    <row r="4938" spans="1:11" x14ac:dyDescent="0.2">
      <c r="A4938" s="2">
        <v>1235</v>
      </c>
      <c r="B4938" s="2">
        <v>8</v>
      </c>
      <c r="C4938" s="2">
        <v>1628040</v>
      </c>
      <c r="D4938" s="2">
        <v>2070902</v>
      </c>
      <c r="E4938" s="2">
        <v>4</v>
      </c>
      <c r="F4938" s="2" t="s">
        <v>10086</v>
      </c>
      <c r="H4938" s="3">
        <v>2.9999999999999997E-4</v>
      </c>
      <c r="K4938" s="2" t="s">
        <v>10088</v>
      </c>
    </row>
    <row r="4939" spans="1:11" x14ac:dyDescent="0.2">
      <c r="A4939" s="2">
        <v>1236</v>
      </c>
      <c r="B4939" s="2">
        <v>8</v>
      </c>
      <c r="C4939" s="2">
        <v>2070903</v>
      </c>
      <c r="D4939" s="2">
        <v>2396122</v>
      </c>
      <c r="E4939" s="2">
        <v>1</v>
      </c>
      <c r="F4939" s="2" t="s">
        <v>10086</v>
      </c>
      <c r="H4939" s="2">
        <v>3.7000000000000002E-3</v>
      </c>
      <c r="K4939" s="2" t="s">
        <v>10087</v>
      </c>
    </row>
    <row r="4940" spans="1:11" x14ac:dyDescent="0.2">
      <c r="A4940" s="2">
        <v>1236</v>
      </c>
      <c r="B4940" s="2">
        <v>8</v>
      </c>
      <c r="C4940" s="2">
        <v>2070903</v>
      </c>
      <c r="D4940" s="2">
        <v>2396122</v>
      </c>
      <c r="E4940" s="2">
        <v>2</v>
      </c>
      <c r="F4940" s="2" t="s">
        <v>10086</v>
      </c>
      <c r="H4940" s="2">
        <v>1.1000000000000001E-3</v>
      </c>
      <c r="K4940" s="2" t="s">
        <v>10085</v>
      </c>
    </row>
    <row r="4941" spans="1:11" x14ac:dyDescent="0.2">
      <c r="A4941" s="2">
        <v>1236</v>
      </c>
      <c r="B4941" s="2">
        <v>8</v>
      </c>
      <c r="C4941" s="2">
        <v>2070903</v>
      </c>
      <c r="D4941" s="2">
        <v>2396122</v>
      </c>
      <c r="E4941" s="2">
        <v>3</v>
      </c>
      <c r="F4941" s="2" t="s">
        <v>10086</v>
      </c>
      <c r="H4941" s="3">
        <v>6.9999999999999999E-4</v>
      </c>
      <c r="K4941" s="2" t="s">
        <v>10089</v>
      </c>
    </row>
    <row r="4942" spans="1:11" x14ac:dyDescent="0.2">
      <c r="A4942" s="2">
        <v>1236</v>
      </c>
      <c r="B4942" s="2">
        <v>8</v>
      </c>
      <c r="C4942" s="2">
        <v>2070903</v>
      </c>
      <c r="D4942" s="2">
        <v>2396122</v>
      </c>
      <c r="E4942" s="2">
        <v>4</v>
      </c>
      <c r="F4942" s="2" t="s">
        <v>10086</v>
      </c>
      <c r="H4942" s="3">
        <v>2.0000000000000001E-4</v>
      </c>
      <c r="K4942" s="2" t="s">
        <v>10088</v>
      </c>
    </row>
    <row r="4943" spans="1:11" x14ac:dyDescent="0.2">
      <c r="A4943" s="2">
        <v>1237</v>
      </c>
      <c r="B4943" s="2">
        <v>8</v>
      </c>
      <c r="C4943" s="2">
        <v>2396123</v>
      </c>
      <c r="D4943" s="2">
        <v>2970491</v>
      </c>
      <c r="E4943" s="2">
        <v>1</v>
      </c>
      <c r="F4943" s="2" t="s">
        <v>10086</v>
      </c>
      <c r="H4943" s="2">
        <v>2.35E-2</v>
      </c>
      <c r="K4943" s="2" t="s">
        <v>10088</v>
      </c>
    </row>
    <row r="4944" spans="1:11" x14ac:dyDescent="0.2">
      <c r="A4944" s="2">
        <v>1237</v>
      </c>
      <c r="B4944" s="2">
        <v>8</v>
      </c>
      <c r="C4944" s="2">
        <v>2396123</v>
      </c>
      <c r="D4944" s="2">
        <v>2970491</v>
      </c>
      <c r="E4944" s="2">
        <v>2</v>
      </c>
      <c r="F4944" s="2" t="s">
        <v>10086</v>
      </c>
      <c r="H4944" s="2">
        <v>2.5000000000000001E-3</v>
      </c>
      <c r="K4944" s="2" t="s">
        <v>10089</v>
      </c>
    </row>
    <row r="4945" spans="1:11" x14ac:dyDescent="0.2">
      <c r="A4945" s="2">
        <v>1237</v>
      </c>
      <c r="B4945" s="2">
        <v>8</v>
      </c>
      <c r="C4945" s="2">
        <v>2396123</v>
      </c>
      <c r="D4945" s="2">
        <v>2970491</v>
      </c>
      <c r="E4945" s="2">
        <v>3</v>
      </c>
      <c r="F4945" s="2" t="s">
        <v>10086</v>
      </c>
      <c r="H4945" s="2">
        <v>2.5000000000000001E-3</v>
      </c>
      <c r="K4945" s="2" t="s">
        <v>10085</v>
      </c>
    </row>
    <row r="4946" spans="1:11" x14ac:dyDescent="0.2">
      <c r="A4946" s="2">
        <v>1237</v>
      </c>
      <c r="B4946" s="2">
        <v>8</v>
      </c>
      <c r="C4946" s="2">
        <v>2396123</v>
      </c>
      <c r="D4946" s="2">
        <v>2970491</v>
      </c>
      <c r="E4946" s="2">
        <v>4</v>
      </c>
      <c r="F4946" s="2" t="s">
        <v>10086</v>
      </c>
      <c r="H4946" s="3">
        <v>8.9999999999999998E-4</v>
      </c>
      <c r="K4946" s="2" t="s">
        <v>10087</v>
      </c>
    </row>
    <row r="4947" spans="1:11" x14ac:dyDescent="0.2">
      <c r="A4947" s="2">
        <v>1238</v>
      </c>
      <c r="B4947" s="2">
        <v>8</v>
      </c>
      <c r="C4947" s="2">
        <v>2970492</v>
      </c>
      <c r="D4947" s="2">
        <v>3386667</v>
      </c>
      <c r="E4947" s="2">
        <v>1</v>
      </c>
      <c r="F4947" s="2" t="s">
        <v>10086</v>
      </c>
      <c r="H4947" s="2">
        <v>1E-3</v>
      </c>
      <c r="K4947" s="2" t="s">
        <v>10089</v>
      </c>
    </row>
    <row r="4948" spans="1:11" x14ac:dyDescent="0.2">
      <c r="A4948" s="2">
        <v>1238</v>
      </c>
      <c r="B4948" s="2">
        <v>8</v>
      </c>
      <c r="C4948" s="2">
        <v>2970492</v>
      </c>
      <c r="D4948" s="2">
        <v>3386667</v>
      </c>
      <c r="E4948" s="2">
        <v>2</v>
      </c>
      <c r="F4948" s="2" t="s">
        <v>10086</v>
      </c>
      <c r="H4948" s="2">
        <v>1.4E-3</v>
      </c>
      <c r="K4948" s="2" t="s">
        <v>10085</v>
      </c>
    </row>
    <row r="4949" spans="1:11" x14ac:dyDescent="0.2">
      <c r="A4949" s="2">
        <v>1238</v>
      </c>
      <c r="B4949" s="2">
        <v>8</v>
      </c>
      <c r="C4949" s="2">
        <v>2970492</v>
      </c>
      <c r="D4949" s="2">
        <v>3386667</v>
      </c>
      <c r="E4949" s="2">
        <v>3</v>
      </c>
      <c r="F4949" s="2" t="s">
        <v>10086</v>
      </c>
      <c r="H4949" s="2">
        <v>1.1000000000000001E-3</v>
      </c>
      <c r="K4949" s="2" t="s">
        <v>10088</v>
      </c>
    </row>
    <row r="4950" spans="1:11" x14ac:dyDescent="0.2">
      <c r="A4950" s="2">
        <v>1238</v>
      </c>
      <c r="B4950" s="2">
        <v>8</v>
      </c>
      <c r="C4950" s="2">
        <v>2970492</v>
      </c>
      <c r="D4950" s="2">
        <v>3386667</v>
      </c>
      <c r="E4950" s="2">
        <v>4</v>
      </c>
      <c r="F4950" s="2" t="s">
        <v>10086</v>
      </c>
      <c r="H4950" s="3">
        <v>5.9999999999999995E-4</v>
      </c>
      <c r="K4950" s="2" t="s">
        <v>10087</v>
      </c>
    </row>
    <row r="4951" spans="1:11" x14ac:dyDescent="0.2">
      <c r="A4951" s="2">
        <v>1239</v>
      </c>
      <c r="B4951" s="2">
        <v>8</v>
      </c>
      <c r="C4951" s="2">
        <v>3386668</v>
      </c>
      <c r="D4951" s="2">
        <v>3787248</v>
      </c>
      <c r="E4951" s="2">
        <v>1</v>
      </c>
      <c r="F4951" s="2" t="s">
        <v>10086</v>
      </c>
      <c r="H4951" s="2">
        <v>4.4999999999999997E-3</v>
      </c>
      <c r="K4951" s="2" t="s">
        <v>10088</v>
      </c>
    </row>
    <row r="4952" spans="1:11" x14ac:dyDescent="0.2">
      <c r="A4952" s="2">
        <v>1239</v>
      </c>
      <c r="B4952" s="2">
        <v>8</v>
      </c>
      <c r="C4952" s="2">
        <v>3386668</v>
      </c>
      <c r="D4952" s="2">
        <v>3787248</v>
      </c>
      <c r="E4952" s="2">
        <v>2</v>
      </c>
      <c r="F4952" s="2" t="s">
        <v>10086</v>
      </c>
      <c r="H4952" s="2">
        <v>1.1999999999999999E-3</v>
      </c>
      <c r="K4952" s="2" t="s">
        <v>10089</v>
      </c>
    </row>
    <row r="4953" spans="1:11" x14ac:dyDescent="0.2">
      <c r="A4953" s="2">
        <v>1239</v>
      </c>
      <c r="B4953" s="2">
        <v>8</v>
      </c>
      <c r="C4953" s="2">
        <v>3386668</v>
      </c>
      <c r="D4953" s="2">
        <v>3787248</v>
      </c>
      <c r="E4953" s="2">
        <v>3</v>
      </c>
      <c r="F4953" s="2" t="s">
        <v>10086</v>
      </c>
      <c r="H4953" s="3">
        <v>8.9999999999999998E-4</v>
      </c>
      <c r="K4953" s="2" t="s">
        <v>10087</v>
      </c>
    </row>
    <row r="4954" spans="1:11" x14ac:dyDescent="0.2">
      <c r="A4954" s="2">
        <v>1239</v>
      </c>
      <c r="B4954" s="2">
        <v>8</v>
      </c>
      <c r="C4954" s="2">
        <v>3386668</v>
      </c>
      <c r="D4954" s="2">
        <v>3787248</v>
      </c>
      <c r="E4954" s="2">
        <v>4</v>
      </c>
      <c r="F4954" s="2" t="s">
        <v>10086</v>
      </c>
      <c r="H4954" s="3">
        <v>5.9999999999999995E-4</v>
      </c>
      <c r="K4954" s="2" t="s">
        <v>10085</v>
      </c>
    </row>
    <row r="4955" spans="1:11" x14ac:dyDescent="0.2">
      <c r="A4955" s="2">
        <v>1240</v>
      </c>
      <c r="B4955" s="2">
        <v>8</v>
      </c>
      <c r="C4955" s="2">
        <v>3787249</v>
      </c>
      <c r="D4955" s="2">
        <v>4273083</v>
      </c>
      <c r="E4955" s="2">
        <v>1</v>
      </c>
      <c r="F4955" s="2" t="s">
        <v>10086</v>
      </c>
      <c r="H4955" s="2">
        <v>8.2500000000000004E-2</v>
      </c>
      <c r="K4955" s="2" t="s">
        <v>10085</v>
      </c>
    </row>
    <row r="4956" spans="1:11" x14ac:dyDescent="0.2">
      <c r="A4956" s="2">
        <v>1240</v>
      </c>
      <c r="B4956" s="2">
        <v>8</v>
      </c>
      <c r="C4956" s="2">
        <v>3787249</v>
      </c>
      <c r="D4956" s="2">
        <v>4273083</v>
      </c>
      <c r="E4956" s="2">
        <v>2</v>
      </c>
      <c r="F4956" s="2" t="s">
        <v>10086</v>
      </c>
      <c r="H4956" s="2">
        <v>2.93E-2</v>
      </c>
      <c r="K4956" s="2" t="s">
        <v>12324</v>
      </c>
    </row>
    <row r="4957" spans="1:11" x14ac:dyDescent="0.2">
      <c r="A4957" s="2">
        <v>1240</v>
      </c>
      <c r="B4957" s="2">
        <v>8</v>
      </c>
      <c r="C4957" s="2">
        <v>3787249</v>
      </c>
      <c r="D4957" s="2">
        <v>4273083</v>
      </c>
      <c r="E4957" s="2">
        <v>3</v>
      </c>
      <c r="F4957" s="2" t="s">
        <v>10086</v>
      </c>
      <c r="H4957" s="2">
        <v>1.6000000000000001E-3</v>
      </c>
      <c r="K4957" s="2" t="s">
        <v>10089</v>
      </c>
    </row>
    <row r="4958" spans="1:11" x14ac:dyDescent="0.2">
      <c r="A4958" s="2">
        <v>1240</v>
      </c>
      <c r="B4958" s="2">
        <v>8</v>
      </c>
      <c r="C4958" s="2">
        <v>3787249</v>
      </c>
      <c r="D4958" s="2">
        <v>4273083</v>
      </c>
      <c r="E4958" s="2">
        <v>4</v>
      </c>
      <c r="F4958" s="2" t="s">
        <v>10086</v>
      </c>
      <c r="H4958" s="2">
        <v>1.6000000000000001E-3</v>
      </c>
      <c r="K4958" s="2" t="s">
        <v>10088</v>
      </c>
    </row>
    <row r="4959" spans="1:11" x14ac:dyDescent="0.2">
      <c r="A4959" s="2">
        <v>1241</v>
      </c>
      <c r="B4959" s="2">
        <v>8</v>
      </c>
      <c r="C4959" s="2">
        <v>4273084</v>
      </c>
      <c r="D4959" s="2">
        <v>4893120</v>
      </c>
      <c r="E4959" s="2">
        <v>1</v>
      </c>
      <c r="F4959" s="2" t="s">
        <v>10086</v>
      </c>
      <c r="H4959" s="2">
        <v>7.7399999999999997E-2</v>
      </c>
      <c r="K4959" s="2" t="s">
        <v>10085</v>
      </c>
    </row>
    <row r="4960" spans="1:11" x14ac:dyDescent="0.2">
      <c r="A4960" s="2">
        <v>1241</v>
      </c>
      <c r="B4960" s="2">
        <v>8</v>
      </c>
      <c r="C4960" s="2">
        <v>4273084</v>
      </c>
      <c r="D4960" s="2">
        <v>4893120</v>
      </c>
      <c r="E4960" s="2">
        <v>2</v>
      </c>
      <c r="F4960" s="2" t="s">
        <v>10086</v>
      </c>
      <c r="H4960" s="2">
        <v>2E-3</v>
      </c>
      <c r="K4960" s="2" t="s">
        <v>10088</v>
      </c>
    </row>
    <row r="4961" spans="1:11" x14ac:dyDescent="0.2">
      <c r="A4961" s="2">
        <v>1241</v>
      </c>
      <c r="B4961" s="2">
        <v>8</v>
      </c>
      <c r="C4961" s="2">
        <v>4273084</v>
      </c>
      <c r="D4961" s="2">
        <v>4893120</v>
      </c>
      <c r="E4961" s="2">
        <v>3</v>
      </c>
      <c r="F4961" s="2" t="s">
        <v>10086</v>
      </c>
      <c r="H4961" s="2">
        <v>1.5E-3</v>
      </c>
      <c r="K4961" s="2" t="s">
        <v>10089</v>
      </c>
    </row>
    <row r="4962" spans="1:11" x14ac:dyDescent="0.2">
      <c r="A4962" s="2">
        <v>1241</v>
      </c>
      <c r="B4962" s="2">
        <v>8</v>
      </c>
      <c r="C4962" s="2">
        <v>4273084</v>
      </c>
      <c r="D4962" s="2">
        <v>4893120</v>
      </c>
      <c r="E4962" s="2">
        <v>4</v>
      </c>
      <c r="F4962" s="2" t="s">
        <v>10086</v>
      </c>
      <c r="H4962" s="3">
        <v>5.9999999999999995E-4</v>
      </c>
      <c r="K4962" s="2" t="s">
        <v>10087</v>
      </c>
    </row>
    <row r="4963" spans="1:11" x14ac:dyDescent="0.2">
      <c r="A4963" s="2">
        <v>1242</v>
      </c>
      <c r="B4963" s="2">
        <v>8</v>
      </c>
      <c r="C4963" s="2">
        <v>4893121</v>
      </c>
      <c r="D4963" s="2">
        <v>5566269</v>
      </c>
      <c r="E4963" s="2">
        <v>1</v>
      </c>
      <c r="F4963" s="2" t="s">
        <v>10086</v>
      </c>
      <c r="H4963" s="2">
        <v>1.0999999999999999E-2</v>
      </c>
      <c r="K4963" s="2" t="s">
        <v>10089</v>
      </c>
    </row>
    <row r="4964" spans="1:11" x14ac:dyDescent="0.2">
      <c r="A4964" s="2">
        <v>1242</v>
      </c>
      <c r="B4964" s="2">
        <v>8</v>
      </c>
      <c r="C4964" s="2">
        <v>4893121</v>
      </c>
      <c r="D4964" s="2">
        <v>5566269</v>
      </c>
      <c r="E4964" s="2">
        <v>2</v>
      </c>
      <c r="F4964" s="2" t="s">
        <v>10086</v>
      </c>
      <c r="H4964" s="2">
        <v>2.7000000000000001E-3</v>
      </c>
      <c r="K4964" s="2" t="s">
        <v>10087</v>
      </c>
    </row>
    <row r="4965" spans="1:11" x14ac:dyDescent="0.2">
      <c r="A4965" s="2">
        <v>1242</v>
      </c>
      <c r="B4965" s="2">
        <v>8</v>
      </c>
      <c r="C4965" s="2">
        <v>4893121</v>
      </c>
      <c r="D4965" s="2">
        <v>5566269</v>
      </c>
      <c r="E4965" s="2">
        <v>3</v>
      </c>
      <c r="F4965" s="2" t="s">
        <v>10086</v>
      </c>
      <c r="H4965" s="2">
        <v>1.5E-3</v>
      </c>
      <c r="K4965" s="2" t="s">
        <v>10088</v>
      </c>
    </row>
    <row r="4966" spans="1:11" x14ac:dyDescent="0.2">
      <c r="A4966" s="2">
        <v>1242</v>
      </c>
      <c r="B4966" s="2">
        <v>8</v>
      </c>
      <c r="C4966" s="2">
        <v>4893121</v>
      </c>
      <c r="D4966" s="2">
        <v>5566269</v>
      </c>
      <c r="E4966" s="2">
        <v>4</v>
      </c>
      <c r="F4966" s="2" t="s">
        <v>10086</v>
      </c>
      <c r="H4966" s="3">
        <v>6.9999999999999999E-4</v>
      </c>
      <c r="K4966" s="2" t="s">
        <v>10085</v>
      </c>
    </row>
    <row r="4967" spans="1:11" x14ac:dyDescent="0.2">
      <c r="A4967" s="2">
        <v>1243</v>
      </c>
      <c r="B4967" s="2">
        <v>8</v>
      </c>
      <c r="C4967" s="2">
        <v>5566270</v>
      </c>
      <c r="D4967" s="2">
        <v>6019163</v>
      </c>
      <c r="E4967" s="2">
        <v>1</v>
      </c>
      <c r="F4967" s="2" t="s">
        <v>10086</v>
      </c>
      <c r="H4967" s="2">
        <v>2.2000000000000001E-3</v>
      </c>
      <c r="K4967" s="2" t="s">
        <v>10085</v>
      </c>
    </row>
    <row r="4968" spans="1:11" x14ac:dyDescent="0.2">
      <c r="A4968" s="2">
        <v>1243</v>
      </c>
      <c r="B4968" s="2">
        <v>8</v>
      </c>
      <c r="C4968" s="2">
        <v>5566270</v>
      </c>
      <c r="D4968" s="2">
        <v>6019163</v>
      </c>
      <c r="E4968" s="2">
        <v>2</v>
      </c>
      <c r="F4968" s="2" t="s">
        <v>10086</v>
      </c>
      <c r="H4968" s="2">
        <v>1E-3</v>
      </c>
      <c r="K4968" s="2" t="s">
        <v>10088</v>
      </c>
    </row>
    <row r="4969" spans="1:11" x14ac:dyDescent="0.2">
      <c r="A4969" s="2">
        <v>1243</v>
      </c>
      <c r="B4969" s="2">
        <v>8</v>
      </c>
      <c r="C4969" s="2">
        <v>5566270</v>
      </c>
      <c r="D4969" s="2">
        <v>6019163</v>
      </c>
      <c r="E4969" s="2">
        <v>3</v>
      </c>
      <c r="F4969" s="2" t="s">
        <v>10086</v>
      </c>
      <c r="H4969" s="3">
        <v>8.0000000000000004E-4</v>
      </c>
      <c r="K4969" s="2" t="s">
        <v>10087</v>
      </c>
    </row>
    <row r="4970" spans="1:11" x14ac:dyDescent="0.2">
      <c r="A4970" s="2">
        <v>1243</v>
      </c>
      <c r="B4970" s="2">
        <v>8</v>
      </c>
      <c r="C4970" s="2">
        <v>5566270</v>
      </c>
      <c r="D4970" s="2">
        <v>6019163</v>
      </c>
      <c r="E4970" s="2">
        <v>4</v>
      </c>
      <c r="F4970" s="2" t="s">
        <v>10086</v>
      </c>
      <c r="H4970" s="3">
        <v>5.9999999999999995E-4</v>
      </c>
      <c r="K4970" s="2" t="s">
        <v>10089</v>
      </c>
    </row>
    <row r="4971" spans="1:11" x14ac:dyDescent="0.2">
      <c r="A4971" s="2">
        <v>1244</v>
      </c>
      <c r="B4971" s="2">
        <v>8</v>
      </c>
      <c r="C4971" s="2">
        <v>6019164</v>
      </c>
      <c r="D4971" s="2">
        <v>6663427</v>
      </c>
      <c r="E4971" s="2">
        <v>1</v>
      </c>
      <c r="F4971" s="2" t="s">
        <v>10086</v>
      </c>
      <c r="H4971" s="2">
        <v>3.0000000000000001E-3</v>
      </c>
      <c r="K4971" s="2" t="s">
        <v>10088</v>
      </c>
    </row>
    <row r="4972" spans="1:11" x14ac:dyDescent="0.2">
      <c r="A4972" s="2">
        <v>1244</v>
      </c>
      <c r="B4972" s="2">
        <v>8</v>
      </c>
      <c r="C4972" s="2">
        <v>6019164</v>
      </c>
      <c r="D4972" s="2">
        <v>6663427</v>
      </c>
      <c r="E4972" s="2">
        <v>2</v>
      </c>
      <c r="F4972" s="2" t="s">
        <v>10086</v>
      </c>
      <c r="H4972" s="2">
        <v>1.1999999999999999E-3</v>
      </c>
      <c r="K4972" s="2" t="s">
        <v>10085</v>
      </c>
    </row>
    <row r="4973" spans="1:11" x14ac:dyDescent="0.2">
      <c r="A4973" s="2">
        <v>1244</v>
      </c>
      <c r="B4973" s="2">
        <v>8</v>
      </c>
      <c r="C4973" s="2">
        <v>6019164</v>
      </c>
      <c r="D4973" s="2">
        <v>6663427</v>
      </c>
      <c r="E4973" s="2">
        <v>3</v>
      </c>
      <c r="F4973" s="2" t="s">
        <v>10086</v>
      </c>
      <c r="H4973" s="2">
        <v>1.6999999999999999E-3</v>
      </c>
      <c r="K4973" s="2" t="s">
        <v>10089</v>
      </c>
    </row>
    <row r="4974" spans="1:11" x14ac:dyDescent="0.2">
      <c r="A4974" s="2">
        <v>1244</v>
      </c>
      <c r="B4974" s="2">
        <v>8</v>
      </c>
      <c r="C4974" s="2">
        <v>6019164</v>
      </c>
      <c r="D4974" s="2">
        <v>6663427</v>
      </c>
      <c r="E4974" s="2">
        <v>4</v>
      </c>
      <c r="F4974" s="2" t="s">
        <v>10086</v>
      </c>
      <c r="H4974" s="3">
        <v>5.0000000000000001E-4</v>
      </c>
      <c r="K4974" s="2" t="s">
        <v>10087</v>
      </c>
    </row>
    <row r="4975" spans="1:11" x14ac:dyDescent="0.2">
      <c r="A4975" s="2">
        <v>1245</v>
      </c>
      <c r="B4975" s="2">
        <v>8</v>
      </c>
      <c r="C4975" s="2">
        <v>6663428</v>
      </c>
      <c r="D4975" s="2">
        <v>8064600</v>
      </c>
      <c r="E4975" s="2">
        <v>1</v>
      </c>
      <c r="F4975" s="2" t="s">
        <v>10086</v>
      </c>
      <c r="H4975" s="2">
        <v>1.1999999999999999E-3</v>
      </c>
      <c r="K4975" s="2" t="s">
        <v>10089</v>
      </c>
    </row>
    <row r="4976" spans="1:11" x14ac:dyDescent="0.2">
      <c r="A4976" s="2">
        <v>1245</v>
      </c>
      <c r="B4976" s="2">
        <v>8</v>
      </c>
      <c r="C4976" s="2">
        <v>6663428</v>
      </c>
      <c r="D4976" s="2">
        <v>8064600</v>
      </c>
      <c r="E4976" s="2">
        <v>2</v>
      </c>
      <c r="F4976" s="2" t="s">
        <v>10086</v>
      </c>
      <c r="H4976" s="2">
        <v>1.1000000000000001E-3</v>
      </c>
      <c r="K4976" s="2" t="s">
        <v>10087</v>
      </c>
    </row>
    <row r="4977" spans="1:11" x14ac:dyDescent="0.2">
      <c r="A4977" s="2">
        <v>1245</v>
      </c>
      <c r="B4977" s="2">
        <v>8</v>
      </c>
      <c r="C4977" s="2">
        <v>6663428</v>
      </c>
      <c r="D4977" s="2">
        <v>8064600</v>
      </c>
      <c r="E4977" s="2">
        <v>3</v>
      </c>
      <c r="F4977" s="2" t="s">
        <v>10086</v>
      </c>
      <c r="H4977" s="3">
        <v>8.0000000000000004E-4</v>
      </c>
      <c r="K4977" s="2" t="s">
        <v>10085</v>
      </c>
    </row>
    <row r="4978" spans="1:11" x14ac:dyDescent="0.2">
      <c r="A4978" s="2">
        <v>1245</v>
      </c>
      <c r="B4978" s="2">
        <v>8</v>
      </c>
      <c r="C4978" s="2">
        <v>6663428</v>
      </c>
      <c r="D4978" s="2">
        <v>8064600</v>
      </c>
      <c r="E4978" s="2">
        <v>4</v>
      </c>
      <c r="F4978" s="2" t="s">
        <v>10086</v>
      </c>
      <c r="H4978" s="3">
        <v>2.9999999999999997E-4</v>
      </c>
      <c r="K4978" s="2" t="s">
        <v>10088</v>
      </c>
    </row>
    <row r="4979" spans="1:11" x14ac:dyDescent="0.2">
      <c r="A4979" s="2">
        <v>1246</v>
      </c>
      <c r="B4979" s="2">
        <v>8</v>
      </c>
      <c r="C4979" s="2">
        <v>8064601</v>
      </c>
      <c r="D4979" s="2">
        <v>8589770</v>
      </c>
      <c r="E4979" s="2">
        <v>1</v>
      </c>
      <c r="F4979" s="2" t="s">
        <v>10086</v>
      </c>
      <c r="H4979" s="2">
        <v>3.2000000000000002E-3</v>
      </c>
      <c r="K4979" s="2" t="s">
        <v>10085</v>
      </c>
    </row>
    <row r="4980" spans="1:11" x14ac:dyDescent="0.2">
      <c r="A4980" s="2">
        <v>1246</v>
      </c>
      <c r="B4980" s="2">
        <v>8</v>
      </c>
      <c r="C4980" s="2">
        <v>8064601</v>
      </c>
      <c r="D4980" s="2">
        <v>8589770</v>
      </c>
      <c r="E4980" s="2">
        <v>2</v>
      </c>
      <c r="F4980" s="2" t="s">
        <v>10086</v>
      </c>
      <c r="H4980" s="2">
        <v>1.5E-3</v>
      </c>
      <c r="K4980" s="2" t="s">
        <v>10088</v>
      </c>
    </row>
    <row r="4981" spans="1:11" x14ac:dyDescent="0.2">
      <c r="A4981" s="2">
        <v>1246</v>
      </c>
      <c r="B4981" s="2">
        <v>8</v>
      </c>
      <c r="C4981" s="2">
        <v>8064601</v>
      </c>
      <c r="D4981" s="2">
        <v>8589770</v>
      </c>
      <c r="E4981" s="2">
        <v>3</v>
      </c>
      <c r="F4981" s="2" t="s">
        <v>10086</v>
      </c>
      <c r="H4981" s="2">
        <v>1E-3</v>
      </c>
      <c r="K4981" s="2" t="s">
        <v>10087</v>
      </c>
    </row>
    <row r="4982" spans="1:11" x14ac:dyDescent="0.2">
      <c r="A4982" s="2">
        <v>1246</v>
      </c>
      <c r="B4982" s="2">
        <v>8</v>
      </c>
      <c r="C4982" s="2">
        <v>8064601</v>
      </c>
      <c r="D4982" s="2">
        <v>8589770</v>
      </c>
      <c r="E4982" s="2">
        <v>4</v>
      </c>
      <c r="F4982" s="2" t="s">
        <v>10086</v>
      </c>
      <c r="H4982" s="3">
        <v>2.9999999999999997E-4</v>
      </c>
      <c r="K4982" s="2" t="s">
        <v>10089</v>
      </c>
    </row>
    <row r="4983" spans="1:11" x14ac:dyDescent="0.2">
      <c r="A4983" s="2">
        <v>1247</v>
      </c>
      <c r="B4983" s="2">
        <v>8</v>
      </c>
      <c r="C4983" s="2">
        <v>8589771</v>
      </c>
      <c r="D4983" s="2">
        <v>9167795</v>
      </c>
      <c r="E4983" s="2">
        <v>1</v>
      </c>
      <c r="F4983" s="2" t="s">
        <v>10086</v>
      </c>
      <c r="H4983" s="2">
        <v>1.8E-3</v>
      </c>
      <c r="K4983" s="2" t="s">
        <v>10085</v>
      </c>
    </row>
    <row r="4984" spans="1:11" x14ac:dyDescent="0.2">
      <c r="A4984" s="2">
        <v>1247</v>
      </c>
      <c r="B4984" s="2">
        <v>8</v>
      </c>
      <c r="C4984" s="2">
        <v>8589771</v>
      </c>
      <c r="D4984" s="2">
        <v>9167795</v>
      </c>
      <c r="E4984" s="2">
        <v>2</v>
      </c>
      <c r="F4984" s="2" t="s">
        <v>10086</v>
      </c>
      <c r="H4984" s="2">
        <v>2.5000000000000001E-3</v>
      </c>
      <c r="K4984" s="2" t="s">
        <v>10087</v>
      </c>
    </row>
    <row r="4985" spans="1:11" x14ac:dyDescent="0.2">
      <c r="A4985" s="2">
        <v>1247</v>
      </c>
      <c r="B4985" s="2">
        <v>8</v>
      </c>
      <c r="C4985" s="2">
        <v>8589771</v>
      </c>
      <c r="D4985" s="2">
        <v>9167795</v>
      </c>
      <c r="E4985" s="2">
        <v>3</v>
      </c>
      <c r="F4985" s="2" t="s">
        <v>10086</v>
      </c>
      <c r="H4985" s="3">
        <v>5.9999999999999995E-4</v>
      </c>
      <c r="K4985" s="2" t="s">
        <v>10089</v>
      </c>
    </row>
    <row r="4986" spans="1:11" x14ac:dyDescent="0.2">
      <c r="A4986" s="2">
        <v>1247</v>
      </c>
      <c r="B4986" s="2">
        <v>8</v>
      </c>
      <c r="C4986" s="2">
        <v>8589771</v>
      </c>
      <c r="D4986" s="2">
        <v>9167795</v>
      </c>
      <c r="E4986" s="2">
        <v>4</v>
      </c>
      <c r="F4986" s="2" t="s">
        <v>10086</v>
      </c>
      <c r="H4986" s="3">
        <v>2.9999999999999997E-4</v>
      </c>
      <c r="K4986" s="2" t="s">
        <v>10088</v>
      </c>
    </row>
    <row r="4987" spans="1:11" x14ac:dyDescent="0.2">
      <c r="A4987" s="2">
        <v>1248</v>
      </c>
      <c r="B4987" s="2">
        <v>8</v>
      </c>
      <c r="C4987" s="2">
        <v>9167796</v>
      </c>
      <c r="D4987" s="2">
        <v>9835863</v>
      </c>
      <c r="E4987" s="2">
        <v>1</v>
      </c>
      <c r="F4987" s="2" t="s">
        <v>10086</v>
      </c>
      <c r="H4987" s="2">
        <v>1.4E-3</v>
      </c>
      <c r="K4987" s="2" t="s">
        <v>10085</v>
      </c>
    </row>
    <row r="4988" spans="1:11" x14ac:dyDescent="0.2">
      <c r="A4988" s="2">
        <v>1248</v>
      </c>
      <c r="B4988" s="2">
        <v>8</v>
      </c>
      <c r="C4988" s="2">
        <v>9167796</v>
      </c>
      <c r="D4988" s="2">
        <v>9835863</v>
      </c>
      <c r="E4988" s="2">
        <v>2</v>
      </c>
      <c r="F4988" s="2" t="s">
        <v>10086</v>
      </c>
      <c r="H4988" s="2">
        <v>1.1000000000000001E-3</v>
      </c>
      <c r="K4988" s="2" t="s">
        <v>10089</v>
      </c>
    </row>
    <row r="4989" spans="1:11" x14ac:dyDescent="0.2">
      <c r="A4989" s="2">
        <v>1248</v>
      </c>
      <c r="B4989" s="2">
        <v>8</v>
      </c>
      <c r="C4989" s="2">
        <v>9167796</v>
      </c>
      <c r="D4989" s="2">
        <v>9835863</v>
      </c>
      <c r="E4989" s="2">
        <v>3</v>
      </c>
      <c r="F4989" s="2" t="s">
        <v>10086</v>
      </c>
      <c r="H4989" s="3">
        <v>5.9999999999999995E-4</v>
      </c>
      <c r="K4989" s="2" t="s">
        <v>10087</v>
      </c>
    </row>
    <row r="4990" spans="1:11" x14ac:dyDescent="0.2">
      <c r="A4990" s="2">
        <v>1248</v>
      </c>
      <c r="B4990" s="2">
        <v>8</v>
      </c>
      <c r="C4990" s="2">
        <v>9167796</v>
      </c>
      <c r="D4990" s="2">
        <v>9835863</v>
      </c>
      <c r="E4990" s="2">
        <v>4</v>
      </c>
      <c r="F4990" s="2" t="s">
        <v>10086</v>
      </c>
      <c r="H4990" s="3">
        <v>2.9999999999999997E-4</v>
      </c>
      <c r="K4990" s="2" t="s">
        <v>10088</v>
      </c>
    </row>
    <row r="4991" spans="1:11" x14ac:dyDescent="0.2">
      <c r="A4991" s="2">
        <v>1249</v>
      </c>
      <c r="B4991" s="2">
        <v>8</v>
      </c>
      <c r="C4991" s="2">
        <v>9835864</v>
      </c>
      <c r="D4991" s="2">
        <v>10478851</v>
      </c>
      <c r="E4991" s="2">
        <v>1</v>
      </c>
      <c r="F4991" s="2" t="s">
        <v>10086</v>
      </c>
      <c r="H4991" s="2">
        <v>1.5E-3</v>
      </c>
      <c r="K4991" s="2" t="s">
        <v>10089</v>
      </c>
    </row>
    <row r="4992" spans="1:11" x14ac:dyDescent="0.2">
      <c r="A4992" s="2">
        <v>1249</v>
      </c>
      <c r="B4992" s="2">
        <v>8</v>
      </c>
      <c r="C4992" s="2">
        <v>9835864</v>
      </c>
      <c r="D4992" s="2">
        <v>10478851</v>
      </c>
      <c r="E4992" s="2">
        <v>2</v>
      </c>
      <c r="F4992" s="2" t="s">
        <v>10086</v>
      </c>
      <c r="H4992" s="2">
        <v>1.1000000000000001E-3</v>
      </c>
      <c r="K4992" s="2" t="s">
        <v>10085</v>
      </c>
    </row>
    <row r="4993" spans="1:11" x14ac:dyDescent="0.2">
      <c r="A4993" s="2">
        <v>1249</v>
      </c>
      <c r="B4993" s="2">
        <v>8</v>
      </c>
      <c r="C4993" s="2">
        <v>9835864</v>
      </c>
      <c r="D4993" s="2">
        <v>10478851</v>
      </c>
      <c r="E4993" s="2">
        <v>3</v>
      </c>
      <c r="F4993" s="2" t="s">
        <v>10086</v>
      </c>
      <c r="H4993" s="3">
        <v>8.0000000000000004E-4</v>
      </c>
      <c r="K4993" s="2" t="s">
        <v>10087</v>
      </c>
    </row>
    <row r="4994" spans="1:11" x14ac:dyDescent="0.2">
      <c r="A4994" s="2">
        <v>1249</v>
      </c>
      <c r="B4994" s="2">
        <v>8</v>
      </c>
      <c r="C4994" s="2">
        <v>9835864</v>
      </c>
      <c r="D4994" s="2">
        <v>10478851</v>
      </c>
      <c r="E4994" s="2">
        <v>4</v>
      </c>
      <c r="F4994" s="2" t="s">
        <v>10086</v>
      </c>
      <c r="H4994" s="3">
        <v>5.0000000000000001E-4</v>
      </c>
      <c r="K4994" s="2" t="s">
        <v>12324</v>
      </c>
    </row>
    <row r="4995" spans="1:11" x14ac:dyDescent="0.2">
      <c r="A4995" s="2">
        <v>1250</v>
      </c>
      <c r="B4995" s="2">
        <v>8</v>
      </c>
      <c r="C4995" s="2">
        <v>10478852</v>
      </c>
      <c r="D4995" s="2">
        <v>11466761</v>
      </c>
      <c r="E4995" s="2">
        <v>1</v>
      </c>
      <c r="F4995" s="2" t="s">
        <v>10086</v>
      </c>
      <c r="H4995" s="2">
        <v>5.0000000000000001E-3</v>
      </c>
      <c r="K4995" s="2" t="s">
        <v>10085</v>
      </c>
    </row>
    <row r="4996" spans="1:11" x14ac:dyDescent="0.2">
      <c r="A4996" s="2">
        <v>1250</v>
      </c>
      <c r="B4996" s="2">
        <v>8</v>
      </c>
      <c r="C4996" s="2">
        <v>10478852</v>
      </c>
      <c r="D4996" s="2">
        <v>11466761</v>
      </c>
      <c r="E4996" s="2">
        <v>2</v>
      </c>
      <c r="F4996" s="2" t="s">
        <v>10086</v>
      </c>
      <c r="H4996" s="2">
        <v>1.4E-3</v>
      </c>
      <c r="K4996" s="2" t="s">
        <v>10088</v>
      </c>
    </row>
    <row r="4997" spans="1:11" x14ac:dyDescent="0.2">
      <c r="A4997" s="2">
        <v>1250</v>
      </c>
      <c r="B4997" s="2">
        <v>8</v>
      </c>
      <c r="C4997" s="2">
        <v>10478852</v>
      </c>
      <c r="D4997" s="2">
        <v>11466761</v>
      </c>
      <c r="E4997" s="2">
        <v>3</v>
      </c>
      <c r="F4997" s="2" t="s">
        <v>10086</v>
      </c>
      <c r="H4997" s="2">
        <v>1.4E-3</v>
      </c>
      <c r="K4997" s="2" t="s">
        <v>10089</v>
      </c>
    </row>
    <row r="4998" spans="1:11" x14ac:dyDescent="0.2">
      <c r="A4998" s="2">
        <v>1250</v>
      </c>
      <c r="B4998" s="2">
        <v>8</v>
      </c>
      <c r="C4998" s="2">
        <v>10478852</v>
      </c>
      <c r="D4998" s="2">
        <v>11466761</v>
      </c>
      <c r="E4998" s="2">
        <v>4</v>
      </c>
      <c r="F4998" s="2" t="s">
        <v>10086</v>
      </c>
      <c r="H4998" s="3">
        <v>5.9999999999999995E-4</v>
      </c>
      <c r="K4998" s="2" t="s">
        <v>10087</v>
      </c>
    </row>
    <row r="4999" spans="1:11" x14ac:dyDescent="0.2">
      <c r="A4999" s="2">
        <v>1251</v>
      </c>
      <c r="B4999" s="2">
        <v>8</v>
      </c>
      <c r="C4999" s="2">
        <v>11466762</v>
      </c>
      <c r="D4999" s="2">
        <v>12296849</v>
      </c>
      <c r="E4999" s="2">
        <v>1</v>
      </c>
      <c r="F4999" s="2" t="s">
        <v>10086</v>
      </c>
      <c r="H4999" s="2">
        <v>1.2999999999999999E-3</v>
      </c>
      <c r="K4999" s="2" t="s">
        <v>10085</v>
      </c>
    </row>
    <row r="5000" spans="1:11" x14ac:dyDescent="0.2">
      <c r="A5000" s="2">
        <v>1251</v>
      </c>
      <c r="B5000" s="2">
        <v>8</v>
      </c>
      <c r="C5000" s="2">
        <v>11466762</v>
      </c>
      <c r="D5000" s="2">
        <v>12296849</v>
      </c>
      <c r="E5000" s="2">
        <v>2</v>
      </c>
      <c r="F5000" s="2" t="s">
        <v>10086</v>
      </c>
      <c r="H5000" s="3">
        <v>5.0000000000000001E-4</v>
      </c>
      <c r="K5000" s="2" t="s">
        <v>10088</v>
      </c>
    </row>
    <row r="5001" spans="1:11" x14ac:dyDescent="0.2">
      <c r="A5001" s="2">
        <v>1251</v>
      </c>
      <c r="B5001" s="2">
        <v>8</v>
      </c>
      <c r="C5001" s="2">
        <v>11466762</v>
      </c>
      <c r="D5001" s="2">
        <v>12296849</v>
      </c>
      <c r="E5001" s="2">
        <v>3</v>
      </c>
      <c r="F5001" s="2" t="s">
        <v>10086</v>
      </c>
      <c r="H5001" s="3">
        <v>5.0000000000000001E-4</v>
      </c>
      <c r="K5001" s="2" t="s">
        <v>12324</v>
      </c>
    </row>
    <row r="5002" spans="1:11" x14ac:dyDescent="0.2">
      <c r="A5002" s="2">
        <v>1251</v>
      </c>
      <c r="B5002" s="2">
        <v>8</v>
      </c>
      <c r="C5002" s="2">
        <v>11466762</v>
      </c>
      <c r="D5002" s="2">
        <v>12296849</v>
      </c>
      <c r="E5002" s="2">
        <v>4</v>
      </c>
      <c r="F5002" s="2" t="s">
        <v>10086</v>
      </c>
      <c r="H5002" s="3">
        <v>4.0000000000000002E-4</v>
      </c>
      <c r="K5002" s="2" t="s">
        <v>10089</v>
      </c>
    </row>
    <row r="5003" spans="1:11" x14ac:dyDescent="0.2">
      <c r="A5003" s="2">
        <v>1252</v>
      </c>
      <c r="B5003" s="2">
        <v>8</v>
      </c>
      <c r="C5003" s="2">
        <v>12296850</v>
      </c>
      <c r="D5003" s="2">
        <v>12947935</v>
      </c>
      <c r="E5003" s="2">
        <v>1</v>
      </c>
      <c r="F5003" s="2" t="s">
        <v>10086</v>
      </c>
      <c r="H5003" s="2">
        <v>1.5E-3</v>
      </c>
      <c r="K5003" s="2" t="s">
        <v>10087</v>
      </c>
    </row>
    <row r="5004" spans="1:11" x14ac:dyDescent="0.2">
      <c r="A5004" s="2">
        <v>1252</v>
      </c>
      <c r="B5004" s="2">
        <v>8</v>
      </c>
      <c r="C5004" s="2">
        <v>12296850</v>
      </c>
      <c r="D5004" s="2">
        <v>12947935</v>
      </c>
      <c r="E5004" s="2">
        <v>2</v>
      </c>
      <c r="F5004" s="2" t="s">
        <v>10086</v>
      </c>
      <c r="H5004" s="2">
        <v>1.1999999999999999E-3</v>
      </c>
      <c r="K5004" s="2" t="s">
        <v>10085</v>
      </c>
    </row>
    <row r="5005" spans="1:11" x14ac:dyDescent="0.2">
      <c r="A5005" s="2">
        <v>1252</v>
      </c>
      <c r="B5005" s="2">
        <v>8</v>
      </c>
      <c r="C5005" s="2">
        <v>12296850</v>
      </c>
      <c r="D5005" s="2">
        <v>12947935</v>
      </c>
      <c r="E5005" s="2">
        <v>3</v>
      </c>
      <c r="F5005" s="2" t="s">
        <v>10086</v>
      </c>
      <c r="H5005" s="2">
        <v>1.1000000000000001E-3</v>
      </c>
      <c r="K5005" s="2" t="s">
        <v>10088</v>
      </c>
    </row>
    <row r="5006" spans="1:11" x14ac:dyDescent="0.2">
      <c r="A5006" s="2">
        <v>1252</v>
      </c>
      <c r="B5006" s="2">
        <v>8</v>
      </c>
      <c r="C5006" s="2">
        <v>12296850</v>
      </c>
      <c r="D5006" s="2">
        <v>12947935</v>
      </c>
      <c r="E5006" s="2">
        <v>4</v>
      </c>
      <c r="F5006" s="2" t="s">
        <v>10086</v>
      </c>
      <c r="H5006" s="3">
        <v>5.0000000000000001E-4</v>
      </c>
      <c r="K5006" s="2" t="s">
        <v>12324</v>
      </c>
    </row>
    <row r="5007" spans="1:11" x14ac:dyDescent="0.2">
      <c r="A5007" s="2">
        <v>1253</v>
      </c>
      <c r="B5007" s="2">
        <v>8</v>
      </c>
      <c r="C5007" s="2">
        <v>12947936</v>
      </c>
      <c r="D5007" s="2">
        <v>13395051</v>
      </c>
      <c r="E5007" s="2">
        <v>1</v>
      </c>
      <c r="F5007" s="2" t="s">
        <v>10086</v>
      </c>
      <c r="H5007" s="2">
        <v>2.7000000000000001E-3</v>
      </c>
      <c r="K5007" s="2" t="s">
        <v>10089</v>
      </c>
    </row>
    <row r="5008" spans="1:11" x14ac:dyDescent="0.2">
      <c r="A5008" s="2">
        <v>1253</v>
      </c>
      <c r="B5008" s="2">
        <v>8</v>
      </c>
      <c r="C5008" s="2">
        <v>12947936</v>
      </c>
      <c r="D5008" s="2">
        <v>13395051</v>
      </c>
      <c r="E5008" s="2">
        <v>2</v>
      </c>
      <c r="F5008" s="2" t="s">
        <v>10086</v>
      </c>
      <c r="H5008" s="2">
        <v>3.2000000000000002E-3</v>
      </c>
      <c r="K5008" s="2" t="s">
        <v>10085</v>
      </c>
    </row>
    <row r="5009" spans="1:11" x14ac:dyDescent="0.2">
      <c r="A5009" s="2">
        <v>1253</v>
      </c>
      <c r="B5009" s="2">
        <v>8</v>
      </c>
      <c r="C5009" s="2">
        <v>12947936</v>
      </c>
      <c r="D5009" s="2">
        <v>13395051</v>
      </c>
      <c r="E5009" s="2">
        <v>3</v>
      </c>
      <c r="F5009" s="2" t="s">
        <v>10086</v>
      </c>
      <c r="H5009" s="2">
        <v>2.2000000000000001E-3</v>
      </c>
      <c r="K5009" s="2" t="s">
        <v>12324</v>
      </c>
    </row>
    <row r="5010" spans="1:11" x14ac:dyDescent="0.2">
      <c r="A5010" s="2">
        <v>1253</v>
      </c>
      <c r="B5010" s="2">
        <v>8</v>
      </c>
      <c r="C5010" s="2">
        <v>12947936</v>
      </c>
      <c r="D5010" s="2">
        <v>13395051</v>
      </c>
      <c r="E5010" s="2">
        <v>4</v>
      </c>
      <c r="F5010" s="2" t="s">
        <v>10086</v>
      </c>
      <c r="H5010" s="2">
        <v>1.6000000000000001E-3</v>
      </c>
      <c r="K5010" s="2" t="s">
        <v>10087</v>
      </c>
    </row>
    <row r="5011" spans="1:11" x14ac:dyDescent="0.2">
      <c r="A5011" s="2">
        <v>1254</v>
      </c>
      <c r="B5011" s="2">
        <v>8</v>
      </c>
      <c r="C5011" s="2">
        <v>13395052</v>
      </c>
      <c r="D5011" s="2">
        <v>13948095</v>
      </c>
      <c r="E5011" s="2">
        <v>1</v>
      </c>
      <c r="F5011" s="2" t="s">
        <v>10086</v>
      </c>
      <c r="H5011" s="2">
        <v>2.8999999999999998E-3</v>
      </c>
      <c r="K5011" s="2" t="s">
        <v>10088</v>
      </c>
    </row>
    <row r="5012" spans="1:11" x14ac:dyDescent="0.2">
      <c r="A5012" s="2">
        <v>1254</v>
      </c>
      <c r="B5012" s="2">
        <v>8</v>
      </c>
      <c r="C5012" s="2">
        <v>13395052</v>
      </c>
      <c r="D5012" s="2">
        <v>13948095</v>
      </c>
      <c r="E5012" s="2">
        <v>2</v>
      </c>
      <c r="F5012" s="2" t="s">
        <v>10086</v>
      </c>
      <c r="H5012" s="2">
        <v>1.1999999999999999E-3</v>
      </c>
      <c r="K5012" s="2" t="s">
        <v>10085</v>
      </c>
    </row>
    <row r="5013" spans="1:11" x14ac:dyDescent="0.2">
      <c r="A5013" s="2">
        <v>1254</v>
      </c>
      <c r="B5013" s="2">
        <v>8</v>
      </c>
      <c r="C5013" s="2">
        <v>13395052</v>
      </c>
      <c r="D5013" s="2">
        <v>13948095</v>
      </c>
      <c r="E5013" s="2">
        <v>3</v>
      </c>
      <c r="F5013" s="2" t="s">
        <v>10086</v>
      </c>
      <c r="H5013" s="3">
        <v>8.9999999999999998E-4</v>
      </c>
      <c r="K5013" s="2" t="s">
        <v>10087</v>
      </c>
    </row>
    <row r="5014" spans="1:11" x14ac:dyDescent="0.2">
      <c r="A5014" s="2">
        <v>1254</v>
      </c>
      <c r="B5014" s="2">
        <v>8</v>
      </c>
      <c r="C5014" s="2">
        <v>13395052</v>
      </c>
      <c r="D5014" s="2">
        <v>13948095</v>
      </c>
      <c r="E5014" s="2">
        <v>4</v>
      </c>
      <c r="F5014" s="2" t="s">
        <v>10086</v>
      </c>
      <c r="H5014" s="3">
        <v>4.0000000000000002E-4</v>
      </c>
      <c r="K5014" s="2" t="s">
        <v>10089</v>
      </c>
    </row>
    <row r="5015" spans="1:11" x14ac:dyDescent="0.2">
      <c r="A5015" s="2">
        <v>1255</v>
      </c>
      <c r="B5015" s="2">
        <v>8</v>
      </c>
      <c r="C5015" s="2">
        <v>13948096</v>
      </c>
      <c r="D5015" s="2">
        <v>14389305</v>
      </c>
      <c r="E5015" s="2">
        <v>1</v>
      </c>
      <c r="F5015" s="2" t="s">
        <v>10086</v>
      </c>
      <c r="H5015" s="2">
        <v>1.9E-3</v>
      </c>
      <c r="K5015" s="2" t="s">
        <v>10088</v>
      </c>
    </row>
    <row r="5016" spans="1:11" x14ac:dyDescent="0.2">
      <c r="A5016" s="2">
        <v>1255</v>
      </c>
      <c r="B5016" s="2">
        <v>8</v>
      </c>
      <c r="C5016" s="2">
        <v>13948096</v>
      </c>
      <c r="D5016" s="2">
        <v>14389305</v>
      </c>
      <c r="E5016" s="2">
        <v>2</v>
      </c>
      <c r="F5016" s="2" t="s">
        <v>10086</v>
      </c>
      <c r="H5016" s="3">
        <v>8.0000000000000004E-4</v>
      </c>
      <c r="K5016" s="2" t="s">
        <v>10085</v>
      </c>
    </row>
    <row r="5017" spans="1:11" x14ac:dyDescent="0.2">
      <c r="A5017" s="2">
        <v>1255</v>
      </c>
      <c r="B5017" s="2">
        <v>8</v>
      </c>
      <c r="C5017" s="2">
        <v>13948096</v>
      </c>
      <c r="D5017" s="2">
        <v>14389305</v>
      </c>
      <c r="E5017" s="2">
        <v>3</v>
      </c>
      <c r="F5017" s="2" t="s">
        <v>10086</v>
      </c>
      <c r="H5017" s="3">
        <v>5.9999999999999995E-4</v>
      </c>
      <c r="K5017" s="2" t="s">
        <v>10087</v>
      </c>
    </row>
    <row r="5018" spans="1:11" x14ac:dyDescent="0.2">
      <c r="A5018" s="2">
        <v>1255</v>
      </c>
      <c r="B5018" s="2">
        <v>8</v>
      </c>
      <c r="C5018" s="2">
        <v>13948096</v>
      </c>
      <c r="D5018" s="2">
        <v>14389305</v>
      </c>
      <c r="E5018" s="2">
        <v>4</v>
      </c>
      <c r="F5018" s="2" t="s">
        <v>10086</v>
      </c>
      <c r="H5018" s="3">
        <v>2.0000000000000001E-4</v>
      </c>
      <c r="K5018" s="2" t="s">
        <v>10089</v>
      </c>
    </row>
    <row r="5019" spans="1:11" x14ac:dyDescent="0.2">
      <c r="A5019" s="2">
        <v>1256</v>
      </c>
      <c r="B5019" s="2">
        <v>8</v>
      </c>
      <c r="C5019" s="2">
        <v>14389306</v>
      </c>
      <c r="D5019" s="2">
        <v>14872767</v>
      </c>
      <c r="E5019" s="2">
        <v>1</v>
      </c>
      <c r="F5019" s="2" t="s">
        <v>10086</v>
      </c>
      <c r="H5019" s="2">
        <v>8.3999999999999995E-3</v>
      </c>
      <c r="K5019" s="2" t="s">
        <v>10085</v>
      </c>
    </row>
    <row r="5020" spans="1:11" x14ac:dyDescent="0.2">
      <c r="A5020" s="2">
        <v>1256</v>
      </c>
      <c r="B5020" s="2">
        <v>8</v>
      </c>
      <c r="C5020" s="2">
        <v>14389306</v>
      </c>
      <c r="D5020" s="2">
        <v>14872767</v>
      </c>
      <c r="E5020" s="2">
        <v>2</v>
      </c>
      <c r="F5020" s="2" t="s">
        <v>10086</v>
      </c>
      <c r="H5020" s="2">
        <v>1.8E-3</v>
      </c>
      <c r="K5020" s="2" t="s">
        <v>10088</v>
      </c>
    </row>
    <row r="5021" spans="1:11" x14ac:dyDescent="0.2">
      <c r="A5021" s="2">
        <v>1256</v>
      </c>
      <c r="B5021" s="2">
        <v>8</v>
      </c>
      <c r="C5021" s="2">
        <v>14389306</v>
      </c>
      <c r="D5021" s="2">
        <v>14872767</v>
      </c>
      <c r="E5021" s="2">
        <v>3</v>
      </c>
      <c r="F5021" s="2" t="s">
        <v>10086</v>
      </c>
      <c r="H5021" s="2">
        <v>1.1000000000000001E-3</v>
      </c>
      <c r="K5021" s="2" t="s">
        <v>10087</v>
      </c>
    </row>
    <row r="5022" spans="1:11" x14ac:dyDescent="0.2">
      <c r="A5022" s="2">
        <v>1256</v>
      </c>
      <c r="B5022" s="2">
        <v>8</v>
      </c>
      <c r="C5022" s="2">
        <v>14389306</v>
      </c>
      <c r="D5022" s="2">
        <v>14872767</v>
      </c>
      <c r="E5022" s="2">
        <v>4</v>
      </c>
      <c r="F5022" s="2" t="s">
        <v>10086</v>
      </c>
      <c r="H5022" s="3">
        <v>2.9999999999999997E-4</v>
      </c>
      <c r="K5022" s="2" t="s">
        <v>10089</v>
      </c>
    </row>
    <row r="5023" spans="1:11" x14ac:dyDescent="0.2">
      <c r="A5023" s="2">
        <v>1257</v>
      </c>
      <c r="B5023" s="2">
        <v>8</v>
      </c>
      <c r="C5023" s="2">
        <v>14872768</v>
      </c>
      <c r="D5023" s="2">
        <v>15359692</v>
      </c>
      <c r="E5023" s="2">
        <v>1</v>
      </c>
      <c r="F5023" s="2" t="s">
        <v>10086</v>
      </c>
      <c r="H5023" s="2">
        <v>4.0000000000000001E-3</v>
      </c>
      <c r="K5023" s="2" t="s">
        <v>10088</v>
      </c>
    </row>
    <row r="5024" spans="1:11" x14ac:dyDescent="0.2">
      <c r="A5024" s="2">
        <v>1257</v>
      </c>
      <c r="B5024" s="2">
        <v>8</v>
      </c>
      <c r="C5024" s="2">
        <v>14872768</v>
      </c>
      <c r="D5024" s="2">
        <v>15359692</v>
      </c>
      <c r="E5024" s="2">
        <v>2</v>
      </c>
      <c r="F5024" s="2" t="s">
        <v>10086</v>
      </c>
      <c r="H5024" s="3">
        <v>8.9999999999999998E-4</v>
      </c>
      <c r="K5024" s="2" t="s">
        <v>10089</v>
      </c>
    </row>
    <row r="5025" spans="1:11" x14ac:dyDescent="0.2">
      <c r="A5025" s="2">
        <v>1257</v>
      </c>
      <c r="B5025" s="2">
        <v>8</v>
      </c>
      <c r="C5025" s="2">
        <v>14872768</v>
      </c>
      <c r="D5025" s="2">
        <v>15359692</v>
      </c>
      <c r="E5025" s="2">
        <v>3</v>
      </c>
      <c r="F5025" s="2" t="s">
        <v>10086</v>
      </c>
      <c r="H5025" s="3">
        <v>6.9999999999999999E-4</v>
      </c>
      <c r="K5025" s="2" t="s">
        <v>10085</v>
      </c>
    </row>
    <row r="5026" spans="1:11" x14ac:dyDescent="0.2">
      <c r="A5026" s="2">
        <v>1257</v>
      </c>
      <c r="B5026" s="2">
        <v>8</v>
      </c>
      <c r="C5026" s="2">
        <v>14872768</v>
      </c>
      <c r="D5026" s="2">
        <v>15359692</v>
      </c>
      <c r="E5026" s="2">
        <v>4</v>
      </c>
      <c r="F5026" s="2" t="s">
        <v>10086</v>
      </c>
      <c r="H5026" s="3">
        <v>2.0000000000000001E-4</v>
      </c>
      <c r="K5026" s="2" t="s">
        <v>10087</v>
      </c>
    </row>
    <row r="5027" spans="1:11" x14ac:dyDescent="0.2">
      <c r="A5027" s="2">
        <v>1258</v>
      </c>
      <c r="B5027" s="2">
        <v>8</v>
      </c>
      <c r="C5027" s="2">
        <v>15359693</v>
      </c>
      <c r="D5027" s="2">
        <v>15999328</v>
      </c>
      <c r="E5027" s="2">
        <v>1</v>
      </c>
      <c r="F5027" s="2" t="s">
        <v>10086</v>
      </c>
      <c r="H5027" s="3">
        <v>8.9999999999999998E-4</v>
      </c>
      <c r="K5027" s="2" t="s">
        <v>10085</v>
      </c>
    </row>
    <row r="5028" spans="1:11" x14ac:dyDescent="0.2">
      <c r="A5028" s="2">
        <v>1258</v>
      </c>
      <c r="B5028" s="2">
        <v>8</v>
      </c>
      <c r="C5028" s="2">
        <v>15359693</v>
      </c>
      <c r="D5028" s="2">
        <v>15999328</v>
      </c>
      <c r="E5028" s="2">
        <v>2</v>
      </c>
      <c r="F5028" s="2" t="s">
        <v>10086</v>
      </c>
      <c r="H5028" s="2">
        <v>1.1000000000000001E-3</v>
      </c>
      <c r="K5028" s="2" t="s">
        <v>10087</v>
      </c>
    </row>
    <row r="5029" spans="1:11" x14ac:dyDescent="0.2">
      <c r="A5029" s="2">
        <v>1258</v>
      </c>
      <c r="B5029" s="2">
        <v>8</v>
      </c>
      <c r="C5029" s="2">
        <v>15359693</v>
      </c>
      <c r="D5029" s="2">
        <v>15999328</v>
      </c>
      <c r="E5029" s="2">
        <v>3</v>
      </c>
      <c r="F5029" s="2" t="s">
        <v>10086</v>
      </c>
      <c r="H5029" s="2">
        <v>1E-3</v>
      </c>
      <c r="K5029" s="2" t="s">
        <v>10089</v>
      </c>
    </row>
    <row r="5030" spans="1:11" x14ac:dyDescent="0.2">
      <c r="A5030" s="2">
        <v>1258</v>
      </c>
      <c r="B5030" s="2">
        <v>8</v>
      </c>
      <c r="C5030" s="2">
        <v>15359693</v>
      </c>
      <c r="D5030" s="2">
        <v>15999328</v>
      </c>
      <c r="E5030" s="2">
        <v>4</v>
      </c>
      <c r="F5030" s="2" t="s">
        <v>10086</v>
      </c>
      <c r="H5030" s="3">
        <v>8.0000000000000004E-4</v>
      </c>
      <c r="K5030" s="2" t="s">
        <v>10088</v>
      </c>
    </row>
    <row r="5031" spans="1:11" x14ac:dyDescent="0.2">
      <c r="A5031" s="2">
        <v>1259</v>
      </c>
      <c r="B5031" s="2">
        <v>8</v>
      </c>
      <c r="C5031" s="2">
        <v>15999329</v>
      </c>
      <c r="D5031" s="2">
        <v>16988030</v>
      </c>
      <c r="E5031" s="2">
        <v>1</v>
      </c>
      <c r="F5031" s="2" t="s">
        <v>10086</v>
      </c>
      <c r="H5031" s="2">
        <v>8.0999999999999996E-3</v>
      </c>
      <c r="K5031" s="2" t="s">
        <v>10088</v>
      </c>
    </row>
    <row r="5032" spans="1:11" x14ac:dyDescent="0.2">
      <c r="A5032" s="2">
        <v>1259</v>
      </c>
      <c r="B5032" s="2">
        <v>8</v>
      </c>
      <c r="C5032" s="2">
        <v>15999329</v>
      </c>
      <c r="D5032" s="2">
        <v>16988030</v>
      </c>
      <c r="E5032" s="2">
        <v>2</v>
      </c>
      <c r="F5032" s="2" t="s">
        <v>10086</v>
      </c>
      <c r="H5032" s="2">
        <v>1.9E-3</v>
      </c>
      <c r="K5032" s="2" t="s">
        <v>10085</v>
      </c>
    </row>
    <row r="5033" spans="1:11" x14ac:dyDescent="0.2">
      <c r="A5033" s="2">
        <v>1259</v>
      </c>
      <c r="B5033" s="2">
        <v>8</v>
      </c>
      <c r="C5033" s="2">
        <v>15999329</v>
      </c>
      <c r="D5033" s="2">
        <v>16988030</v>
      </c>
      <c r="E5033" s="2">
        <v>3</v>
      </c>
      <c r="F5033" s="2" t="s">
        <v>10086</v>
      </c>
      <c r="H5033" s="2">
        <v>1.1000000000000001E-3</v>
      </c>
      <c r="K5033" s="2" t="s">
        <v>10087</v>
      </c>
    </row>
    <row r="5034" spans="1:11" x14ac:dyDescent="0.2">
      <c r="A5034" s="2">
        <v>1259</v>
      </c>
      <c r="B5034" s="2">
        <v>8</v>
      </c>
      <c r="C5034" s="2">
        <v>15999329</v>
      </c>
      <c r="D5034" s="2">
        <v>16988030</v>
      </c>
      <c r="E5034" s="2">
        <v>4</v>
      </c>
      <c r="F5034" s="2" t="s">
        <v>10086</v>
      </c>
      <c r="H5034" s="3">
        <v>6.9999999999999999E-4</v>
      </c>
      <c r="K5034" s="2" t="s">
        <v>10089</v>
      </c>
    </row>
    <row r="5035" spans="1:11" x14ac:dyDescent="0.2">
      <c r="A5035" s="2">
        <v>1260</v>
      </c>
      <c r="B5035" s="2">
        <v>8</v>
      </c>
      <c r="C5035" s="2">
        <v>16988031</v>
      </c>
      <c r="D5035" s="2">
        <v>17492672</v>
      </c>
      <c r="E5035" s="2">
        <v>1</v>
      </c>
      <c r="F5035" s="2" t="s">
        <v>10086</v>
      </c>
      <c r="H5035" s="2">
        <v>1.5E-3</v>
      </c>
      <c r="K5035" s="2" t="s">
        <v>10087</v>
      </c>
    </row>
    <row r="5036" spans="1:11" x14ac:dyDescent="0.2">
      <c r="A5036" s="2">
        <v>1260</v>
      </c>
      <c r="B5036" s="2">
        <v>8</v>
      </c>
      <c r="C5036" s="2">
        <v>16988031</v>
      </c>
      <c r="D5036" s="2">
        <v>17492672</v>
      </c>
      <c r="E5036" s="2">
        <v>2</v>
      </c>
      <c r="F5036" s="2" t="s">
        <v>10086</v>
      </c>
      <c r="H5036" s="3">
        <v>8.9999999999999998E-4</v>
      </c>
      <c r="K5036" s="2" t="s">
        <v>10089</v>
      </c>
    </row>
    <row r="5037" spans="1:11" x14ac:dyDescent="0.2">
      <c r="A5037" s="2">
        <v>1260</v>
      </c>
      <c r="B5037" s="2">
        <v>8</v>
      </c>
      <c r="C5037" s="2">
        <v>16988031</v>
      </c>
      <c r="D5037" s="2">
        <v>17492672</v>
      </c>
      <c r="E5037" s="2">
        <v>3</v>
      </c>
      <c r="F5037" s="2" t="s">
        <v>10086</v>
      </c>
      <c r="H5037" s="3">
        <v>8.0000000000000004E-4</v>
      </c>
      <c r="K5037" s="2" t="s">
        <v>10088</v>
      </c>
    </row>
    <row r="5038" spans="1:11" x14ac:dyDescent="0.2">
      <c r="A5038" s="2">
        <v>1260</v>
      </c>
      <c r="B5038" s="2">
        <v>8</v>
      </c>
      <c r="C5038" s="2">
        <v>16988031</v>
      </c>
      <c r="D5038" s="2">
        <v>17492672</v>
      </c>
      <c r="E5038" s="2">
        <v>4</v>
      </c>
      <c r="F5038" s="2" t="s">
        <v>10086</v>
      </c>
      <c r="H5038" s="3">
        <v>2.9999999999999997E-4</v>
      </c>
      <c r="K5038" s="2" t="s">
        <v>10085</v>
      </c>
    </row>
    <row r="5039" spans="1:11" x14ac:dyDescent="0.2">
      <c r="A5039" s="2">
        <v>1261</v>
      </c>
      <c r="B5039" s="2">
        <v>8</v>
      </c>
      <c r="C5039" s="2">
        <v>17492673</v>
      </c>
      <c r="D5039" s="2">
        <v>17947004</v>
      </c>
      <c r="E5039" s="2">
        <v>1</v>
      </c>
      <c r="F5039" s="2" t="s">
        <v>10086</v>
      </c>
      <c r="H5039" s="2">
        <v>1.4800000000000001E-2</v>
      </c>
      <c r="K5039" s="2" t="s">
        <v>10088</v>
      </c>
    </row>
    <row r="5040" spans="1:11" x14ac:dyDescent="0.2">
      <c r="A5040" s="2">
        <v>1261</v>
      </c>
      <c r="B5040" s="2">
        <v>8</v>
      </c>
      <c r="C5040" s="2">
        <v>17492673</v>
      </c>
      <c r="D5040" s="2">
        <v>17947004</v>
      </c>
      <c r="E5040" s="2">
        <v>2</v>
      </c>
      <c r="F5040" s="2" t="s">
        <v>10086</v>
      </c>
      <c r="H5040" s="2">
        <v>2E-3</v>
      </c>
      <c r="K5040" s="2" t="s">
        <v>10085</v>
      </c>
    </row>
    <row r="5041" spans="1:11" x14ac:dyDescent="0.2">
      <c r="A5041" s="2">
        <v>1261</v>
      </c>
      <c r="B5041" s="2">
        <v>8</v>
      </c>
      <c r="C5041" s="2">
        <v>17492673</v>
      </c>
      <c r="D5041" s="2">
        <v>17947004</v>
      </c>
      <c r="E5041" s="2">
        <v>3</v>
      </c>
      <c r="F5041" s="2" t="s">
        <v>10086</v>
      </c>
      <c r="H5041" s="3">
        <v>8.0000000000000004E-4</v>
      </c>
      <c r="K5041" s="2" t="s">
        <v>10089</v>
      </c>
    </row>
    <row r="5042" spans="1:11" x14ac:dyDescent="0.2">
      <c r="A5042" s="2">
        <v>1261</v>
      </c>
      <c r="B5042" s="2">
        <v>8</v>
      </c>
      <c r="C5042" s="2">
        <v>17492673</v>
      </c>
      <c r="D5042" s="2">
        <v>17947004</v>
      </c>
      <c r="E5042" s="2">
        <v>4</v>
      </c>
      <c r="F5042" s="2" t="s">
        <v>10086</v>
      </c>
      <c r="H5042" s="3">
        <v>2.9999999999999997E-4</v>
      </c>
      <c r="K5042" s="2" t="s">
        <v>10087</v>
      </c>
    </row>
    <row r="5043" spans="1:11" x14ac:dyDescent="0.2">
      <c r="A5043" s="2">
        <v>1262</v>
      </c>
      <c r="B5043" s="2">
        <v>8</v>
      </c>
      <c r="C5043" s="2">
        <v>17947005</v>
      </c>
      <c r="D5043" s="2">
        <v>18668609</v>
      </c>
      <c r="E5043" s="2">
        <v>1</v>
      </c>
      <c r="F5043" s="2" t="s">
        <v>10086</v>
      </c>
      <c r="H5043" s="2">
        <v>1.6000000000000001E-3</v>
      </c>
      <c r="K5043" s="2" t="s">
        <v>10089</v>
      </c>
    </row>
    <row r="5044" spans="1:11" x14ac:dyDescent="0.2">
      <c r="A5044" s="2">
        <v>1262</v>
      </c>
      <c r="B5044" s="2">
        <v>8</v>
      </c>
      <c r="C5044" s="2">
        <v>17947005</v>
      </c>
      <c r="D5044" s="2">
        <v>18668609</v>
      </c>
      <c r="E5044" s="2">
        <v>2</v>
      </c>
      <c r="F5044" s="2" t="s">
        <v>10086</v>
      </c>
      <c r="H5044" s="2">
        <v>1.9E-3</v>
      </c>
      <c r="K5044" s="2" t="s">
        <v>10088</v>
      </c>
    </row>
    <row r="5045" spans="1:11" x14ac:dyDescent="0.2">
      <c r="A5045" s="2">
        <v>1262</v>
      </c>
      <c r="B5045" s="2">
        <v>8</v>
      </c>
      <c r="C5045" s="2">
        <v>17947005</v>
      </c>
      <c r="D5045" s="2">
        <v>18668609</v>
      </c>
      <c r="E5045" s="2">
        <v>3</v>
      </c>
      <c r="F5045" s="2" t="s">
        <v>10086</v>
      </c>
      <c r="H5045" s="2">
        <v>1.1000000000000001E-3</v>
      </c>
      <c r="K5045" s="2" t="s">
        <v>10087</v>
      </c>
    </row>
    <row r="5046" spans="1:11" x14ac:dyDescent="0.2">
      <c r="A5046" s="2">
        <v>1262</v>
      </c>
      <c r="B5046" s="2">
        <v>8</v>
      </c>
      <c r="C5046" s="2">
        <v>17947005</v>
      </c>
      <c r="D5046" s="2">
        <v>18668609</v>
      </c>
      <c r="E5046" s="2">
        <v>4</v>
      </c>
      <c r="F5046" s="2" t="s">
        <v>10086</v>
      </c>
      <c r="H5046" s="3">
        <v>4.0000000000000002E-4</v>
      </c>
      <c r="K5046" s="2" t="s">
        <v>10085</v>
      </c>
    </row>
    <row r="5047" spans="1:11" x14ac:dyDescent="0.2">
      <c r="A5047" s="2">
        <v>1263</v>
      </c>
      <c r="B5047" s="2">
        <v>8</v>
      </c>
      <c r="C5047" s="2">
        <v>18668610</v>
      </c>
      <c r="D5047" s="2">
        <v>19488888</v>
      </c>
      <c r="E5047" s="2">
        <v>1</v>
      </c>
      <c r="F5047" s="2" t="s">
        <v>10086</v>
      </c>
      <c r="H5047" s="2">
        <v>1.1999999999999999E-3</v>
      </c>
      <c r="K5047" s="2" t="s">
        <v>10087</v>
      </c>
    </row>
    <row r="5048" spans="1:11" x14ac:dyDescent="0.2">
      <c r="A5048" s="2">
        <v>1263</v>
      </c>
      <c r="B5048" s="2">
        <v>8</v>
      </c>
      <c r="C5048" s="2">
        <v>18668610</v>
      </c>
      <c r="D5048" s="2">
        <v>19488888</v>
      </c>
      <c r="E5048" s="2">
        <v>2</v>
      </c>
      <c r="F5048" s="2" t="s">
        <v>10086</v>
      </c>
      <c r="H5048" s="2">
        <v>1E-3</v>
      </c>
      <c r="K5048" s="2" t="s">
        <v>10089</v>
      </c>
    </row>
    <row r="5049" spans="1:11" x14ac:dyDescent="0.2">
      <c r="A5049" s="2">
        <v>1263</v>
      </c>
      <c r="B5049" s="2">
        <v>8</v>
      </c>
      <c r="C5049" s="2">
        <v>18668610</v>
      </c>
      <c r="D5049" s="2">
        <v>19488888</v>
      </c>
      <c r="E5049" s="2">
        <v>3</v>
      </c>
      <c r="F5049" s="2" t="s">
        <v>10086</v>
      </c>
      <c r="H5049" s="3">
        <v>8.0000000000000004E-4</v>
      </c>
      <c r="K5049" s="2" t="s">
        <v>10085</v>
      </c>
    </row>
    <row r="5050" spans="1:11" x14ac:dyDescent="0.2">
      <c r="A5050" s="2">
        <v>1263</v>
      </c>
      <c r="B5050" s="2">
        <v>8</v>
      </c>
      <c r="C5050" s="2">
        <v>18668610</v>
      </c>
      <c r="D5050" s="2">
        <v>19488888</v>
      </c>
      <c r="E5050" s="2">
        <v>4</v>
      </c>
      <c r="F5050" s="2" t="s">
        <v>10086</v>
      </c>
      <c r="H5050" s="3">
        <v>4.0000000000000002E-4</v>
      </c>
      <c r="K5050" s="2" t="s">
        <v>10088</v>
      </c>
    </row>
    <row r="5051" spans="1:11" x14ac:dyDescent="0.2">
      <c r="A5051" s="2">
        <v>1264</v>
      </c>
      <c r="B5051" s="2">
        <v>8</v>
      </c>
      <c r="C5051" s="2">
        <v>19488889</v>
      </c>
      <c r="D5051" s="2">
        <v>20135628</v>
      </c>
      <c r="E5051" s="2">
        <v>1</v>
      </c>
      <c r="F5051" s="2" t="s">
        <v>10086</v>
      </c>
      <c r="H5051" s="2">
        <v>3.2000000000000002E-3</v>
      </c>
      <c r="K5051" s="2" t="s">
        <v>10085</v>
      </c>
    </row>
    <row r="5052" spans="1:11" x14ac:dyDescent="0.2">
      <c r="A5052" s="2">
        <v>1264</v>
      </c>
      <c r="B5052" s="2">
        <v>8</v>
      </c>
      <c r="C5052" s="2">
        <v>19488889</v>
      </c>
      <c r="D5052" s="2">
        <v>20135628</v>
      </c>
      <c r="E5052" s="2">
        <v>2</v>
      </c>
      <c r="F5052" s="2" t="s">
        <v>10086</v>
      </c>
      <c r="H5052" s="2">
        <v>1.6999999999999999E-3</v>
      </c>
      <c r="K5052" s="2" t="s">
        <v>10087</v>
      </c>
    </row>
    <row r="5053" spans="1:11" x14ac:dyDescent="0.2">
      <c r="A5053" s="2">
        <v>1264</v>
      </c>
      <c r="B5053" s="2">
        <v>8</v>
      </c>
      <c r="C5053" s="2">
        <v>19488889</v>
      </c>
      <c r="D5053" s="2">
        <v>20135628</v>
      </c>
      <c r="E5053" s="2">
        <v>3</v>
      </c>
      <c r="F5053" s="2" t="s">
        <v>10086</v>
      </c>
      <c r="H5053" s="3">
        <v>5.9999999999999995E-4</v>
      </c>
      <c r="K5053" s="2" t="s">
        <v>10088</v>
      </c>
    </row>
    <row r="5054" spans="1:11" x14ac:dyDescent="0.2">
      <c r="A5054" s="2">
        <v>1264</v>
      </c>
      <c r="B5054" s="2">
        <v>8</v>
      </c>
      <c r="C5054" s="2">
        <v>19488889</v>
      </c>
      <c r="D5054" s="2">
        <v>20135628</v>
      </c>
      <c r="E5054" s="2">
        <v>4</v>
      </c>
      <c r="F5054" s="2" t="s">
        <v>10086</v>
      </c>
      <c r="H5054" s="3">
        <v>2.9999999999999997E-4</v>
      </c>
      <c r="K5054" s="2" t="s">
        <v>10089</v>
      </c>
    </row>
    <row r="5055" spans="1:11" x14ac:dyDescent="0.2">
      <c r="A5055" s="2">
        <v>1265</v>
      </c>
      <c r="B5055" s="2">
        <v>8</v>
      </c>
      <c r="C5055" s="2">
        <v>20135629</v>
      </c>
      <c r="D5055" s="2">
        <v>20812107</v>
      </c>
      <c r="E5055" s="2">
        <v>1</v>
      </c>
      <c r="F5055" s="2" t="s">
        <v>10086</v>
      </c>
      <c r="H5055" s="3">
        <v>8.9999999999999998E-4</v>
      </c>
      <c r="K5055" s="2" t="s">
        <v>10087</v>
      </c>
    </row>
    <row r="5056" spans="1:11" x14ac:dyDescent="0.2">
      <c r="A5056" s="2">
        <v>1265</v>
      </c>
      <c r="B5056" s="2">
        <v>8</v>
      </c>
      <c r="C5056" s="2">
        <v>20135629</v>
      </c>
      <c r="D5056" s="2">
        <v>20812107</v>
      </c>
      <c r="E5056" s="2">
        <v>2</v>
      </c>
      <c r="F5056" s="2" t="s">
        <v>10086</v>
      </c>
      <c r="H5056" s="2">
        <v>1.1000000000000001E-3</v>
      </c>
      <c r="K5056" s="2" t="s">
        <v>12324</v>
      </c>
    </row>
    <row r="5057" spans="1:11" x14ac:dyDescent="0.2">
      <c r="A5057" s="2">
        <v>1265</v>
      </c>
      <c r="B5057" s="2">
        <v>8</v>
      </c>
      <c r="C5057" s="2">
        <v>20135629</v>
      </c>
      <c r="D5057" s="2">
        <v>20812107</v>
      </c>
      <c r="E5057" s="2">
        <v>3</v>
      </c>
      <c r="F5057" s="2" t="s">
        <v>10086</v>
      </c>
      <c r="H5057" s="3">
        <v>8.0000000000000004E-4</v>
      </c>
      <c r="K5057" s="2" t="s">
        <v>10089</v>
      </c>
    </row>
    <row r="5058" spans="1:11" x14ac:dyDescent="0.2">
      <c r="A5058" s="2">
        <v>1265</v>
      </c>
      <c r="B5058" s="2">
        <v>8</v>
      </c>
      <c r="C5058" s="2">
        <v>20135629</v>
      </c>
      <c r="D5058" s="2">
        <v>20812107</v>
      </c>
      <c r="E5058" s="2">
        <v>4</v>
      </c>
      <c r="F5058" s="2" t="s">
        <v>10086</v>
      </c>
      <c r="H5058" s="3">
        <v>5.9999999999999995E-4</v>
      </c>
      <c r="K5058" s="2" t="s">
        <v>10085</v>
      </c>
    </row>
    <row r="5059" spans="1:11" x14ac:dyDescent="0.2">
      <c r="A5059" s="2">
        <v>1266</v>
      </c>
      <c r="B5059" s="2">
        <v>8</v>
      </c>
      <c r="C5059" s="2">
        <v>20812108</v>
      </c>
      <c r="D5059" s="2">
        <v>21650453</v>
      </c>
      <c r="E5059" s="2">
        <v>1</v>
      </c>
      <c r="F5059" s="2" t="s">
        <v>10086</v>
      </c>
      <c r="H5059" s="2">
        <v>2.5000000000000001E-3</v>
      </c>
      <c r="K5059" s="2" t="s">
        <v>10087</v>
      </c>
    </row>
    <row r="5060" spans="1:11" x14ac:dyDescent="0.2">
      <c r="A5060" s="2">
        <v>1266</v>
      </c>
      <c r="B5060" s="2">
        <v>8</v>
      </c>
      <c r="C5060" s="2">
        <v>20812108</v>
      </c>
      <c r="D5060" s="2">
        <v>21650453</v>
      </c>
      <c r="E5060" s="2">
        <v>2</v>
      </c>
      <c r="F5060" s="2" t="s">
        <v>10086</v>
      </c>
      <c r="H5060" s="2">
        <v>2.0999999999999999E-3</v>
      </c>
      <c r="K5060" s="2" t="s">
        <v>10089</v>
      </c>
    </row>
    <row r="5061" spans="1:11" x14ac:dyDescent="0.2">
      <c r="A5061" s="2">
        <v>1266</v>
      </c>
      <c r="B5061" s="2">
        <v>8</v>
      </c>
      <c r="C5061" s="2">
        <v>20812108</v>
      </c>
      <c r="D5061" s="2">
        <v>21650453</v>
      </c>
      <c r="E5061" s="2">
        <v>3</v>
      </c>
      <c r="F5061" s="2" t="s">
        <v>10086</v>
      </c>
      <c r="H5061" s="2">
        <v>1E-3</v>
      </c>
      <c r="K5061" s="2" t="s">
        <v>10085</v>
      </c>
    </row>
    <row r="5062" spans="1:11" x14ac:dyDescent="0.2">
      <c r="A5062" s="2">
        <v>1266</v>
      </c>
      <c r="B5062" s="2">
        <v>8</v>
      </c>
      <c r="C5062" s="2">
        <v>20812108</v>
      </c>
      <c r="D5062" s="2">
        <v>21650453</v>
      </c>
      <c r="E5062" s="2">
        <v>4</v>
      </c>
      <c r="F5062" s="2" t="s">
        <v>10086</v>
      </c>
      <c r="H5062" s="3">
        <v>8.9999999999999998E-4</v>
      </c>
      <c r="K5062" s="2" t="s">
        <v>10088</v>
      </c>
    </row>
    <row r="5063" spans="1:11" x14ac:dyDescent="0.2">
      <c r="A5063" s="2">
        <v>1267</v>
      </c>
      <c r="B5063" s="2">
        <v>8</v>
      </c>
      <c r="C5063" s="2">
        <v>21650454</v>
      </c>
      <c r="D5063" s="2">
        <v>22895018</v>
      </c>
      <c r="E5063" s="2">
        <v>1</v>
      </c>
      <c r="F5063" s="2" t="s">
        <v>10086</v>
      </c>
      <c r="H5063" s="2">
        <v>2.5000000000000001E-3</v>
      </c>
      <c r="K5063" s="2" t="s">
        <v>10088</v>
      </c>
    </row>
    <row r="5064" spans="1:11" x14ac:dyDescent="0.2">
      <c r="A5064" s="2">
        <v>1267</v>
      </c>
      <c r="B5064" s="2">
        <v>8</v>
      </c>
      <c r="C5064" s="2">
        <v>21650454</v>
      </c>
      <c r="D5064" s="2">
        <v>22895018</v>
      </c>
      <c r="E5064" s="2">
        <v>2</v>
      </c>
      <c r="F5064" s="2" t="s">
        <v>10086</v>
      </c>
      <c r="H5064" s="2">
        <v>2.0999999999999999E-3</v>
      </c>
      <c r="K5064" s="2" t="s">
        <v>10085</v>
      </c>
    </row>
    <row r="5065" spans="1:11" x14ac:dyDescent="0.2">
      <c r="A5065" s="2">
        <v>1267</v>
      </c>
      <c r="B5065" s="2">
        <v>8</v>
      </c>
      <c r="C5065" s="2">
        <v>21650454</v>
      </c>
      <c r="D5065" s="2">
        <v>22895018</v>
      </c>
      <c r="E5065" s="2">
        <v>3</v>
      </c>
      <c r="F5065" s="2" t="s">
        <v>10086</v>
      </c>
      <c r="H5065" s="2">
        <v>1E-3</v>
      </c>
      <c r="K5065" s="2" t="s">
        <v>10087</v>
      </c>
    </row>
    <row r="5066" spans="1:11" x14ac:dyDescent="0.2">
      <c r="A5066" s="2">
        <v>1267</v>
      </c>
      <c r="B5066" s="2">
        <v>8</v>
      </c>
      <c r="C5066" s="2">
        <v>21650454</v>
      </c>
      <c r="D5066" s="2">
        <v>22895018</v>
      </c>
      <c r="E5066" s="2">
        <v>4</v>
      </c>
      <c r="F5066" s="2" t="s">
        <v>10086</v>
      </c>
      <c r="H5066" s="3">
        <v>5.0000000000000001E-4</v>
      </c>
      <c r="K5066" s="2" t="s">
        <v>10089</v>
      </c>
    </row>
    <row r="5067" spans="1:11" x14ac:dyDescent="0.2">
      <c r="A5067" s="2">
        <v>1268</v>
      </c>
      <c r="B5067" s="2">
        <v>8</v>
      </c>
      <c r="C5067" s="2">
        <v>22895019</v>
      </c>
      <c r="D5067" s="2">
        <v>23788494</v>
      </c>
      <c r="E5067" s="2">
        <v>1</v>
      </c>
      <c r="F5067" s="2" t="s">
        <v>10086</v>
      </c>
      <c r="H5067" s="2">
        <v>1.2999999999999999E-3</v>
      </c>
      <c r="K5067" s="2" t="s">
        <v>10087</v>
      </c>
    </row>
    <row r="5068" spans="1:11" x14ac:dyDescent="0.2">
      <c r="A5068" s="2">
        <v>1268</v>
      </c>
      <c r="B5068" s="2">
        <v>8</v>
      </c>
      <c r="C5068" s="2">
        <v>22895019</v>
      </c>
      <c r="D5068" s="2">
        <v>23788494</v>
      </c>
      <c r="E5068" s="2">
        <v>2</v>
      </c>
      <c r="F5068" s="2" t="s">
        <v>10086</v>
      </c>
      <c r="H5068" s="2">
        <v>1.4E-3</v>
      </c>
      <c r="K5068" s="2" t="s">
        <v>12324</v>
      </c>
    </row>
    <row r="5069" spans="1:11" x14ac:dyDescent="0.2">
      <c r="A5069" s="2">
        <v>1268</v>
      </c>
      <c r="B5069" s="2">
        <v>8</v>
      </c>
      <c r="C5069" s="2">
        <v>22895019</v>
      </c>
      <c r="D5069" s="2">
        <v>23788494</v>
      </c>
      <c r="E5069" s="2">
        <v>3</v>
      </c>
      <c r="F5069" s="2" t="s">
        <v>10086</v>
      </c>
      <c r="H5069" s="2">
        <v>1.2999999999999999E-3</v>
      </c>
      <c r="K5069" s="2" t="s">
        <v>10088</v>
      </c>
    </row>
    <row r="5070" spans="1:11" x14ac:dyDescent="0.2">
      <c r="A5070" s="2">
        <v>1268</v>
      </c>
      <c r="B5070" s="2">
        <v>8</v>
      </c>
      <c r="C5070" s="2">
        <v>22895019</v>
      </c>
      <c r="D5070" s="2">
        <v>23788494</v>
      </c>
      <c r="E5070" s="2">
        <v>4</v>
      </c>
      <c r="F5070" s="2" t="s">
        <v>10086</v>
      </c>
      <c r="H5070" s="2">
        <v>1.1000000000000001E-3</v>
      </c>
      <c r="K5070" s="2" t="s">
        <v>10085</v>
      </c>
    </row>
    <row r="5071" spans="1:11" x14ac:dyDescent="0.2">
      <c r="A5071" s="2">
        <v>1269</v>
      </c>
      <c r="B5071" s="2">
        <v>8</v>
      </c>
      <c r="C5071" s="2">
        <v>23788495</v>
      </c>
      <c r="D5071" s="2">
        <v>24863243</v>
      </c>
      <c r="E5071" s="2">
        <v>1</v>
      </c>
      <c r="F5071" s="2" t="s">
        <v>10086</v>
      </c>
      <c r="H5071" s="2">
        <v>9.4999999999999998E-3</v>
      </c>
      <c r="K5071" s="2" t="s">
        <v>10088</v>
      </c>
    </row>
    <row r="5072" spans="1:11" x14ac:dyDescent="0.2">
      <c r="A5072" s="2">
        <v>1269</v>
      </c>
      <c r="B5072" s="2">
        <v>8</v>
      </c>
      <c r="C5072" s="2">
        <v>23788495</v>
      </c>
      <c r="D5072" s="2">
        <v>24863243</v>
      </c>
      <c r="E5072" s="2">
        <v>2</v>
      </c>
      <c r="F5072" s="2" t="s">
        <v>10086</v>
      </c>
      <c r="H5072" s="2">
        <v>1.9E-3</v>
      </c>
      <c r="K5072" s="2" t="s">
        <v>10087</v>
      </c>
    </row>
    <row r="5073" spans="1:11" x14ac:dyDescent="0.2">
      <c r="A5073" s="2">
        <v>1269</v>
      </c>
      <c r="B5073" s="2">
        <v>8</v>
      </c>
      <c r="C5073" s="2">
        <v>23788495</v>
      </c>
      <c r="D5073" s="2">
        <v>24863243</v>
      </c>
      <c r="E5073" s="2">
        <v>3</v>
      </c>
      <c r="F5073" s="2" t="s">
        <v>10086</v>
      </c>
      <c r="H5073" s="3">
        <v>8.9999999999999998E-4</v>
      </c>
      <c r="K5073" s="2" t="s">
        <v>10085</v>
      </c>
    </row>
    <row r="5074" spans="1:11" x14ac:dyDescent="0.2">
      <c r="A5074" s="2">
        <v>1269</v>
      </c>
      <c r="B5074" s="2">
        <v>8</v>
      </c>
      <c r="C5074" s="2">
        <v>23788495</v>
      </c>
      <c r="D5074" s="2">
        <v>24863243</v>
      </c>
      <c r="E5074" s="2">
        <v>4</v>
      </c>
      <c r="F5074" s="2" t="s">
        <v>10086</v>
      </c>
      <c r="H5074" s="3">
        <v>8.9999999999999998E-4</v>
      </c>
      <c r="K5074" s="2" t="s">
        <v>10089</v>
      </c>
    </row>
    <row r="5075" spans="1:11" x14ac:dyDescent="0.2">
      <c r="A5075" s="2">
        <v>1270</v>
      </c>
      <c r="B5075" s="2">
        <v>8</v>
      </c>
      <c r="C5075" s="2">
        <v>24863244</v>
      </c>
      <c r="D5075" s="2">
        <v>25859277</v>
      </c>
      <c r="E5075" s="2">
        <v>1</v>
      </c>
      <c r="F5075" s="2" t="s">
        <v>10086</v>
      </c>
      <c r="H5075" s="2">
        <v>2.8E-3</v>
      </c>
      <c r="K5075" s="2" t="s">
        <v>10088</v>
      </c>
    </row>
    <row r="5076" spans="1:11" x14ac:dyDescent="0.2">
      <c r="A5076" s="2">
        <v>1270</v>
      </c>
      <c r="B5076" s="2">
        <v>8</v>
      </c>
      <c r="C5076" s="2">
        <v>24863244</v>
      </c>
      <c r="D5076" s="2">
        <v>25859277</v>
      </c>
      <c r="E5076" s="2">
        <v>2</v>
      </c>
      <c r="F5076" s="2" t="s">
        <v>10086</v>
      </c>
      <c r="H5076" s="2">
        <v>2.2000000000000001E-3</v>
      </c>
      <c r="K5076" s="2" t="s">
        <v>10087</v>
      </c>
    </row>
    <row r="5077" spans="1:11" x14ac:dyDescent="0.2">
      <c r="A5077" s="2">
        <v>1270</v>
      </c>
      <c r="B5077" s="2">
        <v>8</v>
      </c>
      <c r="C5077" s="2">
        <v>24863244</v>
      </c>
      <c r="D5077" s="2">
        <v>25859277</v>
      </c>
      <c r="E5077" s="2">
        <v>3</v>
      </c>
      <c r="F5077" s="2" t="s">
        <v>10086</v>
      </c>
      <c r="H5077" s="2">
        <v>1E-3</v>
      </c>
      <c r="K5077" s="2" t="s">
        <v>10085</v>
      </c>
    </row>
    <row r="5078" spans="1:11" x14ac:dyDescent="0.2">
      <c r="A5078" s="2">
        <v>1270</v>
      </c>
      <c r="B5078" s="2">
        <v>8</v>
      </c>
      <c r="C5078" s="2">
        <v>24863244</v>
      </c>
      <c r="D5078" s="2">
        <v>25859277</v>
      </c>
      <c r="E5078" s="2">
        <v>4</v>
      </c>
      <c r="F5078" s="2" t="s">
        <v>10086</v>
      </c>
      <c r="H5078" s="3">
        <v>6.9999999999999999E-4</v>
      </c>
      <c r="K5078" s="2" t="s">
        <v>12324</v>
      </c>
    </row>
    <row r="5079" spans="1:11" x14ac:dyDescent="0.2">
      <c r="A5079" s="2">
        <v>1271</v>
      </c>
      <c r="B5079" s="2">
        <v>8</v>
      </c>
      <c r="C5079" s="2">
        <v>25859278</v>
      </c>
      <c r="D5079" s="2">
        <v>26679135</v>
      </c>
      <c r="E5079" s="2">
        <v>1</v>
      </c>
      <c r="F5079" s="2" t="s">
        <v>10086</v>
      </c>
      <c r="H5079" s="2">
        <v>8.0999999999999996E-3</v>
      </c>
      <c r="K5079" s="2" t="s">
        <v>10089</v>
      </c>
    </row>
    <row r="5080" spans="1:11" x14ac:dyDescent="0.2">
      <c r="A5080" s="2">
        <v>1271</v>
      </c>
      <c r="B5080" s="2">
        <v>8</v>
      </c>
      <c r="C5080" s="2">
        <v>25859278</v>
      </c>
      <c r="D5080" s="2">
        <v>26679135</v>
      </c>
      <c r="E5080" s="2">
        <v>2</v>
      </c>
      <c r="F5080" s="2" t="s">
        <v>10086</v>
      </c>
      <c r="H5080" s="2">
        <v>1.8E-3</v>
      </c>
      <c r="K5080" s="2" t="s">
        <v>10088</v>
      </c>
    </row>
    <row r="5081" spans="1:11" x14ac:dyDescent="0.2">
      <c r="A5081" s="2">
        <v>1271</v>
      </c>
      <c r="B5081" s="2">
        <v>8</v>
      </c>
      <c r="C5081" s="2">
        <v>25859278</v>
      </c>
      <c r="D5081" s="2">
        <v>26679135</v>
      </c>
      <c r="E5081" s="2">
        <v>3</v>
      </c>
      <c r="F5081" s="2" t="s">
        <v>10086</v>
      </c>
      <c r="H5081" s="2">
        <v>1.1999999999999999E-3</v>
      </c>
      <c r="K5081" s="2" t="s">
        <v>10085</v>
      </c>
    </row>
    <row r="5082" spans="1:11" x14ac:dyDescent="0.2">
      <c r="A5082" s="2">
        <v>1271</v>
      </c>
      <c r="B5082" s="2">
        <v>8</v>
      </c>
      <c r="C5082" s="2">
        <v>25859278</v>
      </c>
      <c r="D5082" s="2">
        <v>26679135</v>
      </c>
      <c r="E5082" s="2">
        <v>4</v>
      </c>
      <c r="F5082" s="2" t="s">
        <v>10086</v>
      </c>
      <c r="H5082" s="3">
        <v>5.0000000000000001E-4</v>
      </c>
      <c r="K5082" s="2" t="s">
        <v>10087</v>
      </c>
    </row>
    <row r="5083" spans="1:11" x14ac:dyDescent="0.2">
      <c r="A5083" s="2">
        <v>1272</v>
      </c>
      <c r="B5083" s="2">
        <v>8</v>
      </c>
      <c r="C5083" s="2">
        <v>26679136</v>
      </c>
      <c r="D5083" s="2">
        <v>27406511</v>
      </c>
      <c r="E5083" s="2">
        <v>1</v>
      </c>
      <c r="F5083" s="2" t="s">
        <v>10086</v>
      </c>
      <c r="H5083" s="2">
        <v>1.2999999999999999E-3</v>
      </c>
      <c r="K5083" s="2" t="s">
        <v>10088</v>
      </c>
    </row>
    <row r="5084" spans="1:11" x14ac:dyDescent="0.2">
      <c r="A5084" s="2">
        <v>1272</v>
      </c>
      <c r="B5084" s="2">
        <v>8</v>
      </c>
      <c r="C5084" s="2">
        <v>26679136</v>
      </c>
      <c r="D5084" s="2">
        <v>27406511</v>
      </c>
      <c r="E5084" s="2">
        <v>2</v>
      </c>
      <c r="F5084" s="2" t="s">
        <v>10086</v>
      </c>
      <c r="H5084" s="2">
        <v>1.4E-3</v>
      </c>
      <c r="K5084" s="2" t="s">
        <v>10089</v>
      </c>
    </row>
    <row r="5085" spans="1:11" x14ac:dyDescent="0.2">
      <c r="A5085" s="2">
        <v>1272</v>
      </c>
      <c r="B5085" s="2">
        <v>8</v>
      </c>
      <c r="C5085" s="2">
        <v>26679136</v>
      </c>
      <c r="D5085" s="2">
        <v>27406511</v>
      </c>
      <c r="E5085" s="2">
        <v>3</v>
      </c>
      <c r="F5085" s="2" t="s">
        <v>10086</v>
      </c>
      <c r="H5085" s="2">
        <v>1.1999999999999999E-3</v>
      </c>
      <c r="K5085" s="2" t="s">
        <v>10087</v>
      </c>
    </row>
    <row r="5086" spans="1:11" x14ac:dyDescent="0.2">
      <c r="A5086" s="2">
        <v>1272</v>
      </c>
      <c r="B5086" s="2">
        <v>8</v>
      </c>
      <c r="C5086" s="2">
        <v>26679136</v>
      </c>
      <c r="D5086" s="2">
        <v>27406511</v>
      </c>
      <c r="E5086" s="2">
        <v>4</v>
      </c>
      <c r="F5086" s="2" t="s">
        <v>10086</v>
      </c>
      <c r="H5086" s="3">
        <v>5.0000000000000001E-4</v>
      </c>
      <c r="K5086" s="2" t="s">
        <v>12324</v>
      </c>
    </row>
    <row r="5087" spans="1:11" x14ac:dyDescent="0.2">
      <c r="A5087" s="2">
        <v>1273</v>
      </c>
      <c r="B5087" s="2">
        <v>8</v>
      </c>
      <c r="C5087" s="2">
        <v>27406512</v>
      </c>
      <c r="D5087" s="2">
        <v>28344176</v>
      </c>
      <c r="E5087" s="2">
        <v>1</v>
      </c>
      <c r="F5087" s="2" t="s">
        <v>10086</v>
      </c>
      <c r="H5087" s="2">
        <v>2E-3</v>
      </c>
      <c r="K5087" s="2" t="s">
        <v>10089</v>
      </c>
    </row>
    <row r="5088" spans="1:11" x14ac:dyDescent="0.2">
      <c r="A5088" s="2">
        <v>1273</v>
      </c>
      <c r="B5088" s="2">
        <v>8</v>
      </c>
      <c r="C5088" s="2">
        <v>27406512</v>
      </c>
      <c r="D5088" s="2">
        <v>28344176</v>
      </c>
      <c r="E5088" s="2">
        <v>2</v>
      </c>
      <c r="F5088" s="2" t="s">
        <v>10086</v>
      </c>
      <c r="H5088" s="2">
        <v>2E-3</v>
      </c>
      <c r="K5088" s="2" t="s">
        <v>10088</v>
      </c>
    </row>
    <row r="5089" spans="1:11" x14ac:dyDescent="0.2">
      <c r="A5089" s="2">
        <v>1273</v>
      </c>
      <c r="B5089" s="2">
        <v>8</v>
      </c>
      <c r="C5089" s="2">
        <v>27406512</v>
      </c>
      <c r="D5089" s="2">
        <v>28344176</v>
      </c>
      <c r="E5089" s="2">
        <v>3</v>
      </c>
      <c r="F5089" s="2" t="s">
        <v>10086</v>
      </c>
      <c r="H5089" s="3">
        <v>5.9999999999999995E-4</v>
      </c>
      <c r="K5089" s="2" t="s">
        <v>10085</v>
      </c>
    </row>
    <row r="5090" spans="1:11" x14ac:dyDescent="0.2">
      <c r="A5090" s="2">
        <v>1273</v>
      </c>
      <c r="B5090" s="2">
        <v>8</v>
      </c>
      <c r="C5090" s="2">
        <v>27406512</v>
      </c>
      <c r="D5090" s="2">
        <v>28344176</v>
      </c>
      <c r="E5090" s="2">
        <v>4</v>
      </c>
      <c r="F5090" s="2" t="s">
        <v>10086</v>
      </c>
      <c r="H5090" s="3">
        <v>4.0000000000000002E-4</v>
      </c>
      <c r="K5090" s="2" t="s">
        <v>10087</v>
      </c>
    </row>
    <row r="5091" spans="1:11" x14ac:dyDescent="0.2">
      <c r="A5091" s="2">
        <v>1274</v>
      </c>
      <c r="B5091" s="2">
        <v>8</v>
      </c>
      <c r="C5091" s="2">
        <v>28344177</v>
      </c>
      <c r="D5091" s="2">
        <v>29744540</v>
      </c>
      <c r="E5091" s="2">
        <v>1</v>
      </c>
      <c r="F5091" s="2" t="s">
        <v>10086</v>
      </c>
      <c r="H5091" s="2">
        <v>4.4000000000000003E-3</v>
      </c>
      <c r="K5091" s="2" t="s">
        <v>10088</v>
      </c>
    </row>
    <row r="5092" spans="1:11" x14ac:dyDescent="0.2">
      <c r="A5092" s="2">
        <v>1274</v>
      </c>
      <c r="B5092" s="2">
        <v>8</v>
      </c>
      <c r="C5092" s="2">
        <v>28344177</v>
      </c>
      <c r="D5092" s="2">
        <v>29744540</v>
      </c>
      <c r="E5092" s="2">
        <v>2</v>
      </c>
      <c r="F5092" s="2" t="s">
        <v>10086</v>
      </c>
      <c r="H5092" s="2">
        <v>1.2999999999999999E-3</v>
      </c>
      <c r="K5092" s="2" t="s">
        <v>10085</v>
      </c>
    </row>
    <row r="5093" spans="1:11" x14ac:dyDescent="0.2">
      <c r="A5093" s="2">
        <v>1274</v>
      </c>
      <c r="B5093" s="2">
        <v>8</v>
      </c>
      <c r="C5093" s="2">
        <v>28344177</v>
      </c>
      <c r="D5093" s="2">
        <v>29744540</v>
      </c>
      <c r="E5093" s="2">
        <v>3</v>
      </c>
      <c r="F5093" s="2" t="s">
        <v>10086</v>
      </c>
      <c r="H5093" s="3">
        <v>8.9999999999999998E-4</v>
      </c>
      <c r="K5093" s="2" t="s">
        <v>10089</v>
      </c>
    </row>
    <row r="5094" spans="1:11" x14ac:dyDescent="0.2">
      <c r="A5094" s="2">
        <v>1274</v>
      </c>
      <c r="B5094" s="2">
        <v>8</v>
      </c>
      <c r="C5094" s="2">
        <v>28344177</v>
      </c>
      <c r="D5094" s="2">
        <v>29744540</v>
      </c>
      <c r="E5094" s="2">
        <v>4</v>
      </c>
      <c r="F5094" s="2" t="s">
        <v>10086</v>
      </c>
      <c r="H5094" s="3">
        <v>4.0000000000000002E-4</v>
      </c>
      <c r="K5094" s="2" t="s">
        <v>10087</v>
      </c>
    </row>
    <row r="5095" spans="1:11" x14ac:dyDescent="0.2">
      <c r="A5095" s="2">
        <v>1275</v>
      </c>
      <c r="B5095" s="2">
        <v>8</v>
      </c>
      <c r="C5095" s="2">
        <v>29744541</v>
      </c>
      <c r="D5095" s="2">
        <v>31134786</v>
      </c>
      <c r="E5095" s="2">
        <v>1</v>
      </c>
      <c r="F5095" s="2" t="s">
        <v>10086</v>
      </c>
      <c r="H5095" s="2">
        <v>1.1000000000000001E-3</v>
      </c>
      <c r="K5095" s="2" t="s">
        <v>10087</v>
      </c>
    </row>
    <row r="5096" spans="1:11" x14ac:dyDescent="0.2">
      <c r="A5096" s="2">
        <v>1275</v>
      </c>
      <c r="B5096" s="2">
        <v>8</v>
      </c>
      <c r="C5096" s="2">
        <v>29744541</v>
      </c>
      <c r="D5096" s="2">
        <v>31134786</v>
      </c>
      <c r="E5096" s="2">
        <v>2</v>
      </c>
      <c r="F5096" s="2" t="s">
        <v>10086</v>
      </c>
      <c r="H5096" s="2">
        <v>1.1000000000000001E-3</v>
      </c>
      <c r="K5096" s="2" t="s">
        <v>10085</v>
      </c>
    </row>
    <row r="5097" spans="1:11" x14ac:dyDescent="0.2">
      <c r="A5097" s="2">
        <v>1275</v>
      </c>
      <c r="B5097" s="2">
        <v>8</v>
      </c>
      <c r="C5097" s="2">
        <v>29744541</v>
      </c>
      <c r="D5097" s="2">
        <v>31134786</v>
      </c>
      <c r="E5097" s="2">
        <v>3</v>
      </c>
      <c r="F5097" s="2" t="s">
        <v>10086</v>
      </c>
      <c r="H5097" s="2">
        <v>1E-3</v>
      </c>
      <c r="K5097" s="2" t="s">
        <v>10089</v>
      </c>
    </row>
    <row r="5098" spans="1:11" x14ac:dyDescent="0.2">
      <c r="A5098" s="2">
        <v>1275</v>
      </c>
      <c r="B5098" s="2">
        <v>8</v>
      </c>
      <c r="C5098" s="2">
        <v>29744541</v>
      </c>
      <c r="D5098" s="2">
        <v>31134786</v>
      </c>
      <c r="E5098" s="2">
        <v>4</v>
      </c>
      <c r="F5098" s="2" t="s">
        <v>10086</v>
      </c>
      <c r="H5098" s="3">
        <v>5.0000000000000001E-4</v>
      </c>
      <c r="K5098" s="2" t="s">
        <v>10088</v>
      </c>
    </row>
    <row r="5099" spans="1:11" x14ac:dyDescent="0.2">
      <c r="A5099" s="2">
        <v>1276</v>
      </c>
      <c r="B5099" s="2">
        <v>8</v>
      </c>
      <c r="C5099" s="2">
        <v>31134787</v>
      </c>
      <c r="D5099" s="2">
        <v>32454962</v>
      </c>
      <c r="E5099" s="2">
        <v>1</v>
      </c>
      <c r="F5099" s="2" t="s">
        <v>10086</v>
      </c>
      <c r="H5099" s="2">
        <v>1.8E-3</v>
      </c>
      <c r="K5099" s="2" t="s">
        <v>10089</v>
      </c>
    </row>
    <row r="5100" spans="1:11" x14ac:dyDescent="0.2">
      <c r="A5100" s="2">
        <v>1276</v>
      </c>
      <c r="B5100" s="2">
        <v>8</v>
      </c>
      <c r="C5100" s="2">
        <v>31134787</v>
      </c>
      <c r="D5100" s="2">
        <v>32454962</v>
      </c>
      <c r="E5100" s="2">
        <v>2</v>
      </c>
      <c r="F5100" s="2" t="s">
        <v>10086</v>
      </c>
      <c r="H5100" s="2">
        <v>1.1999999999999999E-3</v>
      </c>
      <c r="K5100" s="2" t="s">
        <v>10085</v>
      </c>
    </row>
    <row r="5101" spans="1:11" x14ac:dyDescent="0.2">
      <c r="A5101" s="2">
        <v>1276</v>
      </c>
      <c r="B5101" s="2">
        <v>8</v>
      </c>
      <c r="C5101" s="2">
        <v>31134787</v>
      </c>
      <c r="D5101" s="2">
        <v>32454962</v>
      </c>
      <c r="E5101" s="2">
        <v>3</v>
      </c>
      <c r="F5101" s="2" t="s">
        <v>10086</v>
      </c>
      <c r="H5101" s="2">
        <v>1.2999999999999999E-3</v>
      </c>
      <c r="K5101" s="2" t="s">
        <v>10087</v>
      </c>
    </row>
    <row r="5102" spans="1:11" x14ac:dyDescent="0.2">
      <c r="A5102" s="2">
        <v>1276</v>
      </c>
      <c r="B5102" s="2">
        <v>8</v>
      </c>
      <c r="C5102" s="2">
        <v>31134787</v>
      </c>
      <c r="D5102" s="2">
        <v>32454962</v>
      </c>
      <c r="E5102" s="2">
        <v>4</v>
      </c>
      <c r="F5102" s="2" t="s">
        <v>10086</v>
      </c>
      <c r="H5102" s="3">
        <v>5.0000000000000001E-4</v>
      </c>
      <c r="K5102" s="2" t="s">
        <v>10088</v>
      </c>
    </row>
    <row r="5103" spans="1:11" x14ac:dyDescent="0.2">
      <c r="A5103" s="2">
        <v>1277</v>
      </c>
      <c r="B5103" s="2">
        <v>8</v>
      </c>
      <c r="C5103" s="2">
        <v>32454963</v>
      </c>
      <c r="D5103" s="2">
        <v>33982537</v>
      </c>
      <c r="E5103" s="2">
        <v>1</v>
      </c>
      <c r="F5103" s="2" t="s">
        <v>10086</v>
      </c>
      <c r="H5103" s="2">
        <v>1.2200000000000001E-2</v>
      </c>
      <c r="K5103" s="2" t="s">
        <v>10089</v>
      </c>
    </row>
    <row r="5104" spans="1:11" x14ac:dyDescent="0.2">
      <c r="A5104" s="2">
        <v>1277</v>
      </c>
      <c r="B5104" s="2">
        <v>8</v>
      </c>
      <c r="C5104" s="2">
        <v>32454963</v>
      </c>
      <c r="D5104" s="2">
        <v>33982537</v>
      </c>
      <c r="E5104" s="2">
        <v>2</v>
      </c>
      <c r="F5104" s="2" t="s">
        <v>10086</v>
      </c>
      <c r="H5104" s="2">
        <v>1.2999999999999999E-3</v>
      </c>
      <c r="K5104" s="2" t="s">
        <v>10087</v>
      </c>
    </row>
    <row r="5105" spans="1:11" x14ac:dyDescent="0.2">
      <c r="A5105" s="2">
        <v>1277</v>
      </c>
      <c r="B5105" s="2">
        <v>8</v>
      </c>
      <c r="C5105" s="2">
        <v>32454963</v>
      </c>
      <c r="D5105" s="2">
        <v>33982537</v>
      </c>
      <c r="E5105" s="2">
        <v>3</v>
      </c>
      <c r="F5105" s="2" t="s">
        <v>10086</v>
      </c>
      <c r="H5105" s="2">
        <v>1.1999999999999999E-3</v>
      </c>
      <c r="K5105" s="2" t="s">
        <v>10085</v>
      </c>
    </row>
    <row r="5106" spans="1:11" x14ac:dyDescent="0.2">
      <c r="A5106" s="2">
        <v>1277</v>
      </c>
      <c r="B5106" s="2">
        <v>8</v>
      </c>
      <c r="C5106" s="2">
        <v>32454963</v>
      </c>
      <c r="D5106" s="2">
        <v>33982537</v>
      </c>
      <c r="E5106" s="2">
        <v>4</v>
      </c>
      <c r="F5106" s="2" t="s">
        <v>10086</v>
      </c>
      <c r="H5106" s="3">
        <v>5.0000000000000001E-4</v>
      </c>
      <c r="K5106" s="2" t="s">
        <v>10088</v>
      </c>
    </row>
    <row r="5107" spans="1:11" x14ac:dyDescent="0.2">
      <c r="A5107" s="2">
        <v>1278</v>
      </c>
      <c r="B5107" s="2">
        <v>8</v>
      </c>
      <c r="C5107" s="2">
        <v>33982538</v>
      </c>
      <c r="D5107" s="2">
        <v>34792220</v>
      </c>
      <c r="E5107" s="2">
        <v>1</v>
      </c>
      <c r="F5107" s="2" t="s">
        <v>10086</v>
      </c>
      <c r="H5107" s="2">
        <v>2.0999999999999999E-3</v>
      </c>
      <c r="K5107" s="2" t="s">
        <v>10088</v>
      </c>
    </row>
    <row r="5108" spans="1:11" x14ac:dyDescent="0.2">
      <c r="A5108" s="2">
        <v>1278</v>
      </c>
      <c r="B5108" s="2">
        <v>8</v>
      </c>
      <c r="C5108" s="2">
        <v>33982538</v>
      </c>
      <c r="D5108" s="2">
        <v>34792220</v>
      </c>
      <c r="E5108" s="2">
        <v>2</v>
      </c>
      <c r="F5108" s="2" t="s">
        <v>10086</v>
      </c>
      <c r="H5108" s="2">
        <v>1.6999999999999999E-3</v>
      </c>
      <c r="K5108" s="2" t="s">
        <v>10087</v>
      </c>
    </row>
    <row r="5109" spans="1:11" x14ac:dyDescent="0.2">
      <c r="A5109" s="2">
        <v>1278</v>
      </c>
      <c r="B5109" s="2">
        <v>8</v>
      </c>
      <c r="C5109" s="2">
        <v>33982538</v>
      </c>
      <c r="D5109" s="2">
        <v>34792220</v>
      </c>
      <c r="E5109" s="2">
        <v>3</v>
      </c>
      <c r="F5109" s="2" t="s">
        <v>10086</v>
      </c>
      <c r="H5109" s="2">
        <v>1E-3</v>
      </c>
      <c r="K5109" s="2" t="s">
        <v>10085</v>
      </c>
    </row>
    <row r="5110" spans="1:11" x14ac:dyDescent="0.2">
      <c r="A5110" s="2">
        <v>1278</v>
      </c>
      <c r="B5110" s="2">
        <v>8</v>
      </c>
      <c r="C5110" s="2">
        <v>33982538</v>
      </c>
      <c r="D5110" s="2">
        <v>34792220</v>
      </c>
      <c r="E5110" s="2">
        <v>4</v>
      </c>
      <c r="F5110" s="2" t="s">
        <v>10086</v>
      </c>
      <c r="H5110" s="3">
        <v>6.9999999999999999E-4</v>
      </c>
      <c r="K5110" s="2" t="s">
        <v>10089</v>
      </c>
    </row>
    <row r="5111" spans="1:11" x14ac:dyDescent="0.2">
      <c r="A5111" s="2">
        <v>1279</v>
      </c>
      <c r="B5111" s="2">
        <v>8</v>
      </c>
      <c r="C5111" s="2">
        <v>34792221</v>
      </c>
      <c r="D5111" s="2">
        <v>36641174</v>
      </c>
      <c r="E5111" s="2">
        <v>1</v>
      </c>
      <c r="F5111" s="2" t="s">
        <v>10086</v>
      </c>
      <c r="H5111" s="2">
        <v>2.0999999999999999E-3</v>
      </c>
      <c r="K5111" s="2" t="s">
        <v>10088</v>
      </c>
    </row>
    <row r="5112" spans="1:11" x14ac:dyDescent="0.2">
      <c r="A5112" s="2">
        <v>1279</v>
      </c>
      <c r="B5112" s="2">
        <v>8</v>
      </c>
      <c r="C5112" s="2">
        <v>34792221</v>
      </c>
      <c r="D5112" s="2">
        <v>36641174</v>
      </c>
      <c r="E5112" s="2">
        <v>2</v>
      </c>
      <c r="F5112" s="2" t="s">
        <v>10086</v>
      </c>
      <c r="H5112" s="2">
        <v>1.6000000000000001E-3</v>
      </c>
      <c r="K5112" s="2" t="s">
        <v>12324</v>
      </c>
    </row>
    <row r="5113" spans="1:11" x14ac:dyDescent="0.2">
      <c r="A5113" s="2">
        <v>1279</v>
      </c>
      <c r="B5113" s="2">
        <v>8</v>
      </c>
      <c r="C5113" s="2">
        <v>34792221</v>
      </c>
      <c r="D5113" s="2">
        <v>36641174</v>
      </c>
      <c r="E5113" s="2">
        <v>3</v>
      </c>
      <c r="F5113" s="2" t="s">
        <v>10086</v>
      </c>
      <c r="H5113" s="2">
        <v>1.1000000000000001E-3</v>
      </c>
      <c r="K5113" s="2" t="s">
        <v>10085</v>
      </c>
    </row>
    <row r="5114" spans="1:11" x14ac:dyDescent="0.2">
      <c r="A5114" s="2">
        <v>1279</v>
      </c>
      <c r="B5114" s="2">
        <v>8</v>
      </c>
      <c r="C5114" s="2">
        <v>34792221</v>
      </c>
      <c r="D5114" s="2">
        <v>36641174</v>
      </c>
      <c r="E5114" s="2">
        <v>4</v>
      </c>
      <c r="F5114" s="2" t="s">
        <v>10086</v>
      </c>
      <c r="H5114" s="3">
        <v>8.9999999999999998E-4</v>
      </c>
      <c r="K5114" s="2" t="s">
        <v>10087</v>
      </c>
    </row>
    <row r="5115" spans="1:11" x14ac:dyDescent="0.2">
      <c r="A5115" s="2">
        <v>1280</v>
      </c>
      <c r="B5115" s="2">
        <v>8</v>
      </c>
      <c r="C5115" s="2">
        <v>36641175</v>
      </c>
      <c r="D5115" s="2">
        <v>38803980</v>
      </c>
      <c r="E5115" s="2">
        <v>1</v>
      </c>
      <c r="F5115" s="2" t="s">
        <v>10086</v>
      </c>
      <c r="H5115" s="2">
        <v>1.0200000000000001E-2</v>
      </c>
      <c r="K5115" s="2" t="s">
        <v>12324</v>
      </c>
    </row>
    <row r="5116" spans="1:11" x14ac:dyDescent="0.2">
      <c r="A5116" s="2">
        <v>1280</v>
      </c>
      <c r="B5116" s="2">
        <v>8</v>
      </c>
      <c r="C5116" s="2">
        <v>36641175</v>
      </c>
      <c r="D5116" s="2">
        <v>38803980</v>
      </c>
      <c r="E5116" s="2">
        <v>2</v>
      </c>
      <c r="F5116" s="2" t="s">
        <v>10086</v>
      </c>
      <c r="H5116" s="2">
        <v>7.9000000000000008E-3</v>
      </c>
      <c r="K5116" s="2" t="s">
        <v>10087</v>
      </c>
    </row>
    <row r="5117" spans="1:11" x14ac:dyDescent="0.2">
      <c r="A5117" s="2">
        <v>1280</v>
      </c>
      <c r="B5117" s="2">
        <v>8</v>
      </c>
      <c r="C5117" s="2">
        <v>36641175</v>
      </c>
      <c r="D5117" s="2">
        <v>38803980</v>
      </c>
      <c r="E5117" s="2">
        <v>3</v>
      </c>
      <c r="F5117" s="2" t="s">
        <v>10086</v>
      </c>
      <c r="H5117" s="2">
        <v>1.9E-3</v>
      </c>
      <c r="K5117" s="2" t="s">
        <v>10089</v>
      </c>
    </row>
    <row r="5118" spans="1:11" x14ac:dyDescent="0.2">
      <c r="A5118" s="2">
        <v>1280</v>
      </c>
      <c r="B5118" s="2">
        <v>8</v>
      </c>
      <c r="C5118" s="2">
        <v>36641175</v>
      </c>
      <c r="D5118" s="2">
        <v>38803980</v>
      </c>
      <c r="E5118" s="2">
        <v>4</v>
      </c>
      <c r="F5118" s="2" t="s">
        <v>10086</v>
      </c>
      <c r="H5118" s="2">
        <v>1.5E-3</v>
      </c>
      <c r="K5118" s="2" t="s">
        <v>10088</v>
      </c>
    </row>
    <row r="5119" spans="1:11" x14ac:dyDescent="0.2">
      <c r="A5119" s="2">
        <v>1281</v>
      </c>
      <c r="B5119" s="2">
        <v>8</v>
      </c>
      <c r="C5119" s="2">
        <v>38803981</v>
      </c>
      <c r="D5119" s="2">
        <v>40179577</v>
      </c>
      <c r="E5119" s="2">
        <v>1</v>
      </c>
      <c r="F5119" s="2" t="s">
        <v>10086</v>
      </c>
      <c r="H5119" s="2">
        <v>1.5E-3</v>
      </c>
      <c r="K5119" s="2" t="s">
        <v>10089</v>
      </c>
    </row>
    <row r="5120" spans="1:11" x14ac:dyDescent="0.2">
      <c r="A5120" s="2">
        <v>1281</v>
      </c>
      <c r="B5120" s="2">
        <v>8</v>
      </c>
      <c r="C5120" s="2">
        <v>38803981</v>
      </c>
      <c r="D5120" s="2">
        <v>40179577</v>
      </c>
      <c r="E5120" s="2">
        <v>2</v>
      </c>
      <c r="F5120" s="2" t="s">
        <v>10086</v>
      </c>
      <c r="H5120" s="2">
        <v>1.4E-3</v>
      </c>
      <c r="K5120" s="2" t="s">
        <v>10088</v>
      </c>
    </row>
    <row r="5121" spans="1:11" x14ac:dyDescent="0.2">
      <c r="A5121" s="2">
        <v>1281</v>
      </c>
      <c r="B5121" s="2">
        <v>8</v>
      </c>
      <c r="C5121" s="2">
        <v>38803981</v>
      </c>
      <c r="D5121" s="2">
        <v>40179577</v>
      </c>
      <c r="E5121" s="2">
        <v>3</v>
      </c>
      <c r="F5121" s="2" t="s">
        <v>10086</v>
      </c>
      <c r="H5121" s="2">
        <v>1.1000000000000001E-3</v>
      </c>
      <c r="K5121" s="2" t="s">
        <v>10085</v>
      </c>
    </row>
    <row r="5122" spans="1:11" x14ac:dyDescent="0.2">
      <c r="A5122" s="2">
        <v>1281</v>
      </c>
      <c r="B5122" s="2">
        <v>8</v>
      </c>
      <c r="C5122" s="2">
        <v>38803981</v>
      </c>
      <c r="D5122" s="2">
        <v>40179577</v>
      </c>
      <c r="E5122" s="2">
        <v>4</v>
      </c>
      <c r="F5122" s="2" t="s">
        <v>10086</v>
      </c>
      <c r="H5122" s="3">
        <v>8.9999999999999998E-4</v>
      </c>
      <c r="K5122" s="2" t="s">
        <v>10087</v>
      </c>
    </row>
    <row r="5123" spans="1:11" x14ac:dyDescent="0.2">
      <c r="A5123" s="2">
        <v>1282</v>
      </c>
      <c r="B5123" s="2">
        <v>8</v>
      </c>
      <c r="C5123" s="2">
        <v>40179578</v>
      </c>
      <c r="D5123" s="2">
        <v>40974254</v>
      </c>
      <c r="E5123" s="2">
        <v>1</v>
      </c>
      <c r="F5123" s="2" t="s">
        <v>10086</v>
      </c>
      <c r="H5123" s="2">
        <v>1.1000000000000001E-3</v>
      </c>
      <c r="K5123" s="2" t="s">
        <v>10085</v>
      </c>
    </row>
    <row r="5124" spans="1:11" x14ac:dyDescent="0.2">
      <c r="A5124" s="2">
        <v>1282</v>
      </c>
      <c r="B5124" s="2">
        <v>8</v>
      </c>
      <c r="C5124" s="2">
        <v>40179578</v>
      </c>
      <c r="D5124" s="2">
        <v>40974254</v>
      </c>
      <c r="E5124" s="2">
        <v>2</v>
      </c>
      <c r="F5124" s="2" t="s">
        <v>10086</v>
      </c>
      <c r="H5124" s="3">
        <v>8.9999999999999998E-4</v>
      </c>
      <c r="K5124" s="2" t="s">
        <v>10089</v>
      </c>
    </row>
    <row r="5125" spans="1:11" x14ac:dyDescent="0.2">
      <c r="A5125" s="2">
        <v>1282</v>
      </c>
      <c r="B5125" s="2">
        <v>8</v>
      </c>
      <c r="C5125" s="2">
        <v>40179578</v>
      </c>
      <c r="D5125" s="2">
        <v>40974254</v>
      </c>
      <c r="E5125" s="2">
        <v>3</v>
      </c>
      <c r="F5125" s="2" t="s">
        <v>10086</v>
      </c>
      <c r="H5125" s="3">
        <v>8.0000000000000004E-4</v>
      </c>
      <c r="K5125" s="2" t="s">
        <v>10087</v>
      </c>
    </row>
    <row r="5126" spans="1:11" x14ac:dyDescent="0.2">
      <c r="A5126" s="2">
        <v>1282</v>
      </c>
      <c r="B5126" s="2">
        <v>8</v>
      </c>
      <c r="C5126" s="2">
        <v>40179578</v>
      </c>
      <c r="D5126" s="2">
        <v>40974254</v>
      </c>
      <c r="E5126" s="2">
        <v>4</v>
      </c>
      <c r="F5126" s="2" t="s">
        <v>10086</v>
      </c>
      <c r="H5126" s="3">
        <v>5.0000000000000001E-4</v>
      </c>
      <c r="K5126" s="2" t="s">
        <v>12324</v>
      </c>
    </row>
    <row r="5127" spans="1:11" x14ac:dyDescent="0.2">
      <c r="A5127" s="2">
        <v>1283</v>
      </c>
      <c r="B5127" s="2">
        <v>8</v>
      </c>
      <c r="C5127" s="2">
        <v>40974255</v>
      </c>
      <c r="D5127" s="2">
        <v>41725002</v>
      </c>
      <c r="E5127" s="2">
        <v>1</v>
      </c>
      <c r="F5127" s="2" t="s">
        <v>10086</v>
      </c>
      <c r="H5127" s="2">
        <v>1.6999999999999999E-3</v>
      </c>
      <c r="K5127" s="2" t="s">
        <v>10089</v>
      </c>
    </row>
    <row r="5128" spans="1:11" x14ac:dyDescent="0.2">
      <c r="A5128" s="2">
        <v>1283</v>
      </c>
      <c r="B5128" s="2">
        <v>8</v>
      </c>
      <c r="C5128" s="2">
        <v>40974255</v>
      </c>
      <c r="D5128" s="2">
        <v>41725002</v>
      </c>
      <c r="E5128" s="2">
        <v>2</v>
      </c>
      <c r="F5128" s="2" t="s">
        <v>10086</v>
      </c>
      <c r="H5128" s="2">
        <v>1.6000000000000001E-3</v>
      </c>
      <c r="K5128" s="2" t="s">
        <v>10088</v>
      </c>
    </row>
    <row r="5129" spans="1:11" x14ac:dyDescent="0.2">
      <c r="A5129" s="2">
        <v>1283</v>
      </c>
      <c r="B5129" s="2">
        <v>8</v>
      </c>
      <c r="C5129" s="2">
        <v>40974255</v>
      </c>
      <c r="D5129" s="2">
        <v>41725002</v>
      </c>
      <c r="E5129" s="2">
        <v>3</v>
      </c>
      <c r="F5129" s="2" t="s">
        <v>10086</v>
      </c>
      <c r="H5129" s="3">
        <v>8.0000000000000004E-4</v>
      </c>
      <c r="K5129" s="2" t="s">
        <v>10087</v>
      </c>
    </row>
    <row r="5130" spans="1:11" x14ac:dyDescent="0.2">
      <c r="A5130" s="2">
        <v>1283</v>
      </c>
      <c r="B5130" s="2">
        <v>8</v>
      </c>
      <c r="C5130" s="2">
        <v>40974255</v>
      </c>
      <c r="D5130" s="2">
        <v>41725002</v>
      </c>
      <c r="E5130" s="2">
        <v>4</v>
      </c>
      <c r="F5130" s="2" t="s">
        <v>10086</v>
      </c>
      <c r="H5130" s="3">
        <v>5.0000000000000001E-4</v>
      </c>
      <c r="K5130" s="2" t="s">
        <v>10085</v>
      </c>
    </row>
    <row r="5131" spans="1:11" x14ac:dyDescent="0.2">
      <c r="A5131" s="2">
        <v>1284</v>
      </c>
      <c r="B5131" s="2">
        <v>8</v>
      </c>
      <c r="C5131" s="2">
        <v>41725003</v>
      </c>
      <c r="D5131" s="2">
        <v>43825633</v>
      </c>
      <c r="E5131" s="2">
        <v>1</v>
      </c>
      <c r="F5131" s="2" t="s">
        <v>10086</v>
      </c>
      <c r="H5131" s="2">
        <v>6.6E-3</v>
      </c>
      <c r="K5131" s="2" t="s">
        <v>10087</v>
      </c>
    </row>
    <row r="5132" spans="1:11" x14ac:dyDescent="0.2">
      <c r="A5132" s="2">
        <v>1284</v>
      </c>
      <c r="B5132" s="2">
        <v>8</v>
      </c>
      <c r="C5132" s="2">
        <v>41725003</v>
      </c>
      <c r="D5132" s="2">
        <v>43825633</v>
      </c>
      <c r="E5132" s="2">
        <v>2</v>
      </c>
      <c r="F5132" s="2" t="s">
        <v>10086</v>
      </c>
      <c r="H5132" s="2">
        <v>8.5000000000000006E-3</v>
      </c>
      <c r="K5132" s="2" t="s">
        <v>10089</v>
      </c>
    </row>
    <row r="5133" spans="1:11" x14ac:dyDescent="0.2">
      <c r="A5133" s="2">
        <v>1284</v>
      </c>
      <c r="B5133" s="2">
        <v>8</v>
      </c>
      <c r="C5133" s="2">
        <v>41725003</v>
      </c>
      <c r="D5133" s="2">
        <v>43825633</v>
      </c>
      <c r="E5133" s="2">
        <v>3</v>
      </c>
      <c r="F5133" s="2" t="s">
        <v>10086</v>
      </c>
      <c r="H5133" s="2">
        <v>2.8E-3</v>
      </c>
      <c r="K5133" s="2" t="s">
        <v>10088</v>
      </c>
    </row>
    <row r="5134" spans="1:11" x14ac:dyDescent="0.2">
      <c r="A5134" s="2">
        <v>1284</v>
      </c>
      <c r="B5134" s="2">
        <v>8</v>
      </c>
      <c r="C5134" s="2">
        <v>41725003</v>
      </c>
      <c r="D5134" s="2">
        <v>43825633</v>
      </c>
      <c r="E5134" s="2">
        <v>4</v>
      </c>
      <c r="F5134" s="2" t="s">
        <v>10086</v>
      </c>
      <c r="H5134" s="3">
        <v>8.0000000000000004E-4</v>
      </c>
      <c r="K5134" s="2" t="s">
        <v>10085</v>
      </c>
    </row>
    <row r="5135" spans="1:11" x14ac:dyDescent="0.2">
      <c r="A5135" s="2">
        <v>1285</v>
      </c>
      <c r="B5135" s="2">
        <v>8</v>
      </c>
      <c r="C5135" s="2">
        <v>43825634</v>
      </c>
      <c r="D5135" s="2">
        <v>49044813</v>
      </c>
      <c r="E5135" s="2">
        <v>1</v>
      </c>
      <c r="F5135" s="2" t="s">
        <v>10086</v>
      </c>
      <c r="H5135" s="2">
        <v>1.9E-3</v>
      </c>
      <c r="K5135" s="2" t="s">
        <v>10089</v>
      </c>
    </row>
    <row r="5136" spans="1:11" x14ac:dyDescent="0.2">
      <c r="A5136" s="2">
        <v>1285</v>
      </c>
      <c r="B5136" s="2">
        <v>8</v>
      </c>
      <c r="C5136" s="2">
        <v>43825634</v>
      </c>
      <c r="D5136" s="2">
        <v>49044813</v>
      </c>
      <c r="E5136" s="2">
        <v>2</v>
      </c>
      <c r="F5136" s="2" t="s">
        <v>10086</v>
      </c>
      <c r="H5136" s="2">
        <v>1.8E-3</v>
      </c>
      <c r="K5136" s="2" t="s">
        <v>10085</v>
      </c>
    </row>
    <row r="5137" spans="1:11" x14ac:dyDescent="0.2">
      <c r="A5137" s="2">
        <v>1285</v>
      </c>
      <c r="B5137" s="2">
        <v>8</v>
      </c>
      <c r="C5137" s="2">
        <v>43825634</v>
      </c>
      <c r="D5137" s="2">
        <v>49044813</v>
      </c>
      <c r="E5137" s="2">
        <v>3</v>
      </c>
      <c r="F5137" s="2" t="s">
        <v>10086</v>
      </c>
      <c r="H5137" s="2">
        <v>1.6000000000000001E-3</v>
      </c>
      <c r="K5137" s="2" t="s">
        <v>10088</v>
      </c>
    </row>
    <row r="5138" spans="1:11" x14ac:dyDescent="0.2">
      <c r="A5138" s="2">
        <v>1285</v>
      </c>
      <c r="B5138" s="2">
        <v>8</v>
      </c>
      <c r="C5138" s="2">
        <v>43825634</v>
      </c>
      <c r="D5138" s="2">
        <v>49044813</v>
      </c>
      <c r="E5138" s="2">
        <v>4</v>
      </c>
      <c r="F5138" s="2" t="s">
        <v>10086</v>
      </c>
      <c r="H5138" s="3">
        <v>5.9999999999999995E-4</v>
      </c>
      <c r="K5138" s="2" t="s">
        <v>10087</v>
      </c>
    </row>
    <row r="5139" spans="1:11" x14ac:dyDescent="0.2">
      <c r="A5139" s="2">
        <v>1286</v>
      </c>
      <c r="B5139" s="2">
        <v>8</v>
      </c>
      <c r="C5139" s="2">
        <v>49044814</v>
      </c>
      <c r="D5139" s="2">
        <v>50288660</v>
      </c>
      <c r="E5139" s="2">
        <v>1</v>
      </c>
      <c r="F5139" s="2" t="s">
        <v>10086</v>
      </c>
      <c r="H5139" s="2">
        <v>1.2999999999999999E-3</v>
      </c>
      <c r="K5139" s="2" t="s">
        <v>10089</v>
      </c>
    </row>
    <row r="5140" spans="1:11" x14ac:dyDescent="0.2">
      <c r="A5140" s="2">
        <v>1286</v>
      </c>
      <c r="B5140" s="2">
        <v>8</v>
      </c>
      <c r="C5140" s="2">
        <v>49044814</v>
      </c>
      <c r="D5140" s="2">
        <v>50288660</v>
      </c>
      <c r="E5140" s="2">
        <v>2</v>
      </c>
      <c r="F5140" s="2" t="s">
        <v>10086</v>
      </c>
      <c r="H5140" s="3">
        <v>8.0000000000000004E-4</v>
      </c>
      <c r="K5140" s="2" t="s">
        <v>10088</v>
      </c>
    </row>
    <row r="5141" spans="1:11" x14ac:dyDescent="0.2">
      <c r="A5141" s="2">
        <v>1286</v>
      </c>
      <c r="B5141" s="2">
        <v>8</v>
      </c>
      <c r="C5141" s="2">
        <v>49044814</v>
      </c>
      <c r="D5141" s="2">
        <v>50288660</v>
      </c>
      <c r="E5141" s="2">
        <v>3</v>
      </c>
      <c r="F5141" s="2" t="s">
        <v>10086</v>
      </c>
      <c r="H5141" s="3">
        <v>8.9999999999999998E-4</v>
      </c>
      <c r="K5141" s="2" t="s">
        <v>10085</v>
      </c>
    </row>
    <row r="5142" spans="1:11" x14ac:dyDescent="0.2">
      <c r="A5142" s="2">
        <v>1286</v>
      </c>
      <c r="B5142" s="2">
        <v>8</v>
      </c>
      <c r="C5142" s="2">
        <v>49044814</v>
      </c>
      <c r="D5142" s="2">
        <v>50288660</v>
      </c>
      <c r="E5142" s="2">
        <v>4</v>
      </c>
      <c r="F5142" s="2" t="s">
        <v>10086</v>
      </c>
      <c r="H5142" s="3">
        <v>4.0000000000000002E-4</v>
      </c>
      <c r="K5142" s="2" t="s">
        <v>10087</v>
      </c>
    </row>
    <row r="5143" spans="1:11" x14ac:dyDescent="0.2">
      <c r="A5143" s="2">
        <v>1287</v>
      </c>
      <c r="B5143" s="2">
        <v>8</v>
      </c>
      <c r="C5143" s="2">
        <v>50288661</v>
      </c>
      <c r="D5143" s="2">
        <v>51461455</v>
      </c>
      <c r="E5143" s="2">
        <v>1</v>
      </c>
      <c r="F5143" s="2" t="s">
        <v>10086</v>
      </c>
      <c r="H5143" s="2">
        <v>1.5E-3</v>
      </c>
      <c r="K5143" s="2" t="s">
        <v>10085</v>
      </c>
    </row>
    <row r="5144" spans="1:11" x14ac:dyDescent="0.2">
      <c r="A5144" s="2">
        <v>1287</v>
      </c>
      <c r="B5144" s="2">
        <v>8</v>
      </c>
      <c r="C5144" s="2">
        <v>50288661</v>
      </c>
      <c r="D5144" s="2">
        <v>51461455</v>
      </c>
      <c r="E5144" s="2">
        <v>2</v>
      </c>
      <c r="F5144" s="2" t="s">
        <v>10086</v>
      </c>
      <c r="H5144" s="2">
        <v>1.8E-3</v>
      </c>
      <c r="K5144" s="2" t="s">
        <v>10087</v>
      </c>
    </row>
    <row r="5145" spans="1:11" x14ac:dyDescent="0.2">
      <c r="A5145" s="2">
        <v>1287</v>
      </c>
      <c r="B5145" s="2">
        <v>8</v>
      </c>
      <c r="C5145" s="2">
        <v>50288661</v>
      </c>
      <c r="D5145" s="2">
        <v>51461455</v>
      </c>
      <c r="E5145" s="2">
        <v>3</v>
      </c>
      <c r="F5145" s="2" t="s">
        <v>10086</v>
      </c>
      <c r="H5145" s="3">
        <v>8.9999999999999998E-4</v>
      </c>
      <c r="K5145" s="2" t="s">
        <v>10089</v>
      </c>
    </row>
    <row r="5146" spans="1:11" x14ac:dyDescent="0.2">
      <c r="A5146" s="2">
        <v>1287</v>
      </c>
      <c r="B5146" s="2">
        <v>8</v>
      </c>
      <c r="C5146" s="2">
        <v>50288661</v>
      </c>
      <c r="D5146" s="2">
        <v>51461455</v>
      </c>
      <c r="E5146" s="2">
        <v>4</v>
      </c>
      <c r="F5146" s="2" t="s">
        <v>10086</v>
      </c>
      <c r="H5146" s="3">
        <v>2.9999999999999997E-4</v>
      </c>
      <c r="K5146" s="2" t="s">
        <v>10088</v>
      </c>
    </row>
    <row r="5147" spans="1:11" x14ac:dyDescent="0.2">
      <c r="A5147" s="2">
        <v>1288</v>
      </c>
      <c r="B5147" s="2">
        <v>8</v>
      </c>
      <c r="C5147" s="2">
        <v>51461456</v>
      </c>
      <c r="D5147" s="2">
        <v>52326236</v>
      </c>
      <c r="E5147" s="2">
        <v>1</v>
      </c>
      <c r="F5147" s="2" t="s">
        <v>10086</v>
      </c>
      <c r="H5147" s="2">
        <v>1.01E-2</v>
      </c>
      <c r="K5147" s="2" t="s">
        <v>10087</v>
      </c>
    </row>
    <row r="5148" spans="1:11" x14ac:dyDescent="0.2">
      <c r="A5148" s="2">
        <v>1288</v>
      </c>
      <c r="B5148" s="2">
        <v>8</v>
      </c>
      <c r="C5148" s="2">
        <v>51461456</v>
      </c>
      <c r="D5148" s="2">
        <v>52326236</v>
      </c>
      <c r="E5148" s="2">
        <v>2</v>
      </c>
      <c r="F5148" s="2" t="s">
        <v>10086</v>
      </c>
      <c r="H5148" s="2">
        <v>1.4E-3</v>
      </c>
      <c r="K5148" s="2" t="s">
        <v>10089</v>
      </c>
    </row>
    <row r="5149" spans="1:11" x14ac:dyDescent="0.2">
      <c r="A5149" s="2">
        <v>1288</v>
      </c>
      <c r="B5149" s="2">
        <v>8</v>
      </c>
      <c r="C5149" s="2">
        <v>51461456</v>
      </c>
      <c r="D5149" s="2">
        <v>52326236</v>
      </c>
      <c r="E5149" s="2">
        <v>3</v>
      </c>
      <c r="F5149" s="2" t="s">
        <v>10086</v>
      </c>
      <c r="H5149" s="2">
        <v>1.4E-3</v>
      </c>
      <c r="K5149" s="2" t="s">
        <v>10085</v>
      </c>
    </row>
    <row r="5150" spans="1:11" x14ac:dyDescent="0.2">
      <c r="A5150" s="2">
        <v>1288</v>
      </c>
      <c r="B5150" s="2">
        <v>8</v>
      </c>
      <c r="C5150" s="2">
        <v>51461456</v>
      </c>
      <c r="D5150" s="2">
        <v>52326236</v>
      </c>
      <c r="E5150" s="2">
        <v>4</v>
      </c>
      <c r="F5150" s="2" t="s">
        <v>10086</v>
      </c>
      <c r="H5150" s="3">
        <v>8.0000000000000004E-4</v>
      </c>
      <c r="K5150" s="2" t="s">
        <v>10088</v>
      </c>
    </row>
    <row r="5151" spans="1:11" x14ac:dyDescent="0.2">
      <c r="A5151" s="2">
        <v>1289</v>
      </c>
      <c r="B5151" s="2">
        <v>8</v>
      </c>
      <c r="C5151" s="2">
        <v>52326237</v>
      </c>
      <c r="D5151" s="2">
        <v>53108910</v>
      </c>
      <c r="E5151" s="2">
        <v>1</v>
      </c>
      <c r="F5151" s="2" t="s">
        <v>10086</v>
      </c>
      <c r="H5151" s="2">
        <v>2.0999999999999999E-3</v>
      </c>
      <c r="K5151" s="2" t="s">
        <v>10088</v>
      </c>
    </row>
    <row r="5152" spans="1:11" x14ac:dyDescent="0.2">
      <c r="A5152" s="2">
        <v>1289</v>
      </c>
      <c r="B5152" s="2">
        <v>8</v>
      </c>
      <c r="C5152" s="2">
        <v>52326237</v>
      </c>
      <c r="D5152" s="2">
        <v>53108910</v>
      </c>
      <c r="E5152" s="2">
        <v>2</v>
      </c>
      <c r="F5152" s="2" t="s">
        <v>10086</v>
      </c>
      <c r="H5152" s="2">
        <v>1.1000000000000001E-3</v>
      </c>
      <c r="K5152" s="2" t="s">
        <v>10087</v>
      </c>
    </row>
    <row r="5153" spans="1:11" x14ac:dyDescent="0.2">
      <c r="A5153" s="2">
        <v>1289</v>
      </c>
      <c r="B5153" s="2">
        <v>8</v>
      </c>
      <c r="C5153" s="2">
        <v>52326237</v>
      </c>
      <c r="D5153" s="2">
        <v>53108910</v>
      </c>
      <c r="E5153" s="2">
        <v>3</v>
      </c>
      <c r="F5153" s="2" t="s">
        <v>10086</v>
      </c>
      <c r="H5153" s="2">
        <v>1E-3</v>
      </c>
      <c r="K5153" s="2" t="s">
        <v>10085</v>
      </c>
    </row>
    <row r="5154" spans="1:11" x14ac:dyDescent="0.2">
      <c r="A5154" s="2">
        <v>1289</v>
      </c>
      <c r="B5154" s="2">
        <v>8</v>
      </c>
      <c r="C5154" s="2">
        <v>52326237</v>
      </c>
      <c r="D5154" s="2">
        <v>53108910</v>
      </c>
      <c r="E5154" s="2">
        <v>4</v>
      </c>
      <c r="F5154" s="2" t="s">
        <v>10086</v>
      </c>
      <c r="H5154" s="3">
        <v>5.9999999999999995E-4</v>
      </c>
      <c r="K5154" s="2" t="s">
        <v>10089</v>
      </c>
    </row>
    <row r="5155" spans="1:11" x14ac:dyDescent="0.2">
      <c r="A5155" s="2">
        <v>1290</v>
      </c>
      <c r="B5155" s="2">
        <v>8</v>
      </c>
      <c r="C5155" s="2">
        <v>53108911</v>
      </c>
      <c r="D5155" s="2">
        <v>54119373</v>
      </c>
      <c r="E5155" s="2">
        <v>1</v>
      </c>
      <c r="F5155" s="2" t="s">
        <v>10086</v>
      </c>
      <c r="H5155" s="2">
        <v>1E-3</v>
      </c>
      <c r="K5155" s="2" t="s">
        <v>10089</v>
      </c>
    </row>
    <row r="5156" spans="1:11" x14ac:dyDescent="0.2">
      <c r="A5156" s="2">
        <v>1290</v>
      </c>
      <c r="B5156" s="2">
        <v>8</v>
      </c>
      <c r="C5156" s="2">
        <v>53108911</v>
      </c>
      <c r="D5156" s="2">
        <v>54119373</v>
      </c>
      <c r="E5156" s="2">
        <v>2</v>
      </c>
      <c r="F5156" s="2" t="s">
        <v>10086</v>
      </c>
      <c r="H5156" s="2">
        <v>1E-3</v>
      </c>
      <c r="K5156" s="2" t="s">
        <v>10087</v>
      </c>
    </row>
    <row r="5157" spans="1:11" x14ac:dyDescent="0.2">
      <c r="A5157" s="2">
        <v>1290</v>
      </c>
      <c r="B5157" s="2">
        <v>8</v>
      </c>
      <c r="C5157" s="2">
        <v>53108911</v>
      </c>
      <c r="D5157" s="2">
        <v>54119373</v>
      </c>
      <c r="E5157" s="2">
        <v>3</v>
      </c>
      <c r="F5157" s="2" t="s">
        <v>10086</v>
      </c>
      <c r="H5157" s="3">
        <v>5.9999999999999995E-4</v>
      </c>
      <c r="K5157" s="2" t="s">
        <v>10085</v>
      </c>
    </row>
    <row r="5158" spans="1:11" x14ac:dyDescent="0.2">
      <c r="A5158" s="2">
        <v>1290</v>
      </c>
      <c r="B5158" s="2">
        <v>8</v>
      </c>
      <c r="C5158" s="2">
        <v>53108911</v>
      </c>
      <c r="D5158" s="2">
        <v>54119373</v>
      </c>
      <c r="E5158" s="2">
        <v>4</v>
      </c>
      <c r="F5158" s="2" t="s">
        <v>10086</v>
      </c>
      <c r="H5158" s="3">
        <v>2.9999999999999997E-4</v>
      </c>
      <c r="K5158" s="2" t="s">
        <v>10088</v>
      </c>
    </row>
    <row r="5159" spans="1:11" x14ac:dyDescent="0.2">
      <c r="A5159" s="2">
        <v>1291</v>
      </c>
      <c r="B5159" s="2">
        <v>8</v>
      </c>
      <c r="C5159" s="2">
        <v>54119374</v>
      </c>
      <c r="D5159" s="2">
        <v>55275354</v>
      </c>
      <c r="E5159" s="2">
        <v>1</v>
      </c>
      <c r="F5159" s="2" t="s">
        <v>10086</v>
      </c>
      <c r="H5159" s="2">
        <v>3.8999999999999998E-3</v>
      </c>
      <c r="K5159" s="2" t="s">
        <v>10085</v>
      </c>
    </row>
    <row r="5160" spans="1:11" x14ac:dyDescent="0.2">
      <c r="A5160" s="2">
        <v>1291</v>
      </c>
      <c r="B5160" s="2">
        <v>8</v>
      </c>
      <c r="C5160" s="2">
        <v>54119374</v>
      </c>
      <c r="D5160" s="2">
        <v>55275354</v>
      </c>
      <c r="E5160" s="2">
        <v>2</v>
      </c>
      <c r="F5160" s="2" t="s">
        <v>10086</v>
      </c>
      <c r="H5160" s="2">
        <v>2.0999999999999999E-3</v>
      </c>
      <c r="K5160" s="2" t="s">
        <v>10087</v>
      </c>
    </row>
    <row r="5161" spans="1:11" x14ac:dyDescent="0.2">
      <c r="A5161" s="2">
        <v>1291</v>
      </c>
      <c r="B5161" s="2">
        <v>8</v>
      </c>
      <c r="C5161" s="2">
        <v>54119374</v>
      </c>
      <c r="D5161" s="2">
        <v>55275354</v>
      </c>
      <c r="E5161" s="2">
        <v>3</v>
      </c>
      <c r="F5161" s="2" t="s">
        <v>10086</v>
      </c>
      <c r="H5161" s="2">
        <v>1.4E-3</v>
      </c>
      <c r="K5161" s="2" t="s">
        <v>10088</v>
      </c>
    </row>
    <row r="5162" spans="1:11" x14ac:dyDescent="0.2">
      <c r="A5162" s="2">
        <v>1291</v>
      </c>
      <c r="B5162" s="2">
        <v>8</v>
      </c>
      <c r="C5162" s="2">
        <v>54119374</v>
      </c>
      <c r="D5162" s="2">
        <v>55275354</v>
      </c>
      <c r="E5162" s="2">
        <v>4</v>
      </c>
      <c r="F5162" s="2" t="s">
        <v>10086</v>
      </c>
      <c r="H5162" s="3">
        <v>4.0000000000000002E-4</v>
      </c>
      <c r="K5162" s="2" t="s">
        <v>10089</v>
      </c>
    </row>
    <row r="5163" spans="1:11" x14ac:dyDescent="0.2">
      <c r="A5163" s="2">
        <v>1292</v>
      </c>
      <c r="B5163" s="2">
        <v>8</v>
      </c>
      <c r="C5163" s="2">
        <v>55275355</v>
      </c>
      <c r="D5163" s="2">
        <v>56346878</v>
      </c>
      <c r="E5163" s="2">
        <v>1</v>
      </c>
      <c r="F5163" s="2" t="s">
        <v>10086</v>
      </c>
      <c r="H5163" s="2">
        <v>1.6000000000000001E-3</v>
      </c>
      <c r="K5163" s="2" t="s">
        <v>10089</v>
      </c>
    </row>
    <row r="5164" spans="1:11" x14ac:dyDescent="0.2">
      <c r="A5164" s="2">
        <v>1292</v>
      </c>
      <c r="B5164" s="2">
        <v>8</v>
      </c>
      <c r="C5164" s="2">
        <v>55275355</v>
      </c>
      <c r="D5164" s="2">
        <v>56346878</v>
      </c>
      <c r="E5164" s="2">
        <v>2</v>
      </c>
      <c r="F5164" s="2" t="s">
        <v>10086</v>
      </c>
      <c r="H5164" s="2">
        <v>1E-3</v>
      </c>
      <c r="K5164" s="2" t="s">
        <v>10087</v>
      </c>
    </row>
    <row r="5165" spans="1:11" x14ac:dyDescent="0.2">
      <c r="A5165" s="2">
        <v>1292</v>
      </c>
      <c r="B5165" s="2">
        <v>8</v>
      </c>
      <c r="C5165" s="2">
        <v>55275355</v>
      </c>
      <c r="D5165" s="2">
        <v>56346878</v>
      </c>
      <c r="E5165" s="2">
        <v>3</v>
      </c>
      <c r="F5165" s="2" t="s">
        <v>10086</v>
      </c>
      <c r="H5165" s="3">
        <v>8.0000000000000004E-4</v>
      </c>
      <c r="K5165" s="2" t="s">
        <v>10085</v>
      </c>
    </row>
    <row r="5166" spans="1:11" x14ac:dyDescent="0.2">
      <c r="A5166" s="2">
        <v>1292</v>
      </c>
      <c r="B5166" s="2">
        <v>8</v>
      </c>
      <c r="C5166" s="2">
        <v>55275355</v>
      </c>
      <c r="D5166" s="2">
        <v>56346878</v>
      </c>
      <c r="E5166" s="2">
        <v>4</v>
      </c>
      <c r="F5166" s="2" t="s">
        <v>10086</v>
      </c>
      <c r="H5166" s="3">
        <v>4.0000000000000002E-4</v>
      </c>
      <c r="K5166" s="2" t="s">
        <v>10088</v>
      </c>
    </row>
    <row r="5167" spans="1:11" x14ac:dyDescent="0.2">
      <c r="A5167" s="2">
        <v>1293</v>
      </c>
      <c r="B5167" s="2">
        <v>8</v>
      </c>
      <c r="C5167" s="2">
        <v>56346879</v>
      </c>
      <c r="D5167" s="2">
        <v>57436722</v>
      </c>
      <c r="E5167" s="2">
        <v>1</v>
      </c>
      <c r="F5167" s="2" t="s">
        <v>10086</v>
      </c>
      <c r="H5167" s="2">
        <v>1.1000000000000001E-3</v>
      </c>
      <c r="K5167" s="2" t="s">
        <v>10085</v>
      </c>
    </row>
    <row r="5168" spans="1:11" x14ac:dyDescent="0.2">
      <c r="A5168" s="2">
        <v>1293</v>
      </c>
      <c r="B5168" s="2">
        <v>8</v>
      </c>
      <c r="C5168" s="2">
        <v>56346879</v>
      </c>
      <c r="D5168" s="2">
        <v>57436722</v>
      </c>
      <c r="E5168" s="2">
        <v>2</v>
      </c>
      <c r="F5168" s="2" t="s">
        <v>10086</v>
      </c>
      <c r="H5168" s="3">
        <v>8.9999999999999998E-4</v>
      </c>
      <c r="K5168" s="2" t="s">
        <v>10089</v>
      </c>
    </row>
    <row r="5169" spans="1:11" x14ac:dyDescent="0.2">
      <c r="A5169" s="2">
        <v>1293</v>
      </c>
      <c r="B5169" s="2">
        <v>8</v>
      </c>
      <c r="C5169" s="2">
        <v>56346879</v>
      </c>
      <c r="D5169" s="2">
        <v>57436722</v>
      </c>
      <c r="E5169" s="2">
        <v>3</v>
      </c>
      <c r="F5169" s="2" t="s">
        <v>10086</v>
      </c>
      <c r="H5169" s="2">
        <v>1E-3</v>
      </c>
      <c r="K5169" s="2" t="s">
        <v>10087</v>
      </c>
    </row>
    <row r="5170" spans="1:11" x14ac:dyDescent="0.2">
      <c r="A5170" s="2">
        <v>1293</v>
      </c>
      <c r="B5170" s="2">
        <v>8</v>
      </c>
      <c r="C5170" s="2">
        <v>56346879</v>
      </c>
      <c r="D5170" s="2">
        <v>57436722</v>
      </c>
      <c r="E5170" s="2">
        <v>4</v>
      </c>
      <c r="F5170" s="2" t="s">
        <v>10086</v>
      </c>
      <c r="H5170" s="3">
        <v>5.0000000000000001E-4</v>
      </c>
      <c r="K5170" s="2" t="s">
        <v>10088</v>
      </c>
    </row>
    <row r="5171" spans="1:11" x14ac:dyDescent="0.2">
      <c r="A5171" s="2">
        <v>1294</v>
      </c>
      <c r="B5171" s="2">
        <v>8</v>
      </c>
      <c r="C5171" s="2">
        <v>57436723</v>
      </c>
      <c r="D5171" s="2">
        <v>58675117</v>
      </c>
      <c r="E5171" s="2">
        <v>1</v>
      </c>
      <c r="F5171" s="2" t="s">
        <v>10086</v>
      </c>
      <c r="H5171" s="2">
        <v>2.3E-3</v>
      </c>
      <c r="K5171" s="2" t="s">
        <v>10087</v>
      </c>
    </row>
    <row r="5172" spans="1:11" x14ac:dyDescent="0.2">
      <c r="A5172" s="2">
        <v>1294</v>
      </c>
      <c r="B5172" s="2">
        <v>8</v>
      </c>
      <c r="C5172" s="2">
        <v>57436723</v>
      </c>
      <c r="D5172" s="2">
        <v>58675117</v>
      </c>
      <c r="E5172" s="2">
        <v>2</v>
      </c>
      <c r="F5172" s="2" t="s">
        <v>10086</v>
      </c>
      <c r="H5172" s="2">
        <v>2.2000000000000001E-3</v>
      </c>
      <c r="K5172" s="2" t="s">
        <v>10089</v>
      </c>
    </row>
    <row r="5173" spans="1:11" x14ac:dyDescent="0.2">
      <c r="A5173" s="2">
        <v>1294</v>
      </c>
      <c r="B5173" s="2">
        <v>8</v>
      </c>
      <c r="C5173" s="2">
        <v>57436723</v>
      </c>
      <c r="D5173" s="2">
        <v>58675117</v>
      </c>
      <c r="E5173" s="2">
        <v>3</v>
      </c>
      <c r="F5173" s="2" t="s">
        <v>10086</v>
      </c>
      <c r="H5173" s="3">
        <v>8.9999999999999998E-4</v>
      </c>
      <c r="K5173" s="2" t="s">
        <v>10088</v>
      </c>
    </row>
    <row r="5174" spans="1:11" x14ac:dyDescent="0.2">
      <c r="A5174" s="2">
        <v>1294</v>
      </c>
      <c r="B5174" s="2">
        <v>8</v>
      </c>
      <c r="C5174" s="2">
        <v>57436723</v>
      </c>
      <c r="D5174" s="2">
        <v>58675117</v>
      </c>
      <c r="E5174" s="2">
        <v>4</v>
      </c>
      <c r="F5174" s="2" t="s">
        <v>10086</v>
      </c>
      <c r="H5174" s="3">
        <v>4.0000000000000002E-4</v>
      </c>
      <c r="K5174" s="2" t="s">
        <v>10085</v>
      </c>
    </row>
    <row r="5175" spans="1:11" x14ac:dyDescent="0.2">
      <c r="A5175" s="2">
        <v>1295</v>
      </c>
      <c r="B5175" s="2">
        <v>8</v>
      </c>
      <c r="C5175" s="2">
        <v>58675118</v>
      </c>
      <c r="D5175" s="2">
        <v>59555977</v>
      </c>
      <c r="E5175" s="2">
        <v>1</v>
      </c>
      <c r="F5175" s="2" t="s">
        <v>10086</v>
      </c>
      <c r="H5175" s="2">
        <v>1.1999999999999999E-3</v>
      </c>
      <c r="K5175" s="2" t="s">
        <v>10089</v>
      </c>
    </row>
    <row r="5176" spans="1:11" x14ac:dyDescent="0.2">
      <c r="A5176" s="2">
        <v>1295</v>
      </c>
      <c r="B5176" s="2">
        <v>8</v>
      </c>
      <c r="C5176" s="2">
        <v>58675118</v>
      </c>
      <c r="D5176" s="2">
        <v>59555977</v>
      </c>
      <c r="E5176" s="2">
        <v>2</v>
      </c>
      <c r="F5176" s="2" t="s">
        <v>10086</v>
      </c>
      <c r="H5176" s="2">
        <v>1.1000000000000001E-3</v>
      </c>
      <c r="K5176" s="2" t="s">
        <v>10088</v>
      </c>
    </row>
    <row r="5177" spans="1:11" x14ac:dyDescent="0.2">
      <c r="A5177" s="2">
        <v>1295</v>
      </c>
      <c r="B5177" s="2">
        <v>8</v>
      </c>
      <c r="C5177" s="2">
        <v>58675118</v>
      </c>
      <c r="D5177" s="2">
        <v>59555977</v>
      </c>
      <c r="E5177" s="2">
        <v>3</v>
      </c>
      <c r="F5177" s="2" t="s">
        <v>10086</v>
      </c>
      <c r="H5177" s="3">
        <v>8.0000000000000004E-4</v>
      </c>
      <c r="K5177" s="2" t="s">
        <v>10085</v>
      </c>
    </row>
    <row r="5178" spans="1:11" x14ac:dyDescent="0.2">
      <c r="A5178" s="2">
        <v>1295</v>
      </c>
      <c r="B5178" s="2">
        <v>8</v>
      </c>
      <c r="C5178" s="2">
        <v>58675118</v>
      </c>
      <c r="D5178" s="2">
        <v>59555977</v>
      </c>
      <c r="E5178" s="2">
        <v>4</v>
      </c>
      <c r="F5178" s="2" t="s">
        <v>10086</v>
      </c>
      <c r="H5178" s="3">
        <v>2.9999999999999997E-4</v>
      </c>
      <c r="K5178" s="2" t="s">
        <v>10087</v>
      </c>
    </row>
    <row r="5179" spans="1:11" x14ac:dyDescent="0.2">
      <c r="A5179" s="2">
        <v>1296</v>
      </c>
      <c r="B5179" s="2">
        <v>8</v>
      </c>
      <c r="C5179" s="2">
        <v>59555978</v>
      </c>
      <c r="D5179" s="2">
        <v>60476248</v>
      </c>
      <c r="E5179" s="2">
        <v>1</v>
      </c>
      <c r="F5179" s="2" t="s">
        <v>10086</v>
      </c>
      <c r="H5179" s="2">
        <v>6.7999999999999996E-3</v>
      </c>
      <c r="K5179" s="2" t="s">
        <v>10088</v>
      </c>
    </row>
    <row r="5180" spans="1:11" x14ac:dyDescent="0.2">
      <c r="A5180" s="2">
        <v>1296</v>
      </c>
      <c r="B5180" s="2">
        <v>8</v>
      </c>
      <c r="C5180" s="2">
        <v>59555978</v>
      </c>
      <c r="D5180" s="2">
        <v>60476248</v>
      </c>
      <c r="E5180" s="2">
        <v>2</v>
      </c>
      <c r="F5180" s="2" t="s">
        <v>10086</v>
      </c>
      <c r="H5180" s="2">
        <v>1.6999999999999999E-3</v>
      </c>
      <c r="K5180" s="2" t="s">
        <v>10087</v>
      </c>
    </row>
    <row r="5181" spans="1:11" x14ac:dyDescent="0.2">
      <c r="A5181" s="2">
        <v>1296</v>
      </c>
      <c r="B5181" s="2">
        <v>8</v>
      </c>
      <c r="C5181" s="2">
        <v>59555978</v>
      </c>
      <c r="D5181" s="2">
        <v>60476248</v>
      </c>
      <c r="E5181" s="2">
        <v>3</v>
      </c>
      <c r="F5181" s="2" t="s">
        <v>10086</v>
      </c>
      <c r="H5181" s="2">
        <v>1E-3</v>
      </c>
      <c r="K5181" s="2" t="s">
        <v>10085</v>
      </c>
    </row>
    <row r="5182" spans="1:11" x14ac:dyDescent="0.2">
      <c r="A5182" s="2">
        <v>1296</v>
      </c>
      <c r="B5182" s="2">
        <v>8</v>
      </c>
      <c r="C5182" s="2">
        <v>59555978</v>
      </c>
      <c r="D5182" s="2">
        <v>60476248</v>
      </c>
      <c r="E5182" s="2">
        <v>4</v>
      </c>
      <c r="F5182" s="2" t="s">
        <v>10086</v>
      </c>
      <c r="H5182" s="3">
        <v>4.0000000000000002E-4</v>
      </c>
      <c r="K5182" s="2" t="s">
        <v>10089</v>
      </c>
    </row>
    <row r="5183" spans="1:11" x14ac:dyDescent="0.2">
      <c r="A5183" s="2">
        <v>1297</v>
      </c>
      <c r="B5183" s="2">
        <v>8</v>
      </c>
      <c r="C5183" s="2">
        <v>60476249</v>
      </c>
      <c r="D5183" s="2">
        <v>61324889</v>
      </c>
      <c r="E5183" s="2">
        <v>1</v>
      </c>
      <c r="F5183" s="2" t="s">
        <v>10086</v>
      </c>
      <c r="H5183" s="2">
        <v>2.5999999999999999E-3</v>
      </c>
      <c r="K5183" s="2" t="s">
        <v>10085</v>
      </c>
    </row>
    <row r="5184" spans="1:11" x14ac:dyDescent="0.2">
      <c r="A5184" s="2">
        <v>1297</v>
      </c>
      <c r="B5184" s="2">
        <v>8</v>
      </c>
      <c r="C5184" s="2">
        <v>60476249</v>
      </c>
      <c r="D5184" s="2">
        <v>61324889</v>
      </c>
      <c r="E5184" s="2">
        <v>2</v>
      </c>
      <c r="F5184" s="2" t="s">
        <v>10086</v>
      </c>
      <c r="H5184" s="2">
        <v>1.9E-3</v>
      </c>
      <c r="K5184" s="2" t="s">
        <v>10087</v>
      </c>
    </row>
    <row r="5185" spans="1:11" x14ac:dyDescent="0.2">
      <c r="A5185" s="2">
        <v>1297</v>
      </c>
      <c r="B5185" s="2">
        <v>8</v>
      </c>
      <c r="C5185" s="2">
        <v>60476249</v>
      </c>
      <c r="D5185" s="2">
        <v>61324889</v>
      </c>
      <c r="E5185" s="2">
        <v>3</v>
      </c>
      <c r="F5185" s="2" t="s">
        <v>10086</v>
      </c>
      <c r="H5185" s="3">
        <v>8.0000000000000004E-4</v>
      </c>
      <c r="K5185" s="2" t="s">
        <v>10088</v>
      </c>
    </row>
    <row r="5186" spans="1:11" x14ac:dyDescent="0.2">
      <c r="A5186" s="2">
        <v>1297</v>
      </c>
      <c r="B5186" s="2">
        <v>8</v>
      </c>
      <c r="C5186" s="2">
        <v>60476249</v>
      </c>
      <c r="D5186" s="2">
        <v>61324889</v>
      </c>
      <c r="E5186" s="2">
        <v>4</v>
      </c>
      <c r="F5186" s="2" t="s">
        <v>10086</v>
      </c>
      <c r="H5186" s="3">
        <v>5.9999999999999995E-4</v>
      </c>
      <c r="K5186" s="2" t="s">
        <v>12324</v>
      </c>
    </row>
    <row r="5187" spans="1:11" x14ac:dyDescent="0.2">
      <c r="A5187" s="2">
        <v>1298</v>
      </c>
      <c r="B5187" s="2">
        <v>8</v>
      </c>
      <c r="C5187" s="2">
        <v>61324890</v>
      </c>
      <c r="D5187" s="2">
        <v>62330900</v>
      </c>
      <c r="E5187" s="2">
        <v>1</v>
      </c>
      <c r="F5187" s="2" t="s">
        <v>10086</v>
      </c>
      <c r="H5187" s="2">
        <v>1.2999999999999999E-3</v>
      </c>
      <c r="K5187" s="2" t="s">
        <v>10088</v>
      </c>
    </row>
    <row r="5188" spans="1:11" x14ac:dyDescent="0.2">
      <c r="A5188" s="2">
        <v>1298</v>
      </c>
      <c r="B5188" s="2">
        <v>8</v>
      </c>
      <c r="C5188" s="2">
        <v>61324890</v>
      </c>
      <c r="D5188" s="2">
        <v>62330900</v>
      </c>
      <c r="E5188" s="2">
        <v>2</v>
      </c>
      <c r="F5188" s="2" t="s">
        <v>10086</v>
      </c>
      <c r="H5188" s="2">
        <v>1.1999999999999999E-3</v>
      </c>
      <c r="K5188" s="2" t="s">
        <v>10085</v>
      </c>
    </row>
    <row r="5189" spans="1:11" x14ac:dyDescent="0.2">
      <c r="A5189" s="2">
        <v>1298</v>
      </c>
      <c r="B5189" s="2">
        <v>8</v>
      </c>
      <c r="C5189" s="2">
        <v>61324890</v>
      </c>
      <c r="D5189" s="2">
        <v>62330900</v>
      </c>
      <c r="E5189" s="2">
        <v>3</v>
      </c>
      <c r="F5189" s="2" t="s">
        <v>10086</v>
      </c>
      <c r="H5189" s="3">
        <v>8.9999999999999998E-4</v>
      </c>
      <c r="K5189" s="2" t="s">
        <v>10087</v>
      </c>
    </row>
    <row r="5190" spans="1:11" x14ac:dyDescent="0.2">
      <c r="A5190" s="2">
        <v>1298</v>
      </c>
      <c r="B5190" s="2">
        <v>8</v>
      </c>
      <c r="C5190" s="2">
        <v>61324890</v>
      </c>
      <c r="D5190" s="2">
        <v>62330900</v>
      </c>
      <c r="E5190" s="2">
        <v>4</v>
      </c>
      <c r="F5190" s="2" t="s">
        <v>10086</v>
      </c>
      <c r="H5190" s="3">
        <v>4.0000000000000002E-4</v>
      </c>
      <c r="K5190" s="2" t="s">
        <v>10089</v>
      </c>
    </row>
    <row r="5191" spans="1:11" x14ac:dyDescent="0.2">
      <c r="A5191" s="2">
        <v>1299</v>
      </c>
      <c r="B5191" s="2">
        <v>8</v>
      </c>
      <c r="C5191" s="2">
        <v>62330901</v>
      </c>
      <c r="D5191" s="2">
        <v>63253462</v>
      </c>
      <c r="E5191" s="2">
        <v>1</v>
      </c>
      <c r="F5191" s="2" t="s">
        <v>10086</v>
      </c>
      <c r="H5191" s="2">
        <v>1.6999999999999999E-3</v>
      </c>
      <c r="K5191" s="2" t="s">
        <v>10088</v>
      </c>
    </row>
    <row r="5192" spans="1:11" x14ac:dyDescent="0.2">
      <c r="A5192" s="2">
        <v>1299</v>
      </c>
      <c r="B5192" s="2">
        <v>8</v>
      </c>
      <c r="C5192" s="2">
        <v>62330901</v>
      </c>
      <c r="D5192" s="2">
        <v>63253462</v>
      </c>
      <c r="E5192" s="2">
        <v>2</v>
      </c>
      <c r="F5192" s="2" t="s">
        <v>10086</v>
      </c>
      <c r="H5192" s="3">
        <v>8.9999999999999998E-4</v>
      </c>
      <c r="K5192" s="2" t="s">
        <v>10085</v>
      </c>
    </row>
    <row r="5193" spans="1:11" x14ac:dyDescent="0.2">
      <c r="A5193" s="2">
        <v>1299</v>
      </c>
      <c r="B5193" s="2">
        <v>8</v>
      </c>
      <c r="C5193" s="2">
        <v>62330901</v>
      </c>
      <c r="D5193" s="2">
        <v>63253462</v>
      </c>
      <c r="E5193" s="2">
        <v>3</v>
      </c>
      <c r="F5193" s="2" t="s">
        <v>10086</v>
      </c>
      <c r="H5193" s="3">
        <v>6.9999999999999999E-4</v>
      </c>
      <c r="K5193" s="2" t="s">
        <v>12324</v>
      </c>
    </row>
    <row r="5194" spans="1:11" x14ac:dyDescent="0.2">
      <c r="A5194" s="2">
        <v>1299</v>
      </c>
      <c r="B5194" s="2">
        <v>8</v>
      </c>
      <c r="C5194" s="2">
        <v>62330901</v>
      </c>
      <c r="D5194" s="2">
        <v>63253462</v>
      </c>
      <c r="E5194" s="2">
        <v>4</v>
      </c>
      <c r="F5194" s="2" t="s">
        <v>10086</v>
      </c>
      <c r="H5194" s="3">
        <v>5.0000000000000001E-4</v>
      </c>
      <c r="K5194" s="2" t="s">
        <v>10087</v>
      </c>
    </row>
    <row r="5195" spans="1:11" x14ac:dyDescent="0.2">
      <c r="A5195" s="2">
        <v>1300</v>
      </c>
      <c r="B5195" s="2">
        <v>8</v>
      </c>
      <c r="C5195" s="2">
        <v>63253463</v>
      </c>
      <c r="D5195" s="2">
        <v>64215358</v>
      </c>
      <c r="E5195" s="2">
        <v>1</v>
      </c>
      <c r="F5195" s="2" t="s">
        <v>10086</v>
      </c>
      <c r="H5195" s="2">
        <v>1.5E-3</v>
      </c>
      <c r="K5195" s="2" t="s">
        <v>10089</v>
      </c>
    </row>
    <row r="5196" spans="1:11" x14ac:dyDescent="0.2">
      <c r="A5196" s="2">
        <v>1300</v>
      </c>
      <c r="B5196" s="2">
        <v>8</v>
      </c>
      <c r="C5196" s="2">
        <v>63253463</v>
      </c>
      <c r="D5196" s="2">
        <v>64215358</v>
      </c>
      <c r="E5196" s="2">
        <v>2</v>
      </c>
      <c r="F5196" s="2" t="s">
        <v>10086</v>
      </c>
      <c r="H5196" s="2">
        <v>1E-3</v>
      </c>
      <c r="K5196" s="2" t="s">
        <v>10085</v>
      </c>
    </row>
    <row r="5197" spans="1:11" x14ac:dyDescent="0.2">
      <c r="A5197" s="2">
        <v>1300</v>
      </c>
      <c r="B5197" s="2">
        <v>8</v>
      </c>
      <c r="C5197" s="2">
        <v>63253463</v>
      </c>
      <c r="D5197" s="2">
        <v>64215358</v>
      </c>
      <c r="E5197" s="2">
        <v>3</v>
      </c>
      <c r="F5197" s="2" t="s">
        <v>10086</v>
      </c>
      <c r="H5197" s="2">
        <v>1E-3</v>
      </c>
      <c r="K5197" s="2" t="s">
        <v>10087</v>
      </c>
    </row>
    <row r="5198" spans="1:11" x14ac:dyDescent="0.2">
      <c r="A5198" s="2">
        <v>1300</v>
      </c>
      <c r="B5198" s="2">
        <v>8</v>
      </c>
      <c r="C5198" s="2">
        <v>63253463</v>
      </c>
      <c r="D5198" s="2">
        <v>64215358</v>
      </c>
      <c r="E5198" s="2">
        <v>4</v>
      </c>
      <c r="F5198" s="2" t="s">
        <v>10086</v>
      </c>
      <c r="H5198" s="3">
        <v>4.0000000000000002E-4</v>
      </c>
      <c r="K5198" s="2" t="s">
        <v>10088</v>
      </c>
    </row>
    <row r="5199" spans="1:11" x14ac:dyDescent="0.2">
      <c r="A5199" s="2">
        <v>1301</v>
      </c>
      <c r="B5199" s="2">
        <v>8</v>
      </c>
      <c r="C5199" s="2">
        <v>64215359</v>
      </c>
      <c r="D5199" s="2">
        <v>66018204</v>
      </c>
      <c r="E5199" s="2">
        <v>1</v>
      </c>
      <c r="F5199" s="2" t="s">
        <v>10086</v>
      </c>
      <c r="H5199" s="2">
        <v>1.8E-3</v>
      </c>
      <c r="K5199" s="2" t="s">
        <v>10088</v>
      </c>
    </row>
    <row r="5200" spans="1:11" x14ac:dyDescent="0.2">
      <c r="A5200" s="2">
        <v>1301</v>
      </c>
      <c r="B5200" s="2">
        <v>8</v>
      </c>
      <c r="C5200" s="2">
        <v>64215359</v>
      </c>
      <c r="D5200" s="2">
        <v>66018204</v>
      </c>
      <c r="E5200" s="2">
        <v>2</v>
      </c>
      <c r="F5200" s="2" t="s">
        <v>10086</v>
      </c>
      <c r="H5200" s="2">
        <v>1.6000000000000001E-3</v>
      </c>
      <c r="K5200" s="2" t="s">
        <v>10089</v>
      </c>
    </row>
    <row r="5201" spans="1:11" x14ac:dyDescent="0.2">
      <c r="A5201" s="2">
        <v>1301</v>
      </c>
      <c r="B5201" s="2">
        <v>8</v>
      </c>
      <c r="C5201" s="2">
        <v>64215359</v>
      </c>
      <c r="D5201" s="2">
        <v>66018204</v>
      </c>
      <c r="E5201" s="2">
        <v>3</v>
      </c>
      <c r="F5201" s="2" t="s">
        <v>10086</v>
      </c>
      <c r="H5201" s="2">
        <v>1.2999999999999999E-3</v>
      </c>
      <c r="K5201" s="2" t="s">
        <v>10085</v>
      </c>
    </row>
    <row r="5202" spans="1:11" x14ac:dyDescent="0.2">
      <c r="A5202" s="2">
        <v>1301</v>
      </c>
      <c r="B5202" s="2">
        <v>8</v>
      </c>
      <c r="C5202" s="2">
        <v>64215359</v>
      </c>
      <c r="D5202" s="2">
        <v>66018204</v>
      </c>
      <c r="E5202" s="2">
        <v>4</v>
      </c>
      <c r="F5202" s="2" t="s">
        <v>10086</v>
      </c>
      <c r="H5202" s="3">
        <v>6.9999999999999999E-4</v>
      </c>
      <c r="K5202" s="2" t="s">
        <v>12324</v>
      </c>
    </row>
    <row r="5203" spans="1:11" x14ac:dyDescent="0.2">
      <c r="A5203" s="2">
        <v>1302</v>
      </c>
      <c r="B5203" s="2">
        <v>8</v>
      </c>
      <c r="C5203" s="2">
        <v>66018205</v>
      </c>
      <c r="D5203" s="2">
        <v>66960438</v>
      </c>
      <c r="E5203" s="2">
        <v>1</v>
      </c>
      <c r="F5203" s="2" t="s">
        <v>10086</v>
      </c>
      <c r="H5203" s="2">
        <v>1.2999999999999999E-3</v>
      </c>
      <c r="K5203" s="2" t="s">
        <v>10088</v>
      </c>
    </row>
    <row r="5204" spans="1:11" x14ac:dyDescent="0.2">
      <c r="A5204" s="2">
        <v>1302</v>
      </c>
      <c r="B5204" s="2">
        <v>8</v>
      </c>
      <c r="C5204" s="2">
        <v>66018205</v>
      </c>
      <c r="D5204" s="2">
        <v>66960438</v>
      </c>
      <c r="E5204" s="2">
        <v>2</v>
      </c>
      <c r="F5204" s="2" t="s">
        <v>10086</v>
      </c>
      <c r="H5204" s="3">
        <v>8.0000000000000004E-4</v>
      </c>
      <c r="K5204" s="2" t="s">
        <v>10087</v>
      </c>
    </row>
    <row r="5205" spans="1:11" x14ac:dyDescent="0.2">
      <c r="A5205" s="2">
        <v>1302</v>
      </c>
      <c r="B5205" s="2">
        <v>8</v>
      </c>
      <c r="C5205" s="2">
        <v>66018205</v>
      </c>
      <c r="D5205" s="2">
        <v>66960438</v>
      </c>
      <c r="E5205" s="2">
        <v>3</v>
      </c>
      <c r="F5205" s="2" t="s">
        <v>10086</v>
      </c>
      <c r="H5205" s="3">
        <v>5.9999999999999995E-4</v>
      </c>
      <c r="K5205" s="2" t="s">
        <v>10085</v>
      </c>
    </row>
    <row r="5206" spans="1:11" x14ac:dyDescent="0.2">
      <c r="A5206" s="2">
        <v>1302</v>
      </c>
      <c r="B5206" s="2">
        <v>8</v>
      </c>
      <c r="C5206" s="2">
        <v>66018205</v>
      </c>
      <c r="D5206" s="2">
        <v>66960438</v>
      </c>
      <c r="E5206" s="2">
        <v>4</v>
      </c>
      <c r="F5206" s="2" t="s">
        <v>10086</v>
      </c>
      <c r="H5206" s="3">
        <v>2.9999999999999997E-4</v>
      </c>
      <c r="K5206" s="2" t="s">
        <v>10089</v>
      </c>
    </row>
    <row r="5207" spans="1:11" x14ac:dyDescent="0.2">
      <c r="A5207" s="2">
        <v>1303</v>
      </c>
      <c r="B5207" s="2">
        <v>8</v>
      </c>
      <c r="C5207" s="2">
        <v>66960439</v>
      </c>
      <c r="D5207" s="2">
        <v>68683823</v>
      </c>
      <c r="E5207" s="2">
        <v>1</v>
      </c>
      <c r="F5207" s="2" t="s">
        <v>10086</v>
      </c>
      <c r="H5207" s="2">
        <v>2E-3</v>
      </c>
      <c r="K5207" s="2" t="s">
        <v>10087</v>
      </c>
    </row>
    <row r="5208" spans="1:11" x14ac:dyDescent="0.2">
      <c r="A5208" s="2">
        <v>1303</v>
      </c>
      <c r="B5208" s="2">
        <v>8</v>
      </c>
      <c r="C5208" s="2">
        <v>66960439</v>
      </c>
      <c r="D5208" s="2">
        <v>68683823</v>
      </c>
      <c r="E5208" s="2">
        <v>2</v>
      </c>
      <c r="F5208" s="2" t="s">
        <v>10086</v>
      </c>
      <c r="H5208" s="2">
        <v>1.9E-3</v>
      </c>
      <c r="K5208" s="2" t="s">
        <v>10089</v>
      </c>
    </row>
    <row r="5209" spans="1:11" x14ac:dyDescent="0.2">
      <c r="A5209" s="2">
        <v>1303</v>
      </c>
      <c r="B5209" s="2">
        <v>8</v>
      </c>
      <c r="C5209" s="2">
        <v>66960439</v>
      </c>
      <c r="D5209" s="2">
        <v>68683823</v>
      </c>
      <c r="E5209" s="2">
        <v>3</v>
      </c>
      <c r="F5209" s="2" t="s">
        <v>10086</v>
      </c>
      <c r="H5209" s="2">
        <v>1.4E-3</v>
      </c>
      <c r="K5209" s="2" t="s">
        <v>10085</v>
      </c>
    </row>
    <row r="5210" spans="1:11" x14ac:dyDescent="0.2">
      <c r="A5210" s="2">
        <v>1303</v>
      </c>
      <c r="B5210" s="2">
        <v>8</v>
      </c>
      <c r="C5210" s="2">
        <v>66960439</v>
      </c>
      <c r="D5210" s="2">
        <v>68683823</v>
      </c>
      <c r="E5210" s="2">
        <v>4</v>
      </c>
      <c r="F5210" s="2" t="s">
        <v>10086</v>
      </c>
      <c r="H5210" s="3">
        <v>5.9999999999999995E-4</v>
      </c>
      <c r="K5210" s="2" t="s">
        <v>10088</v>
      </c>
    </row>
    <row r="5211" spans="1:11" x14ac:dyDescent="0.2">
      <c r="A5211" s="2">
        <v>1304</v>
      </c>
      <c r="B5211" s="2">
        <v>8</v>
      </c>
      <c r="C5211" s="2">
        <v>68683824</v>
      </c>
      <c r="D5211" s="2">
        <v>70004665</v>
      </c>
      <c r="E5211" s="2">
        <v>1</v>
      </c>
      <c r="F5211" s="2" t="s">
        <v>10086</v>
      </c>
      <c r="H5211" s="2">
        <v>5.0000000000000001E-3</v>
      </c>
      <c r="K5211" s="2" t="s">
        <v>10087</v>
      </c>
    </row>
    <row r="5212" spans="1:11" x14ac:dyDescent="0.2">
      <c r="A5212" s="2">
        <v>1304</v>
      </c>
      <c r="B5212" s="2">
        <v>8</v>
      </c>
      <c r="C5212" s="2">
        <v>68683824</v>
      </c>
      <c r="D5212" s="2">
        <v>70004665</v>
      </c>
      <c r="E5212" s="2">
        <v>2</v>
      </c>
      <c r="F5212" s="2" t="s">
        <v>10086</v>
      </c>
      <c r="H5212" s="2">
        <v>4.7999999999999996E-3</v>
      </c>
      <c r="K5212" s="2" t="s">
        <v>10088</v>
      </c>
    </row>
    <row r="5213" spans="1:11" x14ac:dyDescent="0.2">
      <c r="A5213" s="2">
        <v>1304</v>
      </c>
      <c r="B5213" s="2">
        <v>8</v>
      </c>
      <c r="C5213" s="2">
        <v>68683824</v>
      </c>
      <c r="D5213" s="2">
        <v>70004665</v>
      </c>
      <c r="E5213" s="2">
        <v>3</v>
      </c>
      <c r="F5213" s="2" t="s">
        <v>10086</v>
      </c>
      <c r="H5213" s="2">
        <v>1.2999999999999999E-3</v>
      </c>
      <c r="K5213" s="2" t="s">
        <v>10089</v>
      </c>
    </row>
    <row r="5214" spans="1:11" x14ac:dyDescent="0.2">
      <c r="A5214" s="2">
        <v>1304</v>
      </c>
      <c r="B5214" s="2">
        <v>8</v>
      </c>
      <c r="C5214" s="2">
        <v>68683824</v>
      </c>
      <c r="D5214" s="2">
        <v>70004665</v>
      </c>
      <c r="E5214" s="2">
        <v>4</v>
      </c>
      <c r="F5214" s="2" t="s">
        <v>10086</v>
      </c>
      <c r="H5214" s="3">
        <v>5.9999999999999995E-4</v>
      </c>
      <c r="K5214" s="2" t="s">
        <v>10085</v>
      </c>
    </row>
    <row r="5215" spans="1:11" x14ac:dyDescent="0.2">
      <c r="A5215" s="2">
        <v>1305</v>
      </c>
      <c r="B5215" s="2">
        <v>8</v>
      </c>
      <c r="C5215" s="2">
        <v>70004666</v>
      </c>
      <c r="D5215" s="2">
        <v>70872088</v>
      </c>
      <c r="E5215" s="2">
        <v>1</v>
      </c>
      <c r="F5215" s="2" t="s">
        <v>10086</v>
      </c>
      <c r="H5215" s="2">
        <v>1.1000000000000001E-3</v>
      </c>
      <c r="K5215" s="2" t="s">
        <v>10089</v>
      </c>
    </row>
    <row r="5216" spans="1:11" x14ac:dyDescent="0.2">
      <c r="A5216" s="2">
        <v>1305</v>
      </c>
      <c r="B5216" s="2">
        <v>8</v>
      </c>
      <c r="C5216" s="2">
        <v>70004666</v>
      </c>
      <c r="D5216" s="2">
        <v>70872088</v>
      </c>
      <c r="E5216" s="2">
        <v>2</v>
      </c>
      <c r="F5216" s="2" t="s">
        <v>10086</v>
      </c>
      <c r="H5216" s="2">
        <v>1.1000000000000001E-3</v>
      </c>
      <c r="K5216" s="2" t="s">
        <v>10085</v>
      </c>
    </row>
    <row r="5217" spans="1:11" x14ac:dyDescent="0.2">
      <c r="A5217" s="2">
        <v>1305</v>
      </c>
      <c r="B5217" s="2">
        <v>8</v>
      </c>
      <c r="C5217" s="2">
        <v>70004666</v>
      </c>
      <c r="D5217" s="2">
        <v>70872088</v>
      </c>
      <c r="E5217" s="2">
        <v>3</v>
      </c>
      <c r="F5217" s="2" t="s">
        <v>10086</v>
      </c>
      <c r="H5217" s="3">
        <v>6.9999999999999999E-4</v>
      </c>
      <c r="K5217" s="2" t="s">
        <v>10088</v>
      </c>
    </row>
    <row r="5218" spans="1:11" x14ac:dyDescent="0.2">
      <c r="A5218" s="2">
        <v>1305</v>
      </c>
      <c r="B5218" s="2">
        <v>8</v>
      </c>
      <c r="C5218" s="2">
        <v>70004666</v>
      </c>
      <c r="D5218" s="2">
        <v>70872088</v>
      </c>
      <c r="E5218" s="2">
        <v>4</v>
      </c>
      <c r="F5218" s="2" t="s">
        <v>10086</v>
      </c>
      <c r="H5218" s="3">
        <v>2.9999999999999997E-4</v>
      </c>
      <c r="K5218" s="2" t="s">
        <v>10087</v>
      </c>
    </row>
    <row r="5219" spans="1:11" x14ac:dyDescent="0.2">
      <c r="A5219" s="2">
        <v>1306</v>
      </c>
      <c r="B5219" s="2">
        <v>8</v>
      </c>
      <c r="C5219" s="2">
        <v>70872089</v>
      </c>
      <c r="D5219" s="2">
        <v>72013184</v>
      </c>
      <c r="E5219" s="2">
        <v>1</v>
      </c>
      <c r="F5219" s="2" t="s">
        <v>10086</v>
      </c>
      <c r="H5219" s="2">
        <v>1.2999999999999999E-3</v>
      </c>
      <c r="K5219" s="2" t="s">
        <v>10087</v>
      </c>
    </row>
    <row r="5220" spans="1:11" x14ac:dyDescent="0.2">
      <c r="A5220" s="2">
        <v>1306</v>
      </c>
      <c r="B5220" s="2">
        <v>8</v>
      </c>
      <c r="C5220" s="2">
        <v>70872089</v>
      </c>
      <c r="D5220" s="2">
        <v>72013184</v>
      </c>
      <c r="E5220" s="2">
        <v>2</v>
      </c>
      <c r="F5220" s="2" t="s">
        <v>10086</v>
      </c>
      <c r="H5220" s="3">
        <v>5.0000000000000001E-4</v>
      </c>
      <c r="K5220" s="2" t="s">
        <v>10089</v>
      </c>
    </row>
    <row r="5221" spans="1:11" x14ac:dyDescent="0.2">
      <c r="A5221" s="2">
        <v>1306</v>
      </c>
      <c r="B5221" s="2">
        <v>8</v>
      </c>
      <c r="C5221" s="2">
        <v>70872089</v>
      </c>
      <c r="D5221" s="2">
        <v>72013184</v>
      </c>
      <c r="E5221" s="2">
        <v>3</v>
      </c>
      <c r="F5221" s="2" t="s">
        <v>10086</v>
      </c>
      <c r="H5221" s="3">
        <v>5.0000000000000001E-4</v>
      </c>
      <c r="K5221" s="2" t="s">
        <v>10085</v>
      </c>
    </row>
    <row r="5222" spans="1:11" x14ac:dyDescent="0.2">
      <c r="A5222" s="2">
        <v>1306</v>
      </c>
      <c r="B5222" s="2">
        <v>8</v>
      </c>
      <c r="C5222" s="2">
        <v>70872089</v>
      </c>
      <c r="D5222" s="2">
        <v>72013184</v>
      </c>
      <c r="E5222" s="2">
        <v>4</v>
      </c>
      <c r="F5222" s="2" t="s">
        <v>10086</v>
      </c>
      <c r="H5222" s="3">
        <v>2.9999999999999997E-4</v>
      </c>
      <c r="K5222" s="2" t="s">
        <v>10088</v>
      </c>
    </row>
    <row r="5223" spans="1:11" x14ac:dyDescent="0.2">
      <c r="A5223" s="2">
        <v>1307</v>
      </c>
      <c r="B5223" s="2">
        <v>8</v>
      </c>
      <c r="C5223" s="2">
        <v>72013185</v>
      </c>
      <c r="D5223" s="2">
        <v>72917489</v>
      </c>
      <c r="E5223" s="2">
        <v>1</v>
      </c>
      <c r="F5223" s="2" t="s">
        <v>10086</v>
      </c>
      <c r="H5223" s="2">
        <v>2.2000000000000001E-3</v>
      </c>
      <c r="K5223" s="2" t="s">
        <v>10088</v>
      </c>
    </row>
    <row r="5224" spans="1:11" x14ac:dyDescent="0.2">
      <c r="A5224" s="2">
        <v>1307</v>
      </c>
      <c r="B5224" s="2">
        <v>8</v>
      </c>
      <c r="C5224" s="2">
        <v>72013185</v>
      </c>
      <c r="D5224" s="2">
        <v>72917489</v>
      </c>
      <c r="E5224" s="2">
        <v>2</v>
      </c>
      <c r="F5224" s="2" t="s">
        <v>10086</v>
      </c>
      <c r="H5224" s="2">
        <v>1.6999999999999999E-3</v>
      </c>
      <c r="K5224" s="2" t="s">
        <v>10085</v>
      </c>
    </row>
    <row r="5225" spans="1:11" x14ac:dyDescent="0.2">
      <c r="A5225" s="2">
        <v>1307</v>
      </c>
      <c r="B5225" s="2">
        <v>8</v>
      </c>
      <c r="C5225" s="2">
        <v>72013185</v>
      </c>
      <c r="D5225" s="2">
        <v>72917489</v>
      </c>
      <c r="E5225" s="2">
        <v>3</v>
      </c>
      <c r="F5225" s="2" t="s">
        <v>10086</v>
      </c>
      <c r="H5225" s="2">
        <v>1E-3</v>
      </c>
      <c r="K5225" s="2" t="s">
        <v>12324</v>
      </c>
    </row>
    <row r="5226" spans="1:11" x14ac:dyDescent="0.2">
      <c r="A5226" s="2">
        <v>1307</v>
      </c>
      <c r="B5226" s="2">
        <v>8</v>
      </c>
      <c r="C5226" s="2">
        <v>72013185</v>
      </c>
      <c r="D5226" s="2">
        <v>72917489</v>
      </c>
      <c r="E5226" s="2">
        <v>4</v>
      </c>
      <c r="F5226" s="2" t="s">
        <v>10086</v>
      </c>
      <c r="H5226" s="2">
        <v>1E-3</v>
      </c>
      <c r="K5226" s="2" t="s">
        <v>10089</v>
      </c>
    </row>
    <row r="5227" spans="1:11" x14ac:dyDescent="0.2">
      <c r="A5227" s="2">
        <v>1308</v>
      </c>
      <c r="B5227" s="2">
        <v>8</v>
      </c>
      <c r="C5227" s="2">
        <v>72917490</v>
      </c>
      <c r="D5227" s="2">
        <v>73838027</v>
      </c>
      <c r="E5227" s="2">
        <v>1</v>
      </c>
      <c r="F5227" s="2" t="s">
        <v>10086</v>
      </c>
      <c r="H5227" s="2">
        <v>2E-3</v>
      </c>
      <c r="K5227" s="2" t="s">
        <v>10087</v>
      </c>
    </row>
    <row r="5228" spans="1:11" x14ac:dyDescent="0.2">
      <c r="A5228" s="2">
        <v>1308</v>
      </c>
      <c r="B5228" s="2">
        <v>8</v>
      </c>
      <c r="C5228" s="2">
        <v>72917490</v>
      </c>
      <c r="D5228" s="2">
        <v>73838027</v>
      </c>
      <c r="E5228" s="2">
        <v>2</v>
      </c>
      <c r="F5228" s="2" t="s">
        <v>10086</v>
      </c>
      <c r="H5228" s="2">
        <v>1E-3</v>
      </c>
      <c r="K5228" s="2" t="s">
        <v>10085</v>
      </c>
    </row>
    <row r="5229" spans="1:11" x14ac:dyDescent="0.2">
      <c r="A5229" s="2">
        <v>1308</v>
      </c>
      <c r="B5229" s="2">
        <v>8</v>
      </c>
      <c r="C5229" s="2">
        <v>72917490</v>
      </c>
      <c r="D5229" s="2">
        <v>73838027</v>
      </c>
      <c r="E5229" s="2">
        <v>3</v>
      </c>
      <c r="F5229" s="2" t="s">
        <v>10086</v>
      </c>
      <c r="H5229" s="3">
        <v>8.0000000000000004E-4</v>
      </c>
      <c r="K5229" s="2" t="s">
        <v>10089</v>
      </c>
    </row>
    <row r="5230" spans="1:11" x14ac:dyDescent="0.2">
      <c r="A5230" s="2">
        <v>1308</v>
      </c>
      <c r="B5230" s="2">
        <v>8</v>
      </c>
      <c r="C5230" s="2">
        <v>72917490</v>
      </c>
      <c r="D5230" s="2">
        <v>73838027</v>
      </c>
      <c r="E5230" s="2">
        <v>4</v>
      </c>
      <c r="F5230" s="2" t="s">
        <v>10086</v>
      </c>
      <c r="H5230" s="3">
        <v>5.9999999999999995E-4</v>
      </c>
      <c r="K5230" s="2" t="s">
        <v>10088</v>
      </c>
    </row>
    <row r="5231" spans="1:11" x14ac:dyDescent="0.2">
      <c r="A5231" s="2">
        <v>1309</v>
      </c>
      <c r="B5231" s="2">
        <v>8</v>
      </c>
      <c r="C5231" s="2">
        <v>73838028</v>
      </c>
      <c r="D5231" s="2">
        <v>75011699</v>
      </c>
      <c r="E5231" s="2">
        <v>1</v>
      </c>
      <c r="F5231" s="2" t="s">
        <v>10086</v>
      </c>
      <c r="H5231" s="2">
        <v>6.4999999999999997E-3</v>
      </c>
      <c r="K5231" s="2" t="s">
        <v>12324</v>
      </c>
    </row>
    <row r="5232" spans="1:11" x14ac:dyDescent="0.2">
      <c r="A5232" s="2">
        <v>1309</v>
      </c>
      <c r="B5232" s="2">
        <v>8</v>
      </c>
      <c r="C5232" s="2">
        <v>73838028</v>
      </c>
      <c r="D5232" s="2">
        <v>75011699</v>
      </c>
      <c r="E5232" s="2">
        <v>2</v>
      </c>
      <c r="F5232" s="2" t="s">
        <v>10086</v>
      </c>
      <c r="H5232" s="2">
        <v>1.6999999999999999E-3</v>
      </c>
      <c r="K5232" s="2" t="s">
        <v>10088</v>
      </c>
    </row>
    <row r="5233" spans="1:11" x14ac:dyDescent="0.2">
      <c r="A5233" s="2">
        <v>1309</v>
      </c>
      <c r="B5233" s="2">
        <v>8</v>
      </c>
      <c r="C5233" s="2">
        <v>73838028</v>
      </c>
      <c r="D5233" s="2">
        <v>75011699</v>
      </c>
      <c r="E5233" s="2">
        <v>3</v>
      </c>
      <c r="F5233" s="2" t="s">
        <v>10086</v>
      </c>
      <c r="H5233" s="2">
        <v>1.8E-3</v>
      </c>
      <c r="K5233" s="2" t="s">
        <v>10085</v>
      </c>
    </row>
    <row r="5234" spans="1:11" x14ac:dyDescent="0.2">
      <c r="A5234" s="2">
        <v>1309</v>
      </c>
      <c r="B5234" s="2">
        <v>8</v>
      </c>
      <c r="C5234" s="2">
        <v>73838028</v>
      </c>
      <c r="D5234" s="2">
        <v>75011699</v>
      </c>
      <c r="E5234" s="2">
        <v>4</v>
      </c>
      <c r="F5234" s="2" t="s">
        <v>10086</v>
      </c>
      <c r="H5234" s="2">
        <v>1.1999999999999999E-3</v>
      </c>
      <c r="K5234" s="2" t="s">
        <v>10089</v>
      </c>
    </row>
    <row r="5235" spans="1:11" x14ac:dyDescent="0.2">
      <c r="A5235" s="2">
        <v>1310</v>
      </c>
      <c r="B5235" s="2">
        <v>8</v>
      </c>
      <c r="C5235" s="2">
        <v>75011700</v>
      </c>
      <c r="D5235" s="2">
        <v>76295483</v>
      </c>
      <c r="E5235" s="2">
        <v>1</v>
      </c>
      <c r="F5235" s="2" t="s">
        <v>10086</v>
      </c>
      <c r="H5235" s="2">
        <v>5.3E-3</v>
      </c>
      <c r="K5235" s="2" t="s">
        <v>10087</v>
      </c>
    </row>
    <row r="5236" spans="1:11" x14ac:dyDescent="0.2">
      <c r="A5236" s="2">
        <v>1310</v>
      </c>
      <c r="B5236" s="2">
        <v>8</v>
      </c>
      <c r="C5236" s="2">
        <v>75011700</v>
      </c>
      <c r="D5236" s="2">
        <v>76295483</v>
      </c>
      <c r="E5236" s="2">
        <v>2</v>
      </c>
      <c r="F5236" s="2" t="s">
        <v>10086</v>
      </c>
      <c r="H5236" s="2">
        <v>2.5000000000000001E-3</v>
      </c>
      <c r="K5236" s="2" t="s">
        <v>10085</v>
      </c>
    </row>
    <row r="5237" spans="1:11" x14ac:dyDescent="0.2">
      <c r="A5237" s="2">
        <v>1310</v>
      </c>
      <c r="B5237" s="2">
        <v>8</v>
      </c>
      <c r="C5237" s="2">
        <v>75011700</v>
      </c>
      <c r="D5237" s="2">
        <v>76295483</v>
      </c>
      <c r="E5237" s="2">
        <v>3</v>
      </c>
      <c r="F5237" s="2" t="s">
        <v>10086</v>
      </c>
      <c r="H5237" s="2">
        <v>1.5E-3</v>
      </c>
      <c r="K5237" s="2" t="s">
        <v>10088</v>
      </c>
    </row>
    <row r="5238" spans="1:11" x14ac:dyDescent="0.2">
      <c r="A5238" s="2">
        <v>1310</v>
      </c>
      <c r="B5238" s="2">
        <v>8</v>
      </c>
      <c r="C5238" s="2">
        <v>75011700</v>
      </c>
      <c r="D5238" s="2">
        <v>76295483</v>
      </c>
      <c r="E5238" s="2">
        <v>4</v>
      </c>
      <c r="F5238" s="2" t="s">
        <v>10086</v>
      </c>
      <c r="H5238" s="3">
        <v>5.9999999999999995E-4</v>
      </c>
      <c r="K5238" s="2" t="s">
        <v>10089</v>
      </c>
    </row>
    <row r="5239" spans="1:11" x14ac:dyDescent="0.2">
      <c r="A5239" s="2">
        <v>1311</v>
      </c>
      <c r="B5239" s="2">
        <v>8</v>
      </c>
      <c r="C5239" s="2">
        <v>76295484</v>
      </c>
      <c r="D5239" s="2">
        <v>77377989</v>
      </c>
      <c r="E5239" s="2">
        <v>1</v>
      </c>
      <c r="F5239" s="2" t="s">
        <v>10086</v>
      </c>
      <c r="H5239" s="2">
        <v>5.5999999999999999E-3</v>
      </c>
      <c r="K5239" s="2" t="s">
        <v>12324</v>
      </c>
    </row>
    <row r="5240" spans="1:11" x14ac:dyDescent="0.2">
      <c r="A5240" s="2">
        <v>1311</v>
      </c>
      <c r="B5240" s="2">
        <v>8</v>
      </c>
      <c r="C5240" s="2">
        <v>76295484</v>
      </c>
      <c r="D5240" s="2">
        <v>77377989</v>
      </c>
      <c r="E5240" s="2">
        <v>2</v>
      </c>
      <c r="F5240" s="2" t="s">
        <v>10086</v>
      </c>
      <c r="H5240" s="2">
        <v>1.6999999999999999E-3</v>
      </c>
      <c r="K5240" s="2" t="s">
        <v>10088</v>
      </c>
    </row>
    <row r="5241" spans="1:11" x14ac:dyDescent="0.2">
      <c r="A5241" s="2">
        <v>1311</v>
      </c>
      <c r="B5241" s="2">
        <v>8</v>
      </c>
      <c r="C5241" s="2">
        <v>76295484</v>
      </c>
      <c r="D5241" s="2">
        <v>77377989</v>
      </c>
      <c r="E5241" s="2">
        <v>3</v>
      </c>
      <c r="F5241" s="2" t="s">
        <v>10086</v>
      </c>
      <c r="H5241" s="2">
        <v>1.5E-3</v>
      </c>
      <c r="K5241" s="2" t="s">
        <v>10089</v>
      </c>
    </row>
    <row r="5242" spans="1:11" x14ac:dyDescent="0.2">
      <c r="A5242" s="2">
        <v>1311</v>
      </c>
      <c r="B5242" s="2">
        <v>8</v>
      </c>
      <c r="C5242" s="2">
        <v>76295484</v>
      </c>
      <c r="D5242" s="2">
        <v>77377989</v>
      </c>
      <c r="E5242" s="2">
        <v>4</v>
      </c>
      <c r="F5242" s="2" t="s">
        <v>10086</v>
      </c>
      <c r="H5242" s="2">
        <v>1.1000000000000001E-3</v>
      </c>
      <c r="K5242" s="2" t="s">
        <v>10085</v>
      </c>
    </row>
    <row r="5243" spans="1:11" x14ac:dyDescent="0.2">
      <c r="A5243" s="2">
        <v>1312</v>
      </c>
      <c r="B5243" s="2">
        <v>8</v>
      </c>
      <c r="C5243" s="2">
        <v>77377990</v>
      </c>
      <c r="D5243" s="2">
        <v>78633659</v>
      </c>
      <c r="E5243" s="2">
        <v>1</v>
      </c>
      <c r="F5243" s="2" t="s">
        <v>10086</v>
      </c>
      <c r="H5243" s="2">
        <v>1.04E-2</v>
      </c>
      <c r="K5243" s="2" t="s">
        <v>10085</v>
      </c>
    </row>
    <row r="5244" spans="1:11" x14ac:dyDescent="0.2">
      <c r="A5244" s="2">
        <v>1312</v>
      </c>
      <c r="B5244" s="2">
        <v>8</v>
      </c>
      <c r="C5244" s="2">
        <v>77377990</v>
      </c>
      <c r="D5244" s="2">
        <v>78633659</v>
      </c>
      <c r="E5244" s="2">
        <v>2</v>
      </c>
      <c r="F5244" s="2" t="s">
        <v>10086</v>
      </c>
      <c r="H5244" s="2">
        <v>3.0999999999999999E-3</v>
      </c>
      <c r="K5244" s="2" t="s">
        <v>10089</v>
      </c>
    </row>
    <row r="5245" spans="1:11" x14ac:dyDescent="0.2">
      <c r="A5245" s="2">
        <v>1312</v>
      </c>
      <c r="B5245" s="2">
        <v>8</v>
      </c>
      <c r="C5245" s="2">
        <v>77377990</v>
      </c>
      <c r="D5245" s="2">
        <v>78633659</v>
      </c>
      <c r="E5245" s="2">
        <v>3</v>
      </c>
      <c r="F5245" s="2" t="s">
        <v>10086</v>
      </c>
      <c r="H5245" s="2">
        <v>2.5000000000000001E-3</v>
      </c>
      <c r="K5245" s="2" t="s">
        <v>10088</v>
      </c>
    </row>
    <row r="5246" spans="1:11" x14ac:dyDescent="0.2">
      <c r="A5246" s="2">
        <v>1312</v>
      </c>
      <c r="B5246" s="2">
        <v>8</v>
      </c>
      <c r="C5246" s="2">
        <v>77377990</v>
      </c>
      <c r="D5246" s="2">
        <v>78633659</v>
      </c>
      <c r="E5246" s="2">
        <v>4</v>
      </c>
      <c r="F5246" s="2" t="s">
        <v>10086</v>
      </c>
      <c r="H5246" s="3">
        <v>5.9999999999999995E-4</v>
      </c>
      <c r="K5246" s="2" t="s">
        <v>10087</v>
      </c>
    </row>
    <row r="5247" spans="1:11" x14ac:dyDescent="0.2">
      <c r="A5247" s="2">
        <v>1313</v>
      </c>
      <c r="B5247" s="2">
        <v>8</v>
      </c>
      <c r="C5247" s="2">
        <v>78633660</v>
      </c>
      <c r="D5247" s="2">
        <v>79756169</v>
      </c>
      <c r="E5247" s="2">
        <v>1</v>
      </c>
      <c r="F5247" s="2" t="s">
        <v>10086</v>
      </c>
      <c r="H5247" s="2">
        <v>2E-3</v>
      </c>
      <c r="K5247" s="2" t="s">
        <v>10085</v>
      </c>
    </row>
    <row r="5248" spans="1:11" x14ac:dyDescent="0.2">
      <c r="A5248" s="2">
        <v>1313</v>
      </c>
      <c r="B5248" s="2">
        <v>8</v>
      </c>
      <c r="C5248" s="2">
        <v>78633660</v>
      </c>
      <c r="D5248" s="2">
        <v>79756169</v>
      </c>
      <c r="E5248" s="2">
        <v>2</v>
      </c>
      <c r="F5248" s="2" t="s">
        <v>10086</v>
      </c>
      <c r="H5248" s="2">
        <v>1.5E-3</v>
      </c>
      <c r="K5248" s="2" t="s">
        <v>10089</v>
      </c>
    </row>
    <row r="5249" spans="1:11" x14ac:dyDescent="0.2">
      <c r="A5249" s="2">
        <v>1313</v>
      </c>
      <c r="B5249" s="2">
        <v>8</v>
      </c>
      <c r="C5249" s="2">
        <v>78633660</v>
      </c>
      <c r="D5249" s="2">
        <v>79756169</v>
      </c>
      <c r="E5249" s="2">
        <v>3</v>
      </c>
      <c r="F5249" s="2" t="s">
        <v>10086</v>
      </c>
      <c r="H5249" s="2">
        <v>1.4E-3</v>
      </c>
      <c r="K5249" s="2" t="s">
        <v>10088</v>
      </c>
    </row>
    <row r="5250" spans="1:11" x14ac:dyDescent="0.2">
      <c r="A5250" s="2">
        <v>1313</v>
      </c>
      <c r="B5250" s="2">
        <v>8</v>
      </c>
      <c r="C5250" s="2">
        <v>78633660</v>
      </c>
      <c r="D5250" s="2">
        <v>79756169</v>
      </c>
      <c r="E5250" s="2">
        <v>4</v>
      </c>
      <c r="F5250" s="2" t="s">
        <v>10086</v>
      </c>
      <c r="H5250" s="3">
        <v>5.9999999999999995E-4</v>
      </c>
      <c r="K5250" s="2" t="s">
        <v>10087</v>
      </c>
    </row>
    <row r="5251" spans="1:11" x14ac:dyDescent="0.2">
      <c r="A5251" s="2">
        <v>1314</v>
      </c>
      <c r="B5251" s="2">
        <v>8</v>
      </c>
      <c r="C5251" s="2">
        <v>79756170</v>
      </c>
      <c r="D5251" s="2">
        <v>81340231</v>
      </c>
      <c r="E5251" s="2">
        <v>1</v>
      </c>
      <c r="F5251" s="2" t="s">
        <v>10086</v>
      </c>
      <c r="H5251" s="2">
        <v>3.0999999999999999E-3</v>
      </c>
      <c r="K5251" s="2" t="s">
        <v>10088</v>
      </c>
    </row>
    <row r="5252" spans="1:11" x14ac:dyDescent="0.2">
      <c r="A5252" s="2">
        <v>1314</v>
      </c>
      <c r="B5252" s="2">
        <v>8</v>
      </c>
      <c r="C5252" s="2">
        <v>79756170</v>
      </c>
      <c r="D5252" s="2">
        <v>81340231</v>
      </c>
      <c r="E5252" s="2">
        <v>2</v>
      </c>
      <c r="F5252" s="2" t="s">
        <v>10086</v>
      </c>
      <c r="H5252" s="2">
        <v>1.9E-3</v>
      </c>
      <c r="K5252" s="2" t="s">
        <v>10089</v>
      </c>
    </row>
    <row r="5253" spans="1:11" x14ac:dyDescent="0.2">
      <c r="A5253" s="2">
        <v>1314</v>
      </c>
      <c r="B5253" s="2">
        <v>8</v>
      </c>
      <c r="C5253" s="2">
        <v>79756170</v>
      </c>
      <c r="D5253" s="2">
        <v>81340231</v>
      </c>
      <c r="E5253" s="2">
        <v>3</v>
      </c>
      <c r="F5253" s="2" t="s">
        <v>10086</v>
      </c>
      <c r="H5253" s="2">
        <v>1.4E-3</v>
      </c>
      <c r="K5253" s="2" t="s">
        <v>10087</v>
      </c>
    </row>
    <row r="5254" spans="1:11" x14ac:dyDescent="0.2">
      <c r="A5254" s="2">
        <v>1314</v>
      </c>
      <c r="B5254" s="2">
        <v>8</v>
      </c>
      <c r="C5254" s="2">
        <v>79756170</v>
      </c>
      <c r="D5254" s="2">
        <v>81340231</v>
      </c>
      <c r="E5254" s="2">
        <v>4</v>
      </c>
      <c r="F5254" s="2" t="s">
        <v>10086</v>
      </c>
      <c r="H5254" s="3">
        <v>5.0000000000000001E-4</v>
      </c>
      <c r="K5254" s="2" t="s">
        <v>10085</v>
      </c>
    </row>
    <row r="5255" spans="1:11" x14ac:dyDescent="0.2">
      <c r="A5255" s="2">
        <v>1315</v>
      </c>
      <c r="B5255" s="2">
        <v>8</v>
      </c>
      <c r="C5255" s="2">
        <v>81340232</v>
      </c>
      <c r="D5255" s="2">
        <v>82878769</v>
      </c>
      <c r="E5255" s="2">
        <v>1</v>
      </c>
      <c r="F5255" s="2" t="s">
        <v>10086</v>
      </c>
      <c r="H5255" s="2">
        <v>0.24610000000000001</v>
      </c>
      <c r="K5255" s="2" t="s">
        <v>10088</v>
      </c>
    </row>
    <row r="5256" spans="1:11" x14ac:dyDescent="0.2">
      <c r="A5256" s="2">
        <v>1315</v>
      </c>
      <c r="B5256" s="2">
        <v>8</v>
      </c>
      <c r="C5256" s="2">
        <v>81340232</v>
      </c>
      <c r="D5256" s="2">
        <v>82878769</v>
      </c>
      <c r="E5256" s="2">
        <v>2</v>
      </c>
      <c r="F5256" s="2" t="s">
        <v>10086</v>
      </c>
      <c r="H5256" s="2">
        <v>2.3E-3</v>
      </c>
      <c r="K5256" s="2" t="s">
        <v>10089</v>
      </c>
    </row>
    <row r="5257" spans="1:11" x14ac:dyDescent="0.2">
      <c r="A5257" s="2">
        <v>1315</v>
      </c>
      <c r="B5257" s="2">
        <v>8</v>
      </c>
      <c r="C5257" s="2">
        <v>81340232</v>
      </c>
      <c r="D5257" s="2">
        <v>82878769</v>
      </c>
      <c r="E5257" s="2">
        <v>3</v>
      </c>
      <c r="F5257" s="2" t="s">
        <v>10086</v>
      </c>
      <c r="H5257" s="2">
        <v>1.6000000000000001E-3</v>
      </c>
      <c r="K5257" s="2" t="s">
        <v>10085</v>
      </c>
    </row>
    <row r="5258" spans="1:11" x14ac:dyDescent="0.2">
      <c r="A5258" s="2">
        <v>1315</v>
      </c>
      <c r="B5258" s="2">
        <v>8</v>
      </c>
      <c r="C5258" s="2">
        <v>81340232</v>
      </c>
      <c r="D5258" s="2">
        <v>82878769</v>
      </c>
      <c r="E5258" s="2">
        <v>4</v>
      </c>
      <c r="F5258" s="2" t="s">
        <v>10086</v>
      </c>
      <c r="H5258" s="3">
        <v>8.9999999999999998E-4</v>
      </c>
      <c r="K5258" s="2" t="s">
        <v>12324</v>
      </c>
    </row>
    <row r="5259" spans="1:11" x14ac:dyDescent="0.2">
      <c r="A5259" s="2">
        <v>1316</v>
      </c>
      <c r="B5259" s="2">
        <v>8</v>
      </c>
      <c r="C5259" s="2">
        <v>82878770</v>
      </c>
      <c r="D5259" s="2">
        <v>83730337</v>
      </c>
      <c r="E5259" s="2">
        <v>1</v>
      </c>
      <c r="F5259" s="2" t="s">
        <v>10086</v>
      </c>
      <c r="H5259" s="2">
        <v>1.9E-3</v>
      </c>
      <c r="K5259" s="2" t="s">
        <v>10089</v>
      </c>
    </row>
    <row r="5260" spans="1:11" x14ac:dyDescent="0.2">
      <c r="A5260" s="2">
        <v>1316</v>
      </c>
      <c r="B5260" s="2">
        <v>8</v>
      </c>
      <c r="C5260" s="2">
        <v>82878770</v>
      </c>
      <c r="D5260" s="2">
        <v>83730337</v>
      </c>
      <c r="E5260" s="2">
        <v>2</v>
      </c>
      <c r="F5260" s="2" t="s">
        <v>10086</v>
      </c>
      <c r="H5260" s="2">
        <v>1E-3</v>
      </c>
      <c r="K5260" s="2" t="s">
        <v>10087</v>
      </c>
    </row>
    <row r="5261" spans="1:11" x14ac:dyDescent="0.2">
      <c r="A5261" s="2">
        <v>1316</v>
      </c>
      <c r="B5261" s="2">
        <v>8</v>
      </c>
      <c r="C5261" s="2">
        <v>82878770</v>
      </c>
      <c r="D5261" s="2">
        <v>83730337</v>
      </c>
      <c r="E5261" s="2">
        <v>3</v>
      </c>
      <c r="F5261" s="2" t="s">
        <v>10086</v>
      </c>
      <c r="H5261" s="3">
        <v>8.9999999999999998E-4</v>
      </c>
      <c r="K5261" s="2" t="s">
        <v>10085</v>
      </c>
    </row>
    <row r="5262" spans="1:11" x14ac:dyDescent="0.2">
      <c r="A5262" s="2">
        <v>1316</v>
      </c>
      <c r="B5262" s="2">
        <v>8</v>
      </c>
      <c r="C5262" s="2">
        <v>82878770</v>
      </c>
      <c r="D5262" s="2">
        <v>83730337</v>
      </c>
      <c r="E5262" s="2">
        <v>4</v>
      </c>
      <c r="F5262" s="2" t="s">
        <v>10086</v>
      </c>
      <c r="H5262" s="3">
        <v>2.9999999999999997E-4</v>
      </c>
      <c r="K5262" s="2" t="s">
        <v>10088</v>
      </c>
    </row>
    <row r="5263" spans="1:11" x14ac:dyDescent="0.2">
      <c r="A5263" s="2">
        <v>1317</v>
      </c>
      <c r="B5263" s="2">
        <v>8</v>
      </c>
      <c r="C5263" s="2">
        <v>83730338</v>
      </c>
      <c r="D5263" s="2">
        <v>85116734</v>
      </c>
      <c r="E5263" s="2">
        <v>1</v>
      </c>
      <c r="F5263" s="2" t="s">
        <v>10086</v>
      </c>
      <c r="H5263" s="2">
        <v>2.8999999999999998E-3</v>
      </c>
      <c r="K5263" s="2" t="s">
        <v>10087</v>
      </c>
    </row>
    <row r="5264" spans="1:11" x14ac:dyDescent="0.2">
      <c r="A5264" s="2">
        <v>1317</v>
      </c>
      <c r="B5264" s="2">
        <v>8</v>
      </c>
      <c r="C5264" s="2">
        <v>83730338</v>
      </c>
      <c r="D5264" s="2">
        <v>85116734</v>
      </c>
      <c r="E5264" s="2">
        <v>2</v>
      </c>
      <c r="F5264" s="2" t="s">
        <v>10086</v>
      </c>
      <c r="H5264" s="2">
        <v>1.6000000000000001E-3</v>
      </c>
      <c r="K5264" s="2" t="s">
        <v>10085</v>
      </c>
    </row>
    <row r="5265" spans="1:11" x14ac:dyDescent="0.2">
      <c r="A5265" s="2">
        <v>1317</v>
      </c>
      <c r="B5265" s="2">
        <v>8</v>
      </c>
      <c r="C5265" s="2">
        <v>83730338</v>
      </c>
      <c r="D5265" s="2">
        <v>85116734</v>
      </c>
      <c r="E5265" s="2">
        <v>3</v>
      </c>
      <c r="F5265" s="2" t="s">
        <v>10086</v>
      </c>
      <c r="H5265" s="2">
        <v>1.1999999999999999E-3</v>
      </c>
      <c r="K5265" s="2" t="s">
        <v>10088</v>
      </c>
    </row>
    <row r="5266" spans="1:11" x14ac:dyDescent="0.2">
      <c r="A5266" s="2">
        <v>1317</v>
      </c>
      <c r="B5266" s="2">
        <v>8</v>
      </c>
      <c r="C5266" s="2">
        <v>83730338</v>
      </c>
      <c r="D5266" s="2">
        <v>85116734</v>
      </c>
      <c r="E5266" s="2">
        <v>4</v>
      </c>
      <c r="F5266" s="2" t="s">
        <v>10086</v>
      </c>
      <c r="H5266" s="3">
        <v>4.0000000000000002E-4</v>
      </c>
      <c r="K5266" s="2" t="s">
        <v>10089</v>
      </c>
    </row>
    <row r="5267" spans="1:11" x14ac:dyDescent="0.2">
      <c r="A5267" s="2">
        <v>1318</v>
      </c>
      <c r="B5267" s="2">
        <v>8</v>
      </c>
      <c r="C5267" s="2">
        <v>85116735</v>
      </c>
      <c r="D5267" s="2">
        <v>86251870</v>
      </c>
      <c r="E5267" s="2">
        <v>1</v>
      </c>
      <c r="F5267" s="2" t="s">
        <v>10086</v>
      </c>
      <c r="H5267" s="2">
        <v>1.2999999999999999E-3</v>
      </c>
      <c r="K5267" s="2" t="s">
        <v>10087</v>
      </c>
    </row>
    <row r="5268" spans="1:11" x14ac:dyDescent="0.2">
      <c r="A5268" s="2">
        <v>1318</v>
      </c>
      <c r="B5268" s="2">
        <v>8</v>
      </c>
      <c r="C5268" s="2">
        <v>85116735</v>
      </c>
      <c r="D5268" s="2">
        <v>86251870</v>
      </c>
      <c r="E5268" s="2">
        <v>2</v>
      </c>
      <c r="F5268" s="2" t="s">
        <v>10086</v>
      </c>
      <c r="H5268" s="3">
        <v>6.9999999999999999E-4</v>
      </c>
      <c r="K5268" s="2" t="s">
        <v>10085</v>
      </c>
    </row>
    <row r="5269" spans="1:11" x14ac:dyDescent="0.2">
      <c r="A5269" s="2">
        <v>1318</v>
      </c>
      <c r="B5269" s="2">
        <v>8</v>
      </c>
      <c r="C5269" s="2">
        <v>85116735</v>
      </c>
      <c r="D5269" s="2">
        <v>86251870</v>
      </c>
      <c r="E5269" s="2">
        <v>3</v>
      </c>
      <c r="F5269" s="2" t="s">
        <v>10086</v>
      </c>
      <c r="H5269" s="3">
        <v>5.9999999999999995E-4</v>
      </c>
      <c r="K5269" s="2" t="s">
        <v>10088</v>
      </c>
    </row>
    <row r="5270" spans="1:11" x14ac:dyDescent="0.2">
      <c r="A5270" s="2">
        <v>1318</v>
      </c>
      <c r="B5270" s="2">
        <v>8</v>
      </c>
      <c r="C5270" s="2">
        <v>85116735</v>
      </c>
      <c r="D5270" s="2">
        <v>86251870</v>
      </c>
      <c r="E5270" s="2">
        <v>4</v>
      </c>
      <c r="F5270" s="2" t="s">
        <v>10086</v>
      </c>
      <c r="H5270" s="3">
        <v>4.0000000000000002E-4</v>
      </c>
      <c r="K5270" s="2" t="s">
        <v>10089</v>
      </c>
    </row>
    <row r="5271" spans="1:11" x14ac:dyDescent="0.2">
      <c r="A5271" s="2">
        <v>1319</v>
      </c>
      <c r="B5271" s="2">
        <v>8</v>
      </c>
      <c r="C5271" s="2">
        <v>86251871</v>
      </c>
      <c r="D5271" s="2">
        <v>87563145</v>
      </c>
      <c r="E5271" s="2">
        <v>1</v>
      </c>
      <c r="F5271" s="2" t="s">
        <v>10086</v>
      </c>
      <c r="H5271" s="3">
        <v>8.9999999999999998E-4</v>
      </c>
      <c r="K5271" s="2" t="s">
        <v>10089</v>
      </c>
    </row>
    <row r="5272" spans="1:11" x14ac:dyDescent="0.2">
      <c r="A5272" s="2">
        <v>1319</v>
      </c>
      <c r="B5272" s="2">
        <v>8</v>
      </c>
      <c r="C5272" s="2">
        <v>86251871</v>
      </c>
      <c r="D5272" s="2">
        <v>87563145</v>
      </c>
      <c r="E5272" s="2">
        <v>2</v>
      </c>
      <c r="F5272" s="2" t="s">
        <v>10086</v>
      </c>
      <c r="H5272" s="3">
        <v>8.9999999999999998E-4</v>
      </c>
      <c r="K5272" s="2" t="s">
        <v>10085</v>
      </c>
    </row>
    <row r="5273" spans="1:11" x14ac:dyDescent="0.2">
      <c r="A5273" s="2">
        <v>1319</v>
      </c>
      <c r="B5273" s="2">
        <v>8</v>
      </c>
      <c r="C5273" s="2">
        <v>86251871</v>
      </c>
      <c r="D5273" s="2">
        <v>87563145</v>
      </c>
      <c r="E5273" s="2">
        <v>3</v>
      </c>
      <c r="F5273" s="2" t="s">
        <v>10086</v>
      </c>
      <c r="H5273" s="3">
        <v>8.0000000000000004E-4</v>
      </c>
      <c r="K5273" s="2" t="s">
        <v>10087</v>
      </c>
    </row>
    <row r="5274" spans="1:11" x14ac:dyDescent="0.2">
      <c r="A5274" s="2">
        <v>1319</v>
      </c>
      <c r="B5274" s="2">
        <v>8</v>
      </c>
      <c r="C5274" s="2">
        <v>86251871</v>
      </c>
      <c r="D5274" s="2">
        <v>87563145</v>
      </c>
      <c r="E5274" s="2">
        <v>4</v>
      </c>
      <c r="F5274" s="2" t="s">
        <v>10086</v>
      </c>
      <c r="H5274" s="3">
        <v>5.0000000000000001E-4</v>
      </c>
      <c r="K5274" s="2" t="s">
        <v>10088</v>
      </c>
    </row>
    <row r="5275" spans="1:11" x14ac:dyDescent="0.2">
      <c r="A5275" s="2">
        <v>1320</v>
      </c>
      <c r="B5275" s="2">
        <v>8</v>
      </c>
      <c r="C5275" s="2">
        <v>87563146</v>
      </c>
      <c r="D5275" s="2">
        <v>89081177</v>
      </c>
      <c r="E5275" s="2">
        <v>1</v>
      </c>
      <c r="F5275" s="2" t="s">
        <v>10086</v>
      </c>
      <c r="H5275" s="2">
        <v>1.4E-3</v>
      </c>
      <c r="K5275" s="2" t="s">
        <v>10088</v>
      </c>
    </row>
    <row r="5276" spans="1:11" x14ac:dyDescent="0.2">
      <c r="A5276" s="2">
        <v>1320</v>
      </c>
      <c r="B5276" s="2">
        <v>8</v>
      </c>
      <c r="C5276" s="2">
        <v>87563146</v>
      </c>
      <c r="D5276" s="2">
        <v>89081177</v>
      </c>
      <c r="E5276" s="2">
        <v>2</v>
      </c>
      <c r="F5276" s="2" t="s">
        <v>10086</v>
      </c>
      <c r="H5276" s="3">
        <v>8.9999999999999998E-4</v>
      </c>
      <c r="K5276" s="2" t="s">
        <v>10087</v>
      </c>
    </row>
    <row r="5277" spans="1:11" x14ac:dyDescent="0.2">
      <c r="A5277" s="2">
        <v>1320</v>
      </c>
      <c r="B5277" s="2">
        <v>8</v>
      </c>
      <c r="C5277" s="2">
        <v>87563146</v>
      </c>
      <c r="D5277" s="2">
        <v>89081177</v>
      </c>
      <c r="E5277" s="2">
        <v>3</v>
      </c>
      <c r="F5277" s="2" t="s">
        <v>10086</v>
      </c>
      <c r="H5277" s="3">
        <v>8.0000000000000004E-4</v>
      </c>
      <c r="K5277" s="2" t="s">
        <v>10089</v>
      </c>
    </row>
    <row r="5278" spans="1:11" x14ac:dyDescent="0.2">
      <c r="A5278" s="2">
        <v>1320</v>
      </c>
      <c r="B5278" s="2">
        <v>8</v>
      </c>
      <c r="C5278" s="2">
        <v>87563146</v>
      </c>
      <c r="D5278" s="2">
        <v>89081177</v>
      </c>
      <c r="E5278" s="2">
        <v>4</v>
      </c>
      <c r="F5278" s="2" t="s">
        <v>10086</v>
      </c>
      <c r="H5278" s="3">
        <v>6.9999999999999999E-4</v>
      </c>
      <c r="K5278" s="2" t="s">
        <v>12324</v>
      </c>
    </row>
    <row r="5279" spans="1:11" x14ac:dyDescent="0.2">
      <c r="A5279" s="2">
        <v>1321</v>
      </c>
      <c r="B5279" s="2">
        <v>8</v>
      </c>
      <c r="C5279" s="2">
        <v>89081178</v>
      </c>
      <c r="D5279" s="2">
        <v>90364149</v>
      </c>
      <c r="E5279" s="2">
        <v>1</v>
      </c>
      <c r="F5279" s="2" t="s">
        <v>10086</v>
      </c>
      <c r="H5279" s="2">
        <v>5.0000000000000001E-3</v>
      </c>
      <c r="K5279" s="2" t="s">
        <v>10089</v>
      </c>
    </row>
    <row r="5280" spans="1:11" x14ac:dyDescent="0.2">
      <c r="A5280" s="2">
        <v>1321</v>
      </c>
      <c r="B5280" s="2">
        <v>8</v>
      </c>
      <c r="C5280" s="2">
        <v>89081178</v>
      </c>
      <c r="D5280" s="2">
        <v>90364149</v>
      </c>
      <c r="E5280" s="2">
        <v>2</v>
      </c>
      <c r="F5280" s="2" t="s">
        <v>10086</v>
      </c>
      <c r="H5280" s="2">
        <v>3.3999999999999998E-3</v>
      </c>
      <c r="K5280" s="2" t="s">
        <v>12324</v>
      </c>
    </row>
    <row r="5281" spans="1:11" x14ac:dyDescent="0.2">
      <c r="A5281" s="2">
        <v>1321</v>
      </c>
      <c r="B5281" s="2">
        <v>8</v>
      </c>
      <c r="C5281" s="2">
        <v>89081178</v>
      </c>
      <c r="D5281" s="2">
        <v>90364149</v>
      </c>
      <c r="E5281" s="2">
        <v>3</v>
      </c>
      <c r="F5281" s="2" t="s">
        <v>10086</v>
      </c>
      <c r="H5281" s="2">
        <v>1.6999999999999999E-3</v>
      </c>
      <c r="K5281" s="2" t="s">
        <v>10085</v>
      </c>
    </row>
    <row r="5282" spans="1:11" x14ac:dyDescent="0.2">
      <c r="A5282" s="2">
        <v>1321</v>
      </c>
      <c r="B5282" s="2">
        <v>8</v>
      </c>
      <c r="C5282" s="2">
        <v>89081178</v>
      </c>
      <c r="D5282" s="2">
        <v>90364149</v>
      </c>
      <c r="E5282" s="2">
        <v>4</v>
      </c>
      <c r="F5282" s="2" t="s">
        <v>10086</v>
      </c>
      <c r="H5282" s="2">
        <v>1.1000000000000001E-3</v>
      </c>
      <c r="K5282" s="2" t="s">
        <v>10088</v>
      </c>
    </row>
    <row r="5283" spans="1:11" x14ac:dyDescent="0.2">
      <c r="A5283" s="2">
        <v>1322</v>
      </c>
      <c r="B5283" s="2">
        <v>8</v>
      </c>
      <c r="C5283" s="2">
        <v>90364150</v>
      </c>
      <c r="D5283" s="2">
        <v>91457962</v>
      </c>
      <c r="E5283" s="2">
        <v>1</v>
      </c>
      <c r="F5283" s="2" t="s">
        <v>10086</v>
      </c>
      <c r="H5283" s="2">
        <v>1.6999999999999999E-3</v>
      </c>
      <c r="K5283" s="2" t="s">
        <v>10089</v>
      </c>
    </row>
    <row r="5284" spans="1:11" x14ac:dyDescent="0.2">
      <c r="A5284" s="2">
        <v>1322</v>
      </c>
      <c r="B5284" s="2">
        <v>8</v>
      </c>
      <c r="C5284" s="2">
        <v>90364150</v>
      </c>
      <c r="D5284" s="2">
        <v>91457962</v>
      </c>
      <c r="E5284" s="2">
        <v>2</v>
      </c>
      <c r="F5284" s="2" t="s">
        <v>10086</v>
      </c>
      <c r="H5284" s="2">
        <v>1.2999999999999999E-3</v>
      </c>
      <c r="K5284" s="2" t="s">
        <v>10088</v>
      </c>
    </row>
    <row r="5285" spans="1:11" x14ac:dyDescent="0.2">
      <c r="A5285" s="2">
        <v>1322</v>
      </c>
      <c r="B5285" s="2">
        <v>8</v>
      </c>
      <c r="C5285" s="2">
        <v>90364150</v>
      </c>
      <c r="D5285" s="2">
        <v>91457962</v>
      </c>
      <c r="E5285" s="2">
        <v>3</v>
      </c>
      <c r="F5285" s="2" t="s">
        <v>10086</v>
      </c>
      <c r="H5285" s="3">
        <v>8.0000000000000004E-4</v>
      </c>
      <c r="K5285" s="2" t="s">
        <v>10087</v>
      </c>
    </row>
    <row r="5286" spans="1:11" x14ac:dyDescent="0.2">
      <c r="A5286" s="2">
        <v>1322</v>
      </c>
      <c r="B5286" s="2">
        <v>8</v>
      </c>
      <c r="C5286" s="2">
        <v>90364150</v>
      </c>
      <c r="D5286" s="2">
        <v>91457962</v>
      </c>
      <c r="E5286" s="2">
        <v>4</v>
      </c>
      <c r="F5286" s="2" t="s">
        <v>10086</v>
      </c>
      <c r="H5286" s="3">
        <v>2.9999999999999997E-4</v>
      </c>
      <c r="K5286" s="2" t="s">
        <v>10085</v>
      </c>
    </row>
    <row r="5287" spans="1:11" x14ac:dyDescent="0.2">
      <c r="A5287" s="2">
        <v>1323</v>
      </c>
      <c r="B5287" s="2">
        <v>8</v>
      </c>
      <c r="C5287" s="2">
        <v>91457963</v>
      </c>
      <c r="D5287" s="2">
        <v>92876620</v>
      </c>
      <c r="E5287" s="2">
        <v>1</v>
      </c>
      <c r="F5287" s="2" t="s">
        <v>10086</v>
      </c>
      <c r="H5287" s="2">
        <v>1.1000000000000001E-3</v>
      </c>
      <c r="K5287" s="2" t="s">
        <v>10089</v>
      </c>
    </row>
    <row r="5288" spans="1:11" x14ac:dyDescent="0.2">
      <c r="A5288" s="2">
        <v>1323</v>
      </c>
      <c r="B5288" s="2">
        <v>8</v>
      </c>
      <c r="C5288" s="2">
        <v>91457963</v>
      </c>
      <c r="D5288" s="2">
        <v>92876620</v>
      </c>
      <c r="E5288" s="2">
        <v>2</v>
      </c>
      <c r="F5288" s="2" t="s">
        <v>10086</v>
      </c>
      <c r="H5288" s="3">
        <v>8.9999999999999998E-4</v>
      </c>
      <c r="K5288" s="2" t="s">
        <v>10087</v>
      </c>
    </row>
    <row r="5289" spans="1:11" x14ac:dyDescent="0.2">
      <c r="A5289" s="2">
        <v>1323</v>
      </c>
      <c r="B5289" s="2">
        <v>8</v>
      </c>
      <c r="C5289" s="2">
        <v>91457963</v>
      </c>
      <c r="D5289" s="2">
        <v>92876620</v>
      </c>
      <c r="E5289" s="2">
        <v>3</v>
      </c>
      <c r="F5289" s="2" t="s">
        <v>10086</v>
      </c>
      <c r="H5289" s="3">
        <v>5.9999999999999995E-4</v>
      </c>
      <c r="K5289" s="2" t="s">
        <v>10085</v>
      </c>
    </row>
    <row r="5290" spans="1:11" x14ac:dyDescent="0.2">
      <c r="A5290" s="2">
        <v>1323</v>
      </c>
      <c r="B5290" s="2">
        <v>8</v>
      </c>
      <c r="C5290" s="2">
        <v>91457963</v>
      </c>
      <c r="D5290" s="2">
        <v>92876620</v>
      </c>
      <c r="E5290" s="2">
        <v>4</v>
      </c>
      <c r="F5290" s="2" t="s">
        <v>10086</v>
      </c>
      <c r="H5290" s="3">
        <v>5.9999999999999995E-4</v>
      </c>
      <c r="K5290" s="2" t="s">
        <v>10088</v>
      </c>
    </row>
    <row r="5291" spans="1:11" x14ac:dyDescent="0.2">
      <c r="A5291" s="2">
        <v>1324</v>
      </c>
      <c r="B5291" s="2">
        <v>8</v>
      </c>
      <c r="C5291" s="2">
        <v>92876621</v>
      </c>
      <c r="D5291" s="2">
        <v>94999066</v>
      </c>
      <c r="E5291" s="2">
        <v>1</v>
      </c>
      <c r="F5291" s="2" t="s">
        <v>10086</v>
      </c>
      <c r="H5291" s="2">
        <v>9.5999999999999992E-3</v>
      </c>
      <c r="K5291" s="2" t="s">
        <v>10087</v>
      </c>
    </row>
    <row r="5292" spans="1:11" x14ac:dyDescent="0.2">
      <c r="A5292" s="2">
        <v>1324</v>
      </c>
      <c r="B5292" s="2">
        <v>8</v>
      </c>
      <c r="C5292" s="2">
        <v>92876621</v>
      </c>
      <c r="D5292" s="2">
        <v>94999066</v>
      </c>
      <c r="E5292" s="2">
        <v>2</v>
      </c>
      <c r="F5292" s="2" t="s">
        <v>10086</v>
      </c>
      <c r="H5292" s="2">
        <v>1.6999999999999999E-3</v>
      </c>
      <c r="K5292" s="2" t="s">
        <v>10089</v>
      </c>
    </row>
    <row r="5293" spans="1:11" x14ac:dyDescent="0.2">
      <c r="A5293" s="2">
        <v>1324</v>
      </c>
      <c r="B5293" s="2">
        <v>8</v>
      </c>
      <c r="C5293" s="2">
        <v>92876621</v>
      </c>
      <c r="D5293" s="2">
        <v>94999066</v>
      </c>
      <c r="E5293" s="2">
        <v>3</v>
      </c>
      <c r="F5293" s="2" t="s">
        <v>10086</v>
      </c>
      <c r="H5293" s="2">
        <v>1.6999999999999999E-3</v>
      </c>
      <c r="K5293" s="2" t="s">
        <v>10085</v>
      </c>
    </row>
    <row r="5294" spans="1:11" x14ac:dyDescent="0.2">
      <c r="A5294" s="2">
        <v>1324</v>
      </c>
      <c r="B5294" s="2">
        <v>8</v>
      </c>
      <c r="C5294" s="2">
        <v>92876621</v>
      </c>
      <c r="D5294" s="2">
        <v>94999066</v>
      </c>
      <c r="E5294" s="2">
        <v>4</v>
      </c>
      <c r="F5294" s="2" t="s">
        <v>10086</v>
      </c>
      <c r="H5294" s="2">
        <v>1.1000000000000001E-3</v>
      </c>
      <c r="K5294" s="2" t="s">
        <v>12324</v>
      </c>
    </row>
    <row r="5295" spans="1:11" x14ac:dyDescent="0.2">
      <c r="A5295" s="2">
        <v>1325</v>
      </c>
      <c r="B5295" s="2">
        <v>8</v>
      </c>
      <c r="C5295" s="2">
        <v>94999067</v>
      </c>
      <c r="D5295" s="2">
        <v>96175630</v>
      </c>
      <c r="E5295" s="2">
        <v>1</v>
      </c>
      <c r="F5295" s="2" t="s">
        <v>10086</v>
      </c>
      <c r="H5295" s="2">
        <v>1.2999999999999999E-3</v>
      </c>
      <c r="K5295" s="2" t="s">
        <v>10085</v>
      </c>
    </row>
    <row r="5296" spans="1:11" x14ac:dyDescent="0.2">
      <c r="A5296" s="2">
        <v>1325</v>
      </c>
      <c r="B5296" s="2">
        <v>8</v>
      </c>
      <c r="C5296" s="2">
        <v>94999067</v>
      </c>
      <c r="D5296" s="2">
        <v>96175630</v>
      </c>
      <c r="E5296" s="2">
        <v>2</v>
      </c>
      <c r="F5296" s="2" t="s">
        <v>10086</v>
      </c>
      <c r="H5296" s="2">
        <v>2.0999999999999999E-3</v>
      </c>
      <c r="K5296" s="2" t="s">
        <v>12324</v>
      </c>
    </row>
    <row r="5297" spans="1:11" x14ac:dyDescent="0.2">
      <c r="A5297" s="2">
        <v>1325</v>
      </c>
      <c r="B5297" s="2">
        <v>8</v>
      </c>
      <c r="C5297" s="2">
        <v>94999067</v>
      </c>
      <c r="D5297" s="2">
        <v>96175630</v>
      </c>
      <c r="E5297" s="2">
        <v>3</v>
      </c>
      <c r="F5297" s="2" t="s">
        <v>10086</v>
      </c>
      <c r="H5297" s="2">
        <v>1.1999999999999999E-3</v>
      </c>
      <c r="K5297" s="2" t="s">
        <v>10089</v>
      </c>
    </row>
    <row r="5298" spans="1:11" x14ac:dyDescent="0.2">
      <c r="A5298" s="2">
        <v>1325</v>
      </c>
      <c r="B5298" s="2">
        <v>8</v>
      </c>
      <c r="C5298" s="2">
        <v>94999067</v>
      </c>
      <c r="D5298" s="2">
        <v>96175630</v>
      </c>
      <c r="E5298" s="2">
        <v>4</v>
      </c>
      <c r="F5298" s="2" t="s">
        <v>10086</v>
      </c>
      <c r="H5298" s="2">
        <v>1E-3</v>
      </c>
      <c r="K5298" s="2" t="s">
        <v>10088</v>
      </c>
    </row>
    <row r="5299" spans="1:11" x14ac:dyDescent="0.2">
      <c r="A5299" s="2">
        <v>1326</v>
      </c>
      <c r="B5299" s="2">
        <v>8</v>
      </c>
      <c r="C5299" s="2">
        <v>96175631</v>
      </c>
      <c r="D5299" s="2">
        <v>96900513</v>
      </c>
      <c r="E5299" s="2">
        <v>1</v>
      </c>
      <c r="F5299" s="2" t="s">
        <v>10086</v>
      </c>
      <c r="H5299" s="2">
        <v>1.8E-3</v>
      </c>
      <c r="K5299" s="2" t="s">
        <v>10089</v>
      </c>
    </row>
    <row r="5300" spans="1:11" x14ac:dyDescent="0.2">
      <c r="A5300" s="2">
        <v>1326</v>
      </c>
      <c r="B5300" s="2">
        <v>8</v>
      </c>
      <c r="C5300" s="2">
        <v>96175631</v>
      </c>
      <c r="D5300" s="2">
        <v>96900513</v>
      </c>
      <c r="E5300" s="2">
        <v>2</v>
      </c>
      <c r="F5300" s="2" t="s">
        <v>10086</v>
      </c>
      <c r="H5300" s="2">
        <v>4.1000000000000003E-3</v>
      </c>
      <c r="K5300" s="2" t="s">
        <v>10085</v>
      </c>
    </row>
    <row r="5301" spans="1:11" x14ac:dyDescent="0.2">
      <c r="A5301" s="2">
        <v>1326</v>
      </c>
      <c r="B5301" s="2">
        <v>8</v>
      </c>
      <c r="C5301" s="2">
        <v>96175631</v>
      </c>
      <c r="D5301" s="2">
        <v>96900513</v>
      </c>
      <c r="E5301" s="2">
        <v>3</v>
      </c>
      <c r="F5301" s="2" t="s">
        <v>10086</v>
      </c>
      <c r="H5301" s="2">
        <v>1.1999999999999999E-3</v>
      </c>
      <c r="K5301" s="2" t="s">
        <v>10087</v>
      </c>
    </row>
    <row r="5302" spans="1:11" x14ac:dyDescent="0.2">
      <c r="A5302" s="2">
        <v>1326</v>
      </c>
      <c r="B5302" s="2">
        <v>8</v>
      </c>
      <c r="C5302" s="2">
        <v>96175631</v>
      </c>
      <c r="D5302" s="2">
        <v>96900513</v>
      </c>
      <c r="E5302" s="2">
        <v>4</v>
      </c>
      <c r="F5302" s="2" t="s">
        <v>10086</v>
      </c>
      <c r="H5302" s="3">
        <v>5.0000000000000001E-4</v>
      </c>
      <c r="K5302" s="2" t="s">
        <v>10088</v>
      </c>
    </row>
    <row r="5303" spans="1:11" x14ac:dyDescent="0.2">
      <c r="A5303" s="2">
        <v>1327</v>
      </c>
      <c r="B5303" s="2">
        <v>8</v>
      </c>
      <c r="C5303" s="2">
        <v>96900514</v>
      </c>
      <c r="D5303" s="2">
        <v>98132519</v>
      </c>
      <c r="E5303" s="2">
        <v>1</v>
      </c>
      <c r="F5303" s="2" t="s">
        <v>10086</v>
      </c>
      <c r="H5303" s="2">
        <v>0.39629999999999999</v>
      </c>
      <c r="K5303" s="2" t="s">
        <v>10088</v>
      </c>
    </row>
    <row r="5304" spans="1:11" x14ac:dyDescent="0.2">
      <c r="A5304" s="2">
        <v>1327</v>
      </c>
      <c r="B5304" s="2">
        <v>8</v>
      </c>
      <c r="C5304" s="2">
        <v>96900514</v>
      </c>
      <c r="D5304" s="2">
        <v>98132519</v>
      </c>
      <c r="E5304" s="2">
        <v>2</v>
      </c>
      <c r="F5304" s="2" t="s">
        <v>10086</v>
      </c>
      <c r="H5304" s="2">
        <v>1.6999999999999999E-3</v>
      </c>
      <c r="K5304" s="2" t="s">
        <v>10087</v>
      </c>
    </row>
    <row r="5305" spans="1:11" x14ac:dyDescent="0.2">
      <c r="A5305" s="2">
        <v>1327</v>
      </c>
      <c r="B5305" s="2">
        <v>8</v>
      </c>
      <c r="C5305" s="2">
        <v>96900514</v>
      </c>
      <c r="D5305" s="2">
        <v>98132519</v>
      </c>
      <c r="E5305" s="2">
        <v>3</v>
      </c>
      <c r="F5305" s="2" t="s">
        <v>10086</v>
      </c>
      <c r="H5305" s="2">
        <v>1.4E-3</v>
      </c>
      <c r="K5305" s="2" t="s">
        <v>10089</v>
      </c>
    </row>
    <row r="5306" spans="1:11" x14ac:dyDescent="0.2">
      <c r="A5306" s="2">
        <v>1327</v>
      </c>
      <c r="B5306" s="2">
        <v>8</v>
      </c>
      <c r="C5306" s="2">
        <v>96900514</v>
      </c>
      <c r="D5306" s="2">
        <v>98132519</v>
      </c>
      <c r="E5306" s="2">
        <v>4</v>
      </c>
      <c r="F5306" s="2" t="s">
        <v>10086</v>
      </c>
      <c r="H5306" s="3">
        <v>5.9999999999999995E-4</v>
      </c>
      <c r="K5306" s="2" t="s">
        <v>12324</v>
      </c>
    </row>
    <row r="5307" spans="1:11" x14ac:dyDescent="0.2">
      <c r="A5307" s="2">
        <v>1328</v>
      </c>
      <c r="B5307" s="2">
        <v>8</v>
      </c>
      <c r="C5307" s="2">
        <v>98132520</v>
      </c>
      <c r="D5307" s="2">
        <v>99388944</v>
      </c>
      <c r="E5307" s="2">
        <v>1</v>
      </c>
      <c r="F5307" s="2" t="s">
        <v>10086</v>
      </c>
      <c r="H5307" s="2">
        <v>6.1000000000000004E-3</v>
      </c>
      <c r="K5307" s="2" t="s">
        <v>10087</v>
      </c>
    </row>
    <row r="5308" spans="1:11" x14ac:dyDescent="0.2">
      <c r="A5308" s="2">
        <v>1328</v>
      </c>
      <c r="B5308" s="2">
        <v>8</v>
      </c>
      <c r="C5308" s="2">
        <v>98132520</v>
      </c>
      <c r="D5308" s="2">
        <v>99388944</v>
      </c>
      <c r="E5308" s="2">
        <v>2</v>
      </c>
      <c r="F5308" s="2" t="s">
        <v>10086</v>
      </c>
      <c r="H5308" s="2">
        <v>2E-3</v>
      </c>
      <c r="K5308" s="2" t="s">
        <v>10088</v>
      </c>
    </row>
    <row r="5309" spans="1:11" x14ac:dyDescent="0.2">
      <c r="A5309" s="2">
        <v>1328</v>
      </c>
      <c r="B5309" s="2">
        <v>8</v>
      </c>
      <c r="C5309" s="2">
        <v>98132520</v>
      </c>
      <c r="D5309" s="2">
        <v>99388944</v>
      </c>
      <c r="E5309" s="2">
        <v>3</v>
      </c>
      <c r="F5309" s="2" t="s">
        <v>10086</v>
      </c>
      <c r="H5309" s="2">
        <v>1.4E-3</v>
      </c>
      <c r="K5309" s="2" t="s">
        <v>10085</v>
      </c>
    </row>
    <row r="5310" spans="1:11" x14ac:dyDescent="0.2">
      <c r="A5310" s="2">
        <v>1328</v>
      </c>
      <c r="B5310" s="2">
        <v>8</v>
      </c>
      <c r="C5310" s="2">
        <v>98132520</v>
      </c>
      <c r="D5310" s="2">
        <v>99388944</v>
      </c>
      <c r="E5310" s="2">
        <v>4</v>
      </c>
      <c r="F5310" s="2" t="s">
        <v>10086</v>
      </c>
      <c r="H5310" s="3">
        <v>5.9999999999999995E-4</v>
      </c>
      <c r="K5310" s="2" t="s">
        <v>10089</v>
      </c>
    </row>
    <row r="5311" spans="1:11" x14ac:dyDescent="0.2">
      <c r="A5311" s="2">
        <v>1329</v>
      </c>
      <c r="B5311" s="2">
        <v>8</v>
      </c>
      <c r="C5311" s="2">
        <v>99388945</v>
      </c>
      <c r="D5311" s="2">
        <v>101448439</v>
      </c>
      <c r="E5311" s="2">
        <v>1</v>
      </c>
      <c r="F5311" s="2" t="s">
        <v>10086</v>
      </c>
      <c r="H5311" s="2">
        <v>2.5000000000000001E-3</v>
      </c>
      <c r="K5311" s="2" t="s">
        <v>10088</v>
      </c>
    </row>
    <row r="5312" spans="1:11" x14ac:dyDescent="0.2">
      <c r="A5312" s="2">
        <v>1329</v>
      </c>
      <c r="B5312" s="2">
        <v>8</v>
      </c>
      <c r="C5312" s="2">
        <v>99388945</v>
      </c>
      <c r="D5312" s="2">
        <v>101448439</v>
      </c>
      <c r="E5312" s="2">
        <v>2</v>
      </c>
      <c r="F5312" s="2" t="s">
        <v>10086</v>
      </c>
      <c r="H5312" s="2">
        <v>2.5000000000000001E-3</v>
      </c>
      <c r="K5312" s="2" t="s">
        <v>10087</v>
      </c>
    </row>
    <row r="5313" spans="1:11" x14ac:dyDescent="0.2">
      <c r="A5313" s="2">
        <v>1329</v>
      </c>
      <c r="B5313" s="2">
        <v>8</v>
      </c>
      <c r="C5313" s="2">
        <v>99388945</v>
      </c>
      <c r="D5313" s="2">
        <v>101448439</v>
      </c>
      <c r="E5313" s="2">
        <v>3</v>
      </c>
      <c r="F5313" s="2" t="s">
        <v>10086</v>
      </c>
      <c r="H5313" s="3">
        <v>8.9999999999999998E-4</v>
      </c>
      <c r="K5313" s="2" t="s">
        <v>10085</v>
      </c>
    </row>
    <row r="5314" spans="1:11" x14ac:dyDescent="0.2">
      <c r="A5314" s="2">
        <v>1329</v>
      </c>
      <c r="B5314" s="2">
        <v>8</v>
      </c>
      <c r="C5314" s="2">
        <v>99388945</v>
      </c>
      <c r="D5314" s="2">
        <v>101448439</v>
      </c>
      <c r="E5314" s="2">
        <v>4</v>
      </c>
      <c r="F5314" s="2" t="s">
        <v>10086</v>
      </c>
      <c r="H5314" s="3">
        <v>5.9999999999999995E-4</v>
      </c>
      <c r="K5314" s="2" t="s">
        <v>10089</v>
      </c>
    </row>
    <row r="5315" spans="1:11" x14ac:dyDescent="0.2">
      <c r="A5315" s="2">
        <v>1330</v>
      </c>
      <c r="B5315" s="2">
        <v>8</v>
      </c>
      <c r="C5315" s="2">
        <v>101448440</v>
      </c>
      <c r="D5315" s="2">
        <v>102548680</v>
      </c>
      <c r="E5315" s="2">
        <v>1</v>
      </c>
      <c r="F5315" s="2" t="s">
        <v>10086</v>
      </c>
      <c r="H5315" s="2">
        <v>6.4000000000000003E-3</v>
      </c>
      <c r="K5315" s="2" t="s">
        <v>10088</v>
      </c>
    </row>
    <row r="5316" spans="1:11" x14ac:dyDescent="0.2">
      <c r="A5316" s="2">
        <v>1330</v>
      </c>
      <c r="B5316" s="2">
        <v>8</v>
      </c>
      <c r="C5316" s="2">
        <v>101448440</v>
      </c>
      <c r="D5316" s="2">
        <v>102548680</v>
      </c>
      <c r="E5316" s="2">
        <v>2</v>
      </c>
      <c r="F5316" s="2" t="s">
        <v>10086</v>
      </c>
      <c r="H5316" s="2">
        <v>2.0999999999999999E-3</v>
      </c>
      <c r="K5316" s="2" t="s">
        <v>10089</v>
      </c>
    </row>
    <row r="5317" spans="1:11" x14ac:dyDescent="0.2">
      <c r="A5317" s="2">
        <v>1330</v>
      </c>
      <c r="B5317" s="2">
        <v>8</v>
      </c>
      <c r="C5317" s="2">
        <v>101448440</v>
      </c>
      <c r="D5317" s="2">
        <v>102548680</v>
      </c>
      <c r="E5317" s="2">
        <v>3</v>
      </c>
      <c r="F5317" s="2" t="s">
        <v>10086</v>
      </c>
      <c r="H5317" s="3">
        <v>8.9999999999999998E-4</v>
      </c>
      <c r="K5317" s="2" t="s">
        <v>10087</v>
      </c>
    </row>
    <row r="5318" spans="1:11" x14ac:dyDescent="0.2">
      <c r="A5318" s="2">
        <v>1330</v>
      </c>
      <c r="B5318" s="2">
        <v>8</v>
      </c>
      <c r="C5318" s="2">
        <v>101448440</v>
      </c>
      <c r="D5318" s="2">
        <v>102548680</v>
      </c>
      <c r="E5318" s="2">
        <v>4</v>
      </c>
      <c r="F5318" s="2" t="s">
        <v>10086</v>
      </c>
      <c r="H5318" s="3">
        <v>5.9999999999999995E-4</v>
      </c>
      <c r="K5318" s="2" t="s">
        <v>10085</v>
      </c>
    </row>
    <row r="5319" spans="1:11" x14ac:dyDescent="0.2">
      <c r="A5319" s="2">
        <v>1331</v>
      </c>
      <c r="B5319" s="2">
        <v>8</v>
      </c>
      <c r="C5319" s="2">
        <v>102548681</v>
      </c>
      <c r="D5319" s="2">
        <v>103716053</v>
      </c>
      <c r="E5319" s="2">
        <v>1</v>
      </c>
      <c r="F5319" s="2" t="s">
        <v>10086</v>
      </c>
      <c r="H5319" s="2">
        <v>2E-3</v>
      </c>
      <c r="K5319" s="2" t="s">
        <v>10087</v>
      </c>
    </row>
    <row r="5320" spans="1:11" x14ac:dyDescent="0.2">
      <c r="A5320" s="2">
        <v>1331</v>
      </c>
      <c r="B5320" s="2">
        <v>8</v>
      </c>
      <c r="C5320" s="2">
        <v>102548681</v>
      </c>
      <c r="D5320" s="2">
        <v>103716053</v>
      </c>
      <c r="E5320" s="2">
        <v>2</v>
      </c>
      <c r="F5320" s="2" t="s">
        <v>10086</v>
      </c>
      <c r="H5320" s="2">
        <v>1.9E-3</v>
      </c>
      <c r="K5320" s="2" t="s">
        <v>10089</v>
      </c>
    </row>
    <row r="5321" spans="1:11" x14ac:dyDescent="0.2">
      <c r="A5321" s="2">
        <v>1331</v>
      </c>
      <c r="B5321" s="2">
        <v>8</v>
      </c>
      <c r="C5321" s="2">
        <v>102548681</v>
      </c>
      <c r="D5321" s="2">
        <v>103716053</v>
      </c>
      <c r="E5321" s="2">
        <v>3</v>
      </c>
      <c r="F5321" s="2" t="s">
        <v>10086</v>
      </c>
      <c r="H5321" s="3">
        <v>8.0000000000000004E-4</v>
      </c>
      <c r="K5321" s="2" t="s">
        <v>10088</v>
      </c>
    </row>
    <row r="5322" spans="1:11" x14ac:dyDescent="0.2">
      <c r="A5322" s="2">
        <v>1331</v>
      </c>
      <c r="B5322" s="2">
        <v>8</v>
      </c>
      <c r="C5322" s="2">
        <v>102548681</v>
      </c>
      <c r="D5322" s="2">
        <v>103716053</v>
      </c>
      <c r="E5322" s="2">
        <v>4</v>
      </c>
      <c r="F5322" s="2" t="s">
        <v>10086</v>
      </c>
      <c r="H5322" s="3">
        <v>4.0000000000000002E-4</v>
      </c>
      <c r="K5322" s="2" t="s">
        <v>10085</v>
      </c>
    </row>
    <row r="5323" spans="1:11" x14ac:dyDescent="0.2">
      <c r="A5323" s="2">
        <v>1332</v>
      </c>
      <c r="B5323" s="2">
        <v>8</v>
      </c>
      <c r="C5323" s="2">
        <v>103716054</v>
      </c>
      <c r="D5323" s="2">
        <v>104467845</v>
      </c>
      <c r="E5323" s="2">
        <v>1</v>
      </c>
      <c r="F5323" s="2" t="s">
        <v>10086</v>
      </c>
      <c r="H5323" s="3">
        <v>6.9999999999999999E-4</v>
      </c>
      <c r="K5323" s="2" t="s">
        <v>10089</v>
      </c>
    </row>
    <row r="5324" spans="1:11" x14ac:dyDescent="0.2">
      <c r="A5324" s="2">
        <v>1332</v>
      </c>
      <c r="B5324" s="2">
        <v>8</v>
      </c>
      <c r="C5324" s="2">
        <v>103716054</v>
      </c>
      <c r="D5324" s="2">
        <v>104467845</v>
      </c>
      <c r="E5324" s="2">
        <v>2</v>
      </c>
      <c r="F5324" s="2" t="s">
        <v>10086</v>
      </c>
      <c r="H5324" s="3">
        <v>5.9999999999999995E-4</v>
      </c>
      <c r="K5324" s="2" t="s">
        <v>10088</v>
      </c>
    </row>
    <row r="5325" spans="1:11" x14ac:dyDescent="0.2">
      <c r="A5325" s="2">
        <v>1332</v>
      </c>
      <c r="B5325" s="2">
        <v>8</v>
      </c>
      <c r="C5325" s="2">
        <v>103716054</v>
      </c>
      <c r="D5325" s="2">
        <v>104467845</v>
      </c>
      <c r="E5325" s="2">
        <v>3</v>
      </c>
      <c r="F5325" s="2" t="s">
        <v>10086</v>
      </c>
      <c r="H5325" s="3">
        <v>5.0000000000000001E-4</v>
      </c>
      <c r="K5325" s="2" t="s">
        <v>10085</v>
      </c>
    </row>
    <row r="5326" spans="1:11" x14ac:dyDescent="0.2">
      <c r="A5326" s="2">
        <v>1332</v>
      </c>
      <c r="B5326" s="2">
        <v>8</v>
      </c>
      <c r="C5326" s="2">
        <v>103716054</v>
      </c>
      <c r="D5326" s="2">
        <v>104467845</v>
      </c>
      <c r="E5326" s="2">
        <v>4</v>
      </c>
      <c r="F5326" s="2" t="s">
        <v>10086</v>
      </c>
      <c r="H5326" s="3">
        <v>2.9999999999999997E-4</v>
      </c>
      <c r="K5326" s="2" t="s">
        <v>10087</v>
      </c>
    </row>
    <row r="5327" spans="1:11" x14ac:dyDescent="0.2">
      <c r="A5327" s="2">
        <v>1333</v>
      </c>
      <c r="B5327" s="2">
        <v>8</v>
      </c>
      <c r="C5327" s="2">
        <v>104467846</v>
      </c>
      <c r="D5327" s="2">
        <v>105370130</v>
      </c>
      <c r="E5327" s="2">
        <v>1</v>
      </c>
      <c r="F5327" s="2" t="s">
        <v>10086</v>
      </c>
      <c r="H5327" s="2">
        <v>2E-3</v>
      </c>
      <c r="K5327" s="2" t="s">
        <v>10085</v>
      </c>
    </row>
    <row r="5328" spans="1:11" x14ac:dyDescent="0.2">
      <c r="A5328" s="2">
        <v>1333</v>
      </c>
      <c r="B5328" s="2">
        <v>8</v>
      </c>
      <c r="C5328" s="2">
        <v>104467846</v>
      </c>
      <c r="D5328" s="2">
        <v>105370130</v>
      </c>
      <c r="E5328" s="2">
        <v>2</v>
      </c>
      <c r="F5328" s="2" t="s">
        <v>10086</v>
      </c>
      <c r="H5328" s="2">
        <v>1.8E-3</v>
      </c>
      <c r="K5328" s="2" t="s">
        <v>10089</v>
      </c>
    </row>
    <row r="5329" spans="1:11" x14ac:dyDescent="0.2">
      <c r="A5329" s="2">
        <v>1333</v>
      </c>
      <c r="B5329" s="2">
        <v>8</v>
      </c>
      <c r="C5329" s="2">
        <v>104467846</v>
      </c>
      <c r="D5329" s="2">
        <v>105370130</v>
      </c>
      <c r="E5329" s="2">
        <v>3</v>
      </c>
      <c r="F5329" s="2" t="s">
        <v>10086</v>
      </c>
      <c r="H5329" s="3">
        <v>8.0000000000000004E-4</v>
      </c>
      <c r="K5329" s="2" t="s">
        <v>10088</v>
      </c>
    </row>
    <row r="5330" spans="1:11" x14ac:dyDescent="0.2">
      <c r="A5330" s="2">
        <v>1333</v>
      </c>
      <c r="B5330" s="2">
        <v>8</v>
      </c>
      <c r="C5330" s="2">
        <v>104467846</v>
      </c>
      <c r="D5330" s="2">
        <v>105370130</v>
      </c>
      <c r="E5330" s="2">
        <v>4</v>
      </c>
      <c r="F5330" s="2" t="s">
        <v>10086</v>
      </c>
      <c r="H5330" s="3">
        <v>4.0000000000000002E-4</v>
      </c>
      <c r="K5330" s="2" t="s">
        <v>10087</v>
      </c>
    </row>
    <row r="5331" spans="1:11" x14ac:dyDescent="0.2">
      <c r="A5331" s="2">
        <v>1334</v>
      </c>
      <c r="B5331" s="2">
        <v>8</v>
      </c>
      <c r="C5331" s="2">
        <v>105370131</v>
      </c>
      <c r="D5331" s="2">
        <v>106500950</v>
      </c>
      <c r="E5331" s="2">
        <v>1</v>
      </c>
      <c r="F5331" s="2" t="s">
        <v>10086</v>
      </c>
      <c r="H5331" s="2">
        <v>2.0999999999999999E-3</v>
      </c>
      <c r="K5331" s="2" t="s">
        <v>10088</v>
      </c>
    </row>
    <row r="5332" spans="1:11" x14ac:dyDescent="0.2">
      <c r="A5332" s="2">
        <v>1334</v>
      </c>
      <c r="B5332" s="2">
        <v>8</v>
      </c>
      <c r="C5332" s="2">
        <v>105370131</v>
      </c>
      <c r="D5332" s="2">
        <v>106500950</v>
      </c>
      <c r="E5332" s="2">
        <v>2</v>
      </c>
      <c r="F5332" s="2" t="s">
        <v>10086</v>
      </c>
      <c r="H5332" s="2">
        <v>1.1000000000000001E-3</v>
      </c>
      <c r="K5332" s="2" t="s">
        <v>10085</v>
      </c>
    </row>
    <row r="5333" spans="1:11" x14ac:dyDescent="0.2">
      <c r="A5333" s="2">
        <v>1334</v>
      </c>
      <c r="B5333" s="2">
        <v>8</v>
      </c>
      <c r="C5333" s="2">
        <v>105370131</v>
      </c>
      <c r="D5333" s="2">
        <v>106500950</v>
      </c>
      <c r="E5333" s="2">
        <v>3</v>
      </c>
      <c r="F5333" s="2" t="s">
        <v>10086</v>
      </c>
      <c r="H5333" s="3">
        <v>8.9999999999999998E-4</v>
      </c>
      <c r="K5333" s="2" t="s">
        <v>10089</v>
      </c>
    </row>
    <row r="5334" spans="1:11" x14ac:dyDescent="0.2">
      <c r="A5334" s="2">
        <v>1334</v>
      </c>
      <c r="B5334" s="2">
        <v>8</v>
      </c>
      <c r="C5334" s="2">
        <v>105370131</v>
      </c>
      <c r="D5334" s="2">
        <v>106500950</v>
      </c>
      <c r="E5334" s="2">
        <v>4</v>
      </c>
      <c r="F5334" s="2" t="s">
        <v>10086</v>
      </c>
      <c r="H5334" s="3">
        <v>2.9999999999999997E-4</v>
      </c>
      <c r="K5334" s="2" t="s">
        <v>10087</v>
      </c>
    </row>
    <row r="5335" spans="1:11" x14ac:dyDescent="0.2">
      <c r="A5335" s="2">
        <v>1335</v>
      </c>
      <c r="B5335" s="2">
        <v>8</v>
      </c>
      <c r="C5335" s="2">
        <v>106500951</v>
      </c>
      <c r="D5335" s="2">
        <v>107787163</v>
      </c>
      <c r="E5335" s="2">
        <v>1</v>
      </c>
      <c r="F5335" s="2" t="s">
        <v>10086</v>
      </c>
      <c r="H5335" s="2">
        <v>2.8999999999999998E-3</v>
      </c>
      <c r="K5335" s="2" t="s">
        <v>10089</v>
      </c>
    </row>
    <row r="5336" spans="1:11" x14ac:dyDescent="0.2">
      <c r="A5336" s="2">
        <v>1335</v>
      </c>
      <c r="B5336" s="2">
        <v>8</v>
      </c>
      <c r="C5336" s="2">
        <v>106500951</v>
      </c>
      <c r="D5336" s="2">
        <v>107787163</v>
      </c>
      <c r="E5336" s="2">
        <v>2</v>
      </c>
      <c r="F5336" s="2" t="s">
        <v>10086</v>
      </c>
      <c r="H5336" s="2">
        <v>3.8999999999999998E-3</v>
      </c>
      <c r="K5336" s="2" t="s">
        <v>10088</v>
      </c>
    </row>
    <row r="5337" spans="1:11" x14ac:dyDescent="0.2">
      <c r="A5337" s="2">
        <v>1335</v>
      </c>
      <c r="B5337" s="2">
        <v>8</v>
      </c>
      <c r="C5337" s="2">
        <v>106500951</v>
      </c>
      <c r="D5337" s="2">
        <v>107787163</v>
      </c>
      <c r="E5337" s="2">
        <v>3</v>
      </c>
      <c r="F5337" s="2" t="s">
        <v>10086</v>
      </c>
      <c r="H5337" s="2">
        <v>1E-3</v>
      </c>
      <c r="K5337" s="2" t="s">
        <v>10085</v>
      </c>
    </row>
    <row r="5338" spans="1:11" x14ac:dyDescent="0.2">
      <c r="A5338" s="2">
        <v>1335</v>
      </c>
      <c r="B5338" s="2">
        <v>8</v>
      </c>
      <c r="C5338" s="2">
        <v>106500951</v>
      </c>
      <c r="D5338" s="2">
        <v>107787163</v>
      </c>
      <c r="E5338" s="2">
        <v>4</v>
      </c>
      <c r="F5338" s="2" t="s">
        <v>10086</v>
      </c>
      <c r="H5338" s="3">
        <v>5.0000000000000001E-4</v>
      </c>
      <c r="K5338" s="2" t="s">
        <v>10087</v>
      </c>
    </row>
    <row r="5339" spans="1:11" x14ac:dyDescent="0.2">
      <c r="A5339" s="2">
        <v>1336</v>
      </c>
      <c r="B5339" s="2">
        <v>8</v>
      </c>
      <c r="C5339" s="2">
        <v>107787164</v>
      </c>
      <c r="D5339" s="2">
        <v>108647463</v>
      </c>
      <c r="E5339" s="2">
        <v>1</v>
      </c>
      <c r="F5339" s="2" t="s">
        <v>10086</v>
      </c>
      <c r="H5339" s="2">
        <v>5.7000000000000002E-3</v>
      </c>
      <c r="K5339" s="2" t="s">
        <v>10089</v>
      </c>
    </row>
    <row r="5340" spans="1:11" x14ac:dyDescent="0.2">
      <c r="A5340" s="2">
        <v>1336</v>
      </c>
      <c r="B5340" s="2">
        <v>8</v>
      </c>
      <c r="C5340" s="2">
        <v>107787164</v>
      </c>
      <c r="D5340" s="2">
        <v>108647463</v>
      </c>
      <c r="E5340" s="2">
        <v>2</v>
      </c>
      <c r="F5340" s="2" t="s">
        <v>10086</v>
      </c>
      <c r="H5340" s="2">
        <v>3.8E-3</v>
      </c>
      <c r="K5340" s="2" t="s">
        <v>10087</v>
      </c>
    </row>
    <row r="5341" spans="1:11" x14ac:dyDescent="0.2">
      <c r="A5341" s="2">
        <v>1336</v>
      </c>
      <c r="B5341" s="2">
        <v>8</v>
      </c>
      <c r="C5341" s="2">
        <v>107787164</v>
      </c>
      <c r="D5341" s="2">
        <v>108647463</v>
      </c>
      <c r="E5341" s="2">
        <v>3</v>
      </c>
      <c r="F5341" s="2" t="s">
        <v>10086</v>
      </c>
      <c r="H5341" s="3">
        <v>5.9999999999999995E-4</v>
      </c>
      <c r="K5341" s="2" t="s">
        <v>10088</v>
      </c>
    </row>
    <row r="5342" spans="1:11" x14ac:dyDescent="0.2">
      <c r="A5342" s="2">
        <v>1336</v>
      </c>
      <c r="B5342" s="2">
        <v>8</v>
      </c>
      <c r="C5342" s="2">
        <v>107787164</v>
      </c>
      <c r="D5342" s="2">
        <v>108647463</v>
      </c>
      <c r="E5342" s="2">
        <v>4</v>
      </c>
      <c r="F5342" s="2" t="s">
        <v>10086</v>
      </c>
      <c r="H5342" s="3">
        <v>2.9999999999999997E-4</v>
      </c>
      <c r="K5342" s="2" t="s">
        <v>10085</v>
      </c>
    </row>
    <row r="5343" spans="1:11" x14ac:dyDescent="0.2">
      <c r="A5343" s="2">
        <v>1337</v>
      </c>
      <c r="B5343" s="2">
        <v>8</v>
      </c>
      <c r="C5343" s="2">
        <v>108647464</v>
      </c>
      <c r="D5343" s="2">
        <v>109920827</v>
      </c>
      <c r="E5343" s="2">
        <v>1</v>
      </c>
      <c r="F5343" s="2" t="s">
        <v>10086</v>
      </c>
      <c r="H5343" s="2">
        <v>3.3999999999999998E-3</v>
      </c>
      <c r="K5343" s="2" t="s">
        <v>10087</v>
      </c>
    </row>
    <row r="5344" spans="1:11" x14ac:dyDescent="0.2">
      <c r="A5344" s="2">
        <v>1337</v>
      </c>
      <c r="B5344" s="2">
        <v>8</v>
      </c>
      <c r="C5344" s="2">
        <v>108647464</v>
      </c>
      <c r="D5344" s="2">
        <v>109920827</v>
      </c>
      <c r="E5344" s="2">
        <v>2</v>
      </c>
      <c r="F5344" s="2" t="s">
        <v>10086</v>
      </c>
      <c r="H5344" s="2">
        <v>3.3E-3</v>
      </c>
      <c r="K5344" s="2" t="s">
        <v>10089</v>
      </c>
    </row>
    <row r="5345" spans="1:11" x14ac:dyDescent="0.2">
      <c r="A5345" s="2">
        <v>1337</v>
      </c>
      <c r="B5345" s="2">
        <v>8</v>
      </c>
      <c r="C5345" s="2">
        <v>108647464</v>
      </c>
      <c r="D5345" s="2">
        <v>109920827</v>
      </c>
      <c r="E5345" s="2">
        <v>3</v>
      </c>
      <c r="F5345" s="2" t="s">
        <v>10086</v>
      </c>
      <c r="H5345" s="2">
        <v>2.5000000000000001E-3</v>
      </c>
      <c r="K5345" s="2" t="s">
        <v>10088</v>
      </c>
    </row>
    <row r="5346" spans="1:11" x14ac:dyDescent="0.2">
      <c r="A5346" s="2">
        <v>1337</v>
      </c>
      <c r="B5346" s="2">
        <v>8</v>
      </c>
      <c r="C5346" s="2">
        <v>108647464</v>
      </c>
      <c r="D5346" s="2">
        <v>109920827</v>
      </c>
      <c r="E5346" s="2">
        <v>4</v>
      </c>
      <c r="F5346" s="2" t="s">
        <v>10086</v>
      </c>
      <c r="H5346" s="2">
        <v>1.2999999999999999E-3</v>
      </c>
      <c r="K5346" s="2" t="s">
        <v>10085</v>
      </c>
    </row>
    <row r="5347" spans="1:11" x14ac:dyDescent="0.2">
      <c r="A5347" s="2">
        <v>1338</v>
      </c>
      <c r="B5347" s="2">
        <v>8</v>
      </c>
      <c r="C5347" s="2">
        <v>109920828</v>
      </c>
      <c r="D5347" s="2">
        <v>111207349</v>
      </c>
      <c r="E5347" s="2">
        <v>1</v>
      </c>
      <c r="F5347" s="2" t="s">
        <v>10086</v>
      </c>
      <c r="H5347" s="2">
        <v>2.0999999999999999E-3</v>
      </c>
      <c r="K5347" s="2" t="s">
        <v>10085</v>
      </c>
    </row>
    <row r="5348" spans="1:11" x14ac:dyDescent="0.2">
      <c r="A5348" s="2">
        <v>1338</v>
      </c>
      <c r="B5348" s="2">
        <v>8</v>
      </c>
      <c r="C5348" s="2">
        <v>109920828</v>
      </c>
      <c r="D5348" s="2">
        <v>111207349</v>
      </c>
      <c r="E5348" s="2">
        <v>2</v>
      </c>
      <c r="F5348" s="2" t="s">
        <v>10086</v>
      </c>
      <c r="H5348" s="2">
        <v>1E-3</v>
      </c>
      <c r="K5348" s="2" t="s">
        <v>10089</v>
      </c>
    </row>
    <row r="5349" spans="1:11" x14ac:dyDescent="0.2">
      <c r="A5349" s="2">
        <v>1338</v>
      </c>
      <c r="B5349" s="2">
        <v>8</v>
      </c>
      <c r="C5349" s="2">
        <v>109920828</v>
      </c>
      <c r="D5349" s="2">
        <v>111207349</v>
      </c>
      <c r="E5349" s="2">
        <v>3</v>
      </c>
      <c r="F5349" s="2" t="s">
        <v>10086</v>
      </c>
      <c r="H5349" s="2">
        <v>1E-3</v>
      </c>
      <c r="K5349" s="2" t="s">
        <v>10088</v>
      </c>
    </row>
    <row r="5350" spans="1:11" x14ac:dyDescent="0.2">
      <c r="A5350" s="2">
        <v>1338</v>
      </c>
      <c r="B5350" s="2">
        <v>8</v>
      </c>
      <c r="C5350" s="2">
        <v>109920828</v>
      </c>
      <c r="D5350" s="2">
        <v>111207349</v>
      </c>
      <c r="E5350" s="2">
        <v>4</v>
      </c>
      <c r="F5350" s="2" t="s">
        <v>10086</v>
      </c>
      <c r="H5350" s="3">
        <v>5.0000000000000001E-4</v>
      </c>
      <c r="K5350" s="2" t="s">
        <v>10087</v>
      </c>
    </row>
    <row r="5351" spans="1:11" x14ac:dyDescent="0.2">
      <c r="A5351" s="2">
        <v>1339</v>
      </c>
      <c r="B5351" s="2">
        <v>8</v>
      </c>
      <c r="C5351" s="2">
        <v>111207350</v>
      </c>
      <c r="D5351" s="2">
        <v>112601513</v>
      </c>
      <c r="E5351" s="2">
        <v>1</v>
      </c>
      <c r="F5351" s="2" t="s">
        <v>10086</v>
      </c>
      <c r="H5351" s="3">
        <v>6.9999999999999999E-4</v>
      </c>
      <c r="K5351" s="2" t="s">
        <v>10088</v>
      </c>
    </row>
    <row r="5352" spans="1:11" x14ac:dyDescent="0.2">
      <c r="A5352" s="2">
        <v>1339</v>
      </c>
      <c r="B5352" s="2">
        <v>8</v>
      </c>
      <c r="C5352" s="2">
        <v>111207350</v>
      </c>
      <c r="D5352" s="2">
        <v>112601513</v>
      </c>
      <c r="E5352" s="2">
        <v>2</v>
      </c>
      <c r="F5352" s="2" t="s">
        <v>10086</v>
      </c>
      <c r="H5352" s="3">
        <v>8.9999999999999998E-4</v>
      </c>
      <c r="K5352" s="2" t="s">
        <v>10087</v>
      </c>
    </row>
    <row r="5353" spans="1:11" x14ac:dyDescent="0.2">
      <c r="A5353" s="2">
        <v>1339</v>
      </c>
      <c r="B5353" s="2">
        <v>8</v>
      </c>
      <c r="C5353" s="2">
        <v>111207350</v>
      </c>
      <c r="D5353" s="2">
        <v>112601513</v>
      </c>
      <c r="E5353" s="2">
        <v>3</v>
      </c>
      <c r="F5353" s="2" t="s">
        <v>10086</v>
      </c>
      <c r="H5353" s="3">
        <v>5.9999999999999995E-4</v>
      </c>
      <c r="K5353" s="2" t="s">
        <v>10089</v>
      </c>
    </row>
    <row r="5354" spans="1:11" x14ac:dyDescent="0.2">
      <c r="A5354" s="2">
        <v>1339</v>
      </c>
      <c r="B5354" s="2">
        <v>8</v>
      </c>
      <c r="C5354" s="2">
        <v>111207350</v>
      </c>
      <c r="D5354" s="2">
        <v>112601513</v>
      </c>
      <c r="E5354" s="2">
        <v>4</v>
      </c>
      <c r="F5354" s="2" t="s">
        <v>10086</v>
      </c>
      <c r="H5354" s="3">
        <v>2.9999999999999997E-4</v>
      </c>
      <c r="K5354" s="2" t="s">
        <v>10085</v>
      </c>
    </row>
    <row r="5355" spans="1:11" x14ac:dyDescent="0.2">
      <c r="A5355" s="2">
        <v>1340</v>
      </c>
      <c r="B5355" s="2">
        <v>8</v>
      </c>
      <c r="C5355" s="2">
        <v>112601514</v>
      </c>
      <c r="D5355" s="2">
        <v>113650853</v>
      </c>
      <c r="E5355" s="2">
        <v>1</v>
      </c>
      <c r="F5355" s="2" t="s">
        <v>10086</v>
      </c>
      <c r="H5355" s="2">
        <v>2.2000000000000001E-3</v>
      </c>
      <c r="K5355" s="2" t="s">
        <v>10085</v>
      </c>
    </row>
    <row r="5356" spans="1:11" x14ac:dyDescent="0.2">
      <c r="A5356" s="2">
        <v>1340</v>
      </c>
      <c r="B5356" s="2">
        <v>8</v>
      </c>
      <c r="C5356" s="2">
        <v>112601514</v>
      </c>
      <c r="D5356" s="2">
        <v>113650853</v>
      </c>
      <c r="E5356" s="2">
        <v>2</v>
      </c>
      <c r="F5356" s="2" t="s">
        <v>10086</v>
      </c>
      <c r="H5356" s="3">
        <v>6.9999999999999999E-4</v>
      </c>
      <c r="K5356" s="2" t="s">
        <v>10087</v>
      </c>
    </row>
    <row r="5357" spans="1:11" x14ac:dyDescent="0.2">
      <c r="A5357" s="2">
        <v>1340</v>
      </c>
      <c r="B5357" s="2">
        <v>8</v>
      </c>
      <c r="C5357" s="2">
        <v>112601514</v>
      </c>
      <c r="D5357" s="2">
        <v>113650853</v>
      </c>
      <c r="E5357" s="2">
        <v>3</v>
      </c>
      <c r="F5357" s="2" t="s">
        <v>10086</v>
      </c>
      <c r="H5357" s="3">
        <v>4.0000000000000002E-4</v>
      </c>
      <c r="K5357" s="2" t="s">
        <v>10089</v>
      </c>
    </row>
    <row r="5358" spans="1:11" x14ac:dyDescent="0.2">
      <c r="A5358" s="2">
        <v>1340</v>
      </c>
      <c r="B5358" s="2">
        <v>8</v>
      </c>
      <c r="C5358" s="2">
        <v>112601514</v>
      </c>
      <c r="D5358" s="2">
        <v>113650853</v>
      </c>
      <c r="E5358" s="2">
        <v>4</v>
      </c>
      <c r="F5358" s="2" t="s">
        <v>10086</v>
      </c>
      <c r="H5358" s="3">
        <v>2.0000000000000001E-4</v>
      </c>
      <c r="K5358" s="2" t="s">
        <v>10088</v>
      </c>
    </row>
    <row r="5359" spans="1:11" x14ac:dyDescent="0.2">
      <c r="A5359" s="2">
        <v>1341</v>
      </c>
      <c r="B5359" s="2">
        <v>8</v>
      </c>
      <c r="C5359" s="2">
        <v>113650854</v>
      </c>
      <c r="D5359" s="2">
        <v>114781574</v>
      </c>
      <c r="E5359" s="2">
        <v>1</v>
      </c>
      <c r="F5359" s="2" t="s">
        <v>10086</v>
      </c>
      <c r="H5359" s="2">
        <v>1E-3</v>
      </c>
      <c r="K5359" s="2" t="s">
        <v>10087</v>
      </c>
    </row>
    <row r="5360" spans="1:11" x14ac:dyDescent="0.2">
      <c r="A5360" s="2">
        <v>1341</v>
      </c>
      <c r="B5360" s="2">
        <v>8</v>
      </c>
      <c r="C5360" s="2">
        <v>113650854</v>
      </c>
      <c r="D5360" s="2">
        <v>114781574</v>
      </c>
      <c r="E5360" s="2">
        <v>2</v>
      </c>
      <c r="F5360" s="2" t="s">
        <v>10086</v>
      </c>
      <c r="H5360" s="2">
        <v>1.9E-3</v>
      </c>
      <c r="K5360" s="2" t="s">
        <v>10089</v>
      </c>
    </row>
    <row r="5361" spans="1:11" x14ac:dyDescent="0.2">
      <c r="A5361" s="2">
        <v>1341</v>
      </c>
      <c r="B5361" s="2">
        <v>8</v>
      </c>
      <c r="C5361" s="2">
        <v>113650854</v>
      </c>
      <c r="D5361" s="2">
        <v>114781574</v>
      </c>
      <c r="E5361" s="2">
        <v>3</v>
      </c>
      <c r="F5361" s="2" t="s">
        <v>10086</v>
      </c>
      <c r="H5361" s="3">
        <v>5.9999999999999995E-4</v>
      </c>
      <c r="K5361" s="2" t="s">
        <v>12324</v>
      </c>
    </row>
    <row r="5362" spans="1:11" x14ac:dyDescent="0.2">
      <c r="A5362" s="2">
        <v>1341</v>
      </c>
      <c r="B5362" s="2">
        <v>8</v>
      </c>
      <c r="C5362" s="2">
        <v>113650854</v>
      </c>
      <c r="D5362" s="2">
        <v>114781574</v>
      </c>
      <c r="E5362" s="2">
        <v>4</v>
      </c>
      <c r="F5362" s="2" t="s">
        <v>10086</v>
      </c>
      <c r="H5362" s="3">
        <v>5.9999999999999995E-4</v>
      </c>
      <c r="K5362" s="2" t="s">
        <v>10085</v>
      </c>
    </row>
    <row r="5363" spans="1:11" x14ac:dyDescent="0.2">
      <c r="A5363" s="2">
        <v>1342</v>
      </c>
      <c r="B5363" s="2">
        <v>8</v>
      </c>
      <c r="C5363" s="2">
        <v>114781575</v>
      </c>
      <c r="D5363" s="2">
        <v>115334858</v>
      </c>
      <c r="E5363" s="2">
        <v>1</v>
      </c>
      <c r="F5363" s="2" t="s">
        <v>10086</v>
      </c>
      <c r="H5363" s="3">
        <v>8.9999999999999998E-4</v>
      </c>
      <c r="K5363" s="2" t="s">
        <v>10087</v>
      </c>
    </row>
    <row r="5364" spans="1:11" x14ac:dyDescent="0.2">
      <c r="A5364" s="2">
        <v>1342</v>
      </c>
      <c r="B5364" s="2">
        <v>8</v>
      </c>
      <c r="C5364" s="2">
        <v>114781575</v>
      </c>
      <c r="D5364" s="2">
        <v>115334858</v>
      </c>
      <c r="E5364" s="2">
        <v>2</v>
      </c>
      <c r="F5364" s="2" t="s">
        <v>10086</v>
      </c>
      <c r="H5364" s="3">
        <v>5.0000000000000001E-4</v>
      </c>
      <c r="K5364" s="2" t="s">
        <v>10085</v>
      </c>
    </row>
    <row r="5365" spans="1:11" x14ac:dyDescent="0.2">
      <c r="A5365" s="2">
        <v>1342</v>
      </c>
      <c r="B5365" s="2">
        <v>8</v>
      </c>
      <c r="C5365" s="2">
        <v>114781575</v>
      </c>
      <c r="D5365" s="2">
        <v>115334858</v>
      </c>
      <c r="E5365" s="2">
        <v>3</v>
      </c>
      <c r="F5365" s="2" t="s">
        <v>10086</v>
      </c>
      <c r="H5365" s="3">
        <v>4.0000000000000002E-4</v>
      </c>
      <c r="K5365" s="2" t="s">
        <v>10088</v>
      </c>
    </row>
    <row r="5366" spans="1:11" x14ac:dyDescent="0.2">
      <c r="A5366" s="2">
        <v>1342</v>
      </c>
      <c r="B5366" s="2">
        <v>8</v>
      </c>
      <c r="C5366" s="2">
        <v>114781575</v>
      </c>
      <c r="D5366" s="2">
        <v>115334858</v>
      </c>
      <c r="E5366" s="2">
        <v>4</v>
      </c>
      <c r="F5366" s="2" t="s">
        <v>10086</v>
      </c>
      <c r="H5366" s="3">
        <v>2.0000000000000001E-4</v>
      </c>
      <c r="K5366" s="2" t="s">
        <v>10089</v>
      </c>
    </row>
    <row r="5367" spans="1:11" x14ac:dyDescent="0.2">
      <c r="A5367" s="2">
        <v>1343</v>
      </c>
      <c r="B5367" s="2">
        <v>8</v>
      </c>
      <c r="C5367" s="2">
        <v>115334859</v>
      </c>
      <c r="D5367" s="2">
        <v>116094203</v>
      </c>
      <c r="E5367" s="2">
        <v>1</v>
      </c>
      <c r="F5367" s="2" t="s">
        <v>10086</v>
      </c>
      <c r="H5367" s="2">
        <v>1E-3</v>
      </c>
      <c r="K5367" s="2" t="s">
        <v>10087</v>
      </c>
    </row>
    <row r="5368" spans="1:11" x14ac:dyDescent="0.2">
      <c r="A5368" s="2">
        <v>1343</v>
      </c>
      <c r="B5368" s="2">
        <v>8</v>
      </c>
      <c r="C5368" s="2">
        <v>115334859</v>
      </c>
      <c r="D5368" s="2">
        <v>116094203</v>
      </c>
      <c r="E5368" s="2">
        <v>2</v>
      </c>
      <c r="F5368" s="2" t="s">
        <v>10086</v>
      </c>
      <c r="H5368" s="3">
        <v>5.9999999999999995E-4</v>
      </c>
      <c r="K5368" s="2" t="s">
        <v>10085</v>
      </c>
    </row>
    <row r="5369" spans="1:11" x14ac:dyDescent="0.2">
      <c r="A5369" s="2">
        <v>1343</v>
      </c>
      <c r="B5369" s="2">
        <v>8</v>
      </c>
      <c r="C5369" s="2">
        <v>115334859</v>
      </c>
      <c r="D5369" s="2">
        <v>116094203</v>
      </c>
      <c r="E5369" s="2">
        <v>3</v>
      </c>
      <c r="F5369" s="2" t="s">
        <v>10086</v>
      </c>
      <c r="H5369" s="3">
        <v>4.0000000000000002E-4</v>
      </c>
      <c r="K5369" s="2" t="s">
        <v>10088</v>
      </c>
    </row>
    <row r="5370" spans="1:11" x14ac:dyDescent="0.2">
      <c r="A5370" s="2">
        <v>1343</v>
      </c>
      <c r="B5370" s="2">
        <v>8</v>
      </c>
      <c r="C5370" s="2">
        <v>115334859</v>
      </c>
      <c r="D5370" s="2">
        <v>116094203</v>
      </c>
      <c r="E5370" s="2">
        <v>4</v>
      </c>
      <c r="F5370" s="2" t="s">
        <v>10086</v>
      </c>
      <c r="H5370" s="3">
        <v>2.9999999999999997E-4</v>
      </c>
      <c r="K5370" s="2" t="s">
        <v>10089</v>
      </c>
    </row>
    <row r="5371" spans="1:11" x14ac:dyDescent="0.2">
      <c r="A5371" s="2">
        <v>1344</v>
      </c>
      <c r="B5371" s="2">
        <v>8</v>
      </c>
      <c r="C5371" s="2">
        <v>116094204</v>
      </c>
      <c r="D5371" s="2">
        <v>118300068</v>
      </c>
      <c r="E5371" s="2">
        <v>1</v>
      </c>
      <c r="F5371" s="2" t="s">
        <v>10086</v>
      </c>
      <c r="H5371" s="2">
        <v>2.7000000000000001E-3</v>
      </c>
      <c r="K5371" s="2" t="s">
        <v>10088</v>
      </c>
    </row>
    <row r="5372" spans="1:11" x14ac:dyDescent="0.2">
      <c r="A5372" s="2">
        <v>1344</v>
      </c>
      <c r="B5372" s="2">
        <v>8</v>
      </c>
      <c r="C5372" s="2">
        <v>116094204</v>
      </c>
      <c r="D5372" s="2">
        <v>118300068</v>
      </c>
      <c r="E5372" s="2">
        <v>2</v>
      </c>
      <c r="F5372" s="2" t="s">
        <v>10086</v>
      </c>
      <c r="H5372" s="2">
        <v>2.2000000000000001E-3</v>
      </c>
      <c r="K5372" s="2" t="s">
        <v>10089</v>
      </c>
    </row>
    <row r="5373" spans="1:11" x14ac:dyDescent="0.2">
      <c r="A5373" s="2">
        <v>1344</v>
      </c>
      <c r="B5373" s="2">
        <v>8</v>
      </c>
      <c r="C5373" s="2">
        <v>116094204</v>
      </c>
      <c r="D5373" s="2">
        <v>118300068</v>
      </c>
      <c r="E5373" s="2">
        <v>3</v>
      </c>
      <c r="F5373" s="2" t="s">
        <v>10086</v>
      </c>
      <c r="H5373" s="2">
        <v>1.2999999999999999E-3</v>
      </c>
      <c r="K5373" s="2" t="s">
        <v>10087</v>
      </c>
    </row>
    <row r="5374" spans="1:11" x14ac:dyDescent="0.2">
      <c r="A5374" s="2">
        <v>1344</v>
      </c>
      <c r="B5374" s="2">
        <v>8</v>
      </c>
      <c r="C5374" s="2">
        <v>116094204</v>
      </c>
      <c r="D5374" s="2">
        <v>118300068</v>
      </c>
      <c r="E5374" s="2">
        <v>4</v>
      </c>
      <c r="F5374" s="2" t="s">
        <v>10086</v>
      </c>
      <c r="H5374" s="3">
        <v>8.9999999999999998E-4</v>
      </c>
      <c r="K5374" s="2" t="s">
        <v>12324</v>
      </c>
    </row>
    <row r="5375" spans="1:11" x14ac:dyDescent="0.2">
      <c r="A5375" s="2">
        <v>1345</v>
      </c>
      <c r="B5375" s="2">
        <v>8</v>
      </c>
      <c r="C5375" s="2">
        <v>118300069</v>
      </c>
      <c r="D5375" s="2">
        <v>119423298</v>
      </c>
      <c r="E5375" s="2">
        <v>1</v>
      </c>
      <c r="F5375" s="2" t="s">
        <v>10086</v>
      </c>
      <c r="H5375" s="2">
        <v>2E-3</v>
      </c>
      <c r="K5375" s="2" t="s">
        <v>10089</v>
      </c>
    </row>
    <row r="5376" spans="1:11" x14ac:dyDescent="0.2">
      <c r="A5376" s="2">
        <v>1345</v>
      </c>
      <c r="B5376" s="2">
        <v>8</v>
      </c>
      <c r="C5376" s="2">
        <v>118300069</v>
      </c>
      <c r="D5376" s="2">
        <v>119423298</v>
      </c>
      <c r="E5376" s="2">
        <v>2</v>
      </c>
      <c r="F5376" s="2" t="s">
        <v>10086</v>
      </c>
      <c r="H5376" s="2">
        <v>1.1999999999999999E-3</v>
      </c>
      <c r="K5376" s="2" t="s">
        <v>10087</v>
      </c>
    </row>
    <row r="5377" spans="1:11" x14ac:dyDescent="0.2">
      <c r="A5377" s="2">
        <v>1345</v>
      </c>
      <c r="B5377" s="2">
        <v>8</v>
      </c>
      <c r="C5377" s="2">
        <v>118300069</v>
      </c>
      <c r="D5377" s="2">
        <v>119423298</v>
      </c>
      <c r="E5377" s="2">
        <v>3</v>
      </c>
      <c r="F5377" s="2" t="s">
        <v>10086</v>
      </c>
      <c r="H5377" s="2">
        <v>1.1000000000000001E-3</v>
      </c>
      <c r="K5377" s="2" t="s">
        <v>12324</v>
      </c>
    </row>
    <row r="5378" spans="1:11" x14ac:dyDescent="0.2">
      <c r="A5378" s="2">
        <v>1345</v>
      </c>
      <c r="B5378" s="2">
        <v>8</v>
      </c>
      <c r="C5378" s="2">
        <v>118300069</v>
      </c>
      <c r="D5378" s="2">
        <v>119423298</v>
      </c>
      <c r="E5378" s="2">
        <v>4</v>
      </c>
      <c r="F5378" s="2" t="s">
        <v>10086</v>
      </c>
      <c r="H5378" s="3">
        <v>8.9999999999999998E-4</v>
      </c>
      <c r="K5378" s="2" t="s">
        <v>10085</v>
      </c>
    </row>
    <row r="5379" spans="1:11" x14ac:dyDescent="0.2">
      <c r="A5379" s="2">
        <v>1346</v>
      </c>
      <c r="B5379" s="2">
        <v>8</v>
      </c>
      <c r="C5379" s="2">
        <v>119423299</v>
      </c>
      <c r="D5379" s="2">
        <v>120216587</v>
      </c>
      <c r="E5379" s="2">
        <v>1</v>
      </c>
      <c r="F5379" s="2" t="s">
        <v>10086</v>
      </c>
      <c r="H5379" s="2">
        <v>3.7000000000000002E-3</v>
      </c>
      <c r="K5379" s="2" t="s">
        <v>10087</v>
      </c>
    </row>
    <row r="5380" spans="1:11" x14ac:dyDescent="0.2">
      <c r="A5380" s="2">
        <v>1346</v>
      </c>
      <c r="B5380" s="2">
        <v>8</v>
      </c>
      <c r="C5380" s="2">
        <v>119423299</v>
      </c>
      <c r="D5380" s="2">
        <v>120216587</v>
      </c>
      <c r="E5380" s="2">
        <v>2</v>
      </c>
      <c r="F5380" s="2" t="s">
        <v>10086</v>
      </c>
      <c r="H5380" s="2">
        <v>4.5999999999999999E-3</v>
      </c>
      <c r="K5380" s="2" t="s">
        <v>10089</v>
      </c>
    </row>
    <row r="5381" spans="1:11" x14ac:dyDescent="0.2">
      <c r="A5381" s="2">
        <v>1346</v>
      </c>
      <c r="B5381" s="2">
        <v>8</v>
      </c>
      <c r="C5381" s="2">
        <v>119423299</v>
      </c>
      <c r="D5381" s="2">
        <v>120216587</v>
      </c>
      <c r="E5381" s="2">
        <v>3</v>
      </c>
      <c r="F5381" s="2" t="s">
        <v>10086</v>
      </c>
      <c r="H5381" s="2">
        <v>1.4E-3</v>
      </c>
      <c r="K5381" s="2" t="s">
        <v>10088</v>
      </c>
    </row>
    <row r="5382" spans="1:11" x14ac:dyDescent="0.2">
      <c r="A5382" s="2">
        <v>1346</v>
      </c>
      <c r="B5382" s="2">
        <v>8</v>
      </c>
      <c r="C5382" s="2">
        <v>119423299</v>
      </c>
      <c r="D5382" s="2">
        <v>120216587</v>
      </c>
      <c r="E5382" s="2">
        <v>4</v>
      </c>
      <c r="F5382" s="2" t="s">
        <v>10086</v>
      </c>
      <c r="H5382" s="2">
        <v>1E-3</v>
      </c>
      <c r="K5382" s="2" t="s">
        <v>12324</v>
      </c>
    </row>
    <row r="5383" spans="1:11" x14ac:dyDescent="0.2">
      <c r="A5383" s="2">
        <v>1347</v>
      </c>
      <c r="B5383" s="2">
        <v>8</v>
      </c>
      <c r="C5383" s="2">
        <v>120216588</v>
      </c>
      <c r="D5383" s="2">
        <v>121554390</v>
      </c>
      <c r="E5383" s="2">
        <v>1</v>
      </c>
      <c r="F5383" s="2" t="s">
        <v>10086</v>
      </c>
      <c r="H5383" s="2">
        <v>2.3999999999999998E-3</v>
      </c>
      <c r="K5383" s="2" t="s">
        <v>10088</v>
      </c>
    </row>
    <row r="5384" spans="1:11" x14ac:dyDescent="0.2">
      <c r="A5384" s="2">
        <v>1347</v>
      </c>
      <c r="B5384" s="2">
        <v>8</v>
      </c>
      <c r="C5384" s="2">
        <v>120216588</v>
      </c>
      <c r="D5384" s="2">
        <v>121554390</v>
      </c>
      <c r="E5384" s="2">
        <v>2</v>
      </c>
      <c r="F5384" s="2" t="s">
        <v>10086</v>
      </c>
      <c r="H5384" s="2">
        <v>1.6999999999999999E-3</v>
      </c>
      <c r="K5384" s="2" t="s">
        <v>10087</v>
      </c>
    </row>
    <row r="5385" spans="1:11" x14ac:dyDescent="0.2">
      <c r="A5385" s="2">
        <v>1347</v>
      </c>
      <c r="B5385" s="2">
        <v>8</v>
      </c>
      <c r="C5385" s="2">
        <v>120216588</v>
      </c>
      <c r="D5385" s="2">
        <v>121554390</v>
      </c>
      <c r="E5385" s="2">
        <v>3</v>
      </c>
      <c r="F5385" s="2" t="s">
        <v>10086</v>
      </c>
      <c r="H5385" s="3">
        <v>8.9999999999999998E-4</v>
      </c>
      <c r="K5385" s="2" t="s">
        <v>10085</v>
      </c>
    </row>
    <row r="5386" spans="1:11" x14ac:dyDescent="0.2">
      <c r="A5386" s="2">
        <v>1347</v>
      </c>
      <c r="B5386" s="2">
        <v>8</v>
      </c>
      <c r="C5386" s="2">
        <v>120216588</v>
      </c>
      <c r="D5386" s="2">
        <v>121554390</v>
      </c>
      <c r="E5386" s="2">
        <v>4</v>
      </c>
      <c r="F5386" s="2" t="s">
        <v>10086</v>
      </c>
      <c r="H5386" s="3">
        <v>6.9999999999999999E-4</v>
      </c>
      <c r="K5386" s="2" t="s">
        <v>10089</v>
      </c>
    </row>
    <row r="5387" spans="1:11" x14ac:dyDescent="0.2">
      <c r="A5387" s="2">
        <v>1348</v>
      </c>
      <c r="B5387" s="2">
        <v>8</v>
      </c>
      <c r="C5387" s="2">
        <v>121554391</v>
      </c>
      <c r="D5387" s="2">
        <v>122622804</v>
      </c>
      <c r="E5387" s="2">
        <v>1</v>
      </c>
      <c r="F5387" s="2" t="s">
        <v>10086</v>
      </c>
      <c r="H5387" s="2">
        <v>2.3999999999999998E-3</v>
      </c>
      <c r="K5387" s="2" t="s">
        <v>10087</v>
      </c>
    </row>
    <row r="5388" spans="1:11" x14ac:dyDescent="0.2">
      <c r="A5388" s="2">
        <v>1348</v>
      </c>
      <c r="B5388" s="2">
        <v>8</v>
      </c>
      <c r="C5388" s="2">
        <v>121554391</v>
      </c>
      <c r="D5388" s="2">
        <v>122622804</v>
      </c>
      <c r="E5388" s="2">
        <v>2</v>
      </c>
      <c r="F5388" s="2" t="s">
        <v>10086</v>
      </c>
      <c r="H5388" s="2">
        <v>2.0999999999999999E-3</v>
      </c>
      <c r="K5388" s="2" t="s">
        <v>10088</v>
      </c>
    </row>
    <row r="5389" spans="1:11" x14ac:dyDescent="0.2">
      <c r="A5389" s="2">
        <v>1348</v>
      </c>
      <c r="B5389" s="2">
        <v>8</v>
      </c>
      <c r="C5389" s="2">
        <v>121554391</v>
      </c>
      <c r="D5389" s="2">
        <v>122622804</v>
      </c>
      <c r="E5389" s="2">
        <v>3</v>
      </c>
      <c r="F5389" s="2" t="s">
        <v>10086</v>
      </c>
      <c r="H5389" s="3">
        <v>8.9999999999999998E-4</v>
      </c>
      <c r="K5389" s="2" t="s">
        <v>10089</v>
      </c>
    </row>
    <row r="5390" spans="1:11" x14ac:dyDescent="0.2">
      <c r="A5390" s="2">
        <v>1348</v>
      </c>
      <c r="B5390" s="2">
        <v>8</v>
      </c>
      <c r="C5390" s="2">
        <v>121554391</v>
      </c>
      <c r="D5390" s="2">
        <v>122622804</v>
      </c>
      <c r="E5390" s="2">
        <v>4</v>
      </c>
      <c r="F5390" s="2" t="s">
        <v>10086</v>
      </c>
      <c r="H5390" s="3">
        <v>4.0000000000000002E-4</v>
      </c>
      <c r="K5390" s="2" t="s">
        <v>10085</v>
      </c>
    </row>
    <row r="5391" spans="1:11" x14ac:dyDescent="0.2">
      <c r="A5391" s="2">
        <v>1349</v>
      </c>
      <c r="B5391" s="2">
        <v>8</v>
      </c>
      <c r="C5391" s="2">
        <v>122622805</v>
      </c>
      <c r="D5391" s="2">
        <v>124001019</v>
      </c>
      <c r="E5391" s="2">
        <v>1</v>
      </c>
      <c r="F5391" s="2" t="s">
        <v>10086</v>
      </c>
      <c r="H5391" s="2">
        <v>1.1999999999999999E-3</v>
      </c>
      <c r="K5391" s="2" t="s">
        <v>10085</v>
      </c>
    </row>
    <row r="5392" spans="1:11" x14ac:dyDescent="0.2">
      <c r="A5392" s="2">
        <v>1349</v>
      </c>
      <c r="B5392" s="2">
        <v>8</v>
      </c>
      <c r="C5392" s="2">
        <v>122622805</v>
      </c>
      <c r="D5392" s="2">
        <v>124001019</v>
      </c>
      <c r="E5392" s="2">
        <v>2</v>
      </c>
      <c r="F5392" s="2" t="s">
        <v>10086</v>
      </c>
      <c r="H5392" s="2">
        <v>1.1999999999999999E-3</v>
      </c>
      <c r="K5392" s="2" t="s">
        <v>10087</v>
      </c>
    </row>
    <row r="5393" spans="1:11" x14ac:dyDescent="0.2">
      <c r="A5393" s="2">
        <v>1349</v>
      </c>
      <c r="B5393" s="2">
        <v>8</v>
      </c>
      <c r="C5393" s="2">
        <v>122622805</v>
      </c>
      <c r="D5393" s="2">
        <v>124001019</v>
      </c>
      <c r="E5393" s="2">
        <v>3</v>
      </c>
      <c r="F5393" s="2" t="s">
        <v>10086</v>
      </c>
      <c r="H5393" s="2">
        <v>1E-3</v>
      </c>
      <c r="K5393" s="2" t="s">
        <v>10089</v>
      </c>
    </row>
    <row r="5394" spans="1:11" x14ac:dyDescent="0.2">
      <c r="A5394" s="2">
        <v>1349</v>
      </c>
      <c r="B5394" s="2">
        <v>8</v>
      </c>
      <c r="C5394" s="2">
        <v>122622805</v>
      </c>
      <c r="D5394" s="2">
        <v>124001019</v>
      </c>
      <c r="E5394" s="2">
        <v>4</v>
      </c>
      <c r="F5394" s="2" t="s">
        <v>10086</v>
      </c>
      <c r="H5394" s="3">
        <v>5.9999999999999995E-4</v>
      </c>
      <c r="K5394" s="2" t="s">
        <v>10088</v>
      </c>
    </row>
    <row r="5395" spans="1:11" x14ac:dyDescent="0.2">
      <c r="A5395" s="2">
        <v>1350</v>
      </c>
      <c r="B5395" s="2">
        <v>8</v>
      </c>
      <c r="C5395" s="2">
        <v>124001020</v>
      </c>
      <c r="D5395" s="2">
        <v>125453322</v>
      </c>
      <c r="E5395" s="2">
        <v>1</v>
      </c>
      <c r="F5395" s="2" t="s">
        <v>10086</v>
      </c>
      <c r="H5395" s="2">
        <v>3.3999999999999998E-3</v>
      </c>
      <c r="K5395" s="2" t="s">
        <v>10088</v>
      </c>
    </row>
    <row r="5396" spans="1:11" x14ac:dyDescent="0.2">
      <c r="A5396" s="2">
        <v>1350</v>
      </c>
      <c r="B5396" s="2">
        <v>8</v>
      </c>
      <c r="C5396" s="2">
        <v>124001020</v>
      </c>
      <c r="D5396" s="2">
        <v>125453322</v>
      </c>
      <c r="E5396" s="2">
        <v>2</v>
      </c>
      <c r="F5396" s="2" t="s">
        <v>10086</v>
      </c>
      <c r="H5396" s="2">
        <v>2.7000000000000001E-3</v>
      </c>
      <c r="K5396" s="2" t="s">
        <v>12324</v>
      </c>
    </row>
    <row r="5397" spans="1:11" x14ac:dyDescent="0.2">
      <c r="A5397" s="2">
        <v>1350</v>
      </c>
      <c r="B5397" s="2">
        <v>8</v>
      </c>
      <c r="C5397" s="2">
        <v>124001020</v>
      </c>
      <c r="D5397" s="2">
        <v>125453322</v>
      </c>
      <c r="E5397" s="2">
        <v>3</v>
      </c>
      <c r="F5397" s="2" t="s">
        <v>10086</v>
      </c>
      <c r="H5397" s="2">
        <v>1.5E-3</v>
      </c>
      <c r="K5397" s="2" t="s">
        <v>10087</v>
      </c>
    </row>
    <row r="5398" spans="1:11" x14ac:dyDescent="0.2">
      <c r="A5398" s="2">
        <v>1350</v>
      </c>
      <c r="B5398" s="2">
        <v>8</v>
      </c>
      <c r="C5398" s="2">
        <v>124001020</v>
      </c>
      <c r="D5398" s="2">
        <v>125453322</v>
      </c>
      <c r="E5398" s="2">
        <v>4</v>
      </c>
      <c r="F5398" s="2" t="s">
        <v>10086</v>
      </c>
      <c r="H5398" s="2">
        <v>1.2999999999999999E-3</v>
      </c>
      <c r="K5398" s="2" t="s">
        <v>10089</v>
      </c>
    </row>
    <row r="5399" spans="1:11" x14ac:dyDescent="0.2">
      <c r="A5399" s="2">
        <v>1351</v>
      </c>
      <c r="B5399" s="2">
        <v>8</v>
      </c>
      <c r="C5399" s="2">
        <v>125453323</v>
      </c>
      <c r="D5399" s="2">
        <v>126766827</v>
      </c>
      <c r="E5399" s="2">
        <v>1</v>
      </c>
      <c r="F5399" s="2" t="s">
        <v>10086</v>
      </c>
      <c r="H5399" s="2">
        <v>3.5000000000000001E-3</v>
      </c>
      <c r="K5399" s="2" t="s">
        <v>10085</v>
      </c>
    </row>
    <row r="5400" spans="1:11" x14ac:dyDescent="0.2">
      <c r="A5400" s="2">
        <v>1351</v>
      </c>
      <c r="B5400" s="2">
        <v>8</v>
      </c>
      <c r="C5400" s="2">
        <v>125453323</v>
      </c>
      <c r="D5400" s="2">
        <v>126766827</v>
      </c>
      <c r="E5400" s="2">
        <v>2</v>
      </c>
      <c r="F5400" s="2" t="s">
        <v>10086</v>
      </c>
      <c r="H5400" s="2">
        <v>4.0000000000000001E-3</v>
      </c>
      <c r="K5400" s="2" t="s">
        <v>10088</v>
      </c>
    </row>
    <row r="5401" spans="1:11" x14ac:dyDescent="0.2">
      <c r="A5401" s="2">
        <v>1351</v>
      </c>
      <c r="B5401" s="2">
        <v>8</v>
      </c>
      <c r="C5401" s="2">
        <v>125453323</v>
      </c>
      <c r="D5401" s="2">
        <v>126766827</v>
      </c>
      <c r="E5401" s="2">
        <v>3</v>
      </c>
      <c r="F5401" s="2" t="s">
        <v>10086</v>
      </c>
      <c r="H5401" s="2">
        <v>1.1999999999999999E-3</v>
      </c>
      <c r="K5401" s="2" t="s">
        <v>10087</v>
      </c>
    </row>
    <row r="5402" spans="1:11" x14ac:dyDescent="0.2">
      <c r="A5402" s="2">
        <v>1351</v>
      </c>
      <c r="B5402" s="2">
        <v>8</v>
      </c>
      <c r="C5402" s="2">
        <v>125453323</v>
      </c>
      <c r="D5402" s="2">
        <v>126766827</v>
      </c>
      <c r="E5402" s="2">
        <v>4</v>
      </c>
      <c r="F5402" s="2" t="s">
        <v>10086</v>
      </c>
      <c r="H5402" s="3">
        <v>8.0000000000000004E-4</v>
      </c>
      <c r="K5402" s="2" t="s">
        <v>12324</v>
      </c>
    </row>
    <row r="5403" spans="1:11" x14ac:dyDescent="0.2">
      <c r="A5403" s="2">
        <v>1352</v>
      </c>
      <c r="B5403" s="2">
        <v>8</v>
      </c>
      <c r="C5403" s="2">
        <v>126766828</v>
      </c>
      <c r="D5403" s="2">
        <v>128073654</v>
      </c>
      <c r="E5403" s="2">
        <v>1</v>
      </c>
      <c r="F5403" s="2" t="s">
        <v>10086</v>
      </c>
      <c r="H5403" s="2">
        <v>1.8E-3</v>
      </c>
      <c r="K5403" s="2" t="s">
        <v>10087</v>
      </c>
    </row>
    <row r="5404" spans="1:11" x14ac:dyDescent="0.2">
      <c r="A5404" s="2">
        <v>1352</v>
      </c>
      <c r="B5404" s="2">
        <v>8</v>
      </c>
      <c r="C5404" s="2">
        <v>126766828</v>
      </c>
      <c r="D5404" s="2">
        <v>128073654</v>
      </c>
      <c r="E5404" s="2">
        <v>2</v>
      </c>
      <c r="F5404" s="2" t="s">
        <v>10086</v>
      </c>
      <c r="H5404" s="2">
        <v>1.5E-3</v>
      </c>
      <c r="K5404" s="2" t="s">
        <v>10085</v>
      </c>
    </row>
    <row r="5405" spans="1:11" x14ac:dyDescent="0.2">
      <c r="A5405" s="2">
        <v>1352</v>
      </c>
      <c r="B5405" s="2">
        <v>8</v>
      </c>
      <c r="C5405" s="2">
        <v>126766828</v>
      </c>
      <c r="D5405" s="2">
        <v>128073654</v>
      </c>
      <c r="E5405" s="2">
        <v>3</v>
      </c>
      <c r="F5405" s="2" t="s">
        <v>10086</v>
      </c>
      <c r="H5405" s="2">
        <v>1.5E-3</v>
      </c>
      <c r="K5405" s="2" t="s">
        <v>10088</v>
      </c>
    </row>
    <row r="5406" spans="1:11" x14ac:dyDescent="0.2">
      <c r="A5406" s="2">
        <v>1352</v>
      </c>
      <c r="B5406" s="2">
        <v>8</v>
      </c>
      <c r="C5406" s="2">
        <v>126766828</v>
      </c>
      <c r="D5406" s="2">
        <v>128073654</v>
      </c>
      <c r="E5406" s="2">
        <v>4</v>
      </c>
      <c r="F5406" s="2" t="s">
        <v>10086</v>
      </c>
      <c r="H5406" s="3">
        <v>5.0000000000000001E-4</v>
      </c>
      <c r="K5406" s="2" t="s">
        <v>10089</v>
      </c>
    </row>
    <row r="5407" spans="1:11" x14ac:dyDescent="0.2">
      <c r="A5407" s="2">
        <v>1353</v>
      </c>
      <c r="B5407" s="2">
        <v>8</v>
      </c>
      <c r="C5407" s="2">
        <v>128073655</v>
      </c>
      <c r="D5407" s="2">
        <v>129291118</v>
      </c>
      <c r="E5407" s="2">
        <v>1</v>
      </c>
      <c r="F5407" s="2" t="s">
        <v>10086</v>
      </c>
      <c r="H5407" s="2">
        <v>5.0000000000000001E-3</v>
      </c>
      <c r="K5407" s="2" t="s">
        <v>10088</v>
      </c>
    </row>
    <row r="5408" spans="1:11" x14ac:dyDescent="0.2">
      <c r="A5408" s="2">
        <v>1353</v>
      </c>
      <c r="B5408" s="2">
        <v>8</v>
      </c>
      <c r="C5408" s="2">
        <v>128073655</v>
      </c>
      <c r="D5408" s="2">
        <v>129291118</v>
      </c>
      <c r="E5408" s="2">
        <v>2</v>
      </c>
      <c r="F5408" s="2" t="s">
        <v>10086</v>
      </c>
      <c r="H5408" s="2">
        <v>1.5E-3</v>
      </c>
      <c r="K5408" s="2" t="s">
        <v>10089</v>
      </c>
    </row>
    <row r="5409" spans="1:11" x14ac:dyDescent="0.2">
      <c r="A5409" s="2">
        <v>1353</v>
      </c>
      <c r="B5409" s="2">
        <v>8</v>
      </c>
      <c r="C5409" s="2">
        <v>128073655</v>
      </c>
      <c r="D5409" s="2">
        <v>129291118</v>
      </c>
      <c r="E5409" s="2">
        <v>3</v>
      </c>
      <c r="F5409" s="2" t="s">
        <v>10086</v>
      </c>
      <c r="H5409" s="2">
        <v>1.1999999999999999E-3</v>
      </c>
      <c r="K5409" s="2" t="s">
        <v>10087</v>
      </c>
    </row>
    <row r="5410" spans="1:11" x14ac:dyDescent="0.2">
      <c r="A5410" s="2">
        <v>1353</v>
      </c>
      <c r="B5410" s="2">
        <v>8</v>
      </c>
      <c r="C5410" s="2">
        <v>128073655</v>
      </c>
      <c r="D5410" s="2">
        <v>129291118</v>
      </c>
      <c r="E5410" s="2">
        <v>4</v>
      </c>
      <c r="F5410" s="2" t="s">
        <v>10086</v>
      </c>
      <c r="H5410" s="3">
        <v>5.9999999999999995E-4</v>
      </c>
      <c r="K5410" s="2" t="s">
        <v>10085</v>
      </c>
    </row>
    <row r="5411" spans="1:11" x14ac:dyDescent="0.2">
      <c r="A5411" s="2">
        <v>1354</v>
      </c>
      <c r="B5411" s="2">
        <v>8</v>
      </c>
      <c r="C5411" s="2">
        <v>129291119</v>
      </c>
      <c r="D5411" s="2">
        <v>130383563</v>
      </c>
      <c r="E5411" s="2">
        <v>1</v>
      </c>
      <c r="F5411" s="2" t="s">
        <v>10086</v>
      </c>
      <c r="H5411" s="2">
        <v>2E-3</v>
      </c>
      <c r="K5411" s="2" t="s">
        <v>10085</v>
      </c>
    </row>
    <row r="5412" spans="1:11" x14ac:dyDescent="0.2">
      <c r="A5412" s="2">
        <v>1354</v>
      </c>
      <c r="B5412" s="2">
        <v>8</v>
      </c>
      <c r="C5412" s="2">
        <v>129291119</v>
      </c>
      <c r="D5412" s="2">
        <v>130383563</v>
      </c>
      <c r="E5412" s="2">
        <v>2</v>
      </c>
      <c r="F5412" s="2" t="s">
        <v>10086</v>
      </c>
      <c r="H5412" s="2">
        <v>1.1000000000000001E-3</v>
      </c>
      <c r="K5412" s="2" t="s">
        <v>10088</v>
      </c>
    </row>
    <row r="5413" spans="1:11" x14ac:dyDescent="0.2">
      <c r="A5413" s="2">
        <v>1354</v>
      </c>
      <c r="B5413" s="2">
        <v>8</v>
      </c>
      <c r="C5413" s="2">
        <v>129291119</v>
      </c>
      <c r="D5413" s="2">
        <v>130383563</v>
      </c>
      <c r="E5413" s="2">
        <v>3</v>
      </c>
      <c r="F5413" s="2" t="s">
        <v>10086</v>
      </c>
      <c r="H5413" s="3">
        <v>8.0000000000000004E-4</v>
      </c>
      <c r="K5413" s="2" t="s">
        <v>10087</v>
      </c>
    </row>
    <row r="5414" spans="1:11" x14ac:dyDescent="0.2">
      <c r="A5414" s="2">
        <v>1354</v>
      </c>
      <c r="B5414" s="2">
        <v>8</v>
      </c>
      <c r="C5414" s="2">
        <v>129291119</v>
      </c>
      <c r="D5414" s="2">
        <v>130383563</v>
      </c>
      <c r="E5414" s="2">
        <v>4</v>
      </c>
      <c r="F5414" s="2" t="s">
        <v>10086</v>
      </c>
      <c r="H5414" s="3">
        <v>4.0000000000000002E-4</v>
      </c>
      <c r="K5414" s="2" t="s">
        <v>10089</v>
      </c>
    </row>
    <row r="5415" spans="1:11" x14ac:dyDescent="0.2">
      <c r="A5415" s="2">
        <v>1355</v>
      </c>
      <c r="B5415" s="2">
        <v>8</v>
      </c>
      <c r="C5415" s="2">
        <v>130383564</v>
      </c>
      <c r="D5415" s="2">
        <v>131545725</v>
      </c>
      <c r="E5415" s="2">
        <v>1</v>
      </c>
      <c r="F5415" s="2" t="s">
        <v>10086</v>
      </c>
      <c r="H5415" s="2">
        <v>1.8E-3</v>
      </c>
      <c r="K5415" s="2" t="s">
        <v>10088</v>
      </c>
    </row>
    <row r="5416" spans="1:11" x14ac:dyDescent="0.2">
      <c r="A5416" s="2">
        <v>1355</v>
      </c>
      <c r="B5416" s="2">
        <v>8</v>
      </c>
      <c r="C5416" s="2">
        <v>130383564</v>
      </c>
      <c r="D5416" s="2">
        <v>131545725</v>
      </c>
      <c r="E5416" s="2">
        <v>2</v>
      </c>
      <c r="F5416" s="2" t="s">
        <v>10086</v>
      </c>
      <c r="H5416" s="3">
        <v>8.9999999999999998E-4</v>
      </c>
      <c r="K5416" s="2" t="s">
        <v>10085</v>
      </c>
    </row>
    <row r="5417" spans="1:11" x14ac:dyDescent="0.2">
      <c r="A5417" s="2">
        <v>1355</v>
      </c>
      <c r="B5417" s="2">
        <v>8</v>
      </c>
      <c r="C5417" s="2">
        <v>130383564</v>
      </c>
      <c r="D5417" s="2">
        <v>131545725</v>
      </c>
      <c r="E5417" s="2">
        <v>3</v>
      </c>
      <c r="F5417" s="2" t="s">
        <v>10086</v>
      </c>
      <c r="H5417" s="3">
        <v>8.9999999999999998E-4</v>
      </c>
      <c r="K5417" s="2" t="s">
        <v>10089</v>
      </c>
    </row>
    <row r="5418" spans="1:11" x14ac:dyDescent="0.2">
      <c r="A5418" s="2">
        <v>1355</v>
      </c>
      <c r="B5418" s="2">
        <v>8</v>
      </c>
      <c r="C5418" s="2">
        <v>130383564</v>
      </c>
      <c r="D5418" s="2">
        <v>131545725</v>
      </c>
      <c r="E5418" s="2">
        <v>4</v>
      </c>
      <c r="F5418" s="2" t="s">
        <v>10086</v>
      </c>
      <c r="H5418" s="3">
        <v>4.0000000000000002E-4</v>
      </c>
      <c r="K5418" s="2" t="s">
        <v>10087</v>
      </c>
    </row>
    <row r="5419" spans="1:11" x14ac:dyDescent="0.2">
      <c r="A5419" s="2">
        <v>1356</v>
      </c>
      <c r="B5419" s="2">
        <v>8</v>
      </c>
      <c r="C5419" s="2">
        <v>131545726</v>
      </c>
      <c r="D5419" s="2">
        <v>132534636</v>
      </c>
      <c r="E5419" s="2">
        <v>1</v>
      </c>
      <c r="F5419" s="2" t="s">
        <v>10086</v>
      </c>
      <c r="H5419" s="2">
        <v>2.3999999999999998E-3</v>
      </c>
      <c r="K5419" s="2" t="s">
        <v>10089</v>
      </c>
    </row>
    <row r="5420" spans="1:11" x14ac:dyDescent="0.2">
      <c r="A5420" s="2">
        <v>1356</v>
      </c>
      <c r="B5420" s="2">
        <v>8</v>
      </c>
      <c r="C5420" s="2">
        <v>131545726</v>
      </c>
      <c r="D5420" s="2">
        <v>132534636</v>
      </c>
      <c r="E5420" s="2">
        <v>2</v>
      </c>
      <c r="F5420" s="2" t="s">
        <v>10086</v>
      </c>
      <c r="H5420" s="3">
        <v>8.9999999999999998E-4</v>
      </c>
      <c r="K5420" s="2" t="s">
        <v>10085</v>
      </c>
    </row>
    <row r="5421" spans="1:11" x14ac:dyDescent="0.2">
      <c r="A5421" s="2">
        <v>1356</v>
      </c>
      <c r="B5421" s="2">
        <v>8</v>
      </c>
      <c r="C5421" s="2">
        <v>131545726</v>
      </c>
      <c r="D5421" s="2">
        <v>132534636</v>
      </c>
      <c r="E5421" s="2">
        <v>3</v>
      </c>
      <c r="F5421" s="2" t="s">
        <v>10086</v>
      </c>
      <c r="H5421" s="2">
        <v>1.8E-3</v>
      </c>
      <c r="K5421" s="2" t="s">
        <v>10088</v>
      </c>
    </row>
    <row r="5422" spans="1:11" x14ac:dyDescent="0.2">
      <c r="A5422" s="2">
        <v>1356</v>
      </c>
      <c r="B5422" s="2">
        <v>8</v>
      </c>
      <c r="C5422" s="2">
        <v>131545726</v>
      </c>
      <c r="D5422" s="2">
        <v>132534636</v>
      </c>
      <c r="E5422" s="2">
        <v>4</v>
      </c>
      <c r="F5422" s="2" t="s">
        <v>10086</v>
      </c>
      <c r="H5422" s="3">
        <v>8.0000000000000004E-4</v>
      </c>
      <c r="K5422" s="2" t="s">
        <v>10087</v>
      </c>
    </row>
    <row r="5423" spans="1:11" x14ac:dyDescent="0.2">
      <c r="A5423" s="2">
        <v>1357</v>
      </c>
      <c r="B5423" s="2">
        <v>8</v>
      </c>
      <c r="C5423" s="2">
        <v>132534637</v>
      </c>
      <c r="D5423" s="2">
        <v>133461551</v>
      </c>
      <c r="E5423" s="2">
        <v>1</v>
      </c>
      <c r="F5423" s="2" t="s">
        <v>10086</v>
      </c>
      <c r="H5423" s="2">
        <v>1.6999999999999999E-3</v>
      </c>
      <c r="K5423" s="2" t="s">
        <v>10088</v>
      </c>
    </row>
    <row r="5424" spans="1:11" x14ac:dyDescent="0.2">
      <c r="A5424" s="2">
        <v>1357</v>
      </c>
      <c r="B5424" s="2">
        <v>8</v>
      </c>
      <c r="C5424" s="2">
        <v>132534637</v>
      </c>
      <c r="D5424" s="2">
        <v>133461551</v>
      </c>
      <c r="E5424" s="2">
        <v>2</v>
      </c>
      <c r="F5424" s="2" t="s">
        <v>10086</v>
      </c>
      <c r="H5424" s="2">
        <v>1.2999999999999999E-3</v>
      </c>
      <c r="K5424" s="2" t="s">
        <v>10087</v>
      </c>
    </row>
    <row r="5425" spans="1:11" x14ac:dyDescent="0.2">
      <c r="A5425" s="2">
        <v>1357</v>
      </c>
      <c r="B5425" s="2">
        <v>8</v>
      </c>
      <c r="C5425" s="2">
        <v>132534637</v>
      </c>
      <c r="D5425" s="2">
        <v>133461551</v>
      </c>
      <c r="E5425" s="2">
        <v>3</v>
      </c>
      <c r="F5425" s="2" t="s">
        <v>10086</v>
      </c>
      <c r="H5425" s="2">
        <v>1E-3</v>
      </c>
      <c r="K5425" s="2" t="s">
        <v>10089</v>
      </c>
    </row>
    <row r="5426" spans="1:11" x14ac:dyDescent="0.2">
      <c r="A5426" s="2">
        <v>1357</v>
      </c>
      <c r="B5426" s="2">
        <v>8</v>
      </c>
      <c r="C5426" s="2">
        <v>132534637</v>
      </c>
      <c r="D5426" s="2">
        <v>133461551</v>
      </c>
      <c r="E5426" s="2">
        <v>4</v>
      </c>
      <c r="F5426" s="2" t="s">
        <v>10086</v>
      </c>
      <c r="H5426" s="3">
        <v>6.9999999999999999E-4</v>
      </c>
      <c r="K5426" s="2" t="s">
        <v>12324</v>
      </c>
    </row>
    <row r="5427" spans="1:11" x14ac:dyDescent="0.2">
      <c r="A5427" s="2">
        <v>1358</v>
      </c>
      <c r="B5427" s="2">
        <v>8</v>
      </c>
      <c r="C5427" s="2">
        <v>133461552</v>
      </c>
      <c r="D5427" s="2">
        <v>134509448</v>
      </c>
      <c r="E5427" s="2">
        <v>1</v>
      </c>
      <c r="F5427" s="2" t="s">
        <v>10086</v>
      </c>
      <c r="H5427" s="2">
        <v>4.4000000000000003E-3</v>
      </c>
      <c r="K5427" s="2" t="s">
        <v>10089</v>
      </c>
    </row>
    <row r="5428" spans="1:11" x14ac:dyDescent="0.2">
      <c r="A5428" s="2">
        <v>1358</v>
      </c>
      <c r="B5428" s="2">
        <v>8</v>
      </c>
      <c r="C5428" s="2">
        <v>133461552</v>
      </c>
      <c r="D5428" s="2">
        <v>134509448</v>
      </c>
      <c r="E5428" s="2">
        <v>2</v>
      </c>
      <c r="F5428" s="2" t="s">
        <v>10086</v>
      </c>
      <c r="H5428" s="2">
        <v>4.1000000000000003E-3</v>
      </c>
      <c r="K5428" s="2" t="s">
        <v>10088</v>
      </c>
    </row>
    <row r="5429" spans="1:11" x14ac:dyDescent="0.2">
      <c r="A5429" s="2">
        <v>1358</v>
      </c>
      <c r="B5429" s="2">
        <v>8</v>
      </c>
      <c r="C5429" s="2">
        <v>133461552</v>
      </c>
      <c r="D5429" s="2">
        <v>134509448</v>
      </c>
      <c r="E5429" s="2">
        <v>3</v>
      </c>
      <c r="F5429" s="2" t="s">
        <v>10086</v>
      </c>
      <c r="H5429" s="2">
        <v>1.9E-3</v>
      </c>
      <c r="K5429" s="2" t="s">
        <v>10087</v>
      </c>
    </row>
    <row r="5430" spans="1:11" x14ac:dyDescent="0.2">
      <c r="A5430" s="2">
        <v>1358</v>
      </c>
      <c r="B5430" s="2">
        <v>8</v>
      </c>
      <c r="C5430" s="2">
        <v>133461552</v>
      </c>
      <c r="D5430" s="2">
        <v>134509448</v>
      </c>
      <c r="E5430" s="2">
        <v>4</v>
      </c>
      <c r="F5430" s="2" t="s">
        <v>10086</v>
      </c>
      <c r="H5430" s="3">
        <v>4.0000000000000002E-4</v>
      </c>
      <c r="K5430" s="2" t="s">
        <v>10085</v>
      </c>
    </row>
    <row r="5431" spans="1:11" x14ac:dyDescent="0.2">
      <c r="A5431" s="2">
        <v>1359</v>
      </c>
      <c r="B5431" s="2">
        <v>8</v>
      </c>
      <c r="C5431" s="2">
        <v>134509449</v>
      </c>
      <c r="D5431" s="2">
        <v>135313673</v>
      </c>
      <c r="E5431" s="2">
        <v>1</v>
      </c>
      <c r="F5431" s="2" t="s">
        <v>10086</v>
      </c>
      <c r="H5431" s="2">
        <v>2.5000000000000001E-3</v>
      </c>
      <c r="K5431" s="2" t="s">
        <v>10085</v>
      </c>
    </row>
    <row r="5432" spans="1:11" x14ac:dyDescent="0.2">
      <c r="A5432" s="2">
        <v>1359</v>
      </c>
      <c r="B5432" s="2">
        <v>8</v>
      </c>
      <c r="C5432" s="2">
        <v>134509449</v>
      </c>
      <c r="D5432" s="2">
        <v>135313673</v>
      </c>
      <c r="E5432" s="2">
        <v>2</v>
      </c>
      <c r="F5432" s="2" t="s">
        <v>10086</v>
      </c>
      <c r="H5432" s="2">
        <v>1.8E-3</v>
      </c>
      <c r="K5432" s="2" t="s">
        <v>10087</v>
      </c>
    </row>
    <row r="5433" spans="1:11" x14ac:dyDescent="0.2">
      <c r="A5433" s="2">
        <v>1359</v>
      </c>
      <c r="B5433" s="2">
        <v>8</v>
      </c>
      <c r="C5433" s="2">
        <v>134509449</v>
      </c>
      <c r="D5433" s="2">
        <v>135313673</v>
      </c>
      <c r="E5433" s="2">
        <v>3</v>
      </c>
      <c r="F5433" s="2" t="s">
        <v>10086</v>
      </c>
      <c r="H5433" s="3">
        <v>8.9999999999999998E-4</v>
      </c>
      <c r="K5433" s="2" t="s">
        <v>10089</v>
      </c>
    </row>
    <row r="5434" spans="1:11" x14ac:dyDescent="0.2">
      <c r="A5434" s="2">
        <v>1359</v>
      </c>
      <c r="B5434" s="2">
        <v>8</v>
      </c>
      <c r="C5434" s="2">
        <v>134509449</v>
      </c>
      <c r="D5434" s="2">
        <v>135313673</v>
      </c>
      <c r="E5434" s="2">
        <v>4</v>
      </c>
      <c r="F5434" s="2" t="s">
        <v>10086</v>
      </c>
      <c r="H5434" s="3">
        <v>5.0000000000000001E-4</v>
      </c>
      <c r="K5434" s="2" t="s">
        <v>10088</v>
      </c>
    </row>
    <row r="5435" spans="1:11" x14ac:dyDescent="0.2">
      <c r="A5435" s="2">
        <v>1360</v>
      </c>
      <c r="B5435" s="2">
        <v>8</v>
      </c>
      <c r="C5435" s="2">
        <v>135313674</v>
      </c>
      <c r="D5435" s="2">
        <v>136220342</v>
      </c>
      <c r="E5435" s="2">
        <v>1</v>
      </c>
      <c r="F5435" s="2" t="s">
        <v>10086</v>
      </c>
      <c r="H5435" s="2">
        <v>1.1000000000000001E-3</v>
      </c>
      <c r="K5435" s="2" t="s">
        <v>10087</v>
      </c>
    </row>
    <row r="5436" spans="1:11" x14ac:dyDescent="0.2">
      <c r="A5436" s="2">
        <v>1360</v>
      </c>
      <c r="B5436" s="2">
        <v>8</v>
      </c>
      <c r="C5436" s="2">
        <v>135313674</v>
      </c>
      <c r="D5436" s="2">
        <v>136220342</v>
      </c>
      <c r="E5436" s="2">
        <v>2</v>
      </c>
      <c r="F5436" s="2" t="s">
        <v>10086</v>
      </c>
      <c r="H5436" s="2">
        <v>1E-3</v>
      </c>
      <c r="K5436" s="2" t="s">
        <v>10088</v>
      </c>
    </row>
    <row r="5437" spans="1:11" x14ac:dyDescent="0.2">
      <c r="A5437" s="2">
        <v>1360</v>
      </c>
      <c r="B5437" s="2">
        <v>8</v>
      </c>
      <c r="C5437" s="2">
        <v>135313674</v>
      </c>
      <c r="D5437" s="2">
        <v>136220342</v>
      </c>
      <c r="E5437" s="2">
        <v>3</v>
      </c>
      <c r="F5437" s="2" t="s">
        <v>10086</v>
      </c>
      <c r="H5437" s="3">
        <v>8.0000000000000004E-4</v>
      </c>
      <c r="K5437" s="2" t="s">
        <v>10085</v>
      </c>
    </row>
    <row r="5438" spans="1:11" x14ac:dyDescent="0.2">
      <c r="A5438" s="2">
        <v>1360</v>
      </c>
      <c r="B5438" s="2">
        <v>8</v>
      </c>
      <c r="C5438" s="2">
        <v>135313674</v>
      </c>
      <c r="D5438" s="2">
        <v>136220342</v>
      </c>
      <c r="E5438" s="2">
        <v>4</v>
      </c>
      <c r="F5438" s="2" t="s">
        <v>10086</v>
      </c>
      <c r="H5438" s="3">
        <v>2.9999999999999997E-4</v>
      </c>
      <c r="K5438" s="2" t="s">
        <v>10089</v>
      </c>
    </row>
    <row r="5439" spans="1:11" x14ac:dyDescent="0.2">
      <c r="A5439" s="2">
        <v>1361</v>
      </c>
      <c r="B5439" s="2">
        <v>8</v>
      </c>
      <c r="C5439" s="2">
        <v>136220343</v>
      </c>
      <c r="D5439" s="2">
        <v>137527617</v>
      </c>
      <c r="E5439" s="2">
        <v>1</v>
      </c>
      <c r="F5439" s="2" t="s">
        <v>10086</v>
      </c>
      <c r="H5439" s="2">
        <v>2.07E-2</v>
      </c>
      <c r="K5439" s="2" t="s">
        <v>10087</v>
      </c>
    </row>
    <row r="5440" spans="1:11" x14ac:dyDescent="0.2">
      <c r="A5440" s="2">
        <v>1361</v>
      </c>
      <c r="B5440" s="2">
        <v>8</v>
      </c>
      <c r="C5440" s="2">
        <v>136220343</v>
      </c>
      <c r="D5440" s="2">
        <v>137527617</v>
      </c>
      <c r="E5440" s="2">
        <v>2</v>
      </c>
      <c r="F5440" s="2" t="s">
        <v>10086</v>
      </c>
      <c r="H5440" s="2">
        <v>2.5000000000000001E-3</v>
      </c>
      <c r="K5440" s="2" t="s">
        <v>10089</v>
      </c>
    </row>
    <row r="5441" spans="1:11" x14ac:dyDescent="0.2">
      <c r="A5441" s="2">
        <v>1361</v>
      </c>
      <c r="B5441" s="2">
        <v>8</v>
      </c>
      <c r="C5441" s="2">
        <v>136220343</v>
      </c>
      <c r="D5441" s="2">
        <v>137527617</v>
      </c>
      <c r="E5441" s="2">
        <v>3</v>
      </c>
      <c r="F5441" s="2" t="s">
        <v>10086</v>
      </c>
      <c r="H5441" s="2">
        <v>1.8E-3</v>
      </c>
      <c r="K5441" s="2" t="s">
        <v>10088</v>
      </c>
    </row>
    <row r="5442" spans="1:11" x14ac:dyDescent="0.2">
      <c r="A5442" s="2">
        <v>1361</v>
      </c>
      <c r="B5442" s="2">
        <v>8</v>
      </c>
      <c r="C5442" s="2">
        <v>136220343</v>
      </c>
      <c r="D5442" s="2">
        <v>137527617</v>
      </c>
      <c r="E5442" s="2">
        <v>4</v>
      </c>
      <c r="F5442" s="2" t="s">
        <v>10086</v>
      </c>
      <c r="H5442" s="3">
        <v>5.9999999999999995E-4</v>
      </c>
      <c r="K5442" s="2" t="s">
        <v>10085</v>
      </c>
    </row>
    <row r="5443" spans="1:11" x14ac:dyDescent="0.2">
      <c r="A5443" s="2">
        <v>1362</v>
      </c>
      <c r="B5443" s="2">
        <v>8</v>
      </c>
      <c r="C5443" s="2">
        <v>137527618</v>
      </c>
      <c r="D5443" s="2">
        <v>138564843</v>
      </c>
      <c r="E5443" s="2">
        <v>1</v>
      </c>
      <c r="F5443" s="2" t="s">
        <v>10086</v>
      </c>
      <c r="H5443" s="3">
        <v>8.0000000000000004E-4</v>
      </c>
      <c r="K5443" s="2" t="s">
        <v>10089</v>
      </c>
    </row>
    <row r="5444" spans="1:11" x14ac:dyDescent="0.2">
      <c r="A5444" s="2">
        <v>1362</v>
      </c>
      <c r="B5444" s="2">
        <v>8</v>
      </c>
      <c r="C5444" s="2">
        <v>137527618</v>
      </c>
      <c r="D5444" s="2">
        <v>138564843</v>
      </c>
      <c r="E5444" s="2">
        <v>2</v>
      </c>
      <c r="F5444" s="2" t="s">
        <v>10086</v>
      </c>
      <c r="H5444" s="3">
        <v>6.9999999999999999E-4</v>
      </c>
      <c r="K5444" s="2" t="s">
        <v>10088</v>
      </c>
    </row>
    <row r="5445" spans="1:11" x14ac:dyDescent="0.2">
      <c r="A5445" s="2">
        <v>1362</v>
      </c>
      <c r="B5445" s="2">
        <v>8</v>
      </c>
      <c r="C5445" s="2">
        <v>137527618</v>
      </c>
      <c r="D5445" s="2">
        <v>138564843</v>
      </c>
      <c r="E5445" s="2">
        <v>3</v>
      </c>
      <c r="F5445" s="2" t="s">
        <v>10086</v>
      </c>
      <c r="H5445" s="3">
        <v>5.9999999999999995E-4</v>
      </c>
      <c r="K5445" s="2" t="s">
        <v>10087</v>
      </c>
    </row>
    <row r="5446" spans="1:11" x14ac:dyDescent="0.2">
      <c r="A5446" s="2">
        <v>1362</v>
      </c>
      <c r="B5446" s="2">
        <v>8</v>
      </c>
      <c r="C5446" s="2">
        <v>137527618</v>
      </c>
      <c r="D5446" s="2">
        <v>138564843</v>
      </c>
      <c r="E5446" s="2">
        <v>4</v>
      </c>
      <c r="F5446" s="2" t="s">
        <v>10086</v>
      </c>
      <c r="H5446" s="3">
        <v>4.0000000000000002E-4</v>
      </c>
      <c r="K5446" s="2" t="s">
        <v>10085</v>
      </c>
    </row>
    <row r="5447" spans="1:11" x14ac:dyDescent="0.2">
      <c r="A5447" s="2">
        <v>1363</v>
      </c>
      <c r="B5447" s="2">
        <v>8</v>
      </c>
      <c r="C5447" s="2">
        <v>138564844</v>
      </c>
      <c r="D5447" s="2">
        <v>139404631</v>
      </c>
      <c r="E5447" s="2">
        <v>1</v>
      </c>
      <c r="F5447" s="2" t="s">
        <v>10086</v>
      </c>
      <c r="H5447" s="2">
        <v>2.5999999999999999E-3</v>
      </c>
      <c r="K5447" s="2" t="s">
        <v>10089</v>
      </c>
    </row>
    <row r="5448" spans="1:11" x14ac:dyDescent="0.2">
      <c r="A5448" s="2">
        <v>1363</v>
      </c>
      <c r="B5448" s="2">
        <v>8</v>
      </c>
      <c r="C5448" s="2">
        <v>138564844</v>
      </c>
      <c r="D5448" s="2">
        <v>139404631</v>
      </c>
      <c r="E5448" s="2">
        <v>2</v>
      </c>
      <c r="F5448" s="2" t="s">
        <v>10086</v>
      </c>
      <c r="H5448" s="2">
        <v>1.4E-3</v>
      </c>
      <c r="K5448" s="2" t="s">
        <v>10085</v>
      </c>
    </row>
    <row r="5449" spans="1:11" x14ac:dyDescent="0.2">
      <c r="A5449" s="2">
        <v>1363</v>
      </c>
      <c r="B5449" s="2">
        <v>8</v>
      </c>
      <c r="C5449" s="2">
        <v>138564844</v>
      </c>
      <c r="D5449" s="2">
        <v>139404631</v>
      </c>
      <c r="E5449" s="2">
        <v>3</v>
      </c>
      <c r="F5449" s="2" t="s">
        <v>10086</v>
      </c>
      <c r="H5449" s="3">
        <v>8.9999999999999998E-4</v>
      </c>
      <c r="K5449" s="2" t="s">
        <v>10087</v>
      </c>
    </row>
    <row r="5450" spans="1:11" x14ac:dyDescent="0.2">
      <c r="A5450" s="2">
        <v>1363</v>
      </c>
      <c r="B5450" s="2">
        <v>8</v>
      </c>
      <c r="C5450" s="2">
        <v>138564844</v>
      </c>
      <c r="D5450" s="2">
        <v>139404631</v>
      </c>
      <c r="E5450" s="2">
        <v>4</v>
      </c>
      <c r="F5450" s="2" t="s">
        <v>10086</v>
      </c>
      <c r="H5450" s="3">
        <v>2.9999999999999997E-4</v>
      </c>
      <c r="K5450" s="2" t="s">
        <v>10088</v>
      </c>
    </row>
    <row r="5451" spans="1:11" x14ac:dyDescent="0.2">
      <c r="A5451" s="2">
        <v>1364</v>
      </c>
      <c r="B5451" s="2">
        <v>8</v>
      </c>
      <c r="C5451" s="2">
        <v>139404632</v>
      </c>
      <c r="D5451" s="2">
        <v>140355988</v>
      </c>
      <c r="E5451" s="2">
        <v>1</v>
      </c>
      <c r="F5451" s="2" t="s">
        <v>10086</v>
      </c>
      <c r="H5451" s="2">
        <v>2.0999999999999999E-3</v>
      </c>
      <c r="K5451" s="2" t="s">
        <v>10089</v>
      </c>
    </row>
    <row r="5452" spans="1:11" x14ac:dyDescent="0.2">
      <c r="A5452" s="2">
        <v>1364</v>
      </c>
      <c r="B5452" s="2">
        <v>8</v>
      </c>
      <c r="C5452" s="2">
        <v>139404632</v>
      </c>
      <c r="D5452" s="2">
        <v>140355988</v>
      </c>
      <c r="E5452" s="2">
        <v>2</v>
      </c>
      <c r="F5452" s="2" t="s">
        <v>10086</v>
      </c>
      <c r="H5452" s="2">
        <v>1.1999999999999999E-3</v>
      </c>
      <c r="K5452" s="2" t="s">
        <v>10087</v>
      </c>
    </row>
    <row r="5453" spans="1:11" x14ac:dyDescent="0.2">
      <c r="A5453" s="2">
        <v>1364</v>
      </c>
      <c r="B5453" s="2">
        <v>8</v>
      </c>
      <c r="C5453" s="2">
        <v>139404632</v>
      </c>
      <c r="D5453" s="2">
        <v>140355988</v>
      </c>
      <c r="E5453" s="2">
        <v>3</v>
      </c>
      <c r="F5453" s="2" t="s">
        <v>10086</v>
      </c>
      <c r="H5453" s="3">
        <v>8.9999999999999998E-4</v>
      </c>
      <c r="K5453" s="2" t="s">
        <v>10085</v>
      </c>
    </row>
    <row r="5454" spans="1:11" x14ac:dyDescent="0.2">
      <c r="A5454" s="2">
        <v>1364</v>
      </c>
      <c r="B5454" s="2">
        <v>8</v>
      </c>
      <c r="C5454" s="2">
        <v>139404632</v>
      </c>
      <c r="D5454" s="2">
        <v>140355988</v>
      </c>
      <c r="E5454" s="2">
        <v>4</v>
      </c>
      <c r="F5454" s="2" t="s">
        <v>10086</v>
      </c>
      <c r="H5454" s="3">
        <v>5.9999999999999995E-4</v>
      </c>
      <c r="K5454" s="2" t="s">
        <v>12324</v>
      </c>
    </row>
    <row r="5455" spans="1:11" x14ac:dyDescent="0.2">
      <c r="A5455" s="2">
        <v>1365</v>
      </c>
      <c r="B5455" s="2">
        <v>8</v>
      </c>
      <c r="C5455" s="2">
        <v>140355989</v>
      </c>
      <c r="D5455" s="2">
        <v>141527881</v>
      </c>
      <c r="E5455" s="2">
        <v>1</v>
      </c>
      <c r="F5455" s="2" t="s">
        <v>10086</v>
      </c>
      <c r="H5455" s="2">
        <v>2.3999999999999998E-3</v>
      </c>
      <c r="K5455" s="2" t="s">
        <v>10088</v>
      </c>
    </row>
    <row r="5456" spans="1:11" x14ac:dyDescent="0.2">
      <c r="A5456" s="2">
        <v>1365</v>
      </c>
      <c r="B5456" s="2">
        <v>8</v>
      </c>
      <c r="C5456" s="2">
        <v>140355989</v>
      </c>
      <c r="D5456" s="2">
        <v>141527881</v>
      </c>
      <c r="E5456" s="2">
        <v>2</v>
      </c>
      <c r="F5456" s="2" t="s">
        <v>10086</v>
      </c>
      <c r="H5456" s="2">
        <v>1.6000000000000001E-3</v>
      </c>
      <c r="K5456" s="2" t="s">
        <v>10085</v>
      </c>
    </row>
    <row r="5457" spans="1:11" x14ac:dyDescent="0.2">
      <c r="A5457" s="2">
        <v>1365</v>
      </c>
      <c r="B5457" s="2">
        <v>8</v>
      </c>
      <c r="C5457" s="2">
        <v>140355989</v>
      </c>
      <c r="D5457" s="2">
        <v>141527881</v>
      </c>
      <c r="E5457" s="2">
        <v>3</v>
      </c>
      <c r="F5457" s="2" t="s">
        <v>10086</v>
      </c>
      <c r="H5457" s="2">
        <v>1E-3</v>
      </c>
      <c r="K5457" s="2" t="s">
        <v>10089</v>
      </c>
    </row>
    <row r="5458" spans="1:11" x14ac:dyDescent="0.2">
      <c r="A5458" s="2">
        <v>1365</v>
      </c>
      <c r="B5458" s="2">
        <v>8</v>
      </c>
      <c r="C5458" s="2">
        <v>140355989</v>
      </c>
      <c r="D5458" s="2">
        <v>141527881</v>
      </c>
      <c r="E5458" s="2">
        <v>4</v>
      </c>
      <c r="F5458" s="2" t="s">
        <v>10086</v>
      </c>
      <c r="H5458" s="3">
        <v>6.9999999999999999E-4</v>
      </c>
      <c r="K5458" s="2" t="s">
        <v>10087</v>
      </c>
    </row>
    <row r="5459" spans="1:11" x14ac:dyDescent="0.2">
      <c r="A5459" s="2">
        <v>1366</v>
      </c>
      <c r="B5459" s="2">
        <v>8</v>
      </c>
      <c r="C5459" s="2">
        <v>141527882</v>
      </c>
      <c r="D5459" s="2">
        <v>142611889</v>
      </c>
      <c r="E5459" s="2">
        <v>1</v>
      </c>
      <c r="F5459" s="2" t="s">
        <v>10086</v>
      </c>
      <c r="H5459" s="2">
        <v>2E-3</v>
      </c>
      <c r="K5459" s="2" t="s">
        <v>10088</v>
      </c>
    </row>
    <row r="5460" spans="1:11" x14ac:dyDescent="0.2">
      <c r="A5460" s="2">
        <v>1366</v>
      </c>
      <c r="B5460" s="2">
        <v>8</v>
      </c>
      <c r="C5460" s="2">
        <v>141527882</v>
      </c>
      <c r="D5460" s="2">
        <v>142611889</v>
      </c>
      <c r="E5460" s="2">
        <v>2</v>
      </c>
      <c r="F5460" s="2" t="s">
        <v>10086</v>
      </c>
      <c r="H5460" s="2">
        <v>2E-3</v>
      </c>
      <c r="K5460" s="2" t="s">
        <v>10085</v>
      </c>
    </row>
    <row r="5461" spans="1:11" x14ac:dyDescent="0.2">
      <c r="A5461" s="2">
        <v>1366</v>
      </c>
      <c r="B5461" s="2">
        <v>8</v>
      </c>
      <c r="C5461" s="2">
        <v>141527882</v>
      </c>
      <c r="D5461" s="2">
        <v>142611889</v>
      </c>
      <c r="E5461" s="2">
        <v>3</v>
      </c>
      <c r="F5461" s="2" t="s">
        <v>10086</v>
      </c>
      <c r="H5461" s="2">
        <v>1.2999999999999999E-3</v>
      </c>
      <c r="K5461" s="2" t="s">
        <v>12324</v>
      </c>
    </row>
    <row r="5462" spans="1:11" x14ac:dyDescent="0.2">
      <c r="A5462" s="2">
        <v>1366</v>
      </c>
      <c r="B5462" s="2">
        <v>8</v>
      </c>
      <c r="C5462" s="2">
        <v>141527882</v>
      </c>
      <c r="D5462" s="2">
        <v>142611889</v>
      </c>
      <c r="E5462" s="2">
        <v>4</v>
      </c>
      <c r="F5462" s="2" t="s">
        <v>10086</v>
      </c>
      <c r="H5462" s="3">
        <v>8.9999999999999998E-4</v>
      </c>
      <c r="K5462" s="2" t="s">
        <v>10089</v>
      </c>
    </row>
    <row r="5463" spans="1:11" x14ac:dyDescent="0.2">
      <c r="A5463" s="2">
        <v>1367</v>
      </c>
      <c r="B5463" s="2">
        <v>8</v>
      </c>
      <c r="C5463" s="2">
        <v>142611890</v>
      </c>
      <c r="D5463" s="2">
        <v>143611461</v>
      </c>
      <c r="E5463" s="2">
        <v>1</v>
      </c>
      <c r="F5463" s="2" t="s">
        <v>10086</v>
      </c>
      <c r="H5463" s="2">
        <v>2.5000000000000001E-3</v>
      </c>
      <c r="K5463" s="2" t="s">
        <v>10089</v>
      </c>
    </row>
    <row r="5464" spans="1:11" x14ac:dyDescent="0.2">
      <c r="A5464" s="2">
        <v>1367</v>
      </c>
      <c r="B5464" s="2">
        <v>8</v>
      </c>
      <c r="C5464" s="2">
        <v>142611890</v>
      </c>
      <c r="D5464" s="2">
        <v>143611461</v>
      </c>
      <c r="E5464" s="2">
        <v>2</v>
      </c>
      <c r="F5464" s="2" t="s">
        <v>10086</v>
      </c>
      <c r="H5464" s="2">
        <v>2.3E-3</v>
      </c>
      <c r="K5464" s="2" t="s">
        <v>10087</v>
      </c>
    </row>
    <row r="5465" spans="1:11" x14ac:dyDescent="0.2">
      <c r="A5465" s="2">
        <v>1367</v>
      </c>
      <c r="B5465" s="2">
        <v>8</v>
      </c>
      <c r="C5465" s="2">
        <v>142611890</v>
      </c>
      <c r="D5465" s="2">
        <v>143611461</v>
      </c>
      <c r="E5465" s="2">
        <v>3</v>
      </c>
      <c r="F5465" s="2" t="s">
        <v>10086</v>
      </c>
      <c r="H5465" s="3">
        <v>8.0000000000000004E-4</v>
      </c>
      <c r="K5465" s="2" t="s">
        <v>10085</v>
      </c>
    </row>
    <row r="5466" spans="1:11" x14ac:dyDescent="0.2">
      <c r="A5466" s="2">
        <v>1367</v>
      </c>
      <c r="B5466" s="2">
        <v>8</v>
      </c>
      <c r="C5466" s="2">
        <v>142611890</v>
      </c>
      <c r="D5466" s="2">
        <v>143611461</v>
      </c>
      <c r="E5466" s="2">
        <v>4</v>
      </c>
      <c r="F5466" s="2" t="s">
        <v>10086</v>
      </c>
      <c r="H5466" s="3">
        <v>5.0000000000000001E-4</v>
      </c>
      <c r="K5466" s="2" t="s">
        <v>12324</v>
      </c>
    </row>
    <row r="5467" spans="1:11" x14ac:dyDescent="0.2">
      <c r="A5467" s="2">
        <v>1368</v>
      </c>
      <c r="B5467" s="2">
        <v>8</v>
      </c>
      <c r="C5467" s="2">
        <v>143611462</v>
      </c>
      <c r="D5467" s="2">
        <v>144934288</v>
      </c>
      <c r="E5467" s="2">
        <v>1</v>
      </c>
      <c r="F5467" s="2" t="s">
        <v>10086</v>
      </c>
      <c r="H5467" s="2">
        <v>3.8199999999999998E-2</v>
      </c>
      <c r="K5467" s="2" t="s">
        <v>10088</v>
      </c>
    </row>
    <row r="5468" spans="1:11" x14ac:dyDescent="0.2">
      <c r="A5468" s="2">
        <v>1368</v>
      </c>
      <c r="B5468" s="2">
        <v>8</v>
      </c>
      <c r="C5468" s="2">
        <v>143611462</v>
      </c>
      <c r="D5468" s="2">
        <v>144934288</v>
      </c>
      <c r="E5468" s="2">
        <v>2</v>
      </c>
      <c r="F5468" s="2" t="s">
        <v>10086</v>
      </c>
      <c r="H5468" s="2">
        <v>2.2000000000000001E-3</v>
      </c>
      <c r="K5468" s="2" t="s">
        <v>12324</v>
      </c>
    </row>
    <row r="5469" spans="1:11" x14ac:dyDescent="0.2">
      <c r="A5469" s="2">
        <v>1368</v>
      </c>
      <c r="B5469" s="2">
        <v>8</v>
      </c>
      <c r="C5469" s="2">
        <v>143611462</v>
      </c>
      <c r="D5469" s="2">
        <v>144934288</v>
      </c>
      <c r="E5469" s="2">
        <v>3</v>
      </c>
      <c r="F5469" s="2" t="s">
        <v>10086</v>
      </c>
      <c r="H5469" s="2">
        <v>1.8E-3</v>
      </c>
      <c r="K5469" s="2" t="s">
        <v>10087</v>
      </c>
    </row>
    <row r="5470" spans="1:11" x14ac:dyDescent="0.2">
      <c r="A5470" s="2">
        <v>1368</v>
      </c>
      <c r="B5470" s="2">
        <v>8</v>
      </c>
      <c r="C5470" s="2">
        <v>143611462</v>
      </c>
      <c r="D5470" s="2">
        <v>144934288</v>
      </c>
      <c r="E5470" s="2">
        <v>4</v>
      </c>
      <c r="F5470" s="2" t="s">
        <v>10086</v>
      </c>
      <c r="H5470" s="2">
        <v>1.1000000000000001E-3</v>
      </c>
      <c r="K5470" s="2" t="s">
        <v>10089</v>
      </c>
    </row>
    <row r="5471" spans="1:11" x14ac:dyDescent="0.2">
      <c r="A5471" s="2">
        <v>1369</v>
      </c>
      <c r="B5471" s="2">
        <v>8</v>
      </c>
      <c r="C5471" s="2">
        <v>144934289</v>
      </c>
      <c r="D5471" s="2">
        <v>146303787</v>
      </c>
      <c r="E5471" s="2">
        <v>1</v>
      </c>
      <c r="F5471" s="2" t="s">
        <v>10086</v>
      </c>
      <c r="H5471" s="2">
        <v>2E-3</v>
      </c>
      <c r="K5471" s="2" t="s">
        <v>10089</v>
      </c>
    </row>
    <row r="5472" spans="1:11" x14ac:dyDescent="0.2">
      <c r="A5472" s="2">
        <v>1369</v>
      </c>
      <c r="B5472" s="2">
        <v>8</v>
      </c>
      <c r="C5472" s="2">
        <v>144934289</v>
      </c>
      <c r="D5472" s="2">
        <v>146303787</v>
      </c>
      <c r="E5472" s="2">
        <v>2</v>
      </c>
      <c r="F5472" s="2" t="s">
        <v>10086</v>
      </c>
      <c r="H5472" s="2">
        <v>1.5E-3</v>
      </c>
      <c r="K5472" s="2" t="s">
        <v>10087</v>
      </c>
    </row>
    <row r="5473" spans="1:11" x14ac:dyDescent="0.2">
      <c r="A5473" s="2">
        <v>1369</v>
      </c>
      <c r="B5473" s="2">
        <v>8</v>
      </c>
      <c r="C5473" s="2">
        <v>144934289</v>
      </c>
      <c r="D5473" s="2">
        <v>146303787</v>
      </c>
      <c r="E5473" s="2">
        <v>3</v>
      </c>
      <c r="F5473" s="2" t="s">
        <v>10086</v>
      </c>
      <c r="H5473" s="2">
        <v>1.1999999999999999E-3</v>
      </c>
      <c r="K5473" s="2" t="s">
        <v>12324</v>
      </c>
    </row>
    <row r="5474" spans="1:11" x14ac:dyDescent="0.2">
      <c r="A5474" s="2">
        <v>1369</v>
      </c>
      <c r="B5474" s="2">
        <v>8</v>
      </c>
      <c r="C5474" s="2">
        <v>144934289</v>
      </c>
      <c r="D5474" s="2">
        <v>146303787</v>
      </c>
      <c r="E5474" s="2">
        <v>4</v>
      </c>
      <c r="F5474" s="2" t="s">
        <v>10086</v>
      </c>
      <c r="H5474" s="3">
        <v>8.0000000000000004E-4</v>
      </c>
      <c r="K5474" s="2" t="s">
        <v>10088</v>
      </c>
    </row>
    <row r="5475" spans="1:11" x14ac:dyDescent="0.2">
      <c r="A5475" s="2">
        <v>1370</v>
      </c>
      <c r="B5475" s="2">
        <v>9</v>
      </c>
      <c r="C5475" s="2">
        <v>10469</v>
      </c>
      <c r="D5475" s="2">
        <v>653661</v>
      </c>
      <c r="E5475" s="2">
        <v>1</v>
      </c>
      <c r="F5475" s="2" t="s">
        <v>10086</v>
      </c>
      <c r="H5475" s="2">
        <v>2.0999999999999999E-3</v>
      </c>
      <c r="K5475" s="2" t="s">
        <v>10085</v>
      </c>
    </row>
    <row r="5476" spans="1:11" x14ac:dyDescent="0.2">
      <c r="A5476" s="2">
        <v>1370</v>
      </c>
      <c r="B5476" s="2">
        <v>9</v>
      </c>
      <c r="C5476" s="2">
        <v>10469</v>
      </c>
      <c r="D5476" s="2">
        <v>653661</v>
      </c>
      <c r="E5476" s="2">
        <v>2</v>
      </c>
      <c r="F5476" s="2" t="s">
        <v>10086</v>
      </c>
      <c r="H5476" s="2">
        <v>1.4E-3</v>
      </c>
      <c r="K5476" s="2" t="s">
        <v>10088</v>
      </c>
    </row>
    <row r="5477" spans="1:11" x14ac:dyDescent="0.2">
      <c r="A5477" s="2">
        <v>1370</v>
      </c>
      <c r="B5477" s="2">
        <v>9</v>
      </c>
      <c r="C5477" s="2">
        <v>10469</v>
      </c>
      <c r="D5477" s="2">
        <v>653661</v>
      </c>
      <c r="E5477" s="2">
        <v>3</v>
      </c>
      <c r="F5477" s="2" t="s">
        <v>10086</v>
      </c>
      <c r="H5477" s="2">
        <v>1E-3</v>
      </c>
      <c r="K5477" s="2" t="s">
        <v>10089</v>
      </c>
    </row>
    <row r="5478" spans="1:11" x14ac:dyDescent="0.2">
      <c r="A5478" s="2">
        <v>1370</v>
      </c>
      <c r="B5478" s="2">
        <v>9</v>
      </c>
      <c r="C5478" s="2">
        <v>10469</v>
      </c>
      <c r="D5478" s="2">
        <v>653661</v>
      </c>
      <c r="E5478" s="2">
        <v>4</v>
      </c>
      <c r="F5478" s="2" t="s">
        <v>10086</v>
      </c>
      <c r="H5478" s="3">
        <v>5.9999999999999995E-4</v>
      </c>
      <c r="K5478" s="2" t="s">
        <v>12324</v>
      </c>
    </row>
    <row r="5479" spans="1:11" x14ac:dyDescent="0.2">
      <c r="A5479" s="2">
        <v>1371</v>
      </c>
      <c r="B5479" s="2">
        <v>9</v>
      </c>
      <c r="C5479" s="2">
        <v>653662</v>
      </c>
      <c r="D5479" s="2">
        <v>1103598</v>
      </c>
      <c r="E5479" s="2">
        <v>1</v>
      </c>
      <c r="F5479" s="2" t="s">
        <v>10086</v>
      </c>
      <c r="H5479" s="2">
        <v>5.3E-3</v>
      </c>
      <c r="K5479" s="2" t="s">
        <v>10085</v>
      </c>
    </row>
    <row r="5480" spans="1:11" x14ac:dyDescent="0.2">
      <c r="A5480" s="2">
        <v>1371</v>
      </c>
      <c r="B5480" s="2">
        <v>9</v>
      </c>
      <c r="C5480" s="2">
        <v>653662</v>
      </c>
      <c r="D5480" s="2">
        <v>1103598</v>
      </c>
      <c r="E5480" s="2">
        <v>2</v>
      </c>
      <c r="F5480" s="2" t="s">
        <v>10086</v>
      </c>
      <c r="H5480" s="2">
        <v>4.4999999999999997E-3</v>
      </c>
      <c r="K5480" s="2" t="s">
        <v>10088</v>
      </c>
    </row>
    <row r="5481" spans="1:11" x14ac:dyDescent="0.2">
      <c r="A5481" s="2">
        <v>1371</v>
      </c>
      <c r="B5481" s="2">
        <v>9</v>
      </c>
      <c r="C5481" s="2">
        <v>653662</v>
      </c>
      <c r="D5481" s="2">
        <v>1103598</v>
      </c>
      <c r="E5481" s="2">
        <v>3</v>
      </c>
      <c r="F5481" s="2" t="s">
        <v>10086</v>
      </c>
      <c r="H5481" s="3">
        <v>8.0000000000000004E-4</v>
      </c>
      <c r="K5481" s="2" t="s">
        <v>10089</v>
      </c>
    </row>
    <row r="5482" spans="1:11" x14ac:dyDescent="0.2">
      <c r="A5482" s="2">
        <v>1371</v>
      </c>
      <c r="B5482" s="2">
        <v>9</v>
      </c>
      <c r="C5482" s="2">
        <v>653662</v>
      </c>
      <c r="D5482" s="2">
        <v>1103598</v>
      </c>
      <c r="E5482" s="2">
        <v>4</v>
      </c>
      <c r="F5482" s="2" t="s">
        <v>10086</v>
      </c>
      <c r="H5482" s="3">
        <v>4.0000000000000002E-4</v>
      </c>
      <c r="K5482" s="2" t="s">
        <v>12324</v>
      </c>
    </row>
    <row r="5483" spans="1:11" x14ac:dyDescent="0.2">
      <c r="A5483" s="2">
        <v>1372</v>
      </c>
      <c r="B5483" s="2">
        <v>9</v>
      </c>
      <c r="C5483" s="2">
        <v>1103599</v>
      </c>
      <c r="D5483" s="2">
        <v>1874961</v>
      </c>
      <c r="E5483" s="2">
        <v>1</v>
      </c>
      <c r="F5483" s="2" t="s">
        <v>10086</v>
      </c>
      <c r="H5483" s="2">
        <v>1.8E-3</v>
      </c>
      <c r="K5483" s="2" t="s">
        <v>10089</v>
      </c>
    </row>
    <row r="5484" spans="1:11" x14ac:dyDescent="0.2">
      <c r="A5484" s="2">
        <v>1372</v>
      </c>
      <c r="B5484" s="2">
        <v>9</v>
      </c>
      <c r="C5484" s="2">
        <v>1103599</v>
      </c>
      <c r="D5484" s="2">
        <v>1874961</v>
      </c>
      <c r="E5484" s="2">
        <v>2</v>
      </c>
      <c r="F5484" s="2" t="s">
        <v>10086</v>
      </c>
      <c r="H5484" s="3">
        <v>8.0000000000000004E-4</v>
      </c>
      <c r="K5484" s="2" t="s">
        <v>10087</v>
      </c>
    </row>
    <row r="5485" spans="1:11" x14ac:dyDescent="0.2">
      <c r="A5485" s="2">
        <v>1372</v>
      </c>
      <c r="B5485" s="2">
        <v>9</v>
      </c>
      <c r="C5485" s="2">
        <v>1103599</v>
      </c>
      <c r="D5485" s="2">
        <v>1874961</v>
      </c>
      <c r="E5485" s="2">
        <v>3</v>
      </c>
      <c r="F5485" s="2" t="s">
        <v>10086</v>
      </c>
      <c r="H5485" s="3">
        <v>6.9999999999999999E-4</v>
      </c>
      <c r="K5485" s="2" t="s">
        <v>10088</v>
      </c>
    </row>
    <row r="5486" spans="1:11" x14ac:dyDescent="0.2">
      <c r="A5486" s="2">
        <v>1372</v>
      </c>
      <c r="B5486" s="2">
        <v>9</v>
      </c>
      <c r="C5486" s="2">
        <v>1103599</v>
      </c>
      <c r="D5486" s="2">
        <v>1874961</v>
      </c>
      <c r="E5486" s="2">
        <v>4</v>
      </c>
      <c r="F5486" s="2" t="s">
        <v>10086</v>
      </c>
      <c r="H5486" s="3">
        <v>5.0000000000000001E-4</v>
      </c>
      <c r="K5486" s="2" t="s">
        <v>10085</v>
      </c>
    </row>
    <row r="5487" spans="1:11" x14ac:dyDescent="0.2">
      <c r="A5487" s="2">
        <v>1373</v>
      </c>
      <c r="B5487" s="2">
        <v>9</v>
      </c>
      <c r="C5487" s="2">
        <v>1874962</v>
      </c>
      <c r="D5487" s="2">
        <v>2441120</v>
      </c>
      <c r="E5487" s="2">
        <v>1</v>
      </c>
      <c r="F5487" s="2" t="s">
        <v>10086</v>
      </c>
      <c r="H5487" s="2">
        <v>1.9E-3</v>
      </c>
      <c r="K5487" s="2" t="s">
        <v>10089</v>
      </c>
    </row>
    <row r="5488" spans="1:11" x14ac:dyDescent="0.2">
      <c r="A5488" s="2">
        <v>1373</v>
      </c>
      <c r="B5488" s="2">
        <v>9</v>
      </c>
      <c r="C5488" s="2">
        <v>1874962</v>
      </c>
      <c r="D5488" s="2">
        <v>2441120</v>
      </c>
      <c r="E5488" s="2">
        <v>2</v>
      </c>
      <c r="F5488" s="2" t="s">
        <v>10086</v>
      </c>
      <c r="H5488" s="2">
        <v>1.2999999999999999E-3</v>
      </c>
      <c r="K5488" s="2" t="s">
        <v>10087</v>
      </c>
    </row>
    <row r="5489" spans="1:11" x14ac:dyDescent="0.2">
      <c r="A5489" s="2">
        <v>1373</v>
      </c>
      <c r="B5489" s="2">
        <v>9</v>
      </c>
      <c r="C5489" s="2">
        <v>1874962</v>
      </c>
      <c r="D5489" s="2">
        <v>2441120</v>
      </c>
      <c r="E5489" s="2">
        <v>3</v>
      </c>
      <c r="F5489" s="2" t="s">
        <v>10086</v>
      </c>
      <c r="H5489" s="3">
        <v>5.9999999999999995E-4</v>
      </c>
      <c r="K5489" s="2" t="s">
        <v>10085</v>
      </c>
    </row>
    <row r="5490" spans="1:11" x14ac:dyDescent="0.2">
      <c r="A5490" s="2">
        <v>1373</v>
      </c>
      <c r="B5490" s="2">
        <v>9</v>
      </c>
      <c r="C5490" s="2">
        <v>1874962</v>
      </c>
      <c r="D5490" s="2">
        <v>2441120</v>
      </c>
      <c r="E5490" s="2">
        <v>4</v>
      </c>
      <c r="F5490" s="2" t="s">
        <v>10086</v>
      </c>
      <c r="H5490" s="3">
        <v>4.0000000000000002E-4</v>
      </c>
      <c r="K5490" s="2" t="s">
        <v>10088</v>
      </c>
    </row>
    <row r="5491" spans="1:11" x14ac:dyDescent="0.2">
      <c r="A5491" s="2">
        <v>1374</v>
      </c>
      <c r="B5491" s="2">
        <v>9</v>
      </c>
      <c r="C5491" s="2">
        <v>2441121</v>
      </c>
      <c r="D5491" s="2">
        <v>3079045</v>
      </c>
      <c r="E5491" s="2">
        <v>1</v>
      </c>
      <c r="F5491" s="2" t="s">
        <v>10086</v>
      </c>
      <c r="H5491" s="2">
        <v>1.4E-3</v>
      </c>
      <c r="K5491" s="2" t="s">
        <v>10085</v>
      </c>
    </row>
    <row r="5492" spans="1:11" x14ac:dyDescent="0.2">
      <c r="A5492" s="2">
        <v>1374</v>
      </c>
      <c r="B5492" s="2">
        <v>9</v>
      </c>
      <c r="C5492" s="2">
        <v>2441121</v>
      </c>
      <c r="D5492" s="2">
        <v>3079045</v>
      </c>
      <c r="E5492" s="2">
        <v>2</v>
      </c>
      <c r="F5492" s="2" t="s">
        <v>10086</v>
      </c>
      <c r="H5492" s="2">
        <v>1E-3</v>
      </c>
      <c r="K5492" s="2" t="s">
        <v>10087</v>
      </c>
    </row>
    <row r="5493" spans="1:11" x14ac:dyDescent="0.2">
      <c r="A5493" s="2">
        <v>1374</v>
      </c>
      <c r="B5493" s="2">
        <v>9</v>
      </c>
      <c r="C5493" s="2">
        <v>2441121</v>
      </c>
      <c r="D5493" s="2">
        <v>3079045</v>
      </c>
      <c r="E5493" s="2">
        <v>3</v>
      </c>
      <c r="F5493" s="2" t="s">
        <v>10086</v>
      </c>
      <c r="H5493" s="3">
        <v>6.9999999999999999E-4</v>
      </c>
      <c r="K5493" s="2" t="s">
        <v>10089</v>
      </c>
    </row>
    <row r="5494" spans="1:11" x14ac:dyDescent="0.2">
      <c r="A5494" s="2">
        <v>1374</v>
      </c>
      <c r="B5494" s="2">
        <v>9</v>
      </c>
      <c r="C5494" s="2">
        <v>2441121</v>
      </c>
      <c r="D5494" s="2">
        <v>3079045</v>
      </c>
      <c r="E5494" s="2">
        <v>4</v>
      </c>
      <c r="F5494" s="2" t="s">
        <v>10086</v>
      </c>
      <c r="H5494" s="3">
        <v>2.9999999999999997E-4</v>
      </c>
      <c r="K5494" s="2" t="s">
        <v>10088</v>
      </c>
    </row>
    <row r="5495" spans="1:11" x14ac:dyDescent="0.2">
      <c r="A5495" s="2">
        <v>1375</v>
      </c>
      <c r="B5495" s="2">
        <v>9</v>
      </c>
      <c r="C5495" s="2">
        <v>3079046</v>
      </c>
      <c r="D5495" s="2">
        <v>4025355</v>
      </c>
      <c r="E5495" s="2">
        <v>1</v>
      </c>
      <c r="F5495" s="2" t="s">
        <v>10086</v>
      </c>
      <c r="H5495" s="2">
        <v>1.8E-3</v>
      </c>
      <c r="K5495" s="2" t="s">
        <v>10085</v>
      </c>
    </row>
    <row r="5496" spans="1:11" x14ac:dyDescent="0.2">
      <c r="A5496" s="2">
        <v>1375</v>
      </c>
      <c r="B5496" s="2">
        <v>9</v>
      </c>
      <c r="C5496" s="2">
        <v>3079046</v>
      </c>
      <c r="D5496" s="2">
        <v>4025355</v>
      </c>
      <c r="E5496" s="2">
        <v>2</v>
      </c>
      <c r="F5496" s="2" t="s">
        <v>10086</v>
      </c>
      <c r="H5496" s="2">
        <v>2.2000000000000001E-3</v>
      </c>
      <c r="K5496" s="2" t="s">
        <v>10087</v>
      </c>
    </row>
    <row r="5497" spans="1:11" x14ac:dyDescent="0.2">
      <c r="A5497" s="2">
        <v>1375</v>
      </c>
      <c r="B5497" s="2">
        <v>9</v>
      </c>
      <c r="C5497" s="2">
        <v>3079046</v>
      </c>
      <c r="D5497" s="2">
        <v>4025355</v>
      </c>
      <c r="E5497" s="2">
        <v>3</v>
      </c>
      <c r="F5497" s="2" t="s">
        <v>10086</v>
      </c>
      <c r="H5497" s="2">
        <v>1E-3</v>
      </c>
      <c r="K5497" s="2" t="s">
        <v>10089</v>
      </c>
    </row>
    <row r="5498" spans="1:11" x14ac:dyDescent="0.2">
      <c r="A5498" s="2">
        <v>1375</v>
      </c>
      <c r="B5498" s="2">
        <v>9</v>
      </c>
      <c r="C5498" s="2">
        <v>3079046</v>
      </c>
      <c r="D5498" s="2">
        <v>4025355</v>
      </c>
      <c r="E5498" s="2">
        <v>4</v>
      </c>
      <c r="F5498" s="2" t="s">
        <v>10086</v>
      </c>
      <c r="H5498" s="3">
        <v>4.0000000000000002E-4</v>
      </c>
      <c r="K5498" s="2" t="s">
        <v>10088</v>
      </c>
    </row>
    <row r="5499" spans="1:11" x14ac:dyDescent="0.2">
      <c r="A5499" s="2">
        <v>1376</v>
      </c>
      <c r="B5499" s="2">
        <v>9</v>
      </c>
      <c r="C5499" s="2">
        <v>4025356</v>
      </c>
      <c r="D5499" s="2">
        <v>4596614</v>
      </c>
      <c r="E5499" s="2">
        <v>1</v>
      </c>
      <c r="F5499" s="2" t="s">
        <v>10086</v>
      </c>
      <c r="H5499" s="2">
        <v>1E-3</v>
      </c>
      <c r="K5499" s="2" t="s">
        <v>10088</v>
      </c>
    </row>
    <row r="5500" spans="1:11" x14ac:dyDescent="0.2">
      <c r="A5500" s="2">
        <v>1376</v>
      </c>
      <c r="B5500" s="2">
        <v>9</v>
      </c>
      <c r="C5500" s="2">
        <v>4025356</v>
      </c>
      <c r="D5500" s="2">
        <v>4596614</v>
      </c>
      <c r="E5500" s="2">
        <v>2</v>
      </c>
      <c r="F5500" s="2" t="s">
        <v>10086</v>
      </c>
      <c r="H5500" s="2">
        <v>1.5E-3</v>
      </c>
      <c r="K5500" s="2" t="s">
        <v>10085</v>
      </c>
    </row>
    <row r="5501" spans="1:11" x14ac:dyDescent="0.2">
      <c r="A5501" s="2">
        <v>1376</v>
      </c>
      <c r="B5501" s="2">
        <v>9</v>
      </c>
      <c r="C5501" s="2">
        <v>4025356</v>
      </c>
      <c r="D5501" s="2">
        <v>4596614</v>
      </c>
      <c r="E5501" s="2">
        <v>3</v>
      </c>
      <c r="F5501" s="2" t="s">
        <v>10086</v>
      </c>
      <c r="H5501" s="3">
        <v>6.9999999999999999E-4</v>
      </c>
      <c r="K5501" s="2" t="s">
        <v>10089</v>
      </c>
    </row>
    <row r="5502" spans="1:11" x14ac:dyDescent="0.2">
      <c r="A5502" s="2">
        <v>1376</v>
      </c>
      <c r="B5502" s="2">
        <v>9</v>
      </c>
      <c r="C5502" s="2">
        <v>4025356</v>
      </c>
      <c r="D5502" s="2">
        <v>4596614</v>
      </c>
      <c r="E5502" s="2">
        <v>4</v>
      </c>
      <c r="F5502" s="2" t="s">
        <v>10086</v>
      </c>
      <c r="H5502" s="3">
        <v>5.0000000000000001E-4</v>
      </c>
      <c r="K5502" s="2" t="s">
        <v>10087</v>
      </c>
    </row>
    <row r="5503" spans="1:11" x14ac:dyDescent="0.2">
      <c r="A5503" s="2">
        <v>1377</v>
      </c>
      <c r="B5503" s="2">
        <v>9</v>
      </c>
      <c r="C5503" s="2">
        <v>4596615</v>
      </c>
      <c r="D5503" s="2">
        <v>5437591</v>
      </c>
      <c r="E5503" s="2">
        <v>1</v>
      </c>
      <c r="F5503" s="2" t="s">
        <v>10086</v>
      </c>
      <c r="H5503" s="2">
        <v>1.6000000000000001E-3</v>
      </c>
      <c r="K5503" s="2" t="s">
        <v>10087</v>
      </c>
    </row>
    <row r="5504" spans="1:11" x14ac:dyDescent="0.2">
      <c r="A5504" s="2">
        <v>1377</v>
      </c>
      <c r="B5504" s="2">
        <v>9</v>
      </c>
      <c r="C5504" s="2">
        <v>4596615</v>
      </c>
      <c r="D5504" s="2">
        <v>5437591</v>
      </c>
      <c r="E5504" s="2">
        <v>2</v>
      </c>
      <c r="F5504" s="2" t="s">
        <v>10086</v>
      </c>
      <c r="H5504" s="2">
        <v>1.6000000000000001E-3</v>
      </c>
      <c r="K5504" s="2" t="s">
        <v>10089</v>
      </c>
    </row>
    <row r="5505" spans="1:11" x14ac:dyDescent="0.2">
      <c r="A5505" s="2">
        <v>1377</v>
      </c>
      <c r="B5505" s="2">
        <v>9</v>
      </c>
      <c r="C5505" s="2">
        <v>4596615</v>
      </c>
      <c r="D5505" s="2">
        <v>5437591</v>
      </c>
      <c r="E5505" s="2">
        <v>3</v>
      </c>
      <c r="F5505" s="2" t="s">
        <v>10086</v>
      </c>
      <c r="H5505" s="2">
        <v>1.6000000000000001E-3</v>
      </c>
      <c r="K5505" s="2" t="s">
        <v>10088</v>
      </c>
    </row>
    <row r="5506" spans="1:11" x14ac:dyDescent="0.2">
      <c r="A5506" s="2">
        <v>1377</v>
      </c>
      <c r="B5506" s="2">
        <v>9</v>
      </c>
      <c r="C5506" s="2">
        <v>4596615</v>
      </c>
      <c r="D5506" s="2">
        <v>5437591</v>
      </c>
      <c r="E5506" s="2">
        <v>4</v>
      </c>
      <c r="F5506" s="2" t="s">
        <v>10086</v>
      </c>
      <c r="H5506" s="3">
        <v>4.0000000000000002E-4</v>
      </c>
      <c r="K5506" s="2" t="s">
        <v>10085</v>
      </c>
    </row>
    <row r="5507" spans="1:11" x14ac:dyDescent="0.2">
      <c r="A5507" s="2">
        <v>1378</v>
      </c>
      <c r="B5507" s="2">
        <v>9</v>
      </c>
      <c r="C5507" s="2">
        <v>5437592</v>
      </c>
      <c r="D5507" s="2">
        <v>6859791</v>
      </c>
      <c r="E5507" s="2">
        <v>1</v>
      </c>
      <c r="F5507" s="2" t="s">
        <v>10086</v>
      </c>
      <c r="H5507" s="2">
        <v>6.1000000000000004E-3</v>
      </c>
      <c r="K5507" s="2" t="s">
        <v>10085</v>
      </c>
    </row>
    <row r="5508" spans="1:11" x14ac:dyDescent="0.2">
      <c r="A5508" s="2">
        <v>1378</v>
      </c>
      <c r="B5508" s="2">
        <v>9</v>
      </c>
      <c r="C5508" s="2">
        <v>5437592</v>
      </c>
      <c r="D5508" s="2">
        <v>6859791</v>
      </c>
      <c r="E5508" s="2">
        <v>2</v>
      </c>
      <c r="F5508" s="2" t="s">
        <v>10086</v>
      </c>
      <c r="H5508" s="2">
        <v>1.2999999999999999E-3</v>
      </c>
      <c r="K5508" s="2" t="s">
        <v>10089</v>
      </c>
    </row>
    <row r="5509" spans="1:11" x14ac:dyDescent="0.2">
      <c r="A5509" s="2">
        <v>1378</v>
      </c>
      <c r="B5509" s="2">
        <v>9</v>
      </c>
      <c r="C5509" s="2">
        <v>5437592</v>
      </c>
      <c r="D5509" s="2">
        <v>6859791</v>
      </c>
      <c r="E5509" s="2">
        <v>3</v>
      </c>
      <c r="F5509" s="2" t="s">
        <v>10086</v>
      </c>
      <c r="H5509" s="2">
        <v>1.2999999999999999E-3</v>
      </c>
      <c r="K5509" s="2" t="s">
        <v>10088</v>
      </c>
    </row>
    <row r="5510" spans="1:11" x14ac:dyDescent="0.2">
      <c r="A5510" s="2">
        <v>1378</v>
      </c>
      <c r="B5510" s="2">
        <v>9</v>
      </c>
      <c r="C5510" s="2">
        <v>5437592</v>
      </c>
      <c r="D5510" s="2">
        <v>6859791</v>
      </c>
      <c r="E5510" s="2">
        <v>4</v>
      </c>
      <c r="F5510" s="2" t="s">
        <v>10086</v>
      </c>
      <c r="H5510" s="2">
        <v>1E-3</v>
      </c>
      <c r="K5510" s="2" t="s">
        <v>10087</v>
      </c>
    </row>
    <row r="5511" spans="1:11" x14ac:dyDescent="0.2">
      <c r="A5511" s="2">
        <v>1379</v>
      </c>
      <c r="B5511" s="2">
        <v>9</v>
      </c>
      <c r="C5511" s="2">
        <v>6859792</v>
      </c>
      <c r="D5511" s="2">
        <v>7388202</v>
      </c>
      <c r="E5511" s="2">
        <v>1</v>
      </c>
      <c r="F5511" s="2" t="s">
        <v>10086</v>
      </c>
      <c r="H5511" s="2">
        <v>2.2000000000000001E-3</v>
      </c>
      <c r="K5511" s="2" t="s">
        <v>10089</v>
      </c>
    </row>
    <row r="5512" spans="1:11" x14ac:dyDescent="0.2">
      <c r="A5512" s="2">
        <v>1379</v>
      </c>
      <c r="B5512" s="2">
        <v>9</v>
      </c>
      <c r="C5512" s="2">
        <v>6859792</v>
      </c>
      <c r="D5512" s="2">
        <v>7388202</v>
      </c>
      <c r="E5512" s="2">
        <v>2</v>
      </c>
      <c r="F5512" s="2" t="s">
        <v>10086</v>
      </c>
      <c r="H5512" s="3">
        <v>8.0000000000000004E-4</v>
      </c>
      <c r="K5512" s="2" t="s">
        <v>10088</v>
      </c>
    </row>
    <row r="5513" spans="1:11" x14ac:dyDescent="0.2">
      <c r="A5513" s="2">
        <v>1379</v>
      </c>
      <c r="B5513" s="2">
        <v>9</v>
      </c>
      <c r="C5513" s="2">
        <v>6859792</v>
      </c>
      <c r="D5513" s="2">
        <v>7388202</v>
      </c>
      <c r="E5513" s="2">
        <v>3</v>
      </c>
      <c r="F5513" s="2" t="s">
        <v>10086</v>
      </c>
      <c r="H5513" s="3">
        <v>5.9999999999999995E-4</v>
      </c>
      <c r="K5513" s="2" t="s">
        <v>10087</v>
      </c>
    </row>
    <row r="5514" spans="1:11" x14ac:dyDescent="0.2">
      <c r="A5514" s="2">
        <v>1379</v>
      </c>
      <c r="B5514" s="2">
        <v>9</v>
      </c>
      <c r="C5514" s="2">
        <v>6859792</v>
      </c>
      <c r="D5514" s="2">
        <v>7388202</v>
      </c>
      <c r="E5514" s="2">
        <v>4</v>
      </c>
      <c r="F5514" s="2" t="s">
        <v>10086</v>
      </c>
      <c r="H5514" s="3">
        <v>5.0000000000000001E-4</v>
      </c>
      <c r="K5514" s="2" t="s">
        <v>10085</v>
      </c>
    </row>
    <row r="5515" spans="1:11" x14ac:dyDescent="0.2">
      <c r="A5515" s="2">
        <v>1380</v>
      </c>
      <c r="B5515" s="2">
        <v>9</v>
      </c>
      <c r="C5515" s="2">
        <v>7388203</v>
      </c>
      <c r="D5515" s="2">
        <v>8262303</v>
      </c>
      <c r="E5515" s="2">
        <v>1</v>
      </c>
      <c r="F5515" s="2" t="s">
        <v>10086</v>
      </c>
      <c r="H5515" s="2">
        <v>1.6000000000000001E-3</v>
      </c>
      <c r="K5515" s="2" t="s">
        <v>10088</v>
      </c>
    </row>
    <row r="5516" spans="1:11" x14ac:dyDescent="0.2">
      <c r="A5516" s="2">
        <v>1380</v>
      </c>
      <c r="B5516" s="2">
        <v>9</v>
      </c>
      <c r="C5516" s="2">
        <v>7388203</v>
      </c>
      <c r="D5516" s="2">
        <v>8262303</v>
      </c>
      <c r="E5516" s="2">
        <v>2</v>
      </c>
      <c r="F5516" s="2" t="s">
        <v>10086</v>
      </c>
      <c r="H5516" s="2">
        <v>1E-3</v>
      </c>
      <c r="K5516" s="2" t="s">
        <v>10087</v>
      </c>
    </row>
    <row r="5517" spans="1:11" x14ac:dyDescent="0.2">
      <c r="A5517" s="2">
        <v>1380</v>
      </c>
      <c r="B5517" s="2">
        <v>9</v>
      </c>
      <c r="C5517" s="2">
        <v>7388203</v>
      </c>
      <c r="D5517" s="2">
        <v>8262303</v>
      </c>
      <c r="E5517" s="2">
        <v>3</v>
      </c>
      <c r="F5517" s="2" t="s">
        <v>10086</v>
      </c>
      <c r="H5517" s="3">
        <v>8.9999999999999998E-4</v>
      </c>
      <c r="K5517" s="2" t="s">
        <v>10089</v>
      </c>
    </row>
    <row r="5518" spans="1:11" x14ac:dyDescent="0.2">
      <c r="A5518" s="2">
        <v>1380</v>
      </c>
      <c r="B5518" s="2">
        <v>9</v>
      </c>
      <c r="C5518" s="2">
        <v>7388203</v>
      </c>
      <c r="D5518" s="2">
        <v>8262303</v>
      </c>
      <c r="E5518" s="2">
        <v>4</v>
      </c>
      <c r="F5518" s="2" t="s">
        <v>10086</v>
      </c>
      <c r="H5518" s="3">
        <v>4.0000000000000002E-4</v>
      </c>
      <c r="K5518" s="2" t="s">
        <v>10085</v>
      </c>
    </row>
    <row r="5519" spans="1:11" x14ac:dyDescent="0.2">
      <c r="A5519" s="2">
        <v>1381</v>
      </c>
      <c r="B5519" s="2">
        <v>9</v>
      </c>
      <c r="C5519" s="2">
        <v>8262304</v>
      </c>
      <c r="D5519" s="2">
        <v>9170120</v>
      </c>
      <c r="E5519" s="2">
        <v>1</v>
      </c>
      <c r="F5519" s="2" t="s">
        <v>10086</v>
      </c>
      <c r="H5519" s="2">
        <v>1.1999999999999999E-3</v>
      </c>
      <c r="K5519" s="2" t="s">
        <v>10089</v>
      </c>
    </row>
    <row r="5520" spans="1:11" x14ac:dyDescent="0.2">
      <c r="A5520" s="2">
        <v>1381</v>
      </c>
      <c r="B5520" s="2">
        <v>9</v>
      </c>
      <c r="C5520" s="2">
        <v>8262304</v>
      </c>
      <c r="D5520" s="2">
        <v>9170120</v>
      </c>
      <c r="E5520" s="2">
        <v>2</v>
      </c>
      <c r="F5520" s="2" t="s">
        <v>10086</v>
      </c>
      <c r="H5520" s="2">
        <v>1.2999999999999999E-3</v>
      </c>
      <c r="K5520" s="2" t="s">
        <v>10088</v>
      </c>
    </row>
    <row r="5521" spans="1:11" x14ac:dyDescent="0.2">
      <c r="A5521" s="2">
        <v>1381</v>
      </c>
      <c r="B5521" s="2">
        <v>9</v>
      </c>
      <c r="C5521" s="2">
        <v>8262304</v>
      </c>
      <c r="D5521" s="2">
        <v>9170120</v>
      </c>
      <c r="E5521" s="2">
        <v>3</v>
      </c>
      <c r="F5521" s="2" t="s">
        <v>10086</v>
      </c>
      <c r="H5521" s="2">
        <v>1.1000000000000001E-3</v>
      </c>
      <c r="K5521" s="2" t="s">
        <v>10087</v>
      </c>
    </row>
    <row r="5522" spans="1:11" x14ac:dyDescent="0.2">
      <c r="A5522" s="2">
        <v>1381</v>
      </c>
      <c r="B5522" s="2">
        <v>9</v>
      </c>
      <c r="C5522" s="2">
        <v>8262304</v>
      </c>
      <c r="D5522" s="2">
        <v>9170120</v>
      </c>
      <c r="E5522" s="2">
        <v>4</v>
      </c>
      <c r="F5522" s="2" t="s">
        <v>10086</v>
      </c>
      <c r="H5522" s="3">
        <v>6.9999999999999999E-4</v>
      </c>
      <c r="K5522" s="2" t="s">
        <v>10085</v>
      </c>
    </row>
    <row r="5523" spans="1:11" x14ac:dyDescent="0.2">
      <c r="A5523" s="2">
        <v>1382</v>
      </c>
      <c r="B5523" s="2">
        <v>9</v>
      </c>
      <c r="C5523" s="2">
        <v>9170121</v>
      </c>
      <c r="D5523" s="2">
        <v>9920258</v>
      </c>
      <c r="E5523" s="2">
        <v>1</v>
      </c>
      <c r="F5523" s="2" t="s">
        <v>10086</v>
      </c>
      <c r="H5523" s="2">
        <v>5.5999999999999999E-3</v>
      </c>
      <c r="K5523" s="2" t="s">
        <v>10085</v>
      </c>
    </row>
    <row r="5524" spans="1:11" x14ac:dyDescent="0.2">
      <c r="A5524" s="2">
        <v>1382</v>
      </c>
      <c r="B5524" s="2">
        <v>9</v>
      </c>
      <c r="C5524" s="2">
        <v>9170121</v>
      </c>
      <c r="D5524" s="2">
        <v>9920258</v>
      </c>
      <c r="E5524" s="2">
        <v>2</v>
      </c>
      <c r="F5524" s="2" t="s">
        <v>10086</v>
      </c>
      <c r="H5524" s="2">
        <v>1.4E-3</v>
      </c>
      <c r="K5524" s="2" t="s">
        <v>10088</v>
      </c>
    </row>
    <row r="5525" spans="1:11" x14ac:dyDescent="0.2">
      <c r="A5525" s="2">
        <v>1382</v>
      </c>
      <c r="B5525" s="2">
        <v>9</v>
      </c>
      <c r="C5525" s="2">
        <v>9170121</v>
      </c>
      <c r="D5525" s="2">
        <v>9920258</v>
      </c>
      <c r="E5525" s="2">
        <v>3</v>
      </c>
      <c r="F5525" s="2" t="s">
        <v>10086</v>
      </c>
      <c r="H5525" s="3">
        <v>5.0000000000000001E-4</v>
      </c>
      <c r="K5525" s="2" t="s">
        <v>10089</v>
      </c>
    </row>
    <row r="5526" spans="1:11" x14ac:dyDescent="0.2">
      <c r="A5526" s="2">
        <v>1382</v>
      </c>
      <c r="B5526" s="2">
        <v>9</v>
      </c>
      <c r="C5526" s="2">
        <v>9170121</v>
      </c>
      <c r="D5526" s="2">
        <v>9920258</v>
      </c>
      <c r="E5526" s="2">
        <v>4</v>
      </c>
      <c r="F5526" s="2" t="s">
        <v>10086</v>
      </c>
      <c r="H5526" s="3">
        <v>5.0000000000000001E-4</v>
      </c>
      <c r="K5526" s="2" t="s">
        <v>10087</v>
      </c>
    </row>
    <row r="5527" spans="1:11" x14ac:dyDescent="0.2">
      <c r="A5527" s="2">
        <v>1383</v>
      </c>
      <c r="B5527" s="2">
        <v>9</v>
      </c>
      <c r="C5527" s="2">
        <v>9920259</v>
      </c>
      <c r="D5527" s="2">
        <v>10675474</v>
      </c>
      <c r="E5527" s="2">
        <v>1</v>
      </c>
      <c r="F5527" s="2" t="s">
        <v>10086</v>
      </c>
      <c r="H5527" s="2">
        <v>3.3E-3</v>
      </c>
      <c r="K5527" s="2" t="s">
        <v>10089</v>
      </c>
    </row>
    <row r="5528" spans="1:11" x14ac:dyDescent="0.2">
      <c r="A5528" s="2">
        <v>1383</v>
      </c>
      <c r="B5528" s="2">
        <v>9</v>
      </c>
      <c r="C5528" s="2">
        <v>9920259</v>
      </c>
      <c r="D5528" s="2">
        <v>10675474</v>
      </c>
      <c r="E5528" s="2">
        <v>2</v>
      </c>
      <c r="F5528" s="2" t="s">
        <v>10086</v>
      </c>
      <c r="H5528" s="2">
        <v>1.6000000000000001E-3</v>
      </c>
      <c r="K5528" s="2" t="s">
        <v>10087</v>
      </c>
    </row>
    <row r="5529" spans="1:11" x14ac:dyDescent="0.2">
      <c r="A5529" s="2">
        <v>1383</v>
      </c>
      <c r="B5529" s="2">
        <v>9</v>
      </c>
      <c r="C5529" s="2">
        <v>9920259</v>
      </c>
      <c r="D5529" s="2">
        <v>10675474</v>
      </c>
      <c r="E5529" s="2">
        <v>3</v>
      </c>
      <c r="F5529" s="2" t="s">
        <v>10086</v>
      </c>
      <c r="H5529" s="2">
        <v>1E-3</v>
      </c>
      <c r="K5529" s="2" t="s">
        <v>10085</v>
      </c>
    </row>
    <row r="5530" spans="1:11" x14ac:dyDescent="0.2">
      <c r="A5530" s="2">
        <v>1383</v>
      </c>
      <c r="B5530" s="2">
        <v>9</v>
      </c>
      <c r="C5530" s="2">
        <v>9920259</v>
      </c>
      <c r="D5530" s="2">
        <v>10675474</v>
      </c>
      <c r="E5530" s="2">
        <v>4</v>
      </c>
      <c r="F5530" s="2" t="s">
        <v>10086</v>
      </c>
      <c r="H5530" s="3">
        <v>5.0000000000000001E-4</v>
      </c>
      <c r="K5530" s="2" t="s">
        <v>10088</v>
      </c>
    </row>
    <row r="5531" spans="1:11" x14ac:dyDescent="0.2">
      <c r="A5531" s="2">
        <v>1384</v>
      </c>
      <c r="B5531" s="2">
        <v>9</v>
      </c>
      <c r="C5531" s="2">
        <v>10675475</v>
      </c>
      <c r="D5531" s="2">
        <v>11270764</v>
      </c>
      <c r="E5531" s="2">
        <v>1</v>
      </c>
      <c r="F5531" s="2" t="s">
        <v>10086</v>
      </c>
      <c r="H5531" s="2">
        <v>4.9099999999999998E-2</v>
      </c>
      <c r="K5531" s="2" t="s">
        <v>10087</v>
      </c>
    </row>
    <row r="5532" spans="1:11" x14ac:dyDescent="0.2">
      <c r="A5532" s="2">
        <v>1384</v>
      </c>
      <c r="B5532" s="2">
        <v>9</v>
      </c>
      <c r="C5532" s="2">
        <v>10675475</v>
      </c>
      <c r="D5532" s="2">
        <v>11270764</v>
      </c>
      <c r="E5532" s="2">
        <v>2</v>
      </c>
      <c r="F5532" s="2" t="s">
        <v>10086</v>
      </c>
      <c r="H5532" s="3">
        <v>6.9999999999999999E-4</v>
      </c>
      <c r="K5532" s="2" t="s">
        <v>10088</v>
      </c>
    </row>
    <row r="5533" spans="1:11" x14ac:dyDescent="0.2">
      <c r="A5533" s="2">
        <v>1384</v>
      </c>
      <c r="B5533" s="2">
        <v>9</v>
      </c>
      <c r="C5533" s="2">
        <v>10675475</v>
      </c>
      <c r="D5533" s="2">
        <v>11270764</v>
      </c>
      <c r="E5533" s="2">
        <v>3</v>
      </c>
      <c r="F5533" s="2" t="s">
        <v>10086</v>
      </c>
      <c r="H5533" s="3">
        <v>4.0000000000000002E-4</v>
      </c>
      <c r="K5533" s="2" t="s">
        <v>10085</v>
      </c>
    </row>
    <row r="5534" spans="1:11" x14ac:dyDescent="0.2">
      <c r="A5534" s="2">
        <v>1384</v>
      </c>
      <c r="B5534" s="2">
        <v>9</v>
      </c>
      <c r="C5534" s="2">
        <v>10675475</v>
      </c>
      <c r="D5534" s="2">
        <v>11270764</v>
      </c>
      <c r="E5534" s="2">
        <v>4</v>
      </c>
      <c r="F5534" s="2" t="s">
        <v>10086</v>
      </c>
      <c r="H5534" s="3">
        <v>2.9999999999999997E-4</v>
      </c>
      <c r="K5534" s="2" t="s">
        <v>12324</v>
      </c>
    </row>
    <row r="5535" spans="1:11" x14ac:dyDescent="0.2">
      <c r="A5535" s="2">
        <v>1385</v>
      </c>
      <c r="B5535" s="2">
        <v>9</v>
      </c>
      <c r="C5535" s="2">
        <v>11270765</v>
      </c>
      <c r="D5535" s="2">
        <v>12044915</v>
      </c>
      <c r="E5535" s="2">
        <v>1</v>
      </c>
      <c r="F5535" s="2" t="s">
        <v>10086</v>
      </c>
      <c r="H5535" s="2">
        <v>1.1000000000000001E-3</v>
      </c>
      <c r="K5535" s="2" t="s">
        <v>10089</v>
      </c>
    </row>
    <row r="5536" spans="1:11" x14ac:dyDescent="0.2">
      <c r="A5536" s="2">
        <v>1385</v>
      </c>
      <c r="B5536" s="2">
        <v>9</v>
      </c>
      <c r="C5536" s="2">
        <v>11270765</v>
      </c>
      <c r="D5536" s="2">
        <v>12044915</v>
      </c>
      <c r="E5536" s="2">
        <v>2</v>
      </c>
      <c r="F5536" s="2" t="s">
        <v>10086</v>
      </c>
      <c r="H5536" s="3">
        <v>8.9999999999999998E-4</v>
      </c>
      <c r="K5536" s="2" t="s">
        <v>10087</v>
      </c>
    </row>
    <row r="5537" spans="1:11" x14ac:dyDescent="0.2">
      <c r="A5537" s="2">
        <v>1385</v>
      </c>
      <c r="B5537" s="2">
        <v>9</v>
      </c>
      <c r="C5537" s="2">
        <v>11270765</v>
      </c>
      <c r="D5537" s="2">
        <v>12044915</v>
      </c>
      <c r="E5537" s="2">
        <v>3</v>
      </c>
      <c r="F5537" s="2" t="s">
        <v>10086</v>
      </c>
      <c r="H5537" s="2">
        <v>1E-3</v>
      </c>
      <c r="K5537" s="2" t="s">
        <v>12324</v>
      </c>
    </row>
    <row r="5538" spans="1:11" x14ac:dyDescent="0.2">
      <c r="A5538" s="2">
        <v>1385</v>
      </c>
      <c r="B5538" s="2">
        <v>9</v>
      </c>
      <c r="C5538" s="2">
        <v>11270765</v>
      </c>
      <c r="D5538" s="2">
        <v>12044915</v>
      </c>
      <c r="E5538" s="2">
        <v>4</v>
      </c>
      <c r="F5538" s="2" t="s">
        <v>10086</v>
      </c>
      <c r="H5538" s="3">
        <v>6.9999999999999999E-4</v>
      </c>
      <c r="K5538" s="2" t="s">
        <v>10088</v>
      </c>
    </row>
    <row r="5539" spans="1:11" x14ac:dyDescent="0.2">
      <c r="A5539" s="2">
        <v>1386</v>
      </c>
      <c r="B5539" s="2">
        <v>9</v>
      </c>
      <c r="C5539" s="2">
        <v>12044916</v>
      </c>
      <c r="D5539" s="2">
        <v>12664858</v>
      </c>
      <c r="E5539" s="2">
        <v>1</v>
      </c>
      <c r="F5539" s="2" t="s">
        <v>10086</v>
      </c>
      <c r="H5539" s="2">
        <v>1E-3</v>
      </c>
      <c r="K5539" s="2" t="s">
        <v>10085</v>
      </c>
    </row>
    <row r="5540" spans="1:11" x14ac:dyDescent="0.2">
      <c r="A5540" s="2">
        <v>1386</v>
      </c>
      <c r="B5540" s="2">
        <v>9</v>
      </c>
      <c r="C5540" s="2">
        <v>12044916</v>
      </c>
      <c r="D5540" s="2">
        <v>12664858</v>
      </c>
      <c r="E5540" s="2">
        <v>2</v>
      </c>
      <c r="F5540" s="2" t="s">
        <v>10086</v>
      </c>
      <c r="H5540" s="2">
        <v>1E-3</v>
      </c>
      <c r="K5540" s="2" t="s">
        <v>10087</v>
      </c>
    </row>
    <row r="5541" spans="1:11" x14ac:dyDescent="0.2">
      <c r="A5541" s="2">
        <v>1386</v>
      </c>
      <c r="B5541" s="2">
        <v>9</v>
      </c>
      <c r="C5541" s="2">
        <v>12044916</v>
      </c>
      <c r="D5541" s="2">
        <v>12664858</v>
      </c>
      <c r="E5541" s="2">
        <v>3</v>
      </c>
      <c r="F5541" s="2" t="s">
        <v>10086</v>
      </c>
      <c r="H5541" s="3">
        <v>5.9999999999999995E-4</v>
      </c>
      <c r="K5541" s="2" t="s">
        <v>10089</v>
      </c>
    </row>
    <row r="5542" spans="1:11" x14ac:dyDescent="0.2">
      <c r="A5542" s="2">
        <v>1386</v>
      </c>
      <c r="B5542" s="2">
        <v>9</v>
      </c>
      <c r="C5542" s="2">
        <v>12044916</v>
      </c>
      <c r="D5542" s="2">
        <v>12664858</v>
      </c>
      <c r="E5542" s="2">
        <v>4</v>
      </c>
      <c r="F5542" s="2" t="s">
        <v>10086</v>
      </c>
      <c r="H5542" s="3">
        <v>2.9999999999999997E-4</v>
      </c>
      <c r="K5542" s="2" t="s">
        <v>10088</v>
      </c>
    </row>
    <row r="5543" spans="1:11" x14ac:dyDescent="0.2">
      <c r="A5543" s="2">
        <v>1387</v>
      </c>
      <c r="B5543" s="2">
        <v>9</v>
      </c>
      <c r="C5543" s="2">
        <v>12664859</v>
      </c>
      <c r="D5543" s="2">
        <v>13512852</v>
      </c>
      <c r="E5543" s="2">
        <v>1</v>
      </c>
      <c r="F5543" s="2" t="s">
        <v>10086</v>
      </c>
      <c r="H5543" s="2">
        <v>1.9E-2</v>
      </c>
      <c r="K5543" s="2" t="s">
        <v>10085</v>
      </c>
    </row>
    <row r="5544" spans="1:11" x14ac:dyDescent="0.2">
      <c r="A5544" s="2">
        <v>1387</v>
      </c>
      <c r="B5544" s="2">
        <v>9</v>
      </c>
      <c r="C5544" s="2">
        <v>12664859</v>
      </c>
      <c r="D5544" s="2">
        <v>13512852</v>
      </c>
      <c r="E5544" s="2">
        <v>2</v>
      </c>
      <c r="F5544" s="2" t="s">
        <v>10086</v>
      </c>
      <c r="H5544" s="2">
        <v>3.0999999999999999E-3</v>
      </c>
      <c r="K5544" s="2" t="s">
        <v>12324</v>
      </c>
    </row>
    <row r="5545" spans="1:11" x14ac:dyDescent="0.2">
      <c r="A5545" s="2">
        <v>1387</v>
      </c>
      <c r="B5545" s="2">
        <v>9</v>
      </c>
      <c r="C5545" s="2">
        <v>12664859</v>
      </c>
      <c r="D5545" s="2">
        <v>13512852</v>
      </c>
      <c r="E5545" s="2">
        <v>3</v>
      </c>
      <c r="F5545" s="2" t="s">
        <v>10086</v>
      </c>
      <c r="H5545" s="2">
        <v>2.2000000000000001E-3</v>
      </c>
      <c r="K5545" s="2" t="s">
        <v>10089</v>
      </c>
    </row>
    <row r="5546" spans="1:11" x14ac:dyDescent="0.2">
      <c r="A5546" s="2">
        <v>1387</v>
      </c>
      <c r="B5546" s="2">
        <v>9</v>
      </c>
      <c r="C5546" s="2">
        <v>12664859</v>
      </c>
      <c r="D5546" s="2">
        <v>13512852</v>
      </c>
      <c r="E5546" s="2">
        <v>4</v>
      </c>
      <c r="F5546" s="2" t="s">
        <v>10086</v>
      </c>
      <c r="H5546" s="2">
        <v>1E-3</v>
      </c>
      <c r="K5546" s="2" t="s">
        <v>10088</v>
      </c>
    </row>
    <row r="5547" spans="1:11" x14ac:dyDescent="0.2">
      <c r="A5547" s="2">
        <v>1388</v>
      </c>
      <c r="B5547" s="2">
        <v>9</v>
      </c>
      <c r="C5547" s="2">
        <v>13512853</v>
      </c>
      <c r="D5547" s="2">
        <v>14244747</v>
      </c>
      <c r="E5547" s="2">
        <v>1</v>
      </c>
      <c r="F5547" s="2" t="s">
        <v>10086</v>
      </c>
      <c r="H5547" s="2">
        <v>1.9E-3</v>
      </c>
      <c r="K5547" s="2" t="s">
        <v>10087</v>
      </c>
    </row>
    <row r="5548" spans="1:11" x14ac:dyDescent="0.2">
      <c r="A5548" s="2">
        <v>1388</v>
      </c>
      <c r="B5548" s="2">
        <v>9</v>
      </c>
      <c r="C5548" s="2">
        <v>13512853</v>
      </c>
      <c r="D5548" s="2">
        <v>14244747</v>
      </c>
      <c r="E5548" s="2">
        <v>2</v>
      </c>
      <c r="F5548" s="2" t="s">
        <v>10086</v>
      </c>
      <c r="H5548" s="2">
        <v>1.1999999999999999E-3</v>
      </c>
      <c r="K5548" s="2" t="s">
        <v>10088</v>
      </c>
    </row>
    <row r="5549" spans="1:11" x14ac:dyDescent="0.2">
      <c r="A5549" s="2">
        <v>1388</v>
      </c>
      <c r="B5549" s="2">
        <v>9</v>
      </c>
      <c r="C5549" s="2">
        <v>13512853</v>
      </c>
      <c r="D5549" s="2">
        <v>14244747</v>
      </c>
      <c r="E5549" s="2">
        <v>3</v>
      </c>
      <c r="F5549" s="2" t="s">
        <v>10086</v>
      </c>
      <c r="H5549" s="3">
        <v>8.0000000000000004E-4</v>
      </c>
      <c r="K5549" s="2" t="s">
        <v>10085</v>
      </c>
    </row>
    <row r="5550" spans="1:11" x14ac:dyDescent="0.2">
      <c r="A5550" s="2">
        <v>1388</v>
      </c>
      <c r="B5550" s="2">
        <v>9</v>
      </c>
      <c r="C5550" s="2">
        <v>13512853</v>
      </c>
      <c r="D5550" s="2">
        <v>14244747</v>
      </c>
      <c r="E5550" s="2">
        <v>4</v>
      </c>
      <c r="F5550" s="2" t="s">
        <v>10086</v>
      </c>
      <c r="H5550" s="3">
        <v>4.0000000000000002E-4</v>
      </c>
      <c r="K5550" s="2" t="s">
        <v>10089</v>
      </c>
    </row>
    <row r="5551" spans="1:11" x14ac:dyDescent="0.2">
      <c r="A5551" s="2">
        <v>1389</v>
      </c>
      <c r="B5551" s="2">
        <v>9</v>
      </c>
      <c r="C5551" s="2">
        <v>14244748</v>
      </c>
      <c r="D5551" s="2">
        <v>14902924</v>
      </c>
      <c r="E5551" s="2">
        <v>1</v>
      </c>
      <c r="F5551" s="2" t="s">
        <v>10086</v>
      </c>
      <c r="H5551" s="2">
        <v>1.4E-3</v>
      </c>
      <c r="K5551" s="2" t="s">
        <v>10087</v>
      </c>
    </row>
    <row r="5552" spans="1:11" x14ac:dyDescent="0.2">
      <c r="A5552" s="2">
        <v>1389</v>
      </c>
      <c r="B5552" s="2">
        <v>9</v>
      </c>
      <c r="C5552" s="2">
        <v>14244748</v>
      </c>
      <c r="D5552" s="2">
        <v>14902924</v>
      </c>
      <c r="E5552" s="2">
        <v>2</v>
      </c>
      <c r="F5552" s="2" t="s">
        <v>10086</v>
      </c>
      <c r="H5552" s="2">
        <v>1.6999999999999999E-3</v>
      </c>
      <c r="K5552" s="2" t="s">
        <v>10088</v>
      </c>
    </row>
    <row r="5553" spans="1:11" x14ac:dyDescent="0.2">
      <c r="A5553" s="2">
        <v>1389</v>
      </c>
      <c r="B5553" s="2">
        <v>9</v>
      </c>
      <c r="C5553" s="2">
        <v>14244748</v>
      </c>
      <c r="D5553" s="2">
        <v>14902924</v>
      </c>
      <c r="E5553" s="2">
        <v>3</v>
      </c>
      <c r="F5553" s="2" t="s">
        <v>10086</v>
      </c>
      <c r="H5553" s="2">
        <v>1.4E-3</v>
      </c>
      <c r="K5553" s="2" t="s">
        <v>12324</v>
      </c>
    </row>
    <row r="5554" spans="1:11" x14ac:dyDescent="0.2">
      <c r="A5554" s="2">
        <v>1389</v>
      </c>
      <c r="B5554" s="2">
        <v>9</v>
      </c>
      <c r="C5554" s="2">
        <v>14244748</v>
      </c>
      <c r="D5554" s="2">
        <v>14902924</v>
      </c>
      <c r="E5554" s="2">
        <v>4</v>
      </c>
      <c r="F5554" s="2" t="s">
        <v>10086</v>
      </c>
      <c r="H5554" s="3">
        <v>6.9999999999999999E-4</v>
      </c>
      <c r="K5554" s="2" t="s">
        <v>10089</v>
      </c>
    </row>
    <row r="5555" spans="1:11" x14ac:dyDescent="0.2">
      <c r="A5555" s="2">
        <v>1390</v>
      </c>
      <c r="B5555" s="2">
        <v>9</v>
      </c>
      <c r="C5555" s="2">
        <v>14902925</v>
      </c>
      <c r="D5555" s="2">
        <v>15839403</v>
      </c>
      <c r="E5555" s="2">
        <v>1</v>
      </c>
      <c r="F5555" s="2" t="s">
        <v>10086</v>
      </c>
      <c r="H5555" s="2">
        <v>6.4000000000000003E-3</v>
      </c>
      <c r="K5555" s="2" t="s">
        <v>10087</v>
      </c>
    </row>
    <row r="5556" spans="1:11" x14ac:dyDescent="0.2">
      <c r="A5556" s="2">
        <v>1390</v>
      </c>
      <c r="B5556" s="2">
        <v>9</v>
      </c>
      <c r="C5556" s="2">
        <v>14902925</v>
      </c>
      <c r="D5556" s="2">
        <v>15839403</v>
      </c>
      <c r="E5556" s="2">
        <v>2</v>
      </c>
      <c r="F5556" s="2" t="s">
        <v>10086</v>
      </c>
      <c r="H5556" s="2">
        <v>1.6000000000000001E-3</v>
      </c>
      <c r="K5556" s="2" t="s">
        <v>10089</v>
      </c>
    </row>
    <row r="5557" spans="1:11" x14ac:dyDescent="0.2">
      <c r="A5557" s="2">
        <v>1390</v>
      </c>
      <c r="B5557" s="2">
        <v>9</v>
      </c>
      <c r="C5557" s="2">
        <v>14902925</v>
      </c>
      <c r="D5557" s="2">
        <v>15839403</v>
      </c>
      <c r="E5557" s="2">
        <v>3</v>
      </c>
      <c r="F5557" s="2" t="s">
        <v>10086</v>
      </c>
      <c r="H5557" s="2">
        <v>1.1000000000000001E-3</v>
      </c>
      <c r="K5557" s="2" t="s">
        <v>10085</v>
      </c>
    </row>
    <row r="5558" spans="1:11" x14ac:dyDescent="0.2">
      <c r="A5558" s="2">
        <v>1390</v>
      </c>
      <c r="B5558" s="2">
        <v>9</v>
      </c>
      <c r="C5558" s="2">
        <v>14902925</v>
      </c>
      <c r="D5558" s="2">
        <v>15839403</v>
      </c>
      <c r="E5558" s="2">
        <v>4</v>
      </c>
      <c r="F5558" s="2" t="s">
        <v>10086</v>
      </c>
      <c r="H5558" s="3">
        <v>2.9999999999999997E-4</v>
      </c>
      <c r="K5558" s="2" t="s">
        <v>10088</v>
      </c>
    </row>
    <row r="5559" spans="1:11" x14ac:dyDescent="0.2">
      <c r="A5559" s="2">
        <v>1391</v>
      </c>
      <c r="B5559" s="2">
        <v>9</v>
      </c>
      <c r="C5559" s="2">
        <v>15839404</v>
      </c>
      <c r="D5559" s="2">
        <v>16658377</v>
      </c>
      <c r="E5559" s="2">
        <v>1</v>
      </c>
      <c r="F5559" s="2" t="s">
        <v>10086</v>
      </c>
      <c r="H5559" s="2">
        <v>1.9E-3</v>
      </c>
      <c r="K5559" s="2" t="s">
        <v>10088</v>
      </c>
    </row>
    <row r="5560" spans="1:11" x14ac:dyDescent="0.2">
      <c r="A5560" s="2">
        <v>1391</v>
      </c>
      <c r="B5560" s="2">
        <v>9</v>
      </c>
      <c r="C5560" s="2">
        <v>15839404</v>
      </c>
      <c r="D5560" s="2">
        <v>16658377</v>
      </c>
      <c r="E5560" s="2">
        <v>2</v>
      </c>
      <c r="F5560" s="2" t="s">
        <v>10086</v>
      </c>
      <c r="H5560" s="2">
        <v>1.6000000000000001E-3</v>
      </c>
      <c r="K5560" s="2" t="s">
        <v>10089</v>
      </c>
    </row>
    <row r="5561" spans="1:11" x14ac:dyDescent="0.2">
      <c r="A5561" s="2">
        <v>1391</v>
      </c>
      <c r="B5561" s="2">
        <v>9</v>
      </c>
      <c r="C5561" s="2">
        <v>15839404</v>
      </c>
      <c r="D5561" s="2">
        <v>16658377</v>
      </c>
      <c r="E5561" s="2">
        <v>3</v>
      </c>
      <c r="F5561" s="2" t="s">
        <v>10086</v>
      </c>
      <c r="H5561" s="2">
        <v>1.5E-3</v>
      </c>
      <c r="K5561" s="2" t="s">
        <v>12324</v>
      </c>
    </row>
    <row r="5562" spans="1:11" x14ac:dyDescent="0.2">
      <c r="A5562" s="2">
        <v>1391</v>
      </c>
      <c r="B5562" s="2">
        <v>9</v>
      </c>
      <c r="C5562" s="2">
        <v>15839404</v>
      </c>
      <c r="D5562" s="2">
        <v>16658377</v>
      </c>
      <c r="E5562" s="2">
        <v>4</v>
      </c>
      <c r="F5562" s="2" t="s">
        <v>10086</v>
      </c>
      <c r="H5562" s="2">
        <v>1.2999999999999999E-3</v>
      </c>
      <c r="K5562" s="2" t="s">
        <v>10085</v>
      </c>
    </row>
    <row r="5563" spans="1:11" x14ac:dyDescent="0.2">
      <c r="A5563" s="2">
        <v>1392</v>
      </c>
      <c r="B5563" s="2">
        <v>9</v>
      </c>
      <c r="C5563" s="2">
        <v>16658378</v>
      </c>
      <c r="D5563" s="2">
        <v>17392382</v>
      </c>
      <c r="E5563" s="2">
        <v>1</v>
      </c>
      <c r="F5563" s="2" t="s">
        <v>10086</v>
      </c>
      <c r="H5563" s="2">
        <v>3.8E-3</v>
      </c>
      <c r="K5563" s="2" t="s">
        <v>10088</v>
      </c>
    </row>
    <row r="5564" spans="1:11" x14ac:dyDescent="0.2">
      <c r="A5564" s="2">
        <v>1392</v>
      </c>
      <c r="B5564" s="2">
        <v>9</v>
      </c>
      <c r="C5564" s="2">
        <v>16658378</v>
      </c>
      <c r="D5564" s="2">
        <v>17392382</v>
      </c>
      <c r="E5564" s="2">
        <v>2</v>
      </c>
      <c r="F5564" s="2" t="s">
        <v>10086</v>
      </c>
      <c r="H5564" s="2">
        <v>1.4E-3</v>
      </c>
      <c r="K5564" s="2" t="s">
        <v>10087</v>
      </c>
    </row>
    <row r="5565" spans="1:11" x14ac:dyDescent="0.2">
      <c r="A5565" s="2">
        <v>1392</v>
      </c>
      <c r="B5565" s="2">
        <v>9</v>
      </c>
      <c r="C5565" s="2">
        <v>16658378</v>
      </c>
      <c r="D5565" s="2">
        <v>17392382</v>
      </c>
      <c r="E5565" s="2">
        <v>3</v>
      </c>
      <c r="F5565" s="2" t="s">
        <v>10086</v>
      </c>
      <c r="H5565" s="3">
        <v>5.9999999999999995E-4</v>
      </c>
      <c r="K5565" s="2" t="s">
        <v>10089</v>
      </c>
    </row>
    <row r="5566" spans="1:11" x14ac:dyDescent="0.2">
      <c r="A5566" s="2">
        <v>1392</v>
      </c>
      <c r="B5566" s="2">
        <v>9</v>
      </c>
      <c r="C5566" s="2">
        <v>16658378</v>
      </c>
      <c r="D5566" s="2">
        <v>17392382</v>
      </c>
      <c r="E5566" s="2">
        <v>4</v>
      </c>
      <c r="F5566" s="2" t="s">
        <v>10086</v>
      </c>
      <c r="H5566" s="3">
        <v>2.9999999999999997E-4</v>
      </c>
      <c r="K5566" s="2" t="s">
        <v>10085</v>
      </c>
    </row>
    <row r="5567" spans="1:11" x14ac:dyDescent="0.2">
      <c r="A5567" s="2">
        <v>1393</v>
      </c>
      <c r="B5567" s="2">
        <v>9</v>
      </c>
      <c r="C5567" s="2">
        <v>17392383</v>
      </c>
      <c r="D5567" s="2">
        <v>17990565</v>
      </c>
      <c r="E5567" s="2">
        <v>1</v>
      </c>
      <c r="F5567" s="2" t="s">
        <v>10086</v>
      </c>
      <c r="H5567" s="2">
        <v>1.6000000000000001E-3</v>
      </c>
      <c r="K5567" s="2" t="s">
        <v>10089</v>
      </c>
    </row>
    <row r="5568" spans="1:11" x14ac:dyDescent="0.2">
      <c r="A5568" s="2">
        <v>1393</v>
      </c>
      <c r="B5568" s="2">
        <v>9</v>
      </c>
      <c r="C5568" s="2">
        <v>17392383</v>
      </c>
      <c r="D5568" s="2">
        <v>17990565</v>
      </c>
      <c r="E5568" s="2">
        <v>2</v>
      </c>
      <c r="F5568" s="2" t="s">
        <v>10086</v>
      </c>
      <c r="H5568" s="3">
        <v>8.9999999999999998E-4</v>
      </c>
      <c r="K5568" s="2" t="s">
        <v>10088</v>
      </c>
    </row>
    <row r="5569" spans="1:11" x14ac:dyDescent="0.2">
      <c r="A5569" s="2">
        <v>1393</v>
      </c>
      <c r="B5569" s="2">
        <v>9</v>
      </c>
      <c r="C5569" s="2">
        <v>17392383</v>
      </c>
      <c r="D5569" s="2">
        <v>17990565</v>
      </c>
      <c r="E5569" s="2">
        <v>3</v>
      </c>
      <c r="F5569" s="2" t="s">
        <v>10086</v>
      </c>
      <c r="H5569" s="2">
        <v>1.5E-3</v>
      </c>
      <c r="K5569" s="2" t="s">
        <v>10087</v>
      </c>
    </row>
    <row r="5570" spans="1:11" x14ac:dyDescent="0.2">
      <c r="A5570" s="2">
        <v>1393</v>
      </c>
      <c r="B5570" s="2">
        <v>9</v>
      </c>
      <c r="C5570" s="2">
        <v>17392383</v>
      </c>
      <c r="D5570" s="2">
        <v>17990565</v>
      </c>
      <c r="E5570" s="2">
        <v>4</v>
      </c>
      <c r="F5570" s="2" t="s">
        <v>10086</v>
      </c>
      <c r="H5570" s="3">
        <v>5.9999999999999995E-4</v>
      </c>
      <c r="K5570" s="2" t="s">
        <v>10085</v>
      </c>
    </row>
    <row r="5571" spans="1:11" x14ac:dyDescent="0.2">
      <c r="A5571" s="2">
        <v>1394</v>
      </c>
      <c r="B5571" s="2">
        <v>9</v>
      </c>
      <c r="C5571" s="2">
        <v>17990566</v>
      </c>
      <c r="D5571" s="2">
        <v>18754196</v>
      </c>
      <c r="E5571" s="2">
        <v>1</v>
      </c>
      <c r="F5571" s="2" t="s">
        <v>10086</v>
      </c>
      <c r="H5571" s="2">
        <v>1.5E-3</v>
      </c>
      <c r="K5571" s="2" t="s">
        <v>10087</v>
      </c>
    </row>
    <row r="5572" spans="1:11" x14ac:dyDescent="0.2">
      <c r="A5572" s="2">
        <v>1394</v>
      </c>
      <c r="B5572" s="2">
        <v>9</v>
      </c>
      <c r="C5572" s="2">
        <v>17990566</v>
      </c>
      <c r="D5572" s="2">
        <v>18754196</v>
      </c>
      <c r="E5572" s="2">
        <v>2</v>
      </c>
      <c r="F5572" s="2" t="s">
        <v>10086</v>
      </c>
      <c r="H5572" s="2">
        <v>1.4E-3</v>
      </c>
      <c r="K5572" s="2" t="s">
        <v>10085</v>
      </c>
    </row>
    <row r="5573" spans="1:11" x14ac:dyDescent="0.2">
      <c r="A5573" s="2">
        <v>1394</v>
      </c>
      <c r="B5573" s="2">
        <v>9</v>
      </c>
      <c r="C5573" s="2">
        <v>17990566</v>
      </c>
      <c r="D5573" s="2">
        <v>18754196</v>
      </c>
      <c r="E5573" s="2">
        <v>3</v>
      </c>
      <c r="F5573" s="2" t="s">
        <v>10086</v>
      </c>
      <c r="H5573" s="3">
        <v>8.0000000000000004E-4</v>
      </c>
      <c r="K5573" s="2" t="s">
        <v>10089</v>
      </c>
    </row>
    <row r="5574" spans="1:11" x14ac:dyDescent="0.2">
      <c r="A5574" s="2">
        <v>1394</v>
      </c>
      <c r="B5574" s="2">
        <v>9</v>
      </c>
      <c r="C5574" s="2">
        <v>17990566</v>
      </c>
      <c r="D5574" s="2">
        <v>18754196</v>
      </c>
      <c r="E5574" s="2">
        <v>4</v>
      </c>
      <c r="F5574" s="2" t="s">
        <v>10086</v>
      </c>
      <c r="H5574" s="3">
        <v>5.0000000000000001E-4</v>
      </c>
      <c r="K5574" s="2" t="s">
        <v>10088</v>
      </c>
    </row>
    <row r="5575" spans="1:11" x14ac:dyDescent="0.2">
      <c r="A5575" s="2">
        <v>1395</v>
      </c>
      <c r="B5575" s="2">
        <v>9</v>
      </c>
      <c r="C5575" s="2">
        <v>18754197</v>
      </c>
      <c r="D5575" s="2">
        <v>19463292</v>
      </c>
      <c r="E5575" s="2">
        <v>1</v>
      </c>
      <c r="F5575" s="2" t="s">
        <v>10086</v>
      </c>
      <c r="H5575" s="2">
        <v>1.9E-3</v>
      </c>
      <c r="K5575" s="2" t="s">
        <v>10085</v>
      </c>
    </row>
    <row r="5576" spans="1:11" x14ac:dyDescent="0.2">
      <c r="A5576" s="2">
        <v>1395</v>
      </c>
      <c r="B5576" s="2">
        <v>9</v>
      </c>
      <c r="C5576" s="2">
        <v>18754197</v>
      </c>
      <c r="D5576" s="2">
        <v>19463292</v>
      </c>
      <c r="E5576" s="2">
        <v>2</v>
      </c>
      <c r="F5576" s="2" t="s">
        <v>10086</v>
      </c>
      <c r="H5576" s="2">
        <v>1.6000000000000001E-3</v>
      </c>
      <c r="K5576" s="2" t="s">
        <v>10089</v>
      </c>
    </row>
    <row r="5577" spans="1:11" x14ac:dyDescent="0.2">
      <c r="A5577" s="2">
        <v>1395</v>
      </c>
      <c r="B5577" s="2">
        <v>9</v>
      </c>
      <c r="C5577" s="2">
        <v>18754197</v>
      </c>
      <c r="D5577" s="2">
        <v>19463292</v>
      </c>
      <c r="E5577" s="2">
        <v>3</v>
      </c>
      <c r="F5577" s="2" t="s">
        <v>10086</v>
      </c>
      <c r="H5577" s="3">
        <v>8.0000000000000004E-4</v>
      </c>
      <c r="K5577" s="2" t="s">
        <v>10088</v>
      </c>
    </row>
    <row r="5578" spans="1:11" x14ac:dyDescent="0.2">
      <c r="A5578" s="2">
        <v>1395</v>
      </c>
      <c r="B5578" s="2">
        <v>9</v>
      </c>
      <c r="C5578" s="2">
        <v>18754197</v>
      </c>
      <c r="D5578" s="2">
        <v>19463292</v>
      </c>
      <c r="E5578" s="2">
        <v>4</v>
      </c>
      <c r="F5578" s="2" t="s">
        <v>10086</v>
      </c>
      <c r="H5578" s="3">
        <v>6.9999999999999999E-4</v>
      </c>
      <c r="K5578" s="2" t="s">
        <v>12324</v>
      </c>
    </row>
    <row r="5579" spans="1:11" x14ac:dyDescent="0.2">
      <c r="A5579" s="2">
        <v>1396</v>
      </c>
      <c r="B5579" s="2">
        <v>9</v>
      </c>
      <c r="C5579" s="2">
        <v>19463293</v>
      </c>
      <c r="D5579" s="2">
        <v>20483880</v>
      </c>
      <c r="E5579" s="2">
        <v>1</v>
      </c>
      <c r="F5579" s="2" t="s">
        <v>10086</v>
      </c>
      <c r="H5579" s="2">
        <v>1E-3</v>
      </c>
      <c r="K5579" s="2" t="s">
        <v>10085</v>
      </c>
    </row>
    <row r="5580" spans="1:11" x14ac:dyDescent="0.2">
      <c r="A5580" s="2">
        <v>1396</v>
      </c>
      <c r="B5580" s="2">
        <v>9</v>
      </c>
      <c r="C5580" s="2">
        <v>19463293</v>
      </c>
      <c r="D5580" s="2">
        <v>20483880</v>
      </c>
      <c r="E5580" s="2">
        <v>2</v>
      </c>
      <c r="F5580" s="2" t="s">
        <v>10086</v>
      </c>
      <c r="H5580" s="2">
        <v>1.5E-3</v>
      </c>
      <c r="K5580" s="2" t="s">
        <v>10088</v>
      </c>
    </row>
    <row r="5581" spans="1:11" x14ac:dyDescent="0.2">
      <c r="A5581" s="2">
        <v>1396</v>
      </c>
      <c r="B5581" s="2">
        <v>9</v>
      </c>
      <c r="C5581" s="2">
        <v>19463293</v>
      </c>
      <c r="D5581" s="2">
        <v>20483880</v>
      </c>
      <c r="E5581" s="2">
        <v>3</v>
      </c>
      <c r="F5581" s="2" t="s">
        <v>10086</v>
      </c>
      <c r="H5581" s="3">
        <v>8.0000000000000004E-4</v>
      </c>
      <c r="K5581" s="2" t="s">
        <v>10089</v>
      </c>
    </row>
    <row r="5582" spans="1:11" x14ac:dyDescent="0.2">
      <c r="A5582" s="2">
        <v>1396</v>
      </c>
      <c r="B5582" s="2">
        <v>9</v>
      </c>
      <c r="C5582" s="2">
        <v>19463293</v>
      </c>
      <c r="D5582" s="2">
        <v>20483880</v>
      </c>
      <c r="E5582" s="2">
        <v>4</v>
      </c>
      <c r="F5582" s="2" t="s">
        <v>10086</v>
      </c>
      <c r="H5582" s="3">
        <v>4.0000000000000002E-4</v>
      </c>
      <c r="K5582" s="2" t="s">
        <v>10087</v>
      </c>
    </row>
    <row r="5583" spans="1:11" x14ac:dyDescent="0.2">
      <c r="A5583" s="2">
        <v>1397</v>
      </c>
      <c r="B5583" s="2">
        <v>9</v>
      </c>
      <c r="C5583" s="2">
        <v>20483881</v>
      </c>
      <c r="D5583" s="2">
        <v>21674032</v>
      </c>
      <c r="E5583" s="2">
        <v>1</v>
      </c>
      <c r="F5583" s="2" t="s">
        <v>10086</v>
      </c>
      <c r="H5583" s="2">
        <v>2E-3</v>
      </c>
      <c r="K5583" s="2" t="s">
        <v>12324</v>
      </c>
    </row>
    <row r="5584" spans="1:11" x14ac:dyDescent="0.2">
      <c r="A5584" s="2">
        <v>1397</v>
      </c>
      <c r="B5584" s="2">
        <v>9</v>
      </c>
      <c r="C5584" s="2">
        <v>20483881</v>
      </c>
      <c r="D5584" s="2">
        <v>21674032</v>
      </c>
      <c r="E5584" s="2">
        <v>2</v>
      </c>
      <c r="F5584" s="2" t="s">
        <v>10086</v>
      </c>
      <c r="H5584" s="2">
        <v>2.3E-3</v>
      </c>
      <c r="K5584" s="2" t="s">
        <v>10087</v>
      </c>
    </row>
    <row r="5585" spans="1:11" x14ac:dyDescent="0.2">
      <c r="A5585" s="2">
        <v>1397</v>
      </c>
      <c r="B5585" s="2">
        <v>9</v>
      </c>
      <c r="C5585" s="2">
        <v>20483881</v>
      </c>
      <c r="D5585" s="2">
        <v>21674032</v>
      </c>
      <c r="E5585" s="2">
        <v>3</v>
      </c>
      <c r="F5585" s="2" t="s">
        <v>10086</v>
      </c>
      <c r="H5585" s="2">
        <v>1.6999999999999999E-3</v>
      </c>
      <c r="K5585" s="2" t="s">
        <v>10088</v>
      </c>
    </row>
    <row r="5586" spans="1:11" x14ac:dyDescent="0.2">
      <c r="A5586" s="2">
        <v>1397</v>
      </c>
      <c r="B5586" s="2">
        <v>9</v>
      </c>
      <c r="C5586" s="2">
        <v>20483881</v>
      </c>
      <c r="D5586" s="2">
        <v>21674032</v>
      </c>
      <c r="E5586" s="2">
        <v>4</v>
      </c>
      <c r="F5586" s="2" t="s">
        <v>10086</v>
      </c>
      <c r="H5586" s="3">
        <v>8.0000000000000004E-4</v>
      </c>
      <c r="K5586" s="2" t="s">
        <v>10089</v>
      </c>
    </row>
    <row r="5587" spans="1:11" x14ac:dyDescent="0.2">
      <c r="A5587" s="2">
        <v>1398</v>
      </c>
      <c r="B5587" s="2">
        <v>9</v>
      </c>
      <c r="C5587" s="2">
        <v>21674033</v>
      </c>
      <c r="D5587" s="2">
        <v>23091193</v>
      </c>
      <c r="E5587" s="2">
        <v>1</v>
      </c>
      <c r="F5587" s="2" t="s">
        <v>10086</v>
      </c>
      <c r="H5587" s="2">
        <v>2.3999999999999998E-3</v>
      </c>
      <c r="K5587" s="2" t="s">
        <v>10089</v>
      </c>
    </row>
    <row r="5588" spans="1:11" x14ac:dyDescent="0.2">
      <c r="A5588" s="2">
        <v>1398</v>
      </c>
      <c r="B5588" s="2">
        <v>9</v>
      </c>
      <c r="C5588" s="2">
        <v>21674033</v>
      </c>
      <c r="D5588" s="2">
        <v>23091193</v>
      </c>
      <c r="E5588" s="2">
        <v>2</v>
      </c>
      <c r="F5588" s="2" t="s">
        <v>10086</v>
      </c>
      <c r="H5588" s="2">
        <v>1.6000000000000001E-3</v>
      </c>
      <c r="K5588" s="2" t="s">
        <v>10087</v>
      </c>
    </row>
    <row r="5589" spans="1:11" x14ac:dyDescent="0.2">
      <c r="A5589" s="2">
        <v>1398</v>
      </c>
      <c r="B5589" s="2">
        <v>9</v>
      </c>
      <c r="C5589" s="2">
        <v>21674033</v>
      </c>
      <c r="D5589" s="2">
        <v>23091193</v>
      </c>
      <c r="E5589" s="2">
        <v>3</v>
      </c>
      <c r="F5589" s="2" t="s">
        <v>10086</v>
      </c>
      <c r="H5589" s="2">
        <v>1.1999999999999999E-3</v>
      </c>
      <c r="K5589" s="2" t="s">
        <v>10085</v>
      </c>
    </row>
    <row r="5590" spans="1:11" x14ac:dyDescent="0.2">
      <c r="A5590" s="2">
        <v>1398</v>
      </c>
      <c r="B5590" s="2">
        <v>9</v>
      </c>
      <c r="C5590" s="2">
        <v>21674033</v>
      </c>
      <c r="D5590" s="2">
        <v>23091193</v>
      </c>
      <c r="E5590" s="2">
        <v>4</v>
      </c>
      <c r="F5590" s="2" t="s">
        <v>10086</v>
      </c>
      <c r="H5590" s="3">
        <v>5.9999999999999995E-4</v>
      </c>
      <c r="K5590" s="2" t="s">
        <v>10088</v>
      </c>
    </row>
    <row r="5591" spans="1:11" x14ac:dyDescent="0.2">
      <c r="A5591" s="2">
        <v>1399</v>
      </c>
      <c r="B5591" s="2">
        <v>9</v>
      </c>
      <c r="C5591" s="2">
        <v>23091194</v>
      </c>
      <c r="D5591" s="2">
        <v>23859374</v>
      </c>
      <c r="E5591" s="2">
        <v>1</v>
      </c>
      <c r="F5591" s="2" t="s">
        <v>10086</v>
      </c>
      <c r="H5591" s="2">
        <v>1.1000000000000001E-3</v>
      </c>
      <c r="K5591" s="2" t="s">
        <v>10089</v>
      </c>
    </row>
    <row r="5592" spans="1:11" x14ac:dyDescent="0.2">
      <c r="A5592" s="2">
        <v>1399</v>
      </c>
      <c r="B5592" s="2">
        <v>9</v>
      </c>
      <c r="C5592" s="2">
        <v>23091194</v>
      </c>
      <c r="D5592" s="2">
        <v>23859374</v>
      </c>
      <c r="E5592" s="2">
        <v>2</v>
      </c>
      <c r="F5592" s="2" t="s">
        <v>10086</v>
      </c>
      <c r="H5592" s="2">
        <v>1E-3</v>
      </c>
      <c r="K5592" s="2" t="s">
        <v>10087</v>
      </c>
    </row>
    <row r="5593" spans="1:11" x14ac:dyDescent="0.2">
      <c r="A5593" s="2">
        <v>1399</v>
      </c>
      <c r="B5593" s="2">
        <v>9</v>
      </c>
      <c r="C5593" s="2">
        <v>23091194</v>
      </c>
      <c r="D5593" s="2">
        <v>23859374</v>
      </c>
      <c r="E5593" s="2">
        <v>3</v>
      </c>
      <c r="F5593" s="2" t="s">
        <v>10086</v>
      </c>
      <c r="H5593" s="3">
        <v>8.0000000000000004E-4</v>
      </c>
      <c r="K5593" s="2" t="s">
        <v>10088</v>
      </c>
    </row>
    <row r="5594" spans="1:11" x14ac:dyDescent="0.2">
      <c r="A5594" s="2">
        <v>1399</v>
      </c>
      <c r="B5594" s="2">
        <v>9</v>
      </c>
      <c r="C5594" s="2">
        <v>23091194</v>
      </c>
      <c r="D5594" s="2">
        <v>23859374</v>
      </c>
      <c r="E5594" s="2">
        <v>4</v>
      </c>
      <c r="F5594" s="2" t="s">
        <v>10086</v>
      </c>
      <c r="H5594" s="3">
        <v>4.0000000000000002E-4</v>
      </c>
      <c r="K5594" s="2" t="s">
        <v>10085</v>
      </c>
    </row>
    <row r="5595" spans="1:11" x14ac:dyDescent="0.2">
      <c r="A5595" s="2">
        <v>1400</v>
      </c>
      <c r="B5595" s="2">
        <v>9</v>
      </c>
      <c r="C5595" s="2">
        <v>23859375</v>
      </c>
      <c r="D5595" s="2">
        <v>24757729</v>
      </c>
      <c r="E5595" s="2">
        <v>1</v>
      </c>
      <c r="F5595" s="2" t="s">
        <v>10086</v>
      </c>
      <c r="H5595" s="2">
        <v>1.1999999999999999E-3</v>
      </c>
      <c r="K5595" s="2" t="s">
        <v>10085</v>
      </c>
    </row>
    <row r="5596" spans="1:11" x14ac:dyDescent="0.2">
      <c r="A5596" s="2">
        <v>1400</v>
      </c>
      <c r="B5596" s="2">
        <v>9</v>
      </c>
      <c r="C5596" s="2">
        <v>23859375</v>
      </c>
      <c r="D5596" s="2">
        <v>24757729</v>
      </c>
      <c r="E5596" s="2">
        <v>2</v>
      </c>
      <c r="F5596" s="2" t="s">
        <v>10086</v>
      </c>
      <c r="H5596" s="2">
        <v>1.9E-3</v>
      </c>
      <c r="K5596" s="2" t="s">
        <v>10088</v>
      </c>
    </row>
    <row r="5597" spans="1:11" x14ac:dyDescent="0.2">
      <c r="A5597" s="2">
        <v>1400</v>
      </c>
      <c r="B5597" s="2">
        <v>9</v>
      </c>
      <c r="C5597" s="2">
        <v>23859375</v>
      </c>
      <c r="D5597" s="2">
        <v>24757729</v>
      </c>
      <c r="E5597" s="2">
        <v>3</v>
      </c>
      <c r="F5597" s="2" t="s">
        <v>10086</v>
      </c>
      <c r="H5597" s="2">
        <v>1.5E-3</v>
      </c>
      <c r="K5597" s="2" t="s">
        <v>10089</v>
      </c>
    </row>
    <row r="5598" spans="1:11" x14ac:dyDescent="0.2">
      <c r="A5598" s="2">
        <v>1400</v>
      </c>
      <c r="B5598" s="2">
        <v>9</v>
      </c>
      <c r="C5598" s="2">
        <v>23859375</v>
      </c>
      <c r="D5598" s="2">
        <v>24757729</v>
      </c>
      <c r="E5598" s="2">
        <v>4</v>
      </c>
      <c r="F5598" s="2" t="s">
        <v>10086</v>
      </c>
      <c r="H5598" s="3">
        <v>6.9999999999999999E-4</v>
      </c>
      <c r="K5598" s="2" t="s">
        <v>10087</v>
      </c>
    </row>
    <row r="5599" spans="1:11" x14ac:dyDescent="0.2">
      <c r="A5599" s="2">
        <v>1401</v>
      </c>
      <c r="B5599" s="2">
        <v>9</v>
      </c>
      <c r="C5599" s="2">
        <v>24757730</v>
      </c>
      <c r="D5599" s="2">
        <v>25957606</v>
      </c>
      <c r="E5599" s="2">
        <v>1</v>
      </c>
      <c r="F5599" s="2" t="s">
        <v>10086</v>
      </c>
      <c r="H5599" s="2">
        <v>4.5999999999999999E-3</v>
      </c>
      <c r="K5599" s="2" t="s">
        <v>10087</v>
      </c>
    </row>
    <row r="5600" spans="1:11" x14ac:dyDescent="0.2">
      <c r="A5600" s="2">
        <v>1401</v>
      </c>
      <c r="B5600" s="2">
        <v>9</v>
      </c>
      <c r="C5600" s="2">
        <v>24757730</v>
      </c>
      <c r="D5600" s="2">
        <v>25957606</v>
      </c>
      <c r="E5600" s="2">
        <v>2</v>
      </c>
      <c r="F5600" s="2" t="s">
        <v>10086</v>
      </c>
      <c r="H5600" s="2">
        <v>1.8E-3</v>
      </c>
      <c r="K5600" s="2" t="s">
        <v>10088</v>
      </c>
    </row>
    <row r="5601" spans="1:11" x14ac:dyDescent="0.2">
      <c r="A5601" s="2">
        <v>1401</v>
      </c>
      <c r="B5601" s="2">
        <v>9</v>
      </c>
      <c r="C5601" s="2">
        <v>24757730</v>
      </c>
      <c r="D5601" s="2">
        <v>25957606</v>
      </c>
      <c r="E5601" s="2">
        <v>3</v>
      </c>
      <c r="F5601" s="2" t="s">
        <v>10086</v>
      </c>
      <c r="H5601" s="2">
        <v>1.2999999999999999E-3</v>
      </c>
      <c r="K5601" s="2" t="s">
        <v>10089</v>
      </c>
    </row>
    <row r="5602" spans="1:11" x14ac:dyDescent="0.2">
      <c r="A5602" s="2">
        <v>1401</v>
      </c>
      <c r="B5602" s="2">
        <v>9</v>
      </c>
      <c r="C5602" s="2">
        <v>24757730</v>
      </c>
      <c r="D5602" s="2">
        <v>25957606</v>
      </c>
      <c r="E5602" s="2">
        <v>4</v>
      </c>
      <c r="F5602" s="2" t="s">
        <v>10086</v>
      </c>
      <c r="H5602" s="3">
        <v>8.0000000000000004E-4</v>
      </c>
      <c r="K5602" s="2" t="s">
        <v>10085</v>
      </c>
    </row>
    <row r="5603" spans="1:11" x14ac:dyDescent="0.2">
      <c r="A5603" s="2">
        <v>1402</v>
      </c>
      <c r="B5603" s="2">
        <v>9</v>
      </c>
      <c r="C5603" s="2">
        <v>25957607</v>
      </c>
      <c r="D5603" s="2">
        <v>26747214</v>
      </c>
      <c r="E5603" s="2">
        <v>1</v>
      </c>
      <c r="F5603" s="2" t="s">
        <v>10086</v>
      </c>
      <c r="H5603" s="2">
        <v>4.4999999999999997E-3</v>
      </c>
      <c r="K5603" s="2" t="s">
        <v>10085</v>
      </c>
    </row>
    <row r="5604" spans="1:11" x14ac:dyDescent="0.2">
      <c r="A5604" s="2">
        <v>1402</v>
      </c>
      <c r="B5604" s="2">
        <v>9</v>
      </c>
      <c r="C5604" s="2">
        <v>25957607</v>
      </c>
      <c r="D5604" s="2">
        <v>26747214</v>
      </c>
      <c r="E5604" s="2">
        <v>2</v>
      </c>
      <c r="F5604" s="2" t="s">
        <v>10086</v>
      </c>
      <c r="H5604" s="2">
        <v>1.8E-3</v>
      </c>
      <c r="K5604" s="2" t="s">
        <v>10089</v>
      </c>
    </row>
    <row r="5605" spans="1:11" x14ac:dyDescent="0.2">
      <c r="A5605" s="2">
        <v>1402</v>
      </c>
      <c r="B5605" s="2">
        <v>9</v>
      </c>
      <c r="C5605" s="2">
        <v>25957607</v>
      </c>
      <c r="D5605" s="2">
        <v>26747214</v>
      </c>
      <c r="E5605" s="2">
        <v>3</v>
      </c>
      <c r="F5605" s="2" t="s">
        <v>10086</v>
      </c>
      <c r="H5605" s="2">
        <v>1.1999999999999999E-3</v>
      </c>
      <c r="K5605" s="2" t="s">
        <v>10088</v>
      </c>
    </row>
    <row r="5606" spans="1:11" x14ac:dyDescent="0.2">
      <c r="A5606" s="2">
        <v>1402</v>
      </c>
      <c r="B5606" s="2">
        <v>9</v>
      </c>
      <c r="C5606" s="2">
        <v>25957607</v>
      </c>
      <c r="D5606" s="2">
        <v>26747214</v>
      </c>
      <c r="E5606" s="2">
        <v>4</v>
      </c>
      <c r="F5606" s="2" t="s">
        <v>10086</v>
      </c>
      <c r="H5606" s="3">
        <v>2.9999999999999997E-4</v>
      </c>
      <c r="K5606" s="2" t="s">
        <v>10087</v>
      </c>
    </row>
    <row r="5607" spans="1:11" x14ac:dyDescent="0.2">
      <c r="A5607" s="2">
        <v>1403</v>
      </c>
      <c r="B5607" s="2">
        <v>9</v>
      </c>
      <c r="C5607" s="2">
        <v>26747215</v>
      </c>
      <c r="D5607" s="2">
        <v>27366479</v>
      </c>
      <c r="E5607" s="2">
        <v>1</v>
      </c>
      <c r="F5607" s="2" t="s">
        <v>10086</v>
      </c>
      <c r="H5607" s="2">
        <v>1.2999999999999999E-3</v>
      </c>
      <c r="K5607" s="2" t="s">
        <v>10088</v>
      </c>
    </row>
    <row r="5608" spans="1:11" x14ac:dyDescent="0.2">
      <c r="A5608" s="2">
        <v>1403</v>
      </c>
      <c r="B5608" s="2">
        <v>9</v>
      </c>
      <c r="C5608" s="2">
        <v>26747215</v>
      </c>
      <c r="D5608" s="2">
        <v>27366479</v>
      </c>
      <c r="E5608" s="2">
        <v>2</v>
      </c>
      <c r="F5608" s="2" t="s">
        <v>10086</v>
      </c>
      <c r="H5608" s="2">
        <v>1.1000000000000001E-3</v>
      </c>
      <c r="K5608" s="2" t="s">
        <v>10085</v>
      </c>
    </row>
    <row r="5609" spans="1:11" x14ac:dyDescent="0.2">
      <c r="A5609" s="2">
        <v>1403</v>
      </c>
      <c r="B5609" s="2">
        <v>9</v>
      </c>
      <c r="C5609" s="2">
        <v>26747215</v>
      </c>
      <c r="D5609" s="2">
        <v>27366479</v>
      </c>
      <c r="E5609" s="2">
        <v>3</v>
      </c>
      <c r="F5609" s="2" t="s">
        <v>10086</v>
      </c>
      <c r="H5609" s="3">
        <v>5.9999999999999995E-4</v>
      </c>
      <c r="K5609" s="2" t="s">
        <v>10087</v>
      </c>
    </row>
    <row r="5610" spans="1:11" x14ac:dyDescent="0.2">
      <c r="A5610" s="2">
        <v>1403</v>
      </c>
      <c r="B5610" s="2">
        <v>9</v>
      </c>
      <c r="C5610" s="2">
        <v>26747215</v>
      </c>
      <c r="D5610" s="2">
        <v>27366479</v>
      </c>
      <c r="E5610" s="2">
        <v>4</v>
      </c>
      <c r="F5610" s="2" t="s">
        <v>10086</v>
      </c>
      <c r="H5610" s="3">
        <v>2.0000000000000001E-4</v>
      </c>
      <c r="K5610" s="2" t="s">
        <v>10089</v>
      </c>
    </row>
    <row r="5611" spans="1:11" x14ac:dyDescent="0.2">
      <c r="A5611" s="2">
        <v>1404</v>
      </c>
      <c r="B5611" s="2">
        <v>9</v>
      </c>
      <c r="C5611" s="2">
        <v>27366480</v>
      </c>
      <c r="D5611" s="2">
        <v>28067454</v>
      </c>
      <c r="E5611" s="2">
        <v>1</v>
      </c>
      <c r="F5611" s="2" t="s">
        <v>10086</v>
      </c>
      <c r="H5611" s="2">
        <v>1.1999999999999999E-3</v>
      </c>
      <c r="K5611" s="2" t="s">
        <v>10087</v>
      </c>
    </row>
    <row r="5612" spans="1:11" x14ac:dyDescent="0.2">
      <c r="A5612" s="2">
        <v>1404</v>
      </c>
      <c r="B5612" s="2">
        <v>9</v>
      </c>
      <c r="C5612" s="2">
        <v>27366480</v>
      </c>
      <c r="D5612" s="2">
        <v>28067454</v>
      </c>
      <c r="E5612" s="2">
        <v>2</v>
      </c>
      <c r="F5612" s="2" t="s">
        <v>10086</v>
      </c>
      <c r="H5612" s="3">
        <v>8.9999999999999998E-4</v>
      </c>
      <c r="K5612" s="2" t="s">
        <v>10089</v>
      </c>
    </row>
    <row r="5613" spans="1:11" x14ac:dyDescent="0.2">
      <c r="A5613" s="2">
        <v>1404</v>
      </c>
      <c r="B5613" s="2">
        <v>9</v>
      </c>
      <c r="C5613" s="2">
        <v>27366480</v>
      </c>
      <c r="D5613" s="2">
        <v>28067454</v>
      </c>
      <c r="E5613" s="2">
        <v>3</v>
      </c>
      <c r="F5613" s="2" t="s">
        <v>10086</v>
      </c>
      <c r="H5613" s="3">
        <v>6.9999999999999999E-4</v>
      </c>
      <c r="K5613" s="2" t="s">
        <v>10088</v>
      </c>
    </row>
    <row r="5614" spans="1:11" x14ac:dyDescent="0.2">
      <c r="A5614" s="2">
        <v>1404</v>
      </c>
      <c r="B5614" s="2">
        <v>9</v>
      </c>
      <c r="C5614" s="2">
        <v>27366480</v>
      </c>
      <c r="D5614" s="2">
        <v>28067454</v>
      </c>
      <c r="E5614" s="2">
        <v>4</v>
      </c>
      <c r="F5614" s="2" t="s">
        <v>10086</v>
      </c>
      <c r="H5614" s="3">
        <v>5.0000000000000001E-4</v>
      </c>
      <c r="K5614" s="2" t="s">
        <v>10085</v>
      </c>
    </row>
    <row r="5615" spans="1:11" x14ac:dyDescent="0.2">
      <c r="A5615" s="2">
        <v>1405</v>
      </c>
      <c r="B5615" s="2">
        <v>9</v>
      </c>
      <c r="C5615" s="2">
        <v>28067455</v>
      </c>
      <c r="D5615" s="2">
        <v>28766060</v>
      </c>
      <c r="E5615" s="2">
        <v>1</v>
      </c>
      <c r="F5615" s="2" t="s">
        <v>10086</v>
      </c>
      <c r="H5615" s="3">
        <v>8.0000000000000004E-4</v>
      </c>
      <c r="K5615" s="2" t="s">
        <v>10085</v>
      </c>
    </row>
    <row r="5616" spans="1:11" x14ac:dyDescent="0.2">
      <c r="A5616" s="2">
        <v>1405</v>
      </c>
      <c r="B5616" s="2">
        <v>9</v>
      </c>
      <c r="C5616" s="2">
        <v>28067455</v>
      </c>
      <c r="D5616" s="2">
        <v>28766060</v>
      </c>
      <c r="E5616" s="2">
        <v>2</v>
      </c>
      <c r="F5616" s="2" t="s">
        <v>10086</v>
      </c>
      <c r="H5616" s="3">
        <v>8.9999999999999998E-4</v>
      </c>
      <c r="K5616" s="2" t="s">
        <v>10089</v>
      </c>
    </row>
    <row r="5617" spans="1:11" x14ac:dyDescent="0.2">
      <c r="A5617" s="2">
        <v>1405</v>
      </c>
      <c r="B5617" s="2">
        <v>9</v>
      </c>
      <c r="C5617" s="2">
        <v>28067455</v>
      </c>
      <c r="D5617" s="2">
        <v>28766060</v>
      </c>
      <c r="E5617" s="2">
        <v>3</v>
      </c>
      <c r="F5617" s="2" t="s">
        <v>10086</v>
      </c>
      <c r="H5617" s="3">
        <v>6.9999999999999999E-4</v>
      </c>
      <c r="K5617" s="2" t="s">
        <v>10087</v>
      </c>
    </row>
    <row r="5618" spans="1:11" x14ac:dyDescent="0.2">
      <c r="A5618" s="2">
        <v>1405</v>
      </c>
      <c r="B5618" s="2">
        <v>9</v>
      </c>
      <c r="C5618" s="2">
        <v>28067455</v>
      </c>
      <c r="D5618" s="2">
        <v>28766060</v>
      </c>
      <c r="E5618" s="2">
        <v>4</v>
      </c>
      <c r="F5618" s="2" t="s">
        <v>10086</v>
      </c>
      <c r="H5618" s="3">
        <v>2.0000000000000001E-4</v>
      </c>
      <c r="K5618" s="2" t="s">
        <v>10088</v>
      </c>
    </row>
    <row r="5619" spans="1:11" x14ac:dyDescent="0.2">
      <c r="A5619" s="2">
        <v>1406</v>
      </c>
      <c r="B5619" s="2">
        <v>9</v>
      </c>
      <c r="C5619" s="2">
        <v>28766061</v>
      </c>
      <c r="D5619" s="2">
        <v>29596501</v>
      </c>
      <c r="E5619" s="2">
        <v>1</v>
      </c>
      <c r="F5619" s="2" t="s">
        <v>10086</v>
      </c>
      <c r="H5619" s="2">
        <v>1.2999999999999999E-3</v>
      </c>
      <c r="K5619" s="2" t="s">
        <v>10089</v>
      </c>
    </row>
    <row r="5620" spans="1:11" x14ac:dyDescent="0.2">
      <c r="A5620" s="2">
        <v>1406</v>
      </c>
      <c r="B5620" s="2">
        <v>9</v>
      </c>
      <c r="C5620" s="2">
        <v>28766061</v>
      </c>
      <c r="D5620" s="2">
        <v>29596501</v>
      </c>
      <c r="E5620" s="2">
        <v>2</v>
      </c>
      <c r="F5620" s="2" t="s">
        <v>10086</v>
      </c>
      <c r="H5620" s="2">
        <v>1.1999999999999999E-3</v>
      </c>
      <c r="K5620" s="2" t="s">
        <v>10088</v>
      </c>
    </row>
    <row r="5621" spans="1:11" x14ac:dyDescent="0.2">
      <c r="A5621" s="2">
        <v>1406</v>
      </c>
      <c r="B5621" s="2">
        <v>9</v>
      </c>
      <c r="C5621" s="2">
        <v>28766061</v>
      </c>
      <c r="D5621" s="2">
        <v>29596501</v>
      </c>
      <c r="E5621" s="2">
        <v>3</v>
      </c>
      <c r="F5621" s="2" t="s">
        <v>10086</v>
      </c>
      <c r="H5621" s="3">
        <v>8.0000000000000004E-4</v>
      </c>
      <c r="K5621" s="2" t="s">
        <v>10087</v>
      </c>
    </row>
    <row r="5622" spans="1:11" x14ac:dyDescent="0.2">
      <c r="A5622" s="2">
        <v>1406</v>
      </c>
      <c r="B5622" s="2">
        <v>9</v>
      </c>
      <c r="C5622" s="2">
        <v>28766061</v>
      </c>
      <c r="D5622" s="2">
        <v>29596501</v>
      </c>
      <c r="E5622" s="2">
        <v>4</v>
      </c>
      <c r="F5622" s="2" t="s">
        <v>10086</v>
      </c>
      <c r="H5622" s="3">
        <v>2.9999999999999997E-4</v>
      </c>
      <c r="K5622" s="2" t="s">
        <v>10085</v>
      </c>
    </row>
    <row r="5623" spans="1:11" x14ac:dyDescent="0.2">
      <c r="A5623" s="2">
        <v>1407</v>
      </c>
      <c r="B5623" s="2">
        <v>9</v>
      </c>
      <c r="C5623" s="2">
        <v>29596502</v>
      </c>
      <c r="D5623" s="2">
        <v>30410078</v>
      </c>
      <c r="E5623" s="2">
        <v>1</v>
      </c>
      <c r="F5623" s="2" t="s">
        <v>10086</v>
      </c>
      <c r="H5623" s="2">
        <v>4.7999999999999996E-3</v>
      </c>
      <c r="K5623" s="2" t="s">
        <v>10088</v>
      </c>
    </row>
    <row r="5624" spans="1:11" x14ac:dyDescent="0.2">
      <c r="A5624" s="2">
        <v>1407</v>
      </c>
      <c r="B5624" s="2">
        <v>9</v>
      </c>
      <c r="C5624" s="2">
        <v>29596502</v>
      </c>
      <c r="D5624" s="2">
        <v>30410078</v>
      </c>
      <c r="E5624" s="2">
        <v>2</v>
      </c>
      <c r="F5624" s="2" t="s">
        <v>10086</v>
      </c>
      <c r="H5624" s="2">
        <v>1.4E-3</v>
      </c>
      <c r="K5624" s="2" t="s">
        <v>10089</v>
      </c>
    </row>
    <row r="5625" spans="1:11" x14ac:dyDescent="0.2">
      <c r="A5625" s="2">
        <v>1407</v>
      </c>
      <c r="B5625" s="2">
        <v>9</v>
      </c>
      <c r="C5625" s="2">
        <v>29596502</v>
      </c>
      <c r="D5625" s="2">
        <v>30410078</v>
      </c>
      <c r="E5625" s="2">
        <v>3</v>
      </c>
      <c r="F5625" s="2" t="s">
        <v>10086</v>
      </c>
      <c r="H5625" s="3">
        <v>6.9999999999999999E-4</v>
      </c>
      <c r="K5625" s="2" t="s">
        <v>10085</v>
      </c>
    </row>
    <row r="5626" spans="1:11" x14ac:dyDescent="0.2">
      <c r="A5626" s="2">
        <v>1407</v>
      </c>
      <c r="B5626" s="2">
        <v>9</v>
      </c>
      <c r="C5626" s="2">
        <v>29596502</v>
      </c>
      <c r="D5626" s="2">
        <v>30410078</v>
      </c>
      <c r="E5626" s="2">
        <v>4</v>
      </c>
      <c r="F5626" s="2" t="s">
        <v>10086</v>
      </c>
      <c r="H5626" s="3">
        <v>2.9999999999999997E-4</v>
      </c>
      <c r="K5626" s="2" t="s">
        <v>10087</v>
      </c>
    </row>
    <row r="5627" spans="1:11" x14ac:dyDescent="0.2">
      <c r="A5627" s="2">
        <v>1408</v>
      </c>
      <c r="B5627" s="2">
        <v>9</v>
      </c>
      <c r="C5627" s="2">
        <v>30410079</v>
      </c>
      <c r="D5627" s="2">
        <v>31115153</v>
      </c>
      <c r="E5627" s="2">
        <v>1</v>
      </c>
      <c r="F5627" s="2" t="s">
        <v>10086</v>
      </c>
      <c r="H5627" s="2">
        <v>1.6999999999999999E-3</v>
      </c>
      <c r="K5627" s="2" t="s">
        <v>10089</v>
      </c>
    </row>
    <row r="5628" spans="1:11" x14ac:dyDescent="0.2">
      <c r="A5628" s="2">
        <v>1408</v>
      </c>
      <c r="B5628" s="2">
        <v>9</v>
      </c>
      <c r="C5628" s="2">
        <v>30410079</v>
      </c>
      <c r="D5628" s="2">
        <v>31115153</v>
      </c>
      <c r="E5628" s="2">
        <v>2</v>
      </c>
      <c r="F5628" s="2" t="s">
        <v>10086</v>
      </c>
      <c r="H5628" s="3">
        <v>8.9999999999999998E-4</v>
      </c>
      <c r="K5628" s="2" t="s">
        <v>10085</v>
      </c>
    </row>
    <row r="5629" spans="1:11" x14ac:dyDescent="0.2">
      <c r="A5629" s="2">
        <v>1408</v>
      </c>
      <c r="B5629" s="2">
        <v>9</v>
      </c>
      <c r="C5629" s="2">
        <v>30410079</v>
      </c>
      <c r="D5629" s="2">
        <v>31115153</v>
      </c>
      <c r="E5629" s="2">
        <v>3</v>
      </c>
      <c r="F5629" s="2" t="s">
        <v>10086</v>
      </c>
      <c r="H5629" s="3">
        <v>6.9999999999999999E-4</v>
      </c>
      <c r="K5629" s="2" t="s">
        <v>10088</v>
      </c>
    </row>
    <row r="5630" spans="1:11" x14ac:dyDescent="0.2">
      <c r="A5630" s="2">
        <v>1408</v>
      </c>
      <c r="B5630" s="2">
        <v>9</v>
      </c>
      <c r="C5630" s="2">
        <v>30410079</v>
      </c>
      <c r="D5630" s="2">
        <v>31115153</v>
      </c>
      <c r="E5630" s="2">
        <v>4</v>
      </c>
      <c r="F5630" s="2" t="s">
        <v>10086</v>
      </c>
      <c r="H5630" s="3">
        <v>4.0000000000000002E-4</v>
      </c>
      <c r="K5630" s="2" t="s">
        <v>10087</v>
      </c>
    </row>
    <row r="5631" spans="1:11" x14ac:dyDescent="0.2">
      <c r="A5631" s="2">
        <v>1409</v>
      </c>
      <c r="B5631" s="2">
        <v>9</v>
      </c>
      <c r="C5631" s="2">
        <v>31115154</v>
      </c>
      <c r="D5631" s="2">
        <v>32253283</v>
      </c>
      <c r="E5631" s="2">
        <v>1</v>
      </c>
      <c r="F5631" s="2" t="s">
        <v>10086</v>
      </c>
      <c r="H5631" s="2">
        <v>2.5999999999999999E-3</v>
      </c>
      <c r="K5631" s="2" t="s">
        <v>10088</v>
      </c>
    </row>
    <row r="5632" spans="1:11" x14ac:dyDescent="0.2">
      <c r="A5632" s="2">
        <v>1409</v>
      </c>
      <c r="B5632" s="2">
        <v>9</v>
      </c>
      <c r="C5632" s="2">
        <v>31115154</v>
      </c>
      <c r="D5632" s="2">
        <v>32253283</v>
      </c>
      <c r="E5632" s="2">
        <v>2</v>
      </c>
      <c r="F5632" s="2" t="s">
        <v>10086</v>
      </c>
      <c r="H5632" s="2">
        <v>2.3E-3</v>
      </c>
      <c r="K5632" s="2" t="s">
        <v>12324</v>
      </c>
    </row>
    <row r="5633" spans="1:11" x14ac:dyDescent="0.2">
      <c r="A5633" s="2">
        <v>1409</v>
      </c>
      <c r="B5633" s="2">
        <v>9</v>
      </c>
      <c r="C5633" s="2">
        <v>31115154</v>
      </c>
      <c r="D5633" s="2">
        <v>32253283</v>
      </c>
      <c r="E5633" s="2">
        <v>3</v>
      </c>
      <c r="F5633" s="2" t="s">
        <v>10086</v>
      </c>
      <c r="H5633" s="2">
        <v>1.1999999999999999E-3</v>
      </c>
      <c r="K5633" s="2" t="s">
        <v>10089</v>
      </c>
    </row>
    <row r="5634" spans="1:11" x14ac:dyDescent="0.2">
      <c r="A5634" s="2">
        <v>1409</v>
      </c>
      <c r="B5634" s="2">
        <v>9</v>
      </c>
      <c r="C5634" s="2">
        <v>31115154</v>
      </c>
      <c r="D5634" s="2">
        <v>32253283</v>
      </c>
      <c r="E5634" s="2">
        <v>4</v>
      </c>
      <c r="F5634" s="2" t="s">
        <v>10086</v>
      </c>
      <c r="H5634" s="3">
        <v>8.0000000000000004E-4</v>
      </c>
      <c r="K5634" s="2" t="s">
        <v>10087</v>
      </c>
    </row>
    <row r="5635" spans="1:11" x14ac:dyDescent="0.2">
      <c r="A5635" s="2">
        <v>1410</v>
      </c>
      <c r="B5635" s="2">
        <v>9</v>
      </c>
      <c r="C5635" s="2">
        <v>32253284</v>
      </c>
      <c r="D5635" s="2">
        <v>33194892</v>
      </c>
      <c r="E5635" s="2">
        <v>1</v>
      </c>
      <c r="F5635" s="2" t="s">
        <v>10086</v>
      </c>
      <c r="H5635" s="2">
        <v>2.8999999999999998E-3</v>
      </c>
      <c r="K5635" s="2" t="s">
        <v>10088</v>
      </c>
    </row>
    <row r="5636" spans="1:11" x14ac:dyDescent="0.2">
      <c r="A5636" s="2">
        <v>1410</v>
      </c>
      <c r="B5636" s="2">
        <v>9</v>
      </c>
      <c r="C5636" s="2">
        <v>32253284</v>
      </c>
      <c r="D5636" s="2">
        <v>33194892</v>
      </c>
      <c r="E5636" s="2">
        <v>2</v>
      </c>
      <c r="F5636" s="2" t="s">
        <v>10086</v>
      </c>
      <c r="H5636" s="2">
        <v>2.5999999999999999E-3</v>
      </c>
      <c r="K5636" s="2" t="s">
        <v>12324</v>
      </c>
    </row>
    <row r="5637" spans="1:11" x14ac:dyDescent="0.2">
      <c r="A5637" s="2">
        <v>1410</v>
      </c>
      <c r="B5637" s="2">
        <v>9</v>
      </c>
      <c r="C5637" s="2">
        <v>32253284</v>
      </c>
      <c r="D5637" s="2">
        <v>33194892</v>
      </c>
      <c r="E5637" s="2">
        <v>3</v>
      </c>
      <c r="F5637" s="2" t="s">
        <v>10086</v>
      </c>
      <c r="H5637" s="2">
        <v>1.2999999999999999E-3</v>
      </c>
      <c r="K5637" s="2" t="s">
        <v>10087</v>
      </c>
    </row>
    <row r="5638" spans="1:11" x14ac:dyDescent="0.2">
      <c r="A5638" s="2">
        <v>1410</v>
      </c>
      <c r="B5638" s="2">
        <v>9</v>
      </c>
      <c r="C5638" s="2">
        <v>32253284</v>
      </c>
      <c r="D5638" s="2">
        <v>33194892</v>
      </c>
      <c r="E5638" s="2">
        <v>4</v>
      </c>
      <c r="F5638" s="2" t="s">
        <v>10086</v>
      </c>
      <c r="H5638" s="2">
        <v>1E-3</v>
      </c>
      <c r="K5638" s="2" t="s">
        <v>10085</v>
      </c>
    </row>
    <row r="5639" spans="1:11" x14ac:dyDescent="0.2">
      <c r="A5639" s="2">
        <v>1411</v>
      </c>
      <c r="B5639" s="2">
        <v>9</v>
      </c>
      <c r="C5639" s="2">
        <v>33194893</v>
      </c>
      <c r="D5639" s="2">
        <v>34704544</v>
      </c>
      <c r="E5639" s="2">
        <v>1</v>
      </c>
      <c r="F5639" s="2" t="s">
        <v>10086</v>
      </c>
      <c r="H5639" s="2">
        <v>2E-3</v>
      </c>
      <c r="K5639" s="2" t="s">
        <v>10089</v>
      </c>
    </row>
    <row r="5640" spans="1:11" x14ac:dyDescent="0.2">
      <c r="A5640" s="2">
        <v>1411</v>
      </c>
      <c r="B5640" s="2">
        <v>9</v>
      </c>
      <c r="C5640" s="2">
        <v>33194893</v>
      </c>
      <c r="D5640" s="2">
        <v>34704544</v>
      </c>
      <c r="E5640" s="2">
        <v>2</v>
      </c>
      <c r="F5640" s="2" t="s">
        <v>10086</v>
      </c>
      <c r="H5640" s="2">
        <v>1.1000000000000001E-3</v>
      </c>
      <c r="K5640" s="2" t="s">
        <v>10088</v>
      </c>
    </row>
    <row r="5641" spans="1:11" x14ac:dyDescent="0.2">
      <c r="A5641" s="2">
        <v>1411</v>
      </c>
      <c r="B5641" s="2">
        <v>9</v>
      </c>
      <c r="C5641" s="2">
        <v>33194893</v>
      </c>
      <c r="D5641" s="2">
        <v>34704544</v>
      </c>
      <c r="E5641" s="2">
        <v>3</v>
      </c>
      <c r="F5641" s="2" t="s">
        <v>10086</v>
      </c>
      <c r="H5641" s="2">
        <v>1.1000000000000001E-3</v>
      </c>
      <c r="K5641" s="2" t="s">
        <v>10087</v>
      </c>
    </row>
    <row r="5642" spans="1:11" x14ac:dyDescent="0.2">
      <c r="A5642" s="2">
        <v>1411</v>
      </c>
      <c r="B5642" s="2">
        <v>9</v>
      </c>
      <c r="C5642" s="2">
        <v>33194893</v>
      </c>
      <c r="D5642" s="2">
        <v>34704544</v>
      </c>
      <c r="E5642" s="2">
        <v>4</v>
      </c>
      <c r="F5642" s="2" t="s">
        <v>10086</v>
      </c>
      <c r="H5642" s="3">
        <v>5.0000000000000001E-4</v>
      </c>
      <c r="K5642" s="2" t="s">
        <v>10085</v>
      </c>
    </row>
    <row r="5643" spans="1:11" x14ac:dyDescent="0.2">
      <c r="A5643" s="2">
        <v>1412</v>
      </c>
      <c r="B5643" s="2">
        <v>9</v>
      </c>
      <c r="C5643" s="2">
        <v>34704545</v>
      </c>
      <c r="D5643" s="2">
        <v>36749273</v>
      </c>
      <c r="E5643" s="2">
        <v>1</v>
      </c>
      <c r="F5643" s="2" t="s">
        <v>10086</v>
      </c>
      <c r="H5643" s="2">
        <v>5.3E-3</v>
      </c>
      <c r="K5643" s="2" t="s">
        <v>10087</v>
      </c>
    </row>
    <row r="5644" spans="1:11" x14ac:dyDescent="0.2">
      <c r="A5644" s="2">
        <v>1412</v>
      </c>
      <c r="B5644" s="2">
        <v>9</v>
      </c>
      <c r="C5644" s="2">
        <v>34704545</v>
      </c>
      <c r="D5644" s="2">
        <v>36749273</v>
      </c>
      <c r="E5644" s="2">
        <v>2</v>
      </c>
      <c r="F5644" s="2" t="s">
        <v>10086</v>
      </c>
      <c r="H5644" s="2">
        <v>3.0999999999999999E-3</v>
      </c>
      <c r="K5644" s="2" t="s">
        <v>10089</v>
      </c>
    </row>
    <row r="5645" spans="1:11" x14ac:dyDescent="0.2">
      <c r="A5645" s="2">
        <v>1412</v>
      </c>
      <c r="B5645" s="2">
        <v>9</v>
      </c>
      <c r="C5645" s="2">
        <v>34704545</v>
      </c>
      <c r="D5645" s="2">
        <v>36749273</v>
      </c>
      <c r="E5645" s="2">
        <v>3</v>
      </c>
      <c r="F5645" s="2" t="s">
        <v>10086</v>
      </c>
      <c r="H5645" s="2">
        <v>1.5E-3</v>
      </c>
      <c r="K5645" s="2" t="s">
        <v>10088</v>
      </c>
    </row>
    <row r="5646" spans="1:11" x14ac:dyDescent="0.2">
      <c r="A5646" s="2">
        <v>1412</v>
      </c>
      <c r="B5646" s="2">
        <v>9</v>
      </c>
      <c r="C5646" s="2">
        <v>34704545</v>
      </c>
      <c r="D5646" s="2">
        <v>36749273</v>
      </c>
      <c r="E5646" s="2">
        <v>4</v>
      </c>
      <c r="F5646" s="2" t="s">
        <v>10086</v>
      </c>
      <c r="H5646" s="3">
        <v>6.9999999999999999E-4</v>
      </c>
      <c r="K5646" s="2" t="s">
        <v>10085</v>
      </c>
    </row>
    <row r="5647" spans="1:11" x14ac:dyDescent="0.2">
      <c r="A5647" s="2">
        <v>1413</v>
      </c>
      <c r="B5647" s="2">
        <v>9</v>
      </c>
      <c r="C5647" s="2">
        <v>36749274</v>
      </c>
      <c r="D5647" s="2">
        <v>37687112</v>
      </c>
      <c r="E5647" s="2">
        <v>1</v>
      </c>
      <c r="F5647" s="2" t="s">
        <v>10086</v>
      </c>
      <c r="H5647" s="2">
        <v>1.2999999999999999E-3</v>
      </c>
      <c r="K5647" s="2" t="s">
        <v>10085</v>
      </c>
    </row>
    <row r="5648" spans="1:11" x14ac:dyDescent="0.2">
      <c r="A5648" s="2">
        <v>1413</v>
      </c>
      <c r="B5648" s="2">
        <v>9</v>
      </c>
      <c r="C5648" s="2">
        <v>36749274</v>
      </c>
      <c r="D5648" s="2">
        <v>37687112</v>
      </c>
      <c r="E5648" s="2">
        <v>2</v>
      </c>
      <c r="F5648" s="2" t="s">
        <v>10086</v>
      </c>
      <c r="H5648" s="3">
        <v>8.9999999999999998E-4</v>
      </c>
      <c r="K5648" s="2" t="s">
        <v>10088</v>
      </c>
    </row>
    <row r="5649" spans="1:11" x14ac:dyDescent="0.2">
      <c r="A5649" s="2">
        <v>1413</v>
      </c>
      <c r="B5649" s="2">
        <v>9</v>
      </c>
      <c r="C5649" s="2">
        <v>36749274</v>
      </c>
      <c r="D5649" s="2">
        <v>37687112</v>
      </c>
      <c r="E5649" s="2">
        <v>3</v>
      </c>
      <c r="F5649" s="2" t="s">
        <v>10086</v>
      </c>
      <c r="H5649" s="3">
        <v>5.9999999999999995E-4</v>
      </c>
      <c r="K5649" s="2" t="s">
        <v>10087</v>
      </c>
    </row>
    <row r="5650" spans="1:11" x14ac:dyDescent="0.2">
      <c r="A5650" s="2">
        <v>1413</v>
      </c>
      <c r="B5650" s="2">
        <v>9</v>
      </c>
      <c r="C5650" s="2">
        <v>36749274</v>
      </c>
      <c r="D5650" s="2">
        <v>37687112</v>
      </c>
      <c r="E5650" s="2">
        <v>4</v>
      </c>
      <c r="F5650" s="2" t="s">
        <v>10086</v>
      </c>
      <c r="H5650" s="3">
        <v>4.0000000000000002E-4</v>
      </c>
      <c r="K5650" s="2" t="s">
        <v>10089</v>
      </c>
    </row>
    <row r="5651" spans="1:11" x14ac:dyDescent="0.2">
      <c r="A5651" s="2">
        <v>1414</v>
      </c>
      <c r="B5651" s="2">
        <v>9</v>
      </c>
      <c r="C5651" s="2">
        <v>37687113</v>
      </c>
      <c r="D5651" s="2">
        <v>38822977</v>
      </c>
      <c r="E5651" s="2">
        <v>1</v>
      </c>
      <c r="F5651" s="2" t="s">
        <v>10086</v>
      </c>
      <c r="H5651" s="2">
        <v>2E-3</v>
      </c>
      <c r="K5651" s="2" t="s">
        <v>10085</v>
      </c>
    </row>
    <row r="5652" spans="1:11" x14ac:dyDescent="0.2">
      <c r="A5652" s="2">
        <v>1414</v>
      </c>
      <c r="B5652" s="2">
        <v>9</v>
      </c>
      <c r="C5652" s="2">
        <v>37687113</v>
      </c>
      <c r="D5652" s="2">
        <v>38822977</v>
      </c>
      <c r="E5652" s="2">
        <v>2</v>
      </c>
      <c r="F5652" s="2" t="s">
        <v>10086</v>
      </c>
      <c r="H5652" s="2">
        <v>1.1999999999999999E-3</v>
      </c>
      <c r="K5652" s="2" t="s">
        <v>10088</v>
      </c>
    </row>
    <row r="5653" spans="1:11" x14ac:dyDescent="0.2">
      <c r="A5653" s="2">
        <v>1414</v>
      </c>
      <c r="B5653" s="2">
        <v>9</v>
      </c>
      <c r="C5653" s="2">
        <v>37687113</v>
      </c>
      <c r="D5653" s="2">
        <v>38822977</v>
      </c>
      <c r="E5653" s="2">
        <v>3</v>
      </c>
      <c r="F5653" s="2" t="s">
        <v>10086</v>
      </c>
      <c r="H5653" s="2">
        <v>1E-3</v>
      </c>
      <c r="K5653" s="2" t="s">
        <v>10089</v>
      </c>
    </row>
    <row r="5654" spans="1:11" x14ac:dyDescent="0.2">
      <c r="A5654" s="2">
        <v>1414</v>
      </c>
      <c r="B5654" s="2">
        <v>9</v>
      </c>
      <c r="C5654" s="2">
        <v>37687113</v>
      </c>
      <c r="D5654" s="2">
        <v>38822977</v>
      </c>
      <c r="E5654" s="2">
        <v>4</v>
      </c>
      <c r="F5654" s="2" t="s">
        <v>10086</v>
      </c>
      <c r="H5654" s="3">
        <v>5.0000000000000001E-4</v>
      </c>
      <c r="K5654" s="2" t="s">
        <v>10087</v>
      </c>
    </row>
    <row r="5655" spans="1:11" x14ac:dyDescent="0.2">
      <c r="A5655" s="2">
        <v>1415</v>
      </c>
      <c r="B5655" s="2">
        <v>9</v>
      </c>
      <c r="C5655" s="2">
        <v>38822978</v>
      </c>
      <c r="D5655" s="2">
        <v>43903829</v>
      </c>
      <c r="E5655" s="2">
        <v>1</v>
      </c>
      <c r="F5655" s="2" t="s">
        <v>10086</v>
      </c>
      <c r="H5655" s="3">
        <v>6.9999999999999999E-4</v>
      </c>
      <c r="K5655" s="2" t="s">
        <v>10085</v>
      </c>
    </row>
    <row r="5656" spans="1:11" x14ac:dyDescent="0.2">
      <c r="A5656" s="2">
        <v>1415</v>
      </c>
      <c r="B5656" s="2">
        <v>9</v>
      </c>
      <c r="C5656" s="2">
        <v>38822978</v>
      </c>
      <c r="D5656" s="2">
        <v>43903829</v>
      </c>
      <c r="E5656" s="2">
        <v>2</v>
      </c>
      <c r="F5656" s="2" t="s">
        <v>10086</v>
      </c>
      <c r="H5656" s="3">
        <v>6.9999999999999999E-4</v>
      </c>
      <c r="K5656" s="2" t="s">
        <v>10088</v>
      </c>
    </row>
    <row r="5657" spans="1:11" x14ac:dyDescent="0.2">
      <c r="A5657" s="2">
        <v>1415</v>
      </c>
      <c r="B5657" s="2">
        <v>9</v>
      </c>
      <c r="C5657" s="2">
        <v>38822978</v>
      </c>
      <c r="D5657" s="2">
        <v>43903829</v>
      </c>
      <c r="E5657" s="2">
        <v>3</v>
      </c>
      <c r="F5657" s="2" t="s">
        <v>10086</v>
      </c>
      <c r="H5657" s="3">
        <v>2.9999999999999997E-4</v>
      </c>
      <c r="K5657" s="2" t="s">
        <v>10087</v>
      </c>
    </row>
    <row r="5658" spans="1:11" x14ac:dyDescent="0.2">
      <c r="A5658" s="2">
        <v>1415</v>
      </c>
      <c r="B5658" s="2">
        <v>9</v>
      </c>
      <c r="C5658" s="2">
        <v>38822978</v>
      </c>
      <c r="D5658" s="2">
        <v>43903829</v>
      </c>
      <c r="E5658" s="2">
        <v>4</v>
      </c>
      <c r="F5658" s="2" t="s">
        <v>10086</v>
      </c>
      <c r="H5658" s="3">
        <v>1E-4</v>
      </c>
      <c r="K5658" s="2" t="s">
        <v>10089</v>
      </c>
    </row>
    <row r="5659" spans="1:11" x14ac:dyDescent="0.2">
      <c r="A5659" s="2">
        <v>1416</v>
      </c>
      <c r="B5659" s="2">
        <v>9</v>
      </c>
      <c r="C5659" s="2">
        <v>43903830</v>
      </c>
      <c r="D5659" s="2">
        <v>66673058</v>
      </c>
      <c r="E5659" s="2">
        <v>1</v>
      </c>
      <c r="F5659" s="2" t="s">
        <v>10086</v>
      </c>
      <c r="H5659" s="3">
        <v>8.0000000000000004E-4</v>
      </c>
      <c r="K5659" s="2" t="s">
        <v>10087</v>
      </c>
    </row>
    <row r="5660" spans="1:11" x14ac:dyDescent="0.2">
      <c r="A5660" s="2">
        <v>1416</v>
      </c>
      <c r="B5660" s="2">
        <v>9</v>
      </c>
      <c r="C5660" s="2">
        <v>43903830</v>
      </c>
      <c r="D5660" s="2">
        <v>66673058</v>
      </c>
      <c r="E5660" s="2">
        <v>2</v>
      </c>
      <c r="F5660" s="2" t="s">
        <v>10086</v>
      </c>
      <c r="H5660" s="3">
        <v>5.0000000000000001E-4</v>
      </c>
      <c r="K5660" s="2" t="s">
        <v>10089</v>
      </c>
    </row>
    <row r="5661" spans="1:11" x14ac:dyDescent="0.2">
      <c r="A5661" s="2">
        <v>1416</v>
      </c>
      <c r="B5661" s="2">
        <v>9</v>
      </c>
      <c r="C5661" s="2">
        <v>43903830</v>
      </c>
      <c r="D5661" s="2">
        <v>66673058</v>
      </c>
      <c r="E5661" s="2">
        <v>3</v>
      </c>
      <c r="F5661" s="2" t="s">
        <v>10086</v>
      </c>
      <c r="H5661" s="3">
        <v>2.9999999999999997E-4</v>
      </c>
      <c r="K5661" s="2" t="s">
        <v>10085</v>
      </c>
    </row>
    <row r="5662" spans="1:11" x14ac:dyDescent="0.2">
      <c r="A5662" s="2">
        <v>1416</v>
      </c>
      <c r="B5662" s="2">
        <v>9</v>
      </c>
      <c r="C5662" s="2">
        <v>43903830</v>
      </c>
      <c r="D5662" s="2">
        <v>66673058</v>
      </c>
      <c r="E5662" s="2">
        <v>4</v>
      </c>
      <c r="F5662" s="2" t="s">
        <v>10086</v>
      </c>
      <c r="H5662" s="3">
        <v>2.0000000000000001E-4</v>
      </c>
      <c r="K5662" s="2" t="s">
        <v>10088</v>
      </c>
    </row>
    <row r="5663" spans="1:11" x14ac:dyDescent="0.2">
      <c r="A5663" s="2">
        <v>1417</v>
      </c>
      <c r="B5663" s="2">
        <v>9</v>
      </c>
      <c r="C5663" s="2">
        <v>66673059</v>
      </c>
      <c r="D5663" s="2">
        <v>70939677</v>
      </c>
      <c r="E5663" s="2">
        <v>1</v>
      </c>
      <c r="F5663" s="2" t="s">
        <v>10086</v>
      </c>
      <c r="H5663" s="3">
        <v>5.0000000000000001E-4</v>
      </c>
      <c r="K5663" s="2" t="s">
        <v>10088</v>
      </c>
    </row>
    <row r="5664" spans="1:11" x14ac:dyDescent="0.2">
      <c r="A5664" s="2">
        <v>1417</v>
      </c>
      <c r="B5664" s="2">
        <v>9</v>
      </c>
      <c r="C5664" s="2">
        <v>66673059</v>
      </c>
      <c r="D5664" s="2">
        <v>70939677</v>
      </c>
      <c r="E5664" s="2">
        <v>2</v>
      </c>
      <c r="F5664" s="2" t="s">
        <v>10086</v>
      </c>
      <c r="H5664" s="3">
        <v>2.0000000000000001E-4</v>
      </c>
      <c r="K5664" s="2" t="s">
        <v>10089</v>
      </c>
    </row>
    <row r="5665" spans="1:11" x14ac:dyDescent="0.2">
      <c r="A5665" s="2">
        <v>1417</v>
      </c>
      <c r="B5665" s="2">
        <v>9</v>
      </c>
      <c r="C5665" s="2">
        <v>66673059</v>
      </c>
      <c r="D5665" s="2">
        <v>70939677</v>
      </c>
      <c r="E5665" s="2">
        <v>3</v>
      </c>
      <c r="F5665" s="2" t="s">
        <v>10086</v>
      </c>
      <c r="H5665" s="3">
        <v>2.0000000000000001E-4</v>
      </c>
      <c r="K5665" s="2" t="s">
        <v>10085</v>
      </c>
    </row>
    <row r="5666" spans="1:11" x14ac:dyDescent="0.2">
      <c r="A5666" s="2">
        <v>1417</v>
      </c>
      <c r="B5666" s="2">
        <v>9</v>
      </c>
      <c r="C5666" s="2">
        <v>66673059</v>
      </c>
      <c r="D5666" s="2">
        <v>70939677</v>
      </c>
      <c r="E5666" s="2">
        <v>4</v>
      </c>
      <c r="F5666" s="2" t="s">
        <v>10086</v>
      </c>
      <c r="H5666" s="3">
        <v>2.0000000000000001E-4</v>
      </c>
      <c r="K5666" s="2" t="s">
        <v>10087</v>
      </c>
    </row>
    <row r="5667" spans="1:11" x14ac:dyDescent="0.2">
      <c r="A5667" s="2">
        <v>1418</v>
      </c>
      <c r="B5667" s="2">
        <v>9</v>
      </c>
      <c r="C5667" s="2">
        <v>70939678</v>
      </c>
      <c r="D5667" s="2">
        <v>72288878</v>
      </c>
      <c r="E5667" s="2">
        <v>1</v>
      </c>
      <c r="F5667" s="2" t="s">
        <v>10086</v>
      </c>
      <c r="H5667" s="2">
        <v>3.3999999999999998E-3</v>
      </c>
      <c r="K5667" s="2" t="s">
        <v>10087</v>
      </c>
    </row>
    <row r="5668" spans="1:11" x14ac:dyDescent="0.2">
      <c r="A5668" s="2">
        <v>1418</v>
      </c>
      <c r="B5668" s="2">
        <v>9</v>
      </c>
      <c r="C5668" s="2">
        <v>70939678</v>
      </c>
      <c r="D5668" s="2">
        <v>72288878</v>
      </c>
      <c r="E5668" s="2">
        <v>2</v>
      </c>
      <c r="F5668" s="2" t="s">
        <v>10086</v>
      </c>
      <c r="H5668" s="2">
        <v>2.0999999999999999E-3</v>
      </c>
      <c r="K5668" s="2" t="s">
        <v>10089</v>
      </c>
    </row>
    <row r="5669" spans="1:11" x14ac:dyDescent="0.2">
      <c r="A5669" s="2">
        <v>1418</v>
      </c>
      <c r="B5669" s="2">
        <v>9</v>
      </c>
      <c r="C5669" s="2">
        <v>70939678</v>
      </c>
      <c r="D5669" s="2">
        <v>72288878</v>
      </c>
      <c r="E5669" s="2">
        <v>3</v>
      </c>
      <c r="F5669" s="2" t="s">
        <v>10086</v>
      </c>
      <c r="H5669" s="2">
        <v>1.5E-3</v>
      </c>
      <c r="K5669" s="2" t="s">
        <v>10088</v>
      </c>
    </row>
    <row r="5670" spans="1:11" x14ac:dyDescent="0.2">
      <c r="A5670" s="2">
        <v>1418</v>
      </c>
      <c r="B5670" s="2">
        <v>9</v>
      </c>
      <c r="C5670" s="2">
        <v>70939678</v>
      </c>
      <c r="D5670" s="2">
        <v>72288878</v>
      </c>
      <c r="E5670" s="2">
        <v>4</v>
      </c>
      <c r="F5670" s="2" t="s">
        <v>10086</v>
      </c>
      <c r="H5670" s="3">
        <v>8.0000000000000004E-4</v>
      </c>
      <c r="K5670" s="2" t="s">
        <v>10085</v>
      </c>
    </row>
    <row r="5671" spans="1:11" x14ac:dyDescent="0.2">
      <c r="A5671" s="2">
        <v>1419</v>
      </c>
      <c r="B5671" s="2">
        <v>9</v>
      </c>
      <c r="C5671" s="2">
        <v>72288879</v>
      </c>
      <c r="D5671" s="2">
        <v>73915494</v>
      </c>
      <c r="E5671" s="2">
        <v>1</v>
      </c>
      <c r="F5671" s="2" t="s">
        <v>10086</v>
      </c>
      <c r="H5671" s="2">
        <v>1.01E-2</v>
      </c>
      <c r="K5671" s="2" t="s">
        <v>10087</v>
      </c>
    </row>
    <row r="5672" spans="1:11" x14ac:dyDescent="0.2">
      <c r="A5672" s="2">
        <v>1419</v>
      </c>
      <c r="B5672" s="2">
        <v>9</v>
      </c>
      <c r="C5672" s="2">
        <v>72288879</v>
      </c>
      <c r="D5672" s="2">
        <v>73915494</v>
      </c>
      <c r="E5672" s="2">
        <v>2</v>
      </c>
      <c r="F5672" s="2" t="s">
        <v>10086</v>
      </c>
      <c r="H5672" s="2">
        <v>2.8E-3</v>
      </c>
      <c r="K5672" s="2" t="s">
        <v>10085</v>
      </c>
    </row>
    <row r="5673" spans="1:11" x14ac:dyDescent="0.2">
      <c r="A5673" s="2">
        <v>1419</v>
      </c>
      <c r="B5673" s="2">
        <v>9</v>
      </c>
      <c r="C5673" s="2">
        <v>72288879</v>
      </c>
      <c r="D5673" s="2">
        <v>73915494</v>
      </c>
      <c r="E5673" s="2">
        <v>3</v>
      </c>
      <c r="F5673" s="2" t="s">
        <v>10086</v>
      </c>
      <c r="H5673" s="2">
        <v>1.5E-3</v>
      </c>
      <c r="K5673" s="2" t="s">
        <v>10089</v>
      </c>
    </row>
    <row r="5674" spans="1:11" x14ac:dyDescent="0.2">
      <c r="A5674" s="2">
        <v>1419</v>
      </c>
      <c r="B5674" s="2">
        <v>9</v>
      </c>
      <c r="C5674" s="2">
        <v>72288879</v>
      </c>
      <c r="D5674" s="2">
        <v>73915494</v>
      </c>
      <c r="E5674" s="2">
        <v>4</v>
      </c>
      <c r="F5674" s="2" t="s">
        <v>10086</v>
      </c>
      <c r="H5674" s="3">
        <v>6.9999999999999999E-4</v>
      </c>
      <c r="K5674" s="2" t="s">
        <v>10088</v>
      </c>
    </row>
    <row r="5675" spans="1:11" x14ac:dyDescent="0.2">
      <c r="A5675" s="2">
        <v>1420</v>
      </c>
      <c r="B5675" s="2">
        <v>9</v>
      </c>
      <c r="C5675" s="2">
        <v>73915495</v>
      </c>
      <c r="D5675" s="2">
        <v>74950318</v>
      </c>
      <c r="E5675" s="2">
        <v>1</v>
      </c>
      <c r="F5675" s="2" t="s">
        <v>10086</v>
      </c>
      <c r="H5675" s="2">
        <v>3.3999999999999998E-3</v>
      </c>
      <c r="K5675" s="2" t="s">
        <v>10088</v>
      </c>
    </row>
    <row r="5676" spans="1:11" x14ac:dyDescent="0.2">
      <c r="A5676" s="2">
        <v>1420</v>
      </c>
      <c r="B5676" s="2">
        <v>9</v>
      </c>
      <c r="C5676" s="2">
        <v>73915495</v>
      </c>
      <c r="D5676" s="2">
        <v>74950318</v>
      </c>
      <c r="E5676" s="2">
        <v>2</v>
      </c>
      <c r="F5676" s="2" t="s">
        <v>10086</v>
      </c>
      <c r="H5676" s="2">
        <v>1.1000000000000001E-3</v>
      </c>
      <c r="K5676" s="2" t="s">
        <v>10087</v>
      </c>
    </row>
    <row r="5677" spans="1:11" x14ac:dyDescent="0.2">
      <c r="A5677" s="2">
        <v>1420</v>
      </c>
      <c r="B5677" s="2">
        <v>9</v>
      </c>
      <c r="C5677" s="2">
        <v>73915495</v>
      </c>
      <c r="D5677" s="2">
        <v>74950318</v>
      </c>
      <c r="E5677" s="2">
        <v>3</v>
      </c>
      <c r="F5677" s="2" t="s">
        <v>10086</v>
      </c>
      <c r="H5677" s="3">
        <v>6.9999999999999999E-4</v>
      </c>
      <c r="K5677" s="2" t="s">
        <v>10089</v>
      </c>
    </row>
    <row r="5678" spans="1:11" x14ac:dyDescent="0.2">
      <c r="A5678" s="2">
        <v>1420</v>
      </c>
      <c r="B5678" s="2">
        <v>9</v>
      </c>
      <c r="C5678" s="2">
        <v>73915495</v>
      </c>
      <c r="D5678" s="2">
        <v>74950318</v>
      </c>
      <c r="E5678" s="2">
        <v>4</v>
      </c>
      <c r="F5678" s="2" t="s">
        <v>10086</v>
      </c>
      <c r="H5678" s="3">
        <v>2.9999999999999997E-4</v>
      </c>
      <c r="K5678" s="2" t="s">
        <v>10085</v>
      </c>
    </row>
    <row r="5679" spans="1:11" x14ac:dyDescent="0.2">
      <c r="A5679" s="2">
        <v>1421</v>
      </c>
      <c r="B5679" s="2">
        <v>9</v>
      </c>
      <c r="C5679" s="2">
        <v>74950319</v>
      </c>
      <c r="D5679" s="2">
        <v>76197744</v>
      </c>
      <c r="E5679" s="2">
        <v>1</v>
      </c>
      <c r="F5679" s="2" t="s">
        <v>10086</v>
      </c>
      <c r="H5679" s="2">
        <v>4.7699999999999999E-2</v>
      </c>
      <c r="K5679" s="2" t="s">
        <v>10087</v>
      </c>
    </row>
    <row r="5680" spans="1:11" x14ac:dyDescent="0.2">
      <c r="A5680" s="2">
        <v>1421</v>
      </c>
      <c r="B5680" s="2">
        <v>9</v>
      </c>
      <c r="C5680" s="2">
        <v>74950319</v>
      </c>
      <c r="D5680" s="2">
        <v>76197744</v>
      </c>
      <c r="E5680" s="2">
        <v>2</v>
      </c>
      <c r="F5680" s="2" t="s">
        <v>10086</v>
      </c>
      <c r="H5680" s="2">
        <v>1.5E-3</v>
      </c>
      <c r="K5680" s="2" t="s">
        <v>10089</v>
      </c>
    </row>
    <row r="5681" spans="1:11" x14ac:dyDescent="0.2">
      <c r="A5681" s="2">
        <v>1421</v>
      </c>
      <c r="B5681" s="2">
        <v>9</v>
      </c>
      <c r="C5681" s="2">
        <v>74950319</v>
      </c>
      <c r="D5681" s="2">
        <v>76197744</v>
      </c>
      <c r="E5681" s="2">
        <v>3</v>
      </c>
      <c r="F5681" s="2" t="s">
        <v>10086</v>
      </c>
      <c r="H5681" s="2">
        <v>1.1999999999999999E-3</v>
      </c>
      <c r="K5681" s="2" t="s">
        <v>10088</v>
      </c>
    </row>
    <row r="5682" spans="1:11" x14ac:dyDescent="0.2">
      <c r="A5682" s="2">
        <v>1421</v>
      </c>
      <c r="B5682" s="2">
        <v>9</v>
      </c>
      <c r="C5682" s="2">
        <v>74950319</v>
      </c>
      <c r="D5682" s="2">
        <v>76197744</v>
      </c>
      <c r="E5682" s="2">
        <v>4</v>
      </c>
      <c r="F5682" s="2" t="s">
        <v>10086</v>
      </c>
      <c r="H5682" s="3">
        <v>6.9999999999999999E-4</v>
      </c>
      <c r="K5682" s="2" t="s">
        <v>12324</v>
      </c>
    </row>
    <row r="5683" spans="1:11" x14ac:dyDescent="0.2">
      <c r="A5683" s="2">
        <v>1422</v>
      </c>
      <c r="B5683" s="2">
        <v>9</v>
      </c>
      <c r="C5683" s="2">
        <v>76197745</v>
      </c>
      <c r="D5683" s="2">
        <v>77862308</v>
      </c>
      <c r="E5683" s="2">
        <v>1</v>
      </c>
      <c r="F5683" s="2" t="s">
        <v>10086</v>
      </c>
      <c r="H5683" s="2">
        <v>1.14E-2</v>
      </c>
      <c r="K5683" s="2" t="s">
        <v>10089</v>
      </c>
    </row>
    <row r="5684" spans="1:11" x14ac:dyDescent="0.2">
      <c r="A5684" s="2">
        <v>1422</v>
      </c>
      <c r="B5684" s="2">
        <v>9</v>
      </c>
      <c r="C5684" s="2">
        <v>76197745</v>
      </c>
      <c r="D5684" s="2">
        <v>77862308</v>
      </c>
      <c r="E5684" s="2">
        <v>2</v>
      </c>
      <c r="F5684" s="2" t="s">
        <v>10086</v>
      </c>
      <c r="H5684" s="2">
        <v>1.6000000000000001E-3</v>
      </c>
      <c r="K5684" s="2" t="s">
        <v>10088</v>
      </c>
    </row>
    <row r="5685" spans="1:11" x14ac:dyDescent="0.2">
      <c r="A5685" s="2">
        <v>1422</v>
      </c>
      <c r="B5685" s="2">
        <v>9</v>
      </c>
      <c r="C5685" s="2">
        <v>76197745</v>
      </c>
      <c r="D5685" s="2">
        <v>77862308</v>
      </c>
      <c r="E5685" s="2">
        <v>3</v>
      </c>
      <c r="F5685" s="2" t="s">
        <v>10086</v>
      </c>
      <c r="H5685" s="2">
        <v>1.5E-3</v>
      </c>
      <c r="K5685" s="2" t="s">
        <v>12324</v>
      </c>
    </row>
    <row r="5686" spans="1:11" x14ac:dyDescent="0.2">
      <c r="A5686" s="2">
        <v>1422</v>
      </c>
      <c r="B5686" s="2">
        <v>9</v>
      </c>
      <c r="C5686" s="2">
        <v>76197745</v>
      </c>
      <c r="D5686" s="2">
        <v>77862308</v>
      </c>
      <c r="E5686" s="2">
        <v>4</v>
      </c>
      <c r="F5686" s="2" t="s">
        <v>10086</v>
      </c>
      <c r="H5686" s="2">
        <v>1E-3</v>
      </c>
      <c r="K5686" s="2" t="s">
        <v>10085</v>
      </c>
    </row>
    <row r="5687" spans="1:11" x14ac:dyDescent="0.2">
      <c r="A5687" s="2">
        <v>1423</v>
      </c>
      <c r="B5687" s="2">
        <v>9</v>
      </c>
      <c r="C5687" s="2">
        <v>77862309</v>
      </c>
      <c r="D5687" s="2">
        <v>78630915</v>
      </c>
      <c r="E5687" s="2">
        <v>1</v>
      </c>
      <c r="F5687" s="2" t="s">
        <v>10086</v>
      </c>
      <c r="H5687" s="2">
        <v>1.1999999999999999E-3</v>
      </c>
      <c r="K5687" s="2" t="s">
        <v>10089</v>
      </c>
    </row>
    <row r="5688" spans="1:11" x14ac:dyDescent="0.2">
      <c r="A5688" s="2">
        <v>1423</v>
      </c>
      <c r="B5688" s="2">
        <v>9</v>
      </c>
      <c r="C5688" s="2">
        <v>77862309</v>
      </c>
      <c r="D5688" s="2">
        <v>78630915</v>
      </c>
      <c r="E5688" s="2">
        <v>2</v>
      </c>
      <c r="F5688" s="2" t="s">
        <v>10086</v>
      </c>
      <c r="H5688" s="2">
        <v>2E-3</v>
      </c>
      <c r="K5688" s="2" t="s">
        <v>10088</v>
      </c>
    </row>
    <row r="5689" spans="1:11" x14ac:dyDescent="0.2">
      <c r="A5689" s="2">
        <v>1423</v>
      </c>
      <c r="B5689" s="2">
        <v>9</v>
      </c>
      <c r="C5689" s="2">
        <v>77862309</v>
      </c>
      <c r="D5689" s="2">
        <v>78630915</v>
      </c>
      <c r="E5689" s="2">
        <v>3</v>
      </c>
      <c r="F5689" s="2" t="s">
        <v>10086</v>
      </c>
      <c r="H5689" s="2">
        <v>1.6000000000000001E-3</v>
      </c>
      <c r="K5689" s="2" t="s">
        <v>12324</v>
      </c>
    </row>
    <row r="5690" spans="1:11" x14ac:dyDescent="0.2">
      <c r="A5690" s="2">
        <v>1423</v>
      </c>
      <c r="B5690" s="2">
        <v>9</v>
      </c>
      <c r="C5690" s="2">
        <v>77862309</v>
      </c>
      <c r="D5690" s="2">
        <v>78630915</v>
      </c>
      <c r="E5690" s="2">
        <v>4</v>
      </c>
      <c r="F5690" s="2" t="s">
        <v>10086</v>
      </c>
      <c r="H5690" s="3">
        <v>5.9999999999999995E-4</v>
      </c>
      <c r="K5690" s="2" t="s">
        <v>10085</v>
      </c>
    </row>
    <row r="5691" spans="1:11" x14ac:dyDescent="0.2">
      <c r="A5691" s="2">
        <v>1424</v>
      </c>
      <c r="B5691" s="2">
        <v>9</v>
      </c>
      <c r="C5691" s="2">
        <v>78630916</v>
      </c>
      <c r="D5691" s="2">
        <v>79451035</v>
      </c>
      <c r="E5691" s="2">
        <v>1</v>
      </c>
      <c r="F5691" s="2" t="s">
        <v>10086</v>
      </c>
      <c r="H5691" s="2">
        <v>1.5E-3</v>
      </c>
      <c r="K5691" s="2" t="s">
        <v>10085</v>
      </c>
    </row>
    <row r="5692" spans="1:11" x14ac:dyDescent="0.2">
      <c r="A5692" s="2">
        <v>1424</v>
      </c>
      <c r="B5692" s="2">
        <v>9</v>
      </c>
      <c r="C5692" s="2">
        <v>78630916</v>
      </c>
      <c r="D5692" s="2">
        <v>79451035</v>
      </c>
      <c r="E5692" s="2">
        <v>2</v>
      </c>
      <c r="F5692" s="2" t="s">
        <v>10086</v>
      </c>
      <c r="H5692" s="3">
        <v>8.0000000000000004E-4</v>
      </c>
      <c r="K5692" s="2" t="s">
        <v>10088</v>
      </c>
    </row>
    <row r="5693" spans="1:11" x14ac:dyDescent="0.2">
      <c r="A5693" s="2">
        <v>1424</v>
      </c>
      <c r="B5693" s="2">
        <v>9</v>
      </c>
      <c r="C5693" s="2">
        <v>78630916</v>
      </c>
      <c r="D5693" s="2">
        <v>79451035</v>
      </c>
      <c r="E5693" s="2">
        <v>3</v>
      </c>
      <c r="F5693" s="2" t="s">
        <v>10086</v>
      </c>
      <c r="H5693" s="3">
        <v>5.9999999999999995E-4</v>
      </c>
      <c r="K5693" s="2" t="s">
        <v>10089</v>
      </c>
    </row>
    <row r="5694" spans="1:11" x14ac:dyDescent="0.2">
      <c r="A5694" s="2">
        <v>1424</v>
      </c>
      <c r="B5694" s="2">
        <v>9</v>
      </c>
      <c r="C5694" s="2">
        <v>78630916</v>
      </c>
      <c r="D5694" s="2">
        <v>79451035</v>
      </c>
      <c r="E5694" s="2">
        <v>4</v>
      </c>
      <c r="F5694" s="2" t="s">
        <v>10086</v>
      </c>
      <c r="H5694" s="3">
        <v>2.9999999999999997E-4</v>
      </c>
      <c r="K5694" s="2" t="s">
        <v>10087</v>
      </c>
    </row>
    <row r="5695" spans="1:11" x14ac:dyDescent="0.2">
      <c r="A5695" s="2">
        <v>1425</v>
      </c>
      <c r="B5695" s="2">
        <v>9</v>
      </c>
      <c r="C5695" s="2">
        <v>79451036</v>
      </c>
      <c r="D5695" s="2">
        <v>80137024</v>
      </c>
      <c r="E5695" s="2">
        <v>1</v>
      </c>
      <c r="F5695" s="2" t="s">
        <v>10086</v>
      </c>
      <c r="H5695" s="2">
        <v>2.8999999999999998E-3</v>
      </c>
      <c r="K5695" s="2" t="s">
        <v>10085</v>
      </c>
    </row>
    <row r="5696" spans="1:11" x14ac:dyDescent="0.2">
      <c r="A5696" s="2">
        <v>1425</v>
      </c>
      <c r="B5696" s="2">
        <v>9</v>
      </c>
      <c r="C5696" s="2">
        <v>79451036</v>
      </c>
      <c r="D5696" s="2">
        <v>80137024</v>
      </c>
      <c r="E5696" s="2">
        <v>2</v>
      </c>
      <c r="F5696" s="2" t="s">
        <v>10086</v>
      </c>
      <c r="H5696" s="2">
        <v>1.8E-3</v>
      </c>
      <c r="K5696" s="2" t="s">
        <v>10089</v>
      </c>
    </row>
    <row r="5697" spans="1:11" x14ac:dyDescent="0.2">
      <c r="A5697" s="2">
        <v>1425</v>
      </c>
      <c r="B5697" s="2">
        <v>9</v>
      </c>
      <c r="C5697" s="2">
        <v>79451036</v>
      </c>
      <c r="D5697" s="2">
        <v>80137024</v>
      </c>
      <c r="E5697" s="2">
        <v>3</v>
      </c>
      <c r="F5697" s="2" t="s">
        <v>10086</v>
      </c>
      <c r="H5697" s="2">
        <v>2.5000000000000001E-3</v>
      </c>
      <c r="K5697" s="2" t="s">
        <v>12324</v>
      </c>
    </row>
    <row r="5698" spans="1:11" x14ac:dyDescent="0.2">
      <c r="A5698" s="2">
        <v>1425</v>
      </c>
      <c r="B5698" s="2">
        <v>9</v>
      </c>
      <c r="C5698" s="2">
        <v>79451036</v>
      </c>
      <c r="D5698" s="2">
        <v>80137024</v>
      </c>
      <c r="E5698" s="2">
        <v>4</v>
      </c>
      <c r="F5698" s="2" t="s">
        <v>10086</v>
      </c>
      <c r="H5698" s="2">
        <v>1.1999999999999999E-3</v>
      </c>
      <c r="K5698" s="2" t="s">
        <v>10087</v>
      </c>
    </row>
    <row r="5699" spans="1:11" x14ac:dyDescent="0.2">
      <c r="A5699" s="2">
        <v>1426</v>
      </c>
      <c r="B5699" s="2">
        <v>9</v>
      </c>
      <c r="C5699" s="2">
        <v>80137025</v>
      </c>
      <c r="D5699" s="2">
        <v>81161597</v>
      </c>
      <c r="E5699" s="2">
        <v>1</v>
      </c>
      <c r="F5699" s="2" t="s">
        <v>10086</v>
      </c>
      <c r="H5699" s="2">
        <v>1.6999999999999999E-3</v>
      </c>
      <c r="K5699" s="2" t="s">
        <v>10088</v>
      </c>
    </row>
    <row r="5700" spans="1:11" x14ac:dyDescent="0.2">
      <c r="A5700" s="2">
        <v>1426</v>
      </c>
      <c r="B5700" s="2">
        <v>9</v>
      </c>
      <c r="C5700" s="2">
        <v>80137025</v>
      </c>
      <c r="D5700" s="2">
        <v>81161597</v>
      </c>
      <c r="E5700" s="2">
        <v>2</v>
      </c>
      <c r="F5700" s="2" t="s">
        <v>10086</v>
      </c>
      <c r="H5700" s="3">
        <v>8.9999999999999998E-4</v>
      </c>
      <c r="K5700" s="2" t="s">
        <v>10085</v>
      </c>
    </row>
    <row r="5701" spans="1:11" x14ac:dyDescent="0.2">
      <c r="A5701" s="2">
        <v>1426</v>
      </c>
      <c r="B5701" s="2">
        <v>9</v>
      </c>
      <c r="C5701" s="2">
        <v>80137025</v>
      </c>
      <c r="D5701" s="2">
        <v>81161597</v>
      </c>
      <c r="E5701" s="2">
        <v>3</v>
      </c>
      <c r="F5701" s="2" t="s">
        <v>10086</v>
      </c>
      <c r="H5701" s="2">
        <v>1E-3</v>
      </c>
      <c r="K5701" s="2" t="s">
        <v>10087</v>
      </c>
    </row>
    <row r="5702" spans="1:11" x14ac:dyDescent="0.2">
      <c r="A5702" s="2">
        <v>1426</v>
      </c>
      <c r="B5702" s="2">
        <v>9</v>
      </c>
      <c r="C5702" s="2">
        <v>80137025</v>
      </c>
      <c r="D5702" s="2">
        <v>81161597</v>
      </c>
      <c r="E5702" s="2">
        <v>4</v>
      </c>
      <c r="F5702" s="2" t="s">
        <v>10086</v>
      </c>
      <c r="H5702" s="3">
        <v>4.0000000000000002E-4</v>
      </c>
      <c r="K5702" s="2" t="s">
        <v>10089</v>
      </c>
    </row>
    <row r="5703" spans="1:11" x14ac:dyDescent="0.2">
      <c r="A5703" s="2">
        <v>1427</v>
      </c>
      <c r="B5703" s="2">
        <v>9</v>
      </c>
      <c r="C5703" s="2">
        <v>81161598</v>
      </c>
      <c r="D5703" s="2">
        <v>82601465</v>
      </c>
      <c r="E5703" s="2">
        <v>1</v>
      </c>
      <c r="F5703" s="2" t="s">
        <v>10086</v>
      </c>
      <c r="H5703" s="2">
        <v>1.2999999999999999E-3</v>
      </c>
      <c r="K5703" s="2" t="s">
        <v>10089</v>
      </c>
    </row>
    <row r="5704" spans="1:11" x14ac:dyDescent="0.2">
      <c r="A5704" s="2">
        <v>1427</v>
      </c>
      <c r="B5704" s="2">
        <v>9</v>
      </c>
      <c r="C5704" s="2">
        <v>81161598</v>
      </c>
      <c r="D5704" s="2">
        <v>82601465</v>
      </c>
      <c r="E5704" s="2">
        <v>2</v>
      </c>
      <c r="F5704" s="2" t="s">
        <v>10086</v>
      </c>
      <c r="H5704" s="2">
        <v>1E-3</v>
      </c>
      <c r="K5704" s="2" t="s">
        <v>10085</v>
      </c>
    </row>
    <row r="5705" spans="1:11" x14ac:dyDescent="0.2">
      <c r="A5705" s="2">
        <v>1427</v>
      </c>
      <c r="B5705" s="2">
        <v>9</v>
      </c>
      <c r="C5705" s="2">
        <v>81161598</v>
      </c>
      <c r="D5705" s="2">
        <v>82601465</v>
      </c>
      <c r="E5705" s="2">
        <v>3</v>
      </c>
      <c r="F5705" s="2" t="s">
        <v>10086</v>
      </c>
      <c r="H5705" s="3">
        <v>8.9999999999999998E-4</v>
      </c>
      <c r="K5705" s="2" t="s">
        <v>10088</v>
      </c>
    </row>
    <row r="5706" spans="1:11" x14ac:dyDescent="0.2">
      <c r="A5706" s="2">
        <v>1427</v>
      </c>
      <c r="B5706" s="2">
        <v>9</v>
      </c>
      <c r="C5706" s="2">
        <v>81161598</v>
      </c>
      <c r="D5706" s="2">
        <v>82601465</v>
      </c>
      <c r="E5706" s="2">
        <v>4</v>
      </c>
      <c r="F5706" s="2" t="s">
        <v>10086</v>
      </c>
      <c r="H5706" s="3">
        <v>8.0000000000000004E-4</v>
      </c>
      <c r="K5706" s="2" t="s">
        <v>12324</v>
      </c>
    </row>
    <row r="5707" spans="1:11" x14ac:dyDescent="0.2">
      <c r="A5707" s="2">
        <v>1428</v>
      </c>
      <c r="B5707" s="2">
        <v>9</v>
      </c>
      <c r="C5707" s="2">
        <v>82601466</v>
      </c>
      <c r="D5707" s="2">
        <v>83455502</v>
      </c>
      <c r="E5707" s="2">
        <v>1</v>
      </c>
      <c r="F5707" s="2" t="s">
        <v>10086</v>
      </c>
      <c r="H5707" s="2">
        <v>2.3999999999999998E-3</v>
      </c>
      <c r="K5707" s="2" t="s">
        <v>10089</v>
      </c>
    </row>
    <row r="5708" spans="1:11" x14ac:dyDescent="0.2">
      <c r="A5708" s="2">
        <v>1428</v>
      </c>
      <c r="B5708" s="2">
        <v>9</v>
      </c>
      <c r="C5708" s="2">
        <v>82601466</v>
      </c>
      <c r="D5708" s="2">
        <v>83455502</v>
      </c>
      <c r="E5708" s="2">
        <v>2</v>
      </c>
      <c r="F5708" s="2" t="s">
        <v>10086</v>
      </c>
      <c r="H5708" s="3">
        <v>8.9999999999999998E-4</v>
      </c>
      <c r="K5708" s="2" t="s">
        <v>10085</v>
      </c>
    </row>
    <row r="5709" spans="1:11" x14ac:dyDescent="0.2">
      <c r="A5709" s="2">
        <v>1428</v>
      </c>
      <c r="B5709" s="2">
        <v>9</v>
      </c>
      <c r="C5709" s="2">
        <v>82601466</v>
      </c>
      <c r="D5709" s="2">
        <v>83455502</v>
      </c>
      <c r="E5709" s="2">
        <v>3</v>
      </c>
      <c r="F5709" s="2" t="s">
        <v>10086</v>
      </c>
      <c r="H5709" s="3">
        <v>8.0000000000000004E-4</v>
      </c>
      <c r="K5709" s="2" t="s">
        <v>10087</v>
      </c>
    </row>
    <row r="5710" spans="1:11" x14ac:dyDescent="0.2">
      <c r="A5710" s="2">
        <v>1428</v>
      </c>
      <c r="B5710" s="2">
        <v>9</v>
      </c>
      <c r="C5710" s="2">
        <v>82601466</v>
      </c>
      <c r="D5710" s="2">
        <v>83455502</v>
      </c>
      <c r="E5710" s="2">
        <v>4</v>
      </c>
      <c r="F5710" s="2" t="s">
        <v>10086</v>
      </c>
      <c r="H5710" s="3">
        <v>2.9999999999999997E-4</v>
      </c>
      <c r="K5710" s="2" t="s">
        <v>10088</v>
      </c>
    </row>
    <row r="5711" spans="1:11" x14ac:dyDescent="0.2">
      <c r="A5711" s="2">
        <v>1429</v>
      </c>
      <c r="B5711" s="2">
        <v>9</v>
      </c>
      <c r="C5711" s="2">
        <v>83455503</v>
      </c>
      <c r="D5711" s="2">
        <v>85135751</v>
      </c>
      <c r="E5711" s="2">
        <v>1</v>
      </c>
      <c r="F5711" s="2" t="s">
        <v>10086</v>
      </c>
      <c r="H5711" s="2">
        <v>3.0000000000000001E-3</v>
      </c>
      <c r="K5711" s="2" t="s">
        <v>10087</v>
      </c>
    </row>
    <row r="5712" spans="1:11" x14ac:dyDescent="0.2">
      <c r="A5712" s="2">
        <v>1429</v>
      </c>
      <c r="B5712" s="2">
        <v>9</v>
      </c>
      <c r="C5712" s="2">
        <v>83455503</v>
      </c>
      <c r="D5712" s="2">
        <v>85135751</v>
      </c>
      <c r="E5712" s="2">
        <v>2</v>
      </c>
      <c r="F5712" s="2" t="s">
        <v>10086</v>
      </c>
      <c r="H5712" s="2">
        <v>2.7000000000000001E-3</v>
      </c>
      <c r="K5712" s="2" t="s">
        <v>12324</v>
      </c>
    </row>
    <row r="5713" spans="1:11" x14ac:dyDescent="0.2">
      <c r="A5713" s="2">
        <v>1429</v>
      </c>
      <c r="B5713" s="2">
        <v>9</v>
      </c>
      <c r="C5713" s="2">
        <v>83455503</v>
      </c>
      <c r="D5713" s="2">
        <v>85135751</v>
      </c>
      <c r="E5713" s="2">
        <v>3</v>
      </c>
      <c r="F5713" s="2" t="s">
        <v>10086</v>
      </c>
      <c r="H5713" s="2">
        <v>1.9E-3</v>
      </c>
      <c r="K5713" s="2" t="s">
        <v>10089</v>
      </c>
    </row>
    <row r="5714" spans="1:11" x14ac:dyDescent="0.2">
      <c r="A5714" s="2">
        <v>1429</v>
      </c>
      <c r="B5714" s="2">
        <v>9</v>
      </c>
      <c r="C5714" s="2">
        <v>83455503</v>
      </c>
      <c r="D5714" s="2">
        <v>85135751</v>
      </c>
      <c r="E5714" s="2">
        <v>4</v>
      </c>
      <c r="F5714" s="2" t="s">
        <v>10086</v>
      </c>
      <c r="H5714" s="2">
        <v>1.6999999999999999E-3</v>
      </c>
      <c r="K5714" s="2" t="s">
        <v>10085</v>
      </c>
    </row>
    <row r="5715" spans="1:11" x14ac:dyDescent="0.2">
      <c r="A5715" s="2">
        <v>1430</v>
      </c>
      <c r="B5715" s="2">
        <v>9</v>
      </c>
      <c r="C5715" s="2">
        <v>85135752</v>
      </c>
      <c r="D5715" s="2">
        <v>86769886</v>
      </c>
      <c r="E5715" s="2">
        <v>1</v>
      </c>
      <c r="F5715" s="2" t="s">
        <v>10086</v>
      </c>
      <c r="H5715" s="2">
        <v>1.2999999999999999E-3</v>
      </c>
      <c r="K5715" s="2" t="s">
        <v>10088</v>
      </c>
    </row>
    <row r="5716" spans="1:11" x14ac:dyDescent="0.2">
      <c r="A5716" s="2">
        <v>1430</v>
      </c>
      <c r="B5716" s="2">
        <v>9</v>
      </c>
      <c r="C5716" s="2">
        <v>85135752</v>
      </c>
      <c r="D5716" s="2">
        <v>86769886</v>
      </c>
      <c r="E5716" s="2">
        <v>2</v>
      </c>
      <c r="F5716" s="2" t="s">
        <v>10086</v>
      </c>
      <c r="H5716" s="2">
        <v>1.4E-3</v>
      </c>
      <c r="K5716" s="2" t="s">
        <v>10085</v>
      </c>
    </row>
    <row r="5717" spans="1:11" x14ac:dyDescent="0.2">
      <c r="A5717" s="2">
        <v>1430</v>
      </c>
      <c r="B5717" s="2">
        <v>9</v>
      </c>
      <c r="C5717" s="2">
        <v>85135752</v>
      </c>
      <c r="D5717" s="2">
        <v>86769886</v>
      </c>
      <c r="E5717" s="2">
        <v>3</v>
      </c>
      <c r="F5717" s="2" t="s">
        <v>10086</v>
      </c>
      <c r="H5717" s="2">
        <v>1.1000000000000001E-3</v>
      </c>
      <c r="K5717" s="2" t="s">
        <v>10089</v>
      </c>
    </row>
    <row r="5718" spans="1:11" x14ac:dyDescent="0.2">
      <c r="A5718" s="2">
        <v>1430</v>
      </c>
      <c r="B5718" s="2">
        <v>9</v>
      </c>
      <c r="C5718" s="2">
        <v>85135752</v>
      </c>
      <c r="D5718" s="2">
        <v>86769886</v>
      </c>
      <c r="E5718" s="2">
        <v>4</v>
      </c>
      <c r="F5718" s="2" t="s">
        <v>10086</v>
      </c>
      <c r="H5718" s="3">
        <v>6.9999999999999999E-4</v>
      </c>
      <c r="K5718" s="2" t="s">
        <v>10087</v>
      </c>
    </row>
    <row r="5719" spans="1:11" x14ac:dyDescent="0.2">
      <c r="A5719" s="2">
        <v>1431</v>
      </c>
      <c r="B5719" s="2">
        <v>9</v>
      </c>
      <c r="C5719" s="2">
        <v>86769887</v>
      </c>
      <c r="D5719" s="2">
        <v>87815449</v>
      </c>
      <c r="E5719" s="2">
        <v>1</v>
      </c>
      <c r="F5719" s="2" t="s">
        <v>10086</v>
      </c>
      <c r="H5719" s="2">
        <v>3.8999999999999998E-3</v>
      </c>
      <c r="K5719" s="2" t="s">
        <v>12324</v>
      </c>
    </row>
    <row r="5720" spans="1:11" x14ac:dyDescent="0.2">
      <c r="A5720" s="2">
        <v>1431</v>
      </c>
      <c r="B5720" s="2">
        <v>9</v>
      </c>
      <c r="C5720" s="2">
        <v>86769887</v>
      </c>
      <c r="D5720" s="2">
        <v>87815449</v>
      </c>
      <c r="E5720" s="2">
        <v>2</v>
      </c>
      <c r="F5720" s="2" t="s">
        <v>10086</v>
      </c>
      <c r="H5720" s="2">
        <v>1.8E-3</v>
      </c>
      <c r="K5720" s="2" t="s">
        <v>10089</v>
      </c>
    </row>
    <row r="5721" spans="1:11" x14ac:dyDescent="0.2">
      <c r="A5721" s="2">
        <v>1431</v>
      </c>
      <c r="B5721" s="2">
        <v>9</v>
      </c>
      <c r="C5721" s="2">
        <v>86769887</v>
      </c>
      <c r="D5721" s="2">
        <v>87815449</v>
      </c>
      <c r="E5721" s="2">
        <v>3</v>
      </c>
      <c r="F5721" s="2" t="s">
        <v>10086</v>
      </c>
      <c r="H5721" s="2">
        <v>2.3999999999999998E-3</v>
      </c>
      <c r="K5721" s="2" t="s">
        <v>10087</v>
      </c>
    </row>
    <row r="5722" spans="1:11" x14ac:dyDescent="0.2">
      <c r="A5722" s="2">
        <v>1431</v>
      </c>
      <c r="B5722" s="2">
        <v>9</v>
      </c>
      <c r="C5722" s="2">
        <v>86769887</v>
      </c>
      <c r="D5722" s="2">
        <v>87815449</v>
      </c>
      <c r="E5722" s="2">
        <v>4</v>
      </c>
      <c r="F5722" s="2" t="s">
        <v>10086</v>
      </c>
      <c r="H5722" s="2">
        <v>1.1000000000000001E-3</v>
      </c>
      <c r="K5722" s="2" t="s">
        <v>10088</v>
      </c>
    </row>
    <row r="5723" spans="1:11" x14ac:dyDescent="0.2">
      <c r="A5723" s="2">
        <v>1432</v>
      </c>
      <c r="B5723" s="2">
        <v>9</v>
      </c>
      <c r="C5723" s="2">
        <v>87815450</v>
      </c>
      <c r="D5723" s="2">
        <v>89171796</v>
      </c>
      <c r="E5723" s="2">
        <v>1</v>
      </c>
      <c r="F5723" s="2" t="s">
        <v>10086</v>
      </c>
      <c r="H5723" s="2">
        <v>7.4000000000000003E-3</v>
      </c>
      <c r="K5723" s="2" t="s">
        <v>10089</v>
      </c>
    </row>
    <row r="5724" spans="1:11" x14ac:dyDescent="0.2">
      <c r="A5724" s="2">
        <v>1432</v>
      </c>
      <c r="B5724" s="2">
        <v>9</v>
      </c>
      <c r="C5724" s="2">
        <v>87815450</v>
      </c>
      <c r="D5724" s="2">
        <v>89171796</v>
      </c>
      <c r="E5724" s="2">
        <v>2</v>
      </c>
      <c r="F5724" s="2" t="s">
        <v>10086</v>
      </c>
      <c r="H5724" s="2">
        <v>1.2999999999999999E-3</v>
      </c>
      <c r="K5724" s="2" t="s">
        <v>10087</v>
      </c>
    </row>
    <row r="5725" spans="1:11" x14ac:dyDescent="0.2">
      <c r="A5725" s="2">
        <v>1432</v>
      </c>
      <c r="B5725" s="2">
        <v>9</v>
      </c>
      <c r="C5725" s="2">
        <v>87815450</v>
      </c>
      <c r="D5725" s="2">
        <v>89171796</v>
      </c>
      <c r="E5725" s="2">
        <v>3</v>
      </c>
      <c r="F5725" s="2" t="s">
        <v>10086</v>
      </c>
      <c r="H5725" s="3">
        <v>8.9999999999999998E-4</v>
      </c>
      <c r="K5725" s="2" t="s">
        <v>10088</v>
      </c>
    </row>
    <row r="5726" spans="1:11" x14ac:dyDescent="0.2">
      <c r="A5726" s="2">
        <v>1432</v>
      </c>
      <c r="B5726" s="2">
        <v>9</v>
      </c>
      <c r="C5726" s="2">
        <v>87815450</v>
      </c>
      <c r="D5726" s="2">
        <v>89171796</v>
      </c>
      <c r="E5726" s="2">
        <v>4</v>
      </c>
      <c r="F5726" s="2" t="s">
        <v>10086</v>
      </c>
      <c r="H5726" s="3">
        <v>5.0000000000000001E-4</v>
      </c>
      <c r="K5726" s="2" t="s">
        <v>10085</v>
      </c>
    </row>
    <row r="5727" spans="1:11" x14ac:dyDescent="0.2">
      <c r="A5727" s="2">
        <v>1433</v>
      </c>
      <c r="B5727" s="2">
        <v>9</v>
      </c>
      <c r="C5727" s="2">
        <v>89171797</v>
      </c>
      <c r="D5727" s="2">
        <v>90135154</v>
      </c>
      <c r="E5727" s="2">
        <v>1</v>
      </c>
      <c r="F5727" s="2" t="s">
        <v>10086</v>
      </c>
      <c r="H5727" s="2">
        <v>1.8E-3</v>
      </c>
      <c r="K5727" s="2" t="s">
        <v>10089</v>
      </c>
    </row>
    <row r="5728" spans="1:11" x14ac:dyDescent="0.2">
      <c r="A5728" s="2">
        <v>1433</v>
      </c>
      <c r="B5728" s="2">
        <v>9</v>
      </c>
      <c r="C5728" s="2">
        <v>89171797</v>
      </c>
      <c r="D5728" s="2">
        <v>90135154</v>
      </c>
      <c r="E5728" s="2">
        <v>2</v>
      </c>
      <c r="F5728" s="2" t="s">
        <v>10086</v>
      </c>
      <c r="H5728" s="2">
        <v>1.2999999999999999E-3</v>
      </c>
      <c r="K5728" s="2" t="s">
        <v>10087</v>
      </c>
    </row>
    <row r="5729" spans="1:11" x14ac:dyDescent="0.2">
      <c r="A5729" s="2">
        <v>1433</v>
      </c>
      <c r="B5729" s="2">
        <v>9</v>
      </c>
      <c r="C5729" s="2">
        <v>89171797</v>
      </c>
      <c r="D5729" s="2">
        <v>90135154</v>
      </c>
      <c r="E5729" s="2">
        <v>3</v>
      </c>
      <c r="F5729" s="2" t="s">
        <v>10086</v>
      </c>
      <c r="H5729" s="3">
        <v>8.0000000000000004E-4</v>
      </c>
      <c r="K5729" s="2" t="s">
        <v>10088</v>
      </c>
    </row>
    <row r="5730" spans="1:11" x14ac:dyDescent="0.2">
      <c r="A5730" s="2">
        <v>1433</v>
      </c>
      <c r="B5730" s="2">
        <v>9</v>
      </c>
      <c r="C5730" s="2">
        <v>89171797</v>
      </c>
      <c r="D5730" s="2">
        <v>90135154</v>
      </c>
      <c r="E5730" s="2">
        <v>4</v>
      </c>
      <c r="F5730" s="2" t="s">
        <v>10086</v>
      </c>
      <c r="H5730" s="3">
        <v>8.0000000000000004E-4</v>
      </c>
      <c r="K5730" s="2" t="s">
        <v>10085</v>
      </c>
    </row>
    <row r="5731" spans="1:11" x14ac:dyDescent="0.2">
      <c r="A5731" s="2">
        <v>1434</v>
      </c>
      <c r="B5731" s="2">
        <v>9</v>
      </c>
      <c r="C5731" s="2">
        <v>90135155</v>
      </c>
      <c r="D5731" s="2">
        <v>90890979</v>
      </c>
      <c r="E5731" s="2">
        <v>1</v>
      </c>
      <c r="F5731" s="2" t="s">
        <v>10086</v>
      </c>
      <c r="H5731" s="2">
        <v>1.9E-3</v>
      </c>
      <c r="K5731" s="2" t="s">
        <v>10088</v>
      </c>
    </row>
    <row r="5732" spans="1:11" x14ac:dyDescent="0.2">
      <c r="A5732" s="2">
        <v>1434</v>
      </c>
      <c r="B5732" s="2">
        <v>9</v>
      </c>
      <c r="C5732" s="2">
        <v>90135155</v>
      </c>
      <c r="D5732" s="2">
        <v>90890979</v>
      </c>
      <c r="E5732" s="2">
        <v>2</v>
      </c>
      <c r="F5732" s="2" t="s">
        <v>10086</v>
      </c>
      <c r="H5732" s="2">
        <v>1E-3</v>
      </c>
      <c r="K5732" s="2" t="s">
        <v>10085</v>
      </c>
    </row>
    <row r="5733" spans="1:11" x14ac:dyDescent="0.2">
      <c r="A5733" s="2">
        <v>1434</v>
      </c>
      <c r="B5733" s="2">
        <v>9</v>
      </c>
      <c r="C5733" s="2">
        <v>90135155</v>
      </c>
      <c r="D5733" s="2">
        <v>90890979</v>
      </c>
      <c r="E5733" s="2">
        <v>3</v>
      </c>
      <c r="F5733" s="2" t="s">
        <v>10086</v>
      </c>
      <c r="H5733" s="3">
        <v>6.9999999999999999E-4</v>
      </c>
      <c r="K5733" s="2" t="s">
        <v>10087</v>
      </c>
    </row>
    <row r="5734" spans="1:11" x14ac:dyDescent="0.2">
      <c r="A5734" s="2">
        <v>1434</v>
      </c>
      <c r="B5734" s="2">
        <v>9</v>
      </c>
      <c r="C5734" s="2">
        <v>90135155</v>
      </c>
      <c r="D5734" s="2">
        <v>90890979</v>
      </c>
      <c r="E5734" s="2">
        <v>4</v>
      </c>
      <c r="F5734" s="2" t="s">
        <v>10086</v>
      </c>
      <c r="H5734" s="3">
        <v>4.0000000000000002E-4</v>
      </c>
      <c r="K5734" s="2" t="s">
        <v>10089</v>
      </c>
    </row>
    <row r="5735" spans="1:11" x14ac:dyDescent="0.2">
      <c r="A5735" s="2">
        <v>1435</v>
      </c>
      <c r="B5735" s="2">
        <v>9</v>
      </c>
      <c r="C5735" s="2">
        <v>90890980</v>
      </c>
      <c r="D5735" s="2">
        <v>91643255</v>
      </c>
      <c r="E5735" s="2">
        <v>1</v>
      </c>
      <c r="F5735" s="2" t="s">
        <v>10086</v>
      </c>
      <c r="H5735" s="2">
        <v>2E-3</v>
      </c>
      <c r="K5735" s="2" t="s">
        <v>10089</v>
      </c>
    </row>
    <row r="5736" spans="1:11" x14ac:dyDescent="0.2">
      <c r="A5736" s="2">
        <v>1435</v>
      </c>
      <c r="B5736" s="2">
        <v>9</v>
      </c>
      <c r="C5736" s="2">
        <v>90890980</v>
      </c>
      <c r="D5736" s="2">
        <v>91643255</v>
      </c>
      <c r="E5736" s="2">
        <v>2</v>
      </c>
      <c r="F5736" s="2" t="s">
        <v>10086</v>
      </c>
      <c r="H5736" s="3">
        <v>8.9999999999999998E-4</v>
      </c>
      <c r="K5736" s="2" t="s">
        <v>10085</v>
      </c>
    </row>
    <row r="5737" spans="1:11" x14ac:dyDescent="0.2">
      <c r="A5737" s="2">
        <v>1435</v>
      </c>
      <c r="B5737" s="2">
        <v>9</v>
      </c>
      <c r="C5737" s="2">
        <v>90890980</v>
      </c>
      <c r="D5737" s="2">
        <v>91643255</v>
      </c>
      <c r="E5737" s="2">
        <v>3</v>
      </c>
      <c r="F5737" s="2" t="s">
        <v>10086</v>
      </c>
      <c r="H5737" s="3">
        <v>5.9999999999999995E-4</v>
      </c>
      <c r="K5737" s="2" t="s">
        <v>10088</v>
      </c>
    </row>
    <row r="5738" spans="1:11" x14ac:dyDescent="0.2">
      <c r="A5738" s="2">
        <v>1435</v>
      </c>
      <c r="B5738" s="2">
        <v>9</v>
      </c>
      <c r="C5738" s="2">
        <v>90890980</v>
      </c>
      <c r="D5738" s="2">
        <v>91643255</v>
      </c>
      <c r="E5738" s="2">
        <v>4</v>
      </c>
      <c r="F5738" s="2" t="s">
        <v>10086</v>
      </c>
      <c r="H5738" s="3">
        <v>2.9999999999999997E-4</v>
      </c>
      <c r="K5738" s="2" t="s">
        <v>10087</v>
      </c>
    </row>
    <row r="5739" spans="1:11" x14ac:dyDescent="0.2">
      <c r="A5739" s="2">
        <v>1436</v>
      </c>
      <c r="B5739" s="2">
        <v>9</v>
      </c>
      <c r="C5739" s="2">
        <v>91643256</v>
      </c>
      <c r="D5739" s="2">
        <v>92500277</v>
      </c>
      <c r="E5739" s="2">
        <v>1</v>
      </c>
      <c r="F5739" s="2" t="s">
        <v>10086</v>
      </c>
      <c r="H5739" s="2">
        <v>1.1000000000000001E-3</v>
      </c>
      <c r="K5739" s="2" t="s">
        <v>10085</v>
      </c>
    </row>
    <row r="5740" spans="1:11" x14ac:dyDescent="0.2">
      <c r="A5740" s="2">
        <v>1436</v>
      </c>
      <c r="B5740" s="2">
        <v>9</v>
      </c>
      <c r="C5740" s="2">
        <v>91643256</v>
      </c>
      <c r="D5740" s="2">
        <v>92500277</v>
      </c>
      <c r="E5740" s="2">
        <v>2</v>
      </c>
      <c r="F5740" s="2" t="s">
        <v>10086</v>
      </c>
      <c r="H5740" s="3">
        <v>8.9999999999999998E-4</v>
      </c>
      <c r="K5740" s="2" t="s">
        <v>10087</v>
      </c>
    </row>
    <row r="5741" spans="1:11" x14ac:dyDescent="0.2">
      <c r="A5741" s="2">
        <v>1436</v>
      </c>
      <c r="B5741" s="2">
        <v>9</v>
      </c>
      <c r="C5741" s="2">
        <v>91643256</v>
      </c>
      <c r="D5741" s="2">
        <v>92500277</v>
      </c>
      <c r="E5741" s="2">
        <v>3</v>
      </c>
      <c r="F5741" s="2" t="s">
        <v>10086</v>
      </c>
      <c r="H5741" s="3">
        <v>8.0000000000000004E-4</v>
      </c>
      <c r="K5741" s="2" t="s">
        <v>10089</v>
      </c>
    </row>
    <row r="5742" spans="1:11" x14ac:dyDescent="0.2">
      <c r="A5742" s="2">
        <v>1436</v>
      </c>
      <c r="B5742" s="2">
        <v>9</v>
      </c>
      <c r="C5742" s="2">
        <v>91643256</v>
      </c>
      <c r="D5742" s="2">
        <v>92500277</v>
      </c>
      <c r="E5742" s="2">
        <v>4</v>
      </c>
      <c r="F5742" s="2" t="s">
        <v>10086</v>
      </c>
      <c r="H5742" s="3">
        <v>5.0000000000000001E-4</v>
      </c>
      <c r="K5742" s="2" t="s">
        <v>12324</v>
      </c>
    </row>
    <row r="5743" spans="1:11" x14ac:dyDescent="0.2">
      <c r="A5743" s="2">
        <v>1437</v>
      </c>
      <c r="B5743" s="2">
        <v>9</v>
      </c>
      <c r="C5743" s="2">
        <v>92500278</v>
      </c>
      <c r="D5743" s="2">
        <v>93441050</v>
      </c>
      <c r="E5743" s="2">
        <v>1</v>
      </c>
      <c r="F5743" s="2" t="s">
        <v>10086</v>
      </c>
      <c r="H5743" s="2">
        <v>5.5999999999999999E-3</v>
      </c>
      <c r="K5743" s="2" t="s">
        <v>10087</v>
      </c>
    </row>
    <row r="5744" spans="1:11" x14ac:dyDescent="0.2">
      <c r="A5744" s="2">
        <v>1437</v>
      </c>
      <c r="B5744" s="2">
        <v>9</v>
      </c>
      <c r="C5744" s="2">
        <v>92500278</v>
      </c>
      <c r="D5744" s="2">
        <v>93441050</v>
      </c>
      <c r="E5744" s="2">
        <v>2</v>
      </c>
      <c r="F5744" s="2" t="s">
        <v>10086</v>
      </c>
      <c r="H5744" s="2">
        <v>4.7000000000000002E-3</v>
      </c>
      <c r="K5744" s="2" t="s">
        <v>10085</v>
      </c>
    </row>
    <row r="5745" spans="1:11" x14ac:dyDescent="0.2">
      <c r="A5745" s="2">
        <v>1437</v>
      </c>
      <c r="B5745" s="2">
        <v>9</v>
      </c>
      <c r="C5745" s="2">
        <v>92500278</v>
      </c>
      <c r="D5745" s="2">
        <v>93441050</v>
      </c>
      <c r="E5745" s="2">
        <v>3</v>
      </c>
      <c r="F5745" s="2" t="s">
        <v>10086</v>
      </c>
      <c r="H5745" s="2">
        <v>1.1000000000000001E-3</v>
      </c>
      <c r="K5745" s="2" t="s">
        <v>10088</v>
      </c>
    </row>
    <row r="5746" spans="1:11" x14ac:dyDescent="0.2">
      <c r="A5746" s="2">
        <v>1437</v>
      </c>
      <c r="B5746" s="2">
        <v>9</v>
      </c>
      <c r="C5746" s="2">
        <v>92500278</v>
      </c>
      <c r="D5746" s="2">
        <v>93441050</v>
      </c>
      <c r="E5746" s="2">
        <v>4</v>
      </c>
      <c r="F5746" s="2" t="s">
        <v>10086</v>
      </c>
      <c r="H5746" s="3">
        <v>5.0000000000000001E-4</v>
      </c>
      <c r="K5746" s="2" t="s">
        <v>12324</v>
      </c>
    </row>
    <row r="5747" spans="1:11" x14ac:dyDescent="0.2">
      <c r="A5747" s="2">
        <v>1438</v>
      </c>
      <c r="B5747" s="2">
        <v>9</v>
      </c>
      <c r="C5747" s="2">
        <v>93441051</v>
      </c>
      <c r="D5747" s="2">
        <v>94175374</v>
      </c>
      <c r="E5747" s="2">
        <v>1</v>
      </c>
      <c r="F5747" s="2" t="s">
        <v>10086</v>
      </c>
      <c r="H5747" s="2">
        <v>2.7000000000000001E-3</v>
      </c>
      <c r="K5747" s="2" t="s">
        <v>10089</v>
      </c>
    </row>
    <row r="5748" spans="1:11" x14ac:dyDescent="0.2">
      <c r="A5748" s="2">
        <v>1438</v>
      </c>
      <c r="B5748" s="2">
        <v>9</v>
      </c>
      <c r="C5748" s="2">
        <v>93441051</v>
      </c>
      <c r="D5748" s="2">
        <v>94175374</v>
      </c>
      <c r="E5748" s="2">
        <v>2</v>
      </c>
      <c r="F5748" s="2" t="s">
        <v>10086</v>
      </c>
      <c r="H5748" s="2">
        <v>2.3E-3</v>
      </c>
      <c r="K5748" s="2" t="s">
        <v>10087</v>
      </c>
    </row>
    <row r="5749" spans="1:11" x14ac:dyDescent="0.2">
      <c r="A5749" s="2">
        <v>1438</v>
      </c>
      <c r="B5749" s="2">
        <v>9</v>
      </c>
      <c r="C5749" s="2">
        <v>93441051</v>
      </c>
      <c r="D5749" s="2">
        <v>94175374</v>
      </c>
      <c r="E5749" s="2">
        <v>3</v>
      </c>
      <c r="F5749" s="2" t="s">
        <v>10086</v>
      </c>
      <c r="H5749" s="3">
        <v>8.0000000000000004E-4</v>
      </c>
      <c r="K5749" s="2" t="s">
        <v>10085</v>
      </c>
    </row>
    <row r="5750" spans="1:11" x14ac:dyDescent="0.2">
      <c r="A5750" s="2">
        <v>1438</v>
      </c>
      <c r="B5750" s="2">
        <v>9</v>
      </c>
      <c r="C5750" s="2">
        <v>93441051</v>
      </c>
      <c r="D5750" s="2">
        <v>94175374</v>
      </c>
      <c r="E5750" s="2">
        <v>4</v>
      </c>
      <c r="F5750" s="2" t="s">
        <v>10086</v>
      </c>
      <c r="H5750" s="3">
        <v>2.9999999999999997E-4</v>
      </c>
      <c r="K5750" s="2" t="s">
        <v>10088</v>
      </c>
    </row>
    <row r="5751" spans="1:11" x14ac:dyDescent="0.2">
      <c r="A5751" s="2">
        <v>1439</v>
      </c>
      <c r="B5751" s="2">
        <v>9</v>
      </c>
      <c r="C5751" s="2">
        <v>94175375</v>
      </c>
      <c r="D5751" s="2">
        <v>94924482</v>
      </c>
      <c r="E5751" s="2">
        <v>1</v>
      </c>
      <c r="F5751" s="2" t="s">
        <v>10086</v>
      </c>
      <c r="H5751" s="2">
        <v>3.5000000000000001E-3</v>
      </c>
      <c r="K5751" s="2" t="s">
        <v>10085</v>
      </c>
    </row>
    <row r="5752" spans="1:11" x14ac:dyDescent="0.2">
      <c r="A5752" s="2">
        <v>1439</v>
      </c>
      <c r="B5752" s="2">
        <v>9</v>
      </c>
      <c r="C5752" s="2">
        <v>94175375</v>
      </c>
      <c r="D5752" s="2">
        <v>94924482</v>
      </c>
      <c r="E5752" s="2">
        <v>2</v>
      </c>
      <c r="F5752" s="2" t="s">
        <v>10086</v>
      </c>
      <c r="H5752" s="2">
        <v>2E-3</v>
      </c>
      <c r="K5752" s="2" t="s">
        <v>10087</v>
      </c>
    </row>
    <row r="5753" spans="1:11" x14ac:dyDescent="0.2">
      <c r="A5753" s="2">
        <v>1439</v>
      </c>
      <c r="B5753" s="2">
        <v>9</v>
      </c>
      <c r="C5753" s="2">
        <v>94175375</v>
      </c>
      <c r="D5753" s="2">
        <v>94924482</v>
      </c>
      <c r="E5753" s="2">
        <v>3</v>
      </c>
      <c r="F5753" s="2" t="s">
        <v>10086</v>
      </c>
      <c r="H5753" s="2">
        <v>1.4E-3</v>
      </c>
      <c r="K5753" s="2" t="s">
        <v>10089</v>
      </c>
    </row>
    <row r="5754" spans="1:11" x14ac:dyDescent="0.2">
      <c r="A5754" s="2">
        <v>1439</v>
      </c>
      <c r="B5754" s="2">
        <v>9</v>
      </c>
      <c r="C5754" s="2">
        <v>94175375</v>
      </c>
      <c r="D5754" s="2">
        <v>94924482</v>
      </c>
      <c r="E5754" s="2">
        <v>4</v>
      </c>
      <c r="F5754" s="2" t="s">
        <v>10086</v>
      </c>
      <c r="H5754" s="3">
        <v>5.9999999999999995E-4</v>
      </c>
      <c r="K5754" s="2" t="s">
        <v>10088</v>
      </c>
    </row>
    <row r="5755" spans="1:11" x14ac:dyDescent="0.2">
      <c r="A5755" s="2">
        <v>1440</v>
      </c>
      <c r="B5755" s="2">
        <v>9</v>
      </c>
      <c r="C5755" s="2">
        <v>94924483</v>
      </c>
      <c r="D5755" s="2">
        <v>95854925</v>
      </c>
      <c r="E5755" s="2">
        <v>1</v>
      </c>
      <c r="F5755" s="2" t="s">
        <v>10086</v>
      </c>
      <c r="H5755" s="2">
        <v>1.2999999999999999E-3</v>
      </c>
      <c r="K5755" s="2" t="s">
        <v>10089</v>
      </c>
    </row>
    <row r="5756" spans="1:11" x14ac:dyDescent="0.2">
      <c r="A5756" s="2">
        <v>1440</v>
      </c>
      <c r="B5756" s="2">
        <v>9</v>
      </c>
      <c r="C5756" s="2">
        <v>94924483</v>
      </c>
      <c r="D5756" s="2">
        <v>95854925</v>
      </c>
      <c r="E5756" s="2">
        <v>2</v>
      </c>
      <c r="F5756" s="2" t="s">
        <v>10086</v>
      </c>
      <c r="H5756" s="3">
        <v>8.9999999999999998E-4</v>
      </c>
      <c r="K5756" s="2" t="s">
        <v>10088</v>
      </c>
    </row>
    <row r="5757" spans="1:11" x14ac:dyDescent="0.2">
      <c r="A5757" s="2">
        <v>1440</v>
      </c>
      <c r="B5757" s="2">
        <v>9</v>
      </c>
      <c r="C5757" s="2">
        <v>94924483</v>
      </c>
      <c r="D5757" s="2">
        <v>95854925</v>
      </c>
      <c r="E5757" s="2">
        <v>3</v>
      </c>
      <c r="F5757" s="2" t="s">
        <v>10086</v>
      </c>
      <c r="H5757" s="3">
        <v>6.9999999999999999E-4</v>
      </c>
      <c r="K5757" s="2" t="s">
        <v>10087</v>
      </c>
    </row>
    <row r="5758" spans="1:11" x14ac:dyDescent="0.2">
      <c r="A5758" s="2">
        <v>1440</v>
      </c>
      <c r="B5758" s="2">
        <v>9</v>
      </c>
      <c r="C5758" s="2">
        <v>94924483</v>
      </c>
      <c r="D5758" s="2">
        <v>95854925</v>
      </c>
      <c r="E5758" s="2">
        <v>4</v>
      </c>
      <c r="F5758" s="2" t="s">
        <v>10086</v>
      </c>
      <c r="H5758" s="3">
        <v>4.0000000000000002E-4</v>
      </c>
      <c r="K5758" s="2" t="s">
        <v>10085</v>
      </c>
    </row>
    <row r="5759" spans="1:11" x14ac:dyDescent="0.2">
      <c r="A5759" s="2">
        <v>1441</v>
      </c>
      <c r="B5759" s="2">
        <v>9</v>
      </c>
      <c r="C5759" s="2">
        <v>95854926</v>
      </c>
      <c r="D5759" s="2">
        <v>96670171</v>
      </c>
      <c r="E5759" s="2">
        <v>2</v>
      </c>
      <c r="F5759" s="2" t="s">
        <v>10086</v>
      </c>
      <c r="H5759" s="2">
        <v>3.3E-3</v>
      </c>
      <c r="K5759" s="2" t="s">
        <v>10087</v>
      </c>
    </row>
    <row r="5760" spans="1:11" x14ac:dyDescent="0.2">
      <c r="A5760" s="2">
        <v>1441</v>
      </c>
      <c r="B5760" s="2">
        <v>9</v>
      </c>
      <c r="C5760" s="2">
        <v>95854926</v>
      </c>
      <c r="D5760" s="2">
        <v>96670171</v>
      </c>
      <c r="E5760" s="2">
        <v>3</v>
      </c>
      <c r="F5760" s="2" t="s">
        <v>10086</v>
      </c>
      <c r="H5760" s="2">
        <v>1E-3</v>
      </c>
      <c r="K5760" s="2" t="s">
        <v>10085</v>
      </c>
    </row>
    <row r="5761" spans="1:11" x14ac:dyDescent="0.2">
      <c r="A5761" s="2">
        <v>1442</v>
      </c>
      <c r="B5761" s="2">
        <v>9</v>
      </c>
      <c r="C5761" s="2">
        <v>96670172</v>
      </c>
      <c r="D5761" s="2">
        <v>97418633</v>
      </c>
      <c r="E5761" s="2">
        <v>1</v>
      </c>
      <c r="F5761" s="2" t="s">
        <v>10086</v>
      </c>
      <c r="H5761" s="2">
        <v>5.4999999999999997E-3</v>
      </c>
      <c r="K5761" s="2" t="s">
        <v>12324</v>
      </c>
    </row>
    <row r="5762" spans="1:11" x14ac:dyDescent="0.2">
      <c r="A5762" s="2">
        <v>1442</v>
      </c>
      <c r="B5762" s="2">
        <v>9</v>
      </c>
      <c r="C5762" s="2">
        <v>96670172</v>
      </c>
      <c r="D5762" s="2">
        <v>97418633</v>
      </c>
      <c r="E5762" s="2">
        <v>2</v>
      </c>
      <c r="F5762" s="2" t="s">
        <v>10086</v>
      </c>
      <c r="H5762" s="3">
        <v>8.0000000000000004E-4</v>
      </c>
      <c r="K5762" s="2" t="s">
        <v>10088</v>
      </c>
    </row>
    <row r="5763" spans="1:11" x14ac:dyDescent="0.2">
      <c r="A5763" s="2">
        <v>1442</v>
      </c>
      <c r="B5763" s="2">
        <v>9</v>
      </c>
      <c r="C5763" s="2">
        <v>96670172</v>
      </c>
      <c r="D5763" s="2">
        <v>97418633</v>
      </c>
      <c r="E5763" s="2">
        <v>3</v>
      </c>
      <c r="F5763" s="2" t="s">
        <v>10086</v>
      </c>
      <c r="H5763" s="3">
        <v>5.9999999999999995E-4</v>
      </c>
      <c r="K5763" s="2" t="s">
        <v>10089</v>
      </c>
    </row>
    <row r="5764" spans="1:11" x14ac:dyDescent="0.2">
      <c r="A5764" s="2">
        <v>1442</v>
      </c>
      <c r="B5764" s="2">
        <v>9</v>
      </c>
      <c r="C5764" s="2">
        <v>96670172</v>
      </c>
      <c r="D5764" s="2">
        <v>97418633</v>
      </c>
      <c r="E5764" s="2">
        <v>4</v>
      </c>
      <c r="F5764" s="2" t="s">
        <v>10086</v>
      </c>
      <c r="H5764" s="3">
        <v>5.0000000000000001E-4</v>
      </c>
      <c r="K5764" s="2" t="s">
        <v>10085</v>
      </c>
    </row>
    <row r="5765" spans="1:11" x14ac:dyDescent="0.2">
      <c r="A5765" s="2">
        <v>1443</v>
      </c>
      <c r="B5765" s="2">
        <v>9</v>
      </c>
      <c r="C5765" s="2">
        <v>97418634</v>
      </c>
      <c r="D5765" s="2">
        <v>98885862</v>
      </c>
      <c r="E5765" s="2">
        <v>1</v>
      </c>
      <c r="F5765" s="2" t="s">
        <v>10086</v>
      </c>
      <c r="H5765" s="2">
        <v>3.3E-3</v>
      </c>
      <c r="K5765" s="2" t="s">
        <v>10088</v>
      </c>
    </row>
    <row r="5766" spans="1:11" x14ac:dyDescent="0.2">
      <c r="A5766" s="2">
        <v>1443</v>
      </c>
      <c r="B5766" s="2">
        <v>9</v>
      </c>
      <c r="C5766" s="2">
        <v>97418634</v>
      </c>
      <c r="D5766" s="2">
        <v>98885862</v>
      </c>
      <c r="E5766" s="2">
        <v>2</v>
      </c>
      <c r="F5766" s="2" t="s">
        <v>10086</v>
      </c>
      <c r="H5766" s="2">
        <v>4.3E-3</v>
      </c>
      <c r="K5766" s="2" t="s">
        <v>10089</v>
      </c>
    </row>
    <row r="5767" spans="1:11" x14ac:dyDescent="0.2">
      <c r="A5767" s="2">
        <v>1443</v>
      </c>
      <c r="B5767" s="2">
        <v>9</v>
      </c>
      <c r="C5767" s="2">
        <v>97418634</v>
      </c>
      <c r="D5767" s="2">
        <v>98885862</v>
      </c>
      <c r="E5767" s="2">
        <v>3</v>
      </c>
      <c r="F5767" s="2" t="s">
        <v>10086</v>
      </c>
      <c r="H5767" s="2">
        <v>1.6999999999999999E-3</v>
      </c>
      <c r="K5767" s="2" t="s">
        <v>10085</v>
      </c>
    </row>
    <row r="5768" spans="1:11" x14ac:dyDescent="0.2">
      <c r="A5768" s="2">
        <v>1443</v>
      </c>
      <c r="B5768" s="2">
        <v>9</v>
      </c>
      <c r="C5768" s="2">
        <v>97418634</v>
      </c>
      <c r="D5768" s="2">
        <v>98885862</v>
      </c>
      <c r="E5768" s="2">
        <v>4</v>
      </c>
      <c r="F5768" s="2" t="s">
        <v>10086</v>
      </c>
      <c r="H5768" s="3">
        <v>4.0000000000000002E-4</v>
      </c>
      <c r="K5768" s="2" t="s">
        <v>10087</v>
      </c>
    </row>
    <row r="5769" spans="1:11" x14ac:dyDescent="0.2">
      <c r="A5769" s="2">
        <v>1444</v>
      </c>
      <c r="B5769" s="2">
        <v>9</v>
      </c>
      <c r="C5769" s="2">
        <v>98885863</v>
      </c>
      <c r="D5769" s="2">
        <v>100310517</v>
      </c>
      <c r="E5769" s="2">
        <v>1</v>
      </c>
      <c r="F5769" s="2" t="s">
        <v>10086</v>
      </c>
      <c r="H5769" s="2">
        <v>4.5999999999999999E-3</v>
      </c>
      <c r="K5769" s="2" t="s">
        <v>10088</v>
      </c>
    </row>
    <row r="5770" spans="1:11" x14ac:dyDescent="0.2">
      <c r="A5770" s="2">
        <v>1444</v>
      </c>
      <c r="B5770" s="2">
        <v>9</v>
      </c>
      <c r="C5770" s="2">
        <v>98885863</v>
      </c>
      <c r="D5770" s="2">
        <v>100310517</v>
      </c>
      <c r="E5770" s="2">
        <v>2</v>
      </c>
      <c r="F5770" s="2" t="s">
        <v>10086</v>
      </c>
      <c r="H5770" s="2">
        <v>1.6999999999999999E-3</v>
      </c>
      <c r="K5770" s="2" t="s">
        <v>10085</v>
      </c>
    </row>
    <row r="5771" spans="1:11" x14ac:dyDescent="0.2">
      <c r="A5771" s="2">
        <v>1444</v>
      </c>
      <c r="B5771" s="2">
        <v>9</v>
      </c>
      <c r="C5771" s="2">
        <v>98885863</v>
      </c>
      <c r="D5771" s="2">
        <v>100310517</v>
      </c>
      <c r="E5771" s="2">
        <v>3</v>
      </c>
      <c r="F5771" s="2" t="s">
        <v>10086</v>
      </c>
      <c r="H5771" s="2">
        <v>1.1999999999999999E-3</v>
      </c>
      <c r="K5771" s="2" t="s">
        <v>10089</v>
      </c>
    </row>
    <row r="5772" spans="1:11" x14ac:dyDescent="0.2">
      <c r="A5772" s="2">
        <v>1444</v>
      </c>
      <c r="B5772" s="2">
        <v>9</v>
      </c>
      <c r="C5772" s="2">
        <v>98885863</v>
      </c>
      <c r="D5772" s="2">
        <v>100310517</v>
      </c>
      <c r="E5772" s="2">
        <v>4</v>
      </c>
      <c r="F5772" s="2" t="s">
        <v>10086</v>
      </c>
      <c r="H5772" s="3">
        <v>4.0000000000000002E-4</v>
      </c>
      <c r="K5772" s="2" t="s">
        <v>10087</v>
      </c>
    </row>
    <row r="5773" spans="1:11" x14ac:dyDescent="0.2">
      <c r="A5773" s="2">
        <v>1445</v>
      </c>
      <c r="B5773" s="2">
        <v>9</v>
      </c>
      <c r="C5773" s="2">
        <v>100310518</v>
      </c>
      <c r="D5773" s="2">
        <v>101596750</v>
      </c>
      <c r="E5773" s="2">
        <v>1</v>
      </c>
      <c r="F5773" s="2" t="s">
        <v>10086</v>
      </c>
      <c r="H5773" s="2">
        <v>1.6000000000000001E-3</v>
      </c>
      <c r="K5773" s="2" t="s">
        <v>10088</v>
      </c>
    </row>
    <row r="5774" spans="1:11" x14ac:dyDescent="0.2">
      <c r="A5774" s="2">
        <v>1445</v>
      </c>
      <c r="B5774" s="2">
        <v>9</v>
      </c>
      <c r="C5774" s="2">
        <v>100310518</v>
      </c>
      <c r="D5774" s="2">
        <v>101596750</v>
      </c>
      <c r="E5774" s="2">
        <v>2</v>
      </c>
      <c r="F5774" s="2" t="s">
        <v>10086</v>
      </c>
      <c r="H5774" s="2">
        <v>1.2999999999999999E-3</v>
      </c>
      <c r="K5774" s="2" t="s">
        <v>10087</v>
      </c>
    </row>
    <row r="5775" spans="1:11" x14ac:dyDescent="0.2">
      <c r="A5775" s="2">
        <v>1445</v>
      </c>
      <c r="B5775" s="2">
        <v>9</v>
      </c>
      <c r="C5775" s="2">
        <v>100310518</v>
      </c>
      <c r="D5775" s="2">
        <v>101596750</v>
      </c>
      <c r="E5775" s="2">
        <v>3</v>
      </c>
      <c r="F5775" s="2" t="s">
        <v>10086</v>
      </c>
      <c r="H5775" s="3">
        <v>8.9999999999999998E-4</v>
      </c>
      <c r="K5775" s="2" t="s">
        <v>10089</v>
      </c>
    </row>
    <row r="5776" spans="1:11" x14ac:dyDescent="0.2">
      <c r="A5776" s="2">
        <v>1445</v>
      </c>
      <c r="B5776" s="2">
        <v>9</v>
      </c>
      <c r="C5776" s="2">
        <v>100310518</v>
      </c>
      <c r="D5776" s="2">
        <v>101596750</v>
      </c>
      <c r="E5776" s="2">
        <v>4</v>
      </c>
      <c r="F5776" s="2" t="s">
        <v>10086</v>
      </c>
      <c r="H5776" s="3">
        <v>5.9999999999999995E-4</v>
      </c>
      <c r="K5776" s="2" t="s">
        <v>10085</v>
      </c>
    </row>
    <row r="5777" spans="1:11" x14ac:dyDescent="0.2">
      <c r="A5777" s="2">
        <v>1446</v>
      </c>
      <c r="B5777" s="2">
        <v>9</v>
      </c>
      <c r="C5777" s="2">
        <v>101596751</v>
      </c>
      <c r="D5777" s="2">
        <v>103165725</v>
      </c>
      <c r="E5777" s="2">
        <v>1</v>
      </c>
      <c r="F5777" s="2" t="s">
        <v>10086</v>
      </c>
      <c r="H5777" s="2">
        <v>8.5000000000000006E-3</v>
      </c>
      <c r="K5777" s="2" t="s">
        <v>10089</v>
      </c>
    </row>
    <row r="5778" spans="1:11" x14ac:dyDescent="0.2">
      <c r="A5778" s="2">
        <v>1446</v>
      </c>
      <c r="B5778" s="2">
        <v>9</v>
      </c>
      <c r="C5778" s="2">
        <v>101596751</v>
      </c>
      <c r="D5778" s="2">
        <v>103165725</v>
      </c>
      <c r="E5778" s="2">
        <v>2</v>
      </c>
      <c r="F5778" s="2" t="s">
        <v>10086</v>
      </c>
      <c r="H5778" s="2">
        <v>1.2999999999999999E-3</v>
      </c>
      <c r="K5778" s="2" t="s">
        <v>10088</v>
      </c>
    </row>
    <row r="5779" spans="1:11" x14ac:dyDescent="0.2">
      <c r="A5779" s="2">
        <v>1446</v>
      </c>
      <c r="B5779" s="2">
        <v>9</v>
      </c>
      <c r="C5779" s="2">
        <v>101596751</v>
      </c>
      <c r="D5779" s="2">
        <v>103165725</v>
      </c>
      <c r="E5779" s="2">
        <v>3</v>
      </c>
      <c r="F5779" s="2" t="s">
        <v>10086</v>
      </c>
      <c r="H5779" s="3">
        <v>8.0000000000000004E-4</v>
      </c>
      <c r="K5779" s="2" t="s">
        <v>10085</v>
      </c>
    </row>
    <row r="5780" spans="1:11" x14ac:dyDescent="0.2">
      <c r="A5780" s="2">
        <v>1446</v>
      </c>
      <c r="B5780" s="2">
        <v>9</v>
      </c>
      <c r="C5780" s="2">
        <v>101596751</v>
      </c>
      <c r="D5780" s="2">
        <v>103165725</v>
      </c>
      <c r="E5780" s="2">
        <v>4</v>
      </c>
      <c r="F5780" s="2" t="s">
        <v>10086</v>
      </c>
      <c r="H5780" s="3">
        <v>6.9999999999999999E-4</v>
      </c>
      <c r="K5780" s="2" t="s">
        <v>10087</v>
      </c>
    </row>
    <row r="5781" spans="1:11" x14ac:dyDescent="0.2">
      <c r="A5781" s="2">
        <v>1447</v>
      </c>
      <c r="B5781" s="2">
        <v>9</v>
      </c>
      <c r="C5781" s="2">
        <v>103165726</v>
      </c>
      <c r="D5781" s="2">
        <v>104222848</v>
      </c>
      <c r="E5781" s="2">
        <v>1</v>
      </c>
      <c r="F5781" s="2" t="s">
        <v>10086</v>
      </c>
      <c r="H5781" s="2">
        <v>2.8999999999999998E-3</v>
      </c>
      <c r="K5781" s="2" t="s">
        <v>10089</v>
      </c>
    </row>
    <row r="5782" spans="1:11" x14ac:dyDescent="0.2">
      <c r="A5782" s="2">
        <v>1447</v>
      </c>
      <c r="B5782" s="2">
        <v>9</v>
      </c>
      <c r="C5782" s="2">
        <v>103165726</v>
      </c>
      <c r="D5782" s="2">
        <v>104222848</v>
      </c>
      <c r="E5782" s="2">
        <v>2</v>
      </c>
      <c r="F5782" s="2" t="s">
        <v>10086</v>
      </c>
      <c r="H5782" s="2">
        <v>1.5E-3</v>
      </c>
      <c r="K5782" s="2" t="s">
        <v>10088</v>
      </c>
    </row>
    <row r="5783" spans="1:11" x14ac:dyDescent="0.2">
      <c r="A5783" s="2">
        <v>1447</v>
      </c>
      <c r="B5783" s="2">
        <v>9</v>
      </c>
      <c r="C5783" s="2">
        <v>103165726</v>
      </c>
      <c r="D5783" s="2">
        <v>104222848</v>
      </c>
      <c r="E5783" s="2">
        <v>3</v>
      </c>
      <c r="F5783" s="2" t="s">
        <v>10086</v>
      </c>
      <c r="H5783" s="3">
        <v>8.9999999999999998E-4</v>
      </c>
      <c r="K5783" s="2" t="s">
        <v>10087</v>
      </c>
    </row>
    <row r="5784" spans="1:11" x14ac:dyDescent="0.2">
      <c r="A5784" s="2">
        <v>1447</v>
      </c>
      <c r="B5784" s="2">
        <v>9</v>
      </c>
      <c r="C5784" s="2">
        <v>103165726</v>
      </c>
      <c r="D5784" s="2">
        <v>104222848</v>
      </c>
      <c r="E5784" s="2">
        <v>4</v>
      </c>
      <c r="F5784" s="2" t="s">
        <v>10086</v>
      </c>
      <c r="H5784" s="3">
        <v>6.9999999999999999E-4</v>
      </c>
      <c r="K5784" s="2" t="s">
        <v>12324</v>
      </c>
    </row>
    <row r="5785" spans="1:11" x14ac:dyDescent="0.2">
      <c r="A5785" s="2">
        <v>1448</v>
      </c>
      <c r="B5785" s="2">
        <v>9</v>
      </c>
      <c r="C5785" s="2">
        <v>104222849</v>
      </c>
      <c r="D5785" s="2">
        <v>105043411</v>
      </c>
      <c r="E5785" s="2">
        <v>1</v>
      </c>
      <c r="F5785" s="2" t="s">
        <v>10086</v>
      </c>
      <c r="H5785" s="3">
        <v>6.9999999999999999E-4</v>
      </c>
      <c r="K5785" s="2" t="s">
        <v>10088</v>
      </c>
    </row>
    <row r="5786" spans="1:11" x14ac:dyDescent="0.2">
      <c r="A5786" s="2">
        <v>1448</v>
      </c>
      <c r="B5786" s="2">
        <v>9</v>
      </c>
      <c r="C5786" s="2">
        <v>104222849</v>
      </c>
      <c r="D5786" s="2">
        <v>105043411</v>
      </c>
      <c r="E5786" s="2">
        <v>2</v>
      </c>
      <c r="F5786" s="2" t="s">
        <v>10086</v>
      </c>
      <c r="H5786" s="3">
        <v>8.0000000000000004E-4</v>
      </c>
      <c r="K5786" s="2" t="s">
        <v>10085</v>
      </c>
    </row>
    <row r="5787" spans="1:11" x14ac:dyDescent="0.2">
      <c r="A5787" s="2">
        <v>1448</v>
      </c>
      <c r="B5787" s="2">
        <v>9</v>
      </c>
      <c r="C5787" s="2">
        <v>104222849</v>
      </c>
      <c r="D5787" s="2">
        <v>105043411</v>
      </c>
      <c r="E5787" s="2">
        <v>3</v>
      </c>
      <c r="F5787" s="2" t="s">
        <v>10086</v>
      </c>
      <c r="H5787" s="3">
        <v>6.9999999999999999E-4</v>
      </c>
      <c r="K5787" s="2" t="s">
        <v>10089</v>
      </c>
    </row>
    <row r="5788" spans="1:11" x14ac:dyDescent="0.2">
      <c r="A5788" s="2">
        <v>1448</v>
      </c>
      <c r="B5788" s="2">
        <v>9</v>
      </c>
      <c r="C5788" s="2">
        <v>104222849</v>
      </c>
      <c r="D5788" s="2">
        <v>105043411</v>
      </c>
      <c r="E5788" s="2">
        <v>4</v>
      </c>
      <c r="F5788" s="2" t="s">
        <v>10086</v>
      </c>
      <c r="H5788" s="3">
        <v>4.0000000000000002E-4</v>
      </c>
      <c r="K5788" s="2" t="s">
        <v>10087</v>
      </c>
    </row>
    <row r="5789" spans="1:11" x14ac:dyDescent="0.2">
      <c r="A5789" s="2">
        <v>1449</v>
      </c>
      <c r="B5789" s="2">
        <v>9</v>
      </c>
      <c r="C5789" s="2">
        <v>105043412</v>
      </c>
      <c r="D5789" s="2">
        <v>105846545</v>
      </c>
      <c r="E5789" s="2">
        <v>1</v>
      </c>
      <c r="F5789" s="2" t="s">
        <v>10086</v>
      </c>
      <c r="H5789" s="2">
        <v>1.6000000000000001E-3</v>
      </c>
      <c r="K5789" s="2" t="s">
        <v>10085</v>
      </c>
    </row>
    <row r="5790" spans="1:11" x14ac:dyDescent="0.2">
      <c r="A5790" s="2">
        <v>1449</v>
      </c>
      <c r="B5790" s="2">
        <v>9</v>
      </c>
      <c r="C5790" s="2">
        <v>105043412</v>
      </c>
      <c r="D5790" s="2">
        <v>105846545</v>
      </c>
      <c r="E5790" s="2">
        <v>2</v>
      </c>
      <c r="F5790" s="2" t="s">
        <v>10086</v>
      </c>
      <c r="H5790" s="2">
        <v>1.1000000000000001E-3</v>
      </c>
      <c r="K5790" s="2" t="s">
        <v>10089</v>
      </c>
    </row>
    <row r="5791" spans="1:11" x14ac:dyDescent="0.2">
      <c r="A5791" s="2">
        <v>1449</v>
      </c>
      <c r="B5791" s="2">
        <v>9</v>
      </c>
      <c r="C5791" s="2">
        <v>105043412</v>
      </c>
      <c r="D5791" s="2">
        <v>105846545</v>
      </c>
      <c r="E5791" s="2">
        <v>3</v>
      </c>
      <c r="F5791" s="2" t="s">
        <v>10086</v>
      </c>
      <c r="H5791" s="2">
        <v>1.5E-3</v>
      </c>
      <c r="K5791" s="2" t="s">
        <v>10087</v>
      </c>
    </row>
    <row r="5792" spans="1:11" x14ac:dyDescent="0.2">
      <c r="A5792" s="2">
        <v>1449</v>
      </c>
      <c r="B5792" s="2">
        <v>9</v>
      </c>
      <c r="C5792" s="2">
        <v>105043412</v>
      </c>
      <c r="D5792" s="2">
        <v>105846545</v>
      </c>
      <c r="E5792" s="2">
        <v>4</v>
      </c>
      <c r="F5792" s="2" t="s">
        <v>10086</v>
      </c>
      <c r="H5792" s="3">
        <v>2.9999999999999997E-4</v>
      </c>
      <c r="K5792" s="2" t="s">
        <v>10088</v>
      </c>
    </row>
    <row r="5793" spans="1:11" x14ac:dyDescent="0.2">
      <c r="A5793" s="2">
        <v>1450</v>
      </c>
      <c r="B5793" s="2">
        <v>9</v>
      </c>
      <c r="C5793" s="2">
        <v>105846546</v>
      </c>
      <c r="D5793" s="2">
        <v>107061019</v>
      </c>
      <c r="E5793" s="2">
        <v>1</v>
      </c>
      <c r="F5793" s="2" t="s">
        <v>10086</v>
      </c>
      <c r="H5793" s="2">
        <v>1.6000000000000001E-3</v>
      </c>
      <c r="K5793" s="2" t="s">
        <v>10085</v>
      </c>
    </row>
    <row r="5794" spans="1:11" x14ac:dyDescent="0.2">
      <c r="A5794" s="2">
        <v>1450</v>
      </c>
      <c r="B5794" s="2">
        <v>9</v>
      </c>
      <c r="C5794" s="2">
        <v>105846546</v>
      </c>
      <c r="D5794" s="2">
        <v>107061019</v>
      </c>
      <c r="E5794" s="2">
        <v>2</v>
      </c>
      <c r="F5794" s="2" t="s">
        <v>10086</v>
      </c>
      <c r="H5794" s="2">
        <v>1.5E-3</v>
      </c>
      <c r="K5794" s="2" t="s">
        <v>10088</v>
      </c>
    </row>
    <row r="5795" spans="1:11" x14ac:dyDescent="0.2">
      <c r="A5795" s="2">
        <v>1450</v>
      </c>
      <c r="B5795" s="2">
        <v>9</v>
      </c>
      <c r="C5795" s="2">
        <v>105846546</v>
      </c>
      <c r="D5795" s="2">
        <v>107061019</v>
      </c>
      <c r="E5795" s="2">
        <v>3</v>
      </c>
      <c r="F5795" s="2" t="s">
        <v>10086</v>
      </c>
      <c r="H5795" s="2">
        <v>1.8E-3</v>
      </c>
      <c r="K5795" s="2" t="s">
        <v>10087</v>
      </c>
    </row>
    <row r="5796" spans="1:11" x14ac:dyDescent="0.2">
      <c r="A5796" s="2">
        <v>1450</v>
      </c>
      <c r="B5796" s="2">
        <v>9</v>
      </c>
      <c r="C5796" s="2">
        <v>105846546</v>
      </c>
      <c r="D5796" s="2">
        <v>107061019</v>
      </c>
      <c r="E5796" s="2">
        <v>4</v>
      </c>
      <c r="F5796" s="2" t="s">
        <v>10086</v>
      </c>
      <c r="H5796" s="3">
        <v>4.0000000000000002E-4</v>
      </c>
      <c r="K5796" s="2" t="s">
        <v>10089</v>
      </c>
    </row>
    <row r="5797" spans="1:11" x14ac:dyDescent="0.2">
      <c r="A5797" s="2">
        <v>1451</v>
      </c>
      <c r="B5797" s="2">
        <v>9</v>
      </c>
      <c r="C5797" s="2">
        <v>107061020</v>
      </c>
      <c r="D5797" s="2">
        <v>108203095</v>
      </c>
      <c r="E5797" s="2">
        <v>1</v>
      </c>
      <c r="F5797" s="2" t="s">
        <v>10086</v>
      </c>
      <c r="H5797" s="2">
        <v>3.0000000000000001E-3</v>
      </c>
      <c r="K5797" s="2" t="s">
        <v>10087</v>
      </c>
    </row>
    <row r="5798" spans="1:11" x14ac:dyDescent="0.2">
      <c r="A5798" s="2">
        <v>1451</v>
      </c>
      <c r="B5798" s="2">
        <v>9</v>
      </c>
      <c r="C5798" s="2">
        <v>107061020</v>
      </c>
      <c r="D5798" s="2">
        <v>108203095</v>
      </c>
      <c r="E5798" s="2">
        <v>2</v>
      </c>
      <c r="F5798" s="2" t="s">
        <v>10086</v>
      </c>
      <c r="H5798" s="2">
        <v>1.9E-3</v>
      </c>
      <c r="K5798" s="2" t="s">
        <v>10089</v>
      </c>
    </row>
    <row r="5799" spans="1:11" x14ac:dyDescent="0.2">
      <c r="A5799" s="2">
        <v>1451</v>
      </c>
      <c r="B5799" s="2">
        <v>9</v>
      </c>
      <c r="C5799" s="2">
        <v>107061020</v>
      </c>
      <c r="D5799" s="2">
        <v>108203095</v>
      </c>
      <c r="E5799" s="2">
        <v>3</v>
      </c>
      <c r="F5799" s="2" t="s">
        <v>10086</v>
      </c>
      <c r="H5799" s="2">
        <v>1.5E-3</v>
      </c>
      <c r="K5799" s="2" t="s">
        <v>10088</v>
      </c>
    </row>
    <row r="5800" spans="1:11" x14ac:dyDescent="0.2">
      <c r="A5800" s="2">
        <v>1451</v>
      </c>
      <c r="B5800" s="2">
        <v>9</v>
      </c>
      <c r="C5800" s="2">
        <v>107061020</v>
      </c>
      <c r="D5800" s="2">
        <v>108203095</v>
      </c>
      <c r="E5800" s="2">
        <v>4</v>
      </c>
      <c r="F5800" s="2" t="s">
        <v>10086</v>
      </c>
      <c r="H5800" s="3">
        <v>5.0000000000000001E-4</v>
      </c>
      <c r="K5800" s="2" t="s">
        <v>10085</v>
      </c>
    </row>
    <row r="5801" spans="1:11" x14ac:dyDescent="0.2">
      <c r="A5801" s="2">
        <v>1452</v>
      </c>
      <c r="B5801" s="2">
        <v>9</v>
      </c>
      <c r="C5801" s="2">
        <v>108203096</v>
      </c>
      <c r="D5801" s="2">
        <v>109150717</v>
      </c>
      <c r="E5801" s="2">
        <v>1</v>
      </c>
      <c r="F5801" s="2" t="s">
        <v>10086</v>
      </c>
      <c r="H5801" s="2">
        <v>2.3E-3</v>
      </c>
      <c r="K5801" s="2" t="s">
        <v>10089</v>
      </c>
    </row>
    <row r="5802" spans="1:11" x14ac:dyDescent="0.2">
      <c r="A5802" s="2">
        <v>1452</v>
      </c>
      <c r="B5802" s="2">
        <v>9</v>
      </c>
      <c r="C5802" s="2">
        <v>108203096</v>
      </c>
      <c r="D5802" s="2">
        <v>109150717</v>
      </c>
      <c r="E5802" s="2">
        <v>2</v>
      </c>
      <c r="F5802" s="2" t="s">
        <v>10086</v>
      </c>
      <c r="H5802" s="2">
        <v>1E-3</v>
      </c>
      <c r="K5802" s="2" t="s">
        <v>12324</v>
      </c>
    </row>
    <row r="5803" spans="1:11" x14ac:dyDescent="0.2">
      <c r="A5803" s="2">
        <v>1452</v>
      </c>
      <c r="B5803" s="2">
        <v>9</v>
      </c>
      <c r="C5803" s="2">
        <v>108203096</v>
      </c>
      <c r="D5803" s="2">
        <v>109150717</v>
      </c>
      <c r="E5803" s="2">
        <v>3</v>
      </c>
      <c r="F5803" s="2" t="s">
        <v>10086</v>
      </c>
      <c r="H5803" s="3">
        <v>6.9999999999999999E-4</v>
      </c>
      <c r="K5803" s="2" t="s">
        <v>10087</v>
      </c>
    </row>
    <row r="5804" spans="1:11" x14ac:dyDescent="0.2">
      <c r="A5804" s="2">
        <v>1452</v>
      </c>
      <c r="B5804" s="2">
        <v>9</v>
      </c>
      <c r="C5804" s="2">
        <v>108203096</v>
      </c>
      <c r="D5804" s="2">
        <v>109150717</v>
      </c>
      <c r="E5804" s="2">
        <v>4</v>
      </c>
      <c r="F5804" s="2" t="s">
        <v>10086</v>
      </c>
      <c r="H5804" s="3">
        <v>6.9999999999999999E-4</v>
      </c>
      <c r="K5804" s="2" t="s">
        <v>10088</v>
      </c>
    </row>
    <row r="5805" spans="1:11" x14ac:dyDescent="0.2">
      <c r="A5805" s="2">
        <v>1453</v>
      </c>
      <c r="B5805" s="2">
        <v>9</v>
      </c>
      <c r="C5805" s="2">
        <v>109150718</v>
      </c>
      <c r="D5805" s="2">
        <v>110630150</v>
      </c>
      <c r="E5805" s="2">
        <v>1</v>
      </c>
      <c r="F5805" s="2" t="s">
        <v>10086</v>
      </c>
      <c r="H5805" s="2">
        <v>1.5100000000000001E-2</v>
      </c>
      <c r="K5805" s="2" t="s">
        <v>10089</v>
      </c>
    </row>
    <row r="5806" spans="1:11" x14ac:dyDescent="0.2">
      <c r="A5806" s="2">
        <v>1453</v>
      </c>
      <c r="B5806" s="2">
        <v>9</v>
      </c>
      <c r="C5806" s="2">
        <v>109150718</v>
      </c>
      <c r="D5806" s="2">
        <v>110630150</v>
      </c>
      <c r="E5806" s="2">
        <v>2</v>
      </c>
      <c r="F5806" s="2" t="s">
        <v>10086</v>
      </c>
      <c r="H5806" s="2">
        <v>2.0999999999999999E-3</v>
      </c>
      <c r="K5806" s="2" t="s">
        <v>10085</v>
      </c>
    </row>
    <row r="5807" spans="1:11" x14ac:dyDescent="0.2">
      <c r="A5807" s="2">
        <v>1453</v>
      </c>
      <c r="B5807" s="2">
        <v>9</v>
      </c>
      <c r="C5807" s="2">
        <v>109150718</v>
      </c>
      <c r="D5807" s="2">
        <v>110630150</v>
      </c>
      <c r="E5807" s="2">
        <v>3</v>
      </c>
      <c r="F5807" s="2" t="s">
        <v>10086</v>
      </c>
      <c r="H5807" s="2">
        <v>1.5E-3</v>
      </c>
      <c r="K5807" s="2" t="s">
        <v>10087</v>
      </c>
    </row>
    <row r="5808" spans="1:11" x14ac:dyDescent="0.2">
      <c r="A5808" s="2">
        <v>1453</v>
      </c>
      <c r="B5808" s="2">
        <v>9</v>
      </c>
      <c r="C5808" s="2">
        <v>109150718</v>
      </c>
      <c r="D5808" s="2">
        <v>110630150</v>
      </c>
      <c r="E5808" s="2">
        <v>4</v>
      </c>
      <c r="F5808" s="2" t="s">
        <v>10086</v>
      </c>
      <c r="H5808" s="3">
        <v>8.0000000000000004E-4</v>
      </c>
      <c r="K5808" s="2" t="s">
        <v>10088</v>
      </c>
    </row>
    <row r="5809" spans="1:11" x14ac:dyDescent="0.2">
      <c r="A5809" s="2">
        <v>1454</v>
      </c>
      <c r="B5809" s="2">
        <v>9</v>
      </c>
      <c r="C5809" s="2">
        <v>110630151</v>
      </c>
      <c r="D5809" s="2">
        <v>111368107</v>
      </c>
      <c r="E5809" s="2">
        <v>1</v>
      </c>
      <c r="F5809" s="2" t="s">
        <v>10086</v>
      </c>
      <c r="H5809" s="3">
        <v>8.9999999999999998E-4</v>
      </c>
      <c r="K5809" s="2" t="s">
        <v>10087</v>
      </c>
    </row>
    <row r="5810" spans="1:11" x14ac:dyDescent="0.2">
      <c r="A5810" s="2">
        <v>1454</v>
      </c>
      <c r="B5810" s="2">
        <v>9</v>
      </c>
      <c r="C5810" s="2">
        <v>110630151</v>
      </c>
      <c r="D5810" s="2">
        <v>111368107</v>
      </c>
      <c r="E5810" s="2">
        <v>2</v>
      </c>
      <c r="F5810" s="2" t="s">
        <v>10086</v>
      </c>
      <c r="H5810" s="2">
        <v>1E-3</v>
      </c>
      <c r="K5810" s="2" t="s">
        <v>10088</v>
      </c>
    </row>
    <row r="5811" spans="1:11" x14ac:dyDescent="0.2">
      <c r="A5811" s="2">
        <v>1454</v>
      </c>
      <c r="B5811" s="2">
        <v>9</v>
      </c>
      <c r="C5811" s="2">
        <v>110630151</v>
      </c>
      <c r="D5811" s="2">
        <v>111368107</v>
      </c>
      <c r="E5811" s="2">
        <v>3</v>
      </c>
      <c r="F5811" s="2" t="s">
        <v>10086</v>
      </c>
      <c r="H5811" s="3">
        <v>8.0000000000000004E-4</v>
      </c>
      <c r="K5811" s="2" t="s">
        <v>10085</v>
      </c>
    </row>
    <row r="5812" spans="1:11" x14ac:dyDescent="0.2">
      <c r="A5812" s="2">
        <v>1454</v>
      </c>
      <c r="B5812" s="2">
        <v>9</v>
      </c>
      <c r="C5812" s="2">
        <v>110630151</v>
      </c>
      <c r="D5812" s="2">
        <v>111368107</v>
      </c>
      <c r="E5812" s="2">
        <v>4</v>
      </c>
      <c r="F5812" s="2" t="s">
        <v>10086</v>
      </c>
      <c r="H5812" s="3">
        <v>2.9999999999999997E-4</v>
      </c>
      <c r="K5812" s="2" t="s">
        <v>10089</v>
      </c>
    </row>
    <row r="5813" spans="1:11" x14ac:dyDescent="0.2">
      <c r="A5813" s="2">
        <v>1455</v>
      </c>
      <c r="B5813" s="2">
        <v>9</v>
      </c>
      <c r="C5813" s="2">
        <v>111368108</v>
      </c>
      <c r="D5813" s="2">
        <v>112076381</v>
      </c>
      <c r="E5813" s="2">
        <v>1</v>
      </c>
      <c r="F5813" s="2" t="s">
        <v>10086</v>
      </c>
      <c r="H5813" s="3">
        <v>8.9999999999999998E-4</v>
      </c>
      <c r="K5813" s="2" t="s">
        <v>10088</v>
      </c>
    </row>
    <row r="5814" spans="1:11" x14ac:dyDescent="0.2">
      <c r="A5814" s="2">
        <v>1455</v>
      </c>
      <c r="B5814" s="2">
        <v>9</v>
      </c>
      <c r="C5814" s="2">
        <v>111368108</v>
      </c>
      <c r="D5814" s="2">
        <v>112076381</v>
      </c>
      <c r="E5814" s="2">
        <v>2</v>
      </c>
      <c r="F5814" s="2" t="s">
        <v>10086</v>
      </c>
      <c r="H5814" s="3">
        <v>8.0000000000000004E-4</v>
      </c>
      <c r="K5814" s="2" t="s">
        <v>10089</v>
      </c>
    </row>
    <row r="5815" spans="1:11" x14ac:dyDescent="0.2">
      <c r="A5815" s="2">
        <v>1455</v>
      </c>
      <c r="B5815" s="2">
        <v>9</v>
      </c>
      <c r="C5815" s="2">
        <v>111368108</v>
      </c>
      <c r="D5815" s="2">
        <v>112076381</v>
      </c>
      <c r="E5815" s="2">
        <v>3</v>
      </c>
      <c r="F5815" s="2" t="s">
        <v>10086</v>
      </c>
      <c r="H5815" s="3">
        <v>5.9999999999999995E-4</v>
      </c>
      <c r="K5815" s="2" t="s">
        <v>10087</v>
      </c>
    </row>
    <row r="5816" spans="1:11" x14ac:dyDescent="0.2">
      <c r="A5816" s="2">
        <v>1455</v>
      </c>
      <c r="B5816" s="2">
        <v>9</v>
      </c>
      <c r="C5816" s="2">
        <v>111368108</v>
      </c>
      <c r="D5816" s="2">
        <v>112076381</v>
      </c>
      <c r="E5816" s="2">
        <v>4</v>
      </c>
      <c r="F5816" s="2" t="s">
        <v>10086</v>
      </c>
      <c r="H5816" s="3">
        <v>4.0000000000000002E-4</v>
      </c>
      <c r="K5816" s="2" t="s">
        <v>10085</v>
      </c>
    </row>
    <row r="5817" spans="1:11" x14ac:dyDescent="0.2">
      <c r="A5817" s="2">
        <v>1456</v>
      </c>
      <c r="B5817" s="2">
        <v>9</v>
      </c>
      <c r="C5817" s="2">
        <v>112076382</v>
      </c>
      <c r="D5817" s="2">
        <v>112865520</v>
      </c>
      <c r="E5817" s="2">
        <v>1</v>
      </c>
      <c r="F5817" s="2" t="s">
        <v>10086</v>
      </c>
      <c r="H5817" s="2">
        <v>1.4E-3</v>
      </c>
      <c r="K5817" s="2" t="s">
        <v>10085</v>
      </c>
    </row>
    <row r="5818" spans="1:11" x14ac:dyDescent="0.2">
      <c r="A5818" s="2">
        <v>1456</v>
      </c>
      <c r="B5818" s="2">
        <v>9</v>
      </c>
      <c r="C5818" s="2">
        <v>112076382</v>
      </c>
      <c r="D5818" s="2">
        <v>112865520</v>
      </c>
      <c r="E5818" s="2">
        <v>2</v>
      </c>
      <c r="F5818" s="2" t="s">
        <v>10086</v>
      </c>
      <c r="H5818" s="3">
        <v>8.9999999999999998E-4</v>
      </c>
      <c r="K5818" s="2" t="s">
        <v>10089</v>
      </c>
    </row>
    <row r="5819" spans="1:11" x14ac:dyDescent="0.2">
      <c r="A5819" s="2">
        <v>1456</v>
      </c>
      <c r="B5819" s="2">
        <v>9</v>
      </c>
      <c r="C5819" s="2">
        <v>112076382</v>
      </c>
      <c r="D5819" s="2">
        <v>112865520</v>
      </c>
      <c r="E5819" s="2">
        <v>3</v>
      </c>
      <c r="F5819" s="2" t="s">
        <v>10086</v>
      </c>
      <c r="H5819" s="2">
        <v>1.1000000000000001E-3</v>
      </c>
      <c r="K5819" s="2" t="s">
        <v>10087</v>
      </c>
    </row>
    <row r="5820" spans="1:11" x14ac:dyDescent="0.2">
      <c r="A5820" s="2">
        <v>1456</v>
      </c>
      <c r="B5820" s="2">
        <v>9</v>
      </c>
      <c r="C5820" s="2">
        <v>112076382</v>
      </c>
      <c r="D5820" s="2">
        <v>112865520</v>
      </c>
      <c r="E5820" s="2">
        <v>4</v>
      </c>
      <c r="F5820" s="2" t="s">
        <v>10086</v>
      </c>
      <c r="H5820" s="3">
        <v>2.9999999999999997E-4</v>
      </c>
      <c r="K5820" s="2" t="s">
        <v>10088</v>
      </c>
    </row>
    <row r="5821" spans="1:11" x14ac:dyDescent="0.2">
      <c r="A5821" s="2">
        <v>1457</v>
      </c>
      <c r="B5821" s="2">
        <v>9</v>
      </c>
      <c r="C5821" s="2">
        <v>112865521</v>
      </c>
      <c r="D5821" s="2">
        <v>113646149</v>
      </c>
      <c r="E5821" s="2">
        <v>1</v>
      </c>
      <c r="F5821" s="2" t="s">
        <v>10086</v>
      </c>
      <c r="H5821" s="3">
        <v>8.0000000000000004E-4</v>
      </c>
      <c r="K5821" s="2" t="s">
        <v>10085</v>
      </c>
    </row>
    <row r="5822" spans="1:11" x14ac:dyDescent="0.2">
      <c r="A5822" s="2">
        <v>1457</v>
      </c>
      <c r="B5822" s="2">
        <v>9</v>
      </c>
      <c r="C5822" s="2">
        <v>112865521</v>
      </c>
      <c r="D5822" s="2">
        <v>113646149</v>
      </c>
      <c r="E5822" s="2">
        <v>2</v>
      </c>
      <c r="F5822" s="2" t="s">
        <v>10086</v>
      </c>
      <c r="H5822" s="2">
        <v>1E-3</v>
      </c>
      <c r="K5822" s="2" t="s">
        <v>10088</v>
      </c>
    </row>
    <row r="5823" spans="1:11" x14ac:dyDescent="0.2">
      <c r="A5823" s="2">
        <v>1457</v>
      </c>
      <c r="B5823" s="2">
        <v>9</v>
      </c>
      <c r="C5823" s="2">
        <v>112865521</v>
      </c>
      <c r="D5823" s="2">
        <v>113646149</v>
      </c>
      <c r="E5823" s="2">
        <v>3</v>
      </c>
      <c r="F5823" s="2" t="s">
        <v>10086</v>
      </c>
      <c r="H5823" s="3">
        <v>8.0000000000000004E-4</v>
      </c>
      <c r="K5823" s="2" t="s">
        <v>10089</v>
      </c>
    </row>
    <row r="5824" spans="1:11" x14ac:dyDescent="0.2">
      <c r="A5824" s="2">
        <v>1457</v>
      </c>
      <c r="B5824" s="2">
        <v>9</v>
      </c>
      <c r="C5824" s="2">
        <v>112865521</v>
      </c>
      <c r="D5824" s="2">
        <v>113646149</v>
      </c>
      <c r="E5824" s="2">
        <v>4</v>
      </c>
      <c r="F5824" s="2" t="s">
        <v>10086</v>
      </c>
      <c r="H5824" s="3">
        <v>4.0000000000000002E-4</v>
      </c>
      <c r="K5824" s="2" t="s">
        <v>10087</v>
      </c>
    </row>
    <row r="5825" spans="1:11" x14ac:dyDescent="0.2">
      <c r="A5825" s="2">
        <v>1458</v>
      </c>
      <c r="B5825" s="2">
        <v>9</v>
      </c>
      <c r="C5825" s="2">
        <v>113646150</v>
      </c>
      <c r="D5825" s="2">
        <v>114443475</v>
      </c>
      <c r="E5825" s="2">
        <v>1</v>
      </c>
      <c r="F5825" s="2" t="s">
        <v>10086</v>
      </c>
      <c r="H5825" s="2">
        <v>4.7999999999999996E-3</v>
      </c>
      <c r="K5825" s="2" t="s">
        <v>10089</v>
      </c>
    </row>
    <row r="5826" spans="1:11" x14ac:dyDescent="0.2">
      <c r="A5826" s="2">
        <v>1458</v>
      </c>
      <c r="B5826" s="2">
        <v>9</v>
      </c>
      <c r="C5826" s="2">
        <v>113646150</v>
      </c>
      <c r="D5826" s="2">
        <v>114443475</v>
      </c>
      <c r="E5826" s="2">
        <v>2</v>
      </c>
      <c r="F5826" s="2" t="s">
        <v>10086</v>
      </c>
      <c r="H5826" s="3">
        <v>8.9999999999999998E-4</v>
      </c>
      <c r="K5826" s="2" t="s">
        <v>10087</v>
      </c>
    </row>
    <row r="5827" spans="1:11" x14ac:dyDescent="0.2">
      <c r="A5827" s="2">
        <v>1458</v>
      </c>
      <c r="B5827" s="2">
        <v>9</v>
      </c>
      <c r="C5827" s="2">
        <v>113646150</v>
      </c>
      <c r="D5827" s="2">
        <v>114443475</v>
      </c>
      <c r="E5827" s="2">
        <v>3</v>
      </c>
      <c r="F5827" s="2" t="s">
        <v>10086</v>
      </c>
      <c r="H5827" s="3">
        <v>8.9999999999999998E-4</v>
      </c>
      <c r="K5827" s="2" t="s">
        <v>10088</v>
      </c>
    </row>
    <row r="5828" spans="1:11" x14ac:dyDescent="0.2">
      <c r="A5828" s="2">
        <v>1458</v>
      </c>
      <c r="B5828" s="2">
        <v>9</v>
      </c>
      <c r="C5828" s="2">
        <v>113646150</v>
      </c>
      <c r="D5828" s="2">
        <v>114443475</v>
      </c>
      <c r="E5828" s="2">
        <v>4</v>
      </c>
      <c r="F5828" s="2" t="s">
        <v>10086</v>
      </c>
      <c r="H5828" s="3">
        <v>4.0000000000000002E-4</v>
      </c>
      <c r="K5828" s="2" t="s">
        <v>10085</v>
      </c>
    </row>
    <row r="5829" spans="1:11" x14ac:dyDescent="0.2">
      <c r="A5829" s="2">
        <v>1459</v>
      </c>
      <c r="B5829" s="2">
        <v>9</v>
      </c>
      <c r="C5829" s="2">
        <v>114443476</v>
      </c>
      <c r="D5829" s="2">
        <v>115390112</v>
      </c>
      <c r="E5829" s="2">
        <v>1</v>
      </c>
      <c r="F5829" s="2" t="s">
        <v>10086</v>
      </c>
      <c r="H5829" s="2">
        <v>1.4E-3</v>
      </c>
      <c r="K5829" s="2" t="s">
        <v>10087</v>
      </c>
    </row>
    <row r="5830" spans="1:11" x14ac:dyDescent="0.2">
      <c r="A5830" s="2">
        <v>1459</v>
      </c>
      <c r="B5830" s="2">
        <v>9</v>
      </c>
      <c r="C5830" s="2">
        <v>114443476</v>
      </c>
      <c r="D5830" s="2">
        <v>115390112</v>
      </c>
      <c r="E5830" s="2">
        <v>2</v>
      </c>
      <c r="F5830" s="2" t="s">
        <v>10086</v>
      </c>
      <c r="H5830" s="2">
        <v>2.3999999999999998E-3</v>
      </c>
      <c r="K5830" s="2" t="s">
        <v>12324</v>
      </c>
    </row>
    <row r="5831" spans="1:11" x14ac:dyDescent="0.2">
      <c r="A5831" s="2">
        <v>1459</v>
      </c>
      <c r="B5831" s="2">
        <v>9</v>
      </c>
      <c r="C5831" s="2">
        <v>114443476</v>
      </c>
      <c r="D5831" s="2">
        <v>115390112</v>
      </c>
      <c r="E5831" s="2">
        <v>3</v>
      </c>
      <c r="F5831" s="2" t="s">
        <v>10086</v>
      </c>
      <c r="H5831" s="2">
        <v>1.1999999999999999E-3</v>
      </c>
      <c r="K5831" s="2" t="s">
        <v>10088</v>
      </c>
    </row>
    <row r="5832" spans="1:11" x14ac:dyDescent="0.2">
      <c r="A5832" s="2">
        <v>1459</v>
      </c>
      <c r="B5832" s="2">
        <v>9</v>
      </c>
      <c r="C5832" s="2">
        <v>114443476</v>
      </c>
      <c r="D5832" s="2">
        <v>115390112</v>
      </c>
      <c r="E5832" s="2">
        <v>4</v>
      </c>
      <c r="F5832" s="2" t="s">
        <v>10086</v>
      </c>
      <c r="H5832" s="3">
        <v>8.9999999999999998E-4</v>
      </c>
      <c r="K5832" s="2" t="s">
        <v>10085</v>
      </c>
    </row>
    <row r="5833" spans="1:11" x14ac:dyDescent="0.2">
      <c r="A5833" s="2">
        <v>1460</v>
      </c>
      <c r="B5833" s="2">
        <v>9</v>
      </c>
      <c r="C5833" s="2">
        <v>115390113</v>
      </c>
      <c r="D5833" s="2">
        <v>116159540</v>
      </c>
      <c r="E5833" s="2">
        <v>1</v>
      </c>
      <c r="F5833" s="2" t="s">
        <v>10086</v>
      </c>
      <c r="H5833" s="2">
        <v>1E-3</v>
      </c>
      <c r="K5833" s="2" t="s">
        <v>10087</v>
      </c>
    </row>
    <row r="5834" spans="1:11" x14ac:dyDescent="0.2">
      <c r="A5834" s="2">
        <v>1460</v>
      </c>
      <c r="B5834" s="2">
        <v>9</v>
      </c>
      <c r="C5834" s="2">
        <v>115390113</v>
      </c>
      <c r="D5834" s="2">
        <v>116159540</v>
      </c>
      <c r="E5834" s="2">
        <v>2</v>
      </c>
      <c r="F5834" s="2" t="s">
        <v>10086</v>
      </c>
      <c r="H5834" s="2">
        <v>4.4000000000000003E-3</v>
      </c>
      <c r="K5834" s="2" t="s">
        <v>12324</v>
      </c>
    </row>
    <row r="5835" spans="1:11" x14ac:dyDescent="0.2">
      <c r="A5835" s="2">
        <v>1460</v>
      </c>
      <c r="B5835" s="2">
        <v>9</v>
      </c>
      <c r="C5835" s="2">
        <v>115390113</v>
      </c>
      <c r="D5835" s="2">
        <v>116159540</v>
      </c>
      <c r="E5835" s="2">
        <v>3</v>
      </c>
      <c r="F5835" s="2" t="s">
        <v>10086</v>
      </c>
      <c r="H5835" s="2">
        <v>1.6000000000000001E-3</v>
      </c>
      <c r="K5835" s="2" t="s">
        <v>10089</v>
      </c>
    </row>
    <row r="5836" spans="1:11" x14ac:dyDescent="0.2">
      <c r="A5836" s="2">
        <v>1460</v>
      </c>
      <c r="B5836" s="2">
        <v>9</v>
      </c>
      <c r="C5836" s="2">
        <v>115390113</v>
      </c>
      <c r="D5836" s="2">
        <v>116159540</v>
      </c>
      <c r="E5836" s="2">
        <v>4</v>
      </c>
      <c r="F5836" s="2" t="s">
        <v>10086</v>
      </c>
      <c r="H5836" s="3">
        <v>8.9999999999999998E-4</v>
      </c>
      <c r="K5836" s="2" t="s">
        <v>10088</v>
      </c>
    </row>
    <row r="5837" spans="1:11" x14ac:dyDescent="0.2">
      <c r="A5837" s="2">
        <v>1461</v>
      </c>
      <c r="B5837" s="2">
        <v>9</v>
      </c>
      <c r="C5837" s="2">
        <v>116159541</v>
      </c>
      <c r="D5837" s="2">
        <v>117054909</v>
      </c>
      <c r="E5837" s="2">
        <v>1</v>
      </c>
      <c r="F5837" s="2" t="s">
        <v>10086</v>
      </c>
      <c r="H5837" s="2">
        <v>2E-3</v>
      </c>
      <c r="K5837" s="2" t="s">
        <v>10088</v>
      </c>
    </row>
    <row r="5838" spans="1:11" x14ac:dyDescent="0.2">
      <c r="A5838" s="2">
        <v>1461</v>
      </c>
      <c r="B5838" s="2">
        <v>9</v>
      </c>
      <c r="C5838" s="2">
        <v>116159541</v>
      </c>
      <c r="D5838" s="2">
        <v>117054909</v>
      </c>
      <c r="E5838" s="2">
        <v>2</v>
      </c>
      <c r="F5838" s="2" t="s">
        <v>10086</v>
      </c>
      <c r="H5838" s="2">
        <v>1.4E-3</v>
      </c>
      <c r="K5838" s="2" t="s">
        <v>10085</v>
      </c>
    </row>
    <row r="5839" spans="1:11" x14ac:dyDescent="0.2">
      <c r="A5839" s="2">
        <v>1461</v>
      </c>
      <c r="B5839" s="2">
        <v>9</v>
      </c>
      <c r="C5839" s="2">
        <v>116159541</v>
      </c>
      <c r="D5839" s="2">
        <v>117054909</v>
      </c>
      <c r="E5839" s="2">
        <v>3</v>
      </c>
      <c r="F5839" s="2" t="s">
        <v>10086</v>
      </c>
      <c r="H5839" s="2">
        <v>1.1999999999999999E-3</v>
      </c>
      <c r="K5839" s="2" t="s">
        <v>10089</v>
      </c>
    </row>
    <row r="5840" spans="1:11" x14ac:dyDescent="0.2">
      <c r="A5840" s="2">
        <v>1461</v>
      </c>
      <c r="B5840" s="2">
        <v>9</v>
      </c>
      <c r="C5840" s="2">
        <v>116159541</v>
      </c>
      <c r="D5840" s="2">
        <v>117054909</v>
      </c>
      <c r="E5840" s="2">
        <v>4</v>
      </c>
      <c r="F5840" s="2" t="s">
        <v>10086</v>
      </c>
      <c r="H5840" s="3">
        <v>5.9999999999999995E-4</v>
      </c>
      <c r="K5840" s="2" t="s">
        <v>10087</v>
      </c>
    </row>
    <row r="5841" spans="1:11" x14ac:dyDescent="0.2">
      <c r="A5841" s="2">
        <v>1462</v>
      </c>
      <c r="B5841" s="2">
        <v>9</v>
      </c>
      <c r="C5841" s="2">
        <v>117054910</v>
      </c>
      <c r="D5841" s="2">
        <v>117989017</v>
      </c>
      <c r="E5841" s="2">
        <v>1</v>
      </c>
      <c r="F5841" s="2" t="s">
        <v>10086</v>
      </c>
      <c r="H5841" s="2">
        <v>7.0000000000000001E-3</v>
      </c>
      <c r="K5841" s="2" t="s">
        <v>12324</v>
      </c>
    </row>
    <row r="5842" spans="1:11" x14ac:dyDescent="0.2">
      <c r="A5842" s="2">
        <v>1462</v>
      </c>
      <c r="B5842" s="2">
        <v>9</v>
      </c>
      <c r="C5842" s="2">
        <v>117054910</v>
      </c>
      <c r="D5842" s="2">
        <v>117989017</v>
      </c>
      <c r="E5842" s="2">
        <v>2</v>
      </c>
      <c r="F5842" s="2" t="s">
        <v>10086</v>
      </c>
      <c r="H5842" s="2">
        <v>1.4E-3</v>
      </c>
      <c r="K5842" s="2" t="s">
        <v>10087</v>
      </c>
    </row>
    <row r="5843" spans="1:11" x14ac:dyDescent="0.2">
      <c r="A5843" s="2">
        <v>1462</v>
      </c>
      <c r="B5843" s="2">
        <v>9</v>
      </c>
      <c r="C5843" s="2">
        <v>117054910</v>
      </c>
      <c r="D5843" s="2">
        <v>117989017</v>
      </c>
      <c r="E5843" s="2">
        <v>3</v>
      </c>
      <c r="F5843" s="2" t="s">
        <v>10086</v>
      </c>
      <c r="H5843" s="2">
        <v>1.1000000000000001E-3</v>
      </c>
      <c r="K5843" s="2" t="s">
        <v>10088</v>
      </c>
    </row>
    <row r="5844" spans="1:11" x14ac:dyDescent="0.2">
      <c r="A5844" s="2">
        <v>1462</v>
      </c>
      <c r="B5844" s="2">
        <v>9</v>
      </c>
      <c r="C5844" s="2">
        <v>117054910</v>
      </c>
      <c r="D5844" s="2">
        <v>117989017</v>
      </c>
      <c r="E5844" s="2">
        <v>4</v>
      </c>
      <c r="F5844" s="2" t="s">
        <v>10086</v>
      </c>
      <c r="H5844" s="3">
        <v>8.0000000000000004E-4</v>
      </c>
      <c r="K5844" s="2" t="s">
        <v>10089</v>
      </c>
    </row>
    <row r="5845" spans="1:11" x14ac:dyDescent="0.2">
      <c r="A5845" s="2">
        <v>1463</v>
      </c>
      <c r="B5845" s="2">
        <v>9</v>
      </c>
      <c r="C5845" s="2">
        <v>117989018</v>
      </c>
      <c r="D5845" s="2">
        <v>119001227</v>
      </c>
      <c r="E5845" s="2">
        <v>1</v>
      </c>
      <c r="F5845" s="2" t="s">
        <v>10086</v>
      </c>
      <c r="H5845" s="2">
        <v>2E-3</v>
      </c>
      <c r="K5845" s="2" t="s">
        <v>10087</v>
      </c>
    </row>
    <row r="5846" spans="1:11" x14ac:dyDescent="0.2">
      <c r="A5846" s="2">
        <v>1463</v>
      </c>
      <c r="B5846" s="2">
        <v>9</v>
      </c>
      <c r="C5846" s="2">
        <v>117989018</v>
      </c>
      <c r="D5846" s="2">
        <v>119001227</v>
      </c>
      <c r="E5846" s="2">
        <v>2</v>
      </c>
      <c r="F5846" s="2" t="s">
        <v>10086</v>
      </c>
      <c r="H5846" s="2">
        <v>1.2999999999999999E-3</v>
      </c>
      <c r="K5846" s="2" t="s">
        <v>10089</v>
      </c>
    </row>
    <row r="5847" spans="1:11" x14ac:dyDescent="0.2">
      <c r="A5847" s="2">
        <v>1463</v>
      </c>
      <c r="B5847" s="2">
        <v>9</v>
      </c>
      <c r="C5847" s="2">
        <v>117989018</v>
      </c>
      <c r="D5847" s="2">
        <v>119001227</v>
      </c>
      <c r="E5847" s="2">
        <v>3</v>
      </c>
      <c r="F5847" s="2" t="s">
        <v>10086</v>
      </c>
      <c r="H5847" s="2">
        <v>1E-3</v>
      </c>
      <c r="K5847" s="2" t="s">
        <v>10088</v>
      </c>
    </row>
    <row r="5848" spans="1:11" x14ac:dyDescent="0.2">
      <c r="A5848" s="2">
        <v>1463</v>
      </c>
      <c r="B5848" s="2">
        <v>9</v>
      </c>
      <c r="C5848" s="2">
        <v>117989018</v>
      </c>
      <c r="D5848" s="2">
        <v>119001227</v>
      </c>
      <c r="E5848" s="2">
        <v>4</v>
      </c>
      <c r="F5848" s="2" t="s">
        <v>10086</v>
      </c>
      <c r="H5848" s="2">
        <v>1E-3</v>
      </c>
      <c r="K5848" s="2" t="s">
        <v>10085</v>
      </c>
    </row>
    <row r="5849" spans="1:11" x14ac:dyDescent="0.2">
      <c r="A5849" s="2">
        <v>1464</v>
      </c>
      <c r="B5849" s="2">
        <v>9</v>
      </c>
      <c r="C5849" s="2">
        <v>119001228</v>
      </c>
      <c r="D5849" s="2">
        <v>119890464</v>
      </c>
      <c r="E5849" s="2">
        <v>1</v>
      </c>
      <c r="F5849" s="2" t="s">
        <v>10086</v>
      </c>
      <c r="H5849" s="2">
        <v>1.2800000000000001E-2</v>
      </c>
      <c r="K5849" s="2" t="s">
        <v>10088</v>
      </c>
    </row>
    <row r="5850" spans="1:11" x14ac:dyDescent="0.2">
      <c r="A5850" s="2">
        <v>1464</v>
      </c>
      <c r="B5850" s="2">
        <v>9</v>
      </c>
      <c r="C5850" s="2">
        <v>119001228</v>
      </c>
      <c r="D5850" s="2">
        <v>119890464</v>
      </c>
      <c r="E5850" s="2">
        <v>2</v>
      </c>
      <c r="F5850" s="2" t="s">
        <v>10086</v>
      </c>
      <c r="H5850" s="2">
        <v>2E-3</v>
      </c>
      <c r="K5850" s="2" t="s">
        <v>10087</v>
      </c>
    </row>
    <row r="5851" spans="1:11" x14ac:dyDescent="0.2">
      <c r="A5851" s="2">
        <v>1464</v>
      </c>
      <c r="B5851" s="2">
        <v>9</v>
      </c>
      <c r="C5851" s="2">
        <v>119001228</v>
      </c>
      <c r="D5851" s="2">
        <v>119890464</v>
      </c>
      <c r="E5851" s="2">
        <v>3</v>
      </c>
      <c r="F5851" s="2" t="s">
        <v>10086</v>
      </c>
      <c r="H5851" s="2">
        <v>1E-3</v>
      </c>
      <c r="K5851" s="2" t="s">
        <v>10085</v>
      </c>
    </row>
    <row r="5852" spans="1:11" x14ac:dyDescent="0.2">
      <c r="A5852" s="2">
        <v>1464</v>
      </c>
      <c r="B5852" s="2">
        <v>9</v>
      </c>
      <c r="C5852" s="2">
        <v>119001228</v>
      </c>
      <c r="D5852" s="2">
        <v>119890464</v>
      </c>
      <c r="E5852" s="2">
        <v>4</v>
      </c>
      <c r="F5852" s="2" t="s">
        <v>10086</v>
      </c>
      <c r="H5852" s="3">
        <v>5.0000000000000001E-4</v>
      </c>
      <c r="K5852" s="2" t="s">
        <v>10089</v>
      </c>
    </row>
    <row r="5853" spans="1:11" x14ac:dyDescent="0.2">
      <c r="A5853" s="2">
        <v>1465</v>
      </c>
      <c r="B5853" s="2">
        <v>9</v>
      </c>
      <c r="C5853" s="2">
        <v>119890465</v>
      </c>
      <c r="D5853" s="2">
        <v>121008529</v>
      </c>
      <c r="E5853" s="2">
        <v>1</v>
      </c>
      <c r="F5853" s="2" t="s">
        <v>10086</v>
      </c>
      <c r="H5853" s="2">
        <v>1.2999999999999999E-3</v>
      </c>
      <c r="K5853" s="2" t="s">
        <v>10088</v>
      </c>
    </row>
    <row r="5854" spans="1:11" x14ac:dyDescent="0.2">
      <c r="A5854" s="2">
        <v>1465</v>
      </c>
      <c r="B5854" s="2">
        <v>9</v>
      </c>
      <c r="C5854" s="2">
        <v>119890465</v>
      </c>
      <c r="D5854" s="2">
        <v>121008529</v>
      </c>
      <c r="E5854" s="2">
        <v>2</v>
      </c>
      <c r="F5854" s="2" t="s">
        <v>10086</v>
      </c>
      <c r="H5854" s="2">
        <v>1E-3</v>
      </c>
      <c r="K5854" s="2" t="s">
        <v>10089</v>
      </c>
    </row>
    <row r="5855" spans="1:11" x14ac:dyDescent="0.2">
      <c r="A5855" s="2">
        <v>1465</v>
      </c>
      <c r="B5855" s="2">
        <v>9</v>
      </c>
      <c r="C5855" s="2">
        <v>119890465</v>
      </c>
      <c r="D5855" s="2">
        <v>121008529</v>
      </c>
      <c r="E5855" s="2">
        <v>3</v>
      </c>
      <c r="F5855" s="2" t="s">
        <v>10086</v>
      </c>
      <c r="H5855" s="3">
        <v>8.0000000000000004E-4</v>
      </c>
      <c r="K5855" s="2" t="s">
        <v>10085</v>
      </c>
    </row>
    <row r="5856" spans="1:11" x14ac:dyDescent="0.2">
      <c r="A5856" s="2">
        <v>1465</v>
      </c>
      <c r="B5856" s="2">
        <v>9</v>
      </c>
      <c r="C5856" s="2">
        <v>119890465</v>
      </c>
      <c r="D5856" s="2">
        <v>121008529</v>
      </c>
      <c r="E5856" s="2">
        <v>4</v>
      </c>
      <c r="F5856" s="2" t="s">
        <v>10086</v>
      </c>
      <c r="H5856" s="3">
        <v>5.9999999999999995E-4</v>
      </c>
      <c r="K5856" s="2" t="s">
        <v>12324</v>
      </c>
    </row>
    <row r="5857" spans="1:11" x14ac:dyDescent="0.2">
      <c r="A5857" s="2">
        <v>1466</v>
      </c>
      <c r="B5857" s="2">
        <v>9</v>
      </c>
      <c r="C5857" s="2">
        <v>121008530</v>
      </c>
      <c r="D5857" s="2">
        <v>122677719</v>
      </c>
      <c r="E5857" s="2">
        <v>1</v>
      </c>
      <c r="F5857" s="2" t="s">
        <v>10086</v>
      </c>
      <c r="H5857" s="2">
        <v>1.6000000000000001E-3</v>
      </c>
      <c r="K5857" s="2" t="s">
        <v>10087</v>
      </c>
    </row>
    <row r="5858" spans="1:11" x14ac:dyDescent="0.2">
      <c r="A5858" s="2">
        <v>1466</v>
      </c>
      <c r="B5858" s="2">
        <v>9</v>
      </c>
      <c r="C5858" s="2">
        <v>121008530</v>
      </c>
      <c r="D5858" s="2">
        <v>122677719</v>
      </c>
      <c r="E5858" s="2">
        <v>2</v>
      </c>
      <c r="F5858" s="2" t="s">
        <v>10086</v>
      </c>
      <c r="H5858" s="2">
        <v>1.1999999999999999E-3</v>
      </c>
      <c r="K5858" s="2" t="s">
        <v>10088</v>
      </c>
    </row>
    <row r="5859" spans="1:11" x14ac:dyDescent="0.2">
      <c r="A5859" s="2">
        <v>1466</v>
      </c>
      <c r="B5859" s="2">
        <v>9</v>
      </c>
      <c r="C5859" s="2">
        <v>121008530</v>
      </c>
      <c r="D5859" s="2">
        <v>122677719</v>
      </c>
      <c r="E5859" s="2">
        <v>3</v>
      </c>
      <c r="F5859" s="2" t="s">
        <v>10086</v>
      </c>
      <c r="H5859" s="2">
        <v>1.1000000000000001E-3</v>
      </c>
      <c r="K5859" s="2" t="s">
        <v>10085</v>
      </c>
    </row>
    <row r="5860" spans="1:11" x14ac:dyDescent="0.2">
      <c r="A5860" s="2">
        <v>1466</v>
      </c>
      <c r="B5860" s="2">
        <v>9</v>
      </c>
      <c r="C5860" s="2">
        <v>121008530</v>
      </c>
      <c r="D5860" s="2">
        <v>122677719</v>
      </c>
      <c r="E5860" s="2">
        <v>4</v>
      </c>
      <c r="F5860" s="2" t="s">
        <v>10086</v>
      </c>
      <c r="H5860" s="3">
        <v>5.0000000000000001E-4</v>
      </c>
      <c r="K5860" s="2" t="s">
        <v>10089</v>
      </c>
    </row>
    <row r="5861" spans="1:11" x14ac:dyDescent="0.2">
      <c r="A5861" s="2">
        <v>1467</v>
      </c>
      <c r="B5861" s="2">
        <v>9</v>
      </c>
      <c r="C5861" s="2">
        <v>122677720</v>
      </c>
      <c r="D5861" s="2">
        <v>124119883</v>
      </c>
      <c r="E5861" s="2">
        <v>1</v>
      </c>
      <c r="F5861" s="2" t="s">
        <v>10086</v>
      </c>
      <c r="H5861" s="2">
        <v>1.2E-2</v>
      </c>
      <c r="K5861" s="2" t="s">
        <v>10089</v>
      </c>
    </row>
    <row r="5862" spans="1:11" x14ac:dyDescent="0.2">
      <c r="A5862" s="2">
        <v>1467</v>
      </c>
      <c r="B5862" s="2">
        <v>9</v>
      </c>
      <c r="C5862" s="2">
        <v>122677720</v>
      </c>
      <c r="D5862" s="2">
        <v>124119883</v>
      </c>
      <c r="E5862" s="2">
        <v>2</v>
      </c>
      <c r="F5862" s="2" t="s">
        <v>10086</v>
      </c>
      <c r="H5862" s="2">
        <v>1.1000000000000001E-3</v>
      </c>
      <c r="K5862" s="2" t="s">
        <v>10088</v>
      </c>
    </row>
    <row r="5863" spans="1:11" x14ac:dyDescent="0.2">
      <c r="A5863" s="2">
        <v>1467</v>
      </c>
      <c r="B5863" s="2">
        <v>9</v>
      </c>
      <c r="C5863" s="2">
        <v>122677720</v>
      </c>
      <c r="D5863" s="2">
        <v>124119883</v>
      </c>
      <c r="E5863" s="2">
        <v>3</v>
      </c>
      <c r="F5863" s="2" t="s">
        <v>10086</v>
      </c>
      <c r="H5863" s="2">
        <v>1.2999999999999999E-3</v>
      </c>
      <c r="K5863" s="2" t="s">
        <v>10087</v>
      </c>
    </row>
    <row r="5864" spans="1:11" x14ac:dyDescent="0.2">
      <c r="A5864" s="2">
        <v>1467</v>
      </c>
      <c r="B5864" s="2">
        <v>9</v>
      </c>
      <c r="C5864" s="2">
        <v>122677720</v>
      </c>
      <c r="D5864" s="2">
        <v>124119883</v>
      </c>
      <c r="E5864" s="2">
        <v>4</v>
      </c>
      <c r="F5864" s="2" t="s">
        <v>10086</v>
      </c>
      <c r="H5864" s="2">
        <v>1.1999999999999999E-3</v>
      </c>
      <c r="K5864" s="2" t="s">
        <v>10085</v>
      </c>
    </row>
    <row r="5865" spans="1:11" x14ac:dyDescent="0.2">
      <c r="A5865" s="2">
        <v>1468</v>
      </c>
      <c r="B5865" s="2">
        <v>9</v>
      </c>
      <c r="C5865" s="2">
        <v>124119884</v>
      </c>
      <c r="D5865" s="2">
        <v>125137578</v>
      </c>
      <c r="E5865" s="2">
        <v>1</v>
      </c>
      <c r="F5865" s="2" t="s">
        <v>10086</v>
      </c>
      <c r="H5865" s="2">
        <v>2.7000000000000001E-3</v>
      </c>
      <c r="K5865" s="2" t="s">
        <v>10087</v>
      </c>
    </row>
    <row r="5866" spans="1:11" x14ac:dyDescent="0.2">
      <c r="A5866" s="2">
        <v>1468</v>
      </c>
      <c r="B5866" s="2">
        <v>9</v>
      </c>
      <c r="C5866" s="2">
        <v>124119884</v>
      </c>
      <c r="D5866" s="2">
        <v>125137578</v>
      </c>
      <c r="E5866" s="2">
        <v>2</v>
      </c>
      <c r="F5866" s="2" t="s">
        <v>10086</v>
      </c>
      <c r="H5866" s="2">
        <v>1.4E-3</v>
      </c>
      <c r="K5866" s="2" t="s">
        <v>10085</v>
      </c>
    </row>
    <row r="5867" spans="1:11" x14ac:dyDescent="0.2">
      <c r="A5867" s="2">
        <v>1468</v>
      </c>
      <c r="B5867" s="2">
        <v>9</v>
      </c>
      <c r="C5867" s="2">
        <v>124119884</v>
      </c>
      <c r="D5867" s="2">
        <v>125137578</v>
      </c>
      <c r="E5867" s="2">
        <v>3</v>
      </c>
      <c r="F5867" s="2" t="s">
        <v>10086</v>
      </c>
      <c r="H5867" s="2">
        <v>1E-3</v>
      </c>
      <c r="K5867" s="2" t="s">
        <v>10088</v>
      </c>
    </row>
    <row r="5868" spans="1:11" x14ac:dyDescent="0.2">
      <c r="A5868" s="2">
        <v>1468</v>
      </c>
      <c r="B5868" s="2">
        <v>9</v>
      </c>
      <c r="C5868" s="2">
        <v>124119884</v>
      </c>
      <c r="D5868" s="2">
        <v>125137578</v>
      </c>
      <c r="E5868" s="2">
        <v>4</v>
      </c>
      <c r="F5868" s="2" t="s">
        <v>10086</v>
      </c>
      <c r="H5868" s="3">
        <v>5.9999999999999995E-4</v>
      </c>
      <c r="K5868" s="2" t="s">
        <v>10089</v>
      </c>
    </row>
    <row r="5869" spans="1:11" x14ac:dyDescent="0.2">
      <c r="A5869" s="2">
        <v>1469</v>
      </c>
      <c r="B5869" s="2">
        <v>9</v>
      </c>
      <c r="C5869" s="2">
        <v>125137579</v>
      </c>
      <c r="D5869" s="2">
        <v>126092931</v>
      </c>
      <c r="E5869" s="2">
        <v>1</v>
      </c>
      <c r="F5869" s="2" t="s">
        <v>10086</v>
      </c>
      <c r="H5869" s="2">
        <v>2.0999999999999999E-3</v>
      </c>
      <c r="K5869" s="2" t="s">
        <v>10089</v>
      </c>
    </row>
    <row r="5870" spans="1:11" x14ac:dyDescent="0.2">
      <c r="A5870" s="2">
        <v>1469</v>
      </c>
      <c r="B5870" s="2">
        <v>9</v>
      </c>
      <c r="C5870" s="2">
        <v>125137579</v>
      </c>
      <c r="D5870" s="2">
        <v>126092931</v>
      </c>
      <c r="E5870" s="2">
        <v>2</v>
      </c>
      <c r="F5870" s="2" t="s">
        <v>10086</v>
      </c>
      <c r="H5870" s="2">
        <v>1.1000000000000001E-3</v>
      </c>
      <c r="K5870" s="2" t="s">
        <v>10087</v>
      </c>
    </row>
    <row r="5871" spans="1:11" x14ac:dyDescent="0.2">
      <c r="A5871" s="2">
        <v>1469</v>
      </c>
      <c r="B5871" s="2">
        <v>9</v>
      </c>
      <c r="C5871" s="2">
        <v>125137579</v>
      </c>
      <c r="D5871" s="2">
        <v>126092931</v>
      </c>
      <c r="E5871" s="2">
        <v>3</v>
      </c>
      <c r="F5871" s="2" t="s">
        <v>10086</v>
      </c>
      <c r="H5871" s="3">
        <v>6.9999999999999999E-4</v>
      </c>
      <c r="K5871" s="2" t="s">
        <v>10085</v>
      </c>
    </row>
    <row r="5872" spans="1:11" x14ac:dyDescent="0.2">
      <c r="A5872" s="2">
        <v>1469</v>
      </c>
      <c r="B5872" s="2">
        <v>9</v>
      </c>
      <c r="C5872" s="2">
        <v>125137579</v>
      </c>
      <c r="D5872" s="2">
        <v>126092931</v>
      </c>
      <c r="E5872" s="2">
        <v>4</v>
      </c>
      <c r="F5872" s="2" t="s">
        <v>10086</v>
      </c>
      <c r="H5872" s="3">
        <v>5.0000000000000001E-4</v>
      </c>
      <c r="K5872" s="2" t="s">
        <v>10088</v>
      </c>
    </row>
    <row r="5873" spans="1:11" x14ac:dyDescent="0.2">
      <c r="A5873" s="2">
        <v>1470</v>
      </c>
      <c r="B5873" s="2">
        <v>9</v>
      </c>
      <c r="C5873" s="2">
        <v>126092932</v>
      </c>
      <c r="D5873" s="2">
        <v>127184582</v>
      </c>
      <c r="E5873" s="2">
        <v>1</v>
      </c>
      <c r="F5873" s="2" t="s">
        <v>10086</v>
      </c>
      <c r="H5873" s="2">
        <v>7.7000000000000002E-3</v>
      </c>
      <c r="K5873" s="2" t="s">
        <v>10089</v>
      </c>
    </row>
    <row r="5874" spans="1:11" x14ac:dyDescent="0.2">
      <c r="A5874" s="2">
        <v>1470</v>
      </c>
      <c r="B5874" s="2">
        <v>9</v>
      </c>
      <c r="C5874" s="2">
        <v>126092932</v>
      </c>
      <c r="D5874" s="2">
        <v>127184582</v>
      </c>
      <c r="E5874" s="2">
        <v>2</v>
      </c>
      <c r="F5874" s="2" t="s">
        <v>10086</v>
      </c>
      <c r="H5874" s="2">
        <v>1.1999999999999999E-3</v>
      </c>
      <c r="K5874" s="2" t="s">
        <v>10085</v>
      </c>
    </row>
    <row r="5875" spans="1:11" x14ac:dyDescent="0.2">
      <c r="A5875" s="2">
        <v>1470</v>
      </c>
      <c r="B5875" s="2">
        <v>9</v>
      </c>
      <c r="C5875" s="2">
        <v>126092932</v>
      </c>
      <c r="D5875" s="2">
        <v>127184582</v>
      </c>
      <c r="E5875" s="2">
        <v>3</v>
      </c>
      <c r="F5875" s="2" t="s">
        <v>10086</v>
      </c>
      <c r="H5875" s="2">
        <v>1.1999999999999999E-3</v>
      </c>
      <c r="K5875" s="2" t="s">
        <v>10087</v>
      </c>
    </row>
    <row r="5876" spans="1:11" x14ac:dyDescent="0.2">
      <c r="A5876" s="2">
        <v>1470</v>
      </c>
      <c r="B5876" s="2">
        <v>9</v>
      </c>
      <c r="C5876" s="2">
        <v>126092932</v>
      </c>
      <c r="D5876" s="2">
        <v>127184582</v>
      </c>
      <c r="E5876" s="2">
        <v>4</v>
      </c>
      <c r="F5876" s="2" t="s">
        <v>10086</v>
      </c>
      <c r="H5876" s="3">
        <v>5.0000000000000001E-4</v>
      </c>
      <c r="K5876" s="2" t="s">
        <v>10088</v>
      </c>
    </row>
    <row r="5877" spans="1:11" x14ac:dyDescent="0.2">
      <c r="A5877" s="2">
        <v>1471</v>
      </c>
      <c r="B5877" s="2">
        <v>9</v>
      </c>
      <c r="C5877" s="2">
        <v>127184583</v>
      </c>
      <c r="D5877" s="2">
        <v>128785782</v>
      </c>
      <c r="E5877" s="2">
        <v>1</v>
      </c>
      <c r="F5877" s="2" t="s">
        <v>10086</v>
      </c>
      <c r="H5877" s="2">
        <v>1.5E-3</v>
      </c>
      <c r="K5877" s="2" t="s">
        <v>10085</v>
      </c>
    </row>
    <row r="5878" spans="1:11" x14ac:dyDescent="0.2">
      <c r="A5878" s="2">
        <v>1471</v>
      </c>
      <c r="B5878" s="2">
        <v>9</v>
      </c>
      <c r="C5878" s="2">
        <v>127184583</v>
      </c>
      <c r="D5878" s="2">
        <v>128785782</v>
      </c>
      <c r="E5878" s="2">
        <v>2</v>
      </c>
      <c r="F5878" s="2" t="s">
        <v>10086</v>
      </c>
      <c r="H5878" s="2">
        <v>1E-3</v>
      </c>
      <c r="K5878" s="2" t="s">
        <v>10087</v>
      </c>
    </row>
    <row r="5879" spans="1:11" x14ac:dyDescent="0.2">
      <c r="A5879" s="2">
        <v>1471</v>
      </c>
      <c r="B5879" s="2">
        <v>9</v>
      </c>
      <c r="C5879" s="2">
        <v>127184583</v>
      </c>
      <c r="D5879" s="2">
        <v>128785782</v>
      </c>
      <c r="E5879" s="2">
        <v>3</v>
      </c>
      <c r="F5879" s="2" t="s">
        <v>10086</v>
      </c>
      <c r="H5879" s="3">
        <v>8.0000000000000004E-4</v>
      </c>
      <c r="K5879" s="2" t="s">
        <v>10088</v>
      </c>
    </row>
    <row r="5880" spans="1:11" x14ac:dyDescent="0.2">
      <c r="A5880" s="2">
        <v>1471</v>
      </c>
      <c r="B5880" s="2">
        <v>9</v>
      </c>
      <c r="C5880" s="2">
        <v>127184583</v>
      </c>
      <c r="D5880" s="2">
        <v>128785782</v>
      </c>
      <c r="E5880" s="2">
        <v>4</v>
      </c>
      <c r="F5880" s="2" t="s">
        <v>10086</v>
      </c>
      <c r="H5880" s="3">
        <v>5.0000000000000001E-4</v>
      </c>
      <c r="K5880" s="2" t="s">
        <v>10089</v>
      </c>
    </row>
    <row r="5881" spans="1:11" x14ac:dyDescent="0.2">
      <c r="A5881" s="2">
        <v>1472</v>
      </c>
      <c r="B5881" s="2">
        <v>9</v>
      </c>
      <c r="C5881" s="2">
        <v>128785783</v>
      </c>
      <c r="D5881" s="2">
        <v>129617771</v>
      </c>
      <c r="E5881" s="2">
        <v>1</v>
      </c>
      <c r="F5881" s="2" t="s">
        <v>10086</v>
      </c>
      <c r="H5881" s="2">
        <v>1.6999999999999999E-3</v>
      </c>
      <c r="K5881" s="2" t="s">
        <v>10085</v>
      </c>
    </row>
    <row r="5882" spans="1:11" x14ac:dyDescent="0.2">
      <c r="A5882" s="2">
        <v>1472</v>
      </c>
      <c r="B5882" s="2">
        <v>9</v>
      </c>
      <c r="C5882" s="2">
        <v>128785783</v>
      </c>
      <c r="D5882" s="2">
        <v>129617771</v>
      </c>
      <c r="E5882" s="2">
        <v>2</v>
      </c>
      <c r="F5882" s="2" t="s">
        <v>10086</v>
      </c>
      <c r="H5882" s="2">
        <v>1.2999999999999999E-3</v>
      </c>
      <c r="K5882" s="2" t="s">
        <v>10088</v>
      </c>
    </row>
    <row r="5883" spans="1:11" x14ac:dyDescent="0.2">
      <c r="A5883" s="2">
        <v>1472</v>
      </c>
      <c r="B5883" s="2">
        <v>9</v>
      </c>
      <c r="C5883" s="2">
        <v>128785783</v>
      </c>
      <c r="D5883" s="2">
        <v>129617771</v>
      </c>
      <c r="E5883" s="2">
        <v>3</v>
      </c>
      <c r="F5883" s="2" t="s">
        <v>10086</v>
      </c>
      <c r="H5883" s="3">
        <v>8.0000000000000004E-4</v>
      </c>
      <c r="K5883" s="2" t="s">
        <v>10087</v>
      </c>
    </row>
    <row r="5884" spans="1:11" x14ac:dyDescent="0.2">
      <c r="A5884" s="2">
        <v>1472</v>
      </c>
      <c r="B5884" s="2">
        <v>9</v>
      </c>
      <c r="C5884" s="2">
        <v>128785783</v>
      </c>
      <c r="D5884" s="2">
        <v>129617771</v>
      </c>
      <c r="E5884" s="2">
        <v>4</v>
      </c>
      <c r="F5884" s="2" t="s">
        <v>10086</v>
      </c>
      <c r="H5884" s="3">
        <v>4.0000000000000002E-4</v>
      </c>
      <c r="K5884" s="2" t="s">
        <v>10089</v>
      </c>
    </row>
    <row r="5885" spans="1:11" x14ac:dyDescent="0.2">
      <c r="A5885" s="2">
        <v>1473</v>
      </c>
      <c r="B5885" s="2">
        <v>9</v>
      </c>
      <c r="C5885" s="2">
        <v>129617772</v>
      </c>
      <c r="D5885" s="2">
        <v>130902727</v>
      </c>
      <c r="E5885" s="2">
        <v>1</v>
      </c>
      <c r="F5885" s="2" t="s">
        <v>10086</v>
      </c>
      <c r="H5885" s="2">
        <v>1E-3</v>
      </c>
      <c r="K5885" s="2" t="s">
        <v>10088</v>
      </c>
    </row>
    <row r="5886" spans="1:11" x14ac:dyDescent="0.2">
      <c r="A5886" s="2">
        <v>1473</v>
      </c>
      <c r="B5886" s="2">
        <v>9</v>
      </c>
      <c r="C5886" s="2">
        <v>129617772</v>
      </c>
      <c r="D5886" s="2">
        <v>130902727</v>
      </c>
      <c r="E5886" s="2">
        <v>2</v>
      </c>
      <c r="F5886" s="2" t="s">
        <v>10086</v>
      </c>
      <c r="H5886" s="3">
        <v>8.0000000000000004E-4</v>
      </c>
      <c r="K5886" s="2" t="s">
        <v>10089</v>
      </c>
    </row>
    <row r="5887" spans="1:11" x14ac:dyDescent="0.2">
      <c r="A5887" s="2">
        <v>1473</v>
      </c>
      <c r="B5887" s="2">
        <v>9</v>
      </c>
      <c r="C5887" s="2">
        <v>129617772</v>
      </c>
      <c r="D5887" s="2">
        <v>130902727</v>
      </c>
      <c r="E5887" s="2">
        <v>3</v>
      </c>
      <c r="F5887" s="2" t="s">
        <v>10086</v>
      </c>
      <c r="H5887" s="3">
        <v>8.0000000000000004E-4</v>
      </c>
      <c r="K5887" s="2" t="s">
        <v>10085</v>
      </c>
    </row>
    <row r="5888" spans="1:11" x14ac:dyDescent="0.2">
      <c r="A5888" s="2">
        <v>1473</v>
      </c>
      <c r="B5888" s="2">
        <v>9</v>
      </c>
      <c r="C5888" s="2">
        <v>129617772</v>
      </c>
      <c r="D5888" s="2">
        <v>130902727</v>
      </c>
      <c r="E5888" s="2">
        <v>4</v>
      </c>
      <c r="F5888" s="2" t="s">
        <v>10086</v>
      </c>
      <c r="H5888" s="3">
        <v>4.0000000000000002E-4</v>
      </c>
      <c r="K5888" s="2" t="s">
        <v>10087</v>
      </c>
    </row>
    <row r="5889" spans="1:11" x14ac:dyDescent="0.2">
      <c r="A5889" s="2">
        <v>1474</v>
      </c>
      <c r="B5889" s="2">
        <v>9</v>
      </c>
      <c r="C5889" s="2">
        <v>130902728</v>
      </c>
      <c r="D5889" s="2">
        <v>132193798</v>
      </c>
      <c r="E5889" s="2">
        <v>1</v>
      </c>
      <c r="F5889" s="2" t="s">
        <v>10086</v>
      </c>
      <c r="H5889" s="2">
        <v>1.6000000000000001E-3</v>
      </c>
      <c r="K5889" s="2" t="s">
        <v>10088</v>
      </c>
    </row>
    <row r="5890" spans="1:11" x14ac:dyDescent="0.2">
      <c r="A5890" s="2">
        <v>1474</v>
      </c>
      <c r="B5890" s="2">
        <v>9</v>
      </c>
      <c r="C5890" s="2">
        <v>130902728</v>
      </c>
      <c r="D5890" s="2">
        <v>132193798</v>
      </c>
      <c r="E5890" s="2">
        <v>2</v>
      </c>
      <c r="F5890" s="2" t="s">
        <v>10086</v>
      </c>
      <c r="H5890" s="2">
        <v>1.1999999999999999E-3</v>
      </c>
      <c r="K5890" s="2" t="s">
        <v>10087</v>
      </c>
    </row>
    <row r="5891" spans="1:11" x14ac:dyDescent="0.2">
      <c r="A5891" s="2">
        <v>1474</v>
      </c>
      <c r="B5891" s="2">
        <v>9</v>
      </c>
      <c r="C5891" s="2">
        <v>130902728</v>
      </c>
      <c r="D5891" s="2">
        <v>132193798</v>
      </c>
      <c r="E5891" s="2">
        <v>3</v>
      </c>
      <c r="F5891" s="2" t="s">
        <v>10086</v>
      </c>
      <c r="H5891" s="3">
        <v>8.9999999999999998E-4</v>
      </c>
      <c r="K5891" s="2" t="s">
        <v>10089</v>
      </c>
    </row>
    <row r="5892" spans="1:11" x14ac:dyDescent="0.2">
      <c r="A5892" s="2">
        <v>1474</v>
      </c>
      <c r="B5892" s="2">
        <v>9</v>
      </c>
      <c r="C5892" s="2">
        <v>130902728</v>
      </c>
      <c r="D5892" s="2">
        <v>132193798</v>
      </c>
      <c r="E5892" s="2">
        <v>4</v>
      </c>
      <c r="F5892" s="2" t="s">
        <v>10086</v>
      </c>
      <c r="H5892" s="3">
        <v>4.0000000000000002E-4</v>
      </c>
      <c r="K5892" s="2" t="s">
        <v>10085</v>
      </c>
    </row>
    <row r="5893" spans="1:11" x14ac:dyDescent="0.2">
      <c r="A5893" s="2">
        <v>1475</v>
      </c>
      <c r="B5893" s="2">
        <v>9</v>
      </c>
      <c r="C5893" s="2">
        <v>132193799</v>
      </c>
      <c r="D5893" s="2">
        <v>132999452</v>
      </c>
      <c r="E5893" s="2">
        <v>1</v>
      </c>
      <c r="F5893" s="2" t="s">
        <v>10086</v>
      </c>
      <c r="H5893" s="2">
        <v>2E-3</v>
      </c>
      <c r="K5893" s="2" t="s">
        <v>10087</v>
      </c>
    </row>
    <row r="5894" spans="1:11" x14ac:dyDescent="0.2">
      <c r="A5894" s="2">
        <v>1475</v>
      </c>
      <c r="B5894" s="2">
        <v>9</v>
      </c>
      <c r="C5894" s="2">
        <v>132193799</v>
      </c>
      <c r="D5894" s="2">
        <v>132999452</v>
      </c>
      <c r="E5894" s="2">
        <v>2</v>
      </c>
      <c r="F5894" s="2" t="s">
        <v>10086</v>
      </c>
      <c r="H5894" s="2">
        <v>1.4E-3</v>
      </c>
      <c r="K5894" s="2" t="s">
        <v>10085</v>
      </c>
    </row>
    <row r="5895" spans="1:11" x14ac:dyDescent="0.2">
      <c r="A5895" s="2">
        <v>1475</v>
      </c>
      <c r="B5895" s="2">
        <v>9</v>
      </c>
      <c r="C5895" s="2">
        <v>132193799</v>
      </c>
      <c r="D5895" s="2">
        <v>132999452</v>
      </c>
      <c r="E5895" s="2">
        <v>3</v>
      </c>
      <c r="F5895" s="2" t="s">
        <v>10086</v>
      </c>
      <c r="H5895" s="2">
        <v>1.1000000000000001E-3</v>
      </c>
      <c r="K5895" s="2" t="s">
        <v>10089</v>
      </c>
    </row>
    <row r="5896" spans="1:11" x14ac:dyDescent="0.2">
      <c r="A5896" s="2">
        <v>1475</v>
      </c>
      <c r="B5896" s="2">
        <v>9</v>
      </c>
      <c r="C5896" s="2">
        <v>132193799</v>
      </c>
      <c r="D5896" s="2">
        <v>132999452</v>
      </c>
      <c r="E5896" s="2">
        <v>4</v>
      </c>
      <c r="F5896" s="2" t="s">
        <v>10086</v>
      </c>
      <c r="H5896" s="3">
        <v>5.9999999999999995E-4</v>
      </c>
      <c r="K5896" s="2" t="s">
        <v>12324</v>
      </c>
    </row>
    <row r="5897" spans="1:11" x14ac:dyDescent="0.2">
      <c r="A5897" s="2">
        <v>1476</v>
      </c>
      <c r="B5897" s="2">
        <v>9</v>
      </c>
      <c r="C5897" s="2">
        <v>132999453</v>
      </c>
      <c r="D5897" s="2">
        <v>134141936</v>
      </c>
      <c r="E5897" s="2">
        <v>1</v>
      </c>
      <c r="F5897" s="2" t="s">
        <v>10086</v>
      </c>
      <c r="H5897" s="2">
        <v>1.6000000000000001E-3</v>
      </c>
      <c r="K5897" s="2" t="s">
        <v>10089</v>
      </c>
    </row>
    <row r="5898" spans="1:11" x14ac:dyDescent="0.2">
      <c r="A5898" s="2">
        <v>1476</v>
      </c>
      <c r="B5898" s="2">
        <v>9</v>
      </c>
      <c r="C5898" s="2">
        <v>132999453</v>
      </c>
      <c r="D5898" s="2">
        <v>134141936</v>
      </c>
      <c r="E5898" s="2">
        <v>2</v>
      </c>
      <c r="F5898" s="2" t="s">
        <v>10086</v>
      </c>
      <c r="H5898" s="2">
        <v>1.6999999999999999E-3</v>
      </c>
      <c r="K5898" s="2" t="s">
        <v>10088</v>
      </c>
    </row>
    <row r="5899" spans="1:11" x14ac:dyDescent="0.2">
      <c r="A5899" s="2">
        <v>1476</v>
      </c>
      <c r="B5899" s="2">
        <v>9</v>
      </c>
      <c r="C5899" s="2">
        <v>132999453</v>
      </c>
      <c r="D5899" s="2">
        <v>134141936</v>
      </c>
      <c r="E5899" s="2">
        <v>3</v>
      </c>
      <c r="F5899" s="2" t="s">
        <v>10086</v>
      </c>
      <c r="H5899" s="2">
        <v>1.1000000000000001E-3</v>
      </c>
      <c r="K5899" s="2" t="s">
        <v>10085</v>
      </c>
    </row>
    <row r="5900" spans="1:11" x14ac:dyDescent="0.2">
      <c r="A5900" s="2">
        <v>1476</v>
      </c>
      <c r="B5900" s="2">
        <v>9</v>
      </c>
      <c r="C5900" s="2">
        <v>132999453</v>
      </c>
      <c r="D5900" s="2">
        <v>134141936</v>
      </c>
      <c r="E5900" s="2">
        <v>4</v>
      </c>
      <c r="F5900" s="2" t="s">
        <v>10086</v>
      </c>
      <c r="H5900" s="3">
        <v>5.0000000000000001E-4</v>
      </c>
      <c r="K5900" s="2" t="s">
        <v>10087</v>
      </c>
    </row>
    <row r="5901" spans="1:11" x14ac:dyDescent="0.2">
      <c r="A5901" s="2">
        <v>1477</v>
      </c>
      <c r="B5901" s="2">
        <v>9</v>
      </c>
      <c r="C5901" s="2">
        <v>134141937</v>
      </c>
      <c r="D5901" s="2">
        <v>135135887</v>
      </c>
      <c r="E5901" s="2">
        <v>1</v>
      </c>
      <c r="F5901" s="2" t="s">
        <v>10086</v>
      </c>
      <c r="H5901" s="2">
        <v>1.6000000000000001E-3</v>
      </c>
      <c r="K5901" s="2" t="s">
        <v>10089</v>
      </c>
    </row>
    <row r="5902" spans="1:11" x14ac:dyDescent="0.2">
      <c r="A5902" s="2">
        <v>1477</v>
      </c>
      <c r="B5902" s="2">
        <v>9</v>
      </c>
      <c r="C5902" s="2">
        <v>134141937</v>
      </c>
      <c r="D5902" s="2">
        <v>135135887</v>
      </c>
      <c r="E5902" s="2">
        <v>2</v>
      </c>
      <c r="F5902" s="2" t="s">
        <v>10086</v>
      </c>
      <c r="H5902" s="2">
        <v>1.1000000000000001E-3</v>
      </c>
      <c r="K5902" s="2" t="s">
        <v>10085</v>
      </c>
    </row>
    <row r="5903" spans="1:11" x14ac:dyDescent="0.2">
      <c r="A5903" s="2">
        <v>1477</v>
      </c>
      <c r="B5903" s="2">
        <v>9</v>
      </c>
      <c r="C5903" s="2">
        <v>134141937</v>
      </c>
      <c r="D5903" s="2">
        <v>135135887</v>
      </c>
      <c r="E5903" s="2">
        <v>3</v>
      </c>
      <c r="F5903" s="2" t="s">
        <v>10086</v>
      </c>
      <c r="H5903" s="2">
        <v>1E-3</v>
      </c>
      <c r="K5903" s="2" t="s">
        <v>10087</v>
      </c>
    </row>
    <row r="5904" spans="1:11" x14ac:dyDescent="0.2">
      <c r="A5904" s="2">
        <v>1477</v>
      </c>
      <c r="B5904" s="2">
        <v>9</v>
      </c>
      <c r="C5904" s="2">
        <v>134141937</v>
      </c>
      <c r="D5904" s="2">
        <v>135135887</v>
      </c>
      <c r="E5904" s="2">
        <v>4</v>
      </c>
      <c r="F5904" s="2" t="s">
        <v>10086</v>
      </c>
      <c r="H5904" s="3">
        <v>5.9999999999999995E-4</v>
      </c>
      <c r="K5904" s="2" t="s">
        <v>12324</v>
      </c>
    </row>
    <row r="5905" spans="1:11" x14ac:dyDescent="0.2">
      <c r="A5905" s="2">
        <v>1478</v>
      </c>
      <c r="B5905" s="2">
        <v>9</v>
      </c>
      <c r="C5905" s="2">
        <v>135135888</v>
      </c>
      <c r="D5905" s="2">
        <v>136042490</v>
      </c>
      <c r="E5905" s="2">
        <v>1</v>
      </c>
      <c r="F5905" s="2" t="s">
        <v>10086</v>
      </c>
      <c r="H5905" s="2">
        <v>3.3E-3</v>
      </c>
      <c r="K5905" s="2" t="s">
        <v>10089</v>
      </c>
    </row>
    <row r="5906" spans="1:11" x14ac:dyDescent="0.2">
      <c r="A5906" s="2">
        <v>1478</v>
      </c>
      <c r="B5906" s="2">
        <v>9</v>
      </c>
      <c r="C5906" s="2">
        <v>135135888</v>
      </c>
      <c r="D5906" s="2">
        <v>136042490</v>
      </c>
      <c r="E5906" s="2">
        <v>2</v>
      </c>
      <c r="F5906" s="2" t="s">
        <v>10086</v>
      </c>
      <c r="H5906" s="2">
        <v>1E-3</v>
      </c>
      <c r="K5906" s="2" t="s">
        <v>10088</v>
      </c>
    </row>
    <row r="5907" spans="1:11" x14ac:dyDescent="0.2">
      <c r="A5907" s="2">
        <v>1478</v>
      </c>
      <c r="B5907" s="2">
        <v>9</v>
      </c>
      <c r="C5907" s="2">
        <v>135135888</v>
      </c>
      <c r="D5907" s="2">
        <v>136042490</v>
      </c>
      <c r="E5907" s="2">
        <v>3</v>
      </c>
      <c r="F5907" s="2" t="s">
        <v>10086</v>
      </c>
      <c r="H5907" s="2">
        <v>1.2999999999999999E-3</v>
      </c>
      <c r="K5907" s="2" t="s">
        <v>12324</v>
      </c>
    </row>
    <row r="5908" spans="1:11" x14ac:dyDescent="0.2">
      <c r="A5908" s="2">
        <v>1478</v>
      </c>
      <c r="B5908" s="2">
        <v>9</v>
      </c>
      <c r="C5908" s="2">
        <v>135135888</v>
      </c>
      <c r="D5908" s="2">
        <v>136042490</v>
      </c>
      <c r="E5908" s="2">
        <v>4</v>
      </c>
      <c r="F5908" s="2" t="s">
        <v>10086</v>
      </c>
      <c r="H5908" s="3">
        <v>8.0000000000000004E-4</v>
      </c>
      <c r="K5908" s="2" t="s">
        <v>10085</v>
      </c>
    </row>
    <row r="5909" spans="1:11" x14ac:dyDescent="0.2">
      <c r="A5909" s="2">
        <v>1479</v>
      </c>
      <c r="B5909" s="2">
        <v>9</v>
      </c>
      <c r="C5909" s="2">
        <v>136042491</v>
      </c>
      <c r="D5909" s="2">
        <v>136770926</v>
      </c>
      <c r="E5909" s="2">
        <v>1</v>
      </c>
      <c r="F5909" s="2" t="s">
        <v>10086</v>
      </c>
      <c r="H5909" s="2">
        <v>2.3E-3</v>
      </c>
      <c r="K5909" s="2" t="s">
        <v>10085</v>
      </c>
    </row>
    <row r="5910" spans="1:11" x14ac:dyDescent="0.2">
      <c r="A5910" s="2">
        <v>1479</v>
      </c>
      <c r="B5910" s="2">
        <v>9</v>
      </c>
      <c r="C5910" s="2">
        <v>136042491</v>
      </c>
      <c r="D5910" s="2">
        <v>136770926</v>
      </c>
      <c r="E5910" s="2">
        <v>2</v>
      </c>
      <c r="F5910" s="2" t="s">
        <v>10086</v>
      </c>
      <c r="H5910" s="2">
        <v>1.5E-3</v>
      </c>
      <c r="K5910" s="2" t="s">
        <v>10088</v>
      </c>
    </row>
    <row r="5911" spans="1:11" x14ac:dyDescent="0.2">
      <c r="A5911" s="2">
        <v>1479</v>
      </c>
      <c r="B5911" s="2">
        <v>9</v>
      </c>
      <c r="C5911" s="2">
        <v>136042491</v>
      </c>
      <c r="D5911" s="2">
        <v>136770926</v>
      </c>
      <c r="E5911" s="2">
        <v>3</v>
      </c>
      <c r="F5911" s="2" t="s">
        <v>10086</v>
      </c>
      <c r="H5911" s="3">
        <v>8.0000000000000004E-4</v>
      </c>
      <c r="K5911" s="2" t="s">
        <v>10087</v>
      </c>
    </row>
    <row r="5912" spans="1:11" x14ac:dyDescent="0.2">
      <c r="A5912" s="2">
        <v>1479</v>
      </c>
      <c r="B5912" s="2">
        <v>9</v>
      </c>
      <c r="C5912" s="2">
        <v>136042491</v>
      </c>
      <c r="D5912" s="2">
        <v>136770926</v>
      </c>
      <c r="E5912" s="2">
        <v>4</v>
      </c>
      <c r="F5912" s="2" t="s">
        <v>10086</v>
      </c>
      <c r="H5912" s="3">
        <v>4.0000000000000002E-4</v>
      </c>
      <c r="K5912" s="2" t="s">
        <v>10089</v>
      </c>
    </row>
    <row r="5913" spans="1:11" x14ac:dyDescent="0.2">
      <c r="A5913" s="2">
        <v>1480</v>
      </c>
      <c r="B5913" s="2">
        <v>9</v>
      </c>
      <c r="C5913" s="2">
        <v>136770927</v>
      </c>
      <c r="D5913" s="2">
        <v>137593527</v>
      </c>
      <c r="E5913" s="2">
        <v>1</v>
      </c>
      <c r="F5913" s="2" t="s">
        <v>10086</v>
      </c>
      <c r="H5913" s="2">
        <v>1.6000000000000001E-3</v>
      </c>
      <c r="K5913" s="2" t="s">
        <v>10088</v>
      </c>
    </row>
    <row r="5914" spans="1:11" x14ac:dyDescent="0.2">
      <c r="A5914" s="2">
        <v>1480</v>
      </c>
      <c r="B5914" s="2">
        <v>9</v>
      </c>
      <c r="C5914" s="2">
        <v>136770927</v>
      </c>
      <c r="D5914" s="2">
        <v>137593527</v>
      </c>
      <c r="E5914" s="2">
        <v>2</v>
      </c>
      <c r="F5914" s="2" t="s">
        <v>10086</v>
      </c>
      <c r="H5914" s="2">
        <v>1.5E-3</v>
      </c>
      <c r="K5914" s="2" t="s">
        <v>10085</v>
      </c>
    </row>
    <row r="5915" spans="1:11" x14ac:dyDescent="0.2">
      <c r="A5915" s="2">
        <v>1480</v>
      </c>
      <c r="B5915" s="2">
        <v>9</v>
      </c>
      <c r="C5915" s="2">
        <v>136770927</v>
      </c>
      <c r="D5915" s="2">
        <v>137593527</v>
      </c>
      <c r="E5915" s="2">
        <v>3</v>
      </c>
      <c r="F5915" s="2" t="s">
        <v>10086</v>
      </c>
      <c r="H5915" s="3">
        <v>8.9999999999999998E-4</v>
      </c>
      <c r="K5915" s="2" t="s">
        <v>10087</v>
      </c>
    </row>
    <row r="5916" spans="1:11" x14ac:dyDescent="0.2">
      <c r="A5916" s="2">
        <v>1480</v>
      </c>
      <c r="B5916" s="2">
        <v>9</v>
      </c>
      <c r="C5916" s="2">
        <v>136770927</v>
      </c>
      <c r="D5916" s="2">
        <v>137593527</v>
      </c>
      <c r="E5916" s="2">
        <v>4</v>
      </c>
      <c r="F5916" s="2" t="s">
        <v>10086</v>
      </c>
      <c r="H5916" s="3">
        <v>8.0000000000000004E-4</v>
      </c>
      <c r="K5916" s="2" t="s">
        <v>12324</v>
      </c>
    </row>
    <row r="5917" spans="1:11" x14ac:dyDescent="0.2">
      <c r="A5917" s="2">
        <v>1481</v>
      </c>
      <c r="B5917" s="2">
        <v>9</v>
      </c>
      <c r="C5917" s="2">
        <v>137593528</v>
      </c>
      <c r="D5917" s="2">
        <v>138202112</v>
      </c>
      <c r="E5917" s="2">
        <v>1</v>
      </c>
      <c r="F5917" s="2" t="s">
        <v>10086</v>
      </c>
      <c r="H5917" s="2">
        <v>3.3E-3</v>
      </c>
      <c r="K5917" s="2" t="s">
        <v>10087</v>
      </c>
    </row>
    <row r="5918" spans="1:11" x14ac:dyDescent="0.2">
      <c r="A5918" s="2">
        <v>1481</v>
      </c>
      <c r="B5918" s="2">
        <v>9</v>
      </c>
      <c r="C5918" s="2">
        <v>137593528</v>
      </c>
      <c r="D5918" s="2">
        <v>138202112</v>
      </c>
      <c r="E5918" s="2">
        <v>2</v>
      </c>
      <c r="F5918" s="2" t="s">
        <v>10086</v>
      </c>
      <c r="H5918" s="2">
        <v>1.1999999999999999E-3</v>
      </c>
      <c r="K5918" s="2" t="s">
        <v>10085</v>
      </c>
    </row>
    <row r="5919" spans="1:11" x14ac:dyDescent="0.2">
      <c r="A5919" s="2">
        <v>1481</v>
      </c>
      <c r="B5919" s="2">
        <v>9</v>
      </c>
      <c r="C5919" s="2">
        <v>137593528</v>
      </c>
      <c r="D5919" s="2">
        <v>138202112</v>
      </c>
      <c r="E5919" s="2">
        <v>3</v>
      </c>
      <c r="F5919" s="2" t="s">
        <v>10086</v>
      </c>
      <c r="H5919" s="2">
        <v>1.1999999999999999E-3</v>
      </c>
      <c r="K5919" s="2" t="s">
        <v>10088</v>
      </c>
    </row>
    <row r="5920" spans="1:11" x14ac:dyDescent="0.2">
      <c r="A5920" s="2">
        <v>1481</v>
      </c>
      <c r="B5920" s="2">
        <v>9</v>
      </c>
      <c r="C5920" s="2">
        <v>137593528</v>
      </c>
      <c r="D5920" s="2">
        <v>138202112</v>
      </c>
      <c r="E5920" s="2">
        <v>4</v>
      </c>
      <c r="F5920" s="2" t="s">
        <v>10086</v>
      </c>
      <c r="H5920" s="3">
        <v>4.0000000000000002E-4</v>
      </c>
      <c r="K5920" s="2" t="s">
        <v>10089</v>
      </c>
    </row>
    <row r="5921" spans="1:11" x14ac:dyDescent="0.2">
      <c r="A5921" s="2">
        <v>1482</v>
      </c>
      <c r="B5921" s="2">
        <v>9</v>
      </c>
      <c r="C5921" s="2">
        <v>138202113</v>
      </c>
      <c r="D5921" s="2">
        <v>138995791</v>
      </c>
      <c r="E5921" s="2">
        <v>1</v>
      </c>
      <c r="F5921" s="2" t="s">
        <v>10086</v>
      </c>
      <c r="H5921" s="2">
        <v>1.4E-3</v>
      </c>
      <c r="K5921" s="2" t="s">
        <v>10087</v>
      </c>
    </row>
    <row r="5922" spans="1:11" x14ac:dyDescent="0.2">
      <c r="A5922" s="2">
        <v>1482</v>
      </c>
      <c r="B5922" s="2">
        <v>9</v>
      </c>
      <c r="C5922" s="2">
        <v>138202113</v>
      </c>
      <c r="D5922" s="2">
        <v>138995791</v>
      </c>
      <c r="E5922" s="2">
        <v>2</v>
      </c>
      <c r="F5922" s="2" t="s">
        <v>10086</v>
      </c>
      <c r="H5922" s="2">
        <v>1.1000000000000001E-3</v>
      </c>
      <c r="K5922" s="2" t="s">
        <v>10085</v>
      </c>
    </row>
    <row r="5923" spans="1:11" x14ac:dyDescent="0.2">
      <c r="A5923" s="2">
        <v>1482</v>
      </c>
      <c r="B5923" s="2">
        <v>9</v>
      </c>
      <c r="C5923" s="2">
        <v>138202113</v>
      </c>
      <c r="D5923" s="2">
        <v>138995791</v>
      </c>
      <c r="E5923" s="2">
        <v>3</v>
      </c>
      <c r="F5923" s="2" t="s">
        <v>10086</v>
      </c>
      <c r="H5923" s="3">
        <v>8.9999999999999998E-4</v>
      </c>
      <c r="K5923" s="2" t="s">
        <v>10089</v>
      </c>
    </row>
    <row r="5924" spans="1:11" x14ac:dyDescent="0.2">
      <c r="A5924" s="2">
        <v>1482</v>
      </c>
      <c r="B5924" s="2">
        <v>9</v>
      </c>
      <c r="C5924" s="2">
        <v>138202113</v>
      </c>
      <c r="D5924" s="2">
        <v>138995791</v>
      </c>
      <c r="E5924" s="2">
        <v>4</v>
      </c>
      <c r="F5924" s="2" t="s">
        <v>10086</v>
      </c>
      <c r="H5924" s="3">
        <v>5.0000000000000001E-4</v>
      </c>
      <c r="K5924" s="2" t="s">
        <v>10088</v>
      </c>
    </row>
    <row r="5925" spans="1:11" x14ac:dyDescent="0.2">
      <c r="A5925" s="2">
        <v>1483</v>
      </c>
      <c r="B5925" s="2">
        <v>9</v>
      </c>
      <c r="C5925" s="2">
        <v>138995792</v>
      </c>
      <c r="D5925" s="2">
        <v>140097759</v>
      </c>
      <c r="E5925" s="2">
        <v>1</v>
      </c>
      <c r="F5925" s="2" t="s">
        <v>10086</v>
      </c>
      <c r="H5925" s="2">
        <v>1.2999999999999999E-3</v>
      </c>
      <c r="K5925" s="2" t="s">
        <v>10085</v>
      </c>
    </row>
    <row r="5926" spans="1:11" x14ac:dyDescent="0.2">
      <c r="A5926" s="2">
        <v>1483</v>
      </c>
      <c r="B5926" s="2">
        <v>9</v>
      </c>
      <c r="C5926" s="2">
        <v>138995792</v>
      </c>
      <c r="D5926" s="2">
        <v>140097759</v>
      </c>
      <c r="E5926" s="2">
        <v>2</v>
      </c>
      <c r="F5926" s="2" t="s">
        <v>10086</v>
      </c>
      <c r="H5926" s="2">
        <v>1.5E-3</v>
      </c>
      <c r="K5926" s="2" t="s">
        <v>10088</v>
      </c>
    </row>
    <row r="5927" spans="1:11" x14ac:dyDescent="0.2">
      <c r="A5927" s="2">
        <v>1483</v>
      </c>
      <c r="B5927" s="2">
        <v>9</v>
      </c>
      <c r="C5927" s="2">
        <v>138995792</v>
      </c>
      <c r="D5927" s="2">
        <v>140097759</v>
      </c>
      <c r="E5927" s="2">
        <v>3</v>
      </c>
      <c r="F5927" s="2" t="s">
        <v>10086</v>
      </c>
      <c r="H5927" s="2">
        <v>1.1000000000000001E-3</v>
      </c>
      <c r="K5927" s="2" t="s">
        <v>10087</v>
      </c>
    </row>
    <row r="5928" spans="1:11" x14ac:dyDescent="0.2">
      <c r="A5928" s="2">
        <v>1483</v>
      </c>
      <c r="B5928" s="2">
        <v>9</v>
      </c>
      <c r="C5928" s="2">
        <v>138995792</v>
      </c>
      <c r="D5928" s="2">
        <v>140097759</v>
      </c>
      <c r="E5928" s="2">
        <v>4</v>
      </c>
      <c r="F5928" s="2" t="s">
        <v>10086</v>
      </c>
      <c r="H5928" s="3">
        <v>8.9999999999999998E-4</v>
      </c>
      <c r="K5928" s="2" t="s">
        <v>10089</v>
      </c>
    </row>
    <row r="5929" spans="1:11" x14ac:dyDescent="0.2">
      <c r="A5929" s="2">
        <v>1484</v>
      </c>
      <c r="B5929" s="2">
        <v>9</v>
      </c>
      <c r="C5929" s="2">
        <v>140097760</v>
      </c>
      <c r="D5929" s="2">
        <v>141146682</v>
      </c>
      <c r="E5929" s="2">
        <v>1</v>
      </c>
      <c r="F5929" s="2" t="s">
        <v>10086</v>
      </c>
      <c r="H5929" s="2">
        <v>1.6999999999999999E-3</v>
      </c>
      <c r="K5929" s="2" t="s">
        <v>10088</v>
      </c>
    </row>
    <row r="5930" spans="1:11" x14ac:dyDescent="0.2">
      <c r="A5930" s="2">
        <v>1484</v>
      </c>
      <c r="B5930" s="2">
        <v>9</v>
      </c>
      <c r="C5930" s="2">
        <v>140097760</v>
      </c>
      <c r="D5930" s="2">
        <v>141146682</v>
      </c>
      <c r="E5930" s="2">
        <v>2</v>
      </c>
      <c r="F5930" s="2" t="s">
        <v>10086</v>
      </c>
      <c r="H5930" s="2">
        <v>1E-3</v>
      </c>
      <c r="K5930" s="2" t="s">
        <v>10089</v>
      </c>
    </row>
    <row r="5931" spans="1:11" x14ac:dyDescent="0.2">
      <c r="A5931" s="2">
        <v>1484</v>
      </c>
      <c r="B5931" s="2">
        <v>9</v>
      </c>
      <c r="C5931" s="2">
        <v>140097760</v>
      </c>
      <c r="D5931" s="2">
        <v>141146682</v>
      </c>
      <c r="E5931" s="2">
        <v>3</v>
      </c>
      <c r="F5931" s="2" t="s">
        <v>10086</v>
      </c>
      <c r="H5931" s="3">
        <v>8.0000000000000004E-4</v>
      </c>
      <c r="K5931" s="2" t="s">
        <v>10085</v>
      </c>
    </row>
    <row r="5932" spans="1:11" x14ac:dyDescent="0.2">
      <c r="A5932" s="2">
        <v>1484</v>
      </c>
      <c r="B5932" s="2">
        <v>9</v>
      </c>
      <c r="C5932" s="2">
        <v>140097760</v>
      </c>
      <c r="D5932" s="2">
        <v>141146682</v>
      </c>
      <c r="E5932" s="2">
        <v>4</v>
      </c>
      <c r="F5932" s="2" t="s">
        <v>10086</v>
      </c>
      <c r="H5932" s="3">
        <v>6.9999999999999999E-4</v>
      </c>
      <c r="K5932" s="2" t="s">
        <v>10087</v>
      </c>
    </row>
    <row r="5933" spans="1:11" x14ac:dyDescent="0.2">
      <c r="A5933" s="2">
        <v>1485</v>
      </c>
      <c r="B5933" s="2">
        <v>10</v>
      </c>
      <c r="C5933" s="2">
        <v>60515</v>
      </c>
      <c r="D5933" s="2">
        <v>1329232</v>
      </c>
      <c r="E5933" s="2">
        <v>1</v>
      </c>
      <c r="F5933" s="2" t="s">
        <v>10086</v>
      </c>
      <c r="H5933" s="2">
        <v>3.3E-3</v>
      </c>
      <c r="K5933" s="2" t="s">
        <v>10087</v>
      </c>
    </row>
    <row r="5934" spans="1:11" x14ac:dyDescent="0.2">
      <c r="A5934" s="2">
        <v>1485</v>
      </c>
      <c r="B5934" s="2">
        <v>10</v>
      </c>
      <c r="C5934" s="2">
        <v>60515</v>
      </c>
      <c r="D5934" s="2">
        <v>1329232</v>
      </c>
      <c r="E5934" s="2">
        <v>2</v>
      </c>
      <c r="F5934" s="2" t="s">
        <v>10086</v>
      </c>
      <c r="H5934" s="2">
        <v>2E-3</v>
      </c>
      <c r="K5934" s="2" t="s">
        <v>10088</v>
      </c>
    </row>
    <row r="5935" spans="1:11" x14ac:dyDescent="0.2">
      <c r="A5935" s="2">
        <v>1485</v>
      </c>
      <c r="B5935" s="2">
        <v>10</v>
      </c>
      <c r="C5935" s="2">
        <v>60515</v>
      </c>
      <c r="D5935" s="2">
        <v>1329232</v>
      </c>
      <c r="E5935" s="2">
        <v>3</v>
      </c>
      <c r="F5935" s="2" t="s">
        <v>10086</v>
      </c>
      <c r="H5935" s="2">
        <v>1E-3</v>
      </c>
      <c r="K5935" s="2" t="s">
        <v>10089</v>
      </c>
    </row>
    <row r="5936" spans="1:11" x14ac:dyDescent="0.2">
      <c r="A5936" s="2">
        <v>1485</v>
      </c>
      <c r="B5936" s="2">
        <v>10</v>
      </c>
      <c r="C5936" s="2">
        <v>60515</v>
      </c>
      <c r="D5936" s="2">
        <v>1329232</v>
      </c>
      <c r="E5936" s="2">
        <v>4</v>
      </c>
      <c r="F5936" s="2" t="s">
        <v>10086</v>
      </c>
      <c r="H5936" s="3">
        <v>5.0000000000000001E-4</v>
      </c>
      <c r="K5936" s="2" t="s">
        <v>10085</v>
      </c>
    </row>
    <row r="5937" spans="1:11" x14ac:dyDescent="0.2">
      <c r="A5937" s="2">
        <v>1486</v>
      </c>
      <c r="B5937" s="2">
        <v>10</v>
      </c>
      <c r="C5937" s="2">
        <v>1329233</v>
      </c>
      <c r="D5937" s="2">
        <v>1872960</v>
      </c>
      <c r="E5937" s="2">
        <v>1</v>
      </c>
      <c r="F5937" s="2" t="s">
        <v>10086</v>
      </c>
      <c r="H5937" s="2">
        <v>1.1999999999999999E-3</v>
      </c>
      <c r="K5937" s="2" t="s">
        <v>10088</v>
      </c>
    </row>
    <row r="5938" spans="1:11" x14ac:dyDescent="0.2">
      <c r="A5938" s="2">
        <v>1486</v>
      </c>
      <c r="B5938" s="2">
        <v>10</v>
      </c>
      <c r="C5938" s="2">
        <v>1329233</v>
      </c>
      <c r="D5938" s="2">
        <v>1872960</v>
      </c>
      <c r="E5938" s="2">
        <v>2</v>
      </c>
      <c r="F5938" s="2" t="s">
        <v>10086</v>
      </c>
      <c r="H5938" s="3">
        <v>8.0000000000000004E-4</v>
      </c>
      <c r="K5938" s="2" t="s">
        <v>10085</v>
      </c>
    </row>
    <row r="5939" spans="1:11" x14ac:dyDescent="0.2">
      <c r="A5939" s="2">
        <v>1486</v>
      </c>
      <c r="B5939" s="2">
        <v>10</v>
      </c>
      <c r="C5939" s="2">
        <v>1329233</v>
      </c>
      <c r="D5939" s="2">
        <v>1872960</v>
      </c>
      <c r="E5939" s="2">
        <v>3</v>
      </c>
      <c r="F5939" s="2" t="s">
        <v>10086</v>
      </c>
      <c r="H5939" s="3">
        <v>5.0000000000000001E-4</v>
      </c>
      <c r="K5939" s="2" t="s">
        <v>10089</v>
      </c>
    </row>
    <row r="5940" spans="1:11" x14ac:dyDescent="0.2">
      <c r="A5940" s="2">
        <v>1486</v>
      </c>
      <c r="B5940" s="2">
        <v>10</v>
      </c>
      <c r="C5940" s="2">
        <v>1329233</v>
      </c>
      <c r="D5940" s="2">
        <v>1872960</v>
      </c>
      <c r="E5940" s="2">
        <v>4</v>
      </c>
      <c r="F5940" s="2" t="s">
        <v>10086</v>
      </c>
      <c r="H5940" s="3">
        <v>4.0000000000000002E-4</v>
      </c>
      <c r="K5940" s="2" t="s">
        <v>12324</v>
      </c>
    </row>
    <row r="5941" spans="1:11" x14ac:dyDescent="0.2">
      <c r="A5941" s="2">
        <v>1487</v>
      </c>
      <c r="B5941" s="2">
        <v>10</v>
      </c>
      <c r="C5941" s="2">
        <v>1872961</v>
      </c>
      <c r="D5941" s="2">
        <v>2637065</v>
      </c>
      <c r="E5941" s="2">
        <v>1</v>
      </c>
      <c r="F5941" s="2" t="s">
        <v>10086</v>
      </c>
      <c r="H5941" s="2">
        <v>1.0800000000000001E-2</v>
      </c>
      <c r="K5941" s="2" t="s">
        <v>12324</v>
      </c>
    </row>
    <row r="5942" spans="1:11" x14ac:dyDescent="0.2">
      <c r="A5942" s="2">
        <v>1487</v>
      </c>
      <c r="B5942" s="2">
        <v>10</v>
      </c>
      <c r="C5942" s="2">
        <v>1872961</v>
      </c>
      <c r="D5942" s="2">
        <v>2637065</v>
      </c>
      <c r="E5942" s="2">
        <v>2</v>
      </c>
      <c r="F5942" s="2" t="s">
        <v>10086</v>
      </c>
      <c r="H5942" s="2">
        <v>1.1999999999999999E-3</v>
      </c>
      <c r="K5942" s="2" t="s">
        <v>10088</v>
      </c>
    </row>
    <row r="5943" spans="1:11" x14ac:dyDescent="0.2">
      <c r="A5943" s="2">
        <v>1487</v>
      </c>
      <c r="B5943" s="2">
        <v>10</v>
      </c>
      <c r="C5943" s="2">
        <v>1872961</v>
      </c>
      <c r="D5943" s="2">
        <v>2637065</v>
      </c>
      <c r="E5943" s="2">
        <v>3</v>
      </c>
      <c r="F5943" s="2" t="s">
        <v>10086</v>
      </c>
      <c r="H5943" s="2">
        <v>1.1000000000000001E-3</v>
      </c>
      <c r="K5943" s="2" t="s">
        <v>10087</v>
      </c>
    </row>
    <row r="5944" spans="1:11" x14ac:dyDescent="0.2">
      <c r="A5944" s="2">
        <v>1487</v>
      </c>
      <c r="B5944" s="2">
        <v>10</v>
      </c>
      <c r="C5944" s="2">
        <v>1872961</v>
      </c>
      <c r="D5944" s="2">
        <v>2637065</v>
      </c>
      <c r="E5944" s="2">
        <v>4</v>
      </c>
      <c r="F5944" s="2" t="s">
        <v>10086</v>
      </c>
      <c r="H5944" s="3">
        <v>8.0000000000000004E-4</v>
      </c>
      <c r="K5944" s="2" t="s">
        <v>10085</v>
      </c>
    </row>
    <row r="5945" spans="1:11" x14ac:dyDescent="0.2">
      <c r="A5945" s="2">
        <v>1488</v>
      </c>
      <c r="B5945" s="2">
        <v>10</v>
      </c>
      <c r="C5945" s="2">
        <v>2637066</v>
      </c>
      <c r="D5945" s="2">
        <v>3225336</v>
      </c>
      <c r="E5945" s="2">
        <v>1</v>
      </c>
      <c r="F5945" s="2" t="s">
        <v>10086</v>
      </c>
      <c r="H5945" s="2">
        <v>1E-3</v>
      </c>
      <c r="K5945" s="2" t="s">
        <v>10089</v>
      </c>
    </row>
    <row r="5946" spans="1:11" x14ac:dyDescent="0.2">
      <c r="A5946" s="2">
        <v>1488</v>
      </c>
      <c r="B5946" s="2">
        <v>10</v>
      </c>
      <c r="C5946" s="2">
        <v>2637066</v>
      </c>
      <c r="D5946" s="2">
        <v>3225336</v>
      </c>
      <c r="E5946" s="2">
        <v>2</v>
      </c>
      <c r="F5946" s="2" t="s">
        <v>10086</v>
      </c>
      <c r="H5946" s="3">
        <v>8.0000000000000004E-4</v>
      </c>
      <c r="K5946" s="2" t="s">
        <v>10085</v>
      </c>
    </row>
    <row r="5947" spans="1:11" x14ac:dyDescent="0.2">
      <c r="A5947" s="2">
        <v>1488</v>
      </c>
      <c r="B5947" s="2">
        <v>10</v>
      </c>
      <c r="C5947" s="2">
        <v>2637066</v>
      </c>
      <c r="D5947" s="2">
        <v>3225336</v>
      </c>
      <c r="E5947" s="2">
        <v>3</v>
      </c>
      <c r="F5947" s="2" t="s">
        <v>10086</v>
      </c>
      <c r="H5947" s="3">
        <v>8.0000000000000004E-4</v>
      </c>
      <c r="K5947" s="2" t="s">
        <v>10088</v>
      </c>
    </row>
    <row r="5948" spans="1:11" x14ac:dyDescent="0.2">
      <c r="A5948" s="2">
        <v>1488</v>
      </c>
      <c r="B5948" s="2">
        <v>10</v>
      </c>
      <c r="C5948" s="2">
        <v>2637066</v>
      </c>
      <c r="D5948" s="2">
        <v>3225336</v>
      </c>
      <c r="E5948" s="2">
        <v>4</v>
      </c>
      <c r="F5948" s="2" t="s">
        <v>10086</v>
      </c>
      <c r="H5948" s="3">
        <v>2.9999999999999997E-4</v>
      </c>
      <c r="K5948" s="2" t="s">
        <v>10087</v>
      </c>
    </row>
    <row r="5949" spans="1:11" x14ac:dyDescent="0.2">
      <c r="A5949" s="2">
        <v>1489</v>
      </c>
      <c r="B5949" s="2">
        <v>10</v>
      </c>
      <c r="C5949" s="2">
        <v>3225337</v>
      </c>
      <c r="D5949" s="2">
        <v>3880322</v>
      </c>
      <c r="E5949" s="2">
        <v>1</v>
      </c>
      <c r="F5949" s="2" t="s">
        <v>10086</v>
      </c>
      <c r="H5949" s="2">
        <v>1.9E-3</v>
      </c>
      <c r="K5949" s="2" t="s">
        <v>10088</v>
      </c>
    </row>
    <row r="5950" spans="1:11" x14ac:dyDescent="0.2">
      <c r="A5950" s="2">
        <v>1489</v>
      </c>
      <c r="B5950" s="2">
        <v>10</v>
      </c>
      <c r="C5950" s="2">
        <v>3225337</v>
      </c>
      <c r="D5950" s="2">
        <v>3880322</v>
      </c>
      <c r="E5950" s="2">
        <v>2</v>
      </c>
      <c r="F5950" s="2" t="s">
        <v>10086</v>
      </c>
      <c r="H5950" s="3">
        <v>8.0000000000000004E-4</v>
      </c>
      <c r="K5950" s="2" t="s">
        <v>10089</v>
      </c>
    </row>
    <row r="5951" spans="1:11" x14ac:dyDescent="0.2">
      <c r="A5951" s="2">
        <v>1489</v>
      </c>
      <c r="B5951" s="2">
        <v>10</v>
      </c>
      <c r="C5951" s="2">
        <v>3225337</v>
      </c>
      <c r="D5951" s="2">
        <v>3880322</v>
      </c>
      <c r="E5951" s="2">
        <v>3</v>
      </c>
      <c r="F5951" s="2" t="s">
        <v>10086</v>
      </c>
      <c r="H5951" s="3">
        <v>8.0000000000000004E-4</v>
      </c>
      <c r="K5951" s="2" t="s">
        <v>10085</v>
      </c>
    </row>
    <row r="5952" spans="1:11" x14ac:dyDescent="0.2">
      <c r="A5952" s="2">
        <v>1489</v>
      </c>
      <c r="B5952" s="2">
        <v>10</v>
      </c>
      <c r="C5952" s="2">
        <v>3225337</v>
      </c>
      <c r="D5952" s="2">
        <v>3880322</v>
      </c>
      <c r="E5952" s="2">
        <v>4</v>
      </c>
      <c r="F5952" s="2" t="s">
        <v>10086</v>
      </c>
      <c r="H5952" s="3">
        <v>4.0000000000000002E-4</v>
      </c>
      <c r="K5952" s="2" t="s">
        <v>10087</v>
      </c>
    </row>
    <row r="5953" spans="1:11" x14ac:dyDescent="0.2">
      <c r="A5953" s="2">
        <v>1490</v>
      </c>
      <c r="B5953" s="2">
        <v>10</v>
      </c>
      <c r="C5953" s="2">
        <v>3880323</v>
      </c>
      <c r="D5953" s="2">
        <v>4813182</v>
      </c>
      <c r="E5953" s="2">
        <v>1</v>
      </c>
      <c r="F5953" s="2" t="s">
        <v>10086</v>
      </c>
      <c r="H5953" s="2">
        <v>1.6000000000000001E-3</v>
      </c>
      <c r="K5953" s="2" t="s">
        <v>10085</v>
      </c>
    </row>
    <row r="5954" spans="1:11" x14ac:dyDescent="0.2">
      <c r="A5954" s="2">
        <v>1490</v>
      </c>
      <c r="B5954" s="2">
        <v>10</v>
      </c>
      <c r="C5954" s="2">
        <v>3880323</v>
      </c>
      <c r="D5954" s="2">
        <v>4813182</v>
      </c>
      <c r="E5954" s="2">
        <v>2</v>
      </c>
      <c r="F5954" s="2" t="s">
        <v>10086</v>
      </c>
      <c r="H5954" s="2">
        <v>1.1999999999999999E-3</v>
      </c>
      <c r="K5954" s="2" t="s">
        <v>10088</v>
      </c>
    </row>
    <row r="5955" spans="1:11" x14ac:dyDescent="0.2">
      <c r="A5955" s="2">
        <v>1490</v>
      </c>
      <c r="B5955" s="2">
        <v>10</v>
      </c>
      <c r="C5955" s="2">
        <v>3880323</v>
      </c>
      <c r="D5955" s="2">
        <v>4813182</v>
      </c>
      <c r="E5955" s="2">
        <v>3</v>
      </c>
      <c r="F5955" s="2" t="s">
        <v>10086</v>
      </c>
      <c r="H5955" s="3">
        <v>8.0000000000000004E-4</v>
      </c>
      <c r="K5955" s="2" t="s">
        <v>10089</v>
      </c>
    </row>
    <row r="5956" spans="1:11" x14ac:dyDescent="0.2">
      <c r="A5956" s="2">
        <v>1490</v>
      </c>
      <c r="B5956" s="2">
        <v>10</v>
      </c>
      <c r="C5956" s="2">
        <v>3880323</v>
      </c>
      <c r="D5956" s="2">
        <v>4813182</v>
      </c>
      <c r="E5956" s="2">
        <v>4</v>
      </c>
      <c r="F5956" s="2" t="s">
        <v>10086</v>
      </c>
      <c r="H5956" s="3">
        <v>5.9999999999999995E-4</v>
      </c>
      <c r="K5956" s="2" t="s">
        <v>10087</v>
      </c>
    </row>
    <row r="5957" spans="1:11" x14ac:dyDescent="0.2">
      <c r="A5957" s="2">
        <v>1491</v>
      </c>
      <c r="B5957" s="2">
        <v>10</v>
      </c>
      <c r="C5957" s="2">
        <v>4813183</v>
      </c>
      <c r="D5957" s="2">
        <v>5396242</v>
      </c>
      <c r="E5957" s="2">
        <v>1</v>
      </c>
      <c r="F5957" s="2" t="s">
        <v>10086</v>
      </c>
      <c r="H5957" s="2">
        <v>1.2999999999999999E-3</v>
      </c>
      <c r="K5957" s="2" t="s">
        <v>10085</v>
      </c>
    </row>
    <row r="5958" spans="1:11" x14ac:dyDescent="0.2">
      <c r="A5958" s="2">
        <v>1491</v>
      </c>
      <c r="B5958" s="2">
        <v>10</v>
      </c>
      <c r="C5958" s="2">
        <v>4813183</v>
      </c>
      <c r="D5958" s="2">
        <v>5396242</v>
      </c>
      <c r="E5958" s="2">
        <v>2</v>
      </c>
      <c r="F5958" s="2" t="s">
        <v>10086</v>
      </c>
      <c r="H5958" s="3">
        <v>8.0000000000000004E-4</v>
      </c>
      <c r="K5958" s="2" t="s">
        <v>10089</v>
      </c>
    </row>
    <row r="5959" spans="1:11" x14ac:dyDescent="0.2">
      <c r="A5959" s="2">
        <v>1491</v>
      </c>
      <c r="B5959" s="2">
        <v>10</v>
      </c>
      <c r="C5959" s="2">
        <v>4813183</v>
      </c>
      <c r="D5959" s="2">
        <v>5396242</v>
      </c>
      <c r="E5959" s="2">
        <v>3</v>
      </c>
      <c r="F5959" s="2" t="s">
        <v>10086</v>
      </c>
      <c r="H5959" s="3">
        <v>8.0000000000000004E-4</v>
      </c>
      <c r="K5959" s="2" t="s">
        <v>10087</v>
      </c>
    </row>
    <row r="5960" spans="1:11" x14ac:dyDescent="0.2">
      <c r="A5960" s="2">
        <v>1491</v>
      </c>
      <c r="B5960" s="2">
        <v>10</v>
      </c>
      <c r="C5960" s="2">
        <v>4813183</v>
      </c>
      <c r="D5960" s="2">
        <v>5396242</v>
      </c>
      <c r="E5960" s="2">
        <v>4</v>
      </c>
      <c r="F5960" s="2" t="s">
        <v>10086</v>
      </c>
      <c r="H5960" s="3">
        <v>2.9999999999999997E-4</v>
      </c>
      <c r="K5960" s="2" t="s">
        <v>10088</v>
      </c>
    </row>
    <row r="5961" spans="1:11" x14ac:dyDescent="0.2">
      <c r="A5961" s="2">
        <v>1492</v>
      </c>
      <c r="B5961" s="2">
        <v>10</v>
      </c>
      <c r="C5961" s="2">
        <v>5396243</v>
      </c>
      <c r="D5961" s="2">
        <v>6234718</v>
      </c>
      <c r="E5961" s="2">
        <v>1</v>
      </c>
      <c r="F5961" s="2" t="s">
        <v>10086</v>
      </c>
      <c r="H5961" s="2">
        <v>6.4999999999999997E-3</v>
      </c>
      <c r="K5961" s="2" t="s">
        <v>10085</v>
      </c>
    </row>
    <row r="5962" spans="1:11" x14ac:dyDescent="0.2">
      <c r="A5962" s="2">
        <v>1492</v>
      </c>
      <c r="B5962" s="2">
        <v>10</v>
      </c>
      <c r="C5962" s="2">
        <v>5396243</v>
      </c>
      <c r="D5962" s="2">
        <v>6234718</v>
      </c>
      <c r="E5962" s="2">
        <v>2</v>
      </c>
      <c r="F5962" s="2" t="s">
        <v>10086</v>
      </c>
      <c r="H5962" s="2">
        <v>3.2000000000000002E-3</v>
      </c>
      <c r="K5962" s="2" t="s">
        <v>10089</v>
      </c>
    </row>
    <row r="5963" spans="1:11" x14ac:dyDescent="0.2">
      <c r="A5963" s="2">
        <v>1492</v>
      </c>
      <c r="B5963" s="2">
        <v>10</v>
      </c>
      <c r="C5963" s="2">
        <v>5396243</v>
      </c>
      <c r="D5963" s="2">
        <v>6234718</v>
      </c>
      <c r="E5963" s="2">
        <v>3</v>
      </c>
      <c r="F5963" s="2" t="s">
        <v>10086</v>
      </c>
      <c r="H5963" s="2">
        <v>1.8E-3</v>
      </c>
      <c r="K5963" s="2" t="s">
        <v>10087</v>
      </c>
    </row>
    <row r="5964" spans="1:11" x14ac:dyDescent="0.2">
      <c r="A5964" s="2">
        <v>1492</v>
      </c>
      <c r="B5964" s="2">
        <v>10</v>
      </c>
      <c r="C5964" s="2">
        <v>5396243</v>
      </c>
      <c r="D5964" s="2">
        <v>6234718</v>
      </c>
      <c r="E5964" s="2">
        <v>4</v>
      </c>
      <c r="F5964" s="2" t="s">
        <v>10086</v>
      </c>
      <c r="H5964" s="2">
        <v>1E-3</v>
      </c>
      <c r="K5964" s="2" t="s">
        <v>10088</v>
      </c>
    </row>
    <row r="5965" spans="1:11" x14ac:dyDescent="0.2">
      <c r="A5965" s="2">
        <v>1493</v>
      </c>
      <c r="B5965" s="2">
        <v>10</v>
      </c>
      <c r="C5965" s="2">
        <v>6234719</v>
      </c>
      <c r="D5965" s="2">
        <v>6897037</v>
      </c>
      <c r="E5965" s="2">
        <v>1</v>
      </c>
      <c r="F5965" s="2" t="s">
        <v>10086</v>
      </c>
      <c r="H5965" s="2">
        <v>3.0999999999999999E-3</v>
      </c>
      <c r="K5965" s="2" t="s">
        <v>10088</v>
      </c>
    </row>
    <row r="5966" spans="1:11" x14ac:dyDescent="0.2">
      <c r="A5966" s="2">
        <v>1493</v>
      </c>
      <c r="B5966" s="2">
        <v>10</v>
      </c>
      <c r="C5966" s="2">
        <v>6234719</v>
      </c>
      <c r="D5966" s="2">
        <v>6897037</v>
      </c>
      <c r="E5966" s="2">
        <v>2</v>
      </c>
      <c r="F5966" s="2" t="s">
        <v>10086</v>
      </c>
      <c r="H5966" s="2">
        <v>1.9E-3</v>
      </c>
      <c r="K5966" s="2" t="s">
        <v>10089</v>
      </c>
    </row>
    <row r="5967" spans="1:11" x14ac:dyDescent="0.2">
      <c r="A5967" s="2">
        <v>1493</v>
      </c>
      <c r="B5967" s="2">
        <v>10</v>
      </c>
      <c r="C5967" s="2">
        <v>6234719</v>
      </c>
      <c r="D5967" s="2">
        <v>6897037</v>
      </c>
      <c r="E5967" s="2">
        <v>3</v>
      </c>
      <c r="F5967" s="2" t="s">
        <v>10086</v>
      </c>
      <c r="H5967" s="3">
        <v>8.0000000000000004E-4</v>
      </c>
      <c r="K5967" s="2" t="s">
        <v>10087</v>
      </c>
    </row>
    <row r="5968" spans="1:11" x14ac:dyDescent="0.2">
      <c r="A5968" s="2">
        <v>1493</v>
      </c>
      <c r="B5968" s="2">
        <v>10</v>
      </c>
      <c r="C5968" s="2">
        <v>6234719</v>
      </c>
      <c r="D5968" s="2">
        <v>6897037</v>
      </c>
      <c r="E5968" s="2">
        <v>4</v>
      </c>
      <c r="F5968" s="2" t="s">
        <v>10086</v>
      </c>
      <c r="H5968" s="3">
        <v>5.0000000000000001E-4</v>
      </c>
      <c r="K5968" s="2" t="s">
        <v>12324</v>
      </c>
    </row>
    <row r="5969" spans="1:11" x14ac:dyDescent="0.2">
      <c r="A5969" s="2">
        <v>1494</v>
      </c>
      <c r="B5969" s="2">
        <v>10</v>
      </c>
      <c r="C5969" s="2">
        <v>6897038</v>
      </c>
      <c r="D5969" s="2">
        <v>7659872</v>
      </c>
      <c r="E5969" s="2">
        <v>1</v>
      </c>
      <c r="F5969" s="2" t="s">
        <v>10086</v>
      </c>
      <c r="H5969" s="2">
        <v>1.4E-3</v>
      </c>
      <c r="K5969" s="2" t="s">
        <v>10089</v>
      </c>
    </row>
    <row r="5970" spans="1:11" x14ac:dyDescent="0.2">
      <c r="A5970" s="2">
        <v>1494</v>
      </c>
      <c r="B5970" s="2">
        <v>10</v>
      </c>
      <c r="C5970" s="2">
        <v>6897038</v>
      </c>
      <c r="D5970" s="2">
        <v>7659872</v>
      </c>
      <c r="E5970" s="2">
        <v>2</v>
      </c>
      <c r="F5970" s="2" t="s">
        <v>10086</v>
      </c>
      <c r="H5970" s="2">
        <v>1E-3</v>
      </c>
      <c r="K5970" s="2" t="s">
        <v>10087</v>
      </c>
    </row>
    <row r="5971" spans="1:11" x14ac:dyDescent="0.2">
      <c r="A5971" s="2">
        <v>1494</v>
      </c>
      <c r="B5971" s="2">
        <v>10</v>
      </c>
      <c r="C5971" s="2">
        <v>6897038</v>
      </c>
      <c r="D5971" s="2">
        <v>7659872</v>
      </c>
      <c r="E5971" s="2">
        <v>3</v>
      </c>
      <c r="F5971" s="2" t="s">
        <v>10086</v>
      </c>
      <c r="H5971" s="3">
        <v>6.9999999999999999E-4</v>
      </c>
      <c r="K5971" s="2" t="s">
        <v>10085</v>
      </c>
    </row>
    <row r="5972" spans="1:11" x14ac:dyDescent="0.2">
      <c r="A5972" s="2">
        <v>1494</v>
      </c>
      <c r="B5972" s="2">
        <v>10</v>
      </c>
      <c r="C5972" s="2">
        <v>6897038</v>
      </c>
      <c r="D5972" s="2">
        <v>7659872</v>
      </c>
      <c r="E5972" s="2">
        <v>4</v>
      </c>
      <c r="F5972" s="2" t="s">
        <v>10086</v>
      </c>
      <c r="H5972" s="3">
        <v>2.9999999999999997E-4</v>
      </c>
      <c r="K5972" s="2" t="s">
        <v>10088</v>
      </c>
    </row>
    <row r="5973" spans="1:11" x14ac:dyDescent="0.2">
      <c r="A5973" s="2">
        <v>1495</v>
      </c>
      <c r="B5973" s="2">
        <v>10</v>
      </c>
      <c r="C5973" s="2">
        <v>7659873</v>
      </c>
      <c r="D5973" s="2">
        <v>8771920</v>
      </c>
      <c r="E5973" s="2">
        <v>1</v>
      </c>
      <c r="F5973" s="2" t="s">
        <v>10086</v>
      </c>
      <c r="H5973" s="2">
        <v>1.8E-3</v>
      </c>
      <c r="K5973" s="2" t="s">
        <v>10085</v>
      </c>
    </row>
    <row r="5974" spans="1:11" x14ac:dyDescent="0.2">
      <c r="A5974" s="2">
        <v>1495</v>
      </c>
      <c r="B5974" s="2">
        <v>10</v>
      </c>
      <c r="C5974" s="2">
        <v>7659873</v>
      </c>
      <c r="D5974" s="2">
        <v>8771920</v>
      </c>
      <c r="E5974" s="2">
        <v>2</v>
      </c>
      <c r="F5974" s="2" t="s">
        <v>10086</v>
      </c>
      <c r="H5974" s="2">
        <v>1E-3</v>
      </c>
      <c r="K5974" s="2" t="s">
        <v>10088</v>
      </c>
    </row>
    <row r="5975" spans="1:11" x14ac:dyDescent="0.2">
      <c r="A5975" s="2">
        <v>1495</v>
      </c>
      <c r="B5975" s="2">
        <v>10</v>
      </c>
      <c r="C5975" s="2">
        <v>7659873</v>
      </c>
      <c r="D5975" s="2">
        <v>8771920</v>
      </c>
      <c r="E5975" s="2">
        <v>3</v>
      </c>
      <c r="F5975" s="2" t="s">
        <v>10086</v>
      </c>
      <c r="H5975" s="2">
        <v>1E-3</v>
      </c>
      <c r="K5975" s="2" t="s">
        <v>10089</v>
      </c>
    </row>
    <row r="5976" spans="1:11" x14ac:dyDescent="0.2">
      <c r="A5976" s="2">
        <v>1495</v>
      </c>
      <c r="B5976" s="2">
        <v>10</v>
      </c>
      <c r="C5976" s="2">
        <v>7659873</v>
      </c>
      <c r="D5976" s="2">
        <v>8771920</v>
      </c>
      <c r="E5976" s="2">
        <v>4</v>
      </c>
      <c r="F5976" s="2" t="s">
        <v>10086</v>
      </c>
      <c r="H5976" s="3">
        <v>5.9999999999999995E-4</v>
      </c>
      <c r="K5976" s="2" t="s">
        <v>10087</v>
      </c>
    </row>
    <row r="5977" spans="1:11" x14ac:dyDescent="0.2">
      <c r="A5977" s="2">
        <v>1496</v>
      </c>
      <c r="B5977" s="2">
        <v>10</v>
      </c>
      <c r="C5977" s="2">
        <v>8771921</v>
      </c>
      <c r="D5977" s="2">
        <v>10081279</v>
      </c>
      <c r="E5977" s="2">
        <v>1</v>
      </c>
      <c r="F5977" s="2" t="s">
        <v>10086</v>
      </c>
      <c r="H5977" s="2">
        <v>2.5000000000000001E-3</v>
      </c>
      <c r="K5977" s="2" t="s">
        <v>10088</v>
      </c>
    </row>
    <row r="5978" spans="1:11" x14ac:dyDescent="0.2">
      <c r="A5978" s="2">
        <v>1496</v>
      </c>
      <c r="B5978" s="2">
        <v>10</v>
      </c>
      <c r="C5978" s="2">
        <v>8771921</v>
      </c>
      <c r="D5978" s="2">
        <v>10081279</v>
      </c>
      <c r="E5978" s="2">
        <v>2</v>
      </c>
      <c r="F5978" s="2" t="s">
        <v>10086</v>
      </c>
      <c r="H5978" s="2">
        <v>1.2999999999999999E-3</v>
      </c>
      <c r="K5978" s="2" t="s">
        <v>10087</v>
      </c>
    </row>
    <row r="5979" spans="1:11" x14ac:dyDescent="0.2">
      <c r="A5979" s="2">
        <v>1496</v>
      </c>
      <c r="B5979" s="2">
        <v>10</v>
      </c>
      <c r="C5979" s="2">
        <v>8771921</v>
      </c>
      <c r="D5979" s="2">
        <v>10081279</v>
      </c>
      <c r="E5979" s="2">
        <v>3</v>
      </c>
      <c r="F5979" s="2" t="s">
        <v>10086</v>
      </c>
      <c r="H5979" s="2">
        <v>1.1999999999999999E-3</v>
      </c>
      <c r="K5979" s="2" t="s">
        <v>10089</v>
      </c>
    </row>
    <row r="5980" spans="1:11" x14ac:dyDescent="0.2">
      <c r="A5980" s="2">
        <v>1496</v>
      </c>
      <c r="B5980" s="2">
        <v>10</v>
      </c>
      <c r="C5980" s="2">
        <v>8771921</v>
      </c>
      <c r="D5980" s="2">
        <v>10081279</v>
      </c>
      <c r="E5980" s="2">
        <v>4</v>
      </c>
      <c r="F5980" s="2" t="s">
        <v>10086</v>
      </c>
      <c r="H5980" s="2">
        <v>1.1999999999999999E-3</v>
      </c>
      <c r="K5980" s="2" t="s">
        <v>10085</v>
      </c>
    </row>
    <row r="5981" spans="1:11" x14ac:dyDescent="0.2">
      <c r="A5981" s="2">
        <v>1497</v>
      </c>
      <c r="B5981" s="2">
        <v>10</v>
      </c>
      <c r="C5981" s="2">
        <v>10081280</v>
      </c>
      <c r="D5981" s="2">
        <v>10969481</v>
      </c>
      <c r="E5981" s="2">
        <v>1</v>
      </c>
      <c r="F5981" s="2" t="s">
        <v>10086</v>
      </c>
      <c r="H5981" s="2">
        <v>3.0999999999999999E-3</v>
      </c>
      <c r="K5981" s="2" t="s">
        <v>10088</v>
      </c>
    </row>
    <row r="5982" spans="1:11" x14ac:dyDescent="0.2">
      <c r="A5982" s="2">
        <v>1497</v>
      </c>
      <c r="B5982" s="2">
        <v>10</v>
      </c>
      <c r="C5982" s="2">
        <v>10081280</v>
      </c>
      <c r="D5982" s="2">
        <v>10969481</v>
      </c>
      <c r="E5982" s="2">
        <v>2</v>
      </c>
      <c r="F5982" s="2" t="s">
        <v>10086</v>
      </c>
      <c r="H5982" s="2">
        <v>5.1000000000000004E-3</v>
      </c>
      <c r="K5982" s="2" t="s">
        <v>12324</v>
      </c>
    </row>
    <row r="5983" spans="1:11" x14ac:dyDescent="0.2">
      <c r="A5983" s="2">
        <v>1497</v>
      </c>
      <c r="B5983" s="2">
        <v>10</v>
      </c>
      <c r="C5983" s="2">
        <v>10081280</v>
      </c>
      <c r="D5983" s="2">
        <v>10969481</v>
      </c>
      <c r="E5983" s="2">
        <v>3</v>
      </c>
      <c r="F5983" s="2" t="s">
        <v>10086</v>
      </c>
      <c r="H5983" s="2">
        <v>1.2999999999999999E-3</v>
      </c>
      <c r="K5983" s="2" t="s">
        <v>10087</v>
      </c>
    </row>
    <row r="5984" spans="1:11" x14ac:dyDescent="0.2">
      <c r="A5984" s="2">
        <v>1497</v>
      </c>
      <c r="B5984" s="2">
        <v>10</v>
      </c>
      <c r="C5984" s="2">
        <v>10081280</v>
      </c>
      <c r="D5984" s="2">
        <v>10969481</v>
      </c>
      <c r="E5984" s="2">
        <v>4</v>
      </c>
      <c r="F5984" s="2" t="s">
        <v>10086</v>
      </c>
      <c r="H5984" s="3">
        <v>8.0000000000000004E-4</v>
      </c>
      <c r="K5984" s="2" t="s">
        <v>10085</v>
      </c>
    </row>
    <row r="5985" spans="1:11" x14ac:dyDescent="0.2">
      <c r="A5985" s="2">
        <v>1498</v>
      </c>
      <c r="B5985" s="2">
        <v>10</v>
      </c>
      <c r="C5985" s="2">
        <v>10969482</v>
      </c>
      <c r="D5985" s="2">
        <v>11856924</v>
      </c>
      <c r="E5985" s="2">
        <v>1</v>
      </c>
      <c r="F5985" s="2" t="s">
        <v>10086</v>
      </c>
      <c r="H5985" s="2">
        <v>3.5999999999999999E-3</v>
      </c>
      <c r="K5985" s="2" t="s">
        <v>10087</v>
      </c>
    </row>
    <row r="5986" spans="1:11" x14ac:dyDescent="0.2">
      <c r="A5986" s="2">
        <v>1498</v>
      </c>
      <c r="B5986" s="2">
        <v>10</v>
      </c>
      <c r="C5986" s="2">
        <v>10969482</v>
      </c>
      <c r="D5986" s="2">
        <v>11856924</v>
      </c>
      <c r="E5986" s="2">
        <v>2</v>
      </c>
      <c r="F5986" s="2" t="s">
        <v>10086</v>
      </c>
      <c r="H5986" s="2">
        <v>1.6999999999999999E-3</v>
      </c>
      <c r="K5986" s="2" t="s">
        <v>10088</v>
      </c>
    </row>
    <row r="5987" spans="1:11" x14ac:dyDescent="0.2">
      <c r="A5987" s="2">
        <v>1498</v>
      </c>
      <c r="B5987" s="2">
        <v>10</v>
      </c>
      <c r="C5987" s="2">
        <v>10969482</v>
      </c>
      <c r="D5987" s="2">
        <v>11856924</v>
      </c>
      <c r="E5987" s="2">
        <v>3</v>
      </c>
      <c r="F5987" s="2" t="s">
        <v>10086</v>
      </c>
      <c r="H5987" s="2">
        <v>1.1000000000000001E-3</v>
      </c>
      <c r="K5987" s="2" t="s">
        <v>10089</v>
      </c>
    </row>
    <row r="5988" spans="1:11" x14ac:dyDescent="0.2">
      <c r="A5988" s="2">
        <v>1498</v>
      </c>
      <c r="B5988" s="2">
        <v>10</v>
      </c>
      <c r="C5988" s="2">
        <v>10969482</v>
      </c>
      <c r="D5988" s="2">
        <v>11856924</v>
      </c>
      <c r="E5988" s="2">
        <v>4</v>
      </c>
      <c r="F5988" s="2" t="s">
        <v>10086</v>
      </c>
      <c r="H5988" s="3">
        <v>2.9999999999999997E-4</v>
      </c>
      <c r="K5988" s="2" t="s">
        <v>10085</v>
      </c>
    </row>
    <row r="5989" spans="1:11" x14ac:dyDescent="0.2">
      <c r="A5989" s="2">
        <v>1499</v>
      </c>
      <c r="B5989" s="2">
        <v>10</v>
      </c>
      <c r="C5989" s="2">
        <v>11856925</v>
      </c>
      <c r="D5989" s="2">
        <v>12581571</v>
      </c>
      <c r="E5989" s="2">
        <v>1</v>
      </c>
      <c r="F5989" s="2" t="s">
        <v>10086</v>
      </c>
      <c r="H5989" s="2">
        <v>1E-3</v>
      </c>
      <c r="K5989" s="2" t="s">
        <v>10088</v>
      </c>
    </row>
    <row r="5990" spans="1:11" x14ac:dyDescent="0.2">
      <c r="A5990" s="2">
        <v>1499</v>
      </c>
      <c r="B5990" s="2">
        <v>10</v>
      </c>
      <c r="C5990" s="2">
        <v>11856925</v>
      </c>
      <c r="D5990" s="2">
        <v>12581571</v>
      </c>
      <c r="E5990" s="2">
        <v>2</v>
      </c>
      <c r="F5990" s="2" t="s">
        <v>10086</v>
      </c>
      <c r="H5990" s="3">
        <v>8.0000000000000004E-4</v>
      </c>
      <c r="K5990" s="2" t="s">
        <v>10089</v>
      </c>
    </row>
    <row r="5991" spans="1:11" x14ac:dyDescent="0.2">
      <c r="A5991" s="2">
        <v>1499</v>
      </c>
      <c r="B5991" s="2">
        <v>10</v>
      </c>
      <c r="C5991" s="2">
        <v>11856925</v>
      </c>
      <c r="D5991" s="2">
        <v>12581571</v>
      </c>
      <c r="E5991" s="2">
        <v>3</v>
      </c>
      <c r="F5991" s="2" t="s">
        <v>10086</v>
      </c>
      <c r="H5991" s="3">
        <v>6.9999999999999999E-4</v>
      </c>
      <c r="K5991" s="2" t="s">
        <v>10085</v>
      </c>
    </row>
    <row r="5992" spans="1:11" x14ac:dyDescent="0.2">
      <c r="A5992" s="2">
        <v>1499</v>
      </c>
      <c r="B5992" s="2">
        <v>10</v>
      </c>
      <c r="C5992" s="2">
        <v>11856925</v>
      </c>
      <c r="D5992" s="2">
        <v>12581571</v>
      </c>
      <c r="E5992" s="2">
        <v>4</v>
      </c>
      <c r="F5992" s="2" t="s">
        <v>10086</v>
      </c>
      <c r="H5992" s="3">
        <v>2.9999999999999997E-4</v>
      </c>
      <c r="K5992" s="2" t="s">
        <v>10087</v>
      </c>
    </row>
    <row r="5993" spans="1:11" x14ac:dyDescent="0.2">
      <c r="A5993" s="2">
        <v>1500</v>
      </c>
      <c r="B5993" s="2">
        <v>10</v>
      </c>
      <c r="C5993" s="2">
        <v>12581572</v>
      </c>
      <c r="D5993" s="2">
        <v>13208061</v>
      </c>
      <c r="E5993" s="2">
        <v>1</v>
      </c>
      <c r="F5993" s="2" t="s">
        <v>10086</v>
      </c>
      <c r="H5993" s="2">
        <v>2E-3</v>
      </c>
      <c r="K5993" s="2" t="s">
        <v>10087</v>
      </c>
    </row>
    <row r="5994" spans="1:11" x14ac:dyDescent="0.2">
      <c r="A5994" s="2">
        <v>1500</v>
      </c>
      <c r="B5994" s="2">
        <v>10</v>
      </c>
      <c r="C5994" s="2">
        <v>12581572</v>
      </c>
      <c r="D5994" s="2">
        <v>13208061</v>
      </c>
      <c r="E5994" s="2">
        <v>2</v>
      </c>
      <c r="F5994" s="2" t="s">
        <v>10086</v>
      </c>
      <c r="H5994" s="3">
        <v>8.0000000000000004E-4</v>
      </c>
      <c r="K5994" s="2" t="s">
        <v>10089</v>
      </c>
    </row>
    <row r="5995" spans="1:11" x14ac:dyDescent="0.2">
      <c r="A5995" s="2">
        <v>1500</v>
      </c>
      <c r="B5995" s="2">
        <v>10</v>
      </c>
      <c r="C5995" s="2">
        <v>12581572</v>
      </c>
      <c r="D5995" s="2">
        <v>13208061</v>
      </c>
      <c r="E5995" s="2">
        <v>3</v>
      </c>
      <c r="F5995" s="2" t="s">
        <v>10086</v>
      </c>
      <c r="H5995" s="3">
        <v>6.9999999999999999E-4</v>
      </c>
      <c r="K5995" s="2" t="s">
        <v>10085</v>
      </c>
    </row>
    <row r="5996" spans="1:11" x14ac:dyDescent="0.2">
      <c r="A5996" s="2">
        <v>1500</v>
      </c>
      <c r="B5996" s="2">
        <v>10</v>
      </c>
      <c r="C5996" s="2">
        <v>12581572</v>
      </c>
      <c r="D5996" s="2">
        <v>13208061</v>
      </c>
      <c r="E5996" s="2">
        <v>4</v>
      </c>
      <c r="F5996" s="2" t="s">
        <v>10086</v>
      </c>
      <c r="H5996" s="3">
        <v>4.0000000000000002E-4</v>
      </c>
      <c r="K5996" s="2" t="s">
        <v>10088</v>
      </c>
    </row>
    <row r="5997" spans="1:11" x14ac:dyDescent="0.2">
      <c r="A5997" s="2">
        <v>1501</v>
      </c>
      <c r="B5997" s="2">
        <v>10</v>
      </c>
      <c r="C5997" s="2">
        <v>13208062</v>
      </c>
      <c r="D5997" s="2">
        <v>14008135</v>
      </c>
      <c r="E5997" s="2">
        <v>1</v>
      </c>
      <c r="F5997" s="2" t="s">
        <v>10086</v>
      </c>
      <c r="H5997" s="2">
        <v>1.4E-3</v>
      </c>
      <c r="K5997" s="2" t="s">
        <v>10087</v>
      </c>
    </row>
    <row r="5998" spans="1:11" x14ac:dyDescent="0.2">
      <c r="A5998" s="2">
        <v>1501</v>
      </c>
      <c r="B5998" s="2">
        <v>10</v>
      </c>
      <c r="C5998" s="2">
        <v>13208062</v>
      </c>
      <c r="D5998" s="2">
        <v>14008135</v>
      </c>
      <c r="E5998" s="2">
        <v>2</v>
      </c>
      <c r="F5998" s="2" t="s">
        <v>10086</v>
      </c>
      <c r="H5998" s="2">
        <v>1E-3</v>
      </c>
      <c r="K5998" s="2" t="s">
        <v>10085</v>
      </c>
    </row>
    <row r="5999" spans="1:11" x14ac:dyDescent="0.2">
      <c r="A5999" s="2">
        <v>1501</v>
      </c>
      <c r="B5999" s="2">
        <v>10</v>
      </c>
      <c r="C5999" s="2">
        <v>13208062</v>
      </c>
      <c r="D5999" s="2">
        <v>14008135</v>
      </c>
      <c r="E5999" s="2">
        <v>3</v>
      </c>
      <c r="F5999" s="2" t="s">
        <v>10086</v>
      </c>
      <c r="H5999" s="3">
        <v>8.9999999999999998E-4</v>
      </c>
      <c r="K5999" s="2" t="s">
        <v>10089</v>
      </c>
    </row>
    <row r="6000" spans="1:11" x14ac:dyDescent="0.2">
      <c r="A6000" s="2">
        <v>1501</v>
      </c>
      <c r="B6000" s="2">
        <v>10</v>
      </c>
      <c r="C6000" s="2">
        <v>13208062</v>
      </c>
      <c r="D6000" s="2">
        <v>14008135</v>
      </c>
      <c r="E6000" s="2">
        <v>4</v>
      </c>
      <c r="F6000" s="2" t="s">
        <v>10086</v>
      </c>
      <c r="H6000" s="3">
        <v>5.0000000000000001E-4</v>
      </c>
      <c r="K6000" s="2" t="s">
        <v>10088</v>
      </c>
    </row>
    <row r="6001" spans="1:11" x14ac:dyDescent="0.2">
      <c r="A6001" s="2">
        <v>1502</v>
      </c>
      <c r="B6001" s="2">
        <v>10</v>
      </c>
      <c r="C6001" s="2">
        <v>14008136</v>
      </c>
      <c r="D6001" s="2">
        <v>14820755</v>
      </c>
      <c r="E6001" s="2">
        <v>1</v>
      </c>
      <c r="F6001" s="2" t="s">
        <v>10086</v>
      </c>
      <c r="H6001" s="2">
        <v>1.0699999999999999E-2</v>
      </c>
      <c r="K6001" s="2" t="s">
        <v>10087</v>
      </c>
    </row>
    <row r="6002" spans="1:11" x14ac:dyDescent="0.2">
      <c r="A6002" s="2">
        <v>1502</v>
      </c>
      <c r="B6002" s="2">
        <v>10</v>
      </c>
      <c r="C6002" s="2">
        <v>14008136</v>
      </c>
      <c r="D6002" s="2">
        <v>14820755</v>
      </c>
      <c r="E6002" s="2">
        <v>2</v>
      </c>
      <c r="F6002" s="2" t="s">
        <v>10086</v>
      </c>
      <c r="H6002" s="2">
        <v>3.2000000000000002E-3</v>
      </c>
      <c r="K6002" s="2" t="s">
        <v>10089</v>
      </c>
    </row>
    <row r="6003" spans="1:11" x14ac:dyDescent="0.2">
      <c r="A6003" s="2">
        <v>1502</v>
      </c>
      <c r="B6003" s="2">
        <v>10</v>
      </c>
      <c r="C6003" s="2">
        <v>14008136</v>
      </c>
      <c r="D6003" s="2">
        <v>14820755</v>
      </c>
      <c r="E6003" s="2">
        <v>3</v>
      </c>
      <c r="F6003" s="2" t="s">
        <v>10086</v>
      </c>
      <c r="H6003" s="2">
        <v>1.2999999999999999E-3</v>
      </c>
      <c r="K6003" s="2" t="s">
        <v>10085</v>
      </c>
    </row>
    <row r="6004" spans="1:11" x14ac:dyDescent="0.2">
      <c r="A6004" s="2">
        <v>1502</v>
      </c>
      <c r="B6004" s="2">
        <v>10</v>
      </c>
      <c r="C6004" s="2">
        <v>14008136</v>
      </c>
      <c r="D6004" s="2">
        <v>14820755</v>
      </c>
      <c r="E6004" s="2">
        <v>4</v>
      </c>
      <c r="F6004" s="2" t="s">
        <v>10086</v>
      </c>
      <c r="H6004" s="3">
        <v>5.9999999999999995E-4</v>
      </c>
      <c r="K6004" s="2" t="s">
        <v>12324</v>
      </c>
    </row>
    <row r="6005" spans="1:11" x14ac:dyDescent="0.2">
      <c r="A6005" s="2">
        <v>1503</v>
      </c>
      <c r="B6005" s="2">
        <v>10</v>
      </c>
      <c r="C6005" s="2">
        <v>14820756</v>
      </c>
      <c r="D6005" s="2">
        <v>15946677</v>
      </c>
      <c r="E6005" s="2">
        <v>1</v>
      </c>
      <c r="F6005" s="2" t="s">
        <v>10086</v>
      </c>
      <c r="H6005" s="2">
        <v>1.5E-3</v>
      </c>
      <c r="K6005" s="2" t="s">
        <v>10089</v>
      </c>
    </row>
    <row r="6006" spans="1:11" x14ac:dyDescent="0.2">
      <c r="A6006" s="2">
        <v>1503</v>
      </c>
      <c r="B6006" s="2">
        <v>10</v>
      </c>
      <c r="C6006" s="2">
        <v>14820756</v>
      </c>
      <c r="D6006" s="2">
        <v>15946677</v>
      </c>
      <c r="E6006" s="2">
        <v>2</v>
      </c>
      <c r="F6006" s="2" t="s">
        <v>10086</v>
      </c>
      <c r="H6006" s="2">
        <v>1.1000000000000001E-3</v>
      </c>
      <c r="K6006" s="2" t="s">
        <v>10085</v>
      </c>
    </row>
    <row r="6007" spans="1:11" x14ac:dyDescent="0.2">
      <c r="A6007" s="2">
        <v>1503</v>
      </c>
      <c r="B6007" s="2">
        <v>10</v>
      </c>
      <c r="C6007" s="2">
        <v>14820756</v>
      </c>
      <c r="D6007" s="2">
        <v>15946677</v>
      </c>
      <c r="E6007" s="2">
        <v>3</v>
      </c>
      <c r="F6007" s="2" t="s">
        <v>10086</v>
      </c>
      <c r="H6007" s="2">
        <v>1E-3</v>
      </c>
      <c r="K6007" s="2" t="s">
        <v>10088</v>
      </c>
    </row>
    <row r="6008" spans="1:11" x14ac:dyDescent="0.2">
      <c r="A6008" s="2">
        <v>1503</v>
      </c>
      <c r="B6008" s="2">
        <v>10</v>
      </c>
      <c r="C6008" s="2">
        <v>14820756</v>
      </c>
      <c r="D6008" s="2">
        <v>15946677</v>
      </c>
      <c r="E6008" s="2">
        <v>4</v>
      </c>
      <c r="F6008" s="2" t="s">
        <v>10086</v>
      </c>
      <c r="H6008" s="3">
        <v>5.0000000000000001E-4</v>
      </c>
      <c r="K6008" s="2" t="s">
        <v>10087</v>
      </c>
    </row>
    <row r="6009" spans="1:11" x14ac:dyDescent="0.2">
      <c r="A6009" s="2">
        <v>1504</v>
      </c>
      <c r="B6009" s="2">
        <v>10</v>
      </c>
      <c r="C6009" s="2">
        <v>15946678</v>
      </c>
      <c r="D6009" s="2">
        <v>17065860</v>
      </c>
      <c r="E6009" s="2">
        <v>1</v>
      </c>
      <c r="F6009" s="2" t="s">
        <v>10086</v>
      </c>
      <c r="H6009" s="2">
        <v>4.7999999999999996E-3</v>
      </c>
      <c r="K6009" s="2" t="s">
        <v>10087</v>
      </c>
    </row>
    <row r="6010" spans="1:11" x14ac:dyDescent="0.2">
      <c r="A6010" s="2">
        <v>1504</v>
      </c>
      <c r="B6010" s="2">
        <v>10</v>
      </c>
      <c r="C6010" s="2">
        <v>15946678</v>
      </c>
      <c r="D6010" s="2">
        <v>17065860</v>
      </c>
      <c r="E6010" s="2">
        <v>2</v>
      </c>
      <c r="F6010" s="2" t="s">
        <v>10086</v>
      </c>
      <c r="H6010" s="2">
        <v>3.3E-3</v>
      </c>
      <c r="K6010" s="2" t="s">
        <v>10088</v>
      </c>
    </row>
    <row r="6011" spans="1:11" x14ac:dyDescent="0.2">
      <c r="A6011" s="2">
        <v>1504</v>
      </c>
      <c r="B6011" s="2">
        <v>10</v>
      </c>
      <c r="C6011" s="2">
        <v>15946678</v>
      </c>
      <c r="D6011" s="2">
        <v>17065860</v>
      </c>
      <c r="E6011" s="2">
        <v>3</v>
      </c>
      <c r="F6011" s="2" t="s">
        <v>10086</v>
      </c>
      <c r="H6011" s="2">
        <v>1.2999999999999999E-3</v>
      </c>
      <c r="K6011" s="2" t="s">
        <v>10085</v>
      </c>
    </row>
    <row r="6012" spans="1:11" x14ac:dyDescent="0.2">
      <c r="A6012" s="2">
        <v>1504</v>
      </c>
      <c r="B6012" s="2">
        <v>10</v>
      </c>
      <c r="C6012" s="2">
        <v>15946678</v>
      </c>
      <c r="D6012" s="2">
        <v>17065860</v>
      </c>
      <c r="E6012" s="2">
        <v>4</v>
      </c>
      <c r="F6012" s="2" t="s">
        <v>10086</v>
      </c>
      <c r="H6012" s="3">
        <v>6.9999999999999999E-4</v>
      </c>
      <c r="K6012" s="2" t="s">
        <v>10089</v>
      </c>
    </row>
    <row r="6013" spans="1:11" x14ac:dyDescent="0.2">
      <c r="A6013" s="2">
        <v>1505</v>
      </c>
      <c r="B6013" s="2">
        <v>10</v>
      </c>
      <c r="C6013" s="2">
        <v>17065861</v>
      </c>
      <c r="D6013" s="2">
        <v>18529742</v>
      </c>
      <c r="E6013" s="2">
        <v>1</v>
      </c>
      <c r="F6013" s="2" t="s">
        <v>10086</v>
      </c>
      <c r="H6013" s="2">
        <v>1.8E-3</v>
      </c>
      <c r="K6013" s="2" t="s">
        <v>10087</v>
      </c>
    </row>
    <row r="6014" spans="1:11" x14ac:dyDescent="0.2">
      <c r="A6014" s="2">
        <v>1505</v>
      </c>
      <c r="B6014" s="2">
        <v>10</v>
      </c>
      <c r="C6014" s="2">
        <v>17065861</v>
      </c>
      <c r="D6014" s="2">
        <v>18529742</v>
      </c>
      <c r="E6014" s="2">
        <v>2</v>
      </c>
      <c r="F6014" s="2" t="s">
        <v>10086</v>
      </c>
      <c r="H6014" s="2">
        <v>1.1000000000000001E-3</v>
      </c>
      <c r="K6014" s="2" t="s">
        <v>10089</v>
      </c>
    </row>
    <row r="6015" spans="1:11" x14ac:dyDescent="0.2">
      <c r="A6015" s="2">
        <v>1505</v>
      </c>
      <c r="B6015" s="2">
        <v>10</v>
      </c>
      <c r="C6015" s="2">
        <v>17065861</v>
      </c>
      <c r="D6015" s="2">
        <v>18529742</v>
      </c>
      <c r="E6015" s="2">
        <v>3</v>
      </c>
      <c r="F6015" s="2" t="s">
        <v>10086</v>
      </c>
      <c r="H6015" s="2">
        <v>1E-3</v>
      </c>
      <c r="K6015" s="2" t="s">
        <v>10085</v>
      </c>
    </row>
    <row r="6016" spans="1:11" x14ac:dyDescent="0.2">
      <c r="A6016" s="2">
        <v>1505</v>
      </c>
      <c r="B6016" s="2">
        <v>10</v>
      </c>
      <c r="C6016" s="2">
        <v>17065861</v>
      </c>
      <c r="D6016" s="2">
        <v>18529742</v>
      </c>
      <c r="E6016" s="2">
        <v>4</v>
      </c>
      <c r="F6016" s="2" t="s">
        <v>10086</v>
      </c>
      <c r="H6016" s="3">
        <v>5.0000000000000001E-4</v>
      </c>
      <c r="K6016" s="2" t="s">
        <v>10088</v>
      </c>
    </row>
    <row r="6017" spans="1:11" x14ac:dyDescent="0.2">
      <c r="A6017" s="2">
        <v>1506</v>
      </c>
      <c r="B6017" s="2">
        <v>10</v>
      </c>
      <c r="C6017" s="2">
        <v>18529743</v>
      </c>
      <c r="D6017" s="2">
        <v>19421514</v>
      </c>
      <c r="E6017" s="2">
        <v>1</v>
      </c>
      <c r="F6017" s="2" t="s">
        <v>10086</v>
      </c>
      <c r="H6017" s="2">
        <v>1.18E-2</v>
      </c>
      <c r="K6017" s="2" t="s">
        <v>10087</v>
      </c>
    </row>
    <row r="6018" spans="1:11" x14ac:dyDescent="0.2">
      <c r="A6018" s="2">
        <v>1506</v>
      </c>
      <c r="B6018" s="2">
        <v>10</v>
      </c>
      <c r="C6018" s="2">
        <v>18529743</v>
      </c>
      <c r="D6018" s="2">
        <v>19421514</v>
      </c>
      <c r="E6018" s="2">
        <v>2</v>
      </c>
      <c r="F6018" s="2" t="s">
        <v>10086</v>
      </c>
      <c r="H6018" s="2">
        <v>1.4E-3</v>
      </c>
      <c r="K6018" s="2" t="s">
        <v>10089</v>
      </c>
    </row>
    <row r="6019" spans="1:11" x14ac:dyDescent="0.2">
      <c r="A6019" s="2">
        <v>1506</v>
      </c>
      <c r="B6019" s="2">
        <v>10</v>
      </c>
      <c r="C6019" s="2">
        <v>18529743</v>
      </c>
      <c r="D6019" s="2">
        <v>19421514</v>
      </c>
      <c r="E6019" s="2">
        <v>3</v>
      </c>
      <c r="F6019" s="2" t="s">
        <v>10086</v>
      </c>
      <c r="H6019" s="3">
        <v>8.9999999999999998E-4</v>
      </c>
      <c r="K6019" s="2" t="s">
        <v>10088</v>
      </c>
    </row>
    <row r="6020" spans="1:11" x14ac:dyDescent="0.2">
      <c r="A6020" s="2">
        <v>1506</v>
      </c>
      <c r="B6020" s="2">
        <v>10</v>
      </c>
      <c r="C6020" s="2">
        <v>18529743</v>
      </c>
      <c r="D6020" s="2">
        <v>19421514</v>
      </c>
      <c r="E6020" s="2">
        <v>4</v>
      </c>
      <c r="F6020" s="2" t="s">
        <v>10086</v>
      </c>
      <c r="H6020" s="3">
        <v>5.9999999999999995E-4</v>
      </c>
      <c r="K6020" s="2" t="s">
        <v>10085</v>
      </c>
    </row>
    <row r="6021" spans="1:11" x14ac:dyDescent="0.2">
      <c r="A6021" s="2">
        <v>1507</v>
      </c>
      <c r="B6021" s="2">
        <v>10</v>
      </c>
      <c r="C6021" s="2">
        <v>19421515</v>
      </c>
      <c r="D6021" s="2">
        <v>19965624</v>
      </c>
      <c r="E6021" s="2">
        <v>1</v>
      </c>
      <c r="F6021" s="2" t="s">
        <v>10086</v>
      </c>
      <c r="H6021" s="2">
        <v>1.1999999999999999E-3</v>
      </c>
      <c r="K6021" s="2" t="s">
        <v>10085</v>
      </c>
    </row>
    <row r="6022" spans="1:11" x14ac:dyDescent="0.2">
      <c r="A6022" s="2">
        <v>1507</v>
      </c>
      <c r="B6022" s="2">
        <v>10</v>
      </c>
      <c r="C6022" s="2">
        <v>19421515</v>
      </c>
      <c r="D6022" s="2">
        <v>19965624</v>
      </c>
      <c r="E6022" s="2">
        <v>2</v>
      </c>
      <c r="F6022" s="2" t="s">
        <v>10086</v>
      </c>
      <c r="H6022" s="2">
        <v>1.1000000000000001E-3</v>
      </c>
      <c r="K6022" s="2" t="s">
        <v>10087</v>
      </c>
    </row>
    <row r="6023" spans="1:11" x14ac:dyDescent="0.2">
      <c r="A6023" s="2">
        <v>1507</v>
      </c>
      <c r="B6023" s="2">
        <v>10</v>
      </c>
      <c r="C6023" s="2">
        <v>19421515</v>
      </c>
      <c r="D6023" s="2">
        <v>19965624</v>
      </c>
      <c r="E6023" s="2">
        <v>3</v>
      </c>
      <c r="F6023" s="2" t="s">
        <v>10086</v>
      </c>
      <c r="H6023" s="2">
        <v>1.1000000000000001E-3</v>
      </c>
      <c r="K6023" s="2" t="s">
        <v>10089</v>
      </c>
    </row>
    <row r="6024" spans="1:11" x14ac:dyDescent="0.2">
      <c r="A6024" s="2">
        <v>1507</v>
      </c>
      <c r="B6024" s="2">
        <v>10</v>
      </c>
      <c r="C6024" s="2">
        <v>19421515</v>
      </c>
      <c r="D6024" s="2">
        <v>19965624</v>
      </c>
      <c r="E6024" s="2">
        <v>4</v>
      </c>
      <c r="F6024" s="2" t="s">
        <v>10086</v>
      </c>
      <c r="H6024" s="3">
        <v>2.0000000000000001E-4</v>
      </c>
      <c r="K6024" s="2" t="s">
        <v>10088</v>
      </c>
    </row>
    <row r="6025" spans="1:11" x14ac:dyDescent="0.2">
      <c r="A6025" s="2">
        <v>1508</v>
      </c>
      <c r="B6025" s="2">
        <v>10</v>
      </c>
      <c r="C6025" s="2">
        <v>19965625</v>
      </c>
      <c r="D6025" s="2">
        <v>20616432</v>
      </c>
      <c r="E6025" s="2">
        <v>1</v>
      </c>
      <c r="F6025" s="2" t="s">
        <v>10086</v>
      </c>
      <c r="H6025" s="2">
        <v>1.6999999999999999E-3</v>
      </c>
      <c r="K6025" s="2" t="s">
        <v>10085</v>
      </c>
    </row>
    <row r="6026" spans="1:11" x14ac:dyDescent="0.2">
      <c r="A6026" s="2">
        <v>1508</v>
      </c>
      <c r="B6026" s="2">
        <v>10</v>
      </c>
      <c r="C6026" s="2">
        <v>19965625</v>
      </c>
      <c r="D6026" s="2">
        <v>20616432</v>
      </c>
      <c r="E6026" s="2">
        <v>2</v>
      </c>
      <c r="F6026" s="2" t="s">
        <v>10086</v>
      </c>
      <c r="H6026" s="2">
        <v>1.1999999999999999E-3</v>
      </c>
      <c r="K6026" s="2" t="s">
        <v>10089</v>
      </c>
    </row>
    <row r="6027" spans="1:11" x14ac:dyDescent="0.2">
      <c r="A6027" s="2">
        <v>1508</v>
      </c>
      <c r="B6027" s="2">
        <v>10</v>
      </c>
      <c r="C6027" s="2">
        <v>19965625</v>
      </c>
      <c r="D6027" s="2">
        <v>20616432</v>
      </c>
      <c r="E6027" s="2">
        <v>3</v>
      </c>
      <c r="F6027" s="2" t="s">
        <v>10086</v>
      </c>
      <c r="H6027" s="3">
        <v>5.9999999999999995E-4</v>
      </c>
      <c r="K6027" s="2" t="s">
        <v>10087</v>
      </c>
    </row>
    <row r="6028" spans="1:11" x14ac:dyDescent="0.2">
      <c r="A6028" s="2">
        <v>1508</v>
      </c>
      <c r="B6028" s="2">
        <v>10</v>
      </c>
      <c r="C6028" s="2">
        <v>19965625</v>
      </c>
      <c r="D6028" s="2">
        <v>20616432</v>
      </c>
      <c r="E6028" s="2">
        <v>4</v>
      </c>
      <c r="F6028" s="2" t="s">
        <v>10086</v>
      </c>
      <c r="H6028" s="3">
        <v>2.0000000000000001E-4</v>
      </c>
      <c r="K6028" s="2" t="s">
        <v>10088</v>
      </c>
    </row>
    <row r="6029" spans="1:11" x14ac:dyDescent="0.2">
      <c r="A6029" s="2">
        <v>1509</v>
      </c>
      <c r="B6029" s="2">
        <v>10</v>
      </c>
      <c r="C6029" s="2">
        <v>20616433</v>
      </c>
      <c r="D6029" s="2">
        <v>21477692</v>
      </c>
      <c r="E6029" s="2">
        <v>1</v>
      </c>
      <c r="F6029" s="2" t="s">
        <v>10086</v>
      </c>
      <c r="H6029" s="2">
        <v>1.2999999999999999E-3</v>
      </c>
      <c r="K6029" s="2" t="s">
        <v>10085</v>
      </c>
    </row>
    <row r="6030" spans="1:11" x14ac:dyDescent="0.2">
      <c r="A6030" s="2">
        <v>1509</v>
      </c>
      <c r="B6030" s="2">
        <v>10</v>
      </c>
      <c r="C6030" s="2">
        <v>20616433</v>
      </c>
      <c r="D6030" s="2">
        <v>21477692</v>
      </c>
      <c r="E6030" s="2">
        <v>2</v>
      </c>
      <c r="F6030" s="2" t="s">
        <v>10086</v>
      </c>
      <c r="H6030" s="2">
        <v>1.1999999999999999E-3</v>
      </c>
      <c r="K6030" s="2" t="s">
        <v>10088</v>
      </c>
    </row>
    <row r="6031" spans="1:11" x14ac:dyDescent="0.2">
      <c r="A6031" s="2">
        <v>1509</v>
      </c>
      <c r="B6031" s="2">
        <v>10</v>
      </c>
      <c r="C6031" s="2">
        <v>20616433</v>
      </c>
      <c r="D6031" s="2">
        <v>21477692</v>
      </c>
      <c r="E6031" s="2">
        <v>3</v>
      </c>
      <c r="F6031" s="2" t="s">
        <v>10086</v>
      </c>
      <c r="H6031" s="3">
        <v>6.9999999999999999E-4</v>
      </c>
      <c r="K6031" s="2" t="s">
        <v>10089</v>
      </c>
    </row>
    <row r="6032" spans="1:11" x14ac:dyDescent="0.2">
      <c r="A6032" s="2">
        <v>1509</v>
      </c>
      <c r="B6032" s="2">
        <v>10</v>
      </c>
      <c r="C6032" s="2">
        <v>20616433</v>
      </c>
      <c r="D6032" s="2">
        <v>21477692</v>
      </c>
      <c r="E6032" s="2">
        <v>4</v>
      </c>
      <c r="F6032" s="2" t="s">
        <v>10086</v>
      </c>
      <c r="H6032" s="3">
        <v>2.9999999999999997E-4</v>
      </c>
      <c r="K6032" s="2" t="s">
        <v>10087</v>
      </c>
    </row>
    <row r="6033" spans="1:11" x14ac:dyDescent="0.2">
      <c r="A6033" s="2">
        <v>1510</v>
      </c>
      <c r="B6033" s="2">
        <v>10</v>
      </c>
      <c r="C6033" s="2">
        <v>21477693</v>
      </c>
      <c r="D6033" s="2">
        <v>23365685</v>
      </c>
      <c r="E6033" s="2">
        <v>1</v>
      </c>
      <c r="F6033" s="2" t="s">
        <v>10086</v>
      </c>
      <c r="H6033" s="2">
        <v>4.0000000000000001E-3</v>
      </c>
      <c r="K6033" s="2" t="s">
        <v>10089</v>
      </c>
    </row>
    <row r="6034" spans="1:11" x14ac:dyDescent="0.2">
      <c r="A6034" s="2">
        <v>1510</v>
      </c>
      <c r="B6034" s="2">
        <v>10</v>
      </c>
      <c r="C6034" s="2">
        <v>21477693</v>
      </c>
      <c r="D6034" s="2">
        <v>23365685</v>
      </c>
      <c r="E6034" s="2">
        <v>2</v>
      </c>
      <c r="F6034" s="2" t="s">
        <v>10086</v>
      </c>
      <c r="H6034" s="2">
        <v>2.3999999999999998E-3</v>
      </c>
      <c r="K6034" s="2" t="s">
        <v>10087</v>
      </c>
    </row>
    <row r="6035" spans="1:11" x14ac:dyDescent="0.2">
      <c r="A6035" s="2">
        <v>1510</v>
      </c>
      <c r="B6035" s="2">
        <v>10</v>
      </c>
      <c r="C6035" s="2">
        <v>21477693</v>
      </c>
      <c r="D6035" s="2">
        <v>23365685</v>
      </c>
      <c r="E6035" s="2">
        <v>3</v>
      </c>
      <c r="F6035" s="2" t="s">
        <v>10086</v>
      </c>
      <c r="H6035" s="2">
        <v>1.1999999999999999E-3</v>
      </c>
      <c r="K6035" s="2" t="s">
        <v>10088</v>
      </c>
    </row>
    <row r="6036" spans="1:11" x14ac:dyDescent="0.2">
      <c r="A6036" s="2">
        <v>1510</v>
      </c>
      <c r="B6036" s="2">
        <v>10</v>
      </c>
      <c r="C6036" s="2">
        <v>21477693</v>
      </c>
      <c r="D6036" s="2">
        <v>23365685</v>
      </c>
      <c r="E6036" s="2">
        <v>4</v>
      </c>
      <c r="F6036" s="2" t="s">
        <v>10086</v>
      </c>
      <c r="H6036" s="3">
        <v>5.9999999999999995E-4</v>
      </c>
      <c r="K6036" s="2" t="s">
        <v>10085</v>
      </c>
    </row>
    <row r="6037" spans="1:11" x14ac:dyDescent="0.2">
      <c r="A6037" s="2">
        <v>1511</v>
      </c>
      <c r="B6037" s="2">
        <v>10</v>
      </c>
      <c r="C6037" s="2">
        <v>23365686</v>
      </c>
      <c r="D6037" s="2">
        <v>24489447</v>
      </c>
      <c r="E6037" s="2">
        <v>1</v>
      </c>
      <c r="F6037" s="2" t="s">
        <v>10086</v>
      </c>
      <c r="H6037" s="2">
        <v>4.1999999999999997E-3</v>
      </c>
      <c r="K6037" s="2" t="s">
        <v>10088</v>
      </c>
    </row>
    <row r="6038" spans="1:11" x14ac:dyDescent="0.2">
      <c r="A6038" s="2">
        <v>1511</v>
      </c>
      <c r="B6038" s="2">
        <v>10</v>
      </c>
      <c r="C6038" s="2">
        <v>23365686</v>
      </c>
      <c r="D6038" s="2">
        <v>24489447</v>
      </c>
      <c r="E6038" s="2">
        <v>2</v>
      </c>
      <c r="F6038" s="2" t="s">
        <v>10086</v>
      </c>
      <c r="H6038" s="2">
        <v>2E-3</v>
      </c>
      <c r="K6038" s="2" t="s">
        <v>10089</v>
      </c>
    </row>
    <row r="6039" spans="1:11" x14ac:dyDescent="0.2">
      <c r="A6039" s="2">
        <v>1511</v>
      </c>
      <c r="B6039" s="2">
        <v>10</v>
      </c>
      <c r="C6039" s="2">
        <v>23365686</v>
      </c>
      <c r="D6039" s="2">
        <v>24489447</v>
      </c>
      <c r="E6039" s="2">
        <v>3</v>
      </c>
      <c r="F6039" s="2" t="s">
        <v>10086</v>
      </c>
      <c r="H6039" s="2">
        <v>1.1999999999999999E-3</v>
      </c>
      <c r="K6039" s="2" t="s">
        <v>10087</v>
      </c>
    </row>
    <row r="6040" spans="1:11" x14ac:dyDescent="0.2">
      <c r="A6040" s="2">
        <v>1511</v>
      </c>
      <c r="B6040" s="2">
        <v>10</v>
      </c>
      <c r="C6040" s="2">
        <v>23365686</v>
      </c>
      <c r="D6040" s="2">
        <v>24489447</v>
      </c>
      <c r="E6040" s="2">
        <v>4</v>
      </c>
      <c r="F6040" s="2" t="s">
        <v>10086</v>
      </c>
      <c r="H6040" s="3">
        <v>8.0000000000000004E-4</v>
      </c>
      <c r="K6040" s="2" t="s">
        <v>10085</v>
      </c>
    </row>
    <row r="6041" spans="1:11" x14ac:dyDescent="0.2">
      <c r="A6041" s="2">
        <v>1512</v>
      </c>
      <c r="B6041" s="2">
        <v>10</v>
      </c>
      <c r="C6041" s="2">
        <v>24489448</v>
      </c>
      <c r="D6041" s="2">
        <v>25577761</v>
      </c>
      <c r="E6041" s="2">
        <v>1</v>
      </c>
      <c r="F6041" s="2" t="s">
        <v>10086</v>
      </c>
      <c r="H6041" s="2">
        <v>3.2000000000000002E-3</v>
      </c>
      <c r="K6041" s="2" t="s">
        <v>10089</v>
      </c>
    </row>
    <row r="6042" spans="1:11" x14ac:dyDescent="0.2">
      <c r="A6042" s="2">
        <v>1512</v>
      </c>
      <c r="B6042" s="2">
        <v>10</v>
      </c>
      <c r="C6042" s="2">
        <v>24489448</v>
      </c>
      <c r="D6042" s="2">
        <v>25577761</v>
      </c>
      <c r="E6042" s="2">
        <v>2</v>
      </c>
      <c r="F6042" s="2" t="s">
        <v>10086</v>
      </c>
      <c r="H6042" s="2">
        <v>1E-3</v>
      </c>
      <c r="K6042" s="2" t="s">
        <v>10085</v>
      </c>
    </row>
    <row r="6043" spans="1:11" x14ac:dyDescent="0.2">
      <c r="A6043" s="2">
        <v>1512</v>
      </c>
      <c r="B6043" s="2">
        <v>10</v>
      </c>
      <c r="C6043" s="2">
        <v>24489448</v>
      </c>
      <c r="D6043" s="2">
        <v>25577761</v>
      </c>
      <c r="E6043" s="2">
        <v>3</v>
      </c>
      <c r="F6043" s="2" t="s">
        <v>10086</v>
      </c>
      <c r="H6043" s="2">
        <v>1.4E-3</v>
      </c>
      <c r="K6043" s="2" t="s">
        <v>10087</v>
      </c>
    </row>
    <row r="6044" spans="1:11" x14ac:dyDescent="0.2">
      <c r="A6044" s="2">
        <v>1512</v>
      </c>
      <c r="B6044" s="2">
        <v>10</v>
      </c>
      <c r="C6044" s="2">
        <v>24489448</v>
      </c>
      <c r="D6044" s="2">
        <v>25577761</v>
      </c>
      <c r="E6044" s="2">
        <v>4</v>
      </c>
      <c r="F6044" s="2" t="s">
        <v>10086</v>
      </c>
      <c r="H6044" s="3">
        <v>8.0000000000000004E-4</v>
      </c>
      <c r="K6044" s="2" t="s">
        <v>10088</v>
      </c>
    </row>
    <row r="6045" spans="1:11" x14ac:dyDescent="0.2">
      <c r="A6045" s="2">
        <v>1513</v>
      </c>
      <c r="B6045" s="2">
        <v>10</v>
      </c>
      <c r="C6045" s="2">
        <v>25577762</v>
      </c>
      <c r="D6045" s="2">
        <v>26161974</v>
      </c>
      <c r="E6045" s="2">
        <v>1</v>
      </c>
      <c r="F6045" s="2" t="s">
        <v>10086</v>
      </c>
      <c r="H6045" s="2">
        <v>1.4E-3</v>
      </c>
      <c r="K6045" s="2" t="s">
        <v>10088</v>
      </c>
    </row>
    <row r="6046" spans="1:11" x14ac:dyDescent="0.2">
      <c r="A6046" s="2">
        <v>1513</v>
      </c>
      <c r="B6046" s="2">
        <v>10</v>
      </c>
      <c r="C6046" s="2">
        <v>25577762</v>
      </c>
      <c r="D6046" s="2">
        <v>26161974</v>
      </c>
      <c r="E6046" s="2">
        <v>2</v>
      </c>
      <c r="F6046" s="2" t="s">
        <v>10086</v>
      </c>
      <c r="H6046" s="3">
        <v>5.9999999999999995E-4</v>
      </c>
      <c r="K6046" s="2" t="s">
        <v>10087</v>
      </c>
    </row>
    <row r="6047" spans="1:11" x14ac:dyDescent="0.2">
      <c r="A6047" s="2">
        <v>1513</v>
      </c>
      <c r="B6047" s="2">
        <v>10</v>
      </c>
      <c r="C6047" s="2">
        <v>25577762</v>
      </c>
      <c r="D6047" s="2">
        <v>26161974</v>
      </c>
      <c r="E6047" s="2">
        <v>3</v>
      </c>
      <c r="F6047" s="2" t="s">
        <v>10086</v>
      </c>
      <c r="H6047" s="3">
        <v>5.9999999999999995E-4</v>
      </c>
      <c r="K6047" s="2" t="s">
        <v>10085</v>
      </c>
    </row>
    <row r="6048" spans="1:11" x14ac:dyDescent="0.2">
      <c r="A6048" s="2">
        <v>1513</v>
      </c>
      <c r="B6048" s="2">
        <v>10</v>
      </c>
      <c r="C6048" s="2">
        <v>25577762</v>
      </c>
      <c r="D6048" s="2">
        <v>26161974</v>
      </c>
      <c r="E6048" s="2">
        <v>4</v>
      </c>
      <c r="F6048" s="2" t="s">
        <v>10086</v>
      </c>
      <c r="H6048" s="3">
        <v>2.9999999999999997E-4</v>
      </c>
      <c r="K6048" s="2" t="s">
        <v>10089</v>
      </c>
    </row>
    <row r="6049" spans="1:11" x14ac:dyDescent="0.2">
      <c r="A6049" s="2">
        <v>1514</v>
      </c>
      <c r="B6049" s="2">
        <v>10</v>
      </c>
      <c r="C6049" s="2">
        <v>26161975</v>
      </c>
      <c r="D6049" s="2">
        <v>26888716</v>
      </c>
      <c r="E6049" s="2">
        <v>1</v>
      </c>
      <c r="F6049" s="2" t="s">
        <v>10086</v>
      </c>
      <c r="H6049" s="2">
        <v>1.15E-2</v>
      </c>
      <c r="K6049" s="2" t="s">
        <v>10087</v>
      </c>
    </row>
    <row r="6050" spans="1:11" x14ac:dyDescent="0.2">
      <c r="A6050" s="2">
        <v>1514</v>
      </c>
      <c r="B6050" s="2">
        <v>10</v>
      </c>
      <c r="C6050" s="2">
        <v>26161975</v>
      </c>
      <c r="D6050" s="2">
        <v>26888716</v>
      </c>
      <c r="E6050" s="2">
        <v>2</v>
      </c>
      <c r="F6050" s="2" t="s">
        <v>10086</v>
      </c>
      <c r="H6050" s="3">
        <v>6.9999999999999999E-4</v>
      </c>
      <c r="K6050" s="2" t="s">
        <v>10088</v>
      </c>
    </row>
    <row r="6051" spans="1:11" x14ac:dyDescent="0.2">
      <c r="A6051" s="2">
        <v>1514</v>
      </c>
      <c r="B6051" s="2">
        <v>10</v>
      </c>
      <c r="C6051" s="2">
        <v>26161975</v>
      </c>
      <c r="D6051" s="2">
        <v>26888716</v>
      </c>
      <c r="E6051" s="2">
        <v>3</v>
      </c>
      <c r="F6051" s="2" t="s">
        <v>10086</v>
      </c>
      <c r="H6051" s="3">
        <v>5.0000000000000001E-4</v>
      </c>
      <c r="K6051" s="2" t="s">
        <v>10085</v>
      </c>
    </row>
    <row r="6052" spans="1:11" x14ac:dyDescent="0.2">
      <c r="A6052" s="2">
        <v>1514</v>
      </c>
      <c r="B6052" s="2">
        <v>10</v>
      </c>
      <c r="C6052" s="2">
        <v>26161975</v>
      </c>
      <c r="D6052" s="2">
        <v>26888716</v>
      </c>
      <c r="E6052" s="2">
        <v>4</v>
      </c>
      <c r="F6052" s="2" t="s">
        <v>10086</v>
      </c>
      <c r="H6052" s="3">
        <v>2.9999999999999997E-4</v>
      </c>
      <c r="K6052" s="2" t="s">
        <v>10089</v>
      </c>
    </row>
    <row r="6053" spans="1:11" x14ac:dyDescent="0.2">
      <c r="A6053" s="2">
        <v>1515</v>
      </c>
      <c r="B6053" s="2">
        <v>10</v>
      </c>
      <c r="C6053" s="2">
        <v>26888717</v>
      </c>
      <c r="D6053" s="2">
        <v>27669566</v>
      </c>
      <c r="E6053" s="2">
        <v>1</v>
      </c>
      <c r="F6053" s="2" t="s">
        <v>10086</v>
      </c>
      <c r="H6053" s="2">
        <v>1E-3</v>
      </c>
      <c r="K6053" s="2" t="s">
        <v>10085</v>
      </c>
    </row>
    <row r="6054" spans="1:11" x14ac:dyDescent="0.2">
      <c r="A6054" s="2">
        <v>1515</v>
      </c>
      <c r="B6054" s="2">
        <v>10</v>
      </c>
      <c r="C6054" s="2">
        <v>26888717</v>
      </c>
      <c r="D6054" s="2">
        <v>27669566</v>
      </c>
      <c r="E6054" s="2">
        <v>2</v>
      </c>
      <c r="F6054" s="2" t="s">
        <v>10086</v>
      </c>
      <c r="H6054" s="3">
        <v>8.0000000000000004E-4</v>
      </c>
      <c r="K6054" s="2" t="s">
        <v>10088</v>
      </c>
    </row>
    <row r="6055" spans="1:11" x14ac:dyDescent="0.2">
      <c r="A6055" s="2">
        <v>1515</v>
      </c>
      <c r="B6055" s="2">
        <v>10</v>
      </c>
      <c r="C6055" s="2">
        <v>26888717</v>
      </c>
      <c r="D6055" s="2">
        <v>27669566</v>
      </c>
      <c r="E6055" s="2">
        <v>3</v>
      </c>
      <c r="F6055" s="2" t="s">
        <v>10086</v>
      </c>
      <c r="H6055" s="3">
        <v>8.0000000000000004E-4</v>
      </c>
      <c r="K6055" s="2" t="s">
        <v>10089</v>
      </c>
    </row>
    <row r="6056" spans="1:11" x14ac:dyDescent="0.2">
      <c r="A6056" s="2">
        <v>1515</v>
      </c>
      <c r="B6056" s="2">
        <v>10</v>
      </c>
      <c r="C6056" s="2">
        <v>26888717</v>
      </c>
      <c r="D6056" s="2">
        <v>27669566</v>
      </c>
      <c r="E6056" s="2">
        <v>4</v>
      </c>
      <c r="F6056" s="2" t="s">
        <v>10086</v>
      </c>
      <c r="H6056" s="3">
        <v>4.0000000000000002E-4</v>
      </c>
      <c r="K6056" s="2" t="s">
        <v>10087</v>
      </c>
    </row>
    <row r="6057" spans="1:11" x14ac:dyDescent="0.2">
      <c r="A6057" s="2">
        <v>1516</v>
      </c>
      <c r="B6057" s="2">
        <v>10</v>
      </c>
      <c r="C6057" s="2">
        <v>27669567</v>
      </c>
      <c r="D6057" s="2">
        <v>28734422</v>
      </c>
      <c r="E6057" s="2">
        <v>1</v>
      </c>
      <c r="F6057" s="2" t="s">
        <v>10086</v>
      </c>
      <c r="H6057" s="2">
        <v>1.5E-3</v>
      </c>
      <c r="K6057" s="2" t="s">
        <v>10085</v>
      </c>
    </row>
    <row r="6058" spans="1:11" x14ac:dyDescent="0.2">
      <c r="A6058" s="2">
        <v>1516</v>
      </c>
      <c r="B6058" s="2">
        <v>10</v>
      </c>
      <c r="C6058" s="2">
        <v>27669567</v>
      </c>
      <c r="D6058" s="2">
        <v>28734422</v>
      </c>
      <c r="E6058" s="2">
        <v>2</v>
      </c>
      <c r="F6058" s="2" t="s">
        <v>10086</v>
      </c>
      <c r="H6058" s="2">
        <v>2.5999999999999999E-3</v>
      </c>
      <c r="K6058" s="2" t="s">
        <v>10087</v>
      </c>
    </row>
    <row r="6059" spans="1:11" x14ac:dyDescent="0.2">
      <c r="A6059" s="2">
        <v>1516</v>
      </c>
      <c r="B6059" s="2">
        <v>10</v>
      </c>
      <c r="C6059" s="2">
        <v>27669567</v>
      </c>
      <c r="D6059" s="2">
        <v>28734422</v>
      </c>
      <c r="E6059" s="2">
        <v>3</v>
      </c>
      <c r="F6059" s="2" t="s">
        <v>10086</v>
      </c>
      <c r="H6059" s="2">
        <v>1.2999999999999999E-3</v>
      </c>
      <c r="K6059" s="2" t="s">
        <v>12324</v>
      </c>
    </row>
    <row r="6060" spans="1:11" x14ac:dyDescent="0.2">
      <c r="A6060" s="2">
        <v>1516</v>
      </c>
      <c r="B6060" s="2">
        <v>10</v>
      </c>
      <c r="C6060" s="2">
        <v>27669567</v>
      </c>
      <c r="D6060" s="2">
        <v>28734422</v>
      </c>
      <c r="E6060" s="2">
        <v>4</v>
      </c>
      <c r="F6060" s="2" t="s">
        <v>10086</v>
      </c>
      <c r="H6060" s="2">
        <v>1.1000000000000001E-3</v>
      </c>
      <c r="K6060" s="2" t="s">
        <v>10088</v>
      </c>
    </row>
    <row r="6061" spans="1:11" x14ac:dyDescent="0.2">
      <c r="A6061" s="2">
        <v>1517</v>
      </c>
      <c r="B6061" s="2">
        <v>10</v>
      </c>
      <c r="C6061" s="2">
        <v>28734423</v>
      </c>
      <c r="D6061" s="2">
        <v>29393749</v>
      </c>
      <c r="E6061" s="2">
        <v>1</v>
      </c>
      <c r="F6061" s="2" t="s">
        <v>10086</v>
      </c>
      <c r="H6061" s="2">
        <v>1.1999999999999999E-3</v>
      </c>
      <c r="K6061" s="2" t="s">
        <v>10085</v>
      </c>
    </row>
    <row r="6062" spans="1:11" x14ac:dyDescent="0.2">
      <c r="A6062" s="2">
        <v>1517</v>
      </c>
      <c r="B6062" s="2">
        <v>10</v>
      </c>
      <c r="C6062" s="2">
        <v>28734423</v>
      </c>
      <c r="D6062" s="2">
        <v>29393749</v>
      </c>
      <c r="E6062" s="2">
        <v>2</v>
      </c>
      <c r="F6062" s="2" t="s">
        <v>10086</v>
      </c>
      <c r="H6062" s="3">
        <v>6.9999999999999999E-4</v>
      </c>
      <c r="K6062" s="2" t="s">
        <v>10089</v>
      </c>
    </row>
    <row r="6063" spans="1:11" x14ac:dyDescent="0.2">
      <c r="A6063" s="2">
        <v>1517</v>
      </c>
      <c r="B6063" s="2">
        <v>10</v>
      </c>
      <c r="C6063" s="2">
        <v>28734423</v>
      </c>
      <c r="D6063" s="2">
        <v>29393749</v>
      </c>
      <c r="E6063" s="2">
        <v>3</v>
      </c>
      <c r="F6063" s="2" t="s">
        <v>10086</v>
      </c>
      <c r="H6063" s="3">
        <v>6.9999999999999999E-4</v>
      </c>
      <c r="K6063" s="2" t="s">
        <v>10087</v>
      </c>
    </row>
    <row r="6064" spans="1:11" x14ac:dyDescent="0.2">
      <c r="A6064" s="2">
        <v>1517</v>
      </c>
      <c r="B6064" s="2">
        <v>10</v>
      </c>
      <c r="C6064" s="2">
        <v>28734423</v>
      </c>
      <c r="D6064" s="2">
        <v>29393749</v>
      </c>
      <c r="E6064" s="2">
        <v>4</v>
      </c>
      <c r="F6064" s="2" t="s">
        <v>10086</v>
      </c>
      <c r="H6064" s="3">
        <v>2.9999999999999997E-4</v>
      </c>
      <c r="K6064" s="2" t="s">
        <v>10088</v>
      </c>
    </row>
    <row r="6065" spans="1:11" x14ac:dyDescent="0.2">
      <c r="A6065" s="2">
        <v>1518</v>
      </c>
      <c r="B6065" s="2">
        <v>10</v>
      </c>
      <c r="C6065" s="2">
        <v>29393750</v>
      </c>
      <c r="D6065" s="2">
        <v>30000223</v>
      </c>
      <c r="E6065" s="2">
        <v>1</v>
      </c>
      <c r="F6065" s="2" t="s">
        <v>10086</v>
      </c>
      <c r="H6065" s="3">
        <v>8.9999999999999998E-4</v>
      </c>
      <c r="K6065" s="2" t="s">
        <v>10085</v>
      </c>
    </row>
    <row r="6066" spans="1:11" x14ac:dyDescent="0.2">
      <c r="A6066" s="2">
        <v>1518</v>
      </c>
      <c r="B6066" s="2">
        <v>10</v>
      </c>
      <c r="C6066" s="2">
        <v>29393750</v>
      </c>
      <c r="D6066" s="2">
        <v>30000223</v>
      </c>
      <c r="E6066" s="2">
        <v>2</v>
      </c>
      <c r="F6066" s="2" t="s">
        <v>10086</v>
      </c>
      <c r="H6066" s="3">
        <v>6.9999999999999999E-4</v>
      </c>
      <c r="K6066" s="2" t="s">
        <v>10087</v>
      </c>
    </row>
    <row r="6067" spans="1:11" x14ac:dyDescent="0.2">
      <c r="A6067" s="2">
        <v>1518</v>
      </c>
      <c r="B6067" s="2">
        <v>10</v>
      </c>
      <c r="C6067" s="2">
        <v>29393750</v>
      </c>
      <c r="D6067" s="2">
        <v>30000223</v>
      </c>
      <c r="E6067" s="2">
        <v>3</v>
      </c>
      <c r="F6067" s="2" t="s">
        <v>10086</v>
      </c>
      <c r="H6067" s="3">
        <v>6.9999999999999999E-4</v>
      </c>
      <c r="K6067" s="2" t="s">
        <v>10089</v>
      </c>
    </row>
    <row r="6068" spans="1:11" x14ac:dyDescent="0.2">
      <c r="A6068" s="2">
        <v>1518</v>
      </c>
      <c r="B6068" s="2">
        <v>10</v>
      </c>
      <c r="C6068" s="2">
        <v>29393750</v>
      </c>
      <c r="D6068" s="2">
        <v>30000223</v>
      </c>
      <c r="E6068" s="2">
        <v>4</v>
      </c>
      <c r="F6068" s="2" t="s">
        <v>10086</v>
      </c>
      <c r="H6068" s="3">
        <v>2.9999999999999997E-4</v>
      </c>
      <c r="K6068" s="2" t="s">
        <v>10088</v>
      </c>
    </row>
    <row r="6069" spans="1:11" x14ac:dyDescent="0.2">
      <c r="A6069" s="2">
        <v>1519</v>
      </c>
      <c r="B6069" s="2">
        <v>10</v>
      </c>
      <c r="C6069" s="2">
        <v>30000224</v>
      </c>
      <c r="D6069" s="2">
        <v>30919469</v>
      </c>
      <c r="E6069" s="2">
        <v>1</v>
      </c>
      <c r="F6069" s="2" t="s">
        <v>10086</v>
      </c>
      <c r="H6069" s="2">
        <v>1.4E-3</v>
      </c>
      <c r="K6069" s="2" t="s">
        <v>10089</v>
      </c>
    </row>
    <row r="6070" spans="1:11" x14ac:dyDescent="0.2">
      <c r="A6070" s="2">
        <v>1519</v>
      </c>
      <c r="B6070" s="2">
        <v>10</v>
      </c>
      <c r="C6070" s="2">
        <v>30000224</v>
      </c>
      <c r="D6070" s="2">
        <v>30919469</v>
      </c>
      <c r="E6070" s="2">
        <v>2</v>
      </c>
      <c r="F6070" s="2" t="s">
        <v>10086</v>
      </c>
      <c r="H6070" s="2">
        <v>1E-3</v>
      </c>
      <c r="K6070" s="2" t="s">
        <v>10087</v>
      </c>
    </row>
    <row r="6071" spans="1:11" x14ac:dyDescent="0.2">
      <c r="A6071" s="2">
        <v>1519</v>
      </c>
      <c r="B6071" s="2">
        <v>10</v>
      </c>
      <c r="C6071" s="2">
        <v>30000224</v>
      </c>
      <c r="D6071" s="2">
        <v>30919469</v>
      </c>
      <c r="E6071" s="2">
        <v>3</v>
      </c>
      <c r="F6071" s="2" t="s">
        <v>10086</v>
      </c>
      <c r="H6071" s="2">
        <v>1E-3</v>
      </c>
      <c r="K6071" s="2" t="s">
        <v>10085</v>
      </c>
    </row>
    <row r="6072" spans="1:11" x14ac:dyDescent="0.2">
      <c r="A6072" s="2">
        <v>1519</v>
      </c>
      <c r="B6072" s="2">
        <v>10</v>
      </c>
      <c r="C6072" s="2">
        <v>30000224</v>
      </c>
      <c r="D6072" s="2">
        <v>30919469</v>
      </c>
      <c r="E6072" s="2">
        <v>4</v>
      </c>
      <c r="F6072" s="2" t="s">
        <v>10086</v>
      </c>
      <c r="H6072" s="3">
        <v>5.9999999999999995E-4</v>
      </c>
      <c r="K6072" s="2" t="s">
        <v>10088</v>
      </c>
    </row>
    <row r="6073" spans="1:11" x14ac:dyDescent="0.2">
      <c r="A6073" s="2">
        <v>1520</v>
      </c>
      <c r="B6073" s="2">
        <v>10</v>
      </c>
      <c r="C6073" s="2">
        <v>30919470</v>
      </c>
      <c r="D6073" s="2">
        <v>32457293</v>
      </c>
      <c r="E6073" s="2">
        <v>1</v>
      </c>
      <c r="F6073" s="2" t="s">
        <v>10086</v>
      </c>
      <c r="H6073" s="2">
        <v>1.1999999999999999E-3</v>
      </c>
      <c r="K6073" s="2" t="s">
        <v>10089</v>
      </c>
    </row>
    <row r="6074" spans="1:11" x14ac:dyDescent="0.2">
      <c r="A6074" s="2">
        <v>1520</v>
      </c>
      <c r="B6074" s="2">
        <v>10</v>
      </c>
      <c r="C6074" s="2">
        <v>30919470</v>
      </c>
      <c r="D6074" s="2">
        <v>32457293</v>
      </c>
      <c r="E6074" s="2">
        <v>2</v>
      </c>
      <c r="F6074" s="2" t="s">
        <v>10086</v>
      </c>
      <c r="H6074" s="2">
        <v>1.4E-3</v>
      </c>
      <c r="K6074" s="2" t="s">
        <v>10085</v>
      </c>
    </row>
    <row r="6075" spans="1:11" x14ac:dyDescent="0.2">
      <c r="A6075" s="2">
        <v>1520</v>
      </c>
      <c r="B6075" s="2">
        <v>10</v>
      </c>
      <c r="C6075" s="2">
        <v>30919470</v>
      </c>
      <c r="D6075" s="2">
        <v>32457293</v>
      </c>
      <c r="E6075" s="2">
        <v>3</v>
      </c>
      <c r="F6075" s="2" t="s">
        <v>10086</v>
      </c>
      <c r="H6075" s="3">
        <v>8.0000000000000004E-4</v>
      </c>
      <c r="K6075" s="2" t="s">
        <v>12324</v>
      </c>
    </row>
    <row r="6076" spans="1:11" x14ac:dyDescent="0.2">
      <c r="A6076" s="2">
        <v>1520</v>
      </c>
      <c r="B6076" s="2">
        <v>10</v>
      </c>
      <c r="C6076" s="2">
        <v>30919470</v>
      </c>
      <c r="D6076" s="2">
        <v>32457293</v>
      </c>
      <c r="E6076" s="2">
        <v>4</v>
      </c>
      <c r="F6076" s="2" t="s">
        <v>10086</v>
      </c>
      <c r="H6076" s="2">
        <v>1.1999999999999999E-3</v>
      </c>
      <c r="K6076" s="2" t="s">
        <v>10088</v>
      </c>
    </row>
    <row r="6077" spans="1:11" x14ac:dyDescent="0.2">
      <c r="A6077" s="2">
        <v>1521</v>
      </c>
      <c r="B6077" s="2">
        <v>10</v>
      </c>
      <c r="C6077" s="2">
        <v>32457294</v>
      </c>
      <c r="D6077" s="2">
        <v>33655458</v>
      </c>
      <c r="E6077" s="2">
        <v>1</v>
      </c>
      <c r="F6077" s="2" t="s">
        <v>10086</v>
      </c>
      <c r="H6077" s="2">
        <v>8.6E-3</v>
      </c>
      <c r="K6077" s="2" t="s">
        <v>10085</v>
      </c>
    </row>
    <row r="6078" spans="1:11" x14ac:dyDescent="0.2">
      <c r="A6078" s="2">
        <v>1521</v>
      </c>
      <c r="B6078" s="2">
        <v>10</v>
      </c>
      <c r="C6078" s="2">
        <v>32457294</v>
      </c>
      <c r="D6078" s="2">
        <v>33655458</v>
      </c>
      <c r="E6078" s="2">
        <v>2</v>
      </c>
      <c r="F6078" s="2" t="s">
        <v>10086</v>
      </c>
      <c r="H6078" s="2">
        <v>1.5E-3</v>
      </c>
      <c r="K6078" s="2" t="s">
        <v>10088</v>
      </c>
    </row>
    <row r="6079" spans="1:11" x14ac:dyDescent="0.2">
      <c r="A6079" s="2">
        <v>1521</v>
      </c>
      <c r="B6079" s="2">
        <v>10</v>
      </c>
      <c r="C6079" s="2">
        <v>32457294</v>
      </c>
      <c r="D6079" s="2">
        <v>33655458</v>
      </c>
      <c r="E6079" s="2">
        <v>3</v>
      </c>
      <c r="F6079" s="2" t="s">
        <v>10086</v>
      </c>
      <c r="H6079" s="2">
        <v>1.1000000000000001E-3</v>
      </c>
      <c r="K6079" s="2" t="s">
        <v>12324</v>
      </c>
    </row>
    <row r="6080" spans="1:11" x14ac:dyDescent="0.2">
      <c r="A6080" s="2">
        <v>1521</v>
      </c>
      <c r="B6080" s="2">
        <v>10</v>
      </c>
      <c r="C6080" s="2">
        <v>32457294</v>
      </c>
      <c r="D6080" s="2">
        <v>33655458</v>
      </c>
      <c r="E6080" s="2">
        <v>4</v>
      </c>
      <c r="F6080" s="2" t="s">
        <v>10086</v>
      </c>
      <c r="H6080" s="3">
        <v>8.0000000000000004E-4</v>
      </c>
      <c r="K6080" s="2" t="s">
        <v>10089</v>
      </c>
    </row>
    <row r="6081" spans="1:11" x14ac:dyDescent="0.2">
      <c r="A6081" s="2">
        <v>1522</v>
      </c>
      <c r="B6081" s="2">
        <v>10</v>
      </c>
      <c r="C6081" s="2">
        <v>33655459</v>
      </c>
      <c r="D6081" s="2">
        <v>35178224</v>
      </c>
      <c r="E6081" s="2">
        <v>1</v>
      </c>
      <c r="F6081" s="2" t="s">
        <v>10086</v>
      </c>
      <c r="H6081" s="2">
        <v>5.5399999999999998E-2</v>
      </c>
      <c r="K6081" s="2" t="s">
        <v>10089</v>
      </c>
    </row>
    <row r="6082" spans="1:11" x14ac:dyDescent="0.2">
      <c r="A6082" s="2">
        <v>1522</v>
      </c>
      <c r="B6082" s="2">
        <v>10</v>
      </c>
      <c r="C6082" s="2">
        <v>33655459</v>
      </c>
      <c r="D6082" s="2">
        <v>35178224</v>
      </c>
      <c r="E6082" s="2">
        <v>2</v>
      </c>
      <c r="F6082" s="2" t="s">
        <v>10086</v>
      </c>
      <c r="H6082" s="2">
        <v>8.5000000000000006E-3</v>
      </c>
      <c r="K6082" s="2" t="s">
        <v>10085</v>
      </c>
    </row>
    <row r="6083" spans="1:11" x14ac:dyDescent="0.2">
      <c r="A6083" s="2">
        <v>1522</v>
      </c>
      <c r="B6083" s="2">
        <v>10</v>
      </c>
      <c r="C6083" s="2">
        <v>33655459</v>
      </c>
      <c r="D6083" s="2">
        <v>35178224</v>
      </c>
      <c r="E6083" s="2">
        <v>3</v>
      </c>
      <c r="F6083" s="2" t="s">
        <v>10086</v>
      </c>
      <c r="H6083" s="2">
        <v>1.9E-3</v>
      </c>
      <c r="K6083" s="2" t="s">
        <v>12324</v>
      </c>
    </row>
    <row r="6084" spans="1:11" x14ac:dyDescent="0.2">
      <c r="A6084" s="2">
        <v>1522</v>
      </c>
      <c r="B6084" s="2">
        <v>10</v>
      </c>
      <c r="C6084" s="2">
        <v>33655459</v>
      </c>
      <c r="D6084" s="2">
        <v>35178224</v>
      </c>
      <c r="E6084" s="2">
        <v>4</v>
      </c>
      <c r="F6084" s="2" t="s">
        <v>10086</v>
      </c>
      <c r="H6084" s="2">
        <v>1.8E-3</v>
      </c>
      <c r="K6084" s="2" t="s">
        <v>10088</v>
      </c>
    </row>
    <row r="6085" spans="1:11" x14ac:dyDescent="0.2">
      <c r="A6085" s="2">
        <v>1523</v>
      </c>
      <c r="B6085" s="2">
        <v>10</v>
      </c>
      <c r="C6085" s="2">
        <v>35178225</v>
      </c>
      <c r="D6085" s="2">
        <v>36475838</v>
      </c>
      <c r="E6085" s="2">
        <v>1</v>
      </c>
      <c r="F6085" s="2" t="s">
        <v>10086</v>
      </c>
      <c r="H6085" s="2">
        <v>1.6999999999999999E-3</v>
      </c>
      <c r="K6085" s="2" t="s">
        <v>10085</v>
      </c>
    </row>
    <row r="6086" spans="1:11" x14ac:dyDescent="0.2">
      <c r="A6086" s="2">
        <v>1523</v>
      </c>
      <c r="B6086" s="2">
        <v>10</v>
      </c>
      <c r="C6086" s="2">
        <v>35178225</v>
      </c>
      <c r="D6086" s="2">
        <v>36475838</v>
      </c>
      <c r="E6086" s="2">
        <v>2</v>
      </c>
      <c r="F6086" s="2" t="s">
        <v>10086</v>
      </c>
      <c r="H6086" s="2">
        <v>1.4E-3</v>
      </c>
      <c r="K6086" s="2" t="s">
        <v>10087</v>
      </c>
    </row>
    <row r="6087" spans="1:11" x14ac:dyDescent="0.2">
      <c r="A6087" s="2">
        <v>1523</v>
      </c>
      <c r="B6087" s="2">
        <v>10</v>
      </c>
      <c r="C6087" s="2">
        <v>35178225</v>
      </c>
      <c r="D6087" s="2">
        <v>36475838</v>
      </c>
      <c r="E6087" s="2">
        <v>3</v>
      </c>
      <c r="F6087" s="2" t="s">
        <v>10086</v>
      </c>
      <c r="H6087" s="2">
        <v>1.1999999999999999E-3</v>
      </c>
      <c r="K6087" s="2" t="s">
        <v>10088</v>
      </c>
    </row>
    <row r="6088" spans="1:11" x14ac:dyDescent="0.2">
      <c r="A6088" s="2">
        <v>1523</v>
      </c>
      <c r="B6088" s="2">
        <v>10</v>
      </c>
      <c r="C6088" s="2">
        <v>35178225</v>
      </c>
      <c r="D6088" s="2">
        <v>36475838</v>
      </c>
      <c r="E6088" s="2">
        <v>4</v>
      </c>
      <c r="F6088" s="2" t="s">
        <v>10086</v>
      </c>
      <c r="H6088" s="3">
        <v>6.9999999999999999E-4</v>
      </c>
      <c r="K6088" s="2" t="s">
        <v>10089</v>
      </c>
    </row>
    <row r="6089" spans="1:11" x14ac:dyDescent="0.2">
      <c r="A6089" s="2">
        <v>1524</v>
      </c>
      <c r="B6089" s="2">
        <v>10</v>
      </c>
      <c r="C6089" s="2">
        <v>36475839</v>
      </c>
      <c r="D6089" s="2">
        <v>37561443</v>
      </c>
      <c r="E6089" s="2">
        <v>1</v>
      </c>
      <c r="F6089" s="2" t="s">
        <v>10086</v>
      </c>
      <c r="H6089" s="2">
        <v>3.8999999999999998E-3</v>
      </c>
      <c r="K6089" s="2" t="s">
        <v>10088</v>
      </c>
    </row>
    <row r="6090" spans="1:11" x14ac:dyDescent="0.2">
      <c r="A6090" s="2">
        <v>1524</v>
      </c>
      <c r="B6090" s="2">
        <v>10</v>
      </c>
      <c r="C6090" s="2">
        <v>36475839</v>
      </c>
      <c r="D6090" s="2">
        <v>37561443</v>
      </c>
      <c r="E6090" s="2">
        <v>2</v>
      </c>
      <c r="F6090" s="2" t="s">
        <v>10086</v>
      </c>
      <c r="H6090" s="2">
        <v>1.5E-3</v>
      </c>
      <c r="K6090" s="2" t="s">
        <v>10087</v>
      </c>
    </row>
    <row r="6091" spans="1:11" x14ac:dyDescent="0.2">
      <c r="A6091" s="2">
        <v>1524</v>
      </c>
      <c r="B6091" s="2">
        <v>10</v>
      </c>
      <c r="C6091" s="2">
        <v>36475839</v>
      </c>
      <c r="D6091" s="2">
        <v>37561443</v>
      </c>
      <c r="E6091" s="2">
        <v>3</v>
      </c>
      <c r="F6091" s="2" t="s">
        <v>10086</v>
      </c>
      <c r="H6091" s="3">
        <v>8.9999999999999998E-4</v>
      </c>
      <c r="K6091" s="2" t="s">
        <v>10085</v>
      </c>
    </row>
    <row r="6092" spans="1:11" x14ac:dyDescent="0.2">
      <c r="A6092" s="2">
        <v>1524</v>
      </c>
      <c r="B6092" s="2">
        <v>10</v>
      </c>
      <c r="C6092" s="2">
        <v>36475839</v>
      </c>
      <c r="D6092" s="2">
        <v>37561443</v>
      </c>
      <c r="E6092" s="2">
        <v>4</v>
      </c>
      <c r="F6092" s="2" t="s">
        <v>10086</v>
      </c>
      <c r="H6092" s="3">
        <v>5.0000000000000001E-4</v>
      </c>
      <c r="K6092" s="2" t="s">
        <v>10089</v>
      </c>
    </row>
    <row r="6093" spans="1:11" x14ac:dyDescent="0.2">
      <c r="A6093" s="2">
        <v>1525</v>
      </c>
      <c r="B6093" s="2">
        <v>10</v>
      </c>
      <c r="C6093" s="2">
        <v>37561444</v>
      </c>
      <c r="D6093" s="2">
        <v>38566460</v>
      </c>
      <c r="E6093" s="2">
        <v>1</v>
      </c>
      <c r="F6093" s="2" t="s">
        <v>10086</v>
      </c>
      <c r="H6093" s="2">
        <v>2.5000000000000001E-3</v>
      </c>
      <c r="K6093" s="2" t="s">
        <v>10085</v>
      </c>
    </row>
    <row r="6094" spans="1:11" x14ac:dyDescent="0.2">
      <c r="A6094" s="2">
        <v>1525</v>
      </c>
      <c r="B6094" s="2">
        <v>10</v>
      </c>
      <c r="C6094" s="2">
        <v>37561444</v>
      </c>
      <c r="D6094" s="2">
        <v>38566460</v>
      </c>
      <c r="E6094" s="2">
        <v>2</v>
      </c>
      <c r="F6094" s="2" t="s">
        <v>10086</v>
      </c>
      <c r="H6094" s="2">
        <v>1.5E-3</v>
      </c>
      <c r="K6094" s="2" t="s">
        <v>10087</v>
      </c>
    </row>
    <row r="6095" spans="1:11" x14ac:dyDescent="0.2">
      <c r="A6095" s="2">
        <v>1525</v>
      </c>
      <c r="B6095" s="2">
        <v>10</v>
      </c>
      <c r="C6095" s="2">
        <v>37561444</v>
      </c>
      <c r="D6095" s="2">
        <v>38566460</v>
      </c>
      <c r="E6095" s="2">
        <v>3</v>
      </c>
      <c r="F6095" s="2" t="s">
        <v>10086</v>
      </c>
      <c r="H6095" s="2">
        <v>1E-3</v>
      </c>
      <c r="K6095" s="2" t="s">
        <v>10088</v>
      </c>
    </row>
    <row r="6096" spans="1:11" x14ac:dyDescent="0.2">
      <c r="A6096" s="2">
        <v>1525</v>
      </c>
      <c r="B6096" s="2">
        <v>10</v>
      </c>
      <c r="C6096" s="2">
        <v>37561444</v>
      </c>
      <c r="D6096" s="2">
        <v>38566460</v>
      </c>
      <c r="E6096" s="2">
        <v>4</v>
      </c>
      <c r="F6096" s="2" t="s">
        <v>10086</v>
      </c>
      <c r="H6096" s="3">
        <v>2.9999999999999997E-4</v>
      </c>
      <c r="K6096" s="2" t="s">
        <v>10089</v>
      </c>
    </row>
    <row r="6097" spans="1:11" x14ac:dyDescent="0.2">
      <c r="A6097" s="2">
        <v>1526</v>
      </c>
      <c r="B6097" s="2">
        <v>10</v>
      </c>
      <c r="C6097" s="2">
        <v>38566461</v>
      </c>
      <c r="D6097" s="2">
        <v>42392742</v>
      </c>
      <c r="E6097" s="2">
        <v>1</v>
      </c>
      <c r="F6097" s="2" t="s">
        <v>10086</v>
      </c>
      <c r="H6097" s="2">
        <v>3.3E-3</v>
      </c>
      <c r="K6097" s="2" t="s">
        <v>10087</v>
      </c>
    </row>
    <row r="6098" spans="1:11" x14ac:dyDescent="0.2">
      <c r="A6098" s="2">
        <v>1526</v>
      </c>
      <c r="B6098" s="2">
        <v>10</v>
      </c>
      <c r="C6098" s="2">
        <v>38566461</v>
      </c>
      <c r="D6098" s="2">
        <v>42392742</v>
      </c>
      <c r="E6098" s="2">
        <v>2</v>
      </c>
      <c r="F6098" s="2" t="s">
        <v>10086</v>
      </c>
      <c r="H6098" s="2">
        <v>1.5E-3</v>
      </c>
      <c r="K6098" s="2" t="s">
        <v>10085</v>
      </c>
    </row>
    <row r="6099" spans="1:11" x14ac:dyDescent="0.2">
      <c r="A6099" s="2">
        <v>1526</v>
      </c>
      <c r="B6099" s="2">
        <v>10</v>
      </c>
      <c r="C6099" s="2">
        <v>38566461</v>
      </c>
      <c r="D6099" s="2">
        <v>42392742</v>
      </c>
      <c r="E6099" s="2">
        <v>3</v>
      </c>
      <c r="F6099" s="2" t="s">
        <v>10086</v>
      </c>
      <c r="H6099" s="2">
        <v>1.1999999999999999E-3</v>
      </c>
      <c r="K6099" s="2" t="s">
        <v>10089</v>
      </c>
    </row>
    <row r="6100" spans="1:11" x14ac:dyDescent="0.2">
      <c r="A6100" s="2">
        <v>1526</v>
      </c>
      <c r="B6100" s="2">
        <v>10</v>
      </c>
      <c r="C6100" s="2">
        <v>38566461</v>
      </c>
      <c r="D6100" s="2">
        <v>42392742</v>
      </c>
      <c r="E6100" s="2">
        <v>4</v>
      </c>
      <c r="F6100" s="2" t="s">
        <v>10086</v>
      </c>
      <c r="H6100" s="3">
        <v>2.0000000000000001E-4</v>
      </c>
      <c r="K6100" s="2" t="s">
        <v>10088</v>
      </c>
    </row>
    <row r="6101" spans="1:11" x14ac:dyDescent="0.2">
      <c r="A6101" s="2">
        <v>1527</v>
      </c>
      <c r="B6101" s="2">
        <v>10</v>
      </c>
      <c r="C6101" s="2">
        <v>42392743</v>
      </c>
      <c r="D6101" s="2">
        <v>42984427</v>
      </c>
      <c r="E6101" s="2">
        <v>1</v>
      </c>
      <c r="F6101" s="2" t="s">
        <v>10086</v>
      </c>
      <c r="H6101" s="2">
        <v>3.3E-3</v>
      </c>
      <c r="K6101" s="2" t="s">
        <v>10087</v>
      </c>
    </row>
    <row r="6102" spans="1:11" x14ac:dyDescent="0.2">
      <c r="A6102" s="2">
        <v>1527</v>
      </c>
      <c r="B6102" s="2">
        <v>10</v>
      </c>
      <c r="C6102" s="2">
        <v>42392743</v>
      </c>
      <c r="D6102" s="2">
        <v>42984427</v>
      </c>
      <c r="E6102" s="2">
        <v>2</v>
      </c>
      <c r="F6102" s="2" t="s">
        <v>10086</v>
      </c>
      <c r="H6102" s="2">
        <v>1.1000000000000001E-3</v>
      </c>
      <c r="K6102" s="2" t="s">
        <v>10085</v>
      </c>
    </row>
    <row r="6103" spans="1:11" x14ac:dyDescent="0.2">
      <c r="A6103" s="2">
        <v>1527</v>
      </c>
      <c r="B6103" s="2">
        <v>10</v>
      </c>
      <c r="C6103" s="2">
        <v>42392743</v>
      </c>
      <c r="D6103" s="2">
        <v>42984427</v>
      </c>
      <c r="E6103" s="2">
        <v>3</v>
      </c>
      <c r="F6103" s="2" t="s">
        <v>10086</v>
      </c>
      <c r="H6103" s="3">
        <v>6.9999999999999999E-4</v>
      </c>
      <c r="K6103" s="2" t="s">
        <v>10089</v>
      </c>
    </row>
    <row r="6104" spans="1:11" x14ac:dyDescent="0.2">
      <c r="A6104" s="2">
        <v>1527</v>
      </c>
      <c r="B6104" s="2">
        <v>10</v>
      </c>
      <c r="C6104" s="2">
        <v>42392743</v>
      </c>
      <c r="D6104" s="2">
        <v>42984427</v>
      </c>
      <c r="E6104" s="2">
        <v>4</v>
      </c>
      <c r="F6104" s="2" t="s">
        <v>10086</v>
      </c>
      <c r="H6104" s="3">
        <v>2.0000000000000001E-4</v>
      </c>
      <c r="K6104" s="2" t="s">
        <v>10088</v>
      </c>
    </row>
    <row r="6105" spans="1:11" x14ac:dyDescent="0.2">
      <c r="A6105" s="2">
        <v>1528</v>
      </c>
      <c r="B6105" s="2">
        <v>10</v>
      </c>
      <c r="C6105" s="2">
        <v>42984428</v>
      </c>
      <c r="D6105" s="2">
        <v>43769842</v>
      </c>
      <c r="E6105" s="2">
        <v>1</v>
      </c>
      <c r="F6105" s="2" t="s">
        <v>10086</v>
      </c>
      <c r="H6105" s="2">
        <v>4.0000000000000001E-3</v>
      </c>
      <c r="K6105" s="2" t="s">
        <v>10087</v>
      </c>
    </row>
    <row r="6106" spans="1:11" x14ac:dyDescent="0.2">
      <c r="A6106" s="2">
        <v>1528</v>
      </c>
      <c r="B6106" s="2">
        <v>10</v>
      </c>
      <c r="C6106" s="2">
        <v>42984428</v>
      </c>
      <c r="D6106" s="2">
        <v>43769842</v>
      </c>
      <c r="E6106" s="2">
        <v>2</v>
      </c>
      <c r="F6106" s="2" t="s">
        <v>10086</v>
      </c>
      <c r="H6106" s="2">
        <v>1.2999999999999999E-3</v>
      </c>
      <c r="K6106" s="2" t="s">
        <v>12324</v>
      </c>
    </row>
    <row r="6107" spans="1:11" x14ac:dyDescent="0.2">
      <c r="A6107" s="2">
        <v>1528</v>
      </c>
      <c r="B6107" s="2">
        <v>10</v>
      </c>
      <c r="C6107" s="2">
        <v>42984428</v>
      </c>
      <c r="D6107" s="2">
        <v>43769842</v>
      </c>
      <c r="E6107" s="2">
        <v>3</v>
      </c>
      <c r="F6107" s="2" t="s">
        <v>10086</v>
      </c>
      <c r="H6107" s="3">
        <v>8.9999999999999998E-4</v>
      </c>
      <c r="K6107" s="2" t="s">
        <v>10089</v>
      </c>
    </row>
    <row r="6108" spans="1:11" x14ac:dyDescent="0.2">
      <c r="A6108" s="2">
        <v>1528</v>
      </c>
      <c r="B6108" s="2">
        <v>10</v>
      </c>
      <c r="C6108" s="2">
        <v>42984428</v>
      </c>
      <c r="D6108" s="2">
        <v>43769842</v>
      </c>
      <c r="E6108" s="2">
        <v>4</v>
      </c>
      <c r="F6108" s="2" t="s">
        <v>10086</v>
      </c>
      <c r="H6108" s="3">
        <v>6.9999999999999999E-4</v>
      </c>
      <c r="K6108" s="2" t="s">
        <v>10085</v>
      </c>
    </row>
    <row r="6109" spans="1:11" x14ac:dyDescent="0.2">
      <c r="A6109" s="2">
        <v>1529</v>
      </c>
      <c r="B6109" s="2">
        <v>10</v>
      </c>
      <c r="C6109" s="2">
        <v>43769843</v>
      </c>
      <c r="D6109" s="2">
        <v>44893846</v>
      </c>
      <c r="E6109" s="2">
        <v>1</v>
      </c>
      <c r="F6109" s="2" t="s">
        <v>10086</v>
      </c>
      <c r="H6109" s="2">
        <v>3.0000000000000001E-3</v>
      </c>
      <c r="K6109" s="2" t="s">
        <v>10088</v>
      </c>
    </row>
    <row r="6110" spans="1:11" x14ac:dyDescent="0.2">
      <c r="A6110" s="2">
        <v>1529</v>
      </c>
      <c r="B6110" s="2">
        <v>10</v>
      </c>
      <c r="C6110" s="2">
        <v>43769843</v>
      </c>
      <c r="D6110" s="2">
        <v>44893846</v>
      </c>
      <c r="E6110" s="2">
        <v>2</v>
      </c>
      <c r="F6110" s="2" t="s">
        <v>10086</v>
      </c>
      <c r="H6110" s="2">
        <v>1.4E-3</v>
      </c>
      <c r="K6110" s="2" t="s">
        <v>10087</v>
      </c>
    </row>
    <row r="6111" spans="1:11" x14ac:dyDescent="0.2">
      <c r="A6111" s="2">
        <v>1529</v>
      </c>
      <c r="B6111" s="2">
        <v>10</v>
      </c>
      <c r="C6111" s="2">
        <v>43769843</v>
      </c>
      <c r="D6111" s="2">
        <v>44893846</v>
      </c>
      <c r="E6111" s="2">
        <v>3</v>
      </c>
      <c r="F6111" s="2" t="s">
        <v>10086</v>
      </c>
      <c r="H6111" s="2">
        <v>1.1000000000000001E-3</v>
      </c>
      <c r="K6111" s="2" t="s">
        <v>10085</v>
      </c>
    </row>
    <row r="6112" spans="1:11" x14ac:dyDescent="0.2">
      <c r="A6112" s="2">
        <v>1529</v>
      </c>
      <c r="B6112" s="2">
        <v>10</v>
      </c>
      <c r="C6112" s="2">
        <v>43769843</v>
      </c>
      <c r="D6112" s="2">
        <v>44893846</v>
      </c>
      <c r="E6112" s="2">
        <v>4</v>
      </c>
      <c r="F6112" s="2" t="s">
        <v>10086</v>
      </c>
      <c r="H6112" s="3">
        <v>5.0000000000000001E-4</v>
      </c>
      <c r="K6112" s="2" t="s">
        <v>10089</v>
      </c>
    </row>
    <row r="6113" spans="1:11" x14ac:dyDescent="0.2">
      <c r="A6113" s="2">
        <v>1530</v>
      </c>
      <c r="B6113" s="2">
        <v>10</v>
      </c>
      <c r="C6113" s="2">
        <v>44893847</v>
      </c>
      <c r="D6113" s="2">
        <v>46327144</v>
      </c>
      <c r="E6113" s="2">
        <v>1</v>
      </c>
      <c r="F6113" s="2" t="s">
        <v>10086</v>
      </c>
      <c r="H6113" s="2">
        <v>1.5E-3</v>
      </c>
      <c r="K6113" s="2" t="s">
        <v>10088</v>
      </c>
    </row>
    <row r="6114" spans="1:11" x14ac:dyDescent="0.2">
      <c r="A6114" s="2">
        <v>1530</v>
      </c>
      <c r="B6114" s="2">
        <v>10</v>
      </c>
      <c r="C6114" s="2">
        <v>44893847</v>
      </c>
      <c r="D6114" s="2">
        <v>46327144</v>
      </c>
      <c r="E6114" s="2">
        <v>2</v>
      </c>
      <c r="F6114" s="2" t="s">
        <v>10086</v>
      </c>
      <c r="H6114" s="2">
        <v>1.4E-3</v>
      </c>
      <c r="K6114" s="2" t="s">
        <v>10089</v>
      </c>
    </row>
    <row r="6115" spans="1:11" x14ac:dyDescent="0.2">
      <c r="A6115" s="2">
        <v>1530</v>
      </c>
      <c r="B6115" s="2">
        <v>10</v>
      </c>
      <c r="C6115" s="2">
        <v>44893847</v>
      </c>
      <c r="D6115" s="2">
        <v>46327144</v>
      </c>
      <c r="E6115" s="2">
        <v>3</v>
      </c>
      <c r="F6115" s="2" t="s">
        <v>10086</v>
      </c>
      <c r="H6115" s="2">
        <v>1E-3</v>
      </c>
      <c r="K6115" s="2" t="s">
        <v>10087</v>
      </c>
    </row>
    <row r="6116" spans="1:11" x14ac:dyDescent="0.2">
      <c r="A6116" s="2">
        <v>1530</v>
      </c>
      <c r="B6116" s="2">
        <v>10</v>
      </c>
      <c r="C6116" s="2">
        <v>44893847</v>
      </c>
      <c r="D6116" s="2">
        <v>46327144</v>
      </c>
      <c r="E6116" s="2">
        <v>4</v>
      </c>
      <c r="F6116" s="2" t="s">
        <v>10086</v>
      </c>
      <c r="H6116" s="3">
        <v>4.0000000000000002E-4</v>
      </c>
      <c r="K6116" s="2" t="s">
        <v>10085</v>
      </c>
    </row>
    <row r="6117" spans="1:11" x14ac:dyDescent="0.2">
      <c r="A6117" s="2">
        <v>1531</v>
      </c>
      <c r="B6117" s="2">
        <v>10</v>
      </c>
      <c r="C6117" s="2">
        <v>46327145</v>
      </c>
      <c r="D6117" s="2">
        <v>49197320</v>
      </c>
      <c r="E6117" s="2">
        <v>1</v>
      </c>
      <c r="F6117" s="2" t="s">
        <v>10086</v>
      </c>
      <c r="H6117" s="3">
        <v>8.9999999999999998E-4</v>
      </c>
      <c r="K6117" s="2" t="s">
        <v>10088</v>
      </c>
    </row>
    <row r="6118" spans="1:11" x14ac:dyDescent="0.2">
      <c r="A6118" s="2">
        <v>1531</v>
      </c>
      <c r="B6118" s="2">
        <v>10</v>
      </c>
      <c r="C6118" s="2">
        <v>46327145</v>
      </c>
      <c r="D6118" s="2">
        <v>49197320</v>
      </c>
      <c r="E6118" s="2">
        <v>2</v>
      </c>
      <c r="F6118" s="2" t="s">
        <v>10086</v>
      </c>
      <c r="H6118" s="3">
        <v>5.0000000000000001E-4</v>
      </c>
      <c r="K6118" s="2" t="s">
        <v>10087</v>
      </c>
    </row>
    <row r="6119" spans="1:11" x14ac:dyDescent="0.2">
      <c r="A6119" s="2">
        <v>1531</v>
      </c>
      <c r="B6119" s="2">
        <v>10</v>
      </c>
      <c r="C6119" s="2">
        <v>46327145</v>
      </c>
      <c r="D6119" s="2">
        <v>49197320</v>
      </c>
      <c r="E6119" s="2">
        <v>3</v>
      </c>
      <c r="F6119" s="2" t="s">
        <v>10086</v>
      </c>
      <c r="H6119" s="3">
        <v>8.0000000000000004E-4</v>
      </c>
      <c r="K6119" s="2" t="s">
        <v>10089</v>
      </c>
    </row>
    <row r="6120" spans="1:11" x14ac:dyDescent="0.2">
      <c r="A6120" s="2">
        <v>1531</v>
      </c>
      <c r="B6120" s="2">
        <v>10</v>
      </c>
      <c r="C6120" s="2">
        <v>46327145</v>
      </c>
      <c r="D6120" s="2">
        <v>49197320</v>
      </c>
      <c r="E6120" s="2">
        <v>4</v>
      </c>
      <c r="F6120" s="2" t="s">
        <v>10086</v>
      </c>
      <c r="H6120" s="3">
        <v>2.9999999999999997E-4</v>
      </c>
      <c r="K6120" s="2" t="s">
        <v>10085</v>
      </c>
    </row>
    <row r="6121" spans="1:11" x14ac:dyDescent="0.2">
      <c r="A6121" s="2">
        <v>1532</v>
      </c>
      <c r="B6121" s="2">
        <v>10</v>
      </c>
      <c r="C6121" s="2">
        <v>49197321</v>
      </c>
      <c r="D6121" s="2">
        <v>50145673</v>
      </c>
      <c r="E6121" s="2">
        <v>1</v>
      </c>
      <c r="F6121" s="2" t="s">
        <v>10086</v>
      </c>
      <c r="H6121" s="2">
        <v>1.6999999999999999E-3</v>
      </c>
      <c r="K6121" s="2" t="s">
        <v>10089</v>
      </c>
    </row>
    <row r="6122" spans="1:11" x14ac:dyDescent="0.2">
      <c r="A6122" s="2">
        <v>1532</v>
      </c>
      <c r="B6122" s="2">
        <v>10</v>
      </c>
      <c r="C6122" s="2">
        <v>49197321</v>
      </c>
      <c r="D6122" s="2">
        <v>50145673</v>
      </c>
      <c r="E6122" s="2">
        <v>2</v>
      </c>
      <c r="F6122" s="2" t="s">
        <v>10086</v>
      </c>
      <c r="H6122" s="2">
        <v>1.1000000000000001E-3</v>
      </c>
      <c r="K6122" s="2" t="s">
        <v>12324</v>
      </c>
    </row>
    <row r="6123" spans="1:11" x14ac:dyDescent="0.2">
      <c r="A6123" s="2">
        <v>1532</v>
      </c>
      <c r="B6123" s="2">
        <v>10</v>
      </c>
      <c r="C6123" s="2">
        <v>49197321</v>
      </c>
      <c r="D6123" s="2">
        <v>50145673</v>
      </c>
      <c r="E6123" s="2">
        <v>3</v>
      </c>
      <c r="F6123" s="2" t="s">
        <v>10086</v>
      </c>
      <c r="H6123" s="3">
        <v>8.0000000000000004E-4</v>
      </c>
      <c r="K6123" s="2" t="s">
        <v>10087</v>
      </c>
    </row>
    <row r="6124" spans="1:11" x14ac:dyDescent="0.2">
      <c r="A6124" s="2">
        <v>1532</v>
      </c>
      <c r="B6124" s="2">
        <v>10</v>
      </c>
      <c r="C6124" s="2">
        <v>49197321</v>
      </c>
      <c r="D6124" s="2">
        <v>50145673</v>
      </c>
      <c r="E6124" s="2">
        <v>4</v>
      </c>
      <c r="F6124" s="2" t="s">
        <v>10086</v>
      </c>
      <c r="H6124" s="3">
        <v>5.0000000000000001E-4</v>
      </c>
      <c r="K6124" s="2" t="s">
        <v>10088</v>
      </c>
    </row>
    <row r="6125" spans="1:11" x14ac:dyDescent="0.2">
      <c r="A6125" s="2">
        <v>1533</v>
      </c>
      <c r="B6125" s="2">
        <v>10</v>
      </c>
      <c r="C6125" s="2">
        <v>50145674</v>
      </c>
      <c r="D6125" s="2">
        <v>51724039</v>
      </c>
      <c r="E6125" s="2">
        <v>1</v>
      </c>
      <c r="F6125" s="2" t="s">
        <v>10086</v>
      </c>
      <c r="H6125" s="2">
        <v>3.0000000000000001E-3</v>
      </c>
      <c r="K6125" s="2" t="s">
        <v>10089</v>
      </c>
    </row>
    <row r="6126" spans="1:11" x14ac:dyDescent="0.2">
      <c r="A6126" s="2">
        <v>1533</v>
      </c>
      <c r="B6126" s="2">
        <v>10</v>
      </c>
      <c r="C6126" s="2">
        <v>50145674</v>
      </c>
      <c r="D6126" s="2">
        <v>51724039</v>
      </c>
      <c r="E6126" s="2">
        <v>2</v>
      </c>
      <c r="F6126" s="2" t="s">
        <v>10086</v>
      </c>
      <c r="H6126" s="2">
        <v>2.0999999999999999E-3</v>
      </c>
      <c r="K6126" s="2" t="s">
        <v>10085</v>
      </c>
    </row>
    <row r="6127" spans="1:11" x14ac:dyDescent="0.2">
      <c r="A6127" s="2">
        <v>1533</v>
      </c>
      <c r="B6127" s="2">
        <v>10</v>
      </c>
      <c r="C6127" s="2">
        <v>50145674</v>
      </c>
      <c r="D6127" s="2">
        <v>51724039</v>
      </c>
      <c r="E6127" s="2">
        <v>3</v>
      </c>
      <c r="F6127" s="2" t="s">
        <v>10086</v>
      </c>
      <c r="H6127" s="2">
        <v>1.1000000000000001E-3</v>
      </c>
      <c r="K6127" s="2" t="s">
        <v>10088</v>
      </c>
    </row>
    <row r="6128" spans="1:11" x14ac:dyDescent="0.2">
      <c r="A6128" s="2">
        <v>1533</v>
      </c>
      <c r="B6128" s="2">
        <v>10</v>
      </c>
      <c r="C6128" s="2">
        <v>50145674</v>
      </c>
      <c r="D6128" s="2">
        <v>51724039</v>
      </c>
      <c r="E6128" s="2">
        <v>4</v>
      </c>
      <c r="F6128" s="2" t="s">
        <v>10086</v>
      </c>
      <c r="H6128" s="3">
        <v>5.9999999999999995E-4</v>
      </c>
      <c r="K6128" s="2" t="s">
        <v>10087</v>
      </c>
    </row>
    <row r="6129" spans="1:11" x14ac:dyDescent="0.2">
      <c r="A6129" s="2">
        <v>1534</v>
      </c>
      <c r="B6129" s="2">
        <v>10</v>
      </c>
      <c r="C6129" s="2">
        <v>51724040</v>
      </c>
      <c r="D6129" s="2">
        <v>53129609</v>
      </c>
      <c r="E6129" s="2">
        <v>1</v>
      </c>
      <c r="F6129" s="2" t="s">
        <v>10086</v>
      </c>
      <c r="H6129" s="2">
        <v>2.8999999999999998E-3</v>
      </c>
      <c r="K6129" s="2" t="s">
        <v>10088</v>
      </c>
    </row>
    <row r="6130" spans="1:11" x14ac:dyDescent="0.2">
      <c r="A6130" s="2">
        <v>1534</v>
      </c>
      <c r="B6130" s="2">
        <v>10</v>
      </c>
      <c r="C6130" s="2">
        <v>51724040</v>
      </c>
      <c r="D6130" s="2">
        <v>53129609</v>
      </c>
      <c r="E6130" s="2">
        <v>2</v>
      </c>
      <c r="F6130" s="2" t="s">
        <v>10086</v>
      </c>
      <c r="H6130" s="2">
        <v>2.3999999999999998E-3</v>
      </c>
      <c r="K6130" s="2" t="s">
        <v>10089</v>
      </c>
    </row>
    <row r="6131" spans="1:11" x14ac:dyDescent="0.2">
      <c r="A6131" s="2">
        <v>1534</v>
      </c>
      <c r="B6131" s="2">
        <v>10</v>
      </c>
      <c r="C6131" s="2">
        <v>51724040</v>
      </c>
      <c r="D6131" s="2">
        <v>53129609</v>
      </c>
      <c r="E6131" s="2">
        <v>3</v>
      </c>
      <c r="F6131" s="2" t="s">
        <v>10086</v>
      </c>
      <c r="H6131" s="2">
        <v>1.4E-3</v>
      </c>
      <c r="K6131" s="2" t="s">
        <v>10085</v>
      </c>
    </row>
    <row r="6132" spans="1:11" x14ac:dyDescent="0.2">
      <c r="A6132" s="2">
        <v>1534</v>
      </c>
      <c r="B6132" s="2">
        <v>10</v>
      </c>
      <c r="C6132" s="2">
        <v>51724040</v>
      </c>
      <c r="D6132" s="2">
        <v>53129609</v>
      </c>
      <c r="E6132" s="2">
        <v>4</v>
      </c>
      <c r="F6132" s="2" t="s">
        <v>10086</v>
      </c>
      <c r="H6132" s="3">
        <v>5.0000000000000001E-4</v>
      </c>
      <c r="K6132" s="2" t="s">
        <v>10087</v>
      </c>
    </row>
    <row r="6133" spans="1:11" x14ac:dyDescent="0.2">
      <c r="A6133" s="2">
        <v>1535</v>
      </c>
      <c r="B6133" s="2">
        <v>10</v>
      </c>
      <c r="C6133" s="2">
        <v>53129610</v>
      </c>
      <c r="D6133" s="2">
        <v>53919161</v>
      </c>
      <c r="E6133" s="2">
        <v>1</v>
      </c>
      <c r="F6133" s="2" t="s">
        <v>10086</v>
      </c>
      <c r="H6133" s="2">
        <v>1.1999999999999999E-3</v>
      </c>
      <c r="K6133" s="2" t="s">
        <v>10087</v>
      </c>
    </row>
    <row r="6134" spans="1:11" x14ac:dyDescent="0.2">
      <c r="A6134" s="2">
        <v>1535</v>
      </c>
      <c r="B6134" s="2">
        <v>10</v>
      </c>
      <c r="C6134" s="2">
        <v>53129610</v>
      </c>
      <c r="D6134" s="2">
        <v>53919161</v>
      </c>
      <c r="E6134" s="2">
        <v>2</v>
      </c>
      <c r="F6134" s="2" t="s">
        <v>10086</v>
      </c>
      <c r="H6134" s="3">
        <v>6.9999999999999999E-4</v>
      </c>
      <c r="K6134" s="2" t="s">
        <v>10085</v>
      </c>
    </row>
    <row r="6135" spans="1:11" x14ac:dyDescent="0.2">
      <c r="A6135" s="2">
        <v>1535</v>
      </c>
      <c r="B6135" s="2">
        <v>10</v>
      </c>
      <c r="C6135" s="2">
        <v>53129610</v>
      </c>
      <c r="D6135" s="2">
        <v>53919161</v>
      </c>
      <c r="E6135" s="2">
        <v>3</v>
      </c>
      <c r="F6135" s="2" t="s">
        <v>10086</v>
      </c>
      <c r="H6135" s="3">
        <v>6.9999999999999999E-4</v>
      </c>
      <c r="K6135" s="2" t="s">
        <v>10088</v>
      </c>
    </row>
    <row r="6136" spans="1:11" x14ac:dyDescent="0.2">
      <c r="A6136" s="2">
        <v>1535</v>
      </c>
      <c r="B6136" s="2">
        <v>10</v>
      </c>
      <c r="C6136" s="2">
        <v>53129610</v>
      </c>
      <c r="D6136" s="2">
        <v>53919161</v>
      </c>
      <c r="E6136" s="2">
        <v>4</v>
      </c>
      <c r="F6136" s="2" t="s">
        <v>10086</v>
      </c>
      <c r="H6136" s="3">
        <v>2.0000000000000001E-4</v>
      </c>
      <c r="K6136" s="2" t="s">
        <v>10089</v>
      </c>
    </row>
    <row r="6137" spans="1:11" x14ac:dyDescent="0.2">
      <c r="A6137" s="2">
        <v>1536</v>
      </c>
      <c r="B6137" s="2">
        <v>10</v>
      </c>
      <c r="C6137" s="2">
        <v>53919162</v>
      </c>
      <c r="D6137" s="2">
        <v>55104428</v>
      </c>
      <c r="E6137" s="2">
        <v>1</v>
      </c>
      <c r="F6137" s="2" t="s">
        <v>10086</v>
      </c>
      <c r="H6137" s="2">
        <v>1.4E-3</v>
      </c>
      <c r="K6137" s="2" t="s">
        <v>10087</v>
      </c>
    </row>
    <row r="6138" spans="1:11" x14ac:dyDescent="0.2">
      <c r="A6138" s="2">
        <v>1536</v>
      </c>
      <c r="B6138" s="2">
        <v>10</v>
      </c>
      <c r="C6138" s="2">
        <v>53919162</v>
      </c>
      <c r="D6138" s="2">
        <v>55104428</v>
      </c>
      <c r="E6138" s="2">
        <v>2</v>
      </c>
      <c r="F6138" s="2" t="s">
        <v>10086</v>
      </c>
      <c r="H6138" s="2">
        <v>1.5E-3</v>
      </c>
      <c r="K6138" s="2" t="s">
        <v>10089</v>
      </c>
    </row>
    <row r="6139" spans="1:11" x14ac:dyDescent="0.2">
      <c r="A6139" s="2">
        <v>1536</v>
      </c>
      <c r="B6139" s="2">
        <v>10</v>
      </c>
      <c r="C6139" s="2">
        <v>53919162</v>
      </c>
      <c r="D6139" s="2">
        <v>55104428</v>
      </c>
      <c r="E6139" s="2">
        <v>3</v>
      </c>
      <c r="F6139" s="2" t="s">
        <v>10086</v>
      </c>
      <c r="H6139" s="2">
        <v>1.1000000000000001E-3</v>
      </c>
      <c r="K6139" s="2" t="s">
        <v>10088</v>
      </c>
    </row>
    <row r="6140" spans="1:11" x14ac:dyDescent="0.2">
      <c r="A6140" s="2">
        <v>1536</v>
      </c>
      <c r="B6140" s="2">
        <v>10</v>
      </c>
      <c r="C6140" s="2">
        <v>53919162</v>
      </c>
      <c r="D6140" s="2">
        <v>55104428</v>
      </c>
      <c r="E6140" s="2">
        <v>4</v>
      </c>
      <c r="F6140" s="2" t="s">
        <v>10086</v>
      </c>
      <c r="H6140" s="3">
        <v>5.9999999999999995E-4</v>
      </c>
      <c r="K6140" s="2" t="s">
        <v>10085</v>
      </c>
    </row>
    <row r="6141" spans="1:11" x14ac:dyDescent="0.2">
      <c r="A6141" s="2">
        <v>1537</v>
      </c>
      <c r="B6141" s="2">
        <v>10</v>
      </c>
      <c r="C6141" s="2">
        <v>55104429</v>
      </c>
      <c r="D6141" s="2">
        <v>55867694</v>
      </c>
      <c r="E6141" s="2">
        <v>1</v>
      </c>
      <c r="F6141" s="2" t="s">
        <v>10086</v>
      </c>
      <c r="H6141" s="3">
        <v>8.9999999999999998E-4</v>
      </c>
      <c r="K6141" s="2" t="s">
        <v>10088</v>
      </c>
    </row>
    <row r="6142" spans="1:11" x14ac:dyDescent="0.2">
      <c r="A6142" s="2">
        <v>1537</v>
      </c>
      <c r="B6142" s="2">
        <v>10</v>
      </c>
      <c r="C6142" s="2">
        <v>55104429</v>
      </c>
      <c r="D6142" s="2">
        <v>55867694</v>
      </c>
      <c r="E6142" s="2">
        <v>2</v>
      </c>
      <c r="F6142" s="2" t="s">
        <v>10086</v>
      </c>
      <c r="H6142" s="2">
        <v>1E-3</v>
      </c>
      <c r="K6142" s="2" t="s">
        <v>10089</v>
      </c>
    </row>
    <row r="6143" spans="1:11" x14ac:dyDescent="0.2">
      <c r="A6143" s="2">
        <v>1537</v>
      </c>
      <c r="B6143" s="2">
        <v>10</v>
      </c>
      <c r="C6143" s="2">
        <v>55104429</v>
      </c>
      <c r="D6143" s="2">
        <v>55867694</v>
      </c>
      <c r="E6143" s="2">
        <v>3</v>
      </c>
      <c r="F6143" s="2" t="s">
        <v>10086</v>
      </c>
      <c r="H6143" s="3">
        <v>8.0000000000000004E-4</v>
      </c>
      <c r="K6143" s="2" t="s">
        <v>10085</v>
      </c>
    </row>
    <row r="6144" spans="1:11" x14ac:dyDescent="0.2">
      <c r="A6144" s="2">
        <v>1537</v>
      </c>
      <c r="B6144" s="2">
        <v>10</v>
      </c>
      <c r="C6144" s="2">
        <v>55104429</v>
      </c>
      <c r="D6144" s="2">
        <v>55867694</v>
      </c>
      <c r="E6144" s="2">
        <v>4</v>
      </c>
      <c r="F6144" s="2" t="s">
        <v>10086</v>
      </c>
      <c r="H6144" s="3">
        <v>4.0000000000000002E-4</v>
      </c>
      <c r="K6144" s="2" t="s">
        <v>10087</v>
      </c>
    </row>
    <row r="6145" spans="1:11" x14ac:dyDescent="0.2">
      <c r="A6145" s="2">
        <v>1538</v>
      </c>
      <c r="B6145" s="2">
        <v>10</v>
      </c>
      <c r="C6145" s="2">
        <v>55867695</v>
      </c>
      <c r="D6145" s="2">
        <v>57044845</v>
      </c>
      <c r="E6145" s="2">
        <v>1</v>
      </c>
      <c r="F6145" s="2" t="s">
        <v>10086</v>
      </c>
      <c r="H6145" s="2">
        <v>1.6999999999999999E-3</v>
      </c>
      <c r="K6145" s="2" t="s">
        <v>10089</v>
      </c>
    </row>
    <row r="6146" spans="1:11" x14ac:dyDescent="0.2">
      <c r="A6146" s="2">
        <v>1538</v>
      </c>
      <c r="B6146" s="2">
        <v>10</v>
      </c>
      <c r="C6146" s="2">
        <v>55867695</v>
      </c>
      <c r="D6146" s="2">
        <v>57044845</v>
      </c>
      <c r="E6146" s="2">
        <v>2</v>
      </c>
      <c r="F6146" s="2" t="s">
        <v>10086</v>
      </c>
      <c r="H6146" s="2">
        <v>1.2999999999999999E-3</v>
      </c>
      <c r="K6146" s="2" t="s">
        <v>10085</v>
      </c>
    </row>
    <row r="6147" spans="1:11" x14ac:dyDescent="0.2">
      <c r="A6147" s="2">
        <v>1538</v>
      </c>
      <c r="B6147" s="2">
        <v>10</v>
      </c>
      <c r="C6147" s="2">
        <v>55867695</v>
      </c>
      <c r="D6147" s="2">
        <v>57044845</v>
      </c>
      <c r="E6147" s="2">
        <v>3</v>
      </c>
      <c r="F6147" s="2" t="s">
        <v>10086</v>
      </c>
      <c r="H6147" s="2">
        <v>1.1999999999999999E-3</v>
      </c>
      <c r="K6147" s="2" t="s">
        <v>10088</v>
      </c>
    </row>
    <row r="6148" spans="1:11" x14ac:dyDescent="0.2">
      <c r="A6148" s="2">
        <v>1538</v>
      </c>
      <c r="B6148" s="2">
        <v>10</v>
      </c>
      <c r="C6148" s="2">
        <v>55867695</v>
      </c>
      <c r="D6148" s="2">
        <v>57044845</v>
      </c>
      <c r="E6148" s="2">
        <v>4</v>
      </c>
      <c r="F6148" s="2" t="s">
        <v>10086</v>
      </c>
      <c r="H6148" s="3">
        <v>4.0000000000000002E-4</v>
      </c>
      <c r="K6148" s="2" t="s">
        <v>10087</v>
      </c>
    </row>
    <row r="6149" spans="1:11" x14ac:dyDescent="0.2">
      <c r="A6149" s="2">
        <v>1539</v>
      </c>
      <c r="B6149" s="2">
        <v>10</v>
      </c>
      <c r="C6149" s="2">
        <v>57044846</v>
      </c>
      <c r="D6149" s="2">
        <v>57955671</v>
      </c>
      <c r="E6149" s="2">
        <v>1</v>
      </c>
      <c r="F6149" s="2" t="s">
        <v>10086</v>
      </c>
      <c r="H6149" s="2">
        <v>2.5000000000000001E-3</v>
      </c>
      <c r="K6149" s="2" t="s">
        <v>10085</v>
      </c>
    </row>
    <row r="6150" spans="1:11" x14ac:dyDescent="0.2">
      <c r="A6150" s="2">
        <v>1539</v>
      </c>
      <c r="B6150" s="2">
        <v>10</v>
      </c>
      <c r="C6150" s="2">
        <v>57044846</v>
      </c>
      <c r="D6150" s="2">
        <v>57955671</v>
      </c>
      <c r="E6150" s="2">
        <v>2</v>
      </c>
      <c r="F6150" s="2" t="s">
        <v>10086</v>
      </c>
      <c r="H6150" s="2">
        <v>1.6000000000000001E-3</v>
      </c>
      <c r="K6150" s="2" t="s">
        <v>10088</v>
      </c>
    </row>
    <row r="6151" spans="1:11" x14ac:dyDescent="0.2">
      <c r="A6151" s="2">
        <v>1539</v>
      </c>
      <c r="B6151" s="2">
        <v>10</v>
      </c>
      <c r="C6151" s="2">
        <v>57044846</v>
      </c>
      <c r="D6151" s="2">
        <v>57955671</v>
      </c>
      <c r="E6151" s="2">
        <v>3</v>
      </c>
      <c r="F6151" s="2" t="s">
        <v>10086</v>
      </c>
      <c r="H6151" s="3">
        <v>4.0000000000000002E-4</v>
      </c>
      <c r="K6151" s="2" t="s">
        <v>10089</v>
      </c>
    </row>
    <row r="6152" spans="1:11" x14ac:dyDescent="0.2">
      <c r="A6152" s="2">
        <v>1539</v>
      </c>
      <c r="B6152" s="2">
        <v>10</v>
      </c>
      <c r="C6152" s="2">
        <v>57044846</v>
      </c>
      <c r="D6152" s="2">
        <v>57955671</v>
      </c>
      <c r="E6152" s="2">
        <v>4</v>
      </c>
      <c r="F6152" s="2" t="s">
        <v>10086</v>
      </c>
      <c r="H6152" s="3">
        <v>2.0000000000000001E-4</v>
      </c>
      <c r="K6152" s="2" t="s">
        <v>10087</v>
      </c>
    </row>
    <row r="6153" spans="1:11" x14ac:dyDescent="0.2">
      <c r="A6153" s="2">
        <v>1540</v>
      </c>
      <c r="B6153" s="2">
        <v>10</v>
      </c>
      <c r="C6153" s="2">
        <v>57955672</v>
      </c>
      <c r="D6153" s="2">
        <v>58809133</v>
      </c>
      <c r="E6153" s="2">
        <v>1</v>
      </c>
      <c r="F6153" s="2" t="s">
        <v>10086</v>
      </c>
      <c r="H6153" s="2">
        <v>1.1000000000000001E-3</v>
      </c>
      <c r="K6153" s="2" t="s">
        <v>10085</v>
      </c>
    </row>
    <row r="6154" spans="1:11" x14ac:dyDescent="0.2">
      <c r="A6154" s="2">
        <v>1540</v>
      </c>
      <c r="B6154" s="2">
        <v>10</v>
      </c>
      <c r="C6154" s="2">
        <v>57955672</v>
      </c>
      <c r="D6154" s="2">
        <v>58809133</v>
      </c>
      <c r="E6154" s="2">
        <v>2</v>
      </c>
      <c r="F6154" s="2" t="s">
        <v>10086</v>
      </c>
      <c r="H6154" s="3">
        <v>8.9999999999999998E-4</v>
      </c>
      <c r="K6154" s="2" t="s">
        <v>10087</v>
      </c>
    </row>
    <row r="6155" spans="1:11" x14ac:dyDescent="0.2">
      <c r="A6155" s="2">
        <v>1540</v>
      </c>
      <c r="B6155" s="2">
        <v>10</v>
      </c>
      <c r="C6155" s="2">
        <v>57955672</v>
      </c>
      <c r="D6155" s="2">
        <v>58809133</v>
      </c>
      <c r="E6155" s="2">
        <v>3</v>
      </c>
      <c r="F6155" s="2" t="s">
        <v>10086</v>
      </c>
      <c r="H6155" s="3">
        <v>5.0000000000000001E-4</v>
      </c>
      <c r="K6155" s="2" t="s">
        <v>10089</v>
      </c>
    </row>
    <row r="6156" spans="1:11" x14ac:dyDescent="0.2">
      <c r="A6156" s="2">
        <v>1540</v>
      </c>
      <c r="B6156" s="2">
        <v>10</v>
      </c>
      <c r="C6156" s="2">
        <v>57955672</v>
      </c>
      <c r="D6156" s="2">
        <v>58809133</v>
      </c>
      <c r="E6156" s="2">
        <v>4</v>
      </c>
      <c r="F6156" s="2" t="s">
        <v>10086</v>
      </c>
      <c r="H6156" s="3">
        <v>2.9999999999999997E-4</v>
      </c>
      <c r="K6156" s="2" t="s">
        <v>10088</v>
      </c>
    </row>
    <row r="6157" spans="1:11" x14ac:dyDescent="0.2">
      <c r="A6157" s="2">
        <v>1541</v>
      </c>
      <c r="B6157" s="2">
        <v>10</v>
      </c>
      <c r="C6157" s="2">
        <v>58809134</v>
      </c>
      <c r="D6157" s="2">
        <v>59822946</v>
      </c>
      <c r="E6157" s="2">
        <v>1</v>
      </c>
      <c r="F6157" s="2" t="s">
        <v>10086</v>
      </c>
      <c r="H6157" s="2">
        <v>2.3999999999999998E-3</v>
      </c>
      <c r="K6157" s="2" t="s">
        <v>10087</v>
      </c>
    </row>
    <row r="6158" spans="1:11" x14ac:dyDescent="0.2">
      <c r="A6158" s="2">
        <v>1541</v>
      </c>
      <c r="B6158" s="2">
        <v>10</v>
      </c>
      <c r="C6158" s="2">
        <v>58809134</v>
      </c>
      <c r="D6158" s="2">
        <v>59822946</v>
      </c>
      <c r="E6158" s="2">
        <v>2</v>
      </c>
      <c r="F6158" s="2" t="s">
        <v>10086</v>
      </c>
      <c r="H6158" s="2">
        <v>1.6999999999999999E-3</v>
      </c>
      <c r="K6158" s="2" t="s">
        <v>10089</v>
      </c>
    </row>
    <row r="6159" spans="1:11" x14ac:dyDescent="0.2">
      <c r="A6159" s="2">
        <v>1541</v>
      </c>
      <c r="B6159" s="2">
        <v>10</v>
      </c>
      <c r="C6159" s="2">
        <v>58809134</v>
      </c>
      <c r="D6159" s="2">
        <v>59822946</v>
      </c>
      <c r="E6159" s="2">
        <v>3</v>
      </c>
      <c r="F6159" s="2" t="s">
        <v>10086</v>
      </c>
      <c r="H6159" s="3">
        <v>8.9999999999999998E-4</v>
      </c>
      <c r="K6159" s="2" t="s">
        <v>10085</v>
      </c>
    </row>
    <row r="6160" spans="1:11" x14ac:dyDescent="0.2">
      <c r="A6160" s="2">
        <v>1541</v>
      </c>
      <c r="B6160" s="2">
        <v>10</v>
      </c>
      <c r="C6160" s="2">
        <v>58809134</v>
      </c>
      <c r="D6160" s="2">
        <v>59822946</v>
      </c>
      <c r="E6160" s="2">
        <v>4</v>
      </c>
      <c r="F6160" s="2" t="s">
        <v>10086</v>
      </c>
      <c r="H6160" s="3">
        <v>5.0000000000000001E-4</v>
      </c>
      <c r="K6160" s="2" t="s">
        <v>10088</v>
      </c>
    </row>
    <row r="6161" spans="1:11" x14ac:dyDescent="0.2">
      <c r="A6161" s="2">
        <v>1542</v>
      </c>
      <c r="B6161" s="2">
        <v>10</v>
      </c>
      <c r="C6161" s="2">
        <v>59822947</v>
      </c>
      <c r="D6161" s="2">
        <v>61470383</v>
      </c>
      <c r="E6161" s="2">
        <v>1</v>
      </c>
      <c r="F6161" s="2" t="s">
        <v>10086</v>
      </c>
      <c r="H6161" s="2">
        <v>1.3599999999999999E-2</v>
      </c>
      <c r="K6161" s="2" t="s">
        <v>10087</v>
      </c>
    </row>
    <row r="6162" spans="1:11" x14ac:dyDescent="0.2">
      <c r="A6162" s="2">
        <v>1542</v>
      </c>
      <c r="B6162" s="2">
        <v>10</v>
      </c>
      <c r="C6162" s="2">
        <v>59822947</v>
      </c>
      <c r="D6162" s="2">
        <v>61470383</v>
      </c>
      <c r="E6162" s="2">
        <v>2</v>
      </c>
      <c r="F6162" s="2" t="s">
        <v>10086</v>
      </c>
      <c r="H6162" s="2">
        <v>2.0999999999999999E-3</v>
      </c>
      <c r="K6162" s="2" t="s">
        <v>10085</v>
      </c>
    </row>
    <row r="6163" spans="1:11" x14ac:dyDescent="0.2">
      <c r="A6163" s="2">
        <v>1542</v>
      </c>
      <c r="B6163" s="2">
        <v>10</v>
      </c>
      <c r="C6163" s="2">
        <v>59822947</v>
      </c>
      <c r="D6163" s="2">
        <v>61470383</v>
      </c>
      <c r="E6163" s="2">
        <v>3</v>
      </c>
      <c r="F6163" s="2" t="s">
        <v>10086</v>
      </c>
      <c r="H6163" s="2">
        <v>1.5E-3</v>
      </c>
      <c r="K6163" s="2" t="s">
        <v>10089</v>
      </c>
    </row>
    <row r="6164" spans="1:11" x14ac:dyDescent="0.2">
      <c r="A6164" s="2">
        <v>1542</v>
      </c>
      <c r="B6164" s="2">
        <v>10</v>
      </c>
      <c r="C6164" s="2">
        <v>59822947</v>
      </c>
      <c r="D6164" s="2">
        <v>61470383</v>
      </c>
      <c r="E6164" s="2">
        <v>4</v>
      </c>
      <c r="F6164" s="2" t="s">
        <v>10086</v>
      </c>
      <c r="H6164" s="3">
        <v>8.0000000000000004E-4</v>
      </c>
      <c r="K6164" s="2" t="s">
        <v>10088</v>
      </c>
    </row>
    <row r="6165" spans="1:11" x14ac:dyDescent="0.2">
      <c r="A6165" s="2">
        <v>1543</v>
      </c>
      <c r="B6165" s="2">
        <v>10</v>
      </c>
      <c r="C6165" s="2">
        <v>61470384</v>
      </c>
      <c r="D6165" s="2">
        <v>62626465</v>
      </c>
      <c r="E6165" s="2">
        <v>1</v>
      </c>
      <c r="F6165" s="2" t="s">
        <v>10086</v>
      </c>
      <c r="H6165" s="2">
        <v>2E-3</v>
      </c>
      <c r="K6165" s="2" t="s">
        <v>12324</v>
      </c>
    </row>
    <row r="6166" spans="1:11" x14ac:dyDescent="0.2">
      <c r="A6166" s="2">
        <v>1543</v>
      </c>
      <c r="B6166" s="2">
        <v>10</v>
      </c>
      <c r="C6166" s="2">
        <v>61470384</v>
      </c>
      <c r="D6166" s="2">
        <v>62626465</v>
      </c>
      <c r="E6166" s="2">
        <v>2</v>
      </c>
      <c r="F6166" s="2" t="s">
        <v>10086</v>
      </c>
      <c r="H6166" s="2">
        <v>1.1999999999999999E-3</v>
      </c>
      <c r="K6166" s="2" t="s">
        <v>10089</v>
      </c>
    </row>
    <row r="6167" spans="1:11" x14ac:dyDescent="0.2">
      <c r="A6167" s="2">
        <v>1543</v>
      </c>
      <c r="B6167" s="2">
        <v>10</v>
      </c>
      <c r="C6167" s="2">
        <v>61470384</v>
      </c>
      <c r="D6167" s="2">
        <v>62626465</v>
      </c>
      <c r="E6167" s="2">
        <v>3</v>
      </c>
      <c r="F6167" s="2" t="s">
        <v>10086</v>
      </c>
      <c r="H6167" s="2">
        <v>1E-3</v>
      </c>
      <c r="K6167" s="2" t="s">
        <v>10087</v>
      </c>
    </row>
    <row r="6168" spans="1:11" x14ac:dyDescent="0.2">
      <c r="A6168" s="2">
        <v>1543</v>
      </c>
      <c r="B6168" s="2">
        <v>10</v>
      </c>
      <c r="C6168" s="2">
        <v>61470384</v>
      </c>
      <c r="D6168" s="2">
        <v>62626465</v>
      </c>
      <c r="E6168" s="2">
        <v>4</v>
      </c>
      <c r="F6168" s="2" t="s">
        <v>10086</v>
      </c>
      <c r="H6168" s="3">
        <v>8.9999999999999998E-4</v>
      </c>
      <c r="K6168" s="2" t="s">
        <v>10088</v>
      </c>
    </row>
    <row r="6169" spans="1:11" x14ac:dyDescent="0.2">
      <c r="A6169" s="2">
        <v>1544</v>
      </c>
      <c r="B6169" s="2">
        <v>10</v>
      </c>
      <c r="C6169" s="2">
        <v>62626466</v>
      </c>
      <c r="D6169" s="2">
        <v>64069687</v>
      </c>
      <c r="E6169" s="2">
        <v>1</v>
      </c>
      <c r="F6169" s="2" t="s">
        <v>10086</v>
      </c>
      <c r="H6169" s="2">
        <v>2.7000000000000001E-3</v>
      </c>
      <c r="K6169" s="2" t="s">
        <v>10087</v>
      </c>
    </row>
    <row r="6170" spans="1:11" x14ac:dyDescent="0.2">
      <c r="A6170" s="2">
        <v>1544</v>
      </c>
      <c r="B6170" s="2">
        <v>10</v>
      </c>
      <c r="C6170" s="2">
        <v>62626466</v>
      </c>
      <c r="D6170" s="2">
        <v>64069687</v>
      </c>
      <c r="E6170" s="2">
        <v>2</v>
      </c>
      <c r="F6170" s="2" t="s">
        <v>10086</v>
      </c>
      <c r="H6170" s="2">
        <v>1.8E-3</v>
      </c>
      <c r="K6170" s="2" t="s">
        <v>12324</v>
      </c>
    </row>
    <row r="6171" spans="1:11" x14ac:dyDescent="0.2">
      <c r="A6171" s="2">
        <v>1544</v>
      </c>
      <c r="B6171" s="2">
        <v>10</v>
      </c>
      <c r="C6171" s="2">
        <v>62626466</v>
      </c>
      <c r="D6171" s="2">
        <v>64069687</v>
      </c>
      <c r="E6171" s="2">
        <v>3</v>
      </c>
      <c r="F6171" s="2" t="s">
        <v>10086</v>
      </c>
      <c r="H6171" s="2">
        <v>2.3999999999999998E-3</v>
      </c>
      <c r="K6171" s="2" t="s">
        <v>10085</v>
      </c>
    </row>
    <row r="6172" spans="1:11" x14ac:dyDescent="0.2">
      <c r="A6172" s="2">
        <v>1544</v>
      </c>
      <c r="B6172" s="2">
        <v>10</v>
      </c>
      <c r="C6172" s="2">
        <v>62626466</v>
      </c>
      <c r="D6172" s="2">
        <v>64069687</v>
      </c>
      <c r="E6172" s="2">
        <v>4</v>
      </c>
      <c r="F6172" s="2" t="s">
        <v>10086</v>
      </c>
      <c r="H6172" s="2">
        <v>1.2999999999999999E-3</v>
      </c>
      <c r="K6172" s="2" t="s">
        <v>10089</v>
      </c>
    </row>
    <row r="6173" spans="1:11" x14ac:dyDescent="0.2">
      <c r="A6173" s="2">
        <v>1545</v>
      </c>
      <c r="B6173" s="2">
        <v>10</v>
      </c>
      <c r="C6173" s="2">
        <v>64069688</v>
      </c>
      <c r="D6173" s="2">
        <v>65400431</v>
      </c>
      <c r="E6173" s="2">
        <v>1</v>
      </c>
      <c r="F6173" s="2" t="s">
        <v>10086</v>
      </c>
      <c r="H6173" s="2">
        <v>4.5999999999999999E-3</v>
      </c>
      <c r="K6173" s="2" t="s">
        <v>10088</v>
      </c>
    </row>
    <row r="6174" spans="1:11" x14ac:dyDescent="0.2">
      <c r="A6174" s="2">
        <v>1545</v>
      </c>
      <c r="B6174" s="2">
        <v>10</v>
      </c>
      <c r="C6174" s="2">
        <v>64069688</v>
      </c>
      <c r="D6174" s="2">
        <v>65400431</v>
      </c>
      <c r="E6174" s="2">
        <v>2</v>
      </c>
      <c r="F6174" s="2" t="s">
        <v>10086</v>
      </c>
      <c r="H6174" s="2">
        <v>2.5000000000000001E-3</v>
      </c>
      <c r="K6174" s="2" t="s">
        <v>10087</v>
      </c>
    </row>
    <row r="6175" spans="1:11" x14ac:dyDescent="0.2">
      <c r="A6175" s="2">
        <v>1545</v>
      </c>
      <c r="B6175" s="2">
        <v>10</v>
      </c>
      <c r="C6175" s="2">
        <v>64069688</v>
      </c>
      <c r="D6175" s="2">
        <v>65400431</v>
      </c>
      <c r="E6175" s="2">
        <v>3</v>
      </c>
      <c r="F6175" s="2" t="s">
        <v>10086</v>
      </c>
      <c r="H6175" s="2">
        <v>1.8E-3</v>
      </c>
      <c r="K6175" s="2" t="s">
        <v>10089</v>
      </c>
    </row>
    <row r="6176" spans="1:11" x14ac:dyDescent="0.2">
      <c r="A6176" s="2">
        <v>1545</v>
      </c>
      <c r="B6176" s="2">
        <v>10</v>
      </c>
      <c r="C6176" s="2">
        <v>64069688</v>
      </c>
      <c r="D6176" s="2">
        <v>65400431</v>
      </c>
      <c r="E6176" s="2">
        <v>4</v>
      </c>
      <c r="F6176" s="2" t="s">
        <v>10086</v>
      </c>
      <c r="H6176" s="3">
        <v>5.0000000000000001E-4</v>
      </c>
      <c r="K6176" s="2" t="s">
        <v>10085</v>
      </c>
    </row>
    <row r="6177" spans="1:11" x14ac:dyDescent="0.2">
      <c r="A6177" s="2">
        <v>1546</v>
      </c>
      <c r="B6177" s="2">
        <v>10</v>
      </c>
      <c r="C6177" s="2">
        <v>65400432</v>
      </c>
      <c r="D6177" s="2">
        <v>66510387</v>
      </c>
      <c r="E6177" s="2">
        <v>1</v>
      </c>
      <c r="F6177" s="2" t="s">
        <v>10086</v>
      </c>
      <c r="H6177" s="2">
        <v>2E-3</v>
      </c>
      <c r="K6177" s="2" t="s">
        <v>10087</v>
      </c>
    </row>
    <row r="6178" spans="1:11" x14ac:dyDescent="0.2">
      <c r="A6178" s="2">
        <v>1546</v>
      </c>
      <c r="B6178" s="2">
        <v>10</v>
      </c>
      <c r="C6178" s="2">
        <v>65400432</v>
      </c>
      <c r="D6178" s="2">
        <v>66510387</v>
      </c>
      <c r="E6178" s="2">
        <v>2</v>
      </c>
      <c r="F6178" s="2" t="s">
        <v>10086</v>
      </c>
      <c r="H6178" s="2">
        <v>1.2999999999999999E-3</v>
      </c>
      <c r="K6178" s="2" t="s">
        <v>10089</v>
      </c>
    </row>
    <row r="6179" spans="1:11" x14ac:dyDescent="0.2">
      <c r="A6179" s="2">
        <v>1546</v>
      </c>
      <c r="B6179" s="2">
        <v>10</v>
      </c>
      <c r="C6179" s="2">
        <v>65400432</v>
      </c>
      <c r="D6179" s="2">
        <v>66510387</v>
      </c>
      <c r="E6179" s="2">
        <v>3</v>
      </c>
      <c r="F6179" s="2" t="s">
        <v>10086</v>
      </c>
      <c r="H6179" s="3">
        <v>8.0000000000000004E-4</v>
      </c>
      <c r="K6179" s="2" t="s">
        <v>10085</v>
      </c>
    </row>
    <row r="6180" spans="1:11" x14ac:dyDescent="0.2">
      <c r="A6180" s="2">
        <v>1546</v>
      </c>
      <c r="B6180" s="2">
        <v>10</v>
      </c>
      <c r="C6180" s="2">
        <v>65400432</v>
      </c>
      <c r="D6180" s="2">
        <v>66510387</v>
      </c>
      <c r="E6180" s="2">
        <v>4</v>
      </c>
      <c r="F6180" s="2" t="s">
        <v>10086</v>
      </c>
      <c r="H6180" s="3">
        <v>5.9999999999999995E-4</v>
      </c>
      <c r="K6180" s="2" t="s">
        <v>10088</v>
      </c>
    </row>
    <row r="6181" spans="1:11" x14ac:dyDescent="0.2">
      <c r="A6181" s="2">
        <v>1547</v>
      </c>
      <c r="B6181" s="2">
        <v>10</v>
      </c>
      <c r="C6181" s="2">
        <v>66510388</v>
      </c>
      <c r="D6181" s="2">
        <v>67146043</v>
      </c>
      <c r="E6181" s="2">
        <v>1</v>
      </c>
      <c r="F6181" s="2" t="s">
        <v>10086</v>
      </c>
      <c r="H6181" s="2">
        <v>6.4899999999999999E-2</v>
      </c>
      <c r="K6181" s="2" t="s">
        <v>10087</v>
      </c>
    </row>
    <row r="6182" spans="1:11" x14ac:dyDescent="0.2">
      <c r="A6182" s="2">
        <v>1547</v>
      </c>
      <c r="B6182" s="2">
        <v>10</v>
      </c>
      <c r="C6182" s="2">
        <v>66510388</v>
      </c>
      <c r="D6182" s="2">
        <v>67146043</v>
      </c>
      <c r="E6182" s="2">
        <v>2</v>
      </c>
      <c r="F6182" s="2" t="s">
        <v>10086</v>
      </c>
      <c r="H6182" s="3">
        <v>6.9999999999999999E-4</v>
      </c>
      <c r="K6182" s="2" t="s">
        <v>10088</v>
      </c>
    </row>
    <row r="6183" spans="1:11" x14ac:dyDescent="0.2">
      <c r="A6183" s="2">
        <v>1547</v>
      </c>
      <c r="B6183" s="2">
        <v>10</v>
      </c>
      <c r="C6183" s="2">
        <v>66510388</v>
      </c>
      <c r="D6183" s="2">
        <v>67146043</v>
      </c>
      <c r="E6183" s="2">
        <v>3</v>
      </c>
      <c r="F6183" s="2" t="s">
        <v>10086</v>
      </c>
      <c r="H6183" s="3">
        <v>4.0000000000000002E-4</v>
      </c>
      <c r="K6183" s="2" t="s">
        <v>10085</v>
      </c>
    </row>
    <row r="6184" spans="1:11" x14ac:dyDescent="0.2">
      <c r="A6184" s="2">
        <v>1547</v>
      </c>
      <c r="B6184" s="2">
        <v>10</v>
      </c>
      <c r="C6184" s="2">
        <v>66510388</v>
      </c>
      <c r="D6184" s="2">
        <v>67146043</v>
      </c>
      <c r="E6184" s="2">
        <v>4</v>
      </c>
      <c r="F6184" s="2" t="s">
        <v>10086</v>
      </c>
      <c r="H6184" s="3">
        <v>2.0000000000000001E-4</v>
      </c>
      <c r="K6184" s="2" t="s">
        <v>10089</v>
      </c>
    </row>
    <row r="6185" spans="1:11" x14ac:dyDescent="0.2">
      <c r="A6185" s="2">
        <v>1548</v>
      </c>
      <c r="B6185" s="2">
        <v>10</v>
      </c>
      <c r="C6185" s="2">
        <v>67146044</v>
      </c>
      <c r="D6185" s="2">
        <v>67769822</v>
      </c>
      <c r="E6185" s="2">
        <v>1</v>
      </c>
      <c r="F6185" s="2" t="s">
        <v>10086</v>
      </c>
      <c r="H6185" s="3">
        <v>8.0000000000000004E-4</v>
      </c>
      <c r="K6185" s="2" t="s">
        <v>10085</v>
      </c>
    </row>
    <row r="6186" spans="1:11" x14ac:dyDescent="0.2">
      <c r="A6186" s="2">
        <v>1548</v>
      </c>
      <c r="B6186" s="2">
        <v>10</v>
      </c>
      <c r="C6186" s="2">
        <v>67146044</v>
      </c>
      <c r="D6186" s="2">
        <v>67769822</v>
      </c>
      <c r="E6186" s="2">
        <v>2</v>
      </c>
      <c r="F6186" s="2" t="s">
        <v>10086</v>
      </c>
      <c r="H6186" s="3">
        <v>6.9999999999999999E-4</v>
      </c>
      <c r="K6186" s="2" t="s">
        <v>10087</v>
      </c>
    </row>
    <row r="6187" spans="1:11" x14ac:dyDescent="0.2">
      <c r="A6187" s="2">
        <v>1548</v>
      </c>
      <c r="B6187" s="2">
        <v>10</v>
      </c>
      <c r="C6187" s="2">
        <v>67146044</v>
      </c>
      <c r="D6187" s="2">
        <v>67769822</v>
      </c>
      <c r="E6187" s="2">
        <v>3</v>
      </c>
      <c r="F6187" s="2" t="s">
        <v>10086</v>
      </c>
      <c r="H6187" s="3">
        <v>5.9999999999999995E-4</v>
      </c>
      <c r="K6187" s="2" t="s">
        <v>10089</v>
      </c>
    </row>
    <row r="6188" spans="1:11" x14ac:dyDescent="0.2">
      <c r="A6188" s="2">
        <v>1548</v>
      </c>
      <c r="B6188" s="2">
        <v>10</v>
      </c>
      <c r="C6188" s="2">
        <v>67146044</v>
      </c>
      <c r="D6188" s="2">
        <v>67769822</v>
      </c>
      <c r="E6188" s="2">
        <v>4</v>
      </c>
      <c r="F6188" s="2" t="s">
        <v>10086</v>
      </c>
      <c r="H6188" s="3">
        <v>2.9999999999999997E-4</v>
      </c>
      <c r="K6188" s="2" t="s">
        <v>10088</v>
      </c>
    </row>
    <row r="6189" spans="1:11" x14ac:dyDescent="0.2">
      <c r="A6189" s="2">
        <v>1549</v>
      </c>
      <c r="B6189" s="2">
        <v>10</v>
      </c>
      <c r="C6189" s="2">
        <v>67769823</v>
      </c>
      <c r="D6189" s="2">
        <v>68623274</v>
      </c>
      <c r="E6189" s="2">
        <v>1</v>
      </c>
      <c r="F6189" s="2" t="s">
        <v>10086</v>
      </c>
      <c r="H6189" s="2">
        <v>2.8999999999999998E-3</v>
      </c>
      <c r="K6189" s="2" t="s">
        <v>12324</v>
      </c>
    </row>
    <row r="6190" spans="1:11" x14ac:dyDescent="0.2">
      <c r="A6190" s="2">
        <v>1549</v>
      </c>
      <c r="B6190" s="2">
        <v>10</v>
      </c>
      <c r="C6190" s="2">
        <v>67769823</v>
      </c>
      <c r="D6190" s="2">
        <v>68623274</v>
      </c>
      <c r="E6190" s="2">
        <v>2</v>
      </c>
      <c r="F6190" s="2" t="s">
        <v>10086</v>
      </c>
      <c r="H6190" s="2">
        <v>3.0999999999999999E-3</v>
      </c>
      <c r="K6190" s="2" t="s">
        <v>10087</v>
      </c>
    </row>
    <row r="6191" spans="1:11" x14ac:dyDescent="0.2">
      <c r="A6191" s="2">
        <v>1549</v>
      </c>
      <c r="B6191" s="2">
        <v>10</v>
      </c>
      <c r="C6191" s="2">
        <v>67769823</v>
      </c>
      <c r="D6191" s="2">
        <v>68623274</v>
      </c>
      <c r="E6191" s="2">
        <v>3</v>
      </c>
      <c r="F6191" s="2" t="s">
        <v>10086</v>
      </c>
      <c r="H6191" s="2">
        <v>1.5E-3</v>
      </c>
      <c r="K6191" s="2" t="s">
        <v>10085</v>
      </c>
    </row>
    <row r="6192" spans="1:11" x14ac:dyDescent="0.2">
      <c r="A6192" s="2">
        <v>1549</v>
      </c>
      <c r="B6192" s="2">
        <v>10</v>
      </c>
      <c r="C6192" s="2">
        <v>67769823</v>
      </c>
      <c r="D6192" s="2">
        <v>68623274</v>
      </c>
      <c r="E6192" s="2">
        <v>4</v>
      </c>
      <c r="F6192" s="2" t="s">
        <v>10086</v>
      </c>
      <c r="H6192" s="2">
        <v>1.1999999999999999E-3</v>
      </c>
      <c r="K6192" s="2" t="s">
        <v>10089</v>
      </c>
    </row>
    <row r="6193" spans="1:11" x14ac:dyDescent="0.2">
      <c r="A6193" s="2">
        <v>1550</v>
      </c>
      <c r="B6193" s="2">
        <v>10</v>
      </c>
      <c r="C6193" s="2">
        <v>68623275</v>
      </c>
      <c r="D6193" s="2">
        <v>69904170</v>
      </c>
      <c r="E6193" s="2">
        <v>1</v>
      </c>
      <c r="F6193" s="2" t="s">
        <v>10086</v>
      </c>
      <c r="H6193" s="2">
        <v>2.0999999999999999E-3</v>
      </c>
      <c r="K6193" s="2" t="s">
        <v>10089</v>
      </c>
    </row>
    <row r="6194" spans="1:11" x14ac:dyDescent="0.2">
      <c r="A6194" s="2">
        <v>1550</v>
      </c>
      <c r="B6194" s="2">
        <v>10</v>
      </c>
      <c r="C6194" s="2">
        <v>68623275</v>
      </c>
      <c r="D6194" s="2">
        <v>69904170</v>
      </c>
      <c r="E6194" s="2">
        <v>2</v>
      </c>
      <c r="F6194" s="2" t="s">
        <v>10086</v>
      </c>
      <c r="H6194" s="3">
        <v>8.9999999999999998E-4</v>
      </c>
      <c r="K6194" s="2" t="s">
        <v>10085</v>
      </c>
    </row>
    <row r="6195" spans="1:11" x14ac:dyDescent="0.2">
      <c r="A6195" s="2">
        <v>1550</v>
      </c>
      <c r="B6195" s="2">
        <v>10</v>
      </c>
      <c r="C6195" s="2">
        <v>68623275</v>
      </c>
      <c r="D6195" s="2">
        <v>69904170</v>
      </c>
      <c r="E6195" s="2">
        <v>3</v>
      </c>
      <c r="F6195" s="2" t="s">
        <v>10086</v>
      </c>
      <c r="H6195" s="3">
        <v>6.9999999999999999E-4</v>
      </c>
      <c r="K6195" s="2" t="s">
        <v>12324</v>
      </c>
    </row>
    <row r="6196" spans="1:11" x14ac:dyDescent="0.2">
      <c r="A6196" s="2">
        <v>1550</v>
      </c>
      <c r="B6196" s="2">
        <v>10</v>
      </c>
      <c r="C6196" s="2">
        <v>68623275</v>
      </c>
      <c r="D6196" s="2">
        <v>69904170</v>
      </c>
      <c r="E6196" s="2">
        <v>4</v>
      </c>
      <c r="F6196" s="2" t="s">
        <v>10086</v>
      </c>
      <c r="H6196" s="3">
        <v>6.9999999999999999E-4</v>
      </c>
      <c r="K6196" s="2" t="s">
        <v>10088</v>
      </c>
    </row>
    <row r="6197" spans="1:11" x14ac:dyDescent="0.2">
      <c r="A6197" s="2">
        <v>1551</v>
      </c>
      <c r="B6197" s="2">
        <v>10</v>
      </c>
      <c r="C6197" s="2">
        <v>69904171</v>
      </c>
      <c r="D6197" s="2">
        <v>71050504</v>
      </c>
      <c r="E6197" s="2">
        <v>1</v>
      </c>
      <c r="F6197" s="2" t="s">
        <v>10086</v>
      </c>
      <c r="H6197" s="2">
        <v>3.3999999999999998E-3</v>
      </c>
      <c r="K6197" s="2" t="s">
        <v>10087</v>
      </c>
    </row>
    <row r="6198" spans="1:11" x14ac:dyDescent="0.2">
      <c r="A6198" s="2">
        <v>1551</v>
      </c>
      <c r="B6198" s="2">
        <v>10</v>
      </c>
      <c r="C6198" s="2">
        <v>69904171</v>
      </c>
      <c r="D6198" s="2">
        <v>71050504</v>
      </c>
      <c r="E6198" s="2">
        <v>2</v>
      </c>
      <c r="F6198" s="2" t="s">
        <v>10086</v>
      </c>
      <c r="H6198" s="2">
        <v>1.1000000000000001E-3</v>
      </c>
      <c r="K6198" s="2" t="s">
        <v>10085</v>
      </c>
    </row>
    <row r="6199" spans="1:11" x14ac:dyDescent="0.2">
      <c r="A6199" s="2">
        <v>1551</v>
      </c>
      <c r="B6199" s="2">
        <v>10</v>
      </c>
      <c r="C6199" s="2">
        <v>69904171</v>
      </c>
      <c r="D6199" s="2">
        <v>71050504</v>
      </c>
      <c r="E6199" s="2">
        <v>3</v>
      </c>
      <c r="F6199" s="2" t="s">
        <v>10086</v>
      </c>
      <c r="H6199" s="2">
        <v>1.5E-3</v>
      </c>
      <c r="K6199" s="2" t="s">
        <v>10089</v>
      </c>
    </row>
    <row r="6200" spans="1:11" x14ac:dyDescent="0.2">
      <c r="A6200" s="2">
        <v>1551</v>
      </c>
      <c r="B6200" s="2">
        <v>10</v>
      </c>
      <c r="C6200" s="2">
        <v>69904171</v>
      </c>
      <c r="D6200" s="2">
        <v>71050504</v>
      </c>
      <c r="E6200" s="2">
        <v>4</v>
      </c>
      <c r="F6200" s="2" t="s">
        <v>10086</v>
      </c>
      <c r="H6200" s="3">
        <v>5.0000000000000001E-4</v>
      </c>
      <c r="K6200" s="2" t="s">
        <v>10088</v>
      </c>
    </row>
    <row r="6201" spans="1:11" x14ac:dyDescent="0.2">
      <c r="A6201" s="2">
        <v>1552</v>
      </c>
      <c r="B6201" s="2">
        <v>10</v>
      </c>
      <c r="C6201" s="2">
        <v>71050505</v>
      </c>
      <c r="D6201" s="2">
        <v>71672997</v>
      </c>
      <c r="E6201" s="2">
        <v>1</v>
      </c>
      <c r="F6201" s="2" t="s">
        <v>10086</v>
      </c>
      <c r="H6201" s="2">
        <v>1.9E-3</v>
      </c>
      <c r="K6201" s="2" t="s">
        <v>10088</v>
      </c>
    </row>
    <row r="6202" spans="1:11" x14ac:dyDescent="0.2">
      <c r="A6202" s="2">
        <v>1552</v>
      </c>
      <c r="B6202" s="2">
        <v>10</v>
      </c>
      <c r="C6202" s="2">
        <v>71050505</v>
      </c>
      <c r="D6202" s="2">
        <v>71672997</v>
      </c>
      <c r="E6202" s="2">
        <v>2</v>
      </c>
      <c r="F6202" s="2" t="s">
        <v>10086</v>
      </c>
      <c r="H6202" s="3">
        <v>8.9999999999999998E-4</v>
      </c>
      <c r="K6202" s="2" t="s">
        <v>10087</v>
      </c>
    </row>
    <row r="6203" spans="1:11" x14ac:dyDescent="0.2">
      <c r="A6203" s="2">
        <v>1552</v>
      </c>
      <c r="B6203" s="2">
        <v>10</v>
      </c>
      <c r="C6203" s="2">
        <v>71050505</v>
      </c>
      <c r="D6203" s="2">
        <v>71672997</v>
      </c>
      <c r="E6203" s="2">
        <v>3</v>
      </c>
      <c r="F6203" s="2" t="s">
        <v>10086</v>
      </c>
      <c r="H6203" s="3">
        <v>8.0000000000000004E-4</v>
      </c>
      <c r="K6203" s="2" t="s">
        <v>10089</v>
      </c>
    </row>
    <row r="6204" spans="1:11" x14ac:dyDescent="0.2">
      <c r="A6204" s="2">
        <v>1552</v>
      </c>
      <c r="B6204" s="2">
        <v>10</v>
      </c>
      <c r="C6204" s="2">
        <v>71050505</v>
      </c>
      <c r="D6204" s="2">
        <v>71672997</v>
      </c>
      <c r="E6204" s="2">
        <v>4</v>
      </c>
      <c r="F6204" s="2" t="s">
        <v>10086</v>
      </c>
      <c r="H6204" s="3">
        <v>5.9999999999999995E-4</v>
      </c>
      <c r="K6204" s="2" t="s">
        <v>10085</v>
      </c>
    </row>
    <row r="6205" spans="1:11" x14ac:dyDescent="0.2">
      <c r="A6205" s="2">
        <v>1553</v>
      </c>
      <c r="B6205" s="2">
        <v>10</v>
      </c>
      <c r="C6205" s="2">
        <v>71672998</v>
      </c>
      <c r="D6205" s="2">
        <v>72659223</v>
      </c>
      <c r="E6205" s="2">
        <v>1</v>
      </c>
      <c r="F6205" s="2" t="s">
        <v>10086</v>
      </c>
      <c r="H6205" s="2">
        <v>2.4500000000000001E-2</v>
      </c>
      <c r="K6205" s="2" t="s">
        <v>10085</v>
      </c>
    </row>
    <row r="6206" spans="1:11" x14ac:dyDescent="0.2">
      <c r="A6206" s="2">
        <v>1553</v>
      </c>
      <c r="B6206" s="2">
        <v>10</v>
      </c>
      <c r="C6206" s="2">
        <v>71672998</v>
      </c>
      <c r="D6206" s="2">
        <v>72659223</v>
      </c>
      <c r="E6206" s="2">
        <v>2</v>
      </c>
      <c r="F6206" s="2" t="s">
        <v>10086</v>
      </c>
      <c r="H6206" s="2">
        <v>2.5000000000000001E-3</v>
      </c>
      <c r="K6206" s="2" t="s">
        <v>10089</v>
      </c>
    </row>
    <row r="6207" spans="1:11" x14ac:dyDescent="0.2">
      <c r="A6207" s="2">
        <v>1553</v>
      </c>
      <c r="B6207" s="2">
        <v>10</v>
      </c>
      <c r="C6207" s="2">
        <v>71672998</v>
      </c>
      <c r="D6207" s="2">
        <v>72659223</v>
      </c>
      <c r="E6207" s="2">
        <v>3</v>
      </c>
      <c r="F6207" s="2" t="s">
        <v>10086</v>
      </c>
      <c r="H6207" s="2">
        <v>2.3999999999999998E-3</v>
      </c>
      <c r="K6207" s="2" t="s">
        <v>10087</v>
      </c>
    </row>
    <row r="6208" spans="1:11" x14ac:dyDescent="0.2">
      <c r="A6208" s="2">
        <v>1553</v>
      </c>
      <c r="B6208" s="2">
        <v>10</v>
      </c>
      <c r="C6208" s="2">
        <v>71672998</v>
      </c>
      <c r="D6208" s="2">
        <v>72659223</v>
      </c>
      <c r="E6208" s="2">
        <v>4</v>
      </c>
      <c r="F6208" s="2" t="s">
        <v>10086</v>
      </c>
      <c r="H6208" s="2">
        <v>1.4E-3</v>
      </c>
      <c r="K6208" s="2" t="s">
        <v>12324</v>
      </c>
    </row>
    <row r="6209" spans="1:11" x14ac:dyDescent="0.2">
      <c r="A6209" s="2">
        <v>1554</v>
      </c>
      <c r="B6209" s="2">
        <v>10</v>
      </c>
      <c r="C6209" s="2">
        <v>72659224</v>
      </c>
      <c r="D6209" s="2">
        <v>73514214</v>
      </c>
      <c r="E6209" s="2">
        <v>1</v>
      </c>
      <c r="F6209" s="2" t="s">
        <v>10086</v>
      </c>
      <c r="H6209" s="2">
        <v>1.0500000000000001E-2</v>
      </c>
      <c r="K6209" s="2" t="s">
        <v>12324</v>
      </c>
    </row>
    <row r="6210" spans="1:11" x14ac:dyDescent="0.2">
      <c r="A6210" s="2">
        <v>1554</v>
      </c>
      <c r="B6210" s="2">
        <v>10</v>
      </c>
      <c r="C6210" s="2">
        <v>72659224</v>
      </c>
      <c r="D6210" s="2">
        <v>73514214</v>
      </c>
      <c r="E6210" s="2">
        <v>2</v>
      </c>
      <c r="F6210" s="2" t="s">
        <v>10086</v>
      </c>
      <c r="H6210" s="2">
        <v>2E-3</v>
      </c>
      <c r="K6210" s="2" t="s">
        <v>10089</v>
      </c>
    </row>
    <row r="6211" spans="1:11" x14ac:dyDescent="0.2">
      <c r="A6211" s="2">
        <v>1554</v>
      </c>
      <c r="B6211" s="2">
        <v>10</v>
      </c>
      <c r="C6211" s="2">
        <v>72659224</v>
      </c>
      <c r="D6211" s="2">
        <v>73514214</v>
      </c>
      <c r="E6211" s="2">
        <v>3</v>
      </c>
      <c r="F6211" s="2" t="s">
        <v>10086</v>
      </c>
      <c r="H6211" s="3">
        <v>8.9999999999999998E-4</v>
      </c>
      <c r="K6211" s="2" t="s">
        <v>10085</v>
      </c>
    </row>
    <row r="6212" spans="1:11" x14ac:dyDescent="0.2">
      <c r="A6212" s="2">
        <v>1554</v>
      </c>
      <c r="B6212" s="2">
        <v>10</v>
      </c>
      <c r="C6212" s="2">
        <v>72659224</v>
      </c>
      <c r="D6212" s="2">
        <v>73514214</v>
      </c>
      <c r="E6212" s="2">
        <v>4</v>
      </c>
      <c r="F6212" s="2" t="s">
        <v>10086</v>
      </c>
      <c r="H6212" s="3">
        <v>8.0000000000000004E-4</v>
      </c>
      <c r="K6212" s="2" t="s">
        <v>10088</v>
      </c>
    </row>
    <row r="6213" spans="1:11" x14ac:dyDescent="0.2">
      <c r="A6213" s="2">
        <v>1555</v>
      </c>
      <c r="B6213" s="2">
        <v>10</v>
      </c>
      <c r="C6213" s="2">
        <v>73514215</v>
      </c>
      <c r="D6213" s="2">
        <v>75694023</v>
      </c>
      <c r="E6213" s="2">
        <v>1</v>
      </c>
      <c r="F6213" s="2" t="s">
        <v>10086</v>
      </c>
      <c r="H6213" s="2">
        <v>2.3999999999999998E-3</v>
      </c>
      <c r="K6213" s="2" t="s">
        <v>10089</v>
      </c>
    </row>
    <row r="6214" spans="1:11" x14ac:dyDescent="0.2">
      <c r="A6214" s="2">
        <v>1555</v>
      </c>
      <c r="B6214" s="2">
        <v>10</v>
      </c>
      <c r="C6214" s="2">
        <v>73514215</v>
      </c>
      <c r="D6214" s="2">
        <v>75694023</v>
      </c>
      <c r="E6214" s="2">
        <v>2</v>
      </c>
      <c r="F6214" s="2" t="s">
        <v>10086</v>
      </c>
      <c r="H6214" s="2">
        <v>1.6999999999999999E-3</v>
      </c>
      <c r="K6214" s="2" t="s">
        <v>10085</v>
      </c>
    </row>
    <row r="6215" spans="1:11" x14ac:dyDescent="0.2">
      <c r="A6215" s="2">
        <v>1555</v>
      </c>
      <c r="B6215" s="2">
        <v>10</v>
      </c>
      <c r="C6215" s="2">
        <v>73514215</v>
      </c>
      <c r="D6215" s="2">
        <v>75694023</v>
      </c>
      <c r="E6215" s="2">
        <v>3</v>
      </c>
      <c r="F6215" s="2" t="s">
        <v>10086</v>
      </c>
      <c r="H6215" s="2">
        <v>2.2000000000000001E-3</v>
      </c>
      <c r="K6215" s="2" t="s">
        <v>10088</v>
      </c>
    </row>
    <row r="6216" spans="1:11" x14ac:dyDescent="0.2">
      <c r="A6216" s="2">
        <v>1555</v>
      </c>
      <c r="B6216" s="2">
        <v>10</v>
      </c>
      <c r="C6216" s="2">
        <v>73514215</v>
      </c>
      <c r="D6216" s="2">
        <v>75694023</v>
      </c>
      <c r="E6216" s="2">
        <v>4</v>
      </c>
      <c r="F6216" s="2" t="s">
        <v>10086</v>
      </c>
      <c r="H6216" s="3">
        <v>5.9999999999999995E-4</v>
      </c>
      <c r="K6216" s="2" t="s">
        <v>10087</v>
      </c>
    </row>
    <row r="6217" spans="1:11" x14ac:dyDescent="0.2">
      <c r="A6217" s="2">
        <v>1556</v>
      </c>
      <c r="B6217" s="2">
        <v>10</v>
      </c>
      <c r="C6217" s="2">
        <v>75694024</v>
      </c>
      <c r="D6217" s="2">
        <v>77144961</v>
      </c>
      <c r="E6217" s="2">
        <v>1</v>
      </c>
      <c r="F6217" s="2" t="s">
        <v>10086</v>
      </c>
      <c r="H6217" s="2">
        <v>3.3E-3</v>
      </c>
      <c r="K6217" s="2" t="s">
        <v>12324</v>
      </c>
    </row>
    <row r="6218" spans="1:11" x14ac:dyDescent="0.2">
      <c r="A6218" s="2">
        <v>1556</v>
      </c>
      <c r="B6218" s="2">
        <v>10</v>
      </c>
      <c r="C6218" s="2">
        <v>75694024</v>
      </c>
      <c r="D6218" s="2">
        <v>77144961</v>
      </c>
      <c r="E6218" s="2">
        <v>2</v>
      </c>
      <c r="F6218" s="2" t="s">
        <v>10086</v>
      </c>
      <c r="H6218" s="2">
        <v>1E-3</v>
      </c>
      <c r="K6218" s="2" t="s">
        <v>10089</v>
      </c>
    </row>
    <row r="6219" spans="1:11" x14ac:dyDescent="0.2">
      <c r="A6219" s="2">
        <v>1556</v>
      </c>
      <c r="B6219" s="2">
        <v>10</v>
      </c>
      <c r="C6219" s="2">
        <v>75694024</v>
      </c>
      <c r="D6219" s="2">
        <v>77144961</v>
      </c>
      <c r="E6219" s="2">
        <v>3</v>
      </c>
      <c r="F6219" s="2" t="s">
        <v>10086</v>
      </c>
      <c r="H6219" s="3">
        <v>8.0000000000000004E-4</v>
      </c>
      <c r="K6219" s="2" t="s">
        <v>10087</v>
      </c>
    </row>
    <row r="6220" spans="1:11" x14ac:dyDescent="0.2">
      <c r="A6220" s="2">
        <v>1556</v>
      </c>
      <c r="B6220" s="2">
        <v>10</v>
      </c>
      <c r="C6220" s="2">
        <v>75694024</v>
      </c>
      <c r="D6220" s="2">
        <v>77144961</v>
      </c>
      <c r="E6220" s="2">
        <v>4</v>
      </c>
      <c r="F6220" s="2" t="s">
        <v>10086</v>
      </c>
      <c r="H6220" s="3">
        <v>5.9999999999999995E-4</v>
      </c>
      <c r="K6220" s="2" t="s">
        <v>10085</v>
      </c>
    </row>
    <row r="6221" spans="1:11" x14ac:dyDescent="0.2">
      <c r="A6221" s="2">
        <v>1557</v>
      </c>
      <c r="B6221" s="2">
        <v>10</v>
      </c>
      <c r="C6221" s="2">
        <v>77144962</v>
      </c>
      <c r="D6221" s="2">
        <v>78665481</v>
      </c>
      <c r="E6221" s="2">
        <v>1</v>
      </c>
      <c r="F6221" s="2" t="s">
        <v>10086</v>
      </c>
      <c r="H6221" s="2">
        <v>1.24E-2</v>
      </c>
      <c r="K6221" s="2" t="s">
        <v>10088</v>
      </c>
    </row>
    <row r="6222" spans="1:11" x14ac:dyDescent="0.2">
      <c r="A6222" s="2">
        <v>1557</v>
      </c>
      <c r="B6222" s="2">
        <v>10</v>
      </c>
      <c r="C6222" s="2">
        <v>77144962</v>
      </c>
      <c r="D6222" s="2">
        <v>78665481</v>
      </c>
      <c r="E6222" s="2">
        <v>2</v>
      </c>
      <c r="F6222" s="2" t="s">
        <v>10086</v>
      </c>
      <c r="H6222" s="2">
        <v>1.6999999999999999E-3</v>
      </c>
      <c r="K6222" s="2" t="s">
        <v>10089</v>
      </c>
    </row>
    <row r="6223" spans="1:11" x14ac:dyDescent="0.2">
      <c r="A6223" s="2">
        <v>1557</v>
      </c>
      <c r="B6223" s="2">
        <v>10</v>
      </c>
      <c r="C6223" s="2">
        <v>77144962</v>
      </c>
      <c r="D6223" s="2">
        <v>78665481</v>
      </c>
      <c r="E6223" s="2">
        <v>3</v>
      </c>
      <c r="F6223" s="2" t="s">
        <v>10086</v>
      </c>
      <c r="H6223" s="2">
        <v>1.2999999999999999E-3</v>
      </c>
      <c r="K6223" s="2" t="s">
        <v>10085</v>
      </c>
    </row>
    <row r="6224" spans="1:11" x14ac:dyDescent="0.2">
      <c r="A6224" s="2">
        <v>1557</v>
      </c>
      <c r="B6224" s="2">
        <v>10</v>
      </c>
      <c r="C6224" s="2">
        <v>77144962</v>
      </c>
      <c r="D6224" s="2">
        <v>78665481</v>
      </c>
      <c r="E6224" s="2">
        <v>4</v>
      </c>
      <c r="F6224" s="2" t="s">
        <v>10086</v>
      </c>
      <c r="H6224" s="3">
        <v>6.9999999999999999E-4</v>
      </c>
      <c r="K6224" s="2" t="s">
        <v>10087</v>
      </c>
    </row>
    <row r="6225" spans="1:11" x14ac:dyDescent="0.2">
      <c r="A6225" s="2">
        <v>1558</v>
      </c>
      <c r="B6225" s="2">
        <v>10</v>
      </c>
      <c r="C6225" s="2">
        <v>78665482</v>
      </c>
      <c r="D6225" s="2">
        <v>79952996</v>
      </c>
      <c r="E6225" s="2">
        <v>1</v>
      </c>
      <c r="F6225" s="2" t="s">
        <v>10086</v>
      </c>
      <c r="H6225" s="2">
        <v>2.8999999999999998E-3</v>
      </c>
      <c r="K6225" s="2" t="s">
        <v>10088</v>
      </c>
    </row>
    <row r="6226" spans="1:11" x14ac:dyDescent="0.2">
      <c r="A6226" s="2">
        <v>1558</v>
      </c>
      <c r="B6226" s="2">
        <v>10</v>
      </c>
      <c r="C6226" s="2">
        <v>78665482</v>
      </c>
      <c r="D6226" s="2">
        <v>79952996</v>
      </c>
      <c r="E6226" s="2">
        <v>2</v>
      </c>
      <c r="F6226" s="2" t="s">
        <v>10086</v>
      </c>
      <c r="H6226" s="2">
        <v>3.0000000000000001E-3</v>
      </c>
      <c r="K6226" s="2" t="s">
        <v>10089</v>
      </c>
    </row>
    <row r="6227" spans="1:11" x14ac:dyDescent="0.2">
      <c r="A6227" s="2">
        <v>1558</v>
      </c>
      <c r="B6227" s="2">
        <v>10</v>
      </c>
      <c r="C6227" s="2">
        <v>78665482</v>
      </c>
      <c r="D6227" s="2">
        <v>79952996</v>
      </c>
      <c r="E6227" s="2">
        <v>3</v>
      </c>
      <c r="F6227" s="2" t="s">
        <v>10086</v>
      </c>
      <c r="H6227" s="3">
        <v>8.9999999999999998E-4</v>
      </c>
      <c r="K6227" s="2" t="s">
        <v>10085</v>
      </c>
    </row>
    <row r="6228" spans="1:11" x14ac:dyDescent="0.2">
      <c r="A6228" s="2">
        <v>1558</v>
      </c>
      <c r="B6228" s="2">
        <v>10</v>
      </c>
      <c r="C6228" s="2">
        <v>78665482</v>
      </c>
      <c r="D6228" s="2">
        <v>79952996</v>
      </c>
      <c r="E6228" s="2">
        <v>4</v>
      </c>
      <c r="F6228" s="2" t="s">
        <v>10086</v>
      </c>
      <c r="H6228" s="3">
        <v>4.0000000000000002E-4</v>
      </c>
      <c r="K6228" s="2" t="s">
        <v>10087</v>
      </c>
    </row>
    <row r="6229" spans="1:11" x14ac:dyDescent="0.2">
      <c r="A6229" s="2">
        <v>1559</v>
      </c>
      <c r="B6229" s="2">
        <v>10</v>
      </c>
      <c r="C6229" s="2">
        <v>79952997</v>
      </c>
      <c r="D6229" s="2">
        <v>81190573</v>
      </c>
      <c r="E6229" s="2">
        <v>1</v>
      </c>
      <c r="F6229" s="2" t="s">
        <v>10086</v>
      </c>
      <c r="H6229" s="2">
        <v>2.3999999999999998E-3</v>
      </c>
      <c r="K6229" s="2" t="s">
        <v>12324</v>
      </c>
    </row>
    <row r="6230" spans="1:11" x14ac:dyDescent="0.2">
      <c r="A6230" s="2">
        <v>1559</v>
      </c>
      <c r="B6230" s="2">
        <v>10</v>
      </c>
      <c r="C6230" s="2">
        <v>79952997</v>
      </c>
      <c r="D6230" s="2">
        <v>81190573</v>
      </c>
      <c r="E6230" s="2">
        <v>2</v>
      </c>
      <c r="F6230" s="2" t="s">
        <v>10086</v>
      </c>
      <c r="H6230" s="2">
        <v>2.0999999999999999E-3</v>
      </c>
      <c r="K6230" s="2" t="s">
        <v>10085</v>
      </c>
    </row>
    <row r="6231" spans="1:11" x14ac:dyDescent="0.2">
      <c r="A6231" s="2">
        <v>1559</v>
      </c>
      <c r="B6231" s="2">
        <v>10</v>
      </c>
      <c r="C6231" s="2">
        <v>79952997</v>
      </c>
      <c r="D6231" s="2">
        <v>81190573</v>
      </c>
      <c r="E6231" s="2">
        <v>3</v>
      </c>
      <c r="F6231" s="2" t="s">
        <v>10086</v>
      </c>
      <c r="H6231" s="2">
        <v>1.1999999999999999E-3</v>
      </c>
      <c r="K6231" s="2" t="s">
        <v>10089</v>
      </c>
    </row>
    <row r="6232" spans="1:11" x14ac:dyDescent="0.2">
      <c r="A6232" s="2">
        <v>1559</v>
      </c>
      <c r="B6232" s="2">
        <v>10</v>
      </c>
      <c r="C6232" s="2">
        <v>79952997</v>
      </c>
      <c r="D6232" s="2">
        <v>81190573</v>
      </c>
      <c r="E6232" s="2">
        <v>4</v>
      </c>
      <c r="F6232" s="2" t="s">
        <v>10086</v>
      </c>
      <c r="H6232" s="2">
        <v>1.1999999999999999E-3</v>
      </c>
      <c r="K6232" s="2" t="s">
        <v>10087</v>
      </c>
    </row>
    <row r="6233" spans="1:11" x14ac:dyDescent="0.2">
      <c r="A6233" s="2">
        <v>1560</v>
      </c>
      <c r="B6233" s="2">
        <v>10</v>
      </c>
      <c r="C6233" s="2">
        <v>81190574</v>
      </c>
      <c r="D6233" s="2">
        <v>81763230</v>
      </c>
      <c r="E6233" s="2">
        <v>1</v>
      </c>
      <c r="F6233" s="2" t="s">
        <v>10086</v>
      </c>
      <c r="H6233" s="2">
        <v>1E-3</v>
      </c>
      <c r="K6233" s="2" t="s">
        <v>10087</v>
      </c>
    </row>
    <row r="6234" spans="1:11" x14ac:dyDescent="0.2">
      <c r="A6234" s="2">
        <v>1560</v>
      </c>
      <c r="B6234" s="2">
        <v>10</v>
      </c>
      <c r="C6234" s="2">
        <v>81190574</v>
      </c>
      <c r="D6234" s="2">
        <v>81763230</v>
      </c>
      <c r="E6234" s="2">
        <v>2</v>
      </c>
      <c r="F6234" s="2" t="s">
        <v>10086</v>
      </c>
      <c r="H6234" s="3">
        <v>6.9999999999999999E-4</v>
      </c>
      <c r="K6234" s="2" t="s">
        <v>10089</v>
      </c>
    </row>
    <row r="6235" spans="1:11" x14ac:dyDescent="0.2">
      <c r="A6235" s="2">
        <v>1560</v>
      </c>
      <c r="B6235" s="2">
        <v>10</v>
      </c>
      <c r="C6235" s="2">
        <v>81190574</v>
      </c>
      <c r="D6235" s="2">
        <v>81763230</v>
      </c>
      <c r="E6235" s="2">
        <v>3</v>
      </c>
      <c r="F6235" s="2" t="s">
        <v>10086</v>
      </c>
      <c r="H6235" s="3">
        <v>5.0000000000000001E-4</v>
      </c>
      <c r="K6235" s="2" t="s">
        <v>10088</v>
      </c>
    </row>
    <row r="6236" spans="1:11" x14ac:dyDescent="0.2">
      <c r="A6236" s="2">
        <v>1560</v>
      </c>
      <c r="B6236" s="2">
        <v>10</v>
      </c>
      <c r="C6236" s="2">
        <v>81190574</v>
      </c>
      <c r="D6236" s="2">
        <v>81763230</v>
      </c>
      <c r="E6236" s="2">
        <v>4</v>
      </c>
      <c r="F6236" s="2" t="s">
        <v>10086</v>
      </c>
      <c r="H6236" s="3">
        <v>2.0000000000000001E-4</v>
      </c>
      <c r="K6236" s="2" t="s">
        <v>10085</v>
      </c>
    </row>
    <row r="6237" spans="1:11" x14ac:dyDescent="0.2">
      <c r="A6237" s="2">
        <v>1561</v>
      </c>
      <c r="B6237" s="2">
        <v>10</v>
      </c>
      <c r="C6237" s="2">
        <v>81763231</v>
      </c>
      <c r="D6237" s="2">
        <v>82378048</v>
      </c>
      <c r="E6237" s="2">
        <v>1</v>
      </c>
      <c r="F6237" s="2" t="s">
        <v>10086</v>
      </c>
      <c r="H6237" s="2">
        <v>2.3E-3</v>
      </c>
      <c r="K6237" s="2" t="s">
        <v>10089</v>
      </c>
    </row>
    <row r="6238" spans="1:11" x14ac:dyDescent="0.2">
      <c r="A6238" s="2">
        <v>1561</v>
      </c>
      <c r="B6238" s="2">
        <v>10</v>
      </c>
      <c r="C6238" s="2">
        <v>81763231</v>
      </c>
      <c r="D6238" s="2">
        <v>82378048</v>
      </c>
      <c r="E6238" s="2">
        <v>2</v>
      </c>
      <c r="F6238" s="2" t="s">
        <v>10086</v>
      </c>
      <c r="H6238" s="2">
        <v>1.5E-3</v>
      </c>
      <c r="K6238" s="2" t="s">
        <v>10087</v>
      </c>
    </row>
    <row r="6239" spans="1:11" x14ac:dyDescent="0.2">
      <c r="A6239" s="2">
        <v>1561</v>
      </c>
      <c r="B6239" s="2">
        <v>10</v>
      </c>
      <c r="C6239" s="2">
        <v>81763231</v>
      </c>
      <c r="D6239" s="2">
        <v>82378048</v>
      </c>
      <c r="E6239" s="2">
        <v>3</v>
      </c>
      <c r="F6239" s="2" t="s">
        <v>10086</v>
      </c>
      <c r="H6239" s="3">
        <v>5.0000000000000001E-4</v>
      </c>
      <c r="K6239" s="2" t="s">
        <v>10088</v>
      </c>
    </row>
    <row r="6240" spans="1:11" x14ac:dyDescent="0.2">
      <c r="A6240" s="2">
        <v>1561</v>
      </c>
      <c r="B6240" s="2">
        <v>10</v>
      </c>
      <c r="C6240" s="2">
        <v>81763231</v>
      </c>
      <c r="D6240" s="2">
        <v>82378048</v>
      </c>
      <c r="E6240" s="2">
        <v>4</v>
      </c>
      <c r="F6240" s="2" t="s">
        <v>10086</v>
      </c>
      <c r="H6240" s="3">
        <v>2.0000000000000001E-4</v>
      </c>
      <c r="K6240" s="2" t="s">
        <v>10085</v>
      </c>
    </row>
    <row r="6241" spans="1:11" x14ac:dyDescent="0.2">
      <c r="A6241" s="2">
        <v>1562</v>
      </c>
      <c r="B6241" s="2">
        <v>10</v>
      </c>
      <c r="C6241" s="2">
        <v>82378049</v>
      </c>
      <c r="D6241" s="2">
        <v>83596350</v>
      </c>
      <c r="E6241" s="2">
        <v>1</v>
      </c>
      <c r="F6241" s="2" t="s">
        <v>10086</v>
      </c>
      <c r="H6241" s="2">
        <v>3.7000000000000002E-3</v>
      </c>
      <c r="K6241" s="2" t="s">
        <v>10087</v>
      </c>
    </row>
    <row r="6242" spans="1:11" x14ac:dyDescent="0.2">
      <c r="A6242" s="2">
        <v>1562</v>
      </c>
      <c r="B6242" s="2">
        <v>10</v>
      </c>
      <c r="C6242" s="2">
        <v>82378049</v>
      </c>
      <c r="D6242" s="2">
        <v>83596350</v>
      </c>
      <c r="E6242" s="2">
        <v>2</v>
      </c>
      <c r="F6242" s="2" t="s">
        <v>10086</v>
      </c>
      <c r="H6242" s="2">
        <v>2.2000000000000001E-3</v>
      </c>
      <c r="K6242" s="2" t="s">
        <v>12324</v>
      </c>
    </row>
    <row r="6243" spans="1:11" x14ac:dyDescent="0.2">
      <c r="A6243" s="2">
        <v>1562</v>
      </c>
      <c r="B6243" s="2">
        <v>10</v>
      </c>
      <c r="C6243" s="2">
        <v>82378049</v>
      </c>
      <c r="D6243" s="2">
        <v>83596350</v>
      </c>
      <c r="E6243" s="2">
        <v>3</v>
      </c>
      <c r="F6243" s="2" t="s">
        <v>10086</v>
      </c>
      <c r="H6243" s="2">
        <v>1.1000000000000001E-3</v>
      </c>
      <c r="K6243" s="2" t="s">
        <v>10085</v>
      </c>
    </row>
    <row r="6244" spans="1:11" x14ac:dyDescent="0.2">
      <c r="A6244" s="2">
        <v>1562</v>
      </c>
      <c r="B6244" s="2">
        <v>10</v>
      </c>
      <c r="C6244" s="2">
        <v>82378049</v>
      </c>
      <c r="D6244" s="2">
        <v>83596350</v>
      </c>
      <c r="E6244" s="2">
        <v>4</v>
      </c>
      <c r="F6244" s="2" t="s">
        <v>10086</v>
      </c>
      <c r="H6244" s="3">
        <v>8.9999999999999998E-4</v>
      </c>
      <c r="K6244" s="2" t="s">
        <v>10089</v>
      </c>
    </row>
    <row r="6245" spans="1:11" x14ac:dyDescent="0.2">
      <c r="A6245" s="2">
        <v>1563</v>
      </c>
      <c r="B6245" s="2">
        <v>10</v>
      </c>
      <c r="C6245" s="2">
        <v>83596351</v>
      </c>
      <c r="D6245" s="2">
        <v>84679429</v>
      </c>
      <c r="E6245" s="2">
        <v>1</v>
      </c>
      <c r="F6245" s="2" t="s">
        <v>10086</v>
      </c>
      <c r="H6245" s="2">
        <v>3.8E-3</v>
      </c>
      <c r="K6245" s="2" t="s">
        <v>10085</v>
      </c>
    </row>
    <row r="6246" spans="1:11" x14ac:dyDescent="0.2">
      <c r="A6246" s="2">
        <v>1563</v>
      </c>
      <c r="B6246" s="2">
        <v>10</v>
      </c>
      <c r="C6246" s="2">
        <v>83596351</v>
      </c>
      <c r="D6246" s="2">
        <v>84679429</v>
      </c>
      <c r="E6246" s="2">
        <v>2</v>
      </c>
      <c r="F6246" s="2" t="s">
        <v>10086</v>
      </c>
      <c r="H6246" s="2">
        <v>1.6000000000000001E-3</v>
      </c>
      <c r="K6246" s="2" t="s">
        <v>10087</v>
      </c>
    </row>
    <row r="6247" spans="1:11" x14ac:dyDescent="0.2">
      <c r="A6247" s="2">
        <v>1563</v>
      </c>
      <c r="B6247" s="2">
        <v>10</v>
      </c>
      <c r="C6247" s="2">
        <v>83596351</v>
      </c>
      <c r="D6247" s="2">
        <v>84679429</v>
      </c>
      <c r="E6247" s="2">
        <v>3</v>
      </c>
      <c r="F6247" s="2" t="s">
        <v>10086</v>
      </c>
      <c r="H6247" s="2">
        <v>1E-3</v>
      </c>
      <c r="K6247" s="2" t="s">
        <v>10089</v>
      </c>
    </row>
    <row r="6248" spans="1:11" x14ac:dyDescent="0.2">
      <c r="A6248" s="2">
        <v>1563</v>
      </c>
      <c r="B6248" s="2">
        <v>10</v>
      </c>
      <c r="C6248" s="2">
        <v>83596351</v>
      </c>
      <c r="D6248" s="2">
        <v>84679429</v>
      </c>
      <c r="E6248" s="2">
        <v>4</v>
      </c>
      <c r="F6248" s="2" t="s">
        <v>10086</v>
      </c>
      <c r="H6248" s="3">
        <v>6.9999999999999999E-4</v>
      </c>
      <c r="K6248" s="2" t="s">
        <v>12324</v>
      </c>
    </row>
    <row r="6249" spans="1:11" x14ac:dyDescent="0.2">
      <c r="A6249" s="2">
        <v>1564</v>
      </c>
      <c r="B6249" s="2">
        <v>10</v>
      </c>
      <c r="C6249" s="2">
        <v>84679430</v>
      </c>
      <c r="D6249" s="2">
        <v>85463484</v>
      </c>
      <c r="E6249" s="2">
        <v>1</v>
      </c>
      <c r="F6249" s="2" t="s">
        <v>10086</v>
      </c>
      <c r="H6249" s="2">
        <v>2.5000000000000001E-3</v>
      </c>
      <c r="K6249" s="2" t="s">
        <v>10085</v>
      </c>
    </row>
    <row r="6250" spans="1:11" x14ac:dyDescent="0.2">
      <c r="A6250" s="2">
        <v>1564</v>
      </c>
      <c r="B6250" s="2">
        <v>10</v>
      </c>
      <c r="C6250" s="2">
        <v>84679430</v>
      </c>
      <c r="D6250" s="2">
        <v>85463484</v>
      </c>
      <c r="E6250" s="2">
        <v>2</v>
      </c>
      <c r="F6250" s="2" t="s">
        <v>10086</v>
      </c>
      <c r="H6250" s="2">
        <v>1.2999999999999999E-3</v>
      </c>
      <c r="K6250" s="2" t="s">
        <v>10089</v>
      </c>
    </row>
    <row r="6251" spans="1:11" x14ac:dyDescent="0.2">
      <c r="A6251" s="2">
        <v>1564</v>
      </c>
      <c r="B6251" s="2">
        <v>10</v>
      </c>
      <c r="C6251" s="2">
        <v>84679430</v>
      </c>
      <c r="D6251" s="2">
        <v>85463484</v>
      </c>
      <c r="E6251" s="2">
        <v>3</v>
      </c>
      <c r="F6251" s="2" t="s">
        <v>10086</v>
      </c>
      <c r="H6251" s="2">
        <v>1E-3</v>
      </c>
      <c r="K6251" s="2" t="s">
        <v>12324</v>
      </c>
    </row>
    <row r="6252" spans="1:11" x14ac:dyDescent="0.2">
      <c r="A6252" s="2">
        <v>1564</v>
      </c>
      <c r="B6252" s="2">
        <v>10</v>
      </c>
      <c r="C6252" s="2">
        <v>84679430</v>
      </c>
      <c r="D6252" s="2">
        <v>85463484</v>
      </c>
      <c r="E6252" s="2">
        <v>4</v>
      </c>
      <c r="F6252" s="2" t="s">
        <v>10086</v>
      </c>
      <c r="H6252" s="2">
        <v>1.1000000000000001E-3</v>
      </c>
      <c r="K6252" s="2" t="s">
        <v>10087</v>
      </c>
    </row>
    <row r="6253" spans="1:11" x14ac:dyDescent="0.2">
      <c r="A6253" s="2">
        <v>1565</v>
      </c>
      <c r="B6253" s="2">
        <v>10</v>
      </c>
      <c r="C6253" s="2">
        <v>85463485</v>
      </c>
      <c r="D6253" s="2">
        <v>86459980</v>
      </c>
      <c r="E6253" s="2">
        <v>1</v>
      </c>
      <c r="F6253" s="2" t="s">
        <v>10086</v>
      </c>
      <c r="H6253" s="2">
        <v>3.2000000000000002E-3</v>
      </c>
      <c r="K6253" s="2" t="s">
        <v>10085</v>
      </c>
    </row>
    <row r="6254" spans="1:11" x14ac:dyDescent="0.2">
      <c r="A6254" s="2">
        <v>1565</v>
      </c>
      <c r="B6254" s="2">
        <v>10</v>
      </c>
      <c r="C6254" s="2">
        <v>85463485</v>
      </c>
      <c r="D6254" s="2">
        <v>86459980</v>
      </c>
      <c r="E6254" s="2">
        <v>2</v>
      </c>
      <c r="F6254" s="2" t="s">
        <v>10086</v>
      </c>
      <c r="H6254" s="2">
        <v>1.2999999999999999E-3</v>
      </c>
      <c r="K6254" s="2" t="s">
        <v>10089</v>
      </c>
    </row>
    <row r="6255" spans="1:11" x14ac:dyDescent="0.2">
      <c r="A6255" s="2">
        <v>1565</v>
      </c>
      <c r="B6255" s="2">
        <v>10</v>
      </c>
      <c r="C6255" s="2">
        <v>85463485</v>
      </c>
      <c r="D6255" s="2">
        <v>86459980</v>
      </c>
      <c r="E6255" s="2">
        <v>3</v>
      </c>
      <c r="F6255" s="2" t="s">
        <v>10086</v>
      </c>
      <c r="H6255" s="3">
        <v>8.9999999999999998E-4</v>
      </c>
      <c r="K6255" s="2" t="s">
        <v>10088</v>
      </c>
    </row>
    <row r="6256" spans="1:11" x14ac:dyDescent="0.2">
      <c r="A6256" s="2">
        <v>1565</v>
      </c>
      <c r="B6256" s="2">
        <v>10</v>
      </c>
      <c r="C6256" s="2">
        <v>85463485</v>
      </c>
      <c r="D6256" s="2">
        <v>86459980</v>
      </c>
      <c r="E6256" s="2">
        <v>4</v>
      </c>
      <c r="F6256" s="2" t="s">
        <v>10086</v>
      </c>
      <c r="H6256" s="3">
        <v>2.9999999999999997E-4</v>
      </c>
      <c r="K6256" s="2" t="s">
        <v>10087</v>
      </c>
    </row>
    <row r="6257" spans="1:11" x14ac:dyDescent="0.2">
      <c r="A6257" s="2">
        <v>1566</v>
      </c>
      <c r="B6257" s="2">
        <v>10</v>
      </c>
      <c r="C6257" s="2">
        <v>86459981</v>
      </c>
      <c r="D6257" s="2">
        <v>87287935</v>
      </c>
      <c r="E6257" s="2">
        <v>1</v>
      </c>
      <c r="F6257" s="2" t="s">
        <v>10086</v>
      </c>
      <c r="H6257" s="2">
        <v>1.8E-3</v>
      </c>
      <c r="K6257" s="2" t="s">
        <v>10085</v>
      </c>
    </row>
    <row r="6258" spans="1:11" x14ac:dyDescent="0.2">
      <c r="A6258" s="2">
        <v>1566</v>
      </c>
      <c r="B6258" s="2">
        <v>10</v>
      </c>
      <c r="C6258" s="2">
        <v>86459981</v>
      </c>
      <c r="D6258" s="2">
        <v>87287935</v>
      </c>
      <c r="E6258" s="2">
        <v>2</v>
      </c>
      <c r="F6258" s="2" t="s">
        <v>10086</v>
      </c>
      <c r="H6258" s="3">
        <v>8.0000000000000004E-4</v>
      </c>
      <c r="K6258" s="2" t="s">
        <v>10088</v>
      </c>
    </row>
    <row r="6259" spans="1:11" x14ac:dyDescent="0.2">
      <c r="A6259" s="2">
        <v>1566</v>
      </c>
      <c r="B6259" s="2">
        <v>10</v>
      </c>
      <c r="C6259" s="2">
        <v>86459981</v>
      </c>
      <c r="D6259" s="2">
        <v>87287935</v>
      </c>
      <c r="E6259" s="2">
        <v>3</v>
      </c>
      <c r="F6259" s="2" t="s">
        <v>10086</v>
      </c>
      <c r="H6259" s="3">
        <v>6.9999999999999999E-4</v>
      </c>
      <c r="K6259" s="2" t="s">
        <v>10089</v>
      </c>
    </row>
    <row r="6260" spans="1:11" x14ac:dyDescent="0.2">
      <c r="A6260" s="2">
        <v>1566</v>
      </c>
      <c r="B6260" s="2">
        <v>10</v>
      </c>
      <c r="C6260" s="2">
        <v>86459981</v>
      </c>
      <c r="D6260" s="2">
        <v>87287935</v>
      </c>
      <c r="E6260" s="2">
        <v>4</v>
      </c>
      <c r="F6260" s="2" t="s">
        <v>10086</v>
      </c>
      <c r="H6260" s="3">
        <v>2.9999999999999997E-4</v>
      </c>
      <c r="K6260" s="2" t="s">
        <v>10087</v>
      </c>
    </row>
    <row r="6261" spans="1:11" x14ac:dyDescent="0.2">
      <c r="A6261" s="2">
        <v>1567</v>
      </c>
      <c r="B6261" s="2">
        <v>10</v>
      </c>
      <c r="C6261" s="2">
        <v>87287936</v>
      </c>
      <c r="D6261" s="2">
        <v>88443652</v>
      </c>
      <c r="E6261" s="2">
        <v>1</v>
      </c>
      <c r="F6261" s="2" t="s">
        <v>10086</v>
      </c>
      <c r="H6261" s="2">
        <v>2.8999999999999998E-3</v>
      </c>
      <c r="K6261" s="2" t="s">
        <v>10087</v>
      </c>
    </row>
    <row r="6262" spans="1:11" x14ac:dyDescent="0.2">
      <c r="A6262" s="2">
        <v>1567</v>
      </c>
      <c r="B6262" s="2">
        <v>10</v>
      </c>
      <c r="C6262" s="2">
        <v>87287936</v>
      </c>
      <c r="D6262" s="2">
        <v>88443652</v>
      </c>
      <c r="E6262" s="2">
        <v>2</v>
      </c>
      <c r="F6262" s="2" t="s">
        <v>10086</v>
      </c>
      <c r="H6262" s="2">
        <v>1.2999999999999999E-3</v>
      </c>
      <c r="K6262" s="2" t="s">
        <v>10088</v>
      </c>
    </row>
    <row r="6263" spans="1:11" x14ac:dyDescent="0.2">
      <c r="A6263" s="2">
        <v>1567</v>
      </c>
      <c r="B6263" s="2">
        <v>10</v>
      </c>
      <c r="C6263" s="2">
        <v>87287936</v>
      </c>
      <c r="D6263" s="2">
        <v>88443652</v>
      </c>
      <c r="E6263" s="2">
        <v>3</v>
      </c>
      <c r="F6263" s="2" t="s">
        <v>10086</v>
      </c>
      <c r="H6263" s="3">
        <v>8.9999999999999998E-4</v>
      </c>
      <c r="K6263" s="2" t="s">
        <v>10085</v>
      </c>
    </row>
    <row r="6264" spans="1:11" x14ac:dyDescent="0.2">
      <c r="A6264" s="2">
        <v>1567</v>
      </c>
      <c r="B6264" s="2">
        <v>10</v>
      </c>
      <c r="C6264" s="2">
        <v>87287936</v>
      </c>
      <c r="D6264" s="2">
        <v>88443652</v>
      </c>
      <c r="E6264" s="2">
        <v>4</v>
      </c>
      <c r="F6264" s="2" t="s">
        <v>10086</v>
      </c>
      <c r="H6264" s="3">
        <v>5.0000000000000001E-4</v>
      </c>
      <c r="K6264" s="2" t="s">
        <v>10089</v>
      </c>
    </row>
    <row r="6265" spans="1:11" x14ac:dyDescent="0.2">
      <c r="A6265" s="2">
        <v>1568</v>
      </c>
      <c r="B6265" s="2">
        <v>10</v>
      </c>
      <c r="C6265" s="2">
        <v>88443653</v>
      </c>
      <c r="D6265" s="2">
        <v>89971628</v>
      </c>
      <c r="E6265" s="2">
        <v>1</v>
      </c>
      <c r="F6265" s="2" t="s">
        <v>10086</v>
      </c>
      <c r="H6265" s="2">
        <v>2.3E-3</v>
      </c>
      <c r="K6265" s="2" t="s">
        <v>10087</v>
      </c>
    </row>
    <row r="6266" spans="1:11" x14ac:dyDescent="0.2">
      <c r="A6266" s="2">
        <v>1568</v>
      </c>
      <c r="B6266" s="2">
        <v>10</v>
      </c>
      <c r="C6266" s="2">
        <v>88443653</v>
      </c>
      <c r="D6266" s="2">
        <v>89971628</v>
      </c>
      <c r="E6266" s="2">
        <v>2</v>
      </c>
      <c r="F6266" s="2" t="s">
        <v>10086</v>
      </c>
      <c r="H6266" s="2">
        <v>1.8E-3</v>
      </c>
      <c r="K6266" s="2" t="s">
        <v>10089</v>
      </c>
    </row>
    <row r="6267" spans="1:11" x14ac:dyDescent="0.2">
      <c r="A6267" s="2">
        <v>1568</v>
      </c>
      <c r="B6267" s="2">
        <v>10</v>
      </c>
      <c r="C6267" s="2">
        <v>88443653</v>
      </c>
      <c r="D6267" s="2">
        <v>89971628</v>
      </c>
      <c r="E6267" s="2">
        <v>3</v>
      </c>
      <c r="F6267" s="2" t="s">
        <v>10086</v>
      </c>
      <c r="H6267" s="2">
        <v>1E-3</v>
      </c>
      <c r="K6267" s="2" t="s">
        <v>10085</v>
      </c>
    </row>
    <row r="6268" spans="1:11" x14ac:dyDescent="0.2">
      <c r="A6268" s="2">
        <v>1568</v>
      </c>
      <c r="B6268" s="2">
        <v>10</v>
      </c>
      <c r="C6268" s="2">
        <v>88443653</v>
      </c>
      <c r="D6268" s="2">
        <v>89971628</v>
      </c>
      <c r="E6268" s="2">
        <v>4</v>
      </c>
      <c r="F6268" s="2" t="s">
        <v>10086</v>
      </c>
      <c r="H6268" s="3">
        <v>5.0000000000000001E-4</v>
      </c>
      <c r="K6268" s="2" t="s">
        <v>10088</v>
      </c>
    </row>
    <row r="6269" spans="1:11" x14ac:dyDescent="0.2">
      <c r="A6269" s="2">
        <v>1569</v>
      </c>
      <c r="B6269" s="2">
        <v>10</v>
      </c>
      <c r="C6269" s="2">
        <v>89971629</v>
      </c>
      <c r="D6269" s="2">
        <v>91021321</v>
      </c>
      <c r="E6269" s="2">
        <v>1</v>
      </c>
      <c r="F6269" s="2" t="s">
        <v>10086</v>
      </c>
      <c r="H6269" s="2">
        <v>1.4E-3</v>
      </c>
      <c r="K6269" s="2" t="s">
        <v>10087</v>
      </c>
    </row>
    <row r="6270" spans="1:11" x14ac:dyDescent="0.2">
      <c r="A6270" s="2">
        <v>1569</v>
      </c>
      <c r="B6270" s="2">
        <v>10</v>
      </c>
      <c r="C6270" s="2">
        <v>89971629</v>
      </c>
      <c r="D6270" s="2">
        <v>91021321</v>
      </c>
      <c r="E6270" s="2">
        <v>2</v>
      </c>
      <c r="F6270" s="2" t="s">
        <v>10086</v>
      </c>
      <c r="H6270" s="2">
        <v>1.1000000000000001E-3</v>
      </c>
      <c r="K6270" s="2" t="s">
        <v>10089</v>
      </c>
    </row>
    <row r="6271" spans="1:11" x14ac:dyDescent="0.2">
      <c r="A6271" s="2">
        <v>1569</v>
      </c>
      <c r="B6271" s="2">
        <v>10</v>
      </c>
      <c r="C6271" s="2">
        <v>89971629</v>
      </c>
      <c r="D6271" s="2">
        <v>91021321</v>
      </c>
      <c r="E6271" s="2">
        <v>3</v>
      </c>
      <c r="F6271" s="2" t="s">
        <v>10086</v>
      </c>
      <c r="H6271" s="3">
        <v>6.9999999999999999E-4</v>
      </c>
      <c r="K6271" s="2" t="s">
        <v>10085</v>
      </c>
    </row>
    <row r="6272" spans="1:11" x14ac:dyDescent="0.2">
      <c r="A6272" s="2">
        <v>1569</v>
      </c>
      <c r="B6272" s="2">
        <v>10</v>
      </c>
      <c r="C6272" s="2">
        <v>89971629</v>
      </c>
      <c r="D6272" s="2">
        <v>91021321</v>
      </c>
      <c r="E6272" s="2">
        <v>4</v>
      </c>
      <c r="F6272" s="2" t="s">
        <v>10086</v>
      </c>
      <c r="H6272" s="3">
        <v>5.0000000000000001E-4</v>
      </c>
      <c r="K6272" s="2" t="s">
        <v>10088</v>
      </c>
    </row>
    <row r="6273" spans="1:11" x14ac:dyDescent="0.2">
      <c r="A6273" s="2">
        <v>1570</v>
      </c>
      <c r="B6273" s="2">
        <v>10</v>
      </c>
      <c r="C6273" s="2">
        <v>91021322</v>
      </c>
      <c r="D6273" s="2">
        <v>91960435</v>
      </c>
      <c r="E6273" s="2">
        <v>1</v>
      </c>
      <c r="F6273" s="2" t="s">
        <v>10086</v>
      </c>
      <c r="H6273" s="2">
        <v>1E-3</v>
      </c>
      <c r="K6273" s="2" t="s">
        <v>10085</v>
      </c>
    </row>
    <row r="6274" spans="1:11" x14ac:dyDescent="0.2">
      <c r="A6274" s="2">
        <v>1570</v>
      </c>
      <c r="B6274" s="2">
        <v>10</v>
      </c>
      <c r="C6274" s="2">
        <v>91021322</v>
      </c>
      <c r="D6274" s="2">
        <v>91960435</v>
      </c>
      <c r="E6274" s="2">
        <v>2</v>
      </c>
      <c r="F6274" s="2" t="s">
        <v>10086</v>
      </c>
      <c r="H6274" s="2">
        <v>1.2999999999999999E-3</v>
      </c>
      <c r="K6274" s="2" t="s">
        <v>10088</v>
      </c>
    </row>
    <row r="6275" spans="1:11" x14ac:dyDescent="0.2">
      <c r="A6275" s="2">
        <v>1570</v>
      </c>
      <c r="B6275" s="2">
        <v>10</v>
      </c>
      <c r="C6275" s="2">
        <v>91021322</v>
      </c>
      <c r="D6275" s="2">
        <v>91960435</v>
      </c>
      <c r="E6275" s="2">
        <v>3</v>
      </c>
      <c r="F6275" s="2" t="s">
        <v>10086</v>
      </c>
      <c r="H6275" s="3">
        <v>8.9999999999999998E-4</v>
      </c>
      <c r="K6275" s="2" t="s">
        <v>10089</v>
      </c>
    </row>
    <row r="6276" spans="1:11" x14ac:dyDescent="0.2">
      <c r="A6276" s="2">
        <v>1570</v>
      </c>
      <c r="B6276" s="2">
        <v>10</v>
      </c>
      <c r="C6276" s="2">
        <v>91021322</v>
      </c>
      <c r="D6276" s="2">
        <v>91960435</v>
      </c>
      <c r="E6276" s="2">
        <v>4</v>
      </c>
      <c r="F6276" s="2" t="s">
        <v>10086</v>
      </c>
      <c r="H6276" s="3">
        <v>4.0000000000000002E-4</v>
      </c>
      <c r="K6276" s="2" t="s">
        <v>10087</v>
      </c>
    </row>
    <row r="6277" spans="1:11" x14ac:dyDescent="0.2">
      <c r="A6277" s="2">
        <v>1571</v>
      </c>
      <c r="B6277" s="2">
        <v>10</v>
      </c>
      <c r="C6277" s="2">
        <v>91960436</v>
      </c>
      <c r="D6277" s="2">
        <v>92911506</v>
      </c>
      <c r="E6277" s="2">
        <v>1</v>
      </c>
      <c r="F6277" s="2" t="s">
        <v>10086</v>
      </c>
      <c r="H6277" s="2">
        <v>7.1999999999999998E-3</v>
      </c>
      <c r="K6277" s="2" t="s">
        <v>10089</v>
      </c>
    </row>
    <row r="6278" spans="1:11" x14ac:dyDescent="0.2">
      <c r="A6278" s="2">
        <v>1571</v>
      </c>
      <c r="B6278" s="2">
        <v>10</v>
      </c>
      <c r="C6278" s="2">
        <v>91960436</v>
      </c>
      <c r="D6278" s="2">
        <v>92911506</v>
      </c>
      <c r="E6278" s="2">
        <v>2</v>
      </c>
      <c r="F6278" s="2" t="s">
        <v>10086</v>
      </c>
      <c r="H6278" s="2">
        <v>1.1999999999999999E-3</v>
      </c>
      <c r="K6278" s="2" t="s">
        <v>10085</v>
      </c>
    </row>
    <row r="6279" spans="1:11" x14ac:dyDescent="0.2">
      <c r="A6279" s="2">
        <v>1571</v>
      </c>
      <c r="B6279" s="2">
        <v>10</v>
      </c>
      <c r="C6279" s="2">
        <v>91960436</v>
      </c>
      <c r="D6279" s="2">
        <v>92911506</v>
      </c>
      <c r="E6279" s="2">
        <v>3</v>
      </c>
      <c r="F6279" s="2" t="s">
        <v>10086</v>
      </c>
      <c r="H6279" s="3">
        <v>8.0000000000000004E-4</v>
      </c>
      <c r="K6279" s="2" t="s">
        <v>10088</v>
      </c>
    </row>
    <row r="6280" spans="1:11" x14ac:dyDescent="0.2">
      <c r="A6280" s="2">
        <v>1571</v>
      </c>
      <c r="B6280" s="2">
        <v>10</v>
      </c>
      <c r="C6280" s="2">
        <v>91960436</v>
      </c>
      <c r="D6280" s="2">
        <v>92911506</v>
      </c>
      <c r="E6280" s="2">
        <v>4</v>
      </c>
      <c r="F6280" s="2" t="s">
        <v>10086</v>
      </c>
      <c r="H6280" s="3">
        <v>4.0000000000000002E-4</v>
      </c>
      <c r="K6280" s="2" t="s">
        <v>10087</v>
      </c>
    </row>
    <row r="6281" spans="1:11" x14ac:dyDescent="0.2">
      <c r="A6281" s="2">
        <v>1572</v>
      </c>
      <c r="B6281" s="2">
        <v>10</v>
      </c>
      <c r="C6281" s="2">
        <v>92911507</v>
      </c>
      <c r="D6281" s="2">
        <v>94503299</v>
      </c>
      <c r="E6281" s="2">
        <v>1</v>
      </c>
      <c r="F6281" s="2" t="s">
        <v>10086</v>
      </c>
      <c r="H6281" s="2">
        <v>1.8E-3</v>
      </c>
      <c r="K6281" s="2" t="s">
        <v>10088</v>
      </c>
    </row>
    <row r="6282" spans="1:11" x14ac:dyDescent="0.2">
      <c r="A6282" s="2">
        <v>1572</v>
      </c>
      <c r="B6282" s="2">
        <v>10</v>
      </c>
      <c r="C6282" s="2">
        <v>92911507</v>
      </c>
      <c r="D6282" s="2">
        <v>94503299</v>
      </c>
      <c r="E6282" s="2">
        <v>2</v>
      </c>
      <c r="F6282" s="2" t="s">
        <v>10086</v>
      </c>
      <c r="H6282" s="2">
        <v>1.6000000000000001E-3</v>
      </c>
      <c r="K6282" s="2" t="s">
        <v>10087</v>
      </c>
    </row>
    <row r="6283" spans="1:11" x14ac:dyDescent="0.2">
      <c r="A6283" s="2">
        <v>1572</v>
      </c>
      <c r="B6283" s="2">
        <v>10</v>
      </c>
      <c r="C6283" s="2">
        <v>92911507</v>
      </c>
      <c r="D6283" s="2">
        <v>94503299</v>
      </c>
      <c r="E6283" s="2">
        <v>3</v>
      </c>
      <c r="F6283" s="2" t="s">
        <v>10086</v>
      </c>
      <c r="H6283" s="2">
        <v>1.1999999999999999E-3</v>
      </c>
      <c r="K6283" s="2" t="s">
        <v>10085</v>
      </c>
    </row>
    <row r="6284" spans="1:11" x14ac:dyDescent="0.2">
      <c r="A6284" s="2">
        <v>1572</v>
      </c>
      <c r="B6284" s="2">
        <v>10</v>
      </c>
      <c r="C6284" s="2">
        <v>92911507</v>
      </c>
      <c r="D6284" s="2">
        <v>94503299</v>
      </c>
      <c r="E6284" s="2">
        <v>4</v>
      </c>
      <c r="F6284" s="2" t="s">
        <v>10086</v>
      </c>
      <c r="H6284" s="2">
        <v>1E-3</v>
      </c>
      <c r="K6284" s="2" t="s">
        <v>10089</v>
      </c>
    </row>
    <row r="6285" spans="1:11" x14ac:dyDescent="0.2">
      <c r="A6285" s="2">
        <v>1573</v>
      </c>
      <c r="B6285" s="2">
        <v>10</v>
      </c>
      <c r="C6285" s="2">
        <v>94503300</v>
      </c>
      <c r="D6285" s="2">
        <v>95528160</v>
      </c>
      <c r="E6285" s="2">
        <v>1</v>
      </c>
      <c r="F6285" s="2" t="s">
        <v>10086</v>
      </c>
      <c r="H6285" s="2">
        <v>3.9300000000000002E-2</v>
      </c>
      <c r="K6285" s="2" t="s">
        <v>12324</v>
      </c>
    </row>
    <row r="6286" spans="1:11" x14ac:dyDescent="0.2">
      <c r="A6286" s="2">
        <v>1573</v>
      </c>
      <c r="B6286" s="2">
        <v>10</v>
      </c>
      <c r="C6286" s="2">
        <v>94503300</v>
      </c>
      <c r="D6286" s="2">
        <v>95528160</v>
      </c>
      <c r="E6286" s="2">
        <v>2</v>
      </c>
      <c r="F6286" s="2" t="s">
        <v>10086</v>
      </c>
      <c r="H6286" s="2">
        <v>2.8999999999999998E-3</v>
      </c>
      <c r="K6286" s="2" t="s">
        <v>10085</v>
      </c>
    </row>
    <row r="6287" spans="1:11" x14ac:dyDescent="0.2">
      <c r="A6287" s="2">
        <v>1573</v>
      </c>
      <c r="B6287" s="2">
        <v>10</v>
      </c>
      <c r="C6287" s="2">
        <v>94503300</v>
      </c>
      <c r="D6287" s="2">
        <v>95528160</v>
      </c>
      <c r="E6287" s="2">
        <v>3</v>
      </c>
      <c r="F6287" s="2" t="s">
        <v>10086</v>
      </c>
      <c r="H6287" s="2">
        <v>5.1999999999999998E-3</v>
      </c>
      <c r="K6287" s="2" t="s">
        <v>10088</v>
      </c>
    </row>
    <row r="6288" spans="1:11" x14ac:dyDescent="0.2">
      <c r="A6288" s="2">
        <v>1573</v>
      </c>
      <c r="B6288" s="2">
        <v>10</v>
      </c>
      <c r="C6288" s="2">
        <v>94503300</v>
      </c>
      <c r="D6288" s="2">
        <v>95528160</v>
      </c>
      <c r="E6288" s="2">
        <v>4</v>
      </c>
      <c r="F6288" s="2" t="s">
        <v>10086</v>
      </c>
      <c r="H6288" s="2">
        <v>1.6000000000000001E-3</v>
      </c>
      <c r="K6288" s="2" t="s">
        <v>10089</v>
      </c>
    </row>
    <row r="6289" spans="1:11" x14ac:dyDescent="0.2">
      <c r="A6289" s="2">
        <v>1574</v>
      </c>
      <c r="B6289" s="2">
        <v>10</v>
      </c>
      <c r="C6289" s="2">
        <v>95528161</v>
      </c>
      <c r="D6289" s="2">
        <v>97040172</v>
      </c>
      <c r="E6289" s="2">
        <v>1</v>
      </c>
      <c r="F6289" s="2" t="s">
        <v>10086</v>
      </c>
      <c r="H6289" s="2">
        <v>3.3E-3</v>
      </c>
      <c r="K6289" s="2" t="s">
        <v>12324</v>
      </c>
    </row>
    <row r="6290" spans="1:11" x14ac:dyDescent="0.2">
      <c r="A6290" s="2">
        <v>1574</v>
      </c>
      <c r="B6290" s="2">
        <v>10</v>
      </c>
      <c r="C6290" s="2">
        <v>95528161</v>
      </c>
      <c r="D6290" s="2">
        <v>97040172</v>
      </c>
      <c r="E6290" s="2">
        <v>2</v>
      </c>
      <c r="F6290" s="2" t="s">
        <v>10086</v>
      </c>
      <c r="H6290" s="2">
        <v>1.1000000000000001E-3</v>
      </c>
      <c r="K6290" s="2" t="s">
        <v>10085</v>
      </c>
    </row>
    <row r="6291" spans="1:11" x14ac:dyDescent="0.2">
      <c r="A6291" s="2">
        <v>1574</v>
      </c>
      <c r="B6291" s="2">
        <v>10</v>
      </c>
      <c r="C6291" s="2">
        <v>95528161</v>
      </c>
      <c r="D6291" s="2">
        <v>97040172</v>
      </c>
      <c r="E6291" s="2">
        <v>3</v>
      </c>
      <c r="F6291" s="2" t="s">
        <v>10086</v>
      </c>
      <c r="H6291" s="3">
        <v>8.9999999999999998E-4</v>
      </c>
      <c r="K6291" s="2" t="s">
        <v>10087</v>
      </c>
    </row>
    <row r="6292" spans="1:11" x14ac:dyDescent="0.2">
      <c r="A6292" s="2">
        <v>1574</v>
      </c>
      <c r="B6292" s="2">
        <v>10</v>
      </c>
      <c r="C6292" s="2">
        <v>95528161</v>
      </c>
      <c r="D6292" s="2">
        <v>97040172</v>
      </c>
      <c r="E6292" s="2">
        <v>4</v>
      </c>
      <c r="F6292" s="2" t="s">
        <v>10086</v>
      </c>
      <c r="H6292" s="3">
        <v>8.9999999999999998E-4</v>
      </c>
      <c r="K6292" s="2" t="s">
        <v>10088</v>
      </c>
    </row>
    <row r="6293" spans="1:11" x14ac:dyDescent="0.2">
      <c r="A6293" s="2">
        <v>1575</v>
      </c>
      <c r="B6293" s="2">
        <v>10</v>
      </c>
      <c r="C6293" s="2">
        <v>97040173</v>
      </c>
      <c r="D6293" s="2">
        <v>98005994</v>
      </c>
      <c r="E6293" s="2">
        <v>1</v>
      </c>
      <c r="F6293" s="2" t="s">
        <v>10086</v>
      </c>
      <c r="H6293" s="2">
        <v>1.44E-2</v>
      </c>
      <c r="K6293" s="2" t="s">
        <v>10089</v>
      </c>
    </row>
    <row r="6294" spans="1:11" x14ac:dyDescent="0.2">
      <c r="A6294" s="2">
        <v>1575</v>
      </c>
      <c r="B6294" s="2">
        <v>10</v>
      </c>
      <c r="C6294" s="2">
        <v>97040173</v>
      </c>
      <c r="D6294" s="2">
        <v>98005994</v>
      </c>
      <c r="E6294" s="2">
        <v>2</v>
      </c>
      <c r="F6294" s="2" t="s">
        <v>10086</v>
      </c>
      <c r="H6294" s="2">
        <v>6.1000000000000004E-3</v>
      </c>
      <c r="K6294" s="2" t="s">
        <v>10088</v>
      </c>
    </row>
    <row r="6295" spans="1:11" x14ac:dyDescent="0.2">
      <c r="A6295" s="2">
        <v>1575</v>
      </c>
      <c r="B6295" s="2">
        <v>10</v>
      </c>
      <c r="C6295" s="2">
        <v>97040173</v>
      </c>
      <c r="D6295" s="2">
        <v>98005994</v>
      </c>
      <c r="E6295" s="2">
        <v>3</v>
      </c>
      <c r="F6295" s="2" t="s">
        <v>10086</v>
      </c>
      <c r="H6295" s="2">
        <v>4.4000000000000003E-3</v>
      </c>
      <c r="K6295" s="2" t="s">
        <v>10085</v>
      </c>
    </row>
    <row r="6296" spans="1:11" x14ac:dyDescent="0.2">
      <c r="A6296" s="2">
        <v>1575</v>
      </c>
      <c r="B6296" s="2">
        <v>10</v>
      </c>
      <c r="C6296" s="2">
        <v>97040173</v>
      </c>
      <c r="D6296" s="2">
        <v>98005994</v>
      </c>
      <c r="E6296" s="2">
        <v>4</v>
      </c>
      <c r="F6296" s="2" t="s">
        <v>10086</v>
      </c>
      <c r="H6296" s="3">
        <v>5.9999999999999995E-4</v>
      </c>
      <c r="K6296" s="2" t="s">
        <v>12324</v>
      </c>
    </row>
    <row r="6297" spans="1:11" x14ac:dyDescent="0.2">
      <c r="A6297" s="2">
        <v>1576</v>
      </c>
      <c r="B6297" s="2">
        <v>10</v>
      </c>
      <c r="C6297" s="2">
        <v>98005995</v>
      </c>
      <c r="D6297" s="2">
        <v>99367800</v>
      </c>
      <c r="E6297" s="2">
        <v>1</v>
      </c>
      <c r="F6297" s="2" t="s">
        <v>10086</v>
      </c>
      <c r="H6297" s="2">
        <v>3.8999999999999998E-3</v>
      </c>
      <c r="K6297" s="2" t="s">
        <v>10089</v>
      </c>
    </row>
    <row r="6298" spans="1:11" x14ac:dyDescent="0.2">
      <c r="A6298" s="2">
        <v>1576</v>
      </c>
      <c r="B6298" s="2">
        <v>10</v>
      </c>
      <c r="C6298" s="2">
        <v>98005995</v>
      </c>
      <c r="D6298" s="2">
        <v>99367800</v>
      </c>
      <c r="E6298" s="2">
        <v>2</v>
      </c>
      <c r="F6298" s="2" t="s">
        <v>10086</v>
      </c>
      <c r="H6298" s="2">
        <v>1.4E-3</v>
      </c>
      <c r="K6298" s="2" t="s">
        <v>10088</v>
      </c>
    </row>
    <row r="6299" spans="1:11" x14ac:dyDescent="0.2">
      <c r="A6299" s="2">
        <v>1576</v>
      </c>
      <c r="B6299" s="2">
        <v>10</v>
      </c>
      <c r="C6299" s="2">
        <v>98005995</v>
      </c>
      <c r="D6299" s="2">
        <v>99367800</v>
      </c>
      <c r="E6299" s="2">
        <v>3</v>
      </c>
      <c r="F6299" s="2" t="s">
        <v>10086</v>
      </c>
      <c r="H6299" s="3">
        <v>6.9999999999999999E-4</v>
      </c>
      <c r="K6299" s="2" t="s">
        <v>10085</v>
      </c>
    </row>
    <row r="6300" spans="1:11" x14ac:dyDescent="0.2">
      <c r="A6300" s="2">
        <v>1576</v>
      </c>
      <c r="B6300" s="2">
        <v>10</v>
      </c>
      <c r="C6300" s="2">
        <v>98005995</v>
      </c>
      <c r="D6300" s="2">
        <v>99367800</v>
      </c>
      <c r="E6300" s="2">
        <v>4</v>
      </c>
      <c r="F6300" s="2" t="s">
        <v>10086</v>
      </c>
      <c r="H6300" s="3">
        <v>4.0000000000000002E-4</v>
      </c>
      <c r="K6300" s="2" t="s">
        <v>10087</v>
      </c>
    </row>
    <row r="6301" spans="1:11" x14ac:dyDescent="0.2">
      <c r="A6301" s="2">
        <v>1577</v>
      </c>
      <c r="B6301" s="2">
        <v>10</v>
      </c>
      <c r="C6301" s="2">
        <v>99367801</v>
      </c>
      <c r="D6301" s="2">
        <v>100337830</v>
      </c>
      <c r="E6301" s="2">
        <v>1</v>
      </c>
      <c r="F6301" s="2" t="s">
        <v>10086</v>
      </c>
      <c r="H6301" s="2">
        <v>1.9E-3</v>
      </c>
      <c r="K6301" s="2" t="s">
        <v>10088</v>
      </c>
    </row>
    <row r="6302" spans="1:11" x14ac:dyDescent="0.2">
      <c r="A6302" s="2">
        <v>1577</v>
      </c>
      <c r="B6302" s="2">
        <v>10</v>
      </c>
      <c r="C6302" s="2">
        <v>99367801</v>
      </c>
      <c r="D6302" s="2">
        <v>100337830</v>
      </c>
      <c r="E6302" s="2">
        <v>2</v>
      </c>
      <c r="F6302" s="2" t="s">
        <v>10086</v>
      </c>
      <c r="H6302" s="2">
        <v>1.8E-3</v>
      </c>
      <c r="K6302" s="2" t="s">
        <v>10087</v>
      </c>
    </row>
    <row r="6303" spans="1:11" x14ac:dyDescent="0.2">
      <c r="A6303" s="2">
        <v>1577</v>
      </c>
      <c r="B6303" s="2">
        <v>10</v>
      </c>
      <c r="C6303" s="2">
        <v>99367801</v>
      </c>
      <c r="D6303" s="2">
        <v>100337830</v>
      </c>
      <c r="E6303" s="2">
        <v>3</v>
      </c>
      <c r="F6303" s="2" t="s">
        <v>10086</v>
      </c>
      <c r="H6303" s="3">
        <v>8.0000000000000004E-4</v>
      </c>
      <c r="K6303" s="2" t="s">
        <v>10089</v>
      </c>
    </row>
    <row r="6304" spans="1:11" x14ac:dyDescent="0.2">
      <c r="A6304" s="2">
        <v>1577</v>
      </c>
      <c r="B6304" s="2">
        <v>10</v>
      </c>
      <c r="C6304" s="2">
        <v>99367801</v>
      </c>
      <c r="D6304" s="2">
        <v>100337830</v>
      </c>
      <c r="E6304" s="2">
        <v>4</v>
      </c>
      <c r="F6304" s="2" t="s">
        <v>10086</v>
      </c>
      <c r="H6304" s="3">
        <v>4.0000000000000002E-4</v>
      </c>
      <c r="K6304" s="2" t="s">
        <v>10085</v>
      </c>
    </row>
    <row r="6305" spans="1:11" x14ac:dyDescent="0.2">
      <c r="A6305" s="2">
        <v>1578</v>
      </c>
      <c r="B6305" s="2">
        <v>10</v>
      </c>
      <c r="C6305" s="2">
        <v>100337831</v>
      </c>
      <c r="D6305" s="2">
        <v>101271451</v>
      </c>
      <c r="E6305" s="2">
        <v>1</v>
      </c>
      <c r="F6305" s="2" t="s">
        <v>10086</v>
      </c>
      <c r="H6305" s="2">
        <v>3.0000000000000001E-3</v>
      </c>
      <c r="K6305" s="2" t="s">
        <v>12324</v>
      </c>
    </row>
    <row r="6306" spans="1:11" x14ac:dyDescent="0.2">
      <c r="A6306" s="2">
        <v>1578</v>
      </c>
      <c r="B6306" s="2">
        <v>10</v>
      </c>
      <c r="C6306" s="2">
        <v>100337831</v>
      </c>
      <c r="D6306" s="2">
        <v>101271451</v>
      </c>
      <c r="E6306" s="2">
        <v>2</v>
      </c>
      <c r="F6306" s="2" t="s">
        <v>10086</v>
      </c>
      <c r="H6306" s="2">
        <v>3.0999999999999999E-3</v>
      </c>
      <c r="K6306" s="2" t="s">
        <v>10087</v>
      </c>
    </row>
    <row r="6307" spans="1:11" x14ac:dyDescent="0.2">
      <c r="A6307" s="2">
        <v>1578</v>
      </c>
      <c r="B6307" s="2">
        <v>10</v>
      </c>
      <c r="C6307" s="2">
        <v>100337831</v>
      </c>
      <c r="D6307" s="2">
        <v>101271451</v>
      </c>
      <c r="E6307" s="2">
        <v>3</v>
      </c>
      <c r="F6307" s="2" t="s">
        <v>10086</v>
      </c>
      <c r="H6307" s="2">
        <v>1.1999999999999999E-3</v>
      </c>
      <c r="K6307" s="2" t="s">
        <v>10085</v>
      </c>
    </row>
    <row r="6308" spans="1:11" x14ac:dyDescent="0.2">
      <c r="A6308" s="2">
        <v>1578</v>
      </c>
      <c r="B6308" s="2">
        <v>10</v>
      </c>
      <c r="C6308" s="2">
        <v>100337831</v>
      </c>
      <c r="D6308" s="2">
        <v>101271451</v>
      </c>
      <c r="E6308" s="2">
        <v>4</v>
      </c>
      <c r="F6308" s="2" t="s">
        <v>10086</v>
      </c>
      <c r="H6308" s="3">
        <v>6.9999999999999999E-4</v>
      </c>
      <c r="K6308" s="2" t="s">
        <v>10088</v>
      </c>
    </row>
    <row r="6309" spans="1:11" x14ac:dyDescent="0.2">
      <c r="A6309" s="2">
        <v>1579</v>
      </c>
      <c r="B6309" s="2">
        <v>10</v>
      </c>
      <c r="C6309" s="2">
        <v>101271452</v>
      </c>
      <c r="D6309" s="2">
        <v>102509298</v>
      </c>
      <c r="E6309" s="2">
        <v>1</v>
      </c>
      <c r="F6309" s="2" t="s">
        <v>10086</v>
      </c>
      <c r="H6309" s="2">
        <v>1.03E-2</v>
      </c>
      <c r="K6309" s="2" t="s">
        <v>10088</v>
      </c>
    </row>
    <row r="6310" spans="1:11" x14ac:dyDescent="0.2">
      <c r="A6310" s="2">
        <v>1579</v>
      </c>
      <c r="B6310" s="2">
        <v>10</v>
      </c>
      <c r="C6310" s="2">
        <v>101271452</v>
      </c>
      <c r="D6310" s="2">
        <v>102509298</v>
      </c>
      <c r="E6310" s="2">
        <v>2</v>
      </c>
      <c r="F6310" s="2" t="s">
        <v>10086</v>
      </c>
      <c r="H6310" s="2">
        <v>1.6000000000000001E-3</v>
      </c>
      <c r="K6310" s="2" t="s">
        <v>10087</v>
      </c>
    </row>
    <row r="6311" spans="1:11" x14ac:dyDescent="0.2">
      <c r="A6311" s="2">
        <v>1579</v>
      </c>
      <c r="B6311" s="2">
        <v>10</v>
      </c>
      <c r="C6311" s="2">
        <v>101271452</v>
      </c>
      <c r="D6311" s="2">
        <v>102509298</v>
      </c>
      <c r="E6311" s="2">
        <v>3</v>
      </c>
      <c r="F6311" s="2" t="s">
        <v>10086</v>
      </c>
      <c r="H6311" s="2">
        <v>1.6000000000000001E-3</v>
      </c>
      <c r="K6311" s="2" t="s">
        <v>10089</v>
      </c>
    </row>
    <row r="6312" spans="1:11" x14ac:dyDescent="0.2">
      <c r="A6312" s="2">
        <v>1579</v>
      </c>
      <c r="B6312" s="2">
        <v>10</v>
      </c>
      <c r="C6312" s="2">
        <v>101271452</v>
      </c>
      <c r="D6312" s="2">
        <v>102509298</v>
      </c>
      <c r="E6312" s="2">
        <v>4</v>
      </c>
      <c r="F6312" s="2" t="s">
        <v>10086</v>
      </c>
      <c r="H6312" s="3">
        <v>5.0000000000000001E-4</v>
      </c>
      <c r="K6312" s="2" t="s">
        <v>10085</v>
      </c>
    </row>
    <row r="6313" spans="1:11" x14ac:dyDescent="0.2">
      <c r="A6313" s="2">
        <v>1580</v>
      </c>
      <c r="B6313" s="2">
        <v>10</v>
      </c>
      <c r="C6313" s="2">
        <v>102509299</v>
      </c>
      <c r="D6313" s="2">
        <v>104206837</v>
      </c>
      <c r="E6313" s="2">
        <v>1</v>
      </c>
      <c r="F6313" s="2" t="s">
        <v>10086</v>
      </c>
      <c r="H6313" s="2">
        <v>2.7000000000000001E-3</v>
      </c>
      <c r="K6313" s="2" t="s">
        <v>10085</v>
      </c>
    </row>
    <row r="6314" spans="1:11" x14ac:dyDescent="0.2">
      <c r="A6314" s="2">
        <v>1580</v>
      </c>
      <c r="B6314" s="2">
        <v>10</v>
      </c>
      <c r="C6314" s="2">
        <v>102509299</v>
      </c>
      <c r="D6314" s="2">
        <v>104206837</v>
      </c>
      <c r="E6314" s="2">
        <v>2</v>
      </c>
      <c r="F6314" s="2" t="s">
        <v>10086</v>
      </c>
      <c r="H6314" s="2">
        <v>2.5999999999999999E-3</v>
      </c>
      <c r="K6314" s="2" t="s">
        <v>10088</v>
      </c>
    </row>
    <row r="6315" spans="1:11" x14ac:dyDescent="0.2">
      <c r="A6315" s="2">
        <v>1580</v>
      </c>
      <c r="B6315" s="2">
        <v>10</v>
      </c>
      <c r="C6315" s="2">
        <v>102509299</v>
      </c>
      <c r="D6315" s="2">
        <v>104206837</v>
      </c>
      <c r="E6315" s="2">
        <v>3</v>
      </c>
      <c r="F6315" s="2" t="s">
        <v>10086</v>
      </c>
      <c r="H6315" s="2">
        <v>1.5E-3</v>
      </c>
      <c r="K6315" s="2" t="s">
        <v>12324</v>
      </c>
    </row>
    <row r="6316" spans="1:11" x14ac:dyDescent="0.2">
      <c r="A6316" s="2">
        <v>1580</v>
      </c>
      <c r="B6316" s="2">
        <v>10</v>
      </c>
      <c r="C6316" s="2">
        <v>102509299</v>
      </c>
      <c r="D6316" s="2">
        <v>104206837</v>
      </c>
      <c r="E6316" s="2">
        <v>4</v>
      </c>
      <c r="F6316" s="2" t="s">
        <v>10086</v>
      </c>
      <c r="H6316" s="2">
        <v>1.1000000000000001E-3</v>
      </c>
      <c r="K6316" s="2" t="s">
        <v>10087</v>
      </c>
    </row>
    <row r="6317" spans="1:11" x14ac:dyDescent="0.2">
      <c r="A6317" s="2">
        <v>1581</v>
      </c>
      <c r="B6317" s="2">
        <v>10</v>
      </c>
      <c r="C6317" s="2">
        <v>104206838</v>
      </c>
      <c r="D6317" s="2">
        <v>106142283</v>
      </c>
      <c r="E6317" s="2">
        <v>1</v>
      </c>
      <c r="F6317" s="2" t="s">
        <v>10086</v>
      </c>
      <c r="H6317" s="2">
        <v>9.7000000000000003E-3</v>
      </c>
      <c r="K6317" s="2" t="s">
        <v>10088</v>
      </c>
    </row>
    <row r="6318" spans="1:11" x14ac:dyDescent="0.2">
      <c r="A6318" s="2">
        <v>1581</v>
      </c>
      <c r="B6318" s="2">
        <v>10</v>
      </c>
      <c r="C6318" s="2">
        <v>104206838</v>
      </c>
      <c r="D6318" s="2">
        <v>106142283</v>
      </c>
      <c r="E6318" s="2">
        <v>2</v>
      </c>
      <c r="F6318" s="2" t="s">
        <v>10086</v>
      </c>
      <c r="H6318" s="2">
        <v>1.5E-3</v>
      </c>
      <c r="K6318" s="2" t="s">
        <v>10089</v>
      </c>
    </row>
    <row r="6319" spans="1:11" x14ac:dyDescent="0.2">
      <c r="A6319" s="2">
        <v>1581</v>
      </c>
      <c r="B6319" s="2">
        <v>10</v>
      </c>
      <c r="C6319" s="2">
        <v>104206838</v>
      </c>
      <c r="D6319" s="2">
        <v>106142283</v>
      </c>
      <c r="E6319" s="2">
        <v>3</v>
      </c>
      <c r="F6319" s="2" t="s">
        <v>10086</v>
      </c>
      <c r="H6319" s="2">
        <v>1.2999999999999999E-3</v>
      </c>
      <c r="K6319" s="2" t="s">
        <v>10085</v>
      </c>
    </row>
    <row r="6320" spans="1:11" x14ac:dyDescent="0.2">
      <c r="A6320" s="2">
        <v>1581</v>
      </c>
      <c r="B6320" s="2">
        <v>10</v>
      </c>
      <c r="C6320" s="2">
        <v>104206838</v>
      </c>
      <c r="D6320" s="2">
        <v>106142283</v>
      </c>
      <c r="E6320" s="2">
        <v>4</v>
      </c>
      <c r="F6320" s="2" t="s">
        <v>10086</v>
      </c>
      <c r="H6320" s="2">
        <v>1.1000000000000001E-3</v>
      </c>
      <c r="K6320" s="2" t="s">
        <v>10087</v>
      </c>
    </row>
    <row r="6321" spans="1:11" x14ac:dyDescent="0.2">
      <c r="A6321" s="2">
        <v>1582</v>
      </c>
      <c r="B6321" s="2">
        <v>10</v>
      </c>
      <c r="C6321" s="2">
        <v>106142284</v>
      </c>
      <c r="D6321" s="2">
        <v>107877787</v>
      </c>
      <c r="E6321" s="2">
        <v>1</v>
      </c>
      <c r="F6321" s="2" t="s">
        <v>10086</v>
      </c>
      <c r="H6321" s="2">
        <v>4.1999999999999997E-3</v>
      </c>
      <c r="K6321" s="2" t="s">
        <v>10087</v>
      </c>
    </row>
    <row r="6322" spans="1:11" x14ac:dyDescent="0.2">
      <c r="A6322" s="2">
        <v>1582</v>
      </c>
      <c r="B6322" s="2">
        <v>10</v>
      </c>
      <c r="C6322" s="2">
        <v>106142284</v>
      </c>
      <c r="D6322" s="2">
        <v>107877787</v>
      </c>
      <c r="E6322" s="2">
        <v>2</v>
      </c>
      <c r="F6322" s="2" t="s">
        <v>10086</v>
      </c>
      <c r="H6322" s="2">
        <v>2.0999999999999999E-3</v>
      </c>
      <c r="K6322" s="2" t="s">
        <v>10085</v>
      </c>
    </row>
    <row r="6323" spans="1:11" x14ac:dyDescent="0.2">
      <c r="A6323" s="2">
        <v>1582</v>
      </c>
      <c r="B6323" s="2">
        <v>10</v>
      </c>
      <c r="C6323" s="2">
        <v>106142284</v>
      </c>
      <c r="D6323" s="2">
        <v>107877787</v>
      </c>
      <c r="E6323" s="2">
        <v>3</v>
      </c>
      <c r="F6323" s="2" t="s">
        <v>10086</v>
      </c>
      <c r="H6323" s="2">
        <v>1.6999999999999999E-3</v>
      </c>
      <c r="K6323" s="2" t="s">
        <v>10089</v>
      </c>
    </row>
    <row r="6324" spans="1:11" x14ac:dyDescent="0.2">
      <c r="A6324" s="2">
        <v>1582</v>
      </c>
      <c r="B6324" s="2">
        <v>10</v>
      </c>
      <c r="C6324" s="2">
        <v>106142284</v>
      </c>
      <c r="D6324" s="2">
        <v>107877787</v>
      </c>
      <c r="E6324" s="2">
        <v>4</v>
      </c>
      <c r="F6324" s="2" t="s">
        <v>10086</v>
      </c>
      <c r="H6324" s="2">
        <v>1.6000000000000001E-3</v>
      </c>
      <c r="K6324" s="2" t="s">
        <v>12324</v>
      </c>
    </row>
    <row r="6325" spans="1:11" x14ac:dyDescent="0.2">
      <c r="A6325" s="2">
        <v>1583</v>
      </c>
      <c r="B6325" s="2">
        <v>10</v>
      </c>
      <c r="C6325" s="2">
        <v>107877788</v>
      </c>
      <c r="D6325" s="2">
        <v>108725997</v>
      </c>
      <c r="E6325" s="2">
        <v>1</v>
      </c>
      <c r="F6325" s="2" t="s">
        <v>10086</v>
      </c>
      <c r="H6325" s="2">
        <v>1.1999999999999999E-3</v>
      </c>
      <c r="K6325" s="2" t="s">
        <v>10088</v>
      </c>
    </row>
    <row r="6326" spans="1:11" x14ac:dyDescent="0.2">
      <c r="A6326" s="2">
        <v>1583</v>
      </c>
      <c r="B6326" s="2">
        <v>10</v>
      </c>
      <c r="C6326" s="2">
        <v>107877788</v>
      </c>
      <c r="D6326" s="2">
        <v>108725997</v>
      </c>
      <c r="E6326" s="2">
        <v>2</v>
      </c>
      <c r="F6326" s="2" t="s">
        <v>10086</v>
      </c>
      <c r="H6326" s="2">
        <v>3.5999999999999999E-3</v>
      </c>
      <c r="K6326" s="2" t="s">
        <v>10089</v>
      </c>
    </row>
    <row r="6327" spans="1:11" x14ac:dyDescent="0.2">
      <c r="A6327" s="2">
        <v>1583</v>
      </c>
      <c r="B6327" s="2">
        <v>10</v>
      </c>
      <c r="C6327" s="2">
        <v>107877788</v>
      </c>
      <c r="D6327" s="2">
        <v>108725997</v>
      </c>
      <c r="E6327" s="2">
        <v>3</v>
      </c>
      <c r="F6327" s="2" t="s">
        <v>10086</v>
      </c>
      <c r="H6327" s="3">
        <v>8.0000000000000004E-4</v>
      </c>
      <c r="K6327" s="2" t="s">
        <v>10085</v>
      </c>
    </row>
    <row r="6328" spans="1:11" x14ac:dyDescent="0.2">
      <c r="A6328" s="2">
        <v>1583</v>
      </c>
      <c r="B6328" s="2">
        <v>10</v>
      </c>
      <c r="C6328" s="2">
        <v>107877788</v>
      </c>
      <c r="D6328" s="2">
        <v>108725997</v>
      </c>
      <c r="E6328" s="2">
        <v>4</v>
      </c>
      <c r="F6328" s="2" t="s">
        <v>10086</v>
      </c>
      <c r="H6328" s="3">
        <v>5.0000000000000001E-4</v>
      </c>
      <c r="K6328" s="2" t="s">
        <v>12324</v>
      </c>
    </row>
    <row r="6329" spans="1:11" x14ac:dyDescent="0.2">
      <c r="A6329" s="2">
        <v>1584</v>
      </c>
      <c r="B6329" s="2">
        <v>10</v>
      </c>
      <c r="C6329" s="2">
        <v>108725998</v>
      </c>
      <c r="D6329" s="2">
        <v>109579149</v>
      </c>
      <c r="E6329" s="2">
        <v>1</v>
      </c>
      <c r="F6329" s="2" t="s">
        <v>10086</v>
      </c>
      <c r="H6329" s="2">
        <v>5.3E-3</v>
      </c>
      <c r="K6329" s="2" t="s">
        <v>12324</v>
      </c>
    </row>
    <row r="6330" spans="1:11" x14ac:dyDescent="0.2">
      <c r="A6330" s="2">
        <v>1584</v>
      </c>
      <c r="B6330" s="2">
        <v>10</v>
      </c>
      <c r="C6330" s="2">
        <v>108725998</v>
      </c>
      <c r="D6330" s="2">
        <v>109579149</v>
      </c>
      <c r="E6330" s="2">
        <v>2</v>
      </c>
      <c r="F6330" s="2" t="s">
        <v>10086</v>
      </c>
      <c r="H6330" s="2">
        <v>1.6000000000000001E-3</v>
      </c>
      <c r="K6330" s="2" t="s">
        <v>10088</v>
      </c>
    </row>
    <row r="6331" spans="1:11" x14ac:dyDescent="0.2">
      <c r="A6331" s="2">
        <v>1584</v>
      </c>
      <c r="B6331" s="2">
        <v>10</v>
      </c>
      <c r="C6331" s="2">
        <v>108725998</v>
      </c>
      <c r="D6331" s="2">
        <v>109579149</v>
      </c>
      <c r="E6331" s="2">
        <v>3</v>
      </c>
      <c r="F6331" s="2" t="s">
        <v>10086</v>
      </c>
      <c r="H6331" s="2">
        <v>1.6000000000000001E-3</v>
      </c>
      <c r="K6331" s="2" t="s">
        <v>10089</v>
      </c>
    </row>
    <row r="6332" spans="1:11" x14ac:dyDescent="0.2">
      <c r="A6332" s="2">
        <v>1584</v>
      </c>
      <c r="B6332" s="2">
        <v>10</v>
      </c>
      <c r="C6332" s="2">
        <v>108725998</v>
      </c>
      <c r="D6332" s="2">
        <v>109579149</v>
      </c>
      <c r="E6332" s="2">
        <v>4</v>
      </c>
      <c r="F6332" s="2" t="s">
        <v>10086</v>
      </c>
      <c r="H6332" s="2">
        <v>1E-3</v>
      </c>
      <c r="K6332" s="2" t="s">
        <v>10085</v>
      </c>
    </row>
    <row r="6333" spans="1:11" x14ac:dyDescent="0.2">
      <c r="A6333" s="2">
        <v>1585</v>
      </c>
      <c r="B6333" s="2">
        <v>10</v>
      </c>
      <c r="C6333" s="2">
        <v>109579150</v>
      </c>
      <c r="D6333" s="2">
        <v>110358382</v>
      </c>
      <c r="E6333" s="2">
        <v>1</v>
      </c>
      <c r="F6333" s="2" t="s">
        <v>10086</v>
      </c>
      <c r="H6333" s="2">
        <v>1.8E-3</v>
      </c>
      <c r="K6333" s="2" t="s">
        <v>10085</v>
      </c>
    </row>
    <row r="6334" spans="1:11" x14ac:dyDescent="0.2">
      <c r="A6334" s="2">
        <v>1585</v>
      </c>
      <c r="B6334" s="2">
        <v>10</v>
      </c>
      <c r="C6334" s="2">
        <v>109579150</v>
      </c>
      <c r="D6334" s="2">
        <v>110358382</v>
      </c>
      <c r="E6334" s="2">
        <v>2</v>
      </c>
      <c r="F6334" s="2" t="s">
        <v>10086</v>
      </c>
      <c r="H6334" s="2">
        <v>1.6999999999999999E-3</v>
      </c>
      <c r="K6334" s="2" t="s">
        <v>10087</v>
      </c>
    </row>
    <row r="6335" spans="1:11" x14ac:dyDescent="0.2">
      <c r="A6335" s="2">
        <v>1585</v>
      </c>
      <c r="B6335" s="2">
        <v>10</v>
      </c>
      <c r="C6335" s="2">
        <v>109579150</v>
      </c>
      <c r="D6335" s="2">
        <v>110358382</v>
      </c>
      <c r="E6335" s="2">
        <v>3</v>
      </c>
      <c r="F6335" s="2" t="s">
        <v>10086</v>
      </c>
      <c r="H6335" s="2">
        <v>1E-3</v>
      </c>
      <c r="K6335" s="2" t="s">
        <v>10088</v>
      </c>
    </row>
    <row r="6336" spans="1:11" x14ac:dyDescent="0.2">
      <c r="A6336" s="2">
        <v>1585</v>
      </c>
      <c r="B6336" s="2">
        <v>10</v>
      </c>
      <c r="C6336" s="2">
        <v>109579150</v>
      </c>
      <c r="D6336" s="2">
        <v>110358382</v>
      </c>
      <c r="E6336" s="2">
        <v>4</v>
      </c>
      <c r="F6336" s="2" t="s">
        <v>10086</v>
      </c>
      <c r="H6336" s="2">
        <v>1.1000000000000001E-3</v>
      </c>
      <c r="K6336" s="2" t="s">
        <v>10089</v>
      </c>
    </row>
    <row r="6337" spans="1:11" x14ac:dyDescent="0.2">
      <c r="A6337" s="2">
        <v>1586</v>
      </c>
      <c r="B6337" s="2">
        <v>10</v>
      </c>
      <c r="C6337" s="2">
        <v>110358383</v>
      </c>
      <c r="D6337" s="2">
        <v>112164981</v>
      </c>
      <c r="E6337" s="2">
        <v>1</v>
      </c>
      <c r="F6337" s="2" t="s">
        <v>10086</v>
      </c>
      <c r="H6337" s="2">
        <v>2E-3</v>
      </c>
      <c r="K6337" s="2" t="s">
        <v>10089</v>
      </c>
    </row>
    <row r="6338" spans="1:11" x14ac:dyDescent="0.2">
      <c r="A6338" s="2">
        <v>1586</v>
      </c>
      <c r="B6338" s="2">
        <v>10</v>
      </c>
      <c r="C6338" s="2">
        <v>110358383</v>
      </c>
      <c r="D6338" s="2">
        <v>112164981</v>
      </c>
      <c r="E6338" s="2">
        <v>2</v>
      </c>
      <c r="F6338" s="2" t="s">
        <v>10086</v>
      </c>
      <c r="H6338" s="2">
        <v>1.9E-3</v>
      </c>
      <c r="K6338" s="2" t="s">
        <v>10085</v>
      </c>
    </row>
    <row r="6339" spans="1:11" x14ac:dyDescent="0.2">
      <c r="A6339" s="2">
        <v>1586</v>
      </c>
      <c r="B6339" s="2">
        <v>10</v>
      </c>
      <c r="C6339" s="2">
        <v>110358383</v>
      </c>
      <c r="D6339" s="2">
        <v>112164981</v>
      </c>
      <c r="E6339" s="2">
        <v>3</v>
      </c>
      <c r="F6339" s="2" t="s">
        <v>10086</v>
      </c>
      <c r="H6339" s="2">
        <v>1.9E-3</v>
      </c>
      <c r="K6339" s="2" t="s">
        <v>10087</v>
      </c>
    </row>
    <row r="6340" spans="1:11" x14ac:dyDescent="0.2">
      <c r="A6340" s="2">
        <v>1586</v>
      </c>
      <c r="B6340" s="2">
        <v>10</v>
      </c>
      <c r="C6340" s="2">
        <v>110358383</v>
      </c>
      <c r="D6340" s="2">
        <v>112164981</v>
      </c>
      <c r="E6340" s="2">
        <v>4</v>
      </c>
      <c r="F6340" s="2" t="s">
        <v>10086</v>
      </c>
      <c r="H6340" s="3">
        <v>8.9999999999999998E-4</v>
      </c>
      <c r="K6340" s="2" t="s">
        <v>10088</v>
      </c>
    </row>
    <row r="6341" spans="1:11" x14ac:dyDescent="0.2">
      <c r="A6341" s="2">
        <v>1587</v>
      </c>
      <c r="B6341" s="2">
        <v>10</v>
      </c>
      <c r="C6341" s="2">
        <v>112164982</v>
      </c>
      <c r="D6341" s="2">
        <v>113117615</v>
      </c>
      <c r="E6341" s="2">
        <v>1</v>
      </c>
      <c r="F6341" s="2" t="s">
        <v>10086</v>
      </c>
      <c r="H6341" s="2">
        <v>7.7000000000000002E-3</v>
      </c>
      <c r="K6341" s="2" t="s">
        <v>10087</v>
      </c>
    </row>
    <row r="6342" spans="1:11" x14ac:dyDescent="0.2">
      <c r="A6342" s="2">
        <v>1587</v>
      </c>
      <c r="B6342" s="2">
        <v>10</v>
      </c>
      <c r="C6342" s="2">
        <v>112164982</v>
      </c>
      <c r="D6342" s="2">
        <v>113117615</v>
      </c>
      <c r="E6342" s="2">
        <v>2</v>
      </c>
      <c r="F6342" s="2" t="s">
        <v>10086</v>
      </c>
      <c r="H6342" s="2">
        <v>2.2000000000000001E-3</v>
      </c>
      <c r="K6342" s="2" t="s">
        <v>10088</v>
      </c>
    </row>
    <row r="6343" spans="1:11" x14ac:dyDescent="0.2">
      <c r="A6343" s="2">
        <v>1587</v>
      </c>
      <c r="B6343" s="2">
        <v>10</v>
      </c>
      <c r="C6343" s="2">
        <v>112164982</v>
      </c>
      <c r="D6343" s="2">
        <v>113117615</v>
      </c>
      <c r="E6343" s="2">
        <v>3</v>
      </c>
      <c r="F6343" s="2" t="s">
        <v>10086</v>
      </c>
      <c r="H6343" s="2">
        <v>1.6000000000000001E-3</v>
      </c>
      <c r="K6343" s="2" t="s">
        <v>10089</v>
      </c>
    </row>
    <row r="6344" spans="1:11" x14ac:dyDescent="0.2">
      <c r="A6344" s="2">
        <v>1587</v>
      </c>
      <c r="B6344" s="2">
        <v>10</v>
      </c>
      <c r="C6344" s="2">
        <v>112164982</v>
      </c>
      <c r="D6344" s="2">
        <v>113117615</v>
      </c>
      <c r="E6344" s="2">
        <v>4</v>
      </c>
      <c r="F6344" s="2" t="s">
        <v>10086</v>
      </c>
      <c r="H6344" s="3">
        <v>4.0000000000000002E-4</v>
      </c>
      <c r="K6344" s="2" t="s">
        <v>10085</v>
      </c>
    </row>
    <row r="6345" spans="1:11" x14ac:dyDescent="0.2">
      <c r="A6345" s="2">
        <v>1588</v>
      </c>
      <c r="B6345" s="2">
        <v>10</v>
      </c>
      <c r="C6345" s="2">
        <v>113117616</v>
      </c>
      <c r="D6345" s="2">
        <v>114255954</v>
      </c>
      <c r="E6345" s="2">
        <v>1</v>
      </c>
      <c r="F6345" s="2" t="s">
        <v>10086</v>
      </c>
      <c r="H6345" s="2">
        <v>5.4999999999999997E-3</v>
      </c>
      <c r="K6345" s="2" t="s">
        <v>10085</v>
      </c>
    </row>
    <row r="6346" spans="1:11" x14ac:dyDescent="0.2">
      <c r="A6346" s="2">
        <v>1588</v>
      </c>
      <c r="B6346" s="2">
        <v>10</v>
      </c>
      <c r="C6346" s="2">
        <v>113117616</v>
      </c>
      <c r="D6346" s="2">
        <v>114255954</v>
      </c>
      <c r="E6346" s="2">
        <v>2</v>
      </c>
      <c r="F6346" s="2" t="s">
        <v>10086</v>
      </c>
      <c r="H6346" s="2">
        <v>3.0999999999999999E-3</v>
      </c>
      <c r="K6346" s="2" t="s">
        <v>10087</v>
      </c>
    </row>
    <row r="6347" spans="1:11" x14ac:dyDescent="0.2">
      <c r="A6347" s="2">
        <v>1588</v>
      </c>
      <c r="B6347" s="2">
        <v>10</v>
      </c>
      <c r="C6347" s="2">
        <v>113117616</v>
      </c>
      <c r="D6347" s="2">
        <v>114255954</v>
      </c>
      <c r="E6347" s="2">
        <v>3</v>
      </c>
      <c r="F6347" s="2" t="s">
        <v>10086</v>
      </c>
      <c r="H6347" s="2">
        <v>1.2999999999999999E-3</v>
      </c>
      <c r="K6347" s="2" t="s">
        <v>10088</v>
      </c>
    </row>
    <row r="6348" spans="1:11" x14ac:dyDescent="0.2">
      <c r="A6348" s="2">
        <v>1588</v>
      </c>
      <c r="B6348" s="2">
        <v>10</v>
      </c>
      <c r="C6348" s="2">
        <v>113117616</v>
      </c>
      <c r="D6348" s="2">
        <v>114255954</v>
      </c>
      <c r="E6348" s="2">
        <v>4</v>
      </c>
      <c r="F6348" s="2" t="s">
        <v>10086</v>
      </c>
      <c r="H6348" s="3">
        <v>4.0000000000000002E-4</v>
      </c>
      <c r="K6348" s="2" t="s">
        <v>10089</v>
      </c>
    </row>
    <row r="6349" spans="1:11" x14ac:dyDescent="0.2">
      <c r="A6349" s="2">
        <v>1589</v>
      </c>
      <c r="B6349" s="2">
        <v>10</v>
      </c>
      <c r="C6349" s="2">
        <v>114255955</v>
      </c>
      <c r="D6349" s="2">
        <v>115588903</v>
      </c>
      <c r="E6349" s="2">
        <v>1</v>
      </c>
      <c r="F6349" s="2" t="s">
        <v>10086</v>
      </c>
      <c r="H6349" s="2">
        <v>2E-3</v>
      </c>
      <c r="K6349" s="2" t="s">
        <v>10085</v>
      </c>
    </row>
    <row r="6350" spans="1:11" x14ac:dyDescent="0.2">
      <c r="A6350" s="2">
        <v>1589</v>
      </c>
      <c r="B6350" s="2">
        <v>10</v>
      </c>
      <c r="C6350" s="2">
        <v>114255955</v>
      </c>
      <c r="D6350" s="2">
        <v>115588903</v>
      </c>
      <c r="E6350" s="2">
        <v>2</v>
      </c>
      <c r="F6350" s="2" t="s">
        <v>10086</v>
      </c>
      <c r="H6350" s="2">
        <v>1.8E-3</v>
      </c>
      <c r="K6350" s="2" t="s">
        <v>10089</v>
      </c>
    </row>
    <row r="6351" spans="1:11" x14ac:dyDescent="0.2">
      <c r="A6351" s="2">
        <v>1589</v>
      </c>
      <c r="B6351" s="2">
        <v>10</v>
      </c>
      <c r="C6351" s="2">
        <v>114255955</v>
      </c>
      <c r="D6351" s="2">
        <v>115588903</v>
      </c>
      <c r="E6351" s="2">
        <v>3</v>
      </c>
      <c r="F6351" s="2" t="s">
        <v>10086</v>
      </c>
      <c r="H6351" s="2">
        <v>1.8E-3</v>
      </c>
      <c r="K6351" s="2" t="s">
        <v>10087</v>
      </c>
    </row>
    <row r="6352" spans="1:11" x14ac:dyDescent="0.2">
      <c r="A6352" s="2">
        <v>1589</v>
      </c>
      <c r="B6352" s="2">
        <v>10</v>
      </c>
      <c r="C6352" s="2">
        <v>114255955</v>
      </c>
      <c r="D6352" s="2">
        <v>115588903</v>
      </c>
      <c r="E6352" s="2">
        <v>4</v>
      </c>
      <c r="F6352" s="2" t="s">
        <v>10086</v>
      </c>
      <c r="H6352" s="3">
        <v>8.9999999999999998E-4</v>
      </c>
      <c r="K6352" s="2" t="s">
        <v>12324</v>
      </c>
    </row>
    <row r="6353" spans="1:11" x14ac:dyDescent="0.2">
      <c r="A6353" s="2">
        <v>1590</v>
      </c>
      <c r="B6353" s="2">
        <v>10</v>
      </c>
      <c r="C6353" s="2">
        <v>115588904</v>
      </c>
      <c r="D6353" s="2">
        <v>116845213</v>
      </c>
      <c r="E6353" s="2">
        <v>1</v>
      </c>
      <c r="F6353" s="2" t="s">
        <v>10086</v>
      </c>
      <c r="H6353" s="2">
        <v>5.4000000000000003E-3</v>
      </c>
      <c r="K6353" s="2" t="s">
        <v>12324</v>
      </c>
    </row>
    <row r="6354" spans="1:11" x14ac:dyDescent="0.2">
      <c r="A6354" s="2">
        <v>1590</v>
      </c>
      <c r="B6354" s="2">
        <v>10</v>
      </c>
      <c r="C6354" s="2">
        <v>115588904</v>
      </c>
      <c r="D6354" s="2">
        <v>116845213</v>
      </c>
      <c r="E6354" s="2">
        <v>2</v>
      </c>
      <c r="F6354" s="2" t="s">
        <v>10086</v>
      </c>
      <c r="H6354" s="2">
        <v>1.1999999999999999E-3</v>
      </c>
      <c r="K6354" s="2" t="s">
        <v>10085</v>
      </c>
    </row>
    <row r="6355" spans="1:11" x14ac:dyDescent="0.2">
      <c r="A6355" s="2">
        <v>1590</v>
      </c>
      <c r="B6355" s="2">
        <v>10</v>
      </c>
      <c r="C6355" s="2">
        <v>115588904</v>
      </c>
      <c r="D6355" s="2">
        <v>116845213</v>
      </c>
      <c r="E6355" s="2">
        <v>3</v>
      </c>
      <c r="F6355" s="2" t="s">
        <v>10086</v>
      </c>
      <c r="H6355" s="2">
        <v>1.1000000000000001E-3</v>
      </c>
      <c r="K6355" s="2" t="s">
        <v>10088</v>
      </c>
    </row>
    <row r="6356" spans="1:11" x14ac:dyDescent="0.2">
      <c r="A6356" s="2">
        <v>1590</v>
      </c>
      <c r="B6356" s="2">
        <v>10</v>
      </c>
      <c r="C6356" s="2">
        <v>115588904</v>
      </c>
      <c r="D6356" s="2">
        <v>116845213</v>
      </c>
      <c r="E6356" s="2">
        <v>4</v>
      </c>
      <c r="F6356" s="2" t="s">
        <v>10086</v>
      </c>
      <c r="H6356" s="3">
        <v>8.0000000000000004E-4</v>
      </c>
      <c r="K6356" s="2" t="s">
        <v>10087</v>
      </c>
    </row>
    <row r="6357" spans="1:11" x14ac:dyDescent="0.2">
      <c r="A6357" s="2">
        <v>1591</v>
      </c>
      <c r="B6357" s="2">
        <v>10</v>
      </c>
      <c r="C6357" s="2">
        <v>116845214</v>
      </c>
      <c r="D6357" s="2">
        <v>118416049</v>
      </c>
      <c r="E6357" s="2">
        <v>1</v>
      </c>
      <c r="F6357" s="2" t="s">
        <v>10086</v>
      </c>
      <c r="H6357" s="2">
        <v>1.6000000000000001E-3</v>
      </c>
      <c r="K6357" s="2" t="s">
        <v>10089</v>
      </c>
    </row>
    <row r="6358" spans="1:11" x14ac:dyDescent="0.2">
      <c r="A6358" s="2">
        <v>1591</v>
      </c>
      <c r="B6358" s="2">
        <v>10</v>
      </c>
      <c r="C6358" s="2">
        <v>116845214</v>
      </c>
      <c r="D6358" s="2">
        <v>118416049</v>
      </c>
      <c r="E6358" s="2">
        <v>2</v>
      </c>
      <c r="F6358" s="2" t="s">
        <v>10086</v>
      </c>
      <c r="H6358" s="2">
        <v>1.1999999999999999E-3</v>
      </c>
      <c r="K6358" s="2" t="s">
        <v>10085</v>
      </c>
    </row>
    <row r="6359" spans="1:11" x14ac:dyDescent="0.2">
      <c r="A6359" s="2">
        <v>1591</v>
      </c>
      <c r="B6359" s="2">
        <v>10</v>
      </c>
      <c r="C6359" s="2">
        <v>116845214</v>
      </c>
      <c r="D6359" s="2">
        <v>118416049</v>
      </c>
      <c r="E6359" s="2">
        <v>3</v>
      </c>
      <c r="F6359" s="2" t="s">
        <v>10086</v>
      </c>
      <c r="H6359" s="2">
        <v>1.2999999999999999E-3</v>
      </c>
      <c r="K6359" s="2" t="s">
        <v>10088</v>
      </c>
    </row>
    <row r="6360" spans="1:11" x14ac:dyDescent="0.2">
      <c r="A6360" s="2">
        <v>1591</v>
      </c>
      <c r="B6360" s="2">
        <v>10</v>
      </c>
      <c r="C6360" s="2">
        <v>116845214</v>
      </c>
      <c r="D6360" s="2">
        <v>118416049</v>
      </c>
      <c r="E6360" s="2">
        <v>4</v>
      </c>
      <c r="F6360" s="2" t="s">
        <v>10086</v>
      </c>
      <c r="H6360" s="3">
        <v>8.0000000000000004E-4</v>
      </c>
      <c r="K6360" s="2" t="s">
        <v>12324</v>
      </c>
    </row>
    <row r="6361" spans="1:11" x14ac:dyDescent="0.2">
      <c r="A6361" s="2">
        <v>1592</v>
      </c>
      <c r="B6361" s="2">
        <v>10</v>
      </c>
      <c r="C6361" s="2">
        <v>118416050</v>
      </c>
      <c r="D6361" s="2">
        <v>119528730</v>
      </c>
      <c r="E6361" s="2">
        <v>1</v>
      </c>
      <c r="F6361" s="2" t="s">
        <v>10086</v>
      </c>
      <c r="H6361" s="2">
        <v>3.5000000000000001E-3</v>
      </c>
      <c r="K6361" s="2" t="s">
        <v>10089</v>
      </c>
    </row>
    <row r="6362" spans="1:11" x14ac:dyDescent="0.2">
      <c r="A6362" s="2">
        <v>1592</v>
      </c>
      <c r="B6362" s="2">
        <v>10</v>
      </c>
      <c r="C6362" s="2">
        <v>118416050</v>
      </c>
      <c r="D6362" s="2">
        <v>119528730</v>
      </c>
      <c r="E6362" s="2">
        <v>2</v>
      </c>
      <c r="F6362" s="2" t="s">
        <v>10086</v>
      </c>
      <c r="H6362" s="2">
        <v>1.1999999999999999E-3</v>
      </c>
      <c r="K6362" s="2" t="s">
        <v>12324</v>
      </c>
    </row>
    <row r="6363" spans="1:11" x14ac:dyDescent="0.2">
      <c r="A6363" s="2">
        <v>1592</v>
      </c>
      <c r="B6363" s="2">
        <v>10</v>
      </c>
      <c r="C6363" s="2">
        <v>118416050</v>
      </c>
      <c r="D6363" s="2">
        <v>119528730</v>
      </c>
      <c r="E6363" s="2">
        <v>3</v>
      </c>
      <c r="F6363" s="2" t="s">
        <v>10086</v>
      </c>
      <c r="H6363" s="2">
        <v>1.2999999999999999E-3</v>
      </c>
      <c r="K6363" s="2" t="s">
        <v>10088</v>
      </c>
    </row>
    <row r="6364" spans="1:11" x14ac:dyDescent="0.2">
      <c r="A6364" s="2">
        <v>1592</v>
      </c>
      <c r="B6364" s="2">
        <v>10</v>
      </c>
      <c r="C6364" s="2">
        <v>118416050</v>
      </c>
      <c r="D6364" s="2">
        <v>119528730</v>
      </c>
      <c r="E6364" s="2">
        <v>4</v>
      </c>
      <c r="F6364" s="2" t="s">
        <v>10086</v>
      </c>
      <c r="H6364" s="3">
        <v>8.9999999999999998E-4</v>
      </c>
      <c r="K6364" s="2" t="s">
        <v>10085</v>
      </c>
    </row>
    <row r="6365" spans="1:11" x14ac:dyDescent="0.2">
      <c r="A6365" s="2">
        <v>1593</v>
      </c>
      <c r="B6365" s="2">
        <v>10</v>
      </c>
      <c r="C6365" s="2">
        <v>119528731</v>
      </c>
      <c r="D6365" s="2">
        <v>120592839</v>
      </c>
      <c r="E6365" s="2">
        <v>1</v>
      </c>
      <c r="F6365" s="2" t="s">
        <v>10086</v>
      </c>
      <c r="H6365" s="2">
        <v>1.8E-3</v>
      </c>
      <c r="K6365" s="2" t="s">
        <v>12324</v>
      </c>
    </row>
    <row r="6366" spans="1:11" x14ac:dyDescent="0.2">
      <c r="A6366" s="2">
        <v>1593</v>
      </c>
      <c r="B6366" s="2">
        <v>10</v>
      </c>
      <c r="C6366" s="2">
        <v>119528731</v>
      </c>
      <c r="D6366" s="2">
        <v>120592839</v>
      </c>
      <c r="E6366" s="2">
        <v>2</v>
      </c>
      <c r="F6366" s="2" t="s">
        <v>10086</v>
      </c>
      <c r="H6366" s="2">
        <v>1.1999999999999999E-3</v>
      </c>
      <c r="K6366" s="2" t="s">
        <v>10088</v>
      </c>
    </row>
    <row r="6367" spans="1:11" x14ac:dyDescent="0.2">
      <c r="A6367" s="2">
        <v>1593</v>
      </c>
      <c r="B6367" s="2">
        <v>10</v>
      </c>
      <c r="C6367" s="2">
        <v>119528731</v>
      </c>
      <c r="D6367" s="2">
        <v>120592839</v>
      </c>
      <c r="E6367" s="2">
        <v>3</v>
      </c>
      <c r="F6367" s="2" t="s">
        <v>10086</v>
      </c>
      <c r="H6367" s="2">
        <v>1.1000000000000001E-3</v>
      </c>
      <c r="K6367" s="2" t="s">
        <v>10085</v>
      </c>
    </row>
    <row r="6368" spans="1:11" x14ac:dyDescent="0.2">
      <c r="A6368" s="2">
        <v>1593</v>
      </c>
      <c r="B6368" s="2">
        <v>10</v>
      </c>
      <c r="C6368" s="2">
        <v>119528731</v>
      </c>
      <c r="D6368" s="2">
        <v>120592839</v>
      </c>
      <c r="E6368" s="2">
        <v>4</v>
      </c>
      <c r="F6368" s="2" t="s">
        <v>10086</v>
      </c>
      <c r="H6368" s="3">
        <v>8.9999999999999998E-4</v>
      </c>
      <c r="K6368" s="2" t="s">
        <v>10087</v>
      </c>
    </row>
    <row r="6369" spans="1:11" x14ac:dyDescent="0.2">
      <c r="A6369" s="2">
        <v>1594</v>
      </c>
      <c r="B6369" s="2">
        <v>10</v>
      </c>
      <c r="C6369" s="2">
        <v>120592840</v>
      </c>
      <c r="D6369" s="2">
        <v>121874445</v>
      </c>
      <c r="E6369" s="2">
        <v>1</v>
      </c>
      <c r="F6369" s="2" t="s">
        <v>10086</v>
      </c>
      <c r="H6369" s="2">
        <v>1.6999999999999999E-3</v>
      </c>
      <c r="K6369" s="2" t="s">
        <v>10085</v>
      </c>
    </row>
    <row r="6370" spans="1:11" x14ac:dyDescent="0.2">
      <c r="A6370" s="2">
        <v>1594</v>
      </c>
      <c r="B6370" s="2">
        <v>10</v>
      </c>
      <c r="C6370" s="2">
        <v>120592840</v>
      </c>
      <c r="D6370" s="2">
        <v>121874445</v>
      </c>
      <c r="E6370" s="2">
        <v>2</v>
      </c>
      <c r="F6370" s="2" t="s">
        <v>10086</v>
      </c>
      <c r="H6370" s="3">
        <v>8.9999999999999998E-4</v>
      </c>
      <c r="K6370" s="2" t="s">
        <v>10089</v>
      </c>
    </row>
    <row r="6371" spans="1:11" x14ac:dyDescent="0.2">
      <c r="A6371" s="2">
        <v>1594</v>
      </c>
      <c r="B6371" s="2">
        <v>10</v>
      </c>
      <c r="C6371" s="2">
        <v>120592840</v>
      </c>
      <c r="D6371" s="2">
        <v>121874445</v>
      </c>
      <c r="E6371" s="2">
        <v>3</v>
      </c>
      <c r="F6371" s="2" t="s">
        <v>10086</v>
      </c>
      <c r="H6371" s="2">
        <v>1E-3</v>
      </c>
      <c r="K6371" s="2" t="s">
        <v>10087</v>
      </c>
    </row>
    <row r="6372" spans="1:11" x14ac:dyDescent="0.2">
      <c r="A6372" s="2">
        <v>1594</v>
      </c>
      <c r="B6372" s="2">
        <v>10</v>
      </c>
      <c r="C6372" s="2">
        <v>120592840</v>
      </c>
      <c r="D6372" s="2">
        <v>121874445</v>
      </c>
      <c r="E6372" s="2">
        <v>4</v>
      </c>
      <c r="F6372" s="2" t="s">
        <v>10086</v>
      </c>
      <c r="H6372" s="3">
        <v>4.0000000000000002E-4</v>
      </c>
      <c r="K6372" s="2" t="s">
        <v>10088</v>
      </c>
    </row>
    <row r="6373" spans="1:11" x14ac:dyDescent="0.2">
      <c r="A6373" s="2">
        <v>1595</v>
      </c>
      <c r="B6373" s="2">
        <v>10</v>
      </c>
      <c r="C6373" s="2">
        <v>121874446</v>
      </c>
      <c r="D6373" s="2">
        <v>122803506</v>
      </c>
      <c r="E6373" s="2">
        <v>1</v>
      </c>
      <c r="F6373" s="2" t="s">
        <v>10086</v>
      </c>
      <c r="H6373" s="2">
        <v>2.7000000000000001E-3</v>
      </c>
      <c r="K6373" s="2" t="s">
        <v>10085</v>
      </c>
    </row>
    <row r="6374" spans="1:11" x14ac:dyDescent="0.2">
      <c r="A6374" s="2">
        <v>1595</v>
      </c>
      <c r="B6374" s="2">
        <v>10</v>
      </c>
      <c r="C6374" s="2">
        <v>121874446</v>
      </c>
      <c r="D6374" s="2">
        <v>122803506</v>
      </c>
      <c r="E6374" s="2">
        <v>2</v>
      </c>
      <c r="F6374" s="2" t="s">
        <v>10086</v>
      </c>
      <c r="H6374" s="2">
        <v>1.5E-3</v>
      </c>
      <c r="K6374" s="2" t="s">
        <v>10087</v>
      </c>
    </row>
    <row r="6375" spans="1:11" x14ac:dyDescent="0.2">
      <c r="A6375" s="2">
        <v>1595</v>
      </c>
      <c r="B6375" s="2">
        <v>10</v>
      </c>
      <c r="C6375" s="2">
        <v>121874446</v>
      </c>
      <c r="D6375" s="2">
        <v>122803506</v>
      </c>
      <c r="E6375" s="2">
        <v>3</v>
      </c>
      <c r="F6375" s="2" t="s">
        <v>10086</v>
      </c>
      <c r="H6375" s="2">
        <v>2.3E-3</v>
      </c>
      <c r="K6375" s="2" t="s">
        <v>10089</v>
      </c>
    </row>
    <row r="6376" spans="1:11" x14ac:dyDescent="0.2">
      <c r="A6376" s="2">
        <v>1595</v>
      </c>
      <c r="B6376" s="2">
        <v>10</v>
      </c>
      <c r="C6376" s="2">
        <v>121874446</v>
      </c>
      <c r="D6376" s="2">
        <v>122803506</v>
      </c>
      <c r="E6376" s="2">
        <v>4</v>
      </c>
      <c r="F6376" s="2" t="s">
        <v>10086</v>
      </c>
      <c r="H6376" s="3">
        <v>4.0000000000000002E-4</v>
      </c>
      <c r="K6376" s="2" t="s">
        <v>10088</v>
      </c>
    </row>
    <row r="6377" spans="1:11" x14ac:dyDescent="0.2">
      <c r="A6377" s="2">
        <v>1596</v>
      </c>
      <c r="B6377" s="2">
        <v>10</v>
      </c>
      <c r="C6377" s="2">
        <v>122803507</v>
      </c>
      <c r="D6377" s="2">
        <v>123856184</v>
      </c>
      <c r="E6377" s="2">
        <v>1</v>
      </c>
      <c r="F6377" s="2" t="s">
        <v>10086</v>
      </c>
      <c r="H6377" s="2">
        <v>5.1999999999999998E-3</v>
      </c>
      <c r="K6377" s="2" t="s">
        <v>10087</v>
      </c>
    </row>
    <row r="6378" spans="1:11" x14ac:dyDescent="0.2">
      <c r="A6378" s="2">
        <v>1596</v>
      </c>
      <c r="B6378" s="2">
        <v>10</v>
      </c>
      <c r="C6378" s="2">
        <v>122803507</v>
      </c>
      <c r="D6378" s="2">
        <v>123856184</v>
      </c>
      <c r="E6378" s="2">
        <v>2</v>
      </c>
      <c r="F6378" s="2" t="s">
        <v>10086</v>
      </c>
      <c r="H6378" s="2">
        <v>1.4E-3</v>
      </c>
      <c r="K6378" s="2" t="s">
        <v>10089</v>
      </c>
    </row>
    <row r="6379" spans="1:11" x14ac:dyDescent="0.2">
      <c r="A6379" s="2">
        <v>1596</v>
      </c>
      <c r="B6379" s="2">
        <v>10</v>
      </c>
      <c r="C6379" s="2">
        <v>122803507</v>
      </c>
      <c r="D6379" s="2">
        <v>123856184</v>
      </c>
      <c r="E6379" s="2">
        <v>3</v>
      </c>
      <c r="F6379" s="2" t="s">
        <v>10086</v>
      </c>
      <c r="H6379" s="2">
        <v>1.4E-3</v>
      </c>
      <c r="K6379" s="2" t="s">
        <v>10088</v>
      </c>
    </row>
    <row r="6380" spans="1:11" x14ac:dyDescent="0.2">
      <c r="A6380" s="2">
        <v>1596</v>
      </c>
      <c r="B6380" s="2">
        <v>10</v>
      </c>
      <c r="C6380" s="2">
        <v>122803507</v>
      </c>
      <c r="D6380" s="2">
        <v>123856184</v>
      </c>
      <c r="E6380" s="2">
        <v>4</v>
      </c>
      <c r="F6380" s="2" t="s">
        <v>10086</v>
      </c>
      <c r="H6380" s="3">
        <v>8.0000000000000004E-4</v>
      </c>
      <c r="K6380" s="2" t="s">
        <v>10085</v>
      </c>
    </row>
    <row r="6381" spans="1:11" x14ac:dyDescent="0.2">
      <c r="A6381" s="2">
        <v>1597</v>
      </c>
      <c r="B6381" s="2">
        <v>10</v>
      </c>
      <c r="C6381" s="2">
        <v>123856185</v>
      </c>
      <c r="D6381" s="2">
        <v>124894142</v>
      </c>
      <c r="E6381" s="2">
        <v>1</v>
      </c>
      <c r="F6381" s="2" t="s">
        <v>10086</v>
      </c>
      <c r="H6381" s="2">
        <v>1.9E-3</v>
      </c>
      <c r="K6381" s="2" t="s">
        <v>10087</v>
      </c>
    </row>
    <row r="6382" spans="1:11" x14ac:dyDescent="0.2">
      <c r="A6382" s="2">
        <v>1597</v>
      </c>
      <c r="B6382" s="2">
        <v>10</v>
      </c>
      <c r="C6382" s="2">
        <v>123856185</v>
      </c>
      <c r="D6382" s="2">
        <v>124894142</v>
      </c>
      <c r="E6382" s="2">
        <v>2</v>
      </c>
      <c r="F6382" s="2" t="s">
        <v>10086</v>
      </c>
      <c r="H6382" s="2">
        <v>1.2999999999999999E-3</v>
      </c>
      <c r="K6382" s="2" t="s">
        <v>10085</v>
      </c>
    </row>
    <row r="6383" spans="1:11" x14ac:dyDescent="0.2">
      <c r="A6383" s="2">
        <v>1597</v>
      </c>
      <c r="B6383" s="2">
        <v>10</v>
      </c>
      <c r="C6383" s="2">
        <v>123856185</v>
      </c>
      <c r="D6383" s="2">
        <v>124894142</v>
      </c>
      <c r="E6383" s="2">
        <v>3</v>
      </c>
      <c r="F6383" s="2" t="s">
        <v>10086</v>
      </c>
      <c r="H6383" s="3">
        <v>8.9999999999999998E-4</v>
      </c>
      <c r="K6383" s="2" t="s">
        <v>10089</v>
      </c>
    </row>
    <row r="6384" spans="1:11" x14ac:dyDescent="0.2">
      <c r="A6384" s="2">
        <v>1597</v>
      </c>
      <c r="B6384" s="2">
        <v>10</v>
      </c>
      <c r="C6384" s="2">
        <v>123856185</v>
      </c>
      <c r="D6384" s="2">
        <v>124894142</v>
      </c>
      <c r="E6384" s="2">
        <v>4</v>
      </c>
      <c r="F6384" s="2" t="s">
        <v>10086</v>
      </c>
      <c r="H6384" s="3">
        <v>5.0000000000000001E-4</v>
      </c>
      <c r="K6384" s="2" t="s">
        <v>10088</v>
      </c>
    </row>
    <row r="6385" spans="1:11" x14ac:dyDescent="0.2">
      <c r="A6385" s="2">
        <v>1598</v>
      </c>
      <c r="B6385" s="2">
        <v>10</v>
      </c>
      <c r="C6385" s="2">
        <v>124894143</v>
      </c>
      <c r="D6385" s="2">
        <v>125798319</v>
      </c>
      <c r="E6385" s="2">
        <v>1</v>
      </c>
      <c r="F6385" s="2" t="s">
        <v>10086</v>
      </c>
      <c r="H6385" s="2">
        <v>2E-3</v>
      </c>
      <c r="K6385" s="2" t="s">
        <v>10088</v>
      </c>
    </row>
    <row r="6386" spans="1:11" x14ac:dyDescent="0.2">
      <c r="A6386" s="2">
        <v>1598</v>
      </c>
      <c r="B6386" s="2">
        <v>10</v>
      </c>
      <c r="C6386" s="2">
        <v>124894143</v>
      </c>
      <c r="D6386" s="2">
        <v>125798319</v>
      </c>
      <c r="E6386" s="2">
        <v>2</v>
      </c>
      <c r="F6386" s="2" t="s">
        <v>10086</v>
      </c>
      <c r="H6386" s="2">
        <v>1.5E-3</v>
      </c>
      <c r="K6386" s="2" t="s">
        <v>10085</v>
      </c>
    </row>
    <row r="6387" spans="1:11" x14ac:dyDescent="0.2">
      <c r="A6387" s="2">
        <v>1598</v>
      </c>
      <c r="B6387" s="2">
        <v>10</v>
      </c>
      <c r="C6387" s="2">
        <v>124894143</v>
      </c>
      <c r="D6387" s="2">
        <v>125798319</v>
      </c>
      <c r="E6387" s="2">
        <v>3</v>
      </c>
      <c r="F6387" s="2" t="s">
        <v>10086</v>
      </c>
      <c r="H6387" s="2">
        <v>1.2999999999999999E-3</v>
      </c>
      <c r="K6387" s="2" t="s">
        <v>10089</v>
      </c>
    </row>
    <row r="6388" spans="1:11" x14ac:dyDescent="0.2">
      <c r="A6388" s="2">
        <v>1598</v>
      </c>
      <c r="B6388" s="2">
        <v>10</v>
      </c>
      <c r="C6388" s="2">
        <v>124894143</v>
      </c>
      <c r="D6388" s="2">
        <v>125798319</v>
      </c>
      <c r="E6388" s="2">
        <v>4</v>
      </c>
      <c r="F6388" s="2" t="s">
        <v>10086</v>
      </c>
      <c r="H6388" s="3">
        <v>5.0000000000000001E-4</v>
      </c>
      <c r="K6388" s="2" t="s">
        <v>10087</v>
      </c>
    </row>
    <row r="6389" spans="1:11" x14ac:dyDescent="0.2">
      <c r="A6389" s="2">
        <v>1599</v>
      </c>
      <c r="B6389" s="2">
        <v>10</v>
      </c>
      <c r="C6389" s="2">
        <v>125798320</v>
      </c>
      <c r="D6389" s="2">
        <v>126875816</v>
      </c>
      <c r="E6389" s="2">
        <v>1</v>
      </c>
      <c r="F6389" s="2" t="s">
        <v>10086</v>
      </c>
      <c r="H6389" s="2">
        <v>2.5000000000000001E-3</v>
      </c>
      <c r="K6389" s="2" t="s">
        <v>12324</v>
      </c>
    </row>
    <row r="6390" spans="1:11" x14ac:dyDescent="0.2">
      <c r="A6390" s="2">
        <v>1599</v>
      </c>
      <c r="B6390" s="2">
        <v>10</v>
      </c>
      <c r="C6390" s="2">
        <v>125798320</v>
      </c>
      <c r="D6390" s="2">
        <v>126875816</v>
      </c>
      <c r="E6390" s="2">
        <v>2</v>
      </c>
      <c r="F6390" s="2" t="s">
        <v>10086</v>
      </c>
      <c r="H6390" s="2">
        <v>7.3999999999999996E-2</v>
      </c>
      <c r="K6390" s="2" t="s">
        <v>10088</v>
      </c>
    </row>
    <row r="6391" spans="1:11" x14ac:dyDescent="0.2">
      <c r="A6391" s="2">
        <v>1599</v>
      </c>
      <c r="B6391" s="2">
        <v>10</v>
      </c>
      <c r="C6391" s="2">
        <v>125798320</v>
      </c>
      <c r="D6391" s="2">
        <v>126875816</v>
      </c>
      <c r="E6391" s="2">
        <v>3</v>
      </c>
      <c r="F6391" s="2" t="s">
        <v>10086</v>
      </c>
      <c r="H6391" s="2">
        <v>3.0999999999999999E-3</v>
      </c>
      <c r="K6391" s="2" t="s">
        <v>10089</v>
      </c>
    </row>
    <row r="6392" spans="1:11" x14ac:dyDescent="0.2">
      <c r="A6392" s="2">
        <v>1599</v>
      </c>
      <c r="B6392" s="2">
        <v>10</v>
      </c>
      <c r="C6392" s="2">
        <v>125798320</v>
      </c>
      <c r="D6392" s="2">
        <v>126875816</v>
      </c>
      <c r="E6392" s="2">
        <v>4</v>
      </c>
      <c r="F6392" s="2" t="s">
        <v>10086</v>
      </c>
      <c r="H6392" s="2">
        <v>1.6000000000000001E-3</v>
      </c>
      <c r="K6392" s="2" t="s">
        <v>10085</v>
      </c>
    </row>
    <row r="6393" spans="1:11" x14ac:dyDescent="0.2">
      <c r="A6393" s="2">
        <v>1600</v>
      </c>
      <c r="B6393" s="2">
        <v>10</v>
      </c>
      <c r="C6393" s="2">
        <v>126875817</v>
      </c>
      <c r="D6393" s="2">
        <v>127997708</v>
      </c>
      <c r="E6393" s="2">
        <v>1</v>
      </c>
      <c r="F6393" s="2" t="s">
        <v>10086</v>
      </c>
      <c r="H6393" s="2">
        <v>1.9E-3</v>
      </c>
      <c r="K6393" s="2" t="s">
        <v>10089</v>
      </c>
    </row>
    <row r="6394" spans="1:11" x14ac:dyDescent="0.2">
      <c r="A6394" s="2">
        <v>1600</v>
      </c>
      <c r="B6394" s="2">
        <v>10</v>
      </c>
      <c r="C6394" s="2">
        <v>126875817</v>
      </c>
      <c r="D6394" s="2">
        <v>127997708</v>
      </c>
      <c r="E6394" s="2">
        <v>2</v>
      </c>
      <c r="F6394" s="2" t="s">
        <v>10086</v>
      </c>
      <c r="H6394" s="2">
        <v>1.6999999999999999E-3</v>
      </c>
      <c r="K6394" s="2" t="s">
        <v>10085</v>
      </c>
    </row>
    <row r="6395" spans="1:11" x14ac:dyDescent="0.2">
      <c r="A6395" s="2">
        <v>1600</v>
      </c>
      <c r="B6395" s="2">
        <v>10</v>
      </c>
      <c r="C6395" s="2">
        <v>126875817</v>
      </c>
      <c r="D6395" s="2">
        <v>127997708</v>
      </c>
      <c r="E6395" s="2">
        <v>3</v>
      </c>
      <c r="F6395" s="2" t="s">
        <v>10086</v>
      </c>
      <c r="H6395" s="2">
        <v>1.4E-3</v>
      </c>
      <c r="K6395" s="2" t="s">
        <v>10088</v>
      </c>
    </row>
    <row r="6396" spans="1:11" x14ac:dyDescent="0.2">
      <c r="A6396" s="2">
        <v>1600</v>
      </c>
      <c r="B6396" s="2">
        <v>10</v>
      </c>
      <c r="C6396" s="2">
        <v>126875817</v>
      </c>
      <c r="D6396" s="2">
        <v>127997708</v>
      </c>
      <c r="E6396" s="2">
        <v>4</v>
      </c>
      <c r="F6396" s="2" t="s">
        <v>10086</v>
      </c>
      <c r="H6396" s="3">
        <v>4.0000000000000002E-4</v>
      </c>
      <c r="K6396" s="2" t="s">
        <v>10087</v>
      </c>
    </row>
    <row r="6397" spans="1:11" x14ac:dyDescent="0.2">
      <c r="A6397" s="2">
        <v>1601</v>
      </c>
      <c r="B6397" s="2">
        <v>10</v>
      </c>
      <c r="C6397" s="2">
        <v>127997709</v>
      </c>
      <c r="D6397" s="2">
        <v>129134738</v>
      </c>
      <c r="E6397" s="2">
        <v>1</v>
      </c>
      <c r="F6397" s="2" t="s">
        <v>10086</v>
      </c>
      <c r="H6397" s="2">
        <v>1.9E-3</v>
      </c>
      <c r="K6397" s="2" t="s">
        <v>10085</v>
      </c>
    </row>
    <row r="6398" spans="1:11" x14ac:dyDescent="0.2">
      <c r="A6398" s="2">
        <v>1601</v>
      </c>
      <c r="B6398" s="2">
        <v>10</v>
      </c>
      <c r="C6398" s="2">
        <v>127997709</v>
      </c>
      <c r="D6398" s="2">
        <v>129134738</v>
      </c>
      <c r="E6398" s="2">
        <v>2</v>
      </c>
      <c r="F6398" s="2" t="s">
        <v>10086</v>
      </c>
      <c r="H6398" s="2">
        <v>1.1999999999999999E-3</v>
      </c>
      <c r="K6398" s="2" t="s">
        <v>10088</v>
      </c>
    </row>
    <row r="6399" spans="1:11" x14ac:dyDescent="0.2">
      <c r="A6399" s="2">
        <v>1601</v>
      </c>
      <c r="B6399" s="2">
        <v>10</v>
      </c>
      <c r="C6399" s="2">
        <v>127997709</v>
      </c>
      <c r="D6399" s="2">
        <v>129134738</v>
      </c>
      <c r="E6399" s="2">
        <v>3</v>
      </c>
      <c r="F6399" s="2" t="s">
        <v>10086</v>
      </c>
      <c r="H6399" s="3">
        <v>6.9999999999999999E-4</v>
      </c>
      <c r="K6399" s="2" t="s">
        <v>10089</v>
      </c>
    </row>
    <row r="6400" spans="1:11" x14ac:dyDescent="0.2">
      <c r="A6400" s="2">
        <v>1601</v>
      </c>
      <c r="B6400" s="2">
        <v>10</v>
      </c>
      <c r="C6400" s="2">
        <v>127997709</v>
      </c>
      <c r="D6400" s="2">
        <v>129134738</v>
      </c>
      <c r="E6400" s="2">
        <v>4</v>
      </c>
      <c r="F6400" s="2" t="s">
        <v>10086</v>
      </c>
      <c r="H6400" s="3">
        <v>4.0000000000000002E-4</v>
      </c>
      <c r="K6400" s="2" t="s">
        <v>10087</v>
      </c>
    </row>
    <row r="6401" spans="1:11" x14ac:dyDescent="0.2">
      <c r="A6401" s="2">
        <v>1602</v>
      </c>
      <c r="B6401" s="2">
        <v>10</v>
      </c>
      <c r="C6401" s="2">
        <v>129134739</v>
      </c>
      <c r="D6401" s="2">
        <v>129831969</v>
      </c>
      <c r="E6401" s="2">
        <v>1</v>
      </c>
      <c r="F6401" s="2" t="s">
        <v>10086</v>
      </c>
      <c r="H6401" s="2">
        <v>3.7000000000000002E-3</v>
      </c>
      <c r="K6401" s="2" t="s">
        <v>10087</v>
      </c>
    </row>
    <row r="6402" spans="1:11" x14ac:dyDescent="0.2">
      <c r="A6402" s="2">
        <v>1602</v>
      </c>
      <c r="B6402" s="2">
        <v>10</v>
      </c>
      <c r="C6402" s="2">
        <v>129134739</v>
      </c>
      <c r="D6402" s="2">
        <v>129831969</v>
      </c>
      <c r="E6402" s="2">
        <v>2</v>
      </c>
      <c r="F6402" s="2" t="s">
        <v>10086</v>
      </c>
      <c r="H6402" s="2">
        <v>1.4E-3</v>
      </c>
      <c r="K6402" s="2" t="s">
        <v>10089</v>
      </c>
    </row>
    <row r="6403" spans="1:11" x14ac:dyDescent="0.2">
      <c r="A6403" s="2">
        <v>1602</v>
      </c>
      <c r="B6403" s="2">
        <v>10</v>
      </c>
      <c r="C6403" s="2">
        <v>129134739</v>
      </c>
      <c r="D6403" s="2">
        <v>129831969</v>
      </c>
      <c r="E6403" s="2">
        <v>3</v>
      </c>
      <c r="F6403" s="2" t="s">
        <v>10086</v>
      </c>
      <c r="H6403" s="3">
        <v>8.9999999999999998E-4</v>
      </c>
      <c r="K6403" s="2" t="s">
        <v>10088</v>
      </c>
    </row>
    <row r="6404" spans="1:11" x14ac:dyDescent="0.2">
      <c r="A6404" s="2">
        <v>1602</v>
      </c>
      <c r="B6404" s="2">
        <v>10</v>
      </c>
      <c r="C6404" s="2">
        <v>129134739</v>
      </c>
      <c r="D6404" s="2">
        <v>129831969</v>
      </c>
      <c r="E6404" s="2">
        <v>4</v>
      </c>
      <c r="F6404" s="2" t="s">
        <v>10086</v>
      </c>
      <c r="H6404" s="3">
        <v>8.0000000000000004E-4</v>
      </c>
      <c r="K6404" s="2" t="s">
        <v>10085</v>
      </c>
    </row>
    <row r="6405" spans="1:11" x14ac:dyDescent="0.2">
      <c r="A6405" s="2">
        <v>1603</v>
      </c>
      <c r="B6405" s="2">
        <v>10</v>
      </c>
      <c r="C6405" s="2">
        <v>129831970</v>
      </c>
      <c r="D6405" s="2">
        <v>130694008</v>
      </c>
      <c r="E6405" s="2">
        <v>1</v>
      </c>
      <c r="F6405" s="2" t="s">
        <v>10086</v>
      </c>
      <c r="H6405" s="2">
        <v>4.07E-2</v>
      </c>
      <c r="K6405" s="2" t="s">
        <v>10089</v>
      </c>
    </row>
    <row r="6406" spans="1:11" x14ac:dyDescent="0.2">
      <c r="A6406" s="2">
        <v>1603</v>
      </c>
      <c r="B6406" s="2">
        <v>10</v>
      </c>
      <c r="C6406" s="2">
        <v>129831970</v>
      </c>
      <c r="D6406" s="2">
        <v>130694008</v>
      </c>
      <c r="E6406" s="2">
        <v>2</v>
      </c>
      <c r="F6406" s="2" t="s">
        <v>10086</v>
      </c>
      <c r="H6406" s="3">
        <v>8.9999999999999998E-4</v>
      </c>
      <c r="K6406" s="2" t="s">
        <v>10085</v>
      </c>
    </row>
    <row r="6407" spans="1:11" x14ac:dyDescent="0.2">
      <c r="A6407" s="2">
        <v>1603</v>
      </c>
      <c r="B6407" s="2">
        <v>10</v>
      </c>
      <c r="C6407" s="2">
        <v>129831970</v>
      </c>
      <c r="D6407" s="2">
        <v>130694008</v>
      </c>
      <c r="E6407" s="2">
        <v>3</v>
      </c>
      <c r="F6407" s="2" t="s">
        <v>10086</v>
      </c>
      <c r="H6407" s="3">
        <v>8.0000000000000004E-4</v>
      </c>
      <c r="K6407" s="2" t="s">
        <v>10087</v>
      </c>
    </row>
    <row r="6408" spans="1:11" x14ac:dyDescent="0.2">
      <c r="A6408" s="2">
        <v>1603</v>
      </c>
      <c r="B6408" s="2">
        <v>10</v>
      </c>
      <c r="C6408" s="2">
        <v>129831970</v>
      </c>
      <c r="D6408" s="2">
        <v>130694008</v>
      </c>
      <c r="E6408" s="2">
        <v>4</v>
      </c>
      <c r="F6408" s="2" t="s">
        <v>10086</v>
      </c>
      <c r="H6408" s="3">
        <v>5.0000000000000001E-4</v>
      </c>
      <c r="K6408" s="2" t="s">
        <v>10088</v>
      </c>
    </row>
    <row r="6409" spans="1:11" x14ac:dyDescent="0.2">
      <c r="A6409" s="2">
        <v>1604</v>
      </c>
      <c r="B6409" s="2">
        <v>10</v>
      </c>
      <c r="C6409" s="2">
        <v>130694009</v>
      </c>
      <c r="D6409" s="2">
        <v>131694738</v>
      </c>
      <c r="E6409" s="2">
        <v>1</v>
      </c>
      <c r="F6409" s="2" t="s">
        <v>10086</v>
      </c>
      <c r="H6409" s="2">
        <v>1.4E-3</v>
      </c>
      <c r="K6409" s="2" t="s">
        <v>10089</v>
      </c>
    </row>
    <row r="6410" spans="1:11" x14ac:dyDescent="0.2">
      <c r="A6410" s="2">
        <v>1604</v>
      </c>
      <c r="B6410" s="2">
        <v>10</v>
      </c>
      <c r="C6410" s="2">
        <v>130694009</v>
      </c>
      <c r="D6410" s="2">
        <v>131694738</v>
      </c>
      <c r="E6410" s="2">
        <v>2</v>
      </c>
      <c r="F6410" s="2" t="s">
        <v>10086</v>
      </c>
      <c r="H6410" s="2">
        <v>1.1000000000000001E-3</v>
      </c>
      <c r="K6410" s="2" t="s">
        <v>12324</v>
      </c>
    </row>
    <row r="6411" spans="1:11" x14ac:dyDescent="0.2">
      <c r="A6411" s="2">
        <v>1604</v>
      </c>
      <c r="B6411" s="2">
        <v>10</v>
      </c>
      <c r="C6411" s="2">
        <v>130694009</v>
      </c>
      <c r="D6411" s="2">
        <v>131694738</v>
      </c>
      <c r="E6411" s="2">
        <v>3</v>
      </c>
      <c r="F6411" s="2" t="s">
        <v>10086</v>
      </c>
      <c r="H6411" s="2">
        <v>1E-3</v>
      </c>
      <c r="K6411" s="2" t="s">
        <v>10085</v>
      </c>
    </row>
    <row r="6412" spans="1:11" x14ac:dyDescent="0.2">
      <c r="A6412" s="2">
        <v>1604</v>
      </c>
      <c r="B6412" s="2">
        <v>10</v>
      </c>
      <c r="C6412" s="2">
        <v>130694009</v>
      </c>
      <c r="D6412" s="2">
        <v>131694738</v>
      </c>
      <c r="E6412" s="2">
        <v>4</v>
      </c>
      <c r="F6412" s="2" t="s">
        <v>10086</v>
      </c>
      <c r="H6412" s="2">
        <v>1E-3</v>
      </c>
      <c r="K6412" s="2" t="s">
        <v>10087</v>
      </c>
    </row>
    <row r="6413" spans="1:11" x14ac:dyDescent="0.2">
      <c r="A6413" s="2">
        <v>1605</v>
      </c>
      <c r="B6413" s="2">
        <v>10</v>
      </c>
      <c r="C6413" s="2">
        <v>131694739</v>
      </c>
      <c r="D6413" s="2">
        <v>132576793</v>
      </c>
      <c r="E6413" s="2">
        <v>1</v>
      </c>
      <c r="F6413" s="2" t="s">
        <v>10086</v>
      </c>
      <c r="H6413" s="2">
        <v>2.7000000000000001E-3</v>
      </c>
      <c r="K6413" s="2" t="s">
        <v>10088</v>
      </c>
    </row>
    <row r="6414" spans="1:11" x14ac:dyDescent="0.2">
      <c r="A6414" s="2">
        <v>1605</v>
      </c>
      <c r="B6414" s="2">
        <v>10</v>
      </c>
      <c r="C6414" s="2">
        <v>131694739</v>
      </c>
      <c r="D6414" s="2">
        <v>132576793</v>
      </c>
      <c r="E6414" s="2">
        <v>2</v>
      </c>
      <c r="F6414" s="2" t="s">
        <v>10086</v>
      </c>
      <c r="H6414" s="2">
        <v>1.1000000000000001E-3</v>
      </c>
      <c r="K6414" s="2" t="s">
        <v>10089</v>
      </c>
    </row>
    <row r="6415" spans="1:11" x14ac:dyDescent="0.2">
      <c r="A6415" s="2">
        <v>1605</v>
      </c>
      <c r="B6415" s="2">
        <v>10</v>
      </c>
      <c r="C6415" s="2">
        <v>131694739</v>
      </c>
      <c r="D6415" s="2">
        <v>132576793</v>
      </c>
      <c r="E6415" s="2">
        <v>3</v>
      </c>
      <c r="F6415" s="2" t="s">
        <v>10086</v>
      </c>
      <c r="H6415" s="3">
        <v>8.9999999999999998E-4</v>
      </c>
      <c r="K6415" s="2" t="s">
        <v>10087</v>
      </c>
    </row>
    <row r="6416" spans="1:11" x14ac:dyDescent="0.2">
      <c r="A6416" s="2">
        <v>1605</v>
      </c>
      <c r="B6416" s="2">
        <v>10</v>
      </c>
      <c r="C6416" s="2">
        <v>131694739</v>
      </c>
      <c r="D6416" s="2">
        <v>132576793</v>
      </c>
      <c r="E6416" s="2">
        <v>4</v>
      </c>
      <c r="F6416" s="2" t="s">
        <v>10086</v>
      </c>
      <c r="H6416" s="3">
        <v>5.0000000000000001E-4</v>
      </c>
      <c r="K6416" s="2" t="s">
        <v>10085</v>
      </c>
    </row>
    <row r="6417" spans="1:11" x14ac:dyDescent="0.2">
      <c r="A6417" s="2">
        <v>1606</v>
      </c>
      <c r="B6417" s="2">
        <v>10</v>
      </c>
      <c r="C6417" s="2">
        <v>132576794</v>
      </c>
      <c r="D6417" s="2">
        <v>133111170</v>
      </c>
      <c r="E6417" s="2">
        <v>1</v>
      </c>
      <c r="F6417" s="2" t="s">
        <v>10086</v>
      </c>
      <c r="H6417" s="2">
        <v>2.8999999999999998E-3</v>
      </c>
      <c r="K6417" s="2" t="s">
        <v>10087</v>
      </c>
    </row>
    <row r="6418" spans="1:11" x14ac:dyDescent="0.2">
      <c r="A6418" s="2">
        <v>1606</v>
      </c>
      <c r="B6418" s="2">
        <v>10</v>
      </c>
      <c r="C6418" s="2">
        <v>132576794</v>
      </c>
      <c r="D6418" s="2">
        <v>133111170</v>
      </c>
      <c r="E6418" s="2">
        <v>2</v>
      </c>
      <c r="F6418" s="2" t="s">
        <v>10086</v>
      </c>
      <c r="H6418" s="2">
        <v>1E-3</v>
      </c>
      <c r="K6418" s="2" t="s">
        <v>10085</v>
      </c>
    </row>
    <row r="6419" spans="1:11" x14ac:dyDescent="0.2">
      <c r="A6419" s="2">
        <v>1606</v>
      </c>
      <c r="B6419" s="2">
        <v>10</v>
      </c>
      <c r="C6419" s="2">
        <v>132576794</v>
      </c>
      <c r="D6419" s="2">
        <v>133111170</v>
      </c>
      <c r="E6419" s="2">
        <v>3</v>
      </c>
      <c r="F6419" s="2" t="s">
        <v>10086</v>
      </c>
      <c r="H6419" s="3">
        <v>8.9999999999999998E-4</v>
      </c>
      <c r="K6419" s="2" t="s">
        <v>10089</v>
      </c>
    </row>
    <row r="6420" spans="1:11" x14ac:dyDescent="0.2">
      <c r="A6420" s="2">
        <v>1606</v>
      </c>
      <c r="B6420" s="2">
        <v>10</v>
      </c>
      <c r="C6420" s="2">
        <v>132576794</v>
      </c>
      <c r="D6420" s="2">
        <v>133111170</v>
      </c>
      <c r="E6420" s="2">
        <v>4</v>
      </c>
      <c r="F6420" s="2" t="s">
        <v>10086</v>
      </c>
      <c r="H6420" s="3">
        <v>2.9999999999999997E-4</v>
      </c>
      <c r="K6420" s="2" t="s">
        <v>10088</v>
      </c>
    </row>
    <row r="6421" spans="1:11" x14ac:dyDescent="0.2">
      <c r="A6421" s="2">
        <v>1607</v>
      </c>
      <c r="B6421" s="2">
        <v>10</v>
      </c>
      <c r="C6421" s="2">
        <v>133111171</v>
      </c>
      <c r="D6421" s="2">
        <v>133818036</v>
      </c>
      <c r="E6421" s="2">
        <v>1</v>
      </c>
      <c r="F6421" s="2" t="s">
        <v>10086</v>
      </c>
      <c r="H6421" s="2">
        <v>8.8999999999999999E-3</v>
      </c>
      <c r="K6421" s="2" t="s">
        <v>10087</v>
      </c>
    </row>
    <row r="6422" spans="1:11" x14ac:dyDescent="0.2">
      <c r="A6422" s="2">
        <v>1607</v>
      </c>
      <c r="B6422" s="2">
        <v>10</v>
      </c>
      <c r="C6422" s="2">
        <v>133111171</v>
      </c>
      <c r="D6422" s="2">
        <v>133818036</v>
      </c>
      <c r="E6422" s="2">
        <v>2</v>
      </c>
      <c r="F6422" s="2" t="s">
        <v>10086</v>
      </c>
      <c r="H6422" s="2">
        <v>3.2000000000000002E-3</v>
      </c>
      <c r="K6422" s="2" t="s">
        <v>10089</v>
      </c>
    </row>
    <row r="6423" spans="1:11" x14ac:dyDescent="0.2">
      <c r="A6423" s="2">
        <v>1607</v>
      </c>
      <c r="B6423" s="2">
        <v>10</v>
      </c>
      <c r="C6423" s="2">
        <v>133111171</v>
      </c>
      <c r="D6423" s="2">
        <v>133818036</v>
      </c>
      <c r="E6423" s="2">
        <v>3</v>
      </c>
      <c r="F6423" s="2" t="s">
        <v>10086</v>
      </c>
      <c r="H6423" s="2">
        <v>1.6000000000000001E-3</v>
      </c>
      <c r="K6423" s="2" t="s">
        <v>10088</v>
      </c>
    </row>
    <row r="6424" spans="1:11" x14ac:dyDescent="0.2">
      <c r="A6424" s="2">
        <v>1607</v>
      </c>
      <c r="B6424" s="2">
        <v>10</v>
      </c>
      <c r="C6424" s="2">
        <v>133111171</v>
      </c>
      <c r="D6424" s="2">
        <v>133818036</v>
      </c>
      <c r="E6424" s="2">
        <v>4</v>
      </c>
      <c r="F6424" s="2" t="s">
        <v>10086</v>
      </c>
      <c r="H6424" s="3">
        <v>5.0000000000000001E-4</v>
      </c>
      <c r="K6424" s="2" t="s">
        <v>10085</v>
      </c>
    </row>
    <row r="6425" spans="1:11" x14ac:dyDescent="0.2">
      <c r="A6425" s="2">
        <v>1608</v>
      </c>
      <c r="B6425" s="2">
        <v>10</v>
      </c>
      <c r="C6425" s="2">
        <v>133818037</v>
      </c>
      <c r="D6425" s="2">
        <v>134856054</v>
      </c>
      <c r="E6425" s="2">
        <v>1</v>
      </c>
      <c r="F6425" s="2" t="s">
        <v>10086</v>
      </c>
      <c r="H6425" s="2">
        <v>3.5999999999999999E-3</v>
      </c>
      <c r="K6425" s="2" t="s">
        <v>10089</v>
      </c>
    </row>
    <row r="6426" spans="1:11" x14ac:dyDescent="0.2">
      <c r="A6426" s="2">
        <v>1608</v>
      </c>
      <c r="B6426" s="2">
        <v>10</v>
      </c>
      <c r="C6426" s="2">
        <v>133818037</v>
      </c>
      <c r="D6426" s="2">
        <v>134856054</v>
      </c>
      <c r="E6426" s="2">
        <v>2</v>
      </c>
      <c r="F6426" s="2" t="s">
        <v>10086</v>
      </c>
      <c r="H6426" s="2">
        <v>1.4E-3</v>
      </c>
      <c r="K6426" s="2" t="s">
        <v>10085</v>
      </c>
    </row>
    <row r="6427" spans="1:11" x14ac:dyDescent="0.2">
      <c r="A6427" s="2">
        <v>1608</v>
      </c>
      <c r="B6427" s="2">
        <v>10</v>
      </c>
      <c r="C6427" s="2">
        <v>133818037</v>
      </c>
      <c r="D6427" s="2">
        <v>134856054</v>
      </c>
      <c r="E6427" s="2">
        <v>3</v>
      </c>
      <c r="F6427" s="2" t="s">
        <v>10086</v>
      </c>
      <c r="H6427" s="2">
        <v>1.6000000000000001E-3</v>
      </c>
      <c r="K6427" s="2" t="s">
        <v>10087</v>
      </c>
    </row>
    <row r="6428" spans="1:11" x14ac:dyDescent="0.2">
      <c r="A6428" s="2">
        <v>1608</v>
      </c>
      <c r="B6428" s="2">
        <v>10</v>
      </c>
      <c r="C6428" s="2">
        <v>133818037</v>
      </c>
      <c r="D6428" s="2">
        <v>134856054</v>
      </c>
      <c r="E6428" s="2">
        <v>4</v>
      </c>
      <c r="F6428" s="2" t="s">
        <v>10086</v>
      </c>
      <c r="H6428" s="3">
        <v>5.0000000000000001E-4</v>
      </c>
      <c r="K6428" s="2" t="s">
        <v>10088</v>
      </c>
    </row>
    <row r="6429" spans="1:11" x14ac:dyDescent="0.2">
      <c r="A6429" s="2">
        <v>1609</v>
      </c>
      <c r="B6429" s="2">
        <v>10</v>
      </c>
      <c r="C6429" s="2">
        <v>134856055</v>
      </c>
      <c r="D6429" s="2">
        <v>135524372</v>
      </c>
      <c r="E6429" s="2">
        <v>1</v>
      </c>
      <c r="F6429" s="2" t="s">
        <v>10086</v>
      </c>
      <c r="H6429" s="2">
        <v>1.6999999999999999E-3</v>
      </c>
      <c r="K6429" s="2" t="s">
        <v>10085</v>
      </c>
    </row>
    <row r="6430" spans="1:11" x14ac:dyDescent="0.2">
      <c r="A6430" s="2">
        <v>1609</v>
      </c>
      <c r="B6430" s="2">
        <v>10</v>
      </c>
      <c r="C6430" s="2">
        <v>134856055</v>
      </c>
      <c r="D6430" s="2">
        <v>135524372</v>
      </c>
      <c r="E6430" s="2">
        <v>2</v>
      </c>
      <c r="F6430" s="2" t="s">
        <v>10086</v>
      </c>
      <c r="H6430" s="3">
        <v>8.9999999999999998E-4</v>
      </c>
      <c r="K6430" s="2" t="s">
        <v>10087</v>
      </c>
    </row>
    <row r="6431" spans="1:11" x14ac:dyDescent="0.2">
      <c r="A6431" s="2">
        <v>1609</v>
      </c>
      <c r="B6431" s="2">
        <v>10</v>
      </c>
      <c r="C6431" s="2">
        <v>134856055</v>
      </c>
      <c r="D6431" s="2">
        <v>135524372</v>
      </c>
      <c r="E6431" s="2">
        <v>3</v>
      </c>
      <c r="F6431" s="2" t="s">
        <v>10086</v>
      </c>
      <c r="H6431" s="3">
        <v>6.9999999999999999E-4</v>
      </c>
      <c r="K6431" s="2" t="s">
        <v>12324</v>
      </c>
    </row>
    <row r="6432" spans="1:11" x14ac:dyDescent="0.2">
      <c r="A6432" s="2">
        <v>1609</v>
      </c>
      <c r="B6432" s="2">
        <v>10</v>
      </c>
      <c r="C6432" s="2">
        <v>134856055</v>
      </c>
      <c r="D6432" s="2">
        <v>135524372</v>
      </c>
      <c r="E6432" s="2">
        <v>4</v>
      </c>
      <c r="F6432" s="2" t="s">
        <v>10086</v>
      </c>
      <c r="H6432" s="3">
        <v>5.9999999999999995E-4</v>
      </c>
      <c r="K6432" s="2" t="s">
        <v>10089</v>
      </c>
    </row>
    <row r="6433" spans="1:11" x14ac:dyDescent="0.2">
      <c r="A6433" s="2">
        <v>1610</v>
      </c>
      <c r="B6433" s="2">
        <v>11</v>
      </c>
      <c r="C6433" s="2">
        <v>87150</v>
      </c>
      <c r="D6433" s="2">
        <v>1061399</v>
      </c>
      <c r="E6433" s="2">
        <v>1</v>
      </c>
      <c r="F6433" s="2" t="s">
        <v>10086</v>
      </c>
      <c r="H6433" s="2">
        <v>1.6000000000000001E-3</v>
      </c>
      <c r="K6433" s="2" t="s">
        <v>10089</v>
      </c>
    </row>
    <row r="6434" spans="1:11" x14ac:dyDescent="0.2">
      <c r="A6434" s="2">
        <v>1610</v>
      </c>
      <c r="B6434" s="2">
        <v>11</v>
      </c>
      <c r="C6434" s="2">
        <v>87150</v>
      </c>
      <c r="D6434" s="2">
        <v>1061399</v>
      </c>
      <c r="E6434" s="2">
        <v>2</v>
      </c>
      <c r="F6434" s="2" t="s">
        <v>10086</v>
      </c>
      <c r="H6434" s="2">
        <v>1.6999999999999999E-3</v>
      </c>
      <c r="K6434" s="2" t="s">
        <v>10087</v>
      </c>
    </row>
    <row r="6435" spans="1:11" x14ac:dyDescent="0.2">
      <c r="A6435" s="2">
        <v>1610</v>
      </c>
      <c r="B6435" s="2">
        <v>11</v>
      </c>
      <c r="C6435" s="2">
        <v>87150</v>
      </c>
      <c r="D6435" s="2">
        <v>1061399</v>
      </c>
      <c r="E6435" s="2">
        <v>3</v>
      </c>
      <c r="F6435" s="2" t="s">
        <v>10086</v>
      </c>
      <c r="H6435" s="3">
        <v>8.0000000000000004E-4</v>
      </c>
      <c r="K6435" s="2" t="s">
        <v>10085</v>
      </c>
    </row>
    <row r="6436" spans="1:11" x14ac:dyDescent="0.2">
      <c r="A6436" s="2">
        <v>1610</v>
      </c>
      <c r="B6436" s="2">
        <v>11</v>
      </c>
      <c r="C6436" s="2">
        <v>87150</v>
      </c>
      <c r="D6436" s="2">
        <v>1061399</v>
      </c>
      <c r="E6436" s="2">
        <v>4</v>
      </c>
      <c r="F6436" s="2" t="s">
        <v>10086</v>
      </c>
      <c r="H6436" s="3">
        <v>6.9999999999999999E-4</v>
      </c>
      <c r="K6436" s="2" t="s">
        <v>10088</v>
      </c>
    </row>
    <row r="6437" spans="1:11" x14ac:dyDescent="0.2">
      <c r="A6437" s="2">
        <v>1611</v>
      </c>
      <c r="B6437" s="2">
        <v>11</v>
      </c>
      <c r="C6437" s="2">
        <v>1061400</v>
      </c>
      <c r="D6437" s="2">
        <v>1857845</v>
      </c>
      <c r="E6437" s="2">
        <v>1</v>
      </c>
      <c r="F6437" s="2" t="s">
        <v>10086</v>
      </c>
      <c r="H6437" s="2">
        <v>6.7999999999999996E-3</v>
      </c>
      <c r="K6437" s="2" t="s">
        <v>10088</v>
      </c>
    </row>
    <row r="6438" spans="1:11" x14ac:dyDescent="0.2">
      <c r="A6438" s="2">
        <v>1611</v>
      </c>
      <c r="B6438" s="2">
        <v>11</v>
      </c>
      <c r="C6438" s="2">
        <v>1061400</v>
      </c>
      <c r="D6438" s="2">
        <v>1857845</v>
      </c>
      <c r="E6438" s="2">
        <v>2</v>
      </c>
      <c r="F6438" s="2" t="s">
        <v>10086</v>
      </c>
      <c r="H6438" s="3">
        <v>8.9999999999999998E-4</v>
      </c>
      <c r="K6438" s="2" t="s">
        <v>10085</v>
      </c>
    </row>
    <row r="6439" spans="1:11" x14ac:dyDescent="0.2">
      <c r="A6439" s="2">
        <v>1611</v>
      </c>
      <c r="B6439" s="2">
        <v>11</v>
      </c>
      <c r="C6439" s="2">
        <v>1061400</v>
      </c>
      <c r="D6439" s="2">
        <v>1857845</v>
      </c>
      <c r="E6439" s="2">
        <v>3</v>
      </c>
      <c r="F6439" s="2" t="s">
        <v>10086</v>
      </c>
      <c r="H6439" s="3">
        <v>8.0000000000000004E-4</v>
      </c>
      <c r="K6439" s="2" t="s">
        <v>12324</v>
      </c>
    </row>
    <row r="6440" spans="1:11" x14ac:dyDescent="0.2">
      <c r="A6440" s="2">
        <v>1611</v>
      </c>
      <c r="B6440" s="2">
        <v>11</v>
      </c>
      <c r="C6440" s="2">
        <v>1061400</v>
      </c>
      <c r="D6440" s="2">
        <v>1857845</v>
      </c>
      <c r="E6440" s="2">
        <v>4</v>
      </c>
      <c r="F6440" s="2" t="s">
        <v>10086</v>
      </c>
      <c r="H6440" s="3">
        <v>6.9999999999999999E-4</v>
      </c>
      <c r="K6440" s="2" t="s">
        <v>10087</v>
      </c>
    </row>
    <row r="6441" spans="1:11" x14ac:dyDescent="0.2">
      <c r="A6441" s="2">
        <v>1612</v>
      </c>
      <c r="B6441" s="2">
        <v>11</v>
      </c>
      <c r="C6441" s="2">
        <v>1857846</v>
      </c>
      <c r="D6441" s="2">
        <v>2477449</v>
      </c>
      <c r="E6441" s="2">
        <v>1</v>
      </c>
      <c r="F6441" s="2" t="s">
        <v>10086</v>
      </c>
      <c r="H6441" s="2">
        <v>1.2999999999999999E-3</v>
      </c>
      <c r="K6441" s="2" t="s">
        <v>10088</v>
      </c>
    </row>
    <row r="6442" spans="1:11" x14ac:dyDescent="0.2">
      <c r="A6442" s="2">
        <v>1612</v>
      </c>
      <c r="B6442" s="2">
        <v>11</v>
      </c>
      <c r="C6442" s="2">
        <v>1857846</v>
      </c>
      <c r="D6442" s="2">
        <v>2477449</v>
      </c>
      <c r="E6442" s="2">
        <v>2</v>
      </c>
      <c r="F6442" s="2" t="s">
        <v>10086</v>
      </c>
      <c r="H6442" s="2">
        <v>1.1000000000000001E-3</v>
      </c>
      <c r="K6442" s="2" t="s">
        <v>10087</v>
      </c>
    </row>
    <row r="6443" spans="1:11" x14ac:dyDescent="0.2">
      <c r="A6443" s="2">
        <v>1612</v>
      </c>
      <c r="B6443" s="2">
        <v>11</v>
      </c>
      <c r="C6443" s="2">
        <v>1857846</v>
      </c>
      <c r="D6443" s="2">
        <v>2477449</v>
      </c>
      <c r="E6443" s="2">
        <v>3</v>
      </c>
      <c r="F6443" s="2" t="s">
        <v>10086</v>
      </c>
      <c r="H6443" s="3">
        <v>6.9999999999999999E-4</v>
      </c>
      <c r="K6443" s="2" t="s">
        <v>10085</v>
      </c>
    </row>
    <row r="6444" spans="1:11" x14ac:dyDescent="0.2">
      <c r="A6444" s="2">
        <v>1612</v>
      </c>
      <c r="B6444" s="2">
        <v>11</v>
      </c>
      <c r="C6444" s="2">
        <v>1857846</v>
      </c>
      <c r="D6444" s="2">
        <v>2477449</v>
      </c>
      <c r="E6444" s="2">
        <v>4</v>
      </c>
      <c r="F6444" s="2" t="s">
        <v>10086</v>
      </c>
      <c r="H6444" s="3">
        <v>2.9999999999999997E-4</v>
      </c>
      <c r="K6444" s="2" t="s">
        <v>10089</v>
      </c>
    </row>
    <row r="6445" spans="1:11" x14ac:dyDescent="0.2">
      <c r="A6445" s="2">
        <v>1613</v>
      </c>
      <c r="B6445" s="2">
        <v>11</v>
      </c>
      <c r="C6445" s="2">
        <v>2477450</v>
      </c>
      <c r="D6445" s="2">
        <v>3362508</v>
      </c>
      <c r="E6445" s="2">
        <v>1</v>
      </c>
      <c r="F6445" s="2" t="s">
        <v>10086</v>
      </c>
      <c r="H6445" s="2">
        <v>1E-3</v>
      </c>
      <c r="K6445" s="2" t="s">
        <v>10088</v>
      </c>
    </row>
    <row r="6446" spans="1:11" x14ac:dyDescent="0.2">
      <c r="A6446" s="2">
        <v>1613</v>
      </c>
      <c r="B6446" s="2">
        <v>11</v>
      </c>
      <c r="C6446" s="2">
        <v>2477450</v>
      </c>
      <c r="D6446" s="2">
        <v>3362508</v>
      </c>
      <c r="E6446" s="2">
        <v>2</v>
      </c>
      <c r="F6446" s="2" t="s">
        <v>10086</v>
      </c>
      <c r="H6446" s="2">
        <v>1.2999999999999999E-3</v>
      </c>
      <c r="K6446" s="2" t="s">
        <v>10087</v>
      </c>
    </row>
    <row r="6447" spans="1:11" x14ac:dyDescent="0.2">
      <c r="A6447" s="2">
        <v>1613</v>
      </c>
      <c r="B6447" s="2">
        <v>11</v>
      </c>
      <c r="C6447" s="2">
        <v>2477450</v>
      </c>
      <c r="D6447" s="2">
        <v>3362508</v>
      </c>
      <c r="E6447" s="2">
        <v>3</v>
      </c>
      <c r="F6447" s="2" t="s">
        <v>10086</v>
      </c>
      <c r="H6447" s="2">
        <v>1E-3</v>
      </c>
      <c r="K6447" s="2" t="s">
        <v>10085</v>
      </c>
    </row>
    <row r="6448" spans="1:11" x14ac:dyDescent="0.2">
      <c r="A6448" s="2">
        <v>1613</v>
      </c>
      <c r="B6448" s="2">
        <v>11</v>
      </c>
      <c r="C6448" s="2">
        <v>2477450</v>
      </c>
      <c r="D6448" s="2">
        <v>3362508</v>
      </c>
      <c r="E6448" s="2">
        <v>4</v>
      </c>
      <c r="F6448" s="2" t="s">
        <v>10086</v>
      </c>
      <c r="H6448" s="3">
        <v>5.0000000000000001E-4</v>
      </c>
      <c r="K6448" s="2" t="s">
        <v>10089</v>
      </c>
    </row>
    <row r="6449" spans="1:11" x14ac:dyDescent="0.2">
      <c r="A6449" s="2">
        <v>1614</v>
      </c>
      <c r="B6449" s="2">
        <v>11</v>
      </c>
      <c r="C6449" s="2">
        <v>3362509</v>
      </c>
      <c r="D6449" s="2">
        <v>4405707</v>
      </c>
      <c r="E6449" s="2">
        <v>1</v>
      </c>
      <c r="F6449" s="2" t="s">
        <v>10086</v>
      </c>
      <c r="H6449" s="2">
        <v>1.9E-3</v>
      </c>
      <c r="K6449" s="2" t="s">
        <v>10085</v>
      </c>
    </row>
    <row r="6450" spans="1:11" x14ac:dyDescent="0.2">
      <c r="A6450" s="2">
        <v>1614</v>
      </c>
      <c r="B6450" s="2">
        <v>11</v>
      </c>
      <c r="C6450" s="2">
        <v>3362509</v>
      </c>
      <c r="D6450" s="2">
        <v>4405707</v>
      </c>
      <c r="E6450" s="2">
        <v>2</v>
      </c>
      <c r="F6450" s="2" t="s">
        <v>10086</v>
      </c>
      <c r="H6450" s="2">
        <v>1.2999999999999999E-3</v>
      </c>
      <c r="K6450" s="2" t="s">
        <v>10088</v>
      </c>
    </row>
    <row r="6451" spans="1:11" x14ac:dyDescent="0.2">
      <c r="A6451" s="2">
        <v>1614</v>
      </c>
      <c r="B6451" s="2">
        <v>11</v>
      </c>
      <c r="C6451" s="2">
        <v>3362509</v>
      </c>
      <c r="D6451" s="2">
        <v>4405707</v>
      </c>
      <c r="E6451" s="2">
        <v>3</v>
      </c>
      <c r="F6451" s="2" t="s">
        <v>10086</v>
      </c>
      <c r="H6451" s="3">
        <v>8.0000000000000004E-4</v>
      </c>
      <c r="K6451" s="2" t="s">
        <v>10089</v>
      </c>
    </row>
    <row r="6452" spans="1:11" x14ac:dyDescent="0.2">
      <c r="A6452" s="2">
        <v>1614</v>
      </c>
      <c r="B6452" s="2">
        <v>11</v>
      </c>
      <c r="C6452" s="2">
        <v>3362509</v>
      </c>
      <c r="D6452" s="2">
        <v>4405707</v>
      </c>
      <c r="E6452" s="2">
        <v>4</v>
      </c>
      <c r="F6452" s="2" t="s">
        <v>10086</v>
      </c>
      <c r="H6452" s="3">
        <v>2.9999999999999997E-4</v>
      </c>
      <c r="K6452" s="2" t="s">
        <v>10087</v>
      </c>
    </row>
    <row r="6453" spans="1:11" x14ac:dyDescent="0.2">
      <c r="A6453" s="2">
        <v>1615</v>
      </c>
      <c r="B6453" s="2">
        <v>11</v>
      </c>
      <c r="C6453" s="2">
        <v>4405708</v>
      </c>
      <c r="D6453" s="2">
        <v>4946051</v>
      </c>
      <c r="E6453" s="2">
        <v>1</v>
      </c>
      <c r="F6453" s="2" t="s">
        <v>10086</v>
      </c>
      <c r="H6453" s="3">
        <v>8.0000000000000004E-4</v>
      </c>
      <c r="K6453" s="2" t="s">
        <v>10089</v>
      </c>
    </row>
    <row r="6454" spans="1:11" x14ac:dyDescent="0.2">
      <c r="A6454" s="2">
        <v>1615</v>
      </c>
      <c r="B6454" s="2">
        <v>11</v>
      </c>
      <c r="C6454" s="2">
        <v>4405708</v>
      </c>
      <c r="D6454" s="2">
        <v>4946051</v>
      </c>
      <c r="E6454" s="2">
        <v>2</v>
      </c>
      <c r="F6454" s="2" t="s">
        <v>10086</v>
      </c>
      <c r="H6454" s="3">
        <v>5.9999999999999995E-4</v>
      </c>
      <c r="K6454" s="2" t="s">
        <v>10088</v>
      </c>
    </row>
    <row r="6455" spans="1:11" x14ac:dyDescent="0.2">
      <c r="A6455" s="2">
        <v>1615</v>
      </c>
      <c r="B6455" s="2">
        <v>11</v>
      </c>
      <c r="C6455" s="2">
        <v>4405708</v>
      </c>
      <c r="D6455" s="2">
        <v>4946051</v>
      </c>
      <c r="E6455" s="2">
        <v>3</v>
      </c>
      <c r="F6455" s="2" t="s">
        <v>10086</v>
      </c>
      <c r="H6455" s="3">
        <v>5.0000000000000001E-4</v>
      </c>
      <c r="K6455" s="2" t="s">
        <v>10085</v>
      </c>
    </row>
    <row r="6456" spans="1:11" x14ac:dyDescent="0.2">
      <c r="A6456" s="2">
        <v>1615</v>
      </c>
      <c r="B6456" s="2">
        <v>11</v>
      </c>
      <c r="C6456" s="2">
        <v>4405708</v>
      </c>
      <c r="D6456" s="2">
        <v>4946051</v>
      </c>
      <c r="E6456" s="2">
        <v>4</v>
      </c>
      <c r="F6456" s="2" t="s">
        <v>10086</v>
      </c>
      <c r="H6456" s="3">
        <v>4.0000000000000002E-4</v>
      </c>
      <c r="K6456" s="2" t="s">
        <v>10087</v>
      </c>
    </row>
    <row r="6457" spans="1:11" x14ac:dyDescent="0.2">
      <c r="A6457" s="2">
        <v>1616</v>
      </c>
      <c r="B6457" s="2">
        <v>11</v>
      </c>
      <c r="C6457" s="2">
        <v>4946052</v>
      </c>
      <c r="D6457" s="2">
        <v>5533057</v>
      </c>
      <c r="E6457" s="2">
        <v>1</v>
      </c>
      <c r="F6457" s="2" t="s">
        <v>10086</v>
      </c>
      <c r="H6457" s="2">
        <v>1.8E-3</v>
      </c>
      <c r="K6457" s="2" t="s">
        <v>10089</v>
      </c>
    </row>
    <row r="6458" spans="1:11" x14ac:dyDescent="0.2">
      <c r="A6458" s="2">
        <v>1616</v>
      </c>
      <c r="B6458" s="2">
        <v>11</v>
      </c>
      <c r="C6458" s="2">
        <v>4946052</v>
      </c>
      <c r="D6458" s="2">
        <v>5533057</v>
      </c>
      <c r="E6458" s="2">
        <v>2</v>
      </c>
      <c r="F6458" s="2" t="s">
        <v>10086</v>
      </c>
      <c r="H6458" s="3">
        <v>6.9999999999999999E-4</v>
      </c>
      <c r="K6458" s="2" t="s">
        <v>10088</v>
      </c>
    </row>
    <row r="6459" spans="1:11" x14ac:dyDescent="0.2">
      <c r="A6459" s="2">
        <v>1616</v>
      </c>
      <c r="B6459" s="2">
        <v>11</v>
      </c>
      <c r="C6459" s="2">
        <v>4946052</v>
      </c>
      <c r="D6459" s="2">
        <v>5533057</v>
      </c>
      <c r="E6459" s="2">
        <v>3</v>
      </c>
      <c r="F6459" s="2" t="s">
        <v>10086</v>
      </c>
      <c r="H6459" s="3">
        <v>6.9999999999999999E-4</v>
      </c>
      <c r="K6459" s="2" t="s">
        <v>10085</v>
      </c>
    </row>
    <row r="6460" spans="1:11" x14ac:dyDescent="0.2">
      <c r="A6460" s="2">
        <v>1616</v>
      </c>
      <c r="B6460" s="2">
        <v>11</v>
      </c>
      <c r="C6460" s="2">
        <v>4946052</v>
      </c>
      <c r="D6460" s="2">
        <v>5533057</v>
      </c>
      <c r="E6460" s="2">
        <v>4</v>
      </c>
      <c r="F6460" s="2" t="s">
        <v>10086</v>
      </c>
      <c r="H6460" s="3">
        <v>4.0000000000000002E-4</v>
      </c>
      <c r="K6460" s="2" t="s">
        <v>10087</v>
      </c>
    </row>
    <row r="6461" spans="1:11" x14ac:dyDescent="0.2">
      <c r="A6461" s="2">
        <v>1617</v>
      </c>
      <c r="B6461" s="2">
        <v>11</v>
      </c>
      <c r="C6461" s="2">
        <v>5533058</v>
      </c>
      <c r="D6461" s="2">
        <v>6180840</v>
      </c>
      <c r="E6461" s="2">
        <v>1</v>
      </c>
      <c r="F6461" s="2" t="s">
        <v>10086</v>
      </c>
      <c r="H6461" s="2">
        <v>4.0000000000000001E-3</v>
      </c>
      <c r="K6461" s="2" t="s">
        <v>10089</v>
      </c>
    </row>
    <row r="6462" spans="1:11" x14ac:dyDescent="0.2">
      <c r="A6462" s="2">
        <v>1617</v>
      </c>
      <c r="B6462" s="2">
        <v>11</v>
      </c>
      <c r="C6462" s="2">
        <v>5533058</v>
      </c>
      <c r="D6462" s="2">
        <v>6180840</v>
      </c>
      <c r="E6462" s="2">
        <v>2</v>
      </c>
      <c r="F6462" s="2" t="s">
        <v>10086</v>
      </c>
      <c r="H6462" s="3">
        <v>8.0000000000000004E-4</v>
      </c>
      <c r="K6462" s="2" t="s">
        <v>10088</v>
      </c>
    </row>
    <row r="6463" spans="1:11" x14ac:dyDescent="0.2">
      <c r="A6463" s="2">
        <v>1617</v>
      </c>
      <c r="B6463" s="2">
        <v>11</v>
      </c>
      <c r="C6463" s="2">
        <v>5533058</v>
      </c>
      <c r="D6463" s="2">
        <v>6180840</v>
      </c>
      <c r="E6463" s="2">
        <v>3</v>
      </c>
      <c r="F6463" s="2" t="s">
        <v>10086</v>
      </c>
      <c r="H6463" s="3">
        <v>6.9999999999999999E-4</v>
      </c>
      <c r="K6463" s="2" t="s">
        <v>10087</v>
      </c>
    </row>
    <row r="6464" spans="1:11" x14ac:dyDescent="0.2">
      <c r="A6464" s="2">
        <v>1617</v>
      </c>
      <c r="B6464" s="2">
        <v>11</v>
      </c>
      <c r="C6464" s="2">
        <v>5533058</v>
      </c>
      <c r="D6464" s="2">
        <v>6180840</v>
      </c>
      <c r="E6464" s="2">
        <v>4</v>
      </c>
      <c r="F6464" s="2" t="s">
        <v>10086</v>
      </c>
      <c r="H6464" s="3">
        <v>5.0000000000000001E-4</v>
      </c>
      <c r="K6464" s="2" t="s">
        <v>10085</v>
      </c>
    </row>
    <row r="6465" spans="1:11" x14ac:dyDescent="0.2">
      <c r="A6465" s="2">
        <v>1618</v>
      </c>
      <c r="B6465" s="2">
        <v>11</v>
      </c>
      <c r="C6465" s="2">
        <v>6180841</v>
      </c>
      <c r="D6465" s="2">
        <v>7191230</v>
      </c>
      <c r="E6465" s="2">
        <v>1</v>
      </c>
      <c r="F6465" s="2" t="s">
        <v>10086</v>
      </c>
      <c r="H6465" s="2">
        <v>1.6000000000000001E-3</v>
      </c>
      <c r="K6465" s="2" t="s">
        <v>10088</v>
      </c>
    </row>
    <row r="6466" spans="1:11" x14ac:dyDescent="0.2">
      <c r="A6466" s="2">
        <v>1618</v>
      </c>
      <c r="B6466" s="2">
        <v>11</v>
      </c>
      <c r="C6466" s="2">
        <v>6180841</v>
      </c>
      <c r="D6466" s="2">
        <v>7191230</v>
      </c>
      <c r="E6466" s="2">
        <v>2</v>
      </c>
      <c r="F6466" s="2" t="s">
        <v>10086</v>
      </c>
      <c r="H6466" s="2">
        <v>2.3999999999999998E-3</v>
      </c>
      <c r="K6466" s="2" t="s">
        <v>10089</v>
      </c>
    </row>
    <row r="6467" spans="1:11" x14ac:dyDescent="0.2">
      <c r="A6467" s="2">
        <v>1618</v>
      </c>
      <c r="B6467" s="2">
        <v>11</v>
      </c>
      <c r="C6467" s="2">
        <v>6180841</v>
      </c>
      <c r="D6467" s="2">
        <v>7191230</v>
      </c>
      <c r="E6467" s="2">
        <v>3</v>
      </c>
      <c r="F6467" s="2" t="s">
        <v>10086</v>
      </c>
      <c r="H6467" s="3">
        <v>8.9999999999999998E-4</v>
      </c>
      <c r="K6467" s="2" t="s">
        <v>10085</v>
      </c>
    </row>
    <row r="6468" spans="1:11" x14ac:dyDescent="0.2">
      <c r="A6468" s="2">
        <v>1618</v>
      </c>
      <c r="B6468" s="2">
        <v>11</v>
      </c>
      <c r="C6468" s="2">
        <v>6180841</v>
      </c>
      <c r="D6468" s="2">
        <v>7191230</v>
      </c>
      <c r="E6468" s="2">
        <v>4</v>
      </c>
      <c r="F6468" s="2" t="s">
        <v>10086</v>
      </c>
      <c r="H6468" s="3">
        <v>4.0000000000000002E-4</v>
      </c>
      <c r="K6468" s="2" t="s">
        <v>10087</v>
      </c>
    </row>
    <row r="6469" spans="1:11" x14ac:dyDescent="0.2">
      <c r="A6469" s="2">
        <v>1619</v>
      </c>
      <c r="B6469" s="2">
        <v>11</v>
      </c>
      <c r="C6469" s="2">
        <v>7191231</v>
      </c>
      <c r="D6469" s="2">
        <v>7915071</v>
      </c>
      <c r="E6469" s="2">
        <v>1</v>
      </c>
      <c r="F6469" s="2" t="s">
        <v>10086</v>
      </c>
      <c r="H6469" s="2">
        <v>1.1000000000000001E-3</v>
      </c>
      <c r="K6469" s="2" t="s">
        <v>10089</v>
      </c>
    </row>
    <row r="6470" spans="1:11" x14ac:dyDescent="0.2">
      <c r="A6470" s="2">
        <v>1619</v>
      </c>
      <c r="B6470" s="2">
        <v>11</v>
      </c>
      <c r="C6470" s="2">
        <v>7191231</v>
      </c>
      <c r="D6470" s="2">
        <v>7915071</v>
      </c>
      <c r="E6470" s="2">
        <v>2</v>
      </c>
      <c r="F6470" s="2" t="s">
        <v>10086</v>
      </c>
      <c r="H6470" s="2">
        <v>1.6000000000000001E-3</v>
      </c>
      <c r="K6470" s="2" t="s">
        <v>10088</v>
      </c>
    </row>
    <row r="6471" spans="1:11" x14ac:dyDescent="0.2">
      <c r="A6471" s="2">
        <v>1619</v>
      </c>
      <c r="B6471" s="2">
        <v>11</v>
      </c>
      <c r="C6471" s="2">
        <v>7191231</v>
      </c>
      <c r="D6471" s="2">
        <v>7915071</v>
      </c>
      <c r="E6471" s="2">
        <v>3</v>
      </c>
      <c r="F6471" s="2" t="s">
        <v>10086</v>
      </c>
      <c r="H6471" s="3">
        <v>6.9999999999999999E-4</v>
      </c>
      <c r="K6471" s="2" t="s">
        <v>10087</v>
      </c>
    </row>
    <row r="6472" spans="1:11" x14ac:dyDescent="0.2">
      <c r="A6472" s="2">
        <v>1619</v>
      </c>
      <c r="B6472" s="2">
        <v>11</v>
      </c>
      <c r="C6472" s="2">
        <v>7191231</v>
      </c>
      <c r="D6472" s="2">
        <v>7915071</v>
      </c>
      <c r="E6472" s="2">
        <v>4</v>
      </c>
      <c r="F6472" s="2" t="s">
        <v>10086</v>
      </c>
      <c r="H6472" s="3">
        <v>2.9999999999999997E-4</v>
      </c>
      <c r="K6472" s="2" t="s">
        <v>10085</v>
      </c>
    </row>
    <row r="6473" spans="1:11" x14ac:dyDescent="0.2">
      <c r="A6473" s="2">
        <v>1620</v>
      </c>
      <c r="B6473" s="2">
        <v>11</v>
      </c>
      <c r="C6473" s="2">
        <v>7915072</v>
      </c>
      <c r="D6473" s="2">
        <v>9080939</v>
      </c>
      <c r="E6473" s="2">
        <v>1</v>
      </c>
      <c r="F6473" s="2" t="s">
        <v>10086</v>
      </c>
      <c r="H6473" s="2">
        <v>2.52E-2</v>
      </c>
      <c r="K6473" s="2" t="s">
        <v>12324</v>
      </c>
    </row>
    <row r="6474" spans="1:11" x14ac:dyDescent="0.2">
      <c r="A6474" s="2">
        <v>1620</v>
      </c>
      <c r="B6474" s="2">
        <v>11</v>
      </c>
      <c r="C6474" s="2">
        <v>7915072</v>
      </c>
      <c r="D6474" s="2">
        <v>9080939</v>
      </c>
      <c r="E6474" s="2">
        <v>2</v>
      </c>
      <c r="F6474" s="2" t="s">
        <v>10086</v>
      </c>
      <c r="H6474" s="2">
        <v>3.5000000000000001E-3</v>
      </c>
      <c r="K6474" s="2" t="s">
        <v>10087</v>
      </c>
    </row>
    <row r="6475" spans="1:11" x14ac:dyDescent="0.2">
      <c r="A6475" s="2">
        <v>1620</v>
      </c>
      <c r="B6475" s="2">
        <v>11</v>
      </c>
      <c r="C6475" s="2">
        <v>7915072</v>
      </c>
      <c r="D6475" s="2">
        <v>9080939</v>
      </c>
      <c r="E6475" s="2">
        <v>3</v>
      </c>
      <c r="F6475" s="2" t="s">
        <v>10086</v>
      </c>
      <c r="H6475" s="2">
        <v>2.3E-3</v>
      </c>
      <c r="K6475" s="2" t="s">
        <v>10089</v>
      </c>
    </row>
    <row r="6476" spans="1:11" x14ac:dyDescent="0.2">
      <c r="A6476" s="2">
        <v>1620</v>
      </c>
      <c r="B6476" s="2">
        <v>11</v>
      </c>
      <c r="C6476" s="2">
        <v>7915072</v>
      </c>
      <c r="D6476" s="2">
        <v>9080939</v>
      </c>
      <c r="E6476" s="2">
        <v>4</v>
      </c>
      <c r="F6476" s="2" t="s">
        <v>10086</v>
      </c>
      <c r="H6476" s="2">
        <v>1E-3</v>
      </c>
      <c r="K6476" s="2" t="s">
        <v>10085</v>
      </c>
    </row>
    <row r="6477" spans="1:11" x14ac:dyDescent="0.2">
      <c r="A6477" s="2">
        <v>1621</v>
      </c>
      <c r="B6477" s="2">
        <v>11</v>
      </c>
      <c r="C6477" s="2">
        <v>9080940</v>
      </c>
      <c r="D6477" s="2">
        <v>10370100</v>
      </c>
      <c r="E6477" s="2">
        <v>1</v>
      </c>
      <c r="F6477" s="2" t="s">
        <v>10086</v>
      </c>
      <c r="H6477" s="2">
        <v>1.2999999999999999E-3</v>
      </c>
      <c r="K6477" s="2" t="s">
        <v>10088</v>
      </c>
    </row>
    <row r="6478" spans="1:11" x14ac:dyDescent="0.2">
      <c r="A6478" s="2">
        <v>1621</v>
      </c>
      <c r="B6478" s="2">
        <v>11</v>
      </c>
      <c r="C6478" s="2">
        <v>9080940</v>
      </c>
      <c r="D6478" s="2">
        <v>10370100</v>
      </c>
      <c r="E6478" s="2">
        <v>2</v>
      </c>
      <c r="F6478" s="2" t="s">
        <v>10086</v>
      </c>
      <c r="H6478" s="2">
        <v>1.2999999999999999E-3</v>
      </c>
      <c r="K6478" s="2" t="s">
        <v>10089</v>
      </c>
    </row>
    <row r="6479" spans="1:11" x14ac:dyDescent="0.2">
      <c r="A6479" s="2">
        <v>1621</v>
      </c>
      <c r="B6479" s="2">
        <v>11</v>
      </c>
      <c r="C6479" s="2">
        <v>9080940</v>
      </c>
      <c r="D6479" s="2">
        <v>10370100</v>
      </c>
      <c r="E6479" s="2">
        <v>3</v>
      </c>
      <c r="F6479" s="2" t="s">
        <v>10086</v>
      </c>
      <c r="H6479" s="3">
        <v>8.9999999999999998E-4</v>
      </c>
      <c r="K6479" s="2" t="s">
        <v>10087</v>
      </c>
    </row>
    <row r="6480" spans="1:11" x14ac:dyDescent="0.2">
      <c r="A6480" s="2">
        <v>1621</v>
      </c>
      <c r="B6480" s="2">
        <v>11</v>
      </c>
      <c r="C6480" s="2">
        <v>9080940</v>
      </c>
      <c r="D6480" s="2">
        <v>10370100</v>
      </c>
      <c r="E6480" s="2">
        <v>4</v>
      </c>
      <c r="F6480" s="2" t="s">
        <v>10086</v>
      </c>
      <c r="H6480" s="3">
        <v>5.0000000000000001E-4</v>
      </c>
      <c r="K6480" s="2" t="s">
        <v>10085</v>
      </c>
    </row>
    <row r="6481" spans="1:11" x14ac:dyDescent="0.2">
      <c r="A6481" s="2">
        <v>1622</v>
      </c>
      <c r="B6481" s="2">
        <v>11</v>
      </c>
      <c r="C6481" s="2">
        <v>10370101</v>
      </c>
      <c r="D6481" s="2">
        <v>11081299</v>
      </c>
      <c r="E6481" s="2">
        <v>1</v>
      </c>
      <c r="F6481" s="2" t="s">
        <v>10086</v>
      </c>
      <c r="H6481" s="2">
        <v>3.7000000000000002E-3</v>
      </c>
      <c r="K6481" s="2" t="s">
        <v>10085</v>
      </c>
    </row>
    <row r="6482" spans="1:11" x14ac:dyDescent="0.2">
      <c r="A6482" s="2">
        <v>1622</v>
      </c>
      <c r="B6482" s="2">
        <v>11</v>
      </c>
      <c r="C6482" s="2">
        <v>10370101</v>
      </c>
      <c r="D6482" s="2">
        <v>11081299</v>
      </c>
      <c r="E6482" s="2">
        <v>2</v>
      </c>
      <c r="F6482" s="2" t="s">
        <v>10086</v>
      </c>
      <c r="H6482" s="2">
        <v>1.1999999999999999E-3</v>
      </c>
      <c r="K6482" s="2" t="s">
        <v>10089</v>
      </c>
    </row>
    <row r="6483" spans="1:11" x14ac:dyDescent="0.2">
      <c r="A6483" s="2">
        <v>1622</v>
      </c>
      <c r="B6483" s="2">
        <v>11</v>
      </c>
      <c r="C6483" s="2">
        <v>10370101</v>
      </c>
      <c r="D6483" s="2">
        <v>11081299</v>
      </c>
      <c r="E6483" s="2">
        <v>3</v>
      </c>
      <c r="F6483" s="2" t="s">
        <v>10086</v>
      </c>
      <c r="H6483" s="3">
        <v>8.0000000000000004E-4</v>
      </c>
      <c r="K6483" s="2" t="s">
        <v>10087</v>
      </c>
    </row>
    <row r="6484" spans="1:11" x14ac:dyDescent="0.2">
      <c r="A6484" s="2">
        <v>1622</v>
      </c>
      <c r="B6484" s="2">
        <v>11</v>
      </c>
      <c r="C6484" s="2">
        <v>10370101</v>
      </c>
      <c r="D6484" s="2">
        <v>11081299</v>
      </c>
      <c r="E6484" s="2">
        <v>4</v>
      </c>
      <c r="F6484" s="2" t="s">
        <v>10086</v>
      </c>
      <c r="H6484" s="3">
        <v>4.0000000000000002E-4</v>
      </c>
      <c r="K6484" s="2" t="s">
        <v>10088</v>
      </c>
    </row>
    <row r="6485" spans="1:11" x14ac:dyDescent="0.2">
      <c r="A6485" s="2">
        <v>1623</v>
      </c>
      <c r="B6485" s="2">
        <v>11</v>
      </c>
      <c r="C6485" s="2">
        <v>11081300</v>
      </c>
      <c r="D6485" s="2">
        <v>11632650</v>
      </c>
      <c r="E6485" s="2">
        <v>1</v>
      </c>
      <c r="F6485" s="2" t="s">
        <v>10086</v>
      </c>
      <c r="H6485" s="3">
        <v>8.9999999999999998E-4</v>
      </c>
      <c r="K6485" s="2" t="s">
        <v>10088</v>
      </c>
    </row>
    <row r="6486" spans="1:11" x14ac:dyDescent="0.2">
      <c r="A6486" s="2">
        <v>1623</v>
      </c>
      <c r="B6486" s="2">
        <v>11</v>
      </c>
      <c r="C6486" s="2">
        <v>11081300</v>
      </c>
      <c r="D6486" s="2">
        <v>11632650</v>
      </c>
      <c r="E6486" s="2">
        <v>2</v>
      </c>
      <c r="F6486" s="2" t="s">
        <v>10086</v>
      </c>
      <c r="H6486" s="3">
        <v>8.9999999999999998E-4</v>
      </c>
      <c r="K6486" s="2" t="s">
        <v>10087</v>
      </c>
    </row>
    <row r="6487" spans="1:11" x14ac:dyDescent="0.2">
      <c r="A6487" s="2">
        <v>1623</v>
      </c>
      <c r="B6487" s="2">
        <v>11</v>
      </c>
      <c r="C6487" s="2">
        <v>11081300</v>
      </c>
      <c r="D6487" s="2">
        <v>11632650</v>
      </c>
      <c r="E6487" s="2">
        <v>3</v>
      </c>
      <c r="F6487" s="2" t="s">
        <v>10086</v>
      </c>
      <c r="H6487" s="3">
        <v>6.9999999999999999E-4</v>
      </c>
      <c r="K6487" s="2" t="s">
        <v>10089</v>
      </c>
    </row>
    <row r="6488" spans="1:11" x14ac:dyDescent="0.2">
      <c r="A6488" s="2">
        <v>1623</v>
      </c>
      <c r="B6488" s="2">
        <v>11</v>
      </c>
      <c r="C6488" s="2">
        <v>11081300</v>
      </c>
      <c r="D6488" s="2">
        <v>11632650</v>
      </c>
      <c r="E6488" s="2">
        <v>4</v>
      </c>
      <c r="F6488" s="2" t="s">
        <v>10086</v>
      </c>
      <c r="H6488" s="3">
        <v>5.9999999999999995E-4</v>
      </c>
      <c r="K6488" s="2" t="s">
        <v>12324</v>
      </c>
    </row>
    <row r="6489" spans="1:11" x14ac:dyDescent="0.2">
      <c r="A6489" s="2">
        <v>1624</v>
      </c>
      <c r="B6489" s="2">
        <v>11</v>
      </c>
      <c r="C6489" s="2">
        <v>11632651</v>
      </c>
      <c r="D6489" s="2">
        <v>12470449</v>
      </c>
      <c r="E6489" s="2">
        <v>1</v>
      </c>
      <c r="F6489" s="2" t="s">
        <v>10086</v>
      </c>
      <c r="H6489" s="2">
        <v>1.8E-3</v>
      </c>
      <c r="K6489" s="2" t="s">
        <v>10087</v>
      </c>
    </row>
    <row r="6490" spans="1:11" x14ac:dyDescent="0.2">
      <c r="A6490" s="2">
        <v>1624</v>
      </c>
      <c r="B6490" s="2">
        <v>11</v>
      </c>
      <c r="C6490" s="2">
        <v>11632651</v>
      </c>
      <c r="D6490" s="2">
        <v>12470449</v>
      </c>
      <c r="E6490" s="2">
        <v>2</v>
      </c>
      <c r="F6490" s="2" t="s">
        <v>10086</v>
      </c>
      <c r="H6490" s="2">
        <v>1.4E-3</v>
      </c>
      <c r="K6490" s="2" t="s">
        <v>10085</v>
      </c>
    </row>
    <row r="6491" spans="1:11" x14ac:dyDescent="0.2">
      <c r="A6491" s="2">
        <v>1624</v>
      </c>
      <c r="B6491" s="2">
        <v>11</v>
      </c>
      <c r="C6491" s="2">
        <v>11632651</v>
      </c>
      <c r="D6491" s="2">
        <v>12470449</v>
      </c>
      <c r="E6491" s="2">
        <v>3</v>
      </c>
      <c r="F6491" s="2" t="s">
        <v>10086</v>
      </c>
      <c r="H6491" s="3">
        <v>8.9999999999999998E-4</v>
      </c>
      <c r="K6491" s="2" t="s">
        <v>10089</v>
      </c>
    </row>
    <row r="6492" spans="1:11" x14ac:dyDescent="0.2">
      <c r="A6492" s="2">
        <v>1624</v>
      </c>
      <c r="B6492" s="2">
        <v>11</v>
      </c>
      <c r="C6492" s="2">
        <v>11632651</v>
      </c>
      <c r="D6492" s="2">
        <v>12470449</v>
      </c>
      <c r="E6492" s="2">
        <v>4</v>
      </c>
      <c r="F6492" s="2" t="s">
        <v>10086</v>
      </c>
      <c r="H6492" s="3">
        <v>4.0000000000000002E-4</v>
      </c>
      <c r="K6492" s="2" t="s">
        <v>10088</v>
      </c>
    </row>
    <row r="6493" spans="1:11" x14ac:dyDescent="0.2">
      <c r="A6493" s="2">
        <v>1625</v>
      </c>
      <c r="B6493" s="2">
        <v>11</v>
      </c>
      <c r="C6493" s="2">
        <v>12470450</v>
      </c>
      <c r="D6493" s="2">
        <v>13364727</v>
      </c>
      <c r="E6493" s="2">
        <v>1</v>
      </c>
      <c r="F6493" s="2" t="s">
        <v>10086</v>
      </c>
      <c r="H6493" s="2">
        <v>1.9E-3</v>
      </c>
      <c r="K6493" s="2" t="s">
        <v>10087</v>
      </c>
    </row>
    <row r="6494" spans="1:11" x14ac:dyDescent="0.2">
      <c r="A6494" s="2">
        <v>1625</v>
      </c>
      <c r="B6494" s="2">
        <v>11</v>
      </c>
      <c r="C6494" s="2">
        <v>12470450</v>
      </c>
      <c r="D6494" s="2">
        <v>13364727</v>
      </c>
      <c r="E6494" s="2">
        <v>2</v>
      </c>
      <c r="F6494" s="2" t="s">
        <v>10086</v>
      </c>
      <c r="H6494" s="3">
        <v>5.9999999999999995E-4</v>
      </c>
      <c r="K6494" s="2" t="s">
        <v>10088</v>
      </c>
    </row>
    <row r="6495" spans="1:11" x14ac:dyDescent="0.2">
      <c r="A6495" s="2">
        <v>1625</v>
      </c>
      <c r="B6495" s="2">
        <v>11</v>
      </c>
      <c r="C6495" s="2">
        <v>12470450</v>
      </c>
      <c r="D6495" s="2">
        <v>13364727</v>
      </c>
      <c r="E6495" s="2">
        <v>3</v>
      </c>
      <c r="F6495" s="2" t="s">
        <v>10086</v>
      </c>
      <c r="H6495" s="3">
        <v>5.9999999999999995E-4</v>
      </c>
      <c r="K6495" s="2" t="s">
        <v>10085</v>
      </c>
    </row>
    <row r="6496" spans="1:11" x14ac:dyDescent="0.2">
      <c r="A6496" s="2">
        <v>1625</v>
      </c>
      <c r="B6496" s="2">
        <v>11</v>
      </c>
      <c r="C6496" s="2">
        <v>12470450</v>
      </c>
      <c r="D6496" s="2">
        <v>13364727</v>
      </c>
      <c r="E6496" s="2">
        <v>4</v>
      </c>
      <c r="F6496" s="2" t="s">
        <v>10086</v>
      </c>
      <c r="H6496" s="3">
        <v>5.0000000000000001E-4</v>
      </c>
      <c r="K6496" s="2" t="s">
        <v>12324</v>
      </c>
    </row>
    <row r="6497" spans="1:11" x14ac:dyDescent="0.2">
      <c r="A6497" s="2">
        <v>1626</v>
      </c>
      <c r="B6497" s="2">
        <v>11</v>
      </c>
      <c r="C6497" s="2">
        <v>13364728</v>
      </c>
      <c r="D6497" s="2">
        <v>15126767</v>
      </c>
      <c r="E6497" s="2">
        <v>1</v>
      </c>
      <c r="F6497" s="2" t="s">
        <v>10086</v>
      </c>
      <c r="H6497" s="2">
        <v>2.3999999999999998E-3</v>
      </c>
      <c r="K6497" s="2" t="s">
        <v>10085</v>
      </c>
    </row>
    <row r="6498" spans="1:11" x14ac:dyDescent="0.2">
      <c r="A6498" s="2">
        <v>1626</v>
      </c>
      <c r="B6498" s="2">
        <v>11</v>
      </c>
      <c r="C6498" s="2">
        <v>13364728</v>
      </c>
      <c r="D6498" s="2">
        <v>15126767</v>
      </c>
      <c r="E6498" s="2">
        <v>2</v>
      </c>
      <c r="F6498" s="2" t="s">
        <v>10086</v>
      </c>
      <c r="H6498" s="2">
        <v>1.6000000000000001E-3</v>
      </c>
      <c r="K6498" s="2" t="s">
        <v>10089</v>
      </c>
    </row>
    <row r="6499" spans="1:11" x14ac:dyDescent="0.2">
      <c r="A6499" s="2">
        <v>1626</v>
      </c>
      <c r="B6499" s="2">
        <v>11</v>
      </c>
      <c r="C6499" s="2">
        <v>13364728</v>
      </c>
      <c r="D6499" s="2">
        <v>15126767</v>
      </c>
      <c r="E6499" s="2">
        <v>3</v>
      </c>
      <c r="F6499" s="2" t="s">
        <v>10086</v>
      </c>
      <c r="H6499" s="2">
        <v>1.1999999999999999E-3</v>
      </c>
      <c r="K6499" s="2" t="s">
        <v>10088</v>
      </c>
    </row>
    <row r="6500" spans="1:11" x14ac:dyDescent="0.2">
      <c r="A6500" s="2">
        <v>1626</v>
      </c>
      <c r="B6500" s="2">
        <v>11</v>
      </c>
      <c r="C6500" s="2">
        <v>13364728</v>
      </c>
      <c r="D6500" s="2">
        <v>15126767</v>
      </c>
      <c r="E6500" s="2">
        <v>4</v>
      </c>
      <c r="F6500" s="2" t="s">
        <v>10086</v>
      </c>
      <c r="H6500" s="3">
        <v>8.0000000000000004E-4</v>
      </c>
      <c r="K6500" s="2" t="s">
        <v>10087</v>
      </c>
    </row>
    <row r="6501" spans="1:11" x14ac:dyDescent="0.2">
      <c r="A6501" s="2">
        <v>1627</v>
      </c>
      <c r="B6501" s="2">
        <v>11</v>
      </c>
      <c r="C6501" s="2">
        <v>15126768</v>
      </c>
      <c r="D6501" s="2">
        <v>16383386</v>
      </c>
      <c r="E6501" s="2">
        <v>1</v>
      </c>
      <c r="F6501" s="2" t="s">
        <v>10086</v>
      </c>
      <c r="H6501" s="2">
        <v>1.1000000000000001E-3</v>
      </c>
      <c r="K6501" s="2" t="s">
        <v>10088</v>
      </c>
    </row>
    <row r="6502" spans="1:11" x14ac:dyDescent="0.2">
      <c r="A6502" s="2">
        <v>1627</v>
      </c>
      <c r="B6502" s="2">
        <v>11</v>
      </c>
      <c r="C6502" s="2">
        <v>15126768</v>
      </c>
      <c r="D6502" s="2">
        <v>16383386</v>
      </c>
      <c r="E6502" s="2">
        <v>2</v>
      </c>
      <c r="F6502" s="2" t="s">
        <v>10086</v>
      </c>
      <c r="H6502" s="2">
        <v>1.1000000000000001E-3</v>
      </c>
      <c r="K6502" s="2" t="s">
        <v>10085</v>
      </c>
    </row>
    <row r="6503" spans="1:11" x14ac:dyDescent="0.2">
      <c r="A6503" s="2">
        <v>1627</v>
      </c>
      <c r="B6503" s="2">
        <v>11</v>
      </c>
      <c r="C6503" s="2">
        <v>15126768</v>
      </c>
      <c r="D6503" s="2">
        <v>16383386</v>
      </c>
      <c r="E6503" s="2">
        <v>3</v>
      </c>
      <c r="F6503" s="2" t="s">
        <v>10086</v>
      </c>
      <c r="H6503" s="2">
        <v>1.1000000000000001E-3</v>
      </c>
      <c r="K6503" s="2" t="s">
        <v>10087</v>
      </c>
    </row>
    <row r="6504" spans="1:11" x14ac:dyDescent="0.2">
      <c r="A6504" s="2">
        <v>1627</v>
      </c>
      <c r="B6504" s="2">
        <v>11</v>
      </c>
      <c r="C6504" s="2">
        <v>15126768</v>
      </c>
      <c r="D6504" s="2">
        <v>16383386</v>
      </c>
      <c r="E6504" s="2">
        <v>4</v>
      </c>
      <c r="F6504" s="2" t="s">
        <v>10086</v>
      </c>
      <c r="H6504" s="3">
        <v>5.9999999999999995E-4</v>
      </c>
      <c r="K6504" s="2" t="s">
        <v>12324</v>
      </c>
    </row>
    <row r="6505" spans="1:11" x14ac:dyDescent="0.2">
      <c r="A6505" s="2">
        <v>1628</v>
      </c>
      <c r="B6505" s="2">
        <v>11</v>
      </c>
      <c r="C6505" s="2">
        <v>16383387</v>
      </c>
      <c r="D6505" s="2">
        <v>17583948</v>
      </c>
      <c r="E6505" s="2">
        <v>1</v>
      </c>
      <c r="F6505" s="2" t="s">
        <v>10086</v>
      </c>
      <c r="H6505" s="2">
        <v>2.7000000000000001E-3</v>
      </c>
      <c r="K6505" s="2" t="s">
        <v>12324</v>
      </c>
    </row>
    <row r="6506" spans="1:11" x14ac:dyDescent="0.2">
      <c r="A6506" s="2">
        <v>1628</v>
      </c>
      <c r="B6506" s="2">
        <v>11</v>
      </c>
      <c r="C6506" s="2">
        <v>16383387</v>
      </c>
      <c r="D6506" s="2">
        <v>17583948</v>
      </c>
      <c r="E6506" s="2">
        <v>2</v>
      </c>
      <c r="F6506" s="2" t="s">
        <v>10086</v>
      </c>
      <c r="H6506" s="2">
        <v>1.1000000000000001E-3</v>
      </c>
      <c r="K6506" s="2" t="s">
        <v>10087</v>
      </c>
    </row>
    <row r="6507" spans="1:11" x14ac:dyDescent="0.2">
      <c r="A6507" s="2">
        <v>1628</v>
      </c>
      <c r="B6507" s="2">
        <v>11</v>
      </c>
      <c r="C6507" s="2">
        <v>16383387</v>
      </c>
      <c r="D6507" s="2">
        <v>17583948</v>
      </c>
      <c r="E6507" s="2">
        <v>3</v>
      </c>
      <c r="F6507" s="2" t="s">
        <v>10086</v>
      </c>
      <c r="H6507" s="2">
        <v>1E-3</v>
      </c>
      <c r="K6507" s="2" t="s">
        <v>10088</v>
      </c>
    </row>
    <row r="6508" spans="1:11" x14ac:dyDescent="0.2">
      <c r="A6508" s="2">
        <v>1628</v>
      </c>
      <c r="B6508" s="2">
        <v>11</v>
      </c>
      <c r="C6508" s="2">
        <v>16383387</v>
      </c>
      <c r="D6508" s="2">
        <v>17583948</v>
      </c>
      <c r="E6508" s="2">
        <v>4</v>
      </c>
      <c r="F6508" s="2" t="s">
        <v>10086</v>
      </c>
      <c r="H6508" s="3">
        <v>6.9999999999999999E-4</v>
      </c>
      <c r="K6508" s="2" t="s">
        <v>10089</v>
      </c>
    </row>
    <row r="6509" spans="1:11" x14ac:dyDescent="0.2">
      <c r="A6509" s="2">
        <v>1629</v>
      </c>
      <c r="B6509" s="2">
        <v>11</v>
      </c>
      <c r="C6509" s="2">
        <v>17583949</v>
      </c>
      <c r="D6509" s="2">
        <v>18740267</v>
      </c>
      <c r="E6509" s="2">
        <v>1</v>
      </c>
      <c r="F6509" s="2" t="s">
        <v>10086</v>
      </c>
      <c r="H6509" s="2">
        <v>4.7000000000000002E-3</v>
      </c>
      <c r="K6509" s="2" t="s">
        <v>12324</v>
      </c>
    </row>
    <row r="6510" spans="1:11" x14ac:dyDescent="0.2">
      <c r="A6510" s="2">
        <v>1629</v>
      </c>
      <c r="B6510" s="2">
        <v>11</v>
      </c>
      <c r="C6510" s="2">
        <v>17583949</v>
      </c>
      <c r="D6510" s="2">
        <v>18740267</v>
      </c>
      <c r="E6510" s="2">
        <v>2</v>
      </c>
      <c r="F6510" s="2" t="s">
        <v>10086</v>
      </c>
      <c r="H6510" s="2">
        <v>2.5000000000000001E-3</v>
      </c>
      <c r="K6510" s="2" t="s">
        <v>10087</v>
      </c>
    </row>
    <row r="6511" spans="1:11" x14ac:dyDescent="0.2">
      <c r="A6511" s="2">
        <v>1629</v>
      </c>
      <c r="B6511" s="2">
        <v>11</v>
      </c>
      <c r="C6511" s="2">
        <v>17583949</v>
      </c>
      <c r="D6511" s="2">
        <v>18740267</v>
      </c>
      <c r="E6511" s="2">
        <v>3</v>
      </c>
      <c r="F6511" s="2" t="s">
        <v>10086</v>
      </c>
      <c r="H6511" s="2">
        <v>1.2999999999999999E-3</v>
      </c>
      <c r="K6511" s="2" t="s">
        <v>10088</v>
      </c>
    </row>
    <row r="6512" spans="1:11" x14ac:dyDescent="0.2">
      <c r="A6512" s="2">
        <v>1629</v>
      </c>
      <c r="B6512" s="2">
        <v>11</v>
      </c>
      <c r="C6512" s="2">
        <v>17583949</v>
      </c>
      <c r="D6512" s="2">
        <v>18740267</v>
      </c>
      <c r="E6512" s="2">
        <v>4</v>
      </c>
      <c r="F6512" s="2" t="s">
        <v>10086</v>
      </c>
      <c r="H6512" s="3">
        <v>8.9999999999999998E-4</v>
      </c>
      <c r="K6512" s="2" t="s">
        <v>10089</v>
      </c>
    </row>
    <row r="6513" spans="1:11" x14ac:dyDescent="0.2">
      <c r="A6513" s="2">
        <v>1630</v>
      </c>
      <c r="B6513" s="2">
        <v>11</v>
      </c>
      <c r="C6513" s="2">
        <v>18740268</v>
      </c>
      <c r="D6513" s="2">
        <v>19780784</v>
      </c>
      <c r="E6513" s="2">
        <v>1</v>
      </c>
      <c r="F6513" s="2" t="s">
        <v>10086</v>
      </c>
      <c r="H6513" s="2">
        <v>0.01</v>
      </c>
      <c r="K6513" s="2" t="s">
        <v>10089</v>
      </c>
    </row>
    <row r="6514" spans="1:11" x14ac:dyDescent="0.2">
      <c r="A6514" s="2">
        <v>1630</v>
      </c>
      <c r="B6514" s="2">
        <v>11</v>
      </c>
      <c r="C6514" s="2">
        <v>18740268</v>
      </c>
      <c r="D6514" s="2">
        <v>19780784</v>
      </c>
      <c r="E6514" s="2">
        <v>2</v>
      </c>
      <c r="F6514" s="2" t="s">
        <v>10086</v>
      </c>
      <c r="H6514" s="2">
        <v>3.7000000000000002E-3</v>
      </c>
      <c r="K6514" s="2" t="s">
        <v>10088</v>
      </c>
    </row>
    <row r="6515" spans="1:11" x14ac:dyDescent="0.2">
      <c r="A6515" s="2">
        <v>1630</v>
      </c>
      <c r="B6515" s="2">
        <v>11</v>
      </c>
      <c r="C6515" s="2">
        <v>18740268</v>
      </c>
      <c r="D6515" s="2">
        <v>19780784</v>
      </c>
      <c r="E6515" s="2">
        <v>3</v>
      </c>
      <c r="F6515" s="2" t="s">
        <v>10086</v>
      </c>
      <c r="H6515" s="2">
        <v>2.3E-3</v>
      </c>
      <c r="K6515" s="2" t="s">
        <v>10087</v>
      </c>
    </row>
    <row r="6516" spans="1:11" x14ac:dyDescent="0.2">
      <c r="A6516" s="2">
        <v>1630</v>
      </c>
      <c r="B6516" s="2">
        <v>11</v>
      </c>
      <c r="C6516" s="2">
        <v>18740268</v>
      </c>
      <c r="D6516" s="2">
        <v>19780784</v>
      </c>
      <c r="E6516" s="2">
        <v>4</v>
      </c>
      <c r="F6516" s="2" t="s">
        <v>10086</v>
      </c>
      <c r="H6516" s="3">
        <v>2.9999999999999997E-4</v>
      </c>
      <c r="K6516" s="2" t="s">
        <v>10085</v>
      </c>
    </row>
    <row r="6517" spans="1:11" x14ac:dyDescent="0.2">
      <c r="A6517" s="2">
        <v>1631</v>
      </c>
      <c r="B6517" s="2">
        <v>11</v>
      </c>
      <c r="C6517" s="2">
        <v>19780785</v>
      </c>
      <c r="D6517" s="2">
        <v>20686336</v>
      </c>
      <c r="E6517" s="2">
        <v>1</v>
      </c>
      <c r="F6517" s="2" t="s">
        <v>10086</v>
      </c>
      <c r="H6517" s="2">
        <v>1.4E-3</v>
      </c>
      <c r="K6517" s="2" t="s">
        <v>10085</v>
      </c>
    </row>
    <row r="6518" spans="1:11" x14ac:dyDescent="0.2">
      <c r="A6518" s="2">
        <v>1631</v>
      </c>
      <c r="B6518" s="2">
        <v>11</v>
      </c>
      <c r="C6518" s="2">
        <v>19780785</v>
      </c>
      <c r="D6518" s="2">
        <v>20686336</v>
      </c>
      <c r="E6518" s="2">
        <v>2</v>
      </c>
      <c r="F6518" s="2" t="s">
        <v>10086</v>
      </c>
      <c r="H6518" s="2">
        <v>1.5E-3</v>
      </c>
      <c r="K6518" s="2" t="s">
        <v>10089</v>
      </c>
    </row>
    <row r="6519" spans="1:11" x14ac:dyDescent="0.2">
      <c r="A6519" s="2">
        <v>1631</v>
      </c>
      <c r="B6519" s="2">
        <v>11</v>
      </c>
      <c r="C6519" s="2">
        <v>19780785</v>
      </c>
      <c r="D6519" s="2">
        <v>20686336</v>
      </c>
      <c r="E6519" s="2">
        <v>3</v>
      </c>
      <c r="F6519" s="2" t="s">
        <v>10086</v>
      </c>
      <c r="H6519" s="2">
        <v>1.4E-3</v>
      </c>
      <c r="K6519" s="2" t="s">
        <v>10088</v>
      </c>
    </row>
    <row r="6520" spans="1:11" x14ac:dyDescent="0.2">
      <c r="A6520" s="2">
        <v>1631</v>
      </c>
      <c r="B6520" s="2">
        <v>11</v>
      </c>
      <c r="C6520" s="2">
        <v>19780785</v>
      </c>
      <c r="D6520" s="2">
        <v>20686336</v>
      </c>
      <c r="E6520" s="2">
        <v>4</v>
      </c>
      <c r="F6520" s="2" t="s">
        <v>10086</v>
      </c>
      <c r="H6520" s="3">
        <v>4.0000000000000002E-4</v>
      </c>
      <c r="K6520" s="2" t="s">
        <v>10087</v>
      </c>
    </row>
    <row r="6521" spans="1:11" x14ac:dyDescent="0.2">
      <c r="A6521" s="2">
        <v>1632</v>
      </c>
      <c r="B6521" s="2">
        <v>11</v>
      </c>
      <c r="C6521" s="2">
        <v>20686337</v>
      </c>
      <c r="D6521" s="2">
        <v>21442722</v>
      </c>
      <c r="E6521" s="2">
        <v>1</v>
      </c>
      <c r="F6521" s="2" t="s">
        <v>10086</v>
      </c>
      <c r="H6521" s="2">
        <v>1.4E-3</v>
      </c>
      <c r="K6521" s="2" t="s">
        <v>10089</v>
      </c>
    </row>
    <row r="6522" spans="1:11" x14ac:dyDescent="0.2">
      <c r="A6522" s="2">
        <v>1632</v>
      </c>
      <c r="B6522" s="2">
        <v>11</v>
      </c>
      <c r="C6522" s="2">
        <v>20686337</v>
      </c>
      <c r="D6522" s="2">
        <v>21442722</v>
      </c>
      <c r="E6522" s="2">
        <v>2</v>
      </c>
      <c r="F6522" s="2" t="s">
        <v>10086</v>
      </c>
      <c r="H6522" s="2">
        <v>2.2000000000000001E-3</v>
      </c>
      <c r="K6522" s="2" t="s">
        <v>10088</v>
      </c>
    </row>
    <row r="6523" spans="1:11" x14ac:dyDescent="0.2">
      <c r="A6523" s="2">
        <v>1632</v>
      </c>
      <c r="B6523" s="2">
        <v>11</v>
      </c>
      <c r="C6523" s="2">
        <v>20686337</v>
      </c>
      <c r="D6523" s="2">
        <v>21442722</v>
      </c>
      <c r="E6523" s="2">
        <v>3</v>
      </c>
      <c r="F6523" s="2" t="s">
        <v>10086</v>
      </c>
      <c r="H6523" s="2">
        <v>1.1000000000000001E-3</v>
      </c>
      <c r="K6523" s="2" t="s">
        <v>10085</v>
      </c>
    </row>
    <row r="6524" spans="1:11" x14ac:dyDescent="0.2">
      <c r="A6524" s="2">
        <v>1632</v>
      </c>
      <c r="B6524" s="2">
        <v>11</v>
      </c>
      <c r="C6524" s="2">
        <v>20686337</v>
      </c>
      <c r="D6524" s="2">
        <v>21442722</v>
      </c>
      <c r="E6524" s="2">
        <v>4</v>
      </c>
      <c r="F6524" s="2" t="s">
        <v>10086</v>
      </c>
      <c r="H6524" s="3">
        <v>5.0000000000000001E-4</v>
      </c>
      <c r="K6524" s="2" t="s">
        <v>10087</v>
      </c>
    </row>
    <row r="6525" spans="1:11" x14ac:dyDescent="0.2">
      <c r="A6525" s="2">
        <v>1633</v>
      </c>
      <c r="B6525" s="2">
        <v>11</v>
      </c>
      <c r="C6525" s="2">
        <v>21442723</v>
      </c>
      <c r="D6525" s="2">
        <v>22368743</v>
      </c>
      <c r="E6525" s="2">
        <v>1</v>
      </c>
      <c r="F6525" s="2" t="s">
        <v>10086</v>
      </c>
      <c r="H6525" s="2">
        <v>2.3999999999999998E-3</v>
      </c>
      <c r="K6525" s="2" t="s">
        <v>12324</v>
      </c>
    </row>
    <row r="6526" spans="1:11" x14ac:dyDescent="0.2">
      <c r="A6526" s="2">
        <v>1633</v>
      </c>
      <c r="B6526" s="2">
        <v>11</v>
      </c>
      <c r="C6526" s="2">
        <v>21442723</v>
      </c>
      <c r="D6526" s="2">
        <v>22368743</v>
      </c>
      <c r="E6526" s="2">
        <v>2</v>
      </c>
      <c r="F6526" s="2" t="s">
        <v>10086</v>
      </c>
      <c r="H6526" s="2">
        <v>1.4E-3</v>
      </c>
      <c r="K6526" s="2" t="s">
        <v>10089</v>
      </c>
    </row>
    <row r="6527" spans="1:11" x14ac:dyDescent="0.2">
      <c r="A6527" s="2">
        <v>1633</v>
      </c>
      <c r="B6527" s="2">
        <v>11</v>
      </c>
      <c r="C6527" s="2">
        <v>21442723</v>
      </c>
      <c r="D6527" s="2">
        <v>22368743</v>
      </c>
      <c r="E6527" s="2">
        <v>3</v>
      </c>
      <c r="F6527" s="2" t="s">
        <v>10086</v>
      </c>
      <c r="H6527" s="2">
        <v>1.1000000000000001E-3</v>
      </c>
      <c r="K6527" s="2" t="s">
        <v>10085</v>
      </c>
    </row>
    <row r="6528" spans="1:11" x14ac:dyDescent="0.2">
      <c r="A6528" s="2">
        <v>1633</v>
      </c>
      <c r="B6528" s="2">
        <v>11</v>
      </c>
      <c r="C6528" s="2">
        <v>21442723</v>
      </c>
      <c r="D6528" s="2">
        <v>22368743</v>
      </c>
      <c r="E6528" s="2">
        <v>4</v>
      </c>
      <c r="F6528" s="2" t="s">
        <v>10086</v>
      </c>
      <c r="H6528" s="2">
        <v>1.1999999999999999E-3</v>
      </c>
      <c r="K6528" s="2" t="s">
        <v>10087</v>
      </c>
    </row>
    <row r="6529" spans="1:11" x14ac:dyDescent="0.2">
      <c r="A6529" s="2">
        <v>1634</v>
      </c>
      <c r="B6529" s="2">
        <v>11</v>
      </c>
      <c r="C6529" s="2">
        <v>22368744</v>
      </c>
      <c r="D6529" s="2">
        <v>23164544</v>
      </c>
      <c r="E6529" s="2">
        <v>1</v>
      </c>
      <c r="F6529" s="2" t="s">
        <v>10086</v>
      </c>
      <c r="H6529" s="2">
        <v>5.7999999999999996E-3</v>
      </c>
      <c r="K6529" s="2" t="s">
        <v>10089</v>
      </c>
    </row>
    <row r="6530" spans="1:11" x14ac:dyDescent="0.2">
      <c r="A6530" s="2">
        <v>1634</v>
      </c>
      <c r="B6530" s="2">
        <v>11</v>
      </c>
      <c r="C6530" s="2">
        <v>22368744</v>
      </c>
      <c r="D6530" s="2">
        <v>23164544</v>
      </c>
      <c r="E6530" s="2">
        <v>2</v>
      </c>
      <c r="F6530" s="2" t="s">
        <v>10086</v>
      </c>
      <c r="H6530" s="2">
        <v>1.1000000000000001E-3</v>
      </c>
      <c r="K6530" s="2" t="s">
        <v>10088</v>
      </c>
    </row>
    <row r="6531" spans="1:11" x14ac:dyDescent="0.2">
      <c r="A6531" s="2">
        <v>1634</v>
      </c>
      <c r="B6531" s="2">
        <v>11</v>
      </c>
      <c r="C6531" s="2">
        <v>22368744</v>
      </c>
      <c r="D6531" s="2">
        <v>23164544</v>
      </c>
      <c r="E6531" s="2">
        <v>3</v>
      </c>
      <c r="F6531" s="2" t="s">
        <v>10086</v>
      </c>
      <c r="H6531" s="2">
        <v>1E-3</v>
      </c>
      <c r="K6531" s="2" t="s">
        <v>12324</v>
      </c>
    </row>
    <row r="6532" spans="1:11" x14ac:dyDescent="0.2">
      <c r="A6532" s="2">
        <v>1634</v>
      </c>
      <c r="B6532" s="2">
        <v>11</v>
      </c>
      <c r="C6532" s="2">
        <v>22368744</v>
      </c>
      <c r="D6532" s="2">
        <v>23164544</v>
      </c>
      <c r="E6532" s="2">
        <v>4</v>
      </c>
      <c r="F6532" s="2" t="s">
        <v>10086</v>
      </c>
      <c r="H6532" s="3">
        <v>5.9999999999999995E-4</v>
      </c>
      <c r="K6532" s="2" t="s">
        <v>10085</v>
      </c>
    </row>
    <row r="6533" spans="1:11" x14ac:dyDescent="0.2">
      <c r="A6533" s="2">
        <v>1635</v>
      </c>
      <c r="B6533" s="2">
        <v>11</v>
      </c>
      <c r="C6533" s="2">
        <v>23164545</v>
      </c>
      <c r="D6533" s="2">
        <v>24091272</v>
      </c>
      <c r="E6533" s="2">
        <v>1</v>
      </c>
      <c r="F6533" s="2" t="s">
        <v>10086</v>
      </c>
      <c r="H6533" s="2">
        <v>1.9E-3</v>
      </c>
      <c r="K6533" s="2" t="s">
        <v>10088</v>
      </c>
    </row>
    <row r="6534" spans="1:11" x14ac:dyDescent="0.2">
      <c r="A6534" s="2">
        <v>1635</v>
      </c>
      <c r="B6534" s="2">
        <v>11</v>
      </c>
      <c r="C6534" s="2">
        <v>23164545</v>
      </c>
      <c r="D6534" s="2">
        <v>24091272</v>
      </c>
      <c r="E6534" s="2">
        <v>2</v>
      </c>
      <c r="F6534" s="2" t="s">
        <v>10086</v>
      </c>
      <c r="H6534" s="3">
        <v>8.0000000000000004E-4</v>
      </c>
      <c r="K6534" s="2" t="s">
        <v>10089</v>
      </c>
    </row>
    <row r="6535" spans="1:11" x14ac:dyDescent="0.2">
      <c r="A6535" s="2">
        <v>1635</v>
      </c>
      <c r="B6535" s="2">
        <v>11</v>
      </c>
      <c r="C6535" s="2">
        <v>23164545</v>
      </c>
      <c r="D6535" s="2">
        <v>24091272</v>
      </c>
      <c r="E6535" s="2">
        <v>3</v>
      </c>
      <c r="F6535" s="2" t="s">
        <v>10086</v>
      </c>
      <c r="H6535" s="3">
        <v>8.0000000000000004E-4</v>
      </c>
      <c r="K6535" s="2" t="s">
        <v>10087</v>
      </c>
    </row>
    <row r="6536" spans="1:11" x14ac:dyDescent="0.2">
      <c r="A6536" s="2">
        <v>1635</v>
      </c>
      <c r="B6536" s="2">
        <v>11</v>
      </c>
      <c r="C6536" s="2">
        <v>23164545</v>
      </c>
      <c r="D6536" s="2">
        <v>24091272</v>
      </c>
      <c r="E6536" s="2">
        <v>4</v>
      </c>
      <c r="F6536" s="2" t="s">
        <v>10086</v>
      </c>
      <c r="H6536" s="3">
        <v>2.9999999999999997E-4</v>
      </c>
      <c r="K6536" s="2" t="s">
        <v>10085</v>
      </c>
    </row>
    <row r="6537" spans="1:11" x14ac:dyDescent="0.2">
      <c r="A6537" s="2">
        <v>1636</v>
      </c>
      <c r="B6537" s="2">
        <v>11</v>
      </c>
      <c r="C6537" s="2">
        <v>24091273</v>
      </c>
      <c r="D6537" s="2">
        <v>24892439</v>
      </c>
      <c r="E6537" s="2">
        <v>1</v>
      </c>
      <c r="F6537" s="2" t="s">
        <v>10086</v>
      </c>
      <c r="H6537" s="2">
        <v>3.0000000000000001E-3</v>
      </c>
      <c r="K6537" s="2" t="s">
        <v>10088</v>
      </c>
    </row>
    <row r="6538" spans="1:11" x14ac:dyDescent="0.2">
      <c r="A6538" s="2">
        <v>1636</v>
      </c>
      <c r="B6538" s="2">
        <v>11</v>
      </c>
      <c r="C6538" s="2">
        <v>24091273</v>
      </c>
      <c r="D6538" s="2">
        <v>24892439</v>
      </c>
      <c r="E6538" s="2">
        <v>2</v>
      </c>
      <c r="F6538" s="2" t="s">
        <v>10086</v>
      </c>
      <c r="H6538" s="2">
        <v>1.2999999999999999E-3</v>
      </c>
      <c r="K6538" s="2" t="s">
        <v>10087</v>
      </c>
    </row>
    <row r="6539" spans="1:11" x14ac:dyDescent="0.2">
      <c r="A6539" s="2">
        <v>1636</v>
      </c>
      <c r="B6539" s="2">
        <v>11</v>
      </c>
      <c r="C6539" s="2">
        <v>24091273</v>
      </c>
      <c r="D6539" s="2">
        <v>24892439</v>
      </c>
      <c r="E6539" s="2">
        <v>3</v>
      </c>
      <c r="F6539" s="2" t="s">
        <v>10086</v>
      </c>
      <c r="H6539" s="3">
        <v>8.0000000000000004E-4</v>
      </c>
      <c r="K6539" s="2" t="s">
        <v>10089</v>
      </c>
    </row>
    <row r="6540" spans="1:11" x14ac:dyDescent="0.2">
      <c r="A6540" s="2">
        <v>1636</v>
      </c>
      <c r="B6540" s="2">
        <v>11</v>
      </c>
      <c r="C6540" s="2">
        <v>24091273</v>
      </c>
      <c r="D6540" s="2">
        <v>24892439</v>
      </c>
      <c r="E6540" s="2">
        <v>4</v>
      </c>
      <c r="F6540" s="2" t="s">
        <v>10086</v>
      </c>
      <c r="H6540" s="3">
        <v>5.0000000000000001E-4</v>
      </c>
      <c r="K6540" s="2" t="s">
        <v>10085</v>
      </c>
    </row>
    <row r="6541" spans="1:11" x14ac:dyDescent="0.2">
      <c r="A6541" s="2">
        <v>1637</v>
      </c>
      <c r="B6541" s="2">
        <v>11</v>
      </c>
      <c r="C6541" s="2">
        <v>24892440</v>
      </c>
      <c r="D6541" s="2">
        <v>25662918</v>
      </c>
      <c r="E6541" s="2">
        <v>1</v>
      </c>
      <c r="F6541" s="2" t="s">
        <v>10086</v>
      </c>
      <c r="H6541" s="2">
        <v>2.0999999999999999E-3</v>
      </c>
      <c r="K6541" s="2" t="s">
        <v>10087</v>
      </c>
    </row>
    <row r="6542" spans="1:11" x14ac:dyDescent="0.2">
      <c r="A6542" s="2">
        <v>1637</v>
      </c>
      <c r="B6542" s="2">
        <v>11</v>
      </c>
      <c r="C6542" s="2">
        <v>24892440</v>
      </c>
      <c r="D6542" s="2">
        <v>25662918</v>
      </c>
      <c r="E6542" s="2">
        <v>2</v>
      </c>
      <c r="F6542" s="2" t="s">
        <v>10086</v>
      </c>
      <c r="H6542" s="2">
        <v>2.8999999999999998E-3</v>
      </c>
      <c r="K6542" s="2" t="s">
        <v>10088</v>
      </c>
    </row>
    <row r="6543" spans="1:11" x14ac:dyDescent="0.2">
      <c r="A6543" s="2">
        <v>1637</v>
      </c>
      <c r="B6543" s="2">
        <v>11</v>
      </c>
      <c r="C6543" s="2">
        <v>24892440</v>
      </c>
      <c r="D6543" s="2">
        <v>25662918</v>
      </c>
      <c r="E6543" s="2">
        <v>3</v>
      </c>
      <c r="F6543" s="2" t="s">
        <v>10086</v>
      </c>
      <c r="H6543" s="2">
        <v>1.2999999999999999E-3</v>
      </c>
      <c r="K6543" s="2" t="s">
        <v>10089</v>
      </c>
    </row>
    <row r="6544" spans="1:11" x14ac:dyDescent="0.2">
      <c r="A6544" s="2">
        <v>1637</v>
      </c>
      <c r="B6544" s="2">
        <v>11</v>
      </c>
      <c r="C6544" s="2">
        <v>24892440</v>
      </c>
      <c r="D6544" s="2">
        <v>25662918</v>
      </c>
      <c r="E6544" s="2">
        <v>4</v>
      </c>
      <c r="F6544" s="2" t="s">
        <v>10086</v>
      </c>
      <c r="H6544" s="2">
        <v>1.1999999999999999E-3</v>
      </c>
      <c r="K6544" s="2" t="s">
        <v>10085</v>
      </c>
    </row>
    <row r="6545" spans="1:11" x14ac:dyDescent="0.2">
      <c r="A6545" s="2">
        <v>1638</v>
      </c>
      <c r="B6545" s="2">
        <v>11</v>
      </c>
      <c r="C6545" s="2">
        <v>25662919</v>
      </c>
      <c r="D6545" s="2">
        <v>26356980</v>
      </c>
      <c r="E6545" s="2">
        <v>1</v>
      </c>
      <c r="F6545" s="2" t="s">
        <v>10086</v>
      </c>
      <c r="H6545" s="2">
        <v>9.4000000000000004E-3</v>
      </c>
      <c r="K6545" s="2" t="s">
        <v>10088</v>
      </c>
    </row>
    <row r="6546" spans="1:11" x14ac:dyDescent="0.2">
      <c r="A6546" s="2">
        <v>1638</v>
      </c>
      <c r="B6546" s="2">
        <v>11</v>
      </c>
      <c r="C6546" s="2">
        <v>25662919</v>
      </c>
      <c r="D6546" s="2">
        <v>26356980</v>
      </c>
      <c r="E6546" s="2">
        <v>2</v>
      </c>
      <c r="F6546" s="2" t="s">
        <v>10086</v>
      </c>
      <c r="H6546" s="2">
        <v>1.6000000000000001E-3</v>
      </c>
      <c r="K6546" s="2" t="s">
        <v>10089</v>
      </c>
    </row>
    <row r="6547" spans="1:11" x14ac:dyDescent="0.2">
      <c r="A6547" s="2">
        <v>1638</v>
      </c>
      <c r="B6547" s="2">
        <v>11</v>
      </c>
      <c r="C6547" s="2">
        <v>25662919</v>
      </c>
      <c r="D6547" s="2">
        <v>26356980</v>
      </c>
      <c r="E6547" s="2">
        <v>3</v>
      </c>
      <c r="F6547" s="2" t="s">
        <v>10086</v>
      </c>
      <c r="H6547" s="2">
        <v>1.5E-3</v>
      </c>
      <c r="K6547" s="2" t="s">
        <v>10085</v>
      </c>
    </row>
    <row r="6548" spans="1:11" x14ac:dyDescent="0.2">
      <c r="A6548" s="2">
        <v>1638</v>
      </c>
      <c r="B6548" s="2">
        <v>11</v>
      </c>
      <c r="C6548" s="2">
        <v>25662919</v>
      </c>
      <c r="D6548" s="2">
        <v>26356980</v>
      </c>
      <c r="E6548" s="2">
        <v>4</v>
      </c>
      <c r="F6548" s="2" t="s">
        <v>10086</v>
      </c>
      <c r="H6548" s="3">
        <v>5.9999999999999995E-4</v>
      </c>
      <c r="K6548" s="2" t="s">
        <v>10087</v>
      </c>
    </row>
    <row r="6549" spans="1:11" x14ac:dyDescent="0.2">
      <c r="A6549" s="2">
        <v>1639</v>
      </c>
      <c r="B6549" s="2">
        <v>11</v>
      </c>
      <c r="C6549" s="2">
        <v>26356981</v>
      </c>
      <c r="D6549" s="2">
        <v>27018307</v>
      </c>
      <c r="E6549" s="2">
        <v>1</v>
      </c>
      <c r="F6549" s="2" t="s">
        <v>10086</v>
      </c>
      <c r="H6549" s="2">
        <v>1.1900000000000001E-2</v>
      </c>
      <c r="K6549" s="2" t="s">
        <v>10089</v>
      </c>
    </row>
    <row r="6550" spans="1:11" x14ac:dyDescent="0.2">
      <c r="A6550" s="2">
        <v>1639</v>
      </c>
      <c r="B6550" s="2">
        <v>11</v>
      </c>
      <c r="C6550" s="2">
        <v>26356981</v>
      </c>
      <c r="D6550" s="2">
        <v>27018307</v>
      </c>
      <c r="E6550" s="2">
        <v>2</v>
      </c>
      <c r="F6550" s="2" t="s">
        <v>10086</v>
      </c>
      <c r="H6550" s="2">
        <v>2.0999999999999999E-3</v>
      </c>
      <c r="K6550" s="2" t="s">
        <v>10087</v>
      </c>
    </row>
    <row r="6551" spans="1:11" x14ac:dyDescent="0.2">
      <c r="A6551" s="2">
        <v>1639</v>
      </c>
      <c r="B6551" s="2">
        <v>11</v>
      </c>
      <c r="C6551" s="2">
        <v>26356981</v>
      </c>
      <c r="D6551" s="2">
        <v>27018307</v>
      </c>
      <c r="E6551" s="2">
        <v>3</v>
      </c>
      <c r="F6551" s="2" t="s">
        <v>10086</v>
      </c>
      <c r="H6551" s="2">
        <v>1.1999999999999999E-3</v>
      </c>
      <c r="K6551" s="2" t="s">
        <v>10088</v>
      </c>
    </row>
    <row r="6552" spans="1:11" x14ac:dyDescent="0.2">
      <c r="A6552" s="2">
        <v>1639</v>
      </c>
      <c r="B6552" s="2">
        <v>11</v>
      </c>
      <c r="C6552" s="2">
        <v>26356981</v>
      </c>
      <c r="D6552" s="2">
        <v>27018307</v>
      </c>
      <c r="E6552" s="2">
        <v>4</v>
      </c>
      <c r="F6552" s="2" t="s">
        <v>10086</v>
      </c>
      <c r="H6552" s="3">
        <v>2.9999999999999997E-4</v>
      </c>
      <c r="K6552" s="2" t="s">
        <v>10085</v>
      </c>
    </row>
    <row r="6553" spans="1:11" x14ac:dyDescent="0.2">
      <c r="A6553" s="2">
        <v>1640</v>
      </c>
      <c r="B6553" s="2">
        <v>11</v>
      </c>
      <c r="C6553" s="2">
        <v>27018308</v>
      </c>
      <c r="D6553" s="2">
        <v>28577718</v>
      </c>
      <c r="E6553" s="2">
        <v>1</v>
      </c>
      <c r="F6553" s="2" t="s">
        <v>10086</v>
      </c>
      <c r="H6553" s="2">
        <v>3.7000000000000002E-3</v>
      </c>
      <c r="K6553" s="2" t="s">
        <v>10089</v>
      </c>
    </row>
    <row r="6554" spans="1:11" x14ac:dyDescent="0.2">
      <c r="A6554" s="2">
        <v>1640</v>
      </c>
      <c r="B6554" s="2">
        <v>11</v>
      </c>
      <c r="C6554" s="2">
        <v>27018308</v>
      </c>
      <c r="D6554" s="2">
        <v>28577718</v>
      </c>
      <c r="E6554" s="2">
        <v>2</v>
      </c>
      <c r="F6554" s="2" t="s">
        <v>10086</v>
      </c>
      <c r="H6554" s="2">
        <v>2.3E-3</v>
      </c>
      <c r="K6554" s="2" t="s">
        <v>12324</v>
      </c>
    </row>
    <row r="6555" spans="1:11" x14ac:dyDescent="0.2">
      <c r="A6555" s="2">
        <v>1640</v>
      </c>
      <c r="B6555" s="2">
        <v>11</v>
      </c>
      <c r="C6555" s="2">
        <v>27018308</v>
      </c>
      <c r="D6555" s="2">
        <v>28577718</v>
      </c>
      <c r="E6555" s="2">
        <v>3</v>
      </c>
      <c r="F6555" s="2" t="s">
        <v>10086</v>
      </c>
      <c r="H6555" s="2">
        <v>1E-3</v>
      </c>
      <c r="K6555" s="2" t="s">
        <v>10087</v>
      </c>
    </row>
    <row r="6556" spans="1:11" x14ac:dyDescent="0.2">
      <c r="A6556" s="2">
        <v>1640</v>
      </c>
      <c r="B6556" s="2">
        <v>11</v>
      </c>
      <c r="C6556" s="2">
        <v>27018308</v>
      </c>
      <c r="D6556" s="2">
        <v>28577718</v>
      </c>
      <c r="E6556" s="2">
        <v>4</v>
      </c>
      <c r="F6556" s="2" t="s">
        <v>10086</v>
      </c>
      <c r="H6556" s="3">
        <v>8.0000000000000004E-4</v>
      </c>
      <c r="K6556" s="2" t="s">
        <v>10085</v>
      </c>
    </row>
    <row r="6557" spans="1:11" x14ac:dyDescent="0.2">
      <c r="A6557" s="2">
        <v>1641</v>
      </c>
      <c r="B6557" s="2">
        <v>11</v>
      </c>
      <c r="C6557" s="2">
        <v>28577719</v>
      </c>
      <c r="D6557" s="2">
        <v>29530460</v>
      </c>
      <c r="E6557" s="2">
        <v>1</v>
      </c>
      <c r="F6557" s="2" t="s">
        <v>10086</v>
      </c>
      <c r="H6557" s="2">
        <v>2E-3</v>
      </c>
      <c r="K6557" s="2" t="s">
        <v>10089</v>
      </c>
    </row>
    <row r="6558" spans="1:11" x14ac:dyDescent="0.2">
      <c r="A6558" s="2">
        <v>1641</v>
      </c>
      <c r="B6558" s="2">
        <v>11</v>
      </c>
      <c r="C6558" s="2">
        <v>28577719</v>
      </c>
      <c r="D6558" s="2">
        <v>29530460</v>
      </c>
      <c r="E6558" s="2">
        <v>2</v>
      </c>
      <c r="F6558" s="2" t="s">
        <v>10086</v>
      </c>
      <c r="H6558" s="3">
        <v>8.0000000000000004E-4</v>
      </c>
      <c r="K6558" s="2" t="s">
        <v>10085</v>
      </c>
    </row>
    <row r="6559" spans="1:11" x14ac:dyDescent="0.2">
      <c r="A6559" s="2">
        <v>1641</v>
      </c>
      <c r="B6559" s="2">
        <v>11</v>
      </c>
      <c r="C6559" s="2">
        <v>28577719</v>
      </c>
      <c r="D6559" s="2">
        <v>29530460</v>
      </c>
      <c r="E6559" s="2">
        <v>3</v>
      </c>
      <c r="F6559" s="2" t="s">
        <v>10086</v>
      </c>
      <c r="H6559" s="3">
        <v>5.9999999999999995E-4</v>
      </c>
      <c r="K6559" s="2" t="s">
        <v>10087</v>
      </c>
    </row>
    <row r="6560" spans="1:11" x14ac:dyDescent="0.2">
      <c r="A6560" s="2">
        <v>1641</v>
      </c>
      <c r="B6560" s="2">
        <v>11</v>
      </c>
      <c r="C6560" s="2">
        <v>28577719</v>
      </c>
      <c r="D6560" s="2">
        <v>29530460</v>
      </c>
      <c r="E6560" s="2">
        <v>4</v>
      </c>
      <c r="F6560" s="2" t="s">
        <v>10086</v>
      </c>
      <c r="H6560" s="3">
        <v>5.9999999999999995E-4</v>
      </c>
      <c r="K6560" s="2" t="s">
        <v>10088</v>
      </c>
    </row>
    <row r="6561" spans="1:11" x14ac:dyDescent="0.2">
      <c r="A6561" s="2">
        <v>1642</v>
      </c>
      <c r="B6561" s="2">
        <v>11</v>
      </c>
      <c r="C6561" s="2">
        <v>29530461</v>
      </c>
      <c r="D6561" s="2">
        <v>30570129</v>
      </c>
      <c r="E6561" s="2">
        <v>1</v>
      </c>
      <c r="F6561" s="2" t="s">
        <v>10086</v>
      </c>
      <c r="H6561" s="2">
        <v>2.8999999999999998E-3</v>
      </c>
      <c r="K6561" s="2" t="s">
        <v>10087</v>
      </c>
    </row>
    <row r="6562" spans="1:11" x14ac:dyDescent="0.2">
      <c r="A6562" s="2">
        <v>1642</v>
      </c>
      <c r="B6562" s="2">
        <v>11</v>
      </c>
      <c r="C6562" s="2">
        <v>29530461</v>
      </c>
      <c r="D6562" s="2">
        <v>30570129</v>
      </c>
      <c r="E6562" s="2">
        <v>2</v>
      </c>
      <c r="F6562" s="2" t="s">
        <v>10086</v>
      </c>
      <c r="H6562" s="2">
        <v>1.1000000000000001E-3</v>
      </c>
      <c r="K6562" s="2" t="s">
        <v>10088</v>
      </c>
    </row>
    <row r="6563" spans="1:11" x14ac:dyDescent="0.2">
      <c r="A6563" s="2">
        <v>1642</v>
      </c>
      <c r="B6563" s="2">
        <v>11</v>
      </c>
      <c r="C6563" s="2">
        <v>29530461</v>
      </c>
      <c r="D6563" s="2">
        <v>30570129</v>
      </c>
      <c r="E6563" s="2">
        <v>3</v>
      </c>
      <c r="F6563" s="2" t="s">
        <v>10086</v>
      </c>
      <c r="H6563" s="3">
        <v>6.9999999999999999E-4</v>
      </c>
      <c r="K6563" s="2" t="s">
        <v>10089</v>
      </c>
    </row>
    <row r="6564" spans="1:11" x14ac:dyDescent="0.2">
      <c r="A6564" s="2">
        <v>1642</v>
      </c>
      <c r="B6564" s="2">
        <v>11</v>
      </c>
      <c r="C6564" s="2">
        <v>29530461</v>
      </c>
      <c r="D6564" s="2">
        <v>30570129</v>
      </c>
      <c r="E6564" s="2">
        <v>4</v>
      </c>
      <c r="F6564" s="2" t="s">
        <v>10086</v>
      </c>
      <c r="H6564" s="3">
        <v>2.9999999999999997E-4</v>
      </c>
      <c r="K6564" s="2" t="s">
        <v>10085</v>
      </c>
    </row>
    <row r="6565" spans="1:11" x14ac:dyDescent="0.2">
      <c r="A6565" s="2">
        <v>1643</v>
      </c>
      <c r="B6565" s="2">
        <v>11</v>
      </c>
      <c r="C6565" s="2">
        <v>30570130</v>
      </c>
      <c r="D6565" s="2">
        <v>32065771</v>
      </c>
      <c r="E6565" s="2">
        <v>1</v>
      </c>
      <c r="F6565" s="2" t="s">
        <v>10086</v>
      </c>
      <c r="H6565" s="2">
        <v>0.40160000000000001</v>
      </c>
      <c r="K6565" s="2" t="s">
        <v>10089</v>
      </c>
    </row>
    <row r="6566" spans="1:11" x14ac:dyDescent="0.2">
      <c r="A6566" s="2">
        <v>1643</v>
      </c>
      <c r="B6566" s="2">
        <v>11</v>
      </c>
      <c r="C6566" s="2">
        <v>30570130</v>
      </c>
      <c r="D6566" s="2">
        <v>32065771</v>
      </c>
      <c r="E6566" s="2">
        <v>2</v>
      </c>
      <c r="F6566" s="2" t="s">
        <v>10086</v>
      </c>
      <c r="H6566" s="2">
        <v>8.0100000000000005E-2</v>
      </c>
      <c r="K6566" s="2" t="s">
        <v>10088</v>
      </c>
    </row>
    <row r="6567" spans="1:11" x14ac:dyDescent="0.2">
      <c r="A6567" s="2">
        <v>1643</v>
      </c>
      <c r="B6567" s="2">
        <v>11</v>
      </c>
      <c r="C6567" s="2">
        <v>30570130</v>
      </c>
      <c r="D6567" s="2">
        <v>32065771</v>
      </c>
      <c r="E6567" s="2">
        <v>3</v>
      </c>
      <c r="F6567" s="2" t="s">
        <v>10086</v>
      </c>
      <c r="H6567" s="2">
        <v>4.4000000000000003E-3</v>
      </c>
      <c r="K6567" s="2" t="s">
        <v>10087</v>
      </c>
    </row>
    <row r="6568" spans="1:11" x14ac:dyDescent="0.2">
      <c r="A6568" s="2">
        <v>1643</v>
      </c>
      <c r="B6568" s="2">
        <v>11</v>
      </c>
      <c r="C6568" s="2">
        <v>30570130</v>
      </c>
      <c r="D6568" s="2">
        <v>32065771</v>
      </c>
      <c r="E6568" s="2">
        <v>4</v>
      </c>
      <c r="F6568" s="2" t="s">
        <v>10086</v>
      </c>
      <c r="H6568" s="3">
        <v>5.0000000000000001E-4</v>
      </c>
      <c r="K6568" s="2" t="s">
        <v>12324</v>
      </c>
    </row>
    <row r="6569" spans="1:11" x14ac:dyDescent="0.2">
      <c r="A6569" s="2">
        <v>1644</v>
      </c>
      <c r="B6569" s="2">
        <v>11</v>
      </c>
      <c r="C6569" s="2">
        <v>32065772</v>
      </c>
      <c r="D6569" s="2">
        <v>32830422</v>
      </c>
      <c r="E6569" s="2">
        <v>1</v>
      </c>
      <c r="F6569" s="2" t="s">
        <v>10086</v>
      </c>
      <c r="H6569" s="2">
        <v>2E-3</v>
      </c>
      <c r="K6569" s="2" t="s">
        <v>10087</v>
      </c>
    </row>
    <row r="6570" spans="1:11" x14ac:dyDescent="0.2">
      <c r="A6570" s="2">
        <v>1644</v>
      </c>
      <c r="B6570" s="2">
        <v>11</v>
      </c>
      <c r="C6570" s="2">
        <v>32065772</v>
      </c>
      <c r="D6570" s="2">
        <v>32830422</v>
      </c>
      <c r="E6570" s="2">
        <v>2</v>
      </c>
      <c r="F6570" s="2" t="s">
        <v>10086</v>
      </c>
      <c r="H6570" s="2">
        <v>1E-3</v>
      </c>
      <c r="K6570" s="2" t="s">
        <v>10089</v>
      </c>
    </row>
    <row r="6571" spans="1:11" x14ac:dyDescent="0.2">
      <c r="A6571" s="2">
        <v>1644</v>
      </c>
      <c r="B6571" s="2">
        <v>11</v>
      </c>
      <c r="C6571" s="2">
        <v>32065772</v>
      </c>
      <c r="D6571" s="2">
        <v>32830422</v>
      </c>
      <c r="E6571" s="2">
        <v>3</v>
      </c>
      <c r="F6571" s="2" t="s">
        <v>10086</v>
      </c>
      <c r="H6571" s="3">
        <v>6.9999999999999999E-4</v>
      </c>
      <c r="K6571" s="2" t="s">
        <v>10088</v>
      </c>
    </row>
    <row r="6572" spans="1:11" x14ac:dyDescent="0.2">
      <c r="A6572" s="2">
        <v>1644</v>
      </c>
      <c r="B6572" s="2">
        <v>11</v>
      </c>
      <c r="C6572" s="2">
        <v>32065772</v>
      </c>
      <c r="D6572" s="2">
        <v>32830422</v>
      </c>
      <c r="E6572" s="2">
        <v>4</v>
      </c>
      <c r="F6572" s="2" t="s">
        <v>10086</v>
      </c>
      <c r="H6572" s="3">
        <v>2.9999999999999997E-4</v>
      </c>
      <c r="K6572" s="2" t="s">
        <v>10085</v>
      </c>
    </row>
    <row r="6573" spans="1:11" x14ac:dyDescent="0.2">
      <c r="A6573" s="2">
        <v>1645</v>
      </c>
      <c r="B6573" s="2">
        <v>11</v>
      </c>
      <c r="C6573" s="2">
        <v>32830423</v>
      </c>
      <c r="D6573" s="2">
        <v>33905327</v>
      </c>
      <c r="E6573" s="2">
        <v>1</v>
      </c>
      <c r="F6573" s="2" t="s">
        <v>10086</v>
      </c>
      <c r="H6573" s="2">
        <v>1.8E-3</v>
      </c>
      <c r="K6573" s="2" t="s">
        <v>10087</v>
      </c>
    </row>
    <row r="6574" spans="1:11" x14ac:dyDescent="0.2">
      <c r="A6574" s="2">
        <v>1645</v>
      </c>
      <c r="B6574" s="2">
        <v>11</v>
      </c>
      <c r="C6574" s="2">
        <v>32830423</v>
      </c>
      <c r="D6574" s="2">
        <v>33905327</v>
      </c>
      <c r="E6574" s="2">
        <v>2</v>
      </c>
      <c r="F6574" s="2" t="s">
        <v>10086</v>
      </c>
      <c r="H6574" s="2">
        <v>1.9E-3</v>
      </c>
      <c r="K6574" s="2" t="s">
        <v>10085</v>
      </c>
    </row>
    <row r="6575" spans="1:11" x14ac:dyDescent="0.2">
      <c r="A6575" s="2">
        <v>1645</v>
      </c>
      <c r="B6575" s="2">
        <v>11</v>
      </c>
      <c r="C6575" s="2">
        <v>32830423</v>
      </c>
      <c r="D6575" s="2">
        <v>33905327</v>
      </c>
      <c r="E6575" s="2">
        <v>3</v>
      </c>
      <c r="F6575" s="2" t="s">
        <v>10086</v>
      </c>
      <c r="H6575" s="3">
        <v>8.0000000000000004E-4</v>
      </c>
      <c r="K6575" s="2" t="s">
        <v>10088</v>
      </c>
    </row>
    <row r="6576" spans="1:11" x14ac:dyDescent="0.2">
      <c r="A6576" s="2">
        <v>1645</v>
      </c>
      <c r="B6576" s="2">
        <v>11</v>
      </c>
      <c r="C6576" s="2">
        <v>32830423</v>
      </c>
      <c r="D6576" s="2">
        <v>33905327</v>
      </c>
      <c r="E6576" s="2">
        <v>4</v>
      </c>
      <c r="F6576" s="2" t="s">
        <v>10086</v>
      </c>
      <c r="H6576" s="3">
        <v>2.9999999999999997E-4</v>
      </c>
      <c r="K6576" s="2" t="s">
        <v>10089</v>
      </c>
    </row>
    <row r="6577" spans="1:11" x14ac:dyDescent="0.2">
      <c r="A6577" s="2">
        <v>1646</v>
      </c>
      <c r="B6577" s="2">
        <v>11</v>
      </c>
      <c r="C6577" s="2">
        <v>33905328</v>
      </c>
      <c r="D6577" s="2">
        <v>34672697</v>
      </c>
      <c r="E6577" s="2">
        <v>1</v>
      </c>
      <c r="F6577" s="2" t="s">
        <v>10086</v>
      </c>
      <c r="H6577" s="2">
        <v>3.5000000000000001E-3</v>
      </c>
      <c r="K6577" s="2" t="s">
        <v>10089</v>
      </c>
    </row>
    <row r="6578" spans="1:11" x14ac:dyDescent="0.2">
      <c r="A6578" s="2">
        <v>1646</v>
      </c>
      <c r="B6578" s="2">
        <v>11</v>
      </c>
      <c r="C6578" s="2">
        <v>33905328</v>
      </c>
      <c r="D6578" s="2">
        <v>34672697</v>
      </c>
      <c r="E6578" s="2">
        <v>2</v>
      </c>
      <c r="F6578" s="2" t="s">
        <v>10086</v>
      </c>
      <c r="H6578" s="2">
        <v>5.4999999999999997E-3</v>
      </c>
      <c r="K6578" s="2" t="s">
        <v>10087</v>
      </c>
    </row>
    <row r="6579" spans="1:11" x14ac:dyDescent="0.2">
      <c r="A6579" s="2">
        <v>1646</v>
      </c>
      <c r="B6579" s="2">
        <v>11</v>
      </c>
      <c r="C6579" s="2">
        <v>33905328</v>
      </c>
      <c r="D6579" s="2">
        <v>34672697</v>
      </c>
      <c r="E6579" s="2">
        <v>3</v>
      </c>
      <c r="F6579" s="2" t="s">
        <v>10086</v>
      </c>
      <c r="H6579" s="2">
        <v>1.5E-3</v>
      </c>
      <c r="K6579" s="2" t="s">
        <v>12324</v>
      </c>
    </row>
    <row r="6580" spans="1:11" x14ac:dyDescent="0.2">
      <c r="A6580" s="2">
        <v>1646</v>
      </c>
      <c r="B6580" s="2">
        <v>11</v>
      </c>
      <c r="C6580" s="2">
        <v>33905328</v>
      </c>
      <c r="D6580" s="2">
        <v>34672697</v>
      </c>
      <c r="E6580" s="2">
        <v>4</v>
      </c>
      <c r="F6580" s="2" t="s">
        <v>10086</v>
      </c>
      <c r="H6580" s="2">
        <v>1E-3</v>
      </c>
      <c r="K6580" s="2" t="s">
        <v>10088</v>
      </c>
    </row>
    <row r="6581" spans="1:11" x14ac:dyDescent="0.2">
      <c r="A6581" s="2">
        <v>1647</v>
      </c>
      <c r="B6581" s="2">
        <v>11</v>
      </c>
      <c r="C6581" s="2">
        <v>34672698</v>
      </c>
      <c r="D6581" s="2">
        <v>35500367</v>
      </c>
      <c r="E6581" s="2">
        <v>1</v>
      </c>
      <c r="F6581" s="2" t="s">
        <v>10086</v>
      </c>
      <c r="H6581" s="3">
        <v>8.0000000000000004E-4</v>
      </c>
      <c r="K6581" s="2" t="s">
        <v>10089</v>
      </c>
    </row>
    <row r="6582" spans="1:11" x14ac:dyDescent="0.2">
      <c r="A6582" s="2">
        <v>1647</v>
      </c>
      <c r="B6582" s="2">
        <v>11</v>
      </c>
      <c r="C6582" s="2">
        <v>34672698</v>
      </c>
      <c r="D6582" s="2">
        <v>35500367</v>
      </c>
      <c r="E6582" s="2">
        <v>2</v>
      </c>
      <c r="F6582" s="2" t="s">
        <v>10086</v>
      </c>
      <c r="H6582" s="3">
        <v>6.9999999999999999E-4</v>
      </c>
      <c r="K6582" s="2" t="s">
        <v>10088</v>
      </c>
    </row>
    <row r="6583" spans="1:11" x14ac:dyDescent="0.2">
      <c r="A6583" s="2">
        <v>1647</v>
      </c>
      <c r="B6583" s="2">
        <v>11</v>
      </c>
      <c r="C6583" s="2">
        <v>34672698</v>
      </c>
      <c r="D6583" s="2">
        <v>35500367</v>
      </c>
      <c r="E6583" s="2">
        <v>3</v>
      </c>
      <c r="F6583" s="2" t="s">
        <v>10086</v>
      </c>
      <c r="H6583" s="3">
        <v>6.9999999999999999E-4</v>
      </c>
      <c r="K6583" s="2" t="s">
        <v>10085</v>
      </c>
    </row>
    <row r="6584" spans="1:11" x14ac:dyDescent="0.2">
      <c r="A6584" s="2">
        <v>1647</v>
      </c>
      <c r="B6584" s="2">
        <v>11</v>
      </c>
      <c r="C6584" s="2">
        <v>34672698</v>
      </c>
      <c r="D6584" s="2">
        <v>35500367</v>
      </c>
      <c r="E6584" s="2">
        <v>4</v>
      </c>
      <c r="F6584" s="2" t="s">
        <v>10086</v>
      </c>
      <c r="H6584" s="3">
        <v>4.0000000000000002E-4</v>
      </c>
      <c r="K6584" s="2" t="s">
        <v>10087</v>
      </c>
    </row>
    <row r="6585" spans="1:11" x14ac:dyDescent="0.2">
      <c r="A6585" s="2">
        <v>1648</v>
      </c>
      <c r="B6585" s="2">
        <v>11</v>
      </c>
      <c r="C6585" s="2">
        <v>35500368</v>
      </c>
      <c r="D6585" s="2">
        <v>36331189</v>
      </c>
      <c r="E6585" s="2">
        <v>1</v>
      </c>
      <c r="F6585" s="2" t="s">
        <v>10086</v>
      </c>
      <c r="H6585" s="2">
        <v>8.3000000000000001E-3</v>
      </c>
      <c r="K6585" s="2" t="s">
        <v>10087</v>
      </c>
    </row>
    <row r="6586" spans="1:11" x14ac:dyDescent="0.2">
      <c r="A6586" s="2">
        <v>1648</v>
      </c>
      <c r="B6586" s="2">
        <v>11</v>
      </c>
      <c r="C6586" s="2">
        <v>35500368</v>
      </c>
      <c r="D6586" s="2">
        <v>36331189</v>
      </c>
      <c r="E6586" s="2">
        <v>2</v>
      </c>
      <c r="F6586" s="2" t="s">
        <v>10086</v>
      </c>
      <c r="H6586" s="3">
        <v>8.9999999999999998E-4</v>
      </c>
      <c r="K6586" s="2" t="s">
        <v>10085</v>
      </c>
    </row>
    <row r="6587" spans="1:11" x14ac:dyDescent="0.2">
      <c r="A6587" s="2">
        <v>1648</v>
      </c>
      <c r="B6587" s="2">
        <v>11</v>
      </c>
      <c r="C6587" s="2">
        <v>35500368</v>
      </c>
      <c r="D6587" s="2">
        <v>36331189</v>
      </c>
      <c r="E6587" s="2">
        <v>3</v>
      </c>
      <c r="F6587" s="2" t="s">
        <v>10086</v>
      </c>
      <c r="H6587" s="3">
        <v>8.9999999999999998E-4</v>
      </c>
      <c r="K6587" s="2" t="s">
        <v>10089</v>
      </c>
    </row>
    <row r="6588" spans="1:11" x14ac:dyDescent="0.2">
      <c r="A6588" s="2">
        <v>1648</v>
      </c>
      <c r="B6588" s="2">
        <v>11</v>
      </c>
      <c r="C6588" s="2">
        <v>35500368</v>
      </c>
      <c r="D6588" s="2">
        <v>36331189</v>
      </c>
      <c r="E6588" s="2">
        <v>4</v>
      </c>
      <c r="F6588" s="2" t="s">
        <v>10086</v>
      </c>
      <c r="H6588" s="3">
        <v>5.0000000000000001E-4</v>
      </c>
      <c r="K6588" s="2" t="s">
        <v>10088</v>
      </c>
    </row>
    <row r="6589" spans="1:11" x14ac:dyDescent="0.2">
      <c r="A6589" s="2">
        <v>1649</v>
      </c>
      <c r="B6589" s="2">
        <v>11</v>
      </c>
      <c r="C6589" s="2">
        <v>36331190</v>
      </c>
      <c r="D6589" s="2">
        <v>37119024</v>
      </c>
      <c r="E6589" s="2">
        <v>1</v>
      </c>
      <c r="F6589" s="2" t="s">
        <v>10086</v>
      </c>
      <c r="H6589" s="2">
        <v>8.0000000000000002E-3</v>
      </c>
      <c r="K6589" s="2" t="s">
        <v>10089</v>
      </c>
    </row>
    <row r="6590" spans="1:11" x14ac:dyDescent="0.2">
      <c r="A6590" s="2">
        <v>1649</v>
      </c>
      <c r="B6590" s="2">
        <v>11</v>
      </c>
      <c r="C6590" s="2">
        <v>36331190</v>
      </c>
      <c r="D6590" s="2">
        <v>37119024</v>
      </c>
      <c r="E6590" s="2">
        <v>2</v>
      </c>
      <c r="F6590" s="2" t="s">
        <v>10086</v>
      </c>
      <c r="H6590" s="2">
        <v>3.3999999999999998E-3</v>
      </c>
      <c r="K6590" s="2" t="s">
        <v>10085</v>
      </c>
    </row>
    <row r="6591" spans="1:11" x14ac:dyDescent="0.2">
      <c r="A6591" s="2">
        <v>1649</v>
      </c>
      <c r="B6591" s="2">
        <v>11</v>
      </c>
      <c r="C6591" s="2">
        <v>36331190</v>
      </c>
      <c r="D6591" s="2">
        <v>37119024</v>
      </c>
      <c r="E6591" s="2">
        <v>3</v>
      </c>
      <c r="F6591" s="2" t="s">
        <v>10086</v>
      </c>
      <c r="H6591" s="3">
        <v>8.9999999999999998E-4</v>
      </c>
      <c r="K6591" s="2" t="s">
        <v>10087</v>
      </c>
    </row>
    <row r="6592" spans="1:11" x14ac:dyDescent="0.2">
      <c r="A6592" s="2">
        <v>1649</v>
      </c>
      <c r="B6592" s="2">
        <v>11</v>
      </c>
      <c r="C6592" s="2">
        <v>36331190</v>
      </c>
      <c r="D6592" s="2">
        <v>37119024</v>
      </c>
      <c r="E6592" s="2">
        <v>4</v>
      </c>
      <c r="F6592" s="2" t="s">
        <v>10086</v>
      </c>
      <c r="H6592" s="3">
        <v>5.0000000000000001E-4</v>
      </c>
      <c r="K6592" s="2" t="s">
        <v>10088</v>
      </c>
    </row>
    <row r="6593" spans="1:11" x14ac:dyDescent="0.2">
      <c r="A6593" s="2">
        <v>1650</v>
      </c>
      <c r="B6593" s="2">
        <v>11</v>
      </c>
      <c r="C6593" s="2">
        <v>37119025</v>
      </c>
      <c r="D6593" s="2">
        <v>37953086</v>
      </c>
      <c r="E6593" s="2">
        <v>1</v>
      </c>
      <c r="F6593" s="2" t="s">
        <v>10086</v>
      </c>
      <c r="H6593" s="2">
        <v>5.5999999999999999E-3</v>
      </c>
      <c r="K6593" s="2" t="s">
        <v>10088</v>
      </c>
    </row>
    <row r="6594" spans="1:11" x14ac:dyDescent="0.2">
      <c r="A6594" s="2">
        <v>1650</v>
      </c>
      <c r="B6594" s="2">
        <v>11</v>
      </c>
      <c r="C6594" s="2">
        <v>37119025</v>
      </c>
      <c r="D6594" s="2">
        <v>37953086</v>
      </c>
      <c r="E6594" s="2">
        <v>2</v>
      </c>
      <c r="F6594" s="2" t="s">
        <v>10086</v>
      </c>
      <c r="H6594" s="2">
        <v>1.2999999999999999E-3</v>
      </c>
      <c r="K6594" s="2" t="s">
        <v>10089</v>
      </c>
    </row>
    <row r="6595" spans="1:11" x14ac:dyDescent="0.2">
      <c r="A6595" s="2">
        <v>1650</v>
      </c>
      <c r="B6595" s="2">
        <v>11</v>
      </c>
      <c r="C6595" s="2">
        <v>37119025</v>
      </c>
      <c r="D6595" s="2">
        <v>37953086</v>
      </c>
      <c r="E6595" s="2">
        <v>3</v>
      </c>
      <c r="F6595" s="2" t="s">
        <v>10086</v>
      </c>
      <c r="H6595" s="2">
        <v>1E-3</v>
      </c>
      <c r="K6595" s="2" t="s">
        <v>10085</v>
      </c>
    </row>
    <row r="6596" spans="1:11" x14ac:dyDescent="0.2">
      <c r="A6596" s="2">
        <v>1650</v>
      </c>
      <c r="B6596" s="2">
        <v>11</v>
      </c>
      <c r="C6596" s="2">
        <v>37119025</v>
      </c>
      <c r="D6596" s="2">
        <v>37953086</v>
      </c>
      <c r="E6596" s="2">
        <v>4</v>
      </c>
      <c r="F6596" s="2" t="s">
        <v>10086</v>
      </c>
      <c r="H6596" s="3">
        <v>4.0000000000000002E-4</v>
      </c>
      <c r="K6596" s="2" t="s">
        <v>10087</v>
      </c>
    </row>
    <row r="6597" spans="1:11" x14ac:dyDescent="0.2">
      <c r="A6597" s="2">
        <v>1651</v>
      </c>
      <c r="B6597" s="2">
        <v>11</v>
      </c>
      <c r="C6597" s="2">
        <v>37953087</v>
      </c>
      <c r="D6597" s="2">
        <v>39329140</v>
      </c>
      <c r="E6597" s="2">
        <v>1</v>
      </c>
      <c r="F6597" s="2" t="s">
        <v>10086</v>
      </c>
      <c r="H6597" s="2">
        <v>2.3999999999999998E-3</v>
      </c>
      <c r="K6597" s="2" t="s">
        <v>10089</v>
      </c>
    </row>
    <row r="6598" spans="1:11" x14ac:dyDescent="0.2">
      <c r="A6598" s="2">
        <v>1651</v>
      </c>
      <c r="B6598" s="2">
        <v>11</v>
      </c>
      <c r="C6598" s="2">
        <v>37953087</v>
      </c>
      <c r="D6598" s="2">
        <v>39329140</v>
      </c>
      <c r="E6598" s="2">
        <v>2</v>
      </c>
      <c r="F6598" s="2" t="s">
        <v>10086</v>
      </c>
      <c r="H6598" s="2">
        <v>2.3E-3</v>
      </c>
      <c r="K6598" s="2" t="s">
        <v>10087</v>
      </c>
    </row>
    <row r="6599" spans="1:11" x14ac:dyDescent="0.2">
      <c r="A6599" s="2">
        <v>1651</v>
      </c>
      <c r="B6599" s="2">
        <v>11</v>
      </c>
      <c r="C6599" s="2">
        <v>37953087</v>
      </c>
      <c r="D6599" s="2">
        <v>39329140</v>
      </c>
      <c r="E6599" s="2">
        <v>3</v>
      </c>
      <c r="F6599" s="2" t="s">
        <v>10086</v>
      </c>
      <c r="H6599" s="2">
        <v>1.5E-3</v>
      </c>
      <c r="K6599" s="2" t="s">
        <v>10085</v>
      </c>
    </row>
    <row r="6600" spans="1:11" x14ac:dyDescent="0.2">
      <c r="A6600" s="2">
        <v>1651</v>
      </c>
      <c r="B6600" s="2">
        <v>11</v>
      </c>
      <c r="C6600" s="2">
        <v>37953087</v>
      </c>
      <c r="D6600" s="2">
        <v>39329140</v>
      </c>
      <c r="E6600" s="2">
        <v>4</v>
      </c>
      <c r="F6600" s="2" t="s">
        <v>10086</v>
      </c>
      <c r="H6600" s="3">
        <v>5.9999999999999995E-4</v>
      </c>
      <c r="K6600" s="2" t="s">
        <v>10088</v>
      </c>
    </row>
    <row r="6601" spans="1:11" x14ac:dyDescent="0.2">
      <c r="A6601" s="2">
        <v>1652</v>
      </c>
      <c r="B6601" s="2">
        <v>11</v>
      </c>
      <c r="C6601" s="2">
        <v>39329141</v>
      </c>
      <c r="D6601" s="2">
        <v>40362940</v>
      </c>
      <c r="E6601" s="2">
        <v>1</v>
      </c>
      <c r="F6601" s="2" t="s">
        <v>10086</v>
      </c>
      <c r="H6601" s="2">
        <v>1.4E-3</v>
      </c>
      <c r="K6601" s="2" t="s">
        <v>10088</v>
      </c>
    </row>
    <row r="6602" spans="1:11" x14ac:dyDescent="0.2">
      <c r="A6602" s="2">
        <v>1652</v>
      </c>
      <c r="B6602" s="2">
        <v>11</v>
      </c>
      <c r="C6602" s="2">
        <v>39329141</v>
      </c>
      <c r="D6602" s="2">
        <v>40362940</v>
      </c>
      <c r="E6602" s="2">
        <v>2</v>
      </c>
      <c r="F6602" s="2" t="s">
        <v>10086</v>
      </c>
      <c r="H6602" s="2">
        <v>1.1999999999999999E-3</v>
      </c>
      <c r="K6602" s="2" t="s">
        <v>10089</v>
      </c>
    </row>
    <row r="6603" spans="1:11" x14ac:dyDescent="0.2">
      <c r="A6603" s="2">
        <v>1652</v>
      </c>
      <c r="B6603" s="2">
        <v>11</v>
      </c>
      <c r="C6603" s="2">
        <v>39329141</v>
      </c>
      <c r="D6603" s="2">
        <v>40362940</v>
      </c>
      <c r="E6603" s="2">
        <v>3</v>
      </c>
      <c r="F6603" s="2" t="s">
        <v>10086</v>
      </c>
      <c r="H6603" s="2">
        <v>1.1000000000000001E-3</v>
      </c>
      <c r="K6603" s="2" t="s">
        <v>10087</v>
      </c>
    </row>
    <row r="6604" spans="1:11" x14ac:dyDescent="0.2">
      <c r="A6604" s="2">
        <v>1652</v>
      </c>
      <c r="B6604" s="2">
        <v>11</v>
      </c>
      <c r="C6604" s="2">
        <v>39329141</v>
      </c>
      <c r="D6604" s="2">
        <v>40362940</v>
      </c>
      <c r="E6604" s="2">
        <v>4</v>
      </c>
      <c r="F6604" s="2" t="s">
        <v>10086</v>
      </c>
      <c r="H6604" s="3">
        <v>2.9999999999999997E-4</v>
      </c>
      <c r="K6604" s="2" t="s">
        <v>10085</v>
      </c>
    </row>
    <row r="6605" spans="1:11" x14ac:dyDescent="0.2">
      <c r="A6605" s="2">
        <v>1653</v>
      </c>
      <c r="B6605" s="2">
        <v>11</v>
      </c>
      <c r="C6605" s="2">
        <v>40362941</v>
      </c>
      <c r="D6605" s="2">
        <v>41603195</v>
      </c>
      <c r="E6605" s="2">
        <v>1</v>
      </c>
      <c r="F6605" s="2" t="s">
        <v>10086</v>
      </c>
      <c r="H6605" s="2">
        <v>2.7000000000000001E-3</v>
      </c>
      <c r="K6605" s="2" t="s">
        <v>10085</v>
      </c>
    </row>
    <row r="6606" spans="1:11" x14ac:dyDescent="0.2">
      <c r="A6606" s="2">
        <v>1653</v>
      </c>
      <c r="B6606" s="2">
        <v>11</v>
      </c>
      <c r="C6606" s="2">
        <v>40362941</v>
      </c>
      <c r="D6606" s="2">
        <v>41603195</v>
      </c>
      <c r="E6606" s="2">
        <v>2</v>
      </c>
      <c r="F6606" s="2" t="s">
        <v>10086</v>
      </c>
      <c r="H6606" s="2">
        <v>1.6000000000000001E-3</v>
      </c>
      <c r="K6606" s="2" t="s">
        <v>10089</v>
      </c>
    </row>
    <row r="6607" spans="1:11" x14ac:dyDescent="0.2">
      <c r="A6607" s="2">
        <v>1653</v>
      </c>
      <c r="B6607" s="2">
        <v>11</v>
      </c>
      <c r="C6607" s="2">
        <v>40362941</v>
      </c>
      <c r="D6607" s="2">
        <v>41603195</v>
      </c>
      <c r="E6607" s="2">
        <v>3</v>
      </c>
      <c r="F6607" s="2" t="s">
        <v>10086</v>
      </c>
      <c r="H6607" s="2">
        <v>1.1999999999999999E-3</v>
      </c>
      <c r="K6607" s="2" t="s">
        <v>10087</v>
      </c>
    </row>
    <row r="6608" spans="1:11" x14ac:dyDescent="0.2">
      <c r="A6608" s="2">
        <v>1653</v>
      </c>
      <c r="B6608" s="2">
        <v>11</v>
      </c>
      <c r="C6608" s="2">
        <v>40362941</v>
      </c>
      <c r="D6608" s="2">
        <v>41603195</v>
      </c>
      <c r="E6608" s="2">
        <v>4</v>
      </c>
      <c r="F6608" s="2" t="s">
        <v>10086</v>
      </c>
      <c r="H6608" s="3">
        <v>4.0000000000000002E-4</v>
      </c>
      <c r="K6608" s="2" t="s">
        <v>10088</v>
      </c>
    </row>
    <row r="6609" spans="1:11" x14ac:dyDescent="0.2">
      <c r="A6609" s="2">
        <v>1654</v>
      </c>
      <c r="B6609" s="2">
        <v>11</v>
      </c>
      <c r="C6609" s="2">
        <v>41603196</v>
      </c>
      <c r="D6609" s="2">
        <v>42858197</v>
      </c>
      <c r="E6609" s="2">
        <v>1</v>
      </c>
      <c r="F6609" s="2" t="s">
        <v>10086</v>
      </c>
      <c r="H6609" s="2">
        <v>2.5000000000000001E-3</v>
      </c>
      <c r="K6609" s="2" t="s">
        <v>10087</v>
      </c>
    </row>
    <row r="6610" spans="1:11" x14ac:dyDescent="0.2">
      <c r="A6610" s="2">
        <v>1654</v>
      </c>
      <c r="B6610" s="2">
        <v>11</v>
      </c>
      <c r="C6610" s="2">
        <v>41603196</v>
      </c>
      <c r="D6610" s="2">
        <v>42858197</v>
      </c>
      <c r="E6610" s="2">
        <v>2</v>
      </c>
      <c r="F6610" s="2" t="s">
        <v>10086</v>
      </c>
      <c r="H6610" s="2">
        <v>1.5E-3</v>
      </c>
      <c r="K6610" s="2" t="s">
        <v>10085</v>
      </c>
    </row>
    <row r="6611" spans="1:11" x14ac:dyDescent="0.2">
      <c r="A6611" s="2">
        <v>1654</v>
      </c>
      <c r="B6611" s="2">
        <v>11</v>
      </c>
      <c r="C6611" s="2">
        <v>41603196</v>
      </c>
      <c r="D6611" s="2">
        <v>42858197</v>
      </c>
      <c r="E6611" s="2">
        <v>3</v>
      </c>
      <c r="F6611" s="2" t="s">
        <v>10086</v>
      </c>
      <c r="H6611" s="2">
        <v>1.5E-3</v>
      </c>
      <c r="K6611" s="2" t="s">
        <v>10089</v>
      </c>
    </row>
    <row r="6612" spans="1:11" x14ac:dyDescent="0.2">
      <c r="A6612" s="2">
        <v>1654</v>
      </c>
      <c r="B6612" s="2">
        <v>11</v>
      </c>
      <c r="C6612" s="2">
        <v>41603196</v>
      </c>
      <c r="D6612" s="2">
        <v>42858197</v>
      </c>
      <c r="E6612" s="2">
        <v>4</v>
      </c>
      <c r="F6612" s="2" t="s">
        <v>10086</v>
      </c>
      <c r="H6612" s="3">
        <v>5.9999999999999995E-4</v>
      </c>
      <c r="K6612" s="2" t="s">
        <v>10088</v>
      </c>
    </row>
    <row r="6613" spans="1:11" x14ac:dyDescent="0.2">
      <c r="A6613" s="2">
        <v>1655</v>
      </c>
      <c r="B6613" s="2">
        <v>11</v>
      </c>
      <c r="C6613" s="2">
        <v>42858198</v>
      </c>
      <c r="D6613" s="2">
        <v>43949377</v>
      </c>
      <c r="E6613" s="2">
        <v>1</v>
      </c>
      <c r="F6613" s="2" t="s">
        <v>10086</v>
      </c>
      <c r="H6613" s="2">
        <v>3.0999999999999999E-3</v>
      </c>
      <c r="K6613" s="2" t="s">
        <v>12324</v>
      </c>
    </row>
    <row r="6614" spans="1:11" x14ac:dyDescent="0.2">
      <c r="A6614" s="2">
        <v>1655</v>
      </c>
      <c r="B6614" s="2">
        <v>11</v>
      </c>
      <c r="C6614" s="2">
        <v>42858198</v>
      </c>
      <c r="D6614" s="2">
        <v>43949377</v>
      </c>
      <c r="E6614" s="2">
        <v>2</v>
      </c>
      <c r="F6614" s="2" t="s">
        <v>10086</v>
      </c>
      <c r="H6614" s="2">
        <v>1.1999999999999999E-3</v>
      </c>
      <c r="K6614" s="2" t="s">
        <v>10087</v>
      </c>
    </row>
    <row r="6615" spans="1:11" x14ac:dyDescent="0.2">
      <c r="A6615" s="2">
        <v>1655</v>
      </c>
      <c r="B6615" s="2">
        <v>11</v>
      </c>
      <c r="C6615" s="2">
        <v>42858198</v>
      </c>
      <c r="D6615" s="2">
        <v>43949377</v>
      </c>
      <c r="E6615" s="2">
        <v>3</v>
      </c>
      <c r="F6615" s="2" t="s">
        <v>10086</v>
      </c>
      <c r="H6615" s="3">
        <v>8.0000000000000004E-4</v>
      </c>
      <c r="K6615" s="2" t="s">
        <v>10085</v>
      </c>
    </row>
    <row r="6616" spans="1:11" x14ac:dyDescent="0.2">
      <c r="A6616" s="2">
        <v>1655</v>
      </c>
      <c r="B6616" s="2">
        <v>11</v>
      </c>
      <c r="C6616" s="2">
        <v>42858198</v>
      </c>
      <c r="D6616" s="2">
        <v>43949377</v>
      </c>
      <c r="E6616" s="2">
        <v>4</v>
      </c>
      <c r="F6616" s="2" t="s">
        <v>10086</v>
      </c>
      <c r="H6616" s="3">
        <v>8.0000000000000004E-4</v>
      </c>
      <c r="K6616" s="2" t="s">
        <v>10089</v>
      </c>
    </row>
    <row r="6617" spans="1:11" x14ac:dyDescent="0.2">
      <c r="A6617" s="2">
        <v>1656</v>
      </c>
      <c r="B6617" s="2">
        <v>11</v>
      </c>
      <c r="C6617" s="2">
        <v>43949378</v>
      </c>
      <c r="D6617" s="2">
        <v>45019559</v>
      </c>
      <c r="E6617" s="2">
        <v>1</v>
      </c>
      <c r="F6617" s="2" t="s">
        <v>10086</v>
      </c>
      <c r="H6617" s="2">
        <v>1.6999999999999999E-3</v>
      </c>
      <c r="K6617" s="2" t="s">
        <v>10088</v>
      </c>
    </row>
    <row r="6618" spans="1:11" x14ac:dyDescent="0.2">
      <c r="A6618" s="2">
        <v>1656</v>
      </c>
      <c r="B6618" s="2">
        <v>11</v>
      </c>
      <c r="C6618" s="2">
        <v>43949378</v>
      </c>
      <c r="D6618" s="2">
        <v>45019559</v>
      </c>
      <c r="E6618" s="2">
        <v>2</v>
      </c>
      <c r="F6618" s="2" t="s">
        <v>10086</v>
      </c>
      <c r="H6618" s="2">
        <v>1.6999999999999999E-3</v>
      </c>
      <c r="K6618" s="2" t="s">
        <v>10085</v>
      </c>
    </row>
    <row r="6619" spans="1:11" x14ac:dyDescent="0.2">
      <c r="A6619" s="2">
        <v>1656</v>
      </c>
      <c r="B6619" s="2">
        <v>11</v>
      </c>
      <c r="C6619" s="2">
        <v>43949378</v>
      </c>
      <c r="D6619" s="2">
        <v>45019559</v>
      </c>
      <c r="E6619" s="2">
        <v>3</v>
      </c>
      <c r="F6619" s="2" t="s">
        <v>10086</v>
      </c>
      <c r="H6619" s="2">
        <v>1E-3</v>
      </c>
      <c r="K6619" s="2" t="s">
        <v>10087</v>
      </c>
    </row>
    <row r="6620" spans="1:11" x14ac:dyDescent="0.2">
      <c r="A6620" s="2">
        <v>1656</v>
      </c>
      <c r="B6620" s="2">
        <v>11</v>
      </c>
      <c r="C6620" s="2">
        <v>43949378</v>
      </c>
      <c r="D6620" s="2">
        <v>45019559</v>
      </c>
      <c r="E6620" s="2">
        <v>4</v>
      </c>
      <c r="F6620" s="2" t="s">
        <v>10086</v>
      </c>
      <c r="H6620" s="3">
        <v>6.9999999999999999E-4</v>
      </c>
      <c r="K6620" s="2" t="s">
        <v>10089</v>
      </c>
    </row>
    <row r="6621" spans="1:11" x14ac:dyDescent="0.2">
      <c r="A6621" s="2">
        <v>1657</v>
      </c>
      <c r="B6621" s="2">
        <v>11</v>
      </c>
      <c r="C6621" s="2">
        <v>45019560</v>
      </c>
      <c r="D6621" s="2">
        <v>46316005</v>
      </c>
      <c r="E6621" s="2">
        <v>1</v>
      </c>
      <c r="F6621" s="2" t="s">
        <v>10086</v>
      </c>
      <c r="H6621" s="2">
        <v>2E-3</v>
      </c>
      <c r="K6621" s="2" t="s">
        <v>12324</v>
      </c>
    </row>
    <row r="6622" spans="1:11" x14ac:dyDescent="0.2">
      <c r="A6622" s="2">
        <v>1657</v>
      </c>
      <c r="B6622" s="2">
        <v>11</v>
      </c>
      <c r="C6622" s="2">
        <v>45019560</v>
      </c>
      <c r="D6622" s="2">
        <v>46316005</v>
      </c>
      <c r="E6622" s="2">
        <v>2</v>
      </c>
      <c r="F6622" s="2" t="s">
        <v>10086</v>
      </c>
      <c r="H6622" s="2">
        <v>3.8999999999999998E-3</v>
      </c>
      <c r="K6622" s="2" t="s">
        <v>10087</v>
      </c>
    </row>
    <row r="6623" spans="1:11" x14ac:dyDescent="0.2">
      <c r="A6623" s="2">
        <v>1657</v>
      </c>
      <c r="B6623" s="2">
        <v>11</v>
      </c>
      <c r="C6623" s="2">
        <v>45019560</v>
      </c>
      <c r="D6623" s="2">
        <v>46316005</v>
      </c>
      <c r="E6623" s="2">
        <v>3</v>
      </c>
      <c r="F6623" s="2" t="s">
        <v>10086</v>
      </c>
      <c r="H6623" s="2">
        <v>1.5E-3</v>
      </c>
      <c r="K6623" s="2" t="s">
        <v>10088</v>
      </c>
    </row>
    <row r="6624" spans="1:11" x14ac:dyDescent="0.2">
      <c r="A6624" s="2">
        <v>1657</v>
      </c>
      <c r="B6624" s="2">
        <v>11</v>
      </c>
      <c r="C6624" s="2">
        <v>45019560</v>
      </c>
      <c r="D6624" s="2">
        <v>46316005</v>
      </c>
      <c r="E6624" s="2">
        <v>4</v>
      </c>
      <c r="F6624" s="2" t="s">
        <v>10086</v>
      </c>
      <c r="H6624" s="2">
        <v>1.1000000000000001E-3</v>
      </c>
      <c r="K6624" s="2" t="s">
        <v>10089</v>
      </c>
    </row>
    <row r="6625" spans="1:11" x14ac:dyDescent="0.2">
      <c r="A6625" s="2">
        <v>1658</v>
      </c>
      <c r="B6625" s="2">
        <v>11</v>
      </c>
      <c r="C6625" s="2">
        <v>46316006</v>
      </c>
      <c r="D6625" s="2">
        <v>48066366</v>
      </c>
      <c r="E6625" s="2">
        <v>1</v>
      </c>
      <c r="F6625" s="2" t="s">
        <v>10086</v>
      </c>
      <c r="H6625" s="2">
        <v>7.9000000000000008E-3</v>
      </c>
      <c r="K6625" s="2" t="s">
        <v>12324</v>
      </c>
    </row>
    <row r="6626" spans="1:11" x14ac:dyDescent="0.2">
      <c r="A6626" s="2">
        <v>1658</v>
      </c>
      <c r="B6626" s="2">
        <v>11</v>
      </c>
      <c r="C6626" s="2">
        <v>46316006</v>
      </c>
      <c r="D6626" s="2">
        <v>48066366</v>
      </c>
      <c r="E6626" s="2">
        <v>2</v>
      </c>
      <c r="F6626" s="2" t="s">
        <v>10086</v>
      </c>
      <c r="H6626" s="2">
        <v>9.1000000000000004E-3</v>
      </c>
      <c r="K6626" s="2" t="s">
        <v>10087</v>
      </c>
    </row>
    <row r="6627" spans="1:11" x14ac:dyDescent="0.2">
      <c r="A6627" s="2">
        <v>1658</v>
      </c>
      <c r="B6627" s="2">
        <v>11</v>
      </c>
      <c r="C6627" s="2">
        <v>46316006</v>
      </c>
      <c r="D6627" s="2">
        <v>48066366</v>
      </c>
      <c r="E6627" s="2">
        <v>3</v>
      </c>
      <c r="F6627" s="2" t="s">
        <v>10086</v>
      </c>
      <c r="H6627" s="2">
        <v>1.6000000000000001E-3</v>
      </c>
      <c r="K6627" s="2" t="s">
        <v>10089</v>
      </c>
    </row>
    <row r="6628" spans="1:11" x14ac:dyDescent="0.2">
      <c r="A6628" s="2">
        <v>1658</v>
      </c>
      <c r="B6628" s="2">
        <v>11</v>
      </c>
      <c r="C6628" s="2">
        <v>46316006</v>
      </c>
      <c r="D6628" s="2">
        <v>48066366</v>
      </c>
      <c r="E6628" s="2">
        <v>4</v>
      </c>
      <c r="F6628" s="2" t="s">
        <v>10086</v>
      </c>
      <c r="H6628" s="3">
        <v>6.9999999999999999E-4</v>
      </c>
      <c r="K6628" s="2" t="s">
        <v>10085</v>
      </c>
    </row>
    <row r="6629" spans="1:11" x14ac:dyDescent="0.2">
      <c r="A6629" s="2">
        <v>1659</v>
      </c>
      <c r="B6629" s="2">
        <v>11</v>
      </c>
      <c r="C6629" s="2">
        <v>48066367</v>
      </c>
      <c r="D6629" s="2">
        <v>48765366</v>
      </c>
      <c r="E6629" s="2">
        <v>1</v>
      </c>
      <c r="F6629" s="2" t="s">
        <v>10086</v>
      </c>
      <c r="H6629" s="2">
        <v>9.5999999999999992E-3</v>
      </c>
      <c r="K6629" s="2" t="s">
        <v>12324</v>
      </c>
    </row>
    <row r="6630" spans="1:11" x14ac:dyDescent="0.2">
      <c r="A6630" s="2">
        <v>1659</v>
      </c>
      <c r="B6630" s="2">
        <v>11</v>
      </c>
      <c r="C6630" s="2">
        <v>48066367</v>
      </c>
      <c r="D6630" s="2">
        <v>48765366</v>
      </c>
      <c r="E6630" s="2">
        <v>2</v>
      </c>
      <c r="F6630" s="2" t="s">
        <v>10086</v>
      </c>
      <c r="H6630" s="2">
        <v>3.0999999999999999E-3</v>
      </c>
      <c r="K6630" s="2" t="s">
        <v>10087</v>
      </c>
    </row>
    <row r="6631" spans="1:11" x14ac:dyDescent="0.2">
      <c r="A6631" s="2">
        <v>1659</v>
      </c>
      <c r="B6631" s="2">
        <v>11</v>
      </c>
      <c r="C6631" s="2">
        <v>48066367</v>
      </c>
      <c r="D6631" s="2">
        <v>48765366</v>
      </c>
      <c r="E6631" s="2">
        <v>3</v>
      </c>
      <c r="F6631" s="2" t="s">
        <v>10086</v>
      </c>
      <c r="H6631" s="3">
        <v>5.9999999999999995E-4</v>
      </c>
      <c r="K6631" s="2" t="s">
        <v>10089</v>
      </c>
    </row>
    <row r="6632" spans="1:11" x14ac:dyDescent="0.2">
      <c r="A6632" s="2">
        <v>1659</v>
      </c>
      <c r="B6632" s="2">
        <v>11</v>
      </c>
      <c r="C6632" s="2">
        <v>48066367</v>
      </c>
      <c r="D6632" s="2">
        <v>48765366</v>
      </c>
      <c r="E6632" s="2">
        <v>4</v>
      </c>
      <c r="F6632" s="2" t="s">
        <v>10086</v>
      </c>
      <c r="H6632" s="3">
        <v>4.0000000000000002E-4</v>
      </c>
      <c r="K6632" s="2" t="s">
        <v>10085</v>
      </c>
    </row>
    <row r="6633" spans="1:11" x14ac:dyDescent="0.2">
      <c r="A6633" s="2">
        <v>1660</v>
      </c>
      <c r="B6633" s="2">
        <v>11</v>
      </c>
      <c r="C6633" s="2">
        <v>48765367</v>
      </c>
      <c r="D6633" s="2">
        <v>49386071</v>
      </c>
      <c r="E6633" s="2">
        <v>1</v>
      </c>
      <c r="F6633" s="2" t="s">
        <v>10086</v>
      </c>
      <c r="H6633" s="2">
        <v>5.4000000000000003E-3</v>
      </c>
      <c r="K6633" s="2" t="s">
        <v>12324</v>
      </c>
    </row>
    <row r="6634" spans="1:11" x14ac:dyDescent="0.2">
      <c r="A6634" s="2">
        <v>1660</v>
      </c>
      <c r="B6634" s="2">
        <v>11</v>
      </c>
      <c r="C6634" s="2">
        <v>48765367</v>
      </c>
      <c r="D6634" s="2">
        <v>49386071</v>
      </c>
      <c r="E6634" s="2">
        <v>2</v>
      </c>
      <c r="F6634" s="2" t="s">
        <v>10086</v>
      </c>
      <c r="H6634" s="2">
        <v>3.0000000000000001E-3</v>
      </c>
      <c r="K6634" s="2" t="s">
        <v>10087</v>
      </c>
    </row>
    <row r="6635" spans="1:11" x14ac:dyDescent="0.2">
      <c r="A6635" s="2">
        <v>1660</v>
      </c>
      <c r="B6635" s="2">
        <v>11</v>
      </c>
      <c r="C6635" s="2">
        <v>48765367</v>
      </c>
      <c r="D6635" s="2">
        <v>49386071</v>
      </c>
      <c r="E6635" s="2">
        <v>3</v>
      </c>
      <c r="F6635" s="2" t="s">
        <v>10086</v>
      </c>
      <c r="H6635" s="3">
        <v>5.9999999999999995E-4</v>
      </c>
      <c r="K6635" s="2" t="s">
        <v>10085</v>
      </c>
    </row>
    <row r="6636" spans="1:11" x14ac:dyDescent="0.2">
      <c r="A6636" s="2">
        <v>1660</v>
      </c>
      <c r="B6636" s="2">
        <v>11</v>
      </c>
      <c r="C6636" s="2">
        <v>48765367</v>
      </c>
      <c r="D6636" s="2">
        <v>49386071</v>
      </c>
      <c r="E6636" s="2">
        <v>4</v>
      </c>
      <c r="F6636" s="2" t="s">
        <v>10086</v>
      </c>
      <c r="H6636" s="3">
        <v>4.0000000000000002E-4</v>
      </c>
      <c r="K6636" s="2" t="s">
        <v>10089</v>
      </c>
    </row>
    <row r="6637" spans="1:11" x14ac:dyDescent="0.2">
      <c r="A6637" s="2">
        <v>1661</v>
      </c>
      <c r="B6637" s="2">
        <v>11</v>
      </c>
      <c r="C6637" s="2">
        <v>49386072</v>
      </c>
      <c r="D6637" s="2">
        <v>50217008</v>
      </c>
      <c r="E6637" s="2">
        <v>1</v>
      </c>
      <c r="F6637" s="2" t="s">
        <v>10086</v>
      </c>
      <c r="H6637" s="2">
        <v>1.6000000000000001E-3</v>
      </c>
      <c r="K6637" s="2" t="s">
        <v>10087</v>
      </c>
    </row>
    <row r="6638" spans="1:11" x14ac:dyDescent="0.2">
      <c r="A6638" s="2">
        <v>1661</v>
      </c>
      <c r="B6638" s="2">
        <v>11</v>
      </c>
      <c r="C6638" s="2">
        <v>49386072</v>
      </c>
      <c r="D6638" s="2">
        <v>50217008</v>
      </c>
      <c r="E6638" s="2">
        <v>2</v>
      </c>
      <c r="F6638" s="2" t="s">
        <v>10086</v>
      </c>
      <c r="H6638" s="3">
        <v>8.9999999999999998E-4</v>
      </c>
      <c r="K6638" s="2" t="s">
        <v>12324</v>
      </c>
    </row>
    <row r="6639" spans="1:11" x14ac:dyDescent="0.2">
      <c r="A6639" s="2">
        <v>1661</v>
      </c>
      <c r="B6639" s="2">
        <v>11</v>
      </c>
      <c r="C6639" s="2">
        <v>49386072</v>
      </c>
      <c r="D6639" s="2">
        <v>50217008</v>
      </c>
      <c r="E6639" s="2">
        <v>3</v>
      </c>
      <c r="F6639" s="2" t="s">
        <v>10086</v>
      </c>
      <c r="H6639" s="3">
        <v>5.0000000000000001E-4</v>
      </c>
      <c r="K6639" s="2" t="s">
        <v>10089</v>
      </c>
    </row>
    <row r="6640" spans="1:11" x14ac:dyDescent="0.2">
      <c r="A6640" s="2">
        <v>1661</v>
      </c>
      <c r="B6640" s="2">
        <v>11</v>
      </c>
      <c r="C6640" s="2">
        <v>49386072</v>
      </c>
      <c r="D6640" s="2">
        <v>50217008</v>
      </c>
      <c r="E6640" s="2">
        <v>4</v>
      </c>
      <c r="F6640" s="2" t="s">
        <v>10086</v>
      </c>
      <c r="H6640" s="3">
        <v>4.0000000000000002E-4</v>
      </c>
      <c r="K6640" s="2" t="s">
        <v>10085</v>
      </c>
    </row>
    <row r="6641" spans="1:11" x14ac:dyDescent="0.2">
      <c r="A6641" s="2">
        <v>1662</v>
      </c>
      <c r="B6641" s="2">
        <v>11</v>
      </c>
      <c r="C6641" s="2">
        <v>50217009</v>
      </c>
      <c r="D6641" s="2">
        <v>51098366</v>
      </c>
      <c r="E6641" s="2">
        <v>1</v>
      </c>
      <c r="F6641" s="2" t="s">
        <v>10086</v>
      </c>
      <c r="H6641" s="2">
        <v>2.5000000000000001E-3</v>
      </c>
      <c r="K6641" s="2" t="s">
        <v>12324</v>
      </c>
    </row>
    <row r="6642" spans="1:11" x14ac:dyDescent="0.2">
      <c r="A6642" s="2">
        <v>1662</v>
      </c>
      <c r="B6642" s="2">
        <v>11</v>
      </c>
      <c r="C6642" s="2">
        <v>50217009</v>
      </c>
      <c r="D6642" s="2">
        <v>51098366</v>
      </c>
      <c r="E6642" s="2">
        <v>2</v>
      </c>
      <c r="F6642" s="2" t="s">
        <v>10086</v>
      </c>
      <c r="H6642" s="2">
        <v>1.4E-3</v>
      </c>
      <c r="K6642" s="2" t="s">
        <v>10087</v>
      </c>
    </row>
    <row r="6643" spans="1:11" x14ac:dyDescent="0.2">
      <c r="A6643" s="2">
        <v>1662</v>
      </c>
      <c r="B6643" s="2">
        <v>11</v>
      </c>
      <c r="C6643" s="2">
        <v>50217009</v>
      </c>
      <c r="D6643" s="2">
        <v>51098366</v>
      </c>
      <c r="E6643" s="2">
        <v>3</v>
      </c>
      <c r="F6643" s="2" t="s">
        <v>10086</v>
      </c>
      <c r="H6643" s="3">
        <v>5.0000000000000001E-4</v>
      </c>
      <c r="K6643" s="2" t="s">
        <v>10089</v>
      </c>
    </row>
    <row r="6644" spans="1:11" x14ac:dyDescent="0.2">
      <c r="A6644" s="2">
        <v>1662</v>
      </c>
      <c r="B6644" s="2">
        <v>11</v>
      </c>
      <c r="C6644" s="2">
        <v>50217009</v>
      </c>
      <c r="D6644" s="2">
        <v>51098366</v>
      </c>
      <c r="E6644" s="2">
        <v>4</v>
      </c>
      <c r="F6644" s="2" t="s">
        <v>10086</v>
      </c>
      <c r="H6644" s="3">
        <v>4.0000000000000002E-4</v>
      </c>
      <c r="K6644" s="2" t="s">
        <v>10085</v>
      </c>
    </row>
    <row r="6645" spans="1:11" x14ac:dyDescent="0.2">
      <c r="A6645" s="2">
        <v>1663</v>
      </c>
      <c r="B6645" s="2">
        <v>11</v>
      </c>
      <c r="C6645" s="2">
        <v>51098367</v>
      </c>
      <c r="D6645" s="2">
        <v>51581595</v>
      </c>
      <c r="E6645" s="2">
        <v>1</v>
      </c>
      <c r="F6645" s="2" t="s">
        <v>10086</v>
      </c>
      <c r="H6645" s="2">
        <v>3.0000000000000001E-3</v>
      </c>
      <c r="K6645" s="2" t="s">
        <v>12324</v>
      </c>
    </row>
    <row r="6646" spans="1:11" x14ac:dyDescent="0.2">
      <c r="A6646" s="2">
        <v>1663</v>
      </c>
      <c r="B6646" s="2">
        <v>11</v>
      </c>
      <c r="C6646" s="2">
        <v>51098367</v>
      </c>
      <c r="D6646" s="2">
        <v>51581595</v>
      </c>
      <c r="E6646" s="2">
        <v>2</v>
      </c>
      <c r="F6646" s="2" t="s">
        <v>10086</v>
      </c>
      <c r="H6646" s="2">
        <v>1.9E-3</v>
      </c>
      <c r="K6646" s="2" t="s">
        <v>10087</v>
      </c>
    </row>
    <row r="6647" spans="1:11" x14ac:dyDescent="0.2">
      <c r="A6647" s="2">
        <v>1663</v>
      </c>
      <c r="B6647" s="2">
        <v>11</v>
      </c>
      <c r="C6647" s="2">
        <v>51098367</v>
      </c>
      <c r="D6647" s="2">
        <v>51581595</v>
      </c>
      <c r="E6647" s="2">
        <v>3</v>
      </c>
      <c r="F6647" s="2" t="s">
        <v>10086</v>
      </c>
      <c r="H6647" s="3">
        <v>5.0000000000000001E-4</v>
      </c>
      <c r="K6647" s="2" t="s">
        <v>10089</v>
      </c>
    </row>
    <row r="6648" spans="1:11" x14ac:dyDescent="0.2">
      <c r="A6648" s="2">
        <v>1663</v>
      </c>
      <c r="B6648" s="2">
        <v>11</v>
      </c>
      <c r="C6648" s="2">
        <v>51098367</v>
      </c>
      <c r="D6648" s="2">
        <v>51581595</v>
      </c>
      <c r="E6648" s="2">
        <v>4</v>
      </c>
      <c r="F6648" s="2" t="s">
        <v>10086</v>
      </c>
      <c r="H6648" s="3">
        <v>4.0000000000000002E-4</v>
      </c>
      <c r="K6648" s="2" t="s">
        <v>10088</v>
      </c>
    </row>
    <row r="6649" spans="1:11" x14ac:dyDescent="0.2">
      <c r="A6649" s="2">
        <v>1664</v>
      </c>
      <c r="B6649" s="2">
        <v>11</v>
      </c>
      <c r="C6649" s="2">
        <v>51581596</v>
      </c>
      <c r="D6649" s="2">
        <v>55477633</v>
      </c>
      <c r="E6649" s="2">
        <v>1</v>
      </c>
      <c r="F6649" s="2" t="s">
        <v>10086</v>
      </c>
      <c r="H6649" s="2">
        <v>2.8199999999999999E-2</v>
      </c>
      <c r="K6649" s="2" t="s">
        <v>10089</v>
      </c>
    </row>
    <row r="6650" spans="1:11" x14ac:dyDescent="0.2">
      <c r="A6650" s="2">
        <v>1664</v>
      </c>
      <c r="B6650" s="2">
        <v>11</v>
      </c>
      <c r="C6650" s="2">
        <v>51581596</v>
      </c>
      <c r="D6650" s="2">
        <v>55477633</v>
      </c>
      <c r="E6650" s="2">
        <v>2</v>
      </c>
      <c r="F6650" s="2" t="s">
        <v>10086</v>
      </c>
      <c r="H6650" s="2">
        <v>2E-3</v>
      </c>
      <c r="K6650" s="2" t="s">
        <v>12324</v>
      </c>
    </row>
    <row r="6651" spans="1:11" x14ac:dyDescent="0.2">
      <c r="A6651" s="2">
        <v>1664</v>
      </c>
      <c r="B6651" s="2">
        <v>11</v>
      </c>
      <c r="C6651" s="2">
        <v>51581596</v>
      </c>
      <c r="D6651" s="2">
        <v>55477633</v>
      </c>
      <c r="E6651" s="2">
        <v>3</v>
      </c>
      <c r="F6651" s="2" t="s">
        <v>10086</v>
      </c>
      <c r="H6651" s="3">
        <v>8.0000000000000004E-4</v>
      </c>
      <c r="K6651" s="2" t="s">
        <v>10087</v>
      </c>
    </row>
    <row r="6652" spans="1:11" x14ac:dyDescent="0.2">
      <c r="A6652" s="2">
        <v>1664</v>
      </c>
      <c r="B6652" s="2">
        <v>11</v>
      </c>
      <c r="C6652" s="2">
        <v>51581596</v>
      </c>
      <c r="D6652" s="2">
        <v>55477633</v>
      </c>
      <c r="E6652" s="2">
        <v>4</v>
      </c>
      <c r="F6652" s="2" t="s">
        <v>10086</v>
      </c>
      <c r="H6652" s="3">
        <v>5.9999999999999995E-4</v>
      </c>
      <c r="K6652" s="2" t="s">
        <v>10085</v>
      </c>
    </row>
    <row r="6653" spans="1:11" x14ac:dyDescent="0.2">
      <c r="A6653" s="2">
        <v>1665</v>
      </c>
      <c r="B6653" s="2">
        <v>11</v>
      </c>
      <c r="C6653" s="2">
        <v>55477634</v>
      </c>
      <c r="D6653" s="2">
        <v>55947452</v>
      </c>
      <c r="E6653" s="2">
        <v>1</v>
      </c>
      <c r="F6653" s="2" t="s">
        <v>10086</v>
      </c>
      <c r="H6653" s="2">
        <v>1.2E-2</v>
      </c>
      <c r="K6653" s="2" t="s">
        <v>10089</v>
      </c>
    </row>
    <row r="6654" spans="1:11" x14ac:dyDescent="0.2">
      <c r="A6654" s="2">
        <v>1665</v>
      </c>
      <c r="B6654" s="2">
        <v>11</v>
      </c>
      <c r="C6654" s="2">
        <v>55477634</v>
      </c>
      <c r="D6654" s="2">
        <v>55947452</v>
      </c>
      <c r="E6654" s="2">
        <v>2</v>
      </c>
      <c r="F6654" s="2" t="s">
        <v>10086</v>
      </c>
      <c r="H6654" s="2">
        <v>2.3999999999999998E-3</v>
      </c>
      <c r="K6654" s="2" t="s">
        <v>12324</v>
      </c>
    </row>
    <row r="6655" spans="1:11" x14ac:dyDescent="0.2">
      <c r="A6655" s="2">
        <v>1665</v>
      </c>
      <c r="B6655" s="2">
        <v>11</v>
      </c>
      <c r="C6655" s="2">
        <v>55477634</v>
      </c>
      <c r="D6655" s="2">
        <v>55947452</v>
      </c>
      <c r="E6655" s="2">
        <v>3</v>
      </c>
      <c r="F6655" s="2" t="s">
        <v>10086</v>
      </c>
      <c r="H6655" s="3">
        <v>4.0000000000000002E-4</v>
      </c>
      <c r="K6655" s="2" t="s">
        <v>10087</v>
      </c>
    </row>
    <row r="6656" spans="1:11" x14ac:dyDescent="0.2">
      <c r="A6656" s="2">
        <v>1665</v>
      </c>
      <c r="B6656" s="2">
        <v>11</v>
      </c>
      <c r="C6656" s="2">
        <v>55477634</v>
      </c>
      <c r="D6656" s="2">
        <v>55947452</v>
      </c>
      <c r="E6656" s="2">
        <v>4</v>
      </c>
      <c r="F6656" s="2" t="s">
        <v>10086</v>
      </c>
      <c r="H6656" s="3">
        <v>4.0000000000000002E-4</v>
      </c>
      <c r="K6656" s="2" t="s">
        <v>10085</v>
      </c>
    </row>
    <row r="6657" spans="1:11" x14ac:dyDescent="0.2">
      <c r="A6657" s="2">
        <v>1666</v>
      </c>
      <c r="B6657" s="2">
        <v>11</v>
      </c>
      <c r="C6657" s="2">
        <v>55947453</v>
      </c>
      <c r="D6657" s="2">
        <v>56623494</v>
      </c>
      <c r="E6657" s="2">
        <v>1</v>
      </c>
      <c r="F6657" s="2" t="s">
        <v>10086</v>
      </c>
      <c r="H6657" s="2">
        <v>3.0000000000000001E-3</v>
      </c>
      <c r="K6657" s="2" t="s">
        <v>10089</v>
      </c>
    </row>
    <row r="6658" spans="1:11" x14ac:dyDescent="0.2">
      <c r="A6658" s="2">
        <v>1666</v>
      </c>
      <c r="B6658" s="2">
        <v>11</v>
      </c>
      <c r="C6658" s="2">
        <v>55947453</v>
      </c>
      <c r="D6658" s="2">
        <v>56623494</v>
      </c>
      <c r="E6658" s="2">
        <v>2</v>
      </c>
      <c r="F6658" s="2" t="s">
        <v>10086</v>
      </c>
      <c r="H6658" s="2">
        <v>1.9E-3</v>
      </c>
      <c r="K6658" s="2" t="s">
        <v>12324</v>
      </c>
    </row>
    <row r="6659" spans="1:11" x14ac:dyDescent="0.2">
      <c r="A6659" s="2">
        <v>1666</v>
      </c>
      <c r="B6659" s="2">
        <v>11</v>
      </c>
      <c r="C6659" s="2">
        <v>55947453</v>
      </c>
      <c r="D6659" s="2">
        <v>56623494</v>
      </c>
      <c r="E6659" s="2">
        <v>3</v>
      </c>
      <c r="F6659" s="2" t="s">
        <v>10086</v>
      </c>
      <c r="H6659" s="3">
        <v>4.0000000000000002E-4</v>
      </c>
      <c r="K6659" s="2" t="s">
        <v>10087</v>
      </c>
    </row>
    <row r="6660" spans="1:11" x14ac:dyDescent="0.2">
      <c r="A6660" s="2">
        <v>1666</v>
      </c>
      <c r="B6660" s="2">
        <v>11</v>
      </c>
      <c r="C6660" s="2">
        <v>55947453</v>
      </c>
      <c r="D6660" s="2">
        <v>56623494</v>
      </c>
      <c r="E6660" s="2">
        <v>4</v>
      </c>
      <c r="F6660" s="2" t="s">
        <v>10086</v>
      </c>
      <c r="H6660" s="3">
        <v>2.9999999999999997E-4</v>
      </c>
      <c r="K6660" s="2" t="s">
        <v>10085</v>
      </c>
    </row>
    <row r="6661" spans="1:11" x14ac:dyDescent="0.2">
      <c r="A6661" s="2">
        <v>1667</v>
      </c>
      <c r="B6661" s="2">
        <v>11</v>
      </c>
      <c r="C6661" s="2">
        <v>56623495</v>
      </c>
      <c r="D6661" s="2">
        <v>57675986</v>
      </c>
      <c r="E6661" s="2">
        <v>1</v>
      </c>
      <c r="F6661" s="2" t="s">
        <v>10086</v>
      </c>
      <c r="H6661" s="2">
        <v>1.8E-3</v>
      </c>
      <c r="K6661" s="2" t="s">
        <v>10085</v>
      </c>
    </row>
    <row r="6662" spans="1:11" x14ac:dyDescent="0.2">
      <c r="A6662" s="2">
        <v>1667</v>
      </c>
      <c r="B6662" s="2">
        <v>11</v>
      </c>
      <c r="C6662" s="2">
        <v>56623495</v>
      </c>
      <c r="D6662" s="2">
        <v>57675986</v>
      </c>
      <c r="E6662" s="2">
        <v>2</v>
      </c>
      <c r="F6662" s="2" t="s">
        <v>10086</v>
      </c>
      <c r="H6662" s="2">
        <v>1.6999999999999999E-3</v>
      </c>
      <c r="K6662" s="2" t="s">
        <v>10089</v>
      </c>
    </row>
    <row r="6663" spans="1:11" x14ac:dyDescent="0.2">
      <c r="A6663" s="2">
        <v>1667</v>
      </c>
      <c r="B6663" s="2">
        <v>11</v>
      </c>
      <c r="C6663" s="2">
        <v>56623495</v>
      </c>
      <c r="D6663" s="2">
        <v>57675986</v>
      </c>
      <c r="E6663" s="2">
        <v>3</v>
      </c>
      <c r="F6663" s="2" t="s">
        <v>10086</v>
      </c>
      <c r="H6663" s="2">
        <v>1.2999999999999999E-3</v>
      </c>
      <c r="K6663" s="2" t="s">
        <v>10087</v>
      </c>
    </row>
    <row r="6664" spans="1:11" x14ac:dyDescent="0.2">
      <c r="A6664" s="2">
        <v>1667</v>
      </c>
      <c r="B6664" s="2">
        <v>11</v>
      </c>
      <c r="C6664" s="2">
        <v>56623495</v>
      </c>
      <c r="D6664" s="2">
        <v>57675986</v>
      </c>
      <c r="E6664" s="2">
        <v>4</v>
      </c>
      <c r="F6664" s="2" t="s">
        <v>10086</v>
      </c>
      <c r="H6664" s="3">
        <v>5.0000000000000001E-4</v>
      </c>
      <c r="K6664" s="2" t="s">
        <v>12324</v>
      </c>
    </row>
    <row r="6665" spans="1:11" x14ac:dyDescent="0.2">
      <c r="A6665" s="2">
        <v>1668</v>
      </c>
      <c r="B6665" s="2">
        <v>11</v>
      </c>
      <c r="C6665" s="2">
        <v>57675987</v>
      </c>
      <c r="D6665" s="2">
        <v>58452708</v>
      </c>
      <c r="E6665" s="2">
        <v>1</v>
      </c>
      <c r="F6665" s="2" t="s">
        <v>10086</v>
      </c>
      <c r="H6665" s="2">
        <v>1.66E-2</v>
      </c>
      <c r="K6665" s="2" t="s">
        <v>10089</v>
      </c>
    </row>
    <row r="6666" spans="1:11" x14ac:dyDescent="0.2">
      <c r="A6666" s="2">
        <v>1668</v>
      </c>
      <c r="B6666" s="2">
        <v>11</v>
      </c>
      <c r="C6666" s="2">
        <v>57675987</v>
      </c>
      <c r="D6666" s="2">
        <v>58452708</v>
      </c>
      <c r="E6666" s="2">
        <v>2</v>
      </c>
      <c r="F6666" s="2" t="s">
        <v>10086</v>
      </c>
      <c r="H6666" s="2">
        <v>1E-3</v>
      </c>
      <c r="K6666" s="2" t="s">
        <v>10087</v>
      </c>
    </row>
    <row r="6667" spans="1:11" x14ac:dyDescent="0.2">
      <c r="A6667" s="2">
        <v>1668</v>
      </c>
      <c r="B6667" s="2">
        <v>11</v>
      </c>
      <c r="C6667" s="2">
        <v>57675987</v>
      </c>
      <c r="D6667" s="2">
        <v>58452708</v>
      </c>
      <c r="E6667" s="2">
        <v>3</v>
      </c>
      <c r="F6667" s="2" t="s">
        <v>10086</v>
      </c>
      <c r="H6667" s="3">
        <v>5.9999999999999995E-4</v>
      </c>
      <c r="K6667" s="2" t="s">
        <v>10085</v>
      </c>
    </row>
    <row r="6668" spans="1:11" x14ac:dyDescent="0.2">
      <c r="A6668" s="2">
        <v>1668</v>
      </c>
      <c r="B6668" s="2">
        <v>11</v>
      </c>
      <c r="C6668" s="2">
        <v>57675987</v>
      </c>
      <c r="D6668" s="2">
        <v>58452708</v>
      </c>
      <c r="E6668" s="2">
        <v>4</v>
      </c>
      <c r="F6668" s="2" t="s">
        <v>10086</v>
      </c>
      <c r="H6668" s="3">
        <v>2.0000000000000001E-4</v>
      </c>
      <c r="K6668" s="2" t="s">
        <v>10088</v>
      </c>
    </row>
    <row r="6669" spans="1:11" x14ac:dyDescent="0.2">
      <c r="A6669" s="2">
        <v>1669</v>
      </c>
      <c r="B6669" s="2">
        <v>11</v>
      </c>
      <c r="C6669" s="2">
        <v>58452709</v>
      </c>
      <c r="D6669" s="2">
        <v>59256232</v>
      </c>
      <c r="E6669" s="2">
        <v>1</v>
      </c>
      <c r="F6669" s="2" t="s">
        <v>10086</v>
      </c>
      <c r="H6669" s="2">
        <v>3.2000000000000002E-3</v>
      </c>
      <c r="K6669" s="2" t="s">
        <v>10085</v>
      </c>
    </row>
    <row r="6670" spans="1:11" x14ac:dyDescent="0.2">
      <c r="A6670" s="2">
        <v>1669</v>
      </c>
      <c r="B6670" s="2">
        <v>11</v>
      </c>
      <c r="C6670" s="2">
        <v>58452709</v>
      </c>
      <c r="D6670" s="2">
        <v>59256232</v>
      </c>
      <c r="E6670" s="2">
        <v>2</v>
      </c>
      <c r="F6670" s="2" t="s">
        <v>10086</v>
      </c>
      <c r="H6670" s="2">
        <v>2.2000000000000001E-3</v>
      </c>
      <c r="K6670" s="2" t="s">
        <v>10088</v>
      </c>
    </row>
    <row r="6671" spans="1:11" x14ac:dyDescent="0.2">
      <c r="A6671" s="2">
        <v>1669</v>
      </c>
      <c r="B6671" s="2">
        <v>11</v>
      </c>
      <c r="C6671" s="2">
        <v>58452709</v>
      </c>
      <c r="D6671" s="2">
        <v>59256232</v>
      </c>
      <c r="E6671" s="2">
        <v>3</v>
      </c>
      <c r="F6671" s="2" t="s">
        <v>10086</v>
      </c>
      <c r="H6671" s="2">
        <v>1E-3</v>
      </c>
      <c r="K6671" s="2" t="s">
        <v>10087</v>
      </c>
    </row>
    <row r="6672" spans="1:11" x14ac:dyDescent="0.2">
      <c r="A6672" s="2">
        <v>1669</v>
      </c>
      <c r="B6672" s="2">
        <v>11</v>
      </c>
      <c r="C6672" s="2">
        <v>58452709</v>
      </c>
      <c r="D6672" s="2">
        <v>59256232</v>
      </c>
      <c r="E6672" s="2">
        <v>4</v>
      </c>
      <c r="F6672" s="2" t="s">
        <v>10086</v>
      </c>
      <c r="H6672" s="3">
        <v>6.9999999999999999E-4</v>
      </c>
      <c r="K6672" s="2" t="s">
        <v>10089</v>
      </c>
    </row>
    <row r="6673" spans="1:11" x14ac:dyDescent="0.2">
      <c r="A6673" s="2">
        <v>1670</v>
      </c>
      <c r="B6673" s="2">
        <v>11</v>
      </c>
      <c r="C6673" s="2">
        <v>59256233</v>
      </c>
      <c r="D6673" s="2">
        <v>60515105</v>
      </c>
      <c r="E6673" s="2">
        <v>1</v>
      </c>
      <c r="F6673" s="2" t="s">
        <v>10086</v>
      </c>
      <c r="H6673" s="2">
        <v>1.2999999999999999E-3</v>
      </c>
      <c r="K6673" s="2" t="s">
        <v>10088</v>
      </c>
    </row>
    <row r="6674" spans="1:11" x14ac:dyDescent="0.2">
      <c r="A6674" s="2">
        <v>1670</v>
      </c>
      <c r="B6674" s="2">
        <v>11</v>
      </c>
      <c r="C6674" s="2">
        <v>59256233</v>
      </c>
      <c r="D6674" s="2">
        <v>60515105</v>
      </c>
      <c r="E6674" s="2">
        <v>2</v>
      </c>
      <c r="F6674" s="2" t="s">
        <v>10086</v>
      </c>
      <c r="H6674" s="2">
        <v>1.4E-3</v>
      </c>
      <c r="K6674" s="2" t="s">
        <v>10089</v>
      </c>
    </row>
    <row r="6675" spans="1:11" x14ac:dyDescent="0.2">
      <c r="A6675" s="2">
        <v>1670</v>
      </c>
      <c r="B6675" s="2">
        <v>11</v>
      </c>
      <c r="C6675" s="2">
        <v>59256233</v>
      </c>
      <c r="D6675" s="2">
        <v>60515105</v>
      </c>
      <c r="E6675" s="2">
        <v>3</v>
      </c>
      <c r="F6675" s="2" t="s">
        <v>10086</v>
      </c>
      <c r="H6675" s="2">
        <v>1.2999999999999999E-3</v>
      </c>
      <c r="K6675" s="2" t="s">
        <v>10085</v>
      </c>
    </row>
    <row r="6676" spans="1:11" x14ac:dyDescent="0.2">
      <c r="A6676" s="2">
        <v>1670</v>
      </c>
      <c r="B6676" s="2">
        <v>11</v>
      </c>
      <c r="C6676" s="2">
        <v>59256233</v>
      </c>
      <c r="D6676" s="2">
        <v>60515105</v>
      </c>
      <c r="E6676" s="2">
        <v>4</v>
      </c>
      <c r="F6676" s="2" t="s">
        <v>10086</v>
      </c>
      <c r="H6676" s="3">
        <v>5.0000000000000001E-4</v>
      </c>
      <c r="K6676" s="2" t="s">
        <v>10087</v>
      </c>
    </row>
    <row r="6677" spans="1:11" x14ac:dyDescent="0.2">
      <c r="A6677" s="2">
        <v>1671</v>
      </c>
      <c r="B6677" s="2">
        <v>11</v>
      </c>
      <c r="C6677" s="2">
        <v>60515106</v>
      </c>
      <c r="D6677" s="2">
        <v>61717117</v>
      </c>
      <c r="E6677" s="2">
        <v>1</v>
      </c>
      <c r="F6677" s="2" t="s">
        <v>10086</v>
      </c>
      <c r="H6677" s="2">
        <v>3.3E-3</v>
      </c>
      <c r="K6677" s="2" t="s">
        <v>10085</v>
      </c>
    </row>
    <row r="6678" spans="1:11" x14ac:dyDescent="0.2">
      <c r="A6678" s="2">
        <v>1671</v>
      </c>
      <c r="B6678" s="2">
        <v>11</v>
      </c>
      <c r="C6678" s="2">
        <v>60515106</v>
      </c>
      <c r="D6678" s="2">
        <v>61717117</v>
      </c>
      <c r="E6678" s="2">
        <v>2</v>
      </c>
      <c r="F6678" s="2" t="s">
        <v>10086</v>
      </c>
      <c r="H6678" s="2">
        <v>1.8E-3</v>
      </c>
      <c r="K6678" s="2" t="s">
        <v>10088</v>
      </c>
    </row>
    <row r="6679" spans="1:11" x14ac:dyDescent="0.2">
      <c r="A6679" s="2">
        <v>1671</v>
      </c>
      <c r="B6679" s="2">
        <v>11</v>
      </c>
      <c r="C6679" s="2">
        <v>60515106</v>
      </c>
      <c r="D6679" s="2">
        <v>61717117</v>
      </c>
      <c r="E6679" s="2">
        <v>3</v>
      </c>
      <c r="F6679" s="2" t="s">
        <v>10086</v>
      </c>
      <c r="H6679" s="2">
        <v>1.2999999999999999E-3</v>
      </c>
      <c r="K6679" s="2" t="s">
        <v>10089</v>
      </c>
    </row>
    <row r="6680" spans="1:11" x14ac:dyDescent="0.2">
      <c r="A6680" s="2">
        <v>1671</v>
      </c>
      <c r="B6680" s="2">
        <v>11</v>
      </c>
      <c r="C6680" s="2">
        <v>60515106</v>
      </c>
      <c r="D6680" s="2">
        <v>61717117</v>
      </c>
      <c r="E6680" s="2">
        <v>4</v>
      </c>
      <c r="F6680" s="2" t="s">
        <v>10086</v>
      </c>
      <c r="H6680" s="3">
        <v>5.0000000000000001E-4</v>
      </c>
      <c r="K6680" s="2" t="s">
        <v>10087</v>
      </c>
    </row>
    <row r="6681" spans="1:11" x14ac:dyDescent="0.2">
      <c r="A6681" s="2">
        <v>1672</v>
      </c>
      <c r="B6681" s="2">
        <v>11</v>
      </c>
      <c r="C6681" s="2">
        <v>61717118</v>
      </c>
      <c r="D6681" s="2">
        <v>62800368</v>
      </c>
      <c r="E6681" s="2">
        <v>1</v>
      </c>
      <c r="F6681" s="2" t="s">
        <v>10086</v>
      </c>
      <c r="H6681" s="2">
        <v>8.0000000000000002E-3</v>
      </c>
      <c r="K6681" s="2" t="s">
        <v>10088</v>
      </c>
    </row>
    <row r="6682" spans="1:11" x14ac:dyDescent="0.2">
      <c r="A6682" s="2">
        <v>1672</v>
      </c>
      <c r="B6682" s="2">
        <v>11</v>
      </c>
      <c r="C6682" s="2">
        <v>61717118</v>
      </c>
      <c r="D6682" s="2">
        <v>62800368</v>
      </c>
      <c r="E6682" s="2">
        <v>2</v>
      </c>
      <c r="F6682" s="2" t="s">
        <v>10086</v>
      </c>
      <c r="H6682" s="2">
        <v>1.4E-3</v>
      </c>
      <c r="K6682" s="2" t="s">
        <v>10087</v>
      </c>
    </row>
    <row r="6683" spans="1:11" x14ac:dyDescent="0.2">
      <c r="A6683" s="2">
        <v>1672</v>
      </c>
      <c r="B6683" s="2">
        <v>11</v>
      </c>
      <c r="C6683" s="2">
        <v>61717118</v>
      </c>
      <c r="D6683" s="2">
        <v>62800368</v>
      </c>
      <c r="E6683" s="2">
        <v>3</v>
      </c>
      <c r="F6683" s="2" t="s">
        <v>10086</v>
      </c>
      <c r="H6683" s="3">
        <v>8.9999999999999998E-4</v>
      </c>
      <c r="K6683" s="2" t="s">
        <v>10089</v>
      </c>
    </row>
    <row r="6684" spans="1:11" x14ac:dyDescent="0.2">
      <c r="A6684" s="2">
        <v>1672</v>
      </c>
      <c r="B6684" s="2">
        <v>11</v>
      </c>
      <c r="C6684" s="2">
        <v>61717118</v>
      </c>
      <c r="D6684" s="2">
        <v>62800368</v>
      </c>
      <c r="E6684" s="2">
        <v>4</v>
      </c>
      <c r="F6684" s="2" t="s">
        <v>10086</v>
      </c>
      <c r="H6684" s="3">
        <v>2.9999999999999997E-4</v>
      </c>
      <c r="K6684" s="2" t="s">
        <v>10085</v>
      </c>
    </row>
    <row r="6685" spans="1:11" x14ac:dyDescent="0.2">
      <c r="A6685" s="2">
        <v>1673</v>
      </c>
      <c r="B6685" s="2">
        <v>11</v>
      </c>
      <c r="C6685" s="2">
        <v>62800369</v>
      </c>
      <c r="D6685" s="2">
        <v>64594822</v>
      </c>
      <c r="E6685" s="2">
        <v>1</v>
      </c>
      <c r="F6685" s="2" t="s">
        <v>10086</v>
      </c>
      <c r="H6685" s="2">
        <v>1.1999999999999999E-3</v>
      </c>
      <c r="K6685" s="2" t="s">
        <v>10087</v>
      </c>
    </row>
    <row r="6686" spans="1:11" x14ac:dyDescent="0.2">
      <c r="A6686" s="2">
        <v>1673</v>
      </c>
      <c r="B6686" s="2">
        <v>11</v>
      </c>
      <c r="C6686" s="2">
        <v>62800369</v>
      </c>
      <c r="D6686" s="2">
        <v>64594822</v>
      </c>
      <c r="E6686" s="2">
        <v>2</v>
      </c>
      <c r="F6686" s="2" t="s">
        <v>10086</v>
      </c>
      <c r="H6686" s="2">
        <v>1.1999999999999999E-3</v>
      </c>
      <c r="K6686" s="2" t="s">
        <v>10085</v>
      </c>
    </row>
    <row r="6687" spans="1:11" x14ac:dyDescent="0.2">
      <c r="A6687" s="2">
        <v>1673</v>
      </c>
      <c r="B6687" s="2">
        <v>11</v>
      </c>
      <c r="C6687" s="2">
        <v>62800369</v>
      </c>
      <c r="D6687" s="2">
        <v>64594822</v>
      </c>
      <c r="E6687" s="2">
        <v>3</v>
      </c>
      <c r="F6687" s="2" t="s">
        <v>10086</v>
      </c>
      <c r="H6687" s="2">
        <v>1.1000000000000001E-3</v>
      </c>
      <c r="K6687" s="2" t="s">
        <v>10089</v>
      </c>
    </row>
    <row r="6688" spans="1:11" x14ac:dyDescent="0.2">
      <c r="A6688" s="2">
        <v>1673</v>
      </c>
      <c r="B6688" s="2">
        <v>11</v>
      </c>
      <c r="C6688" s="2">
        <v>62800369</v>
      </c>
      <c r="D6688" s="2">
        <v>64594822</v>
      </c>
      <c r="E6688" s="2">
        <v>4</v>
      </c>
      <c r="F6688" s="2" t="s">
        <v>10086</v>
      </c>
      <c r="H6688" s="3">
        <v>5.9999999999999995E-4</v>
      </c>
      <c r="K6688" s="2" t="s">
        <v>12324</v>
      </c>
    </row>
    <row r="6689" spans="1:11" x14ac:dyDescent="0.2">
      <c r="A6689" s="2">
        <v>1674</v>
      </c>
      <c r="B6689" s="2">
        <v>11</v>
      </c>
      <c r="C6689" s="2">
        <v>64594823</v>
      </c>
      <c r="D6689" s="2">
        <v>66782661</v>
      </c>
      <c r="E6689" s="2">
        <v>1</v>
      </c>
      <c r="F6689" s="2" t="s">
        <v>10086</v>
      </c>
      <c r="H6689" s="2">
        <v>8.6999999999999994E-3</v>
      </c>
      <c r="K6689" s="2" t="s">
        <v>12324</v>
      </c>
    </row>
    <row r="6690" spans="1:11" x14ac:dyDescent="0.2">
      <c r="A6690" s="2">
        <v>1674</v>
      </c>
      <c r="B6690" s="2">
        <v>11</v>
      </c>
      <c r="C6690" s="2">
        <v>64594823</v>
      </c>
      <c r="D6690" s="2">
        <v>66782661</v>
      </c>
      <c r="E6690" s="2">
        <v>2</v>
      </c>
      <c r="F6690" s="2" t="s">
        <v>10086</v>
      </c>
      <c r="H6690" s="2">
        <v>2.8999999999999998E-3</v>
      </c>
      <c r="K6690" s="2" t="s">
        <v>10087</v>
      </c>
    </row>
    <row r="6691" spans="1:11" x14ac:dyDescent="0.2">
      <c r="A6691" s="2">
        <v>1674</v>
      </c>
      <c r="B6691" s="2">
        <v>11</v>
      </c>
      <c r="C6691" s="2">
        <v>64594823</v>
      </c>
      <c r="D6691" s="2">
        <v>66782661</v>
      </c>
      <c r="E6691" s="2">
        <v>3</v>
      </c>
      <c r="F6691" s="2" t="s">
        <v>10086</v>
      </c>
      <c r="H6691" s="2">
        <v>1.6000000000000001E-3</v>
      </c>
      <c r="K6691" s="2" t="s">
        <v>10089</v>
      </c>
    </row>
    <row r="6692" spans="1:11" x14ac:dyDescent="0.2">
      <c r="A6692" s="2">
        <v>1674</v>
      </c>
      <c r="B6692" s="2">
        <v>11</v>
      </c>
      <c r="C6692" s="2">
        <v>64594823</v>
      </c>
      <c r="D6692" s="2">
        <v>66782661</v>
      </c>
      <c r="E6692" s="2">
        <v>4</v>
      </c>
      <c r="F6692" s="2" t="s">
        <v>10086</v>
      </c>
      <c r="H6692" s="2">
        <v>1E-3</v>
      </c>
      <c r="K6692" s="2" t="s">
        <v>10085</v>
      </c>
    </row>
    <row r="6693" spans="1:11" x14ac:dyDescent="0.2">
      <c r="A6693" s="2">
        <v>1675</v>
      </c>
      <c r="B6693" s="2">
        <v>11</v>
      </c>
      <c r="C6693" s="2">
        <v>66782662</v>
      </c>
      <c r="D6693" s="2">
        <v>68000949</v>
      </c>
      <c r="E6693" s="2">
        <v>1</v>
      </c>
      <c r="F6693" s="2" t="s">
        <v>10086</v>
      </c>
      <c r="H6693" s="2">
        <v>1.43E-2</v>
      </c>
      <c r="K6693" s="2" t="s">
        <v>12324</v>
      </c>
    </row>
    <row r="6694" spans="1:11" x14ac:dyDescent="0.2">
      <c r="A6694" s="2">
        <v>1675</v>
      </c>
      <c r="B6694" s="2">
        <v>11</v>
      </c>
      <c r="C6694" s="2">
        <v>66782662</v>
      </c>
      <c r="D6694" s="2">
        <v>68000949</v>
      </c>
      <c r="E6694" s="2">
        <v>2</v>
      </c>
      <c r="F6694" s="2" t="s">
        <v>10086</v>
      </c>
      <c r="H6694" s="2">
        <v>1.9E-3</v>
      </c>
      <c r="K6694" s="2" t="s">
        <v>10085</v>
      </c>
    </row>
    <row r="6695" spans="1:11" x14ac:dyDescent="0.2">
      <c r="A6695" s="2">
        <v>1675</v>
      </c>
      <c r="B6695" s="2">
        <v>11</v>
      </c>
      <c r="C6695" s="2">
        <v>66782662</v>
      </c>
      <c r="D6695" s="2">
        <v>68000949</v>
      </c>
      <c r="E6695" s="2">
        <v>3</v>
      </c>
      <c r="F6695" s="2" t="s">
        <v>10086</v>
      </c>
      <c r="H6695" s="2">
        <v>1.9E-3</v>
      </c>
      <c r="K6695" s="2" t="s">
        <v>10089</v>
      </c>
    </row>
    <row r="6696" spans="1:11" x14ac:dyDescent="0.2">
      <c r="A6696" s="2">
        <v>1675</v>
      </c>
      <c r="B6696" s="2">
        <v>11</v>
      </c>
      <c r="C6696" s="2">
        <v>66782662</v>
      </c>
      <c r="D6696" s="2">
        <v>68000949</v>
      </c>
      <c r="E6696" s="2">
        <v>4</v>
      </c>
      <c r="F6696" s="2" t="s">
        <v>10086</v>
      </c>
      <c r="H6696" s="2">
        <v>1.5E-3</v>
      </c>
      <c r="K6696" s="2" t="s">
        <v>10087</v>
      </c>
    </row>
    <row r="6697" spans="1:11" x14ac:dyDescent="0.2">
      <c r="A6697" s="2">
        <v>1676</v>
      </c>
      <c r="B6697" s="2">
        <v>11</v>
      </c>
      <c r="C6697" s="2">
        <v>68000950</v>
      </c>
      <c r="D6697" s="2">
        <v>68887344</v>
      </c>
      <c r="E6697" s="2">
        <v>1</v>
      </c>
      <c r="F6697" s="2" t="s">
        <v>10086</v>
      </c>
      <c r="H6697" s="2">
        <v>1.2999999999999999E-3</v>
      </c>
      <c r="K6697" s="2" t="s">
        <v>10087</v>
      </c>
    </row>
    <row r="6698" spans="1:11" x14ac:dyDescent="0.2">
      <c r="A6698" s="2">
        <v>1676</v>
      </c>
      <c r="B6698" s="2">
        <v>11</v>
      </c>
      <c r="C6698" s="2">
        <v>68000950</v>
      </c>
      <c r="D6698" s="2">
        <v>68887344</v>
      </c>
      <c r="E6698" s="2">
        <v>2</v>
      </c>
      <c r="F6698" s="2" t="s">
        <v>10086</v>
      </c>
      <c r="H6698" s="2">
        <v>1.5E-3</v>
      </c>
      <c r="K6698" s="2" t="s">
        <v>12324</v>
      </c>
    </row>
    <row r="6699" spans="1:11" x14ac:dyDescent="0.2">
      <c r="A6699" s="2">
        <v>1676</v>
      </c>
      <c r="B6699" s="2">
        <v>11</v>
      </c>
      <c r="C6699" s="2">
        <v>68000950</v>
      </c>
      <c r="D6699" s="2">
        <v>68887344</v>
      </c>
      <c r="E6699" s="2">
        <v>3</v>
      </c>
      <c r="F6699" s="2" t="s">
        <v>10086</v>
      </c>
      <c r="H6699" s="3">
        <v>6.9999999999999999E-4</v>
      </c>
      <c r="K6699" s="2" t="s">
        <v>10085</v>
      </c>
    </row>
    <row r="6700" spans="1:11" x14ac:dyDescent="0.2">
      <c r="A6700" s="2">
        <v>1676</v>
      </c>
      <c r="B6700" s="2">
        <v>11</v>
      </c>
      <c r="C6700" s="2">
        <v>68000950</v>
      </c>
      <c r="D6700" s="2">
        <v>68887344</v>
      </c>
      <c r="E6700" s="2">
        <v>4</v>
      </c>
      <c r="F6700" s="2" t="s">
        <v>10086</v>
      </c>
      <c r="H6700" s="3">
        <v>8.0000000000000004E-4</v>
      </c>
      <c r="K6700" s="2" t="s">
        <v>10088</v>
      </c>
    </row>
    <row r="6701" spans="1:11" x14ac:dyDescent="0.2">
      <c r="A6701" s="2">
        <v>1677</v>
      </c>
      <c r="B6701" s="2">
        <v>11</v>
      </c>
      <c r="C6701" s="2">
        <v>68887345</v>
      </c>
      <c r="D6701" s="2">
        <v>69713996</v>
      </c>
      <c r="E6701" s="2">
        <v>1</v>
      </c>
      <c r="F6701" s="2" t="s">
        <v>10086</v>
      </c>
      <c r="H6701" s="2">
        <v>2.8999999999999998E-3</v>
      </c>
      <c r="K6701" s="2" t="s">
        <v>10085</v>
      </c>
    </row>
    <row r="6702" spans="1:11" x14ac:dyDescent="0.2">
      <c r="A6702" s="2">
        <v>1677</v>
      </c>
      <c r="B6702" s="2">
        <v>11</v>
      </c>
      <c r="C6702" s="2">
        <v>68887345</v>
      </c>
      <c r="D6702" s="2">
        <v>69713996</v>
      </c>
      <c r="E6702" s="2">
        <v>2</v>
      </c>
      <c r="F6702" s="2" t="s">
        <v>10086</v>
      </c>
      <c r="H6702" s="2">
        <v>2.3999999999999998E-3</v>
      </c>
      <c r="K6702" s="2" t="s">
        <v>10089</v>
      </c>
    </row>
    <row r="6703" spans="1:11" x14ac:dyDescent="0.2">
      <c r="A6703" s="2">
        <v>1677</v>
      </c>
      <c r="B6703" s="2">
        <v>11</v>
      </c>
      <c r="C6703" s="2">
        <v>68887345</v>
      </c>
      <c r="D6703" s="2">
        <v>69713996</v>
      </c>
      <c r="E6703" s="2">
        <v>3</v>
      </c>
      <c r="F6703" s="2" t="s">
        <v>10086</v>
      </c>
      <c r="H6703" s="2">
        <v>1.2999999999999999E-3</v>
      </c>
      <c r="K6703" s="2" t="s">
        <v>10088</v>
      </c>
    </row>
    <row r="6704" spans="1:11" x14ac:dyDescent="0.2">
      <c r="A6704" s="2">
        <v>1677</v>
      </c>
      <c r="B6704" s="2">
        <v>11</v>
      </c>
      <c r="C6704" s="2">
        <v>68887345</v>
      </c>
      <c r="D6704" s="2">
        <v>69713996</v>
      </c>
      <c r="E6704" s="2">
        <v>4</v>
      </c>
      <c r="F6704" s="2" t="s">
        <v>10086</v>
      </c>
      <c r="H6704" s="3">
        <v>8.0000000000000004E-4</v>
      </c>
      <c r="K6704" s="2" t="s">
        <v>10087</v>
      </c>
    </row>
    <row r="6705" spans="1:11" x14ac:dyDescent="0.2">
      <c r="A6705" s="2">
        <v>1678</v>
      </c>
      <c r="B6705" s="2">
        <v>11</v>
      </c>
      <c r="C6705" s="2">
        <v>69713997</v>
      </c>
      <c r="D6705" s="2">
        <v>71242834</v>
      </c>
      <c r="E6705" s="2">
        <v>1</v>
      </c>
      <c r="F6705" s="2" t="s">
        <v>10086</v>
      </c>
      <c r="H6705" s="2">
        <v>3.8E-3</v>
      </c>
      <c r="K6705" s="2" t="s">
        <v>10087</v>
      </c>
    </row>
    <row r="6706" spans="1:11" x14ac:dyDescent="0.2">
      <c r="A6706" s="2">
        <v>1678</v>
      </c>
      <c r="B6706" s="2">
        <v>11</v>
      </c>
      <c r="C6706" s="2">
        <v>69713997</v>
      </c>
      <c r="D6706" s="2">
        <v>71242834</v>
      </c>
      <c r="E6706" s="2">
        <v>2</v>
      </c>
      <c r="F6706" s="2" t="s">
        <v>10086</v>
      </c>
      <c r="H6706" s="2">
        <v>5.0000000000000001E-3</v>
      </c>
      <c r="K6706" s="2" t="s">
        <v>10085</v>
      </c>
    </row>
    <row r="6707" spans="1:11" x14ac:dyDescent="0.2">
      <c r="A6707" s="2">
        <v>1678</v>
      </c>
      <c r="B6707" s="2">
        <v>11</v>
      </c>
      <c r="C6707" s="2">
        <v>69713997</v>
      </c>
      <c r="D6707" s="2">
        <v>71242834</v>
      </c>
      <c r="E6707" s="2">
        <v>3</v>
      </c>
      <c r="F6707" s="2" t="s">
        <v>10086</v>
      </c>
      <c r="H6707" s="2">
        <v>1.9E-3</v>
      </c>
      <c r="K6707" s="2" t="s">
        <v>10088</v>
      </c>
    </row>
    <row r="6708" spans="1:11" x14ac:dyDescent="0.2">
      <c r="A6708" s="2">
        <v>1678</v>
      </c>
      <c r="B6708" s="2">
        <v>11</v>
      </c>
      <c r="C6708" s="2">
        <v>69713997</v>
      </c>
      <c r="D6708" s="2">
        <v>71242834</v>
      </c>
      <c r="E6708" s="2">
        <v>4</v>
      </c>
      <c r="F6708" s="2" t="s">
        <v>10086</v>
      </c>
      <c r="H6708" s="2">
        <v>1E-3</v>
      </c>
      <c r="K6708" s="2" t="s">
        <v>10089</v>
      </c>
    </row>
    <row r="6709" spans="1:11" x14ac:dyDescent="0.2">
      <c r="A6709" s="2">
        <v>1679</v>
      </c>
      <c r="B6709" s="2">
        <v>11</v>
      </c>
      <c r="C6709" s="2">
        <v>71242835</v>
      </c>
      <c r="D6709" s="2">
        <v>72875068</v>
      </c>
      <c r="E6709" s="2">
        <v>1</v>
      </c>
      <c r="F6709" s="2" t="s">
        <v>10086</v>
      </c>
      <c r="H6709" s="2">
        <v>2.2000000000000001E-3</v>
      </c>
      <c r="K6709" s="2" t="s">
        <v>10088</v>
      </c>
    </row>
    <row r="6710" spans="1:11" x14ac:dyDescent="0.2">
      <c r="A6710" s="2">
        <v>1679</v>
      </c>
      <c r="B6710" s="2">
        <v>11</v>
      </c>
      <c r="C6710" s="2">
        <v>71242835</v>
      </c>
      <c r="D6710" s="2">
        <v>72875068</v>
      </c>
      <c r="E6710" s="2">
        <v>2</v>
      </c>
      <c r="F6710" s="2" t="s">
        <v>10086</v>
      </c>
      <c r="H6710" s="2">
        <v>1.4E-3</v>
      </c>
      <c r="K6710" s="2" t="s">
        <v>10085</v>
      </c>
    </row>
    <row r="6711" spans="1:11" x14ac:dyDescent="0.2">
      <c r="A6711" s="2">
        <v>1679</v>
      </c>
      <c r="B6711" s="2">
        <v>11</v>
      </c>
      <c r="C6711" s="2">
        <v>71242835</v>
      </c>
      <c r="D6711" s="2">
        <v>72875068</v>
      </c>
      <c r="E6711" s="2">
        <v>3</v>
      </c>
      <c r="F6711" s="2" t="s">
        <v>10086</v>
      </c>
      <c r="H6711" s="2">
        <v>1.5E-3</v>
      </c>
      <c r="K6711" s="2" t="s">
        <v>10087</v>
      </c>
    </row>
    <row r="6712" spans="1:11" x14ac:dyDescent="0.2">
      <c r="A6712" s="2">
        <v>1679</v>
      </c>
      <c r="B6712" s="2">
        <v>11</v>
      </c>
      <c r="C6712" s="2">
        <v>71242835</v>
      </c>
      <c r="D6712" s="2">
        <v>72875068</v>
      </c>
      <c r="E6712" s="2">
        <v>4</v>
      </c>
      <c r="F6712" s="2" t="s">
        <v>10086</v>
      </c>
      <c r="H6712" s="3">
        <v>5.9999999999999995E-4</v>
      </c>
      <c r="K6712" s="2" t="s">
        <v>10089</v>
      </c>
    </row>
    <row r="6713" spans="1:11" x14ac:dyDescent="0.2">
      <c r="A6713" s="2">
        <v>1680</v>
      </c>
      <c r="B6713" s="2">
        <v>11</v>
      </c>
      <c r="C6713" s="2">
        <v>72875069</v>
      </c>
      <c r="D6713" s="2">
        <v>74399331</v>
      </c>
      <c r="E6713" s="2">
        <v>1</v>
      </c>
      <c r="F6713" s="2" t="s">
        <v>10086</v>
      </c>
      <c r="H6713" s="2">
        <v>4.1000000000000003E-3</v>
      </c>
      <c r="K6713" s="2" t="s">
        <v>10088</v>
      </c>
    </row>
    <row r="6714" spans="1:11" x14ac:dyDescent="0.2">
      <c r="A6714" s="2">
        <v>1680</v>
      </c>
      <c r="B6714" s="2">
        <v>11</v>
      </c>
      <c r="C6714" s="2">
        <v>72875069</v>
      </c>
      <c r="D6714" s="2">
        <v>74399331</v>
      </c>
      <c r="E6714" s="2">
        <v>2</v>
      </c>
      <c r="F6714" s="2" t="s">
        <v>10086</v>
      </c>
      <c r="H6714" s="2">
        <v>1.4E-3</v>
      </c>
      <c r="K6714" s="2" t="s">
        <v>10089</v>
      </c>
    </row>
    <row r="6715" spans="1:11" x14ac:dyDescent="0.2">
      <c r="A6715" s="2">
        <v>1680</v>
      </c>
      <c r="B6715" s="2">
        <v>11</v>
      </c>
      <c r="C6715" s="2">
        <v>72875069</v>
      </c>
      <c r="D6715" s="2">
        <v>74399331</v>
      </c>
      <c r="E6715" s="2">
        <v>3</v>
      </c>
      <c r="F6715" s="2" t="s">
        <v>10086</v>
      </c>
      <c r="H6715" s="3">
        <v>8.9999999999999998E-4</v>
      </c>
      <c r="K6715" s="2" t="s">
        <v>10087</v>
      </c>
    </row>
    <row r="6716" spans="1:11" x14ac:dyDescent="0.2">
      <c r="A6716" s="2">
        <v>1680</v>
      </c>
      <c r="B6716" s="2">
        <v>11</v>
      </c>
      <c r="C6716" s="2">
        <v>72875069</v>
      </c>
      <c r="D6716" s="2">
        <v>74399331</v>
      </c>
      <c r="E6716" s="2">
        <v>4</v>
      </c>
      <c r="F6716" s="2" t="s">
        <v>10086</v>
      </c>
      <c r="H6716" s="3">
        <v>5.9999999999999995E-4</v>
      </c>
      <c r="K6716" s="2" t="s">
        <v>10085</v>
      </c>
    </row>
    <row r="6717" spans="1:11" x14ac:dyDescent="0.2">
      <c r="A6717" s="2">
        <v>1681</v>
      </c>
      <c r="B6717" s="2">
        <v>11</v>
      </c>
      <c r="C6717" s="2">
        <v>74399332</v>
      </c>
      <c r="D6717" s="2">
        <v>75445253</v>
      </c>
      <c r="E6717" s="2">
        <v>1</v>
      </c>
      <c r="F6717" s="2" t="s">
        <v>10086</v>
      </c>
      <c r="H6717" s="2">
        <v>1.1000000000000001E-3</v>
      </c>
      <c r="K6717" s="2" t="s">
        <v>10089</v>
      </c>
    </row>
    <row r="6718" spans="1:11" x14ac:dyDescent="0.2">
      <c r="A6718" s="2">
        <v>1681</v>
      </c>
      <c r="B6718" s="2">
        <v>11</v>
      </c>
      <c r="C6718" s="2">
        <v>74399332</v>
      </c>
      <c r="D6718" s="2">
        <v>75445253</v>
      </c>
      <c r="E6718" s="2">
        <v>2</v>
      </c>
      <c r="F6718" s="2" t="s">
        <v>10086</v>
      </c>
      <c r="H6718" s="2">
        <v>2.3999999999999998E-3</v>
      </c>
      <c r="K6718" s="2" t="s">
        <v>12324</v>
      </c>
    </row>
    <row r="6719" spans="1:11" x14ac:dyDescent="0.2">
      <c r="A6719" s="2">
        <v>1681</v>
      </c>
      <c r="B6719" s="2">
        <v>11</v>
      </c>
      <c r="C6719" s="2">
        <v>74399332</v>
      </c>
      <c r="D6719" s="2">
        <v>75445253</v>
      </c>
      <c r="E6719" s="2">
        <v>3</v>
      </c>
      <c r="F6719" s="2" t="s">
        <v>10086</v>
      </c>
      <c r="H6719" s="2">
        <v>1E-3</v>
      </c>
      <c r="K6719" s="2" t="s">
        <v>10088</v>
      </c>
    </row>
    <row r="6720" spans="1:11" x14ac:dyDescent="0.2">
      <c r="A6720" s="2">
        <v>1681</v>
      </c>
      <c r="B6720" s="2">
        <v>11</v>
      </c>
      <c r="C6720" s="2">
        <v>74399332</v>
      </c>
      <c r="D6720" s="2">
        <v>75445253</v>
      </c>
      <c r="E6720" s="2">
        <v>4</v>
      </c>
      <c r="F6720" s="2" t="s">
        <v>10086</v>
      </c>
      <c r="H6720" s="3">
        <v>5.9999999999999995E-4</v>
      </c>
      <c r="K6720" s="2" t="s">
        <v>10085</v>
      </c>
    </row>
    <row r="6721" spans="1:11" x14ac:dyDescent="0.2">
      <c r="A6721" s="2">
        <v>1682</v>
      </c>
      <c r="B6721" s="2">
        <v>11</v>
      </c>
      <c r="C6721" s="2">
        <v>75445254</v>
      </c>
      <c r="D6721" s="2">
        <v>76518906</v>
      </c>
      <c r="E6721" s="2">
        <v>1</v>
      </c>
      <c r="F6721" s="2" t="s">
        <v>10086</v>
      </c>
      <c r="H6721" s="2">
        <v>4.1999999999999997E-3</v>
      </c>
      <c r="K6721" s="2" t="s">
        <v>10088</v>
      </c>
    </row>
    <row r="6722" spans="1:11" x14ac:dyDescent="0.2">
      <c r="A6722" s="2">
        <v>1682</v>
      </c>
      <c r="B6722" s="2">
        <v>11</v>
      </c>
      <c r="C6722" s="2">
        <v>75445254</v>
      </c>
      <c r="D6722" s="2">
        <v>76518906</v>
      </c>
      <c r="E6722" s="2">
        <v>2</v>
      </c>
      <c r="F6722" s="2" t="s">
        <v>10086</v>
      </c>
      <c r="H6722" s="2">
        <v>1.2999999999999999E-3</v>
      </c>
      <c r="K6722" s="2" t="s">
        <v>10089</v>
      </c>
    </row>
    <row r="6723" spans="1:11" x14ac:dyDescent="0.2">
      <c r="A6723" s="2">
        <v>1682</v>
      </c>
      <c r="B6723" s="2">
        <v>11</v>
      </c>
      <c r="C6723" s="2">
        <v>75445254</v>
      </c>
      <c r="D6723" s="2">
        <v>76518906</v>
      </c>
      <c r="E6723" s="2">
        <v>3</v>
      </c>
      <c r="F6723" s="2" t="s">
        <v>10086</v>
      </c>
      <c r="H6723" s="2">
        <v>1.1000000000000001E-3</v>
      </c>
      <c r="K6723" s="2" t="s">
        <v>10085</v>
      </c>
    </row>
    <row r="6724" spans="1:11" x14ac:dyDescent="0.2">
      <c r="A6724" s="2">
        <v>1682</v>
      </c>
      <c r="B6724" s="2">
        <v>11</v>
      </c>
      <c r="C6724" s="2">
        <v>75445254</v>
      </c>
      <c r="D6724" s="2">
        <v>76518906</v>
      </c>
      <c r="E6724" s="2">
        <v>4</v>
      </c>
      <c r="F6724" s="2" t="s">
        <v>10086</v>
      </c>
      <c r="H6724" s="3">
        <v>5.0000000000000001E-4</v>
      </c>
      <c r="K6724" s="2" t="s">
        <v>10087</v>
      </c>
    </row>
    <row r="6725" spans="1:11" x14ac:dyDescent="0.2">
      <c r="A6725" s="2">
        <v>1683</v>
      </c>
      <c r="B6725" s="2">
        <v>11</v>
      </c>
      <c r="C6725" s="2">
        <v>76518907</v>
      </c>
      <c r="D6725" s="2">
        <v>77719870</v>
      </c>
      <c r="E6725" s="2">
        <v>1</v>
      </c>
      <c r="F6725" s="2" t="s">
        <v>10086</v>
      </c>
      <c r="H6725" s="2">
        <v>6.8999999999999999E-3</v>
      </c>
      <c r="K6725" s="2" t="s">
        <v>12324</v>
      </c>
    </row>
    <row r="6726" spans="1:11" x14ac:dyDescent="0.2">
      <c r="A6726" s="2">
        <v>1683</v>
      </c>
      <c r="B6726" s="2">
        <v>11</v>
      </c>
      <c r="C6726" s="2">
        <v>76518907</v>
      </c>
      <c r="D6726" s="2">
        <v>77719870</v>
      </c>
      <c r="E6726" s="2">
        <v>2</v>
      </c>
      <c r="F6726" s="2" t="s">
        <v>10086</v>
      </c>
      <c r="H6726" s="2">
        <v>1.8E-3</v>
      </c>
      <c r="K6726" s="2" t="s">
        <v>10085</v>
      </c>
    </row>
    <row r="6727" spans="1:11" x14ac:dyDescent="0.2">
      <c r="A6727" s="2">
        <v>1683</v>
      </c>
      <c r="B6727" s="2">
        <v>11</v>
      </c>
      <c r="C6727" s="2">
        <v>76518907</v>
      </c>
      <c r="D6727" s="2">
        <v>77719870</v>
      </c>
      <c r="E6727" s="2">
        <v>3</v>
      </c>
      <c r="F6727" s="2" t="s">
        <v>10086</v>
      </c>
      <c r="H6727" s="2">
        <v>1.6999999999999999E-3</v>
      </c>
      <c r="K6727" s="2" t="s">
        <v>10087</v>
      </c>
    </row>
    <row r="6728" spans="1:11" x14ac:dyDescent="0.2">
      <c r="A6728" s="2">
        <v>1683</v>
      </c>
      <c r="B6728" s="2">
        <v>11</v>
      </c>
      <c r="C6728" s="2">
        <v>76518907</v>
      </c>
      <c r="D6728" s="2">
        <v>77719870</v>
      </c>
      <c r="E6728" s="2">
        <v>4</v>
      </c>
      <c r="F6728" s="2" t="s">
        <v>10086</v>
      </c>
      <c r="H6728" s="3">
        <v>8.9999999999999998E-4</v>
      </c>
      <c r="K6728" s="2" t="s">
        <v>10089</v>
      </c>
    </row>
    <row r="6729" spans="1:11" x14ac:dyDescent="0.2">
      <c r="A6729" s="2">
        <v>1684</v>
      </c>
      <c r="B6729" s="2">
        <v>11</v>
      </c>
      <c r="C6729" s="2">
        <v>77719871</v>
      </c>
      <c r="D6729" s="2">
        <v>78912252</v>
      </c>
      <c r="E6729" s="2">
        <v>1</v>
      </c>
      <c r="F6729" s="2" t="s">
        <v>10086</v>
      </c>
      <c r="H6729" s="2">
        <v>1.6000000000000001E-3</v>
      </c>
      <c r="K6729" s="2" t="s">
        <v>10087</v>
      </c>
    </row>
    <row r="6730" spans="1:11" x14ac:dyDescent="0.2">
      <c r="A6730" s="2">
        <v>1684</v>
      </c>
      <c r="B6730" s="2">
        <v>11</v>
      </c>
      <c r="C6730" s="2">
        <v>77719871</v>
      </c>
      <c r="D6730" s="2">
        <v>78912252</v>
      </c>
      <c r="E6730" s="2">
        <v>2</v>
      </c>
      <c r="F6730" s="2" t="s">
        <v>10086</v>
      </c>
      <c r="H6730" s="2">
        <v>1.8E-3</v>
      </c>
      <c r="K6730" s="2" t="s">
        <v>10089</v>
      </c>
    </row>
    <row r="6731" spans="1:11" x14ac:dyDescent="0.2">
      <c r="A6731" s="2">
        <v>1684</v>
      </c>
      <c r="B6731" s="2">
        <v>11</v>
      </c>
      <c r="C6731" s="2">
        <v>77719871</v>
      </c>
      <c r="D6731" s="2">
        <v>78912252</v>
      </c>
      <c r="E6731" s="2">
        <v>3</v>
      </c>
      <c r="F6731" s="2" t="s">
        <v>10086</v>
      </c>
      <c r="H6731" s="2">
        <v>1.1999999999999999E-3</v>
      </c>
      <c r="K6731" s="2" t="s">
        <v>10088</v>
      </c>
    </row>
    <row r="6732" spans="1:11" x14ac:dyDescent="0.2">
      <c r="A6732" s="2">
        <v>1684</v>
      </c>
      <c r="B6732" s="2">
        <v>11</v>
      </c>
      <c r="C6732" s="2">
        <v>77719871</v>
      </c>
      <c r="D6732" s="2">
        <v>78912252</v>
      </c>
      <c r="E6732" s="2">
        <v>4</v>
      </c>
      <c r="F6732" s="2" t="s">
        <v>10086</v>
      </c>
      <c r="H6732" s="3">
        <v>5.9999999999999995E-4</v>
      </c>
      <c r="K6732" s="2" t="s">
        <v>12324</v>
      </c>
    </row>
    <row r="6733" spans="1:11" x14ac:dyDescent="0.2">
      <c r="A6733" s="2">
        <v>1685</v>
      </c>
      <c r="B6733" s="2">
        <v>11</v>
      </c>
      <c r="C6733" s="2">
        <v>78912253</v>
      </c>
      <c r="D6733" s="2">
        <v>79802286</v>
      </c>
      <c r="E6733" s="2">
        <v>1</v>
      </c>
      <c r="F6733" s="2" t="s">
        <v>10086</v>
      </c>
      <c r="H6733" s="2">
        <v>2.6200000000000001E-2</v>
      </c>
      <c r="K6733" s="2" t="s">
        <v>10088</v>
      </c>
    </row>
    <row r="6734" spans="1:11" x14ac:dyDescent="0.2">
      <c r="A6734" s="2">
        <v>1685</v>
      </c>
      <c r="B6734" s="2">
        <v>11</v>
      </c>
      <c r="C6734" s="2">
        <v>78912253</v>
      </c>
      <c r="D6734" s="2">
        <v>79802286</v>
      </c>
      <c r="E6734" s="2">
        <v>2</v>
      </c>
      <c r="F6734" s="2" t="s">
        <v>10086</v>
      </c>
      <c r="H6734" s="2">
        <v>1.1999999999999999E-3</v>
      </c>
      <c r="K6734" s="2" t="s">
        <v>10085</v>
      </c>
    </row>
    <row r="6735" spans="1:11" x14ac:dyDescent="0.2">
      <c r="A6735" s="2">
        <v>1685</v>
      </c>
      <c r="B6735" s="2">
        <v>11</v>
      </c>
      <c r="C6735" s="2">
        <v>78912253</v>
      </c>
      <c r="D6735" s="2">
        <v>79802286</v>
      </c>
      <c r="E6735" s="2">
        <v>3</v>
      </c>
      <c r="F6735" s="2" t="s">
        <v>10086</v>
      </c>
      <c r="H6735" s="3">
        <v>8.9999999999999998E-4</v>
      </c>
      <c r="K6735" s="2" t="s">
        <v>10089</v>
      </c>
    </row>
    <row r="6736" spans="1:11" x14ac:dyDescent="0.2">
      <c r="A6736" s="2">
        <v>1685</v>
      </c>
      <c r="B6736" s="2">
        <v>11</v>
      </c>
      <c r="C6736" s="2">
        <v>78912253</v>
      </c>
      <c r="D6736" s="2">
        <v>79802286</v>
      </c>
      <c r="E6736" s="2">
        <v>4</v>
      </c>
      <c r="F6736" s="2" t="s">
        <v>10086</v>
      </c>
      <c r="H6736" s="3">
        <v>5.9999999999999995E-4</v>
      </c>
      <c r="K6736" s="2" t="s">
        <v>10087</v>
      </c>
    </row>
    <row r="6737" spans="1:11" x14ac:dyDescent="0.2">
      <c r="A6737" s="2">
        <v>1686</v>
      </c>
      <c r="B6737" s="2">
        <v>11</v>
      </c>
      <c r="C6737" s="2">
        <v>79802287</v>
      </c>
      <c r="D6737" s="2">
        <v>80726012</v>
      </c>
      <c r="E6737" s="2">
        <v>1</v>
      </c>
      <c r="F6737" s="2" t="s">
        <v>10086</v>
      </c>
      <c r="H6737" s="3">
        <v>8.0000000000000004E-4</v>
      </c>
      <c r="K6737" s="2" t="s">
        <v>10089</v>
      </c>
    </row>
    <row r="6738" spans="1:11" x14ac:dyDescent="0.2">
      <c r="A6738" s="2">
        <v>1686</v>
      </c>
      <c r="B6738" s="2">
        <v>11</v>
      </c>
      <c r="C6738" s="2">
        <v>79802287</v>
      </c>
      <c r="D6738" s="2">
        <v>80726012</v>
      </c>
      <c r="E6738" s="2">
        <v>2</v>
      </c>
      <c r="F6738" s="2" t="s">
        <v>10086</v>
      </c>
      <c r="H6738" s="2">
        <v>2E-3</v>
      </c>
      <c r="K6738" s="2" t="s">
        <v>10088</v>
      </c>
    </row>
    <row r="6739" spans="1:11" x14ac:dyDescent="0.2">
      <c r="A6739" s="2">
        <v>1686</v>
      </c>
      <c r="B6739" s="2">
        <v>11</v>
      </c>
      <c r="C6739" s="2">
        <v>79802287</v>
      </c>
      <c r="D6739" s="2">
        <v>80726012</v>
      </c>
      <c r="E6739" s="2">
        <v>3</v>
      </c>
      <c r="F6739" s="2" t="s">
        <v>10086</v>
      </c>
      <c r="H6739" s="3">
        <v>6.9999999999999999E-4</v>
      </c>
      <c r="K6739" s="2" t="s">
        <v>10087</v>
      </c>
    </row>
    <row r="6740" spans="1:11" x14ac:dyDescent="0.2">
      <c r="A6740" s="2">
        <v>1686</v>
      </c>
      <c r="B6740" s="2">
        <v>11</v>
      </c>
      <c r="C6740" s="2">
        <v>79802287</v>
      </c>
      <c r="D6740" s="2">
        <v>80726012</v>
      </c>
      <c r="E6740" s="2">
        <v>4</v>
      </c>
      <c r="F6740" s="2" t="s">
        <v>10086</v>
      </c>
      <c r="H6740" s="3">
        <v>5.0000000000000001E-4</v>
      </c>
      <c r="K6740" s="2" t="s">
        <v>10085</v>
      </c>
    </row>
    <row r="6741" spans="1:11" x14ac:dyDescent="0.2">
      <c r="A6741" s="2">
        <v>1687</v>
      </c>
      <c r="B6741" s="2">
        <v>11</v>
      </c>
      <c r="C6741" s="2">
        <v>80726013</v>
      </c>
      <c r="D6741" s="2">
        <v>81658298</v>
      </c>
      <c r="E6741" s="2">
        <v>1</v>
      </c>
      <c r="F6741" s="2" t="s">
        <v>10086</v>
      </c>
      <c r="H6741" s="2">
        <v>8.6999999999999994E-3</v>
      </c>
      <c r="K6741" s="2" t="s">
        <v>10088</v>
      </c>
    </row>
    <row r="6742" spans="1:11" x14ac:dyDescent="0.2">
      <c r="A6742" s="2">
        <v>1687</v>
      </c>
      <c r="B6742" s="2">
        <v>11</v>
      </c>
      <c r="C6742" s="2">
        <v>80726013</v>
      </c>
      <c r="D6742" s="2">
        <v>81658298</v>
      </c>
      <c r="E6742" s="2">
        <v>2</v>
      </c>
      <c r="F6742" s="2" t="s">
        <v>10086</v>
      </c>
      <c r="H6742" s="2">
        <v>1.6000000000000001E-3</v>
      </c>
      <c r="K6742" s="2" t="s">
        <v>10085</v>
      </c>
    </row>
    <row r="6743" spans="1:11" x14ac:dyDescent="0.2">
      <c r="A6743" s="2">
        <v>1687</v>
      </c>
      <c r="B6743" s="2">
        <v>11</v>
      </c>
      <c r="C6743" s="2">
        <v>80726013</v>
      </c>
      <c r="D6743" s="2">
        <v>81658298</v>
      </c>
      <c r="E6743" s="2">
        <v>3</v>
      </c>
      <c r="F6743" s="2" t="s">
        <v>10086</v>
      </c>
      <c r="H6743" s="3">
        <v>8.0000000000000004E-4</v>
      </c>
      <c r="K6743" s="2" t="s">
        <v>10087</v>
      </c>
    </row>
    <row r="6744" spans="1:11" x14ac:dyDescent="0.2">
      <c r="A6744" s="2">
        <v>1687</v>
      </c>
      <c r="B6744" s="2">
        <v>11</v>
      </c>
      <c r="C6744" s="2">
        <v>80726013</v>
      </c>
      <c r="D6744" s="2">
        <v>81658298</v>
      </c>
      <c r="E6744" s="2">
        <v>4</v>
      </c>
      <c r="F6744" s="2" t="s">
        <v>10086</v>
      </c>
      <c r="H6744" s="3">
        <v>5.9999999999999995E-4</v>
      </c>
      <c r="K6744" s="2" t="s">
        <v>10089</v>
      </c>
    </row>
    <row r="6745" spans="1:11" x14ac:dyDescent="0.2">
      <c r="A6745" s="2">
        <v>1688</v>
      </c>
      <c r="B6745" s="2">
        <v>11</v>
      </c>
      <c r="C6745" s="2">
        <v>81658299</v>
      </c>
      <c r="D6745" s="2">
        <v>82833181</v>
      </c>
      <c r="E6745" s="2">
        <v>1</v>
      </c>
      <c r="F6745" s="2" t="s">
        <v>10086</v>
      </c>
      <c r="H6745" s="2">
        <v>1.03E-2</v>
      </c>
      <c r="K6745" s="2" t="s">
        <v>12324</v>
      </c>
    </row>
    <row r="6746" spans="1:11" x14ac:dyDescent="0.2">
      <c r="A6746" s="2">
        <v>1688</v>
      </c>
      <c r="B6746" s="2">
        <v>11</v>
      </c>
      <c r="C6746" s="2">
        <v>81658299</v>
      </c>
      <c r="D6746" s="2">
        <v>82833181</v>
      </c>
      <c r="E6746" s="2">
        <v>2</v>
      </c>
      <c r="F6746" s="2" t="s">
        <v>10086</v>
      </c>
      <c r="H6746" s="2">
        <v>1.5E-3</v>
      </c>
      <c r="K6746" s="2" t="s">
        <v>10087</v>
      </c>
    </row>
    <row r="6747" spans="1:11" x14ac:dyDescent="0.2">
      <c r="A6747" s="2">
        <v>1688</v>
      </c>
      <c r="B6747" s="2">
        <v>11</v>
      </c>
      <c r="C6747" s="2">
        <v>81658299</v>
      </c>
      <c r="D6747" s="2">
        <v>82833181</v>
      </c>
      <c r="E6747" s="2">
        <v>3</v>
      </c>
      <c r="F6747" s="2" t="s">
        <v>10086</v>
      </c>
      <c r="H6747" s="2">
        <v>1.4E-3</v>
      </c>
      <c r="K6747" s="2" t="s">
        <v>10089</v>
      </c>
    </row>
    <row r="6748" spans="1:11" x14ac:dyDescent="0.2">
      <c r="A6748" s="2">
        <v>1688</v>
      </c>
      <c r="B6748" s="2">
        <v>11</v>
      </c>
      <c r="C6748" s="2">
        <v>81658299</v>
      </c>
      <c r="D6748" s="2">
        <v>82833181</v>
      </c>
      <c r="E6748" s="2">
        <v>4</v>
      </c>
      <c r="F6748" s="2" t="s">
        <v>10086</v>
      </c>
      <c r="H6748" s="2">
        <v>1.1000000000000001E-3</v>
      </c>
      <c r="K6748" s="2" t="s">
        <v>10085</v>
      </c>
    </row>
    <row r="6749" spans="1:11" x14ac:dyDescent="0.2">
      <c r="A6749" s="2">
        <v>1689</v>
      </c>
      <c r="B6749" s="2">
        <v>11</v>
      </c>
      <c r="C6749" s="2">
        <v>82833182</v>
      </c>
      <c r="D6749" s="2">
        <v>83677773</v>
      </c>
      <c r="E6749" s="2">
        <v>1</v>
      </c>
      <c r="F6749" s="2" t="s">
        <v>10086</v>
      </c>
      <c r="H6749" s="2">
        <v>2.5000000000000001E-3</v>
      </c>
      <c r="K6749" s="2" t="s">
        <v>10088</v>
      </c>
    </row>
    <row r="6750" spans="1:11" x14ac:dyDescent="0.2">
      <c r="A6750" s="2">
        <v>1689</v>
      </c>
      <c r="B6750" s="2">
        <v>11</v>
      </c>
      <c r="C6750" s="2">
        <v>82833182</v>
      </c>
      <c r="D6750" s="2">
        <v>83677773</v>
      </c>
      <c r="E6750" s="2">
        <v>2</v>
      </c>
      <c r="F6750" s="2" t="s">
        <v>10086</v>
      </c>
      <c r="H6750" s="3">
        <v>6.9999999999999999E-4</v>
      </c>
      <c r="K6750" s="2" t="s">
        <v>10085</v>
      </c>
    </row>
    <row r="6751" spans="1:11" x14ac:dyDescent="0.2">
      <c r="A6751" s="2">
        <v>1689</v>
      </c>
      <c r="B6751" s="2">
        <v>11</v>
      </c>
      <c r="C6751" s="2">
        <v>82833182</v>
      </c>
      <c r="D6751" s="2">
        <v>83677773</v>
      </c>
      <c r="E6751" s="2">
        <v>3</v>
      </c>
      <c r="F6751" s="2" t="s">
        <v>10086</v>
      </c>
      <c r="H6751" s="3">
        <v>5.9999999999999995E-4</v>
      </c>
      <c r="K6751" s="2" t="s">
        <v>10089</v>
      </c>
    </row>
    <row r="6752" spans="1:11" x14ac:dyDescent="0.2">
      <c r="A6752" s="2">
        <v>1689</v>
      </c>
      <c r="B6752" s="2">
        <v>11</v>
      </c>
      <c r="C6752" s="2">
        <v>82833182</v>
      </c>
      <c r="D6752" s="2">
        <v>83677773</v>
      </c>
      <c r="E6752" s="2">
        <v>4</v>
      </c>
      <c r="F6752" s="2" t="s">
        <v>10086</v>
      </c>
      <c r="H6752" s="3">
        <v>4.0000000000000002E-4</v>
      </c>
      <c r="K6752" s="2" t="s">
        <v>10087</v>
      </c>
    </row>
    <row r="6753" spans="1:11" x14ac:dyDescent="0.2">
      <c r="A6753" s="2">
        <v>1690</v>
      </c>
      <c r="B6753" s="2">
        <v>11</v>
      </c>
      <c r="C6753" s="2">
        <v>83677774</v>
      </c>
      <c r="D6753" s="2">
        <v>84613229</v>
      </c>
      <c r="E6753" s="2">
        <v>1</v>
      </c>
      <c r="F6753" s="2" t="s">
        <v>10086</v>
      </c>
      <c r="H6753" s="2">
        <v>1.1999999999999999E-3</v>
      </c>
      <c r="K6753" s="2" t="s">
        <v>10087</v>
      </c>
    </row>
    <row r="6754" spans="1:11" x14ac:dyDescent="0.2">
      <c r="A6754" s="2">
        <v>1690</v>
      </c>
      <c r="B6754" s="2">
        <v>11</v>
      </c>
      <c r="C6754" s="2">
        <v>83677774</v>
      </c>
      <c r="D6754" s="2">
        <v>84613229</v>
      </c>
      <c r="E6754" s="2">
        <v>2</v>
      </c>
      <c r="F6754" s="2" t="s">
        <v>10086</v>
      </c>
      <c r="H6754" s="2">
        <v>1.2999999999999999E-3</v>
      </c>
      <c r="K6754" s="2" t="s">
        <v>10088</v>
      </c>
    </row>
    <row r="6755" spans="1:11" x14ac:dyDescent="0.2">
      <c r="A6755" s="2">
        <v>1690</v>
      </c>
      <c r="B6755" s="2">
        <v>11</v>
      </c>
      <c r="C6755" s="2">
        <v>83677774</v>
      </c>
      <c r="D6755" s="2">
        <v>84613229</v>
      </c>
      <c r="E6755" s="2">
        <v>3</v>
      </c>
      <c r="F6755" s="2" t="s">
        <v>10086</v>
      </c>
      <c r="H6755" s="2">
        <v>1E-3</v>
      </c>
      <c r="K6755" s="2" t="s">
        <v>10085</v>
      </c>
    </row>
    <row r="6756" spans="1:11" x14ac:dyDescent="0.2">
      <c r="A6756" s="2">
        <v>1690</v>
      </c>
      <c r="B6756" s="2">
        <v>11</v>
      </c>
      <c r="C6756" s="2">
        <v>83677774</v>
      </c>
      <c r="D6756" s="2">
        <v>84613229</v>
      </c>
      <c r="E6756" s="2">
        <v>4</v>
      </c>
      <c r="F6756" s="2" t="s">
        <v>10086</v>
      </c>
      <c r="H6756" s="3">
        <v>5.0000000000000001E-4</v>
      </c>
      <c r="K6756" s="2" t="s">
        <v>10089</v>
      </c>
    </row>
    <row r="6757" spans="1:11" x14ac:dyDescent="0.2">
      <c r="A6757" s="2">
        <v>1691</v>
      </c>
      <c r="B6757" s="2">
        <v>11</v>
      </c>
      <c r="C6757" s="2">
        <v>84613230</v>
      </c>
      <c r="D6757" s="2">
        <v>85869059</v>
      </c>
      <c r="E6757" s="2">
        <v>1</v>
      </c>
      <c r="F6757" s="2" t="s">
        <v>10086</v>
      </c>
      <c r="H6757" s="2">
        <v>1.6999999999999999E-3</v>
      </c>
      <c r="K6757" s="2" t="s">
        <v>10085</v>
      </c>
    </row>
    <row r="6758" spans="1:11" x14ac:dyDescent="0.2">
      <c r="A6758" s="2">
        <v>1691</v>
      </c>
      <c r="B6758" s="2">
        <v>11</v>
      </c>
      <c r="C6758" s="2">
        <v>84613230</v>
      </c>
      <c r="D6758" s="2">
        <v>85869059</v>
      </c>
      <c r="E6758" s="2">
        <v>2</v>
      </c>
      <c r="F6758" s="2" t="s">
        <v>10086</v>
      </c>
      <c r="H6758" s="2">
        <v>1.1000000000000001E-3</v>
      </c>
      <c r="K6758" s="2" t="s">
        <v>10087</v>
      </c>
    </row>
    <row r="6759" spans="1:11" x14ac:dyDescent="0.2">
      <c r="A6759" s="2">
        <v>1691</v>
      </c>
      <c r="B6759" s="2">
        <v>11</v>
      </c>
      <c r="C6759" s="2">
        <v>84613230</v>
      </c>
      <c r="D6759" s="2">
        <v>85869059</v>
      </c>
      <c r="E6759" s="2">
        <v>3</v>
      </c>
      <c r="F6759" s="2" t="s">
        <v>10086</v>
      </c>
      <c r="H6759" s="3">
        <v>8.9999999999999998E-4</v>
      </c>
      <c r="K6759" s="2" t="s">
        <v>10089</v>
      </c>
    </row>
    <row r="6760" spans="1:11" x14ac:dyDescent="0.2">
      <c r="A6760" s="2">
        <v>1691</v>
      </c>
      <c r="B6760" s="2">
        <v>11</v>
      </c>
      <c r="C6760" s="2">
        <v>84613230</v>
      </c>
      <c r="D6760" s="2">
        <v>85869059</v>
      </c>
      <c r="E6760" s="2">
        <v>4</v>
      </c>
      <c r="F6760" s="2" t="s">
        <v>10086</v>
      </c>
      <c r="H6760" s="3">
        <v>4.0000000000000002E-4</v>
      </c>
      <c r="K6760" s="2" t="s">
        <v>10088</v>
      </c>
    </row>
    <row r="6761" spans="1:11" x14ac:dyDescent="0.2">
      <c r="A6761" s="2">
        <v>1692</v>
      </c>
      <c r="B6761" s="2">
        <v>11</v>
      </c>
      <c r="C6761" s="2">
        <v>85869060</v>
      </c>
      <c r="D6761" s="2">
        <v>86629333</v>
      </c>
      <c r="E6761" s="2">
        <v>1</v>
      </c>
      <c r="F6761" s="2" t="s">
        <v>10086</v>
      </c>
      <c r="H6761" s="2">
        <v>1.9E-3</v>
      </c>
      <c r="K6761" s="2" t="s">
        <v>10085</v>
      </c>
    </row>
    <row r="6762" spans="1:11" x14ac:dyDescent="0.2">
      <c r="A6762" s="2">
        <v>1692</v>
      </c>
      <c r="B6762" s="2">
        <v>11</v>
      </c>
      <c r="C6762" s="2">
        <v>85869060</v>
      </c>
      <c r="D6762" s="2">
        <v>86629333</v>
      </c>
      <c r="E6762" s="2">
        <v>2</v>
      </c>
      <c r="F6762" s="2" t="s">
        <v>10086</v>
      </c>
      <c r="H6762" s="2">
        <v>1.1999999999999999E-3</v>
      </c>
      <c r="K6762" s="2" t="s">
        <v>10087</v>
      </c>
    </row>
    <row r="6763" spans="1:11" x14ac:dyDescent="0.2">
      <c r="A6763" s="2">
        <v>1692</v>
      </c>
      <c r="B6763" s="2">
        <v>11</v>
      </c>
      <c r="C6763" s="2">
        <v>85869060</v>
      </c>
      <c r="D6763" s="2">
        <v>86629333</v>
      </c>
      <c r="E6763" s="2">
        <v>3</v>
      </c>
      <c r="F6763" s="2" t="s">
        <v>10086</v>
      </c>
      <c r="H6763" s="3">
        <v>8.0000000000000004E-4</v>
      </c>
      <c r="K6763" s="2" t="s">
        <v>10088</v>
      </c>
    </row>
    <row r="6764" spans="1:11" x14ac:dyDescent="0.2">
      <c r="A6764" s="2">
        <v>1692</v>
      </c>
      <c r="B6764" s="2">
        <v>11</v>
      </c>
      <c r="C6764" s="2">
        <v>85869060</v>
      </c>
      <c r="D6764" s="2">
        <v>86629333</v>
      </c>
      <c r="E6764" s="2">
        <v>4</v>
      </c>
      <c r="F6764" s="2" t="s">
        <v>10086</v>
      </c>
      <c r="H6764" s="3">
        <v>4.0000000000000002E-4</v>
      </c>
      <c r="K6764" s="2" t="s">
        <v>10089</v>
      </c>
    </row>
    <row r="6765" spans="1:11" x14ac:dyDescent="0.2">
      <c r="A6765" s="2">
        <v>1693</v>
      </c>
      <c r="B6765" s="2">
        <v>11</v>
      </c>
      <c r="C6765" s="2">
        <v>86629334</v>
      </c>
      <c r="D6765" s="2">
        <v>87676870</v>
      </c>
      <c r="E6765" s="2">
        <v>1</v>
      </c>
      <c r="F6765" s="2" t="s">
        <v>10086</v>
      </c>
      <c r="H6765" s="2">
        <v>8.5000000000000006E-3</v>
      </c>
      <c r="K6765" s="2" t="s">
        <v>10088</v>
      </c>
    </row>
    <row r="6766" spans="1:11" x14ac:dyDescent="0.2">
      <c r="A6766" s="2">
        <v>1693</v>
      </c>
      <c r="B6766" s="2">
        <v>11</v>
      </c>
      <c r="C6766" s="2">
        <v>86629334</v>
      </c>
      <c r="D6766" s="2">
        <v>87676870</v>
      </c>
      <c r="E6766" s="2">
        <v>2</v>
      </c>
      <c r="F6766" s="2" t="s">
        <v>10086</v>
      </c>
      <c r="H6766" s="2">
        <v>1.9E-3</v>
      </c>
      <c r="K6766" s="2" t="s">
        <v>10085</v>
      </c>
    </row>
    <row r="6767" spans="1:11" x14ac:dyDescent="0.2">
      <c r="A6767" s="2">
        <v>1693</v>
      </c>
      <c r="B6767" s="2">
        <v>11</v>
      </c>
      <c r="C6767" s="2">
        <v>86629334</v>
      </c>
      <c r="D6767" s="2">
        <v>87676870</v>
      </c>
      <c r="E6767" s="2">
        <v>3</v>
      </c>
      <c r="F6767" s="2" t="s">
        <v>10086</v>
      </c>
      <c r="H6767" s="2">
        <v>2E-3</v>
      </c>
      <c r="K6767" s="2" t="s">
        <v>12324</v>
      </c>
    </row>
    <row r="6768" spans="1:11" x14ac:dyDescent="0.2">
      <c r="A6768" s="2">
        <v>1693</v>
      </c>
      <c r="B6768" s="2">
        <v>11</v>
      </c>
      <c r="C6768" s="2">
        <v>86629334</v>
      </c>
      <c r="D6768" s="2">
        <v>87676870</v>
      </c>
      <c r="E6768" s="2">
        <v>4</v>
      </c>
      <c r="F6768" s="2" t="s">
        <v>10086</v>
      </c>
      <c r="H6768" s="2">
        <v>1E-3</v>
      </c>
      <c r="K6768" s="2" t="s">
        <v>10089</v>
      </c>
    </row>
    <row r="6769" spans="1:11" x14ac:dyDescent="0.2">
      <c r="A6769" s="2">
        <v>1694</v>
      </c>
      <c r="B6769" s="2">
        <v>11</v>
      </c>
      <c r="C6769" s="2">
        <v>87676871</v>
      </c>
      <c r="D6769" s="2">
        <v>88359287</v>
      </c>
      <c r="E6769" s="2">
        <v>1</v>
      </c>
      <c r="F6769" s="2" t="s">
        <v>10086</v>
      </c>
      <c r="H6769" s="2">
        <v>8.8000000000000005E-3</v>
      </c>
      <c r="K6769" s="2" t="s">
        <v>12324</v>
      </c>
    </row>
    <row r="6770" spans="1:11" x14ac:dyDescent="0.2">
      <c r="A6770" s="2">
        <v>1694</v>
      </c>
      <c r="B6770" s="2">
        <v>11</v>
      </c>
      <c r="C6770" s="2">
        <v>87676871</v>
      </c>
      <c r="D6770" s="2">
        <v>88359287</v>
      </c>
      <c r="E6770" s="2">
        <v>2</v>
      </c>
      <c r="F6770" s="2" t="s">
        <v>10086</v>
      </c>
      <c r="H6770" s="3">
        <v>8.0000000000000004E-4</v>
      </c>
      <c r="K6770" s="2" t="s">
        <v>10089</v>
      </c>
    </row>
    <row r="6771" spans="1:11" x14ac:dyDescent="0.2">
      <c r="A6771" s="2">
        <v>1694</v>
      </c>
      <c r="B6771" s="2">
        <v>11</v>
      </c>
      <c r="C6771" s="2">
        <v>87676871</v>
      </c>
      <c r="D6771" s="2">
        <v>88359287</v>
      </c>
      <c r="E6771" s="2">
        <v>3</v>
      </c>
      <c r="F6771" s="2" t="s">
        <v>10086</v>
      </c>
      <c r="H6771" s="2">
        <v>2.3E-3</v>
      </c>
      <c r="K6771" s="2" t="s">
        <v>10087</v>
      </c>
    </row>
    <row r="6772" spans="1:11" x14ac:dyDescent="0.2">
      <c r="A6772" s="2">
        <v>1694</v>
      </c>
      <c r="B6772" s="2">
        <v>11</v>
      </c>
      <c r="C6772" s="2">
        <v>87676871</v>
      </c>
      <c r="D6772" s="2">
        <v>88359287</v>
      </c>
      <c r="E6772" s="2">
        <v>4</v>
      </c>
      <c r="F6772" s="2" t="s">
        <v>10086</v>
      </c>
      <c r="H6772" s="3">
        <v>5.9999999999999995E-4</v>
      </c>
      <c r="K6772" s="2" t="s">
        <v>10088</v>
      </c>
    </row>
    <row r="6773" spans="1:11" x14ac:dyDescent="0.2">
      <c r="A6773" s="2">
        <v>1695</v>
      </c>
      <c r="B6773" s="2">
        <v>11</v>
      </c>
      <c r="C6773" s="2">
        <v>88359288</v>
      </c>
      <c r="D6773" s="2">
        <v>89209738</v>
      </c>
      <c r="E6773" s="2">
        <v>1</v>
      </c>
      <c r="F6773" s="2" t="s">
        <v>10086</v>
      </c>
      <c r="H6773" s="2">
        <v>2.7000000000000001E-3</v>
      </c>
      <c r="K6773" s="2" t="s">
        <v>12324</v>
      </c>
    </row>
    <row r="6774" spans="1:11" x14ac:dyDescent="0.2">
      <c r="A6774" s="2">
        <v>1695</v>
      </c>
      <c r="B6774" s="2">
        <v>11</v>
      </c>
      <c r="C6774" s="2">
        <v>88359288</v>
      </c>
      <c r="D6774" s="2">
        <v>89209738</v>
      </c>
      <c r="E6774" s="2">
        <v>2</v>
      </c>
      <c r="F6774" s="2" t="s">
        <v>10086</v>
      </c>
      <c r="H6774" s="2">
        <v>2.7000000000000001E-3</v>
      </c>
      <c r="K6774" s="2" t="s">
        <v>10087</v>
      </c>
    </row>
    <row r="6775" spans="1:11" x14ac:dyDescent="0.2">
      <c r="A6775" s="2">
        <v>1695</v>
      </c>
      <c r="B6775" s="2">
        <v>11</v>
      </c>
      <c r="C6775" s="2">
        <v>88359288</v>
      </c>
      <c r="D6775" s="2">
        <v>89209738</v>
      </c>
      <c r="E6775" s="2">
        <v>3</v>
      </c>
      <c r="F6775" s="2" t="s">
        <v>10086</v>
      </c>
      <c r="H6775" s="2">
        <v>1E-3</v>
      </c>
      <c r="K6775" s="2" t="s">
        <v>10085</v>
      </c>
    </row>
    <row r="6776" spans="1:11" x14ac:dyDescent="0.2">
      <c r="A6776" s="2">
        <v>1695</v>
      </c>
      <c r="B6776" s="2">
        <v>11</v>
      </c>
      <c r="C6776" s="2">
        <v>88359288</v>
      </c>
      <c r="D6776" s="2">
        <v>89209738</v>
      </c>
      <c r="E6776" s="2">
        <v>4</v>
      </c>
      <c r="F6776" s="2" t="s">
        <v>10086</v>
      </c>
      <c r="H6776" s="3">
        <v>8.0000000000000004E-4</v>
      </c>
      <c r="K6776" s="2" t="s">
        <v>10088</v>
      </c>
    </row>
    <row r="6777" spans="1:11" x14ac:dyDescent="0.2">
      <c r="A6777" s="2">
        <v>1696</v>
      </c>
      <c r="B6777" s="2">
        <v>11</v>
      </c>
      <c r="C6777" s="2">
        <v>89209739</v>
      </c>
      <c r="D6777" s="2">
        <v>90199932</v>
      </c>
      <c r="E6777" s="2">
        <v>1</v>
      </c>
      <c r="F6777" s="2" t="s">
        <v>10086</v>
      </c>
      <c r="H6777" s="2">
        <v>1.9E-3</v>
      </c>
      <c r="K6777" s="2" t="s">
        <v>12324</v>
      </c>
    </row>
    <row r="6778" spans="1:11" x14ac:dyDescent="0.2">
      <c r="A6778" s="2">
        <v>1696</v>
      </c>
      <c r="B6778" s="2">
        <v>11</v>
      </c>
      <c r="C6778" s="2">
        <v>89209739</v>
      </c>
      <c r="D6778" s="2">
        <v>90199932</v>
      </c>
      <c r="E6778" s="2">
        <v>2</v>
      </c>
      <c r="F6778" s="2" t="s">
        <v>10086</v>
      </c>
      <c r="H6778" s="2">
        <v>1E-3</v>
      </c>
      <c r="K6778" s="2" t="s">
        <v>10085</v>
      </c>
    </row>
    <row r="6779" spans="1:11" x14ac:dyDescent="0.2">
      <c r="A6779" s="2">
        <v>1696</v>
      </c>
      <c r="B6779" s="2">
        <v>11</v>
      </c>
      <c r="C6779" s="2">
        <v>89209739</v>
      </c>
      <c r="D6779" s="2">
        <v>90199932</v>
      </c>
      <c r="E6779" s="2">
        <v>3</v>
      </c>
      <c r="F6779" s="2" t="s">
        <v>10086</v>
      </c>
      <c r="H6779" s="3">
        <v>8.9999999999999998E-4</v>
      </c>
      <c r="K6779" s="2" t="s">
        <v>10088</v>
      </c>
    </row>
    <row r="6780" spans="1:11" x14ac:dyDescent="0.2">
      <c r="A6780" s="2">
        <v>1696</v>
      </c>
      <c r="B6780" s="2">
        <v>11</v>
      </c>
      <c r="C6780" s="2">
        <v>89209739</v>
      </c>
      <c r="D6780" s="2">
        <v>90199932</v>
      </c>
      <c r="E6780" s="2">
        <v>4</v>
      </c>
      <c r="F6780" s="2" t="s">
        <v>10086</v>
      </c>
      <c r="H6780" s="3">
        <v>5.0000000000000001E-4</v>
      </c>
      <c r="K6780" s="2" t="s">
        <v>10089</v>
      </c>
    </row>
    <row r="6781" spans="1:11" x14ac:dyDescent="0.2">
      <c r="A6781" s="2">
        <v>1697</v>
      </c>
      <c r="B6781" s="2">
        <v>11</v>
      </c>
      <c r="C6781" s="2">
        <v>90199933</v>
      </c>
      <c r="D6781" s="2">
        <v>90967061</v>
      </c>
      <c r="E6781" s="2">
        <v>1</v>
      </c>
      <c r="F6781" s="2" t="s">
        <v>10086</v>
      </c>
      <c r="H6781" s="3">
        <v>8.9999999999999998E-4</v>
      </c>
      <c r="K6781" s="2" t="s">
        <v>10088</v>
      </c>
    </row>
    <row r="6782" spans="1:11" x14ac:dyDescent="0.2">
      <c r="A6782" s="2">
        <v>1697</v>
      </c>
      <c r="B6782" s="2">
        <v>11</v>
      </c>
      <c r="C6782" s="2">
        <v>90199933</v>
      </c>
      <c r="D6782" s="2">
        <v>90967061</v>
      </c>
      <c r="E6782" s="2">
        <v>2</v>
      </c>
      <c r="F6782" s="2" t="s">
        <v>10086</v>
      </c>
      <c r="H6782" s="3">
        <v>6.9999999999999999E-4</v>
      </c>
      <c r="K6782" s="2" t="s">
        <v>10085</v>
      </c>
    </row>
    <row r="6783" spans="1:11" x14ac:dyDescent="0.2">
      <c r="A6783" s="2">
        <v>1697</v>
      </c>
      <c r="B6783" s="2">
        <v>11</v>
      </c>
      <c r="C6783" s="2">
        <v>90199933</v>
      </c>
      <c r="D6783" s="2">
        <v>90967061</v>
      </c>
      <c r="E6783" s="2">
        <v>3</v>
      </c>
      <c r="F6783" s="2" t="s">
        <v>10086</v>
      </c>
      <c r="H6783" s="3">
        <v>5.9999999999999995E-4</v>
      </c>
      <c r="K6783" s="2" t="s">
        <v>10089</v>
      </c>
    </row>
    <row r="6784" spans="1:11" x14ac:dyDescent="0.2">
      <c r="A6784" s="2">
        <v>1697</v>
      </c>
      <c r="B6784" s="2">
        <v>11</v>
      </c>
      <c r="C6784" s="2">
        <v>90199933</v>
      </c>
      <c r="D6784" s="2">
        <v>90967061</v>
      </c>
      <c r="E6784" s="2">
        <v>4</v>
      </c>
      <c r="F6784" s="2" t="s">
        <v>10086</v>
      </c>
      <c r="H6784" s="3">
        <v>5.0000000000000001E-4</v>
      </c>
      <c r="K6784" s="2" t="s">
        <v>10087</v>
      </c>
    </row>
    <row r="6785" spans="1:11" x14ac:dyDescent="0.2">
      <c r="A6785" s="2">
        <v>1698</v>
      </c>
      <c r="B6785" s="2">
        <v>11</v>
      </c>
      <c r="C6785" s="2">
        <v>90967062</v>
      </c>
      <c r="D6785" s="2">
        <v>92209168</v>
      </c>
      <c r="E6785" s="2">
        <v>1</v>
      </c>
      <c r="F6785" s="2" t="s">
        <v>10086</v>
      </c>
      <c r="H6785" s="2">
        <v>1.9E-3</v>
      </c>
      <c r="K6785" s="2" t="s">
        <v>10088</v>
      </c>
    </row>
    <row r="6786" spans="1:11" x14ac:dyDescent="0.2">
      <c r="A6786" s="2">
        <v>1698</v>
      </c>
      <c r="B6786" s="2">
        <v>11</v>
      </c>
      <c r="C6786" s="2">
        <v>90967062</v>
      </c>
      <c r="D6786" s="2">
        <v>92209168</v>
      </c>
      <c r="E6786" s="2">
        <v>2</v>
      </c>
      <c r="F6786" s="2" t="s">
        <v>10086</v>
      </c>
      <c r="H6786" s="2">
        <v>1.1999999999999999E-3</v>
      </c>
      <c r="K6786" s="2" t="s">
        <v>10087</v>
      </c>
    </row>
    <row r="6787" spans="1:11" x14ac:dyDescent="0.2">
      <c r="A6787" s="2">
        <v>1698</v>
      </c>
      <c r="B6787" s="2">
        <v>11</v>
      </c>
      <c r="C6787" s="2">
        <v>90967062</v>
      </c>
      <c r="D6787" s="2">
        <v>92209168</v>
      </c>
      <c r="E6787" s="2">
        <v>3</v>
      </c>
      <c r="F6787" s="2" t="s">
        <v>10086</v>
      </c>
      <c r="H6787" s="2">
        <v>1.1000000000000001E-3</v>
      </c>
      <c r="K6787" s="2" t="s">
        <v>10089</v>
      </c>
    </row>
    <row r="6788" spans="1:11" x14ac:dyDescent="0.2">
      <c r="A6788" s="2">
        <v>1698</v>
      </c>
      <c r="B6788" s="2">
        <v>11</v>
      </c>
      <c r="C6788" s="2">
        <v>90967062</v>
      </c>
      <c r="D6788" s="2">
        <v>92209168</v>
      </c>
      <c r="E6788" s="2">
        <v>4</v>
      </c>
      <c r="F6788" s="2" t="s">
        <v>10086</v>
      </c>
      <c r="H6788" s="3">
        <v>5.0000000000000001E-4</v>
      </c>
      <c r="K6788" s="2" t="s">
        <v>10085</v>
      </c>
    </row>
    <row r="6789" spans="1:11" x14ac:dyDescent="0.2">
      <c r="A6789" s="2">
        <v>1699</v>
      </c>
      <c r="B6789" s="2">
        <v>11</v>
      </c>
      <c r="C6789" s="2">
        <v>92209169</v>
      </c>
      <c r="D6789" s="2">
        <v>93576641</v>
      </c>
      <c r="E6789" s="2">
        <v>1</v>
      </c>
      <c r="F6789" s="2" t="s">
        <v>10086</v>
      </c>
      <c r="H6789" s="2">
        <v>2.8E-3</v>
      </c>
      <c r="K6789" s="2" t="s">
        <v>10089</v>
      </c>
    </row>
    <row r="6790" spans="1:11" x14ac:dyDescent="0.2">
      <c r="A6790" s="2">
        <v>1699</v>
      </c>
      <c r="B6790" s="2">
        <v>11</v>
      </c>
      <c r="C6790" s="2">
        <v>92209169</v>
      </c>
      <c r="D6790" s="2">
        <v>93576641</v>
      </c>
      <c r="E6790" s="2">
        <v>2</v>
      </c>
      <c r="F6790" s="2" t="s">
        <v>10086</v>
      </c>
      <c r="H6790" s="2">
        <v>1.5E-3</v>
      </c>
      <c r="K6790" s="2" t="s">
        <v>10085</v>
      </c>
    </row>
    <row r="6791" spans="1:11" x14ac:dyDescent="0.2">
      <c r="A6791" s="2">
        <v>1699</v>
      </c>
      <c r="B6791" s="2">
        <v>11</v>
      </c>
      <c r="C6791" s="2">
        <v>92209169</v>
      </c>
      <c r="D6791" s="2">
        <v>93576641</v>
      </c>
      <c r="E6791" s="2">
        <v>3</v>
      </c>
      <c r="F6791" s="2" t="s">
        <v>10086</v>
      </c>
      <c r="H6791" s="2">
        <v>2E-3</v>
      </c>
      <c r="K6791" s="2" t="s">
        <v>10088</v>
      </c>
    </row>
    <row r="6792" spans="1:11" x14ac:dyDescent="0.2">
      <c r="A6792" s="2">
        <v>1699</v>
      </c>
      <c r="B6792" s="2">
        <v>11</v>
      </c>
      <c r="C6792" s="2">
        <v>92209169</v>
      </c>
      <c r="D6792" s="2">
        <v>93576641</v>
      </c>
      <c r="E6792" s="2">
        <v>4</v>
      </c>
      <c r="F6792" s="2" t="s">
        <v>10086</v>
      </c>
      <c r="H6792" s="3">
        <v>5.0000000000000001E-4</v>
      </c>
      <c r="K6792" s="2" t="s">
        <v>10087</v>
      </c>
    </row>
    <row r="6793" spans="1:11" x14ac:dyDescent="0.2">
      <c r="A6793" s="2">
        <v>1700</v>
      </c>
      <c r="B6793" s="2">
        <v>11</v>
      </c>
      <c r="C6793" s="2">
        <v>93576642</v>
      </c>
      <c r="D6793" s="2">
        <v>94384535</v>
      </c>
      <c r="E6793" s="2">
        <v>1</v>
      </c>
      <c r="F6793" s="2" t="s">
        <v>10086</v>
      </c>
      <c r="H6793" s="3">
        <v>8.9999999999999998E-4</v>
      </c>
      <c r="K6793" s="2" t="s">
        <v>10085</v>
      </c>
    </row>
    <row r="6794" spans="1:11" x14ac:dyDescent="0.2">
      <c r="A6794" s="2">
        <v>1700</v>
      </c>
      <c r="B6794" s="2">
        <v>11</v>
      </c>
      <c r="C6794" s="2">
        <v>93576642</v>
      </c>
      <c r="D6794" s="2">
        <v>94384535</v>
      </c>
      <c r="E6794" s="2">
        <v>2</v>
      </c>
      <c r="F6794" s="2" t="s">
        <v>10086</v>
      </c>
      <c r="H6794" s="3">
        <v>6.9999999999999999E-4</v>
      </c>
      <c r="K6794" s="2" t="s">
        <v>10088</v>
      </c>
    </row>
    <row r="6795" spans="1:11" x14ac:dyDescent="0.2">
      <c r="A6795" s="2">
        <v>1700</v>
      </c>
      <c r="B6795" s="2">
        <v>11</v>
      </c>
      <c r="C6795" s="2">
        <v>93576642</v>
      </c>
      <c r="D6795" s="2">
        <v>94384535</v>
      </c>
      <c r="E6795" s="2">
        <v>3</v>
      </c>
      <c r="F6795" s="2" t="s">
        <v>10086</v>
      </c>
      <c r="H6795" s="3">
        <v>5.9999999999999995E-4</v>
      </c>
      <c r="K6795" s="2" t="s">
        <v>10087</v>
      </c>
    </row>
    <row r="6796" spans="1:11" x14ac:dyDescent="0.2">
      <c r="A6796" s="2">
        <v>1700</v>
      </c>
      <c r="B6796" s="2">
        <v>11</v>
      </c>
      <c r="C6796" s="2">
        <v>93576642</v>
      </c>
      <c r="D6796" s="2">
        <v>94384535</v>
      </c>
      <c r="E6796" s="2">
        <v>4</v>
      </c>
      <c r="F6796" s="2" t="s">
        <v>10086</v>
      </c>
      <c r="H6796" s="3">
        <v>2.9999999999999997E-4</v>
      </c>
      <c r="K6796" s="2" t="s">
        <v>10089</v>
      </c>
    </row>
    <row r="6797" spans="1:11" x14ac:dyDescent="0.2">
      <c r="A6797" s="2">
        <v>1701</v>
      </c>
      <c r="B6797" s="2">
        <v>11</v>
      </c>
      <c r="C6797" s="2">
        <v>94384536</v>
      </c>
      <c r="D6797" s="2">
        <v>95327210</v>
      </c>
      <c r="E6797" s="2">
        <v>1</v>
      </c>
      <c r="F6797" s="2" t="s">
        <v>10086</v>
      </c>
      <c r="H6797" s="2">
        <v>6.83E-2</v>
      </c>
      <c r="K6797" s="2" t="s">
        <v>10088</v>
      </c>
    </row>
    <row r="6798" spans="1:11" x14ac:dyDescent="0.2">
      <c r="A6798" s="2">
        <v>1701</v>
      </c>
      <c r="B6798" s="2">
        <v>11</v>
      </c>
      <c r="C6798" s="2">
        <v>94384536</v>
      </c>
      <c r="D6798" s="2">
        <v>95327210</v>
      </c>
      <c r="E6798" s="2">
        <v>2</v>
      </c>
      <c r="F6798" s="2" t="s">
        <v>10086</v>
      </c>
      <c r="H6798" s="2">
        <v>1.6999999999999999E-3</v>
      </c>
      <c r="K6798" s="2" t="s">
        <v>10085</v>
      </c>
    </row>
    <row r="6799" spans="1:11" x14ac:dyDescent="0.2">
      <c r="A6799" s="2">
        <v>1701</v>
      </c>
      <c r="B6799" s="2">
        <v>11</v>
      </c>
      <c r="C6799" s="2">
        <v>94384536</v>
      </c>
      <c r="D6799" s="2">
        <v>95327210</v>
      </c>
      <c r="E6799" s="2">
        <v>3</v>
      </c>
      <c r="F6799" s="2" t="s">
        <v>10086</v>
      </c>
      <c r="H6799" s="3">
        <v>8.0000000000000004E-4</v>
      </c>
      <c r="K6799" s="2" t="s">
        <v>10087</v>
      </c>
    </row>
    <row r="6800" spans="1:11" x14ac:dyDescent="0.2">
      <c r="A6800" s="2">
        <v>1701</v>
      </c>
      <c r="B6800" s="2">
        <v>11</v>
      </c>
      <c r="C6800" s="2">
        <v>94384536</v>
      </c>
      <c r="D6800" s="2">
        <v>95327210</v>
      </c>
      <c r="E6800" s="2">
        <v>4</v>
      </c>
      <c r="F6800" s="2" t="s">
        <v>10086</v>
      </c>
      <c r="H6800" s="3">
        <v>5.0000000000000001E-4</v>
      </c>
      <c r="K6800" s="2" t="s">
        <v>10089</v>
      </c>
    </row>
    <row r="6801" spans="1:11" x14ac:dyDescent="0.2">
      <c r="A6801" s="2">
        <v>1702</v>
      </c>
      <c r="B6801" s="2">
        <v>11</v>
      </c>
      <c r="C6801" s="2">
        <v>95327211</v>
      </c>
      <c r="D6801" s="2">
        <v>96150134</v>
      </c>
      <c r="E6801" s="2">
        <v>1</v>
      </c>
      <c r="F6801" s="2" t="s">
        <v>10086</v>
      </c>
      <c r="H6801" s="2">
        <v>2.2000000000000001E-3</v>
      </c>
      <c r="K6801" s="2" t="s">
        <v>10088</v>
      </c>
    </row>
    <row r="6802" spans="1:11" x14ac:dyDescent="0.2">
      <c r="A6802" s="2">
        <v>1702</v>
      </c>
      <c r="B6802" s="2">
        <v>11</v>
      </c>
      <c r="C6802" s="2">
        <v>95327211</v>
      </c>
      <c r="D6802" s="2">
        <v>96150134</v>
      </c>
      <c r="E6802" s="2">
        <v>2</v>
      </c>
      <c r="F6802" s="2" t="s">
        <v>10086</v>
      </c>
      <c r="H6802" s="2">
        <v>1E-3</v>
      </c>
      <c r="K6802" s="2" t="s">
        <v>10085</v>
      </c>
    </row>
    <row r="6803" spans="1:11" x14ac:dyDescent="0.2">
      <c r="A6803" s="2">
        <v>1702</v>
      </c>
      <c r="B6803" s="2">
        <v>11</v>
      </c>
      <c r="C6803" s="2">
        <v>95327211</v>
      </c>
      <c r="D6803" s="2">
        <v>96150134</v>
      </c>
      <c r="E6803" s="2">
        <v>3</v>
      </c>
      <c r="F6803" s="2" t="s">
        <v>10086</v>
      </c>
      <c r="H6803" s="3">
        <v>5.9999999999999995E-4</v>
      </c>
      <c r="K6803" s="2" t="s">
        <v>10089</v>
      </c>
    </row>
    <row r="6804" spans="1:11" x14ac:dyDescent="0.2">
      <c r="A6804" s="2">
        <v>1702</v>
      </c>
      <c r="B6804" s="2">
        <v>11</v>
      </c>
      <c r="C6804" s="2">
        <v>95327211</v>
      </c>
      <c r="D6804" s="2">
        <v>96150134</v>
      </c>
      <c r="E6804" s="2">
        <v>4</v>
      </c>
      <c r="F6804" s="2" t="s">
        <v>10086</v>
      </c>
      <c r="H6804" s="3">
        <v>2.9999999999999997E-4</v>
      </c>
      <c r="K6804" s="2" t="s">
        <v>10087</v>
      </c>
    </row>
    <row r="6805" spans="1:11" x14ac:dyDescent="0.2">
      <c r="A6805" s="2">
        <v>1703</v>
      </c>
      <c r="B6805" s="2">
        <v>11</v>
      </c>
      <c r="C6805" s="2">
        <v>96150135</v>
      </c>
      <c r="D6805" s="2">
        <v>97091671</v>
      </c>
      <c r="E6805" s="2">
        <v>1</v>
      </c>
      <c r="F6805" s="2" t="s">
        <v>10086</v>
      </c>
      <c r="H6805" s="2">
        <v>3.3999999999999998E-3</v>
      </c>
      <c r="K6805" s="2" t="s">
        <v>10089</v>
      </c>
    </row>
    <row r="6806" spans="1:11" x14ac:dyDescent="0.2">
      <c r="A6806" s="2">
        <v>1703</v>
      </c>
      <c r="B6806" s="2">
        <v>11</v>
      </c>
      <c r="C6806" s="2">
        <v>96150135</v>
      </c>
      <c r="D6806" s="2">
        <v>97091671</v>
      </c>
      <c r="E6806" s="2">
        <v>2</v>
      </c>
      <c r="F6806" s="2" t="s">
        <v>10086</v>
      </c>
      <c r="H6806" s="2">
        <v>1E-3</v>
      </c>
      <c r="K6806" s="2" t="s">
        <v>10085</v>
      </c>
    </row>
    <row r="6807" spans="1:11" x14ac:dyDescent="0.2">
      <c r="A6807" s="2">
        <v>1703</v>
      </c>
      <c r="B6807" s="2">
        <v>11</v>
      </c>
      <c r="C6807" s="2">
        <v>96150135</v>
      </c>
      <c r="D6807" s="2">
        <v>97091671</v>
      </c>
      <c r="E6807" s="2">
        <v>3</v>
      </c>
      <c r="F6807" s="2" t="s">
        <v>10086</v>
      </c>
      <c r="H6807" s="3">
        <v>8.0000000000000004E-4</v>
      </c>
      <c r="K6807" s="2" t="s">
        <v>10088</v>
      </c>
    </row>
    <row r="6808" spans="1:11" x14ac:dyDescent="0.2">
      <c r="A6808" s="2">
        <v>1703</v>
      </c>
      <c r="B6808" s="2">
        <v>11</v>
      </c>
      <c r="C6808" s="2">
        <v>96150135</v>
      </c>
      <c r="D6808" s="2">
        <v>97091671</v>
      </c>
      <c r="E6808" s="2">
        <v>4</v>
      </c>
      <c r="F6808" s="2" t="s">
        <v>10086</v>
      </c>
      <c r="H6808" s="3">
        <v>2.9999999999999997E-4</v>
      </c>
      <c r="K6808" s="2" t="s">
        <v>10087</v>
      </c>
    </row>
    <row r="6809" spans="1:11" x14ac:dyDescent="0.2">
      <c r="A6809" s="2">
        <v>1704</v>
      </c>
      <c r="B6809" s="2">
        <v>11</v>
      </c>
      <c r="C6809" s="2">
        <v>97091672</v>
      </c>
      <c r="D6809" s="2">
        <v>98145570</v>
      </c>
      <c r="E6809" s="2">
        <v>1</v>
      </c>
      <c r="F6809" s="2" t="s">
        <v>10086</v>
      </c>
      <c r="H6809" s="2">
        <v>1.6000000000000001E-3</v>
      </c>
      <c r="K6809" s="2" t="s">
        <v>10085</v>
      </c>
    </row>
    <row r="6810" spans="1:11" x14ac:dyDescent="0.2">
      <c r="A6810" s="2">
        <v>1704</v>
      </c>
      <c r="B6810" s="2">
        <v>11</v>
      </c>
      <c r="C6810" s="2">
        <v>97091672</v>
      </c>
      <c r="D6810" s="2">
        <v>98145570</v>
      </c>
      <c r="E6810" s="2">
        <v>2</v>
      </c>
      <c r="F6810" s="2" t="s">
        <v>10086</v>
      </c>
      <c r="H6810" s="2">
        <v>1.1000000000000001E-3</v>
      </c>
      <c r="K6810" s="2" t="s">
        <v>12324</v>
      </c>
    </row>
    <row r="6811" spans="1:11" x14ac:dyDescent="0.2">
      <c r="A6811" s="2">
        <v>1704</v>
      </c>
      <c r="B6811" s="2">
        <v>11</v>
      </c>
      <c r="C6811" s="2">
        <v>97091672</v>
      </c>
      <c r="D6811" s="2">
        <v>98145570</v>
      </c>
      <c r="E6811" s="2">
        <v>3</v>
      </c>
      <c r="F6811" s="2" t="s">
        <v>10086</v>
      </c>
      <c r="H6811" s="2">
        <v>1E-3</v>
      </c>
      <c r="K6811" s="2" t="s">
        <v>10089</v>
      </c>
    </row>
    <row r="6812" spans="1:11" x14ac:dyDescent="0.2">
      <c r="A6812" s="2">
        <v>1704</v>
      </c>
      <c r="B6812" s="2">
        <v>11</v>
      </c>
      <c r="C6812" s="2">
        <v>97091672</v>
      </c>
      <c r="D6812" s="2">
        <v>98145570</v>
      </c>
      <c r="E6812" s="2">
        <v>4</v>
      </c>
      <c r="F6812" s="2" t="s">
        <v>10086</v>
      </c>
      <c r="H6812" s="3">
        <v>8.9999999999999998E-4</v>
      </c>
      <c r="K6812" s="2" t="s">
        <v>10088</v>
      </c>
    </row>
    <row r="6813" spans="1:11" x14ac:dyDescent="0.2">
      <c r="A6813" s="2">
        <v>1705</v>
      </c>
      <c r="B6813" s="2">
        <v>11</v>
      </c>
      <c r="C6813" s="2">
        <v>98145571</v>
      </c>
      <c r="D6813" s="2">
        <v>98929380</v>
      </c>
      <c r="E6813" s="2">
        <v>1</v>
      </c>
      <c r="F6813" s="2" t="s">
        <v>10086</v>
      </c>
      <c r="H6813" s="2">
        <v>4.5999999999999999E-3</v>
      </c>
      <c r="K6813" s="2" t="s">
        <v>10085</v>
      </c>
    </row>
    <row r="6814" spans="1:11" x14ac:dyDescent="0.2">
      <c r="A6814" s="2">
        <v>1705</v>
      </c>
      <c r="B6814" s="2">
        <v>11</v>
      </c>
      <c r="C6814" s="2">
        <v>98145571</v>
      </c>
      <c r="D6814" s="2">
        <v>98929380</v>
      </c>
      <c r="E6814" s="2">
        <v>2</v>
      </c>
      <c r="F6814" s="2" t="s">
        <v>10086</v>
      </c>
      <c r="H6814" s="2">
        <v>1.4E-3</v>
      </c>
      <c r="K6814" s="2" t="s">
        <v>10088</v>
      </c>
    </row>
    <row r="6815" spans="1:11" x14ac:dyDescent="0.2">
      <c r="A6815" s="2">
        <v>1705</v>
      </c>
      <c r="B6815" s="2">
        <v>11</v>
      </c>
      <c r="C6815" s="2">
        <v>98145571</v>
      </c>
      <c r="D6815" s="2">
        <v>98929380</v>
      </c>
      <c r="E6815" s="2">
        <v>3</v>
      </c>
      <c r="F6815" s="2" t="s">
        <v>10086</v>
      </c>
      <c r="H6815" s="2">
        <v>1.2999999999999999E-3</v>
      </c>
      <c r="K6815" s="2" t="s">
        <v>10087</v>
      </c>
    </row>
    <row r="6816" spans="1:11" x14ac:dyDescent="0.2">
      <c r="A6816" s="2">
        <v>1705</v>
      </c>
      <c r="B6816" s="2">
        <v>11</v>
      </c>
      <c r="C6816" s="2">
        <v>98145571</v>
      </c>
      <c r="D6816" s="2">
        <v>98929380</v>
      </c>
      <c r="E6816" s="2">
        <v>4</v>
      </c>
      <c r="F6816" s="2" t="s">
        <v>10086</v>
      </c>
      <c r="H6816" s="3">
        <v>6.9999999999999999E-4</v>
      </c>
      <c r="K6816" s="2" t="s">
        <v>10089</v>
      </c>
    </row>
    <row r="6817" spans="1:11" x14ac:dyDescent="0.2">
      <c r="A6817" s="2">
        <v>1706</v>
      </c>
      <c r="B6817" s="2">
        <v>11</v>
      </c>
      <c r="C6817" s="2">
        <v>98929381</v>
      </c>
      <c r="D6817" s="2">
        <v>99619347</v>
      </c>
      <c r="E6817" s="2">
        <v>1</v>
      </c>
      <c r="F6817" s="2" t="s">
        <v>10086</v>
      </c>
      <c r="H6817" s="2">
        <v>1.5E-3</v>
      </c>
      <c r="K6817" s="2" t="s">
        <v>10088</v>
      </c>
    </row>
    <row r="6818" spans="1:11" x14ac:dyDescent="0.2">
      <c r="A6818" s="2">
        <v>1706</v>
      </c>
      <c r="B6818" s="2">
        <v>11</v>
      </c>
      <c r="C6818" s="2">
        <v>98929381</v>
      </c>
      <c r="D6818" s="2">
        <v>99619347</v>
      </c>
      <c r="E6818" s="2">
        <v>2</v>
      </c>
      <c r="F6818" s="2" t="s">
        <v>10086</v>
      </c>
      <c r="H6818" s="2">
        <v>1E-3</v>
      </c>
      <c r="K6818" s="2" t="s">
        <v>10087</v>
      </c>
    </row>
    <row r="6819" spans="1:11" x14ac:dyDescent="0.2">
      <c r="A6819" s="2">
        <v>1706</v>
      </c>
      <c r="B6819" s="2">
        <v>11</v>
      </c>
      <c r="C6819" s="2">
        <v>98929381</v>
      </c>
      <c r="D6819" s="2">
        <v>99619347</v>
      </c>
      <c r="E6819" s="2">
        <v>3</v>
      </c>
      <c r="F6819" s="2" t="s">
        <v>10086</v>
      </c>
      <c r="H6819" s="3">
        <v>8.9999999999999998E-4</v>
      </c>
      <c r="K6819" s="2" t="s">
        <v>10089</v>
      </c>
    </row>
    <row r="6820" spans="1:11" x14ac:dyDescent="0.2">
      <c r="A6820" s="2">
        <v>1706</v>
      </c>
      <c r="B6820" s="2">
        <v>11</v>
      </c>
      <c r="C6820" s="2">
        <v>98929381</v>
      </c>
      <c r="D6820" s="2">
        <v>99619347</v>
      </c>
      <c r="E6820" s="2">
        <v>4</v>
      </c>
      <c r="F6820" s="2" t="s">
        <v>10086</v>
      </c>
      <c r="H6820" s="3">
        <v>5.0000000000000001E-4</v>
      </c>
      <c r="K6820" s="2" t="s">
        <v>10085</v>
      </c>
    </row>
    <row r="6821" spans="1:11" x14ac:dyDescent="0.2">
      <c r="A6821" s="2">
        <v>1707</v>
      </c>
      <c r="B6821" s="2">
        <v>11</v>
      </c>
      <c r="C6821" s="2">
        <v>99619348</v>
      </c>
      <c r="D6821" s="2">
        <v>100423901</v>
      </c>
      <c r="E6821" s="2">
        <v>1</v>
      </c>
      <c r="F6821" s="2" t="s">
        <v>10086</v>
      </c>
      <c r="H6821" s="2">
        <v>3.5999999999999999E-3</v>
      </c>
      <c r="K6821" s="2" t="s">
        <v>10087</v>
      </c>
    </row>
    <row r="6822" spans="1:11" x14ac:dyDescent="0.2">
      <c r="A6822" s="2">
        <v>1707</v>
      </c>
      <c r="B6822" s="2">
        <v>11</v>
      </c>
      <c r="C6822" s="2">
        <v>99619348</v>
      </c>
      <c r="D6822" s="2">
        <v>100423901</v>
      </c>
      <c r="E6822" s="2">
        <v>2</v>
      </c>
      <c r="F6822" s="2" t="s">
        <v>10086</v>
      </c>
      <c r="H6822" s="2">
        <v>1.1000000000000001E-3</v>
      </c>
      <c r="K6822" s="2" t="s">
        <v>10088</v>
      </c>
    </row>
    <row r="6823" spans="1:11" x14ac:dyDescent="0.2">
      <c r="A6823" s="2">
        <v>1707</v>
      </c>
      <c r="B6823" s="2">
        <v>11</v>
      </c>
      <c r="C6823" s="2">
        <v>99619348</v>
      </c>
      <c r="D6823" s="2">
        <v>100423901</v>
      </c>
      <c r="E6823" s="2">
        <v>3</v>
      </c>
      <c r="F6823" s="2" t="s">
        <v>10086</v>
      </c>
      <c r="H6823" s="3">
        <v>8.0000000000000004E-4</v>
      </c>
      <c r="K6823" s="2" t="s">
        <v>10085</v>
      </c>
    </row>
    <row r="6824" spans="1:11" x14ac:dyDescent="0.2">
      <c r="A6824" s="2">
        <v>1707</v>
      </c>
      <c r="B6824" s="2">
        <v>11</v>
      </c>
      <c r="C6824" s="2">
        <v>99619348</v>
      </c>
      <c r="D6824" s="2">
        <v>100423901</v>
      </c>
      <c r="E6824" s="2">
        <v>4</v>
      </c>
      <c r="F6824" s="2" t="s">
        <v>10086</v>
      </c>
      <c r="H6824" s="3">
        <v>2.9999999999999997E-4</v>
      </c>
      <c r="K6824" s="2" t="s">
        <v>10089</v>
      </c>
    </row>
    <row r="6825" spans="1:11" x14ac:dyDescent="0.2">
      <c r="A6825" s="2">
        <v>1708</v>
      </c>
      <c r="B6825" s="2">
        <v>11</v>
      </c>
      <c r="C6825" s="2">
        <v>100423902</v>
      </c>
      <c r="D6825" s="2">
        <v>101152831</v>
      </c>
      <c r="E6825" s="2">
        <v>1</v>
      </c>
      <c r="F6825" s="2" t="s">
        <v>10086</v>
      </c>
      <c r="H6825" s="2">
        <v>8.6E-3</v>
      </c>
      <c r="K6825" s="2" t="s">
        <v>10087</v>
      </c>
    </row>
    <row r="6826" spans="1:11" x14ac:dyDescent="0.2">
      <c r="A6826" s="2">
        <v>1708</v>
      </c>
      <c r="B6826" s="2">
        <v>11</v>
      </c>
      <c r="C6826" s="2">
        <v>100423902</v>
      </c>
      <c r="D6826" s="2">
        <v>101152831</v>
      </c>
      <c r="E6826" s="2">
        <v>2</v>
      </c>
      <c r="F6826" s="2" t="s">
        <v>10086</v>
      </c>
      <c r="H6826" s="2">
        <v>1.1000000000000001E-3</v>
      </c>
      <c r="K6826" s="2" t="s">
        <v>10085</v>
      </c>
    </row>
    <row r="6827" spans="1:11" x14ac:dyDescent="0.2">
      <c r="A6827" s="2">
        <v>1708</v>
      </c>
      <c r="B6827" s="2">
        <v>11</v>
      </c>
      <c r="C6827" s="2">
        <v>100423902</v>
      </c>
      <c r="D6827" s="2">
        <v>101152831</v>
      </c>
      <c r="E6827" s="2">
        <v>3</v>
      </c>
      <c r="F6827" s="2" t="s">
        <v>10086</v>
      </c>
      <c r="H6827" s="3">
        <v>5.9999999999999995E-4</v>
      </c>
      <c r="K6827" s="2" t="s">
        <v>10089</v>
      </c>
    </row>
    <row r="6828" spans="1:11" x14ac:dyDescent="0.2">
      <c r="A6828" s="2">
        <v>1708</v>
      </c>
      <c r="B6828" s="2">
        <v>11</v>
      </c>
      <c r="C6828" s="2">
        <v>100423902</v>
      </c>
      <c r="D6828" s="2">
        <v>101152831</v>
      </c>
      <c r="E6828" s="2">
        <v>4</v>
      </c>
      <c r="F6828" s="2" t="s">
        <v>10086</v>
      </c>
      <c r="H6828" s="3">
        <v>4.0000000000000002E-4</v>
      </c>
      <c r="K6828" s="2" t="s">
        <v>10088</v>
      </c>
    </row>
    <row r="6829" spans="1:11" x14ac:dyDescent="0.2">
      <c r="A6829" s="2">
        <v>1709</v>
      </c>
      <c r="B6829" s="2">
        <v>11</v>
      </c>
      <c r="C6829" s="2">
        <v>101152832</v>
      </c>
      <c r="D6829" s="2">
        <v>101881252</v>
      </c>
      <c r="E6829" s="2">
        <v>1</v>
      </c>
      <c r="F6829" s="2" t="s">
        <v>10086</v>
      </c>
      <c r="H6829" s="2">
        <v>1.2999999999999999E-3</v>
      </c>
      <c r="K6829" s="2" t="s">
        <v>10085</v>
      </c>
    </row>
    <row r="6830" spans="1:11" x14ac:dyDescent="0.2">
      <c r="A6830" s="2">
        <v>1709</v>
      </c>
      <c r="B6830" s="2">
        <v>11</v>
      </c>
      <c r="C6830" s="2">
        <v>101152832</v>
      </c>
      <c r="D6830" s="2">
        <v>101881252</v>
      </c>
      <c r="E6830" s="2">
        <v>2</v>
      </c>
      <c r="F6830" s="2" t="s">
        <v>10086</v>
      </c>
      <c r="H6830" s="2">
        <v>1.4E-3</v>
      </c>
      <c r="K6830" s="2" t="s">
        <v>10088</v>
      </c>
    </row>
    <row r="6831" spans="1:11" x14ac:dyDescent="0.2">
      <c r="A6831" s="2">
        <v>1709</v>
      </c>
      <c r="B6831" s="2">
        <v>11</v>
      </c>
      <c r="C6831" s="2">
        <v>101152832</v>
      </c>
      <c r="D6831" s="2">
        <v>101881252</v>
      </c>
      <c r="E6831" s="2">
        <v>3</v>
      </c>
      <c r="F6831" s="2" t="s">
        <v>10086</v>
      </c>
      <c r="H6831" s="3">
        <v>6.9999999999999999E-4</v>
      </c>
      <c r="K6831" s="2" t="s">
        <v>10087</v>
      </c>
    </row>
    <row r="6832" spans="1:11" x14ac:dyDescent="0.2">
      <c r="A6832" s="2">
        <v>1709</v>
      </c>
      <c r="B6832" s="2">
        <v>11</v>
      </c>
      <c r="C6832" s="2">
        <v>101152832</v>
      </c>
      <c r="D6832" s="2">
        <v>101881252</v>
      </c>
      <c r="E6832" s="2">
        <v>4</v>
      </c>
      <c r="F6832" s="2" t="s">
        <v>10086</v>
      </c>
      <c r="H6832" s="3">
        <v>2.9999999999999997E-4</v>
      </c>
      <c r="K6832" s="2" t="s">
        <v>10089</v>
      </c>
    </row>
    <row r="6833" spans="1:11" x14ac:dyDescent="0.2">
      <c r="A6833" s="2">
        <v>1710</v>
      </c>
      <c r="B6833" s="2">
        <v>11</v>
      </c>
      <c r="C6833" s="2">
        <v>101881253</v>
      </c>
      <c r="D6833" s="2">
        <v>102671665</v>
      </c>
      <c r="E6833" s="2">
        <v>1</v>
      </c>
      <c r="F6833" s="2" t="s">
        <v>10086</v>
      </c>
      <c r="H6833" s="2">
        <v>2.5000000000000001E-3</v>
      </c>
      <c r="K6833" s="2" t="s">
        <v>10089</v>
      </c>
    </row>
    <row r="6834" spans="1:11" x14ac:dyDescent="0.2">
      <c r="A6834" s="2">
        <v>1710</v>
      </c>
      <c r="B6834" s="2">
        <v>11</v>
      </c>
      <c r="C6834" s="2">
        <v>101881253</v>
      </c>
      <c r="D6834" s="2">
        <v>102671665</v>
      </c>
      <c r="E6834" s="2">
        <v>2</v>
      </c>
      <c r="F6834" s="2" t="s">
        <v>10086</v>
      </c>
      <c r="H6834" s="3">
        <v>5.9999999999999995E-4</v>
      </c>
      <c r="K6834" s="2" t="s">
        <v>10085</v>
      </c>
    </row>
    <row r="6835" spans="1:11" x14ac:dyDescent="0.2">
      <c r="A6835" s="2">
        <v>1710</v>
      </c>
      <c r="B6835" s="2">
        <v>11</v>
      </c>
      <c r="C6835" s="2">
        <v>101881253</v>
      </c>
      <c r="D6835" s="2">
        <v>102671665</v>
      </c>
      <c r="E6835" s="2">
        <v>3</v>
      </c>
      <c r="F6835" s="2" t="s">
        <v>10086</v>
      </c>
      <c r="H6835" s="3">
        <v>5.9999999999999995E-4</v>
      </c>
      <c r="K6835" s="2" t="s">
        <v>10088</v>
      </c>
    </row>
    <row r="6836" spans="1:11" x14ac:dyDescent="0.2">
      <c r="A6836" s="2">
        <v>1710</v>
      </c>
      <c r="B6836" s="2">
        <v>11</v>
      </c>
      <c r="C6836" s="2">
        <v>101881253</v>
      </c>
      <c r="D6836" s="2">
        <v>102671665</v>
      </c>
      <c r="E6836" s="2">
        <v>4</v>
      </c>
      <c r="F6836" s="2" t="s">
        <v>10086</v>
      </c>
      <c r="H6836" s="3">
        <v>5.9999999999999995E-4</v>
      </c>
      <c r="K6836" s="2" t="s">
        <v>12324</v>
      </c>
    </row>
    <row r="6837" spans="1:11" x14ac:dyDescent="0.2">
      <c r="A6837" s="2">
        <v>1711</v>
      </c>
      <c r="B6837" s="2">
        <v>11</v>
      </c>
      <c r="C6837" s="2">
        <v>102671666</v>
      </c>
      <c r="D6837" s="2">
        <v>103495635</v>
      </c>
      <c r="E6837" s="2">
        <v>1</v>
      </c>
      <c r="F6837" s="2" t="s">
        <v>10086</v>
      </c>
      <c r="H6837" s="2">
        <v>1.2999999999999999E-3</v>
      </c>
      <c r="K6837" s="2" t="s">
        <v>10085</v>
      </c>
    </row>
    <row r="6838" spans="1:11" x14ac:dyDescent="0.2">
      <c r="A6838" s="2">
        <v>1711</v>
      </c>
      <c r="B6838" s="2">
        <v>11</v>
      </c>
      <c r="C6838" s="2">
        <v>102671666</v>
      </c>
      <c r="D6838" s="2">
        <v>103495635</v>
      </c>
      <c r="E6838" s="2">
        <v>2</v>
      </c>
      <c r="F6838" s="2" t="s">
        <v>10086</v>
      </c>
      <c r="H6838" s="2">
        <v>1.1000000000000001E-3</v>
      </c>
      <c r="K6838" s="2" t="s">
        <v>10087</v>
      </c>
    </row>
    <row r="6839" spans="1:11" x14ac:dyDescent="0.2">
      <c r="A6839" s="2">
        <v>1711</v>
      </c>
      <c r="B6839" s="2">
        <v>11</v>
      </c>
      <c r="C6839" s="2">
        <v>102671666</v>
      </c>
      <c r="D6839" s="2">
        <v>103495635</v>
      </c>
      <c r="E6839" s="2">
        <v>3</v>
      </c>
      <c r="F6839" s="2" t="s">
        <v>10086</v>
      </c>
      <c r="H6839" s="3">
        <v>6.9999999999999999E-4</v>
      </c>
      <c r="K6839" s="2" t="s">
        <v>10089</v>
      </c>
    </row>
    <row r="6840" spans="1:11" x14ac:dyDescent="0.2">
      <c r="A6840" s="2">
        <v>1711</v>
      </c>
      <c r="B6840" s="2">
        <v>11</v>
      </c>
      <c r="C6840" s="2">
        <v>102671666</v>
      </c>
      <c r="D6840" s="2">
        <v>103495635</v>
      </c>
      <c r="E6840" s="2">
        <v>4</v>
      </c>
      <c r="F6840" s="2" t="s">
        <v>10086</v>
      </c>
      <c r="H6840" s="3">
        <v>5.0000000000000001E-4</v>
      </c>
      <c r="K6840" s="2" t="s">
        <v>12324</v>
      </c>
    </row>
    <row r="6841" spans="1:11" x14ac:dyDescent="0.2">
      <c r="A6841" s="2">
        <v>1712</v>
      </c>
      <c r="B6841" s="2">
        <v>11</v>
      </c>
      <c r="C6841" s="2">
        <v>103495636</v>
      </c>
      <c r="D6841" s="2">
        <v>104875270</v>
      </c>
      <c r="E6841" s="2">
        <v>1</v>
      </c>
      <c r="F6841" s="2" t="s">
        <v>10086</v>
      </c>
      <c r="H6841" s="2">
        <v>1.6000000000000001E-3</v>
      </c>
      <c r="K6841" s="2" t="s">
        <v>10089</v>
      </c>
    </row>
    <row r="6842" spans="1:11" x14ac:dyDescent="0.2">
      <c r="A6842" s="2">
        <v>1712</v>
      </c>
      <c r="B6842" s="2">
        <v>11</v>
      </c>
      <c r="C6842" s="2">
        <v>103495636</v>
      </c>
      <c r="D6842" s="2">
        <v>104875270</v>
      </c>
      <c r="E6842" s="2">
        <v>2</v>
      </c>
      <c r="F6842" s="2" t="s">
        <v>10086</v>
      </c>
      <c r="H6842" s="3">
        <v>8.9999999999999998E-4</v>
      </c>
      <c r="K6842" s="2" t="s">
        <v>10085</v>
      </c>
    </row>
    <row r="6843" spans="1:11" x14ac:dyDescent="0.2">
      <c r="A6843" s="2">
        <v>1712</v>
      </c>
      <c r="B6843" s="2">
        <v>11</v>
      </c>
      <c r="C6843" s="2">
        <v>103495636</v>
      </c>
      <c r="D6843" s="2">
        <v>104875270</v>
      </c>
      <c r="E6843" s="2">
        <v>3</v>
      </c>
      <c r="F6843" s="2" t="s">
        <v>10086</v>
      </c>
      <c r="H6843" s="3">
        <v>8.9999999999999998E-4</v>
      </c>
      <c r="K6843" s="2" t="s">
        <v>10088</v>
      </c>
    </row>
    <row r="6844" spans="1:11" x14ac:dyDescent="0.2">
      <c r="A6844" s="2">
        <v>1712</v>
      </c>
      <c r="B6844" s="2">
        <v>11</v>
      </c>
      <c r="C6844" s="2">
        <v>103495636</v>
      </c>
      <c r="D6844" s="2">
        <v>104875270</v>
      </c>
      <c r="E6844" s="2">
        <v>4</v>
      </c>
      <c r="F6844" s="2" t="s">
        <v>10086</v>
      </c>
      <c r="H6844" s="3">
        <v>4.0000000000000002E-4</v>
      </c>
      <c r="K6844" s="2" t="s">
        <v>10087</v>
      </c>
    </row>
    <row r="6845" spans="1:11" x14ac:dyDescent="0.2">
      <c r="A6845" s="2">
        <v>1713</v>
      </c>
      <c r="B6845" s="2">
        <v>11</v>
      </c>
      <c r="C6845" s="2">
        <v>104875271</v>
      </c>
      <c r="D6845" s="2">
        <v>105932282</v>
      </c>
      <c r="E6845" s="2">
        <v>1</v>
      </c>
      <c r="F6845" s="2" t="s">
        <v>10086</v>
      </c>
      <c r="H6845" s="2">
        <v>4.0000000000000001E-3</v>
      </c>
      <c r="K6845" s="2" t="s">
        <v>10087</v>
      </c>
    </row>
    <row r="6846" spans="1:11" x14ac:dyDescent="0.2">
      <c r="A6846" s="2">
        <v>1713</v>
      </c>
      <c r="B6846" s="2">
        <v>11</v>
      </c>
      <c r="C6846" s="2">
        <v>104875271</v>
      </c>
      <c r="D6846" s="2">
        <v>105932282</v>
      </c>
      <c r="E6846" s="2">
        <v>2</v>
      </c>
      <c r="F6846" s="2" t="s">
        <v>10086</v>
      </c>
      <c r="H6846" s="3">
        <v>8.9999999999999998E-4</v>
      </c>
      <c r="K6846" s="2" t="s">
        <v>10089</v>
      </c>
    </row>
    <row r="6847" spans="1:11" x14ac:dyDescent="0.2">
      <c r="A6847" s="2">
        <v>1713</v>
      </c>
      <c r="B6847" s="2">
        <v>11</v>
      </c>
      <c r="C6847" s="2">
        <v>104875271</v>
      </c>
      <c r="D6847" s="2">
        <v>105932282</v>
      </c>
      <c r="E6847" s="2">
        <v>3</v>
      </c>
      <c r="F6847" s="2" t="s">
        <v>10086</v>
      </c>
      <c r="H6847" s="3">
        <v>5.9999999999999995E-4</v>
      </c>
      <c r="K6847" s="2" t="s">
        <v>10085</v>
      </c>
    </row>
    <row r="6848" spans="1:11" x14ac:dyDescent="0.2">
      <c r="A6848" s="2">
        <v>1713</v>
      </c>
      <c r="B6848" s="2">
        <v>11</v>
      </c>
      <c r="C6848" s="2">
        <v>104875271</v>
      </c>
      <c r="D6848" s="2">
        <v>105932282</v>
      </c>
      <c r="E6848" s="2">
        <v>4</v>
      </c>
      <c r="F6848" s="2" t="s">
        <v>10086</v>
      </c>
      <c r="H6848" s="3">
        <v>4.0000000000000002E-4</v>
      </c>
      <c r="K6848" s="2" t="s">
        <v>10088</v>
      </c>
    </row>
    <row r="6849" spans="1:11" x14ac:dyDescent="0.2">
      <c r="A6849" s="2">
        <v>1714</v>
      </c>
      <c r="B6849" s="2">
        <v>11</v>
      </c>
      <c r="C6849" s="2">
        <v>105932283</v>
      </c>
      <c r="D6849" s="2">
        <v>107054024</v>
      </c>
      <c r="E6849" s="2">
        <v>1</v>
      </c>
      <c r="F6849" s="2" t="s">
        <v>10086</v>
      </c>
      <c r="H6849" s="2">
        <v>3.0999999999999999E-3</v>
      </c>
      <c r="K6849" s="2" t="s">
        <v>10088</v>
      </c>
    </row>
    <row r="6850" spans="1:11" x14ac:dyDescent="0.2">
      <c r="A6850" s="2">
        <v>1714</v>
      </c>
      <c r="B6850" s="2">
        <v>11</v>
      </c>
      <c r="C6850" s="2">
        <v>105932283</v>
      </c>
      <c r="D6850" s="2">
        <v>107054024</v>
      </c>
      <c r="E6850" s="2">
        <v>2</v>
      </c>
      <c r="F6850" s="2" t="s">
        <v>10086</v>
      </c>
      <c r="H6850" s="2">
        <v>2.5999999999999999E-3</v>
      </c>
      <c r="K6850" s="2" t="s">
        <v>10089</v>
      </c>
    </row>
    <row r="6851" spans="1:11" x14ac:dyDescent="0.2">
      <c r="A6851" s="2">
        <v>1714</v>
      </c>
      <c r="B6851" s="2">
        <v>11</v>
      </c>
      <c r="C6851" s="2">
        <v>105932283</v>
      </c>
      <c r="D6851" s="2">
        <v>107054024</v>
      </c>
      <c r="E6851" s="2">
        <v>3</v>
      </c>
      <c r="F6851" s="2" t="s">
        <v>10086</v>
      </c>
      <c r="H6851" s="2">
        <v>1.6999999999999999E-3</v>
      </c>
      <c r="K6851" s="2" t="s">
        <v>10085</v>
      </c>
    </row>
    <row r="6852" spans="1:11" x14ac:dyDescent="0.2">
      <c r="A6852" s="2">
        <v>1714</v>
      </c>
      <c r="B6852" s="2">
        <v>11</v>
      </c>
      <c r="C6852" s="2">
        <v>105932283</v>
      </c>
      <c r="D6852" s="2">
        <v>107054024</v>
      </c>
      <c r="E6852" s="2">
        <v>4</v>
      </c>
      <c r="F6852" s="2" t="s">
        <v>10086</v>
      </c>
      <c r="H6852" s="3">
        <v>2.9999999999999997E-4</v>
      </c>
      <c r="K6852" s="2" t="s">
        <v>10087</v>
      </c>
    </row>
    <row r="6853" spans="1:11" x14ac:dyDescent="0.2">
      <c r="A6853" s="2">
        <v>1715</v>
      </c>
      <c r="B6853" s="2">
        <v>11</v>
      </c>
      <c r="C6853" s="2">
        <v>107054025</v>
      </c>
      <c r="D6853" s="2">
        <v>107846824</v>
      </c>
      <c r="E6853" s="2">
        <v>1</v>
      </c>
      <c r="F6853" s="2" t="s">
        <v>10086</v>
      </c>
      <c r="H6853" s="2">
        <v>1.6999999999999999E-3</v>
      </c>
      <c r="K6853" s="2" t="s">
        <v>10087</v>
      </c>
    </row>
    <row r="6854" spans="1:11" x14ac:dyDescent="0.2">
      <c r="A6854" s="2">
        <v>1715</v>
      </c>
      <c r="B6854" s="2">
        <v>11</v>
      </c>
      <c r="C6854" s="2">
        <v>107054025</v>
      </c>
      <c r="D6854" s="2">
        <v>107846824</v>
      </c>
      <c r="E6854" s="2">
        <v>2</v>
      </c>
      <c r="F6854" s="2" t="s">
        <v>10086</v>
      </c>
      <c r="H6854" s="3">
        <v>8.9999999999999998E-4</v>
      </c>
      <c r="K6854" s="2" t="s">
        <v>10085</v>
      </c>
    </row>
    <row r="6855" spans="1:11" x14ac:dyDescent="0.2">
      <c r="A6855" s="2">
        <v>1715</v>
      </c>
      <c r="B6855" s="2">
        <v>11</v>
      </c>
      <c r="C6855" s="2">
        <v>107054025</v>
      </c>
      <c r="D6855" s="2">
        <v>107846824</v>
      </c>
      <c r="E6855" s="2">
        <v>3</v>
      </c>
      <c r="F6855" s="2" t="s">
        <v>10086</v>
      </c>
      <c r="H6855" s="3">
        <v>8.0000000000000004E-4</v>
      </c>
      <c r="K6855" s="2" t="s">
        <v>10088</v>
      </c>
    </row>
    <row r="6856" spans="1:11" x14ac:dyDescent="0.2">
      <c r="A6856" s="2">
        <v>1715</v>
      </c>
      <c r="B6856" s="2">
        <v>11</v>
      </c>
      <c r="C6856" s="2">
        <v>107054025</v>
      </c>
      <c r="D6856" s="2">
        <v>107846824</v>
      </c>
      <c r="E6856" s="2">
        <v>4</v>
      </c>
      <c r="F6856" s="2" t="s">
        <v>10086</v>
      </c>
      <c r="H6856" s="3">
        <v>6.9999999999999999E-4</v>
      </c>
      <c r="K6856" s="2" t="s">
        <v>10089</v>
      </c>
    </row>
    <row r="6857" spans="1:11" x14ac:dyDescent="0.2">
      <c r="A6857" s="2">
        <v>1716</v>
      </c>
      <c r="B6857" s="2">
        <v>11</v>
      </c>
      <c r="C6857" s="2">
        <v>107846825</v>
      </c>
      <c r="D6857" s="2">
        <v>109891837</v>
      </c>
      <c r="E6857" s="2">
        <v>1</v>
      </c>
      <c r="F6857" s="2" t="s">
        <v>10086</v>
      </c>
      <c r="H6857" s="2">
        <v>2.3999999999999998E-3</v>
      </c>
      <c r="K6857" s="2" t="s">
        <v>10088</v>
      </c>
    </row>
    <row r="6858" spans="1:11" x14ac:dyDescent="0.2">
      <c r="A6858" s="2">
        <v>1716</v>
      </c>
      <c r="B6858" s="2">
        <v>11</v>
      </c>
      <c r="C6858" s="2">
        <v>107846825</v>
      </c>
      <c r="D6858" s="2">
        <v>109891837</v>
      </c>
      <c r="E6858" s="2">
        <v>2</v>
      </c>
      <c r="F6858" s="2" t="s">
        <v>10086</v>
      </c>
      <c r="H6858" s="2">
        <v>3.0999999999999999E-3</v>
      </c>
      <c r="K6858" s="2" t="s">
        <v>10087</v>
      </c>
    </row>
    <row r="6859" spans="1:11" x14ac:dyDescent="0.2">
      <c r="A6859" s="2">
        <v>1716</v>
      </c>
      <c r="B6859" s="2">
        <v>11</v>
      </c>
      <c r="C6859" s="2">
        <v>107846825</v>
      </c>
      <c r="D6859" s="2">
        <v>109891837</v>
      </c>
      <c r="E6859" s="2">
        <v>3</v>
      </c>
      <c r="F6859" s="2" t="s">
        <v>10086</v>
      </c>
      <c r="H6859" s="2">
        <v>1.9E-3</v>
      </c>
      <c r="K6859" s="2" t="s">
        <v>10089</v>
      </c>
    </row>
    <row r="6860" spans="1:11" x14ac:dyDescent="0.2">
      <c r="A6860" s="2">
        <v>1716</v>
      </c>
      <c r="B6860" s="2">
        <v>11</v>
      </c>
      <c r="C6860" s="2">
        <v>107846825</v>
      </c>
      <c r="D6860" s="2">
        <v>109891837</v>
      </c>
      <c r="E6860" s="2">
        <v>4</v>
      </c>
      <c r="F6860" s="2" t="s">
        <v>10086</v>
      </c>
      <c r="H6860" s="3">
        <v>6.9999999999999999E-4</v>
      </c>
      <c r="K6860" s="2" t="s">
        <v>10085</v>
      </c>
    </row>
    <row r="6861" spans="1:11" x14ac:dyDescent="0.2">
      <c r="A6861" s="2">
        <v>1717</v>
      </c>
      <c r="B6861" s="2">
        <v>11</v>
      </c>
      <c r="C6861" s="2">
        <v>109891838</v>
      </c>
      <c r="D6861" s="2">
        <v>111117780</v>
      </c>
      <c r="E6861" s="2">
        <v>1</v>
      </c>
      <c r="F6861" s="2" t="s">
        <v>10086</v>
      </c>
      <c r="H6861" s="2">
        <v>6.1999999999999998E-3</v>
      </c>
      <c r="K6861" s="2" t="s">
        <v>10088</v>
      </c>
    </row>
    <row r="6862" spans="1:11" x14ac:dyDescent="0.2">
      <c r="A6862" s="2">
        <v>1717</v>
      </c>
      <c r="B6862" s="2">
        <v>11</v>
      </c>
      <c r="C6862" s="2">
        <v>109891838</v>
      </c>
      <c r="D6862" s="2">
        <v>111117780</v>
      </c>
      <c r="E6862" s="2">
        <v>2</v>
      </c>
      <c r="F6862" s="2" t="s">
        <v>10086</v>
      </c>
      <c r="H6862" s="2">
        <v>3.5000000000000001E-3</v>
      </c>
      <c r="K6862" s="2" t="s">
        <v>10087</v>
      </c>
    </row>
    <row r="6863" spans="1:11" x14ac:dyDescent="0.2">
      <c r="A6863" s="2">
        <v>1717</v>
      </c>
      <c r="B6863" s="2">
        <v>11</v>
      </c>
      <c r="C6863" s="2">
        <v>109891838</v>
      </c>
      <c r="D6863" s="2">
        <v>111117780</v>
      </c>
      <c r="E6863" s="2">
        <v>3</v>
      </c>
      <c r="F6863" s="2" t="s">
        <v>10086</v>
      </c>
      <c r="H6863" s="2">
        <v>1.8E-3</v>
      </c>
      <c r="K6863" s="2" t="s">
        <v>10085</v>
      </c>
    </row>
    <row r="6864" spans="1:11" x14ac:dyDescent="0.2">
      <c r="A6864" s="2">
        <v>1717</v>
      </c>
      <c r="B6864" s="2">
        <v>11</v>
      </c>
      <c r="C6864" s="2">
        <v>109891838</v>
      </c>
      <c r="D6864" s="2">
        <v>111117780</v>
      </c>
      <c r="E6864" s="2">
        <v>4</v>
      </c>
      <c r="F6864" s="2" t="s">
        <v>10086</v>
      </c>
      <c r="H6864" s="3">
        <v>4.0000000000000002E-4</v>
      </c>
      <c r="K6864" s="2" t="s">
        <v>10089</v>
      </c>
    </row>
    <row r="6865" spans="1:11" x14ac:dyDescent="0.2">
      <c r="A6865" s="2">
        <v>1718</v>
      </c>
      <c r="B6865" s="2">
        <v>11</v>
      </c>
      <c r="C6865" s="2">
        <v>111117781</v>
      </c>
      <c r="D6865" s="2">
        <v>112755446</v>
      </c>
      <c r="E6865" s="2">
        <v>1</v>
      </c>
      <c r="F6865" s="2" t="s">
        <v>10086</v>
      </c>
      <c r="H6865" s="2">
        <v>9.5999999999999992E-3</v>
      </c>
      <c r="K6865" s="2" t="s">
        <v>10088</v>
      </c>
    </row>
    <row r="6866" spans="1:11" x14ac:dyDescent="0.2">
      <c r="A6866" s="2">
        <v>1718</v>
      </c>
      <c r="B6866" s="2">
        <v>11</v>
      </c>
      <c r="C6866" s="2">
        <v>111117781</v>
      </c>
      <c r="D6866" s="2">
        <v>112755446</v>
      </c>
      <c r="E6866" s="2">
        <v>2</v>
      </c>
      <c r="F6866" s="2" t="s">
        <v>10086</v>
      </c>
      <c r="H6866" s="2">
        <v>1.6999999999999999E-3</v>
      </c>
      <c r="K6866" s="2" t="s">
        <v>10089</v>
      </c>
    </row>
    <row r="6867" spans="1:11" x14ac:dyDescent="0.2">
      <c r="A6867" s="2">
        <v>1718</v>
      </c>
      <c r="B6867" s="2">
        <v>11</v>
      </c>
      <c r="C6867" s="2">
        <v>111117781</v>
      </c>
      <c r="D6867" s="2">
        <v>112755446</v>
      </c>
      <c r="E6867" s="2">
        <v>3</v>
      </c>
      <c r="F6867" s="2" t="s">
        <v>10086</v>
      </c>
      <c r="H6867" s="2">
        <v>1.6999999999999999E-3</v>
      </c>
      <c r="K6867" s="2" t="s">
        <v>10087</v>
      </c>
    </row>
    <row r="6868" spans="1:11" x14ac:dyDescent="0.2">
      <c r="A6868" s="2">
        <v>1718</v>
      </c>
      <c r="B6868" s="2">
        <v>11</v>
      </c>
      <c r="C6868" s="2">
        <v>111117781</v>
      </c>
      <c r="D6868" s="2">
        <v>112755446</v>
      </c>
      <c r="E6868" s="2">
        <v>4</v>
      </c>
      <c r="F6868" s="2" t="s">
        <v>10086</v>
      </c>
      <c r="H6868" s="3">
        <v>6.9999999999999999E-4</v>
      </c>
      <c r="K6868" s="2" t="s">
        <v>10085</v>
      </c>
    </row>
    <row r="6869" spans="1:11" x14ac:dyDescent="0.2">
      <c r="A6869" s="2">
        <v>1719</v>
      </c>
      <c r="B6869" s="2">
        <v>11</v>
      </c>
      <c r="C6869" s="2">
        <v>112755447</v>
      </c>
      <c r="D6869" s="2">
        <v>113889019</v>
      </c>
      <c r="E6869" s="2">
        <v>1</v>
      </c>
      <c r="F6869" s="2" t="s">
        <v>10086</v>
      </c>
      <c r="H6869" s="2">
        <v>1.5E-3</v>
      </c>
      <c r="K6869" s="2" t="s">
        <v>10089</v>
      </c>
    </row>
    <row r="6870" spans="1:11" x14ac:dyDescent="0.2">
      <c r="A6870" s="2">
        <v>1719</v>
      </c>
      <c r="B6870" s="2">
        <v>11</v>
      </c>
      <c r="C6870" s="2">
        <v>112755447</v>
      </c>
      <c r="D6870" s="2">
        <v>113889019</v>
      </c>
      <c r="E6870" s="2">
        <v>2</v>
      </c>
      <c r="F6870" s="2" t="s">
        <v>10086</v>
      </c>
      <c r="H6870" s="2">
        <v>1E-3</v>
      </c>
      <c r="K6870" s="2" t="s">
        <v>10087</v>
      </c>
    </row>
    <row r="6871" spans="1:11" x14ac:dyDescent="0.2">
      <c r="A6871" s="2">
        <v>1719</v>
      </c>
      <c r="B6871" s="2">
        <v>11</v>
      </c>
      <c r="C6871" s="2">
        <v>112755447</v>
      </c>
      <c r="D6871" s="2">
        <v>113889019</v>
      </c>
      <c r="E6871" s="2">
        <v>3</v>
      </c>
      <c r="F6871" s="2" t="s">
        <v>10086</v>
      </c>
      <c r="H6871" s="3">
        <v>8.0000000000000004E-4</v>
      </c>
      <c r="K6871" s="2" t="s">
        <v>10088</v>
      </c>
    </row>
    <row r="6872" spans="1:11" x14ac:dyDescent="0.2">
      <c r="A6872" s="2">
        <v>1719</v>
      </c>
      <c r="B6872" s="2">
        <v>11</v>
      </c>
      <c r="C6872" s="2">
        <v>112755447</v>
      </c>
      <c r="D6872" s="2">
        <v>113889019</v>
      </c>
      <c r="E6872" s="2">
        <v>4</v>
      </c>
      <c r="F6872" s="2" t="s">
        <v>10086</v>
      </c>
      <c r="H6872" s="3">
        <v>5.0000000000000001E-4</v>
      </c>
      <c r="K6872" s="2" t="s">
        <v>10085</v>
      </c>
    </row>
    <row r="6873" spans="1:11" x14ac:dyDescent="0.2">
      <c r="A6873" s="2">
        <v>1720</v>
      </c>
      <c r="B6873" s="2">
        <v>11</v>
      </c>
      <c r="C6873" s="2">
        <v>113889020</v>
      </c>
      <c r="D6873" s="2">
        <v>114742317</v>
      </c>
      <c r="E6873" s="2">
        <v>1</v>
      </c>
      <c r="F6873" s="2" t="s">
        <v>10086</v>
      </c>
      <c r="H6873" s="2">
        <v>8.3000000000000001E-3</v>
      </c>
      <c r="K6873" s="2" t="s">
        <v>10089</v>
      </c>
    </row>
    <row r="6874" spans="1:11" x14ac:dyDescent="0.2">
      <c r="A6874" s="2">
        <v>1720</v>
      </c>
      <c r="B6874" s="2">
        <v>11</v>
      </c>
      <c r="C6874" s="2">
        <v>113889020</v>
      </c>
      <c r="D6874" s="2">
        <v>114742317</v>
      </c>
      <c r="E6874" s="2">
        <v>2</v>
      </c>
      <c r="F6874" s="2" t="s">
        <v>10086</v>
      </c>
      <c r="H6874" s="2">
        <v>1.2999999999999999E-3</v>
      </c>
      <c r="K6874" s="2" t="s">
        <v>10085</v>
      </c>
    </row>
    <row r="6875" spans="1:11" x14ac:dyDescent="0.2">
      <c r="A6875" s="2">
        <v>1720</v>
      </c>
      <c r="B6875" s="2">
        <v>11</v>
      </c>
      <c r="C6875" s="2">
        <v>113889020</v>
      </c>
      <c r="D6875" s="2">
        <v>114742317</v>
      </c>
      <c r="E6875" s="2">
        <v>3</v>
      </c>
      <c r="F6875" s="2" t="s">
        <v>10086</v>
      </c>
      <c r="H6875" s="3">
        <v>6.9999999999999999E-4</v>
      </c>
      <c r="K6875" s="2" t="s">
        <v>10087</v>
      </c>
    </row>
    <row r="6876" spans="1:11" x14ac:dyDescent="0.2">
      <c r="A6876" s="2">
        <v>1720</v>
      </c>
      <c r="B6876" s="2">
        <v>11</v>
      </c>
      <c r="C6876" s="2">
        <v>113889020</v>
      </c>
      <c r="D6876" s="2">
        <v>114742317</v>
      </c>
      <c r="E6876" s="2">
        <v>4</v>
      </c>
      <c r="F6876" s="2" t="s">
        <v>10086</v>
      </c>
      <c r="H6876" s="3">
        <v>5.9999999999999995E-4</v>
      </c>
      <c r="K6876" s="2" t="s">
        <v>12324</v>
      </c>
    </row>
    <row r="6877" spans="1:11" x14ac:dyDescent="0.2">
      <c r="A6877" s="2">
        <v>1721</v>
      </c>
      <c r="B6877" s="2">
        <v>11</v>
      </c>
      <c r="C6877" s="2">
        <v>114742318</v>
      </c>
      <c r="D6877" s="2">
        <v>116247377</v>
      </c>
      <c r="E6877" s="2">
        <v>1</v>
      </c>
      <c r="F6877" s="2" t="s">
        <v>10086</v>
      </c>
      <c r="H6877" s="2">
        <v>2.2000000000000001E-3</v>
      </c>
      <c r="K6877" s="2" t="s">
        <v>10087</v>
      </c>
    </row>
    <row r="6878" spans="1:11" x14ac:dyDescent="0.2">
      <c r="A6878" s="2">
        <v>1721</v>
      </c>
      <c r="B6878" s="2">
        <v>11</v>
      </c>
      <c r="C6878" s="2">
        <v>114742318</v>
      </c>
      <c r="D6878" s="2">
        <v>116247377</v>
      </c>
      <c r="E6878" s="2">
        <v>2</v>
      </c>
      <c r="F6878" s="2" t="s">
        <v>10086</v>
      </c>
      <c r="H6878" s="2">
        <v>2.3999999999999998E-3</v>
      </c>
      <c r="K6878" s="2" t="s">
        <v>12324</v>
      </c>
    </row>
    <row r="6879" spans="1:11" x14ac:dyDescent="0.2">
      <c r="A6879" s="2">
        <v>1721</v>
      </c>
      <c r="B6879" s="2">
        <v>11</v>
      </c>
      <c r="C6879" s="2">
        <v>114742318</v>
      </c>
      <c r="D6879" s="2">
        <v>116247377</v>
      </c>
      <c r="E6879" s="2">
        <v>3</v>
      </c>
      <c r="F6879" s="2" t="s">
        <v>10086</v>
      </c>
      <c r="H6879" s="2">
        <v>2E-3</v>
      </c>
      <c r="K6879" s="2" t="s">
        <v>10085</v>
      </c>
    </row>
    <row r="6880" spans="1:11" x14ac:dyDescent="0.2">
      <c r="A6880" s="2">
        <v>1721</v>
      </c>
      <c r="B6880" s="2">
        <v>11</v>
      </c>
      <c r="C6880" s="2">
        <v>114742318</v>
      </c>
      <c r="D6880" s="2">
        <v>116247377</v>
      </c>
      <c r="E6880" s="2">
        <v>4</v>
      </c>
      <c r="F6880" s="2" t="s">
        <v>10086</v>
      </c>
      <c r="H6880" s="2">
        <v>1.5E-3</v>
      </c>
      <c r="K6880" s="2" t="s">
        <v>10089</v>
      </c>
    </row>
    <row r="6881" spans="1:11" x14ac:dyDescent="0.2">
      <c r="A6881" s="2">
        <v>1722</v>
      </c>
      <c r="B6881" s="2">
        <v>11</v>
      </c>
      <c r="C6881" s="2">
        <v>116247378</v>
      </c>
      <c r="D6881" s="2">
        <v>117295641</v>
      </c>
      <c r="E6881" s="2">
        <v>1</v>
      </c>
      <c r="F6881" s="2" t="s">
        <v>10086</v>
      </c>
      <c r="H6881" s="2">
        <v>6.7999999999999996E-3</v>
      </c>
      <c r="K6881" s="2" t="s">
        <v>10089</v>
      </c>
    </row>
    <row r="6882" spans="1:11" x14ac:dyDescent="0.2">
      <c r="A6882" s="2">
        <v>1722</v>
      </c>
      <c r="B6882" s="2">
        <v>11</v>
      </c>
      <c r="C6882" s="2">
        <v>116247378</v>
      </c>
      <c r="D6882" s="2">
        <v>117295641</v>
      </c>
      <c r="E6882" s="2">
        <v>2</v>
      </c>
      <c r="F6882" s="2" t="s">
        <v>10086</v>
      </c>
      <c r="H6882" s="2">
        <v>1.1000000000000001E-3</v>
      </c>
      <c r="K6882" s="2" t="s">
        <v>10085</v>
      </c>
    </row>
    <row r="6883" spans="1:11" x14ac:dyDescent="0.2">
      <c r="A6883" s="2">
        <v>1722</v>
      </c>
      <c r="B6883" s="2">
        <v>11</v>
      </c>
      <c r="C6883" s="2">
        <v>116247378</v>
      </c>
      <c r="D6883" s="2">
        <v>117295641</v>
      </c>
      <c r="E6883" s="2">
        <v>3</v>
      </c>
      <c r="F6883" s="2" t="s">
        <v>10086</v>
      </c>
      <c r="H6883" s="2">
        <v>1.2999999999999999E-3</v>
      </c>
      <c r="K6883" s="2" t="s">
        <v>10087</v>
      </c>
    </row>
    <row r="6884" spans="1:11" x14ac:dyDescent="0.2">
      <c r="A6884" s="2">
        <v>1722</v>
      </c>
      <c r="B6884" s="2">
        <v>11</v>
      </c>
      <c r="C6884" s="2">
        <v>116247378</v>
      </c>
      <c r="D6884" s="2">
        <v>117295641</v>
      </c>
      <c r="E6884" s="2">
        <v>4</v>
      </c>
      <c r="F6884" s="2" t="s">
        <v>10086</v>
      </c>
      <c r="H6884" s="3">
        <v>8.0000000000000004E-4</v>
      </c>
      <c r="K6884" s="2" t="s">
        <v>12324</v>
      </c>
    </row>
    <row r="6885" spans="1:11" x14ac:dyDescent="0.2">
      <c r="A6885" s="2">
        <v>1723</v>
      </c>
      <c r="B6885" s="2">
        <v>11</v>
      </c>
      <c r="C6885" s="2">
        <v>117295642</v>
      </c>
      <c r="D6885" s="2">
        <v>118901213</v>
      </c>
      <c r="E6885" s="2">
        <v>1</v>
      </c>
      <c r="F6885" s="2" t="s">
        <v>10086</v>
      </c>
      <c r="H6885" s="2">
        <v>5.5999999999999999E-3</v>
      </c>
      <c r="K6885" s="2" t="s">
        <v>12324</v>
      </c>
    </row>
    <row r="6886" spans="1:11" x14ac:dyDescent="0.2">
      <c r="A6886" s="2">
        <v>1723</v>
      </c>
      <c r="B6886" s="2">
        <v>11</v>
      </c>
      <c r="C6886" s="2">
        <v>117295642</v>
      </c>
      <c r="D6886" s="2">
        <v>118901213</v>
      </c>
      <c r="E6886" s="2">
        <v>2</v>
      </c>
      <c r="F6886" s="2" t="s">
        <v>10086</v>
      </c>
      <c r="H6886" s="2">
        <v>3.5000000000000001E-3</v>
      </c>
      <c r="K6886" s="2" t="s">
        <v>10087</v>
      </c>
    </row>
    <row r="6887" spans="1:11" x14ac:dyDescent="0.2">
      <c r="A6887" s="2">
        <v>1723</v>
      </c>
      <c r="B6887" s="2">
        <v>11</v>
      </c>
      <c r="C6887" s="2">
        <v>117295642</v>
      </c>
      <c r="D6887" s="2">
        <v>118901213</v>
      </c>
      <c r="E6887" s="2">
        <v>3</v>
      </c>
      <c r="F6887" s="2" t="s">
        <v>10086</v>
      </c>
      <c r="H6887" s="2">
        <v>2.5999999999999999E-3</v>
      </c>
      <c r="K6887" s="2" t="s">
        <v>10088</v>
      </c>
    </row>
    <row r="6888" spans="1:11" x14ac:dyDescent="0.2">
      <c r="A6888" s="2">
        <v>1723</v>
      </c>
      <c r="B6888" s="2">
        <v>11</v>
      </c>
      <c r="C6888" s="2">
        <v>117295642</v>
      </c>
      <c r="D6888" s="2">
        <v>118901213</v>
      </c>
      <c r="E6888" s="2">
        <v>4</v>
      </c>
      <c r="F6888" s="2" t="s">
        <v>10086</v>
      </c>
      <c r="H6888" s="2">
        <v>1.9E-3</v>
      </c>
      <c r="K6888" s="2" t="s">
        <v>10089</v>
      </c>
    </row>
    <row r="6889" spans="1:11" x14ac:dyDescent="0.2">
      <c r="A6889" s="2">
        <v>1724</v>
      </c>
      <c r="B6889" s="2">
        <v>11</v>
      </c>
      <c r="C6889" s="2">
        <v>118901214</v>
      </c>
      <c r="D6889" s="2">
        <v>120064528</v>
      </c>
      <c r="E6889" s="2">
        <v>1</v>
      </c>
      <c r="F6889" s="2" t="s">
        <v>10086</v>
      </c>
      <c r="H6889" s="2">
        <v>3.2000000000000002E-3</v>
      </c>
      <c r="K6889" s="2" t="s">
        <v>12324</v>
      </c>
    </row>
    <row r="6890" spans="1:11" x14ac:dyDescent="0.2">
      <c r="A6890" s="2">
        <v>1724</v>
      </c>
      <c r="B6890" s="2">
        <v>11</v>
      </c>
      <c r="C6890" s="2">
        <v>118901214</v>
      </c>
      <c r="D6890" s="2">
        <v>120064528</v>
      </c>
      <c r="E6890" s="2">
        <v>2</v>
      </c>
      <c r="F6890" s="2" t="s">
        <v>10086</v>
      </c>
      <c r="H6890" s="2">
        <v>1.4E-3</v>
      </c>
      <c r="K6890" s="2" t="s">
        <v>10087</v>
      </c>
    </row>
    <row r="6891" spans="1:11" x14ac:dyDescent="0.2">
      <c r="A6891" s="2">
        <v>1724</v>
      </c>
      <c r="B6891" s="2">
        <v>11</v>
      </c>
      <c r="C6891" s="2">
        <v>118901214</v>
      </c>
      <c r="D6891" s="2">
        <v>120064528</v>
      </c>
      <c r="E6891" s="2">
        <v>3</v>
      </c>
      <c r="F6891" s="2" t="s">
        <v>10086</v>
      </c>
      <c r="H6891" s="2">
        <v>1.4E-3</v>
      </c>
      <c r="K6891" s="2" t="s">
        <v>10088</v>
      </c>
    </row>
    <row r="6892" spans="1:11" x14ac:dyDescent="0.2">
      <c r="A6892" s="2">
        <v>1724</v>
      </c>
      <c r="B6892" s="2">
        <v>11</v>
      </c>
      <c r="C6892" s="2">
        <v>118901214</v>
      </c>
      <c r="D6892" s="2">
        <v>120064528</v>
      </c>
      <c r="E6892" s="2">
        <v>4</v>
      </c>
      <c r="F6892" s="2" t="s">
        <v>10086</v>
      </c>
      <c r="H6892" s="2">
        <v>1.1999999999999999E-3</v>
      </c>
      <c r="K6892" s="2" t="s">
        <v>10085</v>
      </c>
    </row>
    <row r="6893" spans="1:11" x14ac:dyDescent="0.2">
      <c r="A6893" s="2">
        <v>1725</v>
      </c>
      <c r="B6893" s="2">
        <v>11</v>
      </c>
      <c r="C6893" s="2">
        <v>120064529</v>
      </c>
      <c r="D6893" s="2">
        <v>121208186</v>
      </c>
      <c r="E6893" s="2">
        <v>1</v>
      </c>
      <c r="F6893" s="2" t="s">
        <v>10086</v>
      </c>
      <c r="H6893" s="2">
        <v>2.0999999999999999E-3</v>
      </c>
      <c r="K6893" s="2" t="s">
        <v>10087</v>
      </c>
    </row>
    <row r="6894" spans="1:11" x14ac:dyDescent="0.2">
      <c r="A6894" s="2">
        <v>1725</v>
      </c>
      <c r="B6894" s="2">
        <v>11</v>
      </c>
      <c r="C6894" s="2">
        <v>120064529</v>
      </c>
      <c r="D6894" s="2">
        <v>121208186</v>
      </c>
      <c r="E6894" s="2">
        <v>2</v>
      </c>
      <c r="F6894" s="2" t="s">
        <v>10086</v>
      </c>
      <c r="H6894" s="2">
        <v>1.2999999999999999E-3</v>
      </c>
      <c r="K6894" s="2" t="s">
        <v>10088</v>
      </c>
    </row>
    <row r="6895" spans="1:11" x14ac:dyDescent="0.2">
      <c r="A6895" s="2">
        <v>1725</v>
      </c>
      <c r="B6895" s="2">
        <v>11</v>
      </c>
      <c r="C6895" s="2">
        <v>120064529</v>
      </c>
      <c r="D6895" s="2">
        <v>121208186</v>
      </c>
      <c r="E6895" s="2">
        <v>3</v>
      </c>
      <c r="F6895" s="2" t="s">
        <v>10086</v>
      </c>
      <c r="H6895" s="2">
        <v>1.2999999999999999E-3</v>
      </c>
      <c r="K6895" s="2" t="s">
        <v>10085</v>
      </c>
    </row>
    <row r="6896" spans="1:11" x14ac:dyDescent="0.2">
      <c r="A6896" s="2">
        <v>1725</v>
      </c>
      <c r="B6896" s="2">
        <v>11</v>
      </c>
      <c r="C6896" s="2">
        <v>120064529</v>
      </c>
      <c r="D6896" s="2">
        <v>121208186</v>
      </c>
      <c r="E6896" s="2">
        <v>4</v>
      </c>
      <c r="F6896" s="2" t="s">
        <v>10086</v>
      </c>
      <c r="H6896" s="3">
        <v>5.9999999999999995E-4</v>
      </c>
      <c r="K6896" s="2" t="s">
        <v>12324</v>
      </c>
    </row>
    <row r="6897" spans="1:11" x14ac:dyDescent="0.2">
      <c r="A6897" s="2">
        <v>1726</v>
      </c>
      <c r="B6897" s="2">
        <v>11</v>
      </c>
      <c r="C6897" s="2">
        <v>121208187</v>
      </c>
      <c r="D6897" s="2">
        <v>122589224</v>
      </c>
      <c r="E6897" s="2">
        <v>1</v>
      </c>
      <c r="F6897" s="2" t="s">
        <v>10086</v>
      </c>
      <c r="H6897" s="2">
        <v>3.2000000000000002E-3</v>
      </c>
      <c r="K6897" s="2" t="s">
        <v>10089</v>
      </c>
    </row>
    <row r="6898" spans="1:11" x14ac:dyDescent="0.2">
      <c r="A6898" s="2">
        <v>1726</v>
      </c>
      <c r="B6898" s="2">
        <v>11</v>
      </c>
      <c r="C6898" s="2">
        <v>121208187</v>
      </c>
      <c r="D6898" s="2">
        <v>122589224</v>
      </c>
      <c r="E6898" s="2">
        <v>2</v>
      </c>
      <c r="F6898" s="2" t="s">
        <v>10086</v>
      </c>
      <c r="H6898" s="2">
        <v>4.4000000000000003E-3</v>
      </c>
      <c r="K6898" s="2" t="s">
        <v>10088</v>
      </c>
    </row>
    <row r="6899" spans="1:11" x14ac:dyDescent="0.2">
      <c r="A6899" s="2">
        <v>1726</v>
      </c>
      <c r="B6899" s="2">
        <v>11</v>
      </c>
      <c r="C6899" s="2">
        <v>121208187</v>
      </c>
      <c r="D6899" s="2">
        <v>122589224</v>
      </c>
      <c r="E6899" s="2">
        <v>3</v>
      </c>
      <c r="F6899" s="2" t="s">
        <v>10086</v>
      </c>
      <c r="H6899" s="2">
        <v>1.1999999999999999E-3</v>
      </c>
      <c r="K6899" s="2" t="s">
        <v>10087</v>
      </c>
    </row>
    <row r="6900" spans="1:11" x14ac:dyDescent="0.2">
      <c r="A6900" s="2">
        <v>1726</v>
      </c>
      <c r="B6900" s="2">
        <v>11</v>
      </c>
      <c r="C6900" s="2">
        <v>121208187</v>
      </c>
      <c r="D6900" s="2">
        <v>122589224</v>
      </c>
      <c r="E6900" s="2">
        <v>4</v>
      </c>
      <c r="F6900" s="2" t="s">
        <v>10086</v>
      </c>
      <c r="H6900" s="3">
        <v>6.9999999999999999E-4</v>
      </c>
      <c r="K6900" s="2" t="s">
        <v>12324</v>
      </c>
    </row>
    <row r="6901" spans="1:11" x14ac:dyDescent="0.2">
      <c r="A6901" s="2">
        <v>1727</v>
      </c>
      <c r="B6901" s="2">
        <v>11</v>
      </c>
      <c r="C6901" s="2">
        <v>122589225</v>
      </c>
      <c r="D6901" s="2">
        <v>123398882</v>
      </c>
      <c r="E6901" s="2">
        <v>1</v>
      </c>
      <c r="F6901" s="2" t="s">
        <v>10086</v>
      </c>
      <c r="H6901" s="2">
        <v>1.5E-3</v>
      </c>
      <c r="K6901" s="2" t="s">
        <v>10089</v>
      </c>
    </row>
    <row r="6902" spans="1:11" x14ac:dyDescent="0.2">
      <c r="A6902" s="2">
        <v>1727</v>
      </c>
      <c r="B6902" s="2">
        <v>11</v>
      </c>
      <c r="C6902" s="2">
        <v>122589225</v>
      </c>
      <c r="D6902" s="2">
        <v>123398882</v>
      </c>
      <c r="E6902" s="2">
        <v>2</v>
      </c>
      <c r="F6902" s="2" t="s">
        <v>10086</v>
      </c>
      <c r="H6902" s="2">
        <v>1.1000000000000001E-3</v>
      </c>
      <c r="K6902" s="2" t="s">
        <v>10088</v>
      </c>
    </row>
    <row r="6903" spans="1:11" x14ac:dyDescent="0.2">
      <c r="A6903" s="2">
        <v>1727</v>
      </c>
      <c r="B6903" s="2">
        <v>11</v>
      </c>
      <c r="C6903" s="2">
        <v>122589225</v>
      </c>
      <c r="D6903" s="2">
        <v>123398882</v>
      </c>
      <c r="E6903" s="2">
        <v>3</v>
      </c>
      <c r="F6903" s="2" t="s">
        <v>10086</v>
      </c>
      <c r="H6903" s="2">
        <v>1E-3</v>
      </c>
      <c r="K6903" s="2" t="s">
        <v>10085</v>
      </c>
    </row>
    <row r="6904" spans="1:11" x14ac:dyDescent="0.2">
      <c r="A6904" s="2">
        <v>1727</v>
      </c>
      <c r="B6904" s="2">
        <v>11</v>
      </c>
      <c r="C6904" s="2">
        <v>122589225</v>
      </c>
      <c r="D6904" s="2">
        <v>123398882</v>
      </c>
      <c r="E6904" s="2">
        <v>4</v>
      </c>
      <c r="F6904" s="2" t="s">
        <v>10086</v>
      </c>
      <c r="H6904" s="3">
        <v>6.9999999999999999E-4</v>
      </c>
      <c r="K6904" s="2" t="s">
        <v>10087</v>
      </c>
    </row>
    <row r="6905" spans="1:11" x14ac:dyDescent="0.2">
      <c r="A6905" s="2">
        <v>1728</v>
      </c>
      <c r="B6905" s="2">
        <v>11</v>
      </c>
      <c r="C6905" s="2">
        <v>123398883</v>
      </c>
      <c r="D6905" s="2">
        <v>124403477</v>
      </c>
      <c r="E6905" s="2">
        <v>1</v>
      </c>
      <c r="F6905" s="2" t="s">
        <v>10086</v>
      </c>
      <c r="H6905" s="2">
        <v>2.3E-3</v>
      </c>
      <c r="K6905" s="2" t="s">
        <v>10088</v>
      </c>
    </row>
    <row r="6906" spans="1:11" x14ac:dyDescent="0.2">
      <c r="A6906" s="2">
        <v>1728</v>
      </c>
      <c r="B6906" s="2">
        <v>11</v>
      </c>
      <c r="C6906" s="2">
        <v>123398883</v>
      </c>
      <c r="D6906" s="2">
        <v>124403477</v>
      </c>
      <c r="E6906" s="2">
        <v>2</v>
      </c>
      <c r="F6906" s="2" t="s">
        <v>10086</v>
      </c>
      <c r="H6906" s="2">
        <v>1.2999999999999999E-3</v>
      </c>
      <c r="K6906" s="2" t="s">
        <v>10089</v>
      </c>
    </row>
    <row r="6907" spans="1:11" x14ac:dyDescent="0.2">
      <c r="A6907" s="2">
        <v>1728</v>
      </c>
      <c r="B6907" s="2">
        <v>11</v>
      </c>
      <c r="C6907" s="2">
        <v>123398883</v>
      </c>
      <c r="D6907" s="2">
        <v>124403477</v>
      </c>
      <c r="E6907" s="2">
        <v>3</v>
      </c>
      <c r="F6907" s="2" t="s">
        <v>10086</v>
      </c>
      <c r="H6907" s="3">
        <v>8.9999999999999998E-4</v>
      </c>
      <c r="K6907" s="2" t="s">
        <v>10087</v>
      </c>
    </row>
    <row r="6908" spans="1:11" x14ac:dyDescent="0.2">
      <c r="A6908" s="2">
        <v>1728</v>
      </c>
      <c r="B6908" s="2">
        <v>11</v>
      </c>
      <c r="C6908" s="2">
        <v>123398883</v>
      </c>
      <c r="D6908" s="2">
        <v>124403477</v>
      </c>
      <c r="E6908" s="2">
        <v>4</v>
      </c>
      <c r="F6908" s="2" t="s">
        <v>10086</v>
      </c>
      <c r="H6908" s="3">
        <v>5.0000000000000001E-4</v>
      </c>
      <c r="K6908" s="2" t="s">
        <v>10085</v>
      </c>
    </row>
    <row r="6909" spans="1:11" x14ac:dyDescent="0.2">
      <c r="A6909" s="2">
        <v>1729</v>
      </c>
      <c r="B6909" s="2">
        <v>11</v>
      </c>
      <c r="C6909" s="2">
        <v>124403478</v>
      </c>
      <c r="D6909" s="2">
        <v>125266684</v>
      </c>
      <c r="E6909" s="2">
        <v>1</v>
      </c>
      <c r="F6909" s="2" t="s">
        <v>10086</v>
      </c>
      <c r="H6909" s="2">
        <v>1.6000000000000001E-3</v>
      </c>
      <c r="K6909" s="2" t="s">
        <v>10089</v>
      </c>
    </row>
    <row r="6910" spans="1:11" x14ac:dyDescent="0.2">
      <c r="A6910" s="2">
        <v>1729</v>
      </c>
      <c r="B6910" s="2">
        <v>11</v>
      </c>
      <c r="C6910" s="2">
        <v>124403478</v>
      </c>
      <c r="D6910" s="2">
        <v>125266684</v>
      </c>
      <c r="E6910" s="2">
        <v>2</v>
      </c>
      <c r="F6910" s="2" t="s">
        <v>10086</v>
      </c>
      <c r="H6910" s="2">
        <v>1.5E-3</v>
      </c>
      <c r="K6910" s="2" t="s">
        <v>10085</v>
      </c>
    </row>
    <row r="6911" spans="1:11" x14ac:dyDescent="0.2">
      <c r="A6911" s="2">
        <v>1729</v>
      </c>
      <c r="B6911" s="2">
        <v>11</v>
      </c>
      <c r="C6911" s="2">
        <v>124403478</v>
      </c>
      <c r="D6911" s="2">
        <v>125266684</v>
      </c>
      <c r="E6911" s="2">
        <v>3</v>
      </c>
      <c r="F6911" s="2" t="s">
        <v>10086</v>
      </c>
      <c r="H6911" s="3">
        <v>8.0000000000000004E-4</v>
      </c>
      <c r="K6911" s="2" t="s">
        <v>10088</v>
      </c>
    </row>
    <row r="6912" spans="1:11" x14ac:dyDescent="0.2">
      <c r="A6912" s="2">
        <v>1729</v>
      </c>
      <c r="B6912" s="2">
        <v>11</v>
      </c>
      <c r="C6912" s="2">
        <v>124403478</v>
      </c>
      <c r="D6912" s="2">
        <v>125266684</v>
      </c>
      <c r="E6912" s="2">
        <v>4</v>
      </c>
      <c r="F6912" s="2" t="s">
        <v>10086</v>
      </c>
      <c r="H6912" s="3">
        <v>8.0000000000000004E-4</v>
      </c>
      <c r="K6912" s="2" t="s">
        <v>10087</v>
      </c>
    </row>
    <row r="6913" spans="1:11" x14ac:dyDescent="0.2">
      <c r="A6913" s="2">
        <v>1730</v>
      </c>
      <c r="B6913" s="2">
        <v>11</v>
      </c>
      <c r="C6913" s="2">
        <v>125266685</v>
      </c>
      <c r="D6913" s="2">
        <v>126304240</v>
      </c>
      <c r="E6913" s="2">
        <v>1</v>
      </c>
      <c r="F6913" s="2" t="s">
        <v>10086</v>
      </c>
      <c r="H6913" s="2">
        <v>1.6199999999999999E-2</v>
      </c>
      <c r="K6913" s="2" t="s">
        <v>10088</v>
      </c>
    </row>
    <row r="6914" spans="1:11" x14ac:dyDescent="0.2">
      <c r="A6914" s="2">
        <v>1730</v>
      </c>
      <c r="B6914" s="2">
        <v>11</v>
      </c>
      <c r="C6914" s="2">
        <v>125266685</v>
      </c>
      <c r="D6914" s="2">
        <v>126304240</v>
      </c>
      <c r="E6914" s="2">
        <v>2</v>
      </c>
      <c r="F6914" s="2" t="s">
        <v>10086</v>
      </c>
      <c r="H6914" s="2">
        <v>1.2999999999999999E-3</v>
      </c>
      <c r="K6914" s="2" t="s">
        <v>10085</v>
      </c>
    </row>
    <row r="6915" spans="1:11" x14ac:dyDescent="0.2">
      <c r="A6915" s="2">
        <v>1730</v>
      </c>
      <c r="B6915" s="2">
        <v>11</v>
      </c>
      <c r="C6915" s="2">
        <v>125266685</v>
      </c>
      <c r="D6915" s="2">
        <v>126304240</v>
      </c>
      <c r="E6915" s="2">
        <v>3</v>
      </c>
      <c r="F6915" s="2" t="s">
        <v>10086</v>
      </c>
      <c r="H6915" s="3">
        <v>8.0000000000000004E-4</v>
      </c>
      <c r="K6915" s="2" t="s">
        <v>10089</v>
      </c>
    </row>
    <row r="6916" spans="1:11" x14ac:dyDescent="0.2">
      <c r="A6916" s="2">
        <v>1730</v>
      </c>
      <c r="B6916" s="2">
        <v>11</v>
      </c>
      <c r="C6916" s="2">
        <v>125266685</v>
      </c>
      <c r="D6916" s="2">
        <v>126304240</v>
      </c>
      <c r="E6916" s="2">
        <v>4</v>
      </c>
      <c r="F6916" s="2" t="s">
        <v>10086</v>
      </c>
      <c r="H6916" s="3">
        <v>2.9999999999999997E-4</v>
      </c>
      <c r="K6916" s="2" t="s">
        <v>10087</v>
      </c>
    </row>
    <row r="6917" spans="1:11" x14ac:dyDescent="0.2">
      <c r="A6917" s="2">
        <v>1731</v>
      </c>
      <c r="B6917" s="2">
        <v>11</v>
      </c>
      <c r="C6917" s="2">
        <v>126304241</v>
      </c>
      <c r="D6917" s="2">
        <v>127306871</v>
      </c>
      <c r="E6917" s="2">
        <v>1</v>
      </c>
      <c r="F6917" s="2" t="s">
        <v>10086</v>
      </c>
      <c r="H6917" s="2">
        <v>1.0500000000000001E-2</v>
      </c>
      <c r="K6917" s="2" t="s">
        <v>10087</v>
      </c>
    </row>
    <row r="6918" spans="1:11" x14ac:dyDescent="0.2">
      <c r="A6918" s="2">
        <v>1731</v>
      </c>
      <c r="B6918" s="2">
        <v>11</v>
      </c>
      <c r="C6918" s="2">
        <v>126304241</v>
      </c>
      <c r="D6918" s="2">
        <v>127306871</v>
      </c>
      <c r="E6918" s="2">
        <v>2</v>
      </c>
      <c r="F6918" s="2" t="s">
        <v>10086</v>
      </c>
      <c r="H6918" s="2">
        <v>1.4E-3</v>
      </c>
      <c r="K6918" s="2" t="s">
        <v>10088</v>
      </c>
    </row>
    <row r="6919" spans="1:11" x14ac:dyDescent="0.2">
      <c r="A6919" s="2">
        <v>1731</v>
      </c>
      <c r="B6919" s="2">
        <v>11</v>
      </c>
      <c r="C6919" s="2">
        <v>126304241</v>
      </c>
      <c r="D6919" s="2">
        <v>127306871</v>
      </c>
      <c r="E6919" s="2">
        <v>3</v>
      </c>
      <c r="F6919" s="2" t="s">
        <v>10086</v>
      </c>
      <c r="H6919" s="2">
        <v>1.1999999999999999E-3</v>
      </c>
      <c r="K6919" s="2" t="s">
        <v>10085</v>
      </c>
    </row>
    <row r="6920" spans="1:11" x14ac:dyDescent="0.2">
      <c r="A6920" s="2">
        <v>1731</v>
      </c>
      <c r="B6920" s="2">
        <v>11</v>
      </c>
      <c r="C6920" s="2">
        <v>126304241</v>
      </c>
      <c r="D6920" s="2">
        <v>127306871</v>
      </c>
      <c r="E6920" s="2">
        <v>4</v>
      </c>
      <c r="F6920" s="2" t="s">
        <v>10086</v>
      </c>
      <c r="H6920" s="3">
        <v>4.0000000000000002E-4</v>
      </c>
      <c r="K6920" s="2" t="s">
        <v>10089</v>
      </c>
    </row>
    <row r="6921" spans="1:11" x14ac:dyDescent="0.2">
      <c r="A6921" s="2">
        <v>1732</v>
      </c>
      <c r="B6921" s="2">
        <v>11</v>
      </c>
      <c r="C6921" s="2">
        <v>127306872</v>
      </c>
      <c r="D6921" s="2">
        <v>128262550</v>
      </c>
      <c r="E6921" s="2">
        <v>1</v>
      </c>
      <c r="F6921" s="2" t="s">
        <v>10086</v>
      </c>
      <c r="H6921" s="2">
        <v>2.5000000000000001E-3</v>
      </c>
      <c r="K6921" s="2" t="s">
        <v>10089</v>
      </c>
    </row>
    <row r="6922" spans="1:11" x14ac:dyDescent="0.2">
      <c r="A6922" s="2">
        <v>1732</v>
      </c>
      <c r="B6922" s="2">
        <v>11</v>
      </c>
      <c r="C6922" s="2">
        <v>127306872</v>
      </c>
      <c r="D6922" s="2">
        <v>128262550</v>
      </c>
      <c r="E6922" s="2">
        <v>2</v>
      </c>
      <c r="F6922" s="2" t="s">
        <v>10086</v>
      </c>
      <c r="H6922" s="2">
        <v>1.4E-3</v>
      </c>
      <c r="K6922" s="2" t="s">
        <v>10088</v>
      </c>
    </row>
    <row r="6923" spans="1:11" x14ac:dyDescent="0.2">
      <c r="A6923" s="2">
        <v>1732</v>
      </c>
      <c r="B6923" s="2">
        <v>11</v>
      </c>
      <c r="C6923" s="2">
        <v>127306872</v>
      </c>
      <c r="D6923" s="2">
        <v>128262550</v>
      </c>
      <c r="E6923" s="2">
        <v>3</v>
      </c>
      <c r="F6923" s="2" t="s">
        <v>10086</v>
      </c>
      <c r="H6923" s="2">
        <v>1.2999999999999999E-3</v>
      </c>
      <c r="K6923" s="2" t="s">
        <v>10087</v>
      </c>
    </row>
    <row r="6924" spans="1:11" x14ac:dyDescent="0.2">
      <c r="A6924" s="2">
        <v>1732</v>
      </c>
      <c r="B6924" s="2">
        <v>11</v>
      </c>
      <c r="C6924" s="2">
        <v>127306872</v>
      </c>
      <c r="D6924" s="2">
        <v>128262550</v>
      </c>
      <c r="E6924" s="2">
        <v>4</v>
      </c>
      <c r="F6924" s="2" t="s">
        <v>10086</v>
      </c>
      <c r="H6924" s="3">
        <v>5.0000000000000001E-4</v>
      </c>
      <c r="K6924" s="2" t="s">
        <v>10085</v>
      </c>
    </row>
    <row r="6925" spans="1:11" x14ac:dyDescent="0.2">
      <c r="A6925" s="2">
        <v>1733</v>
      </c>
      <c r="B6925" s="2">
        <v>11</v>
      </c>
      <c r="C6925" s="2">
        <v>128262551</v>
      </c>
      <c r="D6925" s="2">
        <v>129451784</v>
      </c>
      <c r="E6925" s="2">
        <v>1</v>
      </c>
      <c r="F6925" s="2" t="s">
        <v>10086</v>
      </c>
      <c r="H6925" s="2">
        <v>2.5999999999999999E-3</v>
      </c>
      <c r="K6925" s="2" t="s">
        <v>10089</v>
      </c>
    </row>
    <row r="6926" spans="1:11" x14ac:dyDescent="0.2">
      <c r="A6926" s="2">
        <v>1733</v>
      </c>
      <c r="B6926" s="2">
        <v>11</v>
      </c>
      <c r="C6926" s="2">
        <v>128262551</v>
      </c>
      <c r="D6926" s="2">
        <v>129451784</v>
      </c>
      <c r="E6926" s="2">
        <v>2</v>
      </c>
      <c r="F6926" s="2" t="s">
        <v>10086</v>
      </c>
      <c r="H6926" s="2">
        <v>3.5999999999999999E-3</v>
      </c>
      <c r="K6926" s="2" t="s">
        <v>10087</v>
      </c>
    </row>
    <row r="6927" spans="1:11" x14ac:dyDescent="0.2">
      <c r="A6927" s="2">
        <v>1733</v>
      </c>
      <c r="B6927" s="2">
        <v>11</v>
      </c>
      <c r="C6927" s="2">
        <v>128262551</v>
      </c>
      <c r="D6927" s="2">
        <v>129451784</v>
      </c>
      <c r="E6927" s="2">
        <v>3</v>
      </c>
      <c r="F6927" s="2" t="s">
        <v>10086</v>
      </c>
      <c r="H6927" s="3">
        <v>8.9999999999999998E-4</v>
      </c>
      <c r="K6927" s="2" t="s">
        <v>12324</v>
      </c>
    </row>
    <row r="6928" spans="1:11" x14ac:dyDescent="0.2">
      <c r="A6928" s="2">
        <v>1733</v>
      </c>
      <c r="B6928" s="2">
        <v>11</v>
      </c>
      <c r="C6928" s="2">
        <v>128262551</v>
      </c>
      <c r="D6928" s="2">
        <v>129451784</v>
      </c>
      <c r="E6928" s="2">
        <v>4</v>
      </c>
      <c r="F6928" s="2" t="s">
        <v>10086</v>
      </c>
      <c r="H6928" s="3">
        <v>8.9999999999999998E-4</v>
      </c>
      <c r="K6928" s="2" t="s">
        <v>10085</v>
      </c>
    </row>
    <row r="6929" spans="1:11" x14ac:dyDescent="0.2">
      <c r="A6929" s="2">
        <v>1734</v>
      </c>
      <c r="B6929" s="2">
        <v>11</v>
      </c>
      <c r="C6929" s="2">
        <v>129451785</v>
      </c>
      <c r="D6929" s="2">
        <v>130500783</v>
      </c>
      <c r="E6929" s="2">
        <v>1</v>
      </c>
      <c r="F6929" s="2" t="s">
        <v>10086</v>
      </c>
      <c r="H6929" s="2">
        <v>1.1999999999999999E-3</v>
      </c>
      <c r="K6929" s="2" t="s">
        <v>10085</v>
      </c>
    </row>
    <row r="6930" spans="1:11" x14ac:dyDescent="0.2">
      <c r="A6930" s="2">
        <v>1734</v>
      </c>
      <c r="B6930" s="2">
        <v>11</v>
      </c>
      <c r="C6930" s="2">
        <v>129451785</v>
      </c>
      <c r="D6930" s="2">
        <v>130500783</v>
      </c>
      <c r="E6930" s="2">
        <v>2</v>
      </c>
      <c r="F6930" s="2" t="s">
        <v>10086</v>
      </c>
      <c r="H6930" s="2">
        <v>1.6000000000000001E-3</v>
      </c>
      <c r="K6930" s="2" t="s">
        <v>10088</v>
      </c>
    </row>
    <row r="6931" spans="1:11" x14ac:dyDescent="0.2">
      <c r="A6931" s="2">
        <v>1734</v>
      </c>
      <c r="B6931" s="2">
        <v>11</v>
      </c>
      <c r="C6931" s="2">
        <v>129451785</v>
      </c>
      <c r="D6931" s="2">
        <v>130500783</v>
      </c>
      <c r="E6931" s="2">
        <v>3</v>
      </c>
      <c r="F6931" s="2" t="s">
        <v>10086</v>
      </c>
      <c r="H6931" s="2">
        <v>1E-3</v>
      </c>
      <c r="K6931" s="2" t="s">
        <v>10089</v>
      </c>
    </row>
    <row r="6932" spans="1:11" x14ac:dyDescent="0.2">
      <c r="A6932" s="2">
        <v>1734</v>
      </c>
      <c r="B6932" s="2">
        <v>11</v>
      </c>
      <c r="C6932" s="2">
        <v>129451785</v>
      </c>
      <c r="D6932" s="2">
        <v>130500783</v>
      </c>
      <c r="E6932" s="2">
        <v>4</v>
      </c>
      <c r="F6932" s="2" t="s">
        <v>10086</v>
      </c>
      <c r="H6932" s="3">
        <v>5.0000000000000001E-4</v>
      </c>
      <c r="K6932" s="2" t="s">
        <v>10087</v>
      </c>
    </row>
    <row r="6933" spans="1:11" x14ac:dyDescent="0.2">
      <c r="A6933" s="2">
        <v>1735</v>
      </c>
      <c r="B6933" s="2">
        <v>11</v>
      </c>
      <c r="C6933" s="2">
        <v>130500784</v>
      </c>
      <c r="D6933" s="2">
        <v>131424361</v>
      </c>
      <c r="E6933" s="2">
        <v>1</v>
      </c>
      <c r="F6933" s="2" t="s">
        <v>10086</v>
      </c>
      <c r="H6933" s="2">
        <v>1.4E-3</v>
      </c>
      <c r="K6933" s="2" t="s">
        <v>10089</v>
      </c>
    </row>
    <row r="6934" spans="1:11" x14ac:dyDescent="0.2">
      <c r="A6934" s="2">
        <v>1735</v>
      </c>
      <c r="B6934" s="2">
        <v>11</v>
      </c>
      <c r="C6934" s="2">
        <v>130500784</v>
      </c>
      <c r="D6934" s="2">
        <v>131424361</v>
      </c>
      <c r="E6934" s="2">
        <v>2</v>
      </c>
      <c r="F6934" s="2" t="s">
        <v>10086</v>
      </c>
      <c r="H6934" s="2">
        <v>1.9E-3</v>
      </c>
      <c r="K6934" s="2" t="s">
        <v>10087</v>
      </c>
    </row>
    <row r="6935" spans="1:11" x14ac:dyDescent="0.2">
      <c r="A6935" s="2">
        <v>1735</v>
      </c>
      <c r="B6935" s="2">
        <v>11</v>
      </c>
      <c r="C6935" s="2">
        <v>130500784</v>
      </c>
      <c r="D6935" s="2">
        <v>131424361</v>
      </c>
      <c r="E6935" s="2">
        <v>3</v>
      </c>
      <c r="F6935" s="2" t="s">
        <v>10086</v>
      </c>
      <c r="H6935" s="3">
        <v>8.9999999999999998E-4</v>
      </c>
      <c r="K6935" s="2" t="s">
        <v>10088</v>
      </c>
    </row>
    <row r="6936" spans="1:11" x14ac:dyDescent="0.2">
      <c r="A6936" s="2">
        <v>1735</v>
      </c>
      <c r="B6936" s="2">
        <v>11</v>
      </c>
      <c r="C6936" s="2">
        <v>130500784</v>
      </c>
      <c r="D6936" s="2">
        <v>131424361</v>
      </c>
      <c r="E6936" s="2">
        <v>4</v>
      </c>
      <c r="F6936" s="2" t="s">
        <v>10086</v>
      </c>
      <c r="H6936" s="3">
        <v>4.0000000000000002E-4</v>
      </c>
      <c r="K6936" s="2" t="s">
        <v>10085</v>
      </c>
    </row>
    <row r="6937" spans="1:11" x14ac:dyDescent="0.2">
      <c r="A6937" s="2">
        <v>1736</v>
      </c>
      <c r="B6937" s="2">
        <v>11</v>
      </c>
      <c r="C6937" s="2">
        <v>131424362</v>
      </c>
      <c r="D6937" s="2">
        <v>132584401</v>
      </c>
      <c r="E6937" s="2">
        <v>1</v>
      </c>
      <c r="F6937" s="2" t="s">
        <v>10086</v>
      </c>
      <c r="H6937" s="2">
        <v>2.3999999999999998E-3</v>
      </c>
      <c r="K6937" s="2" t="s">
        <v>10088</v>
      </c>
    </row>
    <row r="6938" spans="1:11" x14ac:dyDescent="0.2">
      <c r="A6938" s="2">
        <v>1736</v>
      </c>
      <c r="B6938" s="2">
        <v>11</v>
      </c>
      <c r="C6938" s="2">
        <v>131424362</v>
      </c>
      <c r="D6938" s="2">
        <v>132584401</v>
      </c>
      <c r="E6938" s="2">
        <v>2</v>
      </c>
      <c r="F6938" s="2" t="s">
        <v>10086</v>
      </c>
      <c r="H6938" s="2">
        <v>1.1999999999999999E-3</v>
      </c>
      <c r="K6938" s="2" t="s">
        <v>10089</v>
      </c>
    </row>
    <row r="6939" spans="1:11" x14ac:dyDescent="0.2">
      <c r="A6939" s="2">
        <v>1736</v>
      </c>
      <c r="B6939" s="2">
        <v>11</v>
      </c>
      <c r="C6939" s="2">
        <v>131424362</v>
      </c>
      <c r="D6939" s="2">
        <v>132584401</v>
      </c>
      <c r="E6939" s="2">
        <v>3</v>
      </c>
      <c r="F6939" s="2" t="s">
        <v>10086</v>
      </c>
      <c r="H6939" s="2">
        <v>1E-3</v>
      </c>
      <c r="K6939" s="2" t="s">
        <v>10087</v>
      </c>
    </row>
    <row r="6940" spans="1:11" x14ac:dyDescent="0.2">
      <c r="A6940" s="2">
        <v>1736</v>
      </c>
      <c r="B6940" s="2">
        <v>11</v>
      </c>
      <c r="C6940" s="2">
        <v>131424362</v>
      </c>
      <c r="D6940" s="2">
        <v>132584401</v>
      </c>
      <c r="E6940" s="2">
        <v>4</v>
      </c>
      <c r="F6940" s="2" t="s">
        <v>10086</v>
      </c>
      <c r="H6940" s="3">
        <v>5.0000000000000001E-4</v>
      </c>
      <c r="K6940" s="2" t="s">
        <v>10085</v>
      </c>
    </row>
    <row r="6941" spans="1:11" x14ac:dyDescent="0.2">
      <c r="A6941" s="2">
        <v>1737</v>
      </c>
      <c r="B6941" s="2">
        <v>11</v>
      </c>
      <c r="C6941" s="2">
        <v>132584402</v>
      </c>
      <c r="D6941" s="2">
        <v>133521642</v>
      </c>
      <c r="E6941" s="2">
        <v>1</v>
      </c>
      <c r="F6941" s="2" t="s">
        <v>10086</v>
      </c>
      <c r="H6941" s="2">
        <v>1.6000000000000001E-3</v>
      </c>
      <c r="K6941" s="2" t="s">
        <v>10089</v>
      </c>
    </row>
    <row r="6942" spans="1:11" x14ac:dyDescent="0.2">
      <c r="A6942" s="2">
        <v>1737</v>
      </c>
      <c r="B6942" s="2">
        <v>11</v>
      </c>
      <c r="C6942" s="2">
        <v>132584402</v>
      </c>
      <c r="D6942" s="2">
        <v>133521642</v>
      </c>
      <c r="E6942" s="2">
        <v>2</v>
      </c>
      <c r="F6942" s="2" t="s">
        <v>10086</v>
      </c>
      <c r="H6942" s="2">
        <v>2.0999999999999999E-3</v>
      </c>
      <c r="K6942" s="2" t="s">
        <v>10087</v>
      </c>
    </row>
    <row r="6943" spans="1:11" x14ac:dyDescent="0.2">
      <c r="A6943" s="2">
        <v>1737</v>
      </c>
      <c r="B6943" s="2">
        <v>11</v>
      </c>
      <c r="C6943" s="2">
        <v>132584402</v>
      </c>
      <c r="D6943" s="2">
        <v>133521642</v>
      </c>
      <c r="E6943" s="2">
        <v>3</v>
      </c>
      <c r="F6943" s="2" t="s">
        <v>10086</v>
      </c>
      <c r="H6943" s="2">
        <v>1.1000000000000001E-3</v>
      </c>
      <c r="K6943" s="2" t="s">
        <v>10088</v>
      </c>
    </row>
    <row r="6944" spans="1:11" x14ac:dyDescent="0.2">
      <c r="A6944" s="2">
        <v>1737</v>
      </c>
      <c r="B6944" s="2">
        <v>11</v>
      </c>
      <c r="C6944" s="2">
        <v>132584402</v>
      </c>
      <c r="D6944" s="2">
        <v>133521642</v>
      </c>
      <c r="E6944" s="2">
        <v>4</v>
      </c>
      <c r="F6944" s="2" t="s">
        <v>10086</v>
      </c>
      <c r="H6944" s="3">
        <v>8.0000000000000004E-4</v>
      </c>
      <c r="K6944" s="2" t="s">
        <v>10085</v>
      </c>
    </row>
    <row r="6945" spans="1:11" x14ac:dyDescent="0.2">
      <c r="A6945" s="2">
        <v>1738</v>
      </c>
      <c r="B6945" s="2">
        <v>11</v>
      </c>
      <c r="C6945" s="2">
        <v>133521643</v>
      </c>
      <c r="D6945" s="2">
        <v>134351064</v>
      </c>
      <c r="E6945" s="2">
        <v>1</v>
      </c>
      <c r="F6945" s="2" t="s">
        <v>10086</v>
      </c>
      <c r="H6945" s="2">
        <v>2.92E-2</v>
      </c>
      <c r="K6945" s="2" t="s">
        <v>10089</v>
      </c>
    </row>
    <row r="6946" spans="1:11" x14ac:dyDescent="0.2">
      <c r="A6946" s="2">
        <v>1738</v>
      </c>
      <c r="B6946" s="2">
        <v>11</v>
      </c>
      <c r="C6946" s="2">
        <v>133521643</v>
      </c>
      <c r="D6946" s="2">
        <v>134351064</v>
      </c>
      <c r="E6946" s="2">
        <v>2</v>
      </c>
      <c r="F6946" s="2" t="s">
        <v>10086</v>
      </c>
      <c r="H6946" s="2">
        <v>1.8E-3</v>
      </c>
      <c r="K6946" s="2" t="s">
        <v>10085</v>
      </c>
    </row>
    <row r="6947" spans="1:11" x14ac:dyDescent="0.2">
      <c r="A6947" s="2">
        <v>1738</v>
      </c>
      <c r="B6947" s="2">
        <v>11</v>
      </c>
      <c r="C6947" s="2">
        <v>133521643</v>
      </c>
      <c r="D6947" s="2">
        <v>134351064</v>
      </c>
      <c r="E6947" s="2">
        <v>3</v>
      </c>
      <c r="F6947" s="2" t="s">
        <v>10086</v>
      </c>
      <c r="H6947" s="2">
        <v>1.9E-3</v>
      </c>
      <c r="K6947" s="2" t="s">
        <v>10088</v>
      </c>
    </row>
    <row r="6948" spans="1:11" x14ac:dyDescent="0.2">
      <c r="A6948" s="2">
        <v>1738</v>
      </c>
      <c r="B6948" s="2">
        <v>11</v>
      </c>
      <c r="C6948" s="2">
        <v>133521643</v>
      </c>
      <c r="D6948" s="2">
        <v>134351064</v>
      </c>
      <c r="E6948" s="2">
        <v>4</v>
      </c>
      <c r="F6948" s="2" t="s">
        <v>10086</v>
      </c>
      <c r="H6948" s="3">
        <v>6.9999999999999999E-4</v>
      </c>
      <c r="K6948" s="2" t="s">
        <v>10087</v>
      </c>
    </row>
    <row r="6949" spans="1:11" x14ac:dyDescent="0.2">
      <c r="A6949" s="2">
        <v>1739</v>
      </c>
      <c r="B6949" s="2">
        <v>11</v>
      </c>
      <c r="C6949" s="2">
        <v>134351065</v>
      </c>
      <c r="D6949" s="2">
        <v>134946450</v>
      </c>
      <c r="E6949" s="2">
        <v>1</v>
      </c>
      <c r="F6949" s="2" t="s">
        <v>10086</v>
      </c>
      <c r="H6949" s="2">
        <v>1.6000000000000001E-3</v>
      </c>
      <c r="K6949" s="2" t="s">
        <v>10088</v>
      </c>
    </row>
    <row r="6950" spans="1:11" x14ac:dyDescent="0.2">
      <c r="A6950" s="2">
        <v>1739</v>
      </c>
      <c r="B6950" s="2">
        <v>11</v>
      </c>
      <c r="C6950" s="2">
        <v>134351065</v>
      </c>
      <c r="D6950" s="2">
        <v>134946450</v>
      </c>
      <c r="E6950" s="2">
        <v>2</v>
      </c>
      <c r="F6950" s="2" t="s">
        <v>10086</v>
      </c>
      <c r="H6950" s="3">
        <v>8.9999999999999998E-4</v>
      </c>
      <c r="K6950" s="2" t="s">
        <v>10085</v>
      </c>
    </row>
    <row r="6951" spans="1:11" x14ac:dyDescent="0.2">
      <c r="A6951" s="2">
        <v>1739</v>
      </c>
      <c r="B6951" s="2">
        <v>11</v>
      </c>
      <c r="C6951" s="2">
        <v>134351065</v>
      </c>
      <c r="D6951" s="2">
        <v>134946450</v>
      </c>
      <c r="E6951" s="2">
        <v>3</v>
      </c>
      <c r="F6951" s="2" t="s">
        <v>10086</v>
      </c>
      <c r="H6951" s="3">
        <v>8.0000000000000004E-4</v>
      </c>
      <c r="K6951" s="2" t="s">
        <v>10089</v>
      </c>
    </row>
    <row r="6952" spans="1:11" x14ac:dyDescent="0.2">
      <c r="A6952" s="2">
        <v>1739</v>
      </c>
      <c r="B6952" s="2">
        <v>11</v>
      </c>
      <c r="C6952" s="2">
        <v>134351065</v>
      </c>
      <c r="D6952" s="2">
        <v>134946450</v>
      </c>
      <c r="E6952" s="2">
        <v>4</v>
      </c>
      <c r="F6952" s="2" t="s">
        <v>10086</v>
      </c>
      <c r="H6952" s="3">
        <v>2.9999999999999997E-4</v>
      </c>
      <c r="K6952" s="2" t="s">
        <v>10087</v>
      </c>
    </row>
    <row r="6953" spans="1:11" x14ac:dyDescent="0.2">
      <c r="A6953" s="2">
        <v>1740</v>
      </c>
      <c r="B6953" s="2">
        <v>12</v>
      </c>
      <c r="C6953" s="2">
        <v>60317</v>
      </c>
      <c r="D6953" s="2">
        <v>1078397</v>
      </c>
      <c r="E6953" s="2">
        <v>1</v>
      </c>
      <c r="F6953" s="2" t="s">
        <v>10086</v>
      </c>
      <c r="H6953" s="2">
        <v>3.7000000000000002E-3</v>
      </c>
      <c r="K6953" s="2" t="s">
        <v>10087</v>
      </c>
    </row>
    <row r="6954" spans="1:11" x14ac:dyDescent="0.2">
      <c r="A6954" s="2">
        <v>1740</v>
      </c>
      <c r="B6954" s="2">
        <v>12</v>
      </c>
      <c r="C6954" s="2">
        <v>60317</v>
      </c>
      <c r="D6954" s="2">
        <v>1078397</v>
      </c>
      <c r="E6954" s="2">
        <v>2</v>
      </c>
      <c r="F6954" s="2" t="s">
        <v>10086</v>
      </c>
      <c r="H6954" s="3">
        <v>8.0000000000000004E-4</v>
      </c>
      <c r="K6954" s="2" t="s">
        <v>10085</v>
      </c>
    </row>
    <row r="6955" spans="1:11" x14ac:dyDescent="0.2">
      <c r="A6955" s="2">
        <v>1740</v>
      </c>
      <c r="B6955" s="2">
        <v>12</v>
      </c>
      <c r="C6955" s="2">
        <v>60317</v>
      </c>
      <c r="D6955" s="2">
        <v>1078397</v>
      </c>
      <c r="E6955" s="2">
        <v>3</v>
      </c>
      <c r="F6955" s="2" t="s">
        <v>10086</v>
      </c>
      <c r="H6955" s="3">
        <v>8.0000000000000004E-4</v>
      </c>
      <c r="K6955" s="2" t="s">
        <v>10088</v>
      </c>
    </row>
    <row r="6956" spans="1:11" x14ac:dyDescent="0.2">
      <c r="A6956" s="2">
        <v>1740</v>
      </c>
      <c r="B6956" s="2">
        <v>12</v>
      </c>
      <c r="C6956" s="2">
        <v>60317</v>
      </c>
      <c r="D6956" s="2">
        <v>1078397</v>
      </c>
      <c r="E6956" s="2">
        <v>4</v>
      </c>
      <c r="F6956" s="2" t="s">
        <v>10086</v>
      </c>
      <c r="H6956" s="3">
        <v>4.0000000000000002E-4</v>
      </c>
      <c r="K6956" s="2" t="s">
        <v>10089</v>
      </c>
    </row>
    <row r="6957" spans="1:11" x14ac:dyDescent="0.2">
      <c r="A6957" s="2">
        <v>1741</v>
      </c>
      <c r="B6957" s="2">
        <v>12</v>
      </c>
      <c r="C6957" s="2">
        <v>1078398</v>
      </c>
      <c r="D6957" s="2">
        <v>1942426</v>
      </c>
      <c r="E6957" s="2">
        <v>1</v>
      </c>
      <c r="F6957" s="2" t="s">
        <v>10086</v>
      </c>
      <c r="H6957" s="2">
        <v>6.1000000000000004E-3</v>
      </c>
      <c r="K6957" s="2" t="s">
        <v>10087</v>
      </c>
    </row>
    <row r="6958" spans="1:11" x14ac:dyDescent="0.2">
      <c r="A6958" s="2">
        <v>1741</v>
      </c>
      <c r="B6958" s="2">
        <v>12</v>
      </c>
      <c r="C6958" s="2">
        <v>1078398</v>
      </c>
      <c r="D6958" s="2">
        <v>1942426</v>
      </c>
      <c r="E6958" s="2">
        <v>2</v>
      </c>
      <c r="F6958" s="2" t="s">
        <v>10086</v>
      </c>
      <c r="H6958" s="2">
        <v>1.1000000000000001E-3</v>
      </c>
      <c r="K6958" s="2" t="s">
        <v>10088</v>
      </c>
    </row>
    <row r="6959" spans="1:11" x14ac:dyDescent="0.2">
      <c r="A6959" s="2">
        <v>1741</v>
      </c>
      <c r="B6959" s="2">
        <v>12</v>
      </c>
      <c r="C6959" s="2">
        <v>1078398</v>
      </c>
      <c r="D6959" s="2">
        <v>1942426</v>
      </c>
      <c r="E6959" s="2">
        <v>3</v>
      </c>
      <c r="F6959" s="2" t="s">
        <v>10086</v>
      </c>
      <c r="H6959" s="3">
        <v>8.9999999999999998E-4</v>
      </c>
      <c r="K6959" s="2" t="s">
        <v>10089</v>
      </c>
    </row>
    <row r="6960" spans="1:11" x14ac:dyDescent="0.2">
      <c r="A6960" s="2">
        <v>1741</v>
      </c>
      <c r="B6960" s="2">
        <v>12</v>
      </c>
      <c r="C6960" s="2">
        <v>1078398</v>
      </c>
      <c r="D6960" s="2">
        <v>1942426</v>
      </c>
      <c r="E6960" s="2">
        <v>4</v>
      </c>
      <c r="F6960" s="2" t="s">
        <v>10086</v>
      </c>
      <c r="H6960" s="3">
        <v>5.0000000000000001E-4</v>
      </c>
      <c r="K6960" s="2" t="s">
        <v>10085</v>
      </c>
    </row>
    <row r="6961" spans="1:11" x14ac:dyDescent="0.2">
      <c r="A6961" s="2">
        <v>1742</v>
      </c>
      <c r="B6961" s="2">
        <v>12</v>
      </c>
      <c r="C6961" s="2">
        <v>1942427</v>
      </c>
      <c r="D6961" s="2">
        <v>3069506</v>
      </c>
      <c r="E6961" s="2">
        <v>1</v>
      </c>
      <c r="F6961" s="2" t="s">
        <v>10086</v>
      </c>
      <c r="H6961" s="2">
        <v>2.2000000000000001E-3</v>
      </c>
      <c r="K6961" s="2" t="s">
        <v>10089</v>
      </c>
    </row>
    <row r="6962" spans="1:11" x14ac:dyDescent="0.2">
      <c r="A6962" s="2">
        <v>1742</v>
      </c>
      <c r="B6962" s="2">
        <v>12</v>
      </c>
      <c r="C6962" s="2">
        <v>1942427</v>
      </c>
      <c r="D6962" s="2">
        <v>3069506</v>
      </c>
      <c r="E6962" s="2">
        <v>2</v>
      </c>
      <c r="F6962" s="2" t="s">
        <v>10086</v>
      </c>
      <c r="H6962" s="2">
        <v>2E-3</v>
      </c>
      <c r="K6962" s="2" t="s">
        <v>10085</v>
      </c>
    </row>
    <row r="6963" spans="1:11" x14ac:dyDescent="0.2">
      <c r="A6963" s="2">
        <v>1742</v>
      </c>
      <c r="B6963" s="2">
        <v>12</v>
      </c>
      <c r="C6963" s="2">
        <v>1942427</v>
      </c>
      <c r="D6963" s="2">
        <v>3069506</v>
      </c>
      <c r="E6963" s="2">
        <v>3</v>
      </c>
      <c r="F6963" s="2" t="s">
        <v>10086</v>
      </c>
      <c r="H6963" s="2">
        <v>1.8E-3</v>
      </c>
      <c r="K6963" s="2" t="s">
        <v>10087</v>
      </c>
    </row>
    <row r="6964" spans="1:11" x14ac:dyDescent="0.2">
      <c r="A6964" s="2">
        <v>1742</v>
      </c>
      <c r="B6964" s="2">
        <v>12</v>
      </c>
      <c r="C6964" s="2">
        <v>1942427</v>
      </c>
      <c r="D6964" s="2">
        <v>3069506</v>
      </c>
      <c r="E6964" s="2">
        <v>4</v>
      </c>
      <c r="F6964" s="2" t="s">
        <v>10086</v>
      </c>
      <c r="H6964" s="2">
        <v>1E-3</v>
      </c>
      <c r="K6964" s="2" t="s">
        <v>10088</v>
      </c>
    </row>
    <row r="6965" spans="1:11" x14ac:dyDescent="0.2">
      <c r="A6965" s="2">
        <v>1743</v>
      </c>
      <c r="B6965" s="2">
        <v>12</v>
      </c>
      <c r="C6965" s="2">
        <v>3069507</v>
      </c>
      <c r="D6965" s="2">
        <v>3871114</v>
      </c>
      <c r="E6965" s="2">
        <v>1</v>
      </c>
      <c r="F6965" s="2" t="s">
        <v>10086</v>
      </c>
      <c r="H6965" s="2">
        <v>1.6000000000000001E-3</v>
      </c>
      <c r="K6965" s="2" t="s">
        <v>10088</v>
      </c>
    </row>
    <row r="6966" spans="1:11" x14ac:dyDescent="0.2">
      <c r="A6966" s="2">
        <v>1743</v>
      </c>
      <c r="B6966" s="2">
        <v>12</v>
      </c>
      <c r="C6966" s="2">
        <v>3069507</v>
      </c>
      <c r="D6966" s="2">
        <v>3871114</v>
      </c>
      <c r="E6966" s="2">
        <v>2</v>
      </c>
      <c r="F6966" s="2" t="s">
        <v>10086</v>
      </c>
      <c r="H6966" s="2">
        <v>1.1999999999999999E-3</v>
      </c>
      <c r="K6966" s="2" t="s">
        <v>10089</v>
      </c>
    </row>
    <row r="6967" spans="1:11" x14ac:dyDescent="0.2">
      <c r="A6967" s="2">
        <v>1743</v>
      </c>
      <c r="B6967" s="2">
        <v>12</v>
      </c>
      <c r="C6967" s="2">
        <v>3069507</v>
      </c>
      <c r="D6967" s="2">
        <v>3871114</v>
      </c>
      <c r="E6967" s="2">
        <v>3</v>
      </c>
      <c r="F6967" s="2" t="s">
        <v>10086</v>
      </c>
      <c r="H6967" s="3">
        <v>8.9999999999999998E-4</v>
      </c>
      <c r="K6967" s="2" t="s">
        <v>10085</v>
      </c>
    </row>
    <row r="6968" spans="1:11" x14ac:dyDescent="0.2">
      <c r="A6968" s="2">
        <v>1743</v>
      </c>
      <c r="B6968" s="2">
        <v>12</v>
      </c>
      <c r="C6968" s="2">
        <v>3069507</v>
      </c>
      <c r="D6968" s="2">
        <v>3871114</v>
      </c>
      <c r="E6968" s="2">
        <v>4</v>
      </c>
      <c r="F6968" s="2" t="s">
        <v>10086</v>
      </c>
      <c r="H6968" s="3">
        <v>5.0000000000000001E-4</v>
      </c>
      <c r="K6968" s="2" t="s">
        <v>10087</v>
      </c>
    </row>
    <row r="6969" spans="1:11" x14ac:dyDescent="0.2">
      <c r="A6969" s="2">
        <v>1744</v>
      </c>
      <c r="B6969" s="2">
        <v>12</v>
      </c>
      <c r="C6969" s="2">
        <v>3871115</v>
      </c>
      <c r="D6969" s="2">
        <v>4967643</v>
      </c>
      <c r="E6969" s="2">
        <v>1</v>
      </c>
      <c r="F6969" s="2" t="s">
        <v>10086</v>
      </c>
      <c r="H6969" s="2">
        <v>1.6999999999999999E-3</v>
      </c>
      <c r="K6969" s="2" t="s">
        <v>10089</v>
      </c>
    </row>
    <row r="6970" spans="1:11" x14ac:dyDescent="0.2">
      <c r="A6970" s="2">
        <v>1744</v>
      </c>
      <c r="B6970" s="2">
        <v>12</v>
      </c>
      <c r="C6970" s="2">
        <v>3871115</v>
      </c>
      <c r="D6970" s="2">
        <v>4967643</v>
      </c>
      <c r="E6970" s="2">
        <v>2</v>
      </c>
      <c r="F6970" s="2" t="s">
        <v>10086</v>
      </c>
      <c r="H6970" s="2">
        <v>4.0000000000000001E-3</v>
      </c>
      <c r="K6970" s="2" t="s">
        <v>10088</v>
      </c>
    </row>
    <row r="6971" spans="1:11" x14ac:dyDescent="0.2">
      <c r="A6971" s="2">
        <v>1744</v>
      </c>
      <c r="B6971" s="2">
        <v>12</v>
      </c>
      <c r="C6971" s="2">
        <v>3871115</v>
      </c>
      <c r="D6971" s="2">
        <v>4967643</v>
      </c>
      <c r="E6971" s="2">
        <v>3</v>
      </c>
      <c r="F6971" s="2" t="s">
        <v>10086</v>
      </c>
      <c r="H6971" s="3">
        <v>8.0000000000000004E-4</v>
      </c>
      <c r="K6971" s="2" t="s">
        <v>10087</v>
      </c>
    </row>
    <row r="6972" spans="1:11" x14ac:dyDescent="0.2">
      <c r="A6972" s="2">
        <v>1744</v>
      </c>
      <c r="B6972" s="2">
        <v>12</v>
      </c>
      <c r="C6972" s="2">
        <v>3871115</v>
      </c>
      <c r="D6972" s="2">
        <v>4967643</v>
      </c>
      <c r="E6972" s="2">
        <v>4</v>
      </c>
      <c r="F6972" s="2" t="s">
        <v>10086</v>
      </c>
      <c r="H6972" s="3">
        <v>6.9999999999999999E-4</v>
      </c>
      <c r="K6972" s="2" t="s">
        <v>10085</v>
      </c>
    </row>
    <row r="6973" spans="1:11" x14ac:dyDescent="0.2">
      <c r="A6973" s="2">
        <v>1745</v>
      </c>
      <c r="B6973" s="2">
        <v>12</v>
      </c>
      <c r="C6973" s="2">
        <v>4967644</v>
      </c>
      <c r="D6973" s="2">
        <v>6023700</v>
      </c>
      <c r="E6973" s="2">
        <v>1</v>
      </c>
      <c r="F6973" s="2" t="s">
        <v>10086</v>
      </c>
      <c r="H6973" s="2">
        <v>2.8999999999999998E-3</v>
      </c>
      <c r="K6973" s="2" t="s">
        <v>10087</v>
      </c>
    </row>
    <row r="6974" spans="1:11" x14ac:dyDescent="0.2">
      <c r="A6974" s="2">
        <v>1745</v>
      </c>
      <c r="B6974" s="2">
        <v>12</v>
      </c>
      <c r="C6974" s="2">
        <v>4967644</v>
      </c>
      <c r="D6974" s="2">
        <v>6023700</v>
      </c>
      <c r="E6974" s="2">
        <v>2</v>
      </c>
      <c r="F6974" s="2" t="s">
        <v>10086</v>
      </c>
      <c r="H6974" s="2">
        <v>1.9E-3</v>
      </c>
      <c r="K6974" s="2" t="s">
        <v>10089</v>
      </c>
    </row>
    <row r="6975" spans="1:11" x14ac:dyDescent="0.2">
      <c r="A6975" s="2">
        <v>1745</v>
      </c>
      <c r="B6975" s="2">
        <v>12</v>
      </c>
      <c r="C6975" s="2">
        <v>4967644</v>
      </c>
      <c r="D6975" s="2">
        <v>6023700</v>
      </c>
      <c r="E6975" s="2">
        <v>3</v>
      </c>
      <c r="F6975" s="2" t="s">
        <v>10086</v>
      </c>
      <c r="H6975" s="2">
        <v>1E-3</v>
      </c>
      <c r="K6975" s="2" t="s">
        <v>10088</v>
      </c>
    </row>
    <row r="6976" spans="1:11" x14ac:dyDescent="0.2">
      <c r="A6976" s="2">
        <v>1745</v>
      </c>
      <c r="B6976" s="2">
        <v>12</v>
      </c>
      <c r="C6976" s="2">
        <v>4967644</v>
      </c>
      <c r="D6976" s="2">
        <v>6023700</v>
      </c>
      <c r="E6976" s="2">
        <v>4</v>
      </c>
      <c r="F6976" s="2" t="s">
        <v>10086</v>
      </c>
      <c r="H6976" s="3">
        <v>5.0000000000000001E-4</v>
      </c>
      <c r="K6976" s="2" t="s">
        <v>10085</v>
      </c>
    </row>
    <row r="6977" spans="1:11" x14ac:dyDescent="0.2">
      <c r="A6977" s="2">
        <v>1746</v>
      </c>
      <c r="B6977" s="2">
        <v>12</v>
      </c>
      <c r="C6977" s="2">
        <v>6023701</v>
      </c>
      <c r="D6977" s="2">
        <v>6948954</v>
      </c>
      <c r="E6977" s="2">
        <v>1</v>
      </c>
      <c r="F6977" s="2" t="s">
        <v>10086</v>
      </c>
      <c r="H6977" s="2">
        <v>2E-3</v>
      </c>
      <c r="K6977" s="2" t="s">
        <v>10089</v>
      </c>
    </row>
    <row r="6978" spans="1:11" x14ac:dyDescent="0.2">
      <c r="A6978" s="2">
        <v>1746</v>
      </c>
      <c r="B6978" s="2">
        <v>12</v>
      </c>
      <c r="C6978" s="2">
        <v>6023701</v>
      </c>
      <c r="D6978" s="2">
        <v>6948954</v>
      </c>
      <c r="E6978" s="2">
        <v>2</v>
      </c>
      <c r="F6978" s="2" t="s">
        <v>10086</v>
      </c>
      <c r="H6978" s="2">
        <v>1.1999999999999999E-3</v>
      </c>
      <c r="K6978" s="2" t="s">
        <v>10085</v>
      </c>
    </row>
    <row r="6979" spans="1:11" x14ac:dyDescent="0.2">
      <c r="A6979" s="2">
        <v>1746</v>
      </c>
      <c r="B6979" s="2">
        <v>12</v>
      </c>
      <c r="C6979" s="2">
        <v>6023701</v>
      </c>
      <c r="D6979" s="2">
        <v>6948954</v>
      </c>
      <c r="E6979" s="2">
        <v>3</v>
      </c>
      <c r="F6979" s="2" t="s">
        <v>10086</v>
      </c>
      <c r="H6979" s="2">
        <v>1.4E-3</v>
      </c>
      <c r="K6979" s="2" t="s">
        <v>10088</v>
      </c>
    </row>
    <row r="6980" spans="1:11" x14ac:dyDescent="0.2">
      <c r="A6980" s="2">
        <v>1746</v>
      </c>
      <c r="B6980" s="2">
        <v>12</v>
      </c>
      <c r="C6980" s="2">
        <v>6023701</v>
      </c>
      <c r="D6980" s="2">
        <v>6948954</v>
      </c>
      <c r="E6980" s="2">
        <v>4</v>
      </c>
      <c r="F6980" s="2" t="s">
        <v>10086</v>
      </c>
      <c r="H6980" s="3">
        <v>5.0000000000000001E-4</v>
      </c>
      <c r="K6980" s="2" t="s">
        <v>10087</v>
      </c>
    </row>
    <row r="6981" spans="1:11" x14ac:dyDescent="0.2">
      <c r="A6981" s="2">
        <v>1747</v>
      </c>
      <c r="B6981" s="2">
        <v>12</v>
      </c>
      <c r="C6981" s="2">
        <v>6948955</v>
      </c>
      <c r="D6981" s="2">
        <v>8123317</v>
      </c>
      <c r="E6981" s="2">
        <v>1</v>
      </c>
      <c r="F6981" s="2" t="s">
        <v>10086</v>
      </c>
      <c r="H6981" s="2">
        <v>1.1999999999999999E-3</v>
      </c>
      <c r="K6981" s="2" t="s">
        <v>10085</v>
      </c>
    </row>
    <row r="6982" spans="1:11" x14ac:dyDescent="0.2">
      <c r="A6982" s="2">
        <v>1747</v>
      </c>
      <c r="B6982" s="2">
        <v>12</v>
      </c>
      <c r="C6982" s="2">
        <v>6948955</v>
      </c>
      <c r="D6982" s="2">
        <v>8123317</v>
      </c>
      <c r="E6982" s="2">
        <v>2</v>
      </c>
      <c r="F6982" s="2" t="s">
        <v>10086</v>
      </c>
      <c r="H6982" s="2">
        <v>2.2000000000000001E-3</v>
      </c>
      <c r="K6982" s="2" t="s">
        <v>10087</v>
      </c>
    </row>
    <row r="6983" spans="1:11" x14ac:dyDescent="0.2">
      <c r="A6983" s="2">
        <v>1747</v>
      </c>
      <c r="B6983" s="2">
        <v>12</v>
      </c>
      <c r="C6983" s="2">
        <v>6948955</v>
      </c>
      <c r="D6983" s="2">
        <v>8123317</v>
      </c>
      <c r="E6983" s="2">
        <v>3</v>
      </c>
      <c r="F6983" s="2" t="s">
        <v>10086</v>
      </c>
      <c r="H6983" s="3">
        <v>8.0000000000000004E-4</v>
      </c>
      <c r="K6983" s="2" t="s">
        <v>10089</v>
      </c>
    </row>
    <row r="6984" spans="1:11" x14ac:dyDescent="0.2">
      <c r="A6984" s="2">
        <v>1747</v>
      </c>
      <c r="B6984" s="2">
        <v>12</v>
      </c>
      <c r="C6984" s="2">
        <v>6948955</v>
      </c>
      <c r="D6984" s="2">
        <v>8123317</v>
      </c>
      <c r="E6984" s="2">
        <v>4</v>
      </c>
      <c r="F6984" s="2" t="s">
        <v>10086</v>
      </c>
      <c r="H6984" s="3">
        <v>5.0000000000000001E-4</v>
      </c>
      <c r="K6984" s="2" t="s">
        <v>10088</v>
      </c>
    </row>
    <row r="6985" spans="1:11" x14ac:dyDescent="0.2">
      <c r="A6985" s="2">
        <v>1748</v>
      </c>
      <c r="B6985" s="2">
        <v>12</v>
      </c>
      <c r="C6985" s="2">
        <v>8123318</v>
      </c>
      <c r="D6985" s="2">
        <v>8760628</v>
      </c>
      <c r="E6985" s="2">
        <v>1</v>
      </c>
      <c r="F6985" s="2" t="s">
        <v>10086</v>
      </c>
      <c r="H6985" s="2">
        <v>1.1000000000000001E-3</v>
      </c>
      <c r="K6985" s="2" t="s">
        <v>10087</v>
      </c>
    </row>
    <row r="6986" spans="1:11" x14ac:dyDescent="0.2">
      <c r="A6986" s="2">
        <v>1748</v>
      </c>
      <c r="B6986" s="2">
        <v>12</v>
      </c>
      <c r="C6986" s="2">
        <v>8123318</v>
      </c>
      <c r="D6986" s="2">
        <v>8760628</v>
      </c>
      <c r="E6986" s="2">
        <v>2</v>
      </c>
      <c r="F6986" s="2" t="s">
        <v>10086</v>
      </c>
      <c r="H6986" s="3">
        <v>5.0000000000000001E-4</v>
      </c>
      <c r="K6986" s="2" t="s">
        <v>10089</v>
      </c>
    </row>
    <row r="6987" spans="1:11" x14ac:dyDescent="0.2">
      <c r="A6987" s="2">
        <v>1748</v>
      </c>
      <c r="B6987" s="2">
        <v>12</v>
      </c>
      <c r="C6987" s="2">
        <v>8123318</v>
      </c>
      <c r="D6987" s="2">
        <v>8760628</v>
      </c>
      <c r="E6987" s="2">
        <v>3</v>
      </c>
      <c r="F6987" s="2" t="s">
        <v>10086</v>
      </c>
      <c r="H6987" s="3">
        <v>4.0000000000000002E-4</v>
      </c>
      <c r="K6987" s="2" t="s">
        <v>10088</v>
      </c>
    </row>
    <row r="6988" spans="1:11" x14ac:dyDescent="0.2">
      <c r="A6988" s="2">
        <v>1748</v>
      </c>
      <c r="B6988" s="2">
        <v>12</v>
      </c>
      <c r="C6988" s="2">
        <v>8123318</v>
      </c>
      <c r="D6988" s="2">
        <v>8760628</v>
      </c>
      <c r="E6988" s="2">
        <v>4</v>
      </c>
      <c r="F6988" s="2" t="s">
        <v>10086</v>
      </c>
      <c r="H6988" s="3">
        <v>2.9999999999999997E-4</v>
      </c>
      <c r="K6988" s="2" t="s">
        <v>10085</v>
      </c>
    </row>
    <row r="6989" spans="1:11" x14ac:dyDescent="0.2">
      <c r="A6989" s="2">
        <v>1749</v>
      </c>
      <c r="B6989" s="2">
        <v>12</v>
      </c>
      <c r="C6989" s="2">
        <v>8760629</v>
      </c>
      <c r="D6989" s="2">
        <v>10176713</v>
      </c>
      <c r="E6989" s="2">
        <v>1</v>
      </c>
      <c r="F6989" s="2" t="s">
        <v>10086</v>
      </c>
      <c r="H6989" s="2">
        <v>1.4E-3</v>
      </c>
      <c r="K6989" s="2" t="s">
        <v>10088</v>
      </c>
    </row>
    <row r="6990" spans="1:11" x14ac:dyDescent="0.2">
      <c r="A6990" s="2">
        <v>1749</v>
      </c>
      <c r="B6990" s="2">
        <v>12</v>
      </c>
      <c r="C6990" s="2">
        <v>8760629</v>
      </c>
      <c r="D6990" s="2">
        <v>10176713</v>
      </c>
      <c r="E6990" s="2">
        <v>2</v>
      </c>
      <c r="F6990" s="2" t="s">
        <v>10086</v>
      </c>
      <c r="H6990" s="2">
        <v>1E-3</v>
      </c>
      <c r="K6990" s="2" t="s">
        <v>10085</v>
      </c>
    </row>
    <row r="6991" spans="1:11" x14ac:dyDescent="0.2">
      <c r="A6991" s="2">
        <v>1749</v>
      </c>
      <c r="B6991" s="2">
        <v>12</v>
      </c>
      <c r="C6991" s="2">
        <v>8760629</v>
      </c>
      <c r="D6991" s="2">
        <v>10176713</v>
      </c>
      <c r="E6991" s="2">
        <v>3</v>
      </c>
      <c r="F6991" s="2" t="s">
        <v>10086</v>
      </c>
      <c r="H6991" s="3">
        <v>8.9999999999999998E-4</v>
      </c>
      <c r="K6991" s="2" t="s">
        <v>10089</v>
      </c>
    </row>
    <row r="6992" spans="1:11" x14ac:dyDescent="0.2">
      <c r="A6992" s="2">
        <v>1749</v>
      </c>
      <c r="B6992" s="2">
        <v>12</v>
      </c>
      <c r="C6992" s="2">
        <v>8760629</v>
      </c>
      <c r="D6992" s="2">
        <v>10176713</v>
      </c>
      <c r="E6992" s="2">
        <v>4</v>
      </c>
      <c r="F6992" s="2" t="s">
        <v>10086</v>
      </c>
      <c r="H6992" s="3">
        <v>4.0000000000000002E-4</v>
      </c>
      <c r="K6992" s="2" t="s">
        <v>10087</v>
      </c>
    </row>
    <row r="6993" spans="1:11" x14ac:dyDescent="0.2">
      <c r="A6993" s="2">
        <v>1750</v>
      </c>
      <c r="B6993" s="2">
        <v>12</v>
      </c>
      <c r="C6993" s="2">
        <v>10176714</v>
      </c>
      <c r="D6993" s="2">
        <v>10946140</v>
      </c>
      <c r="E6993" s="2">
        <v>1</v>
      </c>
      <c r="F6993" s="2" t="s">
        <v>10086</v>
      </c>
      <c r="H6993" s="2">
        <v>3.2000000000000002E-3</v>
      </c>
      <c r="K6993" s="2" t="s">
        <v>10089</v>
      </c>
    </row>
    <row r="6994" spans="1:11" x14ac:dyDescent="0.2">
      <c r="A6994" s="2">
        <v>1750</v>
      </c>
      <c r="B6994" s="2">
        <v>12</v>
      </c>
      <c r="C6994" s="2">
        <v>10176714</v>
      </c>
      <c r="D6994" s="2">
        <v>10946140</v>
      </c>
      <c r="E6994" s="2">
        <v>2</v>
      </c>
      <c r="F6994" s="2" t="s">
        <v>10086</v>
      </c>
      <c r="H6994" s="3">
        <v>8.0000000000000004E-4</v>
      </c>
      <c r="K6994" s="2" t="s">
        <v>10085</v>
      </c>
    </row>
    <row r="6995" spans="1:11" x14ac:dyDescent="0.2">
      <c r="A6995" s="2">
        <v>1750</v>
      </c>
      <c r="B6995" s="2">
        <v>12</v>
      </c>
      <c r="C6995" s="2">
        <v>10176714</v>
      </c>
      <c r="D6995" s="2">
        <v>10946140</v>
      </c>
      <c r="E6995" s="2">
        <v>3</v>
      </c>
      <c r="F6995" s="2" t="s">
        <v>10086</v>
      </c>
      <c r="H6995" s="2">
        <v>1.2999999999999999E-3</v>
      </c>
      <c r="K6995" s="2" t="s">
        <v>12324</v>
      </c>
    </row>
    <row r="6996" spans="1:11" x14ac:dyDescent="0.2">
      <c r="A6996" s="2">
        <v>1750</v>
      </c>
      <c r="B6996" s="2">
        <v>12</v>
      </c>
      <c r="C6996" s="2">
        <v>10176714</v>
      </c>
      <c r="D6996" s="2">
        <v>10946140</v>
      </c>
      <c r="E6996" s="2">
        <v>4</v>
      </c>
      <c r="F6996" s="2" t="s">
        <v>10086</v>
      </c>
      <c r="H6996" s="3">
        <v>8.0000000000000004E-4</v>
      </c>
      <c r="K6996" s="2" t="s">
        <v>10088</v>
      </c>
    </row>
    <row r="6997" spans="1:11" x14ac:dyDescent="0.2">
      <c r="A6997" s="2">
        <v>1751</v>
      </c>
      <c r="B6997" s="2">
        <v>12</v>
      </c>
      <c r="C6997" s="2">
        <v>10946141</v>
      </c>
      <c r="D6997" s="2">
        <v>11742149</v>
      </c>
      <c r="E6997" s="2">
        <v>1</v>
      </c>
      <c r="F6997" s="2" t="s">
        <v>10086</v>
      </c>
      <c r="H6997" s="2">
        <v>5.1000000000000004E-3</v>
      </c>
      <c r="K6997" s="2" t="s">
        <v>10089</v>
      </c>
    </row>
    <row r="6998" spans="1:11" x14ac:dyDescent="0.2">
      <c r="A6998" s="2">
        <v>1751</v>
      </c>
      <c r="B6998" s="2">
        <v>12</v>
      </c>
      <c r="C6998" s="2">
        <v>10946141</v>
      </c>
      <c r="D6998" s="2">
        <v>11742149</v>
      </c>
      <c r="E6998" s="2">
        <v>2</v>
      </c>
      <c r="F6998" s="2" t="s">
        <v>10086</v>
      </c>
      <c r="H6998" s="2">
        <v>3.5999999999999999E-3</v>
      </c>
      <c r="K6998" s="2" t="s">
        <v>10087</v>
      </c>
    </row>
    <row r="6999" spans="1:11" x14ac:dyDescent="0.2">
      <c r="A6999" s="2">
        <v>1751</v>
      </c>
      <c r="B6999" s="2">
        <v>12</v>
      </c>
      <c r="C6999" s="2">
        <v>10946141</v>
      </c>
      <c r="D6999" s="2">
        <v>11742149</v>
      </c>
      <c r="E6999" s="2">
        <v>3</v>
      </c>
      <c r="F6999" s="2" t="s">
        <v>10086</v>
      </c>
      <c r="H6999" s="3">
        <v>8.9999999999999998E-4</v>
      </c>
      <c r="K6999" s="2" t="s">
        <v>10085</v>
      </c>
    </row>
    <row r="7000" spans="1:11" x14ac:dyDescent="0.2">
      <c r="A7000" s="2">
        <v>1751</v>
      </c>
      <c r="B7000" s="2">
        <v>12</v>
      </c>
      <c r="C7000" s="2">
        <v>10946141</v>
      </c>
      <c r="D7000" s="2">
        <v>11742149</v>
      </c>
      <c r="E7000" s="2">
        <v>4</v>
      </c>
      <c r="F7000" s="2" t="s">
        <v>10086</v>
      </c>
      <c r="H7000" s="3">
        <v>5.0000000000000001E-4</v>
      </c>
      <c r="K7000" s="2" t="s">
        <v>10088</v>
      </c>
    </row>
    <row r="7001" spans="1:11" x14ac:dyDescent="0.2">
      <c r="A7001" s="2">
        <v>1752</v>
      </c>
      <c r="B7001" s="2">
        <v>12</v>
      </c>
      <c r="C7001" s="2">
        <v>11742150</v>
      </c>
      <c r="D7001" s="2">
        <v>12721874</v>
      </c>
      <c r="E7001" s="2">
        <v>1</v>
      </c>
      <c r="F7001" s="2" t="s">
        <v>10086</v>
      </c>
      <c r="H7001" s="2">
        <v>1.3299999999999999E-2</v>
      </c>
      <c r="K7001" s="2" t="s">
        <v>10087</v>
      </c>
    </row>
    <row r="7002" spans="1:11" x14ac:dyDescent="0.2">
      <c r="A7002" s="2">
        <v>1752</v>
      </c>
      <c r="B7002" s="2">
        <v>12</v>
      </c>
      <c r="C7002" s="2">
        <v>11742150</v>
      </c>
      <c r="D7002" s="2">
        <v>12721874</v>
      </c>
      <c r="E7002" s="2">
        <v>2</v>
      </c>
      <c r="F7002" s="2" t="s">
        <v>10086</v>
      </c>
      <c r="H7002" s="2">
        <v>2.8E-3</v>
      </c>
      <c r="K7002" s="2" t="s">
        <v>10088</v>
      </c>
    </row>
    <row r="7003" spans="1:11" x14ac:dyDescent="0.2">
      <c r="A7003" s="2">
        <v>1752</v>
      </c>
      <c r="B7003" s="2">
        <v>12</v>
      </c>
      <c r="C7003" s="2">
        <v>11742150</v>
      </c>
      <c r="D7003" s="2">
        <v>12721874</v>
      </c>
      <c r="E7003" s="2">
        <v>3</v>
      </c>
      <c r="F7003" s="2" t="s">
        <v>10086</v>
      </c>
      <c r="H7003" s="2">
        <v>1.9E-3</v>
      </c>
      <c r="K7003" s="2" t="s">
        <v>10089</v>
      </c>
    </row>
    <row r="7004" spans="1:11" x14ac:dyDescent="0.2">
      <c r="A7004" s="2">
        <v>1752</v>
      </c>
      <c r="B7004" s="2">
        <v>12</v>
      </c>
      <c r="C7004" s="2">
        <v>11742150</v>
      </c>
      <c r="D7004" s="2">
        <v>12721874</v>
      </c>
      <c r="E7004" s="2">
        <v>4</v>
      </c>
      <c r="F7004" s="2" t="s">
        <v>10086</v>
      </c>
      <c r="H7004" s="3">
        <v>5.0000000000000001E-4</v>
      </c>
      <c r="K7004" s="2" t="s">
        <v>10085</v>
      </c>
    </row>
    <row r="7005" spans="1:11" x14ac:dyDescent="0.2">
      <c r="A7005" s="2">
        <v>1753</v>
      </c>
      <c r="B7005" s="2">
        <v>12</v>
      </c>
      <c r="C7005" s="2">
        <v>12721875</v>
      </c>
      <c r="D7005" s="2">
        <v>13559527</v>
      </c>
      <c r="E7005" s="2">
        <v>1</v>
      </c>
      <c r="F7005" s="2" t="s">
        <v>10086</v>
      </c>
      <c r="H7005" s="3">
        <v>8.9999999999999998E-4</v>
      </c>
      <c r="K7005" s="2" t="s">
        <v>10088</v>
      </c>
    </row>
    <row r="7006" spans="1:11" x14ac:dyDescent="0.2">
      <c r="A7006" s="2">
        <v>1753</v>
      </c>
      <c r="B7006" s="2">
        <v>12</v>
      </c>
      <c r="C7006" s="2">
        <v>12721875</v>
      </c>
      <c r="D7006" s="2">
        <v>13559527</v>
      </c>
      <c r="E7006" s="2">
        <v>2</v>
      </c>
      <c r="F7006" s="2" t="s">
        <v>10086</v>
      </c>
      <c r="H7006" s="3">
        <v>5.9999999999999995E-4</v>
      </c>
      <c r="K7006" s="2" t="s">
        <v>10087</v>
      </c>
    </row>
    <row r="7007" spans="1:11" x14ac:dyDescent="0.2">
      <c r="A7007" s="2">
        <v>1753</v>
      </c>
      <c r="B7007" s="2">
        <v>12</v>
      </c>
      <c r="C7007" s="2">
        <v>12721875</v>
      </c>
      <c r="D7007" s="2">
        <v>13559527</v>
      </c>
      <c r="E7007" s="2">
        <v>3</v>
      </c>
      <c r="F7007" s="2" t="s">
        <v>10086</v>
      </c>
      <c r="H7007" s="3">
        <v>5.0000000000000001E-4</v>
      </c>
      <c r="K7007" s="2" t="s">
        <v>10089</v>
      </c>
    </row>
    <row r="7008" spans="1:11" x14ac:dyDescent="0.2">
      <c r="A7008" s="2">
        <v>1753</v>
      </c>
      <c r="B7008" s="2">
        <v>12</v>
      </c>
      <c r="C7008" s="2">
        <v>12721875</v>
      </c>
      <c r="D7008" s="2">
        <v>13559527</v>
      </c>
      <c r="E7008" s="2">
        <v>4</v>
      </c>
      <c r="F7008" s="2" t="s">
        <v>10086</v>
      </c>
      <c r="H7008" s="3">
        <v>4.0000000000000002E-4</v>
      </c>
      <c r="K7008" s="2" t="s">
        <v>10085</v>
      </c>
    </row>
    <row r="7009" spans="1:11" x14ac:dyDescent="0.2">
      <c r="A7009" s="2">
        <v>1754</v>
      </c>
      <c r="B7009" s="2">
        <v>12</v>
      </c>
      <c r="C7009" s="2">
        <v>13559528</v>
      </c>
      <c r="D7009" s="2">
        <v>14656849</v>
      </c>
      <c r="E7009" s="2">
        <v>1</v>
      </c>
      <c r="F7009" s="2" t="s">
        <v>10086</v>
      </c>
      <c r="H7009" s="2">
        <v>1.4E-3</v>
      </c>
      <c r="K7009" s="2" t="s">
        <v>10087</v>
      </c>
    </row>
    <row r="7010" spans="1:11" x14ac:dyDescent="0.2">
      <c r="A7010" s="2">
        <v>1754</v>
      </c>
      <c r="B7010" s="2">
        <v>12</v>
      </c>
      <c r="C7010" s="2">
        <v>13559528</v>
      </c>
      <c r="D7010" s="2">
        <v>14656849</v>
      </c>
      <c r="E7010" s="2">
        <v>2</v>
      </c>
      <c r="F7010" s="2" t="s">
        <v>10086</v>
      </c>
      <c r="H7010" s="2">
        <v>1E-3</v>
      </c>
      <c r="K7010" s="2" t="s">
        <v>10088</v>
      </c>
    </row>
    <row r="7011" spans="1:11" x14ac:dyDescent="0.2">
      <c r="A7011" s="2">
        <v>1754</v>
      </c>
      <c r="B7011" s="2">
        <v>12</v>
      </c>
      <c r="C7011" s="2">
        <v>13559528</v>
      </c>
      <c r="D7011" s="2">
        <v>14656849</v>
      </c>
      <c r="E7011" s="2">
        <v>3</v>
      </c>
      <c r="F7011" s="2" t="s">
        <v>10086</v>
      </c>
      <c r="H7011" s="3">
        <v>8.0000000000000004E-4</v>
      </c>
      <c r="K7011" s="2" t="s">
        <v>10085</v>
      </c>
    </row>
    <row r="7012" spans="1:11" x14ac:dyDescent="0.2">
      <c r="A7012" s="2">
        <v>1754</v>
      </c>
      <c r="B7012" s="2">
        <v>12</v>
      </c>
      <c r="C7012" s="2">
        <v>13559528</v>
      </c>
      <c r="D7012" s="2">
        <v>14656849</v>
      </c>
      <c r="E7012" s="2">
        <v>4</v>
      </c>
      <c r="F7012" s="2" t="s">
        <v>10086</v>
      </c>
      <c r="H7012" s="3">
        <v>6.9999999999999999E-4</v>
      </c>
      <c r="K7012" s="2" t="s">
        <v>12324</v>
      </c>
    </row>
    <row r="7013" spans="1:11" x14ac:dyDescent="0.2">
      <c r="A7013" s="2">
        <v>1755</v>
      </c>
      <c r="B7013" s="2">
        <v>12</v>
      </c>
      <c r="C7013" s="2">
        <v>14656850</v>
      </c>
      <c r="D7013" s="2">
        <v>16136742</v>
      </c>
      <c r="E7013" s="2">
        <v>1</v>
      </c>
      <c r="F7013" s="2" t="s">
        <v>10086</v>
      </c>
      <c r="H7013" s="2">
        <v>4.8999999999999998E-3</v>
      </c>
      <c r="K7013" s="2" t="s">
        <v>10088</v>
      </c>
    </row>
    <row r="7014" spans="1:11" x14ac:dyDescent="0.2">
      <c r="A7014" s="2">
        <v>1755</v>
      </c>
      <c r="B7014" s="2">
        <v>12</v>
      </c>
      <c r="C7014" s="2">
        <v>14656850</v>
      </c>
      <c r="D7014" s="2">
        <v>16136742</v>
      </c>
      <c r="E7014" s="2">
        <v>2</v>
      </c>
      <c r="F7014" s="2" t="s">
        <v>10086</v>
      </c>
      <c r="H7014" s="2">
        <v>2.7000000000000001E-3</v>
      </c>
      <c r="K7014" s="2" t="s">
        <v>10085</v>
      </c>
    </row>
    <row r="7015" spans="1:11" x14ac:dyDescent="0.2">
      <c r="A7015" s="2">
        <v>1755</v>
      </c>
      <c r="B7015" s="2">
        <v>12</v>
      </c>
      <c r="C7015" s="2">
        <v>14656850</v>
      </c>
      <c r="D7015" s="2">
        <v>16136742</v>
      </c>
      <c r="E7015" s="2">
        <v>3</v>
      </c>
      <c r="F7015" s="2" t="s">
        <v>10086</v>
      </c>
      <c r="H7015" s="2">
        <v>1E-3</v>
      </c>
      <c r="K7015" s="2" t="s">
        <v>10087</v>
      </c>
    </row>
    <row r="7016" spans="1:11" x14ac:dyDescent="0.2">
      <c r="A7016" s="2">
        <v>1755</v>
      </c>
      <c r="B7016" s="2">
        <v>12</v>
      </c>
      <c r="C7016" s="2">
        <v>14656850</v>
      </c>
      <c r="D7016" s="2">
        <v>16136742</v>
      </c>
      <c r="E7016" s="2">
        <v>4</v>
      </c>
      <c r="F7016" s="2" t="s">
        <v>10086</v>
      </c>
      <c r="H7016" s="3">
        <v>6.9999999999999999E-4</v>
      </c>
      <c r="K7016" s="2" t="s">
        <v>10089</v>
      </c>
    </row>
    <row r="7017" spans="1:11" x14ac:dyDescent="0.2">
      <c r="A7017" s="2">
        <v>1756</v>
      </c>
      <c r="B7017" s="2">
        <v>12</v>
      </c>
      <c r="C7017" s="2">
        <v>16136743</v>
      </c>
      <c r="D7017" s="2">
        <v>17374895</v>
      </c>
      <c r="E7017" s="2">
        <v>1</v>
      </c>
      <c r="F7017" s="2" t="s">
        <v>10086</v>
      </c>
      <c r="H7017" s="2">
        <v>4.7000000000000002E-3</v>
      </c>
      <c r="K7017" s="2" t="s">
        <v>10087</v>
      </c>
    </row>
    <row r="7018" spans="1:11" x14ac:dyDescent="0.2">
      <c r="A7018" s="2">
        <v>1756</v>
      </c>
      <c r="B7018" s="2">
        <v>12</v>
      </c>
      <c r="C7018" s="2">
        <v>16136743</v>
      </c>
      <c r="D7018" s="2">
        <v>17374895</v>
      </c>
      <c r="E7018" s="2">
        <v>2</v>
      </c>
      <c r="F7018" s="2" t="s">
        <v>10086</v>
      </c>
      <c r="H7018" s="2">
        <v>1.1000000000000001E-3</v>
      </c>
      <c r="K7018" s="2" t="s">
        <v>10085</v>
      </c>
    </row>
    <row r="7019" spans="1:11" x14ac:dyDescent="0.2">
      <c r="A7019" s="2">
        <v>1756</v>
      </c>
      <c r="B7019" s="2">
        <v>12</v>
      </c>
      <c r="C7019" s="2">
        <v>16136743</v>
      </c>
      <c r="D7019" s="2">
        <v>17374895</v>
      </c>
      <c r="E7019" s="2">
        <v>3</v>
      </c>
      <c r="F7019" s="2" t="s">
        <v>10086</v>
      </c>
      <c r="H7019" s="3">
        <v>6.9999999999999999E-4</v>
      </c>
      <c r="K7019" s="2" t="s">
        <v>10088</v>
      </c>
    </row>
    <row r="7020" spans="1:11" x14ac:dyDescent="0.2">
      <c r="A7020" s="2">
        <v>1756</v>
      </c>
      <c r="B7020" s="2">
        <v>12</v>
      </c>
      <c r="C7020" s="2">
        <v>16136743</v>
      </c>
      <c r="D7020" s="2">
        <v>17374895</v>
      </c>
      <c r="E7020" s="2">
        <v>4</v>
      </c>
      <c r="F7020" s="2" t="s">
        <v>10086</v>
      </c>
      <c r="H7020" s="3">
        <v>4.0000000000000002E-4</v>
      </c>
      <c r="K7020" s="2" t="s">
        <v>10089</v>
      </c>
    </row>
    <row r="7021" spans="1:11" x14ac:dyDescent="0.2">
      <c r="A7021" s="2">
        <v>1757</v>
      </c>
      <c r="B7021" s="2">
        <v>12</v>
      </c>
      <c r="C7021" s="2">
        <v>17374896</v>
      </c>
      <c r="D7021" s="2">
        <v>18470023</v>
      </c>
      <c r="E7021" s="2">
        <v>1</v>
      </c>
      <c r="F7021" s="2" t="s">
        <v>10086</v>
      </c>
      <c r="H7021" s="2">
        <v>1.2999999999999999E-3</v>
      </c>
      <c r="K7021" s="2" t="s">
        <v>10087</v>
      </c>
    </row>
    <row r="7022" spans="1:11" x14ac:dyDescent="0.2">
      <c r="A7022" s="2">
        <v>1757</v>
      </c>
      <c r="B7022" s="2">
        <v>12</v>
      </c>
      <c r="C7022" s="2">
        <v>17374896</v>
      </c>
      <c r="D7022" s="2">
        <v>18470023</v>
      </c>
      <c r="E7022" s="2">
        <v>2</v>
      </c>
      <c r="F7022" s="2" t="s">
        <v>10086</v>
      </c>
      <c r="H7022" s="2">
        <v>1.1000000000000001E-3</v>
      </c>
      <c r="K7022" s="2" t="s">
        <v>10085</v>
      </c>
    </row>
    <row r="7023" spans="1:11" x14ac:dyDescent="0.2">
      <c r="A7023" s="2">
        <v>1757</v>
      </c>
      <c r="B7023" s="2">
        <v>12</v>
      </c>
      <c r="C7023" s="2">
        <v>17374896</v>
      </c>
      <c r="D7023" s="2">
        <v>18470023</v>
      </c>
      <c r="E7023" s="2">
        <v>3</v>
      </c>
      <c r="F7023" s="2" t="s">
        <v>10086</v>
      </c>
      <c r="H7023" s="3">
        <v>6.9999999999999999E-4</v>
      </c>
      <c r="K7023" s="2" t="s">
        <v>12324</v>
      </c>
    </row>
    <row r="7024" spans="1:11" x14ac:dyDescent="0.2">
      <c r="A7024" s="2">
        <v>1757</v>
      </c>
      <c r="B7024" s="2">
        <v>12</v>
      </c>
      <c r="C7024" s="2">
        <v>17374896</v>
      </c>
      <c r="D7024" s="2">
        <v>18470023</v>
      </c>
      <c r="E7024" s="2">
        <v>4</v>
      </c>
      <c r="F7024" s="2" t="s">
        <v>10086</v>
      </c>
      <c r="H7024" s="3">
        <v>6.9999999999999999E-4</v>
      </c>
      <c r="K7024" s="2" t="s">
        <v>10089</v>
      </c>
    </row>
    <row r="7025" spans="1:11" x14ac:dyDescent="0.2">
      <c r="A7025" s="2">
        <v>1758</v>
      </c>
      <c r="B7025" s="2">
        <v>12</v>
      </c>
      <c r="C7025" s="2">
        <v>18470024</v>
      </c>
      <c r="D7025" s="2">
        <v>19532765</v>
      </c>
      <c r="E7025" s="2">
        <v>1</v>
      </c>
      <c r="F7025" s="2" t="s">
        <v>10086</v>
      </c>
      <c r="H7025" s="2">
        <v>1.55E-2</v>
      </c>
      <c r="K7025" s="2" t="s">
        <v>10087</v>
      </c>
    </row>
    <row r="7026" spans="1:11" x14ac:dyDescent="0.2">
      <c r="A7026" s="2">
        <v>1758</v>
      </c>
      <c r="B7026" s="2">
        <v>12</v>
      </c>
      <c r="C7026" s="2">
        <v>18470024</v>
      </c>
      <c r="D7026" s="2">
        <v>19532765</v>
      </c>
      <c r="E7026" s="2">
        <v>2</v>
      </c>
      <c r="F7026" s="2" t="s">
        <v>10086</v>
      </c>
      <c r="H7026" s="2">
        <v>4.1000000000000003E-3</v>
      </c>
      <c r="K7026" s="2" t="s">
        <v>10085</v>
      </c>
    </row>
    <row r="7027" spans="1:11" x14ac:dyDescent="0.2">
      <c r="A7027" s="2">
        <v>1758</v>
      </c>
      <c r="B7027" s="2">
        <v>12</v>
      </c>
      <c r="C7027" s="2">
        <v>18470024</v>
      </c>
      <c r="D7027" s="2">
        <v>19532765</v>
      </c>
      <c r="E7027" s="2">
        <v>3</v>
      </c>
      <c r="F7027" s="2" t="s">
        <v>10086</v>
      </c>
      <c r="H7027" s="2">
        <v>2.5000000000000001E-3</v>
      </c>
      <c r="K7027" s="2" t="s">
        <v>10088</v>
      </c>
    </row>
    <row r="7028" spans="1:11" x14ac:dyDescent="0.2">
      <c r="A7028" s="2">
        <v>1758</v>
      </c>
      <c r="B7028" s="2">
        <v>12</v>
      </c>
      <c r="C7028" s="2">
        <v>18470024</v>
      </c>
      <c r="D7028" s="2">
        <v>19532765</v>
      </c>
      <c r="E7028" s="2">
        <v>4</v>
      </c>
      <c r="F7028" s="2" t="s">
        <v>10086</v>
      </c>
      <c r="H7028" s="3">
        <v>4.0000000000000002E-4</v>
      </c>
      <c r="K7028" s="2" t="s">
        <v>10089</v>
      </c>
    </row>
    <row r="7029" spans="1:11" x14ac:dyDescent="0.2">
      <c r="A7029" s="2">
        <v>1759</v>
      </c>
      <c r="B7029" s="2">
        <v>12</v>
      </c>
      <c r="C7029" s="2">
        <v>19532766</v>
      </c>
      <c r="D7029" s="2">
        <v>20074930</v>
      </c>
      <c r="E7029" s="2">
        <v>1</v>
      </c>
      <c r="F7029" s="2" t="s">
        <v>10086</v>
      </c>
      <c r="H7029" s="2">
        <v>7.6E-3</v>
      </c>
      <c r="K7029" s="2" t="s">
        <v>10085</v>
      </c>
    </row>
    <row r="7030" spans="1:11" x14ac:dyDescent="0.2">
      <c r="A7030" s="2">
        <v>1759</v>
      </c>
      <c r="B7030" s="2">
        <v>12</v>
      </c>
      <c r="C7030" s="2">
        <v>19532766</v>
      </c>
      <c r="D7030" s="2">
        <v>20074930</v>
      </c>
      <c r="E7030" s="2">
        <v>2</v>
      </c>
      <c r="F7030" s="2" t="s">
        <v>10086</v>
      </c>
      <c r="H7030" s="2">
        <v>1.1999999999999999E-3</v>
      </c>
      <c r="K7030" s="2" t="s">
        <v>10089</v>
      </c>
    </row>
    <row r="7031" spans="1:11" x14ac:dyDescent="0.2">
      <c r="A7031" s="2">
        <v>1759</v>
      </c>
      <c r="B7031" s="2">
        <v>12</v>
      </c>
      <c r="C7031" s="2">
        <v>19532766</v>
      </c>
      <c r="D7031" s="2">
        <v>20074930</v>
      </c>
      <c r="E7031" s="2">
        <v>3</v>
      </c>
      <c r="F7031" s="2" t="s">
        <v>10086</v>
      </c>
      <c r="H7031" s="3">
        <v>6.9999999999999999E-4</v>
      </c>
      <c r="K7031" s="2" t="s">
        <v>10087</v>
      </c>
    </row>
    <row r="7032" spans="1:11" x14ac:dyDescent="0.2">
      <c r="A7032" s="2">
        <v>1759</v>
      </c>
      <c r="B7032" s="2">
        <v>12</v>
      </c>
      <c r="C7032" s="2">
        <v>19532766</v>
      </c>
      <c r="D7032" s="2">
        <v>20074930</v>
      </c>
      <c r="E7032" s="2">
        <v>4</v>
      </c>
      <c r="F7032" s="2" t="s">
        <v>10086</v>
      </c>
      <c r="H7032" s="3">
        <v>2.9999999999999997E-4</v>
      </c>
      <c r="K7032" s="2" t="s">
        <v>10088</v>
      </c>
    </row>
    <row r="7033" spans="1:11" x14ac:dyDescent="0.2">
      <c r="A7033" s="2">
        <v>1760</v>
      </c>
      <c r="B7033" s="2">
        <v>12</v>
      </c>
      <c r="C7033" s="2">
        <v>20074931</v>
      </c>
      <c r="D7033" s="2">
        <v>20866285</v>
      </c>
      <c r="E7033" s="2">
        <v>1</v>
      </c>
      <c r="F7033" s="2" t="s">
        <v>10086</v>
      </c>
      <c r="H7033" s="2">
        <v>1.6000000000000001E-3</v>
      </c>
      <c r="K7033" s="2" t="s">
        <v>10085</v>
      </c>
    </row>
    <row r="7034" spans="1:11" x14ac:dyDescent="0.2">
      <c r="A7034" s="2">
        <v>1760</v>
      </c>
      <c r="B7034" s="2">
        <v>12</v>
      </c>
      <c r="C7034" s="2">
        <v>20074931</v>
      </c>
      <c r="D7034" s="2">
        <v>20866285</v>
      </c>
      <c r="E7034" s="2">
        <v>2</v>
      </c>
      <c r="F7034" s="2" t="s">
        <v>10086</v>
      </c>
      <c r="H7034" s="3">
        <v>8.0000000000000004E-4</v>
      </c>
      <c r="K7034" s="2" t="s">
        <v>10087</v>
      </c>
    </row>
    <row r="7035" spans="1:11" x14ac:dyDescent="0.2">
      <c r="A7035" s="2">
        <v>1760</v>
      </c>
      <c r="B7035" s="2">
        <v>12</v>
      </c>
      <c r="C7035" s="2">
        <v>20074931</v>
      </c>
      <c r="D7035" s="2">
        <v>20866285</v>
      </c>
      <c r="E7035" s="2">
        <v>3</v>
      </c>
      <c r="F7035" s="2" t="s">
        <v>10086</v>
      </c>
      <c r="H7035" s="3">
        <v>5.9999999999999995E-4</v>
      </c>
      <c r="K7035" s="2" t="s">
        <v>10089</v>
      </c>
    </row>
    <row r="7036" spans="1:11" x14ac:dyDescent="0.2">
      <c r="A7036" s="2">
        <v>1760</v>
      </c>
      <c r="B7036" s="2">
        <v>12</v>
      </c>
      <c r="C7036" s="2">
        <v>20074931</v>
      </c>
      <c r="D7036" s="2">
        <v>20866285</v>
      </c>
      <c r="E7036" s="2">
        <v>4</v>
      </c>
      <c r="F7036" s="2" t="s">
        <v>10086</v>
      </c>
      <c r="H7036" s="3">
        <v>5.0000000000000001E-4</v>
      </c>
      <c r="K7036" s="2" t="s">
        <v>10088</v>
      </c>
    </row>
    <row r="7037" spans="1:11" x14ac:dyDescent="0.2">
      <c r="A7037" s="2">
        <v>1761</v>
      </c>
      <c r="B7037" s="2">
        <v>12</v>
      </c>
      <c r="C7037" s="2">
        <v>20866286</v>
      </c>
      <c r="D7037" s="2">
        <v>21572252</v>
      </c>
      <c r="E7037" s="2">
        <v>1</v>
      </c>
      <c r="F7037" s="2" t="s">
        <v>10086</v>
      </c>
      <c r="H7037" s="2">
        <v>4.7999999999999996E-3</v>
      </c>
      <c r="K7037" s="2" t="s">
        <v>10089</v>
      </c>
    </row>
    <row r="7038" spans="1:11" x14ac:dyDescent="0.2">
      <c r="A7038" s="2">
        <v>1761</v>
      </c>
      <c r="B7038" s="2">
        <v>12</v>
      </c>
      <c r="C7038" s="2">
        <v>20866286</v>
      </c>
      <c r="D7038" s="2">
        <v>21572252</v>
      </c>
      <c r="E7038" s="2">
        <v>2</v>
      </c>
      <c r="F7038" s="2" t="s">
        <v>10086</v>
      </c>
      <c r="H7038" s="2">
        <v>2E-3</v>
      </c>
      <c r="K7038" s="2" t="s">
        <v>10085</v>
      </c>
    </row>
    <row r="7039" spans="1:11" x14ac:dyDescent="0.2">
      <c r="A7039" s="2">
        <v>1761</v>
      </c>
      <c r="B7039" s="2">
        <v>12</v>
      </c>
      <c r="C7039" s="2">
        <v>20866286</v>
      </c>
      <c r="D7039" s="2">
        <v>21572252</v>
      </c>
      <c r="E7039" s="2">
        <v>3</v>
      </c>
      <c r="F7039" s="2" t="s">
        <v>10086</v>
      </c>
      <c r="H7039" s="2">
        <v>2E-3</v>
      </c>
      <c r="K7039" s="2" t="s">
        <v>10088</v>
      </c>
    </row>
    <row r="7040" spans="1:11" x14ac:dyDescent="0.2">
      <c r="A7040" s="2">
        <v>1761</v>
      </c>
      <c r="B7040" s="2">
        <v>12</v>
      </c>
      <c r="C7040" s="2">
        <v>20866286</v>
      </c>
      <c r="D7040" s="2">
        <v>21572252</v>
      </c>
      <c r="E7040" s="2">
        <v>4</v>
      </c>
      <c r="F7040" s="2" t="s">
        <v>10086</v>
      </c>
      <c r="H7040" s="3">
        <v>8.0000000000000004E-4</v>
      </c>
      <c r="K7040" s="2" t="s">
        <v>10087</v>
      </c>
    </row>
    <row r="7041" spans="1:11" x14ac:dyDescent="0.2">
      <c r="A7041" s="2">
        <v>1762</v>
      </c>
      <c r="B7041" s="2">
        <v>12</v>
      </c>
      <c r="C7041" s="2">
        <v>21572253</v>
      </c>
      <c r="D7041" s="2">
        <v>22928055</v>
      </c>
      <c r="E7041" s="2">
        <v>1</v>
      </c>
      <c r="F7041" s="2" t="s">
        <v>10086</v>
      </c>
      <c r="H7041" s="2">
        <v>7.4999999999999997E-3</v>
      </c>
      <c r="K7041" s="2" t="s">
        <v>10089</v>
      </c>
    </row>
    <row r="7042" spans="1:11" x14ac:dyDescent="0.2">
      <c r="A7042" s="2">
        <v>1762</v>
      </c>
      <c r="B7042" s="2">
        <v>12</v>
      </c>
      <c r="C7042" s="2">
        <v>21572253</v>
      </c>
      <c r="D7042" s="2">
        <v>22928055</v>
      </c>
      <c r="E7042" s="2">
        <v>2</v>
      </c>
      <c r="F7042" s="2" t="s">
        <v>10086</v>
      </c>
      <c r="H7042" s="2">
        <v>1.2999999999999999E-3</v>
      </c>
      <c r="K7042" s="2" t="s">
        <v>10085</v>
      </c>
    </row>
    <row r="7043" spans="1:11" x14ac:dyDescent="0.2">
      <c r="A7043" s="2">
        <v>1762</v>
      </c>
      <c r="B7043" s="2">
        <v>12</v>
      </c>
      <c r="C7043" s="2">
        <v>21572253</v>
      </c>
      <c r="D7043" s="2">
        <v>22928055</v>
      </c>
      <c r="E7043" s="2">
        <v>3</v>
      </c>
      <c r="F7043" s="2" t="s">
        <v>10086</v>
      </c>
      <c r="H7043" s="3">
        <v>6.9999999999999999E-4</v>
      </c>
      <c r="K7043" s="2" t="s">
        <v>10087</v>
      </c>
    </row>
    <row r="7044" spans="1:11" x14ac:dyDescent="0.2">
      <c r="A7044" s="2">
        <v>1762</v>
      </c>
      <c r="B7044" s="2">
        <v>12</v>
      </c>
      <c r="C7044" s="2">
        <v>21572253</v>
      </c>
      <c r="D7044" s="2">
        <v>22928055</v>
      </c>
      <c r="E7044" s="2">
        <v>4</v>
      </c>
      <c r="F7044" s="2" t="s">
        <v>10086</v>
      </c>
      <c r="H7044" s="3">
        <v>4.0000000000000002E-4</v>
      </c>
      <c r="K7044" s="2" t="s">
        <v>10088</v>
      </c>
    </row>
    <row r="7045" spans="1:11" x14ac:dyDescent="0.2">
      <c r="A7045" s="2">
        <v>1763</v>
      </c>
      <c r="B7045" s="2">
        <v>12</v>
      </c>
      <c r="C7045" s="2">
        <v>22928056</v>
      </c>
      <c r="D7045" s="2">
        <v>23923798</v>
      </c>
      <c r="E7045" s="2">
        <v>1</v>
      </c>
      <c r="F7045" s="2" t="s">
        <v>10086</v>
      </c>
      <c r="H7045" s="2">
        <v>3.5999999999999999E-3</v>
      </c>
      <c r="K7045" s="2" t="s">
        <v>10087</v>
      </c>
    </row>
    <row r="7046" spans="1:11" x14ac:dyDescent="0.2">
      <c r="A7046" s="2">
        <v>1763</v>
      </c>
      <c r="B7046" s="2">
        <v>12</v>
      </c>
      <c r="C7046" s="2">
        <v>22928056</v>
      </c>
      <c r="D7046" s="2">
        <v>23923798</v>
      </c>
      <c r="E7046" s="2">
        <v>2</v>
      </c>
      <c r="F7046" s="2" t="s">
        <v>10086</v>
      </c>
      <c r="H7046" s="2">
        <v>1.1000000000000001E-3</v>
      </c>
      <c r="K7046" s="2" t="s">
        <v>10085</v>
      </c>
    </row>
    <row r="7047" spans="1:11" x14ac:dyDescent="0.2">
      <c r="A7047" s="2">
        <v>1763</v>
      </c>
      <c r="B7047" s="2">
        <v>12</v>
      </c>
      <c r="C7047" s="2">
        <v>22928056</v>
      </c>
      <c r="D7047" s="2">
        <v>23923798</v>
      </c>
      <c r="E7047" s="2">
        <v>3</v>
      </c>
      <c r="F7047" s="2" t="s">
        <v>10086</v>
      </c>
      <c r="H7047" s="3">
        <v>8.9999999999999998E-4</v>
      </c>
      <c r="K7047" s="2" t="s">
        <v>10089</v>
      </c>
    </row>
    <row r="7048" spans="1:11" x14ac:dyDescent="0.2">
      <c r="A7048" s="2">
        <v>1763</v>
      </c>
      <c r="B7048" s="2">
        <v>12</v>
      </c>
      <c r="C7048" s="2">
        <v>22928056</v>
      </c>
      <c r="D7048" s="2">
        <v>23923798</v>
      </c>
      <c r="E7048" s="2">
        <v>4</v>
      </c>
      <c r="F7048" s="2" t="s">
        <v>10086</v>
      </c>
      <c r="H7048" s="3">
        <v>2.9999999999999997E-4</v>
      </c>
      <c r="K7048" s="2" t="s">
        <v>10088</v>
      </c>
    </row>
    <row r="7049" spans="1:11" x14ac:dyDescent="0.2">
      <c r="A7049" s="2">
        <v>1764</v>
      </c>
      <c r="B7049" s="2">
        <v>12</v>
      </c>
      <c r="C7049" s="2">
        <v>23923799</v>
      </c>
      <c r="D7049" s="2">
        <v>25058714</v>
      </c>
      <c r="E7049" s="2">
        <v>1</v>
      </c>
      <c r="F7049" s="2" t="s">
        <v>10086</v>
      </c>
      <c r="H7049" s="2">
        <v>2.8E-3</v>
      </c>
      <c r="K7049" s="2" t="s">
        <v>10088</v>
      </c>
    </row>
    <row r="7050" spans="1:11" x14ac:dyDescent="0.2">
      <c r="A7050" s="2">
        <v>1764</v>
      </c>
      <c r="B7050" s="2">
        <v>12</v>
      </c>
      <c r="C7050" s="2">
        <v>23923799</v>
      </c>
      <c r="D7050" s="2">
        <v>25058714</v>
      </c>
      <c r="E7050" s="2">
        <v>2</v>
      </c>
      <c r="F7050" s="2" t="s">
        <v>10086</v>
      </c>
      <c r="H7050" s="2">
        <v>1.6999999999999999E-3</v>
      </c>
      <c r="K7050" s="2" t="s">
        <v>10087</v>
      </c>
    </row>
    <row r="7051" spans="1:11" x14ac:dyDescent="0.2">
      <c r="A7051" s="2">
        <v>1764</v>
      </c>
      <c r="B7051" s="2">
        <v>12</v>
      </c>
      <c r="C7051" s="2">
        <v>23923799</v>
      </c>
      <c r="D7051" s="2">
        <v>25058714</v>
      </c>
      <c r="E7051" s="2">
        <v>3</v>
      </c>
      <c r="F7051" s="2" t="s">
        <v>10086</v>
      </c>
      <c r="H7051" s="2">
        <v>1.1999999999999999E-3</v>
      </c>
      <c r="K7051" s="2" t="s">
        <v>10085</v>
      </c>
    </row>
    <row r="7052" spans="1:11" x14ac:dyDescent="0.2">
      <c r="A7052" s="2">
        <v>1764</v>
      </c>
      <c r="B7052" s="2">
        <v>12</v>
      </c>
      <c r="C7052" s="2">
        <v>23923799</v>
      </c>
      <c r="D7052" s="2">
        <v>25058714</v>
      </c>
      <c r="E7052" s="2">
        <v>4</v>
      </c>
      <c r="F7052" s="2" t="s">
        <v>10086</v>
      </c>
      <c r="H7052" s="3">
        <v>8.0000000000000004E-4</v>
      </c>
      <c r="K7052" s="2" t="s">
        <v>10089</v>
      </c>
    </row>
    <row r="7053" spans="1:11" x14ac:dyDescent="0.2">
      <c r="A7053" s="2">
        <v>1765</v>
      </c>
      <c r="B7053" s="2">
        <v>12</v>
      </c>
      <c r="C7053" s="2">
        <v>25058715</v>
      </c>
      <c r="D7053" s="2">
        <v>25990813</v>
      </c>
      <c r="E7053" s="2">
        <v>1</v>
      </c>
      <c r="F7053" s="2" t="s">
        <v>10086</v>
      </c>
      <c r="H7053" s="2">
        <v>1E-3</v>
      </c>
      <c r="K7053" s="2" t="s">
        <v>10087</v>
      </c>
    </row>
    <row r="7054" spans="1:11" x14ac:dyDescent="0.2">
      <c r="A7054" s="2">
        <v>1765</v>
      </c>
      <c r="B7054" s="2">
        <v>12</v>
      </c>
      <c r="C7054" s="2">
        <v>25058715</v>
      </c>
      <c r="D7054" s="2">
        <v>25990813</v>
      </c>
      <c r="E7054" s="2">
        <v>2</v>
      </c>
      <c r="F7054" s="2" t="s">
        <v>10086</v>
      </c>
      <c r="H7054" s="2">
        <v>1.2999999999999999E-3</v>
      </c>
      <c r="K7054" s="2" t="s">
        <v>10089</v>
      </c>
    </row>
    <row r="7055" spans="1:11" x14ac:dyDescent="0.2">
      <c r="A7055" s="2">
        <v>1765</v>
      </c>
      <c r="B7055" s="2">
        <v>12</v>
      </c>
      <c r="C7055" s="2">
        <v>25058715</v>
      </c>
      <c r="D7055" s="2">
        <v>25990813</v>
      </c>
      <c r="E7055" s="2">
        <v>3</v>
      </c>
      <c r="F7055" s="2" t="s">
        <v>10086</v>
      </c>
      <c r="H7055" s="3">
        <v>8.9999999999999998E-4</v>
      </c>
      <c r="K7055" s="2" t="s">
        <v>10085</v>
      </c>
    </row>
    <row r="7056" spans="1:11" x14ac:dyDescent="0.2">
      <c r="A7056" s="2">
        <v>1765</v>
      </c>
      <c r="B7056" s="2">
        <v>12</v>
      </c>
      <c r="C7056" s="2">
        <v>25058715</v>
      </c>
      <c r="D7056" s="2">
        <v>25990813</v>
      </c>
      <c r="E7056" s="2">
        <v>4</v>
      </c>
      <c r="F7056" s="2" t="s">
        <v>10086</v>
      </c>
      <c r="H7056" s="3">
        <v>4.0000000000000002E-4</v>
      </c>
      <c r="K7056" s="2" t="s">
        <v>10088</v>
      </c>
    </row>
    <row r="7057" spans="1:11" x14ac:dyDescent="0.2">
      <c r="A7057" s="2">
        <v>1766</v>
      </c>
      <c r="B7057" s="2">
        <v>12</v>
      </c>
      <c r="C7057" s="2">
        <v>25990814</v>
      </c>
      <c r="D7057" s="2">
        <v>26958056</v>
      </c>
      <c r="E7057" s="2">
        <v>1</v>
      </c>
      <c r="F7057" s="2" t="s">
        <v>10086</v>
      </c>
      <c r="H7057" s="2">
        <v>2.0999999999999999E-3</v>
      </c>
      <c r="K7057" s="2" t="s">
        <v>10087</v>
      </c>
    </row>
    <row r="7058" spans="1:11" x14ac:dyDescent="0.2">
      <c r="A7058" s="2">
        <v>1766</v>
      </c>
      <c r="B7058" s="2">
        <v>12</v>
      </c>
      <c r="C7058" s="2">
        <v>25990814</v>
      </c>
      <c r="D7058" s="2">
        <v>26958056</v>
      </c>
      <c r="E7058" s="2">
        <v>2</v>
      </c>
      <c r="F7058" s="2" t="s">
        <v>10086</v>
      </c>
      <c r="H7058" s="2">
        <v>1.6000000000000001E-3</v>
      </c>
      <c r="K7058" s="2" t="s">
        <v>10089</v>
      </c>
    </row>
    <row r="7059" spans="1:11" x14ac:dyDescent="0.2">
      <c r="A7059" s="2">
        <v>1766</v>
      </c>
      <c r="B7059" s="2">
        <v>12</v>
      </c>
      <c r="C7059" s="2">
        <v>25990814</v>
      </c>
      <c r="D7059" s="2">
        <v>26958056</v>
      </c>
      <c r="E7059" s="2">
        <v>3</v>
      </c>
      <c r="F7059" s="2" t="s">
        <v>10086</v>
      </c>
      <c r="H7059" s="3">
        <v>6.9999999999999999E-4</v>
      </c>
      <c r="K7059" s="2" t="s">
        <v>10088</v>
      </c>
    </row>
    <row r="7060" spans="1:11" x14ac:dyDescent="0.2">
      <c r="A7060" s="2">
        <v>1766</v>
      </c>
      <c r="B7060" s="2">
        <v>12</v>
      </c>
      <c r="C7060" s="2">
        <v>25990814</v>
      </c>
      <c r="D7060" s="2">
        <v>26958056</v>
      </c>
      <c r="E7060" s="2">
        <v>4</v>
      </c>
      <c r="F7060" s="2" t="s">
        <v>10086</v>
      </c>
      <c r="H7060" s="3">
        <v>2.9999999999999997E-4</v>
      </c>
      <c r="K7060" s="2" t="s">
        <v>10085</v>
      </c>
    </row>
    <row r="7061" spans="1:11" x14ac:dyDescent="0.2">
      <c r="A7061" s="2">
        <v>1767</v>
      </c>
      <c r="B7061" s="2">
        <v>12</v>
      </c>
      <c r="C7061" s="2">
        <v>26958057</v>
      </c>
      <c r="D7061" s="2">
        <v>27797262</v>
      </c>
      <c r="E7061" s="2">
        <v>1</v>
      </c>
      <c r="F7061" s="2" t="s">
        <v>10086</v>
      </c>
      <c r="H7061" s="2">
        <v>1.5E-3</v>
      </c>
      <c r="K7061" s="2" t="s">
        <v>10085</v>
      </c>
    </row>
    <row r="7062" spans="1:11" x14ac:dyDescent="0.2">
      <c r="A7062" s="2">
        <v>1767</v>
      </c>
      <c r="B7062" s="2">
        <v>12</v>
      </c>
      <c r="C7062" s="2">
        <v>26958057</v>
      </c>
      <c r="D7062" s="2">
        <v>27797262</v>
      </c>
      <c r="E7062" s="2">
        <v>2</v>
      </c>
      <c r="F7062" s="2" t="s">
        <v>10086</v>
      </c>
      <c r="H7062" s="2">
        <v>2E-3</v>
      </c>
      <c r="K7062" s="2" t="s">
        <v>10088</v>
      </c>
    </row>
    <row r="7063" spans="1:11" x14ac:dyDescent="0.2">
      <c r="A7063" s="2">
        <v>1767</v>
      </c>
      <c r="B7063" s="2">
        <v>12</v>
      </c>
      <c r="C7063" s="2">
        <v>26958057</v>
      </c>
      <c r="D7063" s="2">
        <v>27797262</v>
      </c>
      <c r="E7063" s="2">
        <v>3</v>
      </c>
      <c r="F7063" s="2" t="s">
        <v>10086</v>
      </c>
      <c r="H7063" s="2">
        <v>1E-3</v>
      </c>
      <c r="K7063" s="2" t="s">
        <v>10087</v>
      </c>
    </row>
    <row r="7064" spans="1:11" x14ac:dyDescent="0.2">
      <c r="A7064" s="2">
        <v>1767</v>
      </c>
      <c r="B7064" s="2">
        <v>12</v>
      </c>
      <c r="C7064" s="2">
        <v>26958057</v>
      </c>
      <c r="D7064" s="2">
        <v>27797262</v>
      </c>
      <c r="E7064" s="2">
        <v>4</v>
      </c>
      <c r="F7064" s="2" t="s">
        <v>10086</v>
      </c>
      <c r="H7064" s="3">
        <v>2.9999999999999997E-4</v>
      </c>
      <c r="K7064" s="2" t="s">
        <v>10089</v>
      </c>
    </row>
    <row r="7065" spans="1:11" x14ac:dyDescent="0.2">
      <c r="A7065" s="2">
        <v>1768</v>
      </c>
      <c r="B7065" s="2">
        <v>12</v>
      </c>
      <c r="C7065" s="2">
        <v>27797263</v>
      </c>
      <c r="D7065" s="2">
        <v>28753585</v>
      </c>
      <c r="E7065" s="2">
        <v>1</v>
      </c>
      <c r="F7065" s="2" t="s">
        <v>10086</v>
      </c>
      <c r="H7065" s="2">
        <v>2.3E-3</v>
      </c>
      <c r="K7065" s="2" t="s">
        <v>10085</v>
      </c>
    </row>
    <row r="7066" spans="1:11" x14ac:dyDescent="0.2">
      <c r="A7066" s="2">
        <v>1768</v>
      </c>
      <c r="B7066" s="2">
        <v>12</v>
      </c>
      <c r="C7066" s="2">
        <v>27797263</v>
      </c>
      <c r="D7066" s="2">
        <v>28753585</v>
      </c>
      <c r="E7066" s="2">
        <v>2</v>
      </c>
      <c r="F7066" s="2" t="s">
        <v>10086</v>
      </c>
      <c r="H7066" s="3">
        <v>6.9999999999999999E-4</v>
      </c>
      <c r="K7066" s="2" t="s">
        <v>10088</v>
      </c>
    </row>
    <row r="7067" spans="1:11" x14ac:dyDescent="0.2">
      <c r="A7067" s="2">
        <v>1768</v>
      </c>
      <c r="B7067" s="2">
        <v>12</v>
      </c>
      <c r="C7067" s="2">
        <v>27797263</v>
      </c>
      <c r="D7067" s="2">
        <v>28753585</v>
      </c>
      <c r="E7067" s="2">
        <v>3</v>
      </c>
      <c r="F7067" s="2" t="s">
        <v>10086</v>
      </c>
      <c r="H7067" s="3">
        <v>5.9999999999999995E-4</v>
      </c>
      <c r="K7067" s="2" t="s">
        <v>10089</v>
      </c>
    </row>
    <row r="7068" spans="1:11" x14ac:dyDescent="0.2">
      <c r="A7068" s="2">
        <v>1768</v>
      </c>
      <c r="B7068" s="2">
        <v>12</v>
      </c>
      <c r="C7068" s="2">
        <v>27797263</v>
      </c>
      <c r="D7068" s="2">
        <v>28753585</v>
      </c>
      <c r="E7068" s="2">
        <v>4</v>
      </c>
      <c r="F7068" s="2" t="s">
        <v>10086</v>
      </c>
      <c r="H7068" s="3">
        <v>4.0000000000000002E-4</v>
      </c>
      <c r="K7068" s="2" t="s">
        <v>10087</v>
      </c>
    </row>
    <row r="7069" spans="1:11" x14ac:dyDescent="0.2">
      <c r="A7069" s="2">
        <v>1769</v>
      </c>
      <c r="B7069" s="2">
        <v>12</v>
      </c>
      <c r="C7069" s="2">
        <v>28753586</v>
      </c>
      <c r="D7069" s="2">
        <v>29647193</v>
      </c>
      <c r="E7069" s="2">
        <v>1</v>
      </c>
      <c r="F7069" s="2" t="s">
        <v>10086</v>
      </c>
      <c r="H7069" s="3">
        <v>8.9999999999999998E-4</v>
      </c>
      <c r="K7069" s="2" t="s">
        <v>10088</v>
      </c>
    </row>
    <row r="7070" spans="1:11" x14ac:dyDescent="0.2">
      <c r="A7070" s="2">
        <v>1769</v>
      </c>
      <c r="B7070" s="2">
        <v>12</v>
      </c>
      <c r="C7070" s="2">
        <v>28753586</v>
      </c>
      <c r="D7070" s="2">
        <v>29647193</v>
      </c>
      <c r="E7070" s="2">
        <v>2</v>
      </c>
      <c r="F7070" s="2" t="s">
        <v>10086</v>
      </c>
      <c r="H7070" s="3">
        <v>8.0000000000000004E-4</v>
      </c>
      <c r="K7070" s="2" t="s">
        <v>10085</v>
      </c>
    </row>
    <row r="7071" spans="1:11" x14ac:dyDescent="0.2">
      <c r="A7071" s="2">
        <v>1769</v>
      </c>
      <c r="B7071" s="2">
        <v>12</v>
      </c>
      <c r="C7071" s="2">
        <v>28753586</v>
      </c>
      <c r="D7071" s="2">
        <v>29647193</v>
      </c>
      <c r="E7071" s="2">
        <v>3</v>
      </c>
      <c r="F7071" s="2" t="s">
        <v>10086</v>
      </c>
      <c r="H7071" s="3">
        <v>6.9999999999999999E-4</v>
      </c>
      <c r="K7071" s="2" t="s">
        <v>10089</v>
      </c>
    </row>
    <row r="7072" spans="1:11" x14ac:dyDescent="0.2">
      <c r="A7072" s="2">
        <v>1769</v>
      </c>
      <c r="B7072" s="2">
        <v>12</v>
      </c>
      <c r="C7072" s="2">
        <v>28753586</v>
      </c>
      <c r="D7072" s="2">
        <v>29647193</v>
      </c>
      <c r="E7072" s="2">
        <v>4</v>
      </c>
      <c r="F7072" s="2" t="s">
        <v>10086</v>
      </c>
      <c r="H7072" s="3">
        <v>5.9999999999999995E-4</v>
      </c>
      <c r="K7072" s="2" t="s">
        <v>10087</v>
      </c>
    </row>
    <row r="7073" spans="1:11" x14ac:dyDescent="0.2">
      <c r="A7073" s="2">
        <v>1770</v>
      </c>
      <c r="B7073" s="2">
        <v>12</v>
      </c>
      <c r="C7073" s="2">
        <v>29647194</v>
      </c>
      <c r="D7073" s="2">
        <v>30358377</v>
      </c>
      <c r="E7073" s="2">
        <v>1</v>
      </c>
      <c r="F7073" s="2" t="s">
        <v>10086</v>
      </c>
      <c r="H7073" s="2">
        <v>5.1000000000000004E-3</v>
      </c>
      <c r="K7073" s="2" t="s">
        <v>10089</v>
      </c>
    </row>
    <row r="7074" spans="1:11" x14ac:dyDescent="0.2">
      <c r="A7074" s="2">
        <v>1770</v>
      </c>
      <c r="B7074" s="2">
        <v>12</v>
      </c>
      <c r="C7074" s="2">
        <v>29647194</v>
      </c>
      <c r="D7074" s="2">
        <v>30358377</v>
      </c>
      <c r="E7074" s="2">
        <v>2</v>
      </c>
      <c r="F7074" s="2" t="s">
        <v>10086</v>
      </c>
      <c r="H7074" s="2">
        <v>1.2999999999999999E-3</v>
      </c>
      <c r="K7074" s="2" t="s">
        <v>10088</v>
      </c>
    </row>
    <row r="7075" spans="1:11" x14ac:dyDescent="0.2">
      <c r="A7075" s="2">
        <v>1770</v>
      </c>
      <c r="B7075" s="2">
        <v>12</v>
      </c>
      <c r="C7075" s="2">
        <v>29647194</v>
      </c>
      <c r="D7075" s="2">
        <v>30358377</v>
      </c>
      <c r="E7075" s="2">
        <v>3</v>
      </c>
      <c r="F7075" s="2" t="s">
        <v>10086</v>
      </c>
      <c r="H7075" s="3">
        <v>5.0000000000000001E-4</v>
      </c>
      <c r="K7075" s="2" t="s">
        <v>10085</v>
      </c>
    </row>
    <row r="7076" spans="1:11" x14ac:dyDescent="0.2">
      <c r="A7076" s="2">
        <v>1770</v>
      </c>
      <c r="B7076" s="2">
        <v>12</v>
      </c>
      <c r="C7076" s="2">
        <v>29647194</v>
      </c>
      <c r="D7076" s="2">
        <v>30358377</v>
      </c>
      <c r="E7076" s="2">
        <v>4</v>
      </c>
      <c r="F7076" s="2" t="s">
        <v>10086</v>
      </c>
      <c r="H7076" s="3">
        <v>4.0000000000000002E-4</v>
      </c>
      <c r="K7076" s="2" t="s">
        <v>10087</v>
      </c>
    </row>
    <row r="7077" spans="1:11" x14ac:dyDescent="0.2">
      <c r="A7077" s="2">
        <v>1771</v>
      </c>
      <c r="B7077" s="2">
        <v>12</v>
      </c>
      <c r="C7077" s="2">
        <v>30358378</v>
      </c>
      <c r="D7077" s="2">
        <v>31067298</v>
      </c>
      <c r="E7077" s="2">
        <v>1</v>
      </c>
      <c r="F7077" s="2" t="s">
        <v>10086</v>
      </c>
      <c r="H7077" s="2">
        <v>1.4E-3</v>
      </c>
      <c r="K7077" s="2" t="s">
        <v>10089</v>
      </c>
    </row>
    <row r="7078" spans="1:11" x14ac:dyDescent="0.2">
      <c r="A7078" s="2">
        <v>1771</v>
      </c>
      <c r="B7078" s="2">
        <v>12</v>
      </c>
      <c r="C7078" s="2">
        <v>30358378</v>
      </c>
      <c r="D7078" s="2">
        <v>31067298</v>
      </c>
      <c r="E7078" s="2">
        <v>2</v>
      </c>
      <c r="F7078" s="2" t="s">
        <v>10086</v>
      </c>
      <c r="H7078" s="3">
        <v>8.9999999999999998E-4</v>
      </c>
      <c r="K7078" s="2" t="s">
        <v>10085</v>
      </c>
    </row>
    <row r="7079" spans="1:11" x14ac:dyDescent="0.2">
      <c r="A7079" s="2">
        <v>1771</v>
      </c>
      <c r="B7079" s="2">
        <v>12</v>
      </c>
      <c r="C7079" s="2">
        <v>30358378</v>
      </c>
      <c r="D7079" s="2">
        <v>31067298</v>
      </c>
      <c r="E7079" s="2">
        <v>3</v>
      </c>
      <c r="F7079" s="2" t="s">
        <v>10086</v>
      </c>
      <c r="H7079" s="3">
        <v>8.0000000000000004E-4</v>
      </c>
      <c r="K7079" s="2" t="s">
        <v>10088</v>
      </c>
    </row>
    <row r="7080" spans="1:11" x14ac:dyDescent="0.2">
      <c r="A7080" s="2">
        <v>1771</v>
      </c>
      <c r="B7080" s="2">
        <v>12</v>
      </c>
      <c r="C7080" s="2">
        <v>30358378</v>
      </c>
      <c r="D7080" s="2">
        <v>31067298</v>
      </c>
      <c r="E7080" s="2">
        <v>4</v>
      </c>
      <c r="F7080" s="2" t="s">
        <v>10086</v>
      </c>
      <c r="H7080" s="3">
        <v>5.0000000000000001E-4</v>
      </c>
      <c r="K7080" s="2" t="s">
        <v>10087</v>
      </c>
    </row>
    <row r="7081" spans="1:11" x14ac:dyDescent="0.2">
      <c r="A7081" s="2">
        <v>1772</v>
      </c>
      <c r="B7081" s="2">
        <v>12</v>
      </c>
      <c r="C7081" s="2">
        <v>31067299</v>
      </c>
      <c r="D7081" s="2">
        <v>31797152</v>
      </c>
      <c r="E7081" s="2">
        <v>1</v>
      </c>
      <c r="F7081" s="2" t="s">
        <v>10086</v>
      </c>
      <c r="H7081" s="2">
        <v>9.1999999999999998E-3</v>
      </c>
      <c r="K7081" s="2" t="s">
        <v>10087</v>
      </c>
    </row>
    <row r="7082" spans="1:11" x14ac:dyDescent="0.2">
      <c r="A7082" s="2">
        <v>1772</v>
      </c>
      <c r="B7082" s="2">
        <v>12</v>
      </c>
      <c r="C7082" s="2">
        <v>31067299</v>
      </c>
      <c r="D7082" s="2">
        <v>31797152</v>
      </c>
      <c r="E7082" s="2">
        <v>2</v>
      </c>
      <c r="F7082" s="2" t="s">
        <v>10086</v>
      </c>
      <c r="H7082" s="3">
        <v>8.0000000000000004E-4</v>
      </c>
      <c r="K7082" s="2" t="s">
        <v>10089</v>
      </c>
    </row>
    <row r="7083" spans="1:11" x14ac:dyDescent="0.2">
      <c r="A7083" s="2">
        <v>1772</v>
      </c>
      <c r="B7083" s="2">
        <v>12</v>
      </c>
      <c r="C7083" s="2">
        <v>31067299</v>
      </c>
      <c r="D7083" s="2">
        <v>31797152</v>
      </c>
      <c r="E7083" s="2">
        <v>3</v>
      </c>
      <c r="F7083" s="2" t="s">
        <v>10086</v>
      </c>
      <c r="H7083" s="3">
        <v>5.9999999999999995E-4</v>
      </c>
      <c r="K7083" s="2" t="s">
        <v>10088</v>
      </c>
    </row>
    <row r="7084" spans="1:11" x14ac:dyDescent="0.2">
      <c r="A7084" s="2">
        <v>1772</v>
      </c>
      <c r="B7084" s="2">
        <v>12</v>
      </c>
      <c r="C7084" s="2">
        <v>31067299</v>
      </c>
      <c r="D7084" s="2">
        <v>31797152</v>
      </c>
      <c r="E7084" s="2">
        <v>4</v>
      </c>
      <c r="F7084" s="2" t="s">
        <v>10086</v>
      </c>
      <c r="H7084" s="3">
        <v>2.9999999999999997E-4</v>
      </c>
      <c r="K7084" s="2" t="s">
        <v>10085</v>
      </c>
    </row>
    <row r="7085" spans="1:11" x14ac:dyDescent="0.2">
      <c r="A7085" s="2">
        <v>1773</v>
      </c>
      <c r="B7085" s="2">
        <v>12</v>
      </c>
      <c r="C7085" s="2">
        <v>31797153</v>
      </c>
      <c r="D7085" s="2">
        <v>32368905</v>
      </c>
      <c r="E7085" s="2">
        <v>1</v>
      </c>
      <c r="F7085" s="2" t="s">
        <v>10086</v>
      </c>
      <c r="H7085" s="3">
        <v>8.0000000000000004E-4</v>
      </c>
      <c r="K7085" s="2" t="s">
        <v>10087</v>
      </c>
    </row>
    <row r="7086" spans="1:11" x14ac:dyDescent="0.2">
      <c r="A7086" s="2">
        <v>1773</v>
      </c>
      <c r="B7086" s="2">
        <v>12</v>
      </c>
      <c r="C7086" s="2">
        <v>31797153</v>
      </c>
      <c r="D7086" s="2">
        <v>32368905</v>
      </c>
      <c r="E7086" s="2">
        <v>2</v>
      </c>
      <c r="F7086" s="2" t="s">
        <v>10086</v>
      </c>
      <c r="H7086" s="2">
        <v>1E-3</v>
      </c>
      <c r="K7086" s="2" t="s">
        <v>10089</v>
      </c>
    </row>
    <row r="7087" spans="1:11" x14ac:dyDescent="0.2">
      <c r="A7087" s="2">
        <v>1773</v>
      </c>
      <c r="B7087" s="2">
        <v>12</v>
      </c>
      <c r="C7087" s="2">
        <v>31797153</v>
      </c>
      <c r="D7087" s="2">
        <v>32368905</v>
      </c>
      <c r="E7087" s="2">
        <v>3</v>
      </c>
      <c r="F7087" s="2" t="s">
        <v>10086</v>
      </c>
      <c r="H7087" s="3">
        <v>5.0000000000000001E-4</v>
      </c>
      <c r="K7087" s="2" t="s">
        <v>10088</v>
      </c>
    </row>
    <row r="7088" spans="1:11" x14ac:dyDescent="0.2">
      <c r="A7088" s="2">
        <v>1773</v>
      </c>
      <c r="B7088" s="2">
        <v>12</v>
      </c>
      <c r="C7088" s="2">
        <v>31797153</v>
      </c>
      <c r="D7088" s="2">
        <v>32368905</v>
      </c>
      <c r="E7088" s="2">
        <v>4</v>
      </c>
      <c r="F7088" s="2" t="s">
        <v>10086</v>
      </c>
      <c r="H7088" s="3">
        <v>2.9999999999999997E-4</v>
      </c>
      <c r="K7088" s="2" t="s">
        <v>10085</v>
      </c>
    </row>
    <row r="7089" spans="1:11" x14ac:dyDescent="0.2">
      <c r="A7089" s="2">
        <v>1774</v>
      </c>
      <c r="B7089" s="2">
        <v>12</v>
      </c>
      <c r="C7089" s="2">
        <v>32368906</v>
      </c>
      <c r="D7089" s="2">
        <v>33076722</v>
      </c>
      <c r="E7089" s="2">
        <v>1</v>
      </c>
      <c r="F7089" s="2" t="s">
        <v>10086</v>
      </c>
      <c r="H7089" s="2">
        <v>6.7000000000000002E-3</v>
      </c>
      <c r="K7089" s="2" t="s">
        <v>10088</v>
      </c>
    </row>
    <row r="7090" spans="1:11" x14ac:dyDescent="0.2">
      <c r="A7090" s="2">
        <v>1774</v>
      </c>
      <c r="B7090" s="2">
        <v>12</v>
      </c>
      <c r="C7090" s="2">
        <v>32368906</v>
      </c>
      <c r="D7090" s="2">
        <v>33076722</v>
      </c>
      <c r="E7090" s="2">
        <v>2</v>
      </c>
      <c r="F7090" s="2" t="s">
        <v>10086</v>
      </c>
      <c r="H7090" s="3">
        <v>8.9999999999999998E-4</v>
      </c>
      <c r="K7090" s="2" t="s">
        <v>10087</v>
      </c>
    </row>
    <row r="7091" spans="1:11" x14ac:dyDescent="0.2">
      <c r="A7091" s="2">
        <v>1774</v>
      </c>
      <c r="B7091" s="2">
        <v>12</v>
      </c>
      <c r="C7091" s="2">
        <v>32368906</v>
      </c>
      <c r="D7091" s="2">
        <v>33076722</v>
      </c>
      <c r="E7091" s="2">
        <v>3</v>
      </c>
      <c r="F7091" s="2" t="s">
        <v>10086</v>
      </c>
      <c r="H7091" s="3">
        <v>6.9999999999999999E-4</v>
      </c>
      <c r="K7091" s="2" t="s">
        <v>10085</v>
      </c>
    </row>
    <row r="7092" spans="1:11" x14ac:dyDescent="0.2">
      <c r="A7092" s="2">
        <v>1774</v>
      </c>
      <c r="B7092" s="2">
        <v>12</v>
      </c>
      <c r="C7092" s="2">
        <v>32368906</v>
      </c>
      <c r="D7092" s="2">
        <v>33076722</v>
      </c>
      <c r="E7092" s="2">
        <v>4</v>
      </c>
      <c r="F7092" s="2" t="s">
        <v>10086</v>
      </c>
      <c r="H7092" s="3">
        <v>4.0000000000000002E-4</v>
      </c>
      <c r="K7092" s="2" t="s">
        <v>10089</v>
      </c>
    </row>
    <row r="7093" spans="1:11" x14ac:dyDescent="0.2">
      <c r="A7093" s="2">
        <v>1775</v>
      </c>
      <c r="B7093" s="2">
        <v>12</v>
      </c>
      <c r="C7093" s="2">
        <v>33076723</v>
      </c>
      <c r="D7093" s="2">
        <v>34340495</v>
      </c>
      <c r="E7093" s="2">
        <v>1</v>
      </c>
      <c r="F7093" s="2" t="s">
        <v>10086</v>
      </c>
      <c r="H7093" s="2">
        <v>1.4E-3</v>
      </c>
      <c r="K7093" s="2" t="s">
        <v>10088</v>
      </c>
    </row>
    <row r="7094" spans="1:11" x14ac:dyDescent="0.2">
      <c r="A7094" s="2">
        <v>1775</v>
      </c>
      <c r="B7094" s="2">
        <v>12</v>
      </c>
      <c r="C7094" s="2">
        <v>33076723</v>
      </c>
      <c r="D7094" s="2">
        <v>34340495</v>
      </c>
      <c r="E7094" s="2">
        <v>2</v>
      </c>
      <c r="F7094" s="2" t="s">
        <v>10086</v>
      </c>
      <c r="H7094" s="3">
        <v>8.0000000000000004E-4</v>
      </c>
      <c r="K7094" s="2" t="s">
        <v>10085</v>
      </c>
    </row>
    <row r="7095" spans="1:11" x14ac:dyDescent="0.2">
      <c r="A7095" s="2">
        <v>1775</v>
      </c>
      <c r="B7095" s="2">
        <v>12</v>
      </c>
      <c r="C7095" s="2">
        <v>33076723</v>
      </c>
      <c r="D7095" s="2">
        <v>34340495</v>
      </c>
      <c r="E7095" s="2">
        <v>3</v>
      </c>
      <c r="F7095" s="2" t="s">
        <v>10086</v>
      </c>
      <c r="H7095" s="3">
        <v>8.0000000000000004E-4</v>
      </c>
      <c r="K7095" s="2" t="s">
        <v>10087</v>
      </c>
    </row>
    <row r="7096" spans="1:11" x14ac:dyDescent="0.2">
      <c r="A7096" s="2">
        <v>1775</v>
      </c>
      <c r="B7096" s="2">
        <v>12</v>
      </c>
      <c r="C7096" s="2">
        <v>33076723</v>
      </c>
      <c r="D7096" s="2">
        <v>34340495</v>
      </c>
      <c r="E7096" s="2">
        <v>4</v>
      </c>
      <c r="F7096" s="2" t="s">
        <v>10086</v>
      </c>
      <c r="H7096" s="3">
        <v>2.9999999999999997E-4</v>
      </c>
      <c r="K7096" s="2" t="s">
        <v>10089</v>
      </c>
    </row>
    <row r="7097" spans="1:11" x14ac:dyDescent="0.2">
      <c r="A7097" s="2">
        <v>1776</v>
      </c>
      <c r="B7097" s="2">
        <v>12</v>
      </c>
      <c r="C7097" s="2">
        <v>34340496</v>
      </c>
      <c r="D7097" s="2">
        <v>38108284</v>
      </c>
      <c r="E7097" s="2">
        <v>1</v>
      </c>
      <c r="F7097" s="2" t="s">
        <v>10086</v>
      </c>
      <c r="H7097" s="2">
        <v>1.5E-3</v>
      </c>
      <c r="K7097" s="2" t="s">
        <v>10085</v>
      </c>
    </row>
    <row r="7098" spans="1:11" x14ac:dyDescent="0.2">
      <c r="A7098" s="2">
        <v>1776</v>
      </c>
      <c r="B7098" s="2">
        <v>12</v>
      </c>
      <c r="C7098" s="2">
        <v>34340496</v>
      </c>
      <c r="D7098" s="2">
        <v>38108284</v>
      </c>
      <c r="E7098" s="2">
        <v>2</v>
      </c>
      <c r="F7098" s="2" t="s">
        <v>10086</v>
      </c>
      <c r="H7098" s="2">
        <v>1.1000000000000001E-3</v>
      </c>
      <c r="K7098" s="2" t="s">
        <v>10089</v>
      </c>
    </row>
    <row r="7099" spans="1:11" x14ac:dyDescent="0.2">
      <c r="A7099" s="2">
        <v>1776</v>
      </c>
      <c r="B7099" s="2">
        <v>12</v>
      </c>
      <c r="C7099" s="2">
        <v>34340496</v>
      </c>
      <c r="D7099" s="2">
        <v>38108284</v>
      </c>
      <c r="E7099" s="2">
        <v>3</v>
      </c>
      <c r="F7099" s="2" t="s">
        <v>10086</v>
      </c>
      <c r="H7099" s="3">
        <v>8.9999999999999998E-4</v>
      </c>
      <c r="K7099" s="2" t="s">
        <v>10088</v>
      </c>
    </row>
    <row r="7100" spans="1:11" x14ac:dyDescent="0.2">
      <c r="A7100" s="2">
        <v>1776</v>
      </c>
      <c r="B7100" s="2">
        <v>12</v>
      </c>
      <c r="C7100" s="2">
        <v>34340496</v>
      </c>
      <c r="D7100" s="2">
        <v>38108284</v>
      </c>
      <c r="E7100" s="2">
        <v>4</v>
      </c>
      <c r="F7100" s="2" t="s">
        <v>10086</v>
      </c>
      <c r="H7100" s="3">
        <v>2.9999999999999997E-4</v>
      </c>
      <c r="K7100" s="2" t="s">
        <v>10087</v>
      </c>
    </row>
    <row r="7101" spans="1:11" x14ac:dyDescent="0.2">
      <c r="A7101" s="2">
        <v>1777</v>
      </c>
      <c r="B7101" s="2">
        <v>12</v>
      </c>
      <c r="C7101" s="2">
        <v>38108285</v>
      </c>
      <c r="D7101" s="2">
        <v>38746760</v>
      </c>
      <c r="E7101" s="2">
        <v>1</v>
      </c>
      <c r="F7101" s="2" t="s">
        <v>10086</v>
      </c>
      <c r="H7101" s="2">
        <v>3.5999999999999999E-3</v>
      </c>
      <c r="K7101" s="2" t="s">
        <v>10088</v>
      </c>
    </row>
    <row r="7102" spans="1:11" x14ac:dyDescent="0.2">
      <c r="A7102" s="2">
        <v>1777</v>
      </c>
      <c r="B7102" s="2">
        <v>12</v>
      </c>
      <c r="C7102" s="2">
        <v>38108285</v>
      </c>
      <c r="D7102" s="2">
        <v>38746760</v>
      </c>
      <c r="E7102" s="2">
        <v>2</v>
      </c>
      <c r="F7102" s="2" t="s">
        <v>10086</v>
      </c>
      <c r="H7102" s="3">
        <v>6.9999999999999999E-4</v>
      </c>
      <c r="K7102" s="2" t="s">
        <v>10089</v>
      </c>
    </row>
    <row r="7103" spans="1:11" x14ac:dyDescent="0.2">
      <c r="A7103" s="2">
        <v>1777</v>
      </c>
      <c r="B7103" s="2">
        <v>12</v>
      </c>
      <c r="C7103" s="2">
        <v>38108285</v>
      </c>
      <c r="D7103" s="2">
        <v>38746760</v>
      </c>
      <c r="E7103" s="2">
        <v>3</v>
      </c>
      <c r="F7103" s="2" t="s">
        <v>10086</v>
      </c>
      <c r="H7103" s="3">
        <v>5.9999999999999995E-4</v>
      </c>
      <c r="K7103" s="2" t="s">
        <v>10085</v>
      </c>
    </row>
    <row r="7104" spans="1:11" x14ac:dyDescent="0.2">
      <c r="A7104" s="2">
        <v>1777</v>
      </c>
      <c r="B7104" s="2">
        <v>12</v>
      </c>
      <c r="C7104" s="2">
        <v>38108285</v>
      </c>
      <c r="D7104" s="2">
        <v>38746760</v>
      </c>
      <c r="E7104" s="2">
        <v>4</v>
      </c>
      <c r="F7104" s="2" t="s">
        <v>10086</v>
      </c>
      <c r="H7104" s="3">
        <v>2.0000000000000001E-4</v>
      </c>
      <c r="K7104" s="2" t="s">
        <v>10087</v>
      </c>
    </row>
    <row r="7105" spans="1:11" x14ac:dyDescent="0.2">
      <c r="A7105" s="2">
        <v>1778</v>
      </c>
      <c r="B7105" s="2">
        <v>12</v>
      </c>
      <c r="C7105" s="2">
        <v>38746761</v>
      </c>
      <c r="D7105" s="2">
        <v>40017396</v>
      </c>
      <c r="E7105" s="2">
        <v>1</v>
      </c>
      <c r="F7105" s="2" t="s">
        <v>10086</v>
      </c>
      <c r="H7105" s="2">
        <v>2.7000000000000001E-3</v>
      </c>
      <c r="K7105" s="2" t="s">
        <v>10087</v>
      </c>
    </row>
    <row r="7106" spans="1:11" x14ac:dyDescent="0.2">
      <c r="A7106" s="2">
        <v>1778</v>
      </c>
      <c r="B7106" s="2">
        <v>12</v>
      </c>
      <c r="C7106" s="2">
        <v>38746761</v>
      </c>
      <c r="D7106" s="2">
        <v>40017396</v>
      </c>
      <c r="E7106" s="2">
        <v>2</v>
      </c>
      <c r="F7106" s="2" t="s">
        <v>10086</v>
      </c>
      <c r="H7106" s="2">
        <v>3.5000000000000001E-3</v>
      </c>
      <c r="K7106" s="2" t="s">
        <v>10088</v>
      </c>
    </row>
    <row r="7107" spans="1:11" x14ac:dyDescent="0.2">
      <c r="A7107" s="2">
        <v>1778</v>
      </c>
      <c r="B7107" s="2">
        <v>12</v>
      </c>
      <c r="C7107" s="2">
        <v>38746761</v>
      </c>
      <c r="D7107" s="2">
        <v>40017396</v>
      </c>
      <c r="E7107" s="2">
        <v>3</v>
      </c>
      <c r="F7107" s="2" t="s">
        <v>10086</v>
      </c>
      <c r="H7107" s="3">
        <v>8.9999999999999998E-4</v>
      </c>
      <c r="K7107" s="2" t="s">
        <v>10089</v>
      </c>
    </row>
    <row r="7108" spans="1:11" x14ac:dyDescent="0.2">
      <c r="A7108" s="2">
        <v>1778</v>
      </c>
      <c r="B7108" s="2">
        <v>12</v>
      </c>
      <c r="C7108" s="2">
        <v>38746761</v>
      </c>
      <c r="D7108" s="2">
        <v>40017396</v>
      </c>
      <c r="E7108" s="2">
        <v>4</v>
      </c>
      <c r="F7108" s="2" t="s">
        <v>10086</v>
      </c>
      <c r="H7108" s="3">
        <v>5.9999999999999995E-4</v>
      </c>
      <c r="K7108" s="2" t="s">
        <v>10085</v>
      </c>
    </row>
    <row r="7109" spans="1:11" x14ac:dyDescent="0.2">
      <c r="A7109" s="2">
        <v>1779</v>
      </c>
      <c r="B7109" s="2">
        <v>12</v>
      </c>
      <c r="C7109" s="2">
        <v>40017397</v>
      </c>
      <c r="D7109" s="2">
        <v>41198229</v>
      </c>
      <c r="E7109" s="2">
        <v>1</v>
      </c>
      <c r="F7109" s="2" t="s">
        <v>10086</v>
      </c>
      <c r="H7109" s="2">
        <v>2.8E-3</v>
      </c>
      <c r="K7109" s="2" t="s">
        <v>10089</v>
      </c>
    </row>
    <row r="7110" spans="1:11" x14ac:dyDescent="0.2">
      <c r="A7110" s="2">
        <v>1779</v>
      </c>
      <c r="B7110" s="2">
        <v>12</v>
      </c>
      <c r="C7110" s="2">
        <v>40017397</v>
      </c>
      <c r="D7110" s="2">
        <v>41198229</v>
      </c>
      <c r="E7110" s="2">
        <v>2</v>
      </c>
      <c r="F7110" s="2" t="s">
        <v>10086</v>
      </c>
      <c r="H7110" s="2">
        <v>1E-3</v>
      </c>
      <c r="K7110" s="2" t="s">
        <v>10088</v>
      </c>
    </row>
    <row r="7111" spans="1:11" x14ac:dyDescent="0.2">
      <c r="A7111" s="2">
        <v>1779</v>
      </c>
      <c r="B7111" s="2">
        <v>12</v>
      </c>
      <c r="C7111" s="2">
        <v>40017397</v>
      </c>
      <c r="D7111" s="2">
        <v>41198229</v>
      </c>
      <c r="E7111" s="2">
        <v>3</v>
      </c>
      <c r="F7111" s="2" t="s">
        <v>10086</v>
      </c>
      <c r="H7111" s="3">
        <v>6.9999999999999999E-4</v>
      </c>
      <c r="K7111" s="2" t="s">
        <v>10087</v>
      </c>
    </row>
    <row r="7112" spans="1:11" x14ac:dyDescent="0.2">
      <c r="A7112" s="2">
        <v>1779</v>
      </c>
      <c r="B7112" s="2">
        <v>12</v>
      </c>
      <c r="C7112" s="2">
        <v>40017397</v>
      </c>
      <c r="D7112" s="2">
        <v>41198229</v>
      </c>
      <c r="E7112" s="2">
        <v>4</v>
      </c>
      <c r="F7112" s="2" t="s">
        <v>10086</v>
      </c>
      <c r="H7112" s="3">
        <v>4.0000000000000002E-4</v>
      </c>
      <c r="K7112" s="2" t="s">
        <v>10085</v>
      </c>
    </row>
    <row r="7113" spans="1:11" x14ac:dyDescent="0.2">
      <c r="A7113" s="2">
        <v>1780</v>
      </c>
      <c r="B7113" s="2">
        <v>12</v>
      </c>
      <c r="C7113" s="2">
        <v>41198230</v>
      </c>
      <c r="D7113" s="2">
        <v>42117736</v>
      </c>
      <c r="E7113" s="2">
        <v>1</v>
      </c>
      <c r="F7113" s="2" t="s">
        <v>10086</v>
      </c>
      <c r="H7113" s="2">
        <v>1E-3</v>
      </c>
      <c r="K7113" s="2" t="s">
        <v>10088</v>
      </c>
    </row>
    <row r="7114" spans="1:11" x14ac:dyDescent="0.2">
      <c r="A7114" s="2">
        <v>1780</v>
      </c>
      <c r="B7114" s="2">
        <v>12</v>
      </c>
      <c r="C7114" s="2">
        <v>41198230</v>
      </c>
      <c r="D7114" s="2">
        <v>42117736</v>
      </c>
      <c r="E7114" s="2">
        <v>2</v>
      </c>
      <c r="F7114" s="2" t="s">
        <v>10086</v>
      </c>
      <c r="H7114" s="3">
        <v>8.0000000000000004E-4</v>
      </c>
      <c r="K7114" s="2" t="s">
        <v>10085</v>
      </c>
    </row>
    <row r="7115" spans="1:11" x14ac:dyDescent="0.2">
      <c r="A7115" s="2">
        <v>1780</v>
      </c>
      <c r="B7115" s="2">
        <v>12</v>
      </c>
      <c r="C7115" s="2">
        <v>41198230</v>
      </c>
      <c r="D7115" s="2">
        <v>42117736</v>
      </c>
      <c r="E7115" s="2">
        <v>3</v>
      </c>
      <c r="F7115" s="2" t="s">
        <v>10086</v>
      </c>
      <c r="H7115" s="3">
        <v>8.0000000000000004E-4</v>
      </c>
      <c r="K7115" s="2" t="s">
        <v>10089</v>
      </c>
    </row>
    <row r="7116" spans="1:11" x14ac:dyDescent="0.2">
      <c r="A7116" s="2">
        <v>1780</v>
      </c>
      <c r="B7116" s="2">
        <v>12</v>
      </c>
      <c r="C7116" s="2">
        <v>41198230</v>
      </c>
      <c r="D7116" s="2">
        <v>42117736</v>
      </c>
      <c r="E7116" s="2">
        <v>4</v>
      </c>
      <c r="F7116" s="2" t="s">
        <v>10086</v>
      </c>
      <c r="H7116" s="3">
        <v>5.0000000000000001E-4</v>
      </c>
      <c r="K7116" s="2" t="s">
        <v>10087</v>
      </c>
    </row>
    <row r="7117" spans="1:11" x14ac:dyDescent="0.2">
      <c r="A7117" s="2">
        <v>1781</v>
      </c>
      <c r="B7117" s="2">
        <v>12</v>
      </c>
      <c r="C7117" s="2">
        <v>42117737</v>
      </c>
      <c r="D7117" s="2">
        <v>43072679</v>
      </c>
      <c r="E7117" s="2">
        <v>1</v>
      </c>
      <c r="F7117" s="2" t="s">
        <v>10086</v>
      </c>
      <c r="H7117" s="2">
        <v>2.5000000000000001E-3</v>
      </c>
      <c r="K7117" s="2" t="s">
        <v>10087</v>
      </c>
    </row>
    <row r="7118" spans="1:11" x14ac:dyDescent="0.2">
      <c r="A7118" s="2">
        <v>1781</v>
      </c>
      <c r="B7118" s="2">
        <v>12</v>
      </c>
      <c r="C7118" s="2">
        <v>42117737</v>
      </c>
      <c r="D7118" s="2">
        <v>43072679</v>
      </c>
      <c r="E7118" s="2">
        <v>2</v>
      </c>
      <c r="F7118" s="2" t="s">
        <v>10086</v>
      </c>
      <c r="H7118" s="2">
        <v>2.5000000000000001E-3</v>
      </c>
      <c r="K7118" s="2" t="s">
        <v>12324</v>
      </c>
    </row>
    <row r="7119" spans="1:11" x14ac:dyDescent="0.2">
      <c r="A7119" s="2">
        <v>1781</v>
      </c>
      <c r="B7119" s="2">
        <v>12</v>
      </c>
      <c r="C7119" s="2">
        <v>42117737</v>
      </c>
      <c r="D7119" s="2">
        <v>43072679</v>
      </c>
      <c r="E7119" s="2">
        <v>3</v>
      </c>
      <c r="F7119" s="2" t="s">
        <v>10086</v>
      </c>
      <c r="H7119" s="2">
        <v>1E-3</v>
      </c>
      <c r="K7119" s="2" t="s">
        <v>10088</v>
      </c>
    </row>
    <row r="7120" spans="1:11" x14ac:dyDescent="0.2">
      <c r="A7120" s="2">
        <v>1781</v>
      </c>
      <c r="B7120" s="2">
        <v>12</v>
      </c>
      <c r="C7120" s="2">
        <v>42117737</v>
      </c>
      <c r="D7120" s="2">
        <v>43072679</v>
      </c>
      <c r="E7120" s="2">
        <v>4</v>
      </c>
      <c r="F7120" s="2" t="s">
        <v>10086</v>
      </c>
      <c r="H7120" s="3">
        <v>8.9999999999999998E-4</v>
      </c>
      <c r="K7120" s="2" t="s">
        <v>10085</v>
      </c>
    </row>
    <row r="7121" spans="1:11" x14ac:dyDescent="0.2">
      <c r="A7121" s="2">
        <v>1782</v>
      </c>
      <c r="B7121" s="2">
        <v>12</v>
      </c>
      <c r="C7121" s="2">
        <v>43072680</v>
      </c>
      <c r="D7121" s="2">
        <v>43980531</v>
      </c>
      <c r="E7121" s="2">
        <v>1</v>
      </c>
      <c r="F7121" s="2" t="s">
        <v>10086</v>
      </c>
      <c r="H7121" s="2">
        <v>1.2999999999999999E-3</v>
      </c>
      <c r="K7121" s="2" t="s">
        <v>10088</v>
      </c>
    </row>
    <row r="7122" spans="1:11" x14ac:dyDescent="0.2">
      <c r="A7122" s="2">
        <v>1782</v>
      </c>
      <c r="B7122" s="2">
        <v>12</v>
      </c>
      <c r="C7122" s="2">
        <v>43072680</v>
      </c>
      <c r="D7122" s="2">
        <v>43980531</v>
      </c>
      <c r="E7122" s="2">
        <v>2</v>
      </c>
      <c r="F7122" s="2" t="s">
        <v>10086</v>
      </c>
      <c r="H7122" s="3">
        <v>8.0000000000000004E-4</v>
      </c>
      <c r="K7122" s="2" t="s">
        <v>10089</v>
      </c>
    </row>
    <row r="7123" spans="1:11" x14ac:dyDescent="0.2">
      <c r="A7123" s="2">
        <v>1782</v>
      </c>
      <c r="B7123" s="2">
        <v>12</v>
      </c>
      <c r="C7123" s="2">
        <v>43072680</v>
      </c>
      <c r="D7123" s="2">
        <v>43980531</v>
      </c>
      <c r="E7123" s="2">
        <v>3</v>
      </c>
      <c r="F7123" s="2" t="s">
        <v>10086</v>
      </c>
      <c r="H7123" s="3">
        <v>6.9999999999999999E-4</v>
      </c>
      <c r="K7123" s="2" t="s">
        <v>10085</v>
      </c>
    </row>
    <row r="7124" spans="1:11" x14ac:dyDescent="0.2">
      <c r="A7124" s="2">
        <v>1782</v>
      </c>
      <c r="B7124" s="2">
        <v>12</v>
      </c>
      <c r="C7124" s="2">
        <v>43072680</v>
      </c>
      <c r="D7124" s="2">
        <v>43980531</v>
      </c>
      <c r="E7124" s="2">
        <v>4</v>
      </c>
      <c r="F7124" s="2" t="s">
        <v>10086</v>
      </c>
      <c r="H7124" s="3">
        <v>5.9999999999999995E-4</v>
      </c>
      <c r="K7124" s="2" t="s">
        <v>12324</v>
      </c>
    </row>
    <row r="7125" spans="1:11" x14ac:dyDescent="0.2">
      <c r="A7125" s="2">
        <v>1783</v>
      </c>
      <c r="B7125" s="2">
        <v>12</v>
      </c>
      <c r="C7125" s="2">
        <v>43980532</v>
      </c>
      <c r="D7125" s="2">
        <v>44923825</v>
      </c>
      <c r="E7125" s="2">
        <v>1</v>
      </c>
      <c r="F7125" s="2" t="s">
        <v>10086</v>
      </c>
      <c r="H7125" s="2">
        <v>2E-3</v>
      </c>
      <c r="K7125" s="2" t="s">
        <v>10089</v>
      </c>
    </row>
    <row r="7126" spans="1:11" x14ac:dyDescent="0.2">
      <c r="A7126" s="2">
        <v>1783</v>
      </c>
      <c r="B7126" s="2">
        <v>12</v>
      </c>
      <c r="C7126" s="2">
        <v>43980532</v>
      </c>
      <c r="D7126" s="2">
        <v>44923825</v>
      </c>
      <c r="E7126" s="2">
        <v>2</v>
      </c>
      <c r="F7126" s="2" t="s">
        <v>10086</v>
      </c>
      <c r="H7126" s="2">
        <v>1.1999999999999999E-3</v>
      </c>
      <c r="K7126" s="2" t="s">
        <v>10087</v>
      </c>
    </row>
    <row r="7127" spans="1:11" x14ac:dyDescent="0.2">
      <c r="A7127" s="2">
        <v>1783</v>
      </c>
      <c r="B7127" s="2">
        <v>12</v>
      </c>
      <c r="C7127" s="2">
        <v>43980532</v>
      </c>
      <c r="D7127" s="2">
        <v>44923825</v>
      </c>
      <c r="E7127" s="2">
        <v>3</v>
      </c>
      <c r="F7127" s="2" t="s">
        <v>10086</v>
      </c>
      <c r="H7127" s="2">
        <v>2.3E-3</v>
      </c>
      <c r="K7127" s="2" t="s">
        <v>12324</v>
      </c>
    </row>
    <row r="7128" spans="1:11" x14ac:dyDescent="0.2">
      <c r="A7128" s="2">
        <v>1783</v>
      </c>
      <c r="B7128" s="2">
        <v>12</v>
      </c>
      <c r="C7128" s="2">
        <v>43980532</v>
      </c>
      <c r="D7128" s="2">
        <v>44923825</v>
      </c>
      <c r="E7128" s="2">
        <v>4</v>
      </c>
      <c r="F7128" s="2" t="s">
        <v>10086</v>
      </c>
      <c r="H7128" s="2">
        <v>1.1000000000000001E-3</v>
      </c>
      <c r="K7128" s="2" t="s">
        <v>10085</v>
      </c>
    </row>
    <row r="7129" spans="1:11" x14ac:dyDescent="0.2">
      <c r="A7129" s="2">
        <v>1784</v>
      </c>
      <c r="B7129" s="2">
        <v>12</v>
      </c>
      <c r="C7129" s="2">
        <v>44923826</v>
      </c>
      <c r="D7129" s="2">
        <v>46037744</v>
      </c>
      <c r="E7129" s="2">
        <v>1</v>
      </c>
      <c r="F7129" s="2" t="s">
        <v>10086</v>
      </c>
      <c r="H7129" s="2">
        <v>2.5999999999999999E-3</v>
      </c>
      <c r="K7129" s="2" t="s">
        <v>10087</v>
      </c>
    </row>
    <row r="7130" spans="1:11" x14ac:dyDescent="0.2">
      <c r="A7130" s="2">
        <v>1784</v>
      </c>
      <c r="B7130" s="2">
        <v>12</v>
      </c>
      <c r="C7130" s="2">
        <v>44923826</v>
      </c>
      <c r="D7130" s="2">
        <v>46037744</v>
      </c>
      <c r="E7130" s="2">
        <v>2</v>
      </c>
      <c r="F7130" s="2" t="s">
        <v>10086</v>
      </c>
      <c r="H7130" s="2">
        <v>1.1999999999999999E-3</v>
      </c>
      <c r="K7130" s="2" t="s">
        <v>10089</v>
      </c>
    </row>
    <row r="7131" spans="1:11" x14ac:dyDescent="0.2">
      <c r="A7131" s="2">
        <v>1784</v>
      </c>
      <c r="B7131" s="2">
        <v>12</v>
      </c>
      <c r="C7131" s="2">
        <v>44923826</v>
      </c>
      <c r="D7131" s="2">
        <v>46037744</v>
      </c>
      <c r="E7131" s="2">
        <v>3</v>
      </c>
      <c r="F7131" s="2" t="s">
        <v>10086</v>
      </c>
      <c r="H7131" s="3">
        <v>8.9999999999999998E-4</v>
      </c>
      <c r="K7131" s="2" t="s">
        <v>10085</v>
      </c>
    </row>
    <row r="7132" spans="1:11" x14ac:dyDescent="0.2">
      <c r="A7132" s="2">
        <v>1784</v>
      </c>
      <c r="B7132" s="2">
        <v>12</v>
      </c>
      <c r="C7132" s="2">
        <v>44923826</v>
      </c>
      <c r="D7132" s="2">
        <v>46037744</v>
      </c>
      <c r="E7132" s="2">
        <v>4</v>
      </c>
      <c r="F7132" s="2" t="s">
        <v>10086</v>
      </c>
      <c r="H7132" s="3">
        <v>5.9999999999999995E-4</v>
      </c>
      <c r="K7132" s="2" t="s">
        <v>10088</v>
      </c>
    </row>
    <row r="7133" spans="1:11" x14ac:dyDescent="0.2">
      <c r="A7133" s="2">
        <v>1785</v>
      </c>
      <c r="B7133" s="2">
        <v>12</v>
      </c>
      <c r="C7133" s="2">
        <v>46037745</v>
      </c>
      <c r="D7133" s="2">
        <v>47499603</v>
      </c>
      <c r="E7133" s="2">
        <v>1</v>
      </c>
      <c r="F7133" s="2" t="s">
        <v>10086</v>
      </c>
      <c r="H7133" s="2">
        <v>1.1999999999999999E-3</v>
      </c>
      <c r="K7133" s="2" t="s">
        <v>10089</v>
      </c>
    </row>
    <row r="7134" spans="1:11" x14ac:dyDescent="0.2">
      <c r="A7134" s="2">
        <v>1785</v>
      </c>
      <c r="B7134" s="2">
        <v>12</v>
      </c>
      <c r="C7134" s="2">
        <v>46037745</v>
      </c>
      <c r="D7134" s="2">
        <v>47499603</v>
      </c>
      <c r="E7134" s="2">
        <v>2</v>
      </c>
      <c r="F7134" s="2" t="s">
        <v>10086</v>
      </c>
      <c r="H7134" s="2">
        <v>1.1000000000000001E-3</v>
      </c>
      <c r="K7134" s="2" t="s">
        <v>10087</v>
      </c>
    </row>
    <row r="7135" spans="1:11" x14ac:dyDescent="0.2">
      <c r="A7135" s="2">
        <v>1785</v>
      </c>
      <c r="B7135" s="2">
        <v>12</v>
      </c>
      <c r="C7135" s="2">
        <v>46037745</v>
      </c>
      <c r="D7135" s="2">
        <v>47499603</v>
      </c>
      <c r="E7135" s="2">
        <v>3</v>
      </c>
      <c r="F7135" s="2" t="s">
        <v>10086</v>
      </c>
      <c r="H7135" s="3">
        <v>6.9999999999999999E-4</v>
      </c>
      <c r="K7135" s="2" t="s">
        <v>10088</v>
      </c>
    </row>
    <row r="7136" spans="1:11" x14ac:dyDescent="0.2">
      <c r="A7136" s="2">
        <v>1785</v>
      </c>
      <c r="B7136" s="2">
        <v>12</v>
      </c>
      <c r="C7136" s="2">
        <v>46037745</v>
      </c>
      <c r="D7136" s="2">
        <v>47499603</v>
      </c>
      <c r="E7136" s="2">
        <v>4</v>
      </c>
      <c r="F7136" s="2" t="s">
        <v>10086</v>
      </c>
      <c r="H7136" s="3">
        <v>5.0000000000000001E-4</v>
      </c>
      <c r="K7136" s="2" t="s">
        <v>10085</v>
      </c>
    </row>
    <row r="7137" spans="1:11" x14ac:dyDescent="0.2">
      <c r="A7137" s="2">
        <v>1786</v>
      </c>
      <c r="B7137" s="2">
        <v>12</v>
      </c>
      <c r="C7137" s="2">
        <v>47499604</v>
      </c>
      <c r="D7137" s="2">
        <v>48227035</v>
      </c>
      <c r="E7137" s="2">
        <v>1</v>
      </c>
      <c r="F7137" s="2" t="s">
        <v>10086</v>
      </c>
      <c r="H7137" s="2">
        <v>1.2999999999999999E-3</v>
      </c>
      <c r="K7137" s="2" t="s">
        <v>10087</v>
      </c>
    </row>
    <row r="7138" spans="1:11" x14ac:dyDescent="0.2">
      <c r="A7138" s="2">
        <v>1786</v>
      </c>
      <c r="B7138" s="2">
        <v>12</v>
      </c>
      <c r="C7138" s="2">
        <v>47499604</v>
      </c>
      <c r="D7138" s="2">
        <v>48227035</v>
      </c>
      <c r="E7138" s="2">
        <v>2</v>
      </c>
      <c r="F7138" s="2" t="s">
        <v>10086</v>
      </c>
      <c r="H7138" s="3">
        <v>8.0000000000000004E-4</v>
      </c>
      <c r="K7138" s="2" t="s">
        <v>10085</v>
      </c>
    </row>
    <row r="7139" spans="1:11" x14ac:dyDescent="0.2">
      <c r="A7139" s="2">
        <v>1786</v>
      </c>
      <c r="B7139" s="2">
        <v>12</v>
      </c>
      <c r="C7139" s="2">
        <v>47499604</v>
      </c>
      <c r="D7139" s="2">
        <v>48227035</v>
      </c>
      <c r="E7139" s="2">
        <v>3</v>
      </c>
      <c r="F7139" s="2" t="s">
        <v>10086</v>
      </c>
      <c r="H7139" s="3">
        <v>5.9999999999999995E-4</v>
      </c>
      <c r="K7139" s="2" t="s">
        <v>10088</v>
      </c>
    </row>
    <row r="7140" spans="1:11" x14ac:dyDescent="0.2">
      <c r="A7140" s="2">
        <v>1786</v>
      </c>
      <c r="B7140" s="2">
        <v>12</v>
      </c>
      <c r="C7140" s="2">
        <v>47499604</v>
      </c>
      <c r="D7140" s="2">
        <v>48227035</v>
      </c>
      <c r="E7140" s="2">
        <v>4</v>
      </c>
      <c r="F7140" s="2" t="s">
        <v>10086</v>
      </c>
      <c r="H7140" s="3">
        <v>5.9999999999999995E-4</v>
      </c>
      <c r="K7140" s="2" t="s">
        <v>10089</v>
      </c>
    </row>
    <row r="7141" spans="1:11" x14ac:dyDescent="0.2">
      <c r="A7141" s="2">
        <v>1787</v>
      </c>
      <c r="B7141" s="2">
        <v>12</v>
      </c>
      <c r="C7141" s="2">
        <v>48227036</v>
      </c>
      <c r="D7141" s="2">
        <v>48960265</v>
      </c>
      <c r="E7141" s="2">
        <v>1</v>
      </c>
      <c r="F7141" s="2" t="s">
        <v>10086</v>
      </c>
      <c r="H7141" s="2">
        <v>1E-3</v>
      </c>
      <c r="K7141" s="2" t="s">
        <v>10089</v>
      </c>
    </row>
    <row r="7142" spans="1:11" x14ac:dyDescent="0.2">
      <c r="A7142" s="2">
        <v>1787</v>
      </c>
      <c r="B7142" s="2">
        <v>12</v>
      </c>
      <c r="C7142" s="2">
        <v>48227036</v>
      </c>
      <c r="D7142" s="2">
        <v>48960265</v>
      </c>
      <c r="E7142" s="2">
        <v>2</v>
      </c>
      <c r="F7142" s="2" t="s">
        <v>10086</v>
      </c>
      <c r="H7142" s="3">
        <v>8.9999999999999998E-4</v>
      </c>
      <c r="K7142" s="2" t="s">
        <v>10087</v>
      </c>
    </row>
    <row r="7143" spans="1:11" x14ac:dyDescent="0.2">
      <c r="A7143" s="2">
        <v>1787</v>
      </c>
      <c r="B7143" s="2">
        <v>12</v>
      </c>
      <c r="C7143" s="2">
        <v>48227036</v>
      </c>
      <c r="D7143" s="2">
        <v>48960265</v>
      </c>
      <c r="E7143" s="2">
        <v>3</v>
      </c>
      <c r="F7143" s="2" t="s">
        <v>10086</v>
      </c>
      <c r="H7143" s="3">
        <v>6.9999999999999999E-4</v>
      </c>
      <c r="K7143" s="2" t="s">
        <v>10085</v>
      </c>
    </row>
    <row r="7144" spans="1:11" x14ac:dyDescent="0.2">
      <c r="A7144" s="2">
        <v>1787</v>
      </c>
      <c r="B7144" s="2">
        <v>12</v>
      </c>
      <c r="C7144" s="2">
        <v>48227036</v>
      </c>
      <c r="D7144" s="2">
        <v>48960265</v>
      </c>
      <c r="E7144" s="2">
        <v>4</v>
      </c>
      <c r="F7144" s="2" t="s">
        <v>10086</v>
      </c>
      <c r="H7144" s="3">
        <v>2.0000000000000001E-4</v>
      </c>
      <c r="K7144" s="2" t="s">
        <v>10088</v>
      </c>
    </row>
    <row r="7145" spans="1:11" x14ac:dyDescent="0.2">
      <c r="A7145" s="2">
        <v>1788</v>
      </c>
      <c r="B7145" s="2">
        <v>12</v>
      </c>
      <c r="C7145" s="2">
        <v>48960266</v>
      </c>
      <c r="D7145" s="2">
        <v>50344346</v>
      </c>
      <c r="E7145" s="2">
        <v>1</v>
      </c>
      <c r="F7145" s="2" t="s">
        <v>10086</v>
      </c>
      <c r="H7145" s="2">
        <v>1.2999999999999999E-3</v>
      </c>
      <c r="K7145" s="2" t="s">
        <v>10089</v>
      </c>
    </row>
    <row r="7146" spans="1:11" x14ac:dyDescent="0.2">
      <c r="A7146" s="2">
        <v>1788</v>
      </c>
      <c r="B7146" s="2">
        <v>12</v>
      </c>
      <c r="C7146" s="2">
        <v>48960266</v>
      </c>
      <c r="D7146" s="2">
        <v>50344346</v>
      </c>
      <c r="E7146" s="2">
        <v>2</v>
      </c>
      <c r="F7146" s="2" t="s">
        <v>10086</v>
      </c>
      <c r="H7146" s="2">
        <v>1.1999999999999999E-3</v>
      </c>
      <c r="K7146" s="2" t="s">
        <v>10088</v>
      </c>
    </row>
    <row r="7147" spans="1:11" x14ac:dyDescent="0.2">
      <c r="A7147" s="2">
        <v>1788</v>
      </c>
      <c r="B7147" s="2">
        <v>12</v>
      </c>
      <c r="C7147" s="2">
        <v>48960266</v>
      </c>
      <c r="D7147" s="2">
        <v>50344346</v>
      </c>
      <c r="E7147" s="2">
        <v>3</v>
      </c>
      <c r="F7147" s="2" t="s">
        <v>10086</v>
      </c>
      <c r="H7147" s="2">
        <v>1E-3</v>
      </c>
      <c r="K7147" s="2" t="s">
        <v>10085</v>
      </c>
    </row>
    <row r="7148" spans="1:11" x14ac:dyDescent="0.2">
      <c r="A7148" s="2">
        <v>1788</v>
      </c>
      <c r="B7148" s="2">
        <v>12</v>
      </c>
      <c r="C7148" s="2">
        <v>48960266</v>
      </c>
      <c r="D7148" s="2">
        <v>50344346</v>
      </c>
      <c r="E7148" s="2">
        <v>4</v>
      </c>
      <c r="F7148" s="2" t="s">
        <v>10086</v>
      </c>
      <c r="H7148" s="3">
        <v>8.0000000000000004E-4</v>
      </c>
      <c r="K7148" s="2" t="s">
        <v>12324</v>
      </c>
    </row>
    <row r="7149" spans="1:11" x14ac:dyDescent="0.2">
      <c r="A7149" s="2">
        <v>1789</v>
      </c>
      <c r="B7149" s="2">
        <v>12</v>
      </c>
      <c r="C7149" s="2">
        <v>50344347</v>
      </c>
      <c r="D7149" s="2">
        <v>51769419</v>
      </c>
      <c r="E7149" s="2">
        <v>1</v>
      </c>
      <c r="F7149" s="2" t="s">
        <v>10086</v>
      </c>
      <c r="H7149" s="2">
        <v>2.01E-2</v>
      </c>
      <c r="K7149" s="2" t="s">
        <v>10087</v>
      </c>
    </row>
    <row r="7150" spans="1:11" x14ac:dyDescent="0.2">
      <c r="A7150" s="2">
        <v>1789</v>
      </c>
      <c r="B7150" s="2">
        <v>12</v>
      </c>
      <c r="C7150" s="2">
        <v>50344347</v>
      </c>
      <c r="D7150" s="2">
        <v>51769419</v>
      </c>
      <c r="E7150" s="2">
        <v>2</v>
      </c>
      <c r="F7150" s="2" t="s">
        <v>10086</v>
      </c>
      <c r="H7150" s="2">
        <v>1.6000000000000001E-3</v>
      </c>
      <c r="K7150" s="2" t="s">
        <v>10085</v>
      </c>
    </row>
    <row r="7151" spans="1:11" x14ac:dyDescent="0.2">
      <c r="A7151" s="2">
        <v>1789</v>
      </c>
      <c r="B7151" s="2">
        <v>12</v>
      </c>
      <c r="C7151" s="2">
        <v>50344347</v>
      </c>
      <c r="D7151" s="2">
        <v>51769419</v>
      </c>
      <c r="E7151" s="2">
        <v>3</v>
      </c>
      <c r="F7151" s="2" t="s">
        <v>10086</v>
      </c>
      <c r="H7151" s="3">
        <v>8.9999999999999998E-4</v>
      </c>
      <c r="K7151" s="2" t="s">
        <v>10088</v>
      </c>
    </row>
    <row r="7152" spans="1:11" x14ac:dyDescent="0.2">
      <c r="A7152" s="2">
        <v>1789</v>
      </c>
      <c r="B7152" s="2">
        <v>12</v>
      </c>
      <c r="C7152" s="2">
        <v>50344347</v>
      </c>
      <c r="D7152" s="2">
        <v>51769419</v>
      </c>
      <c r="E7152" s="2">
        <v>4</v>
      </c>
      <c r="F7152" s="2" t="s">
        <v>10086</v>
      </c>
      <c r="H7152" s="3">
        <v>4.0000000000000002E-4</v>
      </c>
      <c r="K7152" s="2" t="s">
        <v>10089</v>
      </c>
    </row>
    <row r="7153" spans="1:11" x14ac:dyDescent="0.2">
      <c r="A7153" s="2">
        <v>1790</v>
      </c>
      <c r="B7153" s="2">
        <v>12</v>
      </c>
      <c r="C7153" s="2">
        <v>51769420</v>
      </c>
      <c r="D7153" s="2">
        <v>53039987</v>
      </c>
      <c r="E7153" s="2">
        <v>1</v>
      </c>
      <c r="F7153" s="2" t="s">
        <v>10086</v>
      </c>
      <c r="H7153" s="2">
        <v>2.5999999999999999E-3</v>
      </c>
      <c r="K7153" s="2" t="s">
        <v>10089</v>
      </c>
    </row>
    <row r="7154" spans="1:11" x14ac:dyDescent="0.2">
      <c r="A7154" s="2">
        <v>1790</v>
      </c>
      <c r="B7154" s="2">
        <v>12</v>
      </c>
      <c r="C7154" s="2">
        <v>51769420</v>
      </c>
      <c r="D7154" s="2">
        <v>53039987</v>
      </c>
      <c r="E7154" s="2">
        <v>2</v>
      </c>
      <c r="F7154" s="2" t="s">
        <v>10086</v>
      </c>
      <c r="H7154" s="2">
        <v>2E-3</v>
      </c>
      <c r="K7154" s="2" t="s">
        <v>10087</v>
      </c>
    </row>
    <row r="7155" spans="1:11" x14ac:dyDescent="0.2">
      <c r="A7155" s="2">
        <v>1790</v>
      </c>
      <c r="B7155" s="2">
        <v>12</v>
      </c>
      <c r="C7155" s="2">
        <v>51769420</v>
      </c>
      <c r="D7155" s="2">
        <v>53039987</v>
      </c>
      <c r="E7155" s="2">
        <v>3</v>
      </c>
      <c r="F7155" s="2" t="s">
        <v>10086</v>
      </c>
      <c r="H7155" s="2">
        <v>1.5E-3</v>
      </c>
      <c r="K7155" s="2" t="s">
        <v>10088</v>
      </c>
    </row>
    <row r="7156" spans="1:11" x14ac:dyDescent="0.2">
      <c r="A7156" s="2">
        <v>1790</v>
      </c>
      <c r="B7156" s="2">
        <v>12</v>
      </c>
      <c r="C7156" s="2">
        <v>51769420</v>
      </c>
      <c r="D7156" s="2">
        <v>53039987</v>
      </c>
      <c r="E7156" s="2">
        <v>4</v>
      </c>
      <c r="F7156" s="2" t="s">
        <v>10086</v>
      </c>
      <c r="H7156" s="3">
        <v>8.9999999999999998E-4</v>
      </c>
      <c r="K7156" s="2" t="s">
        <v>12324</v>
      </c>
    </row>
    <row r="7157" spans="1:11" x14ac:dyDescent="0.2">
      <c r="A7157" s="2">
        <v>1791</v>
      </c>
      <c r="B7157" s="2">
        <v>12</v>
      </c>
      <c r="C7157" s="2">
        <v>53039988</v>
      </c>
      <c r="D7157" s="2">
        <v>54371448</v>
      </c>
      <c r="E7157" s="2">
        <v>1</v>
      </c>
      <c r="F7157" s="2" t="s">
        <v>10086</v>
      </c>
      <c r="H7157" s="2">
        <v>2.8E-3</v>
      </c>
      <c r="K7157" s="2" t="s">
        <v>10089</v>
      </c>
    </row>
    <row r="7158" spans="1:11" x14ac:dyDescent="0.2">
      <c r="A7158" s="2">
        <v>1791</v>
      </c>
      <c r="B7158" s="2">
        <v>12</v>
      </c>
      <c r="C7158" s="2">
        <v>53039988</v>
      </c>
      <c r="D7158" s="2">
        <v>54371448</v>
      </c>
      <c r="E7158" s="2">
        <v>2</v>
      </c>
      <c r="F7158" s="2" t="s">
        <v>10086</v>
      </c>
      <c r="H7158" s="2">
        <v>1.5E-3</v>
      </c>
      <c r="K7158" s="2" t="s">
        <v>10087</v>
      </c>
    </row>
    <row r="7159" spans="1:11" x14ac:dyDescent="0.2">
      <c r="A7159" s="2">
        <v>1791</v>
      </c>
      <c r="B7159" s="2">
        <v>12</v>
      </c>
      <c r="C7159" s="2">
        <v>53039988</v>
      </c>
      <c r="D7159" s="2">
        <v>54371448</v>
      </c>
      <c r="E7159" s="2">
        <v>3</v>
      </c>
      <c r="F7159" s="2" t="s">
        <v>10086</v>
      </c>
      <c r="H7159" s="2">
        <v>1.1000000000000001E-3</v>
      </c>
      <c r="K7159" s="2" t="s">
        <v>10085</v>
      </c>
    </row>
    <row r="7160" spans="1:11" x14ac:dyDescent="0.2">
      <c r="A7160" s="2">
        <v>1791</v>
      </c>
      <c r="B7160" s="2">
        <v>12</v>
      </c>
      <c r="C7160" s="2">
        <v>53039988</v>
      </c>
      <c r="D7160" s="2">
        <v>54371448</v>
      </c>
      <c r="E7160" s="2">
        <v>4</v>
      </c>
      <c r="F7160" s="2" t="s">
        <v>10086</v>
      </c>
      <c r="H7160" s="3">
        <v>5.9999999999999995E-4</v>
      </c>
      <c r="K7160" s="2" t="s">
        <v>10088</v>
      </c>
    </row>
    <row r="7161" spans="1:11" x14ac:dyDescent="0.2">
      <c r="A7161" s="2">
        <v>1792</v>
      </c>
      <c r="B7161" s="2">
        <v>12</v>
      </c>
      <c r="C7161" s="2">
        <v>54371449</v>
      </c>
      <c r="D7161" s="2">
        <v>55416802</v>
      </c>
      <c r="E7161" s="2">
        <v>1</v>
      </c>
      <c r="F7161" s="2" t="s">
        <v>10086</v>
      </c>
      <c r="H7161" s="2">
        <v>2.5999999999999999E-3</v>
      </c>
      <c r="K7161" s="2" t="s">
        <v>10088</v>
      </c>
    </row>
    <row r="7162" spans="1:11" x14ac:dyDescent="0.2">
      <c r="A7162" s="2">
        <v>1792</v>
      </c>
      <c r="B7162" s="2">
        <v>12</v>
      </c>
      <c r="C7162" s="2">
        <v>54371449</v>
      </c>
      <c r="D7162" s="2">
        <v>55416802</v>
      </c>
      <c r="E7162" s="2">
        <v>2</v>
      </c>
      <c r="F7162" s="2" t="s">
        <v>10086</v>
      </c>
      <c r="H7162" s="2">
        <v>1.5E-3</v>
      </c>
      <c r="K7162" s="2" t="s">
        <v>10085</v>
      </c>
    </row>
    <row r="7163" spans="1:11" x14ac:dyDescent="0.2">
      <c r="A7163" s="2">
        <v>1792</v>
      </c>
      <c r="B7163" s="2">
        <v>12</v>
      </c>
      <c r="C7163" s="2">
        <v>54371449</v>
      </c>
      <c r="D7163" s="2">
        <v>55416802</v>
      </c>
      <c r="E7163" s="2">
        <v>3</v>
      </c>
      <c r="F7163" s="2" t="s">
        <v>10086</v>
      </c>
      <c r="H7163" s="2">
        <v>1E-3</v>
      </c>
      <c r="K7163" s="2" t="s">
        <v>12324</v>
      </c>
    </row>
    <row r="7164" spans="1:11" x14ac:dyDescent="0.2">
      <c r="A7164" s="2">
        <v>1792</v>
      </c>
      <c r="B7164" s="2">
        <v>12</v>
      </c>
      <c r="C7164" s="2">
        <v>54371449</v>
      </c>
      <c r="D7164" s="2">
        <v>55416802</v>
      </c>
      <c r="E7164" s="2">
        <v>4</v>
      </c>
      <c r="F7164" s="2" t="s">
        <v>10086</v>
      </c>
      <c r="H7164" s="3">
        <v>8.0000000000000004E-4</v>
      </c>
      <c r="K7164" s="2" t="s">
        <v>10089</v>
      </c>
    </row>
    <row r="7165" spans="1:11" x14ac:dyDescent="0.2">
      <c r="A7165" s="2">
        <v>1793</v>
      </c>
      <c r="B7165" s="2">
        <v>12</v>
      </c>
      <c r="C7165" s="2">
        <v>55416803</v>
      </c>
      <c r="D7165" s="2">
        <v>56987105</v>
      </c>
      <c r="E7165" s="2">
        <v>1</v>
      </c>
      <c r="F7165" s="2" t="s">
        <v>10086</v>
      </c>
      <c r="H7165" s="2">
        <v>1E-3</v>
      </c>
      <c r="K7165" s="2" t="s">
        <v>10089</v>
      </c>
    </row>
    <row r="7166" spans="1:11" x14ac:dyDescent="0.2">
      <c r="A7166" s="2">
        <v>1793</v>
      </c>
      <c r="B7166" s="2">
        <v>12</v>
      </c>
      <c r="C7166" s="2">
        <v>55416803</v>
      </c>
      <c r="D7166" s="2">
        <v>56987105</v>
      </c>
      <c r="E7166" s="2">
        <v>2</v>
      </c>
      <c r="F7166" s="2" t="s">
        <v>10086</v>
      </c>
      <c r="H7166" s="3">
        <v>8.9999999999999998E-4</v>
      </c>
      <c r="K7166" s="2" t="s">
        <v>10085</v>
      </c>
    </row>
    <row r="7167" spans="1:11" x14ac:dyDescent="0.2">
      <c r="A7167" s="2">
        <v>1793</v>
      </c>
      <c r="B7167" s="2">
        <v>12</v>
      </c>
      <c r="C7167" s="2">
        <v>55416803</v>
      </c>
      <c r="D7167" s="2">
        <v>56987105</v>
      </c>
      <c r="E7167" s="2">
        <v>3</v>
      </c>
      <c r="F7167" s="2" t="s">
        <v>10086</v>
      </c>
      <c r="H7167" s="2">
        <v>1.1000000000000001E-3</v>
      </c>
      <c r="K7167" s="2" t="s">
        <v>10087</v>
      </c>
    </row>
    <row r="7168" spans="1:11" x14ac:dyDescent="0.2">
      <c r="A7168" s="2">
        <v>1793</v>
      </c>
      <c r="B7168" s="2">
        <v>12</v>
      </c>
      <c r="C7168" s="2">
        <v>55416803</v>
      </c>
      <c r="D7168" s="2">
        <v>56987105</v>
      </c>
      <c r="E7168" s="2">
        <v>4</v>
      </c>
      <c r="F7168" s="2" t="s">
        <v>10086</v>
      </c>
      <c r="H7168" s="3">
        <v>5.0000000000000001E-4</v>
      </c>
      <c r="K7168" s="2" t="s">
        <v>10088</v>
      </c>
    </row>
    <row r="7169" spans="1:11" x14ac:dyDescent="0.2">
      <c r="A7169" s="2">
        <v>1794</v>
      </c>
      <c r="B7169" s="2">
        <v>12</v>
      </c>
      <c r="C7169" s="2">
        <v>56987106</v>
      </c>
      <c r="D7169" s="2">
        <v>58748139</v>
      </c>
      <c r="E7169" s="2">
        <v>1</v>
      </c>
      <c r="F7169" s="2" t="s">
        <v>10086</v>
      </c>
      <c r="H7169" s="2">
        <v>5.1000000000000004E-3</v>
      </c>
      <c r="K7169" s="2" t="s">
        <v>10085</v>
      </c>
    </row>
    <row r="7170" spans="1:11" x14ac:dyDescent="0.2">
      <c r="A7170" s="2">
        <v>1794</v>
      </c>
      <c r="B7170" s="2">
        <v>12</v>
      </c>
      <c r="C7170" s="2">
        <v>56987106</v>
      </c>
      <c r="D7170" s="2">
        <v>58748139</v>
      </c>
      <c r="E7170" s="2">
        <v>2</v>
      </c>
      <c r="F7170" s="2" t="s">
        <v>10086</v>
      </c>
      <c r="H7170" s="2">
        <v>3.2000000000000002E-3</v>
      </c>
      <c r="K7170" s="2" t="s">
        <v>12324</v>
      </c>
    </row>
    <row r="7171" spans="1:11" x14ac:dyDescent="0.2">
      <c r="A7171" s="2">
        <v>1794</v>
      </c>
      <c r="B7171" s="2">
        <v>12</v>
      </c>
      <c r="C7171" s="2">
        <v>56987106</v>
      </c>
      <c r="D7171" s="2">
        <v>58748139</v>
      </c>
      <c r="E7171" s="2">
        <v>3</v>
      </c>
      <c r="F7171" s="2" t="s">
        <v>10086</v>
      </c>
      <c r="H7171" s="2">
        <v>1.2999999999999999E-3</v>
      </c>
      <c r="K7171" s="2" t="s">
        <v>10089</v>
      </c>
    </row>
    <row r="7172" spans="1:11" x14ac:dyDescent="0.2">
      <c r="A7172" s="2">
        <v>1794</v>
      </c>
      <c r="B7172" s="2">
        <v>12</v>
      </c>
      <c r="C7172" s="2">
        <v>56987106</v>
      </c>
      <c r="D7172" s="2">
        <v>58748139</v>
      </c>
      <c r="E7172" s="2">
        <v>4</v>
      </c>
      <c r="F7172" s="2" t="s">
        <v>10086</v>
      </c>
      <c r="H7172" s="3">
        <v>8.9999999999999998E-4</v>
      </c>
      <c r="K7172" s="2" t="s">
        <v>10088</v>
      </c>
    </row>
    <row r="7173" spans="1:11" x14ac:dyDescent="0.2">
      <c r="A7173" s="2">
        <v>1795</v>
      </c>
      <c r="B7173" s="2">
        <v>12</v>
      </c>
      <c r="C7173" s="2">
        <v>58748140</v>
      </c>
      <c r="D7173" s="2">
        <v>60000363</v>
      </c>
      <c r="E7173" s="2">
        <v>1</v>
      </c>
      <c r="F7173" s="2" t="s">
        <v>10086</v>
      </c>
      <c r="H7173" s="2">
        <v>2.3E-3</v>
      </c>
      <c r="K7173" s="2" t="s">
        <v>10085</v>
      </c>
    </row>
    <row r="7174" spans="1:11" x14ac:dyDescent="0.2">
      <c r="A7174" s="2">
        <v>1795</v>
      </c>
      <c r="B7174" s="2">
        <v>12</v>
      </c>
      <c r="C7174" s="2">
        <v>58748140</v>
      </c>
      <c r="D7174" s="2">
        <v>60000363</v>
      </c>
      <c r="E7174" s="2">
        <v>2</v>
      </c>
      <c r="F7174" s="2" t="s">
        <v>10086</v>
      </c>
      <c r="H7174" s="2">
        <v>2.5000000000000001E-3</v>
      </c>
      <c r="K7174" s="2" t="s">
        <v>10087</v>
      </c>
    </row>
    <row r="7175" spans="1:11" x14ac:dyDescent="0.2">
      <c r="A7175" s="2">
        <v>1795</v>
      </c>
      <c r="B7175" s="2">
        <v>12</v>
      </c>
      <c r="C7175" s="2">
        <v>58748140</v>
      </c>
      <c r="D7175" s="2">
        <v>60000363</v>
      </c>
      <c r="E7175" s="2">
        <v>3</v>
      </c>
      <c r="F7175" s="2" t="s">
        <v>10086</v>
      </c>
      <c r="H7175" s="2">
        <v>1E-3</v>
      </c>
      <c r="K7175" s="2" t="s">
        <v>10089</v>
      </c>
    </row>
    <row r="7176" spans="1:11" x14ac:dyDescent="0.2">
      <c r="A7176" s="2">
        <v>1795</v>
      </c>
      <c r="B7176" s="2">
        <v>12</v>
      </c>
      <c r="C7176" s="2">
        <v>58748140</v>
      </c>
      <c r="D7176" s="2">
        <v>60000363</v>
      </c>
      <c r="E7176" s="2">
        <v>4</v>
      </c>
      <c r="F7176" s="2" t="s">
        <v>10086</v>
      </c>
      <c r="H7176" s="3">
        <v>4.0000000000000002E-4</v>
      </c>
      <c r="K7176" s="2" t="s">
        <v>10088</v>
      </c>
    </row>
    <row r="7177" spans="1:11" x14ac:dyDescent="0.2">
      <c r="A7177" s="2">
        <v>1796</v>
      </c>
      <c r="B7177" s="2">
        <v>12</v>
      </c>
      <c r="C7177" s="2">
        <v>60000364</v>
      </c>
      <c r="D7177" s="2">
        <v>61737953</v>
      </c>
      <c r="E7177" s="2">
        <v>1</v>
      </c>
      <c r="F7177" s="2" t="s">
        <v>10086</v>
      </c>
      <c r="H7177" s="2">
        <v>3.0999999999999999E-3</v>
      </c>
      <c r="K7177" s="2" t="s">
        <v>10087</v>
      </c>
    </row>
    <row r="7178" spans="1:11" x14ac:dyDescent="0.2">
      <c r="A7178" s="2">
        <v>1796</v>
      </c>
      <c r="B7178" s="2">
        <v>12</v>
      </c>
      <c r="C7178" s="2">
        <v>60000364</v>
      </c>
      <c r="D7178" s="2">
        <v>61737953</v>
      </c>
      <c r="E7178" s="2">
        <v>2</v>
      </c>
      <c r="F7178" s="2" t="s">
        <v>10086</v>
      </c>
      <c r="H7178" s="2">
        <v>2.3999999999999998E-3</v>
      </c>
      <c r="K7178" s="2" t="s">
        <v>10085</v>
      </c>
    </row>
    <row r="7179" spans="1:11" x14ac:dyDescent="0.2">
      <c r="A7179" s="2">
        <v>1796</v>
      </c>
      <c r="B7179" s="2">
        <v>12</v>
      </c>
      <c r="C7179" s="2">
        <v>60000364</v>
      </c>
      <c r="D7179" s="2">
        <v>61737953</v>
      </c>
      <c r="E7179" s="2">
        <v>3</v>
      </c>
      <c r="F7179" s="2" t="s">
        <v>10086</v>
      </c>
      <c r="H7179" s="2">
        <v>1.8E-3</v>
      </c>
      <c r="K7179" s="2" t="s">
        <v>10088</v>
      </c>
    </row>
    <row r="7180" spans="1:11" x14ac:dyDescent="0.2">
      <c r="A7180" s="2">
        <v>1796</v>
      </c>
      <c r="B7180" s="2">
        <v>12</v>
      </c>
      <c r="C7180" s="2">
        <v>60000364</v>
      </c>
      <c r="D7180" s="2">
        <v>61737953</v>
      </c>
      <c r="E7180" s="2">
        <v>4</v>
      </c>
      <c r="F7180" s="2" t="s">
        <v>10086</v>
      </c>
      <c r="H7180" s="3">
        <v>8.0000000000000004E-4</v>
      </c>
      <c r="K7180" s="2" t="s">
        <v>10089</v>
      </c>
    </row>
    <row r="7181" spans="1:11" x14ac:dyDescent="0.2">
      <c r="A7181" s="2">
        <v>1797</v>
      </c>
      <c r="B7181" s="2">
        <v>12</v>
      </c>
      <c r="C7181" s="2">
        <v>61737954</v>
      </c>
      <c r="D7181" s="2">
        <v>63055936</v>
      </c>
      <c r="E7181" s="2">
        <v>1</v>
      </c>
      <c r="F7181" s="2" t="s">
        <v>10086</v>
      </c>
      <c r="H7181" s="2">
        <v>1.8E-3</v>
      </c>
      <c r="K7181" s="2" t="s">
        <v>10085</v>
      </c>
    </row>
    <row r="7182" spans="1:11" x14ac:dyDescent="0.2">
      <c r="A7182" s="2">
        <v>1797</v>
      </c>
      <c r="B7182" s="2">
        <v>12</v>
      </c>
      <c r="C7182" s="2">
        <v>61737954</v>
      </c>
      <c r="D7182" s="2">
        <v>63055936</v>
      </c>
      <c r="E7182" s="2">
        <v>2</v>
      </c>
      <c r="F7182" s="2" t="s">
        <v>10086</v>
      </c>
      <c r="H7182" s="2">
        <v>1.1999999999999999E-3</v>
      </c>
      <c r="K7182" s="2" t="s">
        <v>10089</v>
      </c>
    </row>
    <row r="7183" spans="1:11" x14ac:dyDescent="0.2">
      <c r="A7183" s="2">
        <v>1797</v>
      </c>
      <c r="B7183" s="2">
        <v>12</v>
      </c>
      <c r="C7183" s="2">
        <v>61737954</v>
      </c>
      <c r="D7183" s="2">
        <v>63055936</v>
      </c>
      <c r="E7183" s="2">
        <v>3</v>
      </c>
      <c r="F7183" s="2" t="s">
        <v>10086</v>
      </c>
      <c r="H7183" s="2">
        <v>1E-3</v>
      </c>
      <c r="K7183" s="2" t="s">
        <v>10088</v>
      </c>
    </row>
    <row r="7184" spans="1:11" x14ac:dyDescent="0.2">
      <c r="A7184" s="2">
        <v>1797</v>
      </c>
      <c r="B7184" s="2">
        <v>12</v>
      </c>
      <c r="C7184" s="2">
        <v>61737954</v>
      </c>
      <c r="D7184" s="2">
        <v>63055936</v>
      </c>
      <c r="E7184" s="2">
        <v>4</v>
      </c>
      <c r="F7184" s="2" t="s">
        <v>10086</v>
      </c>
      <c r="H7184" s="3">
        <v>4.0000000000000002E-4</v>
      </c>
      <c r="K7184" s="2" t="s">
        <v>10087</v>
      </c>
    </row>
    <row r="7185" spans="1:11" x14ac:dyDescent="0.2">
      <c r="A7185" s="2">
        <v>1798</v>
      </c>
      <c r="B7185" s="2">
        <v>12</v>
      </c>
      <c r="C7185" s="2">
        <v>63055937</v>
      </c>
      <c r="D7185" s="2">
        <v>63764111</v>
      </c>
      <c r="E7185" s="2">
        <v>1</v>
      </c>
      <c r="F7185" s="2" t="s">
        <v>10086</v>
      </c>
      <c r="H7185" s="2">
        <v>2E-3</v>
      </c>
      <c r="K7185" s="2" t="s">
        <v>10089</v>
      </c>
    </row>
    <row r="7186" spans="1:11" x14ac:dyDescent="0.2">
      <c r="A7186" s="2">
        <v>1798</v>
      </c>
      <c r="B7186" s="2">
        <v>12</v>
      </c>
      <c r="C7186" s="2">
        <v>63055937</v>
      </c>
      <c r="D7186" s="2">
        <v>63764111</v>
      </c>
      <c r="E7186" s="2">
        <v>2</v>
      </c>
      <c r="F7186" s="2" t="s">
        <v>10086</v>
      </c>
      <c r="H7186" s="2">
        <v>1.1999999999999999E-3</v>
      </c>
      <c r="K7186" s="2" t="s">
        <v>10085</v>
      </c>
    </row>
    <row r="7187" spans="1:11" x14ac:dyDescent="0.2">
      <c r="A7187" s="2">
        <v>1798</v>
      </c>
      <c r="B7187" s="2">
        <v>12</v>
      </c>
      <c r="C7187" s="2">
        <v>63055937</v>
      </c>
      <c r="D7187" s="2">
        <v>63764111</v>
      </c>
      <c r="E7187" s="2">
        <v>3</v>
      </c>
      <c r="F7187" s="2" t="s">
        <v>10086</v>
      </c>
      <c r="H7187" s="3">
        <v>8.9999999999999998E-4</v>
      </c>
      <c r="K7187" s="2" t="s">
        <v>10088</v>
      </c>
    </row>
    <row r="7188" spans="1:11" x14ac:dyDescent="0.2">
      <c r="A7188" s="2">
        <v>1798</v>
      </c>
      <c r="B7188" s="2">
        <v>12</v>
      </c>
      <c r="C7188" s="2">
        <v>63055937</v>
      </c>
      <c r="D7188" s="2">
        <v>63764111</v>
      </c>
      <c r="E7188" s="2">
        <v>4</v>
      </c>
      <c r="F7188" s="2" t="s">
        <v>10086</v>
      </c>
      <c r="H7188" s="3">
        <v>2.9999999999999997E-4</v>
      </c>
      <c r="K7188" s="2" t="s">
        <v>10087</v>
      </c>
    </row>
    <row r="7189" spans="1:11" x14ac:dyDescent="0.2">
      <c r="A7189" s="2">
        <v>1799</v>
      </c>
      <c r="B7189" s="2">
        <v>12</v>
      </c>
      <c r="C7189" s="2">
        <v>63764112</v>
      </c>
      <c r="D7189" s="2">
        <v>64403857</v>
      </c>
      <c r="E7189" s="2">
        <v>1</v>
      </c>
      <c r="F7189" s="2" t="s">
        <v>10086</v>
      </c>
      <c r="H7189" s="2">
        <v>3.2000000000000002E-3</v>
      </c>
      <c r="K7189" s="2" t="s">
        <v>10087</v>
      </c>
    </row>
    <row r="7190" spans="1:11" x14ac:dyDescent="0.2">
      <c r="A7190" s="2">
        <v>1799</v>
      </c>
      <c r="B7190" s="2">
        <v>12</v>
      </c>
      <c r="C7190" s="2">
        <v>63764112</v>
      </c>
      <c r="D7190" s="2">
        <v>64403857</v>
      </c>
      <c r="E7190" s="2">
        <v>2</v>
      </c>
      <c r="F7190" s="2" t="s">
        <v>10086</v>
      </c>
      <c r="H7190" s="3">
        <v>8.0000000000000004E-4</v>
      </c>
      <c r="K7190" s="2" t="s">
        <v>10085</v>
      </c>
    </row>
    <row r="7191" spans="1:11" x14ac:dyDescent="0.2">
      <c r="A7191" s="2">
        <v>1799</v>
      </c>
      <c r="B7191" s="2">
        <v>12</v>
      </c>
      <c r="C7191" s="2">
        <v>63764112</v>
      </c>
      <c r="D7191" s="2">
        <v>64403857</v>
      </c>
      <c r="E7191" s="2">
        <v>3</v>
      </c>
      <c r="F7191" s="2" t="s">
        <v>10086</v>
      </c>
      <c r="H7191" s="3">
        <v>8.0000000000000004E-4</v>
      </c>
      <c r="K7191" s="2" t="s">
        <v>10089</v>
      </c>
    </row>
    <row r="7192" spans="1:11" x14ac:dyDescent="0.2">
      <c r="A7192" s="2">
        <v>1799</v>
      </c>
      <c r="B7192" s="2">
        <v>12</v>
      </c>
      <c r="C7192" s="2">
        <v>63764112</v>
      </c>
      <c r="D7192" s="2">
        <v>64403857</v>
      </c>
      <c r="E7192" s="2">
        <v>4</v>
      </c>
      <c r="F7192" s="2" t="s">
        <v>10086</v>
      </c>
      <c r="H7192" s="3">
        <v>5.0000000000000001E-4</v>
      </c>
      <c r="K7192" s="2" t="s">
        <v>12324</v>
      </c>
    </row>
    <row r="7193" spans="1:11" x14ac:dyDescent="0.2">
      <c r="A7193" s="2">
        <v>1800</v>
      </c>
      <c r="B7193" s="2">
        <v>12</v>
      </c>
      <c r="C7193" s="2">
        <v>64403858</v>
      </c>
      <c r="D7193" s="2">
        <v>66114643</v>
      </c>
      <c r="E7193" s="2">
        <v>1</v>
      </c>
      <c r="F7193" s="2" t="s">
        <v>10086</v>
      </c>
      <c r="H7193" s="2">
        <v>4.8999999999999998E-3</v>
      </c>
      <c r="K7193" s="2" t="s">
        <v>10088</v>
      </c>
    </row>
    <row r="7194" spans="1:11" x14ac:dyDescent="0.2">
      <c r="A7194" s="2">
        <v>1800</v>
      </c>
      <c r="B7194" s="2">
        <v>12</v>
      </c>
      <c r="C7194" s="2">
        <v>64403858</v>
      </c>
      <c r="D7194" s="2">
        <v>66114643</v>
      </c>
      <c r="E7194" s="2">
        <v>2</v>
      </c>
      <c r="F7194" s="2" t="s">
        <v>10086</v>
      </c>
      <c r="H7194" s="2">
        <v>1.1999999999999999E-3</v>
      </c>
      <c r="K7194" s="2" t="s">
        <v>10085</v>
      </c>
    </row>
    <row r="7195" spans="1:11" x14ac:dyDescent="0.2">
      <c r="A7195" s="2">
        <v>1800</v>
      </c>
      <c r="B7195" s="2">
        <v>12</v>
      </c>
      <c r="C7195" s="2">
        <v>64403858</v>
      </c>
      <c r="D7195" s="2">
        <v>66114643</v>
      </c>
      <c r="E7195" s="2">
        <v>3</v>
      </c>
      <c r="F7195" s="2" t="s">
        <v>10086</v>
      </c>
      <c r="H7195" s="2">
        <v>1.1000000000000001E-3</v>
      </c>
      <c r="K7195" s="2" t="s">
        <v>10089</v>
      </c>
    </row>
    <row r="7196" spans="1:11" x14ac:dyDescent="0.2">
      <c r="A7196" s="2">
        <v>1800</v>
      </c>
      <c r="B7196" s="2">
        <v>12</v>
      </c>
      <c r="C7196" s="2">
        <v>64403858</v>
      </c>
      <c r="D7196" s="2">
        <v>66114643</v>
      </c>
      <c r="E7196" s="2">
        <v>4</v>
      </c>
      <c r="F7196" s="2" t="s">
        <v>10086</v>
      </c>
      <c r="H7196" s="3">
        <v>5.9999999999999995E-4</v>
      </c>
      <c r="K7196" s="2" t="s">
        <v>10087</v>
      </c>
    </row>
    <row r="7197" spans="1:11" x14ac:dyDescent="0.2">
      <c r="A7197" s="2">
        <v>1801</v>
      </c>
      <c r="B7197" s="2">
        <v>12</v>
      </c>
      <c r="C7197" s="2">
        <v>66114644</v>
      </c>
      <c r="D7197" s="2">
        <v>67183620</v>
      </c>
      <c r="E7197" s="2">
        <v>1</v>
      </c>
      <c r="F7197" s="2" t="s">
        <v>10086</v>
      </c>
      <c r="H7197" s="3">
        <v>8.0000000000000004E-4</v>
      </c>
      <c r="K7197" s="2" t="s">
        <v>10089</v>
      </c>
    </row>
    <row r="7198" spans="1:11" x14ac:dyDescent="0.2">
      <c r="A7198" s="2">
        <v>1801</v>
      </c>
      <c r="B7198" s="2">
        <v>12</v>
      </c>
      <c r="C7198" s="2">
        <v>66114644</v>
      </c>
      <c r="D7198" s="2">
        <v>67183620</v>
      </c>
      <c r="E7198" s="2">
        <v>2</v>
      </c>
      <c r="F7198" s="2" t="s">
        <v>10086</v>
      </c>
      <c r="H7198" s="2">
        <v>1E-3</v>
      </c>
      <c r="K7198" s="2" t="s">
        <v>10085</v>
      </c>
    </row>
    <row r="7199" spans="1:11" x14ac:dyDescent="0.2">
      <c r="A7199" s="2">
        <v>1801</v>
      </c>
      <c r="B7199" s="2">
        <v>12</v>
      </c>
      <c r="C7199" s="2">
        <v>66114644</v>
      </c>
      <c r="D7199" s="2">
        <v>67183620</v>
      </c>
      <c r="E7199" s="2">
        <v>3</v>
      </c>
      <c r="F7199" s="2" t="s">
        <v>10086</v>
      </c>
      <c r="H7199" s="3">
        <v>8.0000000000000004E-4</v>
      </c>
      <c r="K7199" s="2" t="s">
        <v>10088</v>
      </c>
    </row>
    <row r="7200" spans="1:11" x14ac:dyDescent="0.2">
      <c r="A7200" s="2">
        <v>1801</v>
      </c>
      <c r="B7200" s="2">
        <v>12</v>
      </c>
      <c r="C7200" s="2">
        <v>66114644</v>
      </c>
      <c r="D7200" s="2">
        <v>67183620</v>
      </c>
      <c r="E7200" s="2">
        <v>4</v>
      </c>
      <c r="F7200" s="2" t="s">
        <v>10086</v>
      </c>
      <c r="H7200" s="3">
        <v>6.9999999999999999E-4</v>
      </c>
      <c r="K7200" s="2" t="s">
        <v>10087</v>
      </c>
    </row>
    <row r="7201" spans="1:11" x14ac:dyDescent="0.2">
      <c r="A7201" s="2">
        <v>1802</v>
      </c>
      <c r="B7201" s="2">
        <v>12</v>
      </c>
      <c r="C7201" s="2">
        <v>67183621</v>
      </c>
      <c r="D7201" s="2">
        <v>68006682</v>
      </c>
      <c r="E7201" s="2">
        <v>1</v>
      </c>
      <c r="F7201" s="2" t="s">
        <v>10086</v>
      </c>
      <c r="H7201" s="2">
        <v>1.1999999999999999E-3</v>
      </c>
      <c r="K7201" s="2" t="s">
        <v>10085</v>
      </c>
    </row>
    <row r="7202" spans="1:11" x14ac:dyDescent="0.2">
      <c r="A7202" s="2">
        <v>1802</v>
      </c>
      <c r="B7202" s="2">
        <v>12</v>
      </c>
      <c r="C7202" s="2">
        <v>67183621</v>
      </c>
      <c r="D7202" s="2">
        <v>68006682</v>
      </c>
      <c r="E7202" s="2">
        <v>2</v>
      </c>
      <c r="F7202" s="2" t="s">
        <v>10086</v>
      </c>
      <c r="H7202" s="3">
        <v>8.9999999999999998E-4</v>
      </c>
      <c r="K7202" s="2" t="s">
        <v>10088</v>
      </c>
    </row>
    <row r="7203" spans="1:11" x14ac:dyDescent="0.2">
      <c r="A7203" s="2">
        <v>1802</v>
      </c>
      <c r="B7203" s="2">
        <v>12</v>
      </c>
      <c r="C7203" s="2">
        <v>67183621</v>
      </c>
      <c r="D7203" s="2">
        <v>68006682</v>
      </c>
      <c r="E7203" s="2">
        <v>3</v>
      </c>
      <c r="F7203" s="2" t="s">
        <v>10086</v>
      </c>
      <c r="H7203" s="3">
        <v>6.9999999999999999E-4</v>
      </c>
      <c r="K7203" s="2" t="s">
        <v>10087</v>
      </c>
    </row>
    <row r="7204" spans="1:11" x14ac:dyDescent="0.2">
      <c r="A7204" s="2">
        <v>1802</v>
      </c>
      <c r="B7204" s="2">
        <v>12</v>
      </c>
      <c r="C7204" s="2">
        <v>67183621</v>
      </c>
      <c r="D7204" s="2">
        <v>68006682</v>
      </c>
      <c r="E7204" s="2">
        <v>4</v>
      </c>
      <c r="F7204" s="2" t="s">
        <v>10086</v>
      </c>
      <c r="H7204" s="3">
        <v>4.0000000000000002E-4</v>
      </c>
      <c r="K7204" s="2" t="s">
        <v>10089</v>
      </c>
    </row>
    <row r="7205" spans="1:11" x14ac:dyDescent="0.2">
      <c r="A7205" s="2">
        <v>1803</v>
      </c>
      <c r="B7205" s="2">
        <v>12</v>
      </c>
      <c r="C7205" s="2">
        <v>68006683</v>
      </c>
      <c r="D7205" s="2">
        <v>68839661</v>
      </c>
      <c r="E7205" s="2">
        <v>1</v>
      </c>
      <c r="F7205" s="2" t="s">
        <v>10086</v>
      </c>
      <c r="H7205" s="2">
        <v>1.6000000000000001E-3</v>
      </c>
      <c r="K7205" s="2" t="s">
        <v>10088</v>
      </c>
    </row>
    <row r="7206" spans="1:11" x14ac:dyDescent="0.2">
      <c r="A7206" s="2">
        <v>1803</v>
      </c>
      <c r="B7206" s="2">
        <v>12</v>
      </c>
      <c r="C7206" s="2">
        <v>68006683</v>
      </c>
      <c r="D7206" s="2">
        <v>68839661</v>
      </c>
      <c r="E7206" s="2">
        <v>2</v>
      </c>
      <c r="F7206" s="2" t="s">
        <v>10086</v>
      </c>
      <c r="H7206" s="2">
        <v>1E-3</v>
      </c>
      <c r="K7206" s="2" t="s">
        <v>10085</v>
      </c>
    </row>
    <row r="7207" spans="1:11" x14ac:dyDescent="0.2">
      <c r="A7207" s="2">
        <v>1803</v>
      </c>
      <c r="B7207" s="2">
        <v>12</v>
      </c>
      <c r="C7207" s="2">
        <v>68006683</v>
      </c>
      <c r="D7207" s="2">
        <v>68839661</v>
      </c>
      <c r="E7207" s="2">
        <v>3</v>
      </c>
      <c r="F7207" s="2" t="s">
        <v>10086</v>
      </c>
      <c r="H7207" s="3">
        <v>5.9999999999999995E-4</v>
      </c>
      <c r="K7207" s="2" t="s">
        <v>10087</v>
      </c>
    </row>
    <row r="7208" spans="1:11" x14ac:dyDescent="0.2">
      <c r="A7208" s="2">
        <v>1803</v>
      </c>
      <c r="B7208" s="2">
        <v>12</v>
      </c>
      <c r="C7208" s="2">
        <v>68006683</v>
      </c>
      <c r="D7208" s="2">
        <v>68839661</v>
      </c>
      <c r="E7208" s="2">
        <v>4</v>
      </c>
      <c r="F7208" s="2" t="s">
        <v>10086</v>
      </c>
      <c r="H7208" s="3">
        <v>4.0000000000000002E-4</v>
      </c>
      <c r="K7208" s="2" t="s">
        <v>10089</v>
      </c>
    </row>
    <row r="7209" spans="1:11" x14ac:dyDescent="0.2">
      <c r="A7209" s="2">
        <v>1804</v>
      </c>
      <c r="B7209" s="2">
        <v>12</v>
      </c>
      <c r="C7209" s="2">
        <v>68839662</v>
      </c>
      <c r="D7209" s="2">
        <v>70097805</v>
      </c>
      <c r="E7209" s="2">
        <v>1</v>
      </c>
      <c r="F7209" s="2" t="s">
        <v>10086</v>
      </c>
      <c r="H7209" s="2">
        <v>2.5999999999999999E-3</v>
      </c>
      <c r="K7209" s="2" t="s">
        <v>10085</v>
      </c>
    </row>
    <row r="7210" spans="1:11" x14ac:dyDescent="0.2">
      <c r="A7210" s="2">
        <v>1804</v>
      </c>
      <c r="B7210" s="2">
        <v>12</v>
      </c>
      <c r="C7210" s="2">
        <v>68839662</v>
      </c>
      <c r="D7210" s="2">
        <v>70097805</v>
      </c>
      <c r="E7210" s="2">
        <v>2</v>
      </c>
      <c r="F7210" s="2" t="s">
        <v>10086</v>
      </c>
      <c r="H7210" s="2">
        <v>1.4E-3</v>
      </c>
      <c r="K7210" s="2" t="s">
        <v>10087</v>
      </c>
    </row>
    <row r="7211" spans="1:11" x14ac:dyDescent="0.2">
      <c r="A7211" s="2">
        <v>1804</v>
      </c>
      <c r="B7211" s="2">
        <v>12</v>
      </c>
      <c r="C7211" s="2">
        <v>68839662</v>
      </c>
      <c r="D7211" s="2">
        <v>70097805</v>
      </c>
      <c r="E7211" s="2">
        <v>3</v>
      </c>
      <c r="F7211" s="2" t="s">
        <v>10086</v>
      </c>
      <c r="H7211" s="2">
        <v>1.1000000000000001E-3</v>
      </c>
      <c r="K7211" s="2" t="s">
        <v>10089</v>
      </c>
    </row>
    <row r="7212" spans="1:11" x14ac:dyDescent="0.2">
      <c r="A7212" s="2">
        <v>1804</v>
      </c>
      <c r="B7212" s="2">
        <v>12</v>
      </c>
      <c r="C7212" s="2">
        <v>68839662</v>
      </c>
      <c r="D7212" s="2">
        <v>70097805</v>
      </c>
      <c r="E7212" s="2">
        <v>4</v>
      </c>
      <c r="F7212" s="2" t="s">
        <v>10086</v>
      </c>
      <c r="H7212" s="3">
        <v>5.0000000000000001E-4</v>
      </c>
      <c r="K7212" s="2" t="s">
        <v>10088</v>
      </c>
    </row>
    <row r="7213" spans="1:11" x14ac:dyDescent="0.2">
      <c r="A7213" s="2">
        <v>1805</v>
      </c>
      <c r="B7213" s="2">
        <v>12</v>
      </c>
      <c r="C7213" s="2">
        <v>70097806</v>
      </c>
      <c r="D7213" s="2">
        <v>71177961</v>
      </c>
      <c r="E7213" s="2">
        <v>1</v>
      </c>
      <c r="F7213" s="2" t="s">
        <v>10086</v>
      </c>
      <c r="H7213" s="2">
        <v>1.2999999999999999E-3</v>
      </c>
      <c r="K7213" s="2" t="s">
        <v>10087</v>
      </c>
    </row>
    <row r="7214" spans="1:11" x14ac:dyDescent="0.2">
      <c r="A7214" s="2">
        <v>1805</v>
      </c>
      <c r="B7214" s="2">
        <v>12</v>
      </c>
      <c r="C7214" s="2">
        <v>70097806</v>
      </c>
      <c r="D7214" s="2">
        <v>71177961</v>
      </c>
      <c r="E7214" s="2">
        <v>2</v>
      </c>
      <c r="F7214" s="2" t="s">
        <v>10086</v>
      </c>
      <c r="H7214" s="2">
        <v>1.1000000000000001E-3</v>
      </c>
      <c r="K7214" s="2" t="s">
        <v>10089</v>
      </c>
    </row>
    <row r="7215" spans="1:11" x14ac:dyDescent="0.2">
      <c r="A7215" s="2">
        <v>1805</v>
      </c>
      <c r="B7215" s="2">
        <v>12</v>
      </c>
      <c r="C7215" s="2">
        <v>70097806</v>
      </c>
      <c r="D7215" s="2">
        <v>71177961</v>
      </c>
      <c r="E7215" s="2">
        <v>3</v>
      </c>
      <c r="F7215" s="2" t="s">
        <v>10086</v>
      </c>
      <c r="H7215" s="3">
        <v>8.9999999999999998E-4</v>
      </c>
      <c r="K7215" s="2" t="s">
        <v>10088</v>
      </c>
    </row>
    <row r="7216" spans="1:11" x14ac:dyDescent="0.2">
      <c r="A7216" s="2">
        <v>1805</v>
      </c>
      <c r="B7216" s="2">
        <v>12</v>
      </c>
      <c r="C7216" s="2">
        <v>70097806</v>
      </c>
      <c r="D7216" s="2">
        <v>71177961</v>
      </c>
      <c r="E7216" s="2">
        <v>4</v>
      </c>
      <c r="F7216" s="2" t="s">
        <v>10086</v>
      </c>
      <c r="H7216" s="3">
        <v>5.0000000000000001E-4</v>
      </c>
      <c r="K7216" s="2" t="s">
        <v>10085</v>
      </c>
    </row>
    <row r="7217" spans="1:11" x14ac:dyDescent="0.2">
      <c r="A7217" s="2">
        <v>1806</v>
      </c>
      <c r="B7217" s="2">
        <v>12</v>
      </c>
      <c r="C7217" s="2">
        <v>71177962</v>
      </c>
      <c r="D7217" s="2">
        <v>71948185</v>
      </c>
      <c r="E7217" s="2">
        <v>1</v>
      </c>
      <c r="F7217" s="2" t="s">
        <v>10086</v>
      </c>
      <c r="H7217" s="2">
        <v>1E-3</v>
      </c>
      <c r="K7217" s="2" t="s">
        <v>10088</v>
      </c>
    </row>
    <row r="7218" spans="1:11" x14ac:dyDescent="0.2">
      <c r="A7218" s="2">
        <v>1806</v>
      </c>
      <c r="B7218" s="2">
        <v>12</v>
      </c>
      <c r="C7218" s="2">
        <v>71177962</v>
      </c>
      <c r="D7218" s="2">
        <v>71948185</v>
      </c>
      <c r="E7218" s="2">
        <v>2</v>
      </c>
      <c r="F7218" s="2" t="s">
        <v>10086</v>
      </c>
      <c r="H7218" s="2">
        <v>1.4E-3</v>
      </c>
      <c r="K7218" s="2" t="s">
        <v>10087</v>
      </c>
    </row>
    <row r="7219" spans="1:11" x14ac:dyDescent="0.2">
      <c r="A7219" s="2">
        <v>1806</v>
      </c>
      <c r="B7219" s="2">
        <v>12</v>
      </c>
      <c r="C7219" s="2">
        <v>71177962</v>
      </c>
      <c r="D7219" s="2">
        <v>71948185</v>
      </c>
      <c r="E7219" s="2">
        <v>3</v>
      </c>
      <c r="F7219" s="2" t="s">
        <v>10086</v>
      </c>
      <c r="H7219" s="3">
        <v>5.9999999999999995E-4</v>
      </c>
      <c r="K7219" s="2" t="s">
        <v>10085</v>
      </c>
    </row>
    <row r="7220" spans="1:11" x14ac:dyDescent="0.2">
      <c r="A7220" s="2">
        <v>1806</v>
      </c>
      <c r="B7220" s="2">
        <v>12</v>
      </c>
      <c r="C7220" s="2">
        <v>71177962</v>
      </c>
      <c r="D7220" s="2">
        <v>71948185</v>
      </c>
      <c r="E7220" s="2">
        <v>4</v>
      </c>
      <c r="F7220" s="2" t="s">
        <v>10086</v>
      </c>
      <c r="H7220" s="3">
        <v>5.0000000000000001E-4</v>
      </c>
      <c r="K7220" s="2" t="s">
        <v>12324</v>
      </c>
    </row>
    <row r="7221" spans="1:11" x14ac:dyDescent="0.2">
      <c r="A7221" s="2">
        <v>1807</v>
      </c>
      <c r="B7221" s="2">
        <v>12</v>
      </c>
      <c r="C7221" s="2">
        <v>71948186</v>
      </c>
      <c r="D7221" s="2">
        <v>73154515</v>
      </c>
      <c r="E7221" s="2">
        <v>1</v>
      </c>
      <c r="F7221" s="2" t="s">
        <v>10086</v>
      </c>
      <c r="H7221" s="2">
        <v>1.8E-3</v>
      </c>
      <c r="K7221" s="2" t="s">
        <v>12324</v>
      </c>
    </row>
    <row r="7222" spans="1:11" x14ac:dyDescent="0.2">
      <c r="A7222" s="2">
        <v>1807</v>
      </c>
      <c r="B7222" s="2">
        <v>12</v>
      </c>
      <c r="C7222" s="2">
        <v>71948186</v>
      </c>
      <c r="D7222" s="2">
        <v>73154515</v>
      </c>
      <c r="E7222" s="2">
        <v>2</v>
      </c>
      <c r="F7222" s="2" t="s">
        <v>10086</v>
      </c>
      <c r="H7222" s="2">
        <v>1E-3</v>
      </c>
      <c r="K7222" s="2" t="s">
        <v>10089</v>
      </c>
    </row>
    <row r="7223" spans="1:11" x14ac:dyDescent="0.2">
      <c r="A7223" s="2">
        <v>1807</v>
      </c>
      <c r="B7223" s="2">
        <v>12</v>
      </c>
      <c r="C7223" s="2">
        <v>71948186</v>
      </c>
      <c r="D7223" s="2">
        <v>73154515</v>
      </c>
      <c r="E7223" s="2">
        <v>3</v>
      </c>
      <c r="F7223" s="2" t="s">
        <v>10086</v>
      </c>
      <c r="H7223" s="3">
        <v>8.9999999999999998E-4</v>
      </c>
      <c r="K7223" s="2" t="s">
        <v>10087</v>
      </c>
    </row>
    <row r="7224" spans="1:11" x14ac:dyDescent="0.2">
      <c r="A7224" s="2">
        <v>1807</v>
      </c>
      <c r="B7224" s="2">
        <v>12</v>
      </c>
      <c r="C7224" s="2">
        <v>71948186</v>
      </c>
      <c r="D7224" s="2">
        <v>73154515</v>
      </c>
      <c r="E7224" s="2">
        <v>4</v>
      </c>
      <c r="F7224" s="2" t="s">
        <v>10086</v>
      </c>
      <c r="H7224" s="3">
        <v>8.0000000000000004E-4</v>
      </c>
      <c r="K7224" s="2" t="s">
        <v>10085</v>
      </c>
    </row>
    <row r="7225" spans="1:11" x14ac:dyDescent="0.2">
      <c r="A7225" s="2">
        <v>1808</v>
      </c>
      <c r="B7225" s="2">
        <v>12</v>
      </c>
      <c r="C7225" s="2">
        <v>73154516</v>
      </c>
      <c r="D7225" s="2">
        <v>74080747</v>
      </c>
      <c r="E7225" s="2">
        <v>1</v>
      </c>
      <c r="F7225" s="2" t="s">
        <v>10086</v>
      </c>
      <c r="H7225" s="2">
        <v>1E-3</v>
      </c>
      <c r="K7225" s="2" t="s">
        <v>10089</v>
      </c>
    </row>
    <row r="7226" spans="1:11" x14ac:dyDescent="0.2">
      <c r="A7226" s="2">
        <v>1808</v>
      </c>
      <c r="B7226" s="2">
        <v>12</v>
      </c>
      <c r="C7226" s="2">
        <v>73154516</v>
      </c>
      <c r="D7226" s="2">
        <v>74080747</v>
      </c>
      <c r="E7226" s="2">
        <v>2</v>
      </c>
      <c r="F7226" s="2" t="s">
        <v>10086</v>
      </c>
      <c r="H7226" s="3">
        <v>8.9999999999999998E-4</v>
      </c>
      <c r="K7226" s="2" t="s">
        <v>10087</v>
      </c>
    </row>
    <row r="7227" spans="1:11" x14ac:dyDescent="0.2">
      <c r="A7227" s="2">
        <v>1808</v>
      </c>
      <c r="B7227" s="2">
        <v>12</v>
      </c>
      <c r="C7227" s="2">
        <v>73154516</v>
      </c>
      <c r="D7227" s="2">
        <v>74080747</v>
      </c>
      <c r="E7227" s="2">
        <v>3</v>
      </c>
      <c r="F7227" s="2" t="s">
        <v>10086</v>
      </c>
      <c r="H7227" s="3">
        <v>6.9999999999999999E-4</v>
      </c>
      <c r="K7227" s="2" t="s">
        <v>10088</v>
      </c>
    </row>
    <row r="7228" spans="1:11" x14ac:dyDescent="0.2">
      <c r="A7228" s="2">
        <v>1808</v>
      </c>
      <c r="B7228" s="2">
        <v>12</v>
      </c>
      <c r="C7228" s="2">
        <v>73154516</v>
      </c>
      <c r="D7228" s="2">
        <v>74080747</v>
      </c>
      <c r="E7228" s="2">
        <v>4</v>
      </c>
      <c r="F7228" s="2" t="s">
        <v>10086</v>
      </c>
      <c r="H7228" s="3">
        <v>2.0000000000000001E-4</v>
      </c>
      <c r="K7228" s="2" t="s">
        <v>10085</v>
      </c>
    </row>
    <row r="7229" spans="1:11" x14ac:dyDescent="0.2">
      <c r="A7229" s="2">
        <v>1809</v>
      </c>
      <c r="B7229" s="2">
        <v>12</v>
      </c>
      <c r="C7229" s="2">
        <v>74080748</v>
      </c>
      <c r="D7229" s="2">
        <v>75563968</v>
      </c>
      <c r="E7229" s="2">
        <v>1</v>
      </c>
      <c r="F7229" s="2" t="s">
        <v>10086</v>
      </c>
      <c r="H7229" s="2">
        <v>6.7000000000000002E-3</v>
      </c>
      <c r="K7229" s="2" t="s">
        <v>10087</v>
      </c>
    </row>
    <row r="7230" spans="1:11" x14ac:dyDescent="0.2">
      <c r="A7230" s="2">
        <v>1809</v>
      </c>
      <c r="B7230" s="2">
        <v>12</v>
      </c>
      <c r="C7230" s="2">
        <v>74080748</v>
      </c>
      <c r="D7230" s="2">
        <v>75563968</v>
      </c>
      <c r="E7230" s="2">
        <v>2</v>
      </c>
      <c r="F7230" s="2" t="s">
        <v>10086</v>
      </c>
      <c r="H7230" s="2">
        <v>2.7000000000000001E-3</v>
      </c>
      <c r="K7230" s="2" t="s">
        <v>10088</v>
      </c>
    </row>
    <row r="7231" spans="1:11" x14ac:dyDescent="0.2">
      <c r="A7231" s="2">
        <v>1809</v>
      </c>
      <c r="B7231" s="2">
        <v>12</v>
      </c>
      <c r="C7231" s="2">
        <v>74080748</v>
      </c>
      <c r="D7231" s="2">
        <v>75563968</v>
      </c>
      <c r="E7231" s="2">
        <v>3</v>
      </c>
      <c r="F7231" s="2" t="s">
        <v>10086</v>
      </c>
      <c r="H7231" s="2">
        <v>1.5E-3</v>
      </c>
      <c r="K7231" s="2" t="s">
        <v>10085</v>
      </c>
    </row>
    <row r="7232" spans="1:11" x14ac:dyDescent="0.2">
      <c r="A7232" s="2">
        <v>1809</v>
      </c>
      <c r="B7232" s="2">
        <v>12</v>
      </c>
      <c r="C7232" s="2">
        <v>74080748</v>
      </c>
      <c r="D7232" s="2">
        <v>75563968</v>
      </c>
      <c r="E7232" s="2">
        <v>4</v>
      </c>
      <c r="F7232" s="2" t="s">
        <v>10086</v>
      </c>
      <c r="H7232" s="3">
        <v>5.0000000000000001E-4</v>
      </c>
      <c r="K7232" s="2" t="s">
        <v>10089</v>
      </c>
    </row>
    <row r="7233" spans="1:11" x14ac:dyDescent="0.2">
      <c r="A7233" s="2">
        <v>1810</v>
      </c>
      <c r="B7233" s="2">
        <v>12</v>
      </c>
      <c r="C7233" s="2">
        <v>75563969</v>
      </c>
      <c r="D7233" s="2">
        <v>76524573</v>
      </c>
      <c r="E7233" s="2">
        <v>1</v>
      </c>
      <c r="F7233" s="2" t="s">
        <v>10086</v>
      </c>
      <c r="H7233" s="2">
        <v>1.5E-3</v>
      </c>
      <c r="K7233" s="2" t="s">
        <v>10089</v>
      </c>
    </row>
    <row r="7234" spans="1:11" x14ac:dyDescent="0.2">
      <c r="A7234" s="2">
        <v>1810</v>
      </c>
      <c r="B7234" s="2">
        <v>12</v>
      </c>
      <c r="C7234" s="2">
        <v>75563969</v>
      </c>
      <c r="D7234" s="2">
        <v>76524573</v>
      </c>
      <c r="E7234" s="2">
        <v>2</v>
      </c>
      <c r="F7234" s="2" t="s">
        <v>10086</v>
      </c>
      <c r="H7234" s="2">
        <v>1.1000000000000001E-3</v>
      </c>
      <c r="K7234" s="2" t="s">
        <v>10088</v>
      </c>
    </row>
    <row r="7235" spans="1:11" x14ac:dyDescent="0.2">
      <c r="A7235" s="2">
        <v>1810</v>
      </c>
      <c r="B7235" s="2">
        <v>12</v>
      </c>
      <c r="C7235" s="2">
        <v>75563969</v>
      </c>
      <c r="D7235" s="2">
        <v>76524573</v>
      </c>
      <c r="E7235" s="2">
        <v>3</v>
      </c>
      <c r="F7235" s="2" t="s">
        <v>10086</v>
      </c>
      <c r="H7235" s="3">
        <v>5.9999999999999995E-4</v>
      </c>
      <c r="K7235" s="2" t="s">
        <v>10085</v>
      </c>
    </row>
    <row r="7236" spans="1:11" x14ac:dyDescent="0.2">
      <c r="A7236" s="2">
        <v>1810</v>
      </c>
      <c r="B7236" s="2">
        <v>12</v>
      </c>
      <c r="C7236" s="2">
        <v>75563969</v>
      </c>
      <c r="D7236" s="2">
        <v>76524573</v>
      </c>
      <c r="E7236" s="2">
        <v>4</v>
      </c>
      <c r="F7236" s="2" t="s">
        <v>10086</v>
      </c>
      <c r="H7236" s="3">
        <v>5.0000000000000001E-4</v>
      </c>
      <c r="K7236" s="2" t="s">
        <v>12324</v>
      </c>
    </row>
    <row r="7237" spans="1:11" x14ac:dyDescent="0.2">
      <c r="A7237" s="2">
        <v>1811</v>
      </c>
      <c r="B7237" s="2">
        <v>12</v>
      </c>
      <c r="C7237" s="2">
        <v>76524574</v>
      </c>
      <c r="D7237" s="2">
        <v>77800463</v>
      </c>
      <c r="E7237" s="2">
        <v>1</v>
      </c>
      <c r="F7237" s="2" t="s">
        <v>10086</v>
      </c>
      <c r="H7237" s="2">
        <v>2.8999999999999998E-3</v>
      </c>
      <c r="K7237" s="2" t="s">
        <v>10087</v>
      </c>
    </row>
    <row r="7238" spans="1:11" x14ac:dyDescent="0.2">
      <c r="A7238" s="2">
        <v>1811</v>
      </c>
      <c r="B7238" s="2">
        <v>12</v>
      </c>
      <c r="C7238" s="2">
        <v>76524574</v>
      </c>
      <c r="D7238" s="2">
        <v>77800463</v>
      </c>
      <c r="E7238" s="2">
        <v>2</v>
      </c>
      <c r="F7238" s="2" t="s">
        <v>10086</v>
      </c>
      <c r="H7238" s="2">
        <v>1.6999999999999999E-3</v>
      </c>
      <c r="K7238" s="2" t="s">
        <v>10085</v>
      </c>
    </row>
    <row r="7239" spans="1:11" x14ac:dyDescent="0.2">
      <c r="A7239" s="2">
        <v>1811</v>
      </c>
      <c r="B7239" s="2">
        <v>12</v>
      </c>
      <c r="C7239" s="2">
        <v>76524574</v>
      </c>
      <c r="D7239" s="2">
        <v>77800463</v>
      </c>
      <c r="E7239" s="2">
        <v>3</v>
      </c>
      <c r="F7239" s="2" t="s">
        <v>10086</v>
      </c>
      <c r="H7239" s="2">
        <v>1.5E-3</v>
      </c>
      <c r="K7239" s="2" t="s">
        <v>10089</v>
      </c>
    </row>
    <row r="7240" spans="1:11" x14ac:dyDescent="0.2">
      <c r="A7240" s="2">
        <v>1811</v>
      </c>
      <c r="B7240" s="2">
        <v>12</v>
      </c>
      <c r="C7240" s="2">
        <v>76524574</v>
      </c>
      <c r="D7240" s="2">
        <v>77800463</v>
      </c>
      <c r="E7240" s="2">
        <v>4</v>
      </c>
      <c r="F7240" s="2" t="s">
        <v>10086</v>
      </c>
      <c r="H7240" s="3">
        <v>4.0000000000000002E-4</v>
      </c>
      <c r="K7240" s="2" t="s">
        <v>10088</v>
      </c>
    </row>
    <row r="7241" spans="1:11" x14ac:dyDescent="0.2">
      <c r="A7241" s="2">
        <v>1812</v>
      </c>
      <c r="B7241" s="2">
        <v>12</v>
      </c>
      <c r="C7241" s="2">
        <v>77800464</v>
      </c>
      <c r="D7241" s="2">
        <v>79315178</v>
      </c>
      <c r="E7241" s="2">
        <v>1</v>
      </c>
      <c r="F7241" s="2" t="s">
        <v>10086</v>
      </c>
      <c r="H7241" s="2">
        <v>1.6000000000000001E-3</v>
      </c>
      <c r="K7241" s="2" t="s">
        <v>10089</v>
      </c>
    </row>
    <row r="7242" spans="1:11" x14ac:dyDescent="0.2">
      <c r="A7242" s="2">
        <v>1812</v>
      </c>
      <c r="B7242" s="2">
        <v>12</v>
      </c>
      <c r="C7242" s="2">
        <v>77800464</v>
      </c>
      <c r="D7242" s="2">
        <v>79315178</v>
      </c>
      <c r="E7242" s="2">
        <v>2</v>
      </c>
      <c r="F7242" s="2" t="s">
        <v>10086</v>
      </c>
      <c r="H7242" s="2">
        <v>1.5E-3</v>
      </c>
      <c r="K7242" s="2" t="s">
        <v>10087</v>
      </c>
    </row>
    <row r="7243" spans="1:11" x14ac:dyDescent="0.2">
      <c r="A7243" s="2">
        <v>1812</v>
      </c>
      <c r="B7243" s="2">
        <v>12</v>
      </c>
      <c r="C7243" s="2">
        <v>77800464</v>
      </c>
      <c r="D7243" s="2">
        <v>79315178</v>
      </c>
      <c r="E7243" s="2">
        <v>3</v>
      </c>
      <c r="F7243" s="2" t="s">
        <v>10086</v>
      </c>
      <c r="H7243" s="2">
        <v>1.1999999999999999E-3</v>
      </c>
      <c r="K7243" s="2" t="s">
        <v>10085</v>
      </c>
    </row>
    <row r="7244" spans="1:11" x14ac:dyDescent="0.2">
      <c r="A7244" s="2">
        <v>1812</v>
      </c>
      <c r="B7244" s="2">
        <v>12</v>
      </c>
      <c r="C7244" s="2">
        <v>77800464</v>
      </c>
      <c r="D7244" s="2">
        <v>79315178</v>
      </c>
      <c r="E7244" s="2">
        <v>4</v>
      </c>
      <c r="F7244" s="2" t="s">
        <v>10086</v>
      </c>
      <c r="H7244" s="3">
        <v>5.9999999999999995E-4</v>
      </c>
      <c r="K7244" s="2" t="s">
        <v>10088</v>
      </c>
    </row>
    <row r="7245" spans="1:11" x14ac:dyDescent="0.2">
      <c r="A7245" s="2">
        <v>1813</v>
      </c>
      <c r="B7245" s="2">
        <v>12</v>
      </c>
      <c r="C7245" s="2">
        <v>79315179</v>
      </c>
      <c r="D7245" s="2">
        <v>80952472</v>
      </c>
      <c r="E7245" s="2">
        <v>1</v>
      </c>
      <c r="F7245" s="2" t="s">
        <v>10086</v>
      </c>
      <c r="H7245" s="2">
        <v>4.7000000000000002E-3</v>
      </c>
      <c r="K7245" s="2" t="s">
        <v>10085</v>
      </c>
    </row>
    <row r="7246" spans="1:11" x14ac:dyDescent="0.2">
      <c r="A7246" s="2">
        <v>1813</v>
      </c>
      <c r="B7246" s="2">
        <v>12</v>
      </c>
      <c r="C7246" s="2">
        <v>79315179</v>
      </c>
      <c r="D7246" s="2">
        <v>80952472</v>
      </c>
      <c r="E7246" s="2">
        <v>2</v>
      </c>
      <c r="F7246" s="2" t="s">
        <v>10086</v>
      </c>
      <c r="H7246" s="2">
        <v>3.0000000000000001E-3</v>
      </c>
      <c r="K7246" s="2" t="s">
        <v>10088</v>
      </c>
    </row>
    <row r="7247" spans="1:11" x14ac:dyDescent="0.2">
      <c r="A7247" s="2">
        <v>1813</v>
      </c>
      <c r="B7247" s="2">
        <v>12</v>
      </c>
      <c r="C7247" s="2">
        <v>79315179</v>
      </c>
      <c r="D7247" s="2">
        <v>80952472</v>
      </c>
      <c r="E7247" s="2">
        <v>3</v>
      </c>
      <c r="F7247" s="2" t="s">
        <v>10086</v>
      </c>
      <c r="H7247" s="2">
        <v>2.7000000000000001E-3</v>
      </c>
      <c r="K7247" s="2" t="s">
        <v>10089</v>
      </c>
    </row>
    <row r="7248" spans="1:11" x14ac:dyDescent="0.2">
      <c r="A7248" s="2">
        <v>1813</v>
      </c>
      <c r="B7248" s="2">
        <v>12</v>
      </c>
      <c r="C7248" s="2">
        <v>79315179</v>
      </c>
      <c r="D7248" s="2">
        <v>80952472</v>
      </c>
      <c r="E7248" s="2">
        <v>4</v>
      </c>
      <c r="F7248" s="2" t="s">
        <v>10086</v>
      </c>
      <c r="H7248" s="2">
        <v>1E-3</v>
      </c>
      <c r="K7248" s="2" t="s">
        <v>12324</v>
      </c>
    </row>
    <row r="7249" spans="1:11" x14ac:dyDescent="0.2">
      <c r="A7249" s="2">
        <v>1814</v>
      </c>
      <c r="B7249" s="2">
        <v>12</v>
      </c>
      <c r="C7249" s="2">
        <v>80952473</v>
      </c>
      <c r="D7249" s="2">
        <v>81843890</v>
      </c>
      <c r="E7249" s="2">
        <v>1</v>
      </c>
      <c r="F7249" s="2" t="s">
        <v>10086</v>
      </c>
      <c r="H7249" s="2">
        <v>1.4E-3</v>
      </c>
      <c r="K7249" s="2" t="s">
        <v>10085</v>
      </c>
    </row>
    <row r="7250" spans="1:11" x14ac:dyDescent="0.2">
      <c r="A7250" s="2">
        <v>1814</v>
      </c>
      <c r="B7250" s="2">
        <v>12</v>
      </c>
      <c r="C7250" s="2">
        <v>80952473</v>
      </c>
      <c r="D7250" s="2">
        <v>81843890</v>
      </c>
      <c r="E7250" s="2">
        <v>2</v>
      </c>
      <c r="F7250" s="2" t="s">
        <v>10086</v>
      </c>
      <c r="H7250" s="2">
        <v>1.1999999999999999E-3</v>
      </c>
      <c r="K7250" s="2" t="s">
        <v>10088</v>
      </c>
    </row>
    <row r="7251" spans="1:11" x14ac:dyDescent="0.2">
      <c r="A7251" s="2">
        <v>1814</v>
      </c>
      <c r="B7251" s="2">
        <v>12</v>
      </c>
      <c r="C7251" s="2">
        <v>80952473</v>
      </c>
      <c r="D7251" s="2">
        <v>81843890</v>
      </c>
      <c r="E7251" s="2">
        <v>3</v>
      </c>
      <c r="F7251" s="2" t="s">
        <v>10086</v>
      </c>
      <c r="H7251" s="3">
        <v>5.9999999999999995E-4</v>
      </c>
      <c r="K7251" s="2" t="s">
        <v>10089</v>
      </c>
    </row>
    <row r="7252" spans="1:11" x14ac:dyDescent="0.2">
      <c r="A7252" s="2">
        <v>1814</v>
      </c>
      <c r="B7252" s="2">
        <v>12</v>
      </c>
      <c r="C7252" s="2">
        <v>80952473</v>
      </c>
      <c r="D7252" s="2">
        <v>81843890</v>
      </c>
      <c r="E7252" s="2">
        <v>4</v>
      </c>
      <c r="F7252" s="2" t="s">
        <v>10086</v>
      </c>
      <c r="H7252" s="3">
        <v>5.0000000000000001E-4</v>
      </c>
      <c r="K7252" s="2" t="s">
        <v>10087</v>
      </c>
    </row>
    <row r="7253" spans="1:11" x14ac:dyDescent="0.2">
      <c r="A7253" s="2">
        <v>1815</v>
      </c>
      <c r="B7253" s="2">
        <v>12</v>
      </c>
      <c r="C7253" s="2">
        <v>81843891</v>
      </c>
      <c r="D7253" s="2">
        <v>82576129</v>
      </c>
      <c r="E7253" s="2">
        <v>1</v>
      </c>
      <c r="F7253" s="2" t="s">
        <v>10086</v>
      </c>
      <c r="H7253" s="2">
        <v>1.4E-3</v>
      </c>
      <c r="K7253" s="2" t="s">
        <v>10088</v>
      </c>
    </row>
    <row r="7254" spans="1:11" x14ac:dyDescent="0.2">
      <c r="A7254" s="2">
        <v>1815</v>
      </c>
      <c r="B7254" s="2">
        <v>12</v>
      </c>
      <c r="C7254" s="2">
        <v>81843891</v>
      </c>
      <c r="D7254" s="2">
        <v>82576129</v>
      </c>
      <c r="E7254" s="2">
        <v>2</v>
      </c>
      <c r="F7254" s="2" t="s">
        <v>10086</v>
      </c>
      <c r="H7254" s="2">
        <v>1.1000000000000001E-3</v>
      </c>
      <c r="K7254" s="2" t="s">
        <v>12324</v>
      </c>
    </row>
    <row r="7255" spans="1:11" x14ac:dyDescent="0.2">
      <c r="A7255" s="2">
        <v>1815</v>
      </c>
      <c r="B7255" s="2">
        <v>12</v>
      </c>
      <c r="C7255" s="2">
        <v>81843891</v>
      </c>
      <c r="D7255" s="2">
        <v>82576129</v>
      </c>
      <c r="E7255" s="2">
        <v>3</v>
      </c>
      <c r="F7255" s="2" t="s">
        <v>10086</v>
      </c>
      <c r="H7255" s="3">
        <v>5.0000000000000001E-4</v>
      </c>
      <c r="K7255" s="2" t="s">
        <v>10087</v>
      </c>
    </row>
    <row r="7256" spans="1:11" x14ac:dyDescent="0.2">
      <c r="A7256" s="2">
        <v>1815</v>
      </c>
      <c r="B7256" s="2">
        <v>12</v>
      </c>
      <c r="C7256" s="2">
        <v>81843891</v>
      </c>
      <c r="D7256" s="2">
        <v>82576129</v>
      </c>
      <c r="E7256" s="2">
        <v>4</v>
      </c>
      <c r="F7256" s="2" t="s">
        <v>10086</v>
      </c>
      <c r="H7256" s="3">
        <v>4.0000000000000002E-4</v>
      </c>
      <c r="K7256" s="2" t="s">
        <v>10085</v>
      </c>
    </row>
    <row r="7257" spans="1:11" x14ac:dyDescent="0.2">
      <c r="A7257" s="2">
        <v>1816</v>
      </c>
      <c r="B7257" s="2">
        <v>12</v>
      </c>
      <c r="C7257" s="2">
        <v>82576130</v>
      </c>
      <c r="D7257" s="2">
        <v>83551125</v>
      </c>
      <c r="E7257" s="2">
        <v>1</v>
      </c>
      <c r="F7257" s="2" t="s">
        <v>10086</v>
      </c>
      <c r="H7257" s="2">
        <v>2.2000000000000001E-3</v>
      </c>
      <c r="K7257" s="2" t="s">
        <v>10088</v>
      </c>
    </row>
    <row r="7258" spans="1:11" x14ac:dyDescent="0.2">
      <c r="A7258" s="2">
        <v>1816</v>
      </c>
      <c r="B7258" s="2">
        <v>12</v>
      </c>
      <c r="C7258" s="2">
        <v>82576130</v>
      </c>
      <c r="D7258" s="2">
        <v>83551125</v>
      </c>
      <c r="E7258" s="2">
        <v>2</v>
      </c>
      <c r="F7258" s="2" t="s">
        <v>10086</v>
      </c>
      <c r="H7258" s="2">
        <v>2.0999999999999999E-3</v>
      </c>
      <c r="K7258" s="2" t="s">
        <v>10089</v>
      </c>
    </row>
    <row r="7259" spans="1:11" x14ac:dyDescent="0.2">
      <c r="A7259" s="2">
        <v>1816</v>
      </c>
      <c r="B7259" s="2">
        <v>12</v>
      </c>
      <c r="C7259" s="2">
        <v>82576130</v>
      </c>
      <c r="D7259" s="2">
        <v>83551125</v>
      </c>
      <c r="E7259" s="2">
        <v>3</v>
      </c>
      <c r="F7259" s="2" t="s">
        <v>10086</v>
      </c>
      <c r="H7259" s="3">
        <v>8.9999999999999998E-4</v>
      </c>
      <c r="K7259" s="2" t="s">
        <v>10087</v>
      </c>
    </row>
    <row r="7260" spans="1:11" x14ac:dyDescent="0.2">
      <c r="A7260" s="2">
        <v>1816</v>
      </c>
      <c r="B7260" s="2">
        <v>12</v>
      </c>
      <c r="C7260" s="2">
        <v>82576130</v>
      </c>
      <c r="D7260" s="2">
        <v>83551125</v>
      </c>
      <c r="E7260" s="2">
        <v>4</v>
      </c>
      <c r="F7260" s="2" t="s">
        <v>10086</v>
      </c>
      <c r="H7260" s="3">
        <v>2.9999999999999997E-4</v>
      </c>
      <c r="K7260" s="2" t="s">
        <v>10085</v>
      </c>
    </row>
    <row r="7261" spans="1:11" x14ac:dyDescent="0.2">
      <c r="A7261" s="2">
        <v>1817</v>
      </c>
      <c r="B7261" s="2">
        <v>12</v>
      </c>
      <c r="C7261" s="2">
        <v>83551126</v>
      </c>
      <c r="D7261" s="2">
        <v>84356775</v>
      </c>
      <c r="E7261" s="2">
        <v>1</v>
      </c>
      <c r="F7261" s="2" t="s">
        <v>10086</v>
      </c>
      <c r="H7261" s="2">
        <v>1.5E-3</v>
      </c>
      <c r="K7261" s="2" t="s">
        <v>10089</v>
      </c>
    </row>
    <row r="7262" spans="1:11" x14ac:dyDescent="0.2">
      <c r="A7262" s="2">
        <v>1817</v>
      </c>
      <c r="B7262" s="2">
        <v>12</v>
      </c>
      <c r="C7262" s="2">
        <v>83551126</v>
      </c>
      <c r="D7262" s="2">
        <v>84356775</v>
      </c>
      <c r="E7262" s="2">
        <v>2</v>
      </c>
      <c r="F7262" s="2" t="s">
        <v>10086</v>
      </c>
      <c r="H7262" s="2">
        <v>1.6999999999999999E-3</v>
      </c>
      <c r="K7262" s="2" t="s">
        <v>10085</v>
      </c>
    </row>
    <row r="7263" spans="1:11" x14ac:dyDescent="0.2">
      <c r="A7263" s="2">
        <v>1817</v>
      </c>
      <c r="B7263" s="2">
        <v>12</v>
      </c>
      <c r="C7263" s="2">
        <v>83551126</v>
      </c>
      <c r="D7263" s="2">
        <v>84356775</v>
      </c>
      <c r="E7263" s="2">
        <v>3</v>
      </c>
      <c r="F7263" s="2" t="s">
        <v>10086</v>
      </c>
      <c r="H7263" s="2">
        <v>1.2999999999999999E-3</v>
      </c>
      <c r="K7263" s="2" t="s">
        <v>10088</v>
      </c>
    </row>
    <row r="7264" spans="1:11" x14ac:dyDescent="0.2">
      <c r="A7264" s="2">
        <v>1817</v>
      </c>
      <c r="B7264" s="2">
        <v>12</v>
      </c>
      <c r="C7264" s="2">
        <v>83551126</v>
      </c>
      <c r="D7264" s="2">
        <v>84356775</v>
      </c>
      <c r="E7264" s="2">
        <v>4</v>
      </c>
      <c r="F7264" s="2" t="s">
        <v>10086</v>
      </c>
      <c r="H7264" s="3">
        <v>2.9999999999999997E-4</v>
      </c>
      <c r="K7264" s="2" t="s">
        <v>10087</v>
      </c>
    </row>
    <row r="7265" spans="1:11" x14ac:dyDescent="0.2">
      <c r="A7265" s="2">
        <v>1818</v>
      </c>
      <c r="B7265" s="2">
        <v>12</v>
      </c>
      <c r="C7265" s="2">
        <v>84356776</v>
      </c>
      <c r="D7265" s="2">
        <v>85345631</v>
      </c>
      <c r="E7265" s="2">
        <v>1</v>
      </c>
      <c r="F7265" s="2" t="s">
        <v>10086</v>
      </c>
      <c r="H7265" s="2">
        <v>1E-3</v>
      </c>
      <c r="K7265" s="2" t="s">
        <v>10085</v>
      </c>
    </row>
    <row r="7266" spans="1:11" x14ac:dyDescent="0.2">
      <c r="A7266" s="2">
        <v>1818</v>
      </c>
      <c r="B7266" s="2">
        <v>12</v>
      </c>
      <c r="C7266" s="2">
        <v>84356776</v>
      </c>
      <c r="D7266" s="2">
        <v>85345631</v>
      </c>
      <c r="E7266" s="2">
        <v>2</v>
      </c>
      <c r="F7266" s="2" t="s">
        <v>10086</v>
      </c>
      <c r="H7266" s="3">
        <v>5.9999999999999995E-4</v>
      </c>
      <c r="K7266" s="2" t="s">
        <v>10089</v>
      </c>
    </row>
    <row r="7267" spans="1:11" x14ac:dyDescent="0.2">
      <c r="A7267" s="2">
        <v>1818</v>
      </c>
      <c r="B7267" s="2">
        <v>12</v>
      </c>
      <c r="C7267" s="2">
        <v>84356776</v>
      </c>
      <c r="D7267" s="2">
        <v>85345631</v>
      </c>
      <c r="E7267" s="2">
        <v>3</v>
      </c>
      <c r="F7267" s="2" t="s">
        <v>10086</v>
      </c>
      <c r="H7267" s="3">
        <v>5.0000000000000001E-4</v>
      </c>
      <c r="K7267" s="2" t="s">
        <v>10088</v>
      </c>
    </row>
    <row r="7268" spans="1:11" x14ac:dyDescent="0.2">
      <c r="A7268" s="2">
        <v>1818</v>
      </c>
      <c r="B7268" s="2">
        <v>12</v>
      </c>
      <c r="C7268" s="2">
        <v>84356776</v>
      </c>
      <c r="D7268" s="2">
        <v>85345631</v>
      </c>
      <c r="E7268" s="2">
        <v>4</v>
      </c>
      <c r="F7268" s="2" t="s">
        <v>10086</v>
      </c>
      <c r="H7268" s="3">
        <v>2.9999999999999997E-4</v>
      </c>
      <c r="K7268" s="2" t="s">
        <v>10087</v>
      </c>
    </row>
    <row r="7269" spans="1:11" x14ac:dyDescent="0.2">
      <c r="A7269" s="2">
        <v>1819</v>
      </c>
      <c r="B7269" s="2">
        <v>12</v>
      </c>
      <c r="C7269" s="2">
        <v>85345632</v>
      </c>
      <c r="D7269" s="2">
        <v>86933476</v>
      </c>
      <c r="E7269" s="2">
        <v>1</v>
      </c>
      <c r="F7269" s="2" t="s">
        <v>10086</v>
      </c>
      <c r="H7269" s="2">
        <v>2.7000000000000001E-3</v>
      </c>
      <c r="K7269" s="2" t="s">
        <v>10087</v>
      </c>
    </row>
    <row r="7270" spans="1:11" x14ac:dyDescent="0.2">
      <c r="A7270" s="2">
        <v>1819</v>
      </c>
      <c r="B7270" s="2">
        <v>12</v>
      </c>
      <c r="C7270" s="2">
        <v>85345632</v>
      </c>
      <c r="D7270" s="2">
        <v>86933476</v>
      </c>
      <c r="E7270" s="2">
        <v>2</v>
      </c>
      <c r="F7270" s="2" t="s">
        <v>10086</v>
      </c>
      <c r="H7270" s="2">
        <v>1.6999999999999999E-3</v>
      </c>
      <c r="K7270" s="2" t="s">
        <v>10089</v>
      </c>
    </row>
    <row r="7271" spans="1:11" x14ac:dyDescent="0.2">
      <c r="A7271" s="2">
        <v>1819</v>
      </c>
      <c r="B7271" s="2">
        <v>12</v>
      </c>
      <c r="C7271" s="2">
        <v>85345632</v>
      </c>
      <c r="D7271" s="2">
        <v>86933476</v>
      </c>
      <c r="E7271" s="2">
        <v>3</v>
      </c>
      <c r="F7271" s="2" t="s">
        <v>10086</v>
      </c>
      <c r="H7271" s="2">
        <v>1.6000000000000001E-3</v>
      </c>
      <c r="K7271" s="2" t="s">
        <v>10085</v>
      </c>
    </row>
    <row r="7272" spans="1:11" x14ac:dyDescent="0.2">
      <c r="A7272" s="2">
        <v>1819</v>
      </c>
      <c r="B7272" s="2">
        <v>12</v>
      </c>
      <c r="C7272" s="2">
        <v>85345632</v>
      </c>
      <c r="D7272" s="2">
        <v>86933476</v>
      </c>
      <c r="E7272" s="2">
        <v>4</v>
      </c>
      <c r="F7272" s="2" t="s">
        <v>10086</v>
      </c>
      <c r="H7272" s="3">
        <v>5.0000000000000001E-4</v>
      </c>
      <c r="K7272" s="2" t="s">
        <v>10088</v>
      </c>
    </row>
    <row r="7273" spans="1:11" x14ac:dyDescent="0.2">
      <c r="A7273" s="2">
        <v>1820</v>
      </c>
      <c r="B7273" s="2">
        <v>12</v>
      </c>
      <c r="C7273" s="2">
        <v>86933477</v>
      </c>
      <c r="D7273" s="2">
        <v>88344764</v>
      </c>
      <c r="E7273" s="2">
        <v>1</v>
      </c>
      <c r="F7273" s="2" t="s">
        <v>10086</v>
      </c>
      <c r="H7273" s="2">
        <v>4.3E-3</v>
      </c>
      <c r="K7273" s="2" t="s">
        <v>10085</v>
      </c>
    </row>
    <row r="7274" spans="1:11" x14ac:dyDescent="0.2">
      <c r="A7274" s="2">
        <v>1820</v>
      </c>
      <c r="B7274" s="2">
        <v>12</v>
      </c>
      <c r="C7274" s="2">
        <v>86933477</v>
      </c>
      <c r="D7274" s="2">
        <v>88344764</v>
      </c>
      <c r="E7274" s="2">
        <v>2</v>
      </c>
      <c r="F7274" s="2" t="s">
        <v>10086</v>
      </c>
      <c r="H7274" s="2">
        <v>3.3999999999999998E-3</v>
      </c>
      <c r="K7274" s="2" t="s">
        <v>10087</v>
      </c>
    </row>
    <row r="7275" spans="1:11" x14ac:dyDescent="0.2">
      <c r="A7275" s="2">
        <v>1820</v>
      </c>
      <c r="B7275" s="2">
        <v>12</v>
      </c>
      <c r="C7275" s="2">
        <v>86933477</v>
      </c>
      <c r="D7275" s="2">
        <v>88344764</v>
      </c>
      <c r="E7275" s="2">
        <v>3</v>
      </c>
      <c r="F7275" s="2" t="s">
        <v>10086</v>
      </c>
      <c r="H7275" s="2">
        <v>1.1000000000000001E-3</v>
      </c>
      <c r="K7275" s="2" t="s">
        <v>10089</v>
      </c>
    </row>
    <row r="7276" spans="1:11" x14ac:dyDescent="0.2">
      <c r="A7276" s="2">
        <v>1820</v>
      </c>
      <c r="B7276" s="2">
        <v>12</v>
      </c>
      <c r="C7276" s="2">
        <v>86933477</v>
      </c>
      <c r="D7276" s="2">
        <v>88344764</v>
      </c>
      <c r="E7276" s="2">
        <v>4</v>
      </c>
      <c r="F7276" s="2" t="s">
        <v>10086</v>
      </c>
      <c r="H7276" s="3">
        <v>4.0000000000000002E-4</v>
      </c>
      <c r="K7276" s="2" t="s">
        <v>10088</v>
      </c>
    </row>
    <row r="7277" spans="1:11" x14ac:dyDescent="0.2">
      <c r="A7277" s="2">
        <v>1821</v>
      </c>
      <c r="B7277" s="2">
        <v>12</v>
      </c>
      <c r="C7277" s="2">
        <v>88344765</v>
      </c>
      <c r="D7277" s="2">
        <v>90567001</v>
      </c>
      <c r="E7277" s="2">
        <v>1</v>
      </c>
      <c r="F7277" s="2" t="s">
        <v>10086</v>
      </c>
      <c r="H7277" s="2">
        <v>7.7000000000000002E-3</v>
      </c>
      <c r="K7277" s="2" t="s">
        <v>10087</v>
      </c>
    </row>
    <row r="7278" spans="1:11" x14ac:dyDescent="0.2">
      <c r="A7278" s="2">
        <v>1821</v>
      </c>
      <c r="B7278" s="2">
        <v>12</v>
      </c>
      <c r="C7278" s="2">
        <v>88344765</v>
      </c>
      <c r="D7278" s="2">
        <v>90567001</v>
      </c>
      <c r="E7278" s="2">
        <v>2</v>
      </c>
      <c r="F7278" s="2" t="s">
        <v>10086</v>
      </c>
      <c r="H7278" s="2">
        <v>2.5999999999999999E-3</v>
      </c>
      <c r="K7278" s="2" t="s">
        <v>10088</v>
      </c>
    </row>
    <row r="7279" spans="1:11" x14ac:dyDescent="0.2">
      <c r="A7279" s="2">
        <v>1821</v>
      </c>
      <c r="B7279" s="2">
        <v>12</v>
      </c>
      <c r="C7279" s="2">
        <v>88344765</v>
      </c>
      <c r="D7279" s="2">
        <v>90567001</v>
      </c>
      <c r="E7279" s="2">
        <v>3</v>
      </c>
      <c r="F7279" s="2" t="s">
        <v>10086</v>
      </c>
      <c r="H7279" s="2">
        <v>1.5E-3</v>
      </c>
      <c r="K7279" s="2" t="s">
        <v>10085</v>
      </c>
    </row>
    <row r="7280" spans="1:11" x14ac:dyDescent="0.2">
      <c r="A7280" s="2">
        <v>1821</v>
      </c>
      <c r="B7280" s="2">
        <v>12</v>
      </c>
      <c r="C7280" s="2">
        <v>88344765</v>
      </c>
      <c r="D7280" s="2">
        <v>90567001</v>
      </c>
      <c r="E7280" s="2">
        <v>4</v>
      </c>
      <c r="F7280" s="2" t="s">
        <v>10086</v>
      </c>
      <c r="H7280" s="3">
        <v>5.9999999999999995E-4</v>
      </c>
      <c r="K7280" s="2" t="s">
        <v>10089</v>
      </c>
    </row>
    <row r="7281" spans="1:11" x14ac:dyDescent="0.2">
      <c r="A7281" s="2">
        <v>1822</v>
      </c>
      <c r="B7281" s="2">
        <v>12</v>
      </c>
      <c r="C7281" s="2">
        <v>90567002</v>
      </c>
      <c r="D7281" s="2">
        <v>92061179</v>
      </c>
      <c r="E7281" s="2">
        <v>1</v>
      </c>
      <c r="F7281" s="2" t="s">
        <v>10086</v>
      </c>
      <c r="H7281" s="2">
        <v>2.2000000000000001E-3</v>
      </c>
      <c r="K7281" s="2" t="s">
        <v>10088</v>
      </c>
    </row>
    <row r="7282" spans="1:11" x14ac:dyDescent="0.2">
      <c r="A7282" s="2">
        <v>1822</v>
      </c>
      <c r="B7282" s="2">
        <v>12</v>
      </c>
      <c r="C7282" s="2">
        <v>90567002</v>
      </c>
      <c r="D7282" s="2">
        <v>92061179</v>
      </c>
      <c r="E7282" s="2">
        <v>2</v>
      </c>
      <c r="F7282" s="2" t="s">
        <v>10086</v>
      </c>
      <c r="H7282" s="2">
        <v>1.2999999999999999E-3</v>
      </c>
      <c r="K7282" s="2" t="s">
        <v>10085</v>
      </c>
    </row>
    <row r="7283" spans="1:11" x14ac:dyDescent="0.2">
      <c r="A7283" s="2">
        <v>1822</v>
      </c>
      <c r="B7283" s="2">
        <v>12</v>
      </c>
      <c r="C7283" s="2">
        <v>90567002</v>
      </c>
      <c r="D7283" s="2">
        <v>92061179</v>
      </c>
      <c r="E7283" s="2">
        <v>3</v>
      </c>
      <c r="F7283" s="2" t="s">
        <v>10086</v>
      </c>
      <c r="H7283" s="2">
        <v>1.1000000000000001E-3</v>
      </c>
      <c r="K7283" s="2" t="s">
        <v>10087</v>
      </c>
    </row>
    <row r="7284" spans="1:11" x14ac:dyDescent="0.2">
      <c r="A7284" s="2">
        <v>1822</v>
      </c>
      <c r="B7284" s="2">
        <v>12</v>
      </c>
      <c r="C7284" s="2">
        <v>90567002</v>
      </c>
      <c r="D7284" s="2">
        <v>92061179</v>
      </c>
      <c r="E7284" s="2">
        <v>4</v>
      </c>
      <c r="F7284" s="2" t="s">
        <v>10086</v>
      </c>
      <c r="H7284" s="3">
        <v>5.9999999999999995E-4</v>
      </c>
      <c r="K7284" s="2" t="s">
        <v>10089</v>
      </c>
    </row>
    <row r="7285" spans="1:11" x14ac:dyDescent="0.2">
      <c r="A7285" s="2">
        <v>1823</v>
      </c>
      <c r="B7285" s="2">
        <v>12</v>
      </c>
      <c r="C7285" s="2">
        <v>92061180</v>
      </c>
      <c r="D7285" s="2">
        <v>93487547</v>
      </c>
      <c r="E7285" s="2">
        <v>1</v>
      </c>
      <c r="F7285" s="2" t="s">
        <v>10086</v>
      </c>
      <c r="H7285" s="2">
        <v>1.9E-3</v>
      </c>
      <c r="K7285" s="2" t="s">
        <v>10088</v>
      </c>
    </row>
    <row r="7286" spans="1:11" x14ac:dyDescent="0.2">
      <c r="A7286" s="2">
        <v>1823</v>
      </c>
      <c r="B7286" s="2">
        <v>12</v>
      </c>
      <c r="C7286" s="2">
        <v>92061180</v>
      </c>
      <c r="D7286" s="2">
        <v>93487547</v>
      </c>
      <c r="E7286" s="2">
        <v>2</v>
      </c>
      <c r="F7286" s="2" t="s">
        <v>10086</v>
      </c>
      <c r="H7286" s="2">
        <v>1.4E-3</v>
      </c>
      <c r="K7286" s="2" t="s">
        <v>10087</v>
      </c>
    </row>
    <row r="7287" spans="1:11" x14ac:dyDescent="0.2">
      <c r="A7287" s="2">
        <v>1823</v>
      </c>
      <c r="B7287" s="2">
        <v>12</v>
      </c>
      <c r="C7287" s="2">
        <v>92061180</v>
      </c>
      <c r="D7287" s="2">
        <v>93487547</v>
      </c>
      <c r="E7287" s="2">
        <v>3</v>
      </c>
      <c r="F7287" s="2" t="s">
        <v>10086</v>
      </c>
      <c r="H7287" s="2">
        <v>1.1000000000000001E-3</v>
      </c>
      <c r="K7287" s="2" t="s">
        <v>10089</v>
      </c>
    </row>
    <row r="7288" spans="1:11" x14ac:dyDescent="0.2">
      <c r="A7288" s="2">
        <v>1823</v>
      </c>
      <c r="B7288" s="2">
        <v>12</v>
      </c>
      <c r="C7288" s="2">
        <v>92061180</v>
      </c>
      <c r="D7288" s="2">
        <v>93487547</v>
      </c>
      <c r="E7288" s="2">
        <v>4</v>
      </c>
      <c r="F7288" s="2" t="s">
        <v>10086</v>
      </c>
      <c r="H7288" s="3">
        <v>5.9999999999999995E-4</v>
      </c>
      <c r="K7288" s="2" t="s">
        <v>10085</v>
      </c>
    </row>
    <row r="7289" spans="1:11" x14ac:dyDescent="0.2">
      <c r="A7289" s="2">
        <v>1824</v>
      </c>
      <c r="B7289" s="2">
        <v>12</v>
      </c>
      <c r="C7289" s="2">
        <v>93487548</v>
      </c>
      <c r="D7289" s="2">
        <v>94385884</v>
      </c>
      <c r="E7289" s="2">
        <v>1</v>
      </c>
      <c r="F7289" s="2" t="s">
        <v>10086</v>
      </c>
      <c r="H7289" s="2">
        <v>1E-3</v>
      </c>
      <c r="K7289" s="2" t="s">
        <v>10085</v>
      </c>
    </row>
    <row r="7290" spans="1:11" x14ac:dyDescent="0.2">
      <c r="A7290" s="2">
        <v>1824</v>
      </c>
      <c r="B7290" s="2">
        <v>12</v>
      </c>
      <c r="C7290" s="2">
        <v>93487548</v>
      </c>
      <c r="D7290" s="2">
        <v>94385884</v>
      </c>
      <c r="E7290" s="2">
        <v>2</v>
      </c>
      <c r="F7290" s="2" t="s">
        <v>10086</v>
      </c>
      <c r="H7290" s="2">
        <v>1.1000000000000001E-3</v>
      </c>
      <c r="K7290" s="2" t="s">
        <v>10087</v>
      </c>
    </row>
    <row r="7291" spans="1:11" x14ac:dyDescent="0.2">
      <c r="A7291" s="2">
        <v>1824</v>
      </c>
      <c r="B7291" s="2">
        <v>12</v>
      </c>
      <c r="C7291" s="2">
        <v>93487548</v>
      </c>
      <c r="D7291" s="2">
        <v>94385884</v>
      </c>
      <c r="E7291" s="2">
        <v>3</v>
      </c>
      <c r="F7291" s="2" t="s">
        <v>10086</v>
      </c>
      <c r="H7291" s="3">
        <v>5.0000000000000001E-4</v>
      </c>
      <c r="K7291" s="2" t="s">
        <v>10089</v>
      </c>
    </row>
    <row r="7292" spans="1:11" x14ac:dyDescent="0.2">
      <c r="A7292" s="2">
        <v>1824</v>
      </c>
      <c r="B7292" s="2">
        <v>12</v>
      </c>
      <c r="C7292" s="2">
        <v>93487548</v>
      </c>
      <c r="D7292" s="2">
        <v>94385884</v>
      </c>
      <c r="E7292" s="2">
        <v>4</v>
      </c>
      <c r="F7292" s="2" t="s">
        <v>10086</v>
      </c>
      <c r="H7292" s="3">
        <v>2.9999999999999997E-4</v>
      </c>
      <c r="K7292" s="2" t="s">
        <v>10088</v>
      </c>
    </row>
    <row r="7293" spans="1:11" x14ac:dyDescent="0.2">
      <c r="A7293" s="2">
        <v>1825</v>
      </c>
      <c r="B7293" s="2">
        <v>12</v>
      </c>
      <c r="C7293" s="2">
        <v>94385885</v>
      </c>
      <c r="D7293" s="2">
        <v>95147845</v>
      </c>
      <c r="E7293" s="2">
        <v>1</v>
      </c>
      <c r="F7293" s="2" t="s">
        <v>10086</v>
      </c>
      <c r="H7293" s="2">
        <v>5.4999999999999997E-3</v>
      </c>
      <c r="K7293" s="2" t="s">
        <v>10089</v>
      </c>
    </row>
    <row r="7294" spans="1:11" x14ac:dyDescent="0.2">
      <c r="A7294" s="2">
        <v>1825</v>
      </c>
      <c r="B7294" s="2">
        <v>12</v>
      </c>
      <c r="C7294" s="2">
        <v>94385885</v>
      </c>
      <c r="D7294" s="2">
        <v>95147845</v>
      </c>
      <c r="E7294" s="2">
        <v>2</v>
      </c>
      <c r="F7294" s="2" t="s">
        <v>10086</v>
      </c>
      <c r="H7294" s="2">
        <v>1.6000000000000001E-3</v>
      </c>
      <c r="K7294" s="2" t="s">
        <v>10085</v>
      </c>
    </row>
    <row r="7295" spans="1:11" x14ac:dyDescent="0.2">
      <c r="A7295" s="2">
        <v>1825</v>
      </c>
      <c r="B7295" s="2">
        <v>12</v>
      </c>
      <c r="C7295" s="2">
        <v>94385885</v>
      </c>
      <c r="D7295" s="2">
        <v>95147845</v>
      </c>
      <c r="E7295" s="2">
        <v>3</v>
      </c>
      <c r="F7295" s="2" t="s">
        <v>10086</v>
      </c>
      <c r="H7295" s="2">
        <v>1.1999999999999999E-3</v>
      </c>
      <c r="K7295" s="2" t="s">
        <v>10088</v>
      </c>
    </row>
    <row r="7296" spans="1:11" x14ac:dyDescent="0.2">
      <c r="A7296" s="2">
        <v>1825</v>
      </c>
      <c r="B7296" s="2">
        <v>12</v>
      </c>
      <c r="C7296" s="2">
        <v>94385885</v>
      </c>
      <c r="D7296" s="2">
        <v>95147845</v>
      </c>
      <c r="E7296" s="2">
        <v>4</v>
      </c>
      <c r="F7296" s="2" t="s">
        <v>10086</v>
      </c>
      <c r="H7296" s="3">
        <v>2.9999999999999997E-4</v>
      </c>
      <c r="K7296" s="2" t="s">
        <v>10087</v>
      </c>
    </row>
    <row r="7297" spans="1:11" x14ac:dyDescent="0.2">
      <c r="A7297" s="2">
        <v>1826</v>
      </c>
      <c r="B7297" s="2">
        <v>12</v>
      </c>
      <c r="C7297" s="2">
        <v>95147846</v>
      </c>
      <c r="D7297" s="2">
        <v>96017782</v>
      </c>
      <c r="E7297" s="2">
        <v>1</v>
      </c>
      <c r="F7297" s="2" t="s">
        <v>10086</v>
      </c>
      <c r="H7297" s="2">
        <v>1.2999999999999999E-3</v>
      </c>
      <c r="K7297" s="2" t="s">
        <v>10089</v>
      </c>
    </row>
    <row r="7298" spans="1:11" x14ac:dyDescent="0.2">
      <c r="A7298" s="2">
        <v>1826</v>
      </c>
      <c r="B7298" s="2">
        <v>12</v>
      </c>
      <c r="C7298" s="2">
        <v>95147846</v>
      </c>
      <c r="D7298" s="2">
        <v>96017782</v>
      </c>
      <c r="E7298" s="2">
        <v>2</v>
      </c>
      <c r="F7298" s="2" t="s">
        <v>10086</v>
      </c>
      <c r="H7298" s="2">
        <v>1.1000000000000001E-3</v>
      </c>
      <c r="K7298" s="2" t="s">
        <v>10088</v>
      </c>
    </row>
    <row r="7299" spans="1:11" x14ac:dyDescent="0.2">
      <c r="A7299" s="2">
        <v>1826</v>
      </c>
      <c r="B7299" s="2">
        <v>12</v>
      </c>
      <c r="C7299" s="2">
        <v>95147846</v>
      </c>
      <c r="D7299" s="2">
        <v>96017782</v>
      </c>
      <c r="E7299" s="2">
        <v>3</v>
      </c>
      <c r="F7299" s="2" t="s">
        <v>10086</v>
      </c>
      <c r="H7299" s="2">
        <v>1.1999999999999999E-3</v>
      </c>
      <c r="K7299" s="2" t="s">
        <v>10085</v>
      </c>
    </row>
    <row r="7300" spans="1:11" x14ac:dyDescent="0.2">
      <c r="A7300" s="2">
        <v>1826</v>
      </c>
      <c r="B7300" s="2">
        <v>12</v>
      </c>
      <c r="C7300" s="2">
        <v>95147846</v>
      </c>
      <c r="D7300" s="2">
        <v>96017782</v>
      </c>
      <c r="E7300" s="2">
        <v>4</v>
      </c>
      <c r="F7300" s="2" t="s">
        <v>10086</v>
      </c>
      <c r="H7300" s="3">
        <v>5.0000000000000001E-4</v>
      </c>
      <c r="K7300" s="2" t="s">
        <v>10087</v>
      </c>
    </row>
    <row r="7301" spans="1:11" x14ac:dyDescent="0.2">
      <c r="A7301" s="2">
        <v>1827</v>
      </c>
      <c r="B7301" s="2">
        <v>12</v>
      </c>
      <c r="C7301" s="2">
        <v>96017783</v>
      </c>
      <c r="D7301" s="2">
        <v>96828314</v>
      </c>
      <c r="E7301" s="2">
        <v>1</v>
      </c>
      <c r="F7301" s="2" t="s">
        <v>10086</v>
      </c>
      <c r="H7301" s="2">
        <v>2.0999999999999999E-3</v>
      </c>
      <c r="K7301" s="2" t="s">
        <v>10088</v>
      </c>
    </row>
    <row r="7302" spans="1:11" x14ac:dyDescent="0.2">
      <c r="A7302" s="2">
        <v>1827</v>
      </c>
      <c r="B7302" s="2">
        <v>12</v>
      </c>
      <c r="C7302" s="2">
        <v>96017783</v>
      </c>
      <c r="D7302" s="2">
        <v>96828314</v>
      </c>
      <c r="E7302" s="2">
        <v>2</v>
      </c>
      <c r="F7302" s="2" t="s">
        <v>10086</v>
      </c>
      <c r="H7302" s="3">
        <v>8.0000000000000004E-4</v>
      </c>
      <c r="K7302" s="2" t="s">
        <v>12324</v>
      </c>
    </row>
    <row r="7303" spans="1:11" x14ac:dyDescent="0.2">
      <c r="A7303" s="2">
        <v>1827</v>
      </c>
      <c r="B7303" s="2">
        <v>12</v>
      </c>
      <c r="C7303" s="2">
        <v>96017783</v>
      </c>
      <c r="D7303" s="2">
        <v>96828314</v>
      </c>
      <c r="E7303" s="2">
        <v>3</v>
      </c>
      <c r="F7303" s="2" t="s">
        <v>10086</v>
      </c>
      <c r="H7303" s="3">
        <v>6.9999999999999999E-4</v>
      </c>
      <c r="K7303" s="2" t="s">
        <v>10089</v>
      </c>
    </row>
    <row r="7304" spans="1:11" x14ac:dyDescent="0.2">
      <c r="A7304" s="2">
        <v>1827</v>
      </c>
      <c r="B7304" s="2">
        <v>12</v>
      </c>
      <c r="C7304" s="2">
        <v>96017783</v>
      </c>
      <c r="D7304" s="2">
        <v>96828314</v>
      </c>
      <c r="E7304" s="2">
        <v>4</v>
      </c>
      <c r="F7304" s="2" t="s">
        <v>10086</v>
      </c>
      <c r="H7304" s="3">
        <v>5.0000000000000001E-4</v>
      </c>
      <c r="K7304" s="2" t="s">
        <v>10085</v>
      </c>
    </row>
    <row r="7305" spans="1:11" x14ac:dyDescent="0.2">
      <c r="A7305" s="2">
        <v>1828</v>
      </c>
      <c r="B7305" s="2">
        <v>12</v>
      </c>
      <c r="C7305" s="2">
        <v>96828315</v>
      </c>
      <c r="D7305" s="2">
        <v>97814021</v>
      </c>
      <c r="E7305" s="2">
        <v>1</v>
      </c>
      <c r="F7305" s="2" t="s">
        <v>10086</v>
      </c>
      <c r="H7305" s="2">
        <v>5.0000000000000001E-3</v>
      </c>
      <c r="K7305" s="2" t="s">
        <v>10088</v>
      </c>
    </row>
    <row r="7306" spans="1:11" x14ac:dyDescent="0.2">
      <c r="A7306" s="2">
        <v>1828</v>
      </c>
      <c r="B7306" s="2">
        <v>12</v>
      </c>
      <c r="C7306" s="2">
        <v>96828315</v>
      </c>
      <c r="D7306" s="2">
        <v>97814021</v>
      </c>
      <c r="E7306" s="2">
        <v>2</v>
      </c>
      <c r="F7306" s="2" t="s">
        <v>10086</v>
      </c>
      <c r="H7306" s="2">
        <v>1.1999999999999999E-3</v>
      </c>
      <c r="K7306" s="2" t="s">
        <v>10085</v>
      </c>
    </row>
    <row r="7307" spans="1:11" x14ac:dyDescent="0.2">
      <c r="A7307" s="2">
        <v>1828</v>
      </c>
      <c r="B7307" s="2">
        <v>12</v>
      </c>
      <c r="C7307" s="2">
        <v>96828315</v>
      </c>
      <c r="D7307" s="2">
        <v>97814021</v>
      </c>
      <c r="E7307" s="2">
        <v>3</v>
      </c>
      <c r="F7307" s="2" t="s">
        <v>10086</v>
      </c>
      <c r="H7307" s="3">
        <v>8.0000000000000004E-4</v>
      </c>
      <c r="K7307" s="2" t="s">
        <v>12324</v>
      </c>
    </row>
    <row r="7308" spans="1:11" x14ac:dyDescent="0.2">
      <c r="A7308" s="2">
        <v>1828</v>
      </c>
      <c r="B7308" s="2">
        <v>12</v>
      </c>
      <c r="C7308" s="2">
        <v>96828315</v>
      </c>
      <c r="D7308" s="2">
        <v>97814021</v>
      </c>
      <c r="E7308" s="2">
        <v>4</v>
      </c>
      <c r="F7308" s="2" t="s">
        <v>10086</v>
      </c>
      <c r="H7308" s="3">
        <v>8.0000000000000004E-4</v>
      </c>
      <c r="K7308" s="2" t="s">
        <v>10089</v>
      </c>
    </row>
    <row r="7309" spans="1:11" x14ac:dyDescent="0.2">
      <c r="A7309" s="2">
        <v>1829</v>
      </c>
      <c r="B7309" s="2">
        <v>12</v>
      </c>
      <c r="C7309" s="2">
        <v>97814022</v>
      </c>
      <c r="D7309" s="2">
        <v>99244337</v>
      </c>
      <c r="E7309" s="2">
        <v>1</v>
      </c>
      <c r="F7309" s="2" t="s">
        <v>10086</v>
      </c>
      <c r="H7309" s="2">
        <v>1.1999999999999999E-3</v>
      </c>
      <c r="K7309" s="2" t="s">
        <v>10089</v>
      </c>
    </row>
    <row r="7310" spans="1:11" x14ac:dyDescent="0.2">
      <c r="A7310" s="2">
        <v>1829</v>
      </c>
      <c r="B7310" s="2">
        <v>12</v>
      </c>
      <c r="C7310" s="2">
        <v>97814022</v>
      </c>
      <c r="D7310" s="2">
        <v>99244337</v>
      </c>
      <c r="E7310" s="2">
        <v>2</v>
      </c>
      <c r="F7310" s="2" t="s">
        <v>10086</v>
      </c>
      <c r="H7310" s="2">
        <v>1.1999999999999999E-3</v>
      </c>
      <c r="K7310" s="2" t="s">
        <v>10085</v>
      </c>
    </row>
    <row r="7311" spans="1:11" x14ac:dyDescent="0.2">
      <c r="A7311" s="2">
        <v>1829</v>
      </c>
      <c r="B7311" s="2">
        <v>12</v>
      </c>
      <c r="C7311" s="2">
        <v>97814022</v>
      </c>
      <c r="D7311" s="2">
        <v>99244337</v>
      </c>
      <c r="E7311" s="2">
        <v>3</v>
      </c>
      <c r="F7311" s="2" t="s">
        <v>10086</v>
      </c>
      <c r="H7311" s="2">
        <v>1.1000000000000001E-3</v>
      </c>
      <c r="K7311" s="2" t="s">
        <v>10087</v>
      </c>
    </row>
    <row r="7312" spans="1:11" x14ac:dyDescent="0.2">
      <c r="A7312" s="2">
        <v>1829</v>
      </c>
      <c r="B7312" s="2">
        <v>12</v>
      </c>
      <c r="C7312" s="2">
        <v>97814022</v>
      </c>
      <c r="D7312" s="2">
        <v>99244337</v>
      </c>
      <c r="E7312" s="2">
        <v>4</v>
      </c>
      <c r="F7312" s="2" t="s">
        <v>10086</v>
      </c>
      <c r="H7312" s="3">
        <v>4.0000000000000002E-4</v>
      </c>
      <c r="K7312" s="2" t="s">
        <v>10088</v>
      </c>
    </row>
    <row r="7313" spans="1:11" x14ac:dyDescent="0.2">
      <c r="A7313" s="2">
        <v>1830</v>
      </c>
      <c r="B7313" s="2">
        <v>12</v>
      </c>
      <c r="C7313" s="2">
        <v>99244338</v>
      </c>
      <c r="D7313" s="2">
        <v>100931423</v>
      </c>
      <c r="E7313" s="2">
        <v>1</v>
      </c>
      <c r="F7313" s="2" t="s">
        <v>10086</v>
      </c>
      <c r="H7313" s="2">
        <v>2.3E-3</v>
      </c>
      <c r="K7313" s="2" t="s">
        <v>10085</v>
      </c>
    </row>
    <row r="7314" spans="1:11" x14ac:dyDescent="0.2">
      <c r="A7314" s="2">
        <v>1830</v>
      </c>
      <c r="B7314" s="2">
        <v>12</v>
      </c>
      <c r="C7314" s="2">
        <v>99244338</v>
      </c>
      <c r="D7314" s="2">
        <v>100931423</v>
      </c>
      <c r="E7314" s="2">
        <v>2</v>
      </c>
      <c r="F7314" s="2" t="s">
        <v>10086</v>
      </c>
      <c r="H7314" s="2">
        <v>2.3E-3</v>
      </c>
      <c r="K7314" s="2" t="s">
        <v>10088</v>
      </c>
    </row>
    <row r="7315" spans="1:11" x14ac:dyDescent="0.2">
      <c r="A7315" s="2">
        <v>1830</v>
      </c>
      <c r="B7315" s="2">
        <v>12</v>
      </c>
      <c r="C7315" s="2">
        <v>99244338</v>
      </c>
      <c r="D7315" s="2">
        <v>100931423</v>
      </c>
      <c r="E7315" s="2">
        <v>3</v>
      </c>
      <c r="F7315" s="2" t="s">
        <v>10086</v>
      </c>
      <c r="H7315" s="2">
        <v>1E-3</v>
      </c>
      <c r="K7315" s="2" t="s">
        <v>10087</v>
      </c>
    </row>
    <row r="7316" spans="1:11" x14ac:dyDescent="0.2">
      <c r="A7316" s="2">
        <v>1830</v>
      </c>
      <c r="B7316" s="2">
        <v>12</v>
      </c>
      <c r="C7316" s="2">
        <v>99244338</v>
      </c>
      <c r="D7316" s="2">
        <v>100931423</v>
      </c>
      <c r="E7316" s="2">
        <v>4</v>
      </c>
      <c r="F7316" s="2" t="s">
        <v>10086</v>
      </c>
      <c r="H7316" s="3">
        <v>4.0000000000000002E-4</v>
      </c>
      <c r="K7316" s="2" t="s">
        <v>10089</v>
      </c>
    </row>
    <row r="7317" spans="1:11" x14ac:dyDescent="0.2">
      <c r="A7317" s="2">
        <v>1831</v>
      </c>
      <c r="B7317" s="2">
        <v>12</v>
      </c>
      <c r="C7317" s="2">
        <v>100931424</v>
      </c>
      <c r="D7317" s="2">
        <v>101825061</v>
      </c>
      <c r="E7317" s="2">
        <v>1</v>
      </c>
      <c r="F7317" s="2" t="s">
        <v>10086</v>
      </c>
      <c r="H7317" s="2">
        <v>1.1999999999999999E-3</v>
      </c>
      <c r="K7317" s="2" t="s">
        <v>10087</v>
      </c>
    </row>
    <row r="7318" spans="1:11" x14ac:dyDescent="0.2">
      <c r="A7318" s="2">
        <v>1831</v>
      </c>
      <c r="B7318" s="2">
        <v>12</v>
      </c>
      <c r="C7318" s="2">
        <v>100931424</v>
      </c>
      <c r="D7318" s="2">
        <v>101825061</v>
      </c>
      <c r="E7318" s="2">
        <v>2</v>
      </c>
      <c r="F7318" s="2" t="s">
        <v>10086</v>
      </c>
      <c r="H7318" s="3">
        <v>8.9999999999999998E-4</v>
      </c>
      <c r="K7318" s="2" t="s">
        <v>10089</v>
      </c>
    </row>
    <row r="7319" spans="1:11" x14ac:dyDescent="0.2">
      <c r="A7319" s="2">
        <v>1831</v>
      </c>
      <c r="B7319" s="2">
        <v>12</v>
      </c>
      <c r="C7319" s="2">
        <v>100931424</v>
      </c>
      <c r="D7319" s="2">
        <v>101825061</v>
      </c>
      <c r="E7319" s="2">
        <v>3</v>
      </c>
      <c r="F7319" s="2" t="s">
        <v>10086</v>
      </c>
      <c r="H7319" s="3">
        <v>6.9999999999999999E-4</v>
      </c>
      <c r="K7319" s="2" t="s">
        <v>10088</v>
      </c>
    </row>
    <row r="7320" spans="1:11" x14ac:dyDescent="0.2">
      <c r="A7320" s="2">
        <v>1831</v>
      </c>
      <c r="B7320" s="2">
        <v>12</v>
      </c>
      <c r="C7320" s="2">
        <v>100931424</v>
      </c>
      <c r="D7320" s="2">
        <v>101825061</v>
      </c>
      <c r="E7320" s="2">
        <v>4</v>
      </c>
      <c r="F7320" s="2" t="s">
        <v>10086</v>
      </c>
      <c r="H7320" s="3">
        <v>4.0000000000000002E-4</v>
      </c>
      <c r="K7320" s="2" t="s">
        <v>10085</v>
      </c>
    </row>
    <row r="7321" spans="1:11" x14ac:dyDescent="0.2">
      <c r="A7321" s="2">
        <v>1832</v>
      </c>
      <c r="B7321" s="2">
        <v>12</v>
      </c>
      <c r="C7321" s="2">
        <v>101825062</v>
      </c>
      <c r="D7321" s="2">
        <v>102966633</v>
      </c>
      <c r="E7321" s="2">
        <v>1</v>
      </c>
      <c r="F7321" s="2" t="s">
        <v>10086</v>
      </c>
      <c r="H7321" s="2">
        <v>8.6E-3</v>
      </c>
      <c r="K7321" s="2" t="s">
        <v>10087</v>
      </c>
    </row>
    <row r="7322" spans="1:11" x14ac:dyDescent="0.2">
      <c r="A7322" s="2">
        <v>1832</v>
      </c>
      <c r="B7322" s="2">
        <v>12</v>
      </c>
      <c r="C7322" s="2">
        <v>101825062</v>
      </c>
      <c r="D7322" s="2">
        <v>102966633</v>
      </c>
      <c r="E7322" s="2">
        <v>2</v>
      </c>
      <c r="F7322" s="2" t="s">
        <v>10086</v>
      </c>
      <c r="H7322" s="2">
        <v>1.6999999999999999E-3</v>
      </c>
      <c r="K7322" s="2" t="s">
        <v>10085</v>
      </c>
    </row>
    <row r="7323" spans="1:11" x14ac:dyDescent="0.2">
      <c r="A7323" s="2">
        <v>1832</v>
      </c>
      <c r="B7323" s="2">
        <v>12</v>
      </c>
      <c r="C7323" s="2">
        <v>101825062</v>
      </c>
      <c r="D7323" s="2">
        <v>102966633</v>
      </c>
      <c r="E7323" s="2">
        <v>3</v>
      </c>
      <c r="F7323" s="2" t="s">
        <v>10086</v>
      </c>
      <c r="H7323" s="2">
        <v>1E-3</v>
      </c>
      <c r="K7323" s="2" t="s">
        <v>10088</v>
      </c>
    </row>
    <row r="7324" spans="1:11" x14ac:dyDescent="0.2">
      <c r="A7324" s="2">
        <v>1832</v>
      </c>
      <c r="B7324" s="2">
        <v>12</v>
      </c>
      <c r="C7324" s="2">
        <v>101825062</v>
      </c>
      <c r="D7324" s="2">
        <v>102966633</v>
      </c>
      <c r="E7324" s="2">
        <v>4</v>
      </c>
      <c r="F7324" s="2" t="s">
        <v>10086</v>
      </c>
      <c r="H7324" s="3">
        <v>8.0000000000000004E-4</v>
      </c>
      <c r="K7324" s="2" t="s">
        <v>10089</v>
      </c>
    </row>
    <row r="7325" spans="1:11" x14ac:dyDescent="0.2">
      <c r="A7325" s="2">
        <v>1833</v>
      </c>
      <c r="B7325" s="2">
        <v>12</v>
      </c>
      <c r="C7325" s="2">
        <v>102966634</v>
      </c>
      <c r="D7325" s="2">
        <v>104140831</v>
      </c>
      <c r="E7325" s="2">
        <v>1</v>
      </c>
      <c r="F7325" s="2" t="s">
        <v>10086</v>
      </c>
      <c r="H7325" s="2">
        <v>6.0000000000000001E-3</v>
      </c>
      <c r="K7325" s="2" t="s">
        <v>10088</v>
      </c>
    </row>
    <row r="7326" spans="1:11" x14ac:dyDescent="0.2">
      <c r="A7326" s="2">
        <v>1833</v>
      </c>
      <c r="B7326" s="2">
        <v>12</v>
      </c>
      <c r="C7326" s="2">
        <v>102966634</v>
      </c>
      <c r="D7326" s="2">
        <v>104140831</v>
      </c>
      <c r="E7326" s="2">
        <v>2</v>
      </c>
      <c r="F7326" s="2" t="s">
        <v>10086</v>
      </c>
      <c r="H7326" s="2">
        <v>2.8999999999999998E-3</v>
      </c>
      <c r="K7326" s="2" t="s">
        <v>10089</v>
      </c>
    </row>
    <row r="7327" spans="1:11" x14ac:dyDescent="0.2">
      <c r="A7327" s="2">
        <v>1833</v>
      </c>
      <c r="B7327" s="2">
        <v>12</v>
      </c>
      <c r="C7327" s="2">
        <v>102966634</v>
      </c>
      <c r="D7327" s="2">
        <v>104140831</v>
      </c>
      <c r="E7327" s="2">
        <v>3</v>
      </c>
      <c r="F7327" s="2" t="s">
        <v>10086</v>
      </c>
      <c r="H7327" s="2">
        <v>1.2999999999999999E-3</v>
      </c>
      <c r="K7327" s="2" t="s">
        <v>10087</v>
      </c>
    </row>
    <row r="7328" spans="1:11" x14ac:dyDescent="0.2">
      <c r="A7328" s="2">
        <v>1833</v>
      </c>
      <c r="B7328" s="2">
        <v>12</v>
      </c>
      <c r="C7328" s="2">
        <v>102966634</v>
      </c>
      <c r="D7328" s="2">
        <v>104140831</v>
      </c>
      <c r="E7328" s="2">
        <v>4</v>
      </c>
      <c r="F7328" s="2" t="s">
        <v>10086</v>
      </c>
      <c r="H7328" s="3">
        <v>5.0000000000000001E-4</v>
      </c>
      <c r="K7328" s="2" t="s">
        <v>10085</v>
      </c>
    </row>
    <row r="7329" spans="1:11" x14ac:dyDescent="0.2">
      <c r="A7329" s="2">
        <v>1834</v>
      </c>
      <c r="B7329" s="2">
        <v>12</v>
      </c>
      <c r="C7329" s="2">
        <v>104140832</v>
      </c>
      <c r="D7329" s="2">
        <v>105079100</v>
      </c>
      <c r="E7329" s="2">
        <v>1</v>
      </c>
      <c r="F7329" s="2" t="s">
        <v>10086</v>
      </c>
      <c r="H7329" s="2">
        <v>2.3999999999999998E-3</v>
      </c>
      <c r="K7329" s="2" t="s">
        <v>10089</v>
      </c>
    </row>
    <row r="7330" spans="1:11" x14ac:dyDescent="0.2">
      <c r="A7330" s="2">
        <v>1834</v>
      </c>
      <c r="B7330" s="2">
        <v>12</v>
      </c>
      <c r="C7330" s="2">
        <v>104140832</v>
      </c>
      <c r="D7330" s="2">
        <v>105079100</v>
      </c>
      <c r="E7330" s="2">
        <v>2</v>
      </c>
      <c r="F7330" s="2" t="s">
        <v>10086</v>
      </c>
      <c r="H7330" s="2">
        <v>1.1000000000000001E-3</v>
      </c>
      <c r="K7330" s="2" t="s">
        <v>10085</v>
      </c>
    </row>
    <row r="7331" spans="1:11" x14ac:dyDescent="0.2">
      <c r="A7331" s="2">
        <v>1834</v>
      </c>
      <c r="B7331" s="2">
        <v>12</v>
      </c>
      <c r="C7331" s="2">
        <v>104140832</v>
      </c>
      <c r="D7331" s="2">
        <v>105079100</v>
      </c>
      <c r="E7331" s="2">
        <v>3</v>
      </c>
      <c r="F7331" s="2" t="s">
        <v>10086</v>
      </c>
      <c r="H7331" s="2">
        <v>1.1000000000000001E-3</v>
      </c>
      <c r="K7331" s="2" t="s">
        <v>10088</v>
      </c>
    </row>
    <row r="7332" spans="1:11" x14ac:dyDescent="0.2">
      <c r="A7332" s="2">
        <v>1834</v>
      </c>
      <c r="B7332" s="2">
        <v>12</v>
      </c>
      <c r="C7332" s="2">
        <v>104140832</v>
      </c>
      <c r="D7332" s="2">
        <v>105079100</v>
      </c>
      <c r="E7332" s="2">
        <v>4</v>
      </c>
      <c r="F7332" s="2" t="s">
        <v>10086</v>
      </c>
      <c r="H7332" s="3">
        <v>6.9999999999999999E-4</v>
      </c>
      <c r="K7332" s="2" t="s">
        <v>10087</v>
      </c>
    </row>
    <row r="7333" spans="1:11" x14ac:dyDescent="0.2">
      <c r="A7333" s="2">
        <v>1835</v>
      </c>
      <c r="B7333" s="2">
        <v>12</v>
      </c>
      <c r="C7333" s="2">
        <v>105079101</v>
      </c>
      <c r="D7333" s="2">
        <v>106153787</v>
      </c>
      <c r="E7333" s="2">
        <v>1</v>
      </c>
      <c r="F7333" s="2" t="s">
        <v>10086</v>
      </c>
      <c r="H7333" s="2">
        <v>1.9E-3</v>
      </c>
      <c r="K7333" s="2" t="s">
        <v>10087</v>
      </c>
    </row>
    <row r="7334" spans="1:11" x14ac:dyDescent="0.2">
      <c r="A7334" s="2">
        <v>1835</v>
      </c>
      <c r="B7334" s="2">
        <v>12</v>
      </c>
      <c r="C7334" s="2">
        <v>105079101</v>
      </c>
      <c r="D7334" s="2">
        <v>106153787</v>
      </c>
      <c r="E7334" s="2">
        <v>2</v>
      </c>
      <c r="F7334" s="2" t="s">
        <v>10086</v>
      </c>
      <c r="H7334" s="2">
        <v>1.8E-3</v>
      </c>
      <c r="K7334" s="2" t="s">
        <v>10088</v>
      </c>
    </row>
    <row r="7335" spans="1:11" x14ac:dyDescent="0.2">
      <c r="A7335" s="2">
        <v>1835</v>
      </c>
      <c r="B7335" s="2">
        <v>12</v>
      </c>
      <c r="C7335" s="2">
        <v>105079101</v>
      </c>
      <c r="D7335" s="2">
        <v>106153787</v>
      </c>
      <c r="E7335" s="2">
        <v>3</v>
      </c>
      <c r="F7335" s="2" t="s">
        <v>10086</v>
      </c>
      <c r="H7335" s="2">
        <v>1E-3</v>
      </c>
      <c r="K7335" s="2" t="s">
        <v>10089</v>
      </c>
    </row>
    <row r="7336" spans="1:11" x14ac:dyDescent="0.2">
      <c r="A7336" s="2">
        <v>1835</v>
      </c>
      <c r="B7336" s="2">
        <v>12</v>
      </c>
      <c r="C7336" s="2">
        <v>105079101</v>
      </c>
      <c r="D7336" s="2">
        <v>106153787</v>
      </c>
      <c r="E7336" s="2">
        <v>4</v>
      </c>
      <c r="F7336" s="2" t="s">
        <v>10086</v>
      </c>
      <c r="H7336" s="3">
        <v>5.9999999999999995E-4</v>
      </c>
      <c r="K7336" s="2" t="s">
        <v>10085</v>
      </c>
    </row>
    <row r="7337" spans="1:11" x14ac:dyDescent="0.2">
      <c r="A7337" s="2">
        <v>1836</v>
      </c>
      <c r="B7337" s="2">
        <v>12</v>
      </c>
      <c r="C7337" s="2">
        <v>106153788</v>
      </c>
      <c r="D7337" s="2">
        <v>106964977</v>
      </c>
      <c r="E7337" s="2">
        <v>1</v>
      </c>
      <c r="F7337" s="2" t="s">
        <v>10086</v>
      </c>
      <c r="H7337" s="2">
        <v>1E-3</v>
      </c>
      <c r="K7337" s="2" t="s">
        <v>10089</v>
      </c>
    </row>
    <row r="7338" spans="1:11" x14ac:dyDescent="0.2">
      <c r="A7338" s="2">
        <v>1836</v>
      </c>
      <c r="B7338" s="2">
        <v>12</v>
      </c>
      <c r="C7338" s="2">
        <v>106153788</v>
      </c>
      <c r="D7338" s="2">
        <v>106964977</v>
      </c>
      <c r="E7338" s="2">
        <v>2</v>
      </c>
      <c r="F7338" s="2" t="s">
        <v>10086</v>
      </c>
      <c r="H7338" s="3">
        <v>8.0000000000000004E-4</v>
      </c>
      <c r="K7338" s="2" t="s">
        <v>10088</v>
      </c>
    </row>
    <row r="7339" spans="1:11" x14ac:dyDescent="0.2">
      <c r="A7339" s="2">
        <v>1836</v>
      </c>
      <c r="B7339" s="2">
        <v>12</v>
      </c>
      <c r="C7339" s="2">
        <v>106153788</v>
      </c>
      <c r="D7339" s="2">
        <v>106964977</v>
      </c>
      <c r="E7339" s="2">
        <v>3</v>
      </c>
      <c r="F7339" s="2" t="s">
        <v>10086</v>
      </c>
      <c r="H7339" s="3">
        <v>6.9999999999999999E-4</v>
      </c>
      <c r="K7339" s="2" t="s">
        <v>10087</v>
      </c>
    </row>
    <row r="7340" spans="1:11" x14ac:dyDescent="0.2">
      <c r="A7340" s="2">
        <v>1836</v>
      </c>
      <c r="B7340" s="2">
        <v>12</v>
      </c>
      <c r="C7340" s="2">
        <v>106153788</v>
      </c>
      <c r="D7340" s="2">
        <v>106964977</v>
      </c>
      <c r="E7340" s="2">
        <v>4</v>
      </c>
      <c r="F7340" s="2" t="s">
        <v>10086</v>
      </c>
      <c r="H7340" s="3">
        <v>2.9999999999999997E-4</v>
      </c>
      <c r="K7340" s="2" t="s">
        <v>10085</v>
      </c>
    </row>
    <row r="7341" spans="1:11" x14ac:dyDescent="0.2">
      <c r="A7341" s="2">
        <v>1837</v>
      </c>
      <c r="B7341" s="2">
        <v>12</v>
      </c>
      <c r="C7341" s="2">
        <v>106964978</v>
      </c>
      <c r="D7341" s="2">
        <v>108183188</v>
      </c>
      <c r="E7341" s="2">
        <v>1</v>
      </c>
      <c r="F7341" s="2" t="s">
        <v>10086</v>
      </c>
      <c r="H7341" s="2">
        <v>2.3999999999999998E-3</v>
      </c>
      <c r="K7341" s="2" t="s">
        <v>10085</v>
      </c>
    </row>
    <row r="7342" spans="1:11" x14ac:dyDescent="0.2">
      <c r="A7342" s="2">
        <v>1837</v>
      </c>
      <c r="B7342" s="2">
        <v>12</v>
      </c>
      <c r="C7342" s="2">
        <v>106964978</v>
      </c>
      <c r="D7342" s="2">
        <v>108183188</v>
      </c>
      <c r="E7342" s="2">
        <v>2</v>
      </c>
      <c r="F7342" s="2" t="s">
        <v>10086</v>
      </c>
      <c r="H7342" s="2">
        <v>2.2000000000000001E-3</v>
      </c>
      <c r="K7342" s="2" t="s">
        <v>10087</v>
      </c>
    </row>
    <row r="7343" spans="1:11" x14ac:dyDescent="0.2">
      <c r="A7343" s="2">
        <v>1837</v>
      </c>
      <c r="B7343" s="2">
        <v>12</v>
      </c>
      <c r="C7343" s="2">
        <v>106964978</v>
      </c>
      <c r="D7343" s="2">
        <v>108183188</v>
      </c>
      <c r="E7343" s="2">
        <v>3</v>
      </c>
      <c r="F7343" s="2" t="s">
        <v>10086</v>
      </c>
      <c r="H7343" s="3">
        <v>6.9999999999999999E-4</v>
      </c>
      <c r="K7343" s="2" t="s">
        <v>10088</v>
      </c>
    </row>
    <row r="7344" spans="1:11" x14ac:dyDescent="0.2">
      <c r="A7344" s="2">
        <v>1837</v>
      </c>
      <c r="B7344" s="2">
        <v>12</v>
      </c>
      <c r="C7344" s="2">
        <v>106964978</v>
      </c>
      <c r="D7344" s="2">
        <v>108183188</v>
      </c>
      <c r="E7344" s="2">
        <v>4</v>
      </c>
      <c r="F7344" s="2" t="s">
        <v>10086</v>
      </c>
      <c r="H7344" s="3">
        <v>8.0000000000000004E-4</v>
      </c>
      <c r="K7344" s="2" t="s">
        <v>10089</v>
      </c>
    </row>
    <row r="7345" spans="1:11" x14ac:dyDescent="0.2">
      <c r="A7345" s="2">
        <v>1838</v>
      </c>
      <c r="B7345" s="2">
        <v>12</v>
      </c>
      <c r="C7345" s="2">
        <v>108183189</v>
      </c>
      <c r="D7345" s="2">
        <v>109031819</v>
      </c>
      <c r="E7345" s="2">
        <v>1</v>
      </c>
      <c r="F7345" s="2" t="s">
        <v>10086</v>
      </c>
      <c r="H7345" s="2">
        <v>1E-3</v>
      </c>
      <c r="K7345" s="2" t="s">
        <v>10087</v>
      </c>
    </row>
    <row r="7346" spans="1:11" x14ac:dyDescent="0.2">
      <c r="A7346" s="2">
        <v>1838</v>
      </c>
      <c r="B7346" s="2">
        <v>12</v>
      </c>
      <c r="C7346" s="2">
        <v>108183189</v>
      </c>
      <c r="D7346" s="2">
        <v>109031819</v>
      </c>
      <c r="E7346" s="2">
        <v>2</v>
      </c>
      <c r="F7346" s="2" t="s">
        <v>10086</v>
      </c>
      <c r="H7346" s="3">
        <v>8.9999999999999998E-4</v>
      </c>
      <c r="K7346" s="2" t="s">
        <v>10088</v>
      </c>
    </row>
    <row r="7347" spans="1:11" x14ac:dyDescent="0.2">
      <c r="A7347" s="2">
        <v>1838</v>
      </c>
      <c r="B7347" s="2">
        <v>12</v>
      </c>
      <c r="C7347" s="2">
        <v>108183189</v>
      </c>
      <c r="D7347" s="2">
        <v>109031819</v>
      </c>
      <c r="E7347" s="2">
        <v>3</v>
      </c>
      <c r="F7347" s="2" t="s">
        <v>10086</v>
      </c>
      <c r="H7347" s="3">
        <v>6.9999999999999999E-4</v>
      </c>
      <c r="K7347" s="2" t="s">
        <v>10085</v>
      </c>
    </row>
    <row r="7348" spans="1:11" x14ac:dyDescent="0.2">
      <c r="A7348" s="2">
        <v>1838</v>
      </c>
      <c r="B7348" s="2">
        <v>12</v>
      </c>
      <c r="C7348" s="2">
        <v>108183189</v>
      </c>
      <c r="D7348" s="2">
        <v>109031819</v>
      </c>
      <c r="E7348" s="2">
        <v>4</v>
      </c>
      <c r="F7348" s="2" t="s">
        <v>10086</v>
      </c>
      <c r="H7348" s="3">
        <v>2.9999999999999997E-4</v>
      </c>
      <c r="K7348" s="2" t="s">
        <v>10089</v>
      </c>
    </row>
    <row r="7349" spans="1:11" x14ac:dyDescent="0.2">
      <c r="A7349" s="2">
        <v>1839</v>
      </c>
      <c r="B7349" s="2">
        <v>12</v>
      </c>
      <c r="C7349" s="2">
        <v>109031820</v>
      </c>
      <c r="D7349" s="2">
        <v>110111514</v>
      </c>
      <c r="E7349" s="2">
        <v>1</v>
      </c>
      <c r="F7349" s="2" t="s">
        <v>10086</v>
      </c>
      <c r="H7349" s="2">
        <v>8.0999999999999996E-3</v>
      </c>
      <c r="K7349" s="2" t="s">
        <v>12324</v>
      </c>
    </row>
    <row r="7350" spans="1:11" x14ac:dyDescent="0.2">
      <c r="A7350" s="2">
        <v>1839</v>
      </c>
      <c r="B7350" s="2">
        <v>12</v>
      </c>
      <c r="C7350" s="2">
        <v>109031820</v>
      </c>
      <c r="D7350" s="2">
        <v>110111514</v>
      </c>
      <c r="E7350" s="2">
        <v>2</v>
      </c>
      <c r="F7350" s="2" t="s">
        <v>10086</v>
      </c>
      <c r="H7350" s="2">
        <v>2.2000000000000001E-3</v>
      </c>
      <c r="K7350" s="2" t="s">
        <v>10089</v>
      </c>
    </row>
    <row r="7351" spans="1:11" x14ac:dyDescent="0.2">
      <c r="A7351" s="2">
        <v>1839</v>
      </c>
      <c r="B7351" s="2">
        <v>12</v>
      </c>
      <c r="C7351" s="2">
        <v>109031820</v>
      </c>
      <c r="D7351" s="2">
        <v>110111514</v>
      </c>
      <c r="E7351" s="2">
        <v>3</v>
      </c>
      <c r="F7351" s="2" t="s">
        <v>10086</v>
      </c>
      <c r="H7351" s="2">
        <v>1.2999999999999999E-3</v>
      </c>
      <c r="K7351" s="2" t="s">
        <v>10085</v>
      </c>
    </row>
    <row r="7352" spans="1:11" x14ac:dyDescent="0.2">
      <c r="A7352" s="2">
        <v>1839</v>
      </c>
      <c r="B7352" s="2">
        <v>12</v>
      </c>
      <c r="C7352" s="2">
        <v>109031820</v>
      </c>
      <c r="D7352" s="2">
        <v>110111514</v>
      </c>
      <c r="E7352" s="2">
        <v>4</v>
      </c>
      <c r="F7352" s="2" t="s">
        <v>10086</v>
      </c>
      <c r="H7352" s="2">
        <v>1.1000000000000001E-3</v>
      </c>
      <c r="K7352" s="2" t="s">
        <v>10088</v>
      </c>
    </row>
    <row r="7353" spans="1:11" x14ac:dyDescent="0.2">
      <c r="A7353" s="2">
        <v>1840</v>
      </c>
      <c r="B7353" s="2">
        <v>12</v>
      </c>
      <c r="C7353" s="2">
        <v>110111515</v>
      </c>
      <c r="D7353" s="2">
        <v>111592381</v>
      </c>
      <c r="E7353" s="2">
        <v>1</v>
      </c>
      <c r="F7353" s="2" t="s">
        <v>10086</v>
      </c>
      <c r="H7353" s="2">
        <v>3.5000000000000001E-3</v>
      </c>
      <c r="K7353" s="2" t="s">
        <v>10089</v>
      </c>
    </row>
    <row r="7354" spans="1:11" x14ac:dyDescent="0.2">
      <c r="A7354" s="2">
        <v>1840</v>
      </c>
      <c r="B7354" s="2">
        <v>12</v>
      </c>
      <c r="C7354" s="2">
        <v>110111515</v>
      </c>
      <c r="D7354" s="2">
        <v>111592381</v>
      </c>
      <c r="E7354" s="2">
        <v>2</v>
      </c>
      <c r="F7354" s="2" t="s">
        <v>10086</v>
      </c>
      <c r="H7354" s="2">
        <v>2.5999999999999999E-3</v>
      </c>
      <c r="K7354" s="2" t="s">
        <v>10088</v>
      </c>
    </row>
    <row r="7355" spans="1:11" x14ac:dyDescent="0.2">
      <c r="A7355" s="2">
        <v>1840</v>
      </c>
      <c r="B7355" s="2">
        <v>12</v>
      </c>
      <c r="C7355" s="2">
        <v>110111515</v>
      </c>
      <c r="D7355" s="2">
        <v>111592381</v>
      </c>
      <c r="E7355" s="2">
        <v>3</v>
      </c>
      <c r="F7355" s="2" t="s">
        <v>10086</v>
      </c>
      <c r="H7355" s="2">
        <v>1.2999999999999999E-3</v>
      </c>
      <c r="K7355" s="2" t="s">
        <v>10085</v>
      </c>
    </row>
    <row r="7356" spans="1:11" x14ac:dyDescent="0.2">
      <c r="A7356" s="2">
        <v>1840</v>
      </c>
      <c r="B7356" s="2">
        <v>12</v>
      </c>
      <c r="C7356" s="2">
        <v>110111515</v>
      </c>
      <c r="D7356" s="2">
        <v>111592381</v>
      </c>
      <c r="E7356" s="2">
        <v>4</v>
      </c>
      <c r="F7356" s="2" t="s">
        <v>10086</v>
      </c>
      <c r="H7356" s="3">
        <v>6.9999999999999999E-4</v>
      </c>
      <c r="K7356" s="2" t="s">
        <v>12324</v>
      </c>
    </row>
    <row r="7357" spans="1:11" x14ac:dyDescent="0.2">
      <c r="A7357" s="2">
        <v>1841</v>
      </c>
      <c r="B7357" s="2">
        <v>12</v>
      </c>
      <c r="C7357" s="2">
        <v>111592382</v>
      </c>
      <c r="D7357" s="2">
        <v>113947983</v>
      </c>
      <c r="E7357" s="2">
        <v>1</v>
      </c>
      <c r="F7357" s="2" t="s">
        <v>10086</v>
      </c>
      <c r="H7357" s="2">
        <v>2.0999999999999999E-3</v>
      </c>
      <c r="K7357" s="2" t="s">
        <v>10089</v>
      </c>
    </row>
    <row r="7358" spans="1:11" x14ac:dyDescent="0.2">
      <c r="A7358" s="2">
        <v>1841</v>
      </c>
      <c r="B7358" s="2">
        <v>12</v>
      </c>
      <c r="C7358" s="2">
        <v>111592382</v>
      </c>
      <c r="D7358" s="2">
        <v>113947983</v>
      </c>
      <c r="E7358" s="2">
        <v>2</v>
      </c>
      <c r="F7358" s="2" t="s">
        <v>10086</v>
      </c>
      <c r="H7358" s="2">
        <v>1.6000000000000001E-3</v>
      </c>
      <c r="K7358" s="2" t="s">
        <v>10085</v>
      </c>
    </row>
    <row r="7359" spans="1:11" x14ac:dyDescent="0.2">
      <c r="A7359" s="2">
        <v>1841</v>
      </c>
      <c r="B7359" s="2">
        <v>12</v>
      </c>
      <c r="C7359" s="2">
        <v>111592382</v>
      </c>
      <c r="D7359" s="2">
        <v>113947983</v>
      </c>
      <c r="E7359" s="2">
        <v>3</v>
      </c>
      <c r="F7359" s="2" t="s">
        <v>10086</v>
      </c>
      <c r="H7359" s="2">
        <v>1.6999999999999999E-3</v>
      </c>
      <c r="K7359" s="2" t="s">
        <v>10087</v>
      </c>
    </row>
    <row r="7360" spans="1:11" x14ac:dyDescent="0.2">
      <c r="A7360" s="2">
        <v>1841</v>
      </c>
      <c r="B7360" s="2">
        <v>12</v>
      </c>
      <c r="C7360" s="2">
        <v>111592382</v>
      </c>
      <c r="D7360" s="2">
        <v>113947983</v>
      </c>
      <c r="E7360" s="2">
        <v>4</v>
      </c>
      <c r="F7360" s="2" t="s">
        <v>10086</v>
      </c>
      <c r="H7360" s="2">
        <v>1E-3</v>
      </c>
      <c r="K7360" s="2" t="s">
        <v>10088</v>
      </c>
    </row>
    <row r="7361" spans="1:11" x14ac:dyDescent="0.2">
      <c r="A7361" s="2">
        <v>1842</v>
      </c>
      <c r="B7361" s="2">
        <v>12</v>
      </c>
      <c r="C7361" s="2">
        <v>113947984</v>
      </c>
      <c r="D7361" s="2">
        <v>114685670</v>
      </c>
      <c r="E7361" s="2">
        <v>1</v>
      </c>
      <c r="F7361" s="2" t="s">
        <v>10086</v>
      </c>
      <c r="H7361" s="2">
        <v>2.2000000000000001E-3</v>
      </c>
      <c r="K7361" s="2" t="s">
        <v>10088</v>
      </c>
    </row>
    <row r="7362" spans="1:11" x14ac:dyDescent="0.2">
      <c r="A7362" s="2">
        <v>1842</v>
      </c>
      <c r="B7362" s="2">
        <v>12</v>
      </c>
      <c r="C7362" s="2">
        <v>113947984</v>
      </c>
      <c r="D7362" s="2">
        <v>114685670</v>
      </c>
      <c r="E7362" s="2">
        <v>2</v>
      </c>
      <c r="F7362" s="2" t="s">
        <v>10086</v>
      </c>
      <c r="H7362" s="2">
        <v>1.4E-3</v>
      </c>
      <c r="K7362" s="2" t="s">
        <v>10087</v>
      </c>
    </row>
    <row r="7363" spans="1:11" x14ac:dyDescent="0.2">
      <c r="A7363" s="2">
        <v>1842</v>
      </c>
      <c r="B7363" s="2">
        <v>12</v>
      </c>
      <c r="C7363" s="2">
        <v>113947984</v>
      </c>
      <c r="D7363" s="2">
        <v>114685670</v>
      </c>
      <c r="E7363" s="2">
        <v>3</v>
      </c>
      <c r="F7363" s="2" t="s">
        <v>10086</v>
      </c>
      <c r="H7363" s="3">
        <v>8.0000000000000004E-4</v>
      </c>
      <c r="K7363" s="2" t="s">
        <v>10085</v>
      </c>
    </row>
    <row r="7364" spans="1:11" x14ac:dyDescent="0.2">
      <c r="A7364" s="2">
        <v>1842</v>
      </c>
      <c r="B7364" s="2">
        <v>12</v>
      </c>
      <c r="C7364" s="2">
        <v>113947984</v>
      </c>
      <c r="D7364" s="2">
        <v>114685670</v>
      </c>
      <c r="E7364" s="2">
        <v>4</v>
      </c>
      <c r="F7364" s="2" t="s">
        <v>10086</v>
      </c>
      <c r="H7364" s="3">
        <v>4.0000000000000002E-4</v>
      </c>
      <c r="K7364" s="2" t="s">
        <v>10089</v>
      </c>
    </row>
    <row r="7365" spans="1:11" x14ac:dyDescent="0.2">
      <c r="A7365" s="2">
        <v>1843</v>
      </c>
      <c r="B7365" s="2">
        <v>12</v>
      </c>
      <c r="C7365" s="2">
        <v>114685671</v>
      </c>
      <c r="D7365" s="2">
        <v>115439451</v>
      </c>
      <c r="E7365" s="2">
        <v>1</v>
      </c>
      <c r="F7365" s="2" t="s">
        <v>10086</v>
      </c>
      <c r="H7365" s="2">
        <v>2.8E-3</v>
      </c>
      <c r="K7365" s="2" t="s">
        <v>10088</v>
      </c>
    </row>
    <row r="7366" spans="1:11" x14ac:dyDescent="0.2">
      <c r="A7366" s="2">
        <v>1843</v>
      </c>
      <c r="B7366" s="2">
        <v>12</v>
      </c>
      <c r="C7366" s="2">
        <v>114685671</v>
      </c>
      <c r="D7366" s="2">
        <v>115439451</v>
      </c>
      <c r="E7366" s="2">
        <v>2</v>
      </c>
      <c r="F7366" s="2" t="s">
        <v>10086</v>
      </c>
      <c r="H7366" s="2">
        <v>1.8E-3</v>
      </c>
      <c r="K7366" s="2" t="s">
        <v>10085</v>
      </c>
    </row>
    <row r="7367" spans="1:11" x14ac:dyDescent="0.2">
      <c r="A7367" s="2">
        <v>1843</v>
      </c>
      <c r="B7367" s="2">
        <v>12</v>
      </c>
      <c r="C7367" s="2">
        <v>114685671</v>
      </c>
      <c r="D7367" s="2">
        <v>115439451</v>
      </c>
      <c r="E7367" s="2">
        <v>3</v>
      </c>
      <c r="F7367" s="2" t="s">
        <v>10086</v>
      </c>
      <c r="H7367" s="3">
        <v>6.9999999999999999E-4</v>
      </c>
      <c r="K7367" s="2" t="s">
        <v>10087</v>
      </c>
    </row>
    <row r="7368" spans="1:11" x14ac:dyDescent="0.2">
      <c r="A7368" s="2">
        <v>1843</v>
      </c>
      <c r="B7368" s="2">
        <v>12</v>
      </c>
      <c r="C7368" s="2">
        <v>114685671</v>
      </c>
      <c r="D7368" s="2">
        <v>115439451</v>
      </c>
      <c r="E7368" s="2">
        <v>4</v>
      </c>
      <c r="F7368" s="2" t="s">
        <v>10086</v>
      </c>
      <c r="H7368" s="3">
        <v>2.9999999999999997E-4</v>
      </c>
      <c r="K7368" s="2" t="s">
        <v>10089</v>
      </c>
    </row>
    <row r="7369" spans="1:11" x14ac:dyDescent="0.2">
      <c r="A7369" s="2">
        <v>1844</v>
      </c>
      <c r="B7369" s="2">
        <v>12</v>
      </c>
      <c r="C7369" s="2">
        <v>115439452</v>
      </c>
      <c r="D7369" s="2">
        <v>116197675</v>
      </c>
      <c r="E7369" s="2">
        <v>1</v>
      </c>
      <c r="F7369" s="2" t="s">
        <v>10086</v>
      </c>
      <c r="H7369" s="2">
        <v>2.3E-3</v>
      </c>
      <c r="K7369" s="2" t="s">
        <v>10087</v>
      </c>
    </row>
    <row r="7370" spans="1:11" x14ac:dyDescent="0.2">
      <c r="A7370" s="2">
        <v>1844</v>
      </c>
      <c r="B7370" s="2">
        <v>12</v>
      </c>
      <c r="C7370" s="2">
        <v>115439452</v>
      </c>
      <c r="D7370" s="2">
        <v>116197675</v>
      </c>
      <c r="E7370" s="2">
        <v>2</v>
      </c>
      <c r="F7370" s="2" t="s">
        <v>10086</v>
      </c>
      <c r="H7370" s="2">
        <v>1E-3</v>
      </c>
      <c r="K7370" s="2" t="s">
        <v>10085</v>
      </c>
    </row>
    <row r="7371" spans="1:11" x14ac:dyDescent="0.2">
      <c r="A7371" s="2">
        <v>1844</v>
      </c>
      <c r="B7371" s="2">
        <v>12</v>
      </c>
      <c r="C7371" s="2">
        <v>115439452</v>
      </c>
      <c r="D7371" s="2">
        <v>116197675</v>
      </c>
      <c r="E7371" s="2">
        <v>3</v>
      </c>
      <c r="F7371" s="2" t="s">
        <v>10086</v>
      </c>
      <c r="H7371" s="2">
        <v>1.1000000000000001E-3</v>
      </c>
      <c r="K7371" s="2" t="s">
        <v>12324</v>
      </c>
    </row>
    <row r="7372" spans="1:11" x14ac:dyDescent="0.2">
      <c r="A7372" s="2">
        <v>1844</v>
      </c>
      <c r="B7372" s="2">
        <v>12</v>
      </c>
      <c r="C7372" s="2">
        <v>115439452</v>
      </c>
      <c r="D7372" s="2">
        <v>116197675</v>
      </c>
      <c r="E7372" s="2">
        <v>4</v>
      </c>
      <c r="F7372" s="2" t="s">
        <v>10086</v>
      </c>
      <c r="H7372" s="2">
        <v>1E-3</v>
      </c>
      <c r="K7372" s="2" t="s">
        <v>10089</v>
      </c>
    </row>
    <row r="7373" spans="1:11" x14ac:dyDescent="0.2">
      <c r="A7373" s="2">
        <v>1845</v>
      </c>
      <c r="B7373" s="2">
        <v>12</v>
      </c>
      <c r="C7373" s="2">
        <v>116197676</v>
      </c>
      <c r="D7373" s="2">
        <v>117091843</v>
      </c>
      <c r="E7373" s="2">
        <v>1</v>
      </c>
      <c r="F7373" s="2" t="s">
        <v>10086</v>
      </c>
      <c r="H7373" s="2">
        <v>1.15E-2</v>
      </c>
      <c r="K7373" s="2" t="s">
        <v>10089</v>
      </c>
    </row>
    <row r="7374" spans="1:11" x14ac:dyDescent="0.2">
      <c r="A7374" s="2">
        <v>1845</v>
      </c>
      <c r="B7374" s="2">
        <v>12</v>
      </c>
      <c r="C7374" s="2">
        <v>116197676</v>
      </c>
      <c r="D7374" s="2">
        <v>117091843</v>
      </c>
      <c r="E7374" s="2">
        <v>2</v>
      </c>
      <c r="F7374" s="2" t="s">
        <v>10086</v>
      </c>
      <c r="H7374" s="2">
        <v>1.2800000000000001E-2</v>
      </c>
      <c r="K7374" s="2" t="s">
        <v>10085</v>
      </c>
    </row>
    <row r="7375" spans="1:11" x14ac:dyDescent="0.2">
      <c r="A7375" s="2">
        <v>1845</v>
      </c>
      <c r="B7375" s="2">
        <v>12</v>
      </c>
      <c r="C7375" s="2">
        <v>116197676</v>
      </c>
      <c r="D7375" s="2">
        <v>117091843</v>
      </c>
      <c r="E7375" s="2">
        <v>3</v>
      </c>
      <c r="F7375" s="2" t="s">
        <v>10086</v>
      </c>
      <c r="H7375" s="2">
        <v>3.5999999999999999E-3</v>
      </c>
      <c r="K7375" s="2" t="s">
        <v>10087</v>
      </c>
    </row>
    <row r="7376" spans="1:11" x14ac:dyDescent="0.2">
      <c r="A7376" s="2">
        <v>1845</v>
      </c>
      <c r="B7376" s="2">
        <v>12</v>
      </c>
      <c r="C7376" s="2">
        <v>116197676</v>
      </c>
      <c r="D7376" s="2">
        <v>117091843</v>
      </c>
      <c r="E7376" s="2">
        <v>4</v>
      </c>
      <c r="F7376" s="2" t="s">
        <v>10086</v>
      </c>
      <c r="H7376" s="3">
        <v>6.9999999999999999E-4</v>
      </c>
      <c r="K7376" s="2" t="s">
        <v>12324</v>
      </c>
    </row>
    <row r="7377" spans="1:11" x14ac:dyDescent="0.2">
      <c r="A7377" s="2">
        <v>1846</v>
      </c>
      <c r="B7377" s="2">
        <v>12</v>
      </c>
      <c r="C7377" s="2">
        <v>117091844</v>
      </c>
      <c r="D7377" s="2">
        <v>118256124</v>
      </c>
      <c r="E7377" s="2">
        <v>1</v>
      </c>
      <c r="F7377" s="2" t="s">
        <v>10086</v>
      </c>
      <c r="H7377" s="2">
        <v>0.1799</v>
      </c>
      <c r="K7377" s="2" t="s">
        <v>10088</v>
      </c>
    </row>
    <row r="7378" spans="1:11" x14ac:dyDescent="0.2">
      <c r="A7378" s="2">
        <v>1846</v>
      </c>
      <c r="B7378" s="2">
        <v>12</v>
      </c>
      <c r="C7378" s="2">
        <v>117091844</v>
      </c>
      <c r="D7378" s="2">
        <v>118256124</v>
      </c>
      <c r="E7378" s="2">
        <v>2</v>
      </c>
      <c r="F7378" s="2" t="s">
        <v>10086</v>
      </c>
      <c r="H7378" s="2">
        <v>3.8E-3</v>
      </c>
      <c r="K7378" s="2" t="s">
        <v>10087</v>
      </c>
    </row>
    <row r="7379" spans="1:11" x14ac:dyDescent="0.2">
      <c r="A7379" s="2">
        <v>1846</v>
      </c>
      <c r="B7379" s="2">
        <v>12</v>
      </c>
      <c r="C7379" s="2">
        <v>117091844</v>
      </c>
      <c r="D7379" s="2">
        <v>118256124</v>
      </c>
      <c r="E7379" s="2">
        <v>3</v>
      </c>
      <c r="F7379" s="2" t="s">
        <v>10086</v>
      </c>
      <c r="H7379" s="2">
        <v>1.1000000000000001E-3</v>
      </c>
      <c r="K7379" s="2" t="s">
        <v>10089</v>
      </c>
    </row>
    <row r="7380" spans="1:11" x14ac:dyDescent="0.2">
      <c r="A7380" s="2">
        <v>1846</v>
      </c>
      <c r="B7380" s="2">
        <v>12</v>
      </c>
      <c r="C7380" s="2">
        <v>117091844</v>
      </c>
      <c r="D7380" s="2">
        <v>118256124</v>
      </c>
      <c r="E7380" s="2">
        <v>4</v>
      </c>
      <c r="F7380" s="2" t="s">
        <v>10086</v>
      </c>
      <c r="H7380" s="3">
        <v>6.9999999999999999E-4</v>
      </c>
      <c r="K7380" s="2" t="s">
        <v>10085</v>
      </c>
    </row>
    <row r="7381" spans="1:11" x14ac:dyDescent="0.2">
      <c r="A7381" s="2">
        <v>1847</v>
      </c>
      <c r="B7381" s="2">
        <v>12</v>
      </c>
      <c r="C7381" s="2">
        <v>118256125</v>
      </c>
      <c r="D7381" s="2">
        <v>119301061</v>
      </c>
      <c r="E7381" s="2">
        <v>1</v>
      </c>
      <c r="F7381" s="2" t="s">
        <v>10086</v>
      </c>
      <c r="H7381" s="2">
        <v>7.0000000000000001E-3</v>
      </c>
      <c r="K7381" s="2" t="s">
        <v>10089</v>
      </c>
    </row>
    <row r="7382" spans="1:11" x14ac:dyDescent="0.2">
      <c r="A7382" s="2">
        <v>1847</v>
      </c>
      <c r="B7382" s="2">
        <v>12</v>
      </c>
      <c r="C7382" s="2">
        <v>118256125</v>
      </c>
      <c r="D7382" s="2">
        <v>119301061</v>
      </c>
      <c r="E7382" s="2">
        <v>2</v>
      </c>
      <c r="F7382" s="2" t="s">
        <v>10086</v>
      </c>
      <c r="H7382" s="2">
        <v>1.4E-3</v>
      </c>
      <c r="K7382" s="2" t="s">
        <v>10088</v>
      </c>
    </row>
    <row r="7383" spans="1:11" x14ac:dyDescent="0.2">
      <c r="A7383" s="2">
        <v>1847</v>
      </c>
      <c r="B7383" s="2">
        <v>12</v>
      </c>
      <c r="C7383" s="2">
        <v>118256125</v>
      </c>
      <c r="D7383" s="2">
        <v>119301061</v>
      </c>
      <c r="E7383" s="2">
        <v>3</v>
      </c>
      <c r="F7383" s="2" t="s">
        <v>10086</v>
      </c>
      <c r="H7383" s="2">
        <v>3.0000000000000001E-3</v>
      </c>
      <c r="K7383" s="2" t="s">
        <v>10087</v>
      </c>
    </row>
    <row r="7384" spans="1:11" x14ac:dyDescent="0.2">
      <c r="A7384" s="2">
        <v>1847</v>
      </c>
      <c r="B7384" s="2">
        <v>12</v>
      </c>
      <c r="C7384" s="2">
        <v>118256125</v>
      </c>
      <c r="D7384" s="2">
        <v>119301061</v>
      </c>
      <c r="E7384" s="2">
        <v>4</v>
      </c>
      <c r="F7384" s="2" t="s">
        <v>10086</v>
      </c>
      <c r="H7384" s="3">
        <v>6.9999999999999999E-4</v>
      </c>
      <c r="K7384" s="2" t="s">
        <v>12324</v>
      </c>
    </row>
    <row r="7385" spans="1:11" x14ac:dyDescent="0.2">
      <c r="A7385" s="2">
        <v>1848</v>
      </c>
      <c r="B7385" s="2">
        <v>12</v>
      </c>
      <c r="C7385" s="2">
        <v>119301062</v>
      </c>
      <c r="D7385" s="2">
        <v>120567740</v>
      </c>
      <c r="E7385" s="2">
        <v>1</v>
      </c>
      <c r="F7385" s="2" t="s">
        <v>10086</v>
      </c>
      <c r="H7385" s="2">
        <v>1.5E-3</v>
      </c>
      <c r="K7385" s="2" t="s">
        <v>10085</v>
      </c>
    </row>
    <row r="7386" spans="1:11" x14ac:dyDescent="0.2">
      <c r="A7386" s="2">
        <v>1848</v>
      </c>
      <c r="B7386" s="2">
        <v>12</v>
      </c>
      <c r="C7386" s="2">
        <v>119301062</v>
      </c>
      <c r="D7386" s="2">
        <v>120567740</v>
      </c>
      <c r="E7386" s="2">
        <v>2</v>
      </c>
      <c r="F7386" s="2" t="s">
        <v>10086</v>
      </c>
      <c r="H7386" s="2">
        <v>1.1000000000000001E-3</v>
      </c>
      <c r="K7386" s="2" t="s">
        <v>10089</v>
      </c>
    </row>
    <row r="7387" spans="1:11" x14ac:dyDescent="0.2">
      <c r="A7387" s="2">
        <v>1848</v>
      </c>
      <c r="B7387" s="2">
        <v>12</v>
      </c>
      <c r="C7387" s="2">
        <v>119301062</v>
      </c>
      <c r="D7387" s="2">
        <v>120567740</v>
      </c>
      <c r="E7387" s="2">
        <v>3</v>
      </c>
      <c r="F7387" s="2" t="s">
        <v>10086</v>
      </c>
      <c r="H7387" s="2">
        <v>1.1999999999999999E-3</v>
      </c>
      <c r="K7387" s="2" t="s">
        <v>10088</v>
      </c>
    </row>
    <row r="7388" spans="1:11" x14ac:dyDescent="0.2">
      <c r="A7388" s="2">
        <v>1848</v>
      </c>
      <c r="B7388" s="2">
        <v>12</v>
      </c>
      <c r="C7388" s="2">
        <v>119301062</v>
      </c>
      <c r="D7388" s="2">
        <v>120567740</v>
      </c>
      <c r="E7388" s="2">
        <v>4</v>
      </c>
      <c r="F7388" s="2" t="s">
        <v>10086</v>
      </c>
      <c r="H7388" s="3">
        <v>4.0000000000000002E-4</v>
      </c>
      <c r="K7388" s="2" t="s">
        <v>10087</v>
      </c>
    </row>
    <row r="7389" spans="1:11" x14ac:dyDescent="0.2">
      <c r="A7389" s="2">
        <v>1849</v>
      </c>
      <c r="B7389" s="2">
        <v>12</v>
      </c>
      <c r="C7389" s="2">
        <v>120567741</v>
      </c>
      <c r="D7389" s="2">
        <v>121817509</v>
      </c>
      <c r="E7389" s="2">
        <v>2</v>
      </c>
      <c r="F7389" s="2" t="s">
        <v>10086</v>
      </c>
      <c r="H7389" s="2">
        <v>1.9E-3</v>
      </c>
      <c r="K7389" s="2" t="s">
        <v>10088</v>
      </c>
    </row>
    <row r="7390" spans="1:11" x14ac:dyDescent="0.2">
      <c r="A7390" s="2">
        <v>1849</v>
      </c>
      <c r="B7390" s="2">
        <v>12</v>
      </c>
      <c r="C7390" s="2">
        <v>120567741</v>
      </c>
      <c r="D7390" s="2">
        <v>121817509</v>
      </c>
      <c r="E7390" s="2">
        <v>3</v>
      </c>
      <c r="F7390" s="2" t="s">
        <v>10086</v>
      </c>
      <c r="H7390" s="3">
        <v>8.9999999999999998E-4</v>
      </c>
      <c r="K7390" s="2" t="s">
        <v>10085</v>
      </c>
    </row>
    <row r="7391" spans="1:11" x14ac:dyDescent="0.2">
      <c r="A7391" s="2">
        <v>1850</v>
      </c>
      <c r="B7391" s="2">
        <v>12</v>
      </c>
      <c r="C7391" s="2">
        <v>121817510</v>
      </c>
      <c r="D7391" s="2">
        <v>123396634</v>
      </c>
      <c r="E7391" s="2">
        <v>1</v>
      </c>
      <c r="F7391" s="2" t="s">
        <v>10086</v>
      </c>
      <c r="H7391" s="2">
        <v>1.9599999999999999E-2</v>
      </c>
      <c r="K7391" s="2" t="s">
        <v>12324</v>
      </c>
    </row>
    <row r="7392" spans="1:11" x14ac:dyDescent="0.2">
      <c r="A7392" s="2">
        <v>1850</v>
      </c>
      <c r="B7392" s="2">
        <v>12</v>
      </c>
      <c r="C7392" s="2">
        <v>121817510</v>
      </c>
      <c r="D7392" s="2">
        <v>123396634</v>
      </c>
      <c r="E7392" s="2">
        <v>2</v>
      </c>
      <c r="F7392" s="2" t="s">
        <v>10086</v>
      </c>
      <c r="H7392" s="2">
        <v>2.0999999999999999E-3</v>
      </c>
      <c r="K7392" s="2" t="s">
        <v>10087</v>
      </c>
    </row>
    <row r="7393" spans="1:11" x14ac:dyDescent="0.2">
      <c r="A7393" s="2">
        <v>1850</v>
      </c>
      <c r="B7393" s="2">
        <v>12</v>
      </c>
      <c r="C7393" s="2">
        <v>121817510</v>
      </c>
      <c r="D7393" s="2">
        <v>123396634</v>
      </c>
      <c r="E7393" s="2">
        <v>3</v>
      </c>
      <c r="F7393" s="2" t="s">
        <v>10086</v>
      </c>
      <c r="H7393" s="2">
        <v>1.5E-3</v>
      </c>
      <c r="K7393" s="2" t="s">
        <v>10088</v>
      </c>
    </row>
    <row r="7394" spans="1:11" x14ac:dyDescent="0.2">
      <c r="A7394" s="2">
        <v>1850</v>
      </c>
      <c r="B7394" s="2">
        <v>12</v>
      </c>
      <c r="C7394" s="2">
        <v>121817510</v>
      </c>
      <c r="D7394" s="2">
        <v>123396634</v>
      </c>
      <c r="E7394" s="2">
        <v>4</v>
      </c>
      <c r="F7394" s="2" t="s">
        <v>10086</v>
      </c>
      <c r="H7394" s="2">
        <v>1.4E-3</v>
      </c>
      <c r="K7394" s="2" t="s">
        <v>10085</v>
      </c>
    </row>
    <row r="7395" spans="1:11" x14ac:dyDescent="0.2">
      <c r="A7395" s="2">
        <v>1851</v>
      </c>
      <c r="B7395" s="2">
        <v>12</v>
      </c>
      <c r="C7395" s="2">
        <v>123396635</v>
      </c>
      <c r="D7395" s="2">
        <v>124843768</v>
      </c>
      <c r="E7395" s="2">
        <v>1</v>
      </c>
      <c r="F7395" s="2" t="s">
        <v>10086</v>
      </c>
      <c r="H7395" s="2">
        <v>5.4000000000000003E-3</v>
      </c>
      <c r="K7395" s="2" t="s">
        <v>10088</v>
      </c>
    </row>
    <row r="7396" spans="1:11" x14ac:dyDescent="0.2">
      <c r="A7396" s="2">
        <v>1851</v>
      </c>
      <c r="B7396" s="2">
        <v>12</v>
      </c>
      <c r="C7396" s="2">
        <v>123396635</v>
      </c>
      <c r="D7396" s="2">
        <v>124843768</v>
      </c>
      <c r="E7396" s="2">
        <v>2</v>
      </c>
      <c r="F7396" s="2" t="s">
        <v>10086</v>
      </c>
      <c r="H7396" s="2">
        <v>7.6E-3</v>
      </c>
      <c r="K7396" s="2" t="s">
        <v>10089</v>
      </c>
    </row>
    <row r="7397" spans="1:11" x14ac:dyDescent="0.2">
      <c r="A7397" s="2">
        <v>1851</v>
      </c>
      <c r="B7397" s="2">
        <v>12</v>
      </c>
      <c r="C7397" s="2">
        <v>123396635</v>
      </c>
      <c r="D7397" s="2">
        <v>124843768</v>
      </c>
      <c r="E7397" s="2">
        <v>3</v>
      </c>
      <c r="F7397" s="2" t="s">
        <v>10086</v>
      </c>
      <c r="H7397" s="2">
        <v>1.6000000000000001E-3</v>
      </c>
      <c r="K7397" s="2" t="s">
        <v>12324</v>
      </c>
    </row>
    <row r="7398" spans="1:11" x14ac:dyDescent="0.2">
      <c r="A7398" s="2">
        <v>1851</v>
      </c>
      <c r="B7398" s="2">
        <v>12</v>
      </c>
      <c r="C7398" s="2">
        <v>123396635</v>
      </c>
      <c r="D7398" s="2">
        <v>124843768</v>
      </c>
      <c r="E7398" s="2">
        <v>4</v>
      </c>
      <c r="F7398" s="2" t="s">
        <v>10086</v>
      </c>
      <c r="H7398" s="2">
        <v>1.4E-3</v>
      </c>
      <c r="K7398" s="2" t="s">
        <v>10087</v>
      </c>
    </row>
    <row r="7399" spans="1:11" x14ac:dyDescent="0.2">
      <c r="A7399" s="2">
        <v>1852</v>
      </c>
      <c r="B7399" s="2">
        <v>12</v>
      </c>
      <c r="C7399" s="2">
        <v>124843769</v>
      </c>
      <c r="D7399" s="2">
        <v>126079935</v>
      </c>
      <c r="E7399" s="2">
        <v>1</v>
      </c>
      <c r="F7399" s="2" t="s">
        <v>10086</v>
      </c>
      <c r="H7399" s="2">
        <v>4.4000000000000003E-3</v>
      </c>
      <c r="K7399" s="2" t="s">
        <v>12324</v>
      </c>
    </row>
    <row r="7400" spans="1:11" x14ac:dyDescent="0.2">
      <c r="A7400" s="2">
        <v>1852</v>
      </c>
      <c r="B7400" s="2">
        <v>12</v>
      </c>
      <c r="C7400" s="2">
        <v>124843769</v>
      </c>
      <c r="D7400" s="2">
        <v>126079935</v>
      </c>
      <c r="E7400" s="2">
        <v>2</v>
      </c>
      <c r="F7400" s="2" t="s">
        <v>10086</v>
      </c>
      <c r="H7400" s="2">
        <v>1.9E-3</v>
      </c>
      <c r="K7400" s="2" t="s">
        <v>10087</v>
      </c>
    </row>
    <row r="7401" spans="1:11" x14ac:dyDescent="0.2">
      <c r="A7401" s="2">
        <v>1852</v>
      </c>
      <c r="B7401" s="2">
        <v>12</v>
      </c>
      <c r="C7401" s="2">
        <v>124843769</v>
      </c>
      <c r="D7401" s="2">
        <v>126079935</v>
      </c>
      <c r="E7401" s="2">
        <v>3</v>
      </c>
      <c r="F7401" s="2" t="s">
        <v>10086</v>
      </c>
      <c r="H7401" s="2">
        <v>1.8E-3</v>
      </c>
      <c r="K7401" s="2" t="s">
        <v>10085</v>
      </c>
    </row>
    <row r="7402" spans="1:11" x14ac:dyDescent="0.2">
      <c r="A7402" s="2">
        <v>1852</v>
      </c>
      <c r="B7402" s="2">
        <v>12</v>
      </c>
      <c r="C7402" s="2">
        <v>124843769</v>
      </c>
      <c r="D7402" s="2">
        <v>126079935</v>
      </c>
      <c r="E7402" s="2">
        <v>4</v>
      </c>
      <c r="F7402" s="2" t="s">
        <v>10086</v>
      </c>
      <c r="H7402" s="2">
        <v>1.9E-3</v>
      </c>
      <c r="K7402" s="2" t="s">
        <v>10089</v>
      </c>
    </row>
    <row r="7403" spans="1:11" x14ac:dyDescent="0.2">
      <c r="A7403" s="2">
        <v>1853</v>
      </c>
      <c r="B7403" s="2">
        <v>12</v>
      </c>
      <c r="C7403" s="2">
        <v>126079936</v>
      </c>
      <c r="D7403" s="2">
        <v>126871452</v>
      </c>
      <c r="E7403" s="2">
        <v>1</v>
      </c>
      <c r="F7403" s="2" t="s">
        <v>10086</v>
      </c>
      <c r="H7403" s="2">
        <v>1.0500000000000001E-2</v>
      </c>
      <c r="K7403" s="2" t="s">
        <v>10088</v>
      </c>
    </row>
    <row r="7404" spans="1:11" x14ac:dyDescent="0.2">
      <c r="A7404" s="2">
        <v>1853</v>
      </c>
      <c r="B7404" s="2">
        <v>12</v>
      </c>
      <c r="C7404" s="2">
        <v>126079936</v>
      </c>
      <c r="D7404" s="2">
        <v>126871452</v>
      </c>
      <c r="E7404" s="2">
        <v>2</v>
      </c>
      <c r="F7404" s="2" t="s">
        <v>10086</v>
      </c>
      <c r="H7404" s="2">
        <v>1.1999999999999999E-3</v>
      </c>
      <c r="K7404" s="2" t="s">
        <v>10085</v>
      </c>
    </row>
    <row r="7405" spans="1:11" x14ac:dyDescent="0.2">
      <c r="A7405" s="2">
        <v>1853</v>
      </c>
      <c r="B7405" s="2">
        <v>12</v>
      </c>
      <c r="C7405" s="2">
        <v>126079936</v>
      </c>
      <c r="D7405" s="2">
        <v>126871452</v>
      </c>
      <c r="E7405" s="2">
        <v>3</v>
      </c>
      <c r="F7405" s="2" t="s">
        <v>10086</v>
      </c>
      <c r="H7405" s="3">
        <v>8.9999999999999998E-4</v>
      </c>
      <c r="K7405" s="2" t="s">
        <v>10089</v>
      </c>
    </row>
    <row r="7406" spans="1:11" x14ac:dyDescent="0.2">
      <c r="A7406" s="2">
        <v>1853</v>
      </c>
      <c r="B7406" s="2">
        <v>12</v>
      </c>
      <c r="C7406" s="2">
        <v>126079936</v>
      </c>
      <c r="D7406" s="2">
        <v>126871452</v>
      </c>
      <c r="E7406" s="2">
        <v>4</v>
      </c>
      <c r="F7406" s="2" t="s">
        <v>10086</v>
      </c>
      <c r="H7406" s="3">
        <v>4.0000000000000002E-4</v>
      </c>
      <c r="K7406" s="2" t="s">
        <v>10087</v>
      </c>
    </row>
    <row r="7407" spans="1:11" x14ac:dyDescent="0.2">
      <c r="A7407" s="2">
        <v>1854</v>
      </c>
      <c r="B7407" s="2">
        <v>12</v>
      </c>
      <c r="C7407" s="2">
        <v>126871453</v>
      </c>
      <c r="D7407" s="2">
        <v>127545377</v>
      </c>
      <c r="E7407" s="2">
        <v>1</v>
      </c>
      <c r="F7407" s="2" t="s">
        <v>10086</v>
      </c>
      <c r="H7407" s="2">
        <v>2.8E-3</v>
      </c>
      <c r="K7407" s="2" t="s">
        <v>10085</v>
      </c>
    </row>
    <row r="7408" spans="1:11" x14ac:dyDescent="0.2">
      <c r="A7408" s="2">
        <v>1854</v>
      </c>
      <c r="B7408" s="2">
        <v>12</v>
      </c>
      <c r="C7408" s="2">
        <v>126871453</v>
      </c>
      <c r="D7408" s="2">
        <v>127545377</v>
      </c>
      <c r="E7408" s="2">
        <v>2</v>
      </c>
      <c r="F7408" s="2" t="s">
        <v>10086</v>
      </c>
      <c r="H7408" s="2">
        <v>1.1999999999999999E-3</v>
      </c>
      <c r="K7408" s="2" t="s">
        <v>10089</v>
      </c>
    </row>
    <row r="7409" spans="1:11" x14ac:dyDescent="0.2">
      <c r="A7409" s="2">
        <v>1854</v>
      </c>
      <c r="B7409" s="2">
        <v>12</v>
      </c>
      <c r="C7409" s="2">
        <v>126871453</v>
      </c>
      <c r="D7409" s="2">
        <v>127545377</v>
      </c>
      <c r="E7409" s="2">
        <v>3</v>
      </c>
      <c r="F7409" s="2" t="s">
        <v>10086</v>
      </c>
      <c r="H7409" s="3">
        <v>8.0000000000000004E-4</v>
      </c>
      <c r="K7409" s="2" t="s">
        <v>10087</v>
      </c>
    </row>
    <row r="7410" spans="1:11" x14ac:dyDescent="0.2">
      <c r="A7410" s="2">
        <v>1854</v>
      </c>
      <c r="B7410" s="2">
        <v>12</v>
      </c>
      <c r="C7410" s="2">
        <v>126871453</v>
      </c>
      <c r="D7410" s="2">
        <v>127545377</v>
      </c>
      <c r="E7410" s="2">
        <v>4</v>
      </c>
      <c r="F7410" s="2" t="s">
        <v>10086</v>
      </c>
      <c r="H7410" s="3">
        <v>4.0000000000000002E-4</v>
      </c>
      <c r="K7410" s="2" t="s">
        <v>10088</v>
      </c>
    </row>
    <row r="7411" spans="1:11" x14ac:dyDescent="0.2">
      <c r="A7411" s="2">
        <v>1855</v>
      </c>
      <c r="B7411" s="2">
        <v>12</v>
      </c>
      <c r="C7411" s="2">
        <v>127545378</v>
      </c>
      <c r="D7411" s="2">
        <v>128372588</v>
      </c>
      <c r="E7411" s="2">
        <v>1</v>
      </c>
      <c r="F7411" s="2" t="s">
        <v>10086</v>
      </c>
      <c r="H7411" s="2">
        <v>1.6000000000000001E-3</v>
      </c>
      <c r="K7411" s="2" t="s">
        <v>10089</v>
      </c>
    </row>
    <row r="7412" spans="1:11" x14ac:dyDescent="0.2">
      <c r="A7412" s="2">
        <v>1855</v>
      </c>
      <c r="B7412" s="2">
        <v>12</v>
      </c>
      <c r="C7412" s="2">
        <v>127545378</v>
      </c>
      <c r="D7412" s="2">
        <v>128372588</v>
      </c>
      <c r="E7412" s="2">
        <v>2</v>
      </c>
      <c r="F7412" s="2" t="s">
        <v>10086</v>
      </c>
      <c r="H7412" s="3">
        <v>8.0000000000000004E-4</v>
      </c>
      <c r="K7412" s="2" t="s">
        <v>10088</v>
      </c>
    </row>
    <row r="7413" spans="1:11" x14ac:dyDescent="0.2">
      <c r="A7413" s="2">
        <v>1855</v>
      </c>
      <c r="B7413" s="2">
        <v>12</v>
      </c>
      <c r="C7413" s="2">
        <v>127545378</v>
      </c>
      <c r="D7413" s="2">
        <v>128372588</v>
      </c>
      <c r="E7413" s="2">
        <v>3</v>
      </c>
      <c r="F7413" s="2" t="s">
        <v>10086</v>
      </c>
      <c r="H7413" s="3">
        <v>8.0000000000000004E-4</v>
      </c>
      <c r="K7413" s="2" t="s">
        <v>10085</v>
      </c>
    </row>
    <row r="7414" spans="1:11" x14ac:dyDescent="0.2">
      <c r="A7414" s="2">
        <v>1855</v>
      </c>
      <c r="B7414" s="2">
        <v>12</v>
      </c>
      <c r="C7414" s="2">
        <v>127545378</v>
      </c>
      <c r="D7414" s="2">
        <v>128372588</v>
      </c>
      <c r="E7414" s="2">
        <v>4</v>
      </c>
      <c r="F7414" s="2" t="s">
        <v>10086</v>
      </c>
      <c r="H7414" s="3">
        <v>5.0000000000000001E-4</v>
      </c>
      <c r="K7414" s="2" t="s">
        <v>10087</v>
      </c>
    </row>
    <row r="7415" spans="1:11" x14ac:dyDescent="0.2">
      <c r="A7415" s="2">
        <v>1856</v>
      </c>
      <c r="B7415" s="2">
        <v>12</v>
      </c>
      <c r="C7415" s="2">
        <v>128372589</v>
      </c>
      <c r="D7415" s="2">
        <v>129170296</v>
      </c>
      <c r="E7415" s="2">
        <v>1</v>
      </c>
      <c r="F7415" s="2" t="s">
        <v>10086</v>
      </c>
      <c r="H7415" s="2">
        <v>1.5E-3</v>
      </c>
      <c r="K7415" s="2" t="s">
        <v>10088</v>
      </c>
    </row>
    <row r="7416" spans="1:11" x14ac:dyDescent="0.2">
      <c r="A7416" s="2">
        <v>1856</v>
      </c>
      <c r="B7416" s="2">
        <v>12</v>
      </c>
      <c r="C7416" s="2">
        <v>128372589</v>
      </c>
      <c r="D7416" s="2">
        <v>129170296</v>
      </c>
      <c r="E7416" s="2">
        <v>2</v>
      </c>
      <c r="F7416" s="2" t="s">
        <v>10086</v>
      </c>
      <c r="H7416" s="2">
        <v>1E-3</v>
      </c>
      <c r="K7416" s="2" t="s">
        <v>10085</v>
      </c>
    </row>
    <row r="7417" spans="1:11" x14ac:dyDescent="0.2">
      <c r="A7417" s="2">
        <v>1856</v>
      </c>
      <c r="B7417" s="2">
        <v>12</v>
      </c>
      <c r="C7417" s="2">
        <v>128372589</v>
      </c>
      <c r="D7417" s="2">
        <v>129170296</v>
      </c>
      <c r="E7417" s="2">
        <v>3</v>
      </c>
      <c r="F7417" s="2" t="s">
        <v>10086</v>
      </c>
      <c r="H7417" s="3">
        <v>8.0000000000000004E-4</v>
      </c>
      <c r="K7417" s="2" t="s">
        <v>10087</v>
      </c>
    </row>
    <row r="7418" spans="1:11" x14ac:dyDescent="0.2">
      <c r="A7418" s="2">
        <v>1856</v>
      </c>
      <c r="B7418" s="2">
        <v>12</v>
      </c>
      <c r="C7418" s="2">
        <v>128372589</v>
      </c>
      <c r="D7418" s="2">
        <v>129170296</v>
      </c>
      <c r="E7418" s="2">
        <v>4</v>
      </c>
      <c r="F7418" s="2" t="s">
        <v>10086</v>
      </c>
      <c r="H7418" s="3">
        <v>4.0000000000000002E-4</v>
      </c>
      <c r="K7418" s="2" t="s">
        <v>10089</v>
      </c>
    </row>
    <row r="7419" spans="1:11" x14ac:dyDescent="0.2">
      <c r="A7419" s="2">
        <v>1857</v>
      </c>
      <c r="B7419" s="2">
        <v>12</v>
      </c>
      <c r="C7419" s="2">
        <v>129170297</v>
      </c>
      <c r="D7419" s="2">
        <v>129887418</v>
      </c>
      <c r="E7419" s="2">
        <v>1</v>
      </c>
      <c r="F7419" s="2" t="s">
        <v>10086</v>
      </c>
      <c r="H7419" s="2">
        <v>2.5999999999999999E-3</v>
      </c>
      <c r="K7419" s="2" t="s">
        <v>10085</v>
      </c>
    </row>
    <row r="7420" spans="1:11" x14ac:dyDescent="0.2">
      <c r="A7420" s="2">
        <v>1857</v>
      </c>
      <c r="B7420" s="2">
        <v>12</v>
      </c>
      <c r="C7420" s="2">
        <v>129170297</v>
      </c>
      <c r="D7420" s="2">
        <v>129887418</v>
      </c>
      <c r="E7420" s="2">
        <v>2</v>
      </c>
      <c r="F7420" s="2" t="s">
        <v>10086</v>
      </c>
      <c r="H7420" s="2">
        <v>1.6999999999999999E-3</v>
      </c>
      <c r="K7420" s="2" t="s">
        <v>10087</v>
      </c>
    </row>
    <row r="7421" spans="1:11" x14ac:dyDescent="0.2">
      <c r="A7421" s="2">
        <v>1857</v>
      </c>
      <c r="B7421" s="2">
        <v>12</v>
      </c>
      <c r="C7421" s="2">
        <v>129170297</v>
      </c>
      <c r="D7421" s="2">
        <v>129887418</v>
      </c>
      <c r="E7421" s="2">
        <v>3</v>
      </c>
      <c r="F7421" s="2" t="s">
        <v>10086</v>
      </c>
      <c r="H7421" s="3">
        <v>8.9999999999999998E-4</v>
      </c>
      <c r="K7421" s="2" t="s">
        <v>10089</v>
      </c>
    </row>
    <row r="7422" spans="1:11" x14ac:dyDescent="0.2">
      <c r="A7422" s="2">
        <v>1857</v>
      </c>
      <c r="B7422" s="2">
        <v>12</v>
      </c>
      <c r="C7422" s="2">
        <v>129170297</v>
      </c>
      <c r="D7422" s="2">
        <v>129887418</v>
      </c>
      <c r="E7422" s="2">
        <v>4</v>
      </c>
      <c r="F7422" s="2" t="s">
        <v>10086</v>
      </c>
      <c r="H7422" s="3">
        <v>8.9999999999999998E-4</v>
      </c>
      <c r="K7422" s="2" t="s">
        <v>10088</v>
      </c>
    </row>
    <row r="7423" spans="1:11" x14ac:dyDescent="0.2">
      <c r="A7423" s="2">
        <v>1858</v>
      </c>
      <c r="B7423" s="2">
        <v>12</v>
      </c>
      <c r="C7423" s="2">
        <v>129887419</v>
      </c>
      <c r="D7423" s="2">
        <v>130629840</v>
      </c>
      <c r="E7423" s="2">
        <v>1</v>
      </c>
      <c r="F7423" s="2" t="s">
        <v>10086</v>
      </c>
      <c r="H7423" s="2">
        <v>1.8E-3</v>
      </c>
      <c r="K7423" s="2" t="s">
        <v>10087</v>
      </c>
    </row>
    <row r="7424" spans="1:11" x14ac:dyDescent="0.2">
      <c r="A7424" s="2">
        <v>1858</v>
      </c>
      <c r="B7424" s="2">
        <v>12</v>
      </c>
      <c r="C7424" s="2">
        <v>129887419</v>
      </c>
      <c r="D7424" s="2">
        <v>130629840</v>
      </c>
      <c r="E7424" s="2">
        <v>2</v>
      </c>
      <c r="F7424" s="2" t="s">
        <v>10086</v>
      </c>
      <c r="H7424" s="2">
        <v>1.1999999999999999E-3</v>
      </c>
      <c r="K7424" s="2" t="s">
        <v>10085</v>
      </c>
    </row>
    <row r="7425" spans="1:11" x14ac:dyDescent="0.2">
      <c r="A7425" s="2">
        <v>1858</v>
      </c>
      <c r="B7425" s="2">
        <v>12</v>
      </c>
      <c r="C7425" s="2">
        <v>129887419</v>
      </c>
      <c r="D7425" s="2">
        <v>130629840</v>
      </c>
      <c r="E7425" s="2">
        <v>3</v>
      </c>
      <c r="F7425" s="2" t="s">
        <v>10086</v>
      </c>
      <c r="H7425" s="2">
        <v>1.2999999999999999E-3</v>
      </c>
      <c r="K7425" s="2" t="s">
        <v>10089</v>
      </c>
    </row>
    <row r="7426" spans="1:11" x14ac:dyDescent="0.2">
      <c r="A7426" s="2">
        <v>1858</v>
      </c>
      <c r="B7426" s="2">
        <v>12</v>
      </c>
      <c r="C7426" s="2">
        <v>129887419</v>
      </c>
      <c r="D7426" s="2">
        <v>130629840</v>
      </c>
      <c r="E7426" s="2">
        <v>4</v>
      </c>
      <c r="F7426" s="2" t="s">
        <v>10086</v>
      </c>
      <c r="H7426" s="3">
        <v>5.9999999999999995E-4</v>
      </c>
      <c r="K7426" s="2" t="s">
        <v>10088</v>
      </c>
    </row>
    <row r="7427" spans="1:11" x14ac:dyDescent="0.2">
      <c r="A7427" s="2">
        <v>1859</v>
      </c>
      <c r="B7427" s="2">
        <v>12</v>
      </c>
      <c r="C7427" s="2">
        <v>130629841</v>
      </c>
      <c r="D7427" s="2">
        <v>131404042</v>
      </c>
      <c r="E7427" s="2">
        <v>1</v>
      </c>
      <c r="F7427" s="2" t="s">
        <v>10086</v>
      </c>
      <c r="H7427" s="2">
        <v>2.7000000000000001E-3</v>
      </c>
      <c r="K7427" s="2" t="s">
        <v>10088</v>
      </c>
    </row>
    <row r="7428" spans="1:11" x14ac:dyDescent="0.2">
      <c r="A7428" s="2">
        <v>1859</v>
      </c>
      <c r="B7428" s="2">
        <v>12</v>
      </c>
      <c r="C7428" s="2">
        <v>130629841</v>
      </c>
      <c r="D7428" s="2">
        <v>131404042</v>
      </c>
      <c r="E7428" s="2">
        <v>2</v>
      </c>
      <c r="F7428" s="2" t="s">
        <v>10086</v>
      </c>
      <c r="H7428" s="2">
        <v>1.8E-3</v>
      </c>
      <c r="K7428" s="2" t="s">
        <v>10085</v>
      </c>
    </row>
    <row r="7429" spans="1:11" x14ac:dyDescent="0.2">
      <c r="A7429" s="2">
        <v>1859</v>
      </c>
      <c r="B7429" s="2">
        <v>12</v>
      </c>
      <c r="C7429" s="2">
        <v>130629841</v>
      </c>
      <c r="D7429" s="2">
        <v>131404042</v>
      </c>
      <c r="E7429" s="2">
        <v>3</v>
      </c>
      <c r="F7429" s="2" t="s">
        <v>10086</v>
      </c>
      <c r="H7429" s="2">
        <v>1.4E-3</v>
      </c>
      <c r="K7429" s="2" t="s">
        <v>10089</v>
      </c>
    </row>
    <row r="7430" spans="1:11" x14ac:dyDescent="0.2">
      <c r="A7430" s="2">
        <v>1859</v>
      </c>
      <c r="B7430" s="2">
        <v>12</v>
      </c>
      <c r="C7430" s="2">
        <v>130629841</v>
      </c>
      <c r="D7430" s="2">
        <v>131404042</v>
      </c>
      <c r="E7430" s="2">
        <v>4</v>
      </c>
      <c r="F7430" s="2" t="s">
        <v>10086</v>
      </c>
      <c r="H7430" s="3">
        <v>5.9999999999999995E-4</v>
      </c>
      <c r="K7430" s="2" t="s">
        <v>10087</v>
      </c>
    </row>
    <row r="7431" spans="1:11" x14ac:dyDescent="0.2">
      <c r="A7431" s="2">
        <v>1860</v>
      </c>
      <c r="B7431" s="2">
        <v>12</v>
      </c>
      <c r="C7431" s="2">
        <v>131404043</v>
      </c>
      <c r="D7431" s="2">
        <v>132012316</v>
      </c>
      <c r="E7431" s="2">
        <v>1</v>
      </c>
      <c r="F7431" s="2" t="s">
        <v>10086</v>
      </c>
      <c r="H7431" s="2">
        <v>1.1999999999999999E-3</v>
      </c>
      <c r="K7431" s="2" t="s">
        <v>10088</v>
      </c>
    </row>
    <row r="7432" spans="1:11" x14ac:dyDescent="0.2">
      <c r="A7432" s="2">
        <v>1860</v>
      </c>
      <c r="B7432" s="2">
        <v>12</v>
      </c>
      <c r="C7432" s="2">
        <v>131404043</v>
      </c>
      <c r="D7432" s="2">
        <v>132012316</v>
      </c>
      <c r="E7432" s="2">
        <v>2</v>
      </c>
      <c r="F7432" s="2" t="s">
        <v>10086</v>
      </c>
      <c r="H7432" s="2">
        <v>1.5E-3</v>
      </c>
      <c r="K7432" s="2" t="s">
        <v>10089</v>
      </c>
    </row>
    <row r="7433" spans="1:11" x14ac:dyDescent="0.2">
      <c r="A7433" s="2">
        <v>1860</v>
      </c>
      <c r="B7433" s="2">
        <v>12</v>
      </c>
      <c r="C7433" s="2">
        <v>131404043</v>
      </c>
      <c r="D7433" s="2">
        <v>132012316</v>
      </c>
      <c r="E7433" s="2">
        <v>3</v>
      </c>
      <c r="F7433" s="2" t="s">
        <v>10086</v>
      </c>
      <c r="H7433" s="3">
        <v>6.9999999999999999E-4</v>
      </c>
      <c r="K7433" s="2" t="s">
        <v>10087</v>
      </c>
    </row>
    <row r="7434" spans="1:11" x14ac:dyDescent="0.2">
      <c r="A7434" s="2">
        <v>1860</v>
      </c>
      <c r="B7434" s="2">
        <v>12</v>
      </c>
      <c r="C7434" s="2">
        <v>131404043</v>
      </c>
      <c r="D7434" s="2">
        <v>132012316</v>
      </c>
      <c r="E7434" s="2">
        <v>4</v>
      </c>
      <c r="F7434" s="2" t="s">
        <v>10086</v>
      </c>
      <c r="H7434" s="3">
        <v>2.9999999999999997E-4</v>
      </c>
      <c r="K7434" s="2" t="s">
        <v>10085</v>
      </c>
    </row>
    <row r="7435" spans="1:11" x14ac:dyDescent="0.2">
      <c r="A7435" s="2">
        <v>1861</v>
      </c>
      <c r="B7435" s="2">
        <v>12</v>
      </c>
      <c r="C7435" s="2">
        <v>132012317</v>
      </c>
      <c r="D7435" s="2">
        <v>132957945</v>
      </c>
      <c r="E7435" s="2">
        <v>1</v>
      </c>
      <c r="F7435" s="2" t="s">
        <v>10086</v>
      </c>
      <c r="H7435" s="2">
        <v>1.6999999999999999E-3</v>
      </c>
      <c r="K7435" s="2" t="s">
        <v>10087</v>
      </c>
    </row>
    <row r="7436" spans="1:11" x14ac:dyDescent="0.2">
      <c r="A7436" s="2">
        <v>1861</v>
      </c>
      <c r="B7436" s="2">
        <v>12</v>
      </c>
      <c r="C7436" s="2">
        <v>132012317</v>
      </c>
      <c r="D7436" s="2">
        <v>132957945</v>
      </c>
      <c r="E7436" s="2">
        <v>2</v>
      </c>
      <c r="F7436" s="2" t="s">
        <v>10086</v>
      </c>
      <c r="H7436" s="2">
        <v>2.3999999999999998E-3</v>
      </c>
      <c r="K7436" s="2" t="s">
        <v>10088</v>
      </c>
    </row>
    <row r="7437" spans="1:11" x14ac:dyDescent="0.2">
      <c r="A7437" s="2">
        <v>1861</v>
      </c>
      <c r="B7437" s="2">
        <v>12</v>
      </c>
      <c r="C7437" s="2">
        <v>132012317</v>
      </c>
      <c r="D7437" s="2">
        <v>132957945</v>
      </c>
      <c r="E7437" s="2">
        <v>3</v>
      </c>
      <c r="F7437" s="2" t="s">
        <v>10086</v>
      </c>
      <c r="H7437" s="3">
        <v>5.9999999999999995E-4</v>
      </c>
      <c r="K7437" s="2" t="s">
        <v>10085</v>
      </c>
    </row>
    <row r="7438" spans="1:11" x14ac:dyDescent="0.2">
      <c r="A7438" s="2">
        <v>1861</v>
      </c>
      <c r="B7438" s="2">
        <v>12</v>
      </c>
      <c r="C7438" s="2">
        <v>132012317</v>
      </c>
      <c r="D7438" s="2">
        <v>132957945</v>
      </c>
      <c r="E7438" s="2">
        <v>4</v>
      </c>
      <c r="F7438" s="2" t="s">
        <v>10086</v>
      </c>
      <c r="H7438" s="3">
        <v>4.0000000000000002E-4</v>
      </c>
      <c r="K7438" s="2" t="s">
        <v>10089</v>
      </c>
    </row>
    <row r="7439" spans="1:11" x14ac:dyDescent="0.2">
      <c r="A7439" s="2">
        <v>1862</v>
      </c>
      <c r="B7439" s="2">
        <v>12</v>
      </c>
      <c r="C7439" s="2">
        <v>132957946</v>
      </c>
      <c r="D7439" s="2">
        <v>133841814</v>
      </c>
      <c r="E7439" s="2">
        <v>1</v>
      </c>
      <c r="F7439" s="2" t="s">
        <v>10086</v>
      </c>
      <c r="H7439" s="2">
        <v>1.6999999999999999E-3</v>
      </c>
      <c r="K7439" s="2" t="s">
        <v>10087</v>
      </c>
    </row>
    <row r="7440" spans="1:11" x14ac:dyDescent="0.2">
      <c r="A7440" s="2">
        <v>1862</v>
      </c>
      <c r="B7440" s="2">
        <v>12</v>
      </c>
      <c r="C7440" s="2">
        <v>132957946</v>
      </c>
      <c r="D7440" s="2">
        <v>133841814</v>
      </c>
      <c r="E7440" s="2">
        <v>2</v>
      </c>
      <c r="F7440" s="2" t="s">
        <v>10086</v>
      </c>
      <c r="H7440" s="2">
        <v>1.2999999999999999E-3</v>
      </c>
      <c r="K7440" s="2" t="s">
        <v>10089</v>
      </c>
    </row>
    <row r="7441" spans="1:11" x14ac:dyDescent="0.2">
      <c r="A7441" s="2">
        <v>1862</v>
      </c>
      <c r="B7441" s="2">
        <v>12</v>
      </c>
      <c r="C7441" s="2">
        <v>132957946</v>
      </c>
      <c r="D7441" s="2">
        <v>133841814</v>
      </c>
      <c r="E7441" s="2">
        <v>3</v>
      </c>
      <c r="F7441" s="2" t="s">
        <v>10086</v>
      </c>
      <c r="H7441" s="2">
        <v>1.1000000000000001E-3</v>
      </c>
      <c r="K7441" s="2" t="s">
        <v>10088</v>
      </c>
    </row>
    <row r="7442" spans="1:11" x14ac:dyDescent="0.2">
      <c r="A7442" s="2">
        <v>1862</v>
      </c>
      <c r="B7442" s="2">
        <v>12</v>
      </c>
      <c r="C7442" s="2">
        <v>132957946</v>
      </c>
      <c r="D7442" s="2">
        <v>133841814</v>
      </c>
      <c r="E7442" s="2">
        <v>4</v>
      </c>
      <c r="F7442" s="2" t="s">
        <v>10086</v>
      </c>
      <c r="H7442" s="3">
        <v>5.0000000000000001E-4</v>
      </c>
      <c r="K7442" s="2" t="s">
        <v>10085</v>
      </c>
    </row>
    <row r="7443" spans="1:11" x14ac:dyDescent="0.2">
      <c r="A7443" s="2">
        <v>1863</v>
      </c>
      <c r="B7443" s="2">
        <v>13</v>
      </c>
      <c r="C7443" s="2">
        <v>19020095</v>
      </c>
      <c r="D7443" s="2">
        <v>19648628</v>
      </c>
      <c r="E7443" s="2">
        <v>1</v>
      </c>
      <c r="F7443" s="2" t="s">
        <v>10086</v>
      </c>
      <c r="H7443" s="2">
        <v>2.8999999999999998E-3</v>
      </c>
      <c r="K7443" s="2" t="s">
        <v>10089</v>
      </c>
    </row>
    <row r="7444" spans="1:11" x14ac:dyDescent="0.2">
      <c r="A7444" s="2">
        <v>1863</v>
      </c>
      <c r="B7444" s="2">
        <v>13</v>
      </c>
      <c r="C7444" s="2">
        <v>19020095</v>
      </c>
      <c r="D7444" s="2">
        <v>19648628</v>
      </c>
      <c r="E7444" s="2">
        <v>2</v>
      </c>
      <c r="F7444" s="2" t="s">
        <v>10086</v>
      </c>
      <c r="H7444" s="2">
        <v>2.3E-3</v>
      </c>
      <c r="K7444" s="2" t="s">
        <v>10088</v>
      </c>
    </row>
    <row r="7445" spans="1:11" x14ac:dyDescent="0.2">
      <c r="A7445" s="2">
        <v>1863</v>
      </c>
      <c r="B7445" s="2">
        <v>13</v>
      </c>
      <c r="C7445" s="2">
        <v>19020095</v>
      </c>
      <c r="D7445" s="2">
        <v>19648628</v>
      </c>
      <c r="E7445" s="2">
        <v>3</v>
      </c>
      <c r="F7445" s="2" t="s">
        <v>10086</v>
      </c>
      <c r="H7445" s="3">
        <v>8.9999999999999998E-4</v>
      </c>
      <c r="K7445" s="2" t="s">
        <v>10087</v>
      </c>
    </row>
    <row r="7446" spans="1:11" x14ac:dyDescent="0.2">
      <c r="A7446" s="2">
        <v>1863</v>
      </c>
      <c r="B7446" s="2">
        <v>13</v>
      </c>
      <c r="C7446" s="2">
        <v>19020095</v>
      </c>
      <c r="D7446" s="2">
        <v>19648628</v>
      </c>
      <c r="E7446" s="2">
        <v>4</v>
      </c>
      <c r="F7446" s="2" t="s">
        <v>10086</v>
      </c>
      <c r="H7446" s="3">
        <v>4.0000000000000002E-4</v>
      </c>
      <c r="K7446" s="2" t="s">
        <v>10085</v>
      </c>
    </row>
    <row r="7447" spans="1:11" x14ac:dyDescent="0.2">
      <c r="A7447" s="2">
        <v>1864</v>
      </c>
      <c r="B7447" s="2">
        <v>13</v>
      </c>
      <c r="C7447" s="2">
        <v>19648629</v>
      </c>
      <c r="D7447" s="2">
        <v>20491181</v>
      </c>
      <c r="E7447" s="2">
        <v>1</v>
      </c>
      <c r="F7447" s="2" t="s">
        <v>10086</v>
      </c>
      <c r="H7447" s="2">
        <v>1.5E-3</v>
      </c>
      <c r="K7447" s="2" t="s">
        <v>10088</v>
      </c>
    </row>
    <row r="7448" spans="1:11" x14ac:dyDescent="0.2">
      <c r="A7448" s="2">
        <v>1864</v>
      </c>
      <c r="B7448" s="2">
        <v>13</v>
      </c>
      <c r="C7448" s="2">
        <v>19648629</v>
      </c>
      <c r="D7448" s="2">
        <v>20491181</v>
      </c>
      <c r="E7448" s="2">
        <v>2</v>
      </c>
      <c r="F7448" s="2" t="s">
        <v>10086</v>
      </c>
      <c r="H7448" s="2">
        <v>1.1000000000000001E-3</v>
      </c>
      <c r="K7448" s="2" t="s">
        <v>10087</v>
      </c>
    </row>
    <row r="7449" spans="1:11" x14ac:dyDescent="0.2">
      <c r="A7449" s="2">
        <v>1864</v>
      </c>
      <c r="B7449" s="2">
        <v>13</v>
      </c>
      <c r="C7449" s="2">
        <v>19648629</v>
      </c>
      <c r="D7449" s="2">
        <v>20491181</v>
      </c>
      <c r="E7449" s="2">
        <v>3</v>
      </c>
      <c r="F7449" s="2" t="s">
        <v>10086</v>
      </c>
      <c r="H7449" s="3">
        <v>6.9999999999999999E-4</v>
      </c>
      <c r="K7449" s="2" t="s">
        <v>10085</v>
      </c>
    </row>
    <row r="7450" spans="1:11" x14ac:dyDescent="0.2">
      <c r="A7450" s="2">
        <v>1864</v>
      </c>
      <c r="B7450" s="2">
        <v>13</v>
      </c>
      <c r="C7450" s="2">
        <v>19648629</v>
      </c>
      <c r="D7450" s="2">
        <v>20491181</v>
      </c>
      <c r="E7450" s="2">
        <v>4</v>
      </c>
      <c r="F7450" s="2" t="s">
        <v>10086</v>
      </c>
      <c r="H7450" s="3">
        <v>4.0000000000000002E-4</v>
      </c>
      <c r="K7450" s="2" t="s">
        <v>10089</v>
      </c>
    </row>
    <row r="7451" spans="1:11" x14ac:dyDescent="0.2">
      <c r="A7451" s="2">
        <v>1865</v>
      </c>
      <c r="B7451" s="2">
        <v>13</v>
      </c>
      <c r="C7451" s="2">
        <v>20491182</v>
      </c>
      <c r="D7451" s="2">
        <v>21540733</v>
      </c>
      <c r="E7451" s="2">
        <v>1</v>
      </c>
      <c r="F7451" s="2" t="s">
        <v>10086</v>
      </c>
      <c r="H7451" s="2">
        <v>5.5999999999999999E-3</v>
      </c>
      <c r="K7451" s="2" t="s">
        <v>12324</v>
      </c>
    </row>
    <row r="7452" spans="1:11" x14ac:dyDescent="0.2">
      <c r="A7452" s="2">
        <v>1865</v>
      </c>
      <c r="B7452" s="2">
        <v>13</v>
      </c>
      <c r="C7452" s="2">
        <v>20491182</v>
      </c>
      <c r="D7452" s="2">
        <v>21540733</v>
      </c>
      <c r="E7452" s="2">
        <v>2</v>
      </c>
      <c r="F7452" s="2" t="s">
        <v>10086</v>
      </c>
      <c r="H7452" s="2">
        <v>2E-3</v>
      </c>
      <c r="K7452" s="2" t="s">
        <v>10087</v>
      </c>
    </row>
    <row r="7453" spans="1:11" x14ac:dyDescent="0.2">
      <c r="A7453" s="2">
        <v>1865</v>
      </c>
      <c r="B7453" s="2">
        <v>13</v>
      </c>
      <c r="C7453" s="2">
        <v>20491182</v>
      </c>
      <c r="D7453" s="2">
        <v>21540733</v>
      </c>
      <c r="E7453" s="2">
        <v>3</v>
      </c>
      <c r="F7453" s="2" t="s">
        <v>10086</v>
      </c>
      <c r="H7453" s="2">
        <v>1.1000000000000001E-3</v>
      </c>
      <c r="K7453" s="2" t="s">
        <v>10088</v>
      </c>
    </row>
    <row r="7454" spans="1:11" x14ac:dyDescent="0.2">
      <c r="A7454" s="2">
        <v>1865</v>
      </c>
      <c r="B7454" s="2">
        <v>13</v>
      </c>
      <c r="C7454" s="2">
        <v>20491182</v>
      </c>
      <c r="D7454" s="2">
        <v>21540733</v>
      </c>
      <c r="E7454" s="2">
        <v>4</v>
      </c>
      <c r="F7454" s="2" t="s">
        <v>10086</v>
      </c>
      <c r="H7454" s="3">
        <v>8.9999999999999998E-4</v>
      </c>
      <c r="K7454" s="2" t="s">
        <v>10085</v>
      </c>
    </row>
    <row r="7455" spans="1:11" x14ac:dyDescent="0.2">
      <c r="A7455" s="2">
        <v>1866</v>
      </c>
      <c r="B7455" s="2">
        <v>13</v>
      </c>
      <c r="C7455" s="2">
        <v>21540734</v>
      </c>
      <c r="D7455" s="2">
        <v>22795188</v>
      </c>
      <c r="E7455" s="2">
        <v>1</v>
      </c>
      <c r="F7455" s="2" t="s">
        <v>10086</v>
      </c>
      <c r="H7455" s="2">
        <v>2E-3</v>
      </c>
      <c r="K7455" s="2" t="s">
        <v>10085</v>
      </c>
    </row>
    <row r="7456" spans="1:11" x14ac:dyDescent="0.2">
      <c r="A7456" s="2">
        <v>1866</v>
      </c>
      <c r="B7456" s="2">
        <v>13</v>
      </c>
      <c r="C7456" s="2">
        <v>21540734</v>
      </c>
      <c r="D7456" s="2">
        <v>22795188</v>
      </c>
      <c r="E7456" s="2">
        <v>2</v>
      </c>
      <c r="F7456" s="2" t="s">
        <v>10086</v>
      </c>
      <c r="H7456" s="2">
        <v>1.1999999999999999E-3</v>
      </c>
      <c r="K7456" s="2" t="s">
        <v>10087</v>
      </c>
    </row>
    <row r="7457" spans="1:11" x14ac:dyDescent="0.2">
      <c r="A7457" s="2">
        <v>1866</v>
      </c>
      <c r="B7457" s="2">
        <v>13</v>
      </c>
      <c r="C7457" s="2">
        <v>21540734</v>
      </c>
      <c r="D7457" s="2">
        <v>22795188</v>
      </c>
      <c r="E7457" s="2">
        <v>3</v>
      </c>
      <c r="F7457" s="2" t="s">
        <v>10086</v>
      </c>
      <c r="H7457" s="2">
        <v>1E-3</v>
      </c>
      <c r="K7457" s="2" t="s">
        <v>10089</v>
      </c>
    </row>
    <row r="7458" spans="1:11" x14ac:dyDescent="0.2">
      <c r="A7458" s="2">
        <v>1866</v>
      </c>
      <c r="B7458" s="2">
        <v>13</v>
      </c>
      <c r="C7458" s="2">
        <v>21540734</v>
      </c>
      <c r="D7458" s="2">
        <v>22795188</v>
      </c>
      <c r="E7458" s="2">
        <v>4</v>
      </c>
      <c r="F7458" s="2" t="s">
        <v>10086</v>
      </c>
      <c r="H7458" s="3">
        <v>5.0000000000000001E-4</v>
      </c>
      <c r="K7458" s="2" t="s">
        <v>10088</v>
      </c>
    </row>
    <row r="7459" spans="1:11" x14ac:dyDescent="0.2">
      <c r="A7459" s="2">
        <v>1867</v>
      </c>
      <c r="B7459" s="2">
        <v>13</v>
      </c>
      <c r="C7459" s="2">
        <v>22795189</v>
      </c>
      <c r="D7459" s="2">
        <v>23729049</v>
      </c>
      <c r="E7459" s="2">
        <v>1</v>
      </c>
      <c r="F7459" s="2" t="s">
        <v>10086</v>
      </c>
      <c r="H7459" s="2">
        <v>4.4000000000000003E-3</v>
      </c>
      <c r="K7459" s="2" t="s">
        <v>10087</v>
      </c>
    </row>
    <row r="7460" spans="1:11" x14ac:dyDescent="0.2">
      <c r="A7460" s="2">
        <v>1867</v>
      </c>
      <c r="B7460" s="2">
        <v>13</v>
      </c>
      <c r="C7460" s="2">
        <v>22795189</v>
      </c>
      <c r="D7460" s="2">
        <v>23729049</v>
      </c>
      <c r="E7460" s="2">
        <v>2</v>
      </c>
      <c r="F7460" s="2" t="s">
        <v>10086</v>
      </c>
      <c r="H7460" s="2">
        <v>1.1999999999999999E-3</v>
      </c>
      <c r="K7460" s="2" t="s">
        <v>10089</v>
      </c>
    </row>
    <row r="7461" spans="1:11" x14ac:dyDescent="0.2">
      <c r="A7461" s="2">
        <v>1867</v>
      </c>
      <c r="B7461" s="2">
        <v>13</v>
      </c>
      <c r="C7461" s="2">
        <v>22795189</v>
      </c>
      <c r="D7461" s="2">
        <v>23729049</v>
      </c>
      <c r="E7461" s="2">
        <v>3</v>
      </c>
      <c r="F7461" s="2" t="s">
        <v>10086</v>
      </c>
      <c r="H7461" s="2">
        <v>1.2999999999999999E-3</v>
      </c>
      <c r="K7461" s="2" t="s">
        <v>10088</v>
      </c>
    </row>
    <row r="7462" spans="1:11" x14ac:dyDescent="0.2">
      <c r="A7462" s="2">
        <v>1867</v>
      </c>
      <c r="B7462" s="2">
        <v>13</v>
      </c>
      <c r="C7462" s="2">
        <v>22795189</v>
      </c>
      <c r="D7462" s="2">
        <v>23729049</v>
      </c>
      <c r="E7462" s="2">
        <v>4</v>
      </c>
      <c r="F7462" s="2" t="s">
        <v>10086</v>
      </c>
      <c r="H7462" s="3">
        <v>6.9999999999999999E-4</v>
      </c>
      <c r="K7462" s="2" t="s">
        <v>10085</v>
      </c>
    </row>
    <row r="7463" spans="1:11" x14ac:dyDescent="0.2">
      <c r="A7463" s="2">
        <v>1868</v>
      </c>
      <c r="B7463" s="2">
        <v>13</v>
      </c>
      <c r="C7463" s="2">
        <v>23729050</v>
      </c>
      <c r="D7463" s="2">
        <v>24818333</v>
      </c>
      <c r="E7463" s="2">
        <v>1</v>
      </c>
      <c r="F7463" s="2" t="s">
        <v>10086</v>
      </c>
      <c r="H7463" s="2">
        <v>1.5E-3</v>
      </c>
      <c r="K7463" s="2" t="s">
        <v>10087</v>
      </c>
    </row>
    <row r="7464" spans="1:11" x14ac:dyDescent="0.2">
      <c r="A7464" s="2">
        <v>1868</v>
      </c>
      <c r="B7464" s="2">
        <v>13</v>
      </c>
      <c r="C7464" s="2">
        <v>23729050</v>
      </c>
      <c r="D7464" s="2">
        <v>24818333</v>
      </c>
      <c r="E7464" s="2">
        <v>2</v>
      </c>
      <c r="F7464" s="2" t="s">
        <v>10086</v>
      </c>
      <c r="H7464" s="2">
        <v>1.4E-3</v>
      </c>
      <c r="K7464" s="2" t="s">
        <v>10089</v>
      </c>
    </row>
    <row r="7465" spans="1:11" x14ac:dyDescent="0.2">
      <c r="A7465" s="2">
        <v>1868</v>
      </c>
      <c r="B7465" s="2">
        <v>13</v>
      </c>
      <c r="C7465" s="2">
        <v>23729050</v>
      </c>
      <c r="D7465" s="2">
        <v>24818333</v>
      </c>
      <c r="E7465" s="2">
        <v>3</v>
      </c>
      <c r="F7465" s="2" t="s">
        <v>10086</v>
      </c>
      <c r="H7465" s="3">
        <v>8.9999999999999998E-4</v>
      </c>
      <c r="K7465" s="2" t="s">
        <v>10088</v>
      </c>
    </row>
    <row r="7466" spans="1:11" x14ac:dyDescent="0.2">
      <c r="A7466" s="2">
        <v>1868</v>
      </c>
      <c r="B7466" s="2">
        <v>13</v>
      </c>
      <c r="C7466" s="2">
        <v>23729050</v>
      </c>
      <c r="D7466" s="2">
        <v>24818333</v>
      </c>
      <c r="E7466" s="2">
        <v>4</v>
      </c>
      <c r="F7466" s="2" t="s">
        <v>10086</v>
      </c>
      <c r="H7466" s="3">
        <v>5.0000000000000001E-4</v>
      </c>
      <c r="K7466" s="2" t="s">
        <v>10085</v>
      </c>
    </row>
    <row r="7467" spans="1:11" x14ac:dyDescent="0.2">
      <c r="A7467" s="2">
        <v>1869</v>
      </c>
      <c r="B7467" s="2">
        <v>13</v>
      </c>
      <c r="C7467" s="2">
        <v>24818334</v>
      </c>
      <c r="D7467" s="2">
        <v>25977140</v>
      </c>
      <c r="E7467" s="2">
        <v>1</v>
      </c>
      <c r="F7467" s="2" t="s">
        <v>10086</v>
      </c>
      <c r="H7467" s="2">
        <v>1.9E-3</v>
      </c>
      <c r="K7467" s="2" t="s">
        <v>10087</v>
      </c>
    </row>
    <row r="7468" spans="1:11" x14ac:dyDescent="0.2">
      <c r="A7468" s="2">
        <v>1869</v>
      </c>
      <c r="B7468" s="2">
        <v>13</v>
      </c>
      <c r="C7468" s="2">
        <v>24818334</v>
      </c>
      <c r="D7468" s="2">
        <v>25977140</v>
      </c>
      <c r="E7468" s="2">
        <v>2</v>
      </c>
      <c r="F7468" s="2" t="s">
        <v>10086</v>
      </c>
      <c r="H7468" s="2">
        <v>1.1999999999999999E-3</v>
      </c>
      <c r="K7468" s="2" t="s">
        <v>10089</v>
      </c>
    </row>
    <row r="7469" spans="1:11" x14ac:dyDescent="0.2">
      <c r="A7469" s="2">
        <v>1869</v>
      </c>
      <c r="B7469" s="2">
        <v>13</v>
      </c>
      <c r="C7469" s="2">
        <v>24818334</v>
      </c>
      <c r="D7469" s="2">
        <v>25977140</v>
      </c>
      <c r="E7469" s="2">
        <v>3</v>
      </c>
      <c r="F7469" s="2" t="s">
        <v>10086</v>
      </c>
      <c r="H7469" s="3">
        <v>8.9999999999999998E-4</v>
      </c>
      <c r="K7469" s="2" t="s">
        <v>10088</v>
      </c>
    </row>
    <row r="7470" spans="1:11" x14ac:dyDescent="0.2">
      <c r="A7470" s="2">
        <v>1869</v>
      </c>
      <c r="B7470" s="2">
        <v>13</v>
      </c>
      <c r="C7470" s="2">
        <v>24818334</v>
      </c>
      <c r="D7470" s="2">
        <v>25977140</v>
      </c>
      <c r="E7470" s="2">
        <v>4</v>
      </c>
      <c r="F7470" s="2" t="s">
        <v>10086</v>
      </c>
      <c r="H7470" s="3">
        <v>5.0000000000000001E-4</v>
      </c>
      <c r="K7470" s="2" t="s">
        <v>10085</v>
      </c>
    </row>
    <row r="7471" spans="1:11" x14ac:dyDescent="0.2">
      <c r="A7471" s="2">
        <v>1870</v>
      </c>
      <c r="B7471" s="2">
        <v>13</v>
      </c>
      <c r="C7471" s="2">
        <v>25977141</v>
      </c>
      <c r="D7471" s="2">
        <v>26681709</v>
      </c>
      <c r="E7471" s="2">
        <v>1</v>
      </c>
      <c r="F7471" s="2" t="s">
        <v>10086</v>
      </c>
      <c r="H7471" s="2">
        <v>4.8999999999999998E-3</v>
      </c>
      <c r="K7471" s="2" t="s">
        <v>10088</v>
      </c>
    </row>
    <row r="7472" spans="1:11" x14ac:dyDescent="0.2">
      <c r="A7472" s="2">
        <v>1870</v>
      </c>
      <c r="B7472" s="2">
        <v>13</v>
      </c>
      <c r="C7472" s="2">
        <v>25977141</v>
      </c>
      <c r="D7472" s="2">
        <v>26681709</v>
      </c>
      <c r="E7472" s="2">
        <v>2</v>
      </c>
      <c r="F7472" s="2" t="s">
        <v>10086</v>
      </c>
      <c r="H7472" s="2">
        <v>2.5000000000000001E-3</v>
      </c>
      <c r="K7472" s="2" t="s">
        <v>12324</v>
      </c>
    </row>
    <row r="7473" spans="1:11" x14ac:dyDescent="0.2">
      <c r="A7473" s="2">
        <v>1870</v>
      </c>
      <c r="B7473" s="2">
        <v>13</v>
      </c>
      <c r="C7473" s="2">
        <v>25977141</v>
      </c>
      <c r="D7473" s="2">
        <v>26681709</v>
      </c>
      <c r="E7473" s="2">
        <v>3</v>
      </c>
      <c r="F7473" s="2" t="s">
        <v>10086</v>
      </c>
      <c r="H7473" s="3">
        <v>6.9999999999999999E-4</v>
      </c>
      <c r="K7473" s="2" t="s">
        <v>10085</v>
      </c>
    </row>
    <row r="7474" spans="1:11" x14ac:dyDescent="0.2">
      <c r="A7474" s="2">
        <v>1870</v>
      </c>
      <c r="B7474" s="2">
        <v>13</v>
      </c>
      <c r="C7474" s="2">
        <v>25977141</v>
      </c>
      <c r="D7474" s="2">
        <v>26681709</v>
      </c>
      <c r="E7474" s="2">
        <v>4</v>
      </c>
      <c r="F7474" s="2" t="s">
        <v>10086</v>
      </c>
      <c r="H7474" s="3">
        <v>5.9999999999999995E-4</v>
      </c>
      <c r="K7474" s="2" t="s">
        <v>10087</v>
      </c>
    </row>
    <row r="7475" spans="1:11" x14ac:dyDescent="0.2">
      <c r="A7475" s="2">
        <v>1871</v>
      </c>
      <c r="B7475" s="2">
        <v>13</v>
      </c>
      <c r="C7475" s="2">
        <v>26681710</v>
      </c>
      <c r="D7475" s="2">
        <v>27392005</v>
      </c>
      <c r="E7475" s="2">
        <v>1</v>
      </c>
      <c r="F7475" s="2" t="s">
        <v>10086</v>
      </c>
      <c r="H7475" s="2">
        <v>8.9399999999999993E-2</v>
      </c>
      <c r="K7475" s="2" t="s">
        <v>12324</v>
      </c>
    </row>
    <row r="7476" spans="1:11" x14ac:dyDescent="0.2">
      <c r="A7476" s="2">
        <v>1871</v>
      </c>
      <c r="B7476" s="2">
        <v>13</v>
      </c>
      <c r="C7476" s="2">
        <v>26681710</v>
      </c>
      <c r="D7476" s="2">
        <v>27392005</v>
      </c>
      <c r="E7476" s="2">
        <v>2</v>
      </c>
      <c r="F7476" s="2" t="s">
        <v>10086</v>
      </c>
      <c r="H7476" s="2">
        <v>3.8E-3</v>
      </c>
      <c r="K7476" s="2" t="s">
        <v>10088</v>
      </c>
    </row>
    <row r="7477" spans="1:11" x14ac:dyDescent="0.2">
      <c r="A7477" s="2">
        <v>1871</v>
      </c>
      <c r="B7477" s="2">
        <v>13</v>
      </c>
      <c r="C7477" s="2">
        <v>26681710</v>
      </c>
      <c r="D7477" s="2">
        <v>27392005</v>
      </c>
      <c r="E7477" s="2">
        <v>3</v>
      </c>
      <c r="F7477" s="2" t="s">
        <v>10086</v>
      </c>
      <c r="H7477" s="2">
        <v>1.2999999999999999E-3</v>
      </c>
      <c r="K7477" s="2" t="s">
        <v>10085</v>
      </c>
    </row>
    <row r="7478" spans="1:11" x14ac:dyDescent="0.2">
      <c r="A7478" s="2">
        <v>1871</v>
      </c>
      <c r="B7478" s="2">
        <v>13</v>
      </c>
      <c r="C7478" s="2">
        <v>26681710</v>
      </c>
      <c r="D7478" s="2">
        <v>27392005</v>
      </c>
      <c r="E7478" s="2">
        <v>4</v>
      </c>
      <c r="F7478" s="2" t="s">
        <v>10086</v>
      </c>
      <c r="H7478" s="3">
        <v>8.9999999999999998E-4</v>
      </c>
      <c r="K7478" s="2" t="s">
        <v>10089</v>
      </c>
    </row>
    <row r="7479" spans="1:11" x14ac:dyDescent="0.2">
      <c r="A7479" s="2">
        <v>1872</v>
      </c>
      <c r="B7479" s="2">
        <v>13</v>
      </c>
      <c r="C7479" s="2">
        <v>27392006</v>
      </c>
      <c r="D7479" s="2">
        <v>28587125</v>
      </c>
      <c r="E7479" s="2">
        <v>1</v>
      </c>
      <c r="F7479" s="2" t="s">
        <v>10086</v>
      </c>
      <c r="H7479" s="2">
        <v>7.9000000000000008E-3</v>
      </c>
      <c r="K7479" s="2" t="s">
        <v>10087</v>
      </c>
    </row>
    <row r="7480" spans="1:11" x14ac:dyDescent="0.2">
      <c r="A7480" s="2">
        <v>1872</v>
      </c>
      <c r="B7480" s="2">
        <v>13</v>
      </c>
      <c r="C7480" s="2">
        <v>27392006</v>
      </c>
      <c r="D7480" s="2">
        <v>28587125</v>
      </c>
      <c r="E7480" s="2">
        <v>2</v>
      </c>
      <c r="F7480" s="2" t="s">
        <v>10086</v>
      </c>
      <c r="H7480" s="2">
        <v>2.2000000000000001E-3</v>
      </c>
      <c r="K7480" s="2" t="s">
        <v>10089</v>
      </c>
    </row>
    <row r="7481" spans="1:11" x14ac:dyDescent="0.2">
      <c r="A7481" s="2">
        <v>1872</v>
      </c>
      <c r="B7481" s="2">
        <v>13</v>
      </c>
      <c r="C7481" s="2">
        <v>27392006</v>
      </c>
      <c r="D7481" s="2">
        <v>28587125</v>
      </c>
      <c r="E7481" s="2">
        <v>3</v>
      </c>
      <c r="F7481" s="2" t="s">
        <v>10086</v>
      </c>
      <c r="H7481" s="2">
        <v>1E-3</v>
      </c>
      <c r="K7481" s="2" t="s">
        <v>10088</v>
      </c>
    </row>
    <row r="7482" spans="1:11" x14ac:dyDescent="0.2">
      <c r="A7482" s="2">
        <v>1872</v>
      </c>
      <c r="B7482" s="2">
        <v>13</v>
      </c>
      <c r="C7482" s="2">
        <v>27392006</v>
      </c>
      <c r="D7482" s="2">
        <v>28587125</v>
      </c>
      <c r="E7482" s="2">
        <v>4</v>
      </c>
      <c r="F7482" s="2" t="s">
        <v>10086</v>
      </c>
      <c r="H7482" s="3">
        <v>5.0000000000000001E-4</v>
      </c>
      <c r="K7482" s="2" t="s">
        <v>10085</v>
      </c>
    </row>
    <row r="7483" spans="1:11" x14ac:dyDescent="0.2">
      <c r="A7483" s="2">
        <v>1873</v>
      </c>
      <c r="B7483" s="2">
        <v>13</v>
      </c>
      <c r="C7483" s="2">
        <v>28587126</v>
      </c>
      <c r="D7483" s="2">
        <v>30068525</v>
      </c>
      <c r="E7483" s="2">
        <v>1</v>
      </c>
      <c r="F7483" s="2" t="s">
        <v>10086</v>
      </c>
      <c r="H7483" s="2">
        <v>1.6000000000000001E-3</v>
      </c>
      <c r="K7483" s="2" t="s">
        <v>10087</v>
      </c>
    </row>
    <row r="7484" spans="1:11" x14ac:dyDescent="0.2">
      <c r="A7484" s="2">
        <v>1873</v>
      </c>
      <c r="B7484" s="2">
        <v>13</v>
      </c>
      <c r="C7484" s="2">
        <v>28587126</v>
      </c>
      <c r="D7484" s="2">
        <v>30068525</v>
      </c>
      <c r="E7484" s="2">
        <v>2</v>
      </c>
      <c r="F7484" s="2" t="s">
        <v>10086</v>
      </c>
      <c r="H7484" s="2">
        <v>1.4E-3</v>
      </c>
      <c r="K7484" s="2" t="s">
        <v>10085</v>
      </c>
    </row>
    <row r="7485" spans="1:11" x14ac:dyDescent="0.2">
      <c r="A7485" s="2">
        <v>1873</v>
      </c>
      <c r="B7485" s="2">
        <v>13</v>
      </c>
      <c r="C7485" s="2">
        <v>28587126</v>
      </c>
      <c r="D7485" s="2">
        <v>30068525</v>
      </c>
      <c r="E7485" s="2">
        <v>3</v>
      </c>
      <c r="F7485" s="2" t="s">
        <v>10086</v>
      </c>
      <c r="H7485" s="2">
        <v>1.5E-3</v>
      </c>
      <c r="K7485" s="2" t="s">
        <v>10089</v>
      </c>
    </row>
    <row r="7486" spans="1:11" x14ac:dyDescent="0.2">
      <c r="A7486" s="2">
        <v>1873</v>
      </c>
      <c r="B7486" s="2">
        <v>13</v>
      </c>
      <c r="C7486" s="2">
        <v>28587126</v>
      </c>
      <c r="D7486" s="2">
        <v>30068525</v>
      </c>
      <c r="E7486" s="2">
        <v>4</v>
      </c>
      <c r="F7486" s="2" t="s">
        <v>10086</v>
      </c>
      <c r="H7486" s="3">
        <v>5.9999999999999995E-4</v>
      </c>
      <c r="K7486" s="2" t="s">
        <v>10088</v>
      </c>
    </row>
    <row r="7487" spans="1:11" x14ac:dyDescent="0.2">
      <c r="A7487" s="2">
        <v>1874</v>
      </c>
      <c r="B7487" s="2">
        <v>13</v>
      </c>
      <c r="C7487" s="2">
        <v>30068526</v>
      </c>
      <c r="D7487" s="2">
        <v>31433218</v>
      </c>
      <c r="E7487" s="2">
        <v>1</v>
      </c>
      <c r="F7487" s="2" t="s">
        <v>10086</v>
      </c>
      <c r="H7487" s="2">
        <v>1.5E-3</v>
      </c>
      <c r="K7487" s="2" t="s">
        <v>12324</v>
      </c>
    </row>
    <row r="7488" spans="1:11" x14ac:dyDescent="0.2">
      <c r="A7488" s="2">
        <v>1874</v>
      </c>
      <c r="B7488" s="2">
        <v>13</v>
      </c>
      <c r="C7488" s="2">
        <v>30068526</v>
      </c>
      <c r="D7488" s="2">
        <v>31433218</v>
      </c>
      <c r="E7488" s="2">
        <v>2</v>
      </c>
      <c r="F7488" s="2" t="s">
        <v>10086</v>
      </c>
      <c r="H7488" s="2">
        <v>1.8E-3</v>
      </c>
      <c r="K7488" s="2" t="s">
        <v>10085</v>
      </c>
    </row>
    <row r="7489" spans="1:11" x14ac:dyDescent="0.2">
      <c r="A7489" s="2">
        <v>1874</v>
      </c>
      <c r="B7489" s="2">
        <v>13</v>
      </c>
      <c r="C7489" s="2">
        <v>30068526</v>
      </c>
      <c r="D7489" s="2">
        <v>31433218</v>
      </c>
      <c r="E7489" s="2">
        <v>3</v>
      </c>
      <c r="F7489" s="2" t="s">
        <v>10086</v>
      </c>
      <c r="H7489" s="2">
        <v>1.6000000000000001E-3</v>
      </c>
      <c r="K7489" s="2" t="s">
        <v>10087</v>
      </c>
    </row>
    <row r="7490" spans="1:11" x14ac:dyDescent="0.2">
      <c r="A7490" s="2">
        <v>1874</v>
      </c>
      <c r="B7490" s="2">
        <v>13</v>
      </c>
      <c r="C7490" s="2">
        <v>30068526</v>
      </c>
      <c r="D7490" s="2">
        <v>31433218</v>
      </c>
      <c r="E7490" s="2">
        <v>4</v>
      </c>
      <c r="F7490" s="2" t="s">
        <v>10086</v>
      </c>
      <c r="H7490" s="2">
        <v>1.1999999999999999E-3</v>
      </c>
      <c r="K7490" s="2" t="s">
        <v>10088</v>
      </c>
    </row>
    <row r="7491" spans="1:11" x14ac:dyDescent="0.2">
      <c r="A7491" s="2">
        <v>1875</v>
      </c>
      <c r="B7491" s="2">
        <v>13</v>
      </c>
      <c r="C7491" s="2">
        <v>31433219</v>
      </c>
      <c r="D7491" s="2">
        <v>32986686</v>
      </c>
      <c r="E7491" s="2">
        <v>1</v>
      </c>
      <c r="F7491" s="2" t="s">
        <v>10086</v>
      </c>
      <c r="H7491" s="2">
        <v>2.3E-3</v>
      </c>
      <c r="K7491" s="2" t="s">
        <v>10085</v>
      </c>
    </row>
    <row r="7492" spans="1:11" x14ac:dyDescent="0.2">
      <c r="A7492" s="2">
        <v>1875</v>
      </c>
      <c r="B7492" s="2">
        <v>13</v>
      </c>
      <c r="C7492" s="2">
        <v>31433219</v>
      </c>
      <c r="D7492" s="2">
        <v>32986686</v>
      </c>
      <c r="E7492" s="2">
        <v>2</v>
      </c>
      <c r="F7492" s="2" t="s">
        <v>10086</v>
      </c>
      <c r="H7492" s="2">
        <v>1.6999999999999999E-3</v>
      </c>
      <c r="K7492" s="2" t="s">
        <v>10089</v>
      </c>
    </row>
    <row r="7493" spans="1:11" x14ac:dyDescent="0.2">
      <c r="A7493" s="2">
        <v>1875</v>
      </c>
      <c r="B7493" s="2">
        <v>13</v>
      </c>
      <c r="C7493" s="2">
        <v>31433219</v>
      </c>
      <c r="D7493" s="2">
        <v>32986686</v>
      </c>
      <c r="E7493" s="2">
        <v>3</v>
      </c>
      <c r="F7493" s="2" t="s">
        <v>10086</v>
      </c>
      <c r="H7493" s="2">
        <v>1.4E-3</v>
      </c>
      <c r="K7493" s="2" t="s">
        <v>10088</v>
      </c>
    </row>
    <row r="7494" spans="1:11" x14ac:dyDescent="0.2">
      <c r="A7494" s="2">
        <v>1875</v>
      </c>
      <c r="B7494" s="2">
        <v>13</v>
      </c>
      <c r="C7494" s="2">
        <v>31433219</v>
      </c>
      <c r="D7494" s="2">
        <v>32986686</v>
      </c>
      <c r="E7494" s="2">
        <v>4</v>
      </c>
      <c r="F7494" s="2" t="s">
        <v>10086</v>
      </c>
      <c r="H7494" s="3">
        <v>6.9999999999999999E-4</v>
      </c>
      <c r="K7494" s="2" t="s">
        <v>10087</v>
      </c>
    </row>
    <row r="7495" spans="1:11" x14ac:dyDescent="0.2">
      <c r="A7495" s="2">
        <v>1876</v>
      </c>
      <c r="B7495" s="2">
        <v>13</v>
      </c>
      <c r="C7495" s="2">
        <v>32986687</v>
      </c>
      <c r="D7495" s="2">
        <v>34722391</v>
      </c>
      <c r="E7495" s="2">
        <v>1</v>
      </c>
      <c r="F7495" s="2" t="s">
        <v>10086</v>
      </c>
      <c r="H7495" s="2">
        <v>4.7999999999999996E-3</v>
      </c>
      <c r="K7495" s="2" t="s">
        <v>10087</v>
      </c>
    </row>
    <row r="7496" spans="1:11" x14ac:dyDescent="0.2">
      <c r="A7496" s="2">
        <v>1876</v>
      </c>
      <c r="B7496" s="2">
        <v>13</v>
      </c>
      <c r="C7496" s="2">
        <v>32986687</v>
      </c>
      <c r="D7496" s="2">
        <v>34722391</v>
      </c>
      <c r="E7496" s="2">
        <v>2</v>
      </c>
      <c r="F7496" s="2" t="s">
        <v>10086</v>
      </c>
      <c r="H7496" s="2">
        <v>2.2000000000000001E-3</v>
      </c>
      <c r="K7496" s="2" t="s">
        <v>10088</v>
      </c>
    </row>
    <row r="7497" spans="1:11" x14ac:dyDescent="0.2">
      <c r="A7497" s="2">
        <v>1876</v>
      </c>
      <c r="B7497" s="2">
        <v>13</v>
      </c>
      <c r="C7497" s="2">
        <v>32986687</v>
      </c>
      <c r="D7497" s="2">
        <v>34722391</v>
      </c>
      <c r="E7497" s="2">
        <v>3</v>
      </c>
      <c r="F7497" s="2" t="s">
        <v>10086</v>
      </c>
      <c r="H7497" s="2">
        <v>1.2999999999999999E-3</v>
      </c>
      <c r="K7497" s="2" t="s">
        <v>10089</v>
      </c>
    </row>
    <row r="7498" spans="1:11" x14ac:dyDescent="0.2">
      <c r="A7498" s="2">
        <v>1876</v>
      </c>
      <c r="B7498" s="2">
        <v>13</v>
      </c>
      <c r="C7498" s="2">
        <v>32986687</v>
      </c>
      <c r="D7498" s="2">
        <v>34722391</v>
      </c>
      <c r="E7498" s="2">
        <v>4</v>
      </c>
      <c r="F7498" s="2" t="s">
        <v>10086</v>
      </c>
      <c r="H7498" s="3">
        <v>8.0000000000000004E-4</v>
      </c>
      <c r="K7498" s="2" t="s">
        <v>10085</v>
      </c>
    </row>
    <row r="7499" spans="1:11" x14ac:dyDescent="0.2">
      <c r="A7499" s="2">
        <v>1877</v>
      </c>
      <c r="B7499" s="2">
        <v>13</v>
      </c>
      <c r="C7499" s="2">
        <v>34722392</v>
      </c>
      <c r="D7499" s="2">
        <v>35744568</v>
      </c>
      <c r="E7499" s="2">
        <v>1</v>
      </c>
      <c r="F7499" s="2" t="s">
        <v>10086</v>
      </c>
      <c r="H7499" s="2">
        <v>1.4E-3</v>
      </c>
      <c r="K7499" s="2" t="s">
        <v>10089</v>
      </c>
    </row>
    <row r="7500" spans="1:11" x14ac:dyDescent="0.2">
      <c r="A7500" s="2">
        <v>1877</v>
      </c>
      <c r="B7500" s="2">
        <v>13</v>
      </c>
      <c r="C7500" s="2">
        <v>34722392</v>
      </c>
      <c r="D7500" s="2">
        <v>35744568</v>
      </c>
      <c r="E7500" s="2">
        <v>2</v>
      </c>
      <c r="F7500" s="2" t="s">
        <v>10086</v>
      </c>
      <c r="H7500" s="2">
        <v>1E-3</v>
      </c>
      <c r="K7500" s="2" t="s">
        <v>10088</v>
      </c>
    </row>
    <row r="7501" spans="1:11" x14ac:dyDescent="0.2">
      <c r="A7501" s="2">
        <v>1877</v>
      </c>
      <c r="B7501" s="2">
        <v>13</v>
      </c>
      <c r="C7501" s="2">
        <v>34722392</v>
      </c>
      <c r="D7501" s="2">
        <v>35744568</v>
      </c>
      <c r="E7501" s="2">
        <v>3</v>
      </c>
      <c r="F7501" s="2" t="s">
        <v>10086</v>
      </c>
      <c r="H7501" s="3">
        <v>5.9999999999999995E-4</v>
      </c>
      <c r="K7501" s="2" t="s">
        <v>10087</v>
      </c>
    </row>
    <row r="7502" spans="1:11" x14ac:dyDescent="0.2">
      <c r="A7502" s="2">
        <v>1877</v>
      </c>
      <c r="B7502" s="2">
        <v>13</v>
      </c>
      <c r="C7502" s="2">
        <v>34722392</v>
      </c>
      <c r="D7502" s="2">
        <v>35744568</v>
      </c>
      <c r="E7502" s="2">
        <v>4</v>
      </c>
      <c r="F7502" s="2" t="s">
        <v>10086</v>
      </c>
      <c r="H7502" s="3">
        <v>4.0000000000000002E-4</v>
      </c>
      <c r="K7502" s="2" t="s">
        <v>10085</v>
      </c>
    </row>
    <row r="7503" spans="1:11" x14ac:dyDescent="0.2">
      <c r="A7503" s="2">
        <v>1878</v>
      </c>
      <c r="B7503" s="2">
        <v>13</v>
      </c>
      <c r="C7503" s="2">
        <v>35744569</v>
      </c>
      <c r="D7503" s="2">
        <v>36579413</v>
      </c>
      <c r="E7503" s="2">
        <v>1</v>
      </c>
      <c r="F7503" s="2" t="s">
        <v>10086</v>
      </c>
      <c r="H7503" s="2">
        <v>1.2999999999999999E-3</v>
      </c>
      <c r="K7503" s="2" t="s">
        <v>10088</v>
      </c>
    </row>
    <row r="7504" spans="1:11" x14ac:dyDescent="0.2">
      <c r="A7504" s="2">
        <v>1878</v>
      </c>
      <c r="B7504" s="2">
        <v>13</v>
      </c>
      <c r="C7504" s="2">
        <v>35744569</v>
      </c>
      <c r="D7504" s="2">
        <v>36579413</v>
      </c>
      <c r="E7504" s="2">
        <v>2</v>
      </c>
      <c r="F7504" s="2" t="s">
        <v>10086</v>
      </c>
      <c r="H7504" s="2">
        <v>1E-3</v>
      </c>
      <c r="K7504" s="2" t="s">
        <v>10089</v>
      </c>
    </row>
    <row r="7505" spans="1:11" x14ac:dyDescent="0.2">
      <c r="A7505" s="2">
        <v>1878</v>
      </c>
      <c r="B7505" s="2">
        <v>13</v>
      </c>
      <c r="C7505" s="2">
        <v>35744569</v>
      </c>
      <c r="D7505" s="2">
        <v>36579413</v>
      </c>
      <c r="E7505" s="2">
        <v>3</v>
      </c>
      <c r="F7505" s="2" t="s">
        <v>10086</v>
      </c>
      <c r="H7505" s="3">
        <v>8.0000000000000004E-4</v>
      </c>
      <c r="K7505" s="2" t="s">
        <v>10085</v>
      </c>
    </row>
    <row r="7506" spans="1:11" x14ac:dyDescent="0.2">
      <c r="A7506" s="2">
        <v>1878</v>
      </c>
      <c r="B7506" s="2">
        <v>13</v>
      </c>
      <c r="C7506" s="2">
        <v>35744569</v>
      </c>
      <c r="D7506" s="2">
        <v>36579413</v>
      </c>
      <c r="E7506" s="2">
        <v>4</v>
      </c>
      <c r="F7506" s="2" t="s">
        <v>10086</v>
      </c>
      <c r="H7506" s="3">
        <v>2.9999999999999997E-4</v>
      </c>
      <c r="K7506" s="2" t="s">
        <v>10087</v>
      </c>
    </row>
    <row r="7507" spans="1:11" x14ac:dyDescent="0.2">
      <c r="A7507" s="2">
        <v>1879</v>
      </c>
      <c r="B7507" s="2">
        <v>13</v>
      </c>
      <c r="C7507" s="2">
        <v>36579414</v>
      </c>
      <c r="D7507" s="2">
        <v>37499810</v>
      </c>
      <c r="E7507" s="2">
        <v>1</v>
      </c>
      <c r="F7507" s="2" t="s">
        <v>10086</v>
      </c>
      <c r="H7507" s="3">
        <v>5.9999999999999995E-4</v>
      </c>
      <c r="K7507" s="2" t="s">
        <v>10087</v>
      </c>
    </row>
    <row r="7508" spans="1:11" x14ac:dyDescent="0.2">
      <c r="A7508" s="2">
        <v>1879</v>
      </c>
      <c r="B7508" s="2">
        <v>13</v>
      </c>
      <c r="C7508" s="2">
        <v>36579414</v>
      </c>
      <c r="D7508" s="2">
        <v>37499810</v>
      </c>
      <c r="E7508" s="2">
        <v>2</v>
      </c>
      <c r="F7508" s="2" t="s">
        <v>10086</v>
      </c>
      <c r="H7508" s="3">
        <v>5.9999999999999995E-4</v>
      </c>
      <c r="K7508" s="2" t="s">
        <v>10088</v>
      </c>
    </row>
    <row r="7509" spans="1:11" x14ac:dyDescent="0.2">
      <c r="A7509" s="2">
        <v>1879</v>
      </c>
      <c r="B7509" s="2">
        <v>13</v>
      </c>
      <c r="C7509" s="2">
        <v>36579414</v>
      </c>
      <c r="D7509" s="2">
        <v>37499810</v>
      </c>
      <c r="E7509" s="2">
        <v>3</v>
      </c>
      <c r="F7509" s="2" t="s">
        <v>10086</v>
      </c>
      <c r="H7509" s="3">
        <v>5.0000000000000001E-4</v>
      </c>
      <c r="K7509" s="2" t="s">
        <v>10089</v>
      </c>
    </row>
    <row r="7510" spans="1:11" x14ac:dyDescent="0.2">
      <c r="A7510" s="2">
        <v>1879</v>
      </c>
      <c r="B7510" s="2">
        <v>13</v>
      </c>
      <c r="C7510" s="2">
        <v>36579414</v>
      </c>
      <c r="D7510" s="2">
        <v>37499810</v>
      </c>
      <c r="E7510" s="2">
        <v>4</v>
      </c>
      <c r="F7510" s="2" t="s">
        <v>10086</v>
      </c>
      <c r="H7510" s="3">
        <v>4.0000000000000002E-4</v>
      </c>
      <c r="K7510" s="2" t="s">
        <v>10085</v>
      </c>
    </row>
    <row r="7511" spans="1:11" x14ac:dyDescent="0.2">
      <c r="A7511" s="2">
        <v>1880</v>
      </c>
      <c r="B7511" s="2">
        <v>13</v>
      </c>
      <c r="C7511" s="2">
        <v>37499811</v>
      </c>
      <c r="D7511" s="2">
        <v>38290689</v>
      </c>
      <c r="E7511" s="2">
        <v>1</v>
      </c>
      <c r="F7511" s="2" t="s">
        <v>10086</v>
      </c>
      <c r="H7511" s="2">
        <v>2.5999999999999999E-3</v>
      </c>
      <c r="K7511" s="2" t="s">
        <v>10089</v>
      </c>
    </row>
    <row r="7512" spans="1:11" x14ac:dyDescent="0.2">
      <c r="A7512" s="2">
        <v>1880</v>
      </c>
      <c r="B7512" s="2">
        <v>13</v>
      </c>
      <c r="C7512" s="2">
        <v>37499811</v>
      </c>
      <c r="D7512" s="2">
        <v>38290689</v>
      </c>
      <c r="E7512" s="2">
        <v>2</v>
      </c>
      <c r="F7512" s="2" t="s">
        <v>10086</v>
      </c>
      <c r="H7512" s="2">
        <v>1.5E-3</v>
      </c>
      <c r="K7512" s="2" t="s">
        <v>10085</v>
      </c>
    </row>
    <row r="7513" spans="1:11" x14ac:dyDescent="0.2">
      <c r="A7513" s="2">
        <v>1880</v>
      </c>
      <c r="B7513" s="2">
        <v>13</v>
      </c>
      <c r="C7513" s="2">
        <v>37499811</v>
      </c>
      <c r="D7513" s="2">
        <v>38290689</v>
      </c>
      <c r="E7513" s="2">
        <v>3</v>
      </c>
      <c r="F7513" s="2" t="s">
        <v>10086</v>
      </c>
      <c r="H7513" s="3">
        <v>8.9999999999999998E-4</v>
      </c>
      <c r="K7513" s="2" t="s">
        <v>10087</v>
      </c>
    </row>
    <row r="7514" spans="1:11" x14ac:dyDescent="0.2">
      <c r="A7514" s="2">
        <v>1880</v>
      </c>
      <c r="B7514" s="2">
        <v>13</v>
      </c>
      <c r="C7514" s="2">
        <v>37499811</v>
      </c>
      <c r="D7514" s="2">
        <v>38290689</v>
      </c>
      <c r="E7514" s="2">
        <v>4</v>
      </c>
      <c r="F7514" s="2" t="s">
        <v>10086</v>
      </c>
      <c r="H7514" s="3">
        <v>4.0000000000000002E-4</v>
      </c>
      <c r="K7514" s="2" t="s">
        <v>10088</v>
      </c>
    </row>
    <row r="7515" spans="1:11" x14ac:dyDescent="0.2">
      <c r="A7515" s="2">
        <v>1881</v>
      </c>
      <c r="B7515" s="2">
        <v>13</v>
      </c>
      <c r="C7515" s="2">
        <v>38290690</v>
      </c>
      <c r="D7515" s="2">
        <v>39381743</v>
      </c>
      <c r="E7515" s="2">
        <v>1</v>
      </c>
      <c r="F7515" s="2" t="s">
        <v>10086</v>
      </c>
      <c r="H7515" s="3">
        <v>8.9999999999999998E-4</v>
      </c>
      <c r="K7515" s="2" t="s">
        <v>10087</v>
      </c>
    </row>
    <row r="7516" spans="1:11" x14ac:dyDescent="0.2">
      <c r="A7516" s="2">
        <v>1881</v>
      </c>
      <c r="B7516" s="2">
        <v>13</v>
      </c>
      <c r="C7516" s="2">
        <v>38290690</v>
      </c>
      <c r="D7516" s="2">
        <v>39381743</v>
      </c>
      <c r="E7516" s="2">
        <v>2</v>
      </c>
      <c r="F7516" s="2" t="s">
        <v>10086</v>
      </c>
      <c r="H7516" s="2">
        <v>2.0999999999999999E-3</v>
      </c>
      <c r="K7516" s="2" t="s">
        <v>10088</v>
      </c>
    </row>
    <row r="7517" spans="1:11" x14ac:dyDescent="0.2">
      <c r="A7517" s="2">
        <v>1881</v>
      </c>
      <c r="B7517" s="2">
        <v>13</v>
      </c>
      <c r="C7517" s="2">
        <v>38290690</v>
      </c>
      <c r="D7517" s="2">
        <v>39381743</v>
      </c>
      <c r="E7517" s="2">
        <v>3</v>
      </c>
      <c r="F7517" s="2" t="s">
        <v>10086</v>
      </c>
      <c r="H7517" s="2">
        <v>1.1999999999999999E-3</v>
      </c>
      <c r="K7517" s="2" t="s">
        <v>10089</v>
      </c>
    </row>
    <row r="7518" spans="1:11" x14ac:dyDescent="0.2">
      <c r="A7518" s="2">
        <v>1881</v>
      </c>
      <c r="B7518" s="2">
        <v>13</v>
      </c>
      <c r="C7518" s="2">
        <v>38290690</v>
      </c>
      <c r="D7518" s="2">
        <v>39381743</v>
      </c>
      <c r="E7518" s="2">
        <v>4</v>
      </c>
      <c r="F7518" s="2" t="s">
        <v>10086</v>
      </c>
      <c r="H7518" s="3">
        <v>2.9999999999999997E-4</v>
      </c>
      <c r="K7518" s="2" t="s">
        <v>10085</v>
      </c>
    </row>
    <row r="7519" spans="1:11" x14ac:dyDescent="0.2">
      <c r="A7519" s="2">
        <v>1882</v>
      </c>
      <c r="B7519" s="2">
        <v>13</v>
      </c>
      <c r="C7519" s="2">
        <v>39381744</v>
      </c>
      <c r="D7519" s="2">
        <v>40091623</v>
      </c>
      <c r="E7519" s="2">
        <v>1</v>
      </c>
      <c r="F7519" s="2" t="s">
        <v>10086</v>
      </c>
      <c r="H7519" s="2">
        <v>1.2999999999999999E-3</v>
      </c>
      <c r="K7519" s="2" t="s">
        <v>10089</v>
      </c>
    </row>
    <row r="7520" spans="1:11" x14ac:dyDescent="0.2">
      <c r="A7520" s="2">
        <v>1882</v>
      </c>
      <c r="B7520" s="2">
        <v>13</v>
      </c>
      <c r="C7520" s="2">
        <v>39381744</v>
      </c>
      <c r="D7520" s="2">
        <v>40091623</v>
      </c>
      <c r="E7520" s="2">
        <v>2</v>
      </c>
      <c r="F7520" s="2" t="s">
        <v>10086</v>
      </c>
      <c r="H7520" s="2">
        <v>1.1000000000000001E-3</v>
      </c>
      <c r="K7520" s="2" t="s">
        <v>10088</v>
      </c>
    </row>
    <row r="7521" spans="1:11" x14ac:dyDescent="0.2">
      <c r="A7521" s="2">
        <v>1882</v>
      </c>
      <c r="B7521" s="2">
        <v>13</v>
      </c>
      <c r="C7521" s="2">
        <v>39381744</v>
      </c>
      <c r="D7521" s="2">
        <v>40091623</v>
      </c>
      <c r="E7521" s="2">
        <v>3</v>
      </c>
      <c r="F7521" s="2" t="s">
        <v>10086</v>
      </c>
      <c r="H7521" s="3">
        <v>5.9999999999999995E-4</v>
      </c>
      <c r="K7521" s="2" t="s">
        <v>10087</v>
      </c>
    </row>
    <row r="7522" spans="1:11" x14ac:dyDescent="0.2">
      <c r="A7522" s="2">
        <v>1882</v>
      </c>
      <c r="B7522" s="2">
        <v>13</v>
      </c>
      <c r="C7522" s="2">
        <v>39381744</v>
      </c>
      <c r="D7522" s="2">
        <v>40091623</v>
      </c>
      <c r="E7522" s="2">
        <v>4</v>
      </c>
      <c r="F7522" s="2" t="s">
        <v>10086</v>
      </c>
      <c r="H7522" s="3">
        <v>2.9999999999999997E-4</v>
      </c>
      <c r="K7522" s="2" t="s">
        <v>10085</v>
      </c>
    </row>
    <row r="7523" spans="1:11" x14ac:dyDescent="0.2">
      <c r="A7523" s="2">
        <v>1883</v>
      </c>
      <c r="B7523" s="2">
        <v>13</v>
      </c>
      <c r="C7523" s="2">
        <v>40091624</v>
      </c>
      <c r="D7523" s="2">
        <v>41003943</v>
      </c>
      <c r="E7523" s="2">
        <v>1</v>
      </c>
      <c r="F7523" s="2" t="s">
        <v>10086</v>
      </c>
      <c r="H7523" s="2">
        <v>3.5000000000000001E-3</v>
      </c>
      <c r="K7523" s="2" t="s">
        <v>12324</v>
      </c>
    </row>
    <row r="7524" spans="1:11" x14ac:dyDescent="0.2">
      <c r="A7524" s="2">
        <v>1883</v>
      </c>
      <c r="B7524" s="2">
        <v>13</v>
      </c>
      <c r="C7524" s="2">
        <v>40091624</v>
      </c>
      <c r="D7524" s="2">
        <v>41003943</v>
      </c>
      <c r="E7524" s="2">
        <v>2</v>
      </c>
      <c r="F7524" s="2" t="s">
        <v>10086</v>
      </c>
      <c r="H7524" s="2">
        <v>1.5E-3</v>
      </c>
      <c r="K7524" s="2" t="s">
        <v>10088</v>
      </c>
    </row>
    <row r="7525" spans="1:11" x14ac:dyDescent="0.2">
      <c r="A7525" s="2">
        <v>1883</v>
      </c>
      <c r="B7525" s="2">
        <v>13</v>
      </c>
      <c r="C7525" s="2">
        <v>40091624</v>
      </c>
      <c r="D7525" s="2">
        <v>41003943</v>
      </c>
      <c r="E7525" s="2">
        <v>3</v>
      </c>
      <c r="F7525" s="2" t="s">
        <v>10086</v>
      </c>
      <c r="H7525" s="2">
        <v>1E-3</v>
      </c>
      <c r="K7525" s="2" t="s">
        <v>10085</v>
      </c>
    </row>
    <row r="7526" spans="1:11" x14ac:dyDescent="0.2">
      <c r="A7526" s="2">
        <v>1883</v>
      </c>
      <c r="B7526" s="2">
        <v>13</v>
      </c>
      <c r="C7526" s="2">
        <v>40091624</v>
      </c>
      <c r="D7526" s="2">
        <v>41003943</v>
      </c>
      <c r="E7526" s="2">
        <v>4</v>
      </c>
      <c r="F7526" s="2" t="s">
        <v>10086</v>
      </c>
      <c r="H7526" s="3">
        <v>8.9999999999999998E-4</v>
      </c>
      <c r="K7526" s="2" t="s">
        <v>10087</v>
      </c>
    </row>
    <row r="7527" spans="1:11" x14ac:dyDescent="0.2">
      <c r="A7527" s="2">
        <v>1884</v>
      </c>
      <c r="B7527" s="2">
        <v>13</v>
      </c>
      <c r="C7527" s="2">
        <v>41003944</v>
      </c>
      <c r="D7527" s="2">
        <v>42037054</v>
      </c>
      <c r="E7527" s="2">
        <v>1</v>
      </c>
      <c r="F7527" s="2" t="s">
        <v>10086</v>
      </c>
      <c r="H7527" s="2">
        <v>2.2000000000000001E-3</v>
      </c>
      <c r="K7527" s="2" t="s">
        <v>10089</v>
      </c>
    </row>
    <row r="7528" spans="1:11" x14ac:dyDescent="0.2">
      <c r="A7528" s="2">
        <v>1884</v>
      </c>
      <c r="B7528" s="2">
        <v>13</v>
      </c>
      <c r="C7528" s="2">
        <v>41003944</v>
      </c>
      <c r="D7528" s="2">
        <v>42037054</v>
      </c>
      <c r="E7528" s="2">
        <v>2</v>
      </c>
      <c r="F7528" s="2" t="s">
        <v>10086</v>
      </c>
      <c r="H7528" s="3">
        <v>8.0000000000000004E-4</v>
      </c>
      <c r="K7528" s="2" t="s">
        <v>10088</v>
      </c>
    </row>
    <row r="7529" spans="1:11" x14ac:dyDescent="0.2">
      <c r="A7529" s="2">
        <v>1884</v>
      </c>
      <c r="B7529" s="2">
        <v>13</v>
      </c>
      <c r="C7529" s="2">
        <v>41003944</v>
      </c>
      <c r="D7529" s="2">
        <v>42037054</v>
      </c>
      <c r="E7529" s="2">
        <v>3</v>
      </c>
      <c r="F7529" s="2" t="s">
        <v>10086</v>
      </c>
      <c r="H7529" s="3">
        <v>5.9999999999999995E-4</v>
      </c>
      <c r="K7529" s="2" t="s">
        <v>10085</v>
      </c>
    </row>
    <row r="7530" spans="1:11" x14ac:dyDescent="0.2">
      <c r="A7530" s="2">
        <v>1884</v>
      </c>
      <c r="B7530" s="2">
        <v>13</v>
      </c>
      <c r="C7530" s="2">
        <v>41003944</v>
      </c>
      <c r="D7530" s="2">
        <v>42037054</v>
      </c>
      <c r="E7530" s="2">
        <v>4</v>
      </c>
      <c r="F7530" s="2" t="s">
        <v>10086</v>
      </c>
      <c r="H7530" s="3">
        <v>2.9999999999999997E-4</v>
      </c>
      <c r="K7530" s="2" t="s">
        <v>10087</v>
      </c>
    </row>
    <row r="7531" spans="1:11" x14ac:dyDescent="0.2">
      <c r="A7531" s="2">
        <v>1885</v>
      </c>
      <c r="B7531" s="2">
        <v>13</v>
      </c>
      <c r="C7531" s="2">
        <v>42037055</v>
      </c>
      <c r="D7531" s="2">
        <v>42950157</v>
      </c>
      <c r="E7531" s="2">
        <v>1</v>
      </c>
      <c r="F7531" s="2" t="s">
        <v>10086</v>
      </c>
      <c r="H7531" s="2">
        <v>1.8E-3</v>
      </c>
      <c r="K7531" s="2" t="s">
        <v>10088</v>
      </c>
    </row>
    <row r="7532" spans="1:11" x14ac:dyDescent="0.2">
      <c r="A7532" s="2">
        <v>1885</v>
      </c>
      <c r="B7532" s="2">
        <v>13</v>
      </c>
      <c r="C7532" s="2">
        <v>42037055</v>
      </c>
      <c r="D7532" s="2">
        <v>42950157</v>
      </c>
      <c r="E7532" s="2">
        <v>2</v>
      </c>
      <c r="F7532" s="2" t="s">
        <v>10086</v>
      </c>
      <c r="H7532" s="2">
        <v>1.2999999999999999E-3</v>
      </c>
      <c r="K7532" s="2" t="s">
        <v>10085</v>
      </c>
    </row>
    <row r="7533" spans="1:11" x14ac:dyDescent="0.2">
      <c r="A7533" s="2">
        <v>1885</v>
      </c>
      <c r="B7533" s="2">
        <v>13</v>
      </c>
      <c r="C7533" s="2">
        <v>42037055</v>
      </c>
      <c r="D7533" s="2">
        <v>42950157</v>
      </c>
      <c r="E7533" s="2">
        <v>3</v>
      </c>
      <c r="F7533" s="2" t="s">
        <v>10086</v>
      </c>
      <c r="H7533" s="3">
        <v>8.0000000000000004E-4</v>
      </c>
      <c r="K7533" s="2" t="s">
        <v>10089</v>
      </c>
    </row>
    <row r="7534" spans="1:11" x14ac:dyDescent="0.2">
      <c r="A7534" s="2">
        <v>1885</v>
      </c>
      <c r="B7534" s="2">
        <v>13</v>
      </c>
      <c r="C7534" s="2">
        <v>42037055</v>
      </c>
      <c r="D7534" s="2">
        <v>42950157</v>
      </c>
      <c r="E7534" s="2">
        <v>4</v>
      </c>
      <c r="F7534" s="2" t="s">
        <v>10086</v>
      </c>
      <c r="H7534" s="3">
        <v>4.0000000000000002E-4</v>
      </c>
      <c r="K7534" s="2" t="s">
        <v>10087</v>
      </c>
    </row>
    <row r="7535" spans="1:11" x14ac:dyDescent="0.2">
      <c r="A7535" s="2">
        <v>1886</v>
      </c>
      <c r="B7535" s="2">
        <v>13</v>
      </c>
      <c r="C7535" s="2">
        <v>42950158</v>
      </c>
      <c r="D7535" s="2">
        <v>43931931</v>
      </c>
      <c r="E7535" s="2">
        <v>1</v>
      </c>
      <c r="F7535" s="2" t="s">
        <v>10086</v>
      </c>
      <c r="H7535" s="2">
        <v>1.1999999999999999E-3</v>
      </c>
      <c r="K7535" s="2" t="s">
        <v>10087</v>
      </c>
    </row>
    <row r="7536" spans="1:11" x14ac:dyDescent="0.2">
      <c r="A7536" s="2">
        <v>1886</v>
      </c>
      <c r="B7536" s="2">
        <v>13</v>
      </c>
      <c r="C7536" s="2">
        <v>42950158</v>
      </c>
      <c r="D7536" s="2">
        <v>43931931</v>
      </c>
      <c r="E7536" s="2">
        <v>2</v>
      </c>
      <c r="F7536" s="2" t="s">
        <v>10086</v>
      </c>
      <c r="H7536" s="3">
        <v>8.9999999999999998E-4</v>
      </c>
      <c r="K7536" s="2" t="s">
        <v>10085</v>
      </c>
    </row>
    <row r="7537" spans="1:11" x14ac:dyDescent="0.2">
      <c r="A7537" s="2">
        <v>1886</v>
      </c>
      <c r="B7537" s="2">
        <v>13</v>
      </c>
      <c r="C7537" s="2">
        <v>42950158</v>
      </c>
      <c r="D7537" s="2">
        <v>43931931</v>
      </c>
      <c r="E7537" s="2">
        <v>3</v>
      </c>
      <c r="F7537" s="2" t="s">
        <v>10086</v>
      </c>
      <c r="H7537" s="3">
        <v>6.9999999999999999E-4</v>
      </c>
      <c r="K7537" s="2" t="s">
        <v>10088</v>
      </c>
    </row>
    <row r="7538" spans="1:11" x14ac:dyDescent="0.2">
      <c r="A7538" s="2">
        <v>1886</v>
      </c>
      <c r="B7538" s="2">
        <v>13</v>
      </c>
      <c r="C7538" s="2">
        <v>42950158</v>
      </c>
      <c r="D7538" s="2">
        <v>43931931</v>
      </c>
      <c r="E7538" s="2">
        <v>4</v>
      </c>
      <c r="F7538" s="2" t="s">
        <v>10086</v>
      </c>
      <c r="H7538" s="3">
        <v>5.0000000000000001E-4</v>
      </c>
      <c r="K7538" s="2" t="s">
        <v>10089</v>
      </c>
    </row>
    <row r="7539" spans="1:11" x14ac:dyDescent="0.2">
      <c r="A7539" s="2">
        <v>1887</v>
      </c>
      <c r="B7539" s="2">
        <v>13</v>
      </c>
      <c r="C7539" s="2">
        <v>43931932</v>
      </c>
      <c r="D7539" s="2">
        <v>45476446</v>
      </c>
      <c r="E7539" s="2">
        <v>1</v>
      </c>
      <c r="F7539" s="2" t="s">
        <v>10086</v>
      </c>
      <c r="H7539" s="2">
        <v>3.3E-3</v>
      </c>
      <c r="K7539" s="2" t="s">
        <v>10088</v>
      </c>
    </row>
    <row r="7540" spans="1:11" x14ac:dyDescent="0.2">
      <c r="A7540" s="2">
        <v>1887</v>
      </c>
      <c r="B7540" s="2">
        <v>13</v>
      </c>
      <c r="C7540" s="2">
        <v>43931932</v>
      </c>
      <c r="D7540" s="2">
        <v>45476446</v>
      </c>
      <c r="E7540" s="2">
        <v>2</v>
      </c>
      <c r="F7540" s="2" t="s">
        <v>10086</v>
      </c>
      <c r="H7540" s="2">
        <v>1.8E-3</v>
      </c>
      <c r="K7540" s="2" t="s">
        <v>10087</v>
      </c>
    </row>
    <row r="7541" spans="1:11" x14ac:dyDescent="0.2">
      <c r="A7541" s="2">
        <v>1887</v>
      </c>
      <c r="B7541" s="2">
        <v>13</v>
      </c>
      <c r="C7541" s="2">
        <v>43931932</v>
      </c>
      <c r="D7541" s="2">
        <v>45476446</v>
      </c>
      <c r="E7541" s="2">
        <v>3</v>
      </c>
      <c r="F7541" s="2" t="s">
        <v>10086</v>
      </c>
      <c r="H7541" s="2">
        <v>1.1000000000000001E-3</v>
      </c>
      <c r="K7541" s="2" t="s">
        <v>10085</v>
      </c>
    </row>
    <row r="7542" spans="1:11" x14ac:dyDescent="0.2">
      <c r="A7542" s="2">
        <v>1887</v>
      </c>
      <c r="B7542" s="2">
        <v>13</v>
      </c>
      <c r="C7542" s="2">
        <v>43931932</v>
      </c>
      <c r="D7542" s="2">
        <v>45476446</v>
      </c>
      <c r="E7542" s="2">
        <v>4</v>
      </c>
      <c r="F7542" s="2" t="s">
        <v>10086</v>
      </c>
      <c r="H7542" s="3">
        <v>8.0000000000000004E-4</v>
      </c>
      <c r="K7542" s="2" t="s">
        <v>10089</v>
      </c>
    </row>
    <row r="7543" spans="1:11" x14ac:dyDescent="0.2">
      <c r="A7543" s="2">
        <v>1888</v>
      </c>
      <c r="B7543" s="2">
        <v>13</v>
      </c>
      <c r="C7543" s="2">
        <v>45476447</v>
      </c>
      <c r="D7543" s="2">
        <v>46493236</v>
      </c>
      <c r="E7543" s="2">
        <v>1</v>
      </c>
      <c r="F7543" s="2" t="s">
        <v>10086</v>
      </c>
      <c r="H7543" s="2">
        <v>1.9E-3</v>
      </c>
      <c r="K7543" s="2" t="s">
        <v>10085</v>
      </c>
    </row>
    <row r="7544" spans="1:11" x14ac:dyDescent="0.2">
      <c r="A7544" s="2">
        <v>1888</v>
      </c>
      <c r="B7544" s="2">
        <v>13</v>
      </c>
      <c r="C7544" s="2">
        <v>45476447</v>
      </c>
      <c r="D7544" s="2">
        <v>46493236</v>
      </c>
      <c r="E7544" s="2">
        <v>2</v>
      </c>
      <c r="F7544" s="2" t="s">
        <v>10086</v>
      </c>
      <c r="H7544" s="2">
        <v>1.6999999999999999E-3</v>
      </c>
      <c r="K7544" s="2" t="s">
        <v>10088</v>
      </c>
    </row>
    <row r="7545" spans="1:11" x14ac:dyDescent="0.2">
      <c r="A7545" s="2">
        <v>1888</v>
      </c>
      <c r="B7545" s="2">
        <v>13</v>
      </c>
      <c r="C7545" s="2">
        <v>45476447</v>
      </c>
      <c r="D7545" s="2">
        <v>46493236</v>
      </c>
      <c r="E7545" s="2">
        <v>3</v>
      </c>
      <c r="F7545" s="2" t="s">
        <v>10086</v>
      </c>
      <c r="H7545" s="3">
        <v>6.9999999999999999E-4</v>
      </c>
      <c r="K7545" s="2" t="s">
        <v>10087</v>
      </c>
    </row>
    <row r="7546" spans="1:11" x14ac:dyDescent="0.2">
      <c r="A7546" s="2">
        <v>1888</v>
      </c>
      <c r="B7546" s="2">
        <v>13</v>
      </c>
      <c r="C7546" s="2">
        <v>45476447</v>
      </c>
      <c r="D7546" s="2">
        <v>46493236</v>
      </c>
      <c r="E7546" s="2">
        <v>4</v>
      </c>
      <c r="F7546" s="2" t="s">
        <v>10086</v>
      </c>
      <c r="H7546" s="3">
        <v>4.0000000000000002E-4</v>
      </c>
      <c r="K7546" s="2" t="s">
        <v>10089</v>
      </c>
    </row>
    <row r="7547" spans="1:11" x14ac:dyDescent="0.2">
      <c r="A7547" s="2">
        <v>1889</v>
      </c>
      <c r="B7547" s="2">
        <v>13</v>
      </c>
      <c r="C7547" s="2">
        <v>46493237</v>
      </c>
      <c r="D7547" s="2">
        <v>47433528</v>
      </c>
      <c r="E7547" s="2">
        <v>1</v>
      </c>
      <c r="F7547" s="2" t="s">
        <v>10086</v>
      </c>
      <c r="H7547" s="2">
        <v>1.6000000000000001E-3</v>
      </c>
      <c r="K7547" s="2" t="s">
        <v>10088</v>
      </c>
    </row>
    <row r="7548" spans="1:11" x14ac:dyDescent="0.2">
      <c r="A7548" s="2">
        <v>1889</v>
      </c>
      <c r="B7548" s="2">
        <v>13</v>
      </c>
      <c r="C7548" s="2">
        <v>46493237</v>
      </c>
      <c r="D7548" s="2">
        <v>47433528</v>
      </c>
      <c r="E7548" s="2">
        <v>2</v>
      </c>
      <c r="F7548" s="2" t="s">
        <v>10086</v>
      </c>
      <c r="H7548" s="2">
        <v>1.6000000000000001E-3</v>
      </c>
      <c r="K7548" s="2" t="s">
        <v>10089</v>
      </c>
    </row>
    <row r="7549" spans="1:11" x14ac:dyDescent="0.2">
      <c r="A7549" s="2">
        <v>1889</v>
      </c>
      <c r="B7549" s="2">
        <v>13</v>
      </c>
      <c r="C7549" s="2">
        <v>46493237</v>
      </c>
      <c r="D7549" s="2">
        <v>47433528</v>
      </c>
      <c r="E7549" s="2">
        <v>3</v>
      </c>
      <c r="F7549" s="2" t="s">
        <v>10086</v>
      </c>
      <c r="H7549" s="3">
        <v>8.9999999999999998E-4</v>
      </c>
      <c r="K7549" s="2" t="s">
        <v>10085</v>
      </c>
    </row>
    <row r="7550" spans="1:11" x14ac:dyDescent="0.2">
      <c r="A7550" s="2">
        <v>1889</v>
      </c>
      <c r="B7550" s="2">
        <v>13</v>
      </c>
      <c r="C7550" s="2">
        <v>46493237</v>
      </c>
      <c r="D7550" s="2">
        <v>47433528</v>
      </c>
      <c r="E7550" s="2">
        <v>4</v>
      </c>
      <c r="F7550" s="2" t="s">
        <v>10086</v>
      </c>
      <c r="H7550" s="3">
        <v>6.9999999999999999E-4</v>
      </c>
      <c r="K7550" s="2" t="s">
        <v>12324</v>
      </c>
    </row>
    <row r="7551" spans="1:11" x14ac:dyDescent="0.2">
      <c r="A7551" s="2">
        <v>1890</v>
      </c>
      <c r="B7551" s="2">
        <v>13</v>
      </c>
      <c r="C7551" s="2">
        <v>47433529</v>
      </c>
      <c r="D7551" s="2">
        <v>48137479</v>
      </c>
      <c r="E7551" s="2">
        <v>1</v>
      </c>
      <c r="F7551" s="2" t="s">
        <v>10086</v>
      </c>
      <c r="H7551" s="2">
        <v>1.6000000000000001E-3</v>
      </c>
      <c r="K7551" s="2" t="s">
        <v>10088</v>
      </c>
    </row>
    <row r="7552" spans="1:11" x14ac:dyDescent="0.2">
      <c r="A7552" s="2">
        <v>1890</v>
      </c>
      <c r="B7552" s="2">
        <v>13</v>
      </c>
      <c r="C7552" s="2">
        <v>47433529</v>
      </c>
      <c r="D7552" s="2">
        <v>48137479</v>
      </c>
      <c r="E7552" s="2">
        <v>2</v>
      </c>
      <c r="F7552" s="2" t="s">
        <v>10086</v>
      </c>
      <c r="H7552" s="2">
        <v>1.4E-3</v>
      </c>
      <c r="K7552" s="2" t="s">
        <v>10089</v>
      </c>
    </row>
    <row r="7553" spans="1:11" x14ac:dyDescent="0.2">
      <c r="A7553" s="2">
        <v>1890</v>
      </c>
      <c r="B7553" s="2">
        <v>13</v>
      </c>
      <c r="C7553" s="2">
        <v>47433529</v>
      </c>
      <c r="D7553" s="2">
        <v>48137479</v>
      </c>
      <c r="E7553" s="2">
        <v>3</v>
      </c>
      <c r="F7553" s="2" t="s">
        <v>10086</v>
      </c>
      <c r="H7553" s="3">
        <v>8.0000000000000004E-4</v>
      </c>
      <c r="K7553" s="2" t="s">
        <v>10087</v>
      </c>
    </row>
    <row r="7554" spans="1:11" x14ac:dyDescent="0.2">
      <c r="A7554" s="2">
        <v>1890</v>
      </c>
      <c r="B7554" s="2">
        <v>13</v>
      </c>
      <c r="C7554" s="2">
        <v>47433529</v>
      </c>
      <c r="D7554" s="2">
        <v>48137479</v>
      </c>
      <c r="E7554" s="2">
        <v>4</v>
      </c>
      <c r="F7554" s="2" t="s">
        <v>10086</v>
      </c>
      <c r="H7554" s="3">
        <v>2.9999999999999997E-4</v>
      </c>
      <c r="K7554" s="2" t="s">
        <v>10085</v>
      </c>
    </row>
    <row r="7555" spans="1:11" x14ac:dyDescent="0.2">
      <c r="A7555" s="2">
        <v>1891</v>
      </c>
      <c r="B7555" s="2">
        <v>13</v>
      </c>
      <c r="C7555" s="2">
        <v>48137480</v>
      </c>
      <c r="D7555" s="2">
        <v>49381727</v>
      </c>
      <c r="E7555" s="2">
        <v>1</v>
      </c>
      <c r="F7555" s="2" t="s">
        <v>10086</v>
      </c>
      <c r="H7555" s="2">
        <v>5.4000000000000003E-3</v>
      </c>
      <c r="K7555" s="2" t="s">
        <v>10088</v>
      </c>
    </row>
    <row r="7556" spans="1:11" x14ac:dyDescent="0.2">
      <c r="A7556" s="2">
        <v>1891</v>
      </c>
      <c r="B7556" s="2">
        <v>13</v>
      </c>
      <c r="C7556" s="2">
        <v>48137480</v>
      </c>
      <c r="D7556" s="2">
        <v>49381727</v>
      </c>
      <c r="E7556" s="2">
        <v>2</v>
      </c>
      <c r="F7556" s="2" t="s">
        <v>10086</v>
      </c>
      <c r="H7556" s="2">
        <v>1.6000000000000001E-3</v>
      </c>
      <c r="K7556" s="2" t="s">
        <v>10089</v>
      </c>
    </row>
    <row r="7557" spans="1:11" x14ac:dyDescent="0.2">
      <c r="A7557" s="2">
        <v>1891</v>
      </c>
      <c r="B7557" s="2">
        <v>13</v>
      </c>
      <c r="C7557" s="2">
        <v>48137480</v>
      </c>
      <c r="D7557" s="2">
        <v>49381727</v>
      </c>
      <c r="E7557" s="2">
        <v>3</v>
      </c>
      <c r="F7557" s="2" t="s">
        <v>10086</v>
      </c>
      <c r="H7557" s="2">
        <v>1.4E-3</v>
      </c>
      <c r="K7557" s="2" t="s">
        <v>10087</v>
      </c>
    </row>
    <row r="7558" spans="1:11" x14ac:dyDescent="0.2">
      <c r="A7558" s="2">
        <v>1891</v>
      </c>
      <c r="B7558" s="2">
        <v>13</v>
      </c>
      <c r="C7558" s="2">
        <v>48137480</v>
      </c>
      <c r="D7558" s="2">
        <v>49381727</v>
      </c>
      <c r="E7558" s="2">
        <v>4</v>
      </c>
      <c r="F7558" s="2" t="s">
        <v>10086</v>
      </c>
      <c r="H7558" s="2">
        <v>1.2999999999999999E-3</v>
      </c>
      <c r="K7558" s="2" t="s">
        <v>10085</v>
      </c>
    </row>
    <row r="7559" spans="1:11" x14ac:dyDescent="0.2">
      <c r="A7559" s="2">
        <v>1892</v>
      </c>
      <c r="B7559" s="2">
        <v>13</v>
      </c>
      <c r="C7559" s="2">
        <v>49381728</v>
      </c>
      <c r="D7559" s="2">
        <v>50419896</v>
      </c>
      <c r="E7559" s="2">
        <v>1</v>
      </c>
      <c r="F7559" s="2" t="s">
        <v>10086</v>
      </c>
      <c r="H7559" s="2">
        <v>7.6E-3</v>
      </c>
      <c r="K7559" s="2" t="s">
        <v>10088</v>
      </c>
    </row>
    <row r="7560" spans="1:11" x14ac:dyDescent="0.2">
      <c r="A7560" s="2">
        <v>1892</v>
      </c>
      <c r="B7560" s="2">
        <v>13</v>
      </c>
      <c r="C7560" s="2">
        <v>49381728</v>
      </c>
      <c r="D7560" s="2">
        <v>50419896</v>
      </c>
      <c r="E7560" s="2">
        <v>2</v>
      </c>
      <c r="F7560" s="2" t="s">
        <v>10086</v>
      </c>
      <c r="H7560" s="2">
        <v>1E-3</v>
      </c>
      <c r="K7560" s="2" t="s">
        <v>10085</v>
      </c>
    </row>
    <row r="7561" spans="1:11" x14ac:dyDescent="0.2">
      <c r="A7561" s="2">
        <v>1892</v>
      </c>
      <c r="B7561" s="2">
        <v>13</v>
      </c>
      <c r="C7561" s="2">
        <v>49381728</v>
      </c>
      <c r="D7561" s="2">
        <v>50419896</v>
      </c>
      <c r="E7561" s="2">
        <v>3</v>
      </c>
      <c r="F7561" s="2" t="s">
        <v>10086</v>
      </c>
      <c r="H7561" s="3">
        <v>8.9999999999999998E-4</v>
      </c>
      <c r="K7561" s="2" t="s">
        <v>10087</v>
      </c>
    </row>
    <row r="7562" spans="1:11" x14ac:dyDescent="0.2">
      <c r="A7562" s="2">
        <v>1892</v>
      </c>
      <c r="B7562" s="2">
        <v>13</v>
      </c>
      <c r="C7562" s="2">
        <v>49381728</v>
      </c>
      <c r="D7562" s="2">
        <v>50419896</v>
      </c>
      <c r="E7562" s="2">
        <v>4</v>
      </c>
      <c r="F7562" s="2" t="s">
        <v>10086</v>
      </c>
      <c r="H7562" s="3">
        <v>4.0000000000000002E-4</v>
      </c>
      <c r="K7562" s="2" t="s">
        <v>10089</v>
      </c>
    </row>
    <row r="7563" spans="1:11" x14ac:dyDescent="0.2">
      <c r="A7563" s="2">
        <v>1893</v>
      </c>
      <c r="B7563" s="2">
        <v>13</v>
      </c>
      <c r="C7563" s="2">
        <v>50419897</v>
      </c>
      <c r="D7563" s="2">
        <v>51554236</v>
      </c>
      <c r="E7563" s="2">
        <v>1</v>
      </c>
      <c r="F7563" s="2" t="s">
        <v>10086</v>
      </c>
      <c r="H7563" s="2">
        <v>5.0000000000000001E-3</v>
      </c>
      <c r="K7563" s="2" t="s">
        <v>10088</v>
      </c>
    </row>
    <row r="7564" spans="1:11" x14ac:dyDescent="0.2">
      <c r="A7564" s="2">
        <v>1893</v>
      </c>
      <c r="B7564" s="2">
        <v>13</v>
      </c>
      <c r="C7564" s="2">
        <v>50419897</v>
      </c>
      <c r="D7564" s="2">
        <v>51554236</v>
      </c>
      <c r="E7564" s="2">
        <v>2</v>
      </c>
      <c r="F7564" s="2" t="s">
        <v>10086</v>
      </c>
      <c r="H7564" s="2">
        <v>3.0999999999999999E-3</v>
      </c>
      <c r="K7564" s="2" t="s">
        <v>10087</v>
      </c>
    </row>
    <row r="7565" spans="1:11" x14ac:dyDescent="0.2">
      <c r="A7565" s="2">
        <v>1893</v>
      </c>
      <c r="B7565" s="2">
        <v>13</v>
      </c>
      <c r="C7565" s="2">
        <v>50419897</v>
      </c>
      <c r="D7565" s="2">
        <v>51554236</v>
      </c>
      <c r="E7565" s="2">
        <v>3</v>
      </c>
      <c r="F7565" s="2" t="s">
        <v>10086</v>
      </c>
      <c r="H7565" s="3">
        <v>8.9999999999999998E-4</v>
      </c>
      <c r="K7565" s="2" t="s">
        <v>10089</v>
      </c>
    </row>
    <row r="7566" spans="1:11" x14ac:dyDescent="0.2">
      <c r="A7566" s="2">
        <v>1893</v>
      </c>
      <c r="B7566" s="2">
        <v>13</v>
      </c>
      <c r="C7566" s="2">
        <v>50419897</v>
      </c>
      <c r="D7566" s="2">
        <v>51554236</v>
      </c>
      <c r="E7566" s="2">
        <v>4</v>
      </c>
      <c r="F7566" s="2" t="s">
        <v>10086</v>
      </c>
      <c r="H7566" s="3">
        <v>5.0000000000000001E-4</v>
      </c>
      <c r="K7566" s="2" t="s">
        <v>10085</v>
      </c>
    </row>
    <row r="7567" spans="1:11" x14ac:dyDescent="0.2">
      <c r="A7567" s="2">
        <v>1894</v>
      </c>
      <c r="B7567" s="2">
        <v>13</v>
      </c>
      <c r="C7567" s="2">
        <v>51554237</v>
      </c>
      <c r="D7567" s="2">
        <v>53336571</v>
      </c>
      <c r="E7567" s="2">
        <v>1</v>
      </c>
      <c r="F7567" s="2" t="s">
        <v>10086</v>
      </c>
      <c r="H7567" s="2">
        <v>4.0000000000000001E-3</v>
      </c>
      <c r="K7567" s="2" t="s">
        <v>10089</v>
      </c>
    </row>
    <row r="7568" spans="1:11" x14ac:dyDescent="0.2">
      <c r="A7568" s="2">
        <v>1894</v>
      </c>
      <c r="B7568" s="2">
        <v>13</v>
      </c>
      <c r="C7568" s="2">
        <v>51554237</v>
      </c>
      <c r="D7568" s="2">
        <v>53336571</v>
      </c>
      <c r="E7568" s="2">
        <v>2</v>
      </c>
      <c r="F7568" s="2" t="s">
        <v>10086</v>
      </c>
      <c r="H7568" s="2">
        <v>1.9E-3</v>
      </c>
      <c r="K7568" s="2" t="s">
        <v>12324</v>
      </c>
    </row>
    <row r="7569" spans="1:11" x14ac:dyDescent="0.2">
      <c r="A7569" s="2">
        <v>1894</v>
      </c>
      <c r="B7569" s="2">
        <v>13</v>
      </c>
      <c r="C7569" s="2">
        <v>51554237</v>
      </c>
      <c r="D7569" s="2">
        <v>53336571</v>
      </c>
      <c r="E7569" s="2">
        <v>3</v>
      </c>
      <c r="F7569" s="2" t="s">
        <v>10086</v>
      </c>
      <c r="H7569" s="2">
        <v>1.8E-3</v>
      </c>
      <c r="K7569" s="2" t="s">
        <v>10085</v>
      </c>
    </row>
    <row r="7570" spans="1:11" x14ac:dyDescent="0.2">
      <c r="A7570" s="2">
        <v>1894</v>
      </c>
      <c r="B7570" s="2">
        <v>13</v>
      </c>
      <c r="C7570" s="2">
        <v>51554237</v>
      </c>
      <c r="D7570" s="2">
        <v>53336571</v>
      </c>
      <c r="E7570" s="2">
        <v>4</v>
      </c>
      <c r="F7570" s="2" t="s">
        <v>10086</v>
      </c>
      <c r="H7570" s="2">
        <v>2.0999999999999999E-3</v>
      </c>
      <c r="K7570" s="2" t="s">
        <v>10088</v>
      </c>
    </row>
    <row r="7571" spans="1:11" x14ac:dyDescent="0.2">
      <c r="A7571" s="2">
        <v>1895</v>
      </c>
      <c r="B7571" s="2">
        <v>13</v>
      </c>
      <c r="C7571" s="2">
        <v>53336572</v>
      </c>
      <c r="D7571" s="2">
        <v>54684856</v>
      </c>
      <c r="E7571" s="2">
        <v>1</v>
      </c>
      <c r="F7571" s="2" t="s">
        <v>10086</v>
      </c>
      <c r="H7571" s="2">
        <v>1.6000000000000001E-3</v>
      </c>
      <c r="K7571" s="2" t="s">
        <v>12324</v>
      </c>
    </row>
    <row r="7572" spans="1:11" x14ac:dyDescent="0.2">
      <c r="A7572" s="2">
        <v>1895</v>
      </c>
      <c r="B7572" s="2">
        <v>13</v>
      </c>
      <c r="C7572" s="2">
        <v>53336572</v>
      </c>
      <c r="D7572" s="2">
        <v>54684856</v>
      </c>
      <c r="E7572" s="2">
        <v>2</v>
      </c>
      <c r="F7572" s="2" t="s">
        <v>10086</v>
      </c>
      <c r="H7572" s="2">
        <v>1.1999999999999999E-3</v>
      </c>
      <c r="K7572" s="2" t="s">
        <v>10087</v>
      </c>
    </row>
    <row r="7573" spans="1:11" x14ac:dyDescent="0.2">
      <c r="A7573" s="2">
        <v>1895</v>
      </c>
      <c r="B7573" s="2">
        <v>13</v>
      </c>
      <c r="C7573" s="2">
        <v>53336572</v>
      </c>
      <c r="D7573" s="2">
        <v>54684856</v>
      </c>
      <c r="E7573" s="2">
        <v>3</v>
      </c>
      <c r="F7573" s="2" t="s">
        <v>10086</v>
      </c>
      <c r="H7573" s="2">
        <v>1E-3</v>
      </c>
      <c r="K7573" s="2" t="s">
        <v>10088</v>
      </c>
    </row>
    <row r="7574" spans="1:11" x14ac:dyDescent="0.2">
      <c r="A7574" s="2">
        <v>1895</v>
      </c>
      <c r="B7574" s="2">
        <v>13</v>
      </c>
      <c r="C7574" s="2">
        <v>53336572</v>
      </c>
      <c r="D7574" s="2">
        <v>54684856</v>
      </c>
      <c r="E7574" s="2">
        <v>4</v>
      </c>
      <c r="F7574" s="2" t="s">
        <v>10086</v>
      </c>
      <c r="H7574" s="3">
        <v>6.9999999999999999E-4</v>
      </c>
      <c r="K7574" s="2" t="s">
        <v>10085</v>
      </c>
    </row>
    <row r="7575" spans="1:11" x14ac:dyDescent="0.2">
      <c r="A7575" s="2">
        <v>1896</v>
      </c>
      <c r="B7575" s="2">
        <v>13</v>
      </c>
      <c r="C7575" s="2">
        <v>54684857</v>
      </c>
      <c r="D7575" s="2">
        <v>55576912</v>
      </c>
      <c r="E7575" s="2">
        <v>1</v>
      </c>
      <c r="F7575" s="2" t="s">
        <v>10086</v>
      </c>
      <c r="H7575" s="2">
        <v>4.8999999999999998E-3</v>
      </c>
      <c r="K7575" s="2" t="s">
        <v>10087</v>
      </c>
    </row>
    <row r="7576" spans="1:11" x14ac:dyDescent="0.2">
      <c r="A7576" s="2">
        <v>1896</v>
      </c>
      <c r="B7576" s="2">
        <v>13</v>
      </c>
      <c r="C7576" s="2">
        <v>54684857</v>
      </c>
      <c r="D7576" s="2">
        <v>55576912</v>
      </c>
      <c r="E7576" s="2">
        <v>2</v>
      </c>
      <c r="F7576" s="2" t="s">
        <v>10086</v>
      </c>
      <c r="H7576" s="3">
        <v>8.0000000000000004E-4</v>
      </c>
      <c r="K7576" s="2" t="s">
        <v>10088</v>
      </c>
    </row>
    <row r="7577" spans="1:11" x14ac:dyDescent="0.2">
      <c r="A7577" s="2">
        <v>1896</v>
      </c>
      <c r="B7577" s="2">
        <v>13</v>
      </c>
      <c r="C7577" s="2">
        <v>54684857</v>
      </c>
      <c r="D7577" s="2">
        <v>55576912</v>
      </c>
      <c r="E7577" s="2">
        <v>3</v>
      </c>
      <c r="F7577" s="2" t="s">
        <v>10086</v>
      </c>
      <c r="H7577" s="3">
        <v>8.9999999999999998E-4</v>
      </c>
      <c r="K7577" s="2" t="s">
        <v>10085</v>
      </c>
    </row>
    <row r="7578" spans="1:11" x14ac:dyDescent="0.2">
      <c r="A7578" s="2">
        <v>1896</v>
      </c>
      <c r="B7578" s="2">
        <v>13</v>
      </c>
      <c r="C7578" s="2">
        <v>54684857</v>
      </c>
      <c r="D7578" s="2">
        <v>55576912</v>
      </c>
      <c r="E7578" s="2">
        <v>4</v>
      </c>
      <c r="F7578" s="2" t="s">
        <v>10086</v>
      </c>
      <c r="H7578" s="3">
        <v>5.9999999999999995E-4</v>
      </c>
      <c r="K7578" s="2" t="s">
        <v>12324</v>
      </c>
    </row>
    <row r="7579" spans="1:11" x14ac:dyDescent="0.2">
      <c r="A7579" s="2">
        <v>1897</v>
      </c>
      <c r="B7579" s="2">
        <v>13</v>
      </c>
      <c r="C7579" s="2">
        <v>55576913</v>
      </c>
      <c r="D7579" s="2">
        <v>56434007</v>
      </c>
      <c r="E7579" s="2">
        <v>1</v>
      </c>
      <c r="F7579" s="2" t="s">
        <v>10086</v>
      </c>
      <c r="H7579" s="2">
        <v>1.5E-3</v>
      </c>
      <c r="K7579" s="2" t="s">
        <v>10087</v>
      </c>
    </row>
    <row r="7580" spans="1:11" x14ac:dyDescent="0.2">
      <c r="A7580" s="2">
        <v>1897</v>
      </c>
      <c r="B7580" s="2">
        <v>13</v>
      </c>
      <c r="C7580" s="2">
        <v>55576913</v>
      </c>
      <c r="D7580" s="2">
        <v>56434007</v>
      </c>
      <c r="E7580" s="2">
        <v>2</v>
      </c>
      <c r="F7580" s="2" t="s">
        <v>10086</v>
      </c>
      <c r="H7580" s="3">
        <v>8.0000000000000004E-4</v>
      </c>
      <c r="K7580" s="2" t="s">
        <v>10085</v>
      </c>
    </row>
    <row r="7581" spans="1:11" x14ac:dyDescent="0.2">
      <c r="A7581" s="2">
        <v>1897</v>
      </c>
      <c r="B7581" s="2">
        <v>13</v>
      </c>
      <c r="C7581" s="2">
        <v>55576913</v>
      </c>
      <c r="D7581" s="2">
        <v>56434007</v>
      </c>
      <c r="E7581" s="2">
        <v>3</v>
      </c>
      <c r="F7581" s="2" t="s">
        <v>10086</v>
      </c>
      <c r="H7581" s="3">
        <v>5.0000000000000001E-4</v>
      </c>
      <c r="K7581" s="2" t="s">
        <v>10089</v>
      </c>
    </row>
    <row r="7582" spans="1:11" x14ac:dyDescent="0.2">
      <c r="A7582" s="2">
        <v>1897</v>
      </c>
      <c r="B7582" s="2">
        <v>13</v>
      </c>
      <c r="C7582" s="2">
        <v>55576913</v>
      </c>
      <c r="D7582" s="2">
        <v>56434007</v>
      </c>
      <c r="E7582" s="2">
        <v>4</v>
      </c>
      <c r="F7582" s="2" t="s">
        <v>10086</v>
      </c>
      <c r="H7582" s="3">
        <v>2.0000000000000001E-4</v>
      </c>
      <c r="K7582" s="2" t="s">
        <v>10088</v>
      </c>
    </row>
    <row r="7583" spans="1:11" x14ac:dyDescent="0.2">
      <c r="A7583" s="2">
        <v>1898</v>
      </c>
      <c r="B7583" s="2">
        <v>13</v>
      </c>
      <c r="C7583" s="2">
        <v>56434008</v>
      </c>
      <c r="D7583" s="2">
        <v>58245843</v>
      </c>
      <c r="E7583" s="2">
        <v>1</v>
      </c>
      <c r="F7583" s="2" t="s">
        <v>10086</v>
      </c>
      <c r="H7583" s="2">
        <v>2.5000000000000001E-3</v>
      </c>
      <c r="K7583" s="2" t="s">
        <v>10087</v>
      </c>
    </row>
    <row r="7584" spans="1:11" x14ac:dyDescent="0.2">
      <c r="A7584" s="2">
        <v>1898</v>
      </c>
      <c r="B7584" s="2">
        <v>13</v>
      </c>
      <c r="C7584" s="2">
        <v>56434008</v>
      </c>
      <c r="D7584" s="2">
        <v>58245843</v>
      </c>
      <c r="E7584" s="2">
        <v>2</v>
      </c>
      <c r="F7584" s="2" t="s">
        <v>10086</v>
      </c>
      <c r="H7584" s="2">
        <v>1.2999999999999999E-3</v>
      </c>
      <c r="K7584" s="2" t="s">
        <v>10088</v>
      </c>
    </row>
    <row r="7585" spans="1:11" x14ac:dyDescent="0.2">
      <c r="A7585" s="2">
        <v>1898</v>
      </c>
      <c r="B7585" s="2">
        <v>13</v>
      </c>
      <c r="C7585" s="2">
        <v>56434008</v>
      </c>
      <c r="D7585" s="2">
        <v>58245843</v>
      </c>
      <c r="E7585" s="2">
        <v>3</v>
      </c>
      <c r="F7585" s="2" t="s">
        <v>10086</v>
      </c>
      <c r="H7585" s="2">
        <v>1.1000000000000001E-3</v>
      </c>
      <c r="K7585" s="2" t="s">
        <v>10089</v>
      </c>
    </row>
    <row r="7586" spans="1:11" x14ac:dyDescent="0.2">
      <c r="A7586" s="2">
        <v>1898</v>
      </c>
      <c r="B7586" s="2">
        <v>13</v>
      </c>
      <c r="C7586" s="2">
        <v>56434008</v>
      </c>
      <c r="D7586" s="2">
        <v>58245843</v>
      </c>
      <c r="E7586" s="2">
        <v>4</v>
      </c>
      <c r="F7586" s="2" t="s">
        <v>10086</v>
      </c>
      <c r="H7586" s="3">
        <v>6.9999999999999999E-4</v>
      </c>
      <c r="K7586" s="2" t="s">
        <v>10085</v>
      </c>
    </row>
    <row r="7587" spans="1:11" x14ac:dyDescent="0.2">
      <c r="A7587" s="2">
        <v>1899</v>
      </c>
      <c r="B7587" s="2">
        <v>13</v>
      </c>
      <c r="C7587" s="2">
        <v>58245844</v>
      </c>
      <c r="D7587" s="2">
        <v>59751795</v>
      </c>
      <c r="E7587" s="2">
        <v>1</v>
      </c>
      <c r="F7587" s="2" t="s">
        <v>10086</v>
      </c>
      <c r="H7587" s="2">
        <v>2.2000000000000001E-3</v>
      </c>
      <c r="K7587" s="2" t="s">
        <v>10087</v>
      </c>
    </row>
    <row r="7588" spans="1:11" x14ac:dyDescent="0.2">
      <c r="A7588" s="2">
        <v>1899</v>
      </c>
      <c r="B7588" s="2">
        <v>13</v>
      </c>
      <c r="C7588" s="2">
        <v>58245844</v>
      </c>
      <c r="D7588" s="2">
        <v>59751795</v>
      </c>
      <c r="E7588" s="2">
        <v>2</v>
      </c>
      <c r="F7588" s="2" t="s">
        <v>10086</v>
      </c>
      <c r="H7588" s="2">
        <v>2.8E-3</v>
      </c>
      <c r="K7588" s="2" t="s">
        <v>10088</v>
      </c>
    </row>
    <row r="7589" spans="1:11" x14ac:dyDescent="0.2">
      <c r="A7589" s="2">
        <v>1899</v>
      </c>
      <c r="B7589" s="2">
        <v>13</v>
      </c>
      <c r="C7589" s="2">
        <v>58245844</v>
      </c>
      <c r="D7589" s="2">
        <v>59751795</v>
      </c>
      <c r="E7589" s="2">
        <v>3</v>
      </c>
      <c r="F7589" s="2" t="s">
        <v>10086</v>
      </c>
      <c r="H7589" s="2">
        <v>1.2999999999999999E-3</v>
      </c>
      <c r="K7589" s="2" t="s">
        <v>10089</v>
      </c>
    </row>
    <row r="7590" spans="1:11" x14ac:dyDescent="0.2">
      <c r="A7590" s="2">
        <v>1899</v>
      </c>
      <c r="B7590" s="2">
        <v>13</v>
      </c>
      <c r="C7590" s="2">
        <v>58245844</v>
      </c>
      <c r="D7590" s="2">
        <v>59751795</v>
      </c>
      <c r="E7590" s="2">
        <v>4</v>
      </c>
      <c r="F7590" s="2" t="s">
        <v>10086</v>
      </c>
      <c r="H7590" s="3">
        <v>5.0000000000000001E-4</v>
      </c>
      <c r="K7590" s="2" t="s">
        <v>10085</v>
      </c>
    </row>
    <row r="7591" spans="1:11" x14ac:dyDescent="0.2">
      <c r="A7591" s="2">
        <v>1900</v>
      </c>
      <c r="B7591" s="2">
        <v>13</v>
      </c>
      <c r="C7591" s="2">
        <v>59751796</v>
      </c>
      <c r="D7591" s="2">
        <v>61268155</v>
      </c>
      <c r="E7591" s="2">
        <v>1</v>
      </c>
      <c r="F7591" s="2" t="s">
        <v>10086</v>
      </c>
      <c r="H7591" s="2">
        <v>1.9E-3</v>
      </c>
      <c r="K7591" s="2" t="s">
        <v>10089</v>
      </c>
    </row>
    <row r="7592" spans="1:11" x14ac:dyDescent="0.2">
      <c r="A7592" s="2">
        <v>1900</v>
      </c>
      <c r="B7592" s="2">
        <v>13</v>
      </c>
      <c r="C7592" s="2">
        <v>59751796</v>
      </c>
      <c r="D7592" s="2">
        <v>61268155</v>
      </c>
      <c r="E7592" s="2">
        <v>2</v>
      </c>
      <c r="F7592" s="2" t="s">
        <v>10086</v>
      </c>
      <c r="H7592" s="2">
        <v>1.5E-3</v>
      </c>
      <c r="K7592" s="2" t="s">
        <v>10088</v>
      </c>
    </row>
    <row r="7593" spans="1:11" x14ac:dyDescent="0.2">
      <c r="A7593" s="2">
        <v>1900</v>
      </c>
      <c r="B7593" s="2">
        <v>13</v>
      </c>
      <c r="C7593" s="2">
        <v>59751796</v>
      </c>
      <c r="D7593" s="2">
        <v>61268155</v>
      </c>
      <c r="E7593" s="2">
        <v>3</v>
      </c>
      <c r="F7593" s="2" t="s">
        <v>10086</v>
      </c>
      <c r="H7593" s="2">
        <v>1.1999999999999999E-3</v>
      </c>
      <c r="K7593" s="2" t="s">
        <v>10085</v>
      </c>
    </row>
    <row r="7594" spans="1:11" x14ac:dyDescent="0.2">
      <c r="A7594" s="2">
        <v>1900</v>
      </c>
      <c r="B7594" s="2">
        <v>13</v>
      </c>
      <c r="C7594" s="2">
        <v>59751796</v>
      </c>
      <c r="D7594" s="2">
        <v>61268155</v>
      </c>
      <c r="E7594" s="2">
        <v>4</v>
      </c>
      <c r="F7594" s="2" t="s">
        <v>10086</v>
      </c>
      <c r="H7594" s="3">
        <v>6.9999999999999999E-4</v>
      </c>
      <c r="K7594" s="2" t="s">
        <v>12324</v>
      </c>
    </row>
    <row r="7595" spans="1:11" x14ac:dyDescent="0.2">
      <c r="A7595" s="2">
        <v>1901</v>
      </c>
      <c r="B7595" s="2">
        <v>13</v>
      </c>
      <c r="C7595" s="2">
        <v>61268156</v>
      </c>
      <c r="D7595" s="2">
        <v>62135827</v>
      </c>
      <c r="E7595" s="2">
        <v>1</v>
      </c>
      <c r="F7595" s="2" t="s">
        <v>10086</v>
      </c>
      <c r="H7595" s="2">
        <v>1.1000000000000001E-3</v>
      </c>
      <c r="K7595" s="2" t="s">
        <v>10089</v>
      </c>
    </row>
    <row r="7596" spans="1:11" x14ac:dyDescent="0.2">
      <c r="A7596" s="2">
        <v>1901</v>
      </c>
      <c r="B7596" s="2">
        <v>13</v>
      </c>
      <c r="C7596" s="2">
        <v>61268156</v>
      </c>
      <c r="D7596" s="2">
        <v>62135827</v>
      </c>
      <c r="E7596" s="2">
        <v>2</v>
      </c>
      <c r="F7596" s="2" t="s">
        <v>10086</v>
      </c>
      <c r="H7596" s="3">
        <v>8.0000000000000004E-4</v>
      </c>
      <c r="K7596" s="2" t="s">
        <v>10085</v>
      </c>
    </row>
    <row r="7597" spans="1:11" x14ac:dyDescent="0.2">
      <c r="A7597" s="2">
        <v>1901</v>
      </c>
      <c r="B7597" s="2">
        <v>13</v>
      </c>
      <c r="C7597" s="2">
        <v>61268156</v>
      </c>
      <c r="D7597" s="2">
        <v>62135827</v>
      </c>
      <c r="E7597" s="2">
        <v>3</v>
      </c>
      <c r="F7597" s="2" t="s">
        <v>10086</v>
      </c>
      <c r="H7597" s="3">
        <v>8.0000000000000004E-4</v>
      </c>
      <c r="K7597" s="2" t="s">
        <v>10087</v>
      </c>
    </row>
    <row r="7598" spans="1:11" x14ac:dyDescent="0.2">
      <c r="A7598" s="2">
        <v>1901</v>
      </c>
      <c r="B7598" s="2">
        <v>13</v>
      </c>
      <c r="C7598" s="2">
        <v>61268156</v>
      </c>
      <c r="D7598" s="2">
        <v>62135827</v>
      </c>
      <c r="E7598" s="2">
        <v>4</v>
      </c>
      <c r="F7598" s="2" t="s">
        <v>10086</v>
      </c>
      <c r="H7598" s="3">
        <v>2.9999999999999997E-4</v>
      </c>
      <c r="K7598" s="2" t="s">
        <v>10088</v>
      </c>
    </row>
    <row r="7599" spans="1:11" x14ac:dyDescent="0.2">
      <c r="A7599" s="2">
        <v>1902</v>
      </c>
      <c r="B7599" s="2">
        <v>13</v>
      </c>
      <c r="C7599" s="2">
        <v>62135828</v>
      </c>
      <c r="D7599" s="2">
        <v>63206535</v>
      </c>
      <c r="E7599" s="2">
        <v>1</v>
      </c>
      <c r="F7599" s="2" t="s">
        <v>10086</v>
      </c>
      <c r="H7599" s="2">
        <v>2.0999999999999999E-3</v>
      </c>
      <c r="K7599" s="2" t="s">
        <v>10085</v>
      </c>
    </row>
    <row r="7600" spans="1:11" x14ac:dyDescent="0.2">
      <c r="A7600" s="2">
        <v>1902</v>
      </c>
      <c r="B7600" s="2">
        <v>13</v>
      </c>
      <c r="C7600" s="2">
        <v>62135828</v>
      </c>
      <c r="D7600" s="2">
        <v>63206535</v>
      </c>
      <c r="E7600" s="2">
        <v>2</v>
      </c>
      <c r="F7600" s="2" t="s">
        <v>10086</v>
      </c>
      <c r="H7600" s="2">
        <v>1.6999999999999999E-3</v>
      </c>
      <c r="K7600" s="2" t="s">
        <v>10087</v>
      </c>
    </row>
    <row r="7601" spans="1:11" x14ac:dyDescent="0.2">
      <c r="A7601" s="2">
        <v>1902</v>
      </c>
      <c r="B7601" s="2">
        <v>13</v>
      </c>
      <c r="C7601" s="2">
        <v>62135828</v>
      </c>
      <c r="D7601" s="2">
        <v>63206535</v>
      </c>
      <c r="E7601" s="2">
        <v>3</v>
      </c>
      <c r="F7601" s="2" t="s">
        <v>10086</v>
      </c>
      <c r="H7601" s="2">
        <v>1.2999999999999999E-3</v>
      </c>
      <c r="K7601" s="2" t="s">
        <v>10089</v>
      </c>
    </row>
    <row r="7602" spans="1:11" x14ac:dyDescent="0.2">
      <c r="A7602" s="2">
        <v>1902</v>
      </c>
      <c r="B7602" s="2">
        <v>13</v>
      </c>
      <c r="C7602" s="2">
        <v>62135828</v>
      </c>
      <c r="D7602" s="2">
        <v>63206535</v>
      </c>
      <c r="E7602" s="2">
        <v>4</v>
      </c>
      <c r="F7602" s="2" t="s">
        <v>10086</v>
      </c>
      <c r="H7602" s="3">
        <v>5.0000000000000001E-4</v>
      </c>
      <c r="K7602" s="2" t="s">
        <v>10088</v>
      </c>
    </row>
    <row r="7603" spans="1:11" x14ac:dyDescent="0.2">
      <c r="A7603" s="2">
        <v>1903</v>
      </c>
      <c r="B7603" s="2">
        <v>13</v>
      </c>
      <c r="C7603" s="2">
        <v>63206536</v>
      </c>
      <c r="D7603" s="2">
        <v>63973941</v>
      </c>
      <c r="E7603" s="2">
        <v>1</v>
      </c>
      <c r="F7603" s="2" t="s">
        <v>10086</v>
      </c>
      <c r="H7603" s="2">
        <v>6.7000000000000002E-3</v>
      </c>
      <c r="K7603" s="2" t="s">
        <v>10087</v>
      </c>
    </row>
    <row r="7604" spans="1:11" x14ac:dyDescent="0.2">
      <c r="A7604" s="2">
        <v>1903</v>
      </c>
      <c r="B7604" s="2">
        <v>13</v>
      </c>
      <c r="C7604" s="2">
        <v>63206536</v>
      </c>
      <c r="D7604" s="2">
        <v>63973941</v>
      </c>
      <c r="E7604" s="2">
        <v>2</v>
      </c>
      <c r="F7604" s="2" t="s">
        <v>10086</v>
      </c>
      <c r="H7604" s="2">
        <v>1.5E-3</v>
      </c>
      <c r="K7604" s="2" t="s">
        <v>10089</v>
      </c>
    </row>
    <row r="7605" spans="1:11" x14ac:dyDescent="0.2">
      <c r="A7605" s="2">
        <v>1903</v>
      </c>
      <c r="B7605" s="2">
        <v>13</v>
      </c>
      <c r="C7605" s="2">
        <v>63206536</v>
      </c>
      <c r="D7605" s="2">
        <v>63973941</v>
      </c>
      <c r="E7605" s="2">
        <v>3</v>
      </c>
      <c r="F7605" s="2" t="s">
        <v>10086</v>
      </c>
      <c r="H7605" s="3">
        <v>8.0000000000000004E-4</v>
      </c>
      <c r="K7605" s="2" t="s">
        <v>10088</v>
      </c>
    </row>
    <row r="7606" spans="1:11" x14ac:dyDescent="0.2">
      <c r="A7606" s="2">
        <v>1903</v>
      </c>
      <c r="B7606" s="2">
        <v>13</v>
      </c>
      <c r="C7606" s="2">
        <v>63206536</v>
      </c>
      <c r="D7606" s="2">
        <v>63973941</v>
      </c>
      <c r="E7606" s="2">
        <v>4</v>
      </c>
      <c r="F7606" s="2" t="s">
        <v>10086</v>
      </c>
      <c r="H7606" s="3">
        <v>5.0000000000000001E-4</v>
      </c>
      <c r="K7606" s="2" t="s">
        <v>10085</v>
      </c>
    </row>
    <row r="7607" spans="1:11" x14ac:dyDescent="0.2">
      <c r="A7607" s="2">
        <v>1904</v>
      </c>
      <c r="B7607" s="2">
        <v>13</v>
      </c>
      <c r="C7607" s="2">
        <v>63973942</v>
      </c>
      <c r="D7607" s="2">
        <v>65187138</v>
      </c>
      <c r="E7607" s="2">
        <v>1</v>
      </c>
      <c r="F7607" s="2" t="s">
        <v>10086</v>
      </c>
      <c r="H7607" s="2">
        <v>1.1999999999999999E-3</v>
      </c>
      <c r="K7607" s="2" t="s">
        <v>10087</v>
      </c>
    </row>
    <row r="7608" spans="1:11" x14ac:dyDescent="0.2">
      <c r="A7608" s="2">
        <v>1904</v>
      </c>
      <c r="B7608" s="2">
        <v>13</v>
      </c>
      <c r="C7608" s="2">
        <v>63973942</v>
      </c>
      <c r="D7608" s="2">
        <v>65187138</v>
      </c>
      <c r="E7608" s="2">
        <v>2</v>
      </c>
      <c r="F7608" s="2" t="s">
        <v>10086</v>
      </c>
      <c r="H7608" s="2">
        <v>1.1999999999999999E-3</v>
      </c>
      <c r="K7608" s="2" t="s">
        <v>10088</v>
      </c>
    </row>
    <row r="7609" spans="1:11" x14ac:dyDescent="0.2">
      <c r="A7609" s="2">
        <v>1904</v>
      </c>
      <c r="B7609" s="2">
        <v>13</v>
      </c>
      <c r="C7609" s="2">
        <v>63973942</v>
      </c>
      <c r="D7609" s="2">
        <v>65187138</v>
      </c>
      <c r="E7609" s="2">
        <v>3</v>
      </c>
      <c r="F7609" s="2" t="s">
        <v>10086</v>
      </c>
      <c r="H7609" s="3">
        <v>6.9999999999999999E-4</v>
      </c>
      <c r="K7609" s="2" t="s">
        <v>10085</v>
      </c>
    </row>
    <row r="7610" spans="1:11" x14ac:dyDescent="0.2">
      <c r="A7610" s="2">
        <v>1904</v>
      </c>
      <c r="B7610" s="2">
        <v>13</v>
      </c>
      <c r="C7610" s="2">
        <v>63973942</v>
      </c>
      <c r="D7610" s="2">
        <v>65187138</v>
      </c>
      <c r="E7610" s="2">
        <v>4</v>
      </c>
      <c r="F7610" s="2" t="s">
        <v>10086</v>
      </c>
      <c r="H7610" s="3">
        <v>5.0000000000000001E-4</v>
      </c>
      <c r="K7610" s="2" t="s">
        <v>10089</v>
      </c>
    </row>
    <row r="7611" spans="1:11" x14ac:dyDescent="0.2">
      <c r="A7611" s="2">
        <v>1905</v>
      </c>
      <c r="B7611" s="2">
        <v>13</v>
      </c>
      <c r="C7611" s="2">
        <v>65187139</v>
      </c>
      <c r="D7611" s="2">
        <v>66382286</v>
      </c>
      <c r="E7611" s="2">
        <v>1</v>
      </c>
      <c r="F7611" s="2" t="s">
        <v>10086</v>
      </c>
      <c r="H7611" s="2">
        <v>9.4000000000000004E-3</v>
      </c>
      <c r="K7611" s="2" t="s">
        <v>10087</v>
      </c>
    </row>
    <row r="7612" spans="1:11" x14ac:dyDescent="0.2">
      <c r="A7612" s="2">
        <v>1905</v>
      </c>
      <c r="B7612" s="2">
        <v>13</v>
      </c>
      <c r="C7612" s="2">
        <v>65187139</v>
      </c>
      <c r="D7612" s="2">
        <v>66382286</v>
      </c>
      <c r="E7612" s="2">
        <v>2</v>
      </c>
      <c r="F7612" s="2" t="s">
        <v>10086</v>
      </c>
      <c r="H7612" s="2">
        <v>1.1999999999999999E-3</v>
      </c>
      <c r="K7612" s="2" t="s">
        <v>10089</v>
      </c>
    </row>
    <row r="7613" spans="1:11" x14ac:dyDescent="0.2">
      <c r="A7613" s="2">
        <v>1905</v>
      </c>
      <c r="B7613" s="2">
        <v>13</v>
      </c>
      <c r="C7613" s="2">
        <v>65187139</v>
      </c>
      <c r="D7613" s="2">
        <v>66382286</v>
      </c>
      <c r="E7613" s="2">
        <v>3</v>
      </c>
      <c r="F7613" s="2" t="s">
        <v>10086</v>
      </c>
      <c r="H7613" s="2">
        <v>1.1999999999999999E-3</v>
      </c>
      <c r="K7613" s="2" t="s">
        <v>10085</v>
      </c>
    </row>
    <row r="7614" spans="1:11" x14ac:dyDescent="0.2">
      <c r="A7614" s="2">
        <v>1905</v>
      </c>
      <c r="B7614" s="2">
        <v>13</v>
      </c>
      <c r="C7614" s="2">
        <v>65187139</v>
      </c>
      <c r="D7614" s="2">
        <v>66382286</v>
      </c>
      <c r="E7614" s="2">
        <v>4</v>
      </c>
      <c r="F7614" s="2" t="s">
        <v>10086</v>
      </c>
      <c r="H7614" s="3">
        <v>5.0000000000000001E-4</v>
      </c>
      <c r="K7614" s="2" t="s">
        <v>10088</v>
      </c>
    </row>
    <row r="7615" spans="1:11" x14ac:dyDescent="0.2">
      <c r="A7615" s="2">
        <v>1906</v>
      </c>
      <c r="B7615" s="2">
        <v>13</v>
      </c>
      <c r="C7615" s="2">
        <v>66382287</v>
      </c>
      <c r="D7615" s="2">
        <v>67718879</v>
      </c>
      <c r="E7615" s="2">
        <v>1</v>
      </c>
      <c r="F7615" s="2" t="s">
        <v>10086</v>
      </c>
      <c r="H7615" s="2">
        <v>2.8E-3</v>
      </c>
      <c r="K7615" s="2" t="s">
        <v>10085</v>
      </c>
    </row>
    <row r="7616" spans="1:11" x14ac:dyDescent="0.2">
      <c r="A7616" s="2">
        <v>1906</v>
      </c>
      <c r="B7616" s="2">
        <v>13</v>
      </c>
      <c r="C7616" s="2">
        <v>66382287</v>
      </c>
      <c r="D7616" s="2">
        <v>67718879</v>
      </c>
      <c r="E7616" s="2">
        <v>2</v>
      </c>
      <c r="F7616" s="2" t="s">
        <v>10086</v>
      </c>
      <c r="H7616" s="2">
        <v>3.2000000000000002E-3</v>
      </c>
      <c r="K7616" s="2" t="s">
        <v>10088</v>
      </c>
    </row>
    <row r="7617" spans="1:11" x14ac:dyDescent="0.2">
      <c r="A7617" s="2">
        <v>1906</v>
      </c>
      <c r="B7617" s="2">
        <v>13</v>
      </c>
      <c r="C7617" s="2">
        <v>66382287</v>
      </c>
      <c r="D7617" s="2">
        <v>67718879</v>
      </c>
      <c r="E7617" s="2">
        <v>3</v>
      </c>
      <c r="F7617" s="2" t="s">
        <v>10086</v>
      </c>
      <c r="H7617" s="2">
        <v>1.1000000000000001E-3</v>
      </c>
      <c r="K7617" s="2" t="s">
        <v>10089</v>
      </c>
    </row>
    <row r="7618" spans="1:11" x14ac:dyDescent="0.2">
      <c r="A7618" s="2">
        <v>1906</v>
      </c>
      <c r="B7618" s="2">
        <v>13</v>
      </c>
      <c r="C7618" s="2">
        <v>66382287</v>
      </c>
      <c r="D7618" s="2">
        <v>67718879</v>
      </c>
      <c r="E7618" s="2">
        <v>4</v>
      </c>
      <c r="F7618" s="2" t="s">
        <v>10086</v>
      </c>
      <c r="H7618" s="3">
        <v>4.0000000000000002E-4</v>
      </c>
      <c r="K7618" s="2" t="s">
        <v>10087</v>
      </c>
    </row>
    <row r="7619" spans="1:11" x14ac:dyDescent="0.2">
      <c r="A7619" s="2">
        <v>1907</v>
      </c>
      <c r="B7619" s="2">
        <v>13</v>
      </c>
      <c r="C7619" s="2">
        <v>67718880</v>
      </c>
      <c r="D7619" s="2">
        <v>69004702</v>
      </c>
      <c r="E7619" s="2">
        <v>1</v>
      </c>
      <c r="F7619" s="2" t="s">
        <v>10086</v>
      </c>
      <c r="H7619" s="2">
        <v>3.8999999999999998E-3</v>
      </c>
      <c r="K7619" s="2" t="s">
        <v>10085</v>
      </c>
    </row>
    <row r="7620" spans="1:11" x14ac:dyDescent="0.2">
      <c r="A7620" s="2">
        <v>1907</v>
      </c>
      <c r="B7620" s="2">
        <v>13</v>
      </c>
      <c r="C7620" s="2">
        <v>67718880</v>
      </c>
      <c r="D7620" s="2">
        <v>69004702</v>
      </c>
      <c r="E7620" s="2">
        <v>2</v>
      </c>
      <c r="F7620" s="2" t="s">
        <v>10086</v>
      </c>
      <c r="H7620" s="2">
        <v>1.6999999999999999E-3</v>
      </c>
      <c r="K7620" s="2" t="s">
        <v>10088</v>
      </c>
    </row>
    <row r="7621" spans="1:11" x14ac:dyDescent="0.2">
      <c r="A7621" s="2">
        <v>1907</v>
      </c>
      <c r="B7621" s="2">
        <v>13</v>
      </c>
      <c r="C7621" s="2">
        <v>67718880</v>
      </c>
      <c r="D7621" s="2">
        <v>69004702</v>
      </c>
      <c r="E7621" s="2">
        <v>3</v>
      </c>
      <c r="F7621" s="2" t="s">
        <v>10086</v>
      </c>
      <c r="H7621" s="3">
        <v>8.9999999999999998E-4</v>
      </c>
      <c r="K7621" s="2" t="s">
        <v>10087</v>
      </c>
    </row>
    <row r="7622" spans="1:11" x14ac:dyDescent="0.2">
      <c r="A7622" s="2">
        <v>1907</v>
      </c>
      <c r="B7622" s="2">
        <v>13</v>
      </c>
      <c r="C7622" s="2">
        <v>67718880</v>
      </c>
      <c r="D7622" s="2">
        <v>69004702</v>
      </c>
      <c r="E7622" s="2">
        <v>4</v>
      </c>
      <c r="F7622" s="2" t="s">
        <v>10086</v>
      </c>
      <c r="H7622" s="3">
        <v>4.0000000000000002E-4</v>
      </c>
      <c r="K7622" s="2" t="s">
        <v>10089</v>
      </c>
    </row>
    <row r="7623" spans="1:11" x14ac:dyDescent="0.2">
      <c r="A7623" s="2">
        <v>1908</v>
      </c>
      <c r="B7623" s="2">
        <v>13</v>
      </c>
      <c r="C7623" s="2">
        <v>69004703</v>
      </c>
      <c r="D7623" s="2">
        <v>69751491</v>
      </c>
      <c r="E7623" s="2">
        <v>1</v>
      </c>
      <c r="F7623" s="2" t="s">
        <v>10086</v>
      </c>
      <c r="H7623" s="2">
        <v>1E-3</v>
      </c>
      <c r="K7623" s="2" t="s">
        <v>10087</v>
      </c>
    </row>
    <row r="7624" spans="1:11" x14ac:dyDescent="0.2">
      <c r="A7624" s="2">
        <v>1908</v>
      </c>
      <c r="B7624" s="2">
        <v>13</v>
      </c>
      <c r="C7624" s="2">
        <v>69004703</v>
      </c>
      <c r="D7624" s="2">
        <v>69751491</v>
      </c>
      <c r="E7624" s="2">
        <v>2</v>
      </c>
      <c r="F7624" s="2" t="s">
        <v>10086</v>
      </c>
      <c r="H7624" s="3">
        <v>5.9999999999999995E-4</v>
      </c>
      <c r="K7624" s="2" t="s">
        <v>12324</v>
      </c>
    </row>
    <row r="7625" spans="1:11" x14ac:dyDescent="0.2">
      <c r="A7625" s="2">
        <v>1908</v>
      </c>
      <c r="B7625" s="2">
        <v>13</v>
      </c>
      <c r="C7625" s="2">
        <v>69004703</v>
      </c>
      <c r="D7625" s="2">
        <v>69751491</v>
      </c>
      <c r="E7625" s="2">
        <v>3</v>
      </c>
      <c r="F7625" s="2" t="s">
        <v>10086</v>
      </c>
      <c r="H7625" s="3">
        <v>5.0000000000000001E-4</v>
      </c>
      <c r="K7625" s="2" t="s">
        <v>10088</v>
      </c>
    </row>
    <row r="7626" spans="1:11" x14ac:dyDescent="0.2">
      <c r="A7626" s="2">
        <v>1908</v>
      </c>
      <c r="B7626" s="2">
        <v>13</v>
      </c>
      <c r="C7626" s="2">
        <v>69004703</v>
      </c>
      <c r="D7626" s="2">
        <v>69751491</v>
      </c>
      <c r="E7626" s="2">
        <v>4</v>
      </c>
      <c r="F7626" s="2" t="s">
        <v>10086</v>
      </c>
      <c r="H7626" s="3">
        <v>4.0000000000000002E-4</v>
      </c>
      <c r="K7626" s="2" t="s">
        <v>10085</v>
      </c>
    </row>
    <row r="7627" spans="1:11" x14ac:dyDescent="0.2">
      <c r="A7627" s="2">
        <v>1909</v>
      </c>
      <c r="B7627" s="2">
        <v>13</v>
      </c>
      <c r="C7627" s="2">
        <v>69751492</v>
      </c>
      <c r="D7627" s="2">
        <v>70427880</v>
      </c>
      <c r="E7627" s="2">
        <v>1</v>
      </c>
      <c r="F7627" s="2" t="s">
        <v>10086</v>
      </c>
      <c r="H7627" s="2">
        <v>7.6E-3</v>
      </c>
      <c r="K7627" s="2" t="s">
        <v>10089</v>
      </c>
    </row>
    <row r="7628" spans="1:11" x14ac:dyDescent="0.2">
      <c r="A7628" s="2">
        <v>1909</v>
      </c>
      <c r="B7628" s="2">
        <v>13</v>
      </c>
      <c r="C7628" s="2">
        <v>69751492</v>
      </c>
      <c r="D7628" s="2">
        <v>70427880</v>
      </c>
      <c r="E7628" s="2">
        <v>2</v>
      </c>
      <c r="F7628" s="2" t="s">
        <v>10086</v>
      </c>
      <c r="H7628" s="2">
        <v>1.06E-2</v>
      </c>
      <c r="K7628" s="2" t="s">
        <v>10087</v>
      </c>
    </row>
    <row r="7629" spans="1:11" x14ac:dyDescent="0.2">
      <c r="A7629" s="2">
        <v>1909</v>
      </c>
      <c r="B7629" s="2">
        <v>13</v>
      </c>
      <c r="C7629" s="2">
        <v>69751492</v>
      </c>
      <c r="D7629" s="2">
        <v>70427880</v>
      </c>
      <c r="E7629" s="2">
        <v>3</v>
      </c>
      <c r="F7629" s="2" t="s">
        <v>10086</v>
      </c>
      <c r="H7629" s="2">
        <v>3.3999999999999998E-3</v>
      </c>
      <c r="K7629" s="2" t="s">
        <v>10085</v>
      </c>
    </row>
    <row r="7630" spans="1:11" x14ac:dyDescent="0.2">
      <c r="A7630" s="2">
        <v>1909</v>
      </c>
      <c r="B7630" s="2">
        <v>13</v>
      </c>
      <c r="C7630" s="2">
        <v>69751492</v>
      </c>
      <c r="D7630" s="2">
        <v>70427880</v>
      </c>
      <c r="E7630" s="2">
        <v>4</v>
      </c>
      <c r="F7630" s="2" t="s">
        <v>10086</v>
      </c>
      <c r="H7630" s="3">
        <v>5.9999999999999995E-4</v>
      </c>
      <c r="K7630" s="2" t="s">
        <v>10088</v>
      </c>
    </row>
    <row r="7631" spans="1:11" x14ac:dyDescent="0.2">
      <c r="A7631" s="2">
        <v>1910</v>
      </c>
      <c r="B7631" s="2">
        <v>13</v>
      </c>
      <c r="C7631" s="2">
        <v>70427881</v>
      </c>
      <c r="D7631" s="2">
        <v>71010208</v>
      </c>
      <c r="E7631" s="2">
        <v>1</v>
      </c>
      <c r="F7631" s="2" t="s">
        <v>10086</v>
      </c>
      <c r="H7631" s="2">
        <v>1.2999999999999999E-3</v>
      </c>
      <c r="K7631" s="2" t="s">
        <v>10088</v>
      </c>
    </row>
    <row r="7632" spans="1:11" x14ac:dyDescent="0.2">
      <c r="A7632" s="2">
        <v>1910</v>
      </c>
      <c r="B7632" s="2">
        <v>13</v>
      </c>
      <c r="C7632" s="2">
        <v>70427881</v>
      </c>
      <c r="D7632" s="2">
        <v>71010208</v>
      </c>
      <c r="E7632" s="2">
        <v>2</v>
      </c>
      <c r="F7632" s="2" t="s">
        <v>10086</v>
      </c>
      <c r="H7632" s="3">
        <v>8.9999999999999998E-4</v>
      </c>
      <c r="K7632" s="2" t="s">
        <v>10089</v>
      </c>
    </row>
    <row r="7633" spans="1:11" x14ac:dyDescent="0.2">
      <c r="A7633" s="2">
        <v>1910</v>
      </c>
      <c r="B7633" s="2">
        <v>13</v>
      </c>
      <c r="C7633" s="2">
        <v>70427881</v>
      </c>
      <c r="D7633" s="2">
        <v>71010208</v>
      </c>
      <c r="E7633" s="2">
        <v>3</v>
      </c>
      <c r="F7633" s="2" t="s">
        <v>10086</v>
      </c>
      <c r="H7633" s="3">
        <v>8.0000000000000004E-4</v>
      </c>
      <c r="K7633" s="2" t="s">
        <v>10087</v>
      </c>
    </row>
    <row r="7634" spans="1:11" x14ac:dyDescent="0.2">
      <c r="A7634" s="2">
        <v>1910</v>
      </c>
      <c r="B7634" s="2">
        <v>13</v>
      </c>
      <c r="C7634" s="2">
        <v>70427881</v>
      </c>
      <c r="D7634" s="2">
        <v>71010208</v>
      </c>
      <c r="E7634" s="2">
        <v>4</v>
      </c>
      <c r="F7634" s="2" t="s">
        <v>10086</v>
      </c>
      <c r="H7634" s="3">
        <v>2.0000000000000001E-4</v>
      </c>
      <c r="K7634" s="2" t="s">
        <v>10085</v>
      </c>
    </row>
    <row r="7635" spans="1:11" x14ac:dyDescent="0.2">
      <c r="A7635" s="2">
        <v>1911</v>
      </c>
      <c r="B7635" s="2">
        <v>13</v>
      </c>
      <c r="C7635" s="2">
        <v>71010209</v>
      </c>
      <c r="D7635" s="2">
        <v>71976862</v>
      </c>
      <c r="E7635" s="2">
        <v>1</v>
      </c>
      <c r="F7635" s="2" t="s">
        <v>10086</v>
      </c>
      <c r="H7635" s="2">
        <v>2.2000000000000001E-3</v>
      </c>
      <c r="K7635" s="2" t="s">
        <v>10089</v>
      </c>
    </row>
    <row r="7636" spans="1:11" x14ac:dyDescent="0.2">
      <c r="A7636" s="2">
        <v>1911</v>
      </c>
      <c r="B7636" s="2">
        <v>13</v>
      </c>
      <c r="C7636" s="2">
        <v>71010209</v>
      </c>
      <c r="D7636" s="2">
        <v>71976862</v>
      </c>
      <c r="E7636" s="2">
        <v>2</v>
      </c>
      <c r="F7636" s="2" t="s">
        <v>10086</v>
      </c>
      <c r="H7636" s="2">
        <v>1.4E-3</v>
      </c>
      <c r="K7636" s="2" t="s">
        <v>10088</v>
      </c>
    </row>
    <row r="7637" spans="1:11" x14ac:dyDescent="0.2">
      <c r="A7637" s="2">
        <v>1911</v>
      </c>
      <c r="B7637" s="2">
        <v>13</v>
      </c>
      <c r="C7637" s="2">
        <v>71010209</v>
      </c>
      <c r="D7637" s="2">
        <v>71976862</v>
      </c>
      <c r="E7637" s="2">
        <v>3</v>
      </c>
      <c r="F7637" s="2" t="s">
        <v>10086</v>
      </c>
      <c r="H7637" s="2">
        <v>1.1000000000000001E-3</v>
      </c>
      <c r="K7637" s="2" t="s">
        <v>10087</v>
      </c>
    </row>
    <row r="7638" spans="1:11" x14ac:dyDescent="0.2">
      <c r="A7638" s="2">
        <v>1911</v>
      </c>
      <c r="B7638" s="2">
        <v>13</v>
      </c>
      <c r="C7638" s="2">
        <v>71010209</v>
      </c>
      <c r="D7638" s="2">
        <v>71976862</v>
      </c>
      <c r="E7638" s="2">
        <v>4</v>
      </c>
      <c r="F7638" s="2" t="s">
        <v>10086</v>
      </c>
      <c r="H7638" s="2">
        <v>1E-3</v>
      </c>
      <c r="K7638" s="2" t="s">
        <v>10085</v>
      </c>
    </row>
    <row r="7639" spans="1:11" x14ac:dyDescent="0.2">
      <c r="A7639" s="2">
        <v>1912</v>
      </c>
      <c r="B7639" s="2">
        <v>13</v>
      </c>
      <c r="C7639" s="2">
        <v>71976863</v>
      </c>
      <c r="D7639" s="2">
        <v>73114509</v>
      </c>
      <c r="E7639" s="2">
        <v>1</v>
      </c>
      <c r="F7639" s="2" t="s">
        <v>10086</v>
      </c>
      <c r="H7639" s="2">
        <v>4.0000000000000001E-3</v>
      </c>
      <c r="K7639" s="2" t="s">
        <v>10087</v>
      </c>
    </row>
    <row r="7640" spans="1:11" x14ac:dyDescent="0.2">
      <c r="A7640" s="2">
        <v>1912</v>
      </c>
      <c r="B7640" s="2">
        <v>13</v>
      </c>
      <c r="C7640" s="2">
        <v>71976863</v>
      </c>
      <c r="D7640" s="2">
        <v>73114509</v>
      </c>
      <c r="E7640" s="2">
        <v>2</v>
      </c>
      <c r="F7640" s="2" t="s">
        <v>10086</v>
      </c>
      <c r="H7640" s="2">
        <v>1.1999999999999999E-3</v>
      </c>
      <c r="K7640" s="2" t="s">
        <v>10089</v>
      </c>
    </row>
    <row r="7641" spans="1:11" x14ac:dyDescent="0.2">
      <c r="A7641" s="2">
        <v>1912</v>
      </c>
      <c r="B7641" s="2">
        <v>13</v>
      </c>
      <c r="C7641" s="2">
        <v>71976863</v>
      </c>
      <c r="D7641" s="2">
        <v>73114509</v>
      </c>
      <c r="E7641" s="2">
        <v>3</v>
      </c>
      <c r="F7641" s="2" t="s">
        <v>10086</v>
      </c>
      <c r="H7641" s="3">
        <v>8.9999999999999998E-4</v>
      </c>
      <c r="K7641" s="2" t="s">
        <v>10088</v>
      </c>
    </row>
    <row r="7642" spans="1:11" x14ac:dyDescent="0.2">
      <c r="A7642" s="2">
        <v>1912</v>
      </c>
      <c r="B7642" s="2">
        <v>13</v>
      </c>
      <c r="C7642" s="2">
        <v>71976863</v>
      </c>
      <c r="D7642" s="2">
        <v>73114509</v>
      </c>
      <c r="E7642" s="2">
        <v>4</v>
      </c>
      <c r="F7642" s="2" t="s">
        <v>10086</v>
      </c>
      <c r="H7642" s="3">
        <v>4.0000000000000002E-4</v>
      </c>
      <c r="K7642" s="2" t="s">
        <v>10085</v>
      </c>
    </row>
    <row r="7643" spans="1:11" x14ac:dyDescent="0.2">
      <c r="A7643" s="2">
        <v>1913</v>
      </c>
      <c r="B7643" s="2">
        <v>13</v>
      </c>
      <c r="C7643" s="2">
        <v>73114510</v>
      </c>
      <c r="D7643" s="2">
        <v>74437635</v>
      </c>
      <c r="E7643" s="2">
        <v>1</v>
      </c>
      <c r="F7643" s="2" t="s">
        <v>10086</v>
      </c>
      <c r="H7643" s="2">
        <v>2.3E-3</v>
      </c>
      <c r="K7643" s="2" t="s">
        <v>10089</v>
      </c>
    </row>
    <row r="7644" spans="1:11" x14ac:dyDescent="0.2">
      <c r="A7644" s="2">
        <v>1913</v>
      </c>
      <c r="B7644" s="2">
        <v>13</v>
      </c>
      <c r="C7644" s="2">
        <v>73114510</v>
      </c>
      <c r="D7644" s="2">
        <v>74437635</v>
      </c>
      <c r="E7644" s="2">
        <v>2</v>
      </c>
      <c r="F7644" s="2" t="s">
        <v>10086</v>
      </c>
      <c r="H7644" s="2">
        <v>1.8E-3</v>
      </c>
      <c r="K7644" s="2" t="s">
        <v>10085</v>
      </c>
    </row>
    <row r="7645" spans="1:11" x14ac:dyDescent="0.2">
      <c r="A7645" s="2">
        <v>1913</v>
      </c>
      <c r="B7645" s="2">
        <v>13</v>
      </c>
      <c r="C7645" s="2">
        <v>73114510</v>
      </c>
      <c r="D7645" s="2">
        <v>74437635</v>
      </c>
      <c r="E7645" s="2">
        <v>3</v>
      </c>
      <c r="F7645" s="2" t="s">
        <v>10086</v>
      </c>
      <c r="H7645" s="2">
        <v>1.4E-3</v>
      </c>
      <c r="K7645" s="2" t="s">
        <v>10088</v>
      </c>
    </row>
    <row r="7646" spans="1:11" x14ac:dyDescent="0.2">
      <c r="A7646" s="2">
        <v>1913</v>
      </c>
      <c r="B7646" s="2">
        <v>13</v>
      </c>
      <c r="C7646" s="2">
        <v>73114510</v>
      </c>
      <c r="D7646" s="2">
        <v>74437635</v>
      </c>
      <c r="E7646" s="2">
        <v>4</v>
      </c>
      <c r="F7646" s="2" t="s">
        <v>10086</v>
      </c>
      <c r="H7646" s="3">
        <v>6.9999999999999999E-4</v>
      </c>
      <c r="K7646" s="2" t="s">
        <v>10087</v>
      </c>
    </row>
    <row r="7647" spans="1:11" x14ac:dyDescent="0.2">
      <c r="A7647" s="2">
        <v>1914</v>
      </c>
      <c r="B7647" s="2">
        <v>13</v>
      </c>
      <c r="C7647" s="2">
        <v>74437636</v>
      </c>
      <c r="D7647" s="2">
        <v>75882384</v>
      </c>
      <c r="E7647" s="2">
        <v>1</v>
      </c>
      <c r="F7647" s="2" t="s">
        <v>10086</v>
      </c>
      <c r="H7647" s="2">
        <v>2.8E-3</v>
      </c>
      <c r="K7647" s="2" t="s">
        <v>10089</v>
      </c>
    </row>
    <row r="7648" spans="1:11" x14ac:dyDescent="0.2">
      <c r="A7648" s="2">
        <v>1914</v>
      </c>
      <c r="B7648" s="2">
        <v>13</v>
      </c>
      <c r="C7648" s="2">
        <v>74437636</v>
      </c>
      <c r="D7648" s="2">
        <v>75882384</v>
      </c>
      <c r="E7648" s="2">
        <v>2</v>
      </c>
      <c r="F7648" s="2" t="s">
        <v>10086</v>
      </c>
      <c r="H7648" s="2">
        <v>1.5E-3</v>
      </c>
      <c r="K7648" s="2" t="s">
        <v>10088</v>
      </c>
    </row>
    <row r="7649" spans="1:11" x14ac:dyDescent="0.2">
      <c r="A7649" s="2">
        <v>1914</v>
      </c>
      <c r="B7649" s="2">
        <v>13</v>
      </c>
      <c r="C7649" s="2">
        <v>74437636</v>
      </c>
      <c r="D7649" s="2">
        <v>75882384</v>
      </c>
      <c r="E7649" s="2">
        <v>3</v>
      </c>
      <c r="F7649" s="2" t="s">
        <v>10086</v>
      </c>
      <c r="H7649" s="2">
        <v>1.1999999999999999E-3</v>
      </c>
      <c r="K7649" s="2" t="s">
        <v>10085</v>
      </c>
    </row>
    <row r="7650" spans="1:11" x14ac:dyDescent="0.2">
      <c r="A7650" s="2">
        <v>1914</v>
      </c>
      <c r="B7650" s="2">
        <v>13</v>
      </c>
      <c r="C7650" s="2">
        <v>74437636</v>
      </c>
      <c r="D7650" s="2">
        <v>75882384</v>
      </c>
      <c r="E7650" s="2">
        <v>4</v>
      </c>
      <c r="F7650" s="2" t="s">
        <v>10086</v>
      </c>
      <c r="H7650" s="3">
        <v>8.0000000000000004E-4</v>
      </c>
      <c r="K7650" s="2" t="s">
        <v>10087</v>
      </c>
    </row>
    <row r="7651" spans="1:11" x14ac:dyDescent="0.2">
      <c r="A7651" s="2">
        <v>1915</v>
      </c>
      <c r="B7651" s="2">
        <v>13</v>
      </c>
      <c r="C7651" s="2">
        <v>75882385</v>
      </c>
      <c r="D7651" s="2">
        <v>76671493</v>
      </c>
      <c r="E7651" s="2">
        <v>1</v>
      </c>
      <c r="F7651" s="2" t="s">
        <v>10086</v>
      </c>
      <c r="H7651" s="2">
        <v>9.7999999999999997E-3</v>
      </c>
      <c r="K7651" s="2" t="s">
        <v>12324</v>
      </c>
    </row>
    <row r="7652" spans="1:11" x14ac:dyDescent="0.2">
      <c r="A7652" s="2">
        <v>1915</v>
      </c>
      <c r="B7652" s="2">
        <v>13</v>
      </c>
      <c r="C7652" s="2">
        <v>75882385</v>
      </c>
      <c r="D7652" s="2">
        <v>76671493</v>
      </c>
      <c r="E7652" s="2">
        <v>2</v>
      </c>
      <c r="F7652" s="2" t="s">
        <v>10086</v>
      </c>
      <c r="H7652" s="2">
        <v>2.2000000000000001E-3</v>
      </c>
      <c r="K7652" s="2" t="s">
        <v>10087</v>
      </c>
    </row>
    <row r="7653" spans="1:11" x14ac:dyDescent="0.2">
      <c r="A7653" s="2">
        <v>1915</v>
      </c>
      <c r="B7653" s="2">
        <v>13</v>
      </c>
      <c r="C7653" s="2">
        <v>75882385</v>
      </c>
      <c r="D7653" s="2">
        <v>76671493</v>
      </c>
      <c r="E7653" s="2">
        <v>3</v>
      </c>
      <c r="F7653" s="2" t="s">
        <v>10086</v>
      </c>
      <c r="H7653" s="2">
        <v>1.5E-3</v>
      </c>
      <c r="K7653" s="2" t="s">
        <v>10088</v>
      </c>
    </row>
    <row r="7654" spans="1:11" x14ac:dyDescent="0.2">
      <c r="A7654" s="2">
        <v>1915</v>
      </c>
      <c r="B7654" s="2">
        <v>13</v>
      </c>
      <c r="C7654" s="2">
        <v>75882385</v>
      </c>
      <c r="D7654" s="2">
        <v>76671493</v>
      </c>
      <c r="E7654" s="2">
        <v>4</v>
      </c>
      <c r="F7654" s="2" t="s">
        <v>10086</v>
      </c>
      <c r="H7654" s="3">
        <v>5.9999999999999995E-4</v>
      </c>
      <c r="K7654" s="2" t="s">
        <v>10089</v>
      </c>
    </row>
    <row r="7655" spans="1:11" x14ac:dyDescent="0.2">
      <c r="A7655" s="2">
        <v>1916</v>
      </c>
      <c r="B7655" s="2">
        <v>13</v>
      </c>
      <c r="C7655" s="2">
        <v>76671494</v>
      </c>
      <c r="D7655" s="2">
        <v>77460044</v>
      </c>
      <c r="E7655" s="2">
        <v>1</v>
      </c>
      <c r="F7655" s="2" t="s">
        <v>10086</v>
      </c>
      <c r="H7655" s="2">
        <v>3.8999999999999998E-3</v>
      </c>
      <c r="K7655" s="2" t="s">
        <v>12324</v>
      </c>
    </row>
    <row r="7656" spans="1:11" x14ac:dyDescent="0.2">
      <c r="A7656" s="2">
        <v>1916</v>
      </c>
      <c r="B7656" s="2">
        <v>13</v>
      </c>
      <c r="C7656" s="2">
        <v>76671494</v>
      </c>
      <c r="D7656" s="2">
        <v>77460044</v>
      </c>
      <c r="E7656" s="2">
        <v>2</v>
      </c>
      <c r="F7656" s="2" t="s">
        <v>10086</v>
      </c>
      <c r="H7656" s="2">
        <v>2.0999999999999999E-3</v>
      </c>
      <c r="K7656" s="2" t="s">
        <v>10088</v>
      </c>
    </row>
    <row r="7657" spans="1:11" x14ac:dyDescent="0.2">
      <c r="A7657" s="2">
        <v>1916</v>
      </c>
      <c r="B7657" s="2">
        <v>13</v>
      </c>
      <c r="C7657" s="2">
        <v>76671494</v>
      </c>
      <c r="D7657" s="2">
        <v>77460044</v>
      </c>
      <c r="E7657" s="2">
        <v>3</v>
      </c>
      <c r="F7657" s="2" t="s">
        <v>10086</v>
      </c>
      <c r="H7657" s="2">
        <v>1.1000000000000001E-3</v>
      </c>
      <c r="K7657" s="2" t="s">
        <v>10089</v>
      </c>
    </row>
    <row r="7658" spans="1:11" x14ac:dyDescent="0.2">
      <c r="A7658" s="2">
        <v>1916</v>
      </c>
      <c r="B7658" s="2">
        <v>13</v>
      </c>
      <c r="C7658" s="2">
        <v>76671494</v>
      </c>
      <c r="D7658" s="2">
        <v>77460044</v>
      </c>
      <c r="E7658" s="2">
        <v>4</v>
      </c>
      <c r="F7658" s="2" t="s">
        <v>10086</v>
      </c>
      <c r="H7658" s="3">
        <v>8.0000000000000004E-4</v>
      </c>
      <c r="K7658" s="2" t="s">
        <v>10085</v>
      </c>
    </row>
    <row r="7659" spans="1:11" x14ac:dyDescent="0.2">
      <c r="A7659" s="2">
        <v>1917</v>
      </c>
      <c r="B7659" s="2">
        <v>13</v>
      </c>
      <c r="C7659" s="2">
        <v>77460045</v>
      </c>
      <c r="D7659" s="2">
        <v>78693310</v>
      </c>
      <c r="E7659" s="2">
        <v>1</v>
      </c>
      <c r="F7659" s="2" t="s">
        <v>10086</v>
      </c>
      <c r="H7659" s="2">
        <v>2.7000000000000001E-3</v>
      </c>
      <c r="K7659" s="2" t="s">
        <v>10088</v>
      </c>
    </row>
    <row r="7660" spans="1:11" x14ac:dyDescent="0.2">
      <c r="A7660" s="2">
        <v>1917</v>
      </c>
      <c r="B7660" s="2">
        <v>13</v>
      </c>
      <c r="C7660" s="2">
        <v>77460045</v>
      </c>
      <c r="D7660" s="2">
        <v>78693310</v>
      </c>
      <c r="E7660" s="2">
        <v>2</v>
      </c>
      <c r="F7660" s="2" t="s">
        <v>10086</v>
      </c>
      <c r="H7660" s="2">
        <v>1.4E-3</v>
      </c>
      <c r="K7660" s="2" t="s">
        <v>10087</v>
      </c>
    </row>
    <row r="7661" spans="1:11" x14ac:dyDescent="0.2">
      <c r="A7661" s="2">
        <v>1917</v>
      </c>
      <c r="B7661" s="2">
        <v>13</v>
      </c>
      <c r="C7661" s="2">
        <v>77460045</v>
      </c>
      <c r="D7661" s="2">
        <v>78693310</v>
      </c>
      <c r="E7661" s="2">
        <v>3</v>
      </c>
      <c r="F7661" s="2" t="s">
        <v>10086</v>
      </c>
      <c r="H7661" s="3">
        <v>8.9999999999999998E-4</v>
      </c>
      <c r="K7661" s="2" t="s">
        <v>10085</v>
      </c>
    </row>
    <row r="7662" spans="1:11" x14ac:dyDescent="0.2">
      <c r="A7662" s="2">
        <v>1917</v>
      </c>
      <c r="B7662" s="2">
        <v>13</v>
      </c>
      <c r="C7662" s="2">
        <v>77460045</v>
      </c>
      <c r="D7662" s="2">
        <v>78693310</v>
      </c>
      <c r="E7662" s="2">
        <v>4</v>
      </c>
      <c r="F7662" s="2" t="s">
        <v>10086</v>
      </c>
      <c r="H7662" s="3">
        <v>5.9999999999999995E-4</v>
      </c>
      <c r="K7662" s="2" t="s">
        <v>10089</v>
      </c>
    </row>
    <row r="7663" spans="1:11" x14ac:dyDescent="0.2">
      <c r="A7663" s="2">
        <v>1918</v>
      </c>
      <c r="B7663" s="2">
        <v>13</v>
      </c>
      <c r="C7663" s="2">
        <v>78693311</v>
      </c>
      <c r="D7663" s="2">
        <v>79489045</v>
      </c>
      <c r="E7663" s="2">
        <v>1</v>
      </c>
      <c r="F7663" s="2" t="s">
        <v>10086</v>
      </c>
      <c r="H7663" s="2">
        <v>2.1000000000000001E-2</v>
      </c>
      <c r="K7663" s="2" t="s">
        <v>12324</v>
      </c>
    </row>
    <row r="7664" spans="1:11" x14ac:dyDescent="0.2">
      <c r="A7664" s="2">
        <v>1918</v>
      </c>
      <c r="B7664" s="2">
        <v>13</v>
      </c>
      <c r="C7664" s="2">
        <v>78693311</v>
      </c>
      <c r="D7664" s="2">
        <v>79489045</v>
      </c>
      <c r="E7664" s="2">
        <v>2</v>
      </c>
      <c r="F7664" s="2" t="s">
        <v>10086</v>
      </c>
      <c r="H7664" s="2">
        <v>1.2999999999999999E-3</v>
      </c>
      <c r="K7664" s="2" t="s">
        <v>10089</v>
      </c>
    </row>
    <row r="7665" spans="1:11" x14ac:dyDescent="0.2">
      <c r="A7665" s="2">
        <v>1918</v>
      </c>
      <c r="B7665" s="2">
        <v>13</v>
      </c>
      <c r="C7665" s="2">
        <v>78693311</v>
      </c>
      <c r="D7665" s="2">
        <v>79489045</v>
      </c>
      <c r="E7665" s="2">
        <v>3</v>
      </c>
      <c r="F7665" s="2" t="s">
        <v>10086</v>
      </c>
      <c r="H7665" s="2">
        <v>1E-3</v>
      </c>
      <c r="K7665" s="2" t="s">
        <v>10087</v>
      </c>
    </row>
    <row r="7666" spans="1:11" x14ac:dyDescent="0.2">
      <c r="A7666" s="2">
        <v>1918</v>
      </c>
      <c r="B7666" s="2">
        <v>13</v>
      </c>
      <c r="C7666" s="2">
        <v>78693311</v>
      </c>
      <c r="D7666" s="2">
        <v>79489045</v>
      </c>
      <c r="E7666" s="2">
        <v>4</v>
      </c>
      <c r="F7666" s="2" t="s">
        <v>10086</v>
      </c>
      <c r="H7666" s="2">
        <v>1E-3</v>
      </c>
      <c r="K7666" s="2" t="s">
        <v>10088</v>
      </c>
    </row>
    <row r="7667" spans="1:11" x14ac:dyDescent="0.2">
      <c r="A7667" s="2">
        <v>1919</v>
      </c>
      <c r="B7667" s="2">
        <v>13</v>
      </c>
      <c r="C7667" s="2">
        <v>79489046</v>
      </c>
      <c r="D7667" s="2">
        <v>80778339</v>
      </c>
      <c r="E7667" s="2">
        <v>1</v>
      </c>
      <c r="F7667" s="2" t="s">
        <v>10086</v>
      </c>
      <c r="H7667" s="2">
        <v>5.8999999999999999E-3</v>
      </c>
      <c r="K7667" s="2" t="s">
        <v>10089</v>
      </c>
    </row>
    <row r="7668" spans="1:11" x14ac:dyDescent="0.2">
      <c r="A7668" s="2">
        <v>1919</v>
      </c>
      <c r="B7668" s="2">
        <v>13</v>
      </c>
      <c r="C7668" s="2">
        <v>79489046</v>
      </c>
      <c r="D7668" s="2">
        <v>80778339</v>
      </c>
      <c r="E7668" s="2">
        <v>2</v>
      </c>
      <c r="F7668" s="2" t="s">
        <v>10086</v>
      </c>
      <c r="H7668" s="2">
        <v>1.1000000000000001E-3</v>
      </c>
      <c r="K7668" s="2" t="s">
        <v>10088</v>
      </c>
    </row>
    <row r="7669" spans="1:11" x14ac:dyDescent="0.2">
      <c r="A7669" s="2">
        <v>1919</v>
      </c>
      <c r="B7669" s="2">
        <v>13</v>
      </c>
      <c r="C7669" s="2">
        <v>79489046</v>
      </c>
      <c r="D7669" s="2">
        <v>80778339</v>
      </c>
      <c r="E7669" s="2">
        <v>3</v>
      </c>
      <c r="F7669" s="2" t="s">
        <v>10086</v>
      </c>
      <c r="H7669" s="3">
        <v>8.9999999999999998E-4</v>
      </c>
      <c r="K7669" s="2" t="s">
        <v>10087</v>
      </c>
    </row>
    <row r="7670" spans="1:11" x14ac:dyDescent="0.2">
      <c r="A7670" s="2">
        <v>1919</v>
      </c>
      <c r="B7670" s="2">
        <v>13</v>
      </c>
      <c r="C7670" s="2">
        <v>79489046</v>
      </c>
      <c r="D7670" s="2">
        <v>80778339</v>
      </c>
      <c r="E7670" s="2">
        <v>4</v>
      </c>
      <c r="F7670" s="2" t="s">
        <v>10086</v>
      </c>
      <c r="H7670" s="3">
        <v>5.9999999999999995E-4</v>
      </c>
      <c r="K7670" s="2" t="s">
        <v>10085</v>
      </c>
    </row>
    <row r="7671" spans="1:11" x14ac:dyDescent="0.2">
      <c r="A7671" s="2">
        <v>1920</v>
      </c>
      <c r="B7671" s="2">
        <v>13</v>
      </c>
      <c r="C7671" s="2">
        <v>80778340</v>
      </c>
      <c r="D7671" s="2">
        <v>81724089</v>
      </c>
      <c r="E7671" s="2">
        <v>1</v>
      </c>
      <c r="F7671" s="2" t="s">
        <v>10086</v>
      </c>
      <c r="H7671" s="2">
        <v>3.2000000000000002E-3</v>
      </c>
      <c r="K7671" s="2" t="s">
        <v>10089</v>
      </c>
    </row>
    <row r="7672" spans="1:11" x14ac:dyDescent="0.2">
      <c r="A7672" s="2">
        <v>1920</v>
      </c>
      <c r="B7672" s="2">
        <v>13</v>
      </c>
      <c r="C7672" s="2">
        <v>80778340</v>
      </c>
      <c r="D7672" s="2">
        <v>81724089</v>
      </c>
      <c r="E7672" s="2">
        <v>2</v>
      </c>
      <c r="F7672" s="2" t="s">
        <v>10086</v>
      </c>
      <c r="H7672" s="2">
        <v>1.5E-3</v>
      </c>
      <c r="K7672" s="2" t="s">
        <v>10088</v>
      </c>
    </row>
    <row r="7673" spans="1:11" x14ac:dyDescent="0.2">
      <c r="A7673" s="2">
        <v>1920</v>
      </c>
      <c r="B7673" s="2">
        <v>13</v>
      </c>
      <c r="C7673" s="2">
        <v>80778340</v>
      </c>
      <c r="D7673" s="2">
        <v>81724089</v>
      </c>
      <c r="E7673" s="2">
        <v>3</v>
      </c>
      <c r="F7673" s="2" t="s">
        <v>10086</v>
      </c>
      <c r="H7673" s="3">
        <v>6.9999999999999999E-4</v>
      </c>
      <c r="K7673" s="2" t="s">
        <v>10085</v>
      </c>
    </row>
    <row r="7674" spans="1:11" x14ac:dyDescent="0.2">
      <c r="A7674" s="2">
        <v>1920</v>
      </c>
      <c r="B7674" s="2">
        <v>13</v>
      </c>
      <c r="C7674" s="2">
        <v>80778340</v>
      </c>
      <c r="D7674" s="2">
        <v>81724089</v>
      </c>
      <c r="E7674" s="2">
        <v>4</v>
      </c>
      <c r="F7674" s="2" t="s">
        <v>10086</v>
      </c>
      <c r="H7674" s="3">
        <v>5.0000000000000001E-4</v>
      </c>
      <c r="K7674" s="2" t="s">
        <v>10087</v>
      </c>
    </row>
    <row r="7675" spans="1:11" x14ac:dyDescent="0.2">
      <c r="A7675" s="2">
        <v>1921</v>
      </c>
      <c r="B7675" s="2">
        <v>13</v>
      </c>
      <c r="C7675" s="2">
        <v>81724090</v>
      </c>
      <c r="D7675" s="2">
        <v>82582821</v>
      </c>
      <c r="E7675" s="2">
        <v>1</v>
      </c>
      <c r="F7675" s="2" t="s">
        <v>10086</v>
      </c>
      <c r="H7675" s="2">
        <v>1.1999999999999999E-3</v>
      </c>
      <c r="K7675" s="2" t="s">
        <v>10087</v>
      </c>
    </row>
    <row r="7676" spans="1:11" x14ac:dyDescent="0.2">
      <c r="A7676" s="2">
        <v>1921</v>
      </c>
      <c r="B7676" s="2">
        <v>13</v>
      </c>
      <c r="C7676" s="2">
        <v>81724090</v>
      </c>
      <c r="D7676" s="2">
        <v>82582821</v>
      </c>
      <c r="E7676" s="2">
        <v>2</v>
      </c>
      <c r="F7676" s="2" t="s">
        <v>10086</v>
      </c>
      <c r="H7676" s="3">
        <v>8.0000000000000004E-4</v>
      </c>
      <c r="K7676" s="2" t="s">
        <v>10085</v>
      </c>
    </row>
    <row r="7677" spans="1:11" x14ac:dyDescent="0.2">
      <c r="A7677" s="2">
        <v>1921</v>
      </c>
      <c r="B7677" s="2">
        <v>13</v>
      </c>
      <c r="C7677" s="2">
        <v>81724090</v>
      </c>
      <c r="D7677" s="2">
        <v>82582821</v>
      </c>
      <c r="E7677" s="2">
        <v>3</v>
      </c>
      <c r="F7677" s="2" t="s">
        <v>10086</v>
      </c>
      <c r="H7677" s="3">
        <v>6.9999999999999999E-4</v>
      </c>
      <c r="K7677" s="2" t="s">
        <v>10089</v>
      </c>
    </row>
    <row r="7678" spans="1:11" x14ac:dyDescent="0.2">
      <c r="A7678" s="2">
        <v>1921</v>
      </c>
      <c r="B7678" s="2">
        <v>13</v>
      </c>
      <c r="C7678" s="2">
        <v>81724090</v>
      </c>
      <c r="D7678" s="2">
        <v>82582821</v>
      </c>
      <c r="E7678" s="2">
        <v>4</v>
      </c>
      <c r="F7678" s="2" t="s">
        <v>10086</v>
      </c>
      <c r="H7678" s="3">
        <v>5.0000000000000001E-4</v>
      </c>
      <c r="K7678" s="2" t="s">
        <v>10088</v>
      </c>
    </row>
    <row r="7679" spans="1:11" x14ac:dyDescent="0.2">
      <c r="A7679" s="2">
        <v>1922</v>
      </c>
      <c r="B7679" s="2">
        <v>13</v>
      </c>
      <c r="C7679" s="2">
        <v>82582822</v>
      </c>
      <c r="D7679" s="2">
        <v>83829835</v>
      </c>
      <c r="E7679" s="2">
        <v>1</v>
      </c>
      <c r="F7679" s="2" t="s">
        <v>10086</v>
      </c>
      <c r="H7679" s="2">
        <v>1.2999999999999999E-3</v>
      </c>
      <c r="K7679" s="2" t="s">
        <v>10089</v>
      </c>
    </row>
    <row r="7680" spans="1:11" x14ac:dyDescent="0.2">
      <c r="A7680" s="2">
        <v>1922</v>
      </c>
      <c r="B7680" s="2">
        <v>13</v>
      </c>
      <c r="C7680" s="2">
        <v>82582822</v>
      </c>
      <c r="D7680" s="2">
        <v>83829835</v>
      </c>
      <c r="E7680" s="2">
        <v>2</v>
      </c>
      <c r="F7680" s="2" t="s">
        <v>10086</v>
      </c>
      <c r="H7680" s="2">
        <v>1.1000000000000001E-3</v>
      </c>
      <c r="K7680" s="2" t="s">
        <v>10087</v>
      </c>
    </row>
    <row r="7681" spans="1:11" x14ac:dyDescent="0.2">
      <c r="A7681" s="2">
        <v>1922</v>
      </c>
      <c r="B7681" s="2">
        <v>13</v>
      </c>
      <c r="C7681" s="2">
        <v>82582822</v>
      </c>
      <c r="D7681" s="2">
        <v>83829835</v>
      </c>
      <c r="E7681" s="2">
        <v>3</v>
      </c>
      <c r="F7681" s="2" t="s">
        <v>10086</v>
      </c>
      <c r="H7681" s="2">
        <v>1.1999999999999999E-3</v>
      </c>
      <c r="K7681" s="2" t="s">
        <v>10088</v>
      </c>
    </row>
    <row r="7682" spans="1:11" x14ac:dyDescent="0.2">
      <c r="A7682" s="2">
        <v>1922</v>
      </c>
      <c r="B7682" s="2">
        <v>13</v>
      </c>
      <c r="C7682" s="2">
        <v>82582822</v>
      </c>
      <c r="D7682" s="2">
        <v>83829835</v>
      </c>
      <c r="E7682" s="2">
        <v>4</v>
      </c>
      <c r="F7682" s="2" t="s">
        <v>10086</v>
      </c>
      <c r="H7682" s="3">
        <v>5.0000000000000001E-4</v>
      </c>
      <c r="K7682" s="2" t="s">
        <v>10085</v>
      </c>
    </row>
    <row r="7683" spans="1:11" x14ac:dyDescent="0.2">
      <c r="A7683" s="2">
        <v>1923</v>
      </c>
      <c r="B7683" s="2">
        <v>13</v>
      </c>
      <c r="C7683" s="2">
        <v>83829836</v>
      </c>
      <c r="D7683" s="2">
        <v>85035400</v>
      </c>
      <c r="E7683" s="2">
        <v>1</v>
      </c>
      <c r="F7683" s="2" t="s">
        <v>10086</v>
      </c>
      <c r="H7683" s="2">
        <v>8.8000000000000005E-3</v>
      </c>
      <c r="K7683" s="2" t="s">
        <v>10087</v>
      </c>
    </row>
    <row r="7684" spans="1:11" x14ac:dyDescent="0.2">
      <c r="A7684" s="2">
        <v>1923</v>
      </c>
      <c r="B7684" s="2">
        <v>13</v>
      </c>
      <c r="C7684" s="2">
        <v>83829836</v>
      </c>
      <c r="D7684" s="2">
        <v>85035400</v>
      </c>
      <c r="E7684" s="2">
        <v>2</v>
      </c>
      <c r="F7684" s="2" t="s">
        <v>10086</v>
      </c>
      <c r="H7684" s="2">
        <v>1.1999999999999999E-3</v>
      </c>
      <c r="K7684" s="2" t="s">
        <v>10088</v>
      </c>
    </row>
    <row r="7685" spans="1:11" x14ac:dyDescent="0.2">
      <c r="A7685" s="2">
        <v>1923</v>
      </c>
      <c r="B7685" s="2">
        <v>13</v>
      </c>
      <c r="C7685" s="2">
        <v>83829836</v>
      </c>
      <c r="D7685" s="2">
        <v>85035400</v>
      </c>
      <c r="E7685" s="2">
        <v>3</v>
      </c>
      <c r="F7685" s="2" t="s">
        <v>10086</v>
      </c>
      <c r="H7685" s="3">
        <v>8.0000000000000004E-4</v>
      </c>
      <c r="K7685" s="2" t="s">
        <v>10085</v>
      </c>
    </row>
    <row r="7686" spans="1:11" x14ac:dyDescent="0.2">
      <c r="A7686" s="2">
        <v>1923</v>
      </c>
      <c r="B7686" s="2">
        <v>13</v>
      </c>
      <c r="C7686" s="2">
        <v>83829836</v>
      </c>
      <c r="D7686" s="2">
        <v>85035400</v>
      </c>
      <c r="E7686" s="2">
        <v>4</v>
      </c>
      <c r="F7686" s="2" t="s">
        <v>10086</v>
      </c>
      <c r="H7686" s="3">
        <v>2.9999999999999997E-4</v>
      </c>
      <c r="K7686" s="2" t="s">
        <v>10089</v>
      </c>
    </row>
    <row r="7687" spans="1:11" x14ac:dyDescent="0.2">
      <c r="A7687" s="2">
        <v>1924</v>
      </c>
      <c r="B7687" s="2">
        <v>13</v>
      </c>
      <c r="C7687" s="2">
        <v>85035401</v>
      </c>
      <c r="D7687" s="2">
        <v>85650680</v>
      </c>
      <c r="E7687" s="2">
        <v>1</v>
      </c>
      <c r="F7687" s="2" t="s">
        <v>10086</v>
      </c>
      <c r="H7687" s="3">
        <v>6.9999999999999999E-4</v>
      </c>
      <c r="K7687" s="2" t="s">
        <v>10089</v>
      </c>
    </row>
    <row r="7688" spans="1:11" x14ac:dyDescent="0.2">
      <c r="A7688" s="2">
        <v>1924</v>
      </c>
      <c r="B7688" s="2">
        <v>13</v>
      </c>
      <c r="C7688" s="2">
        <v>85035401</v>
      </c>
      <c r="D7688" s="2">
        <v>85650680</v>
      </c>
      <c r="E7688" s="2">
        <v>2</v>
      </c>
      <c r="F7688" s="2" t="s">
        <v>10086</v>
      </c>
      <c r="H7688" s="3">
        <v>5.9999999999999995E-4</v>
      </c>
      <c r="K7688" s="2" t="s">
        <v>10087</v>
      </c>
    </row>
    <row r="7689" spans="1:11" x14ac:dyDescent="0.2">
      <c r="A7689" s="2">
        <v>1924</v>
      </c>
      <c r="B7689" s="2">
        <v>13</v>
      </c>
      <c r="C7689" s="2">
        <v>85035401</v>
      </c>
      <c r="D7689" s="2">
        <v>85650680</v>
      </c>
      <c r="E7689" s="2">
        <v>3</v>
      </c>
      <c r="F7689" s="2" t="s">
        <v>10086</v>
      </c>
      <c r="H7689" s="3">
        <v>5.0000000000000001E-4</v>
      </c>
      <c r="K7689" s="2" t="s">
        <v>10088</v>
      </c>
    </row>
    <row r="7690" spans="1:11" x14ac:dyDescent="0.2">
      <c r="A7690" s="2">
        <v>1924</v>
      </c>
      <c r="B7690" s="2">
        <v>13</v>
      </c>
      <c r="C7690" s="2">
        <v>85035401</v>
      </c>
      <c r="D7690" s="2">
        <v>85650680</v>
      </c>
      <c r="E7690" s="2">
        <v>4</v>
      </c>
      <c r="F7690" s="2" t="s">
        <v>10086</v>
      </c>
      <c r="H7690" s="3">
        <v>4.0000000000000002E-4</v>
      </c>
      <c r="K7690" s="2" t="s">
        <v>10085</v>
      </c>
    </row>
    <row r="7691" spans="1:11" x14ac:dyDescent="0.2">
      <c r="A7691" s="2">
        <v>1925</v>
      </c>
      <c r="B7691" s="2">
        <v>13</v>
      </c>
      <c r="C7691" s="2">
        <v>85650681</v>
      </c>
      <c r="D7691" s="2">
        <v>86321288</v>
      </c>
      <c r="E7691" s="2">
        <v>1</v>
      </c>
      <c r="F7691" s="2" t="s">
        <v>10086</v>
      </c>
      <c r="H7691" s="2">
        <v>1.6000000000000001E-3</v>
      </c>
      <c r="K7691" s="2" t="s">
        <v>10089</v>
      </c>
    </row>
    <row r="7692" spans="1:11" x14ac:dyDescent="0.2">
      <c r="A7692" s="2">
        <v>1925</v>
      </c>
      <c r="B7692" s="2">
        <v>13</v>
      </c>
      <c r="C7692" s="2">
        <v>85650681</v>
      </c>
      <c r="D7692" s="2">
        <v>86321288</v>
      </c>
      <c r="E7692" s="2">
        <v>2</v>
      </c>
      <c r="F7692" s="2" t="s">
        <v>10086</v>
      </c>
      <c r="H7692" s="3">
        <v>8.9999999999999998E-4</v>
      </c>
      <c r="K7692" s="2" t="s">
        <v>10087</v>
      </c>
    </row>
    <row r="7693" spans="1:11" x14ac:dyDescent="0.2">
      <c r="A7693" s="2">
        <v>1925</v>
      </c>
      <c r="B7693" s="2">
        <v>13</v>
      </c>
      <c r="C7693" s="2">
        <v>85650681</v>
      </c>
      <c r="D7693" s="2">
        <v>86321288</v>
      </c>
      <c r="E7693" s="2">
        <v>3</v>
      </c>
      <c r="F7693" s="2" t="s">
        <v>10086</v>
      </c>
      <c r="H7693" s="3">
        <v>4.0000000000000002E-4</v>
      </c>
      <c r="K7693" s="2" t="s">
        <v>10088</v>
      </c>
    </row>
    <row r="7694" spans="1:11" x14ac:dyDescent="0.2">
      <c r="A7694" s="2">
        <v>1925</v>
      </c>
      <c r="B7694" s="2">
        <v>13</v>
      </c>
      <c r="C7694" s="2">
        <v>85650681</v>
      </c>
      <c r="D7694" s="2">
        <v>86321288</v>
      </c>
      <c r="E7694" s="2">
        <v>4</v>
      </c>
      <c r="F7694" s="2" t="s">
        <v>10086</v>
      </c>
      <c r="H7694" s="3">
        <v>2.9999999999999997E-4</v>
      </c>
      <c r="K7694" s="2" t="s">
        <v>10085</v>
      </c>
    </row>
    <row r="7695" spans="1:11" x14ac:dyDescent="0.2">
      <c r="A7695" s="2">
        <v>1926</v>
      </c>
      <c r="B7695" s="2">
        <v>13</v>
      </c>
      <c r="C7695" s="2">
        <v>86321289</v>
      </c>
      <c r="D7695" s="2">
        <v>87043588</v>
      </c>
      <c r="E7695" s="2">
        <v>1</v>
      </c>
      <c r="F7695" s="2" t="s">
        <v>10086</v>
      </c>
      <c r="H7695" s="2">
        <v>2.2000000000000001E-3</v>
      </c>
      <c r="K7695" s="2" t="s">
        <v>10088</v>
      </c>
    </row>
    <row r="7696" spans="1:11" x14ac:dyDescent="0.2">
      <c r="A7696" s="2">
        <v>1926</v>
      </c>
      <c r="B7696" s="2">
        <v>13</v>
      </c>
      <c r="C7696" s="2">
        <v>86321289</v>
      </c>
      <c r="D7696" s="2">
        <v>87043588</v>
      </c>
      <c r="E7696" s="2">
        <v>2</v>
      </c>
      <c r="F7696" s="2" t="s">
        <v>10086</v>
      </c>
      <c r="H7696" s="2">
        <v>1.1999999999999999E-3</v>
      </c>
      <c r="K7696" s="2" t="s">
        <v>10089</v>
      </c>
    </row>
    <row r="7697" spans="1:11" x14ac:dyDescent="0.2">
      <c r="A7697" s="2">
        <v>1926</v>
      </c>
      <c r="B7697" s="2">
        <v>13</v>
      </c>
      <c r="C7697" s="2">
        <v>86321289</v>
      </c>
      <c r="D7697" s="2">
        <v>87043588</v>
      </c>
      <c r="E7697" s="2">
        <v>3</v>
      </c>
      <c r="F7697" s="2" t="s">
        <v>10086</v>
      </c>
      <c r="H7697" s="3">
        <v>6.9999999999999999E-4</v>
      </c>
      <c r="K7697" s="2" t="s">
        <v>10085</v>
      </c>
    </row>
    <row r="7698" spans="1:11" x14ac:dyDescent="0.2">
      <c r="A7698" s="2">
        <v>1926</v>
      </c>
      <c r="B7698" s="2">
        <v>13</v>
      </c>
      <c r="C7698" s="2">
        <v>86321289</v>
      </c>
      <c r="D7698" s="2">
        <v>87043588</v>
      </c>
      <c r="E7698" s="2">
        <v>4</v>
      </c>
      <c r="F7698" s="2" t="s">
        <v>10086</v>
      </c>
      <c r="H7698" s="3">
        <v>4.0000000000000002E-4</v>
      </c>
      <c r="K7698" s="2" t="s">
        <v>10087</v>
      </c>
    </row>
    <row r="7699" spans="1:11" x14ac:dyDescent="0.2">
      <c r="A7699" s="2">
        <v>1927</v>
      </c>
      <c r="B7699" s="2">
        <v>13</v>
      </c>
      <c r="C7699" s="2">
        <v>87043589</v>
      </c>
      <c r="D7699" s="2">
        <v>88029523</v>
      </c>
      <c r="E7699" s="2">
        <v>1</v>
      </c>
      <c r="F7699" s="2" t="s">
        <v>10086</v>
      </c>
      <c r="H7699" s="2">
        <v>1.1999999999999999E-3</v>
      </c>
      <c r="K7699" s="2" t="s">
        <v>10085</v>
      </c>
    </row>
    <row r="7700" spans="1:11" x14ac:dyDescent="0.2">
      <c r="A7700" s="2">
        <v>1927</v>
      </c>
      <c r="B7700" s="2">
        <v>13</v>
      </c>
      <c r="C7700" s="2">
        <v>87043589</v>
      </c>
      <c r="D7700" s="2">
        <v>88029523</v>
      </c>
      <c r="E7700" s="2">
        <v>2</v>
      </c>
      <c r="F7700" s="2" t="s">
        <v>10086</v>
      </c>
      <c r="H7700" s="2">
        <v>1E-3</v>
      </c>
      <c r="K7700" s="2" t="s">
        <v>10087</v>
      </c>
    </row>
    <row r="7701" spans="1:11" x14ac:dyDescent="0.2">
      <c r="A7701" s="2">
        <v>1927</v>
      </c>
      <c r="B7701" s="2">
        <v>13</v>
      </c>
      <c r="C7701" s="2">
        <v>87043589</v>
      </c>
      <c r="D7701" s="2">
        <v>88029523</v>
      </c>
      <c r="E7701" s="2">
        <v>3</v>
      </c>
      <c r="F7701" s="2" t="s">
        <v>10086</v>
      </c>
      <c r="H7701" s="3">
        <v>8.9999999999999998E-4</v>
      </c>
      <c r="K7701" s="2" t="s">
        <v>10088</v>
      </c>
    </row>
    <row r="7702" spans="1:11" x14ac:dyDescent="0.2">
      <c r="A7702" s="2">
        <v>1927</v>
      </c>
      <c r="B7702" s="2">
        <v>13</v>
      </c>
      <c r="C7702" s="2">
        <v>87043589</v>
      </c>
      <c r="D7702" s="2">
        <v>88029523</v>
      </c>
      <c r="E7702" s="2">
        <v>4</v>
      </c>
      <c r="F7702" s="2" t="s">
        <v>10086</v>
      </c>
      <c r="H7702" s="3">
        <v>2.9999999999999997E-4</v>
      </c>
      <c r="K7702" s="2" t="s">
        <v>10089</v>
      </c>
    </row>
    <row r="7703" spans="1:11" x14ac:dyDescent="0.2">
      <c r="A7703" s="2">
        <v>1928</v>
      </c>
      <c r="B7703" s="2">
        <v>13</v>
      </c>
      <c r="C7703" s="2">
        <v>88029524</v>
      </c>
      <c r="D7703" s="2">
        <v>88968400</v>
      </c>
      <c r="E7703" s="2">
        <v>1</v>
      </c>
      <c r="F7703" s="2" t="s">
        <v>10086</v>
      </c>
      <c r="H7703" s="2">
        <v>1.8E-3</v>
      </c>
      <c r="K7703" s="2" t="s">
        <v>10087</v>
      </c>
    </row>
    <row r="7704" spans="1:11" x14ac:dyDescent="0.2">
      <c r="A7704" s="2">
        <v>1928</v>
      </c>
      <c r="B7704" s="2">
        <v>13</v>
      </c>
      <c r="C7704" s="2">
        <v>88029524</v>
      </c>
      <c r="D7704" s="2">
        <v>88968400</v>
      </c>
      <c r="E7704" s="2">
        <v>2</v>
      </c>
      <c r="F7704" s="2" t="s">
        <v>10086</v>
      </c>
      <c r="H7704" s="2">
        <v>1.1999999999999999E-3</v>
      </c>
      <c r="K7704" s="2" t="s">
        <v>10089</v>
      </c>
    </row>
    <row r="7705" spans="1:11" x14ac:dyDescent="0.2">
      <c r="A7705" s="2">
        <v>1928</v>
      </c>
      <c r="B7705" s="2">
        <v>13</v>
      </c>
      <c r="C7705" s="2">
        <v>88029524</v>
      </c>
      <c r="D7705" s="2">
        <v>88968400</v>
      </c>
      <c r="E7705" s="2">
        <v>3</v>
      </c>
      <c r="F7705" s="2" t="s">
        <v>10086</v>
      </c>
      <c r="H7705" s="3">
        <v>8.0000000000000004E-4</v>
      </c>
      <c r="K7705" s="2" t="s">
        <v>10088</v>
      </c>
    </row>
    <row r="7706" spans="1:11" x14ac:dyDescent="0.2">
      <c r="A7706" s="2">
        <v>1928</v>
      </c>
      <c r="B7706" s="2">
        <v>13</v>
      </c>
      <c r="C7706" s="2">
        <v>88029524</v>
      </c>
      <c r="D7706" s="2">
        <v>88968400</v>
      </c>
      <c r="E7706" s="2">
        <v>4</v>
      </c>
      <c r="F7706" s="2" t="s">
        <v>10086</v>
      </c>
      <c r="H7706" s="3">
        <v>5.9999999999999995E-4</v>
      </c>
      <c r="K7706" s="2" t="s">
        <v>10085</v>
      </c>
    </row>
    <row r="7707" spans="1:11" x14ac:dyDescent="0.2">
      <c r="A7707" s="2">
        <v>1929</v>
      </c>
      <c r="B7707" s="2">
        <v>13</v>
      </c>
      <c r="C7707" s="2">
        <v>88968401</v>
      </c>
      <c r="D7707" s="2">
        <v>89764426</v>
      </c>
      <c r="E7707" s="2">
        <v>1</v>
      </c>
      <c r="F7707" s="2" t="s">
        <v>10086</v>
      </c>
      <c r="H7707" s="2">
        <v>1.1999999999999999E-3</v>
      </c>
      <c r="K7707" s="2" t="s">
        <v>10085</v>
      </c>
    </row>
    <row r="7708" spans="1:11" x14ac:dyDescent="0.2">
      <c r="A7708" s="2">
        <v>1929</v>
      </c>
      <c r="B7708" s="2">
        <v>13</v>
      </c>
      <c r="C7708" s="2">
        <v>88968401</v>
      </c>
      <c r="D7708" s="2">
        <v>89764426</v>
      </c>
      <c r="E7708" s="2">
        <v>2</v>
      </c>
      <c r="F7708" s="2" t="s">
        <v>10086</v>
      </c>
      <c r="H7708" s="2">
        <v>1.4E-3</v>
      </c>
      <c r="K7708" s="2" t="s">
        <v>10087</v>
      </c>
    </row>
    <row r="7709" spans="1:11" x14ac:dyDescent="0.2">
      <c r="A7709" s="2">
        <v>1929</v>
      </c>
      <c r="B7709" s="2">
        <v>13</v>
      </c>
      <c r="C7709" s="2">
        <v>88968401</v>
      </c>
      <c r="D7709" s="2">
        <v>89764426</v>
      </c>
      <c r="E7709" s="2">
        <v>3</v>
      </c>
      <c r="F7709" s="2" t="s">
        <v>10086</v>
      </c>
      <c r="H7709" s="3">
        <v>6.9999999999999999E-4</v>
      </c>
      <c r="K7709" s="2" t="s">
        <v>10088</v>
      </c>
    </row>
    <row r="7710" spans="1:11" x14ac:dyDescent="0.2">
      <c r="A7710" s="2">
        <v>1929</v>
      </c>
      <c r="B7710" s="2">
        <v>13</v>
      </c>
      <c r="C7710" s="2">
        <v>88968401</v>
      </c>
      <c r="D7710" s="2">
        <v>89764426</v>
      </c>
      <c r="E7710" s="2">
        <v>4</v>
      </c>
      <c r="F7710" s="2" t="s">
        <v>10086</v>
      </c>
      <c r="H7710" s="3">
        <v>5.9999999999999995E-4</v>
      </c>
      <c r="K7710" s="2" t="s">
        <v>12324</v>
      </c>
    </row>
    <row r="7711" spans="1:11" x14ac:dyDescent="0.2">
      <c r="A7711" s="2">
        <v>1930</v>
      </c>
      <c r="B7711" s="2">
        <v>13</v>
      </c>
      <c r="C7711" s="2">
        <v>89764427</v>
      </c>
      <c r="D7711" s="2">
        <v>90518147</v>
      </c>
      <c r="E7711" s="2">
        <v>1</v>
      </c>
      <c r="F7711" s="2" t="s">
        <v>10086</v>
      </c>
      <c r="H7711" s="2">
        <v>4.3E-3</v>
      </c>
      <c r="K7711" s="2" t="s">
        <v>10089</v>
      </c>
    </row>
    <row r="7712" spans="1:11" x14ac:dyDescent="0.2">
      <c r="A7712" s="2">
        <v>1930</v>
      </c>
      <c r="B7712" s="2">
        <v>13</v>
      </c>
      <c r="C7712" s="2">
        <v>89764427</v>
      </c>
      <c r="D7712" s="2">
        <v>90518147</v>
      </c>
      <c r="E7712" s="2">
        <v>2</v>
      </c>
      <c r="F7712" s="2" t="s">
        <v>10086</v>
      </c>
      <c r="H7712" s="2">
        <v>1.6000000000000001E-3</v>
      </c>
      <c r="K7712" s="2" t="s">
        <v>10085</v>
      </c>
    </row>
    <row r="7713" spans="1:11" x14ac:dyDescent="0.2">
      <c r="A7713" s="2">
        <v>1930</v>
      </c>
      <c r="B7713" s="2">
        <v>13</v>
      </c>
      <c r="C7713" s="2">
        <v>89764427</v>
      </c>
      <c r="D7713" s="2">
        <v>90518147</v>
      </c>
      <c r="E7713" s="2">
        <v>3</v>
      </c>
      <c r="F7713" s="2" t="s">
        <v>10086</v>
      </c>
      <c r="H7713" s="2">
        <v>1.1000000000000001E-3</v>
      </c>
      <c r="K7713" s="2" t="s">
        <v>10088</v>
      </c>
    </row>
    <row r="7714" spans="1:11" x14ac:dyDescent="0.2">
      <c r="A7714" s="2">
        <v>1930</v>
      </c>
      <c r="B7714" s="2">
        <v>13</v>
      </c>
      <c r="C7714" s="2">
        <v>89764427</v>
      </c>
      <c r="D7714" s="2">
        <v>90518147</v>
      </c>
      <c r="E7714" s="2">
        <v>4</v>
      </c>
      <c r="F7714" s="2" t="s">
        <v>10086</v>
      </c>
      <c r="H7714" s="3">
        <v>8.0000000000000004E-4</v>
      </c>
      <c r="K7714" s="2" t="s">
        <v>12324</v>
      </c>
    </row>
    <row r="7715" spans="1:11" x14ac:dyDescent="0.2">
      <c r="A7715" s="2">
        <v>1931</v>
      </c>
      <c r="B7715" s="2">
        <v>13</v>
      </c>
      <c r="C7715" s="2">
        <v>90518148</v>
      </c>
      <c r="D7715" s="2">
        <v>91764204</v>
      </c>
      <c r="E7715" s="2">
        <v>1</v>
      </c>
      <c r="F7715" s="2" t="s">
        <v>10086</v>
      </c>
      <c r="H7715" s="2">
        <v>3.3999999999999998E-3</v>
      </c>
      <c r="K7715" s="2" t="s">
        <v>10088</v>
      </c>
    </row>
    <row r="7716" spans="1:11" x14ac:dyDescent="0.2">
      <c r="A7716" s="2">
        <v>1931</v>
      </c>
      <c r="B7716" s="2">
        <v>13</v>
      </c>
      <c r="C7716" s="2">
        <v>90518148</v>
      </c>
      <c r="D7716" s="2">
        <v>91764204</v>
      </c>
      <c r="E7716" s="2">
        <v>2</v>
      </c>
      <c r="F7716" s="2" t="s">
        <v>10086</v>
      </c>
      <c r="H7716" s="2">
        <v>1.8E-3</v>
      </c>
      <c r="K7716" s="2" t="s">
        <v>10089</v>
      </c>
    </row>
    <row r="7717" spans="1:11" x14ac:dyDescent="0.2">
      <c r="A7717" s="2">
        <v>1931</v>
      </c>
      <c r="B7717" s="2">
        <v>13</v>
      </c>
      <c r="C7717" s="2">
        <v>90518148</v>
      </c>
      <c r="D7717" s="2">
        <v>91764204</v>
      </c>
      <c r="E7717" s="2">
        <v>3</v>
      </c>
      <c r="F7717" s="2" t="s">
        <v>10086</v>
      </c>
      <c r="H7717" s="2">
        <v>1.6000000000000001E-3</v>
      </c>
      <c r="K7717" s="2" t="s">
        <v>10087</v>
      </c>
    </row>
    <row r="7718" spans="1:11" x14ac:dyDescent="0.2">
      <c r="A7718" s="2">
        <v>1931</v>
      </c>
      <c r="B7718" s="2">
        <v>13</v>
      </c>
      <c r="C7718" s="2">
        <v>90518148</v>
      </c>
      <c r="D7718" s="2">
        <v>91764204</v>
      </c>
      <c r="E7718" s="2">
        <v>4</v>
      </c>
      <c r="F7718" s="2" t="s">
        <v>10086</v>
      </c>
      <c r="H7718" s="2">
        <v>1E-3</v>
      </c>
      <c r="K7718" s="2" t="s">
        <v>10085</v>
      </c>
    </row>
    <row r="7719" spans="1:11" x14ac:dyDescent="0.2">
      <c r="A7719" s="2">
        <v>1932</v>
      </c>
      <c r="B7719" s="2">
        <v>13</v>
      </c>
      <c r="C7719" s="2">
        <v>91764205</v>
      </c>
      <c r="D7719" s="2">
        <v>93285142</v>
      </c>
      <c r="E7719" s="2">
        <v>1</v>
      </c>
      <c r="F7719" s="2" t="s">
        <v>10086</v>
      </c>
      <c r="H7719" s="2">
        <v>1.6999999999999999E-3</v>
      </c>
      <c r="K7719" s="2" t="s">
        <v>10088</v>
      </c>
    </row>
    <row r="7720" spans="1:11" x14ac:dyDescent="0.2">
      <c r="A7720" s="2">
        <v>1932</v>
      </c>
      <c r="B7720" s="2">
        <v>13</v>
      </c>
      <c r="C7720" s="2">
        <v>91764205</v>
      </c>
      <c r="D7720" s="2">
        <v>93285142</v>
      </c>
      <c r="E7720" s="2">
        <v>2</v>
      </c>
      <c r="F7720" s="2" t="s">
        <v>10086</v>
      </c>
      <c r="H7720" s="2">
        <v>1.2999999999999999E-3</v>
      </c>
      <c r="K7720" s="2" t="s">
        <v>10087</v>
      </c>
    </row>
    <row r="7721" spans="1:11" x14ac:dyDescent="0.2">
      <c r="A7721" s="2">
        <v>1932</v>
      </c>
      <c r="B7721" s="2">
        <v>13</v>
      </c>
      <c r="C7721" s="2">
        <v>91764205</v>
      </c>
      <c r="D7721" s="2">
        <v>93285142</v>
      </c>
      <c r="E7721" s="2">
        <v>3</v>
      </c>
      <c r="F7721" s="2" t="s">
        <v>10086</v>
      </c>
      <c r="H7721" s="2">
        <v>1.2999999999999999E-3</v>
      </c>
      <c r="K7721" s="2" t="s">
        <v>10085</v>
      </c>
    </row>
    <row r="7722" spans="1:11" x14ac:dyDescent="0.2">
      <c r="A7722" s="2">
        <v>1932</v>
      </c>
      <c r="B7722" s="2">
        <v>13</v>
      </c>
      <c r="C7722" s="2">
        <v>91764205</v>
      </c>
      <c r="D7722" s="2">
        <v>93285142</v>
      </c>
      <c r="E7722" s="2">
        <v>4</v>
      </c>
      <c r="F7722" s="2" t="s">
        <v>10086</v>
      </c>
      <c r="H7722" s="3">
        <v>8.0000000000000004E-4</v>
      </c>
      <c r="K7722" s="2" t="s">
        <v>10089</v>
      </c>
    </row>
    <row r="7723" spans="1:11" x14ac:dyDescent="0.2">
      <c r="A7723" s="2">
        <v>1933</v>
      </c>
      <c r="B7723" s="2">
        <v>13</v>
      </c>
      <c r="C7723" s="2">
        <v>93285143</v>
      </c>
      <c r="D7723" s="2">
        <v>94925136</v>
      </c>
      <c r="E7723" s="2">
        <v>1</v>
      </c>
      <c r="F7723" s="2" t="s">
        <v>10086</v>
      </c>
      <c r="H7723" s="2">
        <v>3.8E-3</v>
      </c>
      <c r="K7723" s="2" t="s">
        <v>10088</v>
      </c>
    </row>
    <row r="7724" spans="1:11" x14ac:dyDescent="0.2">
      <c r="A7724" s="2">
        <v>1933</v>
      </c>
      <c r="B7724" s="2">
        <v>13</v>
      </c>
      <c r="C7724" s="2">
        <v>93285143</v>
      </c>
      <c r="D7724" s="2">
        <v>94925136</v>
      </c>
      <c r="E7724" s="2">
        <v>2</v>
      </c>
      <c r="F7724" s="2" t="s">
        <v>10086</v>
      </c>
      <c r="H7724" s="2">
        <v>2.0999999999999999E-3</v>
      </c>
      <c r="K7724" s="2" t="s">
        <v>10085</v>
      </c>
    </row>
    <row r="7725" spans="1:11" x14ac:dyDescent="0.2">
      <c r="A7725" s="2">
        <v>1933</v>
      </c>
      <c r="B7725" s="2">
        <v>13</v>
      </c>
      <c r="C7725" s="2">
        <v>93285143</v>
      </c>
      <c r="D7725" s="2">
        <v>94925136</v>
      </c>
      <c r="E7725" s="2">
        <v>3</v>
      </c>
      <c r="F7725" s="2" t="s">
        <v>10086</v>
      </c>
      <c r="H7725" s="2">
        <v>1.5E-3</v>
      </c>
      <c r="K7725" s="2" t="s">
        <v>10089</v>
      </c>
    </row>
    <row r="7726" spans="1:11" x14ac:dyDescent="0.2">
      <c r="A7726" s="2">
        <v>1933</v>
      </c>
      <c r="B7726" s="2">
        <v>13</v>
      </c>
      <c r="C7726" s="2">
        <v>93285143</v>
      </c>
      <c r="D7726" s="2">
        <v>94925136</v>
      </c>
      <c r="E7726" s="2">
        <v>4</v>
      </c>
      <c r="F7726" s="2" t="s">
        <v>10086</v>
      </c>
      <c r="H7726" s="3">
        <v>5.0000000000000001E-4</v>
      </c>
      <c r="K7726" s="2" t="s">
        <v>10087</v>
      </c>
    </row>
    <row r="7727" spans="1:11" x14ac:dyDescent="0.2">
      <c r="A7727" s="2">
        <v>1934</v>
      </c>
      <c r="B7727" s="2">
        <v>13</v>
      </c>
      <c r="C7727" s="2">
        <v>94925137</v>
      </c>
      <c r="D7727" s="2">
        <v>96132647</v>
      </c>
      <c r="E7727" s="2">
        <v>1</v>
      </c>
      <c r="F7727" s="2" t="s">
        <v>10086</v>
      </c>
      <c r="H7727" s="2">
        <v>1.1999999999999999E-3</v>
      </c>
      <c r="K7727" s="2" t="s">
        <v>10088</v>
      </c>
    </row>
    <row r="7728" spans="1:11" x14ac:dyDescent="0.2">
      <c r="A7728" s="2">
        <v>1934</v>
      </c>
      <c r="B7728" s="2">
        <v>13</v>
      </c>
      <c r="C7728" s="2">
        <v>94925137</v>
      </c>
      <c r="D7728" s="2">
        <v>96132647</v>
      </c>
      <c r="E7728" s="2">
        <v>2</v>
      </c>
      <c r="F7728" s="2" t="s">
        <v>10086</v>
      </c>
      <c r="H7728" s="3">
        <v>8.0000000000000004E-4</v>
      </c>
      <c r="K7728" s="2" t="s">
        <v>10087</v>
      </c>
    </row>
    <row r="7729" spans="1:11" x14ac:dyDescent="0.2">
      <c r="A7729" s="2">
        <v>1934</v>
      </c>
      <c r="B7729" s="2">
        <v>13</v>
      </c>
      <c r="C7729" s="2">
        <v>94925137</v>
      </c>
      <c r="D7729" s="2">
        <v>96132647</v>
      </c>
      <c r="E7729" s="2">
        <v>3</v>
      </c>
      <c r="F7729" s="2" t="s">
        <v>10086</v>
      </c>
      <c r="H7729" s="3">
        <v>8.0000000000000004E-4</v>
      </c>
      <c r="K7729" s="2" t="s">
        <v>10085</v>
      </c>
    </row>
    <row r="7730" spans="1:11" x14ac:dyDescent="0.2">
      <c r="A7730" s="2">
        <v>1934</v>
      </c>
      <c r="B7730" s="2">
        <v>13</v>
      </c>
      <c r="C7730" s="2">
        <v>94925137</v>
      </c>
      <c r="D7730" s="2">
        <v>96132647</v>
      </c>
      <c r="E7730" s="2">
        <v>4</v>
      </c>
      <c r="F7730" s="2" t="s">
        <v>10086</v>
      </c>
      <c r="H7730" s="3">
        <v>5.0000000000000001E-4</v>
      </c>
      <c r="K7730" s="2" t="s">
        <v>10089</v>
      </c>
    </row>
    <row r="7731" spans="1:11" x14ac:dyDescent="0.2">
      <c r="A7731" s="2">
        <v>1935</v>
      </c>
      <c r="B7731" s="2">
        <v>13</v>
      </c>
      <c r="C7731" s="2">
        <v>96132648</v>
      </c>
      <c r="D7731" s="2">
        <v>97516609</v>
      </c>
      <c r="E7731" s="2">
        <v>1</v>
      </c>
      <c r="F7731" s="2" t="s">
        <v>10086</v>
      </c>
      <c r="H7731" s="2">
        <v>1.2999999999999999E-3</v>
      </c>
      <c r="K7731" s="2" t="s">
        <v>10088</v>
      </c>
    </row>
    <row r="7732" spans="1:11" x14ac:dyDescent="0.2">
      <c r="A7732" s="2">
        <v>1935</v>
      </c>
      <c r="B7732" s="2">
        <v>13</v>
      </c>
      <c r="C7732" s="2">
        <v>96132648</v>
      </c>
      <c r="D7732" s="2">
        <v>97516609</v>
      </c>
      <c r="E7732" s="2">
        <v>2</v>
      </c>
      <c r="F7732" s="2" t="s">
        <v>10086</v>
      </c>
      <c r="H7732" s="2">
        <v>1E-3</v>
      </c>
      <c r="K7732" s="2" t="s">
        <v>10089</v>
      </c>
    </row>
    <row r="7733" spans="1:11" x14ac:dyDescent="0.2">
      <c r="A7733" s="2">
        <v>1935</v>
      </c>
      <c r="B7733" s="2">
        <v>13</v>
      </c>
      <c r="C7733" s="2">
        <v>96132648</v>
      </c>
      <c r="D7733" s="2">
        <v>97516609</v>
      </c>
      <c r="E7733" s="2">
        <v>3</v>
      </c>
      <c r="F7733" s="2" t="s">
        <v>10086</v>
      </c>
      <c r="H7733" s="3">
        <v>6.9999999999999999E-4</v>
      </c>
      <c r="K7733" s="2" t="s">
        <v>10085</v>
      </c>
    </row>
    <row r="7734" spans="1:11" x14ac:dyDescent="0.2">
      <c r="A7734" s="2">
        <v>1935</v>
      </c>
      <c r="B7734" s="2">
        <v>13</v>
      </c>
      <c r="C7734" s="2">
        <v>96132648</v>
      </c>
      <c r="D7734" s="2">
        <v>97516609</v>
      </c>
      <c r="E7734" s="2">
        <v>4</v>
      </c>
      <c r="F7734" s="2" t="s">
        <v>10086</v>
      </c>
      <c r="H7734" s="3">
        <v>4.0000000000000002E-4</v>
      </c>
      <c r="K7734" s="2" t="s">
        <v>10087</v>
      </c>
    </row>
    <row r="7735" spans="1:11" x14ac:dyDescent="0.2">
      <c r="A7735" s="2">
        <v>1936</v>
      </c>
      <c r="B7735" s="2">
        <v>13</v>
      </c>
      <c r="C7735" s="2">
        <v>97516610</v>
      </c>
      <c r="D7735" s="2">
        <v>98527335</v>
      </c>
      <c r="E7735" s="2">
        <v>1</v>
      </c>
      <c r="F7735" s="2" t="s">
        <v>10086</v>
      </c>
      <c r="H7735" s="2">
        <v>1.2999999999999999E-3</v>
      </c>
      <c r="K7735" s="2" t="s">
        <v>10085</v>
      </c>
    </row>
    <row r="7736" spans="1:11" x14ac:dyDescent="0.2">
      <c r="A7736" s="2">
        <v>1936</v>
      </c>
      <c r="B7736" s="2">
        <v>13</v>
      </c>
      <c r="C7736" s="2">
        <v>97516610</v>
      </c>
      <c r="D7736" s="2">
        <v>98527335</v>
      </c>
      <c r="E7736" s="2">
        <v>2</v>
      </c>
      <c r="F7736" s="2" t="s">
        <v>10086</v>
      </c>
      <c r="H7736" s="2">
        <v>1E-3</v>
      </c>
      <c r="K7736" s="2" t="s">
        <v>10089</v>
      </c>
    </row>
    <row r="7737" spans="1:11" x14ac:dyDescent="0.2">
      <c r="A7737" s="2">
        <v>1936</v>
      </c>
      <c r="B7737" s="2">
        <v>13</v>
      </c>
      <c r="C7737" s="2">
        <v>97516610</v>
      </c>
      <c r="D7737" s="2">
        <v>98527335</v>
      </c>
      <c r="E7737" s="2">
        <v>3</v>
      </c>
      <c r="F7737" s="2" t="s">
        <v>10086</v>
      </c>
      <c r="H7737" s="3">
        <v>8.0000000000000004E-4</v>
      </c>
      <c r="K7737" s="2" t="s">
        <v>10088</v>
      </c>
    </row>
    <row r="7738" spans="1:11" x14ac:dyDescent="0.2">
      <c r="A7738" s="2">
        <v>1936</v>
      </c>
      <c r="B7738" s="2">
        <v>13</v>
      </c>
      <c r="C7738" s="2">
        <v>97516610</v>
      </c>
      <c r="D7738" s="2">
        <v>98527335</v>
      </c>
      <c r="E7738" s="2">
        <v>4</v>
      </c>
      <c r="F7738" s="2" t="s">
        <v>10086</v>
      </c>
      <c r="H7738" s="3">
        <v>4.0000000000000002E-4</v>
      </c>
      <c r="K7738" s="2" t="s">
        <v>10087</v>
      </c>
    </row>
    <row r="7739" spans="1:11" x14ac:dyDescent="0.2">
      <c r="A7739" s="2">
        <v>1937</v>
      </c>
      <c r="B7739" s="2">
        <v>13</v>
      </c>
      <c r="C7739" s="2">
        <v>98527336</v>
      </c>
      <c r="D7739" s="2">
        <v>99402294</v>
      </c>
      <c r="E7739" s="2">
        <v>1</v>
      </c>
      <c r="F7739" s="2" t="s">
        <v>10086</v>
      </c>
      <c r="H7739" s="2">
        <v>6.7000000000000002E-3</v>
      </c>
      <c r="K7739" s="2" t="s">
        <v>12324</v>
      </c>
    </row>
    <row r="7740" spans="1:11" x14ac:dyDescent="0.2">
      <c r="A7740" s="2">
        <v>1937</v>
      </c>
      <c r="B7740" s="2">
        <v>13</v>
      </c>
      <c r="C7740" s="2">
        <v>98527336</v>
      </c>
      <c r="D7740" s="2">
        <v>99402294</v>
      </c>
      <c r="E7740" s="2">
        <v>2</v>
      </c>
      <c r="F7740" s="2" t="s">
        <v>10086</v>
      </c>
      <c r="H7740" s="2">
        <v>1.4E-3</v>
      </c>
      <c r="K7740" s="2" t="s">
        <v>10089</v>
      </c>
    </row>
    <row r="7741" spans="1:11" x14ac:dyDescent="0.2">
      <c r="A7741" s="2">
        <v>1937</v>
      </c>
      <c r="B7741" s="2">
        <v>13</v>
      </c>
      <c r="C7741" s="2">
        <v>98527336</v>
      </c>
      <c r="D7741" s="2">
        <v>99402294</v>
      </c>
      <c r="E7741" s="2">
        <v>3</v>
      </c>
      <c r="F7741" s="2" t="s">
        <v>10086</v>
      </c>
      <c r="H7741" s="2">
        <v>1.5E-3</v>
      </c>
      <c r="K7741" s="2" t="s">
        <v>10088</v>
      </c>
    </row>
    <row r="7742" spans="1:11" x14ac:dyDescent="0.2">
      <c r="A7742" s="2">
        <v>1937</v>
      </c>
      <c r="B7742" s="2">
        <v>13</v>
      </c>
      <c r="C7742" s="2">
        <v>98527336</v>
      </c>
      <c r="D7742" s="2">
        <v>99402294</v>
      </c>
      <c r="E7742" s="2">
        <v>4</v>
      </c>
      <c r="F7742" s="2" t="s">
        <v>10086</v>
      </c>
      <c r="H7742" s="2">
        <v>1E-3</v>
      </c>
      <c r="K7742" s="2" t="s">
        <v>10087</v>
      </c>
    </row>
    <row r="7743" spans="1:11" x14ac:dyDescent="0.2">
      <c r="A7743" s="2">
        <v>1938</v>
      </c>
      <c r="B7743" s="2">
        <v>13</v>
      </c>
      <c r="C7743" s="2">
        <v>99402295</v>
      </c>
      <c r="D7743" s="2">
        <v>100470868</v>
      </c>
      <c r="E7743" s="2">
        <v>1</v>
      </c>
      <c r="F7743" s="2" t="s">
        <v>10086</v>
      </c>
      <c r="H7743" s="2">
        <v>8.6999999999999994E-3</v>
      </c>
      <c r="K7743" s="2" t="s">
        <v>10087</v>
      </c>
    </row>
    <row r="7744" spans="1:11" x14ac:dyDescent="0.2">
      <c r="A7744" s="2">
        <v>1938</v>
      </c>
      <c r="B7744" s="2">
        <v>13</v>
      </c>
      <c r="C7744" s="2">
        <v>99402295</v>
      </c>
      <c r="D7744" s="2">
        <v>100470868</v>
      </c>
      <c r="E7744" s="2">
        <v>2</v>
      </c>
      <c r="F7744" s="2" t="s">
        <v>10086</v>
      </c>
      <c r="H7744" s="3">
        <v>8.9999999999999998E-4</v>
      </c>
      <c r="K7744" s="2" t="s">
        <v>10085</v>
      </c>
    </row>
    <row r="7745" spans="1:11" x14ac:dyDescent="0.2">
      <c r="A7745" s="2">
        <v>1938</v>
      </c>
      <c r="B7745" s="2">
        <v>13</v>
      </c>
      <c r="C7745" s="2">
        <v>99402295</v>
      </c>
      <c r="D7745" s="2">
        <v>100470868</v>
      </c>
      <c r="E7745" s="2">
        <v>3</v>
      </c>
      <c r="F7745" s="2" t="s">
        <v>10086</v>
      </c>
      <c r="H7745" s="2">
        <v>1.1999999999999999E-3</v>
      </c>
      <c r="K7745" s="2" t="s">
        <v>10089</v>
      </c>
    </row>
    <row r="7746" spans="1:11" x14ac:dyDescent="0.2">
      <c r="A7746" s="2">
        <v>1938</v>
      </c>
      <c r="B7746" s="2">
        <v>13</v>
      </c>
      <c r="C7746" s="2">
        <v>99402295</v>
      </c>
      <c r="D7746" s="2">
        <v>100470868</v>
      </c>
      <c r="E7746" s="2">
        <v>4</v>
      </c>
      <c r="F7746" s="2" t="s">
        <v>10086</v>
      </c>
      <c r="H7746" s="3">
        <v>4.0000000000000002E-4</v>
      </c>
      <c r="K7746" s="2" t="s">
        <v>10088</v>
      </c>
    </row>
    <row r="7747" spans="1:11" x14ac:dyDescent="0.2">
      <c r="A7747" s="2">
        <v>1939</v>
      </c>
      <c r="B7747" s="2">
        <v>13</v>
      </c>
      <c r="C7747" s="2">
        <v>100470869</v>
      </c>
      <c r="D7747" s="2">
        <v>101573736</v>
      </c>
      <c r="E7747" s="2">
        <v>1</v>
      </c>
      <c r="F7747" s="2" t="s">
        <v>10086</v>
      </c>
      <c r="H7747" s="2">
        <v>1.2999999999999999E-3</v>
      </c>
      <c r="K7747" s="2" t="s">
        <v>10087</v>
      </c>
    </row>
    <row r="7748" spans="1:11" x14ac:dyDescent="0.2">
      <c r="A7748" s="2">
        <v>1939</v>
      </c>
      <c r="B7748" s="2">
        <v>13</v>
      </c>
      <c r="C7748" s="2">
        <v>100470869</v>
      </c>
      <c r="D7748" s="2">
        <v>101573736</v>
      </c>
      <c r="E7748" s="2">
        <v>2</v>
      </c>
      <c r="F7748" s="2" t="s">
        <v>10086</v>
      </c>
      <c r="H7748" s="2">
        <v>2.0999999999999999E-3</v>
      </c>
      <c r="K7748" s="2" t="s">
        <v>12324</v>
      </c>
    </row>
    <row r="7749" spans="1:11" x14ac:dyDescent="0.2">
      <c r="A7749" s="2">
        <v>1939</v>
      </c>
      <c r="B7749" s="2">
        <v>13</v>
      </c>
      <c r="C7749" s="2">
        <v>100470869</v>
      </c>
      <c r="D7749" s="2">
        <v>101573736</v>
      </c>
      <c r="E7749" s="2">
        <v>3</v>
      </c>
      <c r="F7749" s="2" t="s">
        <v>10086</v>
      </c>
      <c r="H7749" s="2">
        <v>1E-3</v>
      </c>
      <c r="K7749" s="2" t="s">
        <v>10088</v>
      </c>
    </row>
    <row r="7750" spans="1:11" x14ac:dyDescent="0.2">
      <c r="A7750" s="2">
        <v>1939</v>
      </c>
      <c r="B7750" s="2">
        <v>13</v>
      </c>
      <c r="C7750" s="2">
        <v>100470869</v>
      </c>
      <c r="D7750" s="2">
        <v>101573736</v>
      </c>
      <c r="E7750" s="2">
        <v>4</v>
      </c>
      <c r="F7750" s="2" t="s">
        <v>10086</v>
      </c>
      <c r="H7750" s="3">
        <v>8.9999999999999998E-4</v>
      </c>
      <c r="K7750" s="2" t="s">
        <v>10089</v>
      </c>
    </row>
    <row r="7751" spans="1:11" x14ac:dyDescent="0.2">
      <c r="A7751" s="2">
        <v>1940</v>
      </c>
      <c r="B7751" s="2">
        <v>13</v>
      </c>
      <c r="C7751" s="2">
        <v>101573737</v>
      </c>
      <c r="D7751" s="2">
        <v>103050417</v>
      </c>
      <c r="E7751" s="2">
        <v>1</v>
      </c>
      <c r="F7751" s="2" t="s">
        <v>10086</v>
      </c>
      <c r="H7751" s="2">
        <v>2.2000000000000001E-3</v>
      </c>
      <c r="K7751" s="2" t="s">
        <v>10085</v>
      </c>
    </row>
    <row r="7752" spans="1:11" x14ac:dyDescent="0.2">
      <c r="A7752" s="2">
        <v>1940</v>
      </c>
      <c r="B7752" s="2">
        <v>13</v>
      </c>
      <c r="C7752" s="2">
        <v>101573737</v>
      </c>
      <c r="D7752" s="2">
        <v>103050417</v>
      </c>
      <c r="E7752" s="2">
        <v>2</v>
      </c>
      <c r="F7752" s="2" t="s">
        <v>10086</v>
      </c>
      <c r="H7752" s="2">
        <v>1.6000000000000001E-3</v>
      </c>
      <c r="K7752" s="2" t="s">
        <v>10087</v>
      </c>
    </row>
    <row r="7753" spans="1:11" x14ac:dyDescent="0.2">
      <c r="A7753" s="2">
        <v>1940</v>
      </c>
      <c r="B7753" s="2">
        <v>13</v>
      </c>
      <c r="C7753" s="2">
        <v>101573737</v>
      </c>
      <c r="D7753" s="2">
        <v>103050417</v>
      </c>
      <c r="E7753" s="2">
        <v>3</v>
      </c>
      <c r="F7753" s="2" t="s">
        <v>10086</v>
      </c>
      <c r="H7753" s="2">
        <v>1.6000000000000001E-3</v>
      </c>
      <c r="K7753" s="2" t="s">
        <v>10089</v>
      </c>
    </row>
    <row r="7754" spans="1:11" x14ac:dyDescent="0.2">
      <c r="A7754" s="2">
        <v>1940</v>
      </c>
      <c r="B7754" s="2">
        <v>13</v>
      </c>
      <c r="C7754" s="2">
        <v>101573737</v>
      </c>
      <c r="D7754" s="2">
        <v>103050417</v>
      </c>
      <c r="E7754" s="2">
        <v>4</v>
      </c>
      <c r="F7754" s="2" t="s">
        <v>10086</v>
      </c>
      <c r="H7754" s="3">
        <v>5.9999999999999995E-4</v>
      </c>
      <c r="K7754" s="2" t="s">
        <v>10088</v>
      </c>
    </row>
    <row r="7755" spans="1:11" x14ac:dyDescent="0.2">
      <c r="A7755" s="2">
        <v>1941</v>
      </c>
      <c r="B7755" s="2">
        <v>13</v>
      </c>
      <c r="C7755" s="2">
        <v>103050418</v>
      </c>
      <c r="D7755" s="2">
        <v>104378435</v>
      </c>
      <c r="E7755" s="2">
        <v>1</v>
      </c>
      <c r="F7755" s="2" t="s">
        <v>10086</v>
      </c>
      <c r="H7755" s="2">
        <v>4.4999999999999997E-3</v>
      </c>
      <c r="K7755" s="2" t="s">
        <v>10088</v>
      </c>
    </row>
    <row r="7756" spans="1:11" x14ac:dyDescent="0.2">
      <c r="A7756" s="2">
        <v>1941</v>
      </c>
      <c r="B7756" s="2">
        <v>13</v>
      </c>
      <c r="C7756" s="2">
        <v>103050418</v>
      </c>
      <c r="D7756" s="2">
        <v>104378435</v>
      </c>
      <c r="E7756" s="2">
        <v>2</v>
      </c>
      <c r="F7756" s="2" t="s">
        <v>10086</v>
      </c>
      <c r="H7756" s="2">
        <v>1.8E-3</v>
      </c>
      <c r="K7756" s="2" t="s">
        <v>10087</v>
      </c>
    </row>
    <row r="7757" spans="1:11" x14ac:dyDescent="0.2">
      <c r="A7757" s="2">
        <v>1941</v>
      </c>
      <c r="B7757" s="2">
        <v>13</v>
      </c>
      <c r="C7757" s="2">
        <v>103050418</v>
      </c>
      <c r="D7757" s="2">
        <v>104378435</v>
      </c>
      <c r="E7757" s="2">
        <v>3</v>
      </c>
      <c r="F7757" s="2" t="s">
        <v>10086</v>
      </c>
      <c r="H7757" s="2">
        <v>1.5E-3</v>
      </c>
      <c r="K7757" s="2" t="s">
        <v>10089</v>
      </c>
    </row>
    <row r="7758" spans="1:11" x14ac:dyDescent="0.2">
      <c r="A7758" s="2">
        <v>1941</v>
      </c>
      <c r="B7758" s="2">
        <v>13</v>
      </c>
      <c r="C7758" s="2">
        <v>103050418</v>
      </c>
      <c r="D7758" s="2">
        <v>104378435</v>
      </c>
      <c r="E7758" s="2">
        <v>4</v>
      </c>
      <c r="F7758" s="2" t="s">
        <v>10086</v>
      </c>
      <c r="H7758" s="3">
        <v>5.9999999999999995E-4</v>
      </c>
      <c r="K7758" s="2" t="s">
        <v>10085</v>
      </c>
    </row>
    <row r="7759" spans="1:11" x14ac:dyDescent="0.2">
      <c r="A7759" s="2">
        <v>1942</v>
      </c>
      <c r="B7759" s="2">
        <v>13</v>
      </c>
      <c r="C7759" s="2">
        <v>104378436</v>
      </c>
      <c r="D7759" s="2">
        <v>105672500</v>
      </c>
      <c r="E7759" s="2">
        <v>1</v>
      </c>
      <c r="F7759" s="2" t="s">
        <v>10086</v>
      </c>
      <c r="H7759" s="2">
        <v>1.4E-3</v>
      </c>
      <c r="K7759" s="2" t="s">
        <v>10085</v>
      </c>
    </row>
    <row r="7760" spans="1:11" x14ac:dyDescent="0.2">
      <c r="A7760" s="2">
        <v>1942</v>
      </c>
      <c r="B7760" s="2">
        <v>13</v>
      </c>
      <c r="C7760" s="2">
        <v>104378436</v>
      </c>
      <c r="D7760" s="2">
        <v>105672500</v>
      </c>
      <c r="E7760" s="2">
        <v>2</v>
      </c>
      <c r="F7760" s="2" t="s">
        <v>10086</v>
      </c>
      <c r="H7760" s="2">
        <v>1.4E-3</v>
      </c>
      <c r="K7760" s="2" t="s">
        <v>10087</v>
      </c>
    </row>
    <row r="7761" spans="1:11" x14ac:dyDescent="0.2">
      <c r="A7761" s="2">
        <v>1942</v>
      </c>
      <c r="B7761" s="2">
        <v>13</v>
      </c>
      <c r="C7761" s="2">
        <v>104378436</v>
      </c>
      <c r="D7761" s="2">
        <v>105672500</v>
      </c>
      <c r="E7761" s="2">
        <v>3</v>
      </c>
      <c r="F7761" s="2" t="s">
        <v>10086</v>
      </c>
      <c r="H7761" s="2">
        <v>1.4E-3</v>
      </c>
      <c r="K7761" s="2" t="s">
        <v>10089</v>
      </c>
    </row>
    <row r="7762" spans="1:11" x14ac:dyDescent="0.2">
      <c r="A7762" s="2">
        <v>1942</v>
      </c>
      <c r="B7762" s="2">
        <v>13</v>
      </c>
      <c r="C7762" s="2">
        <v>104378436</v>
      </c>
      <c r="D7762" s="2">
        <v>105672500</v>
      </c>
      <c r="E7762" s="2">
        <v>4</v>
      </c>
      <c r="F7762" s="2" t="s">
        <v>10086</v>
      </c>
      <c r="H7762" s="3">
        <v>6.9999999999999999E-4</v>
      </c>
      <c r="K7762" s="2" t="s">
        <v>10088</v>
      </c>
    </row>
    <row r="7763" spans="1:11" x14ac:dyDescent="0.2">
      <c r="A7763" s="2">
        <v>1943</v>
      </c>
      <c r="B7763" s="2">
        <v>13</v>
      </c>
      <c r="C7763" s="2">
        <v>105672501</v>
      </c>
      <c r="D7763" s="2">
        <v>106313847</v>
      </c>
      <c r="E7763" s="2">
        <v>1</v>
      </c>
      <c r="F7763" s="2" t="s">
        <v>10086</v>
      </c>
      <c r="H7763" s="2">
        <v>2.2000000000000001E-3</v>
      </c>
      <c r="K7763" s="2" t="s">
        <v>10085</v>
      </c>
    </row>
    <row r="7764" spans="1:11" x14ac:dyDescent="0.2">
      <c r="A7764" s="2">
        <v>1943</v>
      </c>
      <c r="B7764" s="2">
        <v>13</v>
      </c>
      <c r="C7764" s="2">
        <v>105672501</v>
      </c>
      <c r="D7764" s="2">
        <v>106313847</v>
      </c>
      <c r="E7764" s="2">
        <v>2</v>
      </c>
      <c r="F7764" s="2" t="s">
        <v>10086</v>
      </c>
      <c r="H7764" s="2">
        <v>1.6999999999999999E-3</v>
      </c>
      <c r="K7764" s="2" t="s">
        <v>10087</v>
      </c>
    </row>
    <row r="7765" spans="1:11" x14ac:dyDescent="0.2">
      <c r="A7765" s="2">
        <v>1943</v>
      </c>
      <c r="B7765" s="2">
        <v>13</v>
      </c>
      <c r="C7765" s="2">
        <v>105672501</v>
      </c>
      <c r="D7765" s="2">
        <v>106313847</v>
      </c>
      <c r="E7765" s="2">
        <v>3</v>
      </c>
      <c r="F7765" s="2" t="s">
        <v>10086</v>
      </c>
      <c r="H7765" s="2">
        <v>3.8999999999999998E-3</v>
      </c>
      <c r="K7765" s="2" t="s">
        <v>10089</v>
      </c>
    </row>
    <row r="7766" spans="1:11" x14ac:dyDescent="0.2">
      <c r="A7766" s="2">
        <v>1943</v>
      </c>
      <c r="B7766" s="2">
        <v>13</v>
      </c>
      <c r="C7766" s="2">
        <v>105672501</v>
      </c>
      <c r="D7766" s="2">
        <v>106313847</v>
      </c>
      <c r="E7766" s="2">
        <v>4</v>
      </c>
      <c r="F7766" s="2" t="s">
        <v>10086</v>
      </c>
      <c r="H7766" s="3">
        <v>6.9999999999999999E-4</v>
      </c>
      <c r="K7766" s="2" t="s">
        <v>10088</v>
      </c>
    </row>
    <row r="7767" spans="1:11" x14ac:dyDescent="0.2">
      <c r="A7767" s="2">
        <v>1944</v>
      </c>
      <c r="B7767" s="2">
        <v>13</v>
      </c>
      <c r="C7767" s="2">
        <v>106313848</v>
      </c>
      <c r="D7767" s="2">
        <v>107037864</v>
      </c>
      <c r="E7767" s="2">
        <v>1</v>
      </c>
      <c r="F7767" s="2" t="s">
        <v>10086</v>
      </c>
      <c r="H7767" s="2">
        <v>1.2999999999999999E-3</v>
      </c>
      <c r="K7767" s="2" t="s">
        <v>10088</v>
      </c>
    </row>
    <row r="7768" spans="1:11" x14ac:dyDescent="0.2">
      <c r="A7768" s="2">
        <v>1944</v>
      </c>
      <c r="B7768" s="2">
        <v>13</v>
      </c>
      <c r="C7768" s="2">
        <v>106313848</v>
      </c>
      <c r="D7768" s="2">
        <v>107037864</v>
      </c>
      <c r="E7768" s="2">
        <v>2</v>
      </c>
      <c r="F7768" s="2" t="s">
        <v>10086</v>
      </c>
      <c r="H7768" s="2">
        <v>1E-3</v>
      </c>
      <c r="K7768" s="2" t="s">
        <v>10089</v>
      </c>
    </row>
    <row r="7769" spans="1:11" x14ac:dyDescent="0.2">
      <c r="A7769" s="2">
        <v>1944</v>
      </c>
      <c r="B7769" s="2">
        <v>13</v>
      </c>
      <c r="C7769" s="2">
        <v>106313848</v>
      </c>
      <c r="D7769" s="2">
        <v>107037864</v>
      </c>
      <c r="E7769" s="2">
        <v>3</v>
      </c>
      <c r="F7769" s="2" t="s">
        <v>10086</v>
      </c>
      <c r="H7769" s="3">
        <v>8.0000000000000004E-4</v>
      </c>
      <c r="K7769" s="2" t="s">
        <v>10087</v>
      </c>
    </row>
    <row r="7770" spans="1:11" x14ac:dyDescent="0.2">
      <c r="A7770" s="2">
        <v>1944</v>
      </c>
      <c r="B7770" s="2">
        <v>13</v>
      </c>
      <c r="C7770" s="2">
        <v>106313848</v>
      </c>
      <c r="D7770" s="2">
        <v>107037864</v>
      </c>
      <c r="E7770" s="2">
        <v>4</v>
      </c>
      <c r="F7770" s="2" t="s">
        <v>10086</v>
      </c>
      <c r="H7770" s="3">
        <v>2.9999999999999997E-4</v>
      </c>
      <c r="K7770" s="2" t="s">
        <v>10085</v>
      </c>
    </row>
    <row r="7771" spans="1:11" x14ac:dyDescent="0.2">
      <c r="A7771" s="2">
        <v>1945</v>
      </c>
      <c r="B7771" s="2">
        <v>13</v>
      </c>
      <c r="C7771" s="2">
        <v>107037865</v>
      </c>
      <c r="D7771" s="2">
        <v>108521978</v>
      </c>
      <c r="E7771" s="2">
        <v>1</v>
      </c>
      <c r="F7771" s="2" t="s">
        <v>10086</v>
      </c>
      <c r="H7771" s="2">
        <v>1.9E-3</v>
      </c>
      <c r="K7771" s="2" t="s">
        <v>10085</v>
      </c>
    </row>
    <row r="7772" spans="1:11" x14ac:dyDescent="0.2">
      <c r="A7772" s="2">
        <v>1945</v>
      </c>
      <c r="B7772" s="2">
        <v>13</v>
      </c>
      <c r="C7772" s="2">
        <v>107037865</v>
      </c>
      <c r="D7772" s="2">
        <v>108521978</v>
      </c>
      <c r="E7772" s="2">
        <v>2</v>
      </c>
      <c r="F7772" s="2" t="s">
        <v>10086</v>
      </c>
      <c r="H7772" s="2">
        <v>2.3999999999999998E-3</v>
      </c>
      <c r="K7772" s="2" t="s">
        <v>10087</v>
      </c>
    </row>
    <row r="7773" spans="1:11" x14ac:dyDescent="0.2">
      <c r="A7773" s="2">
        <v>1945</v>
      </c>
      <c r="B7773" s="2">
        <v>13</v>
      </c>
      <c r="C7773" s="2">
        <v>107037865</v>
      </c>
      <c r="D7773" s="2">
        <v>108521978</v>
      </c>
      <c r="E7773" s="2">
        <v>3</v>
      </c>
      <c r="F7773" s="2" t="s">
        <v>10086</v>
      </c>
      <c r="H7773" s="2">
        <v>1.6999999999999999E-3</v>
      </c>
      <c r="K7773" s="2" t="s">
        <v>10089</v>
      </c>
    </row>
    <row r="7774" spans="1:11" x14ac:dyDescent="0.2">
      <c r="A7774" s="2">
        <v>1945</v>
      </c>
      <c r="B7774" s="2">
        <v>13</v>
      </c>
      <c r="C7774" s="2">
        <v>107037865</v>
      </c>
      <c r="D7774" s="2">
        <v>108521978</v>
      </c>
      <c r="E7774" s="2">
        <v>4</v>
      </c>
      <c r="F7774" s="2" t="s">
        <v>10086</v>
      </c>
      <c r="H7774" s="3">
        <v>8.9999999999999998E-4</v>
      </c>
      <c r="K7774" s="2" t="s">
        <v>12324</v>
      </c>
    </row>
    <row r="7775" spans="1:11" x14ac:dyDescent="0.2">
      <c r="A7775" s="2">
        <v>1946</v>
      </c>
      <c r="B7775" s="2">
        <v>13</v>
      </c>
      <c r="C7775" s="2">
        <v>108521979</v>
      </c>
      <c r="D7775" s="2">
        <v>109156765</v>
      </c>
      <c r="E7775" s="2">
        <v>1</v>
      </c>
      <c r="F7775" s="2" t="s">
        <v>10086</v>
      </c>
      <c r="H7775" s="2">
        <v>1.2999999999999999E-3</v>
      </c>
      <c r="K7775" s="2" t="s">
        <v>10085</v>
      </c>
    </row>
    <row r="7776" spans="1:11" x14ac:dyDescent="0.2">
      <c r="A7776" s="2">
        <v>1946</v>
      </c>
      <c r="B7776" s="2">
        <v>13</v>
      </c>
      <c r="C7776" s="2">
        <v>108521979</v>
      </c>
      <c r="D7776" s="2">
        <v>109156765</v>
      </c>
      <c r="E7776" s="2">
        <v>2</v>
      </c>
      <c r="F7776" s="2" t="s">
        <v>10086</v>
      </c>
      <c r="H7776" s="2">
        <v>1E-3</v>
      </c>
      <c r="K7776" s="2" t="s">
        <v>10088</v>
      </c>
    </row>
    <row r="7777" spans="1:11" x14ac:dyDescent="0.2">
      <c r="A7777" s="2">
        <v>1946</v>
      </c>
      <c r="B7777" s="2">
        <v>13</v>
      </c>
      <c r="C7777" s="2">
        <v>108521979</v>
      </c>
      <c r="D7777" s="2">
        <v>109156765</v>
      </c>
      <c r="E7777" s="2">
        <v>3</v>
      </c>
      <c r="F7777" s="2" t="s">
        <v>10086</v>
      </c>
      <c r="H7777" s="3">
        <v>6.9999999999999999E-4</v>
      </c>
      <c r="K7777" s="2" t="s">
        <v>10087</v>
      </c>
    </row>
    <row r="7778" spans="1:11" x14ac:dyDescent="0.2">
      <c r="A7778" s="2">
        <v>1946</v>
      </c>
      <c r="B7778" s="2">
        <v>13</v>
      </c>
      <c r="C7778" s="2">
        <v>108521979</v>
      </c>
      <c r="D7778" s="2">
        <v>109156765</v>
      </c>
      <c r="E7778" s="2">
        <v>4</v>
      </c>
      <c r="F7778" s="2" t="s">
        <v>10086</v>
      </c>
      <c r="H7778" s="3">
        <v>2.9999999999999997E-4</v>
      </c>
      <c r="K7778" s="2" t="s">
        <v>10089</v>
      </c>
    </row>
    <row r="7779" spans="1:11" x14ac:dyDescent="0.2">
      <c r="A7779" s="2">
        <v>1947</v>
      </c>
      <c r="B7779" s="2">
        <v>13</v>
      </c>
      <c r="C7779" s="2">
        <v>109156766</v>
      </c>
      <c r="D7779" s="2">
        <v>109813576</v>
      </c>
      <c r="E7779" s="2">
        <v>1</v>
      </c>
      <c r="F7779" s="2" t="s">
        <v>10086</v>
      </c>
      <c r="H7779" s="2">
        <v>1.6000000000000001E-3</v>
      </c>
      <c r="K7779" s="2" t="s">
        <v>10087</v>
      </c>
    </row>
    <row r="7780" spans="1:11" x14ac:dyDescent="0.2">
      <c r="A7780" s="2">
        <v>1947</v>
      </c>
      <c r="B7780" s="2">
        <v>13</v>
      </c>
      <c r="C7780" s="2">
        <v>109156766</v>
      </c>
      <c r="D7780" s="2">
        <v>109813576</v>
      </c>
      <c r="E7780" s="2">
        <v>2</v>
      </c>
      <c r="F7780" s="2" t="s">
        <v>10086</v>
      </c>
      <c r="H7780" s="2">
        <v>1.4E-3</v>
      </c>
      <c r="K7780" s="2" t="s">
        <v>10088</v>
      </c>
    </row>
    <row r="7781" spans="1:11" x14ac:dyDescent="0.2">
      <c r="A7781" s="2">
        <v>1947</v>
      </c>
      <c r="B7781" s="2">
        <v>13</v>
      </c>
      <c r="C7781" s="2">
        <v>109156766</v>
      </c>
      <c r="D7781" s="2">
        <v>109813576</v>
      </c>
      <c r="E7781" s="2">
        <v>3</v>
      </c>
      <c r="F7781" s="2" t="s">
        <v>10086</v>
      </c>
      <c r="H7781" s="2">
        <v>1E-3</v>
      </c>
      <c r="K7781" s="2" t="s">
        <v>10089</v>
      </c>
    </row>
    <row r="7782" spans="1:11" x14ac:dyDescent="0.2">
      <c r="A7782" s="2">
        <v>1947</v>
      </c>
      <c r="B7782" s="2">
        <v>13</v>
      </c>
      <c r="C7782" s="2">
        <v>109156766</v>
      </c>
      <c r="D7782" s="2">
        <v>109813576</v>
      </c>
      <c r="E7782" s="2">
        <v>4</v>
      </c>
      <c r="F7782" s="2" t="s">
        <v>10086</v>
      </c>
      <c r="H7782" s="3">
        <v>2.9999999999999997E-4</v>
      </c>
      <c r="K7782" s="2" t="s">
        <v>10085</v>
      </c>
    </row>
    <row r="7783" spans="1:11" x14ac:dyDescent="0.2">
      <c r="A7783" s="2">
        <v>1948</v>
      </c>
      <c r="B7783" s="2">
        <v>13</v>
      </c>
      <c r="C7783" s="2">
        <v>109813577</v>
      </c>
      <c r="D7783" s="2">
        <v>110995432</v>
      </c>
      <c r="E7783" s="2">
        <v>1</v>
      </c>
      <c r="F7783" s="2" t="s">
        <v>10086</v>
      </c>
      <c r="H7783" s="2">
        <v>4.4999999999999997E-3</v>
      </c>
      <c r="K7783" s="2" t="s">
        <v>10087</v>
      </c>
    </row>
    <row r="7784" spans="1:11" x14ac:dyDescent="0.2">
      <c r="A7784" s="2">
        <v>1948</v>
      </c>
      <c r="B7784" s="2">
        <v>13</v>
      </c>
      <c r="C7784" s="2">
        <v>109813577</v>
      </c>
      <c r="D7784" s="2">
        <v>110995432</v>
      </c>
      <c r="E7784" s="2">
        <v>2</v>
      </c>
      <c r="F7784" s="2" t="s">
        <v>10086</v>
      </c>
      <c r="H7784" s="2">
        <v>1.6999999999999999E-3</v>
      </c>
      <c r="K7784" s="2" t="s">
        <v>10089</v>
      </c>
    </row>
    <row r="7785" spans="1:11" x14ac:dyDescent="0.2">
      <c r="A7785" s="2">
        <v>1948</v>
      </c>
      <c r="B7785" s="2">
        <v>13</v>
      </c>
      <c r="C7785" s="2">
        <v>109813577</v>
      </c>
      <c r="D7785" s="2">
        <v>110995432</v>
      </c>
      <c r="E7785" s="2">
        <v>3</v>
      </c>
      <c r="F7785" s="2" t="s">
        <v>10086</v>
      </c>
      <c r="H7785" s="2">
        <v>2.0999999999999999E-3</v>
      </c>
      <c r="K7785" s="2" t="s">
        <v>12324</v>
      </c>
    </row>
    <row r="7786" spans="1:11" x14ac:dyDescent="0.2">
      <c r="A7786" s="2">
        <v>1948</v>
      </c>
      <c r="B7786" s="2">
        <v>13</v>
      </c>
      <c r="C7786" s="2">
        <v>109813577</v>
      </c>
      <c r="D7786" s="2">
        <v>110995432</v>
      </c>
      <c r="E7786" s="2">
        <v>4</v>
      </c>
      <c r="F7786" s="2" t="s">
        <v>10086</v>
      </c>
      <c r="H7786" s="2">
        <v>1.5E-3</v>
      </c>
      <c r="K7786" s="2" t="s">
        <v>10088</v>
      </c>
    </row>
    <row r="7787" spans="1:11" x14ac:dyDescent="0.2">
      <c r="A7787" s="2">
        <v>1949</v>
      </c>
      <c r="B7787" s="2">
        <v>13</v>
      </c>
      <c r="C7787" s="2">
        <v>110995433</v>
      </c>
      <c r="D7787" s="2">
        <v>111621244</v>
      </c>
      <c r="E7787" s="2">
        <v>1</v>
      </c>
      <c r="F7787" s="2" t="s">
        <v>10086</v>
      </c>
      <c r="H7787" s="2">
        <v>1.2999999999999999E-3</v>
      </c>
      <c r="K7787" s="2" t="s">
        <v>10087</v>
      </c>
    </row>
    <row r="7788" spans="1:11" x14ac:dyDescent="0.2">
      <c r="A7788" s="2">
        <v>1949</v>
      </c>
      <c r="B7788" s="2">
        <v>13</v>
      </c>
      <c r="C7788" s="2">
        <v>110995433</v>
      </c>
      <c r="D7788" s="2">
        <v>111621244</v>
      </c>
      <c r="E7788" s="2">
        <v>2</v>
      </c>
      <c r="F7788" s="2" t="s">
        <v>10086</v>
      </c>
      <c r="H7788" s="2">
        <v>1E-3</v>
      </c>
      <c r="K7788" s="2" t="s">
        <v>10085</v>
      </c>
    </row>
    <row r="7789" spans="1:11" x14ac:dyDescent="0.2">
      <c r="A7789" s="2">
        <v>1949</v>
      </c>
      <c r="B7789" s="2">
        <v>13</v>
      </c>
      <c r="C7789" s="2">
        <v>110995433</v>
      </c>
      <c r="D7789" s="2">
        <v>111621244</v>
      </c>
      <c r="E7789" s="2">
        <v>3</v>
      </c>
      <c r="F7789" s="2" t="s">
        <v>10086</v>
      </c>
      <c r="H7789" s="3">
        <v>6.9999999999999999E-4</v>
      </c>
      <c r="K7789" s="2" t="s">
        <v>10088</v>
      </c>
    </row>
    <row r="7790" spans="1:11" x14ac:dyDescent="0.2">
      <c r="A7790" s="2">
        <v>1949</v>
      </c>
      <c r="B7790" s="2">
        <v>13</v>
      </c>
      <c r="C7790" s="2">
        <v>110995433</v>
      </c>
      <c r="D7790" s="2">
        <v>111621244</v>
      </c>
      <c r="E7790" s="2">
        <v>4</v>
      </c>
      <c r="F7790" s="2" t="s">
        <v>10086</v>
      </c>
      <c r="H7790" s="3">
        <v>5.9999999999999995E-4</v>
      </c>
      <c r="K7790" s="2" t="s">
        <v>12324</v>
      </c>
    </row>
    <row r="7791" spans="1:11" x14ac:dyDescent="0.2">
      <c r="A7791" s="2">
        <v>1950</v>
      </c>
      <c r="B7791" s="2">
        <v>13</v>
      </c>
      <c r="C7791" s="2">
        <v>111621245</v>
      </c>
      <c r="D7791" s="2">
        <v>112319064</v>
      </c>
      <c r="E7791" s="2">
        <v>1</v>
      </c>
      <c r="F7791" s="2" t="s">
        <v>10086</v>
      </c>
      <c r="H7791" s="2">
        <v>1.8E-3</v>
      </c>
      <c r="K7791" s="2" t="s">
        <v>10089</v>
      </c>
    </row>
    <row r="7792" spans="1:11" x14ac:dyDescent="0.2">
      <c r="A7792" s="2">
        <v>1950</v>
      </c>
      <c r="B7792" s="2">
        <v>13</v>
      </c>
      <c r="C7792" s="2">
        <v>111621245</v>
      </c>
      <c r="D7792" s="2">
        <v>112319064</v>
      </c>
      <c r="E7792" s="2">
        <v>2</v>
      </c>
      <c r="F7792" s="2" t="s">
        <v>10086</v>
      </c>
      <c r="H7792" s="2">
        <v>1.2999999999999999E-3</v>
      </c>
      <c r="K7792" s="2" t="s">
        <v>10085</v>
      </c>
    </row>
    <row r="7793" spans="1:11" x14ac:dyDescent="0.2">
      <c r="A7793" s="2">
        <v>1950</v>
      </c>
      <c r="B7793" s="2">
        <v>13</v>
      </c>
      <c r="C7793" s="2">
        <v>111621245</v>
      </c>
      <c r="D7793" s="2">
        <v>112319064</v>
      </c>
      <c r="E7793" s="2">
        <v>3</v>
      </c>
      <c r="F7793" s="2" t="s">
        <v>10086</v>
      </c>
      <c r="H7793" s="3">
        <v>8.9999999999999998E-4</v>
      </c>
      <c r="K7793" s="2" t="s">
        <v>10087</v>
      </c>
    </row>
    <row r="7794" spans="1:11" x14ac:dyDescent="0.2">
      <c r="A7794" s="2">
        <v>1950</v>
      </c>
      <c r="B7794" s="2">
        <v>13</v>
      </c>
      <c r="C7794" s="2">
        <v>111621245</v>
      </c>
      <c r="D7794" s="2">
        <v>112319064</v>
      </c>
      <c r="E7794" s="2">
        <v>4</v>
      </c>
      <c r="F7794" s="2" t="s">
        <v>10086</v>
      </c>
      <c r="H7794" s="3">
        <v>4.0000000000000002E-4</v>
      </c>
      <c r="K7794" s="2" t="s">
        <v>10088</v>
      </c>
    </row>
    <row r="7795" spans="1:11" x14ac:dyDescent="0.2">
      <c r="A7795" s="2">
        <v>1951</v>
      </c>
      <c r="B7795" s="2">
        <v>13</v>
      </c>
      <c r="C7795" s="2">
        <v>112319065</v>
      </c>
      <c r="D7795" s="2">
        <v>113573118</v>
      </c>
      <c r="E7795" s="2">
        <v>1</v>
      </c>
      <c r="F7795" s="2" t="s">
        <v>10086</v>
      </c>
      <c r="H7795" s="2">
        <v>6.4000000000000003E-3</v>
      </c>
      <c r="K7795" s="2" t="s">
        <v>10088</v>
      </c>
    </row>
    <row r="7796" spans="1:11" x14ac:dyDescent="0.2">
      <c r="A7796" s="2">
        <v>1951</v>
      </c>
      <c r="B7796" s="2">
        <v>13</v>
      </c>
      <c r="C7796" s="2">
        <v>112319065</v>
      </c>
      <c r="D7796" s="2">
        <v>113573118</v>
      </c>
      <c r="E7796" s="2">
        <v>2</v>
      </c>
      <c r="F7796" s="2" t="s">
        <v>10086</v>
      </c>
      <c r="H7796" s="2">
        <v>3.3999999999999998E-3</v>
      </c>
      <c r="K7796" s="2" t="s">
        <v>10087</v>
      </c>
    </row>
    <row r="7797" spans="1:11" x14ac:dyDescent="0.2">
      <c r="A7797" s="2">
        <v>1951</v>
      </c>
      <c r="B7797" s="2">
        <v>13</v>
      </c>
      <c r="C7797" s="2">
        <v>112319065</v>
      </c>
      <c r="D7797" s="2">
        <v>113573118</v>
      </c>
      <c r="E7797" s="2">
        <v>3</v>
      </c>
      <c r="F7797" s="2" t="s">
        <v>10086</v>
      </c>
      <c r="H7797" s="2">
        <v>1.6000000000000001E-3</v>
      </c>
      <c r="K7797" s="2" t="s">
        <v>10089</v>
      </c>
    </row>
    <row r="7798" spans="1:11" x14ac:dyDescent="0.2">
      <c r="A7798" s="2">
        <v>1951</v>
      </c>
      <c r="B7798" s="2">
        <v>13</v>
      </c>
      <c r="C7798" s="2">
        <v>112319065</v>
      </c>
      <c r="D7798" s="2">
        <v>113573118</v>
      </c>
      <c r="E7798" s="2">
        <v>4</v>
      </c>
      <c r="F7798" s="2" t="s">
        <v>10086</v>
      </c>
      <c r="H7798" s="3">
        <v>8.0000000000000004E-4</v>
      </c>
      <c r="K7798" s="2" t="s">
        <v>10085</v>
      </c>
    </row>
    <row r="7799" spans="1:11" x14ac:dyDescent="0.2">
      <c r="A7799" s="2">
        <v>1952</v>
      </c>
      <c r="B7799" s="2">
        <v>13</v>
      </c>
      <c r="C7799" s="2">
        <v>113573119</v>
      </c>
      <c r="D7799" s="2">
        <v>114302561</v>
      </c>
      <c r="E7799" s="2">
        <v>1</v>
      </c>
      <c r="F7799" s="2" t="s">
        <v>10086</v>
      </c>
      <c r="H7799" s="2">
        <v>1E-3</v>
      </c>
      <c r="K7799" s="2" t="s">
        <v>10088</v>
      </c>
    </row>
    <row r="7800" spans="1:11" x14ac:dyDescent="0.2">
      <c r="A7800" s="2">
        <v>1952</v>
      </c>
      <c r="B7800" s="2">
        <v>13</v>
      </c>
      <c r="C7800" s="2">
        <v>113573119</v>
      </c>
      <c r="D7800" s="2">
        <v>114302561</v>
      </c>
      <c r="E7800" s="2">
        <v>2</v>
      </c>
      <c r="F7800" s="2" t="s">
        <v>10086</v>
      </c>
      <c r="H7800" s="3">
        <v>6.9999999999999999E-4</v>
      </c>
      <c r="K7800" s="2" t="s">
        <v>10085</v>
      </c>
    </row>
    <row r="7801" spans="1:11" x14ac:dyDescent="0.2">
      <c r="A7801" s="2">
        <v>1952</v>
      </c>
      <c r="B7801" s="2">
        <v>13</v>
      </c>
      <c r="C7801" s="2">
        <v>113573119</v>
      </c>
      <c r="D7801" s="2">
        <v>114302561</v>
      </c>
      <c r="E7801" s="2">
        <v>3</v>
      </c>
      <c r="F7801" s="2" t="s">
        <v>10086</v>
      </c>
      <c r="H7801" s="3">
        <v>6.9999999999999999E-4</v>
      </c>
      <c r="K7801" s="2" t="s">
        <v>10087</v>
      </c>
    </row>
    <row r="7802" spans="1:11" x14ac:dyDescent="0.2">
      <c r="A7802" s="2">
        <v>1952</v>
      </c>
      <c r="B7802" s="2">
        <v>13</v>
      </c>
      <c r="C7802" s="2">
        <v>113573119</v>
      </c>
      <c r="D7802" s="2">
        <v>114302561</v>
      </c>
      <c r="E7802" s="2">
        <v>4</v>
      </c>
      <c r="F7802" s="2" t="s">
        <v>10086</v>
      </c>
      <c r="H7802" s="3">
        <v>4.0000000000000002E-4</v>
      </c>
      <c r="K7802" s="2" t="s">
        <v>10089</v>
      </c>
    </row>
    <row r="7803" spans="1:11" x14ac:dyDescent="0.2">
      <c r="A7803" s="2">
        <v>1953</v>
      </c>
      <c r="B7803" s="2">
        <v>13</v>
      </c>
      <c r="C7803" s="2">
        <v>114302562</v>
      </c>
      <c r="D7803" s="2">
        <v>115109851</v>
      </c>
      <c r="E7803" s="2">
        <v>1</v>
      </c>
      <c r="F7803" s="2" t="s">
        <v>10086</v>
      </c>
      <c r="H7803" s="3">
        <v>8.9999999999999998E-4</v>
      </c>
      <c r="K7803" s="2" t="s">
        <v>10088</v>
      </c>
    </row>
    <row r="7804" spans="1:11" x14ac:dyDescent="0.2">
      <c r="A7804" s="2">
        <v>1953</v>
      </c>
      <c r="B7804" s="2">
        <v>13</v>
      </c>
      <c r="C7804" s="2">
        <v>114302562</v>
      </c>
      <c r="D7804" s="2">
        <v>115109851</v>
      </c>
      <c r="E7804" s="2">
        <v>2</v>
      </c>
      <c r="F7804" s="2" t="s">
        <v>10086</v>
      </c>
      <c r="H7804" s="3">
        <v>8.0000000000000004E-4</v>
      </c>
      <c r="K7804" s="2" t="s">
        <v>10085</v>
      </c>
    </row>
    <row r="7805" spans="1:11" x14ac:dyDescent="0.2">
      <c r="A7805" s="2">
        <v>1953</v>
      </c>
      <c r="B7805" s="2">
        <v>13</v>
      </c>
      <c r="C7805" s="2">
        <v>114302562</v>
      </c>
      <c r="D7805" s="2">
        <v>115109851</v>
      </c>
      <c r="E7805" s="2">
        <v>3</v>
      </c>
      <c r="F7805" s="2" t="s">
        <v>10086</v>
      </c>
      <c r="H7805" s="3">
        <v>5.9999999999999995E-4</v>
      </c>
      <c r="K7805" s="2" t="s">
        <v>10087</v>
      </c>
    </row>
    <row r="7806" spans="1:11" x14ac:dyDescent="0.2">
      <c r="A7806" s="2">
        <v>1953</v>
      </c>
      <c r="B7806" s="2">
        <v>13</v>
      </c>
      <c r="C7806" s="2">
        <v>114302562</v>
      </c>
      <c r="D7806" s="2">
        <v>115109851</v>
      </c>
      <c r="E7806" s="2">
        <v>4</v>
      </c>
      <c r="F7806" s="2" t="s">
        <v>10086</v>
      </c>
      <c r="H7806" s="3">
        <v>2.9999999999999997E-4</v>
      </c>
      <c r="K7806" s="2" t="s">
        <v>10089</v>
      </c>
    </row>
    <row r="7807" spans="1:11" x14ac:dyDescent="0.2">
      <c r="A7807" s="2">
        <v>1954</v>
      </c>
      <c r="B7807" s="2">
        <v>14</v>
      </c>
      <c r="C7807" s="2">
        <v>19000059</v>
      </c>
      <c r="D7807" s="2">
        <v>20876080</v>
      </c>
      <c r="E7807" s="2">
        <v>1</v>
      </c>
      <c r="F7807" s="2" t="s">
        <v>10086</v>
      </c>
      <c r="H7807" s="2">
        <v>5.3E-3</v>
      </c>
      <c r="K7807" s="2" t="s">
        <v>10085</v>
      </c>
    </row>
    <row r="7808" spans="1:11" x14ac:dyDescent="0.2">
      <c r="A7808" s="2">
        <v>1954</v>
      </c>
      <c r="B7808" s="2">
        <v>14</v>
      </c>
      <c r="C7808" s="2">
        <v>19000059</v>
      </c>
      <c r="D7808" s="2">
        <v>20876080</v>
      </c>
      <c r="E7808" s="2">
        <v>2</v>
      </c>
      <c r="F7808" s="2" t="s">
        <v>10086</v>
      </c>
      <c r="H7808" s="2">
        <v>1.1999999999999999E-3</v>
      </c>
      <c r="K7808" s="2" t="s">
        <v>10089</v>
      </c>
    </row>
    <row r="7809" spans="1:11" x14ac:dyDescent="0.2">
      <c r="A7809" s="2">
        <v>1954</v>
      </c>
      <c r="B7809" s="2">
        <v>14</v>
      </c>
      <c r="C7809" s="2">
        <v>19000059</v>
      </c>
      <c r="D7809" s="2">
        <v>20876080</v>
      </c>
      <c r="E7809" s="2">
        <v>3</v>
      </c>
      <c r="F7809" s="2" t="s">
        <v>10086</v>
      </c>
      <c r="H7809" s="2">
        <v>1.1000000000000001E-3</v>
      </c>
      <c r="K7809" s="2" t="s">
        <v>10087</v>
      </c>
    </row>
    <row r="7810" spans="1:11" x14ac:dyDescent="0.2">
      <c r="A7810" s="2">
        <v>1954</v>
      </c>
      <c r="B7810" s="2">
        <v>14</v>
      </c>
      <c r="C7810" s="2">
        <v>19000059</v>
      </c>
      <c r="D7810" s="2">
        <v>20876080</v>
      </c>
      <c r="E7810" s="2">
        <v>4</v>
      </c>
      <c r="F7810" s="2" t="s">
        <v>10086</v>
      </c>
      <c r="H7810" s="3">
        <v>5.0000000000000001E-4</v>
      </c>
      <c r="K7810" s="2" t="s">
        <v>12324</v>
      </c>
    </row>
    <row r="7811" spans="1:11" x14ac:dyDescent="0.2">
      <c r="A7811" s="2">
        <v>1955</v>
      </c>
      <c r="B7811" s="2">
        <v>14</v>
      </c>
      <c r="C7811" s="2">
        <v>20876081</v>
      </c>
      <c r="D7811" s="2">
        <v>21982654</v>
      </c>
      <c r="E7811" s="2">
        <v>1</v>
      </c>
      <c r="F7811" s="2" t="s">
        <v>10086</v>
      </c>
      <c r="H7811" s="2">
        <v>2E-3</v>
      </c>
      <c r="K7811" s="2" t="s">
        <v>10088</v>
      </c>
    </row>
    <row r="7812" spans="1:11" x14ac:dyDescent="0.2">
      <c r="A7812" s="2">
        <v>1955</v>
      </c>
      <c r="B7812" s="2">
        <v>14</v>
      </c>
      <c r="C7812" s="2">
        <v>20876081</v>
      </c>
      <c r="D7812" s="2">
        <v>21982654</v>
      </c>
      <c r="E7812" s="2">
        <v>2</v>
      </c>
      <c r="F7812" s="2" t="s">
        <v>10086</v>
      </c>
      <c r="H7812" s="2">
        <v>1.9E-3</v>
      </c>
      <c r="K7812" s="2" t="s">
        <v>10087</v>
      </c>
    </row>
    <row r="7813" spans="1:11" x14ac:dyDescent="0.2">
      <c r="A7813" s="2">
        <v>1955</v>
      </c>
      <c r="B7813" s="2">
        <v>14</v>
      </c>
      <c r="C7813" s="2">
        <v>20876081</v>
      </c>
      <c r="D7813" s="2">
        <v>21982654</v>
      </c>
      <c r="E7813" s="2">
        <v>3</v>
      </c>
      <c r="F7813" s="2" t="s">
        <v>10086</v>
      </c>
      <c r="H7813" s="2">
        <v>1.1999999999999999E-3</v>
      </c>
      <c r="K7813" s="2" t="s">
        <v>10089</v>
      </c>
    </row>
    <row r="7814" spans="1:11" x14ac:dyDescent="0.2">
      <c r="A7814" s="2">
        <v>1955</v>
      </c>
      <c r="B7814" s="2">
        <v>14</v>
      </c>
      <c r="C7814" s="2">
        <v>20876081</v>
      </c>
      <c r="D7814" s="2">
        <v>21982654</v>
      </c>
      <c r="E7814" s="2">
        <v>4</v>
      </c>
      <c r="F7814" s="2" t="s">
        <v>10086</v>
      </c>
      <c r="H7814" s="3">
        <v>5.9999999999999995E-4</v>
      </c>
      <c r="K7814" s="2" t="s">
        <v>10085</v>
      </c>
    </row>
    <row r="7815" spans="1:11" x14ac:dyDescent="0.2">
      <c r="A7815" s="2">
        <v>1956</v>
      </c>
      <c r="B7815" s="2">
        <v>14</v>
      </c>
      <c r="C7815" s="2">
        <v>21982655</v>
      </c>
      <c r="D7815" s="2">
        <v>22760700</v>
      </c>
      <c r="E7815" s="2">
        <v>1</v>
      </c>
      <c r="F7815" s="2" t="s">
        <v>10086</v>
      </c>
      <c r="H7815" s="2">
        <v>2.98E-2</v>
      </c>
      <c r="K7815" s="2" t="s">
        <v>10089</v>
      </c>
    </row>
    <row r="7816" spans="1:11" x14ac:dyDescent="0.2">
      <c r="A7816" s="2">
        <v>1956</v>
      </c>
      <c r="B7816" s="2">
        <v>14</v>
      </c>
      <c r="C7816" s="2">
        <v>21982655</v>
      </c>
      <c r="D7816" s="2">
        <v>22760700</v>
      </c>
      <c r="E7816" s="2">
        <v>2</v>
      </c>
      <c r="F7816" s="2" t="s">
        <v>10086</v>
      </c>
      <c r="H7816" s="2">
        <v>1.1000000000000001E-3</v>
      </c>
      <c r="K7816" s="2" t="s">
        <v>10087</v>
      </c>
    </row>
    <row r="7817" spans="1:11" x14ac:dyDescent="0.2">
      <c r="A7817" s="2">
        <v>1956</v>
      </c>
      <c r="B7817" s="2">
        <v>14</v>
      </c>
      <c r="C7817" s="2">
        <v>21982655</v>
      </c>
      <c r="D7817" s="2">
        <v>22760700</v>
      </c>
      <c r="E7817" s="2">
        <v>3</v>
      </c>
      <c r="F7817" s="2" t="s">
        <v>10086</v>
      </c>
      <c r="H7817" s="2">
        <v>1.5E-3</v>
      </c>
      <c r="K7817" s="2" t="s">
        <v>12324</v>
      </c>
    </row>
    <row r="7818" spans="1:11" x14ac:dyDescent="0.2">
      <c r="A7818" s="2">
        <v>1956</v>
      </c>
      <c r="B7818" s="2">
        <v>14</v>
      </c>
      <c r="C7818" s="2">
        <v>21982655</v>
      </c>
      <c r="D7818" s="2">
        <v>22760700</v>
      </c>
      <c r="E7818" s="2">
        <v>4</v>
      </c>
      <c r="F7818" s="2" t="s">
        <v>10086</v>
      </c>
      <c r="H7818" s="3">
        <v>8.0000000000000004E-4</v>
      </c>
      <c r="K7818" s="2" t="s">
        <v>10088</v>
      </c>
    </row>
    <row r="7819" spans="1:11" x14ac:dyDescent="0.2">
      <c r="A7819" s="2">
        <v>1957</v>
      </c>
      <c r="B7819" s="2">
        <v>14</v>
      </c>
      <c r="C7819" s="2">
        <v>22760701</v>
      </c>
      <c r="D7819" s="2">
        <v>23985936</v>
      </c>
      <c r="E7819" s="2">
        <v>1</v>
      </c>
      <c r="F7819" s="2" t="s">
        <v>10086</v>
      </c>
      <c r="H7819" s="2">
        <v>3.0999999999999999E-3</v>
      </c>
      <c r="K7819" s="2" t="s">
        <v>12324</v>
      </c>
    </row>
    <row r="7820" spans="1:11" x14ac:dyDescent="0.2">
      <c r="A7820" s="2">
        <v>1957</v>
      </c>
      <c r="B7820" s="2">
        <v>14</v>
      </c>
      <c r="C7820" s="2">
        <v>22760701</v>
      </c>
      <c r="D7820" s="2">
        <v>23985936</v>
      </c>
      <c r="E7820" s="2">
        <v>2</v>
      </c>
      <c r="F7820" s="2" t="s">
        <v>10086</v>
      </c>
      <c r="H7820" s="2">
        <v>1.8E-3</v>
      </c>
      <c r="K7820" s="2" t="s">
        <v>10089</v>
      </c>
    </row>
    <row r="7821" spans="1:11" x14ac:dyDescent="0.2">
      <c r="A7821" s="2">
        <v>1957</v>
      </c>
      <c r="B7821" s="2">
        <v>14</v>
      </c>
      <c r="C7821" s="2">
        <v>22760701</v>
      </c>
      <c r="D7821" s="2">
        <v>23985936</v>
      </c>
      <c r="E7821" s="2">
        <v>3</v>
      </c>
      <c r="F7821" s="2" t="s">
        <v>10086</v>
      </c>
      <c r="H7821" s="2">
        <v>1.4E-3</v>
      </c>
      <c r="K7821" s="2" t="s">
        <v>10088</v>
      </c>
    </row>
    <row r="7822" spans="1:11" x14ac:dyDescent="0.2">
      <c r="A7822" s="2">
        <v>1957</v>
      </c>
      <c r="B7822" s="2">
        <v>14</v>
      </c>
      <c r="C7822" s="2">
        <v>22760701</v>
      </c>
      <c r="D7822" s="2">
        <v>23985936</v>
      </c>
      <c r="E7822" s="2">
        <v>4</v>
      </c>
      <c r="F7822" s="2" t="s">
        <v>10086</v>
      </c>
      <c r="H7822" s="2">
        <v>1.1999999999999999E-3</v>
      </c>
      <c r="K7822" s="2" t="s">
        <v>10085</v>
      </c>
    </row>
    <row r="7823" spans="1:11" x14ac:dyDescent="0.2">
      <c r="A7823" s="2">
        <v>1958</v>
      </c>
      <c r="B7823" s="2">
        <v>14</v>
      </c>
      <c r="C7823" s="2">
        <v>23985937</v>
      </c>
      <c r="D7823" s="2">
        <v>24906056</v>
      </c>
      <c r="E7823" s="2">
        <v>1</v>
      </c>
      <c r="F7823" s="2" t="s">
        <v>10086</v>
      </c>
      <c r="H7823" s="2">
        <v>1.9E-3</v>
      </c>
      <c r="K7823" s="2" t="s">
        <v>10089</v>
      </c>
    </row>
    <row r="7824" spans="1:11" x14ac:dyDescent="0.2">
      <c r="A7824" s="2">
        <v>1958</v>
      </c>
      <c r="B7824" s="2">
        <v>14</v>
      </c>
      <c r="C7824" s="2">
        <v>23985937</v>
      </c>
      <c r="D7824" s="2">
        <v>24906056</v>
      </c>
      <c r="E7824" s="2">
        <v>2</v>
      </c>
      <c r="F7824" s="2" t="s">
        <v>10086</v>
      </c>
      <c r="H7824" s="2">
        <v>1.2999999999999999E-3</v>
      </c>
      <c r="K7824" s="2" t="s">
        <v>10085</v>
      </c>
    </row>
    <row r="7825" spans="1:11" x14ac:dyDescent="0.2">
      <c r="A7825" s="2">
        <v>1958</v>
      </c>
      <c r="B7825" s="2">
        <v>14</v>
      </c>
      <c r="C7825" s="2">
        <v>23985937</v>
      </c>
      <c r="D7825" s="2">
        <v>24906056</v>
      </c>
      <c r="E7825" s="2">
        <v>3</v>
      </c>
      <c r="F7825" s="2" t="s">
        <v>10086</v>
      </c>
      <c r="H7825" s="2">
        <v>1.1999999999999999E-3</v>
      </c>
      <c r="K7825" s="2" t="s">
        <v>10088</v>
      </c>
    </row>
    <row r="7826" spans="1:11" x14ac:dyDescent="0.2">
      <c r="A7826" s="2">
        <v>1958</v>
      </c>
      <c r="B7826" s="2">
        <v>14</v>
      </c>
      <c r="C7826" s="2">
        <v>23985937</v>
      </c>
      <c r="D7826" s="2">
        <v>24906056</v>
      </c>
      <c r="E7826" s="2">
        <v>4</v>
      </c>
      <c r="F7826" s="2" t="s">
        <v>10086</v>
      </c>
      <c r="H7826" s="2">
        <v>1E-3</v>
      </c>
      <c r="K7826" s="2" t="s">
        <v>10087</v>
      </c>
    </row>
    <row r="7827" spans="1:11" x14ac:dyDescent="0.2">
      <c r="A7827" s="2">
        <v>1959</v>
      </c>
      <c r="B7827" s="2">
        <v>14</v>
      </c>
      <c r="C7827" s="2">
        <v>24906057</v>
      </c>
      <c r="D7827" s="2">
        <v>25585041</v>
      </c>
      <c r="E7827" s="2">
        <v>1</v>
      </c>
      <c r="F7827" s="2" t="s">
        <v>10086</v>
      </c>
      <c r="H7827" s="2">
        <v>3.0999999999999999E-3</v>
      </c>
      <c r="K7827" s="2" t="s">
        <v>10089</v>
      </c>
    </row>
    <row r="7828" spans="1:11" x14ac:dyDescent="0.2">
      <c r="A7828" s="2">
        <v>1959</v>
      </c>
      <c r="B7828" s="2">
        <v>14</v>
      </c>
      <c r="C7828" s="2">
        <v>24906057</v>
      </c>
      <c r="D7828" s="2">
        <v>25585041</v>
      </c>
      <c r="E7828" s="2">
        <v>2</v>
      </c>
      <c r="F7828" s="2" t="s">
        <v>10086</v>
      </c>
      <c r="H7828" s="2">
        <v>3.8999999999999998E-3</v>
      </c>
      <c r="K7828" s="2" t="s">
        <v>10088</v>
      </c>
    </row>
    <row r="7829" spans="1:11" x14ac:dyDescent="0.2">
      <c r="A7829" s="2">
        <v>1959</v>
      </c>
      <c r="B7829" s="2">
        <v>14</v>
      </c>
      <c r="C7829" s="2">
        <v>24906057</v>
      </c>
      <c r="D7829" s="2">
        <v>25585041</v>
      </c>
      <c r="E7829" s="2">
        <v>3</v>
      </c>
      <c r="F7829" s="2" t="s">
        <v>10086</v>
      </c>
      <c r="H7829" s="3">
        <v>6.9999999999999999E-4</v>
      </c>
      <c r="K7829" s="2" t="s">
        <v>10087</v>
      </c>
    </row>
    <row r="7830" spans="1:11" x14ac:dyDescent="0.2">
      <c r="A7830" s="2">
        <v>1959</v>
      </c>
      <c r="B7830" s="2">
        <v>14</v>
      </c>
      <c r="C7830" s="2">
        <v>24906057</v>
      </c>
      <c r="D7830" s="2">
        <v>25585041</v>
      </c>
      <c r="E7830" s="2">
        <v>4</v>
      </c>
      <c r="F7830" s="2" t="s">
        <v>10086</v>
      </c>
      <c r="H7830" s="3">
        <v>2.0000000000000001E-4</v>
      </c>
      <c r="K7830" s="2" t="s">
        <v>10085</v>
      </c>
    </row>
    <row r="7831" spans="1:11" x14ac:dyDescent="0.2">
      <c r="A7831" s="2">
        <v>1960</v>
      </c>
      <c r="B7831" s="2">
        <v>14</v>
      </c>
      <c r="C7831" s="2">
        <v>25585042</v>
      </c>
      <c r="D7831" s="2">
        <v>26395690</v>
      </c>
      <c r="E7831" s="2">
        <v>1</v>
      </c>
      <c r="F7831" s="2" t="s">
        <v>10086</v>
      </c>
      <c r="H7831" s="2">
        <v>5.5999999999999999E-3</v>
      </c>
      <c r="K7831" s="2" t="s">
        <v>10088</v>
      </c>
    </row>
    <row r="7832" spans="1:11" x14ac:dyDescent="0.2">
      <c r="A7832" s="2">
        <v>1960</v>
      </c>
      <c r="B7832" s="2">
        <v>14</v>
      </c>
      <c r="C7832" s="2">
        <v>25585042</v>
      </c>
      <c r="D7832" s="2">
        <v>26395690</v>
      </c>
      <c r="E7832" s="2">
        <v>2</v>
      </c>
      <c r="F7832" s="2" t="s">
        <v>10086</v>
      </c>
      <c r="H7832" s="2">
        <v>1.1999999999999999E-3</v>
      </c>
      <c r="K7832" s="2" t="s">
        <v>10085</v>
      </c>
    </row>
    <row r="7833" spans="1:11" x14ac:dyDescent="0.2">
      <c r="A7833" s="2">
        <v>1960</v>
      </c>
      <c r="B7833" s="2">
        <v>14</v>
      </c>
      <c r="C7833" s="2">
        <v>25585042</v>
      </c>
      <c r="D7833" s="2">
        <v>26395690</v>
      </c>
      <c r="E7833" s="2">
        <v>3</v>
      </c>
      <c r="F7833" s="2" t="s">
        <v>10086</v>
      </c>
      <c r="H7833" s="3">
        <v>8.0000000000000004E-4</v>
      </c>
      <c r="K7833" s="2" t="s">
        <v>10089</v>
      </c>
    </row>
    <row r="7834" spans="1:11" x14ac:dyDescent="0.2">
      <c r="A7834" s="2">
        <v>1960</v>
      </c>
      <c r="B7834" s="2">
        <v>14</v>
      </c>
      <c r="C7834" s="2">
        <v>25585042</v>
      </c>
      <c r="D7834" s="2">
        <v>26395690</v>
      </c>
      <c r="E7834" s="2">
        <v>4</v>
      </c>
      <c r="F7834" s="2" t="s">
        <v>10086</v>
      </c>
      <c r="H7834" s="3">
        <v>4.0000000000000002E-4</v>
      </c>
      <c r="K7834" s="2" t="s">
        <v>10087</v>
      </c>
    </row>
    <row r="7835" spans="1:11" x14ac:dyDescent="0.2">
      <c r="A7835" s="2">
        <v>1961</v>
      </c>
      <c r="B7835" s="2">
        <v>14</v>
      </c>
      <c r="C7835" s="2">
        <v>26395691</v>
      </c>
      <c r="D7835" s="2">
        <v>27720240</v>
      </c>
      <c r="E7835" s="2">
        <v>1</v>
      </c>
      <c r="F7835" s="2" t="s">
        <v>10086</v>
      </c>
      <c r="H7835" s="2">
        <v>1.1000000000000001E-3</v>
      </c>
      <c r="K7835" s="2" t="s">
        <v>10088</v>
      </c>
    </row>
    <row r="7836" spans="1:11" x14ac:dyDescent="0.2">
      <c r="A7836" s="2">
        <v>1961</v>
      </c>
      <c r="B7836" s="2">
        <v>14</v>
      </c>
      <c r="C7836" s="2">
        <v>26395691</v>
      </c>
      <c r="D7836" s="2">
        <v>27720240</v>
      </c>
      <c r="E7836" s="2">
        <v>2</v>
      </c>
      <c r="F7836" s="2" t="s">
        <v>10086</v>
      </c>
      <c r="H7836" s="2">
        <v>1.1000000000000001E-3</v>
      </c>
      <c r="K7836" s="2" t="s">
        <v>10089</v>
      </c>
    </row>
    <row r="7837" spans="1:11" x14ac:dyDescent="0.2">
      <c r="A7837" s="2">
        <v>1961</v>
      </c>
      <c r="B7837" s="2">
        <v>14</v>
      </c>
      <c r="C7837" s="2">
        <v>26395691</v>
      </c>
      <c r="D7837" s="2">
        <v>27720240</v>
      </c>
      <c r="E7837" s="2">
        <v>3</v>
      </c>
      <c r="F7837" s="2" t="s">
        <v>10086</v>
      </c>
      <c r="H7837" s="3">
        <v>8.0000000000000004E-4</v>
      </c>
      <c r="K7837" s="2" t="s">
        <v>10085</v>
      </c>
    </row>
    <row r="7838" spans="1:11" x14ac:dyDescent="0.2">
      <c r="A7838" s="2">
        <v>1961</v>
      </c>
      <c r="B7838" s="2">
        <v>14</v>
      </c>
      <c r="C7838" s="2">
        <v>26395691</v>
      </c>
      <c r="D7838" s="2">
        <v>27720240</v>
      </c>
      <c r="E7838" s="2">
        <v>4</v>
      </c>
      <c r="F7838" s="2" t="s">
        <v>10086</v>
      </c>
      <c r="H7838" s="3">
        <v>5.0000000000000001E-4</v>
      </c>
      <c r="K7838" s="2" t="s">
        <v>10087</v>
      </c>
    </row>
    <row r="7839" spans="1:11" x14ac:dyDescent="0.2">
      <c r="A7839" s="2">
        <v>1962</v>
      </c>
      <c r="B7839" s="2">
        <v>14</v>
      </c>
      <c r="C7839" s="2">
        <v>27720241</v>
      </c>
      <c r="D7839" s="2">
        <v>29029224</v>
      </c>
      <c r="E7839" s="2">
        <v>1</v>
      </c>
      <c r="F7839" s="2" t="s">
        <v>10086</v>
      </c>
      <c r="H7839" s="2">
        <v>2.8999999999999998E-3</v>
      </c>
      <c r="K7839" s="2" t="s">
        <v>10089</v>
      </c>
    </row>
    <row r="7840" spans="1:11" x14ac:dyDescent="0.2">
      <c r="A7840" s="2">
        <v>1962</v>
      </c>
      <c r="B7840" s="2">
        <v>14</v>
      </c>
      <c r="C7840" s="2">
        <v>27720241</v>
      </c>
      <c r="D7840" s="2">
        <v>29029224</v>
      </c>
      <c r="E7840" s="2">
        <v>2</v>
      </c>
      <c r="F7840" s="2" t="s">
        <v>10086</v>
      </c>
      <c r="H7840" s="2">
        <v>1.6000000000000001E-3</v>
      </c>
      <c r="K7840" s="2" t="s">
        <v>10087</v>
      </c>
    </row>
    <row r="7841" spans="1:11" x14ac:dyDescent="0.2">
      <c r="A7841" s="2">
        <v>1962</v>
      </c>
      <c r="B7841" s="2">
        <v>14</v>
      </c>
      <c r="C7841" s="2">
        <v>27720241</v>
      </c>
      <c r="D7841" s="2">
        <v>29029224</v>
      </c>
      <c r="E7841" s="2">
        <v>3</v>
      </c>
      <c r="F7841" s="2" t="s">
        <v>10086</v>
      </c>
      <c r="H7841" s="2">
        <v>1.1000000000000001E-3</v>
      </c>
      <c r="K7841" s="2" t="s">
        <v>10088</v>
      </c>
    </row>
    <row r="7842" spans="1:11" x14ac:dyDescent="0.2">
      <c r="A7842" s="2">
        <v>1962</v>
      </c>
      <c r="B7842" s="2">
        <v>14</v>
      </c>
      <c r="C7842" s="2">
        <v>27720241</v>
      </c>
      <c r="D7842" s="2">
        <v>29029224</v>
      </c>
      <c r="E7842" s="2">
        <v>4</v>
      </c>
      <c r="F7842" s="2" t="s">
        <v>10086</v>
      </c>
      <c r="H7842" s="3">
        <v>5.9999999999999995E-4</v>
      </c>
      <c r="K7842" s="2" t="s">
        <v>10085</v>
      </c>
    </row>
    <row r="7843" spans="1:11" x14ac:dyDescent="0.2">
      <c r="A7843" s="2">
        <v>1963</v>
      </c>
      <c r="B7843" s="2">
        <v>14</v>
      </c>
      <c r="C7843" s="2">
        <v>29029225</v>
      </c>
      <c r="D7843" s="2">
        <v>30831154</v>
      </c>
      <c r="E7843" s="2">
        <v>1</v>
      </c>
      <c r="F7843" s="2" t="s">
        <v>10086</v>
      </c>
      <c r="H7843" s="2">
        <v>2.5999999999999999E-3</v>
      </c>
      <c r="K7843" s="2" t="s">
        <v>10089</v>
      </c>
    </row>
    <row r="7844" spans="1:11" x14ac:dyDescent="0.2">
      <c r="A7844" s="2">
        <v>1963</v>
      </c>
      <c r="B7844" s="2">
        <v>14</v>
      </c>
      <c r="C7844" s="2">
        <v>29029225</v>
      </c>
      <c r="D7844" s="2">
        <v>30831154</v>
      </c>
      <c r="E7844" s="2">
        <v>2</v>
      </c>
      <c r="F7844" s="2" t="s">
        <v>10086</v>
      </c>
      <c r="H7844" s="2">
        <v>2.3999999999999998E-3</v>
      </c>
      <c r="K7844" s="2" t="s">
        <v>10085</v>
      </c>
    </row>
    <row r="7845" spans="1:11" x14ac:dyDescent="0.2">
      <c r="A7845" s="2">
        <v>1963</v>
      </c>
      <c r="B7845" s="2">
        <v>14</v>
      </c>
      <c r="C7845" s="2">
        <v>29029225</v>
      </c>
      <c r="D7845" s="2">
        <v>30831154</v>
      </c>
      <c r="E7845" s="2">
        <v>3</v>
      </c>
      <c r="F7845" s="2" t="s">
        <v>10086</v>
      </c>
      <c r="H7845" s="2">
        <v>1.1999999999999999E-3</v>
      </c>
      <c r="K7845" s="2" t="s">
        <v>10087</v>
      </c>
    </row>
    <row r="7846" spans="1:11" x14ac:dyDescent="0.2">
      <c r="A7846" s="2">
        <v>1963</v>
      </c>
      <c r="B7846" s="2">
        <v>14</v>
      </c>
      <c r="C7846" s="2">
        <v>29029225</v>
      </c>
      <c r="D7846" s="2">
        <v>30831154</v>
      </c>
      <c r="E7846" s="2">
        <v>4</v>
      </c>
      <c r="F7846" s="2" t="s">
        <v>10086</v>
      </c>
      <c r="H7846" s="3">
        <v>5.9999999999999995E-4</v>
      </c>
      <c r="K7846" s="2" t="s">
        <v>10088</v>
      </c>
    </row>
    <row r="7847" spans="1:11" x14ac:dyDescent="0.2">
      <c r="A7847" s="2">
        <v>1964</v>
      </c>
      <c r="B7847" s="2">
        <v>14</v>
      </c>
      <c r="C7847" s="2">
        <v>30831155</v>
      </c>
      <c r="D7847" s="2">
        <v>32382245</v>
      </c>
      <c r="E7847" s="2">
        <v>1</v>
      </c>
      <c r="F7847" s="2" t="s">
        <v>10086</v>
      </c>
      <c r="H7847" s="2">
        <v>4.1000000000000003E-3</v>
      </c>
      <c r="K7847" s="2" t="s">
        <v>10085</v>
      </c>
    </row>
    <row r="7848" spans="1:11" x14ac:dyDescent="0.2">
      <c r="A7848" s="2">
        <v>1964</v>
      </c>
      <c r="B7848" s="2">
        <v>14</v>
      </c>
      <c r="C7848" s="2">
        <v>30831155</v>
      </c>
      <c r="D7848" s="2">
        <v>32382245</v>
      </c>
      <c r="E7848" s="2">
        <v>2</v>
      </c>
      <c r="F7848" s="2" t="s">
        <v>10086</v>
      </c>
      <c r="H7848" s="2">
        <v>4.4999999999999997E-3</v>
      </c>
      <c r="K7848" s="2" t="s">
        <v>10088</v>
      </c>
    </row>
    <row r="7849" spans="1:11" x14ac:dyDescent="0.2">
      <c r="A7849" s="2">
        <v>1964</v>
      </c>
      <c r="B7849" s="2">
        <v>14</v>
      </c>
      <c r="C7849" s="2">
        <v>30831155</v>
      </c>
      <c r="D7849" s="2">
        <v>32382245</v>
      </c>
      <c r="E7849" s="2">
        <v>3</v>
      </c>
      <c r="F7849" s="2" t="s">
        <v>10086</v>
      </c>
      <c r="H7849" s="2">
        <v>1.5E-3</v>
      </c>
      <c r="K7849" s="2" t="s">
        <v>10087</v>
      </c>
    </row>
    <row r="7850" spans="1:11" x14ac:dyDescent="0.2">
      <c r="A7850" s="2">
        <v>1964</v>
      </c>
      <c r="B7850" s="2">
        <v>14</v>
      </c>
      <c r="C7850" s="2">
        <v>30831155</v>
      </c>
      <c r="D7850" s="2">
        <v>32382245</v>
      </c>
      <c r="E7850" s="2">
        <v>4</v>
      </c>
      <c r="F7850" s="2" t="s">
        <v>10086</v>
      </c>
      <c r="H7850" s="2">
        <v>1.1999999999999999E-3</v>
      </c>
      <c r="K7850" s="2" t="s">
        <v>12324</v>
      </c>
    </row>
    <row r="7851" spans="1:11" x14ac:dyDescent="0.2">
      <c r="A7851" s="2">
        <v>1965</v>
      </c>
      <c r="B7851" s="2">
        <v>14</v>
      </c>
      <c r="C7851" s="2">
        <v>32382246</v>
      </c>
      <c r="D7851" s="2">
        <v>33591113</v>
      </c>
      <c r="E7851" s="2">
        <v>1</v>
      </c>
      <c r="F7851" s="2" t="s">
        <v>10086</v>
      </c>
      <c r="H7851" s="2">
        <v>1.1999999999999999E-3</v>
      </c>
      <c r="K7851" s="2" t="s">
        <v>10088</v>
      </c>
    </row>
    <row r="7852" spans="1:11" x14ac:dyDescent="0.2">
      <c r="A7852" s="2">
        <v>1965</v>
      </c>
      <c r="B7852" s="2">
        <v>14</v>
      </c>
      <c r="C7852" s="2">
        <v>32382246</v>
      </c>
      <c r="D7852" s="2">
        <v>33591113</v>
      </c>
      <c r="E7852" s="2">
        <v>2</v>
      </c>
      <c r="F7852" s="2" t="s">
        <v>10086</v>
      </c>
      <c r="H7852" s="2">
        <v>1.2999999999999999E-3</v>
      </c>
      <c r="K7852" s="2" t="s">
        <v>10089</v>
      </c>
    </row>
    <row r="7853" spans="1:11" x14ac:dyDescent="0.2">
      <c r="A7853" s="2">
        <v>1965</v>
      </c>
      <c r="B7853" s="2">
        <v>14</v>
      </c>
      <c r="C7853" s="2">
        <v>32382246</v>
      </c>
      <c r="D7853" s="2">
        <v>33591113</v>
      </c>
      <c r="E7853" s="2">
        <v>3</v>
      </c>
      <c r="F7853" s="2" t="s">
        <v>10086</v>
      </c>
      <c r="H7853" s="3">
        <v>8.9999999999999998E-4</v>
      </c>
      <c r="K7853" s="2" t="s">
        <v>10085</v>
      </c>
    </row>
    <row r="7854" spans="1:11" x14ac:dyDescent="0.2">
      <c r="A7854" s="2">
        <v>1965</v>
      </c>
      <c r="B7854" s="2">
        <v>14</v>
      </c>
      <c r="C7854" s="2">
        <v>32382246</v>
      </c>
      <c r="D7854" s="2">
        <v>33591113</v>
      </c>
      <c r="E7854" s="2">
        <v>4</v>
      </c>
      <c r="F7854" s="2" t="s">
        <v>10086</v>
      </c>
      <c r="H7854" s="3">
        <v>6.9999999999999999E-4</v>
      </c>
      <c r="K7854" s="2" t="s">
        <v>10087</v>
      </c>
    </row>
    <row r="7855" spans="1:11" x14ac:dyDescent="0.2">
      <c r="A7855" s="2">
        <v>1966</v>
      </c>
      <c r="B7855" s="2">
        <v>14</v>
      </c>
      <c r="C7855" s="2">
        <v>33591114</v>
      </c>
      <c r="D7855" s="2">
        <v>34695195</v>
      </c>
      <c r="E7855" s="2">
        <v>1</v>
      </c>
      <c r="F7855" s="2" t="s">
        <v>10086</v>
      </c>
      <c r="H7855" s="2">
        <v>3.3E-3</v>
      </c>
      <c r="K7855" s="2" t="s">
        <v>10089</v>
      </c>
    </row>
    <row r="7856" spans="1:11" x14ac:dyDescent="0.2">
      <c r="A7856" s="2">
        <v>1966</v>
      </c>
      <c r="B7856" s="2">
        <v>14</v>
      </c>
      <c r="C7856" s="2">
        <v>33591114</v>
      </c>
      <c r="D7856" s="2">
        <v>34695195</v>
      </c>
      <c r="E7856" s="2">
        <v>2</v>
      </c>
      <c r="F7856" s="2" t="s">
        <v>10086</v>
      </c>
      <c r="H7856" s="2">
        <v>2.2000000000000001E-3</v>
      </c>
      <c r="K7856" s="2" t="s">
        <v>10088</v>
      </c>
    </row>
    <row r="7857" spans="1:11" x14ac:dyDescent="0.2">
      <c r="A7857" s="2">
        <v>1966</v>
      </c>
      <c r="B7857" s="2">
        <v>14</v>
      </c>
      <c r="C7857" s="2">
        <v>33591114</v>
      </c>
      <c r="D7857" s="2">
        <v>34695195</v>
      </c>
      <c r="E7857" s="2">
        <v>3</v>
      </c>
      <c r="F7857" s="2" t="s">
        <v>10086</v>
      </c>
      <c r="H7857" s="2">
        <v>1.4E-3</v>
      </c>
      <c r="K7857" s="2" t="s">
        <v>10087</v>
      </c>
    </row>
    <row r="7858" spans="1:11" x14ac:dyDescent="0.2">
      <c r="A7858" s="2">
        <v>1966</v>
      </c>
      <c r="B7858" s="2">
        <v>14</v>
      </c>
      <c r="C7858" s="2">
        <v>33591114</v>
      </c>
      <c r="D7858" s="2">
        <v>34695195</v>
      </c>
      <c r="E7858" s="2">
        <v>4</v>
      </c>
      <c r="F7858" s="2" t="s">
        <v>10086</v>
      </c>
      <c r="H7858" s="3">
        <v>5.0000000000000001E-4</v>
      </c>
      <c r="K7858" s="2" t="s">
        <v>10085</v>
      </c>
    </row>
    <row r="7859" spans="1:11" x14ac:dyDescent="0.2">
      <c r="A7859" s="2">
        <v>1967</v>
      </c>
      <c r="B7859" s="2">
        <v>14</v>
      </c>
      <c r="C7859" s="2">
        <v>34695196</v>
      </c>
      <c r="D7859" s="2">
        <v>35379988</v>
      </c>
      <c r="E7859" s="2">
        <v>1</v>
      </c>
      <c r="F7859" s="2" t="s">
        <v>10086</v>
      </c>
      <c r="H7859" s="2">
        <v>1E-3</v>
      </c>
      <c r="K7859" s="2" t="s">
        <v>10089</v>
      </c>
    </row>
    <row r="7860" spans="1:11" x14ac:dyDescent="0.2">
      <c r="A7860" s="2">
        <v>1967</v>
      </c>
      <c r="B7860" s="2">
        <v>14</v>
      </c>
      <c r="C7860" s="2">
        <v>34695196</v>
      </c>
      <c r="D7860" s="2">
        <v>35379988</v>
      </c>
      <c r="E7860" s="2">
        <v>2</v>
      </c>
      <c r="F7860" s="2" t="s">
        <v>10086</v>
      </c>
      <c r="H7860" s="3">
        <v>8.9999999999999998E-4</v>
      </c>
      <c r="K7860" s="2" t="s">
        <v>10085</v>
      </c>
    </row>
    <row r="7861" spans="1:11" x14ac:dyDescent="0.2">
      <c r="A7861" s="2">
        <v>1967</v>
      </c>
      <c r="B7861" s="2">
        <v>14</v>
      </c>
      <c r="C7861" s="2">
        <v>34695196</v>
      </c>
      <c r="D7861" s="2">
        <v>35379988</v>
      </c>
      <c r="E7861" s="2">
        <v>3</v>
      </c>
      <c r="F7861" s="2" t="s">
        <v>10086</v>
      </c>
      <c r="H7861" s="3">
        <v>8.0000000000000004E-4</v>
      </c>
      <c r="K7861" s="2" t="s">
        <v>10087</v>
      </c>
    </row>
    <row r="7862" spans="1:11" x14ac:dyDescent="0.2">
      <c r="A7862" s="2">
        <v>1967</v>
      </c>
      <c r="B7862" s="2">
        <v>14</v>
      </c>
      <c r="C7862" s="2">
        <v>34695196</v>
      </c>
      <c r="D7862" s="2">
        <v>35379988</v>
      </c>
      <c r="E7862" s="2">
        <v>4</v>
      </c>
      <c r="F7862" s="2" t="s">
        <v>10086</v>
      </c>
      <c r="H7862" s="3">
        <v>4.0000000000000002E-4</v>
      </c>
      <c r="K7862" s="2" t="s">
        <v>10088</v>
      </c>
    </row>
    <row r="7863" spans="1:11" x14ac:dyDescent="0.2">
      <c r="A7863" s="2">
        <v>1968</v>
      </c>
      <c r="B7863" s="2">
        <v>14</v>
      </c>
      <c r="C7863" s="2">
        <v>35379989</v>
      </c>
      <c r="D7863" s="2">
        <v>36422077</v>
      </c>
      <c r="E7863" s="2">
        <v>1</v>
      </c>
      <c r="F7863" s="2" t="s">
        <v>10086</v>
      </c>
      <c r="H7863" s="2">
        <v>2.3999999999999998E-3</v>
      </c>
      <c r="K7863" s="2" t="s">
        <v>12324</v>
      </c>
    </row>
    <row r="7864" spans="1:11" x14ac:dyDescent="0.2">
      <c r="A7864" s="2">
        <v>1968</v>
      </c>
      <c r="B7864" s="2">
        <v>14</v>
      </c>
      <c r="C7864" s="2">
        <v>35379989</v>
      </c>
      <c r="D7864" s="2">
        <v>36422077</v>
      </c>
      <c r="E7864" s="2">
        <v>2</v>
      </c>
      <c r="F7864" s="2" t="s">
        <v>10086</v>
      </c>
      <c r="H7864" s="3">
        <v>8.0000000000000004E-4</v>
      </c>
      <c r="K7864" s="2" t="s">
        <v>10085</v>
      </c>
    </row>
    <row r="7865" spans="1:11" x14ac:dyDescent="0.2">
      <c r="A7865" s="2">
        <v>1968</v>
      </c>
      <c r="B7865" s="2">
        <v>14</v>
      </c>
      <c r="C7865" s="2">
        <v>35379989</v>
      </c>
      <c r="D7865" s="2">
        <v>36422077</v>
      </c>
      <c r="E7865" s="2">
        <v>3</v>
      </c>
      <c r="F7865" s="2" t="s">
        <v>10086</v>
      </c>
      <c r="H7865" s="3">
        <v>6.9999999999999999E-4</v>
      </c>
      <c r="K7865" s="2" t="s">
        <v>10087</v>
      </c>
    </row>
    <row r="7866" spans="1:11" x14ac:dyDescent="0.2">
      <c r="A7866" s="2">
        <v>1968</v>
      </c>
      <c r="B7866" s="2">
        <v>14</v>
      </c>
      <c r="C7866" s="2">
        <v>35379989</v>
      </c>
      <c r="D7866" s="2">
        <v>36422077</v>
      </c>
      <c r="E7866" s="2">
        <v>4</v>
      </c>
      <c r="F7866" s="2" t="s">
        <v>10086</v>
      </c>
      <c r="H7866" s="3">
        <v>5.9999999999999995E-4</v>
      </c>
      <c r="K7866" s="2" t="s">
        <v>10088</v>
      </c>
    </row>
    <row r="7867" spans="1:11" x14ac:dyDescent="0.2">
      <c r="A7867" s="2">
        <v>1969</v>
      </c>
      <c r="B7867" s="2">
        <v>14</v>
      </c>
      <c r="C7867" s="2">
        <v>36422078</v>
      </c>
      <c r="D7867" s="2">
        <v>37282012</v>
      </c>
      <c r="E7867" s="2">
        <v>1</v>
      </c>
      <c r="F7867" s="2" t="s">
        <v>10086</v>
      </c>
      <c r="H7867" s="2">
        <v>1E-3</v>
      </c>
      <c r="K7867" s="2" t="s">
        <v>10088</v>
      </c>
    </row>
    <row r="7868" spans="1:11" x14ac:dyDescent="0.2">
      <c r="A7868" s="2">
        <v>1969</v>
      </c>
      <c r="B7868" s="2">
        <v>14</v>
      </c>
      <c r="C7868" s="2">
        <v>36422078</v>
      </c>
      <c r="D7868" s="2">
        <v>37282012</v>
      </c>
      <c r="E7868" s="2">
        <v>2</v>
      </c>
      <c r="F7868" s="2" t="s">
        <v>10086</v>
      </c>
      <c r="H7868" s="2">
        <v>1E-3</v>
      </c>
      <c r="K7868" s="2" t="s">
        <v>10089</v>
      </c>
    </row>
    <row r="7869" spans="1:11" x14ac:dyDescent="0.2">
      <c r="A7869" s="2">
        <v>1969</v>
      </c>
      <c r="B7869" s="2">
        <v>14</v>
      </c>
      <c r="C7869" s="2">
        <v>36422078</v>
      </c>
      <c r="D7869" s="2">
        <v>37282012</v>
      </c>
      <c r="E7869" s="2">
        <v>3</v>
      </c>
      <c r="F7869" s="2" t="s">
        <v>10086</v>
      </c>
      <c r="H7869" s="3">
        <v>5.9999999999999995E-4</v>
      </c>
      <c r="K7869" s="2" t="s">
        <v>10087</v>
      </c>
    </row>
    <row r="7870" spans="1:11" x14ac:dyDescent="0.2">
      <c r="A7870" s="2">
        <v>1969</v>
      </c>
      <c r="B7870" s="2">
        <v>14</v>
      </c>
      <c r="C7870" s="2">
        <v>36422078</v>
      </c>
      <c r="D7870" s="2">
        <v>37282012</v>
      </c>
      <c r="E7870" s="2">
        <v>4</v>
      </c>
      <c r="F7870" s="2" t="s">
        <v>10086</v>
      </c>
      <c r="H7870" s="3">
        <v>5.9999999999999995E-4</v>
      </c>
      <c r="K7870" s="2" t="s">
        <v>10085</v>
      </c>
    </row>
    <row r="7871" spans="1:11" x14ac:dyDescent="0.2">
      <c r="A7871" s="2">
        <v>1970</v>
      </c>
      <c r="B7871" s="2">
        <v>14</v>
      </c>
      <c r="C7871" s="2">
        <v>37282013</v>
      </c>
      <c r="D7871" s="2">
        <v>38722114</v>
      </c>
      <c r="E7871" s="2">
        <v>1</v>
      </c>
      <c r="F7871" s="2" t="s">
        <v>10086</v>
      </c>
      <c r="H7871" s="2">
        <v>3.0999999999999999E-3</v>
      </c>
      <c r="K7871" s="2" t="s">
        <v>10087</v>
      </c>
    </row>
    <row r="7872" spans="1:11" x14ac:dyDescent="0.2">
      <c r="A7872" s="2">
        <v>1970</v>
      </c>
      <c r="B7872" s="2">
        <v>14</v>
      </c>
      <c r="C7872" s="2">
        <v>37282013</v>
      </c>
      <c r="D7872" s="2">
        <v>38722114</v>
      </c>
      <c r="E7872" s="2">
        <v>2</v>
      </c>
      <c r="F7872" s="2" t="s">
        <v>10086</v>
      </c>
      <c r="H7872" s="2">
        <v>1.4E-3</v>
      </c>
      <c r="K7872" s="2" t="s">
        <v>10088</v>
      </c>
    </row>
    <row r="7873" spans="1:11" x14ac:dyDescent="0.2">
      <c r="A7873" s="2">
        <v>1970</v>
      </c>
      <c r="B7873" s="2">
        <v>14</v>
      </c>
      <c r="C7873" s="2">
        <v>37282013</v>
      </c>
      <c r="D7873" s="2">
        <v>38722114</v>
      </c>
      <c r="E7873" s="2">
        <v>3</v>
      </c>
      <c r="F7873" s="2" t="s">
        <v>10086</v>
      </c>
      <c r="H7873" s="2">
        <v>1.6999999999999999E-3</v>
      </c>
      <c r="K7873" s="2" t="s">
        <v>10089</v>
      </c>
    </row>
    <row r="7874" spans="1:11" x14ac:dyDescent="0.2">
      <c r="A7874" s="2">
        <v>1970</v>
      </c>
      <c r="B7874" s="2">
        <v>14</v>
      </c>
      <c r="C7874" s="2">
        <v>37282013</v>
      </c>
      <c r="D7874" s="2">
        <v>38722114</v>
      </c>
      <c r="E7874" s="2">
        <v>4</v>
      </c>
      <c r="F7874" s="2" t="s">
        <v>10086</v>
      </c>
      <c r="H7874" s="3">
        <v>8.0000000000000004E-4</v>
      </c>
      <c r="K7874" s="2" t="s">
        <v>10085</v>
      </c>
    </row>
    <row r="7875" spans="1:11" x14ac:dyDescent="0.2">
      <c r="A7875" s="2">
        <v>1971</v>
      </c>
      <c r="B7875" s="2">
        <v>14</v>
      </c>
      <c r="C7875" s="2">
        <v>38722115</v>
      </c>
      <c r="D7875" s="2">
        <v>40343754</v>
      </c>
      <c r="E7875" s="2">
        <v>1</v>
      </c>
      <c r="F7875" s="2" t="s">
        <v>10086</v>
      </c>
      <c r="H7875" s="2">
        <v>1.6999999999999999E-3</v>
      </c>
      <c r="K7875" s="2" t="s">
        <v>10088</v>
      </c>
    </row>
    <row r="7876" spans="1:11" x14ac:dyDescent="0.2">
      <c r="A7876" s="2">
        <v>1971</v>
      </c>
      <c r="B7876" s="2">
        <v>14</v>
      </c>
      <c r="C7876" s="2">
        <v>38722115</v>
      </c>
      <c r="D7876" s="2">
        <v>40343754</v>
      </c>
      <c r="E7876" s="2">
        <v>2</v>
      </c>
      <c r="F7876" s="2" t="s">
        <v>10086</v>
      </c>
      <c r="H7876" s="3">
        <v>8.9999999999999998E-4</v>
      </c>
      <c r="K7876" s="2" t="s">
        <v>10089</v>
      </c>
    </row>
    <row r="7877" spans="1:11" x14ac:dyDescent="0.2">
      <c r="A7877" s="2">
        <v>1971</v>
      </c>
      <c r="B7877" s="2">
        <v>14</v>
      </c>
      <c r="C7877" s="2">
        <v>38722115</v>
      </c>
      <c r="D7877" s="2">
        <v>40343754</v>
      </c>
      <c r="E7877" s="2">
        <v>3</v>
      </c>
      <c r="F7877" s="2" t="s">
        <v>10086</v>
      </c>
      <c r="H7877" s="3">
        <v>6.9999999999999999E-4</v>
      </c>
      <c r="K7877" s="2" t="s">
        <v>10085</v>
      </c>
    </row>
    <row r="7878" spans="1:11" x14ac:dyDescent="0.2">
      <c r="A7878" s="2">
        <v>1971</v>
      </c>
      <c r="B7878" s="2">
        <v>14</v>
      </c>
      <c r="C7878" s="2">
        <v>38722115</v>
      </c>
      <c r="D7878" s="2">
        <v>40343754</v>
      </c>
      <c r="E7878" s="2">
        <v>4</v>
      </c>
      <c r="F7878" s="2" t="s">
        <v>10086</v>
      </c>
      <c r="H7878" s="3">
        <v>5.0000000000000001E-4</v>
      </c>
      <c r="K7878" s="2" t="s">
        <v>10087</v>
      </c>
    </row>
    <row r="7879" spans="1:11" x14ac:dyDescent="0.2">
      <c r="A7879" s="2">
        <v>1972</v>
      </c>
      <c r="B7879" s="2">
        <v>14</v>
      </c>
      <c r="C7879" s="2">
        <v>40343755</v>
      </c>
      <c r="D7879" s="2">
        <v>40965849</v>
      </c>
      <c r="E7879" s="2">
        <v>1</v>
      </c>
      <c r="F7879" s="2" t="s">
        <v>10086</v>
      </c>
      <c r="H7879" s="2">
        <v>2.0999999999999999E-3</v>
      </c>
      <c r="K7879" s="2" t="s">
        <v>10087</v>
      </c>
    </row>
    <row r="7880" spans="1:11" x14ac:dyDescent="0.2">
      <c r="A7880" s="2">
        <v>1972</v>
      </c>
      <c r="B7880" s="2">
        <v>14</v>
      </c>
      <c r="C7880" s="2">
        <v>40343755</v>
      </c>
      <c r="D7880" s="2">
        <v>40965849</v>
      </c>
      <c r="E7880" s="2">
        <v>2</v>
      </c>
      <c r="F7880" s="2" t="s">
        <v>10086</v>
      </c>
      <c r="H7880" s="2">
        <v>1.1000000000000001E-3</v>
      </c>
      <c r="K7880" s="2" t="s">
        <v>10085</v>
      </c>
    </row>
    <row r="7881" spans="1:11" x14ac:dyDescent="0.2">
      <c r="A7881" s="2">
        <v>1972</v>
      </c>
      <c r="B7881" s="2">
        <v>14</v>
      </c>
      <c r="C7881" s="2">
        <v>40343755</v>
      </c>
      <c r="D7881" s="2">
        <v>40965849</v>
      </c>
      <c r="E7881" s="2">
        <v>3</v>
      </c>
      <c r="F7881" s="2" t="s">
        <v>10086</v>
      </c>
      <c r="H7881" s="3">
        <v>8.0000000000000004E-4</v>
      </c>
      <c r="K7881" s="2" t="s">
        <v>10089</v>
      </c>
    </row>
    <row r="7882" spans="1:11" x14ac:dyDescent="0.2">
      <c r="A7882" s="2">
        <v>1972</v>
      </c>
      <c r="B7882" s="2">
        <v>14</v>
      </c>
      <c r="C7882" s="2">
        <v>40343755</v>
      </c>
      <c r="D7882" s="2">
        <v>40965849</v>
      </c>
      <c r="E7882" s="2">
        <v>4</v>
      </c>
      <c r="F7882" s="2" t="s">
        <v>10086</v>
      </c>
      <c r="H7882" s="3">
        <v>2.9999999999999997E-4</v>
      </c>
      <c r="K7882" s="2" t="s">
        <v>10088</v>
      </c>
    </row>
    <row r="7883" spans="1:11" x14ac:dyDescent="0.2">
      <c r="A7883" s="2">
        <v>1973</v>
      </c>
      <c r="B7883" s="2">
        <v>14</v>
      </c>
      <c r="C7883" s="2">
        <v>40965850</v>
      </c>
      <c r="D7883" s="2">
        <v>41614833</v>
      </c>
      <c r="E7883" s="2">
        <v>1</v>
      </c>
      <c r="F7883" s="2" t="s">
        <v>10086</v>
      </c>
      <c r="H7883" s="2">
        <v>2.5999999999999999E-3</v>
      </c>
      <c r="K7883" s="2" t="s">
        <v>10087</v>
      </c>
    </row>
    <row r="7884" spans="1:11" x14ac:dyDescent="0.2">
      <c r="A7884" s="2">
        <v>1973</v>
      </c>
      <c r="B7884" s="2">
        <v>14</v>
      </c>
      <c r="C7884" s="2">
        <v>40965850</v>
      </c>
      <c r="D7884" s="2">
        <v>41614833</v>
      </c>
      <c r="E7884" s="2">
        <v>2</v>
      </c>
      <c r="F7884" s="2" t="s">
        <v>10086</v>
      </c>
      <c r="H7884" s="2">
        <v>1.1000000000000001E-3</v>
      </c>
      <c r="K7884" s="2" t="s">
        <v>10085</v>
      </c>
    </row>
    <row r="7885" spans="1:11" x14ac:dyDescent="0.2">
      <c r="A7885" s="2">
        <v>1973</v>
      </c>
      <c r="B7885" s="2">
        <v>14</v>
      </c>
      <c r="C7885" s="2">
        <v>40965850</v>
      </c>
      <c r="D7885" s="2">
        <v>41614833</v>
      </c>
      <c r="E7885" s="2">
        <v>3</v>
      </c>
      <c r="F7885" s="2" t="s">
        <v>10086</v>
      </c>
      <c r="H7885" s="3">
        <v>8.0000000000000004E-4</v>
      </c>
      <c r="K7885" s="2" t="s">
        <v>10089</v>
      </c>
    </row>
    <row r="7886" spans="1:11" x14ac:dyDescent="0.2">
      <c r="A7886" s="2">
        <v>1973</v>
      </c>
      <c r="B7886" s="2">
        <v>14</v>
      </c>
      <c r="C7886" s="2">
        <v>40965850</v>
      </c>
      <c r="D7886" s="2">
        <v>41614833</v>
      </c>
      <c r="E7886" s="2">
        <v>4</v>
      </c>
      <c r="F7886" s="2" t="s">
        <v>10086</v>
      </c>
      <c r="H7886" s="3">
        <v>2.9999999999999997E-4</v>
      </c>
      <c r="K7886" s="2" t="s">
        <v>10088</v>
      </c>
    </row>
    <row r="7887" spans="1:11" x14ac:dyDescent="0.2">
      <c r="A7887" s="2">
        <v>1974</v>
      </c>
      <c r="B7887" s="2">
        <v>14</v>
      </c>
      <c r="C7887" s="2">
        <v>41614834</v>
      </c>
      <c r="D7887" s="2">
        <v>42562550</v>
      </c>
      <c r="E7887" s="2">
        <v>1</v>
      </c>
      <c r="F7887" s="2" t="s">
        <v>10086</v>
      </c>
      <c r="H7887" s="2">
        <v>1.1000000000000001E-3</v>
      </c>
      <c r="K7887" s="2" t="s">
        <v>10088</v>
      </c>
    </row>
    <row r="7888" spans="1:11" x14ac:dyDescent="0.2">
      <c r="A7888" s="2">
        <v>1974</v>
      </c>
      <c r="B7888" s="2">
        <v>14</v>
      </c>
      <c r="C7888" s="2">
        <v>41614834</v>
      </c>
      <c r="D7888" s="2">
        <v>42562550</v>
      </c>
      <c r="E7888" s="2">
        <v>2</v>
      </c>
      <c r="F7888" s="2" t="s">
        <v>10086</v>
      </c>
      <c r="H7888" s="2">
        <v>1E-3</v>
      </c>
      <c r="K7888" s="2" t="s">
        <v>10087</v>
      </c>
    </row>
    <row r="7889" spans="1:11" x14ac:dyDescent="0.2">
      <c r="A7889" s="2">
        <v>1974</v>
      </c>
      <c r="B7889" s="2">
        <v>14</v>
      </c>
      <c r="C7889" s="2">
        <v>41614834</v>
      </c>
      <c r="D7889" s="2">
        <v>42562550</v>
      </c>
      <c r="E7889" s="2">
        <v>3</v>
      </c>
      <c r="F7889" s="2" t="s">
        <v>10086</v>
      </c>
      <c r="H7889" s="3">
        <v>8.0000000000000004E-4</v>
      </c>
      <c r="K7889" s="2" t="s">
        <v>10089</v>
      </c>
    </row>
    <row r="7890" spans="1:11" x14ac:dyDescent="0.2">
      <c r="A7890" s="2">
        <v>1974</v>
      </c>
      <c r="B7890" s="2">
        <v>14</v>
      </c>
      <c r="C7890" s="2">
        <v>41614834</v>
      </c>
      <c r="D7890" s="2">
        <v>42562550</v>
      </c>
      <c r="E7890" s="2">
        <v>4</v>
      </c>
      <c r="F7890" s="2" t="s">
        <v>10086</v>
      </c>
      <c r="H7890" s="3">
        <v>4.0000000000000002E-4</v>
      </c>
      <c r="K7890" s="2" t="s">
        <v>10085</v>
      </c>
    </row>
    <row r="7891" spans="1:11" x14ac:dyDescent="0.2">
      <c r="A7891" s="2">
        <v>1975</v>
      </c>
      <c r="B7891" s="2">
        <v>14</v>
      </c>
      <c r="C7891" s="2">
        <v>42562551</v>
      </c>
      <c r="D7891" s="2">
        <v>43321168</v>
      </c>
      <c r="E7891" s="2">
        <v>1</v>
      </c>
      <c r="F7891" s="2" t="s">
        <v>10086</v>
      </c>
      <c r="H7891" s="2">
        <v>2.3099999999999999E-2</v>
      </c>
      <c r="K7891" s="2" t="s">
        <v>10087</v>
      </c>
    </row>
    <row r="7892" spans="1:11" x14ac:dyDescent="0.2">
      <c r="A7892" s="2">
        <v>1975</v>
      </c>
      <c r="B7892" s="2">
        <v>14</v>
      </c>
      <c r="C7892" s="2">
        <v>42562551</v>
      </c>
      <c r="D7892" s="2">
        <v>43321168</v>
      </c>
      <c r="E7892" s="2">
        <v>2</v>
      </c>
      <c r="F7892" s="2" t="s">
        <v>10086</v>
      </c>
      <c r="H7892" s="3">
        <v>8.9999999999999998E-4</v>
      </c>
      <c r="K7892" s="2" t="s">
        <v>10088</v>
      </c>
    </row>
    <row r="7893" spans="1:11" x14ac:dyDescent="0.2">
      <c r="A7893" s="2">
        <v>1975</v>
      </c>
      <c r="B7893" s="2">
        <v>14</v>
      </c>
      <c r="C7893" s="2">
        <v>42562551</v>
      </c>
      <c r="D7893" s="2">
        <v>43321168</v>
      </c>
      <c r="E7893" s="2">
        <v>3</v>
      </c>
      <c r="F7893" s="2" t="s">
        <v>10086</v>
      </c>
      <c r="H7893" s="3">
        <v>5.0000000000000001E-4</v>
      </c>
      <c r="K7893" s="2" t="s">
        <v>10089</v>
      </c>
    </row>
    <row r="7894" spans="1:11" x14ac:dyDescent="0.2">
      <c r="A7894" s="2">
        <v>1975</v>
      </c>
      <c r="B7894" s="2">
        <v>14</v>
      </c>
      <c r="C7894" s="2">
        <v>42562551</v>
      </c>
      <c r="D7894" s="2">
        <v>43321168</v>
      </c>
      <c r="E7894" s="2">
        <v>4</v>
      </c>
      <c r="F7894" s="2" t="s">
        <v>10086</v>
      </c>
      <c r="H7894" s="3">
        <v>2.9999999999999997E-4</v>
      </c>
      <c r="K7894" s="2" t="s">
        <v>10085</v>
      </c>
    </row>
    <row r="7895" spans="1:11" x14ac:dyDescent="0.2">
      <c r="A7895" s="2">
        <v>1976</v>
      </c>
      <c r="B7895" s="2">
        <v>14</v>
      </c>
      <c r="C7895" s="2">
        <v>43321169</v>
      </c>
      <c r="D7895" s="2">
        <v>44623273</v>
      </c>
      <c r="E7895" s="2">
        <v>1</v>
      </c>
      <c r="F7895" s="2" t="s">
        <v>10086</v>
      </c>
      <c r="H7895" s="2">
        <v>4.3E-3</v>
      </c>
      <c r="K7895" s="2" t="s">
        <v>10089</v>
      </c>
    </row>
    <row r="7896" spans="1:11" x14ac:dyDescent="0.2">
      <c r="A7896" s="2">
        <v>1976</v>
      </c>
      <c r="B7896" s="2">
        <v>14</v>
      </c>
      <c r="C7896" s="2">
        <v>43321169</v>
      </c>
      <c r="D7896" s="2">
        <v>44623273</v>
      </c>
      <c r="E7896" s="2">
        <v>2</v>
      </c>
      <c r="F7896" s="2" t="s">
        <v>10086</v>
      </c>
      <c r="H7896" s="2">
        <v>2E-3</v>
      </c>
      <c r="K7896" s="2" t="s">
        <v>10085</v>
      </c>
    </row>
    <row r="7897" spans="1:11" x14ac:dyDescent="0.2">
      <c r="A7897" s="2">
        <v>1976</v>
      </c>
      <c r="B7897" s="2">
        <v>14</v>
      </c>
      <c r="C7897" s="2">
        <v>43321169</v>
      </c>
      <c r="D7897" s="2">
        <v>44623273</v>
      </c>
      <c r="E7897" s="2">
        <v>3</v>
      </c>
      <c r="F7897" s="2" t="s">
        <v>10086</v>
      </c>
      <c r="H7897" s="2">
        <v>1.8E-3</v>
      </c>
      <c r="K7897" s="2" t="s">
        <v>10087</v>
      </c>
    </row>
    <row r="7898" spans="1:11" x14ac:dyDescent="0.2">
      <c r="A7898" s="2">
        <v>1976</v>
      </c>
      <c r="B7898" s="2">
        <v>14</v>
      </c>
      <c r="C7898" s="2">
        <v>43321169</v>
      </c>
      <c r="D7898" s="2">
        <v>44623273</v>
      </c>
      <c r="E7898" s="2">
        <v>4</v>
      </c>
      <c r="F7898" s="2" t="s">
        <v>10086</v>
      </c>
      <c r="H7898" s="3">
        <v>6.9999999999999999E-4</v>
      </c>
      <c r="K7898" s="2" t="s">
        <v>10088</v>
      </c>
    </row>
    <row r="7899" spans="1:11" x14ac:dyDescent="0.2">
      <c r="A7899" s="2">
        <v>1977</v>
      </c>
      <c r="B7899" s="2">
        <v>14</v>
      </c>
      <c r="C7899" s="2">
        <v>44623274</v>
      </c>
      <c r="D7899" s="2">
        <v>45817082</v>
      </c>
      <c r="E7899" s="2">
        <v>1</v>
      </c>
      <c r="F7899" s="2" t="s">
        <v>10086</v>
      </c>
      <c r="H7899" s="2">
        <v>2.2000000000000001E-3</v>
      </c>
      <c r="K7899" s="2" t="s">
        <v>10088</v>
      </c>
    </row>
    <row r="7900" spans="1:11" x14ac:dyDescent="0.2">
      <c r="A7900" s="2">
        <v>1977</v>
      </c>
      <c r="B7900" s="2">
        <v>14</v>
      </c>
      <c r="C7900" s="2">
        <v>44623274</v>
      </c>
      <c r="D7900" s="2">
        <v>45817082</v>
      </c>
      <c r="E7900" s="2">
        <v>2</v>
      </c>
      <c r="F7900" s="2" t="s">
        <v>10086</v>
      </c>
      <c r="H7900" s="2">
        <v>1.1000000000000001E-3</v>
      </c>
      <c r="K7900" s="2" t="s">
        <v>10087</v>
      </c>
    </row>
    <row r="7901" spans="1:11" x14ac:dyDescent="0.2">
      <c r="A7901" s="2">
        <v>1977</v>
      </c>
      <c r="B7901" s="2">
        <v>14</v>
      </c>
      <c r="C7901" s="2">
        <v>44623274</v>
      </c>
      <c r="D7901" s="2">
        <v>45817082</v>
      </c>
      <c r="E7901" s="2">
        <v>3</v>
      </c>
      <c r="F7901" s="2" t="s">
        <v>10086</v>
      </c>
      <c r="H7901" s="3">
        <v>8.0000000000000004E-4</v>
      </c>
      <c r="K7901" s="2" t="s">
        <v>10089</v>
      </c>
    </row>
    <row r="7902" spans="1:11" x14ac:dyDescent="0.2">
      <c r="A7902" s="2">
        <v>1977</v>
      </c>
      <c r="B7902" s="2">
        <v>14</v>
      </c>
      <c r="C7902" s="2">
        <v>44623274</v>
      </c>
      <c r="D7902" s="2">
        <v>45817082</v>
      </c>
      <c r="E7902" s="2">
        <v>4</v>
      </c>
      <c r="F7902" s="2" t="s">
        <v>10086</v>
      </c>
      <c r="H7902" s="3">
        <v>5.0000000000000001E-4</v>
      </c>
      <c r="K7902" s="2" t="s">
        <v>10085</v>
      </c>
    </row>
    <row r="7903" spans="1:11" x14ac:dyDescent="0.2">
      <c r="A7903" s="2">
        <v>1978</v>
      </c>
      <c r="B7903" s="2">
        <v>14</v>
      </c>
      <c r="C7903" s="2">
        <v>45817083</v>
      </c>
      <c r="D7903" s="2">
        <v>46748238</v>
      </c>
      <c r="E7903" s="2">
        <v>1</v>
      </c>
      <c r="F7903" s="2" t="s">
        <v>10086</v>
      </c>
      <c r="H7903" s="2">
        <v>5.3E-3</v>
      </c>
      <c r="K7903" s="2" t="s">
        <v>10089</v>
      </c>
    </row>
    <row r="7904" spans="1:11" x14ac:dyDescent="0.2">
      <c r="A7904" s="2">
        <v>1978</v>
      </c>
      <c r="B7904" s="2">
        <v>14</v>
      </c>
      <c r="C7904" s="2">
        <v>45817083</v>
      </c>
      <c r="D7904" s="2">
        <v>46748238</v>
      </c>
      <c r="E7904" s="2">
        <v>2</v>
      </c>
      <c r="F7904" s="2" t="s">
        <v>10086</v>
      </c>
      <c r="H7904" s="2">
        <v>8.6E-3</v>
      </c>
      <c r="K7904" s="2" t="s">
        <v>10087</v>
      </c>
    </row>
    <row r="7905" spans="1:11" x14ac:dyDescent="0.2">
      <c r="A7905" s="2">
        <v>1978</v>
      </c>
      <c r="B7905" s="2">
        <v>14</v>
      </c>
      <c r="C7905" s="2">
        <v>45817083</v>
      </c>
      <c r="D7905" s="2">
        <v>46748238</v>
      </c>
      <c r="E7905" s="2">
        <v>3</v>
      </c>
      <c r="F7905" s="2" t="s">
        <v>10086</v>
      </c>
      <c r="H7905" s="2">
        <v>2.0999999999999999E-3</v>
      </c>
      <c r="K7905" s="2" t="s">
        <v>10088</v>
      </c>
    </row>
    <row r="7906" spans="1:11" x14ac:dyDescent="0.2">
      <c r="A7906" s="2">
        <v>1978</v>
      </c>
      <c r="B7906" s="2">
        <v>14</v>
      </c>
      <c r="C7906" s="2">
        <v>45817083</v>
      </c>
      <c r="D7906" s="2">
        <v>46748238</v>
      </c>
      <c r="E7906" s="2">
        <v>4</v>
      </c>
      <c r="F7906" s="2" t="s">
        <v>10086</v>
      </c>
      <c r="H7906" s="3">
        <v>4.0000000000000002E-4</v>
      </c>
      <c r="K7906" s="2" t="s">
        <v>10085</v>
      </c>
    </row>
    <row r="7907" spans="1:11" x14ac:dyDescent="0.2">
      <c r="A7907" s="2">
        <v>1979</v>
      </c>
      <c r="B7907" s="2">
        <v>14</v>
      </c>
      <c r="C7907" s="2">
        <v>46748239</v>
      </c>
      <c r="D7907" s="2">
        <v>48177483</v>
      </c>
      <c r="E7907" s="2">
        <v>1</v>
      </c>
      <c r="F7907" s="2" t="s">
        <v>10086</v>
      </c>
      <c r="H7907" s="2">
        <v>1.1000000000000001E-3</v>
      </c>
      <c r="K7907" s="2" t="s">
        <v>10087</v>
      </c>
    </row>
    <row r="7908" spans="1:11" x14ac:dyDescent="0.2">
      <c r="A7908" s="2">
        <v>1979</v>
      </c>
      <c r="B7908" s="2">
        <v>14</v>
      </c>
      <c r="C7908" s="2">
        <v>46748239</v>
      </c>
      <c r="D7908" s="2">
        <v>48177483</v>
      </c>
      <c r="E7908" s="2">
        <v>2</v>
      </c>
      <c r="F7908" s="2" t="s">
        <v>10086</v>
      </c>
      <c r="H7908" s="3">
        <v>8.9999999999999998E-4</v>
      </c>
      <c r="K7908" s="2" t="s">
        <v>10085</v>
      </c>
    </row>
    <row r="7909" spans="1:11" x14ac:dyDescent="0.2">
      <c r="A7909" s="2">
        <v>1979</v>
      </c>
      <c r="B7909" s="2">
        <v>14</v>
      </c>
      <c r="C7909" s="2">
        <v>46748239</v>
      </c>
      <c r="D7909" s="2">
        <v>48177483</v>
      </c>
      <c r="E7909" s="2">
        <v>3</v>
      </c>
      <c r="F7909" s="2" t="s">
        <v>10086</v>
      </c>
      <c r="H7909" s="3">
        <v>8.9999999999999998E-4</v>
      </c>
      <c r="K7909" s="2" t="s">
        <v>10089</v>
      </c>
    </row>
    <row r="7910" spans="1:11" x14ac:dyDescent="0.2">
      <c r="A7910" s="2">
        <v>1979</v>
      </c>
      <c r="B7910" s="2">
        <v>14</v>
      </c>
      <c r="C7910" s="2">
        <v>46748239</v>
      </c>
      <c r="D7910" s="2">
        <v>48177483</v>
      </c>
      <c r="E7910" s="2">
        <v>4</v>
      </c>
      <c r="F7910" s="2" t="s">
        <v>10086</v>
      </c>
      <c r="H7910" s="3">
        <v>8.9999999999999998E-4</v>
      </c>
      <c r="K7910" s="2" t="s">
        <v>10088</v>
      </c>
    </row>
    <row r="7911" spans="1:11" x14ac:dyDescent="0.2">
      <c r="A7911" s="2">
        <v>1980</v>
      </c>
      <c r="B7911" s="2">
        <v>14</v>
      </c>
      <c r="C7911" s="2">
        <v>48177484</v>
      </c>
      <c r="D7911" s="2">
        <v>49002065</v>
      </c>
      <c r="E7911" s="2">
        <v>1</v>
      </c>
      <c r="F7911" s="2" t="s">
        <v>10086</v>
      </c>
      <c r="H7911" s="2">
        <v>1.5E-3</v>
      </c>
      <c r="K7911" s="2" t="s">
        <v>10087</v>
      </c>
    </row>
    <row r="7912" spans="1:11" x14ac:dyDescent="0.2">
      <c r="A7912" s="2">
        <v>1980</v>
      </c>
      <c r="B7912" s="2">
        <v>14</v>
      </c>
      <c r="C7912" s="2">
        <v>48177484</v>
      </c>
      <c r="D7912" s="2">
        <v>49002065</v>
      </c>
      <c r="E7912" s="2">
        <v>2</v>
      </c>
      <c r="F7912" s="2" t="s">
        <v>10086</v>
      </c>
      <c r="H7912" s="3">
        <v>8.0000000000000004E-4</v>
      </c>
      <c r="K7912" s="2" t="s">
        <v>10089</v>
      </c>
    </row>
    <row r="7913" spans="1:11" x14ac:dyDescent="0.2">
      <c r="A7913" s="2">
        <v>1980</v>
      </c>
      <c r="B7913" s="2">
        <v>14</v>
      </c>
      <c r="C7913" s="2">
        <v>48177484</v>
      </c>
      <c r="D7913" s="2">
        <v>49002065</v>
      </c>
      <c r="E7913" s="2">
        <v>3</v>
      </c>
      <c r="F7913" s="2" t="s">
        <v>10086</v>
      </c>
      <c r="H7913" s="3">
        <v>5.0000000000000001E-4</v>
      </c>
      <c r="K7913" s="2" t="s">
        <v>10088</v>
      </c>
    </row>
    <row r="7914" spans="1:11" x14ac:dyDescent="0.2">
      <c r="A7914" s="2">
        <v>1980</v>
      </c>
      <c r="B7914" s="2">
        <v>14</v>
      </c>
      <c r="C7914" s="2">
        <v>48177484</v>
      </c>
      <c r="D7914" s="2">
        <v>49002065</v>
      </c>
      <c r="E7914" s="2">
        <v>4</v>
      </c>
      <c r="F7914" s="2" t="s">
        <v>10086</v>
      </c>
      <c r="H7914" s="3">
        <v>2.9999999999999997E-4</v>
      </c>
      <c r="K7914" s="2" t="s">
        <v>10085</v>
      </c>
    </row>
    <row r="7915" spans="1:11" x14ac:dyDescent="0.2">
      <c r="A7915" s="2">
        <v>1981</v>
      </c>
      <c r="B7915" s="2">
        <v>14</v>
      </c>
      <c r="C7915" s="2">
        <v>49002066</v>
      </c>
      <c r="D7915" s="2">
        <v>50500564</v>
      </c>
      <c r="E7915" s="2">
        <v>1</v>
      </c>
      <c r="F7915" s="2" t="s">
        <v>10086</v>
      </c>
      <c r="H7915" s="2">
        <v>2E-3</v>
      </c>
      <c r="K7915" s="2" t="s">
        <v>10085</v>
      </c>
    </row>
    <row r="7916" spans="1:11" x14ac:dyDescent="0.2">
      <c r="A7916" s="2">
        <v>1981</v>
      </c>
      <c r="B7916" s="2">
        <v>14</v>
      </c>
      <c r="C7916" s="2">
        <v>49002066</v>
      </c>
      <c r="D7916" s="2">
        <v>50500564</v>
      </c>
      <c r="E7916" s="2">
        <v>2</v>
      </c>
      <c r="F7916" s="2" t="s">
        <v>10086</v>
      </c>
      <c r="H7916" s="2">
        <v>2.2000000000000001E-3</v>
      </c>
      <c r="K7916" s="2" t="s">
        <v>10089</v>
      </c>
    </row>
    <row r="7917" spans="1:11" x14ac:dyDescent="0.2">
      <c r="A7917" s="2">
        <v>1981</v>
      </c>
      <c r="B7917" s="2">
        <v>14</v>
      </c>
      <c r="C7917" s="2">
        <v>49002066</v>
      </c>
      <c r="D7917" s="2">
        <v>50500564</v>
      </c>
      <c r="E7917" s="2">
        <v>3</v>
      </c>
      <c r="F7917" s="2" t="s">
        <v>10086</v>
      </c>
      <c r="H7917" s="2">
        <v>1.2999999999999999E-3</v>
      </c>
      <c r="K7917" s="2" t="s">
        <v>10087</v>
      </c>
    </row>
    <row r="7918" spans="1:11" x14ac:dyDescent="0.2">
      <c r="A7918" s="2">
        <v>1981</v>
      </c>
      <c r="B7918" s="2">
        <v>14</v>
      </c>
      <c r="C7918" s="2">
        <v>49002066</v>
      </c>
      <c r="D7918" s="2">
        <v>50500564</v>
      </c>
      <c r="E7918" s="2">
        <v>4</v>
      </c>
      <c r="F7918" s="2" t="s">
        <v>10086</v>
      </c>
      <c r="H7918" s="3">
        <v>5.0000000000000001E-4</v>
      </c>
      <c r="K7918" s="2" t="s">
        <v>10088</v>
      </c>
    </row>
    <row r="7919" spans="1:11" x14ac:dyDescent="0.2">
      <c r="A7919" s="2">
        <v>1982</v>
      </c>
      <c r="B7919" s="2">
        <v>14</v>
      </c>
      <c r="C7919" s="2">
        <v>50500565</v>
      </c>
      <c r="D7919" s="2">
        <v>51418371</v>
      </c>
      <c r="E7919" s="2">
        <v>1</v>
      </c>
      <c r="F7919" s="2" t="s">
        <v>10086</v>
      </c>
      <c r="H7919" s="3">
        <v>8.0000000000000004E-4</v>
      </c>
      <c r="K7919" s="2" t="s">
        <v>10085</v>
      </c>
    </row>
    <row r="7920" spans="1:11" x14ac:dyDescent="0.2">
      <c r="A7920" s="2">
        <v>1982</v>
      </c>
      <c r="B7920" s="2">
        <v>14</v>
      </c>
      <c r="C7920" s="2">
        <v>50500565</v>
      </c>
      <c r="D7920" s="2">
        <v>51418371</v>
      </c>
      <c r="E7920" s="2">
        <v>2</v>
      </c>
      <c r="F7920" s="2" t="s">
        <v>10086</v>
      </c>
      <c r="H7920" s="3">
        <v>5.9999999999999995E-4</v>
      </c>
      <c r="K7920" s="2" t="s">
        <v>10089</v>
      </c>
    </row>
    <row r="7921" spans="1:11" x14ac:dyDescent="0.2">
      <c r="A7921" s="2">
        <v>1982</v>
      </c>
      <c r="B7921" s="2">
        <v>14</v>
      </c>
      <c r="C7921" s="2">
        <v>50500565</v>
      </c>
      <c r="D7921" s="2">
        <v>51418371</v>
      </c>
      <c r="E7921" s="2">
        <v>3</v>
      </c>
      <c r="F7921" s="2" t="s">
        <v>10086</v>
      </c>
      <c r="H7921" s="3">
        <v>8.0000000000000004E-4</v>
      </c>
      <c r="K7921" s="2" t="s">
        <v>10087</v>
      </c>
    </row>
    <row r="7922" spans="1:11" x14ac:dyDescent="0.2">
      <c r="A7922" s="2">
        <v>1982</v>
      </c>
      <c r="B7922" s="2">
        <v>14</v>
      </c>
      <c r="C7922" s="2">
        <v>50500565</v>
      </c>
      <c r="D7922" s="2">
        <v>51418371</v>
      </c>
      <c r="E7922" s="2">
        <v>4</v>
      </c>
      <c r="F7922" s="2" t="s">
        <v>10086</v>
      </c>
      <c r="H7922" s="3">
        <v>4.0000000000000002E-4</v>
      </c>
      <c r="K7922" s="2" t="s">
        <v>10088</v>
      </c>
    </row>
    <row r="7923" spans="1:11" x14ac:dyDescent="0.2">
      <c r="A7923" s="2">
        <v>1983</v>
      </c>
      <c r="B7923" s="2">
        <v>14</v>
      </c>
      <c r="C7923" s="2">
        <v>51418372</v>
      </c>
      <c r="D7923" s="2">
        <v>52206122</v>
      </c>
      <c r="E7923" s="2">
        <v>1</v>
      </c>
      <c r="F7923" s="2" t="s">
        <v>10086</v>
      </c>
      <c r="H7923" s="2">
        <v>9.2899999999999996E-2</v>
      </c>
      <c r="K7923" s="2" t="s">
        <v>10087</v>
      </c>
    </row>
    <row r="7924" spans="1:11" x14ac:dyDescent="0.2">
      <c r="A7924" s="2">
        <v>1983</v>
      </c>
      <c r="B7924" s="2">
        <v>14</v>
      </c>
      <c r="C7924" s="2">
        <v>51418372</v>
      </c>
      <c r="D7924" s="2">
        <v>52206122</v>
      </c>
      <c r="E7924" s="2">
        <v>2</v>
      </c>
      <c r="F7924" s="2" t="s">
        <v>10086</v>
      </c>
      <c r="H7924" s="3">
        <v>8.9999999999999998E-4</v>
      </c>
      <c r="K7924" s="2" t="s">
        <v>10089</v>
      </c>
    </row>
    <row r="7925" spans="1:11" x14ac:dyDescent="0.2">
      <c r="A7925" s="2">
        <v>1983</v>
      </c>
      <c r="B7925" s="2">
        <v>14</v>
      </c>
      <c r="C7925" s="2">
        <v>51418372</v>
      </c>
      <c r="D7925" s="2">
        <v>52206122</v>
      </c>
      <c r="E7925" s="2">
        <v>3</v>
      </c>
      <c r="F7925" s="2" t="s">
        <v>10086</v>
      </c>
      <c r="H7925" s="3">
        <v>6.9999999999999999E-4</v>
      </c>
      <c r="K7925" s="2" t="s">
        <v>10088</v>
      </c>
    </row>
    <row r="7926" spans="1:11" x14ac:dyDescent="0.2">
      <c r="A7926" s="2">
        <v>1983</v>
      </c>
      <c r="B7926" s="2">
        <v>14</v>
      </c>
      <c r="C7926" s="2">
        <v>51418372</v>
      </c>
      <c r="D7926" s="2">
        <v>52206122</v>
      </c>
      <c r="E7926" s="2">
        <v>4</v>
      </c>
      <c r="F7926" s="2" t="s">
        <v>10086</v>
      </c>
      <c r="H7926" s="3">
        <v>4.0000000000000002E-4</v>
      </c>
      <c r="K7926" s="2" t="s">
        <v>10085</v>
      </c>
    </row>
    <row r="7927" spans="1:11" x14ac:dyDescent="0.2">
      <c r="A7927" s="2">
        <v>1984</v>
      </c>
      <c r="B7927" s="2">
        <v>14</v>
      </c>
      <c r="C7927" s="2">
        <v>52206123</v>
      </c>
      <c r="D7927" s="2">
        <v>52760553</v>
      </c>
      <c r="E7927" s="2">
        <v>1</v>
      </c>
      <c r="F7927" s="2" t="s">
        <v>10086</v>
      </c>
      <c r="H7927" s="2">
        <v>9.1999999999999998E-3</v>
      </c>
      <c r="K7927" s="2" t="s">
        <v>12324</v>
      </c>
    </row>
    <row r="7928" spans="1:11" x14ac:dyDescent="0.2">
      <c r="A7928" s="2">
        <v>1984</v>
      </c>
      <c r="B7928" s="2">
        <v>14</v>
      </c>
      <c r="C7928" s="2">
        <v>52206123</v>
      </c>
      <c r="D7928" s="2">
        <v>52760553</v>
      </c>
      <c r="E7928" s="2">
        <v>2</v>
      </c>
      <c r="F7928" s="2" t="s">
        <v>10086</v>
      </c>
      <c r="H7928" s="2">
        <v>2.0999999999999999E-3</v>
      </c>
      <c r="K7928" s="2" t="s">
        <v>10088</v>
      </c>
    </row>
    <row r="7929" spans="1:11" x14ac:dyDescent="0.2">
      <c r="A7929" s="2">
        <v>1984</v>
      </c>
      <c r="B7929" s="2">
        <v>14</v>
      </c>
      <c r="C7929" s="2">
        <v>52206123</v>
      </c>
      <c r="D7929" s="2">
        <v>52760553</v>
      </c>
      <c r="E7929" s="2">
        <v>3</v>
      </c>
      <c r="F7929" s="2" t="s">
        <v>10086</v>
      </c>
      <c r="H7929" s="3">
        <v>8.9999999999999998E-4</v>
      </c>
      <c r="K7929" s="2" t="s">
        <v>10085</v>
      </c>
    </row>
    <row r="7930" spans="1:11" x14ac:dyDescent="0.2">
      <c r="A7930" s="2">
        <v>1984</v>
      </c>
      <c r="B7930" s="2">
        <v>14</v>
      </c>
      <c r="C7930" s="2">
        <v>52206123</v>
      </c>
      <c r="D7930" s="2">
        <v>52760553</v>
      </c>
      <c r="E7930" s="2">
        <v>4</v>
      </c>
      <c r="F7930" s="2" t="s">
        <v>10086</v>
      </c>
      <c r="H7930" s="3">
        <v>6.9999999999999999E-4</v>
      </c>
      <c r="K7930" s="2" t="s">
        <v>10087</v>
      </c>
    </row>
    <row r="7931" spans="1:11" x14ac:dyDescent="0.2">
      <c r="A7931" s="2">
        <v>1985</v>
      </c>
      <c r="B7931" s="2">
        <v>14</v>
      </c>
      <c r="C7931" s="2">
        <v>52760554</v>
      </c>
      <c r="D7931" s="2">
        <v>54359598</v>
      </c>
      <c r="E7931" s="2">
        <v>1</v>
      </c>
      <c r="F7931" s="2" t="s">
        <v>10086</v>
      </c>
      <c r="H7931" s="2">
        <v>3.2000000000000002E-3</v>
      </c>
      <c r="K7931" s="2" t="s">
        <v>10087</v>
      </c>
    </row>
    <row r="7932" spans="1:11" x14ac:dyDescent="0.2">
      <c r="A7932" s="2">
        <v>1985</v>
      </c>
      <c r="B7932" s="2">
        <v>14</v>
      </c>
      <c r="C7932" s="2">
        <v>52760554</v>
      </c>
      <c r="D7932" s="2">
        <v>54359598</v>
      </c>
      <c r="E7932" s="2">
        <v>2</v>
      </c>
      <c r="F7932" s="2" t="s">
        <v>10086</v>
      </c>
      <c r="H7932" s="2">
        <v>1.5E-3</v>
      </c>
      <c r="K7932" s="2" t="s">
        <v>10085</v>
      </c>
    </row>
    <row r="7933" spans="1:11" x14ac:dyDescent="0.2">
      <c r="A7933" s="2">
        <v>1985</v>
      </c>
      <c r="B7933" s="2">
        <v>14</v>
      </c>
      <c r="C7933" s="2">
        <v>52760554</v>
      </c>
      <c r="D7933" s="2">
        <v>54359598</v>
      </c>
      <c r="E7933" s="2">
        <v>3</v>
      </c>
      <c r="F7933" s="2" t="s">
        <v>10086</v>
      </c>
      <c r="H7933" s="2">
        <v>1.2999999999999999E-3</v>
      </c>
      <c r="K7933" s="2" t="s">
        <v>10088</v>
      </c>
    </row>
    <row r="7934" spans="1:11" x14ac:dyDescent="0.2">
      <c r="A7934" s="2">
        <v>1985</v>
      </c>
      <c r="B7934" s="2">
        <v>14</v>
      </c>
      <c r="C7934" s="2">
        <v>52760554</v>
      </c>
      <c r="D7934" s="2">
        <v>54359598</v>
      </c>
      <c r="E7934" s="2">
        <v>4</v>
      </c>
      <c r="F7934" s="2" t="s">
        <v>10086</v>
      </c>
      <c r="H7934" s="3">
        <v>5.0000000000000001E-4</v>
      </c>
      <c r="K7934" s="2" t="s">
        <v>10089</v>
      </c>
    </row>
    <row r="7935" spans="1:11" x14ac:dyDescent="0.2">
      <c r="A7935" s="2">
        <v>1986</v>
      </c>
      <c r="B7935" s="2">
        <v>14</v>
      </c>
      <c r="C7935" s="2">
        <v>54359599</v>
      </c>
      <c r="D7935" s="2">
        <v>55292832</v>
      </c>
      <c r="E7935" s="2">
        <v>1</v>
      </c>
      <c r="F7935" s="2" t="s">
        <v>10086</v>
      </c>
      <c r="H7935" s="2">
        <v>3.0000000000000001E-3</v>
      </c>
      <c r="K7935" s="2" t="s">
        <v>10088</v>
      </c>
    </row>
    <row r="7936" spans="1:11" x14ac:dyDescent="0.2">
      <c r="A7936" s="2">
        <v>1986</v>
      </c>
      <c r="B7936" s="2">
        <v>14</v>
      </c>
      <c r="C7936" s="2">
        <v>54359599</v>
      </c>
      <c r="D7936" s="2">
        <v>55292832</v>
      </c>
      <c r="E7936" s="2">
        <v>2</v>
      </c>
      <c r="F7936" s="2" t="s">
        <v>10086</v>
      </c>
      <c r="H7936" s="2">
        <v>2.0999999999999999E-3</v>
      </c>
      <c r="K7936" s="2" t="s">
        <v>10085</v>
      </c>
    </row>
    <row r="7937" spans="1:11" x14ac:dyDescent="0.2">
      <c r="A7937" s="2">
        <v>1986</v>
      </c>
      <c r="B7937" s="2">
        <v>14</v>
      </c>
      <c r="C7937" s="2">
        <v>54359599</v>
      </c>
      <c r="D7937" s="2">
        <v>55292832</v>
      </c>
      <c r="E7937" s="2">
        <v>3</v>
      </c>
      <c r="F7937" s="2" t="s">
        <v>10086</v>
      </c>
      <c r="H7937" s="2">
        <v>1.1000000000000001E-3</v>
      </c>
      <c r="K7937" s="2" t="s">
        <v>10087</v>
      </c>
    </row>
    <row r="7938" spans="1:11" x14ac:dyDescent="0.2">
      <c r="A7938" s="2">
        <v>1986</v>
      </c>
      <c r="B7938" s="2">
        <v>14</v>
      </c>
      <c r="C7938" s="2">
        <v>54359599</v>
      </c>
      <c r="D7938" s="2">
        <v>55292832</v>
      </c>
      <c r="E7938" s="2">
        <v>4</v>
      </c>
      <c r="F7938" s="2" t="s">
        <v>10086</v>
      </c>
      <c r="H7938" s="3">
        <v>4.0000000000000002E-4</v>
      </c>
      <c r="K7938" s="2" t="s">
        <v>10089</v>
      </c>
    </row>
    <row r="7939" spans="1:11" x14ac:dyDescent="0.2">
      <c r="A7939" s="2">
        <v>1987</v>
      </c>
      <c r="B7939" s="2">
        <v>14</v>
      </c>
      <c r="C7939" s="2">
        <v>55292833</v>
      </c>
      <c r="D7939" s="2">
        <v>56206430</v>
      </c>
      <c r="E7939" s="2">
        <v>1</v>
      </c>
      <c r="F7939" s="2" t="s">
        <v>10086</v>
      </c>
      <c r="H7939" s="2">
        <v>2.8E-3</v>
      </c>
      <c r="K7939" s="2" t="s">
        <v>10088</v>
      </c>
    </row>
    <row r="7940" spans="1:11" x14ac:dyDescent="0.2">
      <c r="A7940" s="2">
        <v>1987</v>
      </c>
      <c r="B7940" s="2">
        <v>14</v>
      </c>
      <c r="C7940" s="2">
        <v>55292833</v>
      </c>
      <c r="D7940" s="2">
        <v>56206430</v>
      </c>
      <c r="E7940" s="2">
        <v>2</v>
      </c>
      <c r="F7940" s="2" t="s">
        <v>10086</v>
      </c>
      <c r="H7940" s="2">
        <v>2.2000000000000001E-3</v>
      </c>
      <c r="K7940" s="2" t="s">
        <v>10089</v>
      </c>
    </row>
    <row r="7941" spans="1:11" x14ac:dyDescent="0.2">
      <c r="A7941" s="2">
        <v>1987</v>
      </c>
      <c r="B7941" s="2">
        <v>14</v>
      </c>
      <c r="C7941" s="2">
        <v>55292833</v>
      </c>
      <c r="D7941" s="2">
        <v>56206430</v>
      </c>
      <c r="E7941" s="2">
        <v>3</v>
      </c>
      <c r="F7941" s="2" t="s">
        <v>10086</v>
      </c>
      <c r="H7941" s="3">
        <v>8.9999999999999998E-4</v>
      </c>
      <c r="K7941" s="2" t="s">
        <v>10087</v>
      </c>
    </row>
    <row r="7942" spans="1:11" x14ac:dyDescent="0.2">
      <c r="A7942" s="2">
        <v>1987</v>
      </c>
      <c r="B7942" s="2">
        <v>14</v>
      </c>
      <c r="C7942" s="2">
        <v>55292833</v>
      </c>
      <c r="D7942" s="2">
        <v>56206430</v>
      </c>
      <c r="E7942" s="2">
        <v>4</v>
      </c>
      <c r="F7942" s="2" t="s">
        <v>10086</v>
      </c>
      <c r="H7942" s="3">
        <v>5.0000000000000001E-4</v>
      </c>
      <c r="K7942" s="2" t="s">
        <v>10085</v>
      </c>
    </row>
    <row r="7943" spans="1:11" x14ac:dyDescent="0.2">
      <c r="A7943" s="2">
        <v>1988</v>
      </c>
      <c r="B7943" s="2">
        <v>14</v>
      </c>
      <c r="C7943" s="2">
        <v>56206431</v>
      </c>
      <c r="D7943" s="2">
        <v>57460781</v>
      </c>
      <c r="E7943" s="2">
        <v>1</v>
      </c>
      <c r="F7943" s="2" t="s">
        <v>10086</v>
      </c>
      <c r="H7943" s="2">
        <v>3.7000000000000002E-3</v>
      </c>
      <c r="K7943" s="2" t="s">
        <v>10089</v>
      </c>
    </row>
    <row r="7944" spans="1:11" x14ac:dyDescent="0.2">
      <c r="A7944" s="2">
        <v>1988</v>
      </c>
      <c r="B7944" s="2">
        <v>14</v>
      </c>
      <c r="C7944" s="2">
        <v>56206431</v>
      </c>
      <c r="D7944" s="2">
        <v>57460781</v>
      </c>
      <c r="E7944" s="2">
        <v>2</v>
      </c>
      <c r="F7944" s="2" t="s">
        <v>10086</v>
      </c>
      <c r="H7944" s="2">
        <v>2.5000000000000001E-3</v>
      </c>
      <c r="K7944" s="2" t="s">
        <v>10088</v>
      </c>
    </row>
    <row r="7945" spans="1:11" x14ac:dyDescent="0.2">
      <c r="A7945" s="2">
        <v>1988</v>
      </c>
      <c r="B7945" s="2">
        <v>14</v>
      </c>
      <c r="C7945" s="2">
        <v>56206431</v>
      </c>
      <c r="D7945" s="2">
        <v>57460781</v>
      </c>
      <c r="E7945" s="2">
        <v>3</v>
      </c>
      <c r="F7945" s="2" t="s">
        <v>10086</v>
      </c>
      <c r="H7945" s="2">
        <v>1.2999999999999999E-3</v>
      </c>
      <c r="K7945" s="2" t="s">
        <v>12324</v>
      </c>
    </row>
    <row r="7946" spans="1:11" x14ac:dyDescent="0.2">
      <c r="A7946" s="2">
        <v>1988</v>
      </c>
      <c r="B7946" s="2">
        <v>14</v>
      </c>
      <c r="C7946" s="2">
        <v>56206431</v>
      </c>
      <c r="D7946" s="2">
        <v>57460781</v>
      </c>
      <c r="E7946" s="2">
        <v>4</v>
      </c>
      <c r="F7946" s="2" t="s">
        <v>10086</v>
      </c>
      <c r="H7946" s="2">
        <v>1.1999999999999999E-3</v>
      </c>
      <c r="K7946" s="2" t="s">
        <v>10087</v>
      </c>
    </row>
    <row r="7947" spans="1:11" x14ac:dyDescent="0.2">
      <c r="A7947" s="2">
        <v>1989</v>
      </c>
      <c r="B7947" s="2">
        <v>14</v>
      </c>
      <c r="C7947" s="2">
        <v>57460782</v>
      </c>
      <c r="D7947" s="2">
        <v>58447798</v>
      </c>
      <c r="E7947" s="2">
        <v>1</v>
      </c>
      <c r="F7947" s="2" t="s">
        <v>10086</v>
      </c>
      <c r="H7947" s="2">
        <v>6.1000000000000004E-3</v>
      </c>
      <c r="K7947" s="2" t="s">
        <v>10085</v>
      </c>
    </row>
    <row r="7948" spans="1:11" x14ac:dyDescent="0.2">
      <c r="A7948" s="2">
        <v>1989</v>
      </c>
      <c r="B7948" s="2">
        <v>14</v>
      </c>
      <c r="C7948" s="2">
        <v>57460782</v>
      </c>
      <c r="D7948" s="2">
        <v>58447798</v>
      </c>
      <c r="E7948" s="2">
        <v>2</v>
      </c>
      <c r="F7948" s="2" t="s">
        <v>10086</v>
      </c>
      <c r="H7948" s="2">
        <v>1.6999999999999999E-3</v>
      </c>
      <c r="K7948" s="2" t="s">
        <v>10088</v>
      </c>
    </row>
    <row r="7949" spans="1:11" x14ac:dyDescent="0.2">
      <c r="A7949" s="2">
        <v>1989</v>
      </c>
      <c r="B7949" s="2">
        <v>14</v>
      </c>
      <c r="C7949" s="2">
        <v>57460782</v>
      </c>
      <c r="D7949" s="2">
        <v>58447798</v>
      </c>
      <c r="E7949" s="2">
        <v>3</v>
      </c>
      <c r="F7949" s="2" t="s">
        <v>10086</v>
      </c>
      <c r="H7949" s="2">
        <v>1.8E-3</v>
      </c>
      <c r="K7949" s="2" t="s">
        <v>10089</v>
      </c>
    </row>
    <row r="7950" spans="1:11" x14ac:dyDescent="0.2">
      <c r="A7950" s="2">
        <v>1989</v>
      </c>
      <c r="B7950" s="2">
        <v>14</v>
      </c>
      <c r="C7950" s="2">
        <v>57460782</v>
      </c>
      <c r="D7950" s="2">
        <v>58447798</v>
      </c>
      <c r="E7950" s="2">
        <v>4</v>
      </c>
      <c r="F7950" s="2" t="s">
        <v>10086</v>
      </c>
      <c r="H7950" s="3">
        <v>5.9999999999999995E-4</v>
      </c>
      <c r="K7950" s="2" t="s">
        <v>10087</v>
      </c>
    </row>
    <row r="7951" spans="1:11" x14ac:dyDescent="0.2">
      <c r="A7951" s="2">
        <v>1990</v>
      </c>
      <c r="B7951" s="2">
        <v>14</v>
      </c>
      <c r="C7951" s="2">
        <v>58447799</v>
      </c>
      <c r="D7951" s="2">
        <v>59447537</v>
      </c>
      <c r="E7951" s="2">
        <v>1</v>
      </c>
      <c r="F7951" s="2" t="s">
        <v>10086</v>
      </c>
      <c r="H7951" s="2">
        <v>1E-3</v>
      </c>
      <c r="K7951" s="2" t="s">
        <v>10087</v>
      </c>
    </row>
    <row r="7952" spans="1:11" x14ac:dyDescent="0.2">
      <c r="A7952" s="2">
        <v>1990</v>
      </c>
      <c r="B7952" s="2">
        <v>14</v>
      </c>
      <c r="C7952" s="2">
        <v>58447799</v>
      </c>
      <c r="D7952" s="2">
        <v>59447537</v>
      </c>
      <c r="E7952" s="2">
        <v>2</v>
      </c>
      <c r="F7952" s="2" t="s">
        <v>10086</v>
      </c>
      <c r="H7952" s="3">
        <v>8.9999999999999998E-4</v>
      </c>
      <c r="K7952" s="2" t="s">
        <v>10089</v>
      </c>
    </row>
    <row r="7953" spans="1:11" x14ac:dyDescent="0.2">
      <c r="A7953" s="2">
        <v>1990</v>
      </c>
      <c r="B7953" s="2">
        <v>14</v>
      </c>
      <c r="C7953" s="2">
        <v>58447799</v>
      </c>
      <c r="D7953" s="2">
        <v>59447537</v>
      </c>
      <c r="E7953" s="2">
        <v>3</v>
      </c>
      <c r="F7953" s="2" t="s">
        <v>10086</v>
      </c>
      <c r="H7953" s="3">
        <v>5.9999999999999995E-4</v>
      </c>
      <c r="K7953" s="2" t="s">
        <v>10085</v>
      </c>
    </row>
    <row r="7954" spans="1:11" x14ac:dyDescent="0.2">
      <c r="A7954" s="2">
        <v>1990</v>
      </c>
      <c r="B7954" s="2">
        <v>14</v>
      </c>
      <c r="C7954" s="2">
        <v>58447799</v>
      </c>
      <c r="D7954" s="2">
        <v>59447537</v>
      </c>
      <c r="E7954" s="2">
        <v>4</v>
      </c>
      <c r="F7954" s="2" t="s">
        <v>10086</v>
      </c>
      <c r="H7954" s="3">
        <v>2.9999999999999997E-4</v>
      </c>
      <c r="K7954" s="2" t="s">
        <v>10088</v>
      </c>
    </row>
    <row r="7955" spans="1:11" x14ac:dyDescent="0.2">
      <c r="A7955" s="2">
        <v>1991</v>
      </c>
      <c r="B7955" s="2">
        <v>14</v>
      </c>
      <c r="C7955" s="2">
        <v>59447538</v>
      </c>
      <c r="D7955" s="2">
        <v>60099482</v>
      </c>
      <c r="E7955" s="2">
        <v>1</v>
      </c>
      <c r="F7955" s="2" t="s">
        <v>10086</v>
      </c>
      <c r="H7955" s="2">
        <v>6.4999999999999997E-3</v>
      </c>
      <c r="K7955" s="2" t="s">
        <v>10089</v>
      </c>
    </row>
    <row r="7956" spans="1:11" x14ac:dyDescent="0.2">
      <c r="A7956" s="2">
        <v>1991</v>
      </c>
      <c r="B7956" s="2">
        <v>14</v>
      </c>
      <c r="C7956" s="2">
        <v>59447538</v>
      </c>
      <c r="D7956" s="2">
        <v>60099482</v>
      </c>
      <c r="E7956" s="2">
        <v>2</v>
      </c>
      <c r="F7956" s="2" t="s">
        <v>10086</v>
      </c>
      <c r="H7956" s="2">
        <v>1.4E-3</v>
      </c>
      <c r="K7956" s="2" t="s">
        <v>10087</v>
      </c>
    </row>
    <row r="7957" spans="1:11" x14ac:dyDescent="0.2">
      <c r="A7957" s="2">
        <v>1991</v>
      </c>
      <c r="B7957" s="2">
        <v>14</v>
      </c>
      <c r="C7957" s="2">
        <v>59447538</v>
      </c>
      <c r="D7957" s="2">
        <v>60099482</v>
      </c>
      <c r="E7957" s="2">
        <v>3</v>
      </c>
      <c r="F7957" s="2" t="s">
        <v>10086</v>
      </c>
      <c r="H7957" s="3">
        <v>8.0000000000000004E-4</v>
      </c>
      <c r="K7957" s="2" t="s">
        <v>10088</v>
      </c>
    </row>
    <row r="7958" spans="1:11" x14ac:dyDescent="0.2">
      <c r="A7958" s="2">
        <v>1991</v>
      </c>
      <c r="B7958" s="2">
        <v>14</v>
      </c>
      <c r="C7958" s="2">
        <v>59447538</v>
      </c>
      <c r="D7958" s="2">
        <v>60099482</v>
      </c>
      <c r="E7958" s="2">
        <v>4</v>
      </c>
      <c r="F7958" s="2" t="s">
        <v>10086</v>
      </c>
      <c r="H7958" s="3">
        <v>2.0000000000000001E-4</v>
      </c>
      <c r="K7958" s="2" t="s">
        <v>10085</v>
      </c>
    </row>
    <row r="7959" spans="1:11" x14ac:dyDescent="0.2">
      <c r="A7959" s="2">
        <v>1992</v>
      </c>
      <c r="B7959" s="2">
        <v>14</v>
      </c>
      <c r="C7959" s="2">
        <v>60099483</v>
      </c>
      <c r="D7959" s="2">
        <v>61652816</v>
      </c>
      <c r="E7959" s="2">
        <v>1</v>
      </c>
      <c r="F7959" s="2" t="s">
        <v>10086</v>
      </c>
      <c r="H7959" s="2">
        <v>2.8E-3</v>
      </c>
      <c r="K7959" s="2" t="s">
        <v>10089</v>
      </c>
    </row>
    <row r="7960" spans="1:11" x14ac:dyDescent="0.2">
      <c r="A7960" s="2">
        <v>1992</v>
      </c>
      <c r="B7960" s="2">
        <v>14</v>
      </c>
      <c r="C7960" s="2">
        <v>60099483</v>
      </c>
      <c r="D7960" s="2">
        <v>61652816</v>
      </c>
      <c r="E7960" s="2">
        <v>2</v>
      </c>
      <c r="F7960" s="2" t="s">
        <v>10086</v>
      </c>
      <c r="H7960" s="2">
        <v>1.8E-3</v>
      </c>
      <c r="K7960" s="2" t="s">
        <v>10085</v>
      </c>
    </row>
    <row r="7961" spans="1:11" x14ac:dyDescent="0.2">
      <c r="A7961" s="2">
        <v>1992</v>
      </c>
      <c r="B7961" s="2">
        <v>14</v>
      </c>
      <c r="C7961" s="2">
        <v>60099483</v>
      </c>
      <c r="D7961" s="2">
        <v>61652816</v>
      </c>
      <c r="E7961" s="2">
        <v>3</v>
      </c>
      <c r="F7961" s="2" t="s">
        <v>10086</v>
      </c>
      <c r="H7961" s="2">
        <v>1E-3</v>
      </c>
      <c r="K7961" s="2" t="s">
        <v>12324</v>
      </c>
    </row>
    <row r="7962" spans="1:11" x14ac:dyDescent="0.2">
      <c r="A7962" s="2">
        <v>1992</v>
      </c>
      <c r="B7962" s="2">
        <v>14</v>
      </c>
      <c r="C7962" s="2">
        <v>60099483</v>
      </c>
      <c r="D7962" s="2">
        <v>61652816</v>
      </c>
      <c r="E7962" s="2">
        <v>4</v>
      </c>
      <c r="F7962" s="2" t="s">
        <v>10086</v>
      </c>
      <c r="H7962" s="3">
        <v>8.9999999999999998E-4</v>
      </c>
      <c r="K7962" s="2" t="s">
        <v>10087</v>
      </c>
    </row>
    <row r="7963" spans="1:11" x14ac:dyDescent="0.2">
      <c r="A7963" s="2">
        <v>1993</v>
      </c>
      <c r="B7963" s="2">
        <v>14</v>
      </c>
      <c r="C7963" s="2">
        <v>61652817</v>
      </c>
      <c r="D7963" s="2">
        <v>62717985</v>
      </c>
      <c r="E7963" s="2">
        <v>1</v>
      </c>
      <c r="F7963" s="2" t="s">
        <v>10086</v>
      </c>
      <c r="H7963" s="2">
        <v>2.0999999999999999E-3</v>
      </c>
      <c r="K7963" s="2" t="s">
        <v>10089</v>
      </c>
    </row>
    <row r="7964" spans="1:11" x14ac:dyDescent="0.2">
      <c r="A7964" s="2">
        <v>1993</v>
      </c>
      <c r="B7964" s="2">
        <v>14</v>
      </c>
      <c r="C7964" s="2">
        <v>61652817</v>
      </c>
      <c r="D7964" s="2">
        <v>62717985</v>
      </c>
      <c r="E7964" s="2">
        <v>2</v>
      </c>
      <c r="F7964" s="2" t="s">
        <v>10086</v>
      </c>
      <c r="H7964" s="2">
        <v>2.2000000000000001E-3</v>
      </c>
      <c r="K7964" s="2" t="s">
        <v>10088</v>
      </c>
    </row>
    <row r="7965" spans="1:11" x14ac:dyDescent="0.2">
      <c r="A7965" s="2">
        <v>1993</v>
      </c>
      <c r="B7965" s="2">
        <v>14</v>
      </c>
      <c r="C7965" s="2">
        <v>61652817</v>
      </c>
      <c r="D7965" s="2">
        <v>62717985</v>
      </c>
      <c r="E7965" s="2">
        <v>3</v>
      </c>
      <c r="F7965" s="2" t="s">
        <v>10086</v>
      </c>
      <c r="H7965" s="2">
        <v>1.1999999999999999E-3</v>
      </c>
      <c r="K7965" s="2" t="s">
        <v>10087</v>
      </c>
    </row>
    <row r="7966" spans="1:11" x14ac:dyDescent="0.2">
      <c r="A7966" s="2">
        <v>1993</v>
      </c>
      <c r="B7966" s="2">
        <v>14</v>
      </c>
      <c r="C7966" s="2">
        <v>61652817</v>
      </c>
      <c r="D7966" s="2">
        <v>62717985</v>
      </c>
      <c r="E7966" s="2">
        <v>4</v>
      </c>
      <c r="F7966" s="2" t="s">
        <v>10086</v>
      </c>
      <c r="H7966" s="3">
        <v>5.9999999999999995E-4</v>
      </c>
      <c r="K7966" s="2" t="s">
        <v>10085</v>
      </c>
    </row>
    <row r="7967" spans="1:11" x14ac:dyDescent="0.2">
      <c r="A7967" s="2">
        <v>1994</v>
      </c>
      <c r="B7967" s="2">
        <v>14</v>
      </c>
      <c r="C7967" s="2">
        <v>62717986</v>
      </c>
      <c r="D7967" s="2">
        <v>64033237</v>
      </c>
      <c r="E7967" s="2">
        <v>1</v>
      </c>
      <c r="F7967" s="2" t="s">
        <v>10086</v>
      </c>
      <c r="H7967" s="2">
        <v>2.0999999999999999E-3</v>
      </c>
      <c r="K7967" s="2" t="s">
        <v>10087</v>
      </c>
    </row>
    <row r="7968" spans="1:11" x14ac:dyDescent="0.2">
      <c r="A7968" s="2">
        <v>1994</v>
      </c>
      <c r="B7968" s="2">
        <v>14</v>
      </c>
      <c r="C7968" s="2">
        <v>62717986</v>
      </c>
      <c r="D7968" s="2">
        <v>64033237</v>
      </c>
      <c r="E7968" s="2">
        <v>2</v>
      </c>
      <c r="F7968" s="2" t="s">
        <v>10086</v>
      </c>
      <c r="H7968" s="2">
        <v>1.4E-3</v>
      </c>
      <c r="K7968" s="2" t="s">
        <v>10089</v>
      </c>
    </row>
    <row r="7969" spans="1:11" x14ac:dyDescent="0.2">
      <c r="A7969" s="2">
        <v>1994</v>
      </c>
      <c r="B7969" s="2">
        <v>14</v>
      </c>
      <c r="C7969" s="2">
        <v>62717986</v>
      </c>
      <c r="D7969" s="2">
        <v>64033237</v>
      </c>
      <c r="E7969" s="2">
        <v>3</v>
      </c>
      <c r="F7969" s="2" t="s">
        <v>10086</v>
      </c>
      <c r="H7969" s="2">
        <v>1.1999999999999999E-3</v>
      </c>
      <c r="K7969" s="2" t="s">
        <v>10085</v>
      </c>
    </row>
    <row r="7970" spans="1:11" x14ac:dyDescent="0.2">
      <c r="A7970" s="2">
        <v>1994</v>
      </c>
      <c r="B7970" s="2">
        <v>14</v>
      </c>
      <c r="C7970" s="2">
        <v>62717986</v>
      </c>
      <c r="D7970" s="2">
        <v>64033237</v>
      </c>
      <c r="E7970" s="2">
        <v>4</v>
      </c>
      <c r="F7970" s="2" t="s">
        <v>10086</v>
      </c>
      <c r="H7970" s="3">
        <v>6.9999999999999999E-4</v>
      </c>
      <c r="K7970" s="2" t="s">
        <v>10088</v>
      </c>
    </row>
    <row r="7971" spans="1:11" x14ac:dyDescent="0.2">
      <c r="A7971" s="2">
        <v>1995</v>
      </c>
      <c r="B7971" s="2">
        <v>14</v>
      </c>
      <c r="C7971" s="2">
        <v>64033238</v>
      </c>
      <c r="D7971" s="2">
        <v>65229391</v>
      </c>
      <c r="E7971" s="2">
        <v>1</v>
      </c>
      <c r="F7971" s="2" t="s">
        <v>10086</v>
      </c>
      <c r="H7971" s="2">
        <v>5.1000000000000004E-3</v>
      </c>
      <c r="K7971" s="2" t="s">
        <v>10087</v>
      </c>
    </row>
    <row r="7972" spans="1:11" x14ac:dyDescent="0.2">
      <c r="A7972" s="2">
        <v>1995</v>
      </c>
      <c r="B7972" s="2">
        <v>14</v>
      </c>
      <c r="C7972" s="2">
        <v>64033238</v>
      </c>
      <c r="D7972" s="2">
        <v>65229391</v>
      </c>
      <c r="E7972" s="2">
        <v>2</v>
      </c>
      <c r="F7972" s="2" t="s">
        <v>10086</v>
      </c>
      <c r="H7972" s="2">
        <v>2.3999999999999998E-3</v>
      </c>
      <c r="K7972" s="2" t="s">
        <v>10089</v>
      </c>
    </row>
    <row r="7973" spans="1:11" x14ac:dyDescent="0.2">
      <c r="A7973" s="2">
        <v>1995</v>
      </c>
      <c r="B7973" s="2">
        <v>14</v>
      </c>
      <c r="C7973" s="2">
        <v>64033238</v>
      </c>
      <c r="D7973" s="2">
        <v>65229391</v>
      </c>
      <c r="E7973" s="2">
        <v>3</v>
      </c>
      <c r="F7973" s="2" t="s">
        <v>10086</v>
      </c>
      <c r="H7973" s="2">
        <v>2.0999999999999999E-3</v>
      </c>
      <c r="K7973" s="2" t="s">
        <v>10088</v>
      </c>
    </row>
    <row r="7974" spans="1:11" x14ac:dyDescent="0.2">
      <c r="A7974" s="2">
        <v>1995</v>
      </c>
      <c r="B7974" s="2">
        <v>14</v>
      </c>
      <c r="C7974" s="2">
        <v>64033238</v>
      </c>
      <c r="D7974" s="2">
        <v>65229391</v>
      </c>
      <c r="E7974" s="2">
        <v>4</v>
      </c>
      <c r="F7974" s="2" t="s">
        <v>10086</v>
      </c>
      <c r="H7974" s="3">
        <v>5.9999999999999995E-4</v>
      </c>
      <c r="K7974" s="2" t="s">
        <v>10085</v>
      </c>
    </row>
    <row r="7975" spans="1:11" x14ac:dyDescent="0.2">
      <c r="A7975" s="2">
        <v>1996</v>
      </c>
      <c r="B7975" s="2">
        <v>14</v>
      </c>
      <c r="C7975" s="2">
        <v>65229392</v>
      </c>
      <c r="D7975" s="2">
        <v>66300066</v>
      </c>
      <c r="E7975" s="2">
        <v>1</v>
      </c>
      <c r="F7975" s="2" t="s">
        <v>10086</v>
      </c>
      <c r="H7975" s="2">
        <v>3.3E-3</v>
      </c>
      <c r="K7975" s="2" t="s">
        <v>10088</v>
      </c>
    </row>
    <row r="7976" spans="1:11" x14ac:dyDescent="0.2">
      <c r="A7976" s="2">
        <v>1996</v>
      </c>
      <c r="B7976" s="2">
        <v>14</v>
      </c>
      <c r="C7976" s="2">
        <v>65229392</v>
      </c>
      <c r="D7976" s="2">
        <v>66300066</v>
      </c>
      <c r="E7976" s="2">
        <v>2</v>
      </c>
      <c r="F7976" s="2" t="s">
        <v>10086</v>
      </c>
      <c r="H7976" s="2">
        <v>2.3E-3</v>
      </c>
      <c r="K7976" s="2" t="s">
        <v>10089</v>
      </c>
    </row>
    <row r="7977" spans="1:11" x14ac:dyDescent="0.2">
      <c r="A7977" s="2">
        <v>1996</v>
      </c>
      <c r="B7977" s="2">
        <v>14</v>
      </c>
      <c r="C7977" s="2">
        <v>65229392</v>
      </c>
      <c r="D7977" s="2">
        <v>66300066</v>
      </c>
      <c r="E7977" s="2">
        <v>3</v>
      </c>
      <c r="F7977" s="2" t="s">
        <v>10086</v>
      </c>
      <c r="H7977" s="2">
        <v>1E-3</v>
      </c>
      <c r="K7977" s="2" t="s">
        <v>10085</v>
      </c>
    </row>
    <row r="7978" spans="1:11" x14ac:dyDescent="0.2">
      <c r="A7978" s="2">
        <v>1996</v>
      </c>
      <c r="B7978" s="2">
        <v>14</v>
      </c>
      <c r="C7978" s="2">
        <v>65229392</v>
      </c>
      <c r="D7978" s="2">
        <v>66300066</v>
      </c>
      <c r="E7978" s="2">
        <v>4</v>
      </c>
      <c r="F7978" s="2" t="s">
        <v>10086</v>
      </c>
      <c r="H7978" s="3">
        <v>5.0000000000000001E-4</v>
      </c>
      <c r="K7978" s="2" t="s">
        <v>10087</v>
      </c>
    </row>
    <row r="7979" spans="1:11" x14ac:dyDescent="0.2">
      <c r="A7979" s="2">
        <v>1997</v>
      </c>
      <c r="B7979" s="2">
        <v>14</v>
      </c>
      <c r="C7979" s="2">
        <v>66300067</v>
      </c>
      <c r="D7979" s="2">
        <v>67891839</v>
      </c>
      <c r="E7979" s="2">
        <v>1</v>
      </c>
      <c r="F7979" s="2" t="s">
        <v>10086</v>
      </c>
      <c r="H7979" s="2">
        <v>1.5E-3</v>
      </c>
      <c r="K7979" s="2" t="s">
        <v>10089</v>
      </c>
    </row>
    <row r="7980" spans="1:11" x14ac:dyDescent="0.2">
      <c r="A7980" s="2">
        <v>1997</v>
      </c>
      <c r="B7980" s="2">
        <v>14</v>
      </c>
      <c r="C7980" s="2">
        <v>66300067</v>
      </c>
      <c r="D7980" s="2">
        <v>67891839</v>
      </c>
      <c r="E7980" s="2">
        <v>2</v>
      </c>
      <c r="F7980" s="2" t="s">
        <v>10086</v>
      </c>
      <c r="H7980" s="2">
        <v>1.5E-3</v>
      </c>
      <c r="K7980" s="2" t="s">
        <v>10088</v>
      </c>
    </row>
    <row r="7981" spans="1:11" x14ac:dyDescent="0.2">
      <c r="A7981" s="2">
        <v>1997</v>
      </c>
      <c r="B7981" s="2">
        <v>14</v>
      </c>
      <c r="C7981" s="2">
        <v>66300067</v>
      </c>
      <c r="D7981" s="2">
        <v>67891839</v>
      </c>
      <c r="E7981" s="2">
        <v>3</v>
      </c>
      <c r="F7981" s="2" t="s">
        <v>10086</v>
      </c>
      <c r="H7981" s="2">
        <v>3.2000000000000002E-3</v>
      </c>
      <c r="K7981" s="2" t="s">
        <v>10085</v>
      </c>
    </row>
    <row r="7982" spans="1:11" x14ac:dyDescent="0.2">
      <c r="A7982" s="2">
        <v>1997</v>
      </c>
      <c r="B7982" s="2">
        <v>14</v>
      </c>
      <c r="C7982" s="2">
        <v>66300067</v>
      </c>
      <c r="D7982" s="2">
        <v>67891839</v>
      </c>
      <c r="E7982" s="2">
        <v>4</v>
      </c>
      <c r="F7982" s="2" t="s">
        <v>10086</v>
      </c>
      <c r="H7982" s="3">
        <v>6.9999999999999999E-4</v>
      </c>
      <c r="K7982" s="2" t="s">
        <v>10087</v>
      </c>
    </row>
    <row r="7983" spans="1:11" x14ac:dyDescent="0.2">
      <c r="A7983" s="2">
        <v>1998</v>
      </c>
      <c r="B7983" s="2">
        <v>14</v>
      </c>
      <c r="C7983" s="2">
        <v>67891840</v>
      </c>
      <c r="D7983" s="2">
        <v>68976912</v>
      </c>
      <c r="E7983" s="2">
        <v>1</v>
      </c>
      <c r="F7983" s="2" t="s">
        <v>10086</v>
      </c>
      <c r="H7983" s="2">
        <v>1.2999999999999999E-3</v>
      </c>
      <c r="K7983" s="2" t="s">
        <v>10087</v>
      </c>
    </row>
    <row r="7984" spans="1:11" x14ac:dyDescent="0.2">
      <c r="A7984" s="2">
        <v>1998</v>
      </c>
      <c r="B7984" s="2">
        <v>14</v>
      </c>
      <c r="C7984" s="2">
        <v>67891840</v>
      </c>
      <c r="D7984" s="2">
        <v>68976912</v>
      </c>
      <c r="E7984" s="2">
        <v>2</v>
      </c>
      <c r="F7984" s="2" t="s">
        <v>10086</v>
      </c>
      <c r="H7984" s="2">
        <v>1.1000000000000001E-3</v>
      </c>
      <c r="K7984" s="2" t="s">
        <v>10085</v>
      </c>
    </row>
    <row r="7985" spans="1:11" x14ac:dyDescent="0.2">
      <c r="A7985" s="2">
        <v>1998</v>
      </c>
      <c r="B7985" s="2">
        <v>14</v>
      </c>
      <c r="C7985" s="2">
        <v>67891840</v>
      </c>
      <c r="D7985" s="2">
        <v>68976912</v>
      </c>
      <c r="E7985" s="2">
        <v>3</v>
      </c>
      <c r="F7985" s="2" t="s">
        <v>10086</v>
      </c>
      <c r="H7985" s="2">
        <v>1.1000000000000001E-3</v>
      </c>
      <c r="K7985" s="2" t="s">
        <v>10088</v>
      </c>
    </row>
    <row r="7986" spans="1:11" x14ac:dyDescent="0.2">
      <c r="A7986" s="2">
        <v>1998</v>
      </c>
      <c r="B7986" s="2">
        <v>14</v>
      </c>
      <c r="C7986" s="2">
        <v>67891840</v>
      </c>
      <c r="D7986" s="2">
        <v>68976912</v>
      </c>
      <c r="E7986" s="2">
        <v>4</v>
      </c>
      <c r="F7986" s="2" t="s">
        <v>10086</v>
      </c>
      <c r="H7986" s="3">
        <v>5.0000000000000001E-4</v>
      </c>
      <c r="K7986" s="2" t="s">
        <v>10089</v>
      </c>
    </row>
    <row r="7987" spans="1:11" x14ac:dyDescent="0.2">
      <c r="A7987" s="2">
        <v>1999</v>
      </c>
      <c r="B7987" s="2">
        <v>14</v>
      </c>
      <c r="C7987" s="2">
        <v>68976913</v>
      </c>
      <c r="D7987" s="2">
        <v>69794542</v>
      </c>
      <c r="E7987" s="2">
        <v>1</v>
      </c>
      <c r="F7987" s="2" t="s">
        <v>10086</v>
      </c>
      <c r="H7987" s="2">
        <v>1.1000000000000001E-3</v>
      </c>
      <c r="K7987" s="2" t="s">
        <v>10088</v>
      </c>
    </row>
    <row r="7988" spans="1:11" x14ac:dyDescent="0.2">
      <c r="A7988" s="2">
        <v>1999</v>
      </c>
      <c r="B7988" s="2">
        <v>14</v>
      </c>
      <c r="C7988" s="2">
        <v>68976913</v>
      </c>
      <c r="D7988" s="2">
        <v>69794542</v>
      </c>
      <c r="E7988" s="2">
        <v>2</v>
      </c>
      <c r="F7988" s="2" t="s">
        <v>10086</v>
      </c>
      <c r="H7988" s="3">
        <v>8.0000000000000004E-4</v>
      </c>
      <c r="K7988" s="2" t="s">
        <v>10089</v>
      </c>
    </row>
    <row r="7989" spans="1:11" x14ac:dyDescent="0.2">
      <c r="A7989" s="2">
        <v>1999</v>
      </c>
      <c r="B7989" s="2">
        <v>14</v>
      </c>
      <c r="C7989" s="2">
        <v>68976913</v>
      </c>
      <c r="D7989" s="2">
        <v>69794542</v>
      </c>
      <c r="E7989" s="2">
        <v>3</v>
      </c>
      <c r="F7989" s="2" t="s">
        <v>10086</v>
      </c>
      <c r="H7989" s="3">
        <v>5.0000000000000001E-4</v>
      </c>
      <c r="K7989" s="2" t="s">
        <v>10085</v>
      </c>
    </row>
    <row r="7990" spans="1:11" x14ac:dyDescent="0.2">
      <c r="A7990" s="2">
        <v>1999</v>
      </c>
      <c r="B7990" s="2">
        <v>14</v>
      </c>
      <c r="C7990" s="2">
        <v>68976913</v>
      </c>
      <c r="D7990" s="2">
        <v>69794542</v>
      </c>
      <c r="E7990" s="2">
        <v>4</v>
      </c>
      <c r="F7990" s="2" t="s">
        <v>10086</v>
      </c>
      <c r="H7990" s="3">
        <v>2.0000000000000001E-4</v>
      </c>
      <c r="K7990" s="2" t="s">
        <v>10087</v>
      </c>
    </row>
    <row r="7991" spans="1:11" x14ac:dyDescent="0.2">
      <c r="A7991" s="2">
        <v>2000</v>
      </c>
      <c r="B7991" s="2">
        <v>14</v>
      </c>
      <c r="C7991" s="2">
        <v>69794543</v>
      </c>
      <c r="D7991" s="2">
        <v>71140426</v>
      </c>
      <c r="E7991" s="2">
        <v>1</v>
      </c>
      <c r="F7991" s="2" t="s">
        <v>10086</v>
      </c>
      <c r="H7991" s="2">
        <v>2.5999999999999999E-3</v>
      </c>
      <c r="K7991" s="2" t="s">
        <v>10087</v>
      </c>
    </row>
    <row r="7992" spans="1:11" x14ac:dyDescent="0.2">
      <c r="A7992" s="2">
        <v>2000</v>
      </c>
      <c r="B7992" s="2">
        <v>14</v>
      </c>
      <c r="C7992" s="2">
        <v>69794543</v>
      </c>
      <c r="D7992" s="2">
        <v>71140426</v>
      </c>
      <c r="E7992" s="2">
        <v>2</v>
      </c>
      <c r="F7992" s="2" t="s">
        <v>10086</v>
      </c>
      <c r="H7992" s="2">
        <v>1.6000000000000001E-3</v>
      </c>
      <c r="K7992" s="2" t="s">
        <v>10089</v>
      </c>
    </row>
    <row r="7993" spans="1:11" x14ac:dyDescent="0.2">
      <c r="A7993" s="2">
        <v>2000</v>
      </c>
      <c r="B7993" s="2">
        <v>14</v>
      </c>
      <c r="C7993" s="2">
        <v>69794543</v>
      </c>
      <c r="D7993" s="2">
        <v>71140426</v>
      </c>
      <c r="E7993" s="2">
        <v>3</v>
      </c>
      <c r="F7993" s="2" t="s">
        <v>10086</v>
      </c>
      <c r="H7993" s="2">
        <v>1.5E-3</v>
      </c>
      <c r="K7993" s="2" t="s">
        <v>12324</v>
      </c>
    </row>
    <row r="7994" spans="1:11" x14ac:dyDescent="0.2">
      <c r="A7994" s="2">
        <v>2000</v>
      </c>
      <c r="B7994" s="2">
        <v>14</v>
      </c>
      <c r="C7994" s="2">
        <v>69794543</v>
      </c>
      <c r="D7994" s="2">
        <v>71140426</v>
      </c>
      <c r="E7994" s="2">
        <v>4</v>
      </c>
      <c r="F7994" s="2" t="s">
        <v>10086</v>
      </c>
      <c r="H7994" s="2">
        <v>1E-3</v>
      </c>
      <c r="K7994" s="2" t="s">
        <v>10085</v>
      </c>
    </row>
    <row r="7995" spans="1:11" x14ac:dyDescent="0.2">
      <c r="A7995" s="2">
        <v>2001</v>
      </c>
      <c r="B7995" s="2">
        <v>14</v>
      </c>
      <c r="C7995" s="2">
        <v>71140427</v>
      </c>
      <c r="D7995" s="2">
        <v>72665319</v>
      </c>
      <c r="E7995" s="2">
        <v>1</v>
      </c>
      <c r="F7995" s="2" t="s">
        <v>10086</v>
      </c>
      <c r="H7995" s="2">
        <v>2.3999999999999998E-3</v>
      </c>
      <c r="K7995" s="2" t="s">
        <v>10088</v>
      </c>
    </row>
    <row r="7996" spans="1:11" x14ac:dyDescent="0.2">
      <c r="A7996" s="2">
        <v>2001</v>
      </c>
      <c r="B7996" s="2">
        <v>14</v>
      </c>
      <c r="C7996" s="2">
        <v>71140427</v>
      </c>
      <c r="D7996" s="2">
        <v>72665319</v>
      </c>
      <c r="E7996" s="2">
        <v>2</v>
      </c>
      <c r="F7996" s="2" t="s">
        <v>10086</v>
      </c>
      <c r="H7996" s="2">
        <v>1.1999999999999999E-3</v>
      </c>
      <c r="K7996" s="2" t="s">
        <v>10085</v>
      </c>
    </row>
    <row r="7997" spans="1:11" x14ac:dyDescent="0.2">
      <c r="A7997" s="2">
        <v>2001</v>
      </c>
      <c r="B7997" s="2">
        <v>14</v>
      </c>
      <c r="C7997" s="2">
        <v>71140427</v>
      </c>
      <c r="D7997" s="2">
        <v>72665319</v>
      </c>
      <c r="E7997" s="2">
        <v>3</v>
      </c>
      <c r="F7997" s="2" t="s">
        <v>10086</v>
      </c>
      <c r="H7997" s="2">
        <v>1.2999999999999999E-3</v>
      </c>
      <c r="K7997" s="2" t="s">
        <v>10089</v>
      </c>
    </row>
    <row r="7998" spans="1:11" x14ac:dyDescent="0.2">
      <c r="A7998" s="2">
        <v>2001</v>
      </c>
      <c r="B7998" s="2">
        <v>14</v>
      </c>
      <c r="C7998" s="2">
        <v>71140427</v>
      </c>
      <c r="D7998" s="2">
        <v>72665319</v>
      </c>
      <c r="E7998" s="2">
        <v>4</v>
      </c>
      <c r="F7998" s="2" t="s">
        <v>10086</v>
      </c>
      <c r="H7998" s="3">
        <v>6.9999999999999999E-4</v>
      </c>
      <c r="K7998" s="2" t="s">
        <v>10087</v>
      </c>
    </row>
    <row r="7999" spans="1:11" x14ac:dyDescent="0.2">
      <c r="A7999" s="2">
        <v>2002</v>
      </c>
      <c r="B7999" s="2">
        <v>14</v>
      </c>
      <c r="C7999" s="2">
        <v>72665320</v>
      </c>
      <c r="D7999" s="2">
        <v>73373373</v>
      </c>
      <c r="E7999" s="2">
        <v>1</v>
      </c>
      <c r="F7999" s="2" t="s">
        <v>10086</v>
      </c>
      <c r="H7999" s="2">
        <v>2.2000000000000001E-3</v>
      </c>
      <c r="K7999" s="2" t="s">
        <v>10088</v>
      </c>
    </row>
    <row r="8000" spans="1:11" x14ac:dyDescent="0.2">
      <c r="A8000" s="2">
        <v>2002</v>
      </c>
      <c r="B8000" s="2">
        <v>14</v>
      </c>
      <c r="C8000" s="2">
        <v>72665320</v>
      </c>
      <c r="D8000" s="2">
        <v>73373373</v>
      </c>
      <c r="E8000" s="2">
        <v>2</v>
      </c>
      <c r="F8000" s="2" t="s">
        <v>10086</v>
      </c>
      <c r="H8000" s="2">
        <v>2.2000000000000001E-3</v>
      </c>
      <c r="K8000" s="2" t="s">
        <v>10087</v>
      </c>
    </row>
    <row r="8001" spans="1:11" x14ac:dyDescent="0.2">
      <c r="A8001" s="2">
        <v>2002</v>
      </c>
      <c r="B8001" s="2">
        <v>14</v>
      </c>
      <c r="C8001" s="2">
        <v>72665320</v>
      </c>
      <c r="D8001" s="2">
        <v>73373373</v>
      </c>
      <c r="E8001" s="2">
        <v>3</v>
      </c>
      <c r="F8001" s="2" t="s">
        <v>10086</v>
      </c>
      <c r="H8001" s="2">
        <v>1.6999999999999999E-3</v>
      </c>
      <c r="K8001" s="2" t="s">
        <v>10085</v>
      </c>
    </row>
    <row r="8002" spans="1:11" x14ac:dyDescent="0.2">
      <c r="A8002" s="2">
        <v>2002</v>
      </c>
      <c r="B8002" s="2">
        <v>14</v>
      </c>
      <c r="C8002" s="2">
        <v>72665320</v>
      </c>
      <c r="D8002" s="2">
        <v>73373373</v>
      </c>
      <c r="E8002" s="2">
        <v>4</v>
      </c>
      <c r="F8002" s="2" t="s">
        <v>10086</v>
      </c>
      <c r="H8002" s="3">
        <v>8.9999999999999998E-4</v>
      </c>
      <c r="K8002" s="2" t="s">
        <v>10089</v>
      </c>
    </row>
    <row r="8003" spans="1:11" x14ac:dyDescent="0.2">
      <c r="A8003" s="2">
        <v>2003</v>
      </c>
      <c r="B8003" s="2">
        <v>14</v>
      </c>
      <c r="C8003" s="2">
        <v>73373374</v>
      </c>
      <c r="D8003" s="2">
        <v>74245428</v>
      </c>
      <c r="E8003" s="2">
        <v>1</v>
      </c>
      <c r="F8003" s="2" t="s">
        <v>10086</v>
      </c>
      <c r="H8003" s="2">
        <v>2.5000000000000001E-3</v>
      </c>
      <c r="K8003" s="2" t="s">
        <v>10088</v>
      </c>
    </row>
    <row r="8004" spans="1:11" x14ac:dyDescent="0.2">
      <c r="A8004" s="2">
        <v>2003</v>
      </c>
      <c r="B8004" s="2">
        <v>14</v>
      </c>
      <c r="C8004" s="2">
        <v>73373374</v>
      </c>
      <c r="D8004" s="2">
        <v>74245428</v>
      </c>
      <c r="E8004" s="2">
        <v>2</v>
      </c>
      <c r="F8004" s="2" t="s">
        <v>10086</v>
      </c>
      <c r="H8004" s="3">
        <v>6.9999999999999999E-4</v>
      </c>
      <c r="K8004" s="2" t="s">
        <v>10087</v>
      </c>
    </row>
    <row r="8005" spans="1:11" x14ac:dyDescent="0.2">
      <c r="A8005" s="2">
        <v>2003</v>
      </c>
      <c r="B8005" s="2">
        <v>14</v>
      </c>
      <c r="C8005" s="2">
        <v>73373374</v>
      </c>
      <c r="D8005" s="2">
        <v>74245428</v>
      </c>
      <c r="E8005" s="2">
        <v>3</v>
      </c>
      <c r="F8005" s="2" t="s">
        <v>10086</v>
      </c>
      <c r="H8005" s="3">
        <v>5.9999999999999995E-4</v>
      </c>
      <c r="K8005" s="2" t="s">
        <v>10089</v>
      </c>
    </row>
    <row r="8006" spans="1:11" x14ac:dyDescent="0.2">
      <c r="A8006" s="2">
        <v>2003</v>
      </c>
      <c r="B8006" s="2">
        <v>14</v>
      </c>
      <c r="C8006" s="2">
        <v>73373374</v>
      </c>
      <c r="D8006" s="2">
        <v>74245428</v>
      </c>
      <c r="E8006" s="2">
        <v>4</v>
      </c>
      <c r="F8006" s="2" t="s">
        <v>10086</v>
      </c>
      <c r="H8006" s="3">
        <v>5.0000000000000001E-4</v>
      </c>
      <c r="K8006" s="2" t="s">
        <v>12324</v>
      </c>
    </row>
    <row r="8007" spans="1:11" x14ac:dyDescent="0.2">
      <c r="A8007" s="2">
        <v>2004</v>
      </c>
      <c r="B8007" s="2">
        <v>14</v>
      </c>
      <c r="C8007" s="2">
        <v>74245429</v>
      </c>
      <c r="D8007" s="2">
        <v>75699501</v>
      </c>
      <c r="E8007" s="2">
        <v>1</v>
      </c>
      <c r="F8007" s="2" t="s">
        <v>10086</v>
      </c>
      <c r="H8007" s="2">
        <v>1.1999999999999999E-3</v>
      </c>
      <c r="K8007" s="2" t="s">
        <v>10085</v>
      </c>
    </row>
    <row r="8008" spans="1:11" x14ac:dyDescent="0.2">
      <c r="A8008" s="2">
        <v>2004</v>
      </c>
      <c r="B8008" s="2">
        <v>14</v>
      </c>
      <c r="C8008" s="2">
        <v>74245429</v>
      </c>
      <c r="D8008" s="2">
        <v>75699501</v>
      </c>
      <c r="E8008" s="2">
        <v>2</v>
      </c>
      <c r="F8008" s="2" t="s">
        <v>10086</v>
      </c>
      <c r="H8008" s="2">
        <v>1E-3</v>
      </c>
      <c r="K8008" s="2" t="s">
        <v>10089</v>
      </c>
    </row>
    <row r="8009" spans="1:11" x14ac:dyDescent="0.2">
      <c r="A8009" s="2">
        <v>2004</v>
      </c>
      <c r="B8009" s="2">
        <v>14</v>
      </c>
      <c r="C8009" s="2">
        <v>74245429</v>
      </c>
      <c r="D8009" s="2">
        <v>75699501</v>
      </c>
      <c r="E8009" s="2">
        <v>3</v>
      </c>
      <c r="F8009" s="2" t="s">
        <v>10086</v>
      </c>
      <c r="H8009" s="2">
        <v>1.2999999999999999E-3</v>
      </c>
      <c r="K8009" s="2" t="s">
        <v>12324</v>
      </c>
    </row>
    <row r="8010" spans="1:11" x14ac:dyDescent="0.2">
      <c r="A8010" s="2">
        <v>2004</v>
      </c>
      <c r="B8010" s="2">
        <v>14</v>
      </c>
      <c r="C8010" s="2">
        <v>74245429</v>
      </c>
      <c r="D8010" s="2">
        <v>75699501</v>
      </c>
      <c r="E8010" s="2">
        <v>4</v>
      </c>
      <c r="F8010" s="2" t="s">
        <v>10086</v>
      </c>
      <c r="H8010" s="3">
        <v>8.9999999999999998E-4</v>
      </c>
      <c r="K8010" s="2" t="s">
        <v>10088</v>
      </c>
    </row>
    <row r="8011" spans="1:11" x14ac:dyDescent="0.2">
      <c r="A8011" s="2">
        <v>2005</v>
      </c>
      <c r="B8011" s="2">
        <v>14</v>
      </c>
      <c r="C8011" s="2">
        <v>75699502</v>
      </c>
      <c r="D8011" s="2">
        <v>76694201</v>
      </c>
      <c r="E8011" s="2">
        <v>1</v>
      </c>
      <c r="F8011" s="2" t="s">
        <v>10086</v>
      </c>
      <c r="H8011" s="2">
        <v>2.8999999999999998E-3</v>
      </c>
      <c r="K8011" s="2" t="s">
        <v>10087</v>
      </c>
    </row>
    <row r="8012" spans="1:11" x14ac:dyDescent="0.2">
      <c r="A8012" s="2">
        <v>2005</v>
      </c>
      <c r="B8012" s="2">
        <v>14</v>
      </c>
      <c r="C8012" s="2">
        <v>75699502</v>
      </c>
      <c r="D8012" s="2">
        <v>76694201</v>
      </c>
      <c r="E8012" s="2">
        <v>2</v>
      </c>
      <c r="F8012" s="2" t="s">
        <v>10086</v>
      </c>
      <c r="H8012" s="2">
        <v>2.3E-3</v>
      </c>
      <c r="K8012" s="2" t="s">
        <v>10085</v>
      </c>
    </row>
    <row r="8013" spans="1:11" x14ac:dyDescent="0.2">
      <c r="A8013" s="2">
        <v>2005</v>
      </c>
      <c r="B8013" s="2">
        <v>14</v>
      </c>
      <c r="C8013" s="2">
        <v>75699502</v>
      </c>
      <c r="D8013" s="2">
        <v>76694201</v>
      </c>
      <c r="E8013" s="2">
        <v>3</v>
      </c>
      <c r="F8013" s="2" t="s">
        <v>10086</v>
      </c>
      <c r="H8013" s="2">
        <v>1.9E-3</v>
      </c>
      <c r="K8013" s="2" t="s">
        <v>10089</v>
      </c>
    </row>
    <row r="8014" spans="1:11" x14ac:dyDescent="0.2">
      <c r="A8014" s="2">
        <v>2005</v>
      </c>
      <c r="B8014" s="2">
        <v>14</v>
      </c>
      <c r="C8014" s="2">
        <v>75699502</v>
      </c>
      <c r="D8014" s="2">
        <v>76694201</v>
      </c>
      <c r="E8014" s="2">
        <v>4</v>
      </c>
      <c r="F8014" s="2" t="s">
        <v>10086</v>
      </c>
      <c r="H8014" s="3">
        <v>5.9999999999999995E-4</v>
      </c>
      <c r="K8014" s="2" t="s">
        <v>10088</v>
      </c>
    </row>
    <row r="8015" spans="1:11" x14ac:dyDescent="0.2">
      <c r="A8015" s="2">
        <v>2006</v>
      </c>
      <c r="B8015" s="2">
        <v>14</v>
      </c>
      <c r="C8015" s="2">
        <v>76694202</v>
      </c>
      <c r="D8015" s="2">
        <v>77425453</v>
      </c>
      <c r="E8015" s="2">
        <v>1</v>
      </c>
      <c r="F8015" s="2" t="s">
        <v>10086</v>
      </c>
      <c r="H8015" s="2">
        <v>1.2999999999999999E-3</v>
      </c>
      <c r="K8015" s="2" t="s">
        <v>10085</v>
      </c>
    </row>
    <row r="8016" spans="1:11" x14ac:dyDescent="0.2">
      <c r="A8016" s="2">
        <v>2006</v>
      </c>
      <c r="B8016" s="2">
        <v>14</v>
      </c>
      <c r="C8016" s="2">
        <v>76694202</v>
      </c>
      <c r="D8016" s="2">
        <v>77425453</v>
      </c>
      <c r="E8016" s="2">
        <v>2</v>
      </c>
      <c r="F8016" s="2" t="s">
        <v>10086</v>
      </c>
      <c r="H8016" s="2">
        <v>1.1999999999999999E-3</v>
      </c>
      <c r="K8016" s="2" t="s">
        <v>10087</v>
      </c>
    </row>
    <row r="8017" spans="1:11" x14ac:dyDescent="0.2">
      <c r="A8017" s="2">
        <v>2006</v>
      </c>
      <c r="B8017" s="2">
        <v>14</v>
      </c>
      <c r="C8017" s="2">
        <v>76694202</v>
      </c>
      <c r="D8017" s="2">
        <v>77425453</v>
      </c>
      <c r="E8017" s="2">
        <v>3</v>
      </c>
      <c r="F8017" s="2" t="s">
        <v>10086</v>
      </c>
      <c r="H8017" s="3">
        <v>8.9999999999999998E-4</v>
      </c>
      <c r="K8017" s="2" t="s">
        <v>10088</v>
      </c>
    </row>
    <row r="8018" spans="1:11" x14ac:dyDescent="0.2">
      <c r="A8018" s="2">
        <v>2006</v>
      </c>
      <c r="B8018" s="2">
        <v>14</v>
      </c>
      <c r="C8018" s="2">
        <v>76694202</v>
      </c>
      <c r="D8018" s="2">
        <v>77425453</v>
      </c>
      <c r="E8018" s="2">
        <v>4</v>
      </c>
      <c r="F8018" s="2" t="s">
        <v>10086</v>
      </c>
      <c r="H8018" s="3">
        <v>5.0000000000000001E-4</v>
      </c>
      <c r="K8018" s="2" t="s">
        <v>10089</v>
      </c>
    </row>
    <row r="8019" spans="1:11" x14ac:dyDescent="0.2">
      <c r="A8019" s="2">
        <v>2007</v>
      </c>
      <c r="B8019" s="2">
        <v>14</v>
      </c>
      <c r="C8019" s="2">
        <v>77425454</v>
      </c>
      <c r="D8019" s="2">
        <v>78374053</v>
      </c>
      <c r="E8019" s="2">
        <v>1</v>
      </c>
      <c r="F8019" s="2" t="s">
        <v>10086</v>
      </c>
      <c r="H8019" s="2">
        <v>1.9E-3</v>
      </c>
      <c r="K8019" s="2" t="s">
        <v>10087</v>
      </c>
    </row>
    <row r="8020" spans="1:11" x14ac:dyDescent="0.2">
      <c r="A8020" s="2">
        <v>2007</v>
      </c>
      <c r="B8020" s="2">
        <v>14</v>
      </c>
      <c r="C8020" s="2">
        <v>77425454</v>
      </c>
      <c r="D8020" s="2">
        <v>78374053</v>
      </c>
      <c r="E8020" s="2">
        <v>2</v>
      </c>
      <c r="F8020" s="2" t="s">
        <v>10086</v>
      </c>
      <c r="H8020" s="2">
        <v>1.1000000000000001E-3</v>
      </c>
      <c r="K8020" s="2" t="s">
        <v>10085</v>
      </c>
    </row>
    <row r="8021" spans="1:11" x14ac:dyDescent="0.2">
      <c r="A8021" s="2">
        <v>2007</v>
      </c>
      <c r="B8021" s="2">
        <v>14</v>
      </c>
      <c r="C8021" s="2">
        <v>77425454</v>
      </c>
      <c r="D8021" s="2">
        <v>78374053</v>
      </c>
      <c r="E8021" s="2">
        <v>3</v>
      </c>
      <c r="F8021" s="2" t="s">
        <v>10086</v>
      </c>
      <c r="H8021" s="2">
        <v>1E-3</v>
      </c>
      <c r="K8021" s="2" t="s">
        <v>10088</v>
      </c>
    </row>
    <row r="8022" spans="1:11" x14ac:dyDescent="0.2">
      <c r="A8022" s="2">
        <v>2007</v>
      </c>
      <c r="B8022" s="2">
        <v>14</v>
      </c>
      <c r="C8022" s="2">
        <v>77425454</v>
      </c>
      <c r="D8022" s="2">
        <v>78374053</v>
      </c>
      <c r="E8022" s="2">
        <v>4</v>
      </c>
      <c r="F8022" s="2" t="s">
        <v>10086</v>
      </c>
      <c r="H8022" s="3">
        <v>5.0000000000000001E-4</v>
      </c>
      <c r="K8022" s="2" t="s">
        <v>10089</v>
      </c>
    </row>
    <row r="8023" spans="1:11" x14ac:dyDescent="0.2">
      <c r="A8023" s="2">
        <v>2008</v>
      </c>
      <c r="B8023" s="2">
        <v>14</v>
      </c>
      <c r="C8023" s="2">
        <v>78374054</v>
      </c>
      <c r="D8023" s="2">
        <v>79199451</v>
      </c>
      <c r="E8023" s="2">
        <v>1</v>
      </c>
      <c r="F8023" s="2" t="s">
        <v>10086</v>
      </c>
      <c r="H8023" s="2">
        <v>2.3E-3</v>
      </c>
      <c r="K8023" s="2" t="s">
        <v>10085</v>
      </c>
    </row>
    <row r="8024" spans="1:11" x14ac:dyDescent="0.2">
      <c r="A8024" s="2">
        <v>2008</v>
      </c>
      <c r="B8024" s="2">
        <v>14</v>
      </c>
      <c r="C8024" s="2">
        <v>78374054</v>
      </c>
      <c r="D8024" s="2">
        <v>79199451</v>
      </c>
      <c r="E8024" s="2">
        <v>2</v>
      </c>
      <c r="F8024" s="2" t="s">
        <v>10086</v>
      </c>
      <c r="H8024" s="2">
        <v>1.1999999999999999E-3</v>
      </c>
      <c r="K8024" s="2" t="s">
        <v>10089</v>
      </c>
    </row>
    <row r="8025" spans="1:11" x14ac:dyDescent="0.2">
      <c r="A8025" s="2">
        <v>2008</v>
      </c>
      <c r="B8025" s="2">
        <v>14</v>
      </c>
      <c r="C8025" s="2">
        <v>78374054</v>
      </c>
      <c r="D8025" s="2">
        <v>79199451</v>
      </c>
      <c r="E8025" s="2">
        <v>3</v>
      </c>
      <c r="F8025" s="2" t="s">
        <v>10086</v>
      </c>
      <c r="H8025" s="2">
        <v>1.1000000000000001E-3</v>
      </c>
      <c r="K8025" s="2" t="s">
        <v>10088</v>
      </c>
    </row>
    <row r="8026" spans="1:11" x14ac:dyDescent="0.2">
      <c r="A8026" s="2">
        <v>2008</v>
      </c>
      <c r="B8026" s="2">
        <v>14</v>
      </c>
      <c r="C8026" s="2">
        <v>78374054</v>
      </c>
      <c r="D8026" s="2">
        <v>79199451</v>
      </c>
      <c r="E8026" s="2">
        <v>4</v>
      </c>
      <c r="F8026" s="2" t="s">
        <v>10086</v>
      </c>
      <c r="H8026" s="3">
        <v>4.0000000000000002E-4</v>
      </c>
      <c r="K8026" s="2" t="s">
        <v>10087</v>
      </c>
    </row>
    <row r="8027" spans="1:11" x14ac:dyDescent="0.2">
      <c r="A8027" s="2">
        <v>2009</v>
      </c>
      <c r="B8027" s="2">
        <v>14</v>
      </c>
      <c r="C8027" s="2">
        <v>79199452</v>
      </c>
      <c r="D8027" s="2">
        <v>81001920</v>
      </c>
      <c r="E8027" s="2">
        <v>1</v>
      </c>
      <c r="F8027" s="2" t="s">
        <v>10086</v>
      </c>
      <c r="H8027" s="2">
        <v>2.5000000000000001E-3</v>
      </c>
      <c r="K8027" s="2" t="s">
        <v>10088</v>
      </c>
    </row>
    <row r="8028" spans="1:11" x14ac:dyDescent="0.2">
      <c r="A8028" s="2">
        <v>2009</v>
      </c>
      <c r="B8028" s="2">
        <v>14</v>
      </c>
      <c r="C8028" s="2">
        <v>79199452</v>
      </c>
      <c r="D8028" s="2">
        <v>81001920</v>
      </c>
      <c r="E8028" s="2">
        <v>2</v>
      </c>
      <c r="F8028" s="2" t="s">
        <v>10086</v>
      </c>
      <c r="H8028" s="2">
        <v>2.0999999999999999E-3</v>
      </c>
      <c r="K8028" s="2" t="s">
        <v>10089</v>
      </c>
    </row>
    <row r="8029" spans="1:11" x14ac:dyDescent="0.2">
      <c r="A8029" s="2">
        <v>2009</v>
      </c>
      <c r="B8029" s="2">
        <v>14</v>
      </c>
      <c r="C8029" s="2">
        <v>79199452</v>
      </c>
      <c r="D8029" s="2">
        <v>81001920</v>
      </c>
      <c r="E8029" s="2">
        <v>3</v>
      </c>
      <c r="F8029" s="2" t="s">
        <v>10086</v>
      </c>
      <c r="H8029" s="2">
        <v>1.4E-3</v>
      </c>
      <c r="K8029" s="2" t="s">
        <v>10087</v>
      </c>
    </row>
    <row r="8030" spans="1:11" x14ac:dyDescent="0.2">
      <c r="A8030" s="2">
        <v>2009</v>
      </c>
      <c r="B8030" s="2">
        <v>14</v>
      </c>
      <c r="C8030" s="2">
        <v>79199452</v>
      </c>
      <c r="D8030" s="2">
        <v>81001920</v>
      </c>
      <c r="E8030" s="2">
        <v>4</v>
      </c>
      <c r="F8030" s="2" t="s">
        <v>10086</v>
      </c>
      <c r="H8030" s="3">
        <v>5.9999999999999995E-4</v>
      </c>
      <c r="K8030" s="2" t="s">
        <v>10085</v>
      </c>
    </row>
    <row r="8031" spans="1:11" x14ac:dyDescent="0.2">
      <c r="A8031" s="2">
        <v>2010</v>
      </c>
      <c r="B8031" s="2">
        <v>14</v>
      </c>
      <c r="C8031" s="2">
        <v>81001921</v>
      </c>
      <c r="D8031" s="2">
        <v>82524785</v>
      </c>
      <c r="E8031" s="2">
        <v>1</v>
      </c>
      <c r="F8031" s="2" t="s">
        <v>10086</v>
      </c>
      <c r="H8031" s="2">
        <v>6.3E-3</v>
      </c>
      <c r="K8031" s="2" t="s">
        <v>12324</v>
      </c>
    </row>
    <row r="8032" spans="1:11" x14ac:dyDescent="0.2">
      <c r="A8032" s="2">
        <v>2010</v>
      </c>
      <c r="B8032" s="2">
        <v>14</v>
      </c>
      <c r="C8032" s="2">
        <v>81001921</v>
      </c>
      <c r="D8032" s="2">
        <v>82524785</v>
      </c>
      <c r="E8032" s="2">
        <v>2</v>
      </c>
      <c r="F8032" s="2" t="s">
        <v>10086</v>
      </c>
      <c r="H8032" s="2">
        <v>1.8E-3</v>
      </c>
      <c r="K8032" s="2" t="s">
        <v>10089</v>
      </c>
    </row>
    <row r="8033" spans="1:11" x14ac:dyDescent="0.2">
      <c r="A8033" s="2">
        <v>2010</v>
      </c>
      <c r="B8033" s="2">
        <v>14</v>
      </c>
      <c r="C8033" s="2">
        <v>81001921</v>
      </c>
      <c r="D8033" s="2">
        <v>82524785</v>
      </c>
      <c r="E8033" s="2">
        <v>3</v>
      </c>
      <c r="F8033" s="2" t="s">
        <v>10086</v>
      </c>
      <c r="H8033" s="2">
        <v>1.5E-3</v>
      </c>
      <c r="K8033" s="2" t="s">
        <v>10085</v>
      </c>
    </row>
    <row r="8034" spans="1:11" x14ac:dyDescent="0.2">
      <c r="A8034" s="2">
        <v>2010</v>
      </c>
      <c r="B8034" s="2">
        <v>14</v>
      </c>
      <c r="C8034" s="2">
        <v>81001921</v>
      </c>
      <c r="D8034" s="2">
        <v>82524785</v>
      </c>
      <c r="E8034" s="2">
        <v>4</v>
      </c>
      <c r="F8034" s="2" t="s">
        <v>10086</v>
      </c>
      <c r="H8034" s="2">
        <v>1.4E-3</v>
      </c>
      <c r="K8034" s="2" t="s">
        <v>10088</v>
      </c>
    </row>
    <row r="8035" spans="1:11" x14ac:dyDescent="0.2">
      <c r="A8035" s="2">
        <v>2011</v>
      </c>
      <c r="B8035" s="2">
        <v>14</v>
      </c>
      <c r="C8035" s="2">
        <v>82524786</v>
      </c>
      <c r="D8035" s="2">
        <v>84087372</v>
      </c>
      <c r="E8035" s="2">
        <v>1</v>
      </c>
      <c r="F8035" s="2" t="s">
        <v>10086</v>
      </c>
      <c r="H8035" s="2">
        <v>2.2000000000000001E-3</v>
      </c>
      <c r="K8035" s="2" t="s">
        <v>10087</v>
      </c>
    </row>
    <row r="8036" spans="1:11" x14ac:dyDescent="0.2">
      <c r="A8036" s="2">
        <v>2011</v>
      </c>
      <c r="B8036" s="2">
        <v>14</v>
      </c>
      <c r="C8036" s="2">
        <v>82524786</v>
      </c>
      <c r="D8036" s="2">
        <v>84087372</v>
      </c>
      <c r="E8036" s="2">
        <v>2</v>
      </c>
      <c r="F8036" s="2" t="s">
        <v>10086</v>
      </c>
      <c r="H8036" s="2">
        <v>2.0999999999999999E-3</v>
      </c>
      <c r="K8036" s="2" t="s">
        <v>10089</v>
      </c>
    </row>
    <row r="8037" spans="1:11" x14ac:dyDescent="0.2">
      <c r="A8037" s="2">
        <v>2011</v>
      </c>
      <c r="B8037" s="2">
        <v>14</v>
      </c>
      <c r="C8037" s="2">
        <v>82524786</v>
      </c>
      <c r="D8037" s="2">
        <v>84087372</v>
      </c>
      <c r="E8037" s="2">
        <v>3</v>
      </c>
      <c r="F8037" s="2" t="s">
        <v>10086</v>
      </c>
      <c r="H8037" s="2">
        <v>1.1999999999999999E-3</v>
      </c>
      <c r="K8037" s="2" t="s">
        <v>10088</v>
      </c>
    </row>
    <row r="8038" spans="1:11" x14ac:dyDescent="0.2">
      <c r="A8038" s="2">
        <v>2011</v>
      </c>
      <c r="B8038" s="2">
        <v>14</v>
      </c>
      <c r="C8038" s="2">
        <v>82524786</v>
      </c>
      <c r="D8038" s="2">
        <v>84087372</v>
      </c>
      <c r="E8038" s="2">
        <v>4</v>
      </c>
      <c r="F8038" s="2" t="s">
        <v>10086</v>
      </c>
      <c r="H8038" s="3">
        <v>8.0000000000000004E-4</v>
      </c>
      <c r="K8038" s="2" t="s">
        <v>10085</v>
      </c>
    </row>
    <row r="8039" spans="1:11" x14ac:dyDescent="0.2">
      <c r="A8039" s="2">
        <v>2012</v>
      </c>
      <c r="B8039" s="2">
        <v>14</v>
      </c>
      <c r="C8039" s="2">
        <v>84087373</v>
      </c>
      <c r="D8039" s="2">
        <v>85562936</v>
      </c>
      <c r="E8039" s="2">
        <v>1</v>
      </c>
      <c r="F8039" s="2" t="s">
        <v>10086</v>
      </c>
      <c r="H8039" s="2">
        <v>1.6999999999999999E-3</v>
      </c>
      <c r="K8039" s="2" t="s">
        <v>10089</v>
      </c>
    </row>
    <row r="8040" spans="1:11" x14ac:dyDescent="0.2">
      <c r="A8040" s="2">
        <v>2012</v>
      </c>
      <c r="B8040" s="2">
        <v>14</v>
      </c>
      <c r="C8040" s="2">
        <v>84087373</v>
      </c>
      <c r="D8040" s="2">
        <v>85562936</v>
      </c>
      <c r="E8040" s="2">
        <v>2</v>
      </c>
      <c r="F8040" s="2" t="s">
        <v>10086</v>
      </c>
      <c r="H8040" s="2">
        <v>1.4E-3</v>
      </c>
      <c r="K8040" s="2" t="s">
        <v>10085</v>
      </c>
    </row>
    <row r="8041" spans="1:11" x14ac:dyDescent="0.2">
      <c r="A8041" s="2">
        <v>2012</v>
      </c>
      <c r="B8041" s="2">
        <v>14</v>
      </c>
      <c r="C8041" s="2">
        <v>84087373</v>
      </c>
      <c r="D8041" s="2">
        <v>85562936</v>
      </c>
      <c r="E8041" s="2">
        <v>3</v>
      </c>
      <c r="F8041" s="2" t="s">
        <v>10086</v>
      </c>
      <c r="H8041" s="2">
        <v>1.4E-3</v>
      </c>
      <c r="K8041" s="2" t="s">
        <v>10087</v>
      </c>
    </row>
    <row r="8042" spans="1:11" x14ac:dyDescent="0.2">
      <c r="A8042" s="2">
        <v>2012</v>
      </c>
      <c r="B8042" s="2">
        <v>14</v>
      </c>
      <c r="C8042" s="2">
        <v>84087373</v>
      </c>
      <c r="D8042" s="2">
        <v>85562936</v>
      </c>
      <c r="E8042" s="2">
        <v>4</v>
      </c>
      <c r="F8042" s="2" t="s">
        <v>10086</v>
      </c>
      <c r="H8042" s="3">
        <v>8.0000000000000004E-4</v>
      </c>
      <c r="K8042" s="2" t="s">
        <v>12324</v>
      </c>
    </row>
    <row r="8043" spans="1:11" x14ac:dyDescent="0.2">
      <c r="A8043" s="2">
        <v>2013</v>
      </c>
      <c r="B8043" s="2">
        <v>14</v>
      </c>
      <c r="C8043" s="2">
        <v>85562937</v>
      </c>
      <c r="D8043" s="2">
        <v>86653343</v>
      </c>
      <c r="E8043" s="2">
        <v>1</v>
      </c>
      <c r="F8043" s="2" t="s">
        <v>10086</v>
      </c>
      <c r="H8043" s="2">
        <v>1.2999999999999999E-3</v>
      </c>
      <c r="K8043" s="2" t="s">
        <v>10085</v>
      </c>
    </row>
    <row r="8044" spans="1:11" x14ac:dyDescent="0.2">
      <c r="A8044" s="2">
        <v>2013</v>
      </c>
      <c r="B8044" s="2">
        <v>14</v>
      </c>
      <c r="C8044" s="2">
        <v>85562937</v>
      </c>
      <c r="D8044" s="2">
        <v>86653343</v>
      </c>
      <c r="E8044" s="2">
        <v>2</v>
      </c>
      <c r="F8044" s="2" t="s">
        <v>10086</v>
      </c>
      <c r="H8044" s="2">
        <v>1.5E-3</v>
      </c>
      <c r="K8044" s="2" t="s">
        <v>10089</v>
      </c>
    </row>
    <row r="8045" spans="1:11" x14ac:dyDescent="0.2">
      <c r="A8045" s="2">
        <v>2013</v>
      </c>
      <c r="B8045" s="2">
        <v>14</v>
      </c>
      <c r="C8045" s="2">
        <v>85562937</v>
      </c>
      <c r="D8045" s="2">
        <v>86653343</v>
      </c>
      <c r="E8045" s="2">
        <v>3</v>
      </c>
      <c r="F8045" s="2" t="s">
        <v>10086</v>
      </c>
      <c r="H8045" s="3">
        <v>8.0000000000000004E-4</v>
      </c>
      <c r="K8045" s="2" t="s">
        <v>10087</v>
      </c>
    </row>
    <row r="8046" spans="1:11" x14ac:dyDescent="0.2">
      <c r="A8046" s="2">
        <v>2013</v>
      </c>
      <c r="B8046" s="2">
        <v>14</v>
      </c>
      <c r="C8046" s="2">
        <v>85562937</v>
      </c>
      <c r="D8046" s="2">
        <v>86653343</v>
      </c>
      <c r="E8046" s="2">
        <v>4</v>
      </c>
      <c r="F8046" s="2" t="s">
        <v>10086</v>
      </c>
      <c r="H8046" s="3">
        <v>5.0000000000000001E-4</v>
      </c>
      <c r="K8046" s="2" t="s">
        <v>10088</v>
      </c>
    </row>
    <row r="8047" spans="1:11" x14ac:dyDescent="0.2">
      <c r="A8047" s="2">
        <v>2014</v>
      </c>
      <c r="B8047" s="2">
        <v>14</v>
      </c>
      <c r="C8047" s="2">
        <v>86653344</v>
      </c>
      <c r="D8047" s="2">
        <v>87350275</v>
      </c>
      <c r="E8047" s="2">
        <v>1</v>
      </c>
      <c r="F8047" s="2" t="s">
        <v>10086</v>
      </c>
      <c r="H8047" s="2">
        <v>1.2999999999999999E-3</v>
      </c>
      <c r="K8047" s="2" t="s">
        <v>10088</v>
      </c>
    </row>
    <row r="8048" spans="1:11" x14ac:dyDescent="0.2">
      <c r="A8048" s="2">
        <v>2014</v>
      </c>
      <c r="B8048" s="2">
        <v>14</v>
      </c>
      <c r="C8048" s="2">
        <v>86653344</v>
      </c>
      <c r="D8048" s="2">
        <v>87350275</v>
      </c>
      <c r="E8048" s="2">
        <v>2</v>
      </c>
      <c r="F8048" s="2" t="s">
        <v>10086</v>
      </c>
      <c r="H8048" s="2">
        <v>1.8E-3</v>
      </c>
      <c r="K8048" s="2" t="s">
        <v>10089</v>
      </c>
    </row>
    <row r="8049" spans="1:11" x14ac:dyDescent="0.2">
      <c r="A8049" s="2">
        <v>2014</v>
      </c>
      <c r="B8049" s="2">
        <v>14</v>
      </c>
      <c r="C8049" s="2">
        <v>86653344</v>
      </c>
      <c r="D8049" s="2">
        <v>87350275</v>
      </c>
      <c r="E8049" s="2">
        <v>3</v>
      </c>
      <c r="F8049" s="2" t="s">
        <v>10086</v>
      </c>
      <c r="H8049" s="3">
        <v>5.9999999999999995E-4</v>
      </c>
      <c r="K8049" s="2" t="s">
        <v>10087</v>
      </c>
    </row>
    <row r="8050" spans="1:11" x14ac:dyDescent="0.2">
      <c r="A8050" s="2">
        <v>2014</v>
      </c>
      <c r="B8050" s="2">
        <v>14</v>
      </c>
      <c r="C8050" s="2">
        <v>86653344</v>
      </c>
      <c r="D8050" s="2">
        <v>87350275</v>
      </c>
      <c r="E8050" s="2">
        <v>4</v>
      </c>
      <c r="F8050" s="2" t="s">
        <v>10086</v>
      </c>
      <c r="H8050" s="3">
        <v>2.0000000000000001E-4</v>
      </c>
      <c r="K8050" s="2" t="s">
        <v>10085</v>
      </c>
    </row>
    <row r="8051" spans="1:11" x14ac:dyDescent="0.2">
      <c r="A8051" s="2">
        <v>2015</v>
      </c>
      <c r="B8051" s="2">
        <v>14</v>
      </c>
      <c r="C8051" s="2">
        <v>87350276</v>
      </c>
      <c r="D8051" s="2">
        <v>88208595</v>
      </c>
      <c r="E8051" s="2">
        <v>1</v>
      </c>
      <c r="F8051" s="2" t="s">
        <v>10086</v>
      </c>
      <c r="H8051" s="2">
        <v>1.2699999999999999E-2</v>
      </c>
      <c r="K8051" s="2" t="s">
        <v>10089</v>
      </c>
    </row>
    <row r="8052" spans="1:11" x14ac:dyDescent="0.2">
      <c r="A8052" s="2">
        <v>2015</v>
      </c>
      <c r="B8052" s="2">
        <v>14</v>
      </c>
      <c r="C8052" s="2">
        <v>87350276</v>
      </c>
      <c r="D8052" s="2">
        <v>88208595</v>
      </c>
      <c r="E8052" s="2">
        <v>2</v>
      </c>
      <c r="F8052" s="2" t="s">
        <v>10086</v>
      </c>
      <c r="H8052" s="2">
        <v>1.5E-3</v>
      </c>
      <c r="K8052" s="2" t="s">
        <v>10087</v>
      </c>
    </row>
    <row r="8053" spans="1:11" x14ac:dyDescent="0.2">
      <c r="A8053" s="2">
        <v>2015</v>
      </c>
      <c r="B8053" s="2">
        <v>14</v>
      </c>
      <c r="C8053" s="2">
        <v>87350276</v>
      </c>
      <c r="D8053" s="2">
        <v>88208595</v>
      </c>
      <c r="E8053" s="2">
        <v>3</v>
      </c>
      <c r="F8053" s="2" t="s">
        <v>10086</v>
      </c>
      <c r="H8053" s="3">
        <v>6.9999999999999999E-4</v>
      </c>
      <c r="K8053" s="2" t="s">
        <v>10088</v>
      </c>
    </row>
    <row r="8054" spans="1:11" x14ac:dyDescent="0.2">
      <c r="A8054" s="2">
        <v>2015</v>
      </c>
      <c r="B8054" s="2">
        <v>14</v>
      </c>
      <c r="C8054" s="2">
        <v>87350276</v>
      </c>
      <c r="D8054" s="2">
        <v>88208595</v>
      </c>
      <c r="E8054" s="2">
        <v>4</v>
      </c>
      <c r="F8054" s="2" t="s">
        <v>10086</v>
      </c>
      <c r="H8054" s="3">
        <v>5.9999999999999995E-4</v>
      </c>
      <c r="K8054" s="2" t="s">
        <v>10085</v>
      </c>
    </row>
    <row r="8055" spans="1:11" x14ac:dyDescent="0.2">
      <c r="A8055" s="2">
        <v>2016</v>
      </c>
      <c r="B8055" s="2">
        <v>14</v>
      </c>
      <c r="C8055" s="2">
        <v>88208596</v>
      </c>
      <c r="D8055" s="2">
        <v>89482883</v>
      </c>
      <c r="E8055" s="2">
        <v>1</v>
      </c>
      <c r="F8055" s="2" t="s">
        <v>10086</v>
      </c>
      <c r="H8055" s="2">
        <v>1.1999999999999999E-3</v>
      </c>
      <c r="K8055" s="2" t="s">
        <v>10085</v>
      </c>
    </row>
    <row r="8056" spans="1:11" x14ac:dyDescent="0.2">
      <c r="A8056" s="2">
        <v>2016</v>
      </c>
      <c r="B8056" s="2">
        <v>14</v>
      </c>
      <c r="C8056" s="2">
        <v>88208596</v>
      </c>
      <c r="D8056" s="2">
        <v>89482883</v>
      </c>
      <c r="E8056" s="2">
        <v>2</v>
      </c>
      <c r="F8056" s="2" t="s">
        <v>10086</v>
      </c>
      <c r="H8056" s="2">
        <v>1E-3</v>
      </c>
      <c r="K8056" s="2" t="s">
        <v>10087</v>
      </c>
    </row>
    <row r="8057" spans="1:11" x14ac:dyDescent="0.2">
      <c r="A8057" s="2">
        <v>2016</v>
      </c>
      <c r="B8057" s="2">
        <v>14</v>
      </c>
      <c r="C8057" s="2">
        <v>88208596</v>
      </c>
      <c r="D8057" s="2">
        <v>89482883</v>
      </c>
      <c r="E8057" s="2">
        <v>3</v>
      </c>
      <c r="F8057" s="2" t="s">
        <v>10086</v>
      </c>
      <c r="H8057" s="2">
        <v>1.6000000000000001E-3</v>
      </c>
      <c r="K8057" s="2" t="s">
        <v>12324</v>
      </c>
    </row>
    <row r="8058" spans="1:11" x14ac:dyDescent="0.2">
      <c r="A8058" s="2">
        <v>2016</v>
      </c>
      <c r="B8058" s="2">
        <v>14</v>
      </c>
      <c r="C8058" s="2">
        <v>88208596</v>
      </c>
      <c r="D8058" s="2">
        <v>89482883</v>
      </c>
      <c r="E8058" s="2">
        <v>4</v>
      </c>
      <c r="F8058" s="2" t="s">
        <v>10086</v>
      </c>
      <c r="H8058" s="3">
        <v>8.9999999999999998E-4</v>
      </c>
      <c r="K8058" s="2" t="s">
        <v>10088</v>
      </c>
    </row>
    <row r="8059" spans="1:11" x14ac:dyDescent="0.2">
      <c r="A8059" s="2">
        <v>2017</v>
      </c>
      <c r="B8059" s="2">
        <v>14</v>
      </c>
      <c r="C8059" s="2">
        <v>89482884</v>
      </c>
      <c r="D8059" s="2">
        <v>90662836</v>
      </c>
      <c r="E8059" s="2">
        <v>1</v>
      </c>
      <c r="F8059" s="2" t="s">
        <v>10086</v>
      </c>
      <c r="H8059" s="2">
        <v>1.12E-2</v>
      </c>
      <c r="K8059" s="2" t="s">
        <v>10088</v>
      </c>
    </row>
    <row r="8060" spans="1:11" x14ac:dyDescent="0.2">
      <c r="A8060" s="2">
        <v>2017</v>
      </c>
      <c r="B8060" s="2">
        <v>14</v>
      </c>
      <c r="C8060" s="2">
        <v>89482884</v>
      </c>
      <c r="D8060" s="2">
        <v>90662836</v>
      </c>
      <c r="E8060" s="2">
        <v>2</v>
      </c>
      <c r="F8060" s="2" t="s">
        <v>10086</v>
      </c>
      <c r="H8060" s="2">
        <v>3.8E-3</v>
      </c>
      <c r="K8060" s="2" t="s">
        <v>12324</v>
      </c>
    </row>
    <row r="8061" spans="1:11" x14ac:dyDescent="0.2">
      <c r="A8061" s="2">
        <v>2017</v>
      </c>
      <c r="B8061" s="2">
        <v>14</v>
      </c>
      <c r="C8061" s="2">
        <v>89482884</v>
      </c>
      <c r="D8061" s="2">
        <v>90662836</v>
      </c>
      <c r="E8061" s="2">
        <v>3</v>
      </c>
      <c r="F8061" s="2" t="s">
        <v>10086</v>
      </c>
      <c r="H8061" s="2">
        <v>2.3999999999999998E-3</v>
      </c>
      <c r="K8061" s="2" t="s">
        <v>10089</v>
      </c>
    </row>
    <row r="8062" spans="1:11" x14ac:dyDescent="0.2">
      <c r="A8062" s="2">
        <v>2017</v>
      </c>
      <c r="B8062" s="2">
        <v>14</v>
      </c>
      <c r="C8062" s="2">
        <v>89482884</v>
      </c>
      <c r="D8062" s="2">
        <v>90662836</v>
      </c>
      <c r="E8062" s="2">
        <v>4</v>
      </c>
      <c r="F8062" s="2" t="s">
        <v>10086</v>
      </c>
      <c r="H8062" s="2">
        <v>1.1000000000000001E-3</v>
      </c>
      <c r="K8062" s="2" t="s">
        <v>10087</v>
      </c>
    </row>
    <row r="8063" spans="1:11" x14ac:dyDescent="0.2">
      <c r="A8063" s="2">
        <v>2018</v>
      </c>
      <c r="B8063" s="2">
        <v>14</v>
      </c>
      <c r="C8063" s="2">
        <v>90662837</v>
      </c>
      <c r="D8063" s="2">
        <v>92101228</v>
      </c>
      <c r="E8063" s="2">
        <v>1</v>
      </c>
      <c r="F8063" s="2" t="s">
        <v>10086</v>
      </c>
      <c r="H8063" s="2">
        <v>1.8E-3</v>
      </c>
      <c r="K8063" s="2" t="s">
        <v>10087</v>
      </c>
    </row>
    <row r="8064" spans="1:11" x14ac:dyDescent="0.2">
      <c r="A8064" s="2">
        <v>2018</v>
      </c>
      <c r="B8064" s="2">
        <v>14</v>
      </c>
      <c r="C8064" s="2">
        <v>90662837</v>
      </c>
      <c r="D8064" s="2">
        <v>92101228</v>
      </c>
      <c r="E8064" s="2">
        <v>2</v>
      </c>
      <c r="F8064" s="2" t="s">
        <v>10086</v>
      </c>
      <c r="H8064" s="2">
        <v>1.5E-3</v>
      </c>
      <c r="K8064" s="2" t="s">
        <v>10088</v>
      </c>
    </row>
    <row r="8065" spans="1:11" x14ac:dyDescent="0.2">
      <c r="A8065" s="2">
        <v>2018</v>
      </c>
      <c r="B8065" s="2">
        <v>14</v>
      </c>
      <c r="C8065" s="2">
        <v>90662837</v>
      </c>
      <c r="D8065" s="2">
        <v>92101228</v>
      </c>
      <c r="E8065" s="2">
        <v>3</v>
      </c>
      <c r="F8065" s="2" t="s">
        <v>10086</v>
      </c>
      <c r="H8065" s="2">
        <v>1.1000000000000001E-3</v>
      </c>
      <c r="K8065" s="2" t="s">
        <v>10089</v>
      </c>
    </row>
    <row r="8066" spans="1:11" x14ac:dyDescent="0.2">
      <c r="A8066" s="2">
        <v>2018</v>
      </c>
      <c r="B8066" s="2">
        <v>14</v>
      </c>
      <c r="C8066" s="2">
        <v>90662837</v>
      </c>
      <c r="D8066" s="2">
        <v>92101228</v>
      </c>
      <c r="E8066" s="2">
        <v>4</v>
      </c>
      <c r="F8066" s="2" t="s">
        <v>10086</v>
      </c>
      <c r="H8066" s="3">
        <v>8.0000000000000004E-4</v>
      </c>
      <c r="K8066" s="2" t="s">
        <v>10085</v>
      </c>
    </row>
    <row r="8067" spans="1:11" x14ac:dyDescent="0.2">
      <c r="A8067" s="2">
        <v>2019</v>
      </c>
      <c r="B8067" s="2">
        <v>14</v>
      </c>
      <c r="C8067" s="2">
        <v>92101229</v>
      </c>
      <c r="D8067" s="2">
        <v>93386328</v>
      </c>
      <c r="E8067" s="2">
        <v>1</v>
      </c>
      <c r="F8067" s="2" t="s">
        <v>10086</v>
      </c>
      <c r="H8067" s="2">
        <v>3.5000000000000001E-3</v>
      </c>
      <c r="K8067" s="2" t="s">
        <v>10088</v>
      </c>
    </row>
    <row r="8068" spans="1:11" x14ac:dyDescent="0.2">
      <c r="A8068" s="2">
        <v>2019</v>
      </c>
      <c r="B8068" s="2">
        <v>14</v>
      </c>
      <c r="C8068" s="2">
        <v>92101229</v>
      </c>
      <c r="D8068" s="2">
        <v>93386328</v>
      </c>
      <c r="E8068" s="2">
        <v>2</v>
      </c>
      <c r="F8068" s="2" t="s">
        <v>10086</v>
      </c>
      <c r="H8068" s="2">
        <v>1.2999999999999999E-3</v>
      </c>
      <c r="K8068" s="2" t="s">
        <v>10087</v>
      </c>
    </row>
    <row r="8069" spans="1:11" x14ac:dyDescent="0.2">
      <c r="A8069" s="2">
        <v>2019</v>
      </c>
      <c r="B8069" s="2">
        <v>14</v>
      </c>
      <c r="C8069" s="2">
        <v>92101229</v>
      </c>
      <c r="D8069" s="2">
        <v>93386328</v>
      </c>
      <c r="E8069" s="2">
        <v>3</v>
      </c>
      <c r="F8069" s="2" t="s">
        <v>10086</v>
      </c>
      <c r="H8069" s="2">
        <v>1E-3</v>
      </c>
      <c r="K8069" s="2" t="s">
        <v>10085</v>
      </c>
    </row>
    <row r="8070" spans="1:11" x14ac:dyDescent="0.2">
      <c r="A8070" s="2">
        <v>2019</v>
      </c>
      <c r="B8070" s="2">
        <v>14</v>
      </c>
      <c r="C8070" s="2">
        <v>92101229</v>
      </c>
      <c r="D8070" s="2">
        <v>93386328</v>
      </c>
      <c r="E8070" s="2">
        <v>4</v>
      </c>
      <c r="F8070" s="2" t="s">
        <v>10086</v>
      </c>
      <c r="H8070" s="3">
        <v>5.0000000000000001E-4</v>
      </c>
      <c r="K8070" s="2" t="s">
        <v>10089</v>
      </c>
    </row>
    <row r="8071" spans="1:11" x14ac:dyDescent="0.2">
      <c r="A8071" s="2">
        <v>2020</v>
      </c>
      <c r="B8071" s="2">
        <v>14</v>
      </c>
      <c r="C8071" s="2">
        <v>93386329</v>
      </c>
      <c r="D8071" s="2">
        <v>94892240</v>
      </c>
      <c r="E8071" s="2">
        <v>1</v>
      </c>
      <c r="F8071" s="2" t="s">
        <v>10086</v>
      </c>
      <c r="H8071" s="2">
        <v>1.4E-3</v>
      </c>
      <c r="K8071" s="2" t="s">
        <v>10088</v>
      </c>
    </row>
    <row r="8072" spans="1:11" x14ac:dyDescent="0.2">
      <c r="A8072" s="2">
        <v>2020</v>
      </c>
      <c r="B8072" s="2">
        <v>14</v>
      </c>
      <c r="C8072" s="2">
        <v>93386329</v>
      </c>
      <c r="D8072" s="2">
        <v>94892240</v>
      </c>
      <c r="E8072" s="2">
        <v>2</v>
      </c>
      <c r="F8072" s="2" t="s">
        <v>10086</v>
      </c>
      <c r="H8072" s="2">
        <v>1.2999999999999999E-3</v>
      </c>
      <c r="K8072" s="2" t="s">
        <v>10085</v>
      </c>
    </row>
    <row r="8073" spans="1:11" x14ac:dyDescent="0.2">
      <c r="A8073" s="2">
        <v>2020</v>
      </c>
      <c r="B8073" s="2">
        <v>14</v>
      </c>
      <c r="C8073" s="2">
        <v>93386329</v>
      </c>
      <c r="D8073" s="2">
        <v>94892240</v>
      </c>
      <c r="E8073" s="2">
        <v>3</v>
      </c>
      <c r="F8073" s="2" t="s">
        <v>10086</v>
      </c>
      <c r="H8073" s="2">
        <v>1.1000000000000001E-3</v>
      </c>
      <c r="K8073" s="2" t="s">
        <v>10087</v>
      </c>
    </row>
    <row r="8074" spans="1:11" x14ac:dyDescent="0.2">
      <c r="A8074" s="2">
        <v>2020</v>
      </c>
      <c r="B8074" s="2">
        <v>14</v>
      </c>
      <c r="C8074" s="2">
        <v>93386329</v>
      </c>
      <c r="D8074" s="2">
        <v>94892240</v>
      </c>
      <c r="E8074" s="2">
        <v>4</v>
      </c>
      <c r="F8074" s="2" t="s">
        <v>10086</v>
      </c>
      <c r="H8074" s="3">
        <v>8.0000000000000004E-4</v>
      </c>
      <c r="K8074" s="2" t="s">
        <v>10089</v>
      </c>
    </row>
    <row r="8075" spans="1:11" x14ac:dyDescent="0.2">
      <c r="A8075" s="2">
        <v>2021</v>
      </c>
      <c r="B8075" s="2">
        <v>14</v>
      </c>
      <c r="C8075" s="2">
        <v>94892241</v>
      </c>
      <c r="D8075" s="2">
        <v>95946792</v>
      </c>
      <c r="E8075" s="2">
        <v>1</v>
      </c>
      <c r="F8075" s="2" t="s">
        <v>10086</v>
      </c>
      <c r="H8075" s="2">
        <v>1.6000000000000001E-3</v>
      </c>
      <c r="K8075" s="2" t="s">
        <v>10085</v>
      </c>
    </row>
    <row r="8076" spans="1:11" x14ac:dyDescent="0.2">
      <c r="A8076" s="2">
        <v>2021</v>
      </c>
      <c r="B8076" s="2">
        <v>14</v>
      </c>
      <c r="C8076" s="2">
        <v>94892241</v>
      </c>
      <c r="D8076" s="2">
        <v>95946792</v>
      </c>
      <c r="E8076" s="2">
        <v>2</v>
      </c>
      <c r="F8076" s="2" t="s">
        <v>10086</v>
      </c>
      <c r="H8076" s="2">
        <v>2.5999999999999999E-3</v>
      </c>
      <c r="K8076" s="2" t="s">
        <v>10088</v>
      </c>
    </row>
    <row r="8077" spans="1:11" x14ac:dyDescent="0.2">
      <c r="A8077" s="2">
        <v>2021</v>
      </c>
      <c r="B8077" s="2">
        <v>14</v>
      </c>
      <c r="C8077" s="2">
        <v>94892241</v>
      </c>
      <c r="D8077" s="2">
        <v>95946792</v>
      </c>
      <c r="E8077" s="2">
        <v>3</v>
      </c>
      <c r="F8077" s="2" t="s">
        <v>10086</v>
      </c>
      <c r="H8077" s="2">
        <v>1.1999999999999999E-3</v>
      </c>
      <c r="K8077" s="2" t="s">
        <v>10089</v>
      </c>
    </row>
    <row r="8078" spans="1:11" x14ac:dyDescent="0.2">
      <c r="A8078" s="2">
        <v>2021</v>
      </c>
      <c r="B8078" s="2">
        <v>14</v>
      </c>
      <c r="C8078" s="2">
        <v>94892241</v>
      </c>
      <c r="D8078" s="2">
        <v>95946792</v>
      </c>
      <c r="E8078" s="2">
        <v>4</v>
      </c>
      <c r="F8078" s="2" t="s">
        <v>10086</v>
      </c>
      <c r="H8078" s="3">
        <v>6.9999999999999999E-4</v>
      </c>
      <c r="K8078" s="2" t="s">
        <v>10087</v>
      </c>
    </row>
    <row r="8079" spans="1:11" x14ac:dyDescent="0.2">
      <c r="A8079" s="2">
        <v>2022</v>
      </c>
      <c r="B8079" s="2">
        <v>14</v>
      </c>
      <c r="C8079" s="2">
        <v>95946793</v>
      </c>
      <c r="D8079" s="2">
        <v>97174314</v>
      </c>
      <c r="E8079" s="2">
        <v>1</v>
      </c>
      <c r="F8079" s="2" t="s">
        <v>10086</v>
      </c>
      <c r="H8079" s="2">
        <v>1.6999999999999999E-3</v>
      </c>
      <c r="K8079" s="2" t="s">
        <v>10088</v>
      </c>
    </row>
    <row r="8080" spans="1:11" x14ac:dyDescent="0.2">
      <c r="A8080" s="2">
        <v>2022</v>
      </c>
      <c r="B8080" s="2">
        <v>14</v>
      </c>
      <c r="C8080" s="2">
        <v>95946793</v>
      </c>
      <c r="D8080" s="2">
        <v>97174314</v>
      </c>
      <c r="E8080" s="2">
        <v>2</v>
      </c>
      <c r="F8080" s="2" t="s">
        <v>10086</v>
      </c>
      <c r="H8080" s="2">
        <v>1.2999999999999999E-3</v>
      </c>
      <c r="K8080" s="2" t="s">
        <v>10085</v>
      </c>
    </row>
    <row r="8081" spans="1:11" x14ac:dyDescent="0.2">
      <c r="A8081" s="2">
        <v>2022</v>
      </c>
      <c r="B8081" s="2">
        <v>14</v>
      </c>
      <c r="C8081" s="2">
        <v>95946793</v>
      </c>
      <c r="D8081" s="2">
        <v>97174314</v>
      </c>
      <c r="E8081" s="2">
        <v>3</v>
      </c>
      <c r="F8081" s="2" t="s">
        <v>10086</v>
      </c>
      <c r="H8081" s="2">
        <v>1.2999999999999999E-3</v>
      </c>
      <c r="K8081" s="2" t="s">
        <v>10087</v>
      </c>
    </row>
    <row r="8082" spans="1:11" x14ac:dyDescent="0.2">
      <c r="A8082" s="2">
        <v>2022</v>
      </c>
      <c r="B8082" s="2">
        <v>14</v>
      </c>
      <c r="C8082" s="2">
        <v>95946793</v>
      </c>
      <c r="D8082" s="2">
        <v>97174314</v>
      </c>
      <c r="E8082" s="2">
        <v>4</v>
      </c>
      <c r="F8082" s="2" t="s">
        <v>10086</v>
      </c>
      <c r="H8082" s="2">
        <v>1.1000000000000001E-3</v>
      </c>
      <c r="K8082" s="2" t="s">
        <v>10089</v>
      </c>
    </row>
    <row r="8083" spans="1:11" x14ac:dyDescent="0.2">
      <c r="A8083" s="2">
        <v>2023</v>
      </c>
      <c r="B8083" s="2">
        <v>14</v>
      </c>
      <c r="C8083" s="2">
        <v>97174315</v>
      </c>
      <c r="D8083" s="2">
        <v>98268391</v>
      </c>
      <c r="E8083" s="2">
        <v>1</v>
      </c>
      <c r="F8083" s="2" t="s">
        <v>10086</v>
      </c>
      <c r="H8083" s="2">
        <v>5.1999999999999998E-3</v>
      </c>
      <c r="K8083" s="2" t="s">
        <v>10088</v>
      </c>
    </row>
    <row r="8084" spans="1:11" x14ac:dyDescent="0.2">
      <c r="A8084" s="2">
        <v>2023</v>
      </c>
      <c r="B8084" s="2">
        <v>14</v>
      </c>
      <c r="C8084" s="2">
        <v>97174315</v>
      </c>
      <c r="D8084" s="2">
        <v>98268391</v>
      </c>
      <c r="E8084" s="2">
        <v>2</v>
      </c>
      <c r="F8084" s="2" t="s">
        <v>10086</v>
      </c>
      <c r="H8084" s="2">
        <v>1.1999999999999999E-3</v>
      </c>
      <c r="K8084" s="2" t="s">
        <v>10089</v>
      </c>
    </row>
    <row r="8085" spans="1:11" x14ac:dyDescent="0.2">
      <c r="A8085" s="2">
        <v>2023</v>
      </c>
      <c r="B8085" s="2">
        <v>14</v>
      </c>
      <c r="C8085" s="2">
        <v>97174315</v>
      </c>
      <c r="D8085" s="2">
        <v>98268391</v>
      </c>
      <c r="E8085" s="2">
        <v>3</v>
      </c>
      <c r="F8085" s="2" t="s">
        <v>10086</v>
      </c>
      <c r="H8085" s="2">
        <v>1E-3</v>
      </c>
      <c r="K8085" s="2" t="s">
        <v>10085</v>
      </c>
    </row>
    <row r="8086" spans="1:11" x14ac:dyDescent="0.2">
      <c r="A8086" s="2">
        <v>2023</v>
      </c>
      <c r="B8086" s="2">
        <v>14</v>
      </c>
      <c r="C8086" s="2">
        <v>97174315</v>
      </c>
      <c r="D8086" s="2">
        <v>98268391</v>
      </c>
      <c r="E8086" s="2">
        <v>4</v>
      </c>
      <c r="F8086" s="2" t="s">
        <v>10086</v>
      </c>
      <c r="H8086" s="3">
        <v>5.0000000000000001E-4</v>
      </c>
      <c r="K8086" s="2" t="s">
        <v>10087</v>
      </c>
    </row>
    <row r="8087" spans="1:11" x14ac:dyDescent="0.2">
      <c r="A8087" s="2">
        <v>2024</v>
      </c>
      <c r="B8087" s="2">
        <v>14</v>
      </c>
      <c r="C8087" s="2">
        <v>98268392</v>
      </c>
      <c r="D8087" s="2">
        <v>98885322</v>
      </c>
      <c r="E8087" s="2">
        <v>1</v>
      </c>
      <c r="F8087" s="2" t="s">
        <v>10086</v>
      </c>
      <c r="H8087" s="2">
        <v>2.2000000000000001E-3</v>
      </c>
      <c r="K8087" s="2" t="s">
        <v>10087</v>
      </c>
    </row>
    <row r="8088" spans="1:11" x14ac:dyDescent="0.2">
      <c r="A8088" s="2">
        <v>2024</v>
      </c>
      <c r="B8088" s="2">
        <v>14</v>
      </c>
      <c r="C8088" s="2">
        <v>98268392</v>
      </c>
      <c r="D8088" s="2">
        <v>98885322</v>
      </c>
      <c r="E8088" s="2">
        <v>2</v>
      </c>
      <c r="F8088" s="2" t="s">
        <v>10086</v>
      </c>
      <c r="H8088" s="2">
        <v>1E-3</v>
      </c>
      <c r="K8088" s="2" t="s">
        <v>10088</v>
      </c>
    </row>
    <row r="8089" spans="1:11" x14ac:dyDescent="0.2">
      <c r="A8089" s="2">
        <v>2024</v>
      </c>
      <c r="B8089" s="2">
        <v>14</v>
      </c>
      <c r="C8089" s="2">
        <v>98268392</v>
      </c>
      <c r="D8089" s="2">
        <v>98885322</v>
      </c>
      <c r="E8089" s="2">
        <v>3</v>
      </c>
      <c r="F8089" s="2" t="s">
        <v>10086</v>
      </c>
      <c r="H8089" s="3">
        <v>8.0000000000000004E-4</v>
      </c>
      <c r="K8089" s="2" t="s">
        <v>10089</v>
      </c>
    </row>
    <row r="8090" spans="1:11" x14ac:dyDescent="0.2">
      <c r="A8090" s="2">
        <v>2024</v>
      </c>
      <c r="B8090" s="2">
        <v>14</v>
      </c>
      <c r="C8090" s="2">
        <v>98268392</v>
      </c>
      <c r="D8090" s="2">
        <v>98885322</v>
      </c>
      <c r="E8090" s="2">
        <v>4</v>
      </c>
      <c r="F8090" s="2" t="s">
        <v>10086</v>
      </c>
      <c r="H8090" s="3">
        <v>2.9999999999999997E-4</v>
      </c>
      <c r="K8090" s="2" t="s">
        <v>10085</v>
      </c>
    </row>
    <row r="8091" spans="1:11" x14ac:dyDescent="0.2">
      <c r="A8091" s="2">
        <v>2025</v>
      </c>
      <c r="B8091" s="2">
        <v>14</v>
      </c>
      <c r="C8091" s="2">
        <v>98885323</v>
      </c>
      <c r="D8091" s="2">
        <v>99474533</v>
      </c>
      <c r="E8091" s="2">
        <v>1</v>
      </c>
      <c r="F8091" s="2" t="s">
        <v>10086</v>
      </c>
      <c r="H8091" s="2">
        <v>6.6E-3</v>
      </c>
      <c r="K8091" s="2" t="s">
        <v>12324</v>
      </c>
    </row>
    <row r="8092" spans="1:11" x14ac:dyDescent="0.2">
      <c r="A8092" s="2">
        <v>2025</v>
      </c>
      <c r="B8092" s="2">
        <v>14</v>
      </c>
      <c r="C8092" s="2">
        <v>98885323</v>
      </c>
      <c r="D8092" s="2">
        <v>99474533</v>
      </c>
      <c r="E8092" s="2">
        <v>2</v>
      </c>
      <c r="F8092" s="2" t="s">
        <v>10086</v>
      </c>
      <c r="H8092" s="2">
        <v>2.5000000000000001E-3</v>
      </c>
      <c r="K8092" s="2" t="s">
        <v>10085</v>
      </c>
    </row>
    <row r="8093" spans="1:11" x14ac:dyDescent="0.2">
      <c r="A8093" s="2">
        <v>2025</v>
      </c>
      <c r="B8093" s="2">
        <v>14</v>
      </c>
      <c r="C8093" s="2">
        <v>98885323</v>
      </c>
      <c r="D8093" s="2">
        <v>99474533</v>
      </c>
      <c r="E8093" s="2">
        <v>3</v>
      </c>
      <c r="F8093" s="2" t="s">
        <v>10086</v>
      </c>
      <c r="H8093" s="2">
        <v>1.1999999999999999E-3</v>
      </c>
      <c r="K8093" s="2" t="s">
        <v>10088</v>
      </c>
    </row>
    <row r="8094" spans="1:11" x14ac:dyDescent="0.2">
      <c r="A8094" s="2">
        <v>2025</v>
      </c>
      <c r="B8094" s="2">
        <v>14</v>
      </c>
      <c r="C8094" s="2">
        <v>98885323</v>
      </c>
      <c r="D8094" s="2">
        <v>99474533</v>
      </c>
      <c r="E8094" s="2">
        <v>4</v>
      </c>
      <c r="F8094" s="2" t="s">
        <v>10086</v>
      </c>
      <c r="H8094" s="3">
        <v>8.9999999999999998E-4</v>
      </c>
      <c r="K8094" s="2" t="s">
        <v>10089</v>
      </c>
    </row>
    <row r="8095" spans="1:11" x14ac:dyDescent="0.2">
      <c r="A8095" s="2">
        <v>2026</v>
      </c>
      <c r="B8095" s="2">
        <v>14</v>
      </c>
      <c r="C8095" s="2">
        <v>99474534</v>
      </c>
      <c r="D8095" s="2">
        <v>100786189</v>
      </c>
      <c r="E8095" s="2">
        <v>1</v>
      </c>
      <c r="F8095" s="2" t="s">
        <v>10086</v>
      </c>
      <c r="H8095" s="2">
        <v>3.3E-3</v>
      </c>
      <c r="K8095" s="2" t="s">
        <v>12324</v>
      </c>
    </row>
    <row r="8096" spans="1:11" x14ac:dyDescent="0.2">
      <c r="A8096" s="2">
        <v>2026</v>
      </c>
      <c r="B8096" s="2">
        <v>14</v>
      </c>
      <c r="C8096" s="2">
        <v>99474534</v>
      </c>
      <c r="D8096" s="2">
        <v>100786189</v>
      </c>
      <c r="E8096" s="2">
        <v>2</v>
      </c>
      <c r="F8096" s="2" t="s">
        <v>10086</v>
      </c>
      <c r="H8096" s="2">
        <v>7.1000000000000004E-3</v>
      </c>
      <c r="K8096" s="2" t="s">
        <v>10085</v>
      </c>
    </row>
    <row r="8097" spans="1:11" x14ac:dyDescent="0.2">
      <c r="A8097" s="2">
        <v>2026</v>
      </c>
      <c r="B8097" s="2">
        <v>14</v>
      </c>
      <c r="C8097" s="2">
        <v>99474534</v>
      </c>
      <c r="D8097" s="2">
        <v>100786189</v>
      </c>
      <c r="E8097" s="2">
        <v>3</v>
      </c>
      <c r="F8097" s="2" t="s">
        <v>10086</v>
      </c>
      <c r="H8097" s="2">
        <v>1.5E-3</v>
      </c>
      <c r="K8097" s="2" t="s">
        <v>10089</v>
      </c>
    </row>
    <row r="8098" spans="1:11" x14ac:dyDescent="0.2">
      <c r="A8098" s="2">
        <v>2026</v>
      </c>
      <c r="B8098" s="2">
        <v>14</v>
      </c>
      <c r="C8098" s="2">
        <v>99474534</v>
      </c>
      <c r="D8098" s="2">
        <v>100786189</v>
      </c>
      <c r="E8098" s="2">
        <v>4</v>
      </c>
      <c r="F8098" s="2" t="s">
        <v>10086</v>
      </c>
      <c r="H8098" s="2">
        <v>1.6000000000000001E-3</v>
      </c>
      <c r="K8098" s="2" t="s">
        <v>10087</v>
      </c>
    </row>
    <row r="8099" spans="1:11" x14ac:dyDescent="0.2">
      <c r="A8099" s="2">
        <v>2027</v>
      </c>
      <c r="B8099" s="2">
        <v>14</v>
      </c>
      <c r="C8099" s="2">
        <v>100786190</v>
      </c>
      <c r="D8099" s="2">
        <v>102004377</v>
      </c>
      <c r="E8099" s="2">
        <v>1</v>
      </c>
      <c r="F8099" s="2" t="s">
        <v>10086</v>
      </c>
      <c r="H8099" s="2">
        <v>2.7000000000000001E-3</v>
      </c>
      <c r="K8099" s="2" t="s">
        <v>10085</v>
      </c>
    </row>
    <row r="8100" spans="1:11" x14ac:dyDescent="0.2">
      <c r="A8100" s="2">
        <v>2027</v>
      </c>
      <c r="B8100" s="2">
        <v>14</v>
      </c>
      <c r="C8100" s="2">
        <v>100786190</v>
      </c>
      <c r="D8100" s="2">
        <v>102004377</v>
      </c>
      <c r="E8100" s="2">
        <v>2</v>
      </c>
      <c r="F8100" s="2" t="s">
        <v>10086</v>
      </c>
      <c r="H8100" s="2">
        <v>1.1000000000000001E-3</v>
      </c>
      <c r="K8100" s="2" t="s">
        <v>10089</v>
      </c>
    </row>
    <row r="8101" spans="1:11" x14ac:dyDescent="0.2">
      <c r="A8101" s="2">
        <v>2027</v>
      </c>
      <c r="B8101" s="2">
        <v>14</v>
      </c>
      <c r="C8101" s="2">
        <v>100786190</v>
      </c>
      <c r="D8101" s="2">
        <v>102004377</v>
      </c>
      <c r="E8101" s="2">
        <v>3</v>
      </c>
      <c r="F8101" s="2" t="s">
        <v>10086</v>
      </c>
      <c r="H8101" s="2">
        <v>1.5E-3</v>
      </c>
      <c r="K8101" s="2" t="s">
        <v>12324</v>
      </c>
    </row>
    <row r="8102" spans="1:11" x14ac:dyDescent="0.2">
      <c r="A8102" s="2">
        <v>2027</v>
      </c>
      <c r="B8102" s="2">
        <v>14</v>
      </c>
      <c r="C8102" s="2">
        <v>100786190</v>
      </c>
      <c r="D8102" s="2">
        <v>102004377</v>
      </c>
      <c r="E8102" s="2">
        <v>4</v>
      </c>
      <c r="F8102" s="2" t="s">
        <v>10086</v>
      </c>
      <c r="H8102" s="2">
        <v>1.2999999999999999E-3</v>
      </c>
      <c r="K8102" s="2" t="s">
        <v>10088</v>
      </c>
    </row>
    <row r="8103" spans="1:11" x14ac:dyDescent="0.2">
      <c r="A8103" s="2">
        <v>2028</v>
      </c>
      <c r="B8103" s="2">
        <v>14</v>
      </c>
      <c r="C8103" s="2">
        <v>102004378</v>
      </c>
      <c r="D8103" s="2">
        <v>103617472</v>
      </c>
      <c r="E8103" s="2">
        <v>1</v>
      </c>
      <c r="F8103" s="2" t="s">
        <v>10086</v>
      </c>
      <c r="H8103" s="2">
        <v>6.1000000000000004E-3</v>
      </c>
      <c r="K8103" s="2" t="s">
        <v>12324</v>
      </c>
    </row>
    <row r="8104" spans="1:11" x14ac:dyDescent="0.2">
      <c r="A8104" s="2">
        <v>2028</v>
      </c>
      <c r="B8104" s="2">
        <v>14</v>
      </c>
      <c r="C8104" s="2">
        <v>102004378</v>
      </c>
      <c r="D8104" s="2">
        <v>103617472</v>
      </c>
      <c r="E8104" s="2">
        <v>2</v>
      </c>
      <c r="F8104" s="2" t="s">
        <v>10086</v>
      </c>
      <c r="H8104" s="2">
        <v>2.8E-3</v>
      </c>
      <c r="K8104" s="2" t="s">
        <v>10087</v>
      </c>
    </row>
    <row r="8105" spans="1:11" x14ac:dyDescent="0.2">
      <c r="A8105" s="2">
        <v>2028</v>
      </c>
      <c r="B8105" s="2">
        <v>14</v>
      </c>
      <c r="C8105" s="2">
        <v>102004378</v>
      </c>
      <c r="D8105" s="2">
        <v>103617472</v>
      </c>
      <c r="E8105" s="2">
        <v>3</v>
      </c>
      <c r="F8105" s="2" t="s">
        <v>10086</v>
      </c>
      <c r="H8105" s="2">
        <v>1.5E-3</v>
      </c>
      <c r="K8105" s="2" t="s">
        <v>10085</v>
      </c>
    </row>
    <row r="8106" spans="1:11" x14ac:dyDescent="0.2">
      <c r="A8106" s="2">
        <v>2028</v>
      </c>
      <c r="B8106" s="2">
        <v>14</v>
      </c>
      <c r="C8106" s="2">
        <v>102004378</v>
      </c>
      <c r="D8106" s="2">
        <v>103617472</v>
      </c>
      <c r="E8106" s="2">
        <v>4</v>
      </c>
      <c r="F8106" s="2" t="s">
        <v>10086</v>
      </c>
      <c r="H8106" s="2">
        <v>1.5E-3</v>
      </c>
      <c r="K8106" s="2" t="s">
        <v>10088</v>
      </c>
    </row>
    <row r="8107" spans="1:11" x14ac:dyDescent="0.2">
      <c r="A8107" s="2">
        <v>2029</v>
      </c>
      <c r="B8107" s="2">
        <v>14</v>
      </c>
      <c r="C8107" s="2">
        <v>103617473</v>
      </c>
      <c r="D8107" s="2">
        <v>104439106</v>
      </c>
      <c r="E8107" s="2">
        <v>1</v>
      </c>
      <c r="F8107" s="2" t="s">
        <v>10086</v>
      </c>
      <c r="H8107" s="2">
        <v>2.3E-2</v>
      </c>
      <c r="K8107" s="2" t="s">
        <v>12324</v>
      </c>
    </row>
    <row r="8108" spans="1:11" x14ac:dyDescent="0.2">
      <c r="A8108" s="2">
        <v>2029</v>
      </c>
      <c r="B8108" s="2">
        <v>14</v>
      </c>
      <c r="C8108" s="2">
        <v>103617473</v>
      </c>
      <c r="D8108" s="2">
        <v>104439106</v>
      </c>
      <c r="E8108" s="2">
        <v>2</v>
      </c>
      <c r="F8108" s="2" t="s">
        <v>10086</v>
      </c>
      <c r="H8108" s="2">
        <v>1.5E-3</v>
      </c>
      <c r="K8108" s="2" t="s">
        <v>10089</v>
      </c>
    </row>
    <row r="8109" spans="1:11" x14ac:dyDescent="0.2">
      <c r="A8109" s="2">
        <v>2029</v>
      </c>
      <c r="B8109" s="2">
        <v>14</v>
      </c>
      <c r="C8109" s="2">
        <v>103617473</v>
      </c>
      <c r="D8109" s="2">
        <v>104439106</v>
      </c>
      <c r="E8109" s="2">
        <v>3</v>
      </c>
      <c r="F8109" s="2" t="s">
        <v>10086</v>
      </c>
      <c r="H8109" s="3">
        <v>8.0000000000000004E-4</v>
      </c>
      <c r="K8109" s="2" t="s">
        <v>10085</v>
      </c>
    </row>
    <row r="8110" spans="1:11" x14ac:dyDescent="0.2">
      <c r="A8110" s="2">
        <v>2029</v>
      </c>
      <c r="B8110" s="2">
        <v>14</v>
      </c>
      <c r="C8110" s="2">
        <v>103617473</v>
      </c>
      <c r="D8110" s="2">
        <v>104439106</v>
      </c>
      <c r="E8110" s="2">
        <v>4</v>
      </c>
      <c r="F8110" s="2" t="s">
        <v>10086</v>
      </c>
      <c r="H8110" s="3">
        <v>5.9999999999999995E-4</v>
      </c>
      <c r="K8110" s="2" t="s">
        <v>10087</v>
      </c>
    </row>
    <row r="8111" spans="1:11" x14ac:dyDescent="0.2">
      <c r="A8111" s="2">
        <v>2030</v>
      </c>
      <c r="B8111" s="2">
        <v>14</v>
      </c>
      <c r="C8111" s="2">
        <v>104439107</v>
      </c>
      <c r="D8111" s="2">
        <v>105091340</v>
      </c>
      <c r="E8111" s="2">
        <v>1</v>
      </c>
      <c r="F8111" s="2" t="s">
        <v>10086</v>
      </c>
      <c r="H8111" s="2">
        <v>1.1999999999999999E-3</v>
      </c>
      <c r="K8111" s="2" t="s">
        <v>10085</v>
      </c>
    </row>
    <row r="8112" spans="1:11" x14ac:dyDescent="0.2">
      <c r="A8112" s="2">
        <v>2030</v>
      </c>
      <c r="B8112" s="2">
        <v>14</v>
      </c>
      <c r="C8112" s="2">
        <v>104439107</v>
      </c>
      <c r="D8112" s="2">
        <v>105091340</v>
      </c>
      <c r="E8112" s="2">
        <v>2</v>
      </c>
      <c r="F8112" s="2" t="s">
        <v>10086</v>
      </c>
      <c r="H8112" s="2">
        <v>1E-3</v>
      </c>
      <c r="K8112" s="2" t="s">
        <v>10087</v>
      </c>
    </row>
    <row r="8113" spans="1:11" x14ac:dyDescent="0.2">
      <c r="A8113" s="2">
        <v>2030</v>
      </c>
      <c r="B8113" s="2">
        <v>14</v>
      </c>
      <c r="C8113" s="2">
        <v>104439107</v>
      </c>
      <c r="D8113" s="2">
        <v>105091340</v>
      </c>
      <c r="E8113" s="2">
        <v>3</v>
      </c>
      <c r="F8113" s="2" t="s">
        <v>10086</v>
      </c>
      <c r="H8113" s="3">
        <v>8.0000000000000004E-4</v>
      </c>
      <c r="K8113" s="2" t="s">
        <v>10089</v>
      </c>
    </row>
    <row r="8114" spans="1:11" x14ac:dyDescent="0.2">
      <c r="A8114" s="2">
        <v>2030</v>
      </c>
      <c r="B8114" s="2">
        <v>14</v>
      </c>
      <c r="C8114" s="2">
        <v>104439107</v>
      </c>
      <c r="D8114" s="2">
        <v>105091340</v>
      </c>
      <c r="E8114" s="2">
        <v>4</v>
      </c>
      <c r="F8114" s="2" t="s">
        <v>10086</v>
      </c>
      <c r="H8114" s="3">
        <v>4.0000000000000002E-4</v>
      </c>
      <c r="K8114" s="2" t="s">
        <v>10088</v>
      </c>
    </row>
    <row r="8115" spans="1:11" x14ac:dyDescent="0.2">
      <c r="A8115" s="2">
        <v>2031</v>
      </c>
      <c r="B8115" s="2">
        <v>14</v>
      </c>
      <c r="C8115" s="2">
        <v>105091341</v>
      </c>
      <c r="D8115" s="2">
        <v>106347143</v>
      </c>
      <c r="E8115" s="2">
        <v>1</v>
      </c>
      <c r="F8115" s="2" t="s">
        <v>10086</v>
      </c>
      <c r="H8115" s="2">
        <v>4.1999999999999997E-3</v>
      </c>
      <c r="K8115" s="2" t="s">
        <v>12324</v>
      </c>
    </row>
    <row r="8116" spans="1:11" x14ac:dyDescent="0.2">
      <c r="A8116" s="2">
        <v>2031</v>
      </c>
      <c r="B8116" s="2">
        <v>14</v>
      </c>
      <c r="C8116" s="2">
        <v>105091341</v>
      </c>
      <c r="D8116" s="2">
        <v>106347143</v>
      </c>
      <c r="E8116" s="2">
        <v>2</v>
      </c>
      <c r="F8116" s="2" t="s">
        <v>10086</v>
      </c>
      <c r="H8116" s="2">
        <v>1.1999999999999999E-3</v>
      </c>
      <c r="K8116" s="2" t="s">
        <v>10088</v>
      </c>
    </row>
    <row r="8117" spans="1:11" x14ac:dyDescent="0.2">
      <c r="A8117" s="2">
        <v>2031</v>
      </c>
      <c r="B8117" s="2">
        <v>14</v>
      </c>
      <c r="C8117" s="2">
        <v>105091341</v>
      </c>
      <c r="D8117" s="2">
        <v>106347143</v>
      </c>
      <c r="E8117" s="2">
        <v>3</v>
      </c>
      <c r="F8117" s="2" t="s">
        <v>10086</v>
      </c>
      <c r="H8117" s="2">
        <v>1.1999999999999999E-3</v>
      </c>
      <c r="K8117" s="2" t="s">
        <v>10085</v>
      </c>
    </row>
    <row r="8118" spans="1:11" x14ac:dyDescent="0.2">
      <c r="A8118" s="2">
        <v>2031</v>
      </c>
      <c r="B8118" s="2">
        <v>14</v>
      </c>
      <c r="C8118" s="2">
        <v>105091341</v>
      </c>
      <c r="D8118" s="2">
        <v>106347143</v>
      </c>
      <c r="E8118" s="2">
        <v>4</v>
      </c>
      <c r="F8118" s="2" t="s">
        <v>10086</v>
      </c>
      <c r="H8118" s="3">
        <v>8.9999999999999998E-4</v>
      </c>
      <c r="K8118" s="2" t="s">
        <v>10089</v>
      </c>
    </row>
    <row r="8119" spans="1:11" x14ac:dyDescent="0.2">
      <c r="A8119" s="2">
        <v>2032</v>
      </c>
      <c r="B8119" s="2">
        <v>14</v>
      </c>
      <c r="C8119" s="2">
        <v>106347144</v>
      </c>
      <c r="D8119" s="2">
        <v>106876548</v>
      </c>
      <c r="E8119" s="2">
        <v>1</v>
      </c>
      <c r="F8119" s="2" t="s">
        <v>10086</v>
      </c>
      <c r="H8119" s="3">
        <v>4.0000000000000002E-4</v>
      </c>
      <c r="K8119" s="2" t="s">
        <v>10088</v>
      </c>
    </row>
    <row r="8120" spans="1:11" x14ac:dyDescent="0.2">
      <c r="A8120" s="2">
        <v>2032</v>
      </c>
      <c r="B8120" s="2">
        <v>14</v>
      </c>
      <c r="C8120" s="2">
        <v>106347144</v>
      </c>
      <c r="D8120" s="2">
        <v>106876548</v>
      </c>
      <c r="E8120" s="2">
        <v>2</v>
      </c>
      <c r="F8120" s="2" t="s">
        <v>10086</v>
      </c>
      <c r="H8120" s="3">
        <v>5.9999999999999995E-4</v>
      </c>
      <c r="K8120" s="2" t="s">
        <v>10087</v>
      </c>
    </row>
    <row r="8121" spans="1:11" x14ac:dyDescent="0.2">
      <c r="A8121" s="2">
        <v>2032</v>
      </c>
      <c r="B8121" s="2">
        <v>14</v>
      </c>
      <c r="C8121" s="2">
        <v>106347144</v>
      </c>
      <c r="D8121" s="2">
        <v>106876548</v>
      </c>
      <c r="E8121" s="2">
        <v>3</v>
      </c>
      <c r="F8121" s="2" t="s">
        <v>10086</v>
      </c>
      <c r="H8121" s="3">
        <v>2.9999999999999997E-4</v>
      </c>
      <c r="K8121" s="2" t="s">
        <v>10085</v>
      </c>
    </row>
    <row r="8122" spans="1:11" x14ac:dyDescent="0.2">
      <c r="A8122" s="2">
        <v>2032</v>
      </c>
      <c r="B8122" s="2">
        <v>14</v>
      </c>
      <c r="C8122" s="2">
        <v>106347144</v>
      </c>
      <c r="D8122" s="2">
        <v>106876548</v>
      </c>
      <c r="E8122" s="2">
        <v>4</v>
      </c>
      <c r="F8122" s="2" t="s">
        <v>10086</v>
      </c>
      <c r="H8122" s="3">
        <v>2.9999999999999997E-4</v>
      </c>
      <c r="K8122" s="2" t="s">
        <v>10089</v>
      </c>
    </row>
    <row r="8123" spans="1:11" x14ac:dyDescent="0.2">
      <c r="A8123" s="2">
        <v>2033</v>
      </c>
      <c r="B8123" s="2">
        <v>14</v>
      </c>
      <c r="C8123" s="2">
        <v>106876549</v>
      </c>
      <c r="D8123" s="2">
        <v>107289435</v>
      </c>
      <c r="E8123" s="2">
        <v>1</v>
      </c>
      <c r="F8123" s="2" t="s">
        <v>10086</v>
      </c>
      <c r="H8123" s="3">
        <v>5.0000000000000001E-4</v>
      </c>
      <c r="K8123" s="2" t="s">
        <v>10089</v>
      </c>
    </row>
    <row r="8124" spans="1:11" x14ac:dyDescent="0.2">
      <c r="A8124" s="2">
        <v>2033</v>
      </c>
      <c r="B8124" s="2">
        <v>14</v>
      </c>
      <c r="C8124" s="2">
        <v>106876549</v>
      </c>
      <c r="D8124" s="2">
        <v>107289435</v>
      </c>
      <c r="E8124" s="2">
        <v>2</v>
      </c>
      <c r="F8124" s="2" t="s">
        <v>10086</v>
      </c>
      <c r="H8124" s="3">
        <v>4.0000000000000002E-4</v>
      </c>
      <c r="K8124" s="2" t="s">
        <v>10087</v>
      </c>
    </row>
    <row r="8125" spans="1:11" x14ac:dyDescent="0.2">
      <c r="A8125" s="2">
        <v>2033</v>
      </c>
      <c r="B8125" s="2">
        <v>14</v>
      </c>
      <c r="C8125" s="2">
        <v>106876549</v>
      </c>
      <c r="D8125" s="2">
        <v>107289435</v>
      </c>
      <c r="E8125" s="2">
        <v>3</v>
      </c>
      <c r="F8125" s="2" t="s">
        <v>10086</v>
      </c>
      <c r="H8125" s="3">
        <v>4.0000000000000002E-4</v>
      </c>
      <c r="K8125" s="2" t="s">
        <v>12324</v>
      </c>
    </row>
    <row r="8126" spans="1:11" x14ac:dyDescent="0.2">
      <c r="A8126" s="2">
        <v>2033</v>
      </c>
      <c r="B8126" s="2">
        <v>14</v>
      </c>
      <c r="C8126" s="2">
        <v>106876549</v>
      </c>
      <c r="D8126" s="2">
        <v>107289435</v>
      </c>
      <c r="E8126" s="2">
        <v>4</v>
      </c>
      <c r="F8126" s="2" t="s">
        <v>10086</v>
      </c>
      <c r="H8126" s="3">
        <v>2.9999999999999997E-4</v>
      </c>
      <c r="K8126" s="2" t="s">
        <v>10088</v>
      </c>
    </row>
    <row r="8127" spans="1:11" x14ac:dyDescent="0.2">
      <c r="A8127" s="2">
        <v>2034</v>
      </c>
      <c r="B8127" s="2">
        <v>15</v>
      </c>
      <c r="C8127" s="2">
        <v>20000205</v>
      </c>
      <c r="D8127" s="2">
        <v>22799926</v>
      </c>
      <c r="E8127" s="2">
        <v>1</v>
      </c>
      <c r="F8127" s="2" t="s">
        <v>10086</v>
      </c>
      <c r="H8127" s="3">
        <v>5.0000000000000001E-4</v>
      </c>
      <c r="K8127" s="2" t="s">
        <v>10089</v>
      </c>
    </row>
    <row r="8128" spans="1:11" x14ac:dyDescent="0.2">
      <c r="A8128" s="2">
        <v>2034</v>
      </c>
      <c r="B8128" s="2">
        <v>15</v>
      </c>
      <c r="C8128" s="2">
        <v>20000205</v>
      </c>
      <c r="D8128" s="2">
        <v>22799926</v>
      </c>
      <c r="E8128" s="2">
        <v>2</v>
      </c>
      <c r="F8128" s="2" t="s">
        <v>10086</v>
      </c>
      <c r="H8128" s="3">
        <v>2.9999999999999997E-4</v>
      </c>
      <c r="K8128" s="2" t="s">
        <v>10085</v>
      </c>
    </row>
    <row r="8129" spans="1:11" x14ac:dyDescent="0.2">
      <c r="A8129" s="2">
        <v>2034</v>
      </c>
      <c r="B8129" s="2">
        <v>15</v>
      </c>
      <c r="C8129" s="2">
        <v>20000205</v>
      </c>
      <c r="D8129" s="2">
        <v>22799926</v>
      </c>
      <c r="E8129" s="2">
        <v>3</v>
      </c>
      <c r="F8129" s="2" t="s">
        <v>10086</v>
      </c>
      <c r="H8129" s="3">
        <v>2.9999999999999997E-4</v>
      </c>
      <c r="K8129" s="2" t="s">
        <v>12324</v>
      </c>
    </row>
    <row r="8130" spans="1:11" x14ac:dyDescent="0.2">
      <c r="A8130" s="2">
        <v>2034</v>
      </c>
      <c r="B8130" s="2">
        <v>15</v>
      </c>
      <c r="C8130" s="2">
        <v>20000205</v>
      </c>
      <c r="D8130" s="2">
        <v>22799926</v>
      </c>
      <c r="E8130" s="2">
        <v>4</v>
      </c>
      <c r="F8130" s="2" t="s">
        <v>10086</v>
      </c>
      <c r="H8130" s="3">
        <v>2.0000000000000001E-4</v>
      </c>
      <c r="K8130" s="2" t="s">
        <v>10087</v>
      </c>
    </row>
    <row r="8131" spans="1:11" x14ac:dyDescent="0.2">
      <c r="A8131" s="2">
        <v>2035</v>
      </c>
      <c r="B8131" s="2">
        <v>15</v>
      </c>
      <c r="C8131" s="2">
        <v>22799927</v>
      </c>
      <c r="D8131" s="2">
        <v>24099946</v>
      </c>
      <c r="E8131" s="2">
        <v>1</v>
      </c>
      <c r="F8131" s="2" t="s">
        <v>10086</v>
      </c>
      <c r="H8131" s="2">
        <v>1.4E-3</v>
      </c>
      <c r="K8131" s="2" t="s">
        <v>10087</v>
      </c>
    </row>
    <row r="8132" spans="1:11" x14ac:dyDescent="0.2">
      <c r="A8132" s="2">
        <v>2035</v>
      </c>
      <c r="B8132" s="2">
        <v>15</v>
      </c>
      <c r="C8132" s="2">
        <v>22799927</v>
      </c>
      <c r="D8132" s="2">
        <v>24099946</v>
      </c>
      <c r="E8132" s="2">
        <v>2</v>
      </c>
      <c r="F8132" s="2" t="s">
        <v>10086</v>
      </c>
      <c r="H8132" s="2">
        <v>1E-3</v>
      </c>
      <c r="K8132" s="2" t="s">
        <v>10085</v>
      </c>
    </row>
    <row r="8133" spans="1:11" x14ac:dyDescent="0.2">
      <c r="A8133" s="2">
        <v>2035</v>
      </c>
      <c r="B8133" s="2">
        <v>15</v>
      </c>
      <c r="C8133" s="2">
        <v>22799927</v>
      </c>
      <c r="D8133" s="2">
        <v>24099946</v>
      </c>
      <c r="E8133" s="2">
        <v>3</v>
      </c>
      <c r="F8133" s="2" t="s">
        <v>10086</v>
      </c>
      <c r="H8133" s="3">
        <v>8.0000000000000004E-4</v>
      </c>
      <c r="K8133" s="2" t="s">
        <v>10089</v>
      </c>
    </row>
    <row r="8134" spans="1:11" x14ac:dyDescent="0.2">
      <c r="A8134" s="2">
        <v>2035</v>
      </c>
      <c r="B8134" s="2">
        <v>15</v>
      </c>
      <c r="C8134" s="2">
        <v>22799927</v>
      </c>
      <c r="D8134" s="2">
        <v>24099946</v>
      </c>
      <c r="E8134" s="2">
        <v>4</v>
      </c>
      <c r="F8134" s="2" t="s">
        <v>10086</v>
      </c>
      <c r="H8134" s="3">
        <v>8.0000000000000004E-4</v>
      </c>
      <c r="K8134" s="2" t="s">
        <v>10088</v>
      </c>
    </row>
    <row r="8135" spans="1:11" x14ac:dyDescent="0.2">
      <c r="A8135" s="2">
        <v>2036</v>
      </c>
      <c r="B8135" s="2">
        <v>15</v>
      </c>
      <c r="C8135" s="2">
        <v>24099947</v>
      </c>
      <c r="D8135" s="2">
        <v>24531187</v>
      </c>
      <c r="E8135" s="2">
        <v>1</v>
      </c>
      <c r="F8135" s="2" t="s">
        <v>10086</v>
      </c>
      <c r="H8135" s="2">
        <v>1.1000000000000001E-3</v>
      </c>
      <c r="K8135" s="2" t="s">
        <v>10088</v>
      </c>
    </row>
    <row r="8136" spans="1:11" x14ac:dyDescent="0.2">
      <c r="A8136" s="2">
        <v>2036</v>
      </c>
      <c r="B8136" s="2">
        <v>15</v>
      </c>
      <c r="C8136" s="2">
        <v>24099947</v>
      </c>
      <c r="D8136" s="2">
        <v>24531187</v>
      </c>
      <c r="E8136" s="2">
        <v>2</v>
      </c>
      <c r="F8136" s="2" t="s">
        <v>10086</v>
      </c>
      <c r="H8136" s="3">
        <v>8.0000000000000004E-4</v>
      </c>
      <c r="K8136" s="2" t="s">
        <v>10087</v>
      </c>
    </row>
    <row r="8137" spans="1:11" x14ac:dyDescent="0.2">
      <c r="A8137" s="2">
        <v>2036</v>
      </c>
      <c r="B8137" s="2">
        <v>15</v>
      </c>
      <c r="C8137" s="2">
        <v>24099947</v>
      </c>
      <c r="D8137" s="2">
        <v>24531187</v>
      </c>
      <c r="E8137" s="2">
        <v>3</v>
      </c>
      <c r="F8137" s="2" t="s">
        <v>10086</v>
      </c>
      <c r="H8137" s="3">
        <v>5.0000000000000001E-4</v>
      </c>
      <c r="K8137" s="2" t="s">
        <v>10085</v>
      </c>
    </row>
    <row r="8138" spans="1:11" x14ac:dyDescent="0.2">
      <c r="A8138" s="2">
        <v>2036</v>
      </c>
      <c r="B8138" s="2">
        <v>15</v>
      </c>
      <c r="C8138" s="2">
        <v>24099947</v>
      </c>
      <c r="D8138" s="2">
        <v>24531187</v>
      </c>
      <c r="E8138" s="2">
        <v>4</v>
      </c>
      <c r="F8138" s="2" t="s">
        <v>10086</v>
      </c>
      <c r="H8138" s="3">
        <v>2.0000000000000001E-4</v>
      </c>
      <c r="K8138" s="2" t="s">
        <v>10089</v>
      </c>
    </row>
    <row r="8139" spans="1:11" x14ac:dyDescent="0.2">
      <c r="A8139" s="2">
        <v>2037</v>
      </c>
      <c r="B8139" s="2">
        <v>15</v>
      </c>
      <c r="C8139" s="2">
        <v>24531188</v>
      </c>
      <c r="D8139" s="2">
        <v>25384327</v>
      </c>
      <c r="E8139" s="2">
        <v>1</v>
      </c>
      <c r="F8139" s="2" t="s">
        <v>10086</v>
      </c>
      <c r="H8139" s="2">
        <v>1.1999999999999999E-3</v>
      </c>
      <c r="K8139" s="2" t="s">
        <v>10087</v>
      </c>
    </row>
    <row r="8140" spans="1:11" x14ac:dyDescent="0.2">
      <c r="A8140" s="2">
        <v>2037</v>
      </c>
      <c r="B8140" s="2">
        <v>15</v>
      </c>
      <c r="C8140" s="2">
        <v>24531188</v>
      </c>
      <c r="D8140" s="2">
        <v>25384327</v>
      </c>
      <c r="E8140" s="2">
        <v>2</v>
      </c>
      <c r="F8140" s="2" t="s">
        <v>10086</v>
      </c>
      <c r="H8140" s="3">
        <v>8.0000000000000004E-4</v>
      </c>
      <c r="K8140" s="2" t="s">
        <v>10085</v>
      </c>
    </row>
    <row r="8141" spans="1:11" x14ac:dyDescent="0.2">
      <c r="A8141" s="2">
        <v>2037</v>
      </c>
      <c r="B8141" s="2">
        <v>15</v>
      </c>
      <c r="C8141" s="2">
        <v>24531188</v>
      </c>
      <c r="D8141" s="2">
        <v>25384327</v>
      </c>
      <c r="E8141" s="2">
        <v>3</v>
      </c>
      <c r="F8141" s="2" t="s">
        <v>10086</v>
      </c>
      <c r="H8141" s="3">
        <v>8.9999999999999998E-4</v>
      </c>
      <c r="K8141" s="2" t="s">
        <v>10088</v>
      </c>
    </row>
    <row r="8142" spans="1:11" x14ac:dyDescent="0.2">
      <c r="A8142" s="2">
        <v>2037</v>
      </c>
      <c r="B8142" s="2">
        <v>15</v>
      </c>
      <c r="C8142" s="2">
        <v>24531188</v>
      </c>
      <c r="D8142" s="2">
        <v>25384327</v>
      </c>
      <c r="E8142" s="2">
        <v>4</v>
      </c>
      <c r="F8142" s="2" t="s">
        <v>10086</v>
      </c>
      <c r="H8142" s="3">
        <v>5.0000000000000001E-4</v>
      </c>
      <c r="K8142" s="2" t="s">
        <v>10089</v>
      </c>
    </row>
    <row r="8143" spans="1:11" x14ac:dyDescent="0.2">
      <c r="A8143" s="2">
        <v>2038</v>
      </c>
      <c r="B8143" s="2">
        <v>15</v>
      </c>
      <c r="C8143" s="2">
        <v>25384328</v>
      </c>
      <c r="D8143" s="2">
        <v>26392947</v>
      </c>
      <c r="E8143" s="2">
        <v>1</v>
      </c>
      <c r="F8143" s="2" t="s">
        <v>10086</v>
      </c>
      <c r="H8143" s="2">
        <v>4.0000000000000001E-3</v>
      </c>
      <c r="K8143" s="2" t="s">
        <v>10088</v>
      </c>
    </row>
    <row r="8144" spans="1:11" x14ac:dyDescent="0.2">
      <c r="A8144" s="2">
        <v>2038</v>
      </c>
      <c r="B8144" s="2">
        <v>15</v>
      </c>
      <c r="C8144" s="2">
        <v>25384328</v>
      </c>
      <c r="D8144" s="2">
        <v>26392947</v>
      </c>
      <c r="E8144" s="2">
        <v>2</v>
      </c>
      <c r="F8144" s="2" t="s">
        <v>10086</v>
      </c>
      <c r="H8144" s="2">
        <v>2.3999999999999998E-3</v>
      </c>
      <c r="K8144" s="2" t="s">
        <v>10087</v>
      </c>
    </row>
    <row r="8145" spans="1:11" x14ac:dyDescent="0.2">
      <c r="A8145" s="2">
        <v>2038</v>
      </c>
      <c r="B8145" s="2">
        <v>15</v>
      </c>
      <c r="C8145" s="2">
        <v>25384328</v>
      </c>
      <c r="D8145" s="2">
        <v>26392947</v>
      </c>
      <c r="E8145" s="2">
        <v>3</v>
      </c>
      <c r="F8145" s="2" t="s">
        <v>10086</v>
      </c>
      <c r="H8145" s="2">
        <v>1.9E-3</v>
      </c>
      <c r="K8145" s="2" t="s">
        <v>10085</v>
      </c>
    </row>
    <row r="8146" spans="1:11" x14ac:dyDescent="0.2">
      <c r="A8146" s="2">
        <v>2038</v>
      </c>
      <c r="B8146" s="2">
        <v>15</v>
      </c>
      <c r="C8146" s="2">
        <v>25384328</v>
      </c>
      <c r="D8146" s="2">
        <v>26392947</v>
      </c>
      <c r="E8146" s="2">
        <v>4</v>
      </c>
      <c r="F8146" s="2" t="s">
        <v>10086</v>
      </c>
      <c r="H8146" s="3">
        <v>8.9999999999999998E-4</v>
      </c>
      <c r="K8146" s="2" t="s">
        <v>10089</v>
      </c>
    </row>
    <row r="8147" spans="1:11" x14ac:dyDescent="0.2">
      <c r="A8147" s="2">
        <v>2039</v>
      </c>
      <c r="B8147" s="2">
        <v>15</v>
      </c>
      <c r="C8147" s="2">
        <v>26392948</v>
      </c>
      <c r="D8147" s="2">
        <v>27563172</v>
      </c>
      <c r="E8147" s="2">
        <v>1</v>
      </c>
      <c r="F8147" s="2" t="s">
        <v>10086</v>
      </c>
      <c r="H8147" s="2">
        <v>3.0999999999999999E-3</v>
      </c>
      <c r="K8147" s="2" t="s">
        <v>10088</v>
      </c>
    </row>
    <row r="8148" spans="1:11" x14ac:dyDescent="0.2">
      <c r="A8148" s="2">
        <v>2039</v>
      </c>
      <c r="B8148" s="2">
        <v>15</v>
      </c>
      <c r="C8148" s="2">
        <v>26392948</v>
      </c>
      <c r="D8148" s="2">
        <v>27563172</v>
      </c>
      <c r="E8148" s="2">
        <v>2</v>
      </c>
      <c r="F8148" s="2" t="s">
        <v>10086</v>
      </c>
      <c r="H8148" s="2">
        <v>1.4E-3</v>
      </c>
      <c r="K8148" s="2" t="s">
        <v>10087</v>
      </c>
    </row>
    <row r="8149" spans="1:11" x14ac:dyDescent="0.2">
      <c r="A8149" s="2">
        <v>2039</v>
      </c>
      <c r="B8149" s="2">
        <v>15</v>
      </c>
      <c r="C8149" s="2">
        <v>26392948</v>
      </c>
      <c r="D8149" s="2">
        <v>27563172</v>
      </c>
      <c r="E8149" s="2">
        <v>3</v>
      </c>
      <c r="F8149" s="2" t="s">
        <v>10086</v>
      </c>
      <c r="H8149" s="2">
        <v>1.1999999999999999E-3</v>
      </c>
      <c r="K8149" s="2" t="s">
        <v>10089</v>
      </c>
    </row>
    <row r="8150" spans="1:11" x14ac:dyDescent="0.2">
      <c r="A8150" s="2">
        <v>2039</v>
      </c>
      <c r="B8150" s="2">
        <v>15</v>
      </c>
      <c r="C8150" s="2">
        <v>26392948</v>
      </c>
      <c r="D8150" s="2">
        <v>27563172</v>
      </c>
      <c r="E8150" s="2">
        <v>4</v>
      </c>
      <c r="F8150" s="2" t="s">
        <v>10086</v>
      </c>
      <c r="H8150" s="3">
        <v>5.0000000000000001E-4</v>
      </c>
      <c r="K8150" s="2" t="s">
        <v>10085</v>
      </c>
    </row>
    <row r="8151" spans="1:11" x14ac:dyDescent="0.2">
      <c r="A8151" s="2">
        <v>2040</v>
      </c>
      <c r="B8151" s="2">
        <v>15</v>
      </c>
      <c r="C8151" s="2">
        <v>27563173</v>
      </c>
      <c r="D8151" s="2">
        <v>29141035</v>
      </c>
      <c r="E8151" s="2">
        <v>1</v>
      </c>
      <c r="F8151" s="2" t="s">
        <v>10086</v>
      </c>
      <c r="H8151" s="2">
        <v>1.1999999999999999E-3</v>
      </c>
      <c r="K8151" s="2" t="s">
        <v>10089</v>
      </c>
    </row>
    <row r="8152" spans="1:11" x14ac:dyDescent="0.2">
      <c r="A8152" s="2">
        <v>2040</v>
      </c>
      <c r="B8152" s="2">
        <v>15</v>
      </c>
      <c r="C8152" s="2">
        <v>27563173</v>
      </c>
      <c r="D8152" s="2">
        <v>29141035</v>
      </c>
      <c r="E8152" s="2">
        <v>2</v>
      </c>
      <c r="F8152" s="2" t="s">
        <v>10086</v>
      </c>
      <c r="H8152" s="2">
        <v>1.1000000000000001E-3</v>
      </c>
      <c r="K8152" s="2" t="s">
        <v>10087</v>
      </c>
    </row>
    <row r="8153" spans="1:11" x14ac:dyDescent="0.2">
      <c r="A8153" s="2">
        <v>2040</v>
      </c>
      <c r="B8153" s="2">
        <v>15</v>
      </c>
      <c r="C8153" s="2">
        <v>27563173</v>
      </c>
      <c r="D8153" s="2">
        <v>29141035</v>
      </c>
      <c r="E8153" s="2">
        <v>3</v>
      </c>
      <c r="F8153" s="2" t="s">
        <v>10086</v>
      </c>
      <c r="H8153" s="3">
        <v>8.0000000000000004E-4</v>
      </c>
      <c r="K8153" s="2" t="s">
        <v>10088</v>
      </c>
    </row>
    <row r="8154" spans="1:11" x14ac:dyDescent="0.2">
      <c r="A8154" s="2">
        <v>2040</v>
      </c>
      <c r="B8154" s="2">
        <v>15</v>
      </c>
      <c r="C8154" s="2">
        <v>27563173</v>
      </c>
      <c r="D8154" s="2">
        <v>29141035</v>
      </c>
      <c r="E8154" s="2">
        <v>4</v>
      </c>
      <c r="F8154" s="2" t="s">
        <v>10086</v>
      </c>
      <c r="H8154" s="3">
        <v>4.0000000000000002E-4</v>
      </c>
      <c r="K8154" s="2" t="s">
        <v>10085</v>
      </c>
    </row>
    <row r="8155" spans="1:11" x14ac:dyDescent="0.2">
      <c r="A8155" s="2">
        <v>2041</v>
      </c>
      <c r="B8155" s="2">
        <v>15</v>
      </c>
      <c r="C8155" s="2">
        <v>29141036</v>
      </c>
      <c r="D8155" s="2">
        <v>30604119</v>
      </c>
      <c r="E8155" s="2">
        <v>1</v>
      </c>
      <c r="F8155" s="2" t="s">
        <v>10086</v>
      </c>
      <c r="H8155" s="2">
        <v>4.5999999999999999E-3</v>
      </c>
      <c r="K8155" s="2" t="s">
        <v>10087</v>
      </c>
    </row>
    <row r="8156" spans="1:11" x14ac:dyDescent="0.2">
      <c r="A8156" s="2">
        <v>2041</v>
      </c>
      <c r="B8156" s="2">
        <v>15</v>
      </c>
      <c r="C8156" s="2">
        <v>29141036</v>
      </c>
      <c r="D8156" s="2">
        <v>30604119</v>
      </c>
      <c r="E8156" s="2">
        <v>2</v>
      </c>
      <c r="F8156" s="2" t="s">
        <v>10086</v>
      </c>
      <c r="H8156" s="2">
        <v>1.2999999999999999E-3</v>
      </c>
      <c r="K8156" s="2" t="s">
        <v>10089</v>
      </c>
    </row>
    <row r="8157" spans="1:11" x14ac:dyDescent="0.2">
      <c r="A8157" s="2">
        <v>2041</v>
      </c>
      <c r="B8157" s="2">
        <v>15</v>
      </c>
      <c r="C8157" s="2">
        <v>29141036</v>
      </c>
      <c r="D8157" s="2">
        <v>30604119</v>
      </c>
      <c r="E8157" s="2">
        <v>3</v>
      </c>
      <c r="F8157" s="2" t="s">
        <v>10086</v>
      </c>
      <c r="H8157" s="3">
        <v>8.0000000000000004E-4</v>
      </c>
      <c r="K8157" s="2" t="s">
        <v>10085</v>
      </c>
    </row>
    <row r="8158" spans="1:11" x14ac:dyDescent="0.2">
      <c r="A8158" s="2">
        <v>2041</v>
      </c>
      <c r="B8158" s="2">
        <v>15</v>
      </c>
      <c r="C8158" s="2">
        <v>29141036</v>
      </c>
      <c r="D8158" s="2">
        <v>30604119</v>
      </c>
      <c r="E8158" s="2">
        <v>4</v>
      </c>
      <c r="F8158" s="2" t="s">
        <v>10086</v>
      </c>
      <c r="H8158" s="3">
        <v>5.0000000000000001E-4</v>
      </c>
      <c r="K8158" s="2" t="s">
        <v>10088</v>
      </c>
    </row>
    <row r="8159" spans="1:11" x14ac:dyDescent="0.2">
      <c r="A8159" s="2">
        <v>2042</v>
      </c>
      <c r="B8159" s="2">
        <v>15</v>
      </c>
      <c r="C8159" s="2">
        <v>30604120</v>
      </c>
      <c r="D8159" s="2">
        <v>32177320</v>
      </c>
      <c r="E8159" s="2">
        <v>1</v>
      </c>
      <c r="F8159" s="2" t="s">
        <v>10086</v>
      </c>
      <c r="H8159" s="2">
        <v>1.2999999999999999E-3</v>
      </c>
      <c r="K8159" s="2" t="s">
        <v>10087</v>
      </c>
    </row>
    <row r="8160" spans="1:11" x14ac:dyDescent="0.2">
      <c r="A8160" s="2">
        <v>2042</v>
      </c>
      <c r="B8160" s="2">
        <v>15</v>
      </c>
      <c r="C8160" s="2">
        <v>30604120</v>
      </c>
      <c r="D8160" s="2">
        <v>32177320</v>
      </c>
      <c r="E8160" s="2">
        <v>2</v>
      </c>
      <c r="F8160" s="2" t="s">
        <v>10086</v>
      </c>
      <c r="H8160" s="3">
        <v>8.9999999999999998E-4</v>
      </c>
      <c r="K8160" s="2" t="s">
        <v>10085</v>
      </c>
    </row>
    <row r="8161" spans="1:11" x14ac:dyDescent="0.2">
      <c r="A8161" s="2">
        <v>2042</v>
      </c>
      <c r="B8161" s="2">
        <v>15</v>
      </c>
      <c r="C8161" s="2">
        <v>30604120</v>
      </c>
      <c r="D8161" s="2">
        <v>32177320</v>
      </c>
      <c r="E8161" s="2">
        <v>3</v>
      </c>
      <c r="F8161" s="2" t="s">
        <v>10086</v>
      </c>
      <c r="H8161" s="2">
        <v>1E-3</v>
      </c>
      <c r="K8161" s="2" t="s">
        <v>10088</v>
      </c>
    </row>
    <row r="8162" spans="1:11" x14ac:dyDescent="0.2">
      <c r="A8162" s="2">
        <v>2042</v>
      </c>
      <c r="B8162" s="2">
        <v>15</v>
      </c>
      <c r="C8162" s="2">
        <v>30604120</v>
      </c>
      <c r="D8162" s="2">
        <v>32177320</v>
      </c>
      <c r="E8162" s="2">
        <v>4</v>
      </c>
      <c r="F8162" s="2" t="s">
        <v>10086</v>
      </c>
      <c r="H8162" s="3">
        <v>5.0000000000000001E-4</v>
      </c>
      <c r="K8162" s="2" t="s">
        <v>10089</v>
      </c>
    </row>
    <row r="8163" spans="1:11" x14ac:dyDescent="0.2">
      <c r="A8163" s="2">
        <v>2043</v>
      </c>
      <c r="B8163" s="2">
        <v>15</v>
      </c>
      <c r="C8163" s="2">
        <v>32177321</v>
      </c>
      <c r="D8163" s="2">
        <v>33484267</v>
      </c>
      <c r="E8163" s="2">
        <v>1</v>
      </c>
      <c r="F8163" s="2" t="s">
        <v>10086</v>
      </c>
      <c r="H8163" s="2">
        <v>5.1999999999999998E-3</v>
      </c>
      <c r="K8163" s="2" t="s">
        <v>10085</v>
      </c>
    </row>
    <row r="8164" spans="1:11" x14ac:dyDescent="0.2">
      <c r="A8164" s="2">
        <v>2043</v>
      </c>
      <c r="B8164" s="2">
        <v>15</v>
      </c>
      <c r="C8164" s="2">
        <v>32177321</v>
      </c>
      <c r="D8164" s="2">
        <v>33484267</v>
      </c>
      <c r="E8164" s="2">
        <v>2</v>
      </c>
      <c r="F8164" s="2" t="s">
        <v>10086</v>
      </c>
      <c r="H8164" s="2">
        <v>2E-3</v>
      </c>
      <c r="K8164" s="2" t="s">
        <v>10089</v>
      </c>
    </row>
    <row r="8165" spans="1:11" x14ac:dyDescent="0.2">
      <c r="A8165" s="2">
        <v>2043</v>
      </c>
      <c r="B8165" s="2">
        <v>15</v>
      </c>
      <c r="C8165" s="2">
        <v>32177321</v>
      </c>
      <c r="D8165" s="2">
        <v>33484267</v>
      </c>
      <c r="E8165" s="2">
        <v>3</v>
      </c>
      <c r="F8165" s="2" t="s">
        <v>10086</v>
      </c>
      <c r="H8165" s="2">
        <v>1.1999999999999999E-3</v>
      </c>
      <c r="K8165" s="2" t="s">
        <v>10087</v>
      </c>
    </row>
    <row r="8166" spans="1:11" x14ac:dyDescent="0.2">
      <c r="A8166" s="2">
        <v>2043</v>
      </c>
      <c r="B8166" s="2">
        <v>15</v>
      </c>
      <c r="C8166" s="2">
        <v>32177321</v>
      </c>
      <c r="D8166" s="2">
        <v>33484267</v>
      </c>
      <c r="E8166" s="2">
        <v>4</v>
      </c>
      <c r="F8166" s="2" t="s">
        <v>10086</v>
      </c>
      <c r="H8166" s="3">
        <v>8.9999999999999998E-4</v>
      </c>
      <c r="K8166" s="2" t="s">
        <v>10088</v>
      </c>
    </row>
    <row r="8167" spans="1:11" x14ac:dyDescent="0.2">
      <c r="A8167" s="2">
        <v>2044</v>
      </c>
      <c r="B8167" s="2">
        <v>15</v>
      </c>
      <c r="C8167" s="2">
        <v>33484268</v>
      </c>
      <c r="D8167" s="2">
        <v>34410072</v>
      </c>
      <c r="E8167" s="2">
        <v>1</v>
      </c>
      <c r="F8167" s="2" t="s">
        <v>10086</v>
      </c>
      <c r="H8167" s="2">
        <v>4.5999999999999999E-3</v>
      </c>
      <c r="K8167" s="2" t="s">
        <v>10088</v>
      </c>
    </row>
    <row r="8168" spans="1:11" x14ac:dyDescent="0.2">
      <c r="A8168" s="2">
        <v>2044</v>
      </c>
      <c r="B8168" s="2">
        <v>15</v>
      </c>
      <c r="C8168" s="2">
        <v>33484268</v>
      </c>
      <c r="D8168" s="2">
        <v>34410072</v>
      </c>
      <c r="E8168" s="2">
        <v>2</v>
      </c>
      <c r="F8168" s="2" t="s">
        <v>10086</v>
      </c>
      <c r="H8168" s="2">
        <v>1.5E-3</v>
      </c>
      <c r="K8168" s="2" t="s">
        <v>10087</v>
      </c>
    </row>
    <row r="8169" spans="1:11" x14ac:dyDescent="0.2">
      <c r="A8169" s="2">
        <v>2044</v>
      </c>
      <c r="B8169" s="2">
        <v>15</v>
      </c>
      <c r="C8169" s="2">
        <v>33484268</v>
      </c>
      <c r="D8169" s="2">
        <v>34410072</v>
      </c>
      <c r="E8169" s="2">
        <v>3</v>
      </c>
      <c r="F8169" s="2" t="s">
        <v>10086</v>
      </c>
      <c r="H8169" s="2">
        <v>1.1000000000000001E-3</v>
      </c>
      <c r="K8169" s="2" t="s">
        <v>10089</v>
      </c>
    </row>
    <row r="8170" spans="1:11" x14ac:dyDescent="0.2">
      <c r="A8170" s="2">
        <v>2044</v>
      </c>
      <c r="B8170" s="2">
        <v>15</v>
      </c>
      <c r="C8170" s="2">
        <v>33484268</v>
      </c>
      <c r="D8170" s="2">
        <v>34410072</v>
      </c>
      <c r="E8170" s="2">
        <v>4</v>
      </c>
      <c r="F8170" s="2" t="s">
        <v>10086</v>
      </c>
      <c r="H8170" s="3">
        <v>5.0000000000000001E-4</v>
      </c>
      <c r="K8170" s="2" t="s">
        <v>10085</v>
      </c>
    </row>
    <row r="8171" spans="1:11" x14ac:dyDescent="0.2">
      <c r="A8171" s="2">
        <v>2045</v>
      </c>
      <c r="B8171" s="2">
        <v>15</v>
      </c>
      <c r="C8171" s="2">
        <v>34410073</v>
      </c>
      <c r="D8171" s="2">
        <v>35118927</v>
      </c>
      <c r="E8171" s="2">
        <v>1</v>
      </c>
      <c r="F8171" s="2" t="s">
        <v>10086</v>
      </c>
      <c r="H8171" s="3">
        <v>8.9999999999999998E-4</v>
      </c>
      <c r="K8171" s="2" t="s">
        <v>10087</v>
      </c>
    </row>
    <row r="8172" spans="1:11" x14ac:dyDescent="0.2">
      <c r="A8172" s="2">
        <v>2045</v>
      </c>
      <c r="B8172" s="2">
        <v>15</v>
      </c>
      <c r="C8172" s="2">
        <v>34410073</v>
      </c>
      <c r="D8172" s="2">
        <v>35118927</v>
      </c>
      <c r="E8172" s="2">
        <v>2</v>
      </c>
      <c r="F8172" s="2" t="s">
        <v>10086</v>
      </c>
      <c r="H8172" s="3">
        <v>8.9999999999999998E-4</v>
      </c>
      <c r="K8172" s="2" t="s">
        <v>12324</v>
      </c>
    </row>
    <row r="8173" spans="1:11" x14ac:dyDescent="0.2">
      <c r="A8173" s="2">
        <v>2045</v>
      </c>
      <c r="B8173" s="2">
        <v>15</v>
      </c>
      <c r="C8173" s="2">
        <v>34410073</v>
      </c>
      <c r="D8173" s="2">
        <v>35118927</v>
      </c>
      <c r="E8173" s="2">
        <v>3</v>
      </c>
      <c r="F8173" s="2" t="s">
        <v>10086</v>
      </c>
      <c r="H8173" s="3">
        <v>6.9999999999999999E-4</v>
      </c>
      <c r="K8173" s="2" t="s">
        <v>10085</v>
      </c>
    </row>
    <row r="8174" spans="1:11" x14ac:dyDescent="0.2">
      <c r="A8174" s="2">
        <v>2045</v>
      </c>
      <c r="B8174" s="2">
        <v>15</v>
      </c>
      <c r="C8174" s="2">
        <v>34410073</v>
      </c>
      <c r="D8174" s="2">
        <v>35118927</v>
      </c>
      <c r="E8174" s="2">
        <v>4</v>
      </c>
      <c r="F8174" s="2" t="s">
        <v>10086</v>
      </c>
      <c r="H8174" s="3">
        <v>5.0000000000000001E-4</v>
      </c>
      <c r="K8174" s="2" t="s">
        <v>10088</v>
      </c>
    </row>
    <row r="8175" spans="1:11" x14ac:dyDescent="0.2">
      <c r="A8175" s="2">
        <v>2046</v>
      </c>
      <c r="B8175" s="2">
        <v>15</v>
      </c>
      <c r="C8175" s="2">
        <v>35118928</v>
      </c>
      <c r="D8175" s="2">
        <v>36583327</v>
      </c>
      <c r="E8175" s="2">
        <v>1</v>
      </c>
      <c r="F8175" s="2" t="s">
        <v>10086</v>
      </c>
      <c r="H8175" s="2">
        <v>2.8E-3</v>
      </c>
      <c r="K8175" s="2" t="s">
        <v>10085</v>
      </c>
    </row>
    <row r="8176" spans="1:11" x14ac:dyDescent="0.2">
      <c r="A8176" s="2">
        <v>2046</v>
      </c>
      <c r="B8176" s="2">
        <v>15</v>
      </c>
      <c r="C8176" s="2">
        <v>35118928</v>
      </c>
      <c r="D8176" s="2">
        <v>36583327</v>
      </c>
      <c r="E8176" s="2">
        <v>2</v>
      </c>
      <c r="F8176" s="2" t="s">
        <v>10086</v>
      </c>
      <c r="H8176" s="2">
        <v>5.7000000000000002E-3</v>
      </c>
      <c r="K8176" s="2" t="s">
        <v>10088</v>
      </c>
    </row>
    <row r="8177" spans="1:11" x14ac:dyDescent="0.2">
      <c r="A8177" s="2">
        <v>2046</v>
      </c>
      <c r="B8177" s="2">
        <v>15</v>
      </c>
      <c r="C8177" s="2">
        <v>35118928</v>
      </c>
      <c r="D8177" s="2">
        <v>36583327</v>
      </c>
      <c r="E8177" s="2">
        <v>3</v>
      </c>
      <c r="F8177" s="2" t="s">
        <v>10086</v>
      </c>
      <c r="H8177" s="2">
        <v>2.5999999999999999E-3</v>
      </c>
      <c r="K8177" s="2" t="s">
        <v>10089</v>
      </c>
    </row>
    <row r="8178" spans="1:11" x14ac:dyDescent="0.2">
      <c r="A8178" s="2">
        <v>2046</v>
      </c>
      <c r="B8178" s="2">
        <v>15</v>
      </c>
      <c r="C8178" s="2">
        <v>35118928</v>
      </c>
      <c r="D8178" s="2">
        <v>36583327</v>
      </c>
      <c r="E8178" s="2">
        <v>4</v>
      </c>
      <c r="F8178" s="2" t="s">
        <v>10086</v>
      </c>
      <c r="H8178" s="3">
        <v>5.9999999999999995E-4</v>
      </c>
      <c r="K8178" s="2" t="s">
        <v>10087</v>
      </c>
    </row>
    <row r="8179" spans="1:11" x14ac:dyDescent="0.2">
      <c r="A8179" s="2">
        <v>2047</v>
      </c>
      <c r="B8179" s="2">
        <v>15</v>
      </c>
      <c r="C8179" s="2">
        <v>36583328</v>
      </c>
      <c r="D8179" s="2">
        <v>37962915</v>
      </c>
      <c r="E8179" s="2">
        <v>1</v>
      </c>
      <c r="F8179" s="2" t="s">
        <v>10086</v>
      </c>
      <c r="H8179" s="2">
        <v>2.2000000000000001E-3</v>
      </c>
      <c r="K8179" s="2" t="s">
        <v>10089</v>
      </c>
    </row>
    <row r="8180" spans="1:11" x14ac:dyDescent="0.2">
      <c r="A8180" s="2">
        <v>2047</v>
      </c>
      <c r="B8180" s="2">
        <v>15</v>
      </c>
      <c r="C8180" s="2">
        <v>36583328</v>
      </c>
      <c r="D8180" s="2">
        <v>37962915</v>
      </c>
      <c r="E8180" s="2">
        <v>2</v>
      </c>
      <c r="F8180" s="2" t="s">
        <v>10086</v>
      </c>
      <c r="H8180" s="2">
        <v>5.0000000000000001E-3</v>
      </c>
      <c r="K8180" s="2" t="s">
        <v>10087</v>
      </c>
    </row>
    <row r="8181" spans="1:11" x14ac:dyDescent="0.2">
      <c r="A8181" s="2">
        <v>2047</v>
      </c>
      <c r="B8181" s="2">
        <v>15</v>
      </c>
      <c r="C8181" s="2">
        <v>36583328</v>
      </c>
      <c r="D8181" s="2">
        <v>37962915</v>
      </c>
      <c r="E8181" s="2">
        <v>3</v>
      </c>
      <c r="F8181" s="2" t="s">
        <v>10086</v>
      </c>
      <c r="H8181" s="2">
        <v>2.5999999999999999E-3</v>
      </c>
      <c r="K8181" s="2" t="s">
        <v>10088</v>
      </c>
    </row>
    <row r="8182" spans="1:11" x14ac:dyDescent="0.2">
      <c r="A8182" s="2">
        <v>2047</v>
      </c>
      <c r="B8182" s="2">
        <v>15</v>
      </c>
      <c r="C8182" s="2">
        <v>36583328</v>
      </c>
      <c r="D8182" s="2">
        <v>37962915</v>
      </c>
      <c r="E8182" s="2">
        <v>4</v>
      </c>
      <c r="F8182" s="2" t="s">
        <v>10086</v>
      </c>
      <c r="H8182" s="3">
        <v>8.9999999999999998E-4</v>
      </c>
      <c r="K8182" s="2" t="s">
        <v>10085</v>
      </c>
    </row>
    <row r="8183" spans="1:11" x14ac:dyDescent="0.2">
      <c r="A8183" s="2">
        <v>2048</v>
      </c>
      <c r="B8183" s="2">
        <v>15</v>
      </c>
      <c r="C8183" s="2">
        <v>37962916</v>
      </c>
      <c r="D8183" s="2">
        <v>39238840</v>
      </c>
      <c r="E8183" s="2">
        <v>1</v>
      </c>
      <c r="F8183" s="2" t="s">
        <v>10086</v>
      </c>
      <c r="H8183" s="2">
        <v>1.6999999999999999E-3</v>
      </c>
      <c r="K8183" s="2" t="s">
        <v>10085</v>
      </c>
    </row>
    <row r="8184" spans="1:11" x14ac:dyDescent="0.2">
      <c r="A8184" s="2">
        <v>2048</v>
      </c>
      <c r="B8184" s="2">
        <v>15</v>
      </c>
      <c r="C8184" s="2">
        <v>37962916</v>
      </c>
      <c r="D8184" s="2">
        <v>39238840</v>
      </c>
      <c r="E8184" s="2">
        <v>2</v>
      </c>
      <c r="F8184" s="2" t="s">
        <v>10086</v>
      </c>
      <c r="H8184" s="2">
        <v>1.8E-3</v>
      </c>
      <c r="K8184" s="2" t="s">
        <v>10088</v>
      </c>
    </row>
    <row r="8185" spans="1:11" x14ac:dyDescent="0.2">
      <c r="A8185" s="2">
        <v>2048</v>
      </c>
      <c r="B8185" s="2">
        <v>15</v>
      </c>
      <c r="C8185" s="2">
        <v>37962916</v>
      </c>
      <c r="D8185" s="2">
        <v>39238840</v>
      </c>
      <c r="E8185" s="2">
        <v>3</v>
      </c>
      <c r="F8185" s="2" t="s">
        <v>10086</v>
      </c>
      <c r="H8185" s="2">
        <v>1.4E-3</v>
      </c>
      <c r="K8185" s="2" t="s">
        <v>10089</v>
      </c>
    </row>
    <row r="8186" spans="1:11" x14ac:dyDescent="0.2">
      <c r="A8186" s="2">
        <v>2048</v>
      </c>
      <c r="B8186" s="2">
        <v>15</v>
      </c>
      <c r="C8186" s="2">
        <v>37962916</v>
      </c>
      <c r="D8186" s="2">
        <v>39238840</v>
      </c>
      <c r="E8186" s="2">
        <v>4</v>
      </c>
      <c r="F8186" s="2" t="s">
        <v>10086</v>
      </c>
      <c r="H8186" s="3">
        <v>5.0000000000000001E-4</v>
      </c>
      <c r="K8186" s="2" t="s">
        <v>10087</v>
      </c>
    </row>
    <row r="8187" spans="1:11" x14ac:dyDescent="0.2">
      <c r="A8187" s="2">
        <v>2049</v>
      </c>
      <c r="B8187" s="2">
        <v>15</v>
      </c>
      <c r="C8187" s="2">
        <v>39238841</v>
      </c>
      <c r="D8187" s="2">
        <v>40604780</v>
      </c>
      <c r="E8187" s="2">
        <v>1</v>
      </c>
      <c r="F8187" s="2" t="s">
        <v>10086</v>
      </c>
      <c r="H8187" s="2">
        <v>1.9E-3</v>
      </c>
      <c r="K8187" s="2" t="s">
        <v>10089</v>
      </c>
    </row>
    <row r="8188" spans="1:11" x14ac:dyDescent="0.2">
      <c r="A8188" s="2">
        <v>2049</v>
      </c>
      <c r="B8188" s="2">
        <v>15</v>
      </c>
      <c r="C8188" s="2">
        <v>39238841</v>
      </c>
      <c r="D8188" s="2">
        <v>40604780</v>
      </c>
      <c r="E8188" s="2">
        <v>2</v>
      </c>
      <c r="F8188" s="2" t="s">
        <v>10086</v>
      </c>
      <c r="H8188" s="2">
        <v>1.9E-3</v>
      </c>
      <c r="K8188" s="2" t="s">
        <v>10088</v>
      </c>
    </row>
    <row r="8189" spans="1:11" x14ac:dyDescent="0.2">
      <c r="A8189" s="2">
        <v>2049</v>
      </c>
      <c r="B8189" s="2">
        <v>15</v>
      </c>
      <c r="C8189" s="2">
        <v>39238841</v>
      </c>
      <c r="D8189" s="2">
        <v>40604780</v>
      </c>
      <c r="E8189" s="2">
        <v>3</v>
      </c>
      <c r="F8189" s="2" t="s">
        <v>10086</v>
      </c>
      <c r="H8189" s="2">
        <v>1.2999999999999999E-3</v>
      </c>
      <c r="K8189" s="2" t="s">
        <v>10085</v>
      </c>
    </row>
    <row r="8190" spans="1:11" x14ac:dyDescent="0.2">
      <c r="A8190" s="2">
        <v>2049</v>
      </c>
      <c r="B8190" s="2">
        <v>15</v>
      </c>
      <c r="C8190" s="2">
        <v>39238841</v>
      </c>
      <c r="D8190" s="2">
        <v>40604780</v>
      </c>
      <c r="E8190" s="2">
        <v>4</v>
      </c>
      <c r="F8190" s="2" t="s">
        <v>10086</v>
      </c>
      <c r="H8190" s="3">
        <v>6.9999999999999999E-4</v>
      </c>
      <c r="K8190" s="2" t="s">
        <v>10087</v>
      </c>
    </row>
    <row r="8191" spans="1:11" x14ac:dyDescent="0.2">
      <c r="A8191" s="2">
        <v>2050</v>
      </c>
      <c r="B8191" s="2">
        <v>15</v>
      </c>
      <c r="C8191" s="2">
        <v>40604781</v>
      </c>
      <c r="D8191" s="2">
        <v>42332685</v>
      </c>
      <c r="E8191" s="2">
        <v>1</v>
      </c>
      <c r="F8191" s="2" t="s">
        <v>10086</v>
      </c>
      <c r="H8191" s="2">
        <v>2.3E-3</v>
      </c>
      <c r="K8191" s="2" t="s">
        <v>10089</v>
      </c>
    </row>
    <row r="8192" spans="1:11" x14ac:dyDescent="0.2">
      <c r="A8192" s="2">
        <v>2050</v>
      </c>
      <c r="B8192" s="2">
        <v>15</v>
      </c>
      <c r="C8192" s="2">
        <v>40604781</v>
      </c>
      <c r="D8192" s="2">
        <v>42332685</v>
      </c>
      <c r="E8192" s="2">
        <v>2</v>
      </c>
      <c r="F8192" s="2" t="s">
        <v>10086</v>
      </c>
      <c r="H8192" s="2">
        <v>1.1000000000000001E-3</v>
      </c>
      <c r="K8192" s="2" t="s">
        <v>10085</v>
      </c>
    </row>
    <row r="8193" spans="1:11" x14ac:dyDescent="0.2">
      <c r="A8193" s="2">
        <v>2050</v>
      </c>
      <c r="B8193" s="2">
        <v>15</v>
      </c>
      <c r="C8193" s="2">
        <v>40604781</v>
      </c>
      <c r="D8193" s="2">
        <v>42332685</v>
      </c>
      <c r="E8193" s="2">
        <v>3</v>
      </c>
      <c r="F8193" s="2" t="s">
        <v>10086</v>
      </c>
      <c r="H8193" s="2">
        <v>1.1000000000000001E-3</v>
      </c>
      <c r="K8193" s="2" t="s">
        <v>10088</v>
      </c>
    </row>
    <row r="8194" spans="1:11" x14ac:dyDescent="0.2">
      <c r="A8194" s="2">
        <v>2050</v>
      </c>
      <c r="B8194" s="2">
        <v>15</v>
      </c>
      <c r="C8194" s="2">
        <v>40604781</v>
      </c>
      <c r="D8194" s="2">
        <v>42332685</v>
      </c>
      <c r="E8194" s="2">
        <v>4</v>
      </c>
      <c r="F8194" s="2" t="s">
        <v>10086</v>
      </c>
      <c r="H8194" s="3">
        <v>5.9999999999999995E-4</v>
      </c>
      <c r="K8194" s="2" t="s">
        <v>10087</v>
      </c>
    </row>
    <row r="8195" spans="1:11" x14ac:dyDescent="0.2">
      <c r="A8195" s="2">
        <v>2051</v>
      </c>
      <c r="B8195" s="2">
        <v>15</v>
      </c>
      <c r="C8195" s="2">
        <v>42332686</v>
      </c>
      <c r="D8195" s="2">
        <v>44987755</v>
      </c>
      <c r="E8195" s="2">
        <v>1</v>
      </c>
      <c r="F8195" s="2" t="s">
        <v>10086</v>
      </c>
      <c r="H8195" s="2">
        <v>1.5E-3</v>
      </c>
      <c r="K8195" s="2" t="s">
        <v>10088</v>
      </c>
    </row>
    <row r="8196" spans="1:11" x14ac:dyDescent="0.2">
      <c r="A8196" s="2">
        <v>2051</v>
      </c>
      <c r="B8196" s="2">
        <v>15</v>
      </c>
      <c r="C8196" s="2">
        <v>42332686</v>
      </c>
      <c r="D8196" s="2">
        <v>44987755</v>
      </c>
      <c r="E8196" s="2">
        <v>2</v>
      </c>
      <c r="F8196" s="2" t="s">
        <v>10086</v>
      </c>
      <c r="H8196" s="2">
        <v>1.4E-3</v>
      </c>
      <c r="K8196" s="2" t="s">
        <v>10089</v>
      </c>
    </row>
    <row r="8197" spans="1:11" x14ac:dyDescent="0.2">
      <c r="A8197" s="2">
        <v>2051</v>
      </c>
      <c r="B8197" s="2">
        <v>15</v>
      </c>
      <c r="C8197" s="2">
        <v>42332686</v>
      </c>
      <c r="D8197" s="2">
        <v>44987755</v>
      </c>
      <c r="E8197" s="2">
        <v>3</v>
      </c>
      <c r="F8197" s="2" t="s">
        <v>10086</v>
      </c>
      <c r="H8197" s="2">
        <v>1.1000000000000001E-3</v>
      </c>
      <c r="K8197" s="2" t="s">
        <v>10085</v>
      </c>
    </row>
    <row r="8198" spans="1:11" x14ac:dyDescent="0.2">
      <c r="A8198" s="2">
        <v>2051</v>
      </c>
      <c r="B8198" s="2">
        <v>15</v>
      </c>
      <c r="C8198" s="2">
        <v>42332686</v>
      </c>
      <c r="D8198" s="2">
        <v>44987755</v>
      </c>
      <c r="E8198" s="2">
        <v>4</v>
      </c>
      <c r="F8198" s="2" t="s">
        <v>10086</v>
      </c>
      <c r="H8198" s="3">
        <v>5.9999999999999995E-4</v>
      </c>
      <c r="K8198" s="2" t="s">
        <v>10087</v>
      </c>
    </row>
    <row r="8199" spans="1:11" x14ac:dyDescent="0.2">
      <c r="A8199" s="2">
        <v>2052</v>
      </c>
      <c r="B8199" s="2">
        <v>15</v>
      </c>
      <c r="C8199" s="2">
        <v>44987756</v>
      </c>
      <c r="D8199" s="2">
        <v>46022642</v>
      </c>
      <c r="E8199" s="2">
        <v>1</v>
      </c>
      <c r="F8199" s="2" t="s">
        <v>10086</v>
      </c>
      <c r="H8199" s="2">
        <v>1.8E-3</v>
      </c>
      <c r="K8199" s="2" t="s">
        <v>10089</v>
      </c>
    </row>
    <row r="8200" spans="1:11" x14ac:dyDescent="0.2">
      <c r="A8200" s="2">
        <v>2052</v>
      </c>
      <c r="B8200" s="2">
        <v>15</v>
      </c>
      <c r="C8200" s="2">
        <v>44987756</v>
      </c>
      <c r="D8200" s="2">
        <v>46022642</v>
      </c>
      <c r="E8200" s="2">
        <v>2</v>
      </c>
      <c r="F8200" s="2" t="s">
        <v>10086</v>
      </c>
      <c r="H8200" s="3">
        <v>8.0000000000000004E-4</v>
      </c>
      <c r="K8200" s="2" t="s">
        <v>10085</v>
      </c>
    </row>
    <row r="8201" spans="1:11" x14ac:dyDescent="0.2">
      <c r="A8201" s="2">
        <v>2052</v>
      </c>
      <c r="B8201" s="2">
        <v>15</v>
      </c>
      <c r="C8201" s="2">
        <v>44987756</v>
      </c>
      <c r="D8201" s="2">
        <v>46022642</v>
      </c>
      <c r="E8201" s="2">
        <v>3</v>
      </c>
      <c r="F8201" s="2" t="s">
        <v>10086</v>
      </c>
      <c r="H8201" s="3">
        <v>8.9999999999999998E-4</v>
      </c>
      <c r="K8201" s="2" t="s">
        <v>10088</v>
      </c>
    </row>
    <row r="8202" spans="1:11" x14ac:dyDescent="0.2">
      <c r="A8202" s="2">
        <v>2052</v>
      </c>
      <c r="B8202" s="2">
        <v>15</v>
      </c>
      <c r="C8202" s="2">
        <v>44987756</v>
      </c>
      <c r="D8202" s="2">
        <v>46022642</v>
      </c>
      <c r="E8202" s="2">
        <v>4</v>
      </c>
      <c r="F8202" s="2" t="s">
        <v>10086</v>
      </c>
      <c r="H8202" s="3">
        <v>5.0000000000000001E-4</v>
      </c>
      <c r="K8202" s="2" t="s">
        <v>10087</v>
      </c>
    </row>
    <row r="8203" spans="1:11" x14ac:dyDescent="0.2">
      <c r="A8203" s="2">
        <v>2053</v>
      </c>
      <c r="B8203" s="2">
        <v>15</v>
      </c>
      <c r="C8203" s="2">
        <v>46022643</v>
      </c>
      <c r="D8203" s="2">
        <v>46884071</v>
      </c>
      <c r="E8203" s="2">
        <v>1</v>
      </c>
      <c r="F8203" s="2" t="s">
        <v>10086</v>
      </c>
      <c r="H8203" s="3">
        <v>8.0000000000000004E-4</v>
      </c>
      <c r="K8203" s="2" t="s">
        <v>10088</v>
      </c>
    </row>
    <row r="8204" spans="1:11" x14ac:dyDescent="0.2">
      <c r="A8204" s="2">
        <v>2053</v>
      </c>
      <c r="B8204" s="2">
        <v>15</v>
      </c>
      <c r="C8204" s="2">
        <v>46022643</v>
      </c>
      <c r="D8204" s="2">
        <v>46884071</v>
      </c>
      <c r="E8204" s="2">
        <v>2</v>
      </c>
      <c r="F8204" s="2" t="s">
        <v>10086</v>
      </c>
      <c r="H8204" s="3">
        <v>8.9999999999999998E-4</v>
      </c>
      <c r="K8204" s="2" t="s">
        <v>10087</v>
      </c>
    </row>
    <row r="8205" spans="1:11" x14ac:dyDescent="0.2">
      <c r="A8205" s="2">
        <v>2053</v>
      </c>
      <c r="B8205" s="2">
        <v>15</v>
      </c>
      <c r="C8205" s="2">
        <v>46022643</v>
      </c>
      <c r="D8205" s="2">
        <v>46884071</v>
      </c>
      <c r="E8205" s="2">
        <v>3</v>
      </c>
      <c r="F8205" s="2" t="s">
        <v>10086</v>
      </c>
      <c r="H8205" s="3">
        <v>5.9999999999999995E-4</v>
      </c>
      <c r="K8205" s="2" t="s">
        <v>10089</v>
      </c>
    </row>
    <row r="8206" spans="1:11" x14ac:dyDescent="0.2">
      <c r="A8206" s="2">
        <v>2053</v>
      </c>
      <c r="B8206" s="2">
        <v>15</v>
      </c>
      <c r="C8206" s="2">
        <v>46022643</v>
      </c>
      <c r="D8206" s="2">
        <v>46884071</v>
      </c>
      <c r="E8206" s="2">
        <v>4</v>
      </c>
      <c r="F8206" s="2" t="s">
        <v>10086</v>
      </c>
      <c r="H8206" s="3">
        <v>4.0000000000000002E-4</v>
      </c>
      <c r="K8206" s="2" t="s">
        <v>10085</v>
      </c>
    </row>
    <row r="8207" spans="1:11" x14ac:dyDescent="0.2">
      <c r="A8207" s="2">
        <v>2054</v>
      </c>
      <c r="B8207" s="2">
        <v>15</v>
      </c>
      <c r="C8207" s="2">
        <v>46884072</v>
      </c>
      <c r="D8207" s="2">
        <v>47693316</v>
      </c>
      <c r="E8207" s="2">
        <v>1</v>
      </c>
      <c r="F8207" s="2" t="s">
        <v>10086</v>
      </c>
      <c r="H8207" s="2">
        <v>4.8999999999999998E-3</v>
      </c>
      <c r="K8207" s="2" t="s">
        <v>10087</v>
      </c>
    </row>
    <row r="8208" spans="1:11" x14ac:dyDescent="0.2">
      <c r="A8208" s="2">
        <v>2054</v>
      </c>
      <c r="B8208" s="2">
        <v>15</v>
      </c>
      <c r="C8208" s="2">
        <v>46884072</v>
      </c>
      <c r="D8208" s="2">
        <v>47693316</v>
      </c>
      <c r="E8208" s="2">
        <v>2</v>
      </c>
      <c r="F8208" s="2" t="s">
        <v>10086</v>
      </c>
      <c r="H8208" s="2">
        <v>1.9E-3</v>
      </c>
      <c r="K8208" s="2" t="s">
        <v>10085</v>
      </c>
    </row>
    <row r="8209" spans="1:11" x14ac:dyDescent="0.2">
      <c r="A8209" s="2">
        <v>2054</v>
      </c>
      <c r="B8209" s="2">
        <v>15</v>
      </c>
      <c r="C8209" s="2">
        <v>46884072</v>
      </c>
      <c r="D8209" s="2">
        <v>47693316</v>
      </c>
      <c r="E8209" s="2">
        <v>3</v>
      </c>
      <c r="F8209" s="2" t="s">
        <v>10086</v>
      </c>
      <c r="H8209" s="3">
        <v>6.9999999999999999E-4</v>
      </c>
      <c r="K8209" s="2" t="s">
        <v>10089</v>
      </c>
    </row>
    <row r="8210" spans="1:11" x14ac:dyDescent="0.2">
      <c r="A8210" s="2">
        <v>2054</v>
      </c>
      <c r="B8210" s="2">
        <v>15</v>
      </c>
      <c r="C8210" s="2">
        <v>46884072</v>
      </c>
      <c r="D8210" s="2">
        <v>47693316</v>
      </c>
      <c r="E8210" s="2">
        <v>4</v>
      </c>
      <c r="F8210" s="2" t="s">
        <v>10086</v>
      </c>
      <c r="H8210" s="3">
        <v>4.0000000000000002E-4</v>
      </c>
      <c r="K8210" s="2" t="s">
        <v>10088</v>
      </c>
    </row>
    <row r="8211" spans="1:11" x14ac:dyDescent="0.2">
      <c r="A8211" s="2">
        <v>2055</v>
      </c>
      <c r="B8211" s="2">
        <v>15</v>
      </c>
      <c r="C8211" s="2">
        <v>47693317</v>
      </c>
      <c r="D8211" s="2">
        <v>49260006</v>
      </c>
      <c r="E8211" s="2">
        <v>1</v>
      </c>
      <c r="F8211" s="2" t="s">
        <v>10086</v>
      </c>
      <c r="H8211" s="2">
        <v>1.9E-3</v>
      </c>
      <c r="K8211" s="2" t="s">
        <v>10088</v>
      </c>
    </row>
    <row r="8212" spans="1:11" x14ac:dyDescent="0.2">
      <c r="A8212" s="2">
        <v>2055</v>
      </c>
      <c r="B8212" s="2">
        <v>15</v>
      </c>
      <c r="C8212" s="2">
        <v>47693317</v>
      </c>
      <c r="D8212" s="2">
        <v>49260006</v>
      </c>
      <c r="E8212" s="2">
        <v>2</v>
      </c>
      <c r="F8212" s="2" t="s">
        <v>10086</v>
      </c>
      <c r="H8212" s="2">
        <v>2.2000000000000001E-3</v>
      </c>
      <c r="K8212" s="2" t="s">
        <v>10089</v>
      </c>
    </row>
    <row r="8213" spans="1:11" x14ac:dyDescent="0.2">
      <c r="A8213" s="2">
        <v>2055</v>
      </c>
      <c r="B8213" s="2">
        <v>15</v>
      </c>
      <c r="C8213" s="2">
        <v>47693317</v>
      </c>
      <c r="D8213" s="2">
        <v>49260006</v>
      </c>
      <c r="E8213" s="2">
        <v>3</v>
      </c>
      <c r="F8213" s="2" t="s">
        <v>10086</v>
      </c>
      <c r="H8213" s="2">
        <v>1E-3</v>
      </c>
      <c r="K8213" s="2" t="s">
        <v>10085</v>
      </c>
    </row>
    <row r="8214" spans="1:11" x14ac:dyDescent="0.2">
      <c r="A8214" s="2">
        <v>2055</v>
      </c>
      <c r="B8214" s="2">
        <v>15</v>
      </c>
      <c r="C8214" s="2">
        <v>47693317</v>
      </c>
      <c r="D8214" s="2">
        <v>49260006</v>
      </c>
      <c r="E8214" s="2">
        <v>4</v>
      </c>
      <c r="F8214" s="2" t="s">
        <v>10086</v>
      </c>
      <c r="H8214" s="3">
        <v>5.9999999999999995E-4</v>
      </c>
      <c r="K8214" s="2" t="s">
        <v>10087</v>
      </c>
    </row>
    <row r="8215" spans="1:11" x14ac:dyDescent="0.2">
      <c r="A8215" s="2">
        <v>2056</v>
      </c>
      <c r="B8215" s="2">
        <v>15</v>
      </c>
      <c r="C8215" s="2">
        <v>49260007</v>
      </c>
      <c r="D8215" s="2">
        <v>50195876</v>
      </c>
      <c r="E8215" s="2">
        <v>1</v>
      </c>
      <c r="F8215" s="2" t="s">
        <v>10086</v>
      </c>
      <c r="H8215" s="2">
        <v>2.2000000000000001E-3</v>
      </c>
      <c r="K8215" s="2" t="s">
        <v>10089</v>
      </c>
    </row>
    <row r="8216" spans="1:11" x14ac:dyDescent="0.2">
      <c r="A8216" s="2">
        <v>2056</v>
      </c>
      <c r="B8216" s="2">
        <v>15</v>
      </c>
      <c r="C8216" s="2">
        <v>49260007</v>
      </c>
      <c r="D8216" s="2">
        <v>50195876</v>
      </c>
      <c r="E8216" s="2">
        <v>2</v>
      </c>
      <c r="F8216" s="2" t="s">
        <v>10086</v>
      </c>
      <c r="H8216" s="2">
        <v>1.1000000000000001E-3</v>
      </c>
      <c r="K8216" s="2" t="s">
        <v>10088</v>
      </c>
    </row>
    <row r="8217" spans="1:11" x14ac:dyDescent="0.2">
      <c r="A8217" s="2">
        <v>2056</v>
      </c>
      <c r="B8217" s="2">
        <v>15</v>
      </c>
      <c r="C8217" s="2">
        <v>49260007</v>
      </c>
      <c r="D8217" s="2">
        <v>50195876</v>
      </c>
      <c r="E8217" s="2">
        <v>3</v>
      </c>
      <c r="F8217" s="2" t="s">
        <v>10086</v>
      </c>
      <c r="H8217" s="3">
        <v>6.9999999999999999E-4</v>
      </c>
      <c r="K8217" s="2" t="s">
        <v>10085</v>
      </c>
    </row>
    <row r="8218" spans="1:11" x14ac:dyDescent="0.2">
      <c r="A8218" s="2">
        <v>2056</v>
      </c>
      <c r="B8218" s="2">
        <v>15</v>
      </c>
      <c r="C8218" s="2">
        <v>49260007</v>
      </c>
      <c r="D8218" s="2">
        <v>50195876</v>
      </c>
      <c r="E8218" s="2">
        <v>4</v>
      </c>
      <c r="F8218" s="2" t="s">
        <v>10086</v>
      </c>
      <c r="H8218" s="3">
        <v>5.9999999999999995E-4</v>
      </c>
      <c r="K8218" s="2" t="s">
        <v>12324</v>
      </c>
    </row>
    <row r="8219" spans="1:11" x14ac:dyDescent="0.2">
      <c r="A8219" s="2">
        <v>2057</v>
      </c>
      <c r="B8219" s="2">
        <v>15</v>
      </c>
      <c r="C8219" s="2">
        <v>50195877</v>
      </c>
      <c r="D8219" s="2">
        <v>51605477</v>
      </c>
      <c r="E8219" s="2">
        <v>1</v>
      </c>
      <c r="F8219" s="2" t="s">
        <v>10086</v>
      </c>
      <c r="H8219" s="2">
        <v>8.8999999999999999E-3</v>
      </c>
      <c r="K8219" s="2" t="s">
        <v>10088</v>
      </c>
    </row>
    <row r="8220" spans="1:11" x14ac:dyDescent="0.2">
      <c r="A8220" s="2">
        <v>2057</v>
      </c>
      <c r="B8220" s="2">
        <v>15</v>
      </c>
      <c r="C8220" s="2">
        <v>50195877</v>
      </c>
      <c r="D8220" s="2">
        <v>51605477</v>
      </c>
      <c r="E8220" s="2">
        <v>2</v>
      </c>
      <c r="F8220" s="2" t="s">
        <v>10086</v>
      </c>
      <c r="H8220" s="2">
        <v>2.0999999999999999E-3</v>
      </c>
      <c r="K8220" s="2" t="s">
        <v>10089</v>
      </c>
    </row>
    <row r="8221" spans="1:11" x14ac:dyDescent="0.2">
      <c r="A8221" s="2">
        <v>2057</v>
      </c>
      <c r="B8221" s="2">
        <v>15</v>
      </c>
      <c r="C8221" s="2">
        <v>50195877</v>
      </c>
      <c r="D8221" s="2">
        <v>51605477</v>
      </c>
      <c r="E8221" s="2">
        <v>3</v>
      </c>
      <c r="F8221" s="2" t="s">
        <v>10086</v>
      </c>
      <c r="H8221" s="3">
        <v>8.9999999999999998E-4</v>
      </c>
      <c r="K8221" s="2" t="s">
        <v>10087</v>
      </c>
    </row>
    <row r="8222" spans="1:11" x14ac:dyDescent="0.2">
      <c r="A8222" s="2">
        <v>2057</v>
      </c>
      <c r="B8222" s="2">
        <v>15</v>
      </c>
      <c r="C8222" s="2">
        <v>50195877</v>
      </c>
      <c r="D8222" s="2">
        <v>51605477</v>
      </c>
      <c r="E8222" s="2">
        <v>4</v>
      </c>
      <c r="F8222" s="2" t="s">
        <v>10086</v>
      </c>
      <c r="H8222" s="3">
        <v>8.9999999999999998E-4</v>
      </c>
      <c r="K8222" s="2" t="s">
        <v>10085</v>
      </c>
    </row>
    <row r="8223" spans="1:11" x14ac:dyDescent="0.2">
      <c r="A8223" s="2">
        <v>2058</v>
      </c>
      <c r="B8223" s="2">
        <v>15</v>
      </c>
      <c r="C8223" s="2">
        <v>51605478</v>
      </c>
      <c r="D8223" s="2">
        <v>53263126</v>
      </c>
      <c r="E8223" s="2">
        <v>1</v>
      </c>
      <c r="F8223" s="2" t="s">
        <v>10086</v>
      </c>
      <c r="H8223" s="2">
        <v>1.2999999999999999E-3</v>
      </c>
      <c r="K8223" s="2" t="s">
        <v>10087</v>
      </c>
    </row>
    <row r="8224" spans="1:11" x14ac:dyDescent="0.2">
      <c r="A8224" s="2">
        <v>2058</v>
      </c>
      <c r="B8224" s="2">
        <v>15</v>
      </c>
      <c r="C8224" s="2">
        <v>51605478</v>
      </c>
      <c r="D8224" s="2">
        <v>53263126</v>
      </c>
      <c r="E8224" s="2">
        <v>2</v>
      </c>
      <c r="F8224" s="2" t="s">
        <v>10086</v>
      </c>
      <c r="H8224" s="2">
        <v>1.1000000000000001E-3</v>
      </c>
      <c r="K8224" s="2" t="s">
        <v>10089</v>
      </c>
    </row>
    <row r="8225" spans="1:11" x14ac:dyDescent="0.2">
      <c r="A8225" s="2">
        <v>2058</v>
      </c>
      <c r="B8225" s="2">
        <v>15</v>
      </c>
      <c r="C8225" s="2">
        <v>51605478</v>
      </c>
      <c r="D8225" s="2">
        <v>53263126</v>
      </c>
      <c r="E8225" s="2">
        <v>3</v>
      </c>
      <c r="F8225" s="2" t="s">
        <v>10086</v>
      </c>
      <c r="H8225" s="2">
        <v>1E-3</v>
      </c>
      <c r="K8225" s="2" t="s">
        <v>10085</v>
      </c>
    </row>
    <row r="8226" spans="1:11" x14ac:dyDescent="0.2">
      <c r="A8226" s="2">
        <v>2058</v>
      </c>
      <c r="B8226" s="2">
        <v>15</v>
      </c>
      <c r="C8226" s="2">
        <v>51605478</v>
      </c>
      <c r="D8226" s="2">
        <v>53263126</v>
      </c>
      <c r="E8226" s="2">
        <v>4</v>
      </c>
      <c r="F8226" s="2" t="s">
        <v>10086</v>
      </c>
      <c r="H8226" s="3">
        <v>8.9999999999999998E-4</v>
      </c>
      <c r="K8226" s="2" t="s">
        <v>12324</v>
      </c>
    </row>
    <row r="8227" spans="1:11" x14ac:dyDescent="0.2">
      <c r="A8227" s="2">
        <v>2059</v>
      </c>
      <c r="B8227" s="2">
        <v>15</v>
      </c>
      <c r="C8227" s="2">
        <v>53263127</v>
      </c>
      <c r="D8227" s="2">
        <v>54332799</v>
      </c>
      <c r="E8227" s="2">
        <v>1</v>
      </c>
      <c r="F8227" s="2" t="s">
        <v>10086</v>
      </c>
      <c r="H8227" s="2">
        <v>2.5000000000000001E-3</v>
      </c>
      <c r="K8227" s="2" t="s">
        <v>10089</v>
      </c>
    </row>
    <row r="8228" spans="1:11" x14ac:dyDescent="0.2">
      <c r="A8228" s="2">
        <v>2059</v>
      </c>
      <c r="B8228" s="2">
        <v>15</v>
      </c>
      <c r="C8228" s="2">
        <v>53263127</v>
      </c>
      <c r="D8228" s="2">
        <v>54332799</v>
      </c>
      <c r="E8228" s="2">
        <v>2</v>
      </c>
      <c r="F8228" s="2" t="s">
        <v>10086</v>
      </c>
      <c r="H8228" s="2">
        <v>3.2000000000000002E-3</v>
      </c>
      <c r="K8228" s="2" t="s">
        <v>10088</v>
      </c>
    </row>
    <row r="8229" spans="1:11" x14ac:dyDescent="0.2">
      <c r="A8229" s="2">
        <v>2059</v>
      </c>
      <c r="B8229" s="2">
        <v>15</v>
      </c>
      <c r="C8229" s="2">
        <v>53263127</v>
      </c>
      <c r="D8229" s="2">
        <v>54332799</v>
      </c>
      <c r="E8229" s="2">
        <v>3</v>
      </c>
      <c r="F8229" s="2" t="s">
        <v>10086</v>
      </c>
      <c r="H8229" s="2">
        <v>1.1999999999999999E-3</v>
      </c>
      <c r="K8229" s="2" t="s">
        <v>10087</v>
      </c>
    </row>
    <row r="8230" spans="1:11" x14ac:dyDescent="0.2">
      <c r="A8230" s="2">
        <v>2059</v>
      </c>
      <c r="B8230" s="2">
        <v>15</v>
      </c>
      <c r="C8230" s="2">
        <v>53263127</v>
      </c>
      <c r="D8230" s="2">
        <v>54332799</v>
      </c>
      <c r="E8230" s="2">
        <v>4</v>
      </c>
      <c r="F8230" s="2" t="s">
        <v>10086</v>
      </c>
      <c r="H8230" s="3">
        <v>5.9999999999999995E-4</v>
      </c>
      <c r="K8230" s="2" t="s">
        <v>10085</v>
      </c>
    </row>
    <row r="8231" spans="1:11" x14ac:dyDescent="0.2">
      <c r="A8231" s="2">
        <v>2060</v>
      </c>
      <c r="B8231" s="2">
        <v>15</v>
      </c>
      <c r="C8231" s="2">
        <v>54332800</v>
      </c>
      <c r="D8231" s="2">
        <v>55136717</v>
      </c>
      <c r="E8231" s="2">
        <v>1</v>
      </c>
      <c r="F8231" s="2" t="s">
        <v>10086</v>
      </c>
      <c r="H8231" s="2">
        <v>5.0000000000000001E-3</v>
      </c>
      <c r="K8231" s="2" t="s">
        <v>10085</v>
      </c>
    </row>
    <row r="8232" spans="1:11" x14ac:dyDescent="0.2">
      <c r="A8232" s="2">
        <v>2060</v>
      </c>
      <c r="B8232" s="2">
        <v>15</v>
      </c>
      <c r="C8232" s="2">
        <v>54332800</v>
      </c>
      <c r="D8232" s="2">
        <v>55136717</v>
      </c>
      <c r="E8232" s="2">
        <v>2</v>
      </c>
      <c r="F8232" s="2" t="s">
        <v>10086</v>
      </c>
      <c r="H8232" s="2">
        <v>1.4E-3</v>
      </c>
      <c r="K8232" s="2" t="s">
        <v>10089</v>
      </c>
    </row>
    <row r="8233" spans="1:11" x14ac:dyDescent="0.2">
      <c r="A8233" s="2">
        <v>2060</v>
      </c>
      <c r="B8233" s="2">
        <v>15</v>
      </c>
      <c r="C8233" s="2">
        <v>54332800</v>
      </c>
      <c r="D8233" s="2">
        <v>55136717</v>
      </c>
      <c r="E8233" s="2">
        <v>3</v>
      </c>
      <c r="F8233" s="2" t="s">
        <v>10086</v>
      </c>
      <c r="H8233" s="2">
        <v>1.5E-3</v>
      </c>
      <c r="K8233" s="2" t="s">
        <v>10087</v>
      </c>
    </row>
    <row r="8234" spans="1:11" x14ac:dyDescent="0.2">
      <c r="A8234" s="2">
        <v>2060</v>
      </c>
      <c r="B8234" s="2">
        <v>15</v>
      </c>
      <c r="C8234" s="2">
        <v>54332800</v>
      </c>
      <c r="D8234" s="2">
        <v>55136717</v>
      </c>
      <c r="E8234" s="2">
        <v>4</v>
      </c>
      <c r="F8234" s="2" t="s">
        <v>10086</v>
      </c>
      <c r="H8234" s="3">
        <v>4.0000000000000002E-4</v>
      </c>
      <c r="K8234" s="2" t="s">
        <v>10088</v>
      </c>
    </row>
    <row r="8235" spans="1:11" x14ac:dyDescent="0.2">
      <c r="A8235" s="2">
        <v>2061</v>
      </c>
      <c r="B8235" s="2">
        <v>15</v>
      </c>
      <c r="C8235" s="2">
        <v>55136718</v>
      </c>
      <c r="D8235" s="2">
        <v>56322588</v>
      </c>
      <c r="E8235" s="2">
        <v>1</v>
      </c>
      <c r="F8235" s="2" t="s">
        <v>10086</v>
      </c>
      <c r="H8235" s="2">
        <v>4.4000000000000003E-3</v>
      </c>
      <c r="K8235" s="2" t="s">
        <v>10087</v>
      </c>
    </row>
    <row r="8236" spans="1:11" x14ac:dyDescent="0.2">
      <c r="A8236" s="2">
        <v>2061</v>
      </c>
      <c r="B8236" s="2">
        <v>15</v>
      </c>
      <c r="C8236" s="2">
        <v>55136718</v>
      </c>
      <c r="D8236" s="2">
        <v>56322588</v>
      </c>
      <c r="E8236" s="2">
        <v>2</v>
      </c>
      <c r="F8236" s="2" t="s">
        <v>10086</v>
      </c>
      <c r="H8236" s="2">
        <v>1.8E-3</v>
      </c>
      <c r="K8236" s="2" t="s">
        <v>10088</v>
      </c>
    </row>
    <row r="8237" spans="1:11" x14ac:dyDescent="0.2">
      <c r="A8237" s="2">
        <v>2061</v>
      </c>
      <c r="B8237" s="2">
        <v>15</v>
      </c>
      <c r="C8237" s="2">
        <v>55136718</v>
      </c>
      <c r="D8237" s="2">
        <v>56322588</v>
      </c>
      <c r="E8237" s="2">
        <v>3</v>
      </c>
      <c r="F8237" s="2" t="s">
        <v>10086</v>
      </c>
      <c r="H8237" s="2">
        <v>1.4E-3</v>
      </c>
      <c r="K8237" s="2" t="s">
        <v>10085</v>
      </c>
    </row>
    <row r="8238" spans="1:11" x14ac:dyDescent="0.2">
      <c r="A8238" s="2">
        <v>2061</v>
      </c>
      <c r="B8238" s="2">
        <v>15</v>
      </c>
      <c r="C8238" s="2">
        <v>55136718</v>
      </c>
      <c r="D8238" s="2">
        <v>56322588</v>
      </c>
      <c r="E8238" s="2">
        <v>4</v>
      </c>
      <c r="F8238" s="2" t="s">
        <v>10086</v>
      </c>
      <c r="H8238" s="3">
        <v>6.9999999999999999E-4</v>
      </c>
      <c r="K8238" s="2" t="s">
        <v>10089</v>
      </c>
    </row>
    <row r="8239" spans="1:11" x14ac:dyDescent="0.2">
      <c r="A8239" s="2">
        <v>2062</v>
      </c>
      <c r="B8239" s="2">
        <v>15</v>
      </c>
      <c r="C8239" s="2">
        <v>56322589</v>
      </c>
      <c r="D8239" s="2">
        <v>57641164</v>
      </c>
      <c r="E8239" s="2">
        <v>1</v>
      </c>
      <c r="F8239" s="2" t="s">
        <v>10086</v>
      </c>
      <c r="H8239" s="2">
        <v>2.3E-3</v>
      </c>
      <c r="K8239" s="2" t="s">
        <v>10089</v>
      </c>
    </row>
    <row r="8240" spans="1:11" x14ac:dyDescent="0.2">
      <c r="A8240" s="2">
        <v>2062</v>
      </c>
      <c r="B8240" s="2">
        <v>15</v>
      </c>
      <c r="C8240" s="2">
        <v>56322589</v>
      </c>
      <c r="D8240" s="2">
        <v>57641164</v>
      </c>
      <c r="E8240" s="2">
        <v>2</v>
      </c>
      <c r="F8240" s="2" t="s">
        <v>10086</v>
      </c>
      <c r="H8240" s="2">
        <v>4.5999999999999999E-3</v>
      </c>
      <c r="K8240" s="2" t="s">
        <v>10087</v>
      </c>
    </row>
    <row r="8241" spans="1:11" x14ac:dyDescent="0.2">
      <c r="A8241" s="2">
        <v>2062</v>
      </c>
      <c r="B8241" s="2">
        <v>15</v>
      </c>
      <c r="C8241" s="2">
        <v>56322589</v>
      </c>
      <c r="D8241" s="2">
        <v>57641164</v>
      </c>
      <c r="E8241" s="2">
        <v>3</v>
      </c>
      <c r="F8241" s="2" t="s">
        <v>10086</v>
      </c>
      <c r="H8241" s="2">
        <v>1E-3</v>
      </c>
      <c r="K8241" s="2" t="s">
        <v>10085</v>
      </c>
    </row>
    <row r="8242" spans="1:11" x14ac:dyDescent="0.2">
      <c r="A8242" s="2">
        <v>2062</v>
      </c>
      <c r="B8242" s="2">
        <v>15</v>
      </c>
      <c r="C8242" s="2">
        <v>56322589</v>
      </c>
      <c r="D8242" s="2">
        <v>57641164</v>
      </c>
      <c r="E8242" s="2">
        <v>4</v>
      </c>
      <c r="F8242" s="2" t="s">
        <v>10086</v>
      </c>
      <c r="H8242" s="3">
        <v>6.9999999999999999E-4</v>
      </c>
      <c r="K8242" s="2" t="s">
        <v>10088</v>
      </c>
    </row>
    <row r="8243" spans="1:11" x14ac:dyDescent="0.2">
      <c r="A8243" s="2">
        <v>2063</v>
      </c>
      <c r="B8243" s="2">
        <v>15</v>
      </c>
      <c r="C8243" s="2">
        <v>57641165</v>
      </c>
      <c r="D8243" s="2">
        <v>58712954</v>
      </c>
      <c r="E8243" s="2">
        <v>1</v>
      </c>
      <c r="F8243" s="2" t="s">
        <v>10086</v>
      </c>
      <c r="H8243" s="2">
        <v>2.5000000000000001E-3</v>
      </c>
      <c r="K8243" s="2" t="s">
        <v>10089</v>
      </c>
    </row>
    <row r="8244" spans="1:11" x14ac:dyDescent="0.2">
      <c r="A8244" s="2">
        <v>2063</v>
      </c>
      <c r="B8244" s="2">
        <v>15</v>
      </c>
      <c r="C8244" s="2">
        <v>57641165</v>
      </c>
      <c r="D8244" s="2">
        <v>58712954</v>
      </c>
      <c r="E8244" s="2">
        <v>2</v>
      </c>
      <c r="F8244" s="2" t="s">
        <v>10086</v>
      </c>
      <c r="H8244" s="2">
        <v>2.3E-3</v>
      </c>
      <c r="K8244" s="2" t="s">
        <v>12324</v>
      </c>
    </row>
    <row r="8245" spans="1:11" x14ac:dyDescent="0.2">
      <c r="A8245" s="2">
        <v>2063</v>
      </c>
      <c r="B8245" s="2">
        <v>15</v>
      </c>
      <c r="C8245" s="2">
        <v>57641165</v>
      </c>
      <c r="D8245" s="2">
        <v>58712954</v>
      </c>
      <c r="E8245" s="2">
        <v>3</v>
      </c>
      <c r="F8245" s="2" t="s">
        <v>10086</v>
      </c>
      <c r="H8245" s="2">
        <v>1.1000000000000001E-3</v>
      </c>
      <c r="K8245" s="2" t="s">
        <v>10087</v>
      </c>
    </row>
    <row r="8246" spans="1:11" x14ac:dyDescent="0.2">
      <c r="A8246" s="2">
        <v>2063</v>
      </c>
      <c r="B8246" s="2">
        <v>15</v>
      </c>
      <c r="C8246" s="2">
        <v>57641165</v>
      </c>
      <c r="D8246" s="2">
        <v>58712954</v>
      </c>
      <c r="E8246" s="2">
        <v>4</v>
      </c>
      <c r="F8246" s="2" t="s">
        <v>10086</v>
      </c>
      <c r="H8246" s="3">
        <v>8.9999999999999998E-4</v>
      </c>
      <c r="K8246" s="2" t="s">
        <v>10088</v>
      </c>
    </row>
    <row r="8247" spans="1:11" x14ac:dyDescent="0.2">
      <c r="A8247" s="2">
        <v>2064</v>
      </c>
      <c r="B8247" s="2">
        <v>15</v>
      </c>
      <c r="C8247" s="2">
        <v>58712955</v>
      </c>
      <c r="D8247" s="2">
        <v>59901116</v>
      </c>
      <c r="E8247" s="2">
        <v>1</v>
      </c>
      <c r="F8247" s="2" t="s">
        <v>10086</v>
      </c>
      <c r="H8247" s="2">
        <v>2.0999999999999999E-3</v>
      </c>
      <c r="K8247" s="2" t="s">
        <v>10088</v>
      </c>
    </row>
    <row r="8248" spans="1:11" x14ac:dyDescent="0.2">
      <c r="A8248" s="2">
        <v>2064</v>
      </c>
      <c r="B8248" s="2">
        <v>15</v>
      </c>
      <c r="C8248" s="2">
        <v>58712955</v>
      </c>
      <c r="D8248" s="2">
        <v>59901116</v>
      </c>
      <c r="E8248" s="2">
        <v>2</v>
      </c>
      <c r="F8248" s="2" t="s">
        <v>10086</v>
      </c>
      <c r="H8248" s="2">
        <v>3.5999999999999999E-3</v>
      </c>
      <c r="K8248" s="2" t="s">
        <v>12324</v>
      </c>
    </row>
    <row r="8249" spans="1:11" x14ac:dyDescent="0.2">
      <c r="A8249" s="2">
        <v>2064</v>
      </c>
      <c r="B8249" s="2">
        <v>15</v>
      </c>
      <c r="C8249" s="2">
        <v>58712955</v>
      </c>
      <c r="D8249" s="2">
        <v>59901116</v>
      </c>
      <c r="E8249" s="2">
        <v>3</v>
      </c>
      <c r="F8249" s="2" t="s">
        <v>10086</v>
      </c>
      <c r="H8249" s="2">
        <v>1E-3</v>
      </c>
      <c r="K8249" s="2" t="s">
        <v>10089</v>
      </c>
    </row>
    <row r="8250" spans="1:11" x14ac:dyDescent="0.2">
      <c r="A8250" s="2">
        <v>2064</v>
      </c>
      <c r="B8250" s="2">
        <v>15</v>
      </c>
      <c r="C8250" s="2">
        <v>58712955</v>
      </c>
      <c r="D8250" s="2">
        <v>59901116</v>
      </c>
      <c r="E8250" s="2">
        <v>4</v>
      </c>
      <c r="F8250" s="2" t="s">
        <v>10086</v>
      </c>
      <c r="H8250" s="3">
        <v>6.9999999999999999E-4</v>
      </c>
      <c r="K8250" s="2" t="s">
        <v>10087</v>
      </c>
    </row>
    <row r="8251" spans="1:11" x14ac:dyDescent="0.2">
      <c r="A8251" s="2">
        <v>2065</v>
      </c>
      <c r="B8251" s="2">
        <v>15</v>
      </c>
      <c r="C8251" s="2">
        <v>59901117</v>
      </c>
      <c r="D8251" s="2">
        <v>61130595</v>
      </c>
      <c r="E8251" s="2">
        <v>1</v>
      </c>
      <c r="F8251" s="2" t="s">
        <v>10086</v>
      </c>
      <c r="H8251" s="2">
        <v>3.8999999999999998E-3</v>
      </c>
      <c r="K8251" s="2" t="s">
        <v>10087</v>
      </c>
    </row>
    <row r="8252" spans="1:11" x14ac:dyDescent="0.2">
      <c r="A8252" s="2">
        <v>2065</v>
      </c>
      <c r="B8252" s="2">
        <v>15</v>
      </c>
      <c r="C8252" s="2">
        <v>59901117</v>
      </c>
      <c r="D8252" s="2">
        <v>61130595</v>
      </c>
      <c r="E8252" s="2">
        <v>2</v>
      </c>
      <c r="F8252" s="2" t="s">
        <v>10086</v>
      </c>
      <c r="H8252" s="2">
        <v>2.3E-3</v>
      </c>
      <c r="K8252" s="2" t="s">
        <v>10089</v>
      </c>
    </row>
    <row r="8253" spans="1:11" x14ac:dyDescent="0.2">
      <c r="A8253" s="2">
        <v>2065</v>
      </c>
      <c r="B8253" s="2">
        <v>15</v>
      </c>
      <c r="C8253" s="2">
        <v>59901117</v>
      </c>
      <c r="D8253" s="2">
        <v>61130595</v>
      </c>
      <c r="E8253" s="2">
        <v>3</v>
      </c>
      <c r="F8253" s="2" t="s">
        <v>10086</v>
      </c>
      <c r="H8253" s="2">
        <v>1E-3</v>
      </c>
      <c r="K8253" s="2" t="s">
        <v>10085</v>
      </c>
    </row>
    <row r="8254" spans="1:11" x14ac:dyDescent="0.2">
      <c r="A8254" s="2">
        <v>2065</v>
      </c>
      <c r="B8254" s="2">
        <v>15</v>
      </c>
      <c r="C8254" s="2">
        <v>59901117</v>
      </c>
      <c r="D8254" s="2">
        <v>61130595</v>
      </c>
      <c r="E8254" s="2">
        <v>4</v>
      </c>
      <c r="F8254" s="2" t="s">
        <v>10086</v>
      </c>
      <c r="H8254" s="3">
        <v>5.0000000000000001E-4</v>
      </c>
      <c r="K8254" s="2" t="s">
        <v>10088</v>
      </c>
    </row>
    <row r="8255" spans="1:11" x14ac:dyDescent="0.2">
      <c r="A8255" s="2">
        <v>2066</v>
      </c>
      <c r="B8255" s="2">
        <v>15</v>
      </c>
      <c r="C8255" s="2">
        <v>61130596</v>
      </c>
      <c r="D8255" s="2">
        <v>62106138</v>
      </c>
      <c r="E8255" s="2">
        <v>1</v>
      </c>
      <c r="F8255" s="2" t="s">
        <v>10086</v>
      </c>
      <c r="H8255" s="2">
        <v>3.2000000000000002E-3</v>
      </c>
      <c r="K8255" s="2" t="s">
        <v>10085</v>
      </c>
    </row>
    <row r="8256" spans="1:11" x14ac:dyDescent="0.2">
      <c r="A8256" s="2">
        <v>2066</v>
      </c>
      <c r="B8256" s="2">
        <v>15</v>
      </c>
      <c r="C8256" s="2">
        <v>61130596</v>
      </c>
      <c r="D8256" s="2">
        <v>62106138</v>
      </c>
      <c r="E8256" s="2">
        <v>2</v>
      </c>
      <c r="F8256" s="2" t="s">
        <v>10086</v>
      </c>
      <c r="H8256" s="2">
        <v>3.5000000000000001E-3</v>
      </c>
      <c r="K8256" s="2" t="s">
        <v>10087</v>
      </c>
    </row>
    <row r="8257" spans="1:11" x14ac:dyDescent="0.2">
      <c r="A8257" s="2">
        <v>2066</v>
      </c>
      <c r="B8257" s="2">
        <v>15</v>
      </c>
      <c r="C8257" s="2">
        <v>61130596</v>
      </c>
      <c r="D8257" s="2">
        <v>62106138</v>
      </c>
      <c r="E8257" s="2">
        <v>3</v>
      </c>
      <c r="F8257" s="2" t="s">
        <v>10086</v>
      </c>
      <c r="H8257" s="2">
        <v>1E-3</v>
      </c>
      <c r="K8257" s="2" t="s">
        <v>10089</v>
      </c>
    </row>
    <row r="8258" spans="1:11" x14ac:dyDescent="0.2">
      <c r="A8258" s="2">
        <v>2066</v>
      </c>
      <c r="B8258" s="2">
        <v>15</v>
      </c>
      <c r="C8258" s="2">
        <v>61130596</v>
      </c>
      <c r="D8258" s="2">
        <v>62106138</v>
      </c>
      <c r="E8258" s="2">
        <v>4</v>
      </c>
      <c r="F8258" s="2" t="s">
        <v>10086</v>
      </c>
      <c r="H8258" s="3">
        <v>4.0000000000000002E-4</v>
      </c>
      <c r="K8258" s="2" t="s">
        <v>10088</v>
      </c>
    </row>
    <row r="8259" spans="1:11" x14ac:dyDescent="0.2">
      <c r="A8259" s="2">
        <v>2067</v>
      </c>
      <c r="B8259" s="2">
        <v>15</v>
      </c>
      <c r="C8259" s="2">
        <v>62106139</v>
      </c>
      <c r="D8259" s="2">
        <v>63218978</v>
      </c>
      <c r="E8259" s="2">
        <v>1</v>
      </c>
      <c r="F8259" s="2" t="s">
        <v>10086</v>
      </c>
      <c r="H8259" s="2">
        <v>6.1999999999999998E-3</v>
      </c>
      <c r="K8259" s="2" t="s">
        <v>10089</v>
      </c>
    </row>
    <row r="8260" spans="1:11" x14ac:dyDescent="0.2">
      <c r="A8260" s="2">
        <v>2067</v>
      </c>
      <c r="B8260" s="2">
        <v>15</v>
      </c>
      <c r="C8260" s="2">
        <v>62106139</v>
      </c>
      <c r="D8260" s="2">
        <v>63218978</v>
      </c>
      <c r="E8260" s="2">
        <v>2</v>
      </c>
      <c r="F8260" s="2" t="s">
        <v>10086</v>
      </c>
      <c r="H8260" s="2">
        <v>2E-3</v>
      </c>
      <c r="K8260" s="2" t="s">
        <v>10088</v>
      </c>
    </row>
    <row r="8261" spans="1:11" x14ac:dyDescent="0.2">
      <c r="A8261" s="2">
        <v>2067</v>
      </c>
      <c r="B8261" s="2">
        <v>15</v>
      </c>
      <c r="C8261" s="2">
        <v>62106139</v>
      </c>
      <c r="D8261" s="2">
        <v>63218978</v>
      </c>
      <c r="E8261" s="2">
        <v>3</v>
      </c>
      <c r="F8261" s="2" t="s">
        <v>10086</v>
      </c>
      <c r="H8261" s="2">
        <v>1.4E-3</v>
      </c>
      <c r="K8261" s="2" t="s">
        <v>12324</v>
      </c>
    </row>
    <row r="8262" spans="1:11" x14ac:dyDescent="0.2">
      <c r="A8262" s="2">
        <v>2067</v>
      </c>
      <c r="B8262" s="2">
        <v>15</v>
      </c>
      <c r="C8262" s="2">
        <v>62106139</v>
      </c>
      <c r="D8262" s="2">
        <v>63218978</v>
      </c>
      <c r="E8262" s="2">
        <v>4</v>
      </c>
      <c r="F8262" s="2" t="s">
        <v>10086</v>
      </c>
      <c r="H8262" s="2">
        <v>1.2999999999999999E-3</v>
      </c>
      <c r="K8262" s="2" t="s">
        <v>10087</v>
      </c>
    </row>
    <row r="8263" spans="1:11" x14ac:dyDescent="0.2">
      <c r="A8263" s="2">
        <v>2068</v>
      </c>
      <c r="B8263" s="2">
        <v>15</v>
      </c>
      <c r="C8263" s="2">
        <v>63218979</v>
      </c>
      <c r="D8263" s="2">
        <v>64339945</v>
      </c>
      <c r="E8263" s="2">
        <v>1</v>
      </c>
      <c r="F8263" s="2" t="s">
        <v>10086</v>
      </c>
      <c r="H8263" s="2">
        <v>1.9E-3</v>
      </c>
      <c r="K8263" s="2" t="s">
        <v>10089</v>
      </c>
    </row>
    <row r="8264" spans="1:11" x14ac:dyDescent="0.2">
      <c r="A8264" s="2">
        <v>2068</v>
      </c>
      <c r="B8264" s="2">
        <v>15</v>
      </c>
      <c r="C8264" s="2">
        <v>63218979</v>
      </c>
      <c r="D8264" s="2">
        <v>64339945</v>
      </c>
      <c r="E8264" s="2">
        <v>2</v>
      </c>
      <c r="F8264" s="2" t="s">
        <v>10086</v>
      </c>
      <c r="H8264" s="2">
        <v>3.2000000000000002E-3</v>
      </c>
      <c r="K8264" s="2" t="s">
        <v>12324</v>
      </c>
    </row>
    <row r="8265" spans="1:11" x14ac:dyDescent="0.2">
      <c r="A8265" s="2">
        <v>2068</v>
      </c>
      <c r="B8265" s="2">
        <v>15</v>
      </c>
      <c r="C8265" s="2">
        <v>63218979</v>
      </c>
      <c r="D8265" s="2">
        <v>64339945</v>
      </c>
      <c r="E8265" s="2">
        <v>3</v>
      </c>
      <c r="F8265" s="2" t="s">
        <v>10086</v>
      </c>
      <c r="H8265" s="2">
        <v>1.1999999999999999E-3</v>
      </c>
      <c r="K8265" s="2" t="s">
        <v>10088</v>
      </c>
    </row>
    <row r="8266" spans="1:11" x14ac:dyDescent="0.2">
      <c r="A8266" s="2">
        <v>2068</v>
      </c>
      <c r="B8266" s="2">
        <v>15</v>
      </c>
      <c r="C8266" s="2">
        <v>63218979</v>
      </c>
      <c r="D8266" s="2">
        <v>64339945</v>
      </c>
      <c r="E8266" s="2">
        <v>4</v>
      </c>
      <c r="F8266" s="2" t="s">
        <v>10086</v>
      </c>
      <c r="H8266" s="3">
        <v>6.9999999999999999E-4</v>
      </c>
      <c r="K8266" s="2" t="s">
        <v>10085</v>
      </c>
    </row>
    <row r="8267" spans="1:11" x14ac:dyDescent="0.2">
      <c r="A8267" s="2">
        <v>2069</v>
      </c>
      <c r="B8267" s="2">
        <v>15</v>
      </c>
      <c r="C8267" s="2">
        <v>64339946</v>
      </c>
      <c r="D8267" s="2">
        <v>66355634</v>
      </c>
      <c r="E8267" s="2">
        <v>1</v>
      </c>
      <c r="F8267" s="2" t="s">
        <v>10086</v>
      </c>
      <c r="H8267" s="2">
        <v>3.5000000000000001E-3</v>
      </c>
      <c r="K8267" s="2" t="s">
        <v>10089</v>
      </c>
    </row>
    <row r="8268" spans="1:11" x14ac:dyDescent="0.2">
      <c r="A8268" s="2">
        <v>2069</v>
      </c>
      <c r="B8268" s="2">
        <v>15</v>
      </c>
      <c r="C8268" s="2">
        <v>64339946</v>
      </c>
      <c r="D8268" s="2">
        <v>66355634</v>
      </c>
      <c r="E8268" s="2">
        <v>2</v>
      </c>
      <c r="F8268" s="2" t="s">
        <v>10086</v>
      </c>
      <c r="H8268" s="2">
        <v>1.5E-3</v>
      </c>
      <c r="K8268" s="2" t="s">
        <v>10087</v>
      </c>
    </row>
    <row r="8269" spans="1:11" x14ac:dyDescent="0.2">
      <c r="A8269" s="2">
        <v>2069</v>
      </c>
      <c r="B8269" s="2">
        <v>15</v>
      </c>
      <c r="C8269" s="2">
        <v>64339946</v>
      </c>
      <c r="D8269" s="2">
        <v>66355634</v>
      </c>
      <c r="E8269" s="2">
        <v>3</v>
      </c>
      <c r="F8269" s="2" t="s">
        <v>10086</v>
      </c>
      <c r="H8269" s="2">
        <v>1.5E-3</v>
      </c>
      <c r="K8269" s="2" t="s">
        <v>10085</v>
      </c>
    </row>
    <row r="8270" spans="1:11" x14ac:dyDescent="0.2">
      <c r="A8270" s="2">
        <v>2069</v>
      </c>
      <c r="B8270" s="2">
        <v>15</v>
      </c>
      <c r="C8270" s="2">
        <v>64339946</v>
      </c>
      <c r="D8270" s="2">
        <v>66355634</v>
      </c>
      <c r="E8270" s="2">
        <v>4</v>
      </c>
      <c r="F8270" s="2" t="s">
        <v>10086</v>
      </c>
      <c r="H8270" s="3">
        <v>8.0000000000000004E-4</v>
      </c>
      <c r="K8270" s="2" t="s">
        <v>10088</v>
      </c>
    </row>
    <row r="8271" spans="1:11" x14ac:dyDescent="0.2">
      <c r="A8271" s="2">
        <v>2070</v>
      </c>
      <c r="B8271" s="2">
        <v>15</v>
      </c>
      <c r="C8271" s="2">
        <v>66355635</v>
      </c>
      <c r="D8271" s="2">
        <v>67396520</v>
      </c>
      <c r="E8271" s="2">
        <v>1</v>
      </c>
      <c r="F8271" s="2" t="s">
        <v>10086</v>
      </c>
      <c r="H8271" s="2">
        <v>2.8E-3</v>
      </c>
      <c r="K8271" s="2" t="s">
        <v>10085</v>
      </c>
    </row>
    <row r="8272" spans="1:11" x14ac:dyDescent="0.2">
      <c r="A8272" s="2">
        <v>2070</v>
      </c>
      <c r="B8272" s="2">
        <v>15</v>
      </c>
      <c r="C8272" s="2">
        <v>66355635</v>
      </c>
      <c r="D8272" s="2">
        <v>67396520</v>
      </c>
      <c r="E8272" s="2">
        <v>2</v>
      </c>
      <c r="F8272" s="2" t="s">
        <v>10086</v>
      </c>
      <c r="H8272" s="2">
        <v>1E-3</v>
      </c>
      <c r="K8272" s="2" t="s">
        <v>10089</v>
      </c>
    </row>
    <row r="8273" spans="1:11" x14ac:dyDescent="0.2">
      <c r="A8273" s="2">
        <v>2070</v>
      </c>
      <c r="B8273" s="2">
        <v>15</v>
      </c>
      <c r="C8273" s="2">
        <v>66355635</v>
      </c>
      <c r="D8273" s="2">
        <v>67396520</v>
      </c>
      <c r="E8273" s="2">
        <v>3</v>
      </c>
      <c r="F8273" s="2" t="s">
        <v>10086</v>
      </c>
      <c r="H8273" s="2">
        <v>1.2999999999999999E-3</v>
      </c>
      <c r="K8273" s="2" t="s">
        <v>10087</v>
      </c>
    </row>
    <row r="8274" spans="1:11" x14ac:dyDescent="0.2">
      <c r="A8274" s="2">
        <v>2070</v>
      </c>
      <c r="B8274" s="2">
        <v>15</v>
      </c>
      <c r="C8274" s="2">
        <v>66355635</v>
      </c>
      <c r="D8274" s="2">
        <v>67396520</v>
      </c>
      <c r="E8274" s="2">
        <v>4</v>
      </c>
      <c r="F8274" s="2" t="s">
        <v>10086</v>
      </c>
      <c r="H8274" s="3">
        <v>4.0000000000000002E-4</v>
      </c>
      <c r="K8274" s="2" t="s">
        <v>10088</v>
      </c>
    </row>
    <row r="8275" spans="1:11" x14ac:dyDescent="0.2">
      <c r="A8275" s="2">
        <v>2071</v>
      </c>
      <c r="B8275" s="2">
        <v>15</v>
      </c>
      <c r="C8275" s="2">
        <v>67396521</v>
      </c>
      <c r="D8275" s="2">
        <v>69089815</v>
      </c>
      <c r="E8275" s="2">
        <v>1</v>
      </c>
      <c r="F8275" s="2" t="s">
        <v>10086</v>
      </c>
      <c r="H8275" s="2">
        <v>9.4000000000000004E-3</v>
      </c>
      <c r="K8275" s="2" t="s">
        <v>10087</v>
      </c>
    </row>
    <row r="8276" spans="1:11" x14ac:dyDescent="0.2">
      <c r="A8276" s="2">
        <v>2071</v>
      </c>
      <c r="B8276" s="2">
        <v>15</v>
      </c>
      <c r="C8276" s="2">
        <v>67396521</v>
      </c>
      <c r="D8276" s="2">
        <v>69089815</v>
      </c>
      <c r="E8276" s="2">
        <v>2</v>
      </c>
      <c r="F8276" s="2" t="s">
        <v>10086</v>
      </c>
      <c r="H8276" s="2">
        <v>2.8999999999999998E-3</v>
      </c>
      <c r="K8276" s="2" t="s">
        <v>12324</v>
      </c>
    </row>
    <row r="8277" spans="1:11" x14ac:dyDescent="0.2">
      <c r="A8277" s="2">
        <v>2071</v>
      </c>
      <c r="B8277" s="2">
        <v>15</v>
      </c>
      <c r="C8277" s="2">
        <v>67396521</v>
      </c>
      <c r="D8277" s="2">
        <v>69089815</v>
      </c>
      <c r="E8277" s="2">
        <v>3</v>
      </c>
      <c r="F8277" s="2" t="s">
        <v>10086</v>
      </c>
      <c r="H8277" s="2">
        <v>1.5E-3</v>
      </c>
      <c r="K8277" s="2" t="s">
        <v>10088</v>
      </c>
    </row>
    <row r="8278" spans="1:11" x14ac:dyDescent="0.2">
      <c r="A8278" s="2">
        <v>2071</v>
      </c>
      <c r="B8278" s="2">
        <v>15</v>
      </c>
      <c r="C8278" s="2">
        <v>67396521</v>
      </c>
      <c r="D8278" s="2">
        <v>69089815</v>
      </c>
      <c r="E8278" s="2">
        <v>4</v>
      </c>
      <c r="F8278" s="2" t="s">
        <v>10086</v>
      </c>
      <c r="H8278" s="2">
        <v>1.1999999999999999E-3</v>
      </c>
      <c r="K8278" s="2" t="s">
        <v>10085</v>
      </c>
    </row>
    <row r="8279" spans="1:11" x14ac:dyDescent="0.2">
      <c r="A8279" s="2">
        <v>2072</v>
      </c>
      <c r="B8279" s="2">
        <v>15</v>
      </c>
      <c r="C8279" s="2">
        <v>69089816</v>
      </c>
      <c r="D8279" s="2">
        <v>70767983</v>
      </c>
      <c r="E8279" s="2">
        <v>1</v>
      </c>
      <c r="F8279" s="2" t="s">
        <v>10086</v>
      </c>
      <c r="H8279" s="2">
        <v>2.5000000000000001E-3</v>
      </c>
      <c r="K8279" s="2" t="s">
        <v>10085</v>
      </c>
    </row>
    <row r="8280" spans="1:11" x14ac:dyDescent="0.2">
      <c r="A8280" s="2">
        <v>2072</v>
      </c>
      <c r="B8280" s="2">
        <v>15</v>
      </c>
      <c r="C8280" s="2">
        <v>69089816</v>
      </c>
      <c r="D8280" s="2">
        <v>70767983</v>
      </c>
      <c r="E8280" s="2">
        <v>2</v>
      </c>
      <c r="F8280" s="2" t="s">
        <v>10086</v>
      </c>
      <c r="H8280" s="2">
        <v>2.8E-3</v>
      </c>
      <c r="K8280" s="2" t="s">
        <v>10087</v>
      </c>
    </row>
    <row r="8281" spans="1:11" x14ac:dyDescent="0.2">
      <c r="A8281" s="2">
        <v>2072</v>
      </c>
      <c r="B8281" s="2">
        <v>15</v>
      </c>
      <c r="C8281" s="2">
        <v>69089816</v>
      </c>
      <c r="D8281" s="2">
        <v>70767983</v>
      </c>
      <c r="E8281" s="2">
        <v>3</v>
      </c>
      <c r="F8281" s="2" t="s">
        <v>10086</v>
      </c>
      <c r="H8281" s="2">
        <v>1.9E-3</v>
      </c>
      <c r="K8281" s="2" t="s">
        <v>10088</v>
      </c>
    </row>
    <row r="8282" spans="1:11" x14ac:dyDescent="0.2">
      <c r="A8282" s="2">
        <v>2072</v>
      </c>
      <c r="B8282" s="2">
        <v>15</v>
      </c>
      <c r="C8282" s="2">
        <v>69089816</v>
      </c>
      <c r="D8282" s="2">
        <v>70767983</v>
      </c>
      <c r="E8282" s="2">
        <v>4</v>
      </c>
      <c r="F8282" s="2" t="s">
        <v>10086</v>
      </c>
      <c r="H8282" s="3">
        <v>5.9999999999999995E-4</v>
      </c>
      <c r="K8282" s="2" t="s">
        <v>10089</v>
      </c>
    </row>
    <row r="8283" spans="1:11" x14ac:dyDescent="0.2">
      <c r="A8283" s="2">
        <v>2073</v>
      </c>
      <c r="B8283" s="2">
        <v>15</v>
      </c>
      <c r="C8283" s="2">
        <v>70767984</v>
      </c>
      <c r="D8283" s="2">
        <v>72058129</v>
      </c>
      <c r="E8283" s="2">
        <v>1</v>
      </c>
      <c r="F8283" s="2" t="s">
        <v>10086</v>
      </c>
      <c r="H8283" s="2">
        <v>1.38E-2</v>
      </c>
      <c r="K8283" s="2" t="s">
        <v>10088</v>
      </c>
    </row>
    <row r="8284" spans="1:11" x14ac:dyDescent="0.2">
      <c r="A8284" s="2">
        <v>2073</v>
      </c>
      <c r="B8284" s="2">
        <v>15</v>
      </c>
      <c r="C8284" s="2">
        <v>70767984</v>
      </c>
      <c r="D8284" s="2">
        <v>72058129</v>
      </c>
      <c r="E8284" s="2">
        <v>2</v>
      </c>
      <c r="F8284" s="2" t="s">
        <v>10086</v>
      </c>
      <c r="H8284" s="2">
        <v>2.0999999999999999E-3</v>
      </c>
      <c r="K8284" s="2" t="s">
        <v>10087</v>
      </c>
    </row>
    <row r="8285" spans="1:11" x14ac:dyDescent="0.2">
      <c r="A8285" s="2">
        <v>2073</v>
      </c>
      <c r="B8285" s="2">
        <v>15</v>
      </c>
      <c r="C8285" s="2">
        <v>70767984</v>
      </c>
      <c r="D8285" s="2">
        <v>72058129</v>
      </c>
      <c r="E8285" s="2">
        <v>3</v>
      </c>
      <c r="F8285" s="2" t="s">
        <v>10086</v>
      </c>
      <c r="H8285" s="2">
        <v>1E-3</v>
      </c>
      <c r="K8285" s="2" t="s">
        <v>10089</v>
      </c>
    </row>
    <row r="8286" spans="1:11" x14ac:dyDescent="0.2">
      <c r="A8286" s="2">
        <v>2073</v>
      </c>
      <c r="B8286" s="2">
        <v>15</v>
      </c>
      <c r="C8286" s="2">
        <v>70767984</v>
      </c>
      <c r="D8286" s="2">
        <v>72058129</v>
      </c>
      <c r="E8286" s="2">
        <v>4</v>
      </c>
      <c r="F8286" s="2" t="s">
        <v>10086</v>
      </c>
      <c r="H8286" s="3">
        <v>5.0000000000000001E-4</v>
      </c>
      <c r="K8286" s="2" t="s">
        <v>10085</v>
      </c>
    </row>
    <row r="8287" spans="1:11" x14ac:dyDescent="0.2">
      <c r="A8287" s="2">
        <v>2074</v>
      </c>
      <c r="B8287" s="2">
        <v>15</v>
      </c>
      <c r="C8287" s="2">
        <v>72058130</v>
      </c>
      <c r="D8287" s="2">
        <v>73375718</v>
      </c>
      <c r="E8287" s="2">
        <v>1</v>
      </c>
      <c r="F8287" s="2" t="s">
        <v>10086</v>
      </c>
      <c r="H8287" s="2">
        <v>1.6000000000000001E-3</v>
      </c>
      <c r="K8287" s="2" t="s">
        <v>10087</v>
      </c>
    </row>
    <row r="8288" spans="1:11" x14ac:dyDescent="0.2">
      <c r="A8288" s="2">
        <v>2074</v>
      </c>
      <c r="B8288" s="2">
        <v>15</v>
      </c>
      <c r="C8288" s="2">
        <v>72058130</v>
      </c>
      <c r="D8288" s="2">
        <v>73375718</v>
      </c>
      <c r="E8288" s="2">
        <v>2</v>
      </c>
      <c r="F8288" s="2" t="s">
        <v>10086</v>
      </c>
      <c r="H8288" s="3">
        <v>8.9999999999999998E-4</v>
      </c>
      <c r="K8288" s="2" t="s">
        <v>10089</v>
      </c>
    </row>
    <row r="8289" spans="1:11" x14ac:dyDescent="0.2">
      <c r="A8289" s="2">
        <v>2074</v>
      </c>
      <c r="B8289" s="2">
        <v>15</v>
      </c>
      <c r="C8289" s="2">
        <v>72058130</v>
      </c>
      <c r="D8289" s="2">
        <v>73375718</v>
      </c>
      <c r="E8289" s="2">
        <v>3</v>
      </c>
      <c r="F8289" s="2" t="s">
        <v>10086</v>
      </c>
      <c r="H8289" s="3">
        <v>6.9999999999999999E-4</v>
      </c>
      <c r="K8289" s="2" t="s">
        <v>10088</v>
      </c>
    </row>
    <row r="8290" spans="1:11" x14ac:dyDescent="0.2">
      <c r="A8290" s="2">
        <v>2074</v>
      </c>
      <c r="B8290" s="2">
        <v>15</v>
      </c>
      <c r="C8290" s="2">
        <v>72058130</v>
      </c>
      <c r="D8290" s="2">
        <v>73375718</v>
      </c>
      <c r="E8290" s="2">
        <v>4</v>
      </c>
      <c r="F8290" s="2" t="s">
        <v>10086</v>
      </c>
      <c r="H8290" s="3">
        <v>2.9999999999999997E-4</v>
      </c>
      <c r="K8290" s="2" t="s">
        <v>10085</v>
      </c>
    </row>
    <row r="8291" spans="1:11" x14ac:dyDescent="0.2">
      <c r="A8291" s="2">
        <v>2075</v>
      </c>
      <c r="B8291" s="2">
        <v>15</v>
      </c>
      <c r="C8291" s="2">
        <v>73375719</v>
      </c>
      <c r="D8291" s="2">
        <v>74458113</v>
      </c>
      <c r="E8291" s="2">
        <v>1</v>
      </c>
      <c r="F8291" s="2" t="s">
        <v>10086</v>
      </c>
      <c r="H8291" s="2">
        <v>1.2999999999999999E-3</v>
      </c>
      <c r="K8291" s="2" t="s">
        <v>10089</v>
      </c>
    </row>
    <row r="8292" spans="1:11" x14ac:dyDescent="0.2">
      <c r="A8292" s="2">
        <v>2075</v>
      </c>
      <c r="B8292" s="2">
        <v>15</v>
      </c>
      <c r="C8292" s="2">
        <v>73375719</v>
      </c>
      <c r="D8292" s="2">
        <v>74458113</v>
      </c>
      <c r="E8292" s="2">
        <v>2</v>
      </c>
      <c r="F8292" s="2" t="s">
        <v>10086</v>
      </c>
      <c r="H8292" s="2">
        <v>1.8E-3</v>
      </c>
      <c r="K8292" s="2" t="s">
        <v>10087</v>
      </c>
    </row>
    <row r="8293" spans="1:11" x14ac:dyDescent="0.2">
      <c r="A8293" s="2">
        <v>2075</v>
      </c>
      <c r="B8293" s="2">
        <v>15</v>
      </c>
      <c r="C8293" s="2">
        <v>73375719</v>
      </c>
      <c r="D8293" s="2">
        <v>74458113</v>
      </c>
      <c r="E8293" s="2">
        <v>3</v>
      </c>
      <c r="F8293" s="2" t="s">
        <v>10086</v>
      </c>
      <c r="H8293" s="2">
        <v>1E-3</v>
      </c>
      <c r="K8293" s="2" t="s">
        <v>10085</v>
      </c>
    </row>
    <row r="8294" spans="1:11" x14ac:dyDescent="0.2">
      <c r="A8294" s="2">
        <v>2075</v>
      </c>
      <c r="B8294" s="2">
        <v>15</v>
      </c>
      <c r="C8294" s="2">
        <v>73375719</v>
      </c>
      <c r="D8294" s="2">
        <v>74458113</v>
      </c>
      <c r="E8294" s="2">
        <v>4</v>
      </c>
      <c r="F8294" s="2" t="s">
        <v>10086</v>
      </c>
      <c r="H8294" s="3">
        <v>4.0000000000000002E-4</v>
      </c>
      <c r="K8294" s="2" t="s">
        <v>10088</v>
      </c>
    </row>
    <row r="8295" spans="1:11" x14ac:dyDescent="0.2">
      <c r="A8295" s="2">
        <v>2076</v>
      </c>
      <c r="B8295" s="2">
        <v>15</v>
      </c>
      <c r="C8295" s="2">
        <v>74458114</v>
      </c>
      <c r="D8295" s="2">
        <v>76401952</v>
      </c>
      <c r="E8295" s="2">
        <v>1</v>
      </c>
      <c r="F8295" s="2" t="s">
        <v>10086</v>
      </c>
      <c r="H8295" s="2">
        <v>1.8499999999999999E-2</v>
      </c>
      <c r="K8295" s="2" t="s">
        <v>12324</v>
      </c>
    </row>
    <row r="8296" spans="1:11" x14ac:dyDescent="0.2">
      <c r="A8296" s="2">
        <v>2076</v>
      </c>
      <c r="B8296" s="2">
        <v>15</v>
      </c>
      <c r="C8296" s="2">
        <v>74458114</v>
      </c>
      <c r="D8296" s="2">
        <v>76401952</v>
      </c>
      <c r="E8296" s="2">
        <v>2</v>
      </c>
      <c r="F8296" s="2" t="s">
        <v>10086</v>
      </c>
      <c r="H8296" s="2">
        <v>1.5E-3</v>
      </c>
      <c r="K8296" s="2" t="s">
        <v>10088</v>
      </c>
    </row>
    <row r="8297" spans="1:11" x14ac:dyDescent="0.2">
      <c r="A8297" s="2">
        <v>2076</v>
      </c>
      <c r="B8297" s="2">
        <v>15</v>
      </c>
      <c r="C8297" s="2">
        <v>74458114</v>
      </c>
      <c r="D8297" s="2">
        <v>76401952</v>
      </c>
      <c r="E8297" s="2">
        <v>3</v>
      </c>
      <c r="F8297" s="2" t="s">
        <v>10086</v>
      </c>
      <c r="H8297" s="2">
        <v>1.1000000000000001E-3</v>
      </c>
      <c r="K8297" s="2" t="s">
        <v>10087</v>
      </c>
    </row>
    <row r="8298" spans="1:11" x14ac:dyDescent="0.2">
      <c r="A8298" s="2">
        <v>2076</v>
      </c>
      <c r="B8298" s="2">
        <v>15</v>
      </c>
      <c r="C8298" s="2">
        <v>74458114</v>
      </c>
      <c r="D8298" s="2">
        <v>76401952</v>
      </c>
      <c r="E8298" s="2">
        <v>4</v>
      </c>
      <c r="F8298" s="2" t="s">
        <v>10086</v>
      </c>
      <c r="H8298" s="3">
        <v>8.0000000000000004E-4</v>
      </c>
      <c r="K8298" s="2" t="s">
        <v>10089</v>
      </c>
    </row>
    <row r="8299" spans="1:11" x14ac:dyDescent="0.2">
      <c r="A8299" s="2">
        <v>2077</v>
      </c>
      <c r="B8299" s="2">
        <v>15</v>
      </c>
      <c r="C8299" s="2">
        <v>76401953</v>
      </c>
      <c r="D8299" s="2">
        <v>77897163</v>
      </c>
      <c r="E8299" s="2">
        <v>1</v>
      </c>
      <c r="F8299" s="2" t="s">
        <v>10086</v>
      </c>
      <c r="H8299" s="2">
        <v>1.5E-3</v>
      </c>
      <c r="K8299" s="2" t="s">
        <v>10085</v>
      </c>
    </row>
    <row r="8300" spans="1:11" x14ac:dyDescent="0.2">
      <c r="A8300" s="2">
        <v>2077</v>
      </c>
      <c r="B8300" s="2">
        <v>15</v>
      </c>
      <c r="C8300" s="2">
        <v>76401953</v>
      </c>
      <c r="D8300" s="2">
        <v>77897163</v>
      </c>
      <c r="E8300" s="2">
        <v>2</v>
      </c>
      <c r="F8300" s="2" t="s">
        <v>10086</v>
      </c>
      <c r="H8300" s="2">
        <v>1.1999999999999999E-3</v>
      </c>
      <c r="K8300" s="2" t="s">
        <v>10088</v>
      </c>
    </row>
    <row r="8301" spans="1:11" x14ac:dyDescent="0.2">
      <c r="A8301" s="2">
        <v>2077</v>
      </c>
      <c r="B8301" s="2">
        <v>15</v>
      </c>
      <c r="C8301" s="2">
        <v>76401953</v>
      </c>
      <c r="D8301" s="2">
        <v>77897163</v>
      </c>
      <c r="E8301" s="2">
        <v>3</v>
      </c>
      <c r="F8301" s="2" t="s">
        <v>10086</v>
      </c>
      <c r="H8301" s="3">
        <v>6.9999999999999999E-4</v>
      </c>
      <c r="K8301" s="2" t="s">
        <v>10087</v>
      </c>
    </row>
    <row r="8302" spans="1:11" x14ac:dyDescent="0.2">
      <c r="A8302" s="2">
        <v>2077</v>
      </c>
      <c r="B8302" s="2">
        <v>15</v>
      </c>
      <c r="C8302" s="2">
        <v>76401953</v>
      </c>
      <c r="D8302" s="2">
        <v>77897163</v>
      </c>
      <c r="E8302" s="2">
        <v>4</v>
      </c>
      <c r="F8302" s="2" t="s">
        <v>10086</v>
      </c>
      <c r="H8302" s="3">
        <v>4.0000000000000002E-4</v>
      </c>
      <c r="K8302" s="2" t="s">
        <v>10089</v>
      </c>
    </row>
    <row r="8303" spans="1:11" x14ac:dyDescent="0.2">
      <c r="A8303" s="2">
        <v>2078</v>
      </c>
      <c r="B8303" s="2">
        <v>15</v>
      </c>
      <c r="C8303" s="2">
        <v>77897164</v>
      </c>
      <c r="D8303" s="2">
        <v>78514101</v>
      </c>
      <c r="E8303" s="2">
        <v>1</v>
      </c>
      <c r="F8303" s="2" t="s">
        <v>10086</v>
      </c>
      <c r="H8303" s="2">
        <v>1.6999999999999999E-3</v>
      </c>
      <c r="K8303" s="2" t="s">
        <v>10088</v>
      </c>
    </row>
    <row r="8304" spans="1:11" x14ac:dyDescent="0.2">
      <c r="A8304" s="2">
        <v>2078</v>
      </c>
      <c r="B8304" s="2">
        <v>15</v>
      </c>
      <c r="C8304" s="2">
        <v>77897164</v>
      </c>
      <c r="D8304" s="2">
        <v>78514101</v>
      </c>
      <c r="E8304" s="2">
        <v>2</v>
      </c>
      <c r="F8304" s="2" t="s">
        <v>10086</v>
      </c>
      <c r="H8304" s="2">
        <v>1E-3</v>
      </c>
      <c r="K8304" s="2" t="s">
        <v>10085</v>
      </c>
    </row>
    <row r="8305" spans="1:11" x14ac:dyDescent="0.2">
      <c r="A8305" s="2">
        <v>2078</v>
      </c>
      <c r="B8305" s="2">
        <v>15</v>
      </c>
      <c r="C8305" s="2">
        <v>77897164</v>
      </c>
      <c r="D8305" s="2">
        <v>78514101</v>
      </c>
      <c r="E8305" s="2">
        <v>3</v>
      </c>
      <c r="F8305" s="2" t="s">
        <v>10086</v>
      </c>
      <c r="H8305" s="3">
        <v>5.9999999999999995E-4</v>
      </c>
      <c r="K8305" s="2" t="s">
        <v>10089</v>
      </c>
    </row>
    <row r="8306" spans="1:11" x14ac:dyDescent="0.2">
      <c r="A8306" s="2">
        <v>2078</v>
      </c>
      <c r="B8306" s="2">
        <v>15</v>
      </c>
      <c r="C8306" s="2">
        <v>77897164</v>
      </c>
      <c r="D8306" s="2">
        <v>78514101</v>
      </c>
      <c r="E8306" s="2">
        <v>4</v>
      </c>
      <c r="F8306" s="2" t="s">
        <v>10086</v>
      </c>
      <c r="H8306" s="3">
        <v>4.0000000000000002E-4</v>
      </c>
      <c r="K8306" s="2" t="s">
        <v>10087</v>
      </c>
    </row>
    <row r="8307" spans="1:11" x14ac:dyDescent="0.2">
      <c r="A8307" s="2">
        <v>2079</v>
      </c>
      <c r="B8307" s="2">
        <v>15</v>
      </c>
      <c r="C8307" s="2">
        <v>78514102</v>
      </c>
      <c r="D8307" s="2">
        <v>79292536</v>
      </c>
      <c r="E8307" s="2">
        <v>1</v>
      </c>
      <c r="F8307" s="2" t="s">
        <v>10086</v>
      </c>
      <c r="H8307" s="2">
        <v>2.8999999999999998E-3</v>
      </c>
      <c r="K8307" s="2" t="s">
        <v>10088</v>
      </c>
    </row>
    <row r="8308" spans="1:11" x14ac:dyDescent="0.2">
      <c r="A8308" s="2">
        <v>2079</v>
      </c>
      <c r="B8308" s="2">
        <v>15</v>
      </c>
      <c r="C8308" s="2">
        <v>78514102</v>
      </c>
      <c r="D8308" s="2">
        <v>79292536</v>
      </c>
      <c r="E8308" s="2">
        <v>2</v>
      </c>
      <c r="F8308" s="2" t="s">
        <v>10086</v>
      </c>
      <c r="H8308" s="3">
        <v>8.0000000000000004E-4</v>
      </c>
      <c r="K8308" s="2" t="s">
        <v>10085</v>
      </c>
    </row>
    <row r="8309" spans="1:11" x14ac:dyDescent="0.2">
      <c r="A8309" s="2">
        <v>2079</v>
      </c>
      <c r="B8309" s="2">
        <v>15</v>
      </c>
      <c r="C8309" s="2">
        <v>78514102</v>
      </c>
      <c r="D8309" s="2">
        <v>79292536</v>
      </c>
      <c r="E8309" s="2">
        <v>3</v>
      </c>
      <c r="F8309" s="2" t="s">
        <v>10086</v>
      </c>
      <c r="H8309" s="3">
        <v>5.9999999999999995E-4</v>
      </c>
      <c r="K8309" s="2" t="s">
        <v>10087</v>
      </c>
    </row>
    <row r="8310" spans="1:11" x14ac:dyDescent="0.2">
      <c r="A8310" s="2">
        <v>2079</v>
      </c>
      <c r="B8310" s="2">
        <v>15</v>
      </c>
      <c r="C8310" s="2">
        <v>78514102</v>
      </c>
      <c r="D8310" s="2">
        <v>79292536</v>
      </c>
      <c r="E8310" s="2">
        <v>4</v>
      </c>
      <c r="F8310" s="2" t="s">
        <v>10086</v>
      </c>
      <c r="H8310" s="3">
        <v>2.9999999999999997E-4</v>
      </c>
      <c r="K8310" s="2" t="s">
        <v>10089</v>
      </c>
    </row>
    <row r="8311" spans="1:11" x14ac:dyDescent="0.2">
      <c r="A8311" s="2">
        <v>2080</v>
      </c>
      <c r="B8311" s="2">
        <v>15</v>
      </c>
      <c r="C8311" s="2">
        <v>79292537</v>
      </c>
      <c r="D8311" s="2">
        <v>79998206</v>
      </c>
      <c r="E8311" s="2">
        <v>1</v>
      </c>
      <c r="F8311" s="2" t="s">
        <v>10086</v>
      </c>
      <c r="H8311" s="2">
        <v>1.2999999999999999E-3</v>
      </c>
      <c r="K8311" s="2" t="s">
        <v>10085</v>
      </c>
    </row>
    <row r="8312" spans="1:11" x14ac:dyDescent="0.2">
      <c r="A8312" s="2">
        <v>2080</v>
      </c>
      <c r="B8312" s="2">
        <v>15</v>
      </c>
      <c r="C8312" s="2">
        <v>79292537</v>
      </c>
      <c r="D8312" s="2">
        <v>79998206</v>
      </c>
      <c r="E8312" s="2">
        <v>2</v>
      </c>
      <c r="F8312" s="2" t="s">
        <v>10086</v>
      </c>
      <c r="H8312" s="3">
        <v>6.9999999999999999E-4</v>
      </c>
      <c r="K8312" s="2" t="s">
        <v>10087</v>
      </c>
    </row>
    <row r="8313" spans="1:11" x14ac:dyDescent="0.2">
      <c r="A8313" s="2">
        <v>2080</v>
      </c>
      <c r="B8313" s="2">
        <v>15</v>
      </c>
      <c r="C8313" s="2">
        <v>79292537</v>
      </c>
      <c r="D8313" s="2">
        <v>79998206</v>
      </c>
      <c r="E8313" s="2">
        <v>3</v>
      </c>
      <c r="F8313" s="2" t="s">
        <v>10086</v>
      </c>
      <c r="H8313" s="3">
        <v>5.9999999999999995E-4</v>
      </c>
      <c r="K8313" s="2" t="s">
        <v>10089</v>
      </c>
    </row>
    <row r="8314" spans="1:11" x14ac:dyDescent="0.2">
      <c r="A8314" s="2">
        <v>2080</v>
      </c>
      <c r="B8314" s="2">
        <v>15</v>
      </c>
      <c r="C8314" s="2">
        <v>79292537</v>
      </c>
      <c r="D8314" s="2">
        <v>79998206</v>
      </c>
      <c r="E8314" s="2">
        <v>4</v>
      </c>
      <c r="F8314" s="2" t="s">
        <v>10086</v>
      </c>
      <c r="H8314" s="3">
        <v>2.9999999999999997E-4</v>
      </c>
      <c r="K8314" s="2" t="s">
        <v>10088</v>
      </c>
    </row>
    <row r="8315" spans="1:11" x14ac:dyDescent="0.2">
      <c r="A8315" s="2">
        <v>2081</v>
      </c>
      <c r="B8315" s="2">
        <v>15</v>
      </c>
      <c r="C8315" s="2">
        <v>79998207</v>
      </c>
      <c r="D8315" s="2">
        <v>81077025</v>
      </c>
      <c r="E8315" s="2">
        <v>1</v>
      </c>
      <c r="F8315" s="2" t="s">
        <v>10086</v>
      </c>
      <c r="H8315" s="2">
        <v>1.6999999999999999E-3</v>
      </c>
      <c r="K8315" s="2" t="s">
        <v>10087</v>
      </c>
    </row>
    <row r="8316" spans="1:11" x14ac:dyDescent="0.2">
      <c r="A8316" s="2">
        <v>2081</v>
      </c>
      <c r="B8316" s="2">
        <v>15</v>
      </c>
      <c r="C8316" s="2">
        <v>79998207</v>
      </c>
      <c r="D8316" s="2">
        <v>81077025</v>
      </c>
      <c r="E8316" s="2">
        <v>2</v>
      </c>
      <c r="F8316" s="2" t="s">
        <v>10086</v>
      </c>
      <c r="H8316" s="3">
        <v>8.9999999999999998E-4</v>
      </c>
      <c r="K8316" s="2" t="s">
        <v>10088</v>
      </c>
    </row>
    <row r="8317" spans="1:11" x14ac:dyDescent="0.2">
      <c r="A8317" s="2">
        <v>2081</v>
      </c>
      <c r="B8317" s="2">
        <v>15</v>
      </c>
      <c r="C8317" s="2">
        <v>79998207</v>
      </c>
      <c r="D8317" s="2">
        <v>81077025</v>
      </c>
      <c r="E8317" s="2">
        <v>3</v>
      </c>
      <c r="F8317" s="2" t="s">
        <v>10086</v>
      </c>
      <c r="H8317" s="3">
        <v>8.0000000000000004E-4</v>
      </c>
      <c r="K8317" s="2" t="s">
        <v>10085</v>
      </c>
    </row>
    <row r="8318" spans="1:11" x14ac:dyDescent="0.2">
      <c r="A8318" s="2">
        <v>2081</v>
      </c>
      <c r="B8318" s="2">
        <v>15</v>
      </c>
      <c r="C8318" s="2">
        <v>79998207</v>
      </c>
      <c r="D8318" s="2">
        <v>81077025</v>
      </c>
      <c r="E8318" s="2">
        <v>4</v>
      </c>
      <c r="F8318" s="2" t="s">
        <v>10086</v>
      </c>
      <c r="H8318" s="3">
        <v>6.9999999999999999E-4</v>
      </c>
      <c r="K8318" s="2" t="s">
        <v>10089</v>
      </c>
    </row>
    <row r="8319" spans="1:11" x14ac:dyDescent="0.2">
      <c r="A8319" s="2">
        <v>2082</v>
      </c>
      <c r="B8319" s="2">
        <v>15</v>
      </c>
      <c r="C8319" s="2">
        <v>81077026</v>
      </c>
      <c r="D8319" s="2">
        <v>82191077</v>
      </c>
      <c r="E8319" s="2">
        <v>1</v>
      </c>
      <c r="F8319" s="2" t="s">
        <v>10086</v>
      </c>
      <c r="H8319" s="2">
        <v>2.3999999999999998E-3</v>
      </c>
      <c r="K8319" s="2" t="s">
        <v>10088</v>
      </c>
    </row>
    <row r="8320" spans="1:11" x14ac:dyDescent="0.2">
      <c r="A8320" s="2">
        <v>2082</v>
      </c>
      <c r="B8320" s="2">
        <v>15</v>
      </c>
      <c r="C8320" s="2">
        <v>81077026</v>
      </c>
      <c r="D8320" s="2">
        <v>82191077</v>
      </c>
      <c r="E8320" s="2">
        <v>2</v>
      </c>
      <c r="F8320" s="2" t="s">
        <v>10086</v>
      </c>
      <c r="H8320" s="2">
        <v>1E-3</v>
      </c>
      <c r="K8320" s="2" t="s">
        <v>10089</v>
      </c>
    </row>
    <row r="8321" spans="1:11" x14ac:dyDescent="0.2">
      <c r="A8321" s="2">
        <v>2082</v>
      </c>
      <c r="B8321" s="2">
        <v>15</v>
      </c>
      <c r="C8321" s="2">
        <v>81077026</v>
      </c>
      <c r="D8321" s="2">
        <v>82191077</v>
      </c>
      <c r="E8321" s="2">
        <v>3</v>
      </c>
      <c r="F8321" s="2" t="s">
        <v>10086</v>
      </c>
      <c r="H8321" s="3">
        <v>6.9999999999999999E-4</v>
      </c>
      <c r="K8321" s="2" t="s">
        <v>10085</v>
      </c>
    </row>
    <row r="8322" spans="1:11" x14ac:dyDescent="0.2">
      <c r="A8322" s="2">
        <v>2082</v>
      </c>
      <c r="B8322" s="2">
        <v>15</v>
      </c>
      <c r="C8322" s="2">
        <v>81077026</v>
      </c>
      <c r="D8322" s="2">
        <v>82191077</v>
      </c>
      <c r="E8322" s="2">
        <v>4</v>
      </c>
      <c r="F8322" s="2" t="s">
        <v>10086</v>
      </c>
      <c r="H8322" s="3">
        <v>2.9999999999999997E-4</v>
      </c>
      <c r="K8322" s="2" t="s">
        <v>10087</v>
      </c>
    </row>
    <row r="8323" spans="1:11" x14ac:dyDescent="0.2">
      <c r="A8323" s="2">
        <v>2083</v>
      </c>
      <c r="B8323" s="2">
        <v>15</v>
      </c>
      <c r="C8323" s="2">
        <v>82191078</v>
      </c>
      <c r="D8323" s="2">
        <v>84209760</v>
      </c>
      <c r="E8323" s="2">
        <v>1</v>
      </c>
      <c r="F8323" s="2" t="s">
        <v>10086</v>
      </c>
      <c r="H8323" s="2">
        <v>6.1000000000000004E-3</v>
      </c>
      <c r="K8323" s="2" t="s">
        <v>12324</v>
      </c>
    </row>
    <row r="8324" spans="1:11" x14ac:dyDescent="0.2">
      <c r="A8324" s="2">
        <v>2083</v>
      </c>
      <c r="B8324" s="2">
        <v>15</v>
      </c>
      <c r="C8324" s="2">
        <v>82191078</v>
      </c>
      <c r="D8324" s="2">
        <v>84209760</v>
      </c>
      <c r="E8324" s="2">
        <v>2</v>
      </c>
      <c r="F8324" s="2" t="s">
        <v>10086</v>
      </c>
      <c r="H8324" s="2">
        <v>1.5E-3</v>
      </c>
      <c r="K8324" s="2" t="s">
        <v>10088</v>
      </c>
    </row>
    <row r="8325" spans="1:11" x14ac:dyDescent="0.2">
      <c r="A8325" s="2">
        <v>2083</v>
      </c>
      <c r="B8325" s="2">
        <v>15</v>
      </c>
      <c r="C8325" s="2">
        <v>82191078</v>
      </c>
      <c r="D8325" s="2">
        <v>84209760</v>
      </c>
      <c r="E8325" s="2">
        <v>3</v>
      </c>
      <c r="F8325" s="2" t="s">
        <v>10086</v>
      </c>
      <c r="H8325" s="2">
        <v>1E-3</v>
      </c>
      <c r="K8325" s="2" t="s">
        <v>10087</v>
      </c>
    </row>
    <row r="8326" spans="1:11" x14ac:dyDescent="0.2">
      <c r="A8326" s="2">
        <v>2083</v>
      </c>
      <c r="B8326" s="2">
        <v>15</v>
      </c>
      <c r="C8326" s="2">
        <v>82191078</v>
      </c>
      <c r="D8326" s="2">
        <v>84209760</v>
      </c>
      <c r="E8326" s="2">
        <v>4</v>
      </c>
      <c r="F8326" s="2" t="s">
        <v>10086</v>
      </c>
      <c r="H8326" s="3">
        <v>8.9999999999999998E-4</v>
      </c>
      <c r="K8326" s="2" t="s">
        <v>10085</v>
      </c>
    </row>
    <row r="8327" spans="1:11" x14ac:dyDescent="0.2">
      <c r="A8327" s="2">
        <v>2084</v>
      </c>
      <c r="B8327" s="2">
        <v>15</v>
      </c>
      <c r="C8327" s="2">
        <v>84209761</v>
      </c>
      <c r="D8327" s="2">
        <v>85494083</v>
      </c>
      <c r="E8327" s="2">
        <v>1</v>
      </c>
      <c r="F8327" s="2" t="s">
        <v>10086</v>
      </c>
      <c r="H8327" s="2">
        <v>4.1000000000000003E-3</v>
      </c>
      <c r="K8327" s="2" t="s">
        <v>10087</v>
      </c>
    </row>
    <row r="8328" spans="1:11" x14ac:dyDescent="0.2">
      <c r="A8328" s="2">
        <v>2084</v>
      </c>
      <c r="B8328" s="2">
        <v>15</v>
      </c>
      <c r="C8328" s="2">
        <v>84209761</v>
      </c>
      <c r="D8328" s="2">
        <v>85494083</v>
      </c>
      <c r="E8328" s="2">
        <v>2</v>
      </c>
      <c r="F8328" s="2" t="s">
        <v>10086</v>
      </c>
      <c r="H8328" s="2">
        <v>1.1000000000000001E-3</v>
      </c>
      <c r="K8328" s="2" t="s">
        <v>10085</v>
      </c>
    </row>
    <row r="8329" spans="1:11" x14ac:dyDescent="0.2">
      <c r="A8329" s="2">
        <v>2084</v>
      </c>
      <c r="B8329" s="2">
        <v>15</v>
      </c>
      <c r="C8329" s="2">
        <v>84209761</v>
      </c>
      <c r="D8329" s="2">
        <v>85494083</v>
      </c>
      <c r="E8329" s="2">
        <v>3</v>
      </c>
      <c r="F8329" s="2" t="s">
        <v>10086</v>
      </c>
      <c r="H8329" s="3">
        <v>8.9999999999999998E-4</v>
      </c>
      <c r="K8329" s="2" t="s">
        <v>10089</v>
      </c>
    </row>
    <row r="8330" spans="1:11" x14ac:dyDescent="0.2">
      <c r="A8330" s="2">
        <v>2084</v>
      </c>
      <c r="B8330" s="2">
        <v>15</v>
      </c>
      <c r="C8330" s="2">
        <v>84209761</v>
      </c>
      <c r="D8330" s="2">
        <v>85494083</v>
      </c>
      <c r="E8330" s="2">
        <v>4</v>
      </c>
      <c r="F8330" s="2" t="s">
        <v>10086</v>
      </c>
      <c r="H8330" s="3">
        <v>8.9999999999999998E-4</v>
      </c>
      <c r="K8330" s="2" t="s">
        <v>12324</v>
      </c>
    </row>
    <row r="8331" spans="1:11" x14ac:dyDescent="0.2">
      <c r="A8331" s="2">
        <v>2085</v>
      </c>
      <c r="B8331" s="2">
        <v>15</v>
      </c>
      <c r="C8331" s="2">
        <v>85494084</v>
      </c>
      <c r="D8331" s="2">
        <v>86341598</v>
      </c>
      <c r="E8331" s="2">
        <v>1</v>
      </c>
      <c r="F8331" s="2" t="s">
        <v>10086</v>
      </c>
      <c r="H8331" s="2">
        <v>1.9E-3</v>
      </c>
      <c r="K8331" s="2" t="s">
        <v>10087</v>
      </c>
    </row>
    <row r="8332" spans="1:11" x14ac:dyDescent="0.2">
      <c r="A8332" s="2">
        <v>2085</v>
      </c>
      <c r="B8332" s="2">
        <v>15</v>
      </c>
      <c r="C8332" s="2">
        <v>85494084</v>
      </c>
      <c r="D8332" s="2">
        <v>86341598</v>
      </c>
      <c r="E8332" s="2">
        <v>2</v>
      </c>
      <c r="F8332" s="2" t="s">
        <v>10086</v>
      </c>
      <c r="H8332" s="2">
        <v>1.1000000000000001E-3</v>
      </c>
      <c r="K8332" s="2" t="s">
        <v>12324</v>
      </c>
    </row>
    <row r="8333" spans="1:11" x14ac:dyDescent="0.2">
      <c r="A8333" s="2">
        <v>2085</v>
      </c>
      <c r="B8333" s="2">
        <v>15</v>
      </c>
      <c r="C8333" s="2">
        <v>85494084</v>
      </c>
      <c r="D8333" s="2">
        <v>86341598</v>
      </c>
      <c r="E8333" s="2">
        <v>3</v>
      </c>
      <c r="F8333" s="2" t="s">
        <v>10086</v>
      </c>
      <c r="H8333" s="3">
        <v>6.9999999999999999E-4</v>
      </c>
      <c r="K8333" s="2" t="s">
        <v>10088</v>
      </c>
    </row>
    <row r="8334" spans="1:11" x14ac:dyDescent="0.2">
      <c r="A8334" s="2">
        <v>2085</v>
      </c>
      <c r="B8334" s="2">
        <v>15</v>
      </c>
      <c r="C8334" s="2">
        <v>85494084</v>
      </c>
      <c r="D8334" s="2">
        <v>86341598</v>
      </c>
      <c r="E8334" s="2">
        <v>4</v>
      </c>
      <c r="F8334" s="2" t="s">
        <v>10086</v>
      </c>
      <c r="H8334" s="3">
        <v>5.9999999999999995E-4</v>
      </c>
      <c r="K8334" s="2" t="s">
        <v>10089</v>
      </c>
    </row>
    <row r="8335" spans="1:11" x14ac:dyDescent="0.2">
      <c r="A8335" s="2">
        <v>2086</v>
      </c>
      <c r="B8335" s="2">
        <v>15</v>
      </c>
      <c r="C8335" s="2">
        <v>86341599</v>
      </c>
      <c r="D8335" s="2">
        <v>87158587</v>
      </c>
      <c r="E8335" s="2">
        <v>1</v>
      </c>
      <c r="F8335" s="2" t="s">
        <v>10086</v>
      </c>
      <c r="H8335" s="2">
        <v>4.4000000000000003E-3</v>
      </c>
      <c r="K8335" s="2" t="s">
        <v>12324</v>
      </c>
    </row>
    <row r="8336" spans="1:11" x14ac:dyDescent="0.2">
      <c r="A8336" s="2">
        <v>2086</v>
      </c>
      <c r="B8336" s="2">
        <v>15</v>
      </c>
      <c r="C8336" s="2">
        <v>86341599</v>
      </c>
      <c r="D8336" s="2">
        <v>87158587</v>
      </c>
      <c r="E8336" s="2">
        <v>2</v>
      </c>
      <c r="F8336" s="2" t="s">
        <v>10086</v>
      </c>
      <c r="H8336" s="2">
        <v>1.1999999999999999E-3</v>
      </c>
      <c r="K8336" s="2" t="s">
        <v>10088</v>
      </c>
    </row>
    <row r="8337" spans="1:11" x14ac:dyDescent="0.2">
      <c r="A8337" s="2">
        <v>2086</v>
      </c>
      <c r="B8337" s="2">
        <v>15</v>
      </c>
      <c r="C8337" s="2">
        <v>86341599</v>
      </c>
      <c r="D8337" s="2">
        <v>87158587</v>
      </c>
      <c r="E8337" s="2">
        <v>3</v>
      </c>
      <c r="F8337" s="2" t="s">
        <v>10086</v>
      </c>
      <c r="H8337" s="3">
        <v>8.0000000000000004E-4</v>
      </c>
      <c r="K8337" s="2" t="s">
        <v>10089</v>
      </c>
    </row>
    <row r="8338" spans="1:11" x14ac:dyDescent="0.2">
      <c r="A8338" s="2">
        <v>2086</v>
      </c>
      <c r="B8338" s="2">
        <v>15</v>
      </c>
      <c r="C8338" s="2">
        <v>86341599</v>
      </c>
      <c r="D8338" s="2">
        <v>87158587</v>
      </c>
      <c r="E8338" s="2">
        <v>4</v>
      </c>
      <c r="F8338" s="2" t="s">
        <v>10086</v>
      </c>
      <c r="H8338" s="3">
        <v>6.9999999999999999E-4</v>
      </c>
      <c r="K8338" s="2" t="s">
        <v>10085</v>
      </c>
    </row>
    <row r="8339" spans="1:11" x14ac:dyDescent="0.2">
      <c r="A8339" s="2">
        <v>2087</v>
      </c>
      <c r="B8339" s="2">
        <v>15</v>
      </c>
      <c r="C8339" s="2">
        <v>87158588</v>
      </c>
      <c r="D8339" s="2">
        <v>88035757</v>
      </c>
      <c r="E8339" s="2">
        <v>1</v>
      </c>
      <c r="F8339" s="2" t="s">
        <v>10086</v>
      </c>
      <c r="H8339" s="2">
        <v>1.6000000000000001E-3</v>
      </c>
      <c r="K8339" s="2" t="s">
        <v>10089</v>
      </c>
    </row>
    <row r="8340" spans="1:11" x14ac:dyDescent="0.2">
      <c r="A8340" s="2">
        <v>2087</v>
      </c>
      <c r="B8340" s="2">
        <v>15</v>
      </c>
      <c r="C8340" s="2">
        <v>87158588</v>
      </c>
      <c r="D8340" s="2">
        <v>88035757</v>
      </c>
      <c r="E8340" s="2">
        <v>2</v>
      </c>
      <c r="F8340" s="2" t="s">
        <v>10086</v>
      </c>
      <c r="H8340" s="3">
        <v>8.0000000000000004E-4</v>
      </c>
      <c r="K8340" s="2" t="s">
        <v>10087</v>
      </c>
    </row>
    <row r="8341" spans="1:11" x14ac:dyDescent="0.2">
      <c r="A8341" s="2">
        <v>2087</v>
      </c>
      <c r="B8341" s="2">
        <v>15</v>
      </c>
      <c r="C8341" s="2">
        <v>87158588</v>
      </c>
      <c r="D8341" s="2">
        <v>88035757</v>
      </c>
      <c r="E8341" s="2">
        <v>3</v>
      </c>
      <c r="F8341" s="2" t="s">
        <v>10086</v>
      </c>
      <c r="H8341" s="3">
        <v>8.0000000000000004E-4</v>
      </c>
      <c r="K8341" s="2" t="s">
        <v>10085</v>
      </c>
    </row>
    <row r="8342" spans="1:11" x14ac:dyDescent="0.2">
      <c r="A8342" s="2">
        <v>2087</v>
      </c>
      <c r="B8342" s="2">
        <v>15</v>
      </c>
      <c r="C8342" s="2">
        <v>87158588</v>
      </c>
      <c r="D8342" s="2">
        <v>88035757</v>
      </c>
      <c r="E8342" s="2">
        <v>4</v>
      </c>
      <c r="F8342" s="2" t="s">
        <v>10086</v>
      </c>
      <c r="H8342" s="3">
        <v>4.0000000000000002E-4</v>
      </c>
      <c r="K8342" s="2" t="s">
        <v>10088</v>
      </c>
    </row>
    <row r="8343" spans="1:11" x14ac:dyDescent="0.2">
      <c r="A8343" s="2">
        <v>2088</v>
      </c>
      <c r="B8343" s="2">
        <v>15</v>
      </c>
      <c r="C8343" s="2">
        <v>88035758</v>
      </c>
      <c r="D8343" s="2">
        <v>89385187</v>
      </c>
      <c r="E8343" s="2">
        <v>1</v>
      </c>
      <c r="F8343" s="2" t="s">
        <v>10086</v>
      </c>
      <c r="H8343" s="2">
        <v>4.1000000000000003E-3</v>
      </c>
      <c r="K8343" s="2" t="s">
        <v>12324</v>
      </c>
    </row>
    <row r="8344" spans="1:11" x14ac:dyDescent="0.2">
      <c r="A8344" s="2">
        <v>2088</v>
      </c>
      <c r="B8344" s="2">
        <v>15</v>
      </c>
      <c r="C8344" s="2">
        <v>88035758</v>
      </c>
      <c r="D8344" s="2">
        <v>89385187</v>
      </c>
      <c r="E8344" s="2">
        <v>2</v>
      </c>
      <c r="F8344" s="2" t="s">
        <v>10086</v>
      </c>
      <c r="H8344" s="2">
        <v>1.9E-3</v>
      </c>
      <c r="K8344" s="2" t="s">
        <v>10085</v>
      </c>
    </row>
    <row r="8345" spans="1:11" x14ac:dyDescent="0.2">
      <c r="A8345" s="2">
        <v>2088</v>
      </c>
      <c r="B8345" s="2">
        <v>15</v>
      </c>
      <c r="C8345" s="2">
        <v>88035758</v>
      </c>
      <c r="D8345" s="2">
        <v>89385187</v>
      </c>
      <c r="E8345" s="2">
        <v>3</v>
      </c>
      <c r="F8345" s="2" t="s">
        <v>10086</v>
      </c>
      <c r="H8345" s="2">
        <v>2E-3</v>
      </c>
      <c r="K8345" s="2" t="s">
        <v>10087</v>
      </c>
    </row>
    <row r="8346" spans="1:11" x14ac:dyDescent="0.2">
      <c r="A8346" s="2">
        <v>2088</v>
      </c>
      <c r="B8346" s="2">
        <v>15</v>
      </c>
      <c r="C8346" s="2">
        <v>88035758</v>
      </c>
      <c r="D8346" s="2">
        <v>89385187</v>
      </c>
      <c r="E8346" s="2">
        <v>4</v>
      </c>
      <c r="F8346" s="2" t="s">
        <v>10086</v>
      </c>
      <c r="H8346" s="2">
        <v>1E-3</v>
      </c>
      <c r="K8346" s="2" t="s">
        <v>10089</v>
      </c>
    </row>
    <row r="8347" spans="1:11" x14ac:dyDescent="0.2">
      <c r="A8347" s="2">
        <v>2089</v>
      </c>
      <c r="B8347" s="2">
        <v>15</v>
      </c>
      <c r="C8347" s="2">
        <v>89385188</v>
      </c>
      <c r="D8347" s="2">
        <v>90632718</v>
      </c>
      <c r="E8347" s="2">
        <v>1</v>
      </c>
      <c r="F8347" s="2" t="s">
        <v>10086</v>
      </c>
      <c r="H8347" s="2">
        <v>2.8E-3</v>
      </c>
      <c r="K8347" s="2" t="s">
        <v>10088</v>
      </c>
    </row>
    <row r="8348" spans="1:11" x14ac:dyDescent="0.2">
      <c r="A8348" s="2">
        <v>2089</v>
      </c>
      <c r="B8348" s="2">
        <v>15</v>
      </c>
      <c r="C8348" s="2">
        <v>89385188</v>
      </c>
      <c r="D8348" s="2">
        <v>90632718</v>
      </c>
      <c r="E8348" s="2">
        <v>2</v>
      </c>
      <c r="F8348" s="2" t="s">
        <v>10086</v>
      </c>
      <c r="H8348" s="2">
        <v>2.3999999999999998E-3</v>
      </c>
      <c r="K8348" s="2" t="s">
        <v>12324</v>
      </c>
    </row>
    <row r="8349" spans="1:11" x14ac:dyDescent="0.2">
      <c r="A8349" s="2">
        <v>2089</v>
      </c>
      <c r="B8349" s="2">
        <v>15</v>
      </c>
      <c r="C8349" s="2">
        <v>89385188</v>
      </c>
      <c r="D8349" s="2">
        <v>90632718</v>
      </c>
      <c r="E8349" s="2">
        <v>3</v>
      </c>
      <c r="F8349" s="2" t="s">
        <v>10086</v>
      </c>
      <c r="H8349" s="2">
        <v>1.1000000000000001E-3</v>
      </c>
      <c r="K8349" s="2" t="s">
        <v>10089</v>
      </c>
    </row>
    <row r="8350" spans="1:11" x14ac:dyDescent="0.2">
      <c r="A8350" s="2">
        <v>2089</v>
      </c>
      <c r="B8350" s="2">
        <v>15</v>
      </c>
      <c r="C8350" s="2">
        <v>89385188</v>
      </c>
      <c r="D8350" s="2">
        <v>90632718</v>
      </c>
      <c r="E8350" s="2">
        <v>4</v>
      </c>
      <c r="F8350" s="2" t="s">
        <v>10086</v>
      </c>
      <c r="H8350" s="3">
        <v>8.0000000000000004E-4</v>
      </c>
      <c r="K8350" s="2" t="s">
        <v>10087</v>
      </c>
    </row>
    <row r="8351" spans="1:11" x14ac:dyDescent="0.2">
      <c r="A8351" s="2">
        <v>2090</v>
      </c>
      <c r="B8351" s="2">
        <v>15</v>
      </c>
      <c r="C8351" s="2">
        <v>90632719</v>
      </c>
      <c r="D8351" s="2">
        <v>91593623</v>
      </c>
      <c r="E8351" s="2">
        <v>1</v>
      </c>
      <c r="F8351" s="2" t="s">
        <v>10086</v>
      </c>
      <c r="H8351" s="2">
        <v>4.4999999999999997E-3</v>
      </c>
      <c r="K8351" s="2" t="s">
        <v>10089</v>
      </c>
    </row>
    <row r="8352" spans="1:11" x14ac:dyDescent="0.2">
      <c r="A8352" s="2">
        <v>2090</v>
      </c>
      <c r="B8352" s="2">
        <v>15</v>
      </c>
      <c r="C8352" s="2">
        <v>90632719</v>
      </c>
      <c r="D8352" s="2">
        <v>91593623</v>
      </c>
      <c r="E8352" s="2">
        <v>2</v>
      </c>
      <c r="F8352" s="2" t="s">
        <v>10086</v>
      </c>
      <c r="H8352" s="2">
        <v>1.5E-3</v>
      </c>
      <c r="K8352" s="2" t="s">
        <v>10087</v>
      </c>
    </row>
    <row r="8353" spans="1:11" x14ac:dyDescent="0.2">
      <c r="A8353" s="2">
        <v>2090</v>
      </c>
      <c r="B8353" s="2">
        <v>15</v>
      </c>
      <c r="C8353" s="2">
        <v>90632719</v>
      </c>
      <c r="D8353" s="2">
        <v>91593623</v>
      </c>
      <c r="E8353" s="2">
        <v>3</v>
      </c>
      <c r="F8353" s="2" t="s">
        <v>10086</v>
      </c>
      <c r="H8353" s="3">
        <v>8.9999999999999998E-4</v>
      </c>
      <c r="K8353" s="2" t="s">
        <v>10088</v>
      </c>
    </row>
    <row r="8354" spans="1:11" x14ac:dyDescent="0.2">
      <c r="A8354" s="2">
        <v>2090</v>
      </c>
      <c r="B8354" s="2">
        <v>15</v>
      </c>
      <c r="C8354" s="2">
        <v>90632719</v>
      </c>
      <c r="D8354" s="2">
        <v>91593623</v>
      </c>
      <c r="E8354" s="2">
        <v>4</v>
      </c>
      <c r="F8354" s="2" t="s">
        <v>10086</v>
      </c>
      <c r="H8354" s="3">
        <v>4.0000000000000002E-4</v>
      </c>
      <c r="K8354" s="2" t="s">
        <v>10085</v>
      </c>
    </row>
    <row r="8355" spans="1:11" x14ac:dyDescent="0.2">
      <c r="A8355" s="2">
        <v>2091</v>
      </c>
      <c r="B8355" s="2">
        <v>15</v>
      </c>
      <c r="C8355" s="2">
        <v>91593624</v>
      </c>
      <c r="D8355" s="2">
        <v>92675405</v>
      </c>
      <c r="E8355" s="2">
        <v>1</v>
      </c>
      <c r="F8355" s="2" t="s">
        <v>10086</v>
      </c>
      <c r="H8355" s="2">
        <v>7.4999999999999997E-3</v>
      </c>
      <c r="K8355" s="2" t="s">
        <v>10087</v>
      </c>
    </row>
    <row r="8356" spans="1:11" x14ac:dyDescent="0.2">
      <c r="A8356" s="2">
        <v>2091</v>
      </c>
      <c r="B8356" s="2">
        <v>15</v>
      </c>
      <c r="C8356" s="2">
        <v>91593624</v>
      </c>
      <c r="D8356" s="2">
        <v>92675405</v>
      </c>
      <c r="E8356" s="2">
        <v>2</v>
      </c>
      <c r="F8356" s="2" t="s">
        <v>10086</v>
      </c>
      <c r="H8356" s="2">
        <v>1.5E-3</v>
      </c>
      <c r="K8356" s="2" t="s">
        <v>10085</v>
      </c>
    </row>
    <row r="8357" spans="1:11" x14ac:dyDescent="0.2">
      <c r="A8357" s="2">
        <v>2091</v>
      </c>
      <c r="B8357" s="2">
        <v>15</v>
      </c>
      <c r="C8357" s="2">
        <v>91593624</v>
      </c>
      <c r="D8357" s="2">
        <v>92675405</v>
      </c>
      <c r="E8357" s="2">
        <v>3</v>
      </c>
      <c r="F8357" s="2" t="s">
        <v>10086</v>
      </c>
      <c r="H8357" s="2">
        <v>1.1999999999999999E-3</v>
      </c>
      <c r="K8357" s="2" t="s">
        <v>10088</v>
      </c>
    </row>
    <row r="8358" spans="1:11" x14ac:dyDescent="0.2">
      <c r="A8358" s="2">
        <v>2091</v>
      </c>
      <c r="B8358" s="2">
        <v>15</v>
      </c>
      <c r="C8358" s="2">
        <v>91593624</v>
      </c>
      <c r="D8358" s="2">
        <v>92675405</v>
      </c>
      <c r="E8358" s="2">
        <v>4</v>
      </c>
      <c r="F8358" s="2" t="s">
        <v>10086</v>
      </c>
      <c r="H8358" s="3">
        <v>5.0000000000000001E-4</v>
      </c>
      <c r="K8358" s="2" t="s">
        <v>10089</v>
      </c>
    </row>
    <row r="8359" spans="1:11" x14ac:dyDescent="0.2">
      <c r="A8359" s="2">
        <v>2092</v>
      </c>
      <c r="B8359" s="2">
        <v>15</v>
      </c>
      <c r="C8359" s="2">
        <v>92675406</v>
      </c>
      <c r="D8359" s="2">
        <v>93707010</v>
      </c>
      <c r="E8359" s="2">
        <v>1</v>
      </c>
      <c r="F8359" s="2" t="s">
        <v>10086</v>
      </c>
      <c r="H8359" s="2">
        <v>5.1000000000000004E-3</v>
      </c>
      <c r="K8359" s="2" t="s">
        <v>12324</v>
      </c>
    </row>
    <row r="8360" spans="1:11" x14ac:dyDescent="0.2">
      <c r="A8360" s="2">
        <v>2092</v>
      </c>
      <c r="B8360" s="2">
        <v>15</v>
      </c>
      <c r="C8360" s="2">
        <v>92675406</v>
      </c>
      <c r="D8360" s="2">
        <v>93707010</v>
      </c>
      <c r="E8360" s="2">
        <v>2</v>
      </c>
      <c r="F8360" s="2" t="s">
        <v>10086</v>
      </c>
      <c r="H8360" s="2">
        <v>2.2000000000000001E-3</v>
      </c>
      <c r="K8360" s="2" t="s">
        <v>10089</v>
      </c>
    </row>
    <row r="8361" spans="1:11" x14ac:dyDescent="0.2">
      <c r="A8361" s="2">
        <v>2092</v>
      </c>
      <c r="B8361" s="2">
        <v>15</v>
      </c>
      <c r="C8361" s="2">
        <v>92675406</v>
      </c>
      <c r="D8361" s="2">
        <v>93707010</v>
      </c>
      <c r="E8361" s="2">
        <v>3</v>
      </c>
      <c r="F8361" s="2" t="s">
        <v>10086</v>
      </c>
      <c r="H8361" s="2">
        <v>1.1999999999999999E-3</v>
      </c>
      <c r="K8361" s="2" t="s">
        <v>10085</v>
      </c>
    </row>
    <row r="8362" spans="1:11" x14ac:dyDescent="0.2">
      <c r="A8362" s="2">
        <v>2092</v>
      </c>
      <c r="B8362" s="2">
        <v>15</v>
      </c>
      <c r="C8362" s="2">
        <v>92675406</v>
      </c>
      <c r="D8362" s="2">
        <v>93707010</v>
      </c>
      <c r="E8362" s="2">
        <v>4</v>
      </c>
      <c r="F8362" s="2" t="s">
        <v>10086</v>
      </c>
      <c r="H8362" s="2">
        <v>1.1000000000000001E-3</v>
      </c>
      <c r="K8362" s="2" t="s">
        <v>10087</v>
      </c>
    </row>
    <row r="8363" spans="1:11" x14ac:dyDescent="0.2">
      <c r="A8363" s="2">
        <v>2093</v>
      </c>
      <c r="B8363" s="2">
        <v>15</v>
      </c>
      <c r="C8363" s="2">
        <v>93707011</v>
      </c>
      <c r="D8363" s="2">
        <v>94565521</v>
      </c>
      <c r="E8363" s="2">
        <v>1</v>
      </c>
      <c r="F8363" s="2" t="s">
        <v>10086</v>
      </c>
      <c r="H8363" s="2">
        <v>1.1000000000000001E-3</v>
      </c>
      <c r="K8363" s="2" t="s">
        <v>10085</v>
      </c>
    </row>
    <row r="8364" spans="1:11" x14ac:dyDescent="0.2">
      <c r="A8364" s="2">
        <v>2093</v>
      </c>
      <c r="B8364" s="2">
        <v>15</v>
      </c>
      <c r="C8364" s="2">
        <v>93707011</v>
      </c>
      <c r="D8364" s="2">
        <v>94565521</v>
      </c>
      <c r="E8364" s="2">
        <v>2</v>
      </c>
      <c r="F8364" s="2" t="s">
        <v>10086</v>
      </c>
      <c r="H8364" s="2">
        <v>1.5E-3</v>
      </c>
      <c r="K8364" s="2" t="s">
        <v>10088</v>
      </c>
    </row>
    <row r="8365" spans="1:11" x14ac:dyDescent="0.2">
      <c r="A8365" s="2">
        <v>2093</v>
      </c>
      <c r="B8365" s="2">
        <v>15</v>
      </c>
      <c r="C8365" s="2">
        <v>93707011</v>
      </c>
      <c r="D8365" s="2">
        <v>94565521</v>
      </c>
      <c r="E8365" s="2">
        <v>3</v>
      </c>
      <c r="F8365" s="2" t="s">
        <v>10086</v>
      </c>
      <c r="H8365" s="2">
        <v>1E-3</v>
      </c>
      <c r="K8365" s="2" t="s">
        <v>10089</v>
      </c>
    </row>
    <row r="8366" spans="1:11" x14ac:dyDescent="0.2">
      <c r="A8366" s="2">
        <v>2093</v>
      </c>
      <c r="B8366" s="2">
        <v>15</v>
      </c>
      <c r="C8366" s="2">
        <v>93707011</v>
      </c>
      <c r="D8366" s="2">
        <v>94565521</v>
      </c>
      <c r="E8366" s="2">
        <v>4</v>
      </c>
      <c r="F8366" s="2" t="s">
        <v>10086</v>
      </c>
      <c r="H8366" s="3">
        <v>6.9999999999999999E-4</v>
      </c>
      <c r="K8366" s="2" t="s">
        <v>10087</v>
      </c>
    </row>
    <row r="8367" spans="1:11" x14ac:dyDescent="0.2">
      <c r="A8367" s="2">
        <v>2094</v>
      </c>
      <c r="B8367" s="2">
        <v>15</v>
      </c>
      <c r="C8367" s="2">
        <v>94565522</v>
      </c>
      <c r="D8367" s="2">
        <v>95662425</v>
      </c>
      <c r="E8367" s="2">
        <v>1</v>
      </c>
      <c r="F8367" s="2" t="s">
        <v>10086</v>
      </c>
      <c r="H8367" s="2">
        <v>1.6000000000000001E-3</v>
      </c>
      <c r="K8367" s="2" t="s">
        <v>10085</v>
      </c>
    </row>
    <row r="8368" spans="1:11" x14ac:dyDescent="0.2">
      <c r="A8368" s="2">
        <v>2094</v>
      </c>
      <c r="B8368" s="2">
        <v>15</v>
      </c>
      <c r="C8368" s="2">
        <v>94565522</v>
      </c>
      <c r="D8368" s="2">
        <v>95662425</v>
      </c>
      <c r="E8368" s="2">
        <v>2</v>
      </c>
      <c r="F8368" s="2" t="s">
        <v>10086</v>
      </c>
      <c r="H8368" s="2">
        <v>1.6999999999999999E-3</v>
      </c>
      <c r="K8368" s="2" t="s">
        <v>10087</v>
      </c>
    </row>
    <row r="8369" spans="1:11" x14ac:dyDescent="0.2">
      <c r="A8369" s="2">
        <v>2094</v>
      </c>
      <c r="B8369" s="2">
        <v>15</v>
      </c>
      <c r="C8369" s="2">
        <v>94565522</v>
      </c>
      <c r="D8369" s="2">
        <v>95662425</v>
      </c>
      <c r="E8369" s="2">
        <v>3</v>
      </c>
      <c r="F8369" s="2" t="s">
        <v>10086</v>
      </c>
      <c r="H8369" s="2">
        <v>1E-3</v>
      </c>
      <c r="K8369" s="2" t="s">
        <v>10089</v>
      </c>
    </row>
    <row r="8370" spans="1:11" x14ac:dyDescent="0.2">
      <c r="A8370" s="2">
        <v>2094</v>
      </c>
      <c r="B8370" s="2">
        <v>15</v>
      </c>
      <c r="C8370" s="2">
        <v>94565522</v>
      </c>
      <c r="D8370" s="2">
        <v>95662425</v>
      </c>
      <c r="E8370" s="2">
        <v>4</v>
      </c>
      <c r="F8370" s="2" t="s">
        <v>10086</v>
      </c>
      <c r="H8370" s="3">
        <v>5.0000000000000001E-4</v>
      </c>
      <c r="K8370" s="2" t="s">
        <v>10088</v>
      </c>
    </row>
    <row r="8371" spans="1:11" x14ac:dyDescent="0.2">
      <c r="A8371" s="2">
        <v>2095</v>
      </c>
      <c r="B8371" s="2">
        <v>15</v>
      </c>
      <c r="C8371" s="2">
        <v>95662426</v>
      </c>
      <c r="D8371" s="2">
        <v>96864278</v>
      </c>
      <c r="E8371" s="2">
        <v>1</v>
      </c>
      <c r="F8371" s="2" t="s">
        <v>10086</v>
      </c>
      <c r="H8371" s="2">
        <v>1.9E-3</v>
      </c>
      <c r="K8371" s="2" t="s">
        <v>10085</v>
      </c>
    </row>
    <row r="8372" spans="1:11" x14ac:dyDescent="0.2">
      <c r="A8372" s="2">
        <v>2095</v>
      </c>
      <c r="B8372" s="2">
        <v>15</v>
      </c>
      <c r="C8372" s="2">
        <v>95662426</v>
      </c>
      <c r="D8372" s="2">
        <v>96864278</v>
      </c>
      <c r="E8372" s="2">
        <v>2</v>
      </c>
      <c r="F8372" s="2" t="s">
        <v>10086</v>
      </c>
      <c r="H8372" s="2">
        <v>2.2000000000000001E-3</v>
      </c>
      <c r="K8372" s="2" t="s">
        <v>12324</v>
      </c>
    </row>
    <row r="8373" spans="1:11" x14ac:dyDescent="0.2">
      <c r="A8373" s="2">
        <v>2095</v>
      </c>
      <c r="B8373" s="2">
        <v>15</v>
      </c>
      <c r="C8373" s="2">
        <v>95662426</v>
      </c>
      <c r="D8373" s="2">
        <v>96864278</v>
      </c>
      <c r="E8373" s="2">
        <v>3</v>
      </c>
      <c r="F8373" s="2" t="s">
        <v>10086</v>
      </c>
      <c r="H8373" s="2">
        <v>1.4E-3</v>
      </c>
      <c r="K8373" s="2" t="s">
        <v>10088</v>
      </c>
    </row>
    <row r="8374" spans="1:11" x14ac:dyDescent="0.2">
      <c r="A8374" s="2">
        <v>2095</v>
      </c>
      <c r="B8374" s="2">
        <v>15</v>
      </c>
      <c r="C8374" s="2">
        <v>95662426</v>
      </c>
      <c r="D8374" s="2">
        <v>96864278</v>
      </c>
      <c r="E8374" s="2">
        <v>4</v>
      </c>
      <c r="F8374" s="2" t="s">
        <v>10086</v>
      </c>
      <c r="H8374" s="2">
        <v>1.1999999999999999E-3</v>
      </c>
      <c r="K8374" s="2" t="s">
        <v>10089</v>
      </c>
    </row>
    <row r="8375" spans="1:11" x14ac:dyDescent="0.2">
      <c r="A8375" s="2">
        <v>2096</v>
      </c>
      <c r="B8375" s="2">
        <v>15</v>
      </c>
      <c r="C8375" s="2">
        <v>96864279</v>
      </c>
      <c r="D8375" s="2">
        <v>98025684</v>
      </c>
      <c r="E8375" s="2">
        <v>1</v>
      </c>
      <c r="F8375" s="2" t="s">
        <v>10086</v>
      </c>
      <c r="H8375" s="2">
        <v>1.6000000000000001E-3</v>
      </c>
      <c r="K8375" s="2" t="s">
        <v>10088</v>
      </c>
    </row>
    <row r="8376" spans="1:11" x14ac:dyDescent="0.2">
      <c r="A8376" s="2">
        <v>2096</v>
      </c>
      <c r="B8376" s="2">
        <v>15</v>
      </c>
      <c r="C8376" s="2">
        <v>96864279</v>
      </c>
      <c r="D8376" s="2">
        <v>98025684</v>
      </c>
      <c r="E8376" s="2">
        <v>2</v>
      </c>
      <c r="F8376" s="2" t="s">
        <v>10086</v>
      </c>
      <c r="H8376" s="2">
        <v>1.5E-3</v>
      </c>
      <c r="K8376" s="2" t="s">
        <v>10087</v>
      </c>
    </row>
    <row r="8377" spans="1:11" x14ac:dyDescent="0.2">
      <c r="A8377" s="2">
        <v>2096</v>
      </c>
      <c r="B8377" s="2">
        <v>15</v>
      </c>
      <c r="C8377" s="2">
        <v>96864279</v>
      </c>
      <c r="D8377" s="2">
        <v>98025684</v>
      </c>
      <c r="E8377" s="2">
        <v>3</v>
      </c>
      <c r="F8377" s="2" t="s">
        <v>10086</v>
      </c>
      <c r="H8377" s="2">
        <v>1.1999999999999999E-3</v>
      </c>
      <c r="K8377" s="2" t="s">
        <v>10085</v>
      </c>
    </row>
    <row r="8378" spans="1:11" x14ac:dyDescent="0.2">
      <c r="A8378" s="2">
        <v>2096</v>
      </c>
      <c r="B8378" s="2">
        <v>15</v>
      </c>
      <c r="C8378" s="2">
        <v>96864279</v>
      </c>
      <c r="D8378" s="2">
        <v>98025684</v>
      </c>
      <c r="E8378" s="2">
        <v>4</v>
      </c>
      <c r="F8378" s="2" t="s">
        <v>10086</v>
      </c>
      <c r="H8378" s="3">
        <v>5.0000000000000001E-4</v>
      </c>
      <c r="K8378" s="2" t="s">
        <v>10089</v>
      </c>
    </row>
    <row r="8379" spans="1:11" x14ac:dyDescent="0.2">
      <c r="A8379" s="2">
        <v>2097</v>
      </c>
      <c r="B8379" s="2">
        <v>15</v>
      </c>
      <c r="C8379" s="2">
        <v>98025685</v>
      </c>
      <c r="D8379" s="2">
        <v>98828261</v>
      </c>
      <c r="E8379" s="2">
        <v>1</v>
      </c>
      <c r="F8379" s="2" t="s">
        <v>10086</v>
      </c>
      <c r="H8379" s="2">
        <v>2.7000000000000001E-3</v>
      </c>
      <c r="K8379" s="2" t="s">
        <v>10088</v>
      </c>
    </row>
    <row r="8380" spans="1:11" x14ac:dyDescent="0.2">
      <c r="A8380" s="2">
        <v>2097</v>
      </c>
      <c r="B8380" s="2">
        <v>15</v>
      </c>
      <c r="C8380" s="2">
        <v>98025685</v>
      </c>
      <c r="D8380" s="2">
        <v>98828261</v>
      </c>
      <c r="E8380" s="2">
        <v>2</v>
      </c>
      <c r="F8380" s="2" t="s">
        <v>10086</v>
      </c>
      <c r="H8380" s="2">
        <v>4.4000000000000003E-3</v>
      </c>
      <c r="K8380" s="2" t="s">
        <v>10087</v>
      </c>
    </row>
    <row r="8381" spans="1:11" x14ac:dyDescent="0.2">
      <c r="A8381" s="2">
        <v>2097</v>
      </c>
      <c r="B8381" s="2">
        <v>15</v>
      </c>
      <c r="C8381" s="2">
        <v>98025685</v>
      </c>
      <c r="D8381" s="2">
        <v>98828261</v>
      </c>
      <c r="E8381" s="2">
        <v>3</v>
      </c>
      <c r="F8381" s="2" t="s">
        <v>10086</v>
      </c>
      <c r="H8381" s="2">
        <v>1E-3</v>
      </c>
      <c r="K8381" s="2" t="s">
        <v>10089</v>
      </c>
    </row>
    <row r="8382" spans="1:11" x14ac:dyDescent="0.2">
      <c r="A8382" s="2">
        <v>2097</v>
      </c>
      <c r="B8382" s="2">
        <v>15</v>
      </c>
      <c r="C8382" s="2">
        <v>98025685</v>
      </c>
      <c r="D8382" s="2">
        <v>98828261</v>
      </c>
      <c r="E8382" s="2">
        <v>4</v>
      </c>
      <c r="F8382" s="2" t="s">
        <v>10086</v>
      </c>
      <c r="H8382" s="3">
        <v>8.9999999999999998E-4</v>
      </c>
      <c r="K8382" s="2" t="s">
        <v>12324</v>
      </c>
    </row>
    <row r="8383" spans="1:11" x14ac:dyDescent="0.2">
      <c r="A8383" s="2">
        <v>2098</v>
      </c>
      <c r="B8383" s="2">
        <v>15</v>
      </c>
      <c r="C8383" s="2">
        <v>98828262</v>
      </c>
      <c r="D8383" s="2">
        <v>99925972</v>
      </c>
      <c r="E8383" s="2">
        <v>1</v>
      </c>
      <c r="F8383" s="2" t="s">
        <v>10086</v>
      </c>
      <c r="H8383" s="2">
        <v>1.6000000000000001E-3</v>
      </c>
      <c r="K8383" s="2" t="s">
        <v>10085</v>
      </c>
    </row>
    <row r="8384" spans="1:11" x14ac:dyDescent="0.2">
      <c r="A8384" s="2">
        <v>2098</v>
      </c>
      <c r="B8384" s="2">
        <v>15</v>
      </c>
      <c r="C8384" s="2">
        <v>98828262</v>
      </c>
      <c r="D8384" s="2">
        <v>99925972</v>
      </c>
      <c r="E8384" s="2">
        <v>2</v>
      </c>
      <c r="F8384" s="2" t="s">
        <v>10086</v>
      </c>
      <c r="H8384" s="2">
        <v>1.5E-3</v>
      </c>
      <c r="K8384" s="2" t="s">
        <v>10087</v>
      </c>
    </row>
    <row r="8385" spans="1:11" x14ac:dyDescent="0.2">
      <c r="A8385" s="2">
        <v>2098</v>
      </c>
      <c r="B8385" s="2">
        <v>15</v>
      </c>
      <c r="C8385" s="2">
        <v>98828262</v>
      </c>
      <c r="D8385" s="2">
        <v>99925972</v>
      </c>
      <c r="E8385" s="2">
        <v>3</v>
      </c>
      <c r="F8385" s="2" t="s">
        <v>10086</v>
      </c>
      <c r="H8385" s="2">
        <v>1E-3</v>
      </c>
      <c r="K8385" s="2" t="s">
        <v>10088</v>
      </c>
    </row>
    <row r="8386" spans="1:11" x14ac:dyDescent="0.2">
      <c r="A8386" s="2">
        <v>2098</v>
      </c>
      <c r="B8386" s="2">
        <v>15</v>
      </c>
      <c r="C8386" s="2">
        <v>98828262</v>
      </c>
      <c r="D8386" s="2">
        <v>99925972</v>
      </c>
      <c r="E8386" s="2">
        <v>4</v>
      </c>
      <c r="F8386" s="2" t="s">
        <v>10086</v>
      </c>
      <c r="H8386" s="3">
        <v>4.0000000000000002E-4</v>
      </c>
      <c r="K8386" s="2" t="s">
        <v>10089</v>
      </c>
    </row>
    <row r="8387" spans="1:11" x14ac:dyDescent="0.2">
      <c r="A8387" s="2">
        <v>2099</v>
      </c>
      <c r="B8387" s="2">
        <v>15</v>
      </c>
      <c r="C8387" s="2">
        <v>99925973</v>
      </c>
      <c r="D8387" s="2">
        <v>100742117</v>
      </c>
      <c r="E8387" s="2">
        <v>1</v>
      </c>
      <c r="F8387" s="2" t="s">
        <v>10086</v>
      </c>
      <c r="H8387" s="2">
        <v>4.4000000000000003E-3</v>
      </c>
      <c r="K8387" s="2" t="s">
        <v>12324</v>
      </c>
    </row>
    <row r="8388" spans="1:11" x14ac:dyDescent="0.2">
      <c r="A8388" s="2">
        <v>2099</v>
      </c>
      <c r="B8388" s="2">
        <v>15</v>
      </c>
      <c r="C8388" s="2">
        <v>99925973</v>
      </c>
      <c r="D8388" s="2">
        <v>100742117</v>
      </c>
      <c r="E8388" s="2">
        <v>2</v>
      </c>
      <c r="F8388" s="2" t="s">
        <v>10086</v>
      </c>
      <c r="H8388" s="2">
        <v>2.2000000000000001E-3</v>
      </c>
      <c r="K8388" s="2" t="s">
        <v>10088</v>
      </c>
    </row>
    <row r="8389" spans="1:11" x14ac:dyDescent="0.2">
      <c r="A8389" s="2">
        <v>2099</v>
      </c>
      <c r="B8389" s="2">
        <v>15</v>
      </c>
      <c r="C8389" s="2">
        <v>99925973</v>
      </c>
      <c r="D8389" s="2">
        <v>100742117</v>
      </c>
      <c r="E8389" s="2">
        <v>3</v>
      </c>
      <c r="F8389" s="2" t="s">
        <v>10086</v>
      </c>
      <c r="H8389" s="2">
        <v>1.5E-3</v>
      </c>
      <c r="K8389" s="2" t="s">
        <v>10085</v>
      </c>
    </row>
    <row r="8390" spans="1:11" x14ac:dyDescent="0.2">
      <c r="A8390" s="2">
        <v>2099</v>
      </c>
      <c r="B8390" s="2">
        <v>15</v>
      </c>
      <c r="C8390" s="2">
        <v>99925973</v>
      </c>
      <c r="D8390" s="2">
        <v>100742117</v>
      </c>
      <c r="E8390" s="2">
        <v>4</v>
      </c>
      <c r="F8390" s="2" t="s">
        <v>10086</v>
      </c>
      <c r="H8390" s="2">
        <v>1E-3</v>
      </c>
      <c r="K8390" s="2" t="s">
        <v>10089</v>
      </c>
    </row>
    <row r="8391" spans="1:11" x14ac:dyDescent="0.2">
      <c r="A8391" s="2">
        <v>2100</v>
      </c>
      <c r="B8391" s="2">
        <v>15</v>
      </c>
      <c r="C8391" s="2">
        <v>100742118</v>
      </c>
      <c r="D8391" s="2">
        <v>101550750</v>
      </c>
      <c r="E8391" s="2">
        <v>1</v>
      </c>
      <c r="F8391" s="2" t="s">
        <v>10086</v>
      </c>
      <c r="H8391" s="2">
        <v>2.24E-2</v>
      </c>
      <c r="K8391" s="2" t="s">
        <v>10087</v>
      </c>
    </row>
    <row r="8392" spans="1:11" x14ac:dyDescent="0.2">
      <c r="A8392" s="2">
        <v>2100</v>
      </c>
      <c r="B8392" s="2">
        <v>15</v>
      </c>
      <c r="C8392" s="2">
        <v>100742118</v>
      </c>
      <c r="D8392" s="2">
        <v>101550750</v>
      </c>
      <c r="E8392" s="2">
        <v>2</v>
      </c>
      <c r="F8392" s="2" t="s">
        <v>10086</v>
      </c>
      <c r="H8392" s="2">
        <v>1.6000000000000001E-3</v>
      </c>
      <c r="K8392" s="2" t="s">
        <v>10089</v>
      </c>
    </row>
    <row r="8393" spans="1:11" x14ac:dyDescent="0.2">
      <c r="A8393" s="2">
        <v>2100</v>
      </c>
      <c r="B8393" s="2">
        <v>15</v>
      </c>
      <c r="C8393" s="2">
        <v>100742118</v>
      </c>
      <c r="D8393" s="2">
        <v>101550750</v>
      </c>
      <c r="E8393" s="2">
        <v>3</v>
      </c>
      <c r="F8393" s="2" t="s">
        <v>10086</v>
      </c>
      <c r="H8393" s="2">
        <v>1.4E-3</v>
      </c>
      <c r="K8393" s="2" t="s">
        <v>12324</v>
      </c>
    </row>
    <row r="8394" spans="1:11" x14ac:dyDescent="0.2">
      <c r="A8394" s="2">
        <v>2100</v>
      </c>
      <c r="B8394" s="2">
        <v>15</v>
      </c>
      <c r="C8394" s="2">
        <v>100742118</v>
      </c>
      <c r="D8394" s="2">
        <v>101550750</v>
      </c>
      <c r="E8394" s="2">
        <v>4</v>
      </c>
      <c r="F8394" s="2" t="s">
        <v>10086</v>
      </c>
      <c r="H8394" s="3">
        <v>8.9999999999999998E-4</v>
      </c>
      <c r="K8394" s="2" t="s">
        <v>10088</v>
      </c>
    </row>
    <row r="8395" spans="1:11" x14ac:dyDescent="0.2">
      <c r="A8395" s="2">
        <v>2101</v>
      </c>
      <c r="B8395" s="2">
        <v>15</v>
      </c>
      <c r="C8395" s="2">
        <v>101550751</v>
      </c>
      <c r="D8395" s="2">
        <v>102520975</v>
      </c>
      <c r="E8395" s="2">
        <v>1</v>
      </c>
      <c r="F8395" s="2" t="s">
        <v>10086</v>
      </c>
      <c r="H8395" s="2">
        <v>2.5999999999999999E-3</v>
      </c>
      <c r="K8395" s="2" t="s">
        <v>10087</v>
      </c>
    </row>
    <row r="8396" spans="1:11" x14ac:dyDescent="0.2">
      <c r="A8396" s="2">
        <v>2101</v>
      </c>
      <c r="B8396" s="2">
        <v>15</v>
      </c>
      <c r="C8396" s="2">
        <v>101550751</v>
      </c>
      <c r="D8396" s="2">
        <v>102520975</v>
      </c>
      <c r="E8396" s="2">
        <v>2</v>
      </c>
      <c r="F8396" s="2" t="s">
        <v>10086</v>
      </c>
      <c r="H8396" s="2">
        <v>9.4999999999999998E-3</v>
      </c>
      <c r="K8396" s="2" t="s">
        <v>12324</v>
      </c>
    </row>
    <row r="8397" spans="1:11" x14ac:dyDescent="0.2">
      <c r="A8397" s="2">
        <v>2101</v>
      </c>
      <c r="B8397" s="2">
        <v>15</v>
      </c>
      <c r="C8397" s="2">
        <v>101550751</v>
      </c>
      <c r="D8397" s="2">
        <v>102520975</v>
      </c>
      <c r="E8397" s="2">
        <v>3</v>
      </c>
      <c r="F8397" s="2" t="s">
        <v>10086</v>
      </c>
      <c r="H8397" s="2">
        <v>1.2999999999999999E-3</v>
      </c>
      <c r="K8397" s="2" t="s">
        <v>10088</v>
      </c>
    </row>
    <row r="8398" spans="1:11" x14ac:dyDescent="0.2">
      <c r="A8398" s="2">
        <v>2101</v>
      </c>
      <c r="B8398" s="2">
        <v>15</v>
      </c>
      <c r="C8398" s="2">
        <v>101550751</v>
      </c>
      <c r="D8398" s="2">
        <v>102520975</v>
      </c>
      <c r="E8398" s="2">
        <v>4</v>
      </c>
      <c r="F8398" s="2" t="s">
        <v>10086</v>
      </c>
      <c r="H8398" s="2">
        <v>1E-3</v>
      </c>
      <c r="K8398" s="2" t="s">
        <v>10085</v>
      </c>
    </row>
    <row r="8399" spans="1:11" x14ac:dyDescent="0.2">
      <c r="A8399" s="2">
        <v>2102</v>
      </c>
      <c r="B8399" s="2">
        <v>16</v>
      </c>
      <c r="C8399" s="2">
        <v>60169</v>
      </c>
      <c r="D8399" s="2">
        <v>1049079</v>
      </c>
      <c r="E8399" s="2">
        <v>1</v>
      </c>
      <c r="F8399" s="2" t="s">
        <v>10086</v>
      </c>
      <c r="H8399" s="2">
        <v>2.2000000000000001E-3</v>
      </c>
      <c r="K8399" s="2" t="s">
        <v>10085</v>
      </c>
    </row>
    <row r="8400" spans="1:11" x14ac:dyDescent="0.2">
      <c r="A8400" s="2">
        <v>2102</v>
      </c>
      <c r="B8400" s="2">
        <v>16</v>
      </c>
      <c r="C8400" s="2">
        <v>60169</v>
      </c>
      <c r="D8400" s="2">
        <v>1049079</v>
      </c>
      <c r="E8400" s="2">
        <v>2</v>
      </c>
      <c r="F8400" s="2" t="s">
        <v>10086</v>
      </c>
      <c r="H8400" s="2">
        <v>1.1999999999999999E-3</v>
      </c>
      <c r="K8400" s="2" t="s">
        <v>10089</v>
      </c>
    </row>
    <row r="8401" spans="1:11" x14ac:dyDescent="0.2">
      <c r="A8401" s="2">
        <v>2102</v>
      </c>
      <c r="B8401" s="2">
        <v>16</v>
      </c>
      <c r="C8401" s="2">
        <v>60169</v>
      </c>
      <c r="D8401" s="2">
        <v>1049079</v>
      </c>
      <c r="E8401" s="2">
        <v>3</v>
      </c>
      <c r="F8401" s="2" t="s">
        <v>10086</v>
      </c>
      <c r="H8401" s="2">
        <v>1.1000000000000001E-3</v>
      </c>
      <c r="K8401" s="2" t="s">
        <v>10088</v>
      </c>
    </row>
    <row r="8402" spans="1:11" x14ac:dyDescent="0.2">
      <c r="A8402" s="2">
        <v>2102</v>
      </c>
      <c r="B8402" s="2">
        <v>16</v>
      </c>
      <c r="C8402" s="2">
        <v>60169</v>
      </c>
      <c r="D8402" s="2">
        <v>1049079</v>
      </c>
      <c r="E8402" s="2">
        <v>4</v>
      </c>
      <c r="F8402" s="2" t="s">
        <v>10086</v>
      </c>
      <c r="H8402" s="3">
        <v>5.9999999999999995E-4</v>
      </c>
      <c r="K8402" s="2" t="s">
        <v>10087</v>
      </c>
    </row>
    <row r="8403" spans="1:11" x14ac:dyDescent="0.2">
      <c r="A8403" s="2">
        <v>2103</v>
      </c>
      <c r="B8403" s="2">
        <v>16</v>
      </c>
      <c r="C8403" s="2">
        <v>1049080</v>
      </c>
      <c r="D8403" s="2">
        <v>1996492</v>
      </c>
      <c r="E8403" s="2">
        <v>1</v>
      </c>
      <c r="F8403" s="2" t="s">
        <v>10086</v>
      </c>
      <c r="H8403" s="2">
        <v>1.4E-3</v>
      </c>
      <c r="K8403" s="2" t="s">
        <v>10088</v>
      </c>
    </row>
    <row r="8404" spans="1:11" x14ac:dyDescent="0.2">
      <c r="A8404" s="2">
        <v>2103</v>
      </c>
      <c r="B8404" s="2">
        <v>16</v>
      </c>
      <c r="C8404" s="2">
        <v>1049080</v>
      </c>
      <c r="D8404" s="2">
        <v>1996492</v>
      </c>
      <c r="E8404" s="2">
        <v>2</v>
      </c>
      <c r="F8404" s="2" t="s">
        <v>10086</v>
      </c>
      <c r="H8404" s="2">
        <v>1E-3</v>
      </c>
      <c r="K8404" s="2" t="s">
        <v>10085</v>
      </c>
    </row>
    <row r="8405" spans="1:11" x14ac:dyDescent="0.2">
      <c r="A8405" s="2">
        <v>2103</v>
      </c>
      <c r="B8405" s="2">
        <v>16</v>
      </c>
      <c r="C8405" s="2">
        <v>1049080</v>
      </c>
      <c r="D8405" s="2">
        <v>1996492</v>
      </c>
      <c r="E8405" s="2">
        <v>3</v>
      </c>
      <c r="F8405" s="2" t="s">
        <v>10086</v>
      </c>
      <c r="H8405" s="3">
        <v>8.9999999999999998E-4</v>
      </c>
      <c r="K8405" s="2" t="s">
        <v>10087</v>
      </c>
    </row>
    <row r="8406" spans="1:11" x14ac:dyDescent="0.2">
      <c r="A8406" s="2">
        <v>2103</v>
      </c>
      <c r="B8406" s="2">
        <v>16</v>
      </c>
      <c r="C8406" s="2">
        <v>1049080</v>
      </c>
      <c r="D8406" s="2">
        <v>1996492</v>
      </c>
      <c r="E8406" s="2">
        <v>4</v>
      </c>
      <c r="F8406" s="2" t="s">
        <v>10086</v>
      </c>
      <c r="H8406" s="3">
        <v>5.0000000000000001E-4</v>
      </c>
      <c r="K8406" s="2" t="s">
        <v>10089</v>
      </c>
    </row>
    <row r="8407" spans="1:11" x14ac:dyDescent="0.2">
      <c r="A8407" s="2">
        <v>2104</v>
      </c>
      <c r="B8407" s="2">
        <v>16</v>
      </c>
      <c r="C8407" s="2">
        <v>1996493</v>
      </c>
      <c r="D8407" s="2">
        <v>3379996</v>
      </c>
      <c r="E8407" s="2">
        <v>1</v>
      </c>
      <c r="F8407" s="2" t="s">
        <v>10086</v>
      </c>
      <c r="H8407" s="2">
        <v>1.8E-3</v>
      </c>
      <c r="K8407" s="2" t="s">
        <v>10089</v>
      </c>
    </row>
    <row r="8408" spans="1:11" x14ac:dyDescent="0.2">
      <c r="A8408" s="2">
        <v>2104</v>
      </c>
      <c r="B8408" s="2">
        <v>16</v>
      </c>
      <c r="C8408" s="2">
        <v>1996493</v>
      </c>
      <c r="D8408" s="2">
        <v>3379996</v>
      </c>
      <c r="E8408" s="2">
        <v>2</v>
      </c>
      <c r="F8408" s="2" t="s">
        <v>10086</v>
      </c>
      <c r="H8408" s="2">
        <v>2E-3</v>
      </c>
      <c r="K8408" s="2" t="s">
        <v>10085</v>
      </c>
    </row>
    <row r="8409" spans="1:11" x14ac:dyDescent="0.2">
      <c r="A8409" s="2">
        <v>2104</v>
      </c>
      <c r="B8409" s="2">
        <v>16</v>
      </c>
      <c r="C8409" s="2">
        <v>1996493</v>
      </c>
      <c r="D8409" s="2">
        <v>3379996</v>
      </c>
      <c r="E8409" s="2">
        <v>3</v>
      </c>
      <c r="F8409" s="2" t="s">
        <v>10086</v>
      </c>
      <c r="H8409" s="2">
        <v>2.2000000000000001E-3</v>
      </c>
      <c r="K8409" s="2" t="s">
        <v>10088</v>
      </c>
    </row>
    <row r="8410" spans="1:11" x14ac:dyDescent="0.2">
      <c r="A8410" s="2">
        <v>2104</v>
      </c>
      <c r="B8410" s="2">
        <v>16</v>
      </c>
      <c r="C8410" s="2">
        <v>1996493</v>
      </c>
      <c r="D8410" s="2">
        <v>3379996</v>
      </c>
      <c r="E8410" s="2">
        <v>4</v>
      </c>
      <c r="F8410" s="2" t="s">
        <v>10086</v>
      </c>
      <c r="H8410" s="3">
        <v>8.9999999999999998E-4</v>
      </c>
      <c r="K8410" s="2" t="s">
        <v>12324</v>
      </c>
    </row>
    <row r="8411" spans="1:11" x14ac:dyDescent="0.2">
      <c r="A8411" s="2">
        <v>2105</v>
      </c>
      <c r="B8411" s="2">
        <v>16</v>
      </c>
      <c r="C8411" s="2">
        <v>3379997</v>
      </c>
      <c r="D8411" s="2">
        <v>4816145</v>
      </c>
      <c r="E8411" s="2">
        <v>1</v>
      </c>
      <c r="F8411" s="2" t="s">
        <v>10086</v>
      </c>
      <c r="H8411" s="2">
        <v>1.9E-3</v>
      </c>
      <c r="K8411" s="2" t="s">
        <v>10088</v>
      </c>
    </row>
    <row r="8412" spans="1:11" x14ac:dyDescent="0.2">
      <c r="A8412" s="2">
        <v>2105</v>
      </c>
      <c r="B8412" s="2">
        <v>16</v>
      </c>
      <c r="C8412" s="2">
        <v>3379997</v>
      </c>
      <c r="D8412" s="2">
        <v>4816145</v>
      </c>
      <c r="E8412" s="2">
        <v>2</v>
      </c>
      <c r="F8412" s="2" t="s">
        <v>10086</v>
      </c>
      <c r="H8412" s="2">
        <v>3.7000000000000002E-3</v>
      </c>
      <c r="K8412" s="2" t="s">
        <v>10089</v>
      </c>
    </row>
    <row r="8413" spans="1:11" x14ac:dyDescent="0.2">
      <c r="A8413" s="2">
        <v>2105</v>
      </c>
      <c r="B8413" s="2">
        <v>16</v>
      </c>
      <c r="C8413" s="2">
        <v>3379997</v>
      </c>
      <c r="D8413" s="2">
        <v>4816145</v>
      </c>
      <c r="E8413" s="2">
        <v>3</v>
      </c>
      <c r="F8413" s="2" t="s">
        <v>10086</v>
      </c>
      <c r="H8413" s="2">
        <v>1.5E-3</v>
      </c>
      <c r="K8413" s="2" t="s">
        <v>10087</v>
      </c>
    </row>
    <row r="8414" spans="1:11" x14ac:dyDescent="0.2">
      <c r="A8414" s="2">
        <v>2105</v>
      </c>
      <c r="B8414" s="2">
        <v>16</v>
      </c>
      <c r="C8414" s="2">
        <v>3379997</v>
      </c>
      <c r="D8414" s="2">
        <v>4816145</v>
      </c>
      <c r="E8414" s="2">
        <v>4</v>
      </c>
      <c r="F8414" s="2" t="s">
        <v>10086</v>
      </c>
      <c r="H8414" s="3">
        <v>6.9999999999999999E-4</v>
      </c>
      <c r="K8414" s="2" t="s">
        <v>10085</v>
      </c>
    </row>
    <row r="8415" spans="1:11" x14ac:dyDescent="0.2">
      <c r="A8415" s="2">
        <v>2106</v>
      </c>
      <c r="B8415" s="2">
        <v>16</v>
      </c>
      <c r="C8415" s="2">
        <v>4816146</v>
      </c>
      <c r="D8415" s="2">
        <v>5782968</v>
      </c>
      <c r="E8415" s="2">
        <v>1</v>
      </c>
      <c r="F8415" s="2" t="s">
        <v>10086</v>
      </c>
      <c r="H8415" s="2">
        <v>1.5E-3</v>
      </c>
      <c r="K8415" s="2" t="s">
        <v>10089</v>
      </c>
    </row>
    <row r="8416" spans="1:11" x14ac:dyDescent="0.2">
      <c r="A8416" s="2">
        <v>2106</v>
      </c>
      <c r="B8416" s="2">
        <v>16</v>
      </c>
      <c r="C8416" s="2">
        <v>4816146</v>
      </c>
      <c r="D8416" s="2">
        <v>5782968</v>
      </c>
      <c r="E8416" s="2">
        <v>2</v>
      </c>
      <c r="F8416" s="2" t="s">
        <v>10086</v>
      </c>
      <c r="H8416" s="2">
        <v>1.9E-3</v>
      </c>
      <c r="K8416" s="2" t="s">
        <v>10087</v>
      </c>
    </row>
    <row r="8417" spans="1:11" x14ac:dyDescent="0.2">
      <c r="A8417" s="2">
        <v>2106</v>
      </c>
      <c r="B8417" s="2">
        <v>16</v>
      </c>
      <c r="C8417" s="2">
        <v>4816146</v>
      </c>
      <c r="D8417" s="2">
        <v>5782968</v>
      </c>
      <c r="E8417" s="2">
        <v>3</v>
      </c>
      <c r="F8417" s="2" t="s">
        <v>10086</v>
      </c>
      <c r="H8417" s="2">
        <v>1.1000000000000001E-3</v>
      </c>
      <c r="K8417" s="2" t="s">
        <v>10085</v>
      </c>
    </row>
    <row r="8418" spans="1:11" x14ac:dyDescent="0.2">
      <c r="A8418" s="2">
        <v>2106</v>
      </c>
      <c r="B8418" s="2">
        <v>16</v>
      </c>
      <c r="C8418" s="2">
        <v>4816146</v>
      </c>
      <c r="D8418" s="2">
        <v>5782968</v>
      </c>
      <c r="E8418" s="2">
        <v>4</v>
      </c>
      <c r="F8418" s="2" t="s">
        <v>10086</v>
      </c>
      <c r="H8418" s="3">
        <v>8.0000000000000004E-4</v>
      </c>
      <c r="K8418" s="2" t="s">
        <v>10088</v>
      </c>
    </row>
    <row r="8419" spans="1:11" x14ac:dyDescent="0.2">
      <c r="A8419" s="2">
        <v>2107</v>
      </c>
      <c r="B8419" s="2">
        <v>16</v>
      </c>
      <c r="C8419" s="2">
        <v>5782969</v>
      </c>
      <c r="D8419" s="2">
        <v>6446081</v>
      </c>
      <c r="E8419" s="2">
        <v>1</v>
      </c>
      <c r="F8419" s="2" t="s">
        <v>10086</v>
      </c>
      <c r="H8419" s="2">
        <v>1.5E-3</v>
      </c>
      <c r="K8419" s="2" t="s">
        <v>10087</v>
      </c>
    </row>
    <row r="8420" spans="1:11" x14ac:dyDescent="0.2">
      <c r="A8420" s="2">
        <v>2107</v>
      </c>
      <c r="B8420" s="2">
        <v>16</v>
      </c>
      <c r="C8420" s="2">
        <v>5782969</v>
      </c>
      <c r="D8420" s="2">
        <v>6446081</v>
      </c>
      <c r="E8420" s="2">
        <v>2</v>
      </c>
      <c r="F8420" s="2" t="s">
        <v>10086</v>
      </c>
      <c r="H8420" s="2">
        <v>3.3999999999999998E-3</v>
      </c>
      <c r="K8420" s="2" t="s">
        <v>12324</v>
      </c>
    </row>
    <row r="8421" spans="1:11" x14ac:dyDescent="0.2">
      <c r="A8421" s="2">
        <v>2107</v>
      </c>
      <c r="B8421" s="2">
        <v>16</v>
      </c>
      <c r="C8421" s="2">
        <v>5782969</v>
      </c>
      <c r="D8421" s="2">
        <v>6446081</v>
      </c>
      <c r="E8421" s="2">
        <v>3</v>
      </c>
      <c r="F8421" s="2" t="s">
        <v>10086</v>
      </c>
      <c r="H8421" s="2">
        <v>1.6999999999999999E-3</v>
      </c>
      <c r="K8421" s="2" t="s">
        <v>10089</v>
      </c>
    </row>
    <row r="8422" spans="1:11" x14ac:dyDescent="0.2">
      <c r="A8422" s="2">
        <v>2107</v>
      </c>
      <c r="B8422" s="2">
        <v>16</v>
      </c>
      <c r="C8422" s="2">
        <v>5782969</v>
      </c>
      <c r="D8422" s="2">
        <v>6446081</v>
      </c>
      <c r="E8422" s="2">
        <v>4</v>
      </c>
      <c r="F8422" s="2" t="s">
        <v>10086</v>
      </c>
      <c r="H8422" s="3">
        <v>6.9999999999999999E-4</v>
      </c>
      <c r="K8422" s="2" t="s">
        <v>10085</v>
      </c>
    </row>
    <row r="8423" spans="1:11" x14ac:dyDescent="0.2">
      <c r="A8423" s="2">
        <v>2108</v>
      </c>
      <c r="B8423" s="2">
        <v>16</v>
      </c>
      <c r="C8423" s="2">
        <v>6446082</v>
      </c>
      <c r="D8423" s="2">
        <v>7051429</v>
      </c>
      <c r="E8423" s="2">
        <v>1</v>
      </c>
      <c r="F8423" s="2" t="s">
        <v>10086</v>
      </c>
      <c r="H8423" s="2">
        <v>1.4E-3</v>
      </c>
      <c r="K8423" s="2" t="s">
        <v>10085</v>
      </c>
    </row>
    <row r="8424" spans="1:11" x14ac:dyDescent="0.2">
      <c r="A8424" s="2">
        <v>2108</v>
      </c>
      <c r="B8424" s="2">
        <v>16</v>
      </c>
      <c r="C8424" s="2">
        <v>6446082</v>
      </c>
      <c r="D8424" s="2">
        <v>7051429</v>
      </c>
      <c r="E8424" s="2">
        <v>2</v>
      </c>
      <c r="F8424" s="2" t="s">
        <v>10086</v>
      </c>
      <c r="H8424" s="2">
        <v>1.4E-3</v>
      </c>
      <c r="K8424" s="2" t="s">
        <v>10088</v>
      </c>
    </row>
    <row r="8425" spans="1:11" x14ac:dyDescent="0.2">
      <c r="A8425" s="2">
        <v>2108</v>
      </c>
      <c r="B8425" s="2">
        <v>16</v>
      </c>
      <c r="C8425" s="2">
        <v>6446082</v>
      </c>
      <c r="D8425" s="2">
        <v>7051429</v>
      </c>
      <c r="E8425" s="2">
        <v>3</v>
      </c>
      <c r="F8425" s="2" t="s">
        <v>10086</v>
      </c>
      <c r="H8425" s="2">
        <v>1E-3</v>
      </c>
      <c r="K8425" s="2" t="s">
        <v>10089</v>
      </c>
    </row>
    <row r="8426" spans="1:11" x14ac:dyDescent="0.2">
      <c r="A8426" s="2">
        <v>2108</v>
      </c>
      <c r="B8426" s="2">
        <v>16</v>
      </c>
      <c r="C8426" s="2">
        <v>6446082</v>
      </c>
      <c r="D8426" s="2">
        <v>7051429</v>
      </c>
      <c r="E8426" s="2">
        <v>4</v>
      </c>
      <c r="F8426" s="2" t="s">
        <v>10086</v>
      </c>
      <c r="H8426" s="3">
        <v>5.0000000000000001E-4</v>
      </c>
      <c r="K8426" s="2" t="s">
        <v>10087</v>
      </c>
    </row>
    <row r="8427" spans="1:11" x14ac:dyDescent="0.2">
      <c r="A8427" s="2">
        <v>2109</v>
      </c>
      <c r="B8427" s="2">
        <v>16</v>
      </c>
      <c r="C8427" s="2">
        <v>7051430</v>
      </c>
      <c r="D8427" s="2">
        <v>7704354</v>
      </c>
      <c r="E8427" s="2">
        <v>1</v>
      </c>
      <c r="F8427" s="2" t="s">
        <v>10086</v>
      </c>
      <c r="H8427" s="2">
        <v>2.3999999999999998E-3</v>
      </c>
      <c r="K8427" s="2" t="s">
        <v>10088</v>
      </c>
    </row>
    <row r="8428" spans="1:11" x14ac:dyDescent="0.2">
      <c r="A8428" s="2">
        <v>2109</v>
      </c>
      <c r="B8428" s="2">
        <v>16</v>
      </c>
      <c r="C8428" s="2">
        <v>7051430</v>
      </c>
      <c r="D8428" s="2">
        <v>7704354</v>
      </c>
      <c r="E8428" s="2">
        <v>2</v>
      </c>
      <c r="F8428" s="2" t="s">
        <v>10086</v>
      </c>
      <c r="H8428" s="2">
        <v>1.2999999999999999E-3</v>
      </c>
      <c r="K8428" s="2" t="s">
        <v>10085</v>
      </c>
    </row>
    <row r="8429" spans="1:11" x14ac:dyDescent="0.2">
      <c r="A8429" s="2">
        <v>2109</v>
      </c>
      <c r="B8429" s="2">
        <v>16</v>
      </c>
      <c r="C8429" s="2">
        <v>7051430</v>
      </c>
      <c r="D8429" s="2">
        <v>7704354</v>
      </c>
      <c r="E8429" s="2">
        <v>3</v>
      </c>
      <c r="F8429" s="2" t="s">
        <v>10086</v>
      </c>
      <c r="H8429" s="2">
        <v>1.1000000000000001E-3</v>
      </c>
      <c r="K8429" s="2" t="s">
        <v>10089</v>
      </c>
    </row>
    <row r="8430" spans="1:11" x14ac:dyDescent="0.2">
      <c r="A8430" s="2">
        <v>2109</v>
      </c>
      <c r="B8430" s="2">
        <v>16</v>
      </c>
      <c r="C8430" s="2">
        <v>7051430</v>
      </c>
      <c r="D8430" s="2">
        <v>7704354</v>
      </c>
      <c r="E8430" s="2">
        <v>4</v>
      </c>
      <c r="F8430" s="2" t="s">
        <v>10086</v>
      </c>
      <c r="H8430" s="3">
        <v>5.9999999999999995E-4</v>
      </c>
      <c r="K8430" s="2" t="s">
        <v>10087</v>
      </c>
    </row>
    <row r="8431" spans="1:11" x14ac:dyDescent="0.2">
      <c r="A8431" s="2">
        <v>2110</v>
      </c>
      <c r="B8431" s="2">
        <v>16</v>
      </c>
      <c r="C8431" s="2">
        <v>7704355</v>
      </c>
      <c r="D8431" s="2">
        <v>8341012</v>
      </c>
      <c r="E8431" s="2">
        <v>1</v>
      </c>
      <c r="F8431" s="2" t="s">
        <v>10086</v>
      </c>
      <c r="H8431" s="2">
        <v>2.3199999999999998E-2</v>
      </c>
      <c r="K8431" s="2" t="s">
        <v>10087</v>
      </c>
    </row>
    <row r="8432" spans="1:11" x14ac:dyDescent="0.2">
      <c r="A8432" s="2">
        <v>2110</v>
      </c>
      <c r="B8432" s="2">
        <v>16</v>
      </c>
      <c r="C8432" s="2">
        <v>7704355</v>
      </c>
      <c r="D8432" s="2">
        <v>8341012</v>
      </c>
      <c r="E8432" s="2">
        <v>2</v>
      </c>
      <c r="F8432" s="2" t="s">
        <v>10086</v>
      </c>
      <c r="H8432" s="2">
        <v>8.0999999999999996E-3</v>
      </c>
      <c r="K8432" s="2" t="s">
        <v>10089</v>
      </c>
    </row>
    <row r="8433" spans="1:11" x14ac:dyDescent="0.2">
      <c r="A8433" s="2">
        <v>2110</v>
      </c>
      <c r="B8433" s="2">
        <v>16</v>
      </c>
      <c r="C8433" s="2">
        <v>7704355</v>
      </c>
      <c r="D8433" s="2">
        <v>8341012</v>
      </c>
      <c r="E8433" s="2">
        <v>3</v>
      </c>
      <c r="F8433" s="2" t="s">
        <v>10086</v>
      </c>
      <c r="H8433" s="2">
        <v>1.6000000000000001E-3</v>
      </c>
      <c r="K8433" s="2" t="s">
        <v>10088</v>
      </c>
    </row>
    <row r="8434" spans="1:11" x14ac:dyDescent="0.2">
      <c r="A8434" s="2">
        <v>2110</v>
      </c>
      <c r="B8434" s="2">
        <v>16</v>
      </c>
      <c r="C8434" s="2">
        <v>7704355</v>
      </c>
      <c r="D8434" s="2">
        <v>8341012</v>
      </c>
      <c r="E8434" s="2">
        <v>4</v>
      </c>
      <c r="F8434" s="2" t="s">
        <v>10086</v>
      </c>
      <c r="H8434" s="3">
        <v>5.9999999999999995E-4</v>
      </c>
      <c r="K8434" s="2" t="s">
        <v>10085</v>
      </c>
    </row>
    <row r="8435" spans="1:11" x14ac:dyDescent="0.2">
      <c r="A8435" s="2">
        <v>2111</v>
      </c>
      <c r="B8435" s="2">
        <v>16</v>
      </c>
      <c r="C8435" s="2">
        <v>8341013</v>
      </c>
      <c r="D8435" s="2">
        <v>9104469</v>
      </c>
      <c r="E8435" s="2">
        <v>1</v>
      </c>
      <c r="F8435" s="2" t="s">
        <v>10086</v>
      </c>
      <c r="H8435" s="2">
        <v>1.6999999999999999E-3</v>
      </c>
      <c r="K8435" s="2" t="s">
        <v>10088</v>
      </c>
    </row>
    <row r="8436" spans="1:11" x14ac:dyDescent="0.2">
      <c r="A8436" s="2">
        <v>2111</v>
      </c>
      <c r="B8436" s="2">
        <v>16</v>
      </c>
      <c r="C8436" s="2">
        <v>8341013</v>
      </c>
      <c r="D8436" s="2">
        <v>9104469</v>
      </c>
      <c r="E8436" s="2">
        <v>2</v>
      </c>
      <c r="F8436" s="2" t="s">
        <v>10086</v>
      </c>
      <c r="H8436" s="2">
        <v>1.6000000000000001E-3</v>
      </c>
      <c r="K8436" s="2" t="s">
        <v>10085</v>
      </c>
    </row>
    <row r="8437" spans="1:11" x14ac:dyDescent="0.2">
      <c r="A8437" s="2">
        <v>2111</v>
      </c>
      <c r="B8437" s="2">
        <v>16</v>
      </c>
      <c r="C8437" s="2">
        <v>8341013</v>
      </c>
      <c r="D8437" s="2">
        <v>9104469</v>
      </c>
      <c r="E8437" s="2">
        <v>3</v>
      </c>
      <c r="F8437" s="2" t="s">
        <v>10086</v>
      </c>
      <c r="H8437" s="2">
        <v>1.1000000000000001E-3</v>
      </c>
      <c r="K8437" s="2" t="s">
        <v>10089</v>
      </c>
    </row>
    <row r="8438" spans="1:11" x14ac:dyDescent="0.2">
      <c r="A8438" s="2">
        <v>2111</v>
      </c>
      <c r="B8438" s="2">
        <v>16</v>
      </c>
      <c r="C8438" s="2">
        <v>8341013</v>
      </c>
      <c r="D8438" s="2">
        <v>9104469</v>
      </c>
      <c r="E8438" s="2">
        <v>4</v>
      </c>
      <c r="F8438" s="2" t="s">
        <v>10086</v>
      </c>
      <c r="H8438" s="3">
        <v>5.0000000000000001E-4</v>
      </c>
      <c r="K8438" s="2" t="s">
        <v>10087</v>
      </c>
    </row>
    <row r="8439" spans="1:11" x14ac:dyDescent="0.2">
      <c r="A8439" s="2">
        <v>2112</v>
      </c>
      <c r="B8439" s="2">
        <v>16</v>
      </c>
      <c r="C8439" s="2">
        <v>9104470</v>
      </c>
      <c r="D8439" s="2">
        <v>9754796</v>
      </c>
      <c r="E8439" s="2">
        <v>1</v>
      </c>
      <c r="F8439" s="2" t="s">
        <v>10086</v>
      </c>
      <c r="H8439" s="2">
        <v>5.0000000000000001E-3</v>
      </c>
      <c r="K8439" s="2" t="s">
        <v>10085</v>
      </c>
    </row>
    <row r="8440" spans="1:11" x14ac:dyDescent="0.2">
      <c r="A8440" s="2">
        <v>2112</v>
      </c>
      <c r="B8440" s="2">
        <v>16</v>
      </c>
      <c r="C8440" s="2">
        <v>9104470</v>
      </c>
      <c r="D8440" s="2">
        <v>9754796</v>
      </c>
      <c r="E8440" s="2">
        <v>2</v>
      </c>
      <c r="F8440" s="2" t="s">
        <v>10086</v>
      </c>
      <c r="H8440" s="2">
        <v>2.3999999999999998E-3</v>
      </c>
      <c r="K8440" s="2" t="s">
        <v>10089</v>
      </c>
    </row>
    <row r="8441" spans="1:11" x14ac:dyDescent="0.2">
      <c r="A8441" s="2">
        <v>2112</v>
      </c>
      <c r="B8441" s="2">
        <v>16</v>
      </c>
      <c r="C8441" s="2">
        <v>9104470</v>
      </c>
      <c r="D8441" s="2">
        <v>9754796</v>
      </c>
      <c r="E8441" s="2">
        <v>3</v>
      </c>
      <c r="F8441" s="2" t="s">
        <v>10086</v>
      </c>
      <c r="H8441" s="2">
        <v>1.2999999999999999E-3</v>
      </c>
      <c r="K8441" s="2" t="s">
        <v>10088</v>
      </c>
    </row>
    <row r="8442" spans="1:11" x14ac:dyDescent="0.2">
      <c r="A8442" s="2">
        <v>2112</v>
      </c>
      <c r="B8442" s="2">
        <v>16</v>
      </c>
      <c r="C8442" s="2">
        <v>9104470</v>
      </c>
      <c r="D8442" s="2">
        <v>9754796</v>
      </c>
      <c r="E8442" s="2">
        <v>4</v>
      </c>
      <c r="F8442" s="2" t="s">
        <v>10086</v>
      </c>
      <c r="H8442" s="3">
        <v>5.0000000000000001E-4</v>
      </c>
      <c r="K8442" s="2" t="s">
        <v>10087</v>
      </c>
    </row>
    <row r="8443" spans="1:11" x14ac:dyDescent="0.2">
      <c r="A8443" s="2">
        <v>2113</v>
      </c>
      <c r="B8443" s="2">
        <v>16</v>
      </c>
      <c r="C8443" s="2">
        <v>9754797</v>
      </c>
      <c r="D8443" s="2">
        <v>10351808</v>
      </c>
      <c r="E8443" s="2">
        <v>1</v>
      </c>
      <c r="F8443" s="2" t="s">
        <v>10086</v>
      </c>
      <c r="H8443" s="2">
        <v>3.7000000000000002E-3</v>
      </c>
      <c r="K8443" s="2" t="s">
        <v>10085</v>
      </c>
    </row>
    <row r="8444" spans="1:11" x14ac:dyDescent="0.2">
      <c r="A8444" s="2">
        <v>2113</v>
      </c>
      <c r="B8444" s="2">
        <v>16</v>
      </c>
      <c r="C8444" s="2">
        <v>9754797</v>
      </c>
      <c r="D8444" s="2">
        <v>10351808</v>
      </c>
      <c r="E8444" s="2">
        <v>2</v>
      </c>
      <c r="F8444" s="2" t="s">
        <v>10086</v>
      </c>
      <c r="H8444" s="2">
        <v>1.6999999999999999E-3</v>
      </c>
      <c r="K8444" s="2" t="s">
        <v>10088</v>
      </c>
    </row>
    <row r="8445" spans="1:11" x14ac:dyDescent="0.2">
      <c r="A8445" s="2">
        <v>2113</v>
      </c>
      <c r="B8445" s="2">
        <v>16</v>
      </c>
      <c r="C8445" s="2">
        <v>9754797</v>
      </c>
      <c r="D8445" s="2">
        <v>10351808</v>
      </c>
      <c r="E8445" s="2">
        <v>3</v>
      </c>
      <c r="F8445" s="2" t="s">
        <v>10086</v>
      </c>
      <c r="H8445" s="2">
        <v>1.6999999999999999E-3</v>
      </c>
      <c r="K8445" s="2" t="s">
        <v>12324</v>
      </c>
    </row>
    <row r="8446" spans="1:11" x14ac:dyDescent="0.2">
      <c r="A8446" s="2">
        <v>2113</v>
      </c>
      <c r="B8446" s="2">
        <v>16</v>
      </c>
      <c r="C8446" s="2">
        <v>9754797</v>
      </c>
      <c r="D8446" s="2">
        <v>10351808</v>
      </c>
      <c r="E8446" s="2">
        <v>4</v>
      </c>
      <c r="F8446" s="2" t="s">
        <v>10086</v>
      </c>
      <c r="H8446" s="2">
        <v>1E-3</v>
      </c>
      <c r="K8446" s="2" t="s">
        <v>10089</v>
      </c>
    </row>
    <row r="8447" spans="1:11" x14ac:dyDescent="0.2">
      <c r="A8447" s="2">
        <v>2114</v>
      </c>
      <c r="B8447" s="2">
        <v>16</v>
      </c>
      <c r="C8447" s="2">
        <v>10351809</v>
      </c>
      <c r="D8447" s="2">
        <v>11022542</v>
      </c>
      <c r="E8447" s="2">
        <v>1</v>
      </c>
      <c r="F8447" s="2" t="s">
        <v>10086</v>
      </c>
      <c r="H8447" s="2">
        <v>3.8E-3</v>
      </c>
      <c r="K8447" s="2" t="s">
        <v>10089</v>
      </c>
    </row>
    <row r="8448" spans="1:11" x14ac:dyDescent="0.2">
      <c r="A8448" s="2">
        <v>2114</v>
      </c>
      <c r="B8448" s="2">
        <v>16</v>
      </c>
      <c r="C8448" s="2">
        <v>10351809</v>
      </c>
      <c r="D8448" s="2">
        <v>11022542</v>
      </c>
      <c r="E8448" s="2">
        <v>2</v>
      </c>
      <c r="F8448" s="2" t="s">
        <v>10086</v>
      </c>
      <c r="H8448" s="2">
        <v>1.1000000000000001E-3</v>
      </c>
      <c r="K8448" s="2" t="s">
        <v>10087</v>
      </c>
    </row>
    <row r="8449" spans="1:11" x14ac:dyDescent="0.2">
      <c r="A8449" s="2">
        <v>2114</v>
      </c>
      <c r="B8449" s="2">
        <v>16</v>
      </c>
      <c r="C8449" s="2">
        <v>10351809</v>
      </c>
      <c r="D8449" s="2">
        <v>11022542</v>
      </c>
      <c r="E8449" s="2">
        <v>3</v>
      </c>
      <c r="F8449" s="2" t="s">
        <v>10086</v>
      </c>
      <c r="H8449" s="2">
        <v>1.1000000000000001E-3</v>
      </c>
      <c r="K8449" s="2" t="s">
        <v>12324</v>
      </c>
    </row>
    <row r="8450" spans="1:11" x14ac:dyDescent="0.2">
      <c r="A8450" s="2">
        <v>2114</v>
      </c>
      <c r="B8450" s="2">
        <v>16</v>
      </c>
      <c r="C8450" s="2">
        <v>10351809</v>
      </c>
      <c r="D8450" s="2">
        <v>11022542</v>
      </c>
      <c r="E8450" s="2">
        <v>4</v>
      </c>
      <c r="F8450" s="2" t="s">
        <v>10086</v>
      </c>
      <c r="H8450" s="2">
        <v>1.1000000000000001E-3</v>
      </c>
      <c r="K8450" s="2" t="s">
        <v>10088</v>
      </c>
    </row>
    <row r="8451" spans="1:11" x14ac:dyDescent="0.2">
      <c r="A8451" s="2">
        <v>2115</v>
      </c>
      <c r="B8451" s="2">
        <v>16</v>
      </c>
      <c r="C8451" s="2">
        <v>11022543</v>
      </c>
      <c r="D8451" s="2">
        <v>11916631</v>
      </c>
      <c r="E8451" s="2">
        <v>1</v>
      </c>
      <c r="F8451" s="2" t="s">
        <v>10086</v>
      </c>
      <c r="H8451" s="2">
        <v>4.4000000000000003E-3</v>
      </c>
      <c r="K8451" s="2" t="s">
        <v>10087</v>
      </c>
    </row>
    <row r="8452" spans="1:11" x14ac:dyDescent="0.2">
      <c r="A8452" s="2">
        <v>2115</v>
      </c>
      <c r="B8452" s="2">
        <v>16</v>
      </c>
      <c r="C8452" s="2">
        <v>11022543</v>
      </c>
      <c r="D8452" s="2">
        <v>11916631</v>
      </c>
      <c r="E8452" s="2">
        <v>2</v>
      </c>
      <c r="F8452" s="2" t="s">
        <v>10086</v>
      </c>
      <c r="H8452" s="2">
        <v>1.5E-3</v>
      </c>
      <c r="K8452" s="2" t="s">
        <v>10089</v>
      </c>
    </row>
    <row r="8453" spans="1:11" x14ac:dyDescent="0.2">
      <c r="A8453" s="2">
        <v>2115</v>
      </c>
      <c r="B8453" s="2">
        <v>16</v>
      </c>
      <c r="C8453" s="2">
        <v>11022543</v>
      </c>
      <c r="D8453" s="2">
        <v>11916631</v>
      </c>
      <c r="E8453" s="2">
        <v>3</v>
      </c>
      <c r="F8453" s="2" t="s">
        <v>10086</v>
      </c>
      <c r="H8453" s="2">
        <v>1.6999999999999999E-3</v>
      </c>
      <c r="K8453" s="2" t="s">
        <v>10088</v>
      </c>
    </row>
    <row r="8454" spans="1:11" x14ac:dyDescent="0.2">
      <c r="A8454" s="2">
        <v>2115</v>
      </c>
      <c r="B8454" s="2">
        <v>16</v>
      </c>
      <c r="C8454" s="2">
        <v>11022543</v>
      </c>
      <c r="D8454" s="2">
        <v>11916631</v>
      </c>
      <c r="E8454" s="2">
        <v>4</v>
      </c>
      <c r="F8454" s="2" t="s">
        <v>10086</v>
      </c>
      <c r="H8454" s="3">
        <v>5.0000000000000001E-4</v>
      </c>
      <c r="K8454" s="2" t="s">
        <v>10085</v>
      </c>
    </row>
    <row r="8455" spans="1:11" x14ac:dyDescent="0.2">
      <c r="A8455" s="2">
        <v>2116</v>
      </c>
      <c r="B8455" s="2">
        <v>16</v>
      </c>
      <c r="C8455" s="2">
        <v>11916632</v>
      </c>
      <c r="D8455" s="2">
        <v>12793149</v>
      </c>
      <c r="E8455" s="2">
        <v>1</v>
      </c>
      <c r="F8455" s="2" t="s">
        <v>10086</v>
      </c>
      <c r="H8455" s="2">
        <v>1.5E-3</v>
      </c>
      <c r="K8455" s="2" t="s">
        <v>10089</v>
      </c>
    </row>
    <row r="8456" spans="1:11" x14ac:dyDescent="0.2">
      <c r="A8456" s="2">
        <v>2116</v>
      </c>
      <c r="B8456" s="2">
        <v>16</v>
      </c>
      <c r="C8456" s="2">
        <v>11916632</v>
      </c>
      <c r="D8456" s="2">
        <v>12793149</v>
      </c>
      <c r="E8456" s="2">
        <v>2</v>
      </c>
      <c r="F8456" s="2" t="s">
        <v>10086</v>
      </c>
      <c r="H8456" s="2">
        <v>1.2999999999999999E-3</v>
      </c>
      <c r="K8456" s="2" t="s">
        <v>10088</v>
      </c>
    </row>
    <row r="8457" spans="1:11" x14ac:dyDescent="0.2">
      <c r="A8457" s="2">
        <v>2116</v>
      </c>
      <c r="B8457" s="2">
        <v>16</v>
      </c>
      <c r="C8457" s="2">
        <v>11916632</v>
      </c>
      <c r="D8457" s="2">
        <v>12793149</v>
      </c>
      <c r="E8457" s="2">
        <v>3</v>
      </c>
      <c r="F8457" s="2" t="s">
        <v>10086</v>
      </c>
      <c r="H8457" s="2">
        <v>1.1999999999999999E-3</v>
      </c>
      <c r="K8457" s="2" t="s">
        <v>10087</v>
      </c>
    </row>
    <row r="8458" spans="1:11" x14ac:dyDescent="0.2">
      <c r="A8458" s="2">
        <v>2116</v>
      </c>
      <c r="B8458" s="2">
        <v>16</v>
      </c>
      <c r="C8458" s="2">
        <v>11916632</v>
      </c>
      <c r="D8458" s="2">
        <v>12793149</v>
      </c>
      <c r="E8458" s="2">
        <v>4</v>
      </c>
      <c r="F8458" s="2" t="s">
        <v>10086</v>
      </c>
      <c r="H8458" s="3">
        <v>5.9999999999999995E-4</v>
      </c>
      <c r="K8458" s="2" t="s">
        <v>10085</v>
      </c>
    </row>
    <row r="8459" spans="1:11" x14ac:dyDescent="0.2">
      <c r="A8459" s="2">
        <v>2117</v>
      </c>
      <c r="B8459" s="2">
        <v>16</v>
      </c>
      <c r="C8459" s="2">
        <v>12793150</v>
      </c>
      <c r="D8459" s="2">
        <v>13893407</v>
      </c>
      <c r="E8459" s="2">
        <v>1</v>
      </c>
      <c r="F8459" s="2" t="s">
        <v>10086</v>
      </c>
      <c r="H8459" s="2">
        <v>2.2000000000000001E-3</v>
      </c>
      <c r="K8459" s="2" t="s">
        <v>10089</v>
      </c>
    </row>
    <row r="8460" spans="1:11" x14ac:dyDescent="0.2">
      <c r="A8460" s="2">
        <v>2117</v>
      </c>
      <c r="B8460" s="2">
        <v>16</v>
      </c>
      <c r="C8460" s="2">
        <v>12793150</v>
      </c>
      <c r="D8460" s="2">
        <v>13893407</v>
      </c>
      <c r="E8460" s="2">
        <v>2</v>
      </c>
      <c r="F8460" s="2" t="s">
        <v>10086</v>
      </c>
      <c r="H8460" s="2">
        <v>1.9E-3</v>
      </c>
      <c r="K8460" s="2" t="s">
        <v>10088</v>
      </c>
    </row>
    <row r="8461" spans="1:11" x14ac:dyDescent="0.2">
      <c r="A8461" s="2">
        <v>2117</v>
      </c>
      <c r="B8461" s="2">
        <v>16</v>
      </c>
      <c r="C8461" s="2">
        <v>12793150</v>
      </c>
      <c r="D8461" s="2">
        <v>13893407</v>
      </c>
      <c r="E8461" s="2">
        <v>3</v>
      </c>
      <c r="F8461" s="2" t="s">
        <v>10086</v>
      </c>
      <c r="H8461" s="2">
        <v>1E-3</v>
      </c>
      <c r="K8461" s="2" t="s">
        <v>10087</v>
      </c>
    </row>
    <row r="8462" spans="1:11" x14ac:dyDescent="0.2">
      <c r="A8462" s="2">
        <v>2117</v>
      </c>
      <c r="B8462" s="2">
        <v>16</v>
      </c>
      <c r="C8462" s="2">
        <v>12793150</v>
      </c>
      <c r="D8462" s="2">
        <v>13893407</v>
      </c>
      <c r="E8462" s="2">
        <v>4</v>
      </c>
      <c r="F8462" s="2" t="s">
        <v>10086</v>
      </c>
      <c r="H8462" s="3">
        <v>5.0000000000000001E-4</v>
      </c>
      <c r="K8462" s="2" t="s">
        <v>10085</v>
      </c>
    </row>
    <row r="8463" spans="1:11" x14ac:dyDescent="0.2">
      <c r="A8463" s="2">
        <v>2118</v>
      </c>
      <c r="B8463" s="2">
        <v>16</v>
      </c>
      <c r="C8463" s="2">
        <v>13893408</v>
      </c>
      <c r="D8463" s="2">
        <v>15921108</v>
      </c>
      <c r="E8463" s="2">
        <v>1</v>
      </c>
      <c r="F8463" s="2" t="s">
        <v>10086</v>
      </c>
      <c r="H8463" s="2">
        <v>1.0800000000000001E-2</v>
      </c>
      <c r="K8463" s="2" t="s">
        <v>10087</v>
      </c>
    </row>
    <row r="8464" spans="1:11" x14ac:dyDescent="0.2">
      <c r="A8464" s="2">
        <v>2118</v>
      </c>
      <c r="B8464" s="2">
        <v>16</v>
      </c>
      <c r="C8464" s="2">
        <v>13893408</v>
      </c>
      <c r="D8464" s="2">
        <v>15921108</v>
      </c>
      <c r="E8464" s="2">
        <v>2</v>
      </c>
      <c r="F8464" s="2" t="s">
        <v>10086</v>
      </c>
      <c r="H8464" s="2">
        <v>1.26E-2</v>
      </c>
      <c r="K8464" s="2" t="s">
        <v>10085</v>
      </c>
    </row>
    <row r="8465" spans="1:11" x14ac:dyDescent="0.2">
      <c r="A8465" s="2">
        <v>2118</v>
      </c>
      <c r="B8465" s="2">
        <v>16</v>
      </c>
      <c r="C8465" s="2">
        <v>13893408</v>
      </c>
      <c r="D8465" s="2">
        <v>15921108</v>
      </c>
      <c r="E8465" s="2">
        <v>3</v>
      </c>
      <c r="F8465" s="2" t="s">
        <v>10086</v>
      </c>
      <c r="H8465" s="2">
        <v>2.5000000000000001E-3</v>
      </c>
      <c r="K8465" s="2" t="s">
        <v>10089</v>
      </c>
    </row>
    <row r="8466" spans="1:11" x14ac:dyDescent="0.2">
      <c r="A8466" s="2">
        <v>2118</v>
      </c>
      <c r="B8466" s="2">
        <v>16</v>
      </c>
      <c r="C8466" s="2">
        <v>13893408</v>
      </c>
      <c r="D8466" s="2">
        <v>15921108</v>
      </c>
      <c r="E8466" s="2">
        <v>4</v>
      </c>
      <c r="F8466" s="2" t="s">
        <v>10086</v>
      </c>
      <c r="H8466" s="3">
        <v>5.9999999999999995E-4</v>
      </c>
      <c r="K8466" s="2" t="s">
        <v>10088</v>
      </c>
    </row>
    <row r="8467" spans="1:11" x14ac:dyDescent="0.2">
      <c r="A8467" s="2">
        <v>2119</v>
      </c>
      <c r="B8467" s="2">
        <v>16</v>
      </c>
      <c r="C8467" s="2">
        <v>15921109</v>
      </c>
      <c r="D8467" s="2">
        <v>17343277</v>
      </c>
      <c r="E8467" s="2">
        <v>1</v>
      </c>
      <c r="F8467" s="2" t="s">
        <v>10086</v>
      </c>
      <c r="H8467" s="2">
        <v>2.0999999999999999E-3</v>
      </c>
      <c r="K8467" s="2" t="s">
        <v>10085</v>
      </c>
    </row>
    <row r="8468" spans="1:11" x14ac:dyDescent="0.2">
      <c r="A8468" s="2">
        <v>2119</v>
      </c>
      <c r="B8468" s="2">
        <v>16</v>
      </c>
      <c r="C8468" s="2">
        <v>15921109</v>
      </c>
      <c r="D8468" s="2">
        <v>17343277</v>
      </c>
      <c r="E8468" s="2">
        <v>2</v>
      </c>
      <c r="F8468" s="2" t="s">
        <v>10086</v>
      </c>
      <c r="H8468" s="2">
        <v>1E-3</v>
      </c>
      <c r="K8468" s="2" t="s">
        <v>10089</v>
      </c>
    </row>
    <row r="8469" spans="1:11" x14ac:dyDescent="0.2">
      <c r="A8469" s="2">
        <v>2119</v>
      </c>
      <c r="B8469" s="2">
        <v>16</v>
      </c>
      <c r="C8469" s="2">
        <v>15921109</v>
      </c>
      <c r="D8469" s="2">
        <v>17343277</v>
      </c>
      <c r="E8469" s="2">
        <v>3</v>
      </c>
      <c r="F8469" s="2" t="s">
        <v>10086</v>
      </c>
      <c r="H8469" s="2">
        <v>1.1000000000000001E-3</v>
      </c>
      <c r="K8469" s="2" t="s">
        <v>10088</v>
      </c>
    </row>
    <row r="8470" spans="1:11" x14ac:dyDescent="0.2">
      <c r="A8470" s="2">
        <v>2119</v>
      </c>
      <c r="B8470" s="2">
        <v>16</v>
      </c>
      <c r="C8470" s="2">
        <v>15921109</v>
      </c>
      <c r="D8470" s="2">
        <v>17343277</v>
      </c>
      <c r="E8470" s="2">
        <v>4</v>
      </c>
      <c r="F8470" s="2" t="s">
        <v>10086</v>
      </c>
      <c r="H8470" s="3">
        <v>8.0000000000000004E-4</v>
      </c>
      <c r="K8470" s="2" t="s">
        <v>12324</v>
      </c>
    </row>
    <row r="8471" spans="1:11" x14ac:dyDescent="0.2">
      <c r="A8471" s="2">
        <v>2120</v>
      </c>
      <c r="B8471" s="2">
        <v>16</v>
      </c>
      <c r="C8471" s="2">
        <v>17343278</v>
      </c>
      <c r="D8471" s="2">
        <v>19104257</v>
      </c>
      <c r="E8471" s="2">
        <v>1</v>
      </c>
      <c r="F8471" s="2" t="s">
        <v>10086</v>
      </c>
      <c r="H8471" s="2">
        <v>6.1000000000000004E-3</v>
      </c>
      <c r="K8471" s="2" t="s">
        <v>10088</v>
      </c>
    </row>
    <row r="8472" spans="1:11" x14ac:dyDescent="0.2">
      <c r="A8472" s="2">
        <v>2120</v>
      </c>
      <c r="B8472" s="2">
        <v>16</v>
      </c>
      <c r="C8472" s="2">
        <v>17343278</v>
      </c>
      <c r="D8472" s="2">
        <v>19104257</v>
      </c>
      <c r="E8472" s="2">
        <v>2</v>
      </c>
      <c r="F8472" s="2" t="s">
        <v>10086</v>
      </c>
      <c r="H8472" s="2">
        <v>2.8999999999999998E-3</v>
      </c>
      <c r="K8472" s="2" t="s">
        <v>10087</v>
      </c>
    </row>
    <row r="8473" spans="1:11" x14ac:dyDescent="0.2">
      <c r="A8473" s="2">
        <v>2120</v>
      </c>
      <c r="B8473" s="2">
        <v>16</v>
      </c>
      <c r="C8473" s="2">
        <v>17343278</v>
      </c>
      <c r="D8473" s="2">
        <v>19104257</v>
      </c>
      <c r="E8473" s="2">
        <v>3</v>
      </c>
      <c r="F8473" s="2" t="s">
        <v>10086</v>
      </c>
      <c r="H8473" s="2">
        <v>1.1999999999999999E-3</v>
      </c>
      <c r="K8473" s="2" t="s">
        <v>10089</v>
      </c>
    </row>
    <row r="8474" spans="1:11" x14ac:dyDescent="0.2">
      <c r="A8474" s="2">
        <v>2120</v>
      </c>
      <c r="B8474" s="2">
        <v>16</v>
      </c>
      <c r="C8474" s="2">
        <v>17343278</v>
      </c>
      <c r="D8474" s="2">
        <v>19104257</v>
      </c>
      <c r="E8474" s="2">
        <v>4</v>
      </c>
      <c r="F8474" s="2" t="s">
        <v>10086</v>
      </c>
      <c r="H8474" s="3">
        <v>5.9999999999999995E-4</v>
      </c>
      <c r="K8474" s="2" t="s">
        <v>10085</v>
      </c>
    </row>
    <row r="8475" spans="1:11" x14ac:dyDescent="0.2">
      <c r="A8475" s="2">
        <v>2121</v>
      </c>
      <c r="B8475" s="2">
        <v>16</v>
      </c>
      <c r="C8475" s="2">
        <v>19104258</v>
      </c>
      <c r="D8475" s="2">
        <v>20351261</v>
      </c>
      <c r="E8475" s="2">
        <v>1</v>
      </c>
      <c r="F8475" s="2" t="s">
        <v>10086</v>
      </c>
      <c r="H8475" s="2">
        <v>4.1000000000000003E-3</v>
      </c>
      <c r="K8475" s="2" t="s">
        <v>10089</v>
      </c>
    </row>
    <row r="8476" spans="1:11" x14ac:dyDescent="0.2">
      <c r="A8476" s="2">
        <v>2121</v>
      </c>
      <c r="B8476" s="2">
        <v>16</v>
      </c>
      <c r="C8476" s="2">
        <v>19104258</v>
      </c>
      <c r="D8476" s="2">
        <v>20351261</v>
      </c>
      <c r="E8476" s="2">
        <v>2</v>
      </c>
      <c r="F8476" s="2" t="s">
        <v>10086</v>
      </c>
      <c r="H8476" s="2">
        <v>1.8E-3</v>
      </c>
      <c r="K8476" s="2" t="s">
        <v>10088</v>
      </c>
    </row>
    <row r="8477" spans="1:11" x14ac:dyDescent="0.2">
      <c r="A8477" s="2">
        <v>2121</v>
      </c>
      <c r="B8477" s="2">
        <v>16</v>
      </c>
      <c r="C8477" s="2">
        <v>19104258</v>
      </c>
      <c r="D8477" s="2">
        <v>20351261</v>
      </c>
      <c r="E8477" s="2">
        <v>3</v>
      </c>
      <c r="F8477" s="2" t="s">
        <v>10086</v>
      </c>
      <c r="H8477" s="2">
        <v>1.6000000000000001E-3</v>
      </c>
      <c r="K8477" s="2" t="s">
        <v>10087</v>
      </c>
    </row>
    <row r="8478" spans="1:11" x14ac:dyDescent="0.2">
      <c r="A8478" s="2">
        <v>2121</v>
      </c>
      <c r="B8478" s="2">
        <v>16</v>
      </c>
      <c r="C8478" s="2">
        <v>19104258</v>
      </c>
      <c r="D8478" s="2">
        <v>20351261</v>
      </c>
      <c r="E8478" s="2">
        <v>4</v>
      </c>
      <c r="F8478" s="2" t="s">
        <v>10086</v>
      </c>
      <c r="H8478" s="3">
        <v>5.0000000000000001E-4</v>
      </c>
      <c r="K8478" s="2" t="s">
        <v>10085</v>
      </c>
    </row>
    <row r="8479" spans="1:11" x14ac:dyDescent="0.2">
      <c r="A8479" s="2">
        <v>2122</v>
      </c>
      <c r="B8479" s="2">
        <v>16</v>
      </c>
      <c r="C8479" s="2">
        <v>20351262</v>
      </c>
      <c r="D8479" s="2">
        <v>22667048</v>
      </c>
      <c r="E8479" s="2">
        <v>1</v>
      </c>
      <c r="F8479" s="2" t="s">
        <v>10086</v>
      </c>
      <c r="H8479" s="2">
        <v>1.7500000000000002E-2</v>
      </c>
      <c r="K8479" s="2" t="s">
        <v>10088</v>
      </c>
    </row>
    <row r="8480" spans="1:11" x14ac:dyDescent="0.2">
      <c r="A8480" s="2">
        <v>2122</v>
      </c>
      <c r="B8480" s="2">
        <v>16</v>
      </c>
      <c r="C8480" s="2">
        <v>20351262</v>
      </c>
      <c r="D8480" s="2">
        <v>22667048</v>
      </c>
      <c r="E8480" s="2">
        <v>2</v>
      </c>
      <c r="F8480" s="2" t="s">
        <v>10086</v>
      </c>
      <c r="H8480" s="2">
        <v>1.5E-3</v>
      </c>
      <c r="K8480" s="2" t="s">
        <v>10089</v>
      </c>
    </row>
    <row r="8481" spans="1:11" x14ac:dyDescent="0.2">
      <c r="A8481" s="2">
        <v>2122</v>
      </c>
      <c r="B8481" s="2">
        <v>16</v>
      </c>
      <c r="C8481" s="2">
        <v>20351262</v>
      </c>
      <c r="D8481" s="2">
        <v>22667048</v>
      </c>
      <c r="E8481" s="2">
        <v>3</v>
      </c>
      <c r="F8481" s="2" t="s">
        <v>10086</v>
      </c>
      <c r="H8481" s="2">
        <v>1.2999999999999999E-3</v>
      </c>
      <c r="K8481" s="2" t="s">
        <v>10087</v>
      </c>
    </row>
    <row r="8482" spans="1:11" x14ac:dyDescent="0.2">
      <c r="A8482" s="2">
        <v>2122</v>
      </c>
      <c r="B8482" s="2">
        <v>16</v>
      </c>
      <c r="C8482" s="2">
        <v>20351262</v>
      </c>
      <c r="D8482" s="2">
        <v>22667048</v>
      </c>
      <c r="E8482" s="2">
        <v>4</v>
      </c>
      <c r="F8482" s="2" t="s">
        <v>10086</v>
      </c>
      <c r="H8482" s="3">
        <v>6.9999999999999999E-4</v>
      </c>
      <c r="K8482" s="2" t="s">
        <v>12324</v>
      </c>
    </row>
    <row r="8483" spans="1:11" x14ac:dyDescent="0.2">
      <c r="A8483" s="2">
        <v>2123</v>
      </c>
      <c r="B8483" s="2">
        <v>16</v>
      </c>
      <c r="C8483" s="2">
        <v>22667049</v>
      </c>
      <c r="D8483" s="2">
        <v>24014705</v>
      </c>
      <c r="E8483" s="2">
        <v>1</v>
      </c>
      <c r="F8483" s="2" t="s">
        <v>10086</v>
      </c>
      <c r="H8483" s="2">
        <v>1.5E-3</v>
      </c>
      <c r="K8483" s="2" t="s">
        <v>10085</v>
      </c>
    </row>
    <row r="8484" spans="1:11" x14ac:dyDescent="0.2">
      <c r="A8484" s="2">
        <v>2123</v>
      </c>
      <c r="B8484" s="2">
        <v>16</v>
      </c>
      <c r="C8484" s="2">
        <v>22667049</v>
      </c>
      <c r="D8484" s="2">
        <v>24014705</v>
      </c>
      <c r="E8484" s="2">
        <v>2</v>
      </c>
      <c r="F8484" s="2" t="s">
        <v>10086</v>
      </c>
      <c r="H8484" s="2">
        <v>2.8999999999999998E-3</v>
      </c>
      <c r="K8484" s="2" t="s">
        <v>10088</v>
      </c>
    </row>
    <row r="8485" spans="1:11" x14ac:dyDescent="0.2">
      <c r="A8485" s="2">
        <v>2123</v>
      </c>
      <c r="B8485" s="2">
        <v>16</v>
      </c>
      <c r="C8485" s="2">
        <v>22667049</v>
      </c>
      <c r="D8485" s="2">
        <v>24014705</v>
      </c>
      <c r="E8485" s="2">
        <v>3</v>
      </c>
      <c r="F8485" s="2" t="s">
        <v>10086</v>
      </c>
      <c r="H8485" s="2">
        <v>1.1000000000000001E-3</v>
      </c>
      <c r="K8485" s="2" t="s">
        <v>10087</v>
      </c>
    </row>
    <row r="8486" spans="1:11" x14ac:dyDescent="0.2">
      <c r="A8486" s="2">
        <v>2123</v>
      </c>
      <c r="B8486" s="2">
        <v>16</v>
      </c>
      <c r="C8486" s="2">
        <v>22667049</v>
      </c>
      <c r="D8486" s="2">
        <v>24014705</v>
      </c>
      <c r="E8486" s="2">
        <v>4</v>
      </c>
      <c r="F8486" s="2" t="s">
        <v>10086</v>
      </c>
      <c r="H8486" s="3">
        <v>6.9999999999999999E-4</v>
      </c>
      <c r="K8486" s="2" t="s">
        <v>10089</v>
      </c>
    </row>
    <row r="8487" spans="1:11" x14ac:dyDescent="0.2">
      <c r="A8487" s="2">
        <v>2124</v>
      </c>
      <c r="B8487" s="2">
        <v>16</v>
      </c>
      <c r="C8487" s="2">
        <v>24014706</v>
      </c>
      <c r="D8487" s="2">
        <v>25235251</v>
      </c>
      <c r="E8487" s="2">
        <v>1</v>
      </c>
      <c r="F8487" s="2" t="s">
        <v>10086</v>
      </c>
      <c r="H8487" s="2">
        <v>2.3999999999999998E-3</v>
      </c>
      <c r="K8487" s="2" t="s">
        <v>10089</v>
      </c>
    </row>
    <row r="8488" spans="1:11" x14ac:dyDescent="0.2">
      <c r="A8488" s="2">
        <v>2124</v>
      </c>
      <c r="B8488" s="2">
        <v>16</v>
      </c>
      <c r="C8488" s="2">
        <v>24014706</v>
      </c>
      <c r="D8488" s="2">
        <v>25235251</v>
      </c>
      <c r="E8488" s="2">
        <v>2</v>
      </c>
      <c r="F8488" s="2" t="s">
        <v>10086</v>
      </c>
      <c r="H8488" s="2">
        <v>1.4E-3</v>
      </c>
      <c r="K8488" s="2" t="s">
        <v>10085</v>
      </c>
    </row>
    <row r="8489" spans="1:11" x14ac:dyDescent="0.2">
      <c r="A8489" s="2">
        <v>2124</v>
      </c>
      <c r="B8489" s="2">
        <v>16</v>
      </c>
      <c r="C8489" s="2">
        <v>24014706</v>
      </c>
      <c r="D8489" s="2">
        <v>25235251</v>
      </c>
      <c r="E8489" s="2">
        <v>3</v>
      </c>
      <c r="F8489" s="2" t="s">
        <v>10086</v>
      </c>
      <c r="H8489" s="2">
        <v>1.2999999999999999E-3</v>
      </c>
      <c r="K8489" s="2" t="s">
        <v>10087</v>
      </c>
    </row>
    <row r="8490" spans="1:11" x14ac:dyDescent="0.2">
      <c r="A8490" s="2">
        <v>2124</v>
      </c>
      <c r="B8490" s="2">
        <v>16</v>
      </c>
      <c r="C8490" s="2">
        <v>24014706</v>
      </c>
      <c r="D8490" s="2">
        <v>25235251</v>
      </c>
      <c r="E8490" s="2">
        <v>4</v>
      </c>
      <c r="F8490" s="2" t="s">
        <v>10086</v>
      </c>
      <c r="H8490" s="3">
        <v>6.9999999999999999E-4</v>
      </c>
      <c r="K8490" s="2" t="s">
        <v>10088</v>
      </c>
    </row>
    <row r="8491" spans="1:11" x14ac:dyDescent="0.2">
      <c r="A8491" s="2">
        <v>2125</v>
      </c>
      <c r="B8491" s="2">
        <v>16</v>
      </c>
      <c r="C8491" s="2">
        <v>25235252</v>
      </c>
      <c r="D8491" s="2">
        <v>26154122</v>
      </c>
      <c r="E8491" s="2">
        <v>1</v>
      </c>
      <c r="F8491" s="2" t="s">
        <v>10086</v>
      </c>
      <c r="H8491" s="2">
        <v>1.2999999999999999E-3</v>
      </c>
      <c r="K8491" s="2" t="s">
        <v>10088</v>
      </c>
    </row>
    <row r="8492" spans="1:11" x14ac:dyDescent="0.2">
      <c r="A8492" s="2">
        <v>2125</v>
      </c>
      <c r="B8492" s="2">
        <v>16</v>
      </c>
      <c r="C8492" s="2">
        <v>25235252</v>
      </c>
      <c r="D8492" s="2">
        <v>26154122</v>
      </c>
      <c r="E8492" s="2">
        <v>2</v>
      </c>
      <c r="F8492" s="2" t="s">
        <v>10086</v>
      </c>
      <c r="H8492" s="2">
        <v>1.1000000000000001E-3</v>
      </c>
      <c r="K8492" s="2" t="s">
        <v>10089</v>
      </c>
    </row>
    <row r="8493" spans="1:11" x14ac:dyDescent="0.2">
      <c r="A8493" s="2">
        <v>2125</v>
      </c>
      <c r="B8493" s="2">
        <v>16</v>
      </c>
      <c r="C8493" s="2">
        <v>25235252</v>
      </c>
      <c r="D8493" s="2">
        <v>26154122</v>
      </c>
      <c r="E8493" s="2">
        <v>3</v>
      </c>
      <c r="F8493" s="2" t="s">
        <v>10086</v>
      </c>
      <c r="H8493" s="3">
        <v>8.9999999999999998E-4</v>
      </c>
      <c r="K8493" s="2" t="s">
        <v>10087</v>
      </c>
    </row>
    <row r="8494" spans="1:11" x14ac:dyDescent="0.2">
      <c r="A8494" s="2">
        <v>2125</v>
      </c>
      <c r="B8494" s="2">
        <v>16</v>
      </c>
      <c r="C8494" s="2">
        <v>25235252</v>
      </c>
      <c r="D8494" s="2">
        <v>26154122</v>
      </c>
      <c r="E8494" s="2">
        <v>4</v>
      </c>
      <c r="F8494" s="2" t="s">
        <v>10086</v>
      </c>
      <c r="H8494" s="3">
        <v>4.0000000000000002E-4</v>
      </c>
      <c r="K8494" s="2" t="s">
        <v>10085</v>
      </c>
    </row>
    <row r="8495" spans="1:11" x14ac:dyDescent="0.2">
      <c r="A8495" s="2">
        <v>2126</v>
      </c>
      <c r="B8495" s="2">
        <v>16</v>
      </c>
      <c r="C8495" s="2">
        <v>26154123</v>
      </c>
      <c r="D8495" s="2">
        <v>27443061</v>
      </c>
      <c r="E8495" s="2">
        <v>1</v>
      </c>
      <c r="F8495" s="2" t="s">
        <v>10086</v>
      </c>
      <c r="H8495" s="2">
        <v>1.67E-2</v>
      </c>
      <c r="K8495" s="2" t="s">
        <v>10089</v>
      </c>
    </row>
    <row r="8496" spans="1:11" x14ac:dyDescent="0.2">
      <c r="A8496" s="2">
        <v>2126</v>
      </c>
      <c r="B8496" s="2">
        <v>16</v>
      </c>
      <c r="C8496" s="2">
        <v>26154123</v>
      </c>
      <c r="D8496" s="2">
        <v>27443061</v>
      </c>
      <c r="E8496" s="2">
        <v>2</v>
      </c>
      <c r="F8496" s="2" t="s">
        <v>10086</v>
      </c>
      <c r="H8496" s="2">
        <v>2.0999999999999999E-3</v>
      </c>
      <c r="K8496" s="2" t="s">
        <v>10087</v>
      </c>
    </row>
    <row r="8497" spans="1:11" x14ac:dyDescent="0.2">
      <c r="A8497" s="2">
        <v>2126</v>
      </c>
      <c r="B8497" s="2">
        <v>16</v>
      </c>
      <c r="C8497" s="2">
        <v>26154123</v>
      </c>
      <c r="D8497" s="2">
        <v>27443061</v>
      </c>
      <c r="E8497" s="2">
        <v>3</v>
      </c>
      <c r="F8497" s="2" t="s">
        <v>10086</v>
      </c>
      <c r="H8497" s="2">
        <v>1.2999999999999999E-3</v>
      </c>
      <c r="K8497" s="2" t="s">
        <v>10085</v>
      </c>
    </row>
    <row r="8498" spans="1:11" x14ac:dyDescent="0.2">
      <c r="A8498" s="2">
        <v>2126</v>
      </c>
      <c r="B8498" s="2">
        <v>16</v>
      </c>
      <c r="C8498" s="2">
        <v>26154123</v>
      </c>
      <c r="D8498" s="2">
        <v>27443061</v>
      </c>
      <c r="E8498" s="2">
        <v>4</v>
      </c>
      <c r="F8498" s="2" t="s">
        <v>10086</v>
      </c>
      <c r="H8498" s="3">
        <v>5.9999999999999995E-4</v>
      </c>
      <c r="K8498" s="2" t="s">
        <v>10088</v>
      </c>
    </row>
    <row r="8499" spans="1:11" x14ac:dyDescent="0.2">
      <c r="A8499" s="2">
        <v>2127</v>
      </c>
      <c r="B8499" s="2">
        <v>16</v>
      </c>
      <c r="C8499" s="2">
        <v>27443062</v>
      </c>
      <c r="D8499" s="2">
        <v>29043177</v>
      </c>
      <c r="E8499" s="2">
        <v>1</v>
      </c>
      <c r="F8499" s="2" t="s">
        <v>10086</v>
      </c>
      <c r="H8499" s="2">
        <v>2.5000000000000001E-3</v>
      </c>
      <c r="K8499" s="2" t="s">
        <v>10089</v>
      </c>
    </row>
    <row r="8500" spans="1:11" x14ac:dyDescent="0.2">
      <c r="A8500" s="2">
        <v>2127</v>
      </c>
      <c r="B8500" s="2">
        <v>16</v>
      </c>
      <c r="C8500" s="2">
        <v>27443062</v>
      </c>
      <c r="D8500" s="2">
        <v>29043177</v>
      </c>
      <c r="E8500" s="2">
        <v>2</v>
      </c>
      <c r="F8500" s="2" t="s">
        <v>10086</v>
      </c>
      <c r="H8500" s="2">
        <v>1.1999999999999999E-3</v>
      </c>
      <c r="K8500" s="2" t="s">
        <v>10085</v>
      </c>
    </row>
    <row r="8501" spans="1:11" x14ac:dyDescent="0.2">
      <c r="A8501" s="2">
        <v>2127</v>
      </c>
      <c r="B8501" s="2">
        <v>16</v>
      </c>
      <c r="C8501" s="2">
        <v>27443062</v>
      </c>
      <c r="D8501" s="2">
        <v>29043177</v>
      </c>
      <c r="E8501" s="2">
        <v>3</v>
      </c>
      <c r="F8501" s="2" t="s">
        <v>10086</v>
      </c>
      <c r="H8501" s="2">
        <v>1.1000000000000001E-3</v>
      </c>
      <c r="K8501" s="2" t="s">
        <v>10087</v>
      </c>
    </row>
    <row r="8502" spans="1:11" x14ac:dyDescent="0.2">
      <c r="A8502" s="2">
        <v>2127</v>
      </c>
      <c r="B8502" s="2">
        <v>16</v>
      </c>
      <c r="C8502" s="2">
        <v>27443062</v>
      </c>
      <c r="D8502" s="2">
        <v>29043177</v>
      </c>
      <c r="E8502" s="2">
        <v>4</v>
      </c>
      <c r="F8502" s="2" t="s">
        <v>10086</v>
      </c>
      <c r="H8502" s="3">
        <v>5.0000000000000001E-4</v>
      </c>
      <c r="K8502" s="2" t="s">
        <v>10088</v>
      </c>
    </row>
    <row r="8503" spans="1:11" x14ac:dyDescent="0.2">
      <c r="A8503" s="2">
        <v>2128</v>
      </c>
      <c r="B8503" s="2">
        <v>16</v>
      </c>
      <c r="C8503" s="2">
        <v>29043178</v>
      </c>
      <c r="D8503" s="2">
        <v>31384210</v>
      </c>
      <c r="E8503" s="2">
        <v>1</v>
      </c>
      <c r="F8503" s="2" t="s">
        <v>10086</v>
      </c>
      <c r="H8503" s="2">
        <v>4.4999999999999997E-3</v>
      </c>
      <c r="K8503" s="2" t="s">
        <v>12324</v>
      </c>
    </row>
    <row r="8504" spans="1:11" x14ac:dyDescent="0.2">
      <c r="A8504" s="2">
        <v>2128</v>
      </c>
      <c r="B8504" s="2">
        <v>16</v>
      </c>
      <c r="C8504" s="2">
        <v>29043178</v>
      </c>
      <c r="D8504" s="2">
        <v>31384210</v>
      </c>
      <c r="E8504" s="2">
        <v>2</v>
      </c>
      <c r="F8504" s="2" t="s">
        <v>10086</v>
      </c>
      <c r="H8504" s="2">
        <v>5.8999999999999999E-3</v>
      </c>
      <c r="K8504" s="2" t="s">
        <v>10089</v>
      </c>
    </row>
    <row r="8505" spans="1:11" x14ac:dyDescent="0.2">
      <c r="A8505" s="2">
        <v>2128</v>
      </c>
      <c r="B8505" s="2">
        <v>16</v>
      </c>
      <c r="C8505" s="2">
        <v>29043178</v>
      </c>
      <c r="D8505" s="2">
        <v>31384210</v>
      </c>
      <c r="E8505" s="2">
        <v>3</v>
      </c>
      <c r="F8505" s="2" t="s">
        <v>10086</v>
      </c>
      <c r="H8505" s="2">
        <v>2.0999999999999999E-3</v>
      </c>
      <c r="K8505" s="2" t="s">
        <v>10088</v>
      </c>
    </row>
    <row r="8506" spans="1:11" x14ac:dyDescent="0.2">
      <c r="A8506" s="2">
        <v>2128</v>
      </c>
      <c r="B8506" s="2">
        <v>16</v>
      </c>
      <c r="C8506" s="2">
        <v>29043178</v>
      </c>
      <c r="D8506" s="2">
        <v>31384210</v>
      </c>
      <c r="E8506" s="2">
        <v>4</v>
      </c>
      <c r="F8506" s="2" t="s">
        <v>10086</v>
      </c>
      <c r="H8506" s="3">
        <v>8.9999999999999998E-4</v>
      </c>
      <c r="K8506" s="2" t="s">
        <v>10085</v>
      </c>
    </row>
    <row r="8507" spans="1:11" x14ac:dyDescent="0.2">
      <c r="A8507" s="2">
        <v>2129</v>
      </c>
      <c r="B8507" s="2">
        <v>16</v>
      </c>
      <c r="C8507" s="2">
        <v>31384211</v>
      </c>
      <c r="D8507" s="2">
        <v>32847928</v>
      </c>
      <c r="E8507" s="2">
        <v>1</v>
      </c>
      <c r="F8507" s="2" t="s">
        <v>10086</v>
      </c>
      <c r="H8507" s="2">
        <v>2.5000000000000001E-3</v>
      </c>
      <c r="K8507" s="2" t="s">
        <v>10089</v>
      </c>
    </row>
    <row r="8508" spans="1:11" x14ac:dyDescent="0.2">
      <c r="A8508" s="2">
        <v>2129</v>
      </c>
      <c r="B8508" s="2">
        <v>16</v>
      </c>
      <c r="C8508" s="2">
        <v>31384211</v>
      </c>
      <c r="D8508" s="2">
        <v>32847928</v>
      </c>
      <c r="E8508" s="2">
        <v>2</v>
      </c>
      <c r="F8508" s="2" t="s">
        <v>10086</v>
      </c>
      <c r="H8508" s="3">
        <v>8.0000000000000004E-4</v>
      </c>
      <c r="K8508" s="2" t="s">
        <v>10087</v>
      </c>
    </row>
    <row r="8509" spans="1:11" x14ac:dyDescent="0.2">
      <c r="A8509" s="2">
        <v>2129</v>
      </c>
      <c r="B8509" s="2">
        <v>16</v>
      </c>
      <c r="C8509" s="2">
        <v>31384211</v>
      </c>
      <c r="D8509" s="2">
        <v>32847928</v>
      </c>
      <c r="E8509" s="2">
        <v>3</v>
      </c>
      <c r="F8509" s="2" t="s">
        <v>10086</v>
      </c>
      <c r="H8509" s="3">
        <v>5.0000000000000001E-4</v>
      </c>
      <c r="K8509" s="2" t="s">
        <v>10085</v>
      </c>
    </row>
    <row r="8510" spans="1:11" x14ac:dyDescent="0.2">
      <c r="A8510" s="2">
        <v>2129</v>
      </c>
      <c r="B8510" s="2">
        <v>16</v>
      </c>
      <c r="C8510" s="2">
        <v>31384211</v>
      </c>
      <c r="D8510" s="2">
        <v>32847928</v>
      </c>
      <c r="E8510" s="2">
        <v>4</v>
      </c>
      <c r="F8510" s="2" t="s">
        <v>10086</v>
      </c>
      <c r="H8510" s="3">
        <v>4.0000000000000002E-4</v>
      </c>
      <c r="K8510" s="2" t="s">
        <v>10088</v>
      </c>
    </row>
    <row r="8511" spans="1:11" x14ac:dyDescent="0.2">
      <c r="A8511" s="2">
        <v>2130</v>
      </c>
      <c r="B8511" s="2">
        <v>16</v>
      </c>
      <c r="C8511" s="2">
        <v>32847929</v>
      </c>
      <c r="D8511" s="2">
        <v>35259453</v>
      </c>
      <c r="E8511" s="2">
        <v>1</v>
      </c>
      <c r="F8511" s="2" t="s">
        <v>10086</v>
      </c>
      <c r="H8511" s="2">
        <v>2.0999999999999999E-3</v>
      </c>
      <c r="K8511" s="2" t="s">
        <v>10089</v>
      </c>
    </row>
    <row r="8512" spans="1:11" x14ac:dyDescent="0.2">
      <c r="A8512" s="2">
        <v>2130</v>
      </c>
      <c r="B8512" s="2">
        <v>16</v>
      </c>
      <c r="C8512" s="2">
        <v>32847929</v>
      </c>
      <c r="D8512" s="2">
        <v>35259453</v>
      </c>
      <c r="E8512" s="2">
        <v>2</v>
      </c>
      <c r="F8512" s="2" t="s">
        <v>10086</v>
      </c>
      <c r="H8512" s="2">
        <v>1.1000000000000001E-3</v>
      </c>
      <c r="K8512" s="2" t="s">
        <v>10087</v>
      </c>
    </row>
    <row r="8513" spans="1:11" x14ac:dyDescent="0.2">
      <c r="A8513" s="2">
        <v>2130</v>
      </c>
      <c r="B8513" s="2">
        <v>16</v>
      </c>
      <c r="C8513" s="2">
        <v>32847929</v>
      </c>
      <c r="D8513" s="2">
        <v>35259453</v>
      </c>
      <c r="E8513" s="2">
        <v>3</v>
      </c>
      <c r="F8513" s="2" t="s">
        <v>10086</v>
      </c>
      <c r="H8513" s="3">
        <v>6.9999999999999999E-4</v>
      </c>
      <c r="K8513" s="2" t="s">
        <v>10088</v>
      </c>
    </row>
    <row r="8514" spans="1:11" x14ac:dyDescent="0.2">
      <c r="A8514" s="2">
        <v>2130</v>
      </c>
      <c r="B8514" s="2">
        <v>16</v>
      </c>
      <c r="C8514" s="2">
        <v>32847929</v>
      </c>
      <c r="D8514" s="2">
        <v>35259453</v>
      </c>
      <c r="E8514" s="2">
        <v>4</v>
      </c>
      <c r="F8514" s="2" t="s">
        <v>10086</v>
      </c>
      <c r="H8514" s="3">
        <v>5.9999999999999995E-4</v>
      </c>
      <c r="K8514" s="2" t="s">
        <v>10085</v>
      </c>
    </row>
    <row r="8515" spans="1:11" x14ac:dyDescent="0.2">
      <c r="A8515" s="2">
        <v>2131</v>
      </c>
      <c r="B8515" s="2">
        <v>16</v>
      </c>
      <c r="C8515" s="2">
        <v>35259454</v>
      </c>
      <c r="D8515" s="2">
        <v>49010761</v>
      </c>
      <c r="E8515" s="2">
        <v>1</v>
      </c>
      <c r="F8515" s="2" t="s">
        <v>10086</v>
      </c>
      <c r="H8515" s="2">
        <v>1.6000000000000001E-3</v>
      </c>
      <c r="K8515" s="2" t="s">
        <v>12324</v>
      </c>
    </row>
    <row r="8516" spans="1:11" x14ac:dyDescent="0.2">
      <c r="A8516" s="2">
        <v>2131</v>
      </c>
      <c r="B8516" s="2">
        <v>16</v>
      </c>
      <c r="C8516" s="2">
        <v>35259454</v>
      </c>
      <c r="D8516" s="2">
        <v>49010761</v>
      </c>
      <c r="E8516" s="2">
        <v>2</v>
      </c>
      <c r="F8516" s="2" t="s">
        <v>10086</v>
      </c>
      <c r="H8516" s="2">
        <v>1.4E-3</v>
      </c>
      <c r="K8516" s="2" t="s">
        <v>10085</v>
      </c>
    </row>
    <row r="8517" spans="1:11" x14ac:dyDescent="0.2">
      <c r="A8517" s="2">
        <v>2131</v>
      </c>
      <c r="B8517" s="2">
        <v>16</v>
      </c>
      <c r="C8517" s="2">
        <v>35259454</v>
      </c>
      <c r="D8517" s="2">
        <v>49010761</v>
      </c>
      <c r="E8517" s="2">
        <v>3</v>
      </c>
      <c r="F8517" s="2" t="s">
        <v>10086</v>
      </c>
      <c r="H8517" s="2">
        <v>1.5E-3</v>
      </c>
      <c r="K8517" s="2" t="s">
        <v>10087</v>
      </c>
    </row>
    <row r="8518" spans="1:11" x14ac:dyDescent="0.2">
      <c r="A8518" s="2">
        <v>2131</v>
      </c>
      <c r="B8518" s="2">
        <v>16</v>
      </c>
      <c r="C8518" s="2">
        <v>35259454</v>
      </c>
      <c r="D8518" s="2">
        <v>49010761</v>
      </c>
      <c r="E8518" s="2">
        <v>4</v>
      </c>
      <c r="F8518" s="2" t="s">
        <v>10086</v>
      </c>
      <c r="H8518" s="2">
        <v>1.1999999999999999E-3</v>
      </c>
      <c r="K8518" s="2" t="s">
        <v>10089</v>
      </c>
    </row>
    <row r="8519" spans="1:11" x14ac:dyDescent="0.2">
      <c r="A8519" s="2">
        <v>2132</v>
      </c>
      <c r="B8519" s="2">
        <v>16</v>
      </c>
      <c r="C8519" s="2">
        <v>49010762</v>
      </c>
      <c r="D8519" s="2">
        <v>50467033</v>
      </c>
      <c r="E8519" s="2">
        <v>1</v>
      </c>
      <c r="F8519" s="2" t="s">
        <v>10086</v>
      </c>
      <c r="H8519" s="2">
        <v>0.01</v>
      </c>
      <c r="K8519" s="2" t="s">
        <v>10089</v>
      </c>
    </row>
    <row r="8520" spans="1:11" x14ac:dyDescent="0.2">
      <c r="A8520" s="2">
        <v>2132</v>
      </c>
      <c r="B8520" s="2">
        <v>16</v>
      </c>
      <c r="C8520" s="2">
        <v>49010762</v>
      </c>
      <c r="D8520" s="2">
        <v>50467033</v>
      </c>
      <c r="E8520" s="2">
        <v>2</v>
      </c>
      <c r="F8520" s="2" t="s">
        <v>10086</v>
      </c>
      <c r="H8520" s="2">
        <v>7.6E-3</v>
      </c>
      <c r="K8520" s="2" t="s">
        <v>10087</v>
      </c>
    </row>
    <row r="8521" spans="1:11" x14ac:dyDescent="0.2">
      <c r="A8521" s="2">
        <v>2132</v>
      </c>
      <c r="B8521" s="2">
        <v>16</v>
      </c>
      <c r="C8521" s="2">
        <v>49010762</v>
      </c>
      <c r="D8521" s="2">
        <v>50467033</v>
      </c>
      <c r="E8521" s="2">
        <v>3</v>
      </c>
      <c r="F8521" s="2" t="s">
        <v>10086</v>
      </c>
      <c r="H8521" s="2">
        <v>1.5E-3</v>
      </c>
      <c r="K8521" s="2" t="s">
        <v>10088</v>
      </c>
    </row>
    <row r="8522" spans="1:11" x14ac:dyDescent="0.2">
      <c r="A8522" s="2">
        <v>2132</v>
      </c>
      <c r="B8522" s="2">
        <v>16</v>
      </c>
      <c r="C8522" s="2">
        <v>49010762</v>
      </c>
      <c r="D8522" s="2">
        <v>50467033</v>
      </c>
      <c r="E8522" s="2">
        <v>4</v>
      </c>
      <c r="F8522" s="2" t="s">
        <v>10086</v>
      </c>
      <c r="H8522" s="3">
        <v>8.9999999999999998E-4</v>
      </c>
      <c r="K8522" s="2" t="s">
        <v>10085</v>
      </c>
    </row>
    <row r="8523" spans="1:11" x14ac:dyDescent="0.2">
      <c r="A8523" s="2">
        <v>2133</v>
      </c>
      <c r="B8523" s="2">
        <v>16</v>
      </c>
      <c r="C8523" s="2">
        <v>50467034</v>
      </c>
      <c r="D8523" s="2">
        <v>52041336</v>
      </c>
      <c r="E8523" s="2">
        <v>1</v>
      </c>
      <c r="F8523" s="2" t="s">
        <v>10086</v>
      </c>
      <c r="H8523" s="2">
        <v>2.3E-3</v>
      </c>
      <c r="K8523" s="2" t="s">
        <v>10088</v>
      </c>
    </row>
    <row r="8524" spans="1:11" x14ac:dyDescent="0.2">
      <c r="A8524" s="2">
        <v>2133</v>
      </c>
      <c r="B8524" s="2">
        <v>16</v>
      </c>
      <c r="C8524" s="2">
        <v>50467034</v>
      </c>
      <c r="D8524" s="2">
        <v>52041336</v>
      </c>
      <c r="E8524" s="2">
        <v>2</v>
      </c>
      <c r="F8524" s="2" t="s">
        <v>10086</v>
      </c>
      <c r="H8524" s="2">
        <v>2.0999999999999999E-3</v>
      </c>
      <c r="K8524" s="2" t="s">
        <v>10085</v>
      </c>
    </row>
    <row r="8525" spans="1:11" x14ac:dyDescent="0.2">
      <c r="A8525" s="2">
        <v>2133</v>
      </c>
      <c r="B8525" s="2">
        <v>16</v>
      </c>
      <c r="C8525" s="2">
        <v>50467034</v>
      </c>
      <c r="D8525" s="2">
        <v>52041336</v>
      </c>
      <c r="E8525" s="2">
        <v>3</v>
      </c>
      <c r="F8525" s="2" t="s">
        <v>10086</v>
      </c>
      <c r="H8525" s="2">
        <v>1.2999999999999999E-3</v>
      </c>
      <c r="K8525" s="2" t="s">
        <v>10089</v>
      </c>
    </row>
    <row r="8526" spans="1:11" x14ac:dyDescent="0.2">
      <c r="A8526" s="2">
        <v>2133</v>
      </c>
      <c r="B8526" s="2">
        <v>16</v>
      </c>
      <c r="C8526" s="2">
        <v>50467034</v>
      </c>
      <c r="D8526" s="2">
        <v>52041336</v>
      </c>
      <c r="E8526" s="2">
        <v>4</v>
      </c>
      <c r="F8526" s="2" t="s">
        <v>10086</v>
      </c>
      <c r="H8526" s="3">
        <v>8.0000000000000004E-4</v>
      </c>
      <c r="K8526" s="2" t="s">
        <v>12324</v>
      </c>
    </row>
    <row r="8527" spans="1:11" x14ac:dyDescent="0.2">
      <c r="A8527" s="2">
        <v>2134</v>
      </c>
      <c r="B8527" s="2">
        <v>16</v>
      </c>
      <c r="C8527" s="2">
        <v>52041337</v>
      </c>
      <c r="D8527" s="2">
        <v>53393882</v>
      </c>
      <c r="E8527" s="2">
        <v>1</v>
      </c>
      <c r="F8527" s="2" t="s">
        <v>10086</v>
      </c>
      <c r="H8527" s="2">
        <v>1.6000000000000001E-3</v>
      </c>
      <c r="K8527" s="2" t="s">
        <v>10089</v>
      </c>
    </row>
    <row r="8528" spans="1:11" x14ac:dyDescent="0.2">
      <c r="A8528" s="2">
        <v>2134</v>
      </c>
      <c r="B8528" s="2">
        <v>16</v>
      </c>
      <c r="C8528" s="2">
        <v>52041337</v>
      </c>
      <c r="D8528" s="2">
        <v>53393882</v>
      </c>
      <c r="E8528" s="2">
        <v>2</v>
      </c>
      <c r="F8528" s="2" t="s">
        <v>10086</v>
      </c>
      <c r="H8528" s="2">
        <v>1.2999999999999999E-3</v>
      </c>
      <c r="K8528" s="2" t="s">
        <v>10087</v>
      </c>
    </row>
    <row r="8529" spans="1:11" x14ac:dyDescent="0.2">
      <c r="A8529" s="2">
        <v>2134</v>
      </c>
      <c r="B8529" s="2">
        <v>16</v>
      </c>
      <c r="C8529" s="2">
        <v>52041337</v>
      </c>
      <c r="D8529" s="2">
        <v>53393882</v>
      </c>
      <c r="E8529" s="2">
        <v>3</v>
      </c>
      <c r="F8529" s="2" t="s">
        <v>10086</v>
      </c>
      <c r="H8529" s="2">
        <v>1.1000000000000001E-3</v>
      </c>
      <c r="K8529" s="2" t="s">
        <v>10088</v>
      </c>
    </row>
    <row r="8530" spans="1:11" x14ac:dyDescent="0.2">
      <c r="A8530" s="2">
        <v>2134</v>
      </c>
      <c r="B8530" s="2">
        <v>16</v>
      </c>
      <c r="C8530" s="2">
        <v>52041337</v>
      </c>
      <c r="D8530" s="2">
        <v>53393882</v>
      </c>
      <c r="E8530" s="2">
        <v>4</v>
      </c>
      <c r="F8530" s="2" t="s">
        <v>10086</v>
      </c>
      <c r="H8530" s="3">
        <v>5.9999999999999995E-4</v>
      </c>
      <c r="K8530" s="2" t="s">
        <v>10085</v>
      </c>
    </row>
    <row r="8531" spans="1:11" x14ac:dyDescent="0.2">
      <c r="A8531" s="2">
        <v>2135</v>
      </c>
      <c r="B8531" s="2">
        <v>16</v>
      </c>
      <c r="C8531" s="2">
        <v>53393883</v>
      </c>
      <c r="D8531" s="2">
        <v>54866095</v>
      </c>
      <c r="E8531" s="2">
        <v>1</v>
      </c>
      <c r="F8531" s="2" t="s">
        <v>10086</v>
      </c>
      <c r="H8531" s="2">
        <v>1.06E-2</v>
      </c>
      <c r="K8531" s="2" t="s">
        <v>10088</v>
      </c>
    </row>
    <row r="8532" spans="1:11" x14ac:dyDescent="0.2">
      <c r="A8532" s="2">
        <v>2135</v>
      </c>
      <c r="B8532" s="2">
        <v>16</v>
      </c>
      <c r="C8532" s="2">
        <v>53393883</v>
      </c>
      <c r="D8532" s="2">
        <v>54866095</v>
      </c>
      <c r="E8532" s="2">
        <v>2</v>
      </c>
      <c r="F8532" s="2" t="s">
        <v>10086</v>
      </c>
      <c r="H8532" s="2">
        <v>3.0599999999999999E-2</v>
      </c>
      <c r="K8532" s="2" t="s">
        <v>10089</v>
      </c>
    </row>
    <row r="8533" spans="1:11" x14ac:dyDescent="0.2">
      <c r="A8533" s="2">
        <v>2135</v>
      </c>
      <c r="B8533" s="2">
        <v>16</v>
      </c>
      <c r="C8533" s="2">
        <v>53393883</v>
      </c>
      <c r="D8533" s="2">
        <v>54866095</v>
      </c>
      <c r="E8533" s="2">
        <v>3</v>
      </c>
      <c r="F8533" s="2" t="s">
        <v>10086</v>
      </c>
      <c r="H8533" s="2">
        <v>3.3999999999999998E-3</v>
      </c>
      <c r="K8533" s="2" t="s">
        <v>10087</v>
      </c>
    </row>
    <row r="8534" spans="1:11" x14ac:dyDescent="0.2">
      <c r="A8534" s="2">
        <v>2135</v>
      </c>
      <c r="B8534" s="2">
        <v>16</v>
      </c>
      <c r="C8534" s="2">
        <v>53393883</v>
      </c>
      <c r="D8534" s="2">
        <v>54866095</v>
      </c>
      <c r="E8534" s="2">
        <v>4</v>
      </c>
      <c r="F8534" s="2" t="s">
        <v>10086</v>
      </c>
      <c r="H8534" s="2">
        <v>1.2999999999999999E-3</v>
      </c>
      <c r="K8534" s="2" t="s">
        <v>12324</v>
      </c>
    </row>
    <row r="8535" spans="1:11" x14ac:dyDescent="0.2">
      <c r="A8535" s="2">
        <v>2136</v>
      </c>
      <c r="B8535" s="2">
        <v>16</v>
      </c>
      <c r="C8535" s="2">
        <v>54866096</v>
      </c>
      <c r="D8535" s="2">
        <v>55907389</v>
      </c>
      <c r="E8535" s="2">
        <v>1</v>
      </c>
      <c r="F8535" s="2" t="s">
        <v>10086</v>
      </c>
      <c r="H8535" s="2">
        <v>6.7999999999999996E-3</v>
      </c>
      <c r="K8535" s="2" t="s">
        <v>12324</v>
      </c>
    </row>
    <row r="8536" spans="1:11" x14ac:dyDescent="0.2">
      <c r="A8536" s="2">
        <v>2136</v>
      </c>
      <c r="B8536" s="2">
        <v>16</v>
      </c>
      <c r="C8536" s="2">
        <v>54866096</v>
      </c>
      <c r="D8536" s="2">
        <v>55907389</v>
      </c>
      <c r="E8536" s="2">
        <v>2</v>
      </c>
      <c r="F8536" s="2" t="s">
        <v>10086</v>
      </c>
      <c r="H8536" s="2">
        <v>1.5E-3</v>
      </c>
      <c r="K8536" s="2" t="s">
        <v>10089</v>
      </c>
    </row>
    <row r="8537" spans="1:11" x14ac:dyDescent="0.2">
      <c r="A8537" s="2">
        <v>2136</v>
      </c>
      <c r="B8537" s="2">
        <v>16</v>
      </c>
      <c r="C8537" s="2">
        <v>54866096</v>
      </c>
      <c r="D8537" s="2">
        <v>55907389</v>
      </c>
      <c r="E8537" s="2">
        <v>3</v>
      </c>
      <c r="F8537" s="2" t="s">
        <v>10086</v>
      </c>
      <c r="H8537" s="2">
        <v>2.3E-3</v>
      </c>
      <c r="K8537" s="2" t="s">
        <v>10087</v>
      </c>
    </row>
    <row r="8538" spans="1:11" x14ac:dyDescent="0.2">
      <c r="A8538" s="2">
        <v>2136</v>
      </c>
      <c r="B8538" s="2">
        <v>16</v>
      </c>
      <c r="C8538" s="2">
        <v>54866096</v>
      </c>
      <c r="D8538" s="2">
        <v>55907389</v>
      </c>
      <c r="E8538" s="2">
        <v>4</v>
      </c>
      <c r="F8538" s="2" t="s">
        <v>10086</v>
      </c>
      <c r="H8538" s="2">
        <v>1E-3</v>
      </c>
      <c r="K8538" s="2" t="s">
        <v>10085</v>
      </c>
    </row>
    <row r="8539" spans="1:11" x14ac:dyDescent="0.2">
      <c r="A8539" s="2">
        <v>2137</v>
      </c>
      <c r="B8539" s="2">
        <v>16</v>
      </c>
      <c r="C8539" s="2">
        <v>55907390</v>
      </c>
      <c r="D8539" s="2">
        <v>57119889</v>
      </c>
      <c r="E8539" s="2">
        <v>1</v>
      </c>
      <c r="F8539" s="2" t="s">
        <v>10086</v>
      </c>
      <c r="H8539" s="2">
        <v>6.1999999999999998E-3</v>
      </c>
      <c r="K8539" s="2" t="s">
        <v>10087</v>
      </c>
    </row>
    <row r="8540" spans="1:11" x14ac:dyDescent="0.2">
      <c r="A8540" s="2">
        <v>2137</v>
      </c>
      <c r="B8540" s="2">
        <v>16</v>
      </c>
      <c r="C8540" s="2">
        <v>55907390</v>
      </c>
      <c r="D8540" s="2">
        <v>57119889</v>
      </c>
      <c r="E8540" s="2">
        <v>2</v>
      </c>
      <c r="F8540" s="2" t="s">
        <v>10086</v>
      </c>
      <c r="H8540" s="2">
        <v>1.6000000000000001E-3</v>
      </c>
      <c r="K8540" s="2" t="s">
        <v>10085</v>
      </c>
    </row>
    <row r="8541" spans="1:11" x14ac:dyDescent="0.2">
      <c r="A8541" s="2">
        <v>2137</v>
      </c>
      <c r="B8541" s="2">
        <v>16</v>
      </c>
      <c r="C8541" s="2">
        <v>55907390</v>
      </c>
      <c r="D8541" s="2">
        <v>57119889</v>
      </c>
      <c r="E8541" s="2">
        <v>3</v>
      </c>
      <c r="F8541" s="2" t="s">
        <v>10086</v>
      </c>
      <c r="H8541" s="2">
        <v>1.2999999999999999E-3</v>
      </c>
      <c r="K8541" s="2" t="s">
        <v>10088</v>
      </c>
    </row>
    <row r="8542" spans="1:11" x14ac:dyDescent="0.2">
      <c r="A8542" s="2">
        <v>2137</v>
      </c>
      <c r="B8542" s="2">
        <v>16</v>
      </c>
      <c r="C8542" s="2">
        <v>55907390</v>
      </c>
      <c r="D8542" s="2">
        <v>57119889</v>
      </c>
      <c r="E8542" s="2">
        <v>4</v>
      </c>
      <c r="F8542" s="2" t="s">
        <v>10086</v>
      </c>
      <c r="H8542" s="2">
        <v>1E-3</v>
      </c>
      <c r="K8542" s="2" t="s">
        <v>10089</v>
      </c>
    </row>
    <row r="8543" spans="1:11" x14ac:dyDescent="0.2">
      <c r="A8543" s="2">
        <v>2138</v>
      </c>
      <c r="B8543" s="2">
        <v>16</v>
      </c>
      <c r="C8543" s="2">
        <v>57119890</v>
      </c>
      <c r="D8543" s="2">
        <v>58508978</v>
      </c>
      <c r="E8543" s="2">
        <v>1</v>
      </c>
      <c r="F8543" s="2" t="s">
        <v>10086</v>
      </c>
      <c r="H8543" s="2">
        <v>4.3E-3</v>
      </c>
      <c r="K8543" s="2" t="s">
        <v>10088</v>
      </c>
    </row>
    <row r="8544" spans="1:11" x14ac:dyDescent="0.2">
      <c r="A8544" s="2">
        <v>2138</v>
      </c>
      <c r="B8544" s="2">
        <v>16</v>
      </c>
      <c r="C8544" s="2">
        <v>57119890</v>
      </c>
      <c r="D8544" s="2">
        <v>58508978</v>
      </c>
      <c r="E8544" s="2">
        <v>2</v>
      </c>
      <c r="F8544" s="2" t="s">
        <v>10086</v>
      </c>
      <c r="H8544" s="2">
        <v>2.5999999999999999E-3</v>
      </c>
      <c r="K8544" s="2" t="s">
        <v>10085</v>
      </c>
    </row>
    <row r="8545" spans="1:11" x14ac:dyDescent="0.2">
      <c r="A8545" s="2">
        <v>2138</v>
      </c>
      <c r="B8545" s="2">
        <v>16</v>
      </c>
      <c r="C8545" s="2">
        <v>57119890</v>
      </c>
      <c r="D8545" s="2">
        <v>58508978</v>
      </c>
      <c r="E8545" s="2">
        <v>3</v>
      </c>
      <c r="F8545" s="2" t="s">
        <v>10086</v>
      </c>
      <c r="H8545" s="2">
        <v>2.8E-3</v>
      </c>
      <c r="K8545" s="2" t="s">
        <v>10089</v>
      </c>
    </row>
    <row r="8546" spans="1:11" x14ac:dyDescent="0.2">
      <c r="A8546" s="2">
        <v>2138</v>
      </c>
      <c r="B8546" s="2">
        <v>16</v>
      </c>
      <c r="C8546" s="2">
        <v>57119890</v>
      </c>
      <c r="D8546" s="2">
        <v>58508978</v>
      </c>
      <c r="E8546" s="2">
        <v>4</v>
      </c>
      <c r="F8546" s="2" t="s">
        <v>10086</v>
      </c>
      <c r="H8546" s="2">
        <v>1.5E-3</v>
      </c>
      <c r="K8546" s="2" t="s">
        <v>10087</v>
      </c>
    </row>
    <row r="8547" spans="1:11" x14ac:dyDescent="0.2">
      <c r="A8547" s="2">
        <v>2139</v>
      </c>
      <c r="B8547" s="2">
        <v>16</v>
      </c>
      <c r="C8547" s="2">
        <v>58508979</v>
      </c>
      <c r="D8547" s="2">
        <v>59885499</v>
      </c>
      <c r="E8547" s="2">
        <v>1</v>
      </c>
      <c r="F8547" s="2" t="s">
        <v>10086</v>
      </c>
      <c r="H8547" s="2">
        <v>5.1000000000000004E-3</v>
      </c>
      <c r="K8547" s="2" t="s">
        <v>10087</v>
      </c>
    </row>
    <row r="8548" spans="1:11" x14ac:dyDescent="0.2">
      <c r="A8548" s="2">
        <v>2139</v>
      </c>
      <c r="B8548" s="2">
        <v>16</v>
      </c>
      <c r="C8548" s="2">
        <v>58508979</v>
      </c>
      <c r="D8548" s="2">
        <v>59885499</v>
      </c>
      <c r="E8548" s="2">
        <v>2</v>
      </c>
      <c r="F8548" s="2" t="s">
        <v>10086</v>
      </c>
      <c r="H8548" s="2">
        <v>2E-3</v>
      </c>
      <c r="K8548" s="2" t="s">
        <v>10085</v>
      </c>
    </row>
    <row r="8549" spans="1:11" x14ac:dyDescent="0.2">
      <c r="A8549" s="2">
        <v>2139</v>
      </c>
      <c r="B8549" s="2">
        <v>16</v>
      </c>
      <c r="C8549" s="2">
        <v>58508979</v>
      </c>
      <c r="D8549" s="2">
        <v>59885499</v>
      </c>
      <c r="E8549" s="2">
        <v>3</v>
      </c>
      <c r="F8549" s="2" t="s">
        <v>10086</v>
      </c>
      <c r="H8549" s="2">
        <v>1.4E-3</v>
      </c>
      <c r="K8549" s="2" t="s">
        <v>10089</v>
      </c>
    </row>
    <row r="8550" spans="1:11" x14ac:dyDescent="0.2">
      <c r="A8550" s="2">
        <v>2139</v>
      </c>
      <c r="B8550" s="2">
        <v>16</v>
      </c>
      <c r="C8550" s="2">
        <v>58508979</v>
      </c>
      <c r="D8550" s="2">
        <v>59885499</v>
      </c>
      <c r="E8550" s="2">
        <v>4</v>
      </c>
      <c r="F8550" s="2" t="s">
        <v>10086</v>
      </c>
      <c r="H8550" s="3">
        <v>5.0000000000000001E-4</v>
      </c>
      <c r="K8550" s="2" t="s">
        <v>10088</v>
      </c>
    </row>
    <row r="8551" spans="1:11" x14ac:dyDescent="0.2">
      <c r="A8551" s="2">
        <v>2140</v>
      </c>
      <c r="B8551" s="2">
        <v>16</v>
      </c>
      <c r="C8551" s="2">
        <v>59885500</v>
      </c>
      <c r="D8551" s="2">
        <v>61092844</v>
      </c>
      <c r="E8551" s="2">
        <v>1</v>
      </c>
      <c r="F8551" s="2" t="s">
        <v>10086</v>
      </c>
      <c r="H8551" s="2">
        <v>3.0999999999999999E-3</v>
      </c>
      <c r="K8551" s="2" t="s">
        <v>10085</v>
      </c>
    </row>
    <row r="8552" spans="1:11" x14ac:dyDescent="0.2">
      <c r="A8552" s="2">
        <v>2140</v>
      </c>
      <c r="B8552" s="2">
        <v>16</v>
      </c>
      <c r="C8552" s="2">
        <v>59885500</v>
      </c>
      <c r="D8552" s="2">
        <v>61092844</v>
      </c>
      <c r="E8552" s="2">
        <v>2</v>
      </c>
      <c r="F8552" s="2" t="s">
        <v>10086</v>
      </c>
      <c r="H8552" s="2">
        <v>2.5000000000000001E-3</v>
      </c>
      <c r="K8552" s="2" t="s">
        <v>10087</v>
      </c>
    </row>
    <row r="8553" spans="1:11" x14ac:dyDescent="0.2">
      <c r="A8553" s="2">
        <v>2140</v>
      </c>
      <c r="B8553" s="2">
        <v>16</v>
      </c>
      <c r="C8553" s="2">
        <v>59885500</v>
      </c>
      <c r="D8553" s="2">
        <v>61092844</v>
      </c>
      <c r="E8553" s="2">
        <v>3</v>
      </c>
      <c r="F8553" s="2" t="s">
        <v>10086</v>
      </c>
      <c r="H8553" s="2">
        <v>1.6000000000000001E-3</v>
      </c>
      <c r="K8553" s="2" t="s">
        <v>10089</v>
      </c>
    </row>
    <row r="8554" spans="1:11" x14ac:dyDescent="0.2">
      <c r="A8554" s="2">
        <v>2140</v>
      </c>
      <c r="B8554" s="2">
        <v>16</v>
      </c>
      <c r="C8554" s="2">
        <v>59885500</v>
      </c>
      <c r="D8554" s="2">
        <v>61092844</v>
      </c>
      <c r="E8554" s="2">
        <v>4</v>
      </c>
      <c r="F8554" s="2" t="s">
        <v>10086</v>
      </c>
      <c r="H8554" s="3">
        <v>5.9999999999999995E-4</v>
      </c>
      <c r="K8554" s="2" t="s">
        <v>10088</v>
      </c>
    </row>
    <row r="8555" spans="1:11" x14ac:dyDescent="0.2">
      <c r="A8555" s="2">
        <v>2141</v>
      </c>
      <c r="B8555" s="2">
        <v>16</v>
      </c>
      <c r="C8555" s="2">
        <v>61092845</v>
      </c>
      <c r="D8555" s="2">
        <v>62607090</v>
      </c>
      <c r="E8555" s="2">
        <v>1</v>
      </c>
      <c r="F8555" s="2" t="s">
        <v>10086</v>
      </c>
      <c r="H8555" s="2">
        <v>2.5000000000000001E-3</v>
      </c>
      <c r="K8555" s="2" t="s">
        <v>10088</v>
      </c>
    </row>
    <row r="8556" spans="1:11" x14ac:dyDescent="0.2">
      <c r="A8556" s="2">
        <v>2141</v>
      </c>
      <c r="B8556" s="2">
        <v>16</v>
      </c>
      <c r="C8556" s="2">
        <v>61092845</v>
      </c>
      <c r="D8556" s="2">
        <v>62607090</v>
      </c>
      <c r="E8556" s="2">
        <v>2</v>
      </c>
      <c r="F8556" s="2" t="s">
        <v>10086</v>
      </c>
      <c r="H8556" s="2">
        <v>1.2999999999999999E-3</v>
      </c>
      <c r="K8556" s="2" t="s">
        <v>10087</v>
      </c>
    </row>
    <row r="8557" spans="1:11" x14ac:dyDescent="0.2">
      <c r="A8557" s="2">
        <v>2141</v>
      </c>
      <c r="B8557" s="2">
        <v>16</v>
      </c>
      <c r="C8557" s="2">
        <v>61092845</v>
      </c>
      <c r="D8557" s="2">
        <v>62607090</v>
      </c>
      <c r="E8557" s="2">
        <v>3</v>
      </c>
      <c r="F8557" s="2" t="s">
        <v>10086</v>
      </c>
      <c r="H8557" s="2">
        <v>1.2999999999999999E-3</v>
      </c>
      <c r="K8557" s="2" t="s">
        <v>10089</v>
      </c>
    </row>
    <row r="8558" spans="1:11" x14ac:dyDescent="0.2">
      <c r="A8558" s="2">
        <v>2141</v>
      </c>
      <c r="B8558" s="2">
        <v>16</v>
      </c>
      <c r="C8558" s="2">
        <v>61092845</v>
      </c>
      <c r="D8558" s="2">
        <v>62607090</v>
      </c>
      <c r="E8558" s="2">
        <v>4</v>
      </c>
      <c r="F8558" s="2" t="s">
        <v>10086</v>
      </c>
      <c r="H8558" s="3">
        <v>6.9999999999999999E-4</v>
      </c>
      <c r="K8558" s="2" t="s">
        <v>10085</v>
      </c>
    </row>
    <row r="8559" spans="1:11" x14ac:dyDescent="0.2">
      <c r="A8559" s="2">
        <v>2142</v>
      </c>
      <c r="B8559" s="2">
        <v>16</v>
      </c>
      <c r="C8559" s="2">
        <v>62607091</v>
      </c>
      <c r="D8559" s="2">
        <v>64207176</v>
      </c>
      <c r="E8559" s="2">
        <v>1</v>
      </c>
      <c r="F8559" s="2" t="s">
        <v>10086</v>
      </c>
      <c r="H8559" s="2">
        <v>1.5E-3</v>
      </c>
      <c r="K8559" s="2" t="s">
        <v>10089</v>
      </c>
    </row>
    <row r="8560" spans="1:11" x14ac:dyDescent="0.2">
      <c r="A8560" s="2">
        <v>2142</v>
      </c>
      <c r="B8560" s="2">
        <v>16</v>
      </c>
      <c r="C8560" s="2">
        <v>62607091</v>
      </c>
      <c r="D8560" s="2">
        <v>64207176</v>
      </c>
      <c r="E8560" s="2">
        <v>2</v>
      </c>
      <c r="F8560" s="2" t="s">
        <v>10086</v>
      </c>
      <c r="H8560" s="2">
        <v>1.2999999999999999E-3</v>
      </c>
      <c r="K8560" s="2" t="s">
        <v>10085</v>
      </c>
    </row>
    <row r="8561" spans="1:11" x14ac:dyDescent="0.2">
      <c r="A8561" s="2">
        <v>2142</v>
      </c>
      <c r="B8561" s="2">
        <v>16</v>
      </c>
      <c r="C8561" s="2">
        <v>62607091</v>
      </c>
      <c r="D8561" s="2">
        <v>64207176</v>
      </c>
      <c r="E8561" s="2">
        <v>3</v>
      </c>
      <c r="F8561" s="2" t="s">
        <v>10086</v>
      </c>
      <c r="H8561" s="2">
        <v>1E-3</v>
      </c>
      <c r="K8561" s="2" t="s">
        <v>10088</v>
      </c>
    </row>
    <row r="8562" spans="1:11" x14ac:dyDescent="0.2">
      <c r="A8562" s="2">
        <v>2142</v>
      </c>
      <c r="B8562" s="2">
        <v>16</v>
      </c>
      <c r="C8562" s="2">
        <v>62607091</v>
      </c>
      <c r="D8562" s="2">
        <v>64207176</v>
      </c>
      <c r="E8562" s="2">
        <v>4</v>
      </c>
      <c r="F8562" s="2" t="s">
        <v>10086</v>
      </c>
      <c r="H8562" s="3">
        <v>5.0000000000000001E-4</v>
      </c>
      <c r="K8562" s="2" t="s">
        <v>10087</v>
      </c>
    </row>
    <row r="8563" spans="1:11" x14ac:dyDescent="0.2">
      <c r="A8563" s="2">
        <v>2143</v>
      </c>
      <c r="B8563" s="2">
        <v>16</v>
      </c>
      <c r="C8563" s="2">
        <v>64207177</v>
      </c>
      <c r="D8563" s="2">
        <v>65072403</v>
      </c>
      <c r="E8563" s="2">
        <v>1</v>
      </c>
      <c r="F8563" s="2" t="s">
        <v>10086</v>
      </c>
      <c r="H8563" s="2">
        <v>1.14E-2</v>
      </c>
      <c r="K8563" s="2" t="s">
        <v>10088</v>
      </c>
    </row>
    <row r="8564" spans="1:11" x14ac:dyDescent="0.2">
      <c r="A8564" s="2">
        <v>2143</v>
      </c>
      <c r="B8564" s="2">
        <v>16</v>
      </c>
      <c r="C8564" s="2">
        <v>64207177</v>
      </c>
      <c r="D8564" s="2">
        <v>65072403</v>
      </c>
      <c r="E8564" s="2">
        <v>2</v>
      </c>
      <c r="F8564" s="2" t="s">
        <v>10086</v>
      </c>
      <c r="H8564" s="2">
        <v>3.8999999999999998E-3</v>
      </c>
      <c r="K8564" s="2" t="s">
        <v>10089</v>
      </c>
    </row>
    <row r="8565" spans="1:11" x14ac:dyDescent="0.2">
      <c r="A8565" s="2">
        <v>2143</v>
      </c>
      <c r="B8565" s="2">
        <v>16</v>
      </c>
      <c r="C8565" s="2">
        <v>64207177</v>
      </c>
      <c r="D8565" s="2">
        <v>65072403</v>
      </c>
      <c r="E8565" s="2">
        <v>3</v>
      </c>
      <c r="F8565" s="2" t="s">
        <v>10086</v>
      </c>
      <c r="H8565" s="2">
        <v>1.1000000000000001E-3</v>
      </c>
      <c r="K8565" s="2" t="s">
        <v>10087</v>
      </c>
    </row>
    <row r="8566" spans="1:11" x14ac:dyDescent="0.2">
      <c r="A8566" s="2">
        <v>2143</v>
      </c>
      <c r="B8566" s="2">
        <v>16</v>
      </c>
      <c r="C8566" s="2">
        <v>64207177</v>
      </c>
      <c r="D8566" s="2">
        <v>65072403</v>
      </c>
      <c r="E8566" s="2">
        <v>4</v>
      </c>
      <c r="F8566" s="2" t="s">
        <v>10086</v>
      </c>
      <c r="H8566" s="3">
        <v>2.9999999999999997E-4</v>
      </c>
      <c r="K8566" s="2" t="s">
        <v>10085</v>
      </c>
    </row>
    <row r="8567" spans="1:11" x14ac:dyDescent="0.2">
      <c r="A8567" s="2">
        <v>2144</v>
      </c>
      <c r="B8567" s="2">
        <v>16</v>
      </c>
      <c r="C8567" s="2">
        <v>65072404</v>
      </c>
      <c r="D8567" s="2">
        <v>65882820</v>
      </c>
      <c r="E8567" s="2">
        <v>1</v>
      </c>
      <c r="F8567" s="2" t="s">
        <v>10086</v>
      </c>
      <c r="H8567" s="2">
        <v>2.5000000000000001E-3</v>
      </c>
      <c r="K8567" s="2" t="s">
        <v>10089</v>
      </c>
    </row>
    <row r="8568" spans="1:11" x14ac:dyDescent="0.2">
      <c r="A8568" s="2">
        <v>2144</v>
      </c>
      <c r="B8568" s="2">
        <v>16</v>
      </c>
      <c r="C8568" s="2">
        <v>65072404</v>
      </c>
      <c r="D8568" s="2">
        <v>65882820</v>
      </c>
      <c r="E8568" s="2">
        <v>2</v>
      </c>
      <c r="F8568" s="2" t="s">
        <v>10086</v>
      </c>
      <c r="H8568" s="2">
        <v>2.2000000000000001E-3</v>
      </c>
      <c r="K8568" s="2" t="s">
        <v>10088</v>
      </c>
    </row>
    <row r="8569" spans="1:11" x14ac:dyDescent="0.2">
      <c r="A8569" s="2">
        <v>2144</v>
      </c>
      <c r="B8569" s="2">
        <v>16</v>
      </c>
      <c r="C8569" s="2">
        <v>65072404</v>
      </c>
      <c r="D8569" s="2">
        <v>65882820</v>
      </c>
      <c r="E8569" s="2">
        <v>3</v>
      </c>
      <c r="F8569" s="2" t="s">
        <v>10086</v>
      </c>
      <c r="H8569" s="2">
        <v>1.1999999999999999E-3</v>
      </c>
      <c r="K8569" s="2" t="s">
        <v>10085</v>
      </c>
    </row>
    <row r="8570" spans="1:11" x14ac:dyDescent="0.2">
      <c r="A8570" s="2">
        <v>2144</v>
      </c>
      <c r="B8570" s="2">
        <v>16</v>
      </c>
      <c r="C8570" s="2">
        <v>65072404</v>
      </c>
      <c r="D8570" s="2">
        <v>65882820</v>
      </c>
      <c r="E8570" s="2">
        <v>4</v>
      </c>
      <c r="F8570" s="2" t="s">
        <v>10086</v>
      </c>
      <c r="H8570" s="3">
        <v>2.9999999999999997E-4</v>
      </c>
      <c r="K8570" s="2" t="s">
        <v>10087</v>
      </c>
    </row>
    <row r="8571" spans="1:11" x14ac:dyDescent="0.2">
      <c r="A8571" s="2">
        <v>2145</v>
      </c>
      <c r="B8571" s="2">
        <v>16</v>
      </c>
      <c r="C8571" s="2">
        <v>65882821</v>
      </c>
      <c r="D8571" s="2">
        <v>66738843</v>
      </c>
      <c r="E8571" s="2">
        <v>1</v>
      </c>
      <c r="F8571" s="2" t="s">
        <v>10086</v>
      </c>
      <c r="H8571" s="2">
        <v>7.4000000000000003E-3</v>
      </c>
      <c r="K8571" s="2" t="s">
        <v>12324</v>
      </c>
    </row>
    <row r="8572" spans="1:11" x14ac:dyDescent="0.2">
      <c r="A8572" s="2">
        <v>2145</v>
      </c>
      <c r="B8572" s="2">
        <v>16</v>
      </c>
      <c r="C8572" s="2">
        <v>65882821</v>
      </c>
      <c r="D8572" s="2">
        <v>66738843</v>
      </c>
      <c r="E8572" s="2">
        <v>2</v>
      </c>
      <c r="F8572" s="2" t="s">
        <v>10086</v>
      </c>
      <c r="H8572" s="2">
        <v>2.7000000000000001E-3</v>
      </c>
      <c r="K8572" s="2" t="s">
        <v>10087</v>
      </c>
    </row>
    <row r="8573" spans="1:11" x14ac:dyDescent="0.2">
      <c r="A8573" s="2">
        <v>2145</v>
      </c>
      <c r="B8573" s="2">
        <v>16</v>
      </c>
      <c r="C8573" s="2">
        <v>65882821</v>
      </c>
      <c r="D8573" s="2">
        <v>66738843</v>
      </c>
      <c r="E8573" s="2">
        <v>3</v>
      </c>
      <c r="F8573" s="2" t="s">
        <v>10086</v>
      </c>
      <c r="H8573" s="2">
        <v>1E-3</v>
      </c>
      <c r="K8573" s="2" t="s">
        <v>10085</v>
      </c>
    </row>
    <row r="8574" spans="1:11" x14ac:dyDescent="0.2">
      <c r="A8574" s="2">
        <v>2145</v>
      </c>
      <c r="B8574" s="2">
        <v>16</v>
      </c>
      <c r="C8574" s="2">
        <v>65882821</v>
      </c>
      <c r="D8574" s="2">
        <v>66738843</v>
      </c>
      <c r="E8574" s="2">
        <v>4</v>
      </c>
      <c r="F8574" s="2" t="s">
        <v>10086</v>
      </c>
      <c r="H8574" s="3">
        <v>8.9999999999999998E-4</v>
      </c>
      <c r="K8574" s="2" t="s">
        <v>10089</v>
      </c>
    </row>
    <row r="8575" spans="1:11" x14ac:dyDescent="0.2">
      <c r="A8575" s="2">
        <v>2146</v>
      </c>
      <c r="B8575" s="2">
        <v>16</v>
      </c>
      <c r="C8575" s="2">
        <v>66738844</v>
      </c>
      <c r="D8575" s="2">
        <v>68435728</v>
      </c>
      <c r="E8575" s="2">
        <v>1</v>
      </c>
      <c r="F8575" s="2" t="s">
        <v>10086</v>
      </c>
      <c r="H8575" s="2">
        <v>2.8999999999999998E-3</v>
      </c>
      <c r="K8575" s="2" t="s">
        <v>12324</v>
      </c>
    </row>
    <row r="8576" spans="1:11" x14ac:dyDescent="0.2">
      <c r="A8576" s="2">
        <v>2146</v>
      </c>
      <c r="B8576" s="2">
        <v>16</v>
      </c>
      <c r="C8576" s="2">
        <v>66738844</v>
      </c>
      <c r="D8576" s="2">
        <v>68435728</v>
      </c>
      <c r="E8576" s="2">
        <v>2</v>
      </c>
      <c r="F8576" s="2" t="s">
        <v>10086</v>
      </c>
      <c r="H8576" s="2">
        <v>2E-3</v>
      </c>
      <c r="K8576" s="2" t="s">
        <v>10087</v>
      </c>
    </row>
    <row r="8577" spans="1:11" x14ac:dyDescent="0.2">
      <c r="A8577" s="2">
        <v>2146</v>
      </c>
      <c r="B8577" s="2">
        <v>16</v>
      </c>
      <c r="C8577" s="2">
        <v>66738844</v>
      </c>
      <c r="D8577" s="2">
        <v>68435728</v>
      </c>
      <c r="E8577" s="2">
        <v>3</v>
      </c>
      <c r="F8577" s="2" t="s">
        <v>10086</v>
      </c>
      <c r="H8577" s="2">
        <v>1.1000000000000001E-3</v>
      </c>
      <c r="K8577" s="2" t="s">
        <v>10088</v>
      </c>
    </row>
    <row r="8578" spans="1:11" x14ac:dyDescent="0.2">
      <c r="A8578" s="2">
        <v>2146</v>
      </c>
      <c r="B8578" s="2">
        <v>16</v>
      </c>
      <c r="C8578" s="2">
        <v>66738844</v>
      </c>
      <c r="D8578" s="2">
        <v>68435728</v>
      </c>
      <c r="E8578" s="2">
        <v>4</v>
      </c>
      <c r="F8578" s="2" t="s">
        <v>10086</v>
      </c>
      <c r="H8578" s="3">
        <v>8.0000000000000004E-4</v>
      </c>
      <c r="K8578" s="2" t="s">
        <v>10085</v>
      </c>
    </row>
    <row r="8579" spans="1:11" x14ac:dyDescent="0.2">
      <c r="A8579" s="2">
        <v>2147</v>
      </c>
      <c r="B8579" s="2">
        <v>16</v>
      </c>
      <c r="C8579" s="2">
        <v>68435729</v>
      </c>
      <c r="D8579" s="2">
        <v>69549149</v>
      </c>
      <c r="E8579" s="2">
        <v>1</v>
      </c>
      <c r="F8579" s="2" t="s">
        <v>10086</v>
      </c>
      <c r="H8579" s="2">
        <v>2E-3</v>
      </c>
      <c r="K8579" s="2" t="s">
        <v>10088</v>
      </c>
    </row>
    <row r="8580" spans="1:11" x14ac:dyDescent="0.2">
      <c r="A8580" s="2">
        <v>2147</v>
      </c>
      <c r="B8580" s="2">
        <v>16</v>
      </c>
      <c r="C8580" s="2">
        <v>68435729</v>
      </c>
      <c r="D8580" s="2">
        <v>69549149</v>
      </c>
      <c r="E8580" s="2">
        <v>2</v>
      </c>
      <c r="F8580" s="2" t="s">
        <v>10086</v>
      </c>
      <c r="H8580" s="3">
        <v>6.9999999999999999E-4</v>
      </c>
      <c r="K8580" s="2" t="s">
        <v>10085</v>
      </c>
    </row>
    <row r="8581" spans="1:11" x14ac:dyDescent="0.2">
      <c r="A8581" s="2">
        <v>2147</v>
      </c>
      <c r="B8581" s="2">
        <v>16</v>
      </c>
      <c r="C8581" s="2">
        <v>68435729</v>
      </c>
      <c r="D8581" s="2">
        <v>69549149</v>
      </c>
      <c r="E8581" s="2">
        <v>3</v>
      </c>
      <c r="F8581" s="2" t="s">
        <v>10086</v>
      </c>
      <c r="H8581" s="3">
        <v>5.9999999999999995E-4</v>
      </c>
      <c r="K8581" s="2" t="s">
        <v>10089</v>
      </c>
    </row>
    <row r="8582" spans="1:11" x14ac:dyDescent="0.2">
      <c r="A8582" s="2">
        <v>2147</v>
      </c>
      <c r="B8582" s="2">
        <v>16</v>
      </c>
      <c r="C8582" s="2">
        <v>68435729</v>
      </c>
      <c r="D8582" s="2">
        <v>69549149</v>
      </c>
      <c r="E8582" s="2">
        <v>4</v>
      </c>
      <c r="F8582" s="2" t="s">
        <v>10086</v>
      </c>
      <c r="H8582" s="3">
        <v>4.0000000000000002E-4</v>
      </c>
      <c r="K8582" s="2" t="s">
        <v>10087</v>
      </c>
    </row>
    <row r="8583" spans="1:11" x14ac:dyDescent="0.2">
      <c r="A8583" s="2">
        <v>2148</v>
      </c>
      <c r="B8583" s="2">
        <v>16</v>
      </c>
      <c r="C8583" s="2">
        <v>69549150</v>
      </c>
      <c r="D8583" s="2">
        <v>71062712</v>
      </c>
      <c r="E8583" s="2">
        <v>1</v>
      </c>
      <c r="F8583" s="2" t="s">
        <v>10086</v>
      </c>
      <c r="H8583" s="2">
        <v>1.38E-2</v>
      </c>
      <c r="K8583" s="2" t="s">
        <v>10085</v>
      </c>
    </row>
    <row r="8584" spans="1:11" x14ac:dyDescent="0.2">
      <c r="A8584" s="2">
        <v>2148</v>
      </c>
      <c r="B8584" s="2">
        <v>16</v>
      </c>
      <c r="C8584" s="2">
        <v>69549150</v>
      </c>
      <c r="D8584" s="2">
        <v>71062712</v>
      </c>
      <c r="E8584" s="2">
        <v>2</v>
      </c>
      <c r="F8584" s="2" t="s">
        <v>10086</v>
      </c>
      <c r="H8584" s="2">
        <v>5.4999999999999997E-3</v>
      </c>
      <c r="K8584" s="2" t="s">
        <v>10088</v>
      </c>
    </row>
    <row r="8585" spans="1:11" x14ac:dyDescent="0.2">
      <c r="A8585" s="2">
        <v>2148</v>
      </c>
      <c r="B8585" s="2">
        <v>16</v>
      </c>
      <c r="C8585" s="2">
        <v>69549150</v>
      </c>
      <c r="D8585" s="2">
        <v>71062712</v>
      </c>
      <c r="E8585" s="2">
        <v>3</v>
      </c>
      <c r="F8585" s="2" t="s">
        <v>10086</v>
      </c>
      <c r="H8585" s="3">
        <v>8.9999999999999998E-4</v>
      </c>
      <c r="K8585" s="2" t="s">
        <v>12324</v>
      </c>
    </row>
    <row r="8586" spans="1:11" x14ac:dyDescent="0.2">
      <c r="A8586" s="2">
        <v>2148</v>
      </c>
      <c r="B8586" s="2">
        <v>16</v>
      </c>
      <c r="C8586" s="2">
        <v>69549150</v>
      </c>
      <c r="D8586" s="2">
        <v>71062712</v>
      </c>
      <c r="E8586" s="2">
        <v>4</v>
      </c>
      <c r="F8586" s="2" t="s">
        <v>10086</v>
      </c>
      <c r="H8586" s="3">
        <v>8.0000000000000004E-4</v>
      </c>
      <c r="K8586" s="2" t="s">
        <v>10087</v>
      </c>
    </row>
    <row r="8587" spans="1:11" x14ac:dyDescent="0.2">
      <c r="A8587" s="2">
        <v>2149</v>
      </c>
      <c r="B8587" s="2">
        <v>16</v>
      </c>
      <c r="C8587" s="2">
        <v>71062713</v>
      </c>
      <c r="D8587" s="2">
        <v>72089511</v>
      </c>
      <c r="E8587" s="2">
        <v>1</v>
      </c>
      <c r="F8587" s="2" t="s">
        <v>10086</v>
      </c>
      <c r="H8587" s="2">
        <v>6.4000000000000003E-3</v>
      </c>
      <c r="K8587" s="2" t="s">
        <v>12324</v>
      </c>
    </row>
    <row r="8588" spans="1:11" x14ac:dyDescent="0.2">
      <c r="A8588" s="2">
        <v>2149</v>
      </c>
      <c r="B8588" s="2">
        <v>16</v>
      </c>
      <c r="C8588" s="2">
        <v>71062713</v>
      </c>
      <c r="D8588" s="2">
        <v>72089511</v>
      </c>
      <c r="E8588" s="2">
        <v>2</v>
      </c>
      <c r="F8588" s="2" t="s">
        <v>10086</v>
      </c>
      <c r="H8588" s="2">
        <v>1E-3</v>
      </c>
      <c r="K8588" s="2" t="s">
        <v>10089</v>
      </c>
    </row>
    <row r="8589" spans="1:11" x14ac:dyDescent="0.2">
      <c r="A8589" s="2">
        <v>2149</v>
      </c>
      <c r="B8589" s="2">
        <v>16</v>
      </c>
      <c r="C8589" s="2">
        <v>71062713</v>
      </c>
      <c r="D8589" s="2">
        <v>72089511</v>
      </c>
      <c r="E8589" s="2">
        <v>3</v>
      </c>
      <c r="F8589" s="2" t="s">
        <v>10086</v>
      </c>
      <c r="H8589" s="3">
        <v>6.9999999999999999E-4</v>
      </c>
      <c r="K8589" s="2" t="s">
        <v>10087</v>
      </c>
    </row>
    <row r="8590" spans="1:11" x14ac:dyDescent="0.2">
      <c r="A8590" s="2">
        <v>2149</v>
      </c>
      <c r="B8590" s="2">
        <v>16</v>
      </c>
      <c r="C8590" s="2">
        <v>71062713</v>
      </c>
      <c r="D8590" s="2">
        <v>72089511</v>
      </c>
      <c r="E8590" s="2">
        <v>4</v>
      </c>
      <c r="F8590" s="2" t="s">
        <v>10086</v>
      </c>
      <c r="H8590" s="3">
        <v>5.0000000000000001E-4</v>
      </c>
      <c r="K8590" s="2" t="s">
        <v>10088</v>
      </c>
    </row>
    <row r="8591" spans="1:11" x14ac:dyDescent="0.2">
      <c r="A8591" s="2">
        <v>2150</v>
      </c>
      <c r="B8591" s="2">
        <v>16</v>
      </c>
      <c r="C8591" s="2">
        <v>72089512</v>
      </c>
      <c r="D8591" s="2">
        <v>73140781</v>
      </c>
      <c r="E8591" s="2">
        <v>1</v>
      </c>
      <c r="F8591" s="2" t="s">
        <v>10086</v>
      </c>
      <c r="H8591" s="2">
        <v>1.1999999999999999E-3</v>
      </c>
      <c r="K8591" s="2" t="s">
        <v>10085</v>
      </c>
    </row>
    <row r="8592" spans="1:11" x14ac:dyDescent="0.2">
      <c r="A8592" s="2">
        <v>2150</v>
      </c>
      <c r="B8592" s="2">
        <v>16</v>
      </c>
      <c r="C8592" s="2">
        <v>72089512</v>
      </c>
      <c r="D8592" s="2">
        <v>73140781</v>
      </c>
      <c r="E8592" s="2">
        <v>2</v>
      </c>
      <c r="F8592" s="2" t="s">
        <v>10086</v>
      </c>
      <c r="H8592" s="2">
        <v>1.2999999999999999E-3</v>
      </c>
      <c r="K8592" s="2" t="s">
        <v>10087</v>
      </c>
    </row>
    <row r="8593" spans="1:11" x14ac:dyDescent="0.2">
      <c r="A8593" s="2">
        <v>2150</v>
      </c>
      <c r="B8593" s="2">
        <v>16</v>
      </c>
      <c r="C8593" s="2">
        <v>72089512</v>
      </c>
      <c r="D8593" s="2">
        <v>73140781</v>
      </c>
      <c r="E8593" s="2">
        <v>3</v>
      </c>
      <c r="F8593" s="2" t="s">
        <v>10086</v>
      </c>
      <c r="H8593" s="2">
        <v>1.1000000000000001E-3</v>
      </c>
      <c r="K8593" s="2" t="s">
        <v>10088</v>
      </c>
    </row>
    <row r="8594" spans="1:11" x14ac:dyDescent="0.2">
      <c r="A8594" s="2">
        <v>2150</v>
      </c>
      <c r="B8594" s="2">
        <v>16</v>
      </c>
      <c r="C8594" s="2">
        <v>72089512</v>
      </c>
      <c r="D8594" s="2">
        <v>73140781</v>
      </c>
      <c r="E8594" s="2">
        <v>4</v>
      </c>
      <c r="F8594" s="2" t="s">
        <v>10086</v>
      </c>
      <c r="H8594" s="3">
        <v>5.0000000000000001E-4</v>
      </c>
      <c r="K8594" s="2" t="s">
        <v>10089</v>
      </c>
    </row>
    <row r="8595" spans="1:11" x14ac:dyDescent="0.2">
      <c r="A8595" s="2">
        <v>2151</v>
      </c>
      <c r="B8595" s="2">
        <v>16</v>
      </c>
      <c r="C8595" s="2">
        <v>73140782</v>
      </c>
      <c r="D8595" s="2">
        <v>74135275</v>
      </c>
      <c r="E8595" s="2">
        <v>1</v>
      </c>
      <c r="F8595" s="2" t="s">
        <v>10086</v>
      </c>
      <c r="H8595" s="3">
        <v>8.0000000000000004E-4</v>
      </c>
      <c r="K8595" s="2" t="s">
        <v>10087</v>
      </c>
    </row>
    <row r="8596" spans="1:11" x14ac:dyDescent="0.2">
      <c r="A8596" s="2">
        <v>2151</v>
      </c>
      <c r="B8596" s="2">
        <v>16</v>
      </c>
      <c r="C8596" s="2">
        <v>73140782</v>
      </c>
      <c r="D8596" s="2">
        <v>74135275</v>
      </c>
      <c r="E8596" s="2">
        <v>2</v>
      </c>
      <c r="F8596" s="2" t="s">
        <v>10086</v>
      </c>
      <c r="H8596" s="2">
        <v>1.1000000000000001E-3</v>
      </c>
      <c r="K8596" s="2" t="s">
        <v>10085</v>
      </c>
    </row>
    <row r="8597" spans="1:11" x14ac:dyDescent="0.2">
      <c r="A8597" s="2">
        <v>2151</v>
      </c>
      <c r="B8597" s="2">
        <v>16</v>
      </c>
      <c r="C8597" s="2">
        <v>73140782</v>
      </c>
      <c r="D8597" s="2">
        <v>74135275</v>
      </c>
      <c r="E8597" s="2">
        <v>3</v>
      </c>
      <c r="F8597" s="2" t="s">
        <v>10086</v>
      </c>
      <c r="H8597" s="3">
        <v>8.0000000000000004E-4</v>
      </c>
      <c r="K8597" s="2" t="s">
        <v>10089</v>
      </c>
    </row>
    <row r="8598" spans="1:11" x14ac:dyDescent="0.2">
      <c r="A8598" s="2">
        <v>2151</v>
      </c>
      <c r="B8598" s="2">
        <v>16</v>
      </c>
      <c r="C8598" s="2">
        <v>73140782</v>
      </c>
      <c r="D8598" s="2">
        <v>74135275</v>
      </c>
      <c r="E8598" s="2">
        <v>4</v>
      </c>
      <c r="F8598" s="2" t="s">
        <v>10086</v>
      </c>
      <c r="H8598" s="3">
        <v>6.9999999999999999E-4</v>
      </c>
      <c r="K8598" s="2" t="s">
        <v>10088</v>
      </c>
    </row>
    <row r="8599" spans="1:11" x14ac:dyDescent="0.2">
      <c r="A8599" s="2">
        <v>2152</v>
      </c>
      <c r="B8599" s="2">
        <v>16</v>
      </c>
      <c r="C8599" s="2">
        <v>74135276</v>
      </c>
      <c r="D8599" s="2">
        <v>74889127</v>
      </c>
      <c r="E8599" s="2">
        <v>1</v>
      </c>
      <c r="F8599" s="2" t="s">
        <v>10086</v>
      </c>
      <c r="H8599" s="2">
        <v>1.5E-3</v>
      </c>
      <c r="K8599" s="2" t="s">
        <v>10085</v>
      </c>
    </row>
    <row r="8600" spans="1:11" x14ac:dyDescent="0.2">
      <c r="A8600" s="2">
        <v>2152</v>
      </c>
      <c r="B8600" s="2">
        <v>16</v>
      </c>
      <c r="C8600" s="2">
        <v>74135276</v>
      </c>
      <c r="D8600" s="2">
        <v>74889127</v>
      </c>
      <c r="E8600" s="2">
        <v>2</v>
      </c>
      <c r="F8600" s="2" t="s">
        <v>10086</v>
      </c>
      <c r="H8600" s="3">
        <v>8.0000000000000004E-4</v>
      </c>
      <c r="K8600" s="2" t="s">
        <v>10089</v>
      </c>
    </row>
    <row r="8601" spans="1:11" x14ac:dyDescent="0.2">
      <c r="A8601" s="2">
        <v>2152</v>
      </c>
      <c r="B8601" s="2">
        <v>16</v>
      </c>
      <c r="C8601" s="2">
        <v>74135276</v>
      </c>
      <c r="D8601" s="2">
        <v>74889127</v>
      </c>
      <c r="E8601" s="2">
        <v>3</v>
      </c>
      <c r="F8601" s="2" t="s">
        <v>10086</v>
      </c>
      <c r="H8601" s="3">
        <v>5.9999999999999995E-4</v>
      </c>
      <c r="K8601" s="2" t="s">
        <v>10087</v>
      </c>
    </row>
    <row r="8602" spans="1:11" x14ac:dyDescent="0.2">
      <c r="A8602" s="2">
        <v>2152</v>
      </c>
      <c r="B8602" s="2">
        <v>16</v>
      </c>
      <c r="C8602" s="2">
        <v>74135276</v>
      </c>
      <c r="D8602" s="2">
        <v>74889127</v>
      </c>
      <c r="E8602" s="2">
        <v>4</v>
      </c>
      <c r="F8602" s="2" t="s">
        <v>10086</v>
      </c>
      <c r="H8602" s="3">
        <v>2.9999999999999997E-4</v>
      </c>
      <c r="K8602" s="2" t="s">
        <v>10088</v>
      </c>
    </row>
    <row r="8603" spans="1:11" x14ac:dyDescent="0.2">
      <c r="A8603" s="2">
        <v>2153</v>
      </c>
      <c r="B8603" s="2">
        <v>16</v>
      </c>
      <c r="C8603" s="2">
        <v>74889128</v>
      </c>
      <c r="D8603" s="2">
        <v>75525959</v>
      </c>
      <c r="E8603" s="2">
        <v>1</v>
      </c>
      <c r="F8603" s="2" t="s">
        <v>10086</v>
      </c>
      <c r="H8603" s="2">
        <v>1.1000000000000001E-3</v>
      </c>
      <c r="K8603" s="2" t="s">
        <v>10089</v>
      </c>
    </row>
    <row r="8604" spans="1:11" x14ac:dyDescent="0.2">
      <c r="A8604" s="2">
        <v>2153</v>
      </c>
      <c r="B8604" s="2">
        <v>16</v>
      </c>
      <c r="C8604" s="2">
        <v>74889128</v>
      </c>
      <c r="D8604" s="2">
        <v>75525959</v>
      </c>
      <c r="E8604" s="2">
        <v>2</v>
      </c>
      <c r="F8604" s="2" t="s">
        <v>10086</v>
      </c>
      <c r="H8604" s="3">
        <v>5.9999999999999995E-4</v>
      </c>
      <c r="K8604" s="2" t="s">
        <v>10087</v>
      </c>
    </row>
    <row r="8605" spans="1:11" x14ac:dyDescent="0.2">
      <c r="A8605" s="2">
        <v>2153</v>
      </c>
      <c r="B8605" s="2">
        <v>16</v>
      </c>
      <c r="C8605" s="2">
        <v>74889128</v>
      </c>
      <c r="D8605" s="2">
        <v>75525959</v>
      </c>
      <c r="E8605" s="2">
        <v>3</v>
      </c>
      <c r="F8605" s="2" t="s">
        <v>10086</v>
      </c>
      <c r="H8605" s="3">
        <v>6.9999999999999999E-4</v>
      </c>
      <c r="K8605" s="2" t="s">
        <v>10085</v>
      </c>
    </row>
    <row r="8606" spans="1:11" x14ac:dyDescent="0.2">
      <c r="A8606" s="2">
        <v>2153</v>
      </c>
      <c r="B8606" s="2">
        <v>16</v>
      </c>
      <c r="C8606" s="2">
        <v>74889128</v>
      </c>
      <c r="D8606" s="2">
        <v>75525959</v>
      </c>
      <c r="E8606" s="2">
        <v>4</v>
      </c>
      <c r="F8606" s="2" t="s">
        <v>10086</v>
      </c>
      <c r="H8606" s="3">
        <v>2.9999999999999997E-4</v>
      </c>
      <c r="K8606" s="2" t="s">
        <v>10088</v>
      </c>
    </row>
    <row r="8607" spans="1:11" x14ac:dyDescent="0.2">
      <c r="A8607" s="2">
        <v>2154</v>
      </c>
      <c r="B8607" s="2">
        <v>16</v>
      </c>
      <c r="C8607" s="2">
        <v>75525960</v>
      </c>
      <c r="D8607" s="2">
        <v>76635467</v>
      </c>
      <c r="E8607" s="2">
        <v>1</v>
      </c>
      <c r="F8607" s="2" t="s">
        <v>10086</v>
      </c>
      <c r="H8607" s="2">
        <v>2.8E-3</v>
      </c>
      <c r="K8607" s="2" t="s">
        <v>10085</v>
      </c>
    </row>
    <row r="8608" spans="1:11" x14ac:dyDescent="0.2">
      <c r="A8608" s="2">
        <v>2154</v>
      </c>
      <c r="B8608" s="2">
        <v>16</v>
      </c>
      <c r="C8608" s="2">
        <v>75525960</v>
      </c>
      <c r="D8608" s="2">
        <v>76635467</v>
      </c>
      <c r="E8608" s="2">
        <v>2</v>
      </c>
      <c r="F8608" s="2" t="s">
        <v>10086</v>
      </c>
      <c r="H8608" s="2">
        <v>1.2999999999999999E-3</v>
      </c>
      <c r="K8608" s="2" t="s">
        <v>10087</v>
      </c>
    </row>
    <row r="8609" spans="1:11" x14ac:dyDescent="0.2">
      <c r="A8609" s="2">
        <v>2154</v>
      </c>
      <c r="B8609" s="2">
        <v>16</v>
      </c>
      <c r="C8609" s="2">
        <v>75525960</v>
      </c>
      <c r="D8609" s="2">
        <v>76635467</v>
      </c>
      <c r="E8609" s="2">
        <v>3</v>
      </c>
      <c r="F8609" s="2" t="s">
        <v>10086</v>
      </c>
      <c r="H8609" s="3">
        <v>8.9999999999999998E-4</v>
      </c>
      <c r="K8609" s="2" t="s">
        <v>10088</v>
      </c>
    </row>
    <row r="8610" spans="1:11" x14ac:dyDescent="0.2">
      <c r="A8610" s="2">
        <v>2154</v>
      </c>
      <c r="B8610" s="2">
        <v>16</v>
      </c>
      <c r="C8610" s="2">
        <v>75525960</v>
      </c>
      <c r="D8610" s="2">
        <v>76635467</v>
      </c>
      <c r="E8610" s="2">
        <v>4</v>
      </c>
      <c r="F8610" s="2" t="s">
        <v>10086</v>
      </c>
      <c r="H8610" s="3">
        <v>6.9999999999999999E-4</v>
      </c>
      <c r="K8610" s="2" t="s">
        <v>10089</v>
      </c>
    </row>
    <row r="8611" spans="1:11" x14ac:dyDescent="0.2">
      <c r="A8611" s="2">
        <v>2155</v>
      </c>
      <c r="B8611" s="2">
        <v>16</v>
      </c>
      <c r="C8611" s="2">
        <v>76635468</v>
      </c>
      <c r="D8611" s="2">
        <v>77270665</v>
      </c>
      <c r="E8611" s="2">
        <v>1</v>
      </c>
      <c r="F8611" s="2" t="s">
        <v>10086</v>
      </c>
      <c r="H8611" s="3">
        <v>8.9999999999999998E-4</v>
      </c>
      <c r="K8611" s="2" t="s">
        <v>10087</v>
      </c>
    </row>
    <row r="8612" spans="1:11" x14ac:dyDescent="0.2">
      <c r="A8612" s="2">
        <v>2155</v>
      </c>
      <c r="B8612" s="2">
        <v>16</v>
      </c>
      <c r="C8612" s="2">
        <v>76635468</v>
      </c>
      <c r="D8612" s="2">
        <v>77270665</v>
      </c>
      <c r="E8612" s="2">
        <v>2</v>
      </c>
      <c r="F8612" s="2" t="s">
        <v>10086</v>
      </c>
      <c r="H8612" s="3">
        <v>8.0000000000000004E-4</v>
      </c>
      <c r="K8612" s="2" t="s">
        <v>10085</v>
      </c>
    </row>
    <row r="8613" spans="1:11" x14ac:dyDescent="0.2">
      <c r="A8613" s="2">
        <v>2155</v>
      </c>
      <c r="B8613" s="2">
        <v>16</v>
      </c>
      <c r="C8613" s="2">
        <v>76635468</v>
      </c>
      <c r="D8613" s="2">
        <v>77270665</v>
      </c>
      <c r="E8613" s="2">
        <v>3</v>
      </c>
      <c r="F8613" s="2" t="s">
        <v>10086</v>
      </c>
      <c r="H8613" s="3">
        <v>5.9999999999999995E-4</v>
      </c>
      <c r="K8613" s="2" t="s">
        <v>10089</v>
      </c>
    </row>
    <row r="8614" spans="1:11" x14ac:dyDescent="0.2">
      <c r="A8614" s="2">
        <v>2155</v>
      </c>
      <c r="B8614" s="2">
        <v>16</v>
      </c>
      <c r="C8614" s="2">
        <v>76635468</v>
      </c>
      <c r="D8614" s="2">
        <v>77270665</v>
      </c>
      <c r="E8614" s="2">
        <v>4</v>
      </c>
      <c r="F8614" s="2" t="s">
        <v>10086</v>
      </c>
      <c r="H8614" s="3">
        <v>2.0000000000000001E-4</v>
      </c>
      <c r="K8614" s="2" t="s">
        <v>10088</v>
      </c>
    </row>
    <row r="8615" spans="1:11" x14ac:dyDescent="0.2">
      <c r="A8615" s="2">
        <v>2156</v>
      </c>
      <c r="B8615" s="2">
        <v>16</v>
      </c>
      <c r="C8615" s="2">
        <v>77270666</v>
      </c>
      <c r="D8615" s="2">
        <v>77739132</v>
      </c>
      <c r="E8615" s="2">
        <v>1</v>
      </c>
      <c r="F8615" s="2" t="s">
        <v>10086</v>
      </c>
      <c r="H8615" s="2">
        <v>1.09E-2</v>
      </c>
      <c r="K8615" s="2" t="s">
        <v>10088</v>
      </c>
    </row>
    <row r="8616" spans="1:11" x14ac:dyDescent="0.2">
      <c r="A8616" s="2">
        <v>2156</v>
      </c>
      <c r="B8616" s="2">
        <v>16</v>
      </c>
      <c r="C8616" s="2">
        <v>77270666</v>
      </c>
      <c r="D8616" s="2">
        <v>77739132</v>
      </c>
      <c r="E8616" s="2">
        <v>2</v>
      </c>
      <c r="F8616" s="2" t="s">
        <v>10086</v>
      </c>
      <c r="H8616" s="2">
        <v>4.7999999999999996E-3</v>
      </c>
      <c r="K8616" s="2" t="s">
        <v>10085</v>
      </c>
    </row>
    <row r="8617" spans="1:11" x14ac:dyDescent="0.2">
      <c r="A8617" s="2">
        <v>2156</v>
      </c>
      <c r="B8617" s="2">
        <v>16</v>
      </c>
      <c r="C8617" s="2">
        <v>77270666</v>
      </c>
      <c r="D8617" s="2">
        <v>77739132</v>
      </c>
      <c r="E8617" s="2">
        <v>3</v>
      </c>
      <c r="F8617" s="2" t="s">
        <v>10086</v>
      </c>
      <c r="H8617" s="2">
        <v>1.4E-3</v>
      </c>
      <c r="K8617" s="2" t="s">
        <v>10087</v>
      </c>
    </row>
    <row r="8618" spans="1:11" x14ac:dyDescent="0.2">
      <c r="A8618" s="2">
        <v>2156</v>
      </c>
      <c r="B8618" s="2">
        <v>16</v>
      </c>
      <c r="C8618" s="2">
        <v>77270666</v>
      </c>
      <c r="D8618" s="2">
        <v>77739132</v>
      </c>
      <c r="E8618" s="2">
        <v>4</v>
      </c>
      <c r="F8618" s="2" t="s">
        <v>10086</v>
      </c>
      <c r="H8618" s="3">
        <v>4.0000000000000002E-4</v>
      </c>
      <c r="K8618" s="2" t="s">
        <v>10089</v>
      </c>
    </row>
    <row r="8619" spans="1:11" x14ac:dyDescent="0.2">
      <c r="A8619" s="2">
        <v>2157</v>
      </c>
      <c r="B8619" s="2">
        <v>16</v>
      </c>
      <c r="C8619" s="2">
        <v>77739133</v>
      </c>
      <c r="D8619" s="2">
        <v>78280636</v>
      </c>
      <c r="E8619" s="2">
        <v>1</v>
      </c>
      <c r="F8619" s="2" t="s">
        <v>10086</v>
      </c>
      <c r="H8619" s="2">
        <v>1.5E-3</v>
      </c>
      <c r="K8619" s="2" t="s">
        <v>10085</v>
      </c>
    </row>
    <row r="8620" spans="1:11" x14ac:dyDescent="0.2">
      <c r="A8620" s="2">
        <v>2157</v>
      </c>
      <c r="B8620" s="2">
        <v>16</v>
      </c>
      <c r="C8620" s="2">
        <v>77739133</v>
      </c>
      <c r="D8620" s="2">
        <v>78280636</v>
      </c>
      <c r="E8620" s="2">
        <v>2</v>
      </c>
      <c r="F8620" s="2" t="s">
        <v>10086</v>
      </c>
      <c r="H8620" s="2">
        <v>1E-3</v>
      </c>
      <c r="K8620" s="2" t="s">
        <v>10089</v>
      </c>
    </row>
    <row r="8621" spans="1:11" x14ac:dyDescent="0.2">
      <c r="A8621" s="2">
        <v>2157</v>
      </c>
      <c r="B8621" s="2">
        <v>16</v>
      </c>
      <c r="C8621" s="2">
        <v>77739133</v>
      </c>
      <c r="D8621" s="2">
        <v>78280636</v>
      </c>
      <c r="E8621" s="2">
        <v>3</v>
      </c>
      <c r="F8621" s="2" t="s">
        <v>10086</v>
      </c>
      <c r="H8621" s="3">
        <v>8.0000000000000004E-4</v>
      </c>
      <c r="K8621" s="2" t="s">
        <v>10087</v>
      </c>
    </row>
    <row r="8622" spans="1:11" x14ac:dyDescent="0.2">
      <c r="A8622" s="2">
        <v>2157</v>
      </c>
      <c r="B8622" s="2">
        <v>16</v>
      </c>
      <c r="C8622" s="2">
        <v>77739133</v>
      </c>
      <c r="D8622" s="2">
        <v>78280636</v>
      </c>
      <c r="E8622" s="2">
        <v>4</v>
      </c>
      <c r="F8622" s="2" t="s">
        <v>10086</v>
      </c>
      <c r="H8622" s="3">
        <v>4.0000000000000002E-4</v>
      </c>
      <c r="K8622" s="2" t="s">
        <v>10088</v>
      </c>
    </row>
    <row r="8623" spans="1:11" x14ac:dyDescent="0.2">
      <c r="A8623" s="2">
        <v>2158</v>
      </c>
      <c r="B8623" s="2">
        <v>16</v>
      </c>
      <c r="C8623" s="2">
        <v>78280637</v>
      </c>
      <c r="D8623" s="2">
        <v>78973580</v>
      </c>
      <c r="E8623" s="2">
        <v>1</v>
      </c>
      <c r="F8623" s="2" t="s">
        <v>10086</v>
      </c>
      <c r="H8623" s="2">
        <v>4.4000000000000003E-3</v>
      </c>
      <c r="K8623" s="2" t="s">
        <v>10088</v>
      </c>
    </row>
    <row r="8624" spans="1:11" x14ac:dyDescent="0.2">
      <c r="A8624" s="2">
        <v>2158</v>
      </c>
      <c r="B8624" s="2">
        <v>16</v>
      </c>
      <c r="C8624" s="2">
        <v>78280637</v>
      </c>
      <c r="D8624" s="2">
        <v>78973580</v>
      </c>
      <c r="E8624" s="2">
        <v>2</v>
      </c>
      <c r="F8624" s="2" t="s">
        <v>10086</v>
      </c>
      <c r="H8624" s="2">
        <v>2.0999999999999999E-3</v>
      </c>
      <c r="K8624" s="2" t="s">
        <v>12324</v>
      </c>
    </row>
    <row r="8625" spans="1:11" x14ac:dyDescent="0.2">
      <c r="A8625" s="2">
        <v>2158</v>
      </c>
      <c r="B8625" s="2">
        <v>16</v>
      </c>
      <c r="C8625" s="2">
        <v>78280637</v>
      </c>
      <c r="D8625" s="2">
        <v>78973580</v>
      </c>
      <c r="E8625" s="2">
        <v>3</v>
      </c>
      <c r="F8625" s="2" t="s">
        <v>10086</v>
      </c>
      <c r="H8625" s="2">
        <v>1.4E-3</v>
      </c>
      <c r="K8625" s="2" t="s">
        <v>10087</v>
      </c>
    </row>
    <row r="8626" spans="1:11" x14ac:dyDescent="0.2">
      <c r="A8626" s="2">
        <v>2158</v>
      </c>
      <c r="B8626" s="2">
        <v>16</v>
      </c>
      <c r="C8626" s="2">
        <v>78280637</v>
      </c>
      <c r="D8626" s="2">
        <v>78973580</v>
      </c>
      <c r="E8626" s="2">
        <v>4</v>
      </c>
      <c r="F8626" s="2" t="s">
        <v>10086</v>
      </c>
      <c r="H8626" s="2">
        <v>1.2999999999999999E-3</v>
      </c>
      <c r="K8626" s="2" t="s">
        <v>10089</v>
      </c>
    </row>
    <row r="8627" spans="1:11" x14ac:dyDescent="0.2">
      <c r="A8627" s="2">
        <v>2159</v>
      </c>
      <c r="B8627" s="2">
        <v>16</v>
      </c>
      <c r="C8627" s="2">
        <v>78973581</v>
      </c>
      <c r="D8627" s="2">
        <v>79662634</v>
      </c>
      <c r="E8627" s="2">
        <v>1</v>
      </c>
      <c r="F8627" s="2" t="s">
        <v>10086</v>
      </c>
      <c r="H8627" s="2">
        <v>3.0000000000000001E-3</v>
      </c>
      <c r="K8627" s="2" t="s">
        <v>10087</v>
      </c>
    </row>
    <row r="8628" spans="1:11" x14ac:dyDescent="0.2">
      <c r="A8628" s="2">
        <v>2159</v>
      </c>
      <c r="B8628" s="2">
        <v>16</v>
      </c>
      <c r="C8628" s="2">
        <v>78973581</v>
      </c>
      <c r="D8628" s="2">
        <v>79662634</v>
      </c>
      <c r="E8628" s="2">
        <v>2</v>
      </c>
      <c r="F8628" s="2" t="s">
        <v>10086</v>
      </c>
      <c r="H8628" s="2">
        <v>2.3999999999999998E-3</v>
      </c>
      <c r="K8628" s="2" t="s">
        <v>12324</v>
      </c>
    </row>
    <row r="8629" spans="1:11" x14ac:dyDescent="0.2">
      <c r="A8629" s="2">
        <v>2159</v>
      </c>
      <c r="B8629" s="2">
        <v>16</v>
      </c>
      <c r="C8629" s="2">
        <v>78973581</v>
      </c>
      <c r="D8629" s="2">
        <v>79662634</v>
      </c>
      <c r="E8629" s="2">
        <v>3</v>
      </c>
      <c r="F8629" s="2" t="s">
        <v>10086</v>
      </c>
      <c r="H8629" s="2">
        <v>1.1000000000000001E-3</v>
      </c>
      <c r="K8629" s="2" t="s">
        <v>10085</v>
      </c>
    </row>
    <row r="8630" spans="1:11" x14ac:dyDescent="0.2">
      <c r="A8630" s="2">
        <v>2159</v>
      </c>
      <c r="B8630" s="2">
        <v>16</v>
      </c>
      <c r="C8630" s="2">
        <v>78973581</v>
      </c>
      <c r="D8630" s="2">
        <v>79662634</v>
      </c>
      <c r="E8630" s="2">
        <v>4</v>
      </c>
      <c r="F8630" s="2" t="s">
        <v>10086</v>
      </c>
      <c r="H8630" s="2">
        <v>1.1000000000000001E-3</v>
      </c>
      <c r="K8630" s="2" t="s">
        <v>10089</v>
      </c>
    </row>
    <row r="8631" spans="1:11" x14ac:dyDescent="0.2">
      <c r="A8631" s="2">
        <v>2160</v>
      </c>
      <c r="B8631" s="2">
        <v>16</v>
      </c>
      <c r="C8631" s="2">
        <v>79662635</v>
      </c>
      <c r="D8631" s="2">
        <v>80559685</v>
      </c>
      <c r="E8631" s="2">
        <v>1</v>
      </c>
      <c r="F8631" s="2" t="s">
        <v>10086</v>
      </c>
      <c r="H8631" s="2">
        <v>1.6999999999999999E-3</v>
      </c>
      <c r="K8631" s="2" t="s">
        <v>10088</v>
      </c>
    </row>
    <row r="8632" spans="1:11" x14ac:dyDescent="0.2">
      <c r="A8632" s="2">
        <v>2160</v>
      </c>
      <c r="B8632" s="2">
        <v>16</v>
      </c>
      <c r="C8632" s="2">
        <v>79662635</v>
      </c>
      <c r="D8632" s="2">
        <v>80559685</v>
      </c>
      <c r="E8632" s="2">
        <v>2</v>
      </c>
      <c r="F8632" s="2" t="s">
        <v>10086</v>
      </c>
      <c r="H8632" s="2">
        <v>1.2999999999999999E-3</v>
      </c>
      <c r="K8632" s="2" t="s">
        <v>10089</v>
      </c>
    </row>
    <row r="8633" spans="1:11" x14ac:dyDescent="0.2">
      <c r="A8633" s="2">
        <v>2160</v>
      </c>
      <c r="B8633" s="2">
        <v>16</v>
      </c>
      <c r="C8633" s="2">
        <v>79662635</v>
      </c>
      <c r="D8633" s="2">
        <v>80559685</v>
      </c>
      <c r="E8633" s="2">
        <v>3</v>
      </c>
      <c r="F8633" s="2" t="s">
        <v>10086</v>
      </c>
      <c r="H8633" s="2">
        <v>1E-3</v>
      </c>
      <c r="K8633" s="2" t="s">
        <v>10085</v>
      </c>
    </row>
    <row r="8634" spans="1:11" x14ac:dyDescent="0.2">
      <c r="A8634" s="2">
        <v>2160</v>
      </c>
      <c r="B8634" s="2">
        <v>16</v>
      </c>
      <c r="C8634" s="2">
        <v>79662635</v>
      </c>
      <c r="D8634" s="2">
        <v>80559685</v>
      </c>
      <c r="E8634" s="2">
        <v>4</v>
      </c>
      <c r="F8634" s="2" t="s">
        <v>10086</v>
      </c>
      <c r="H8634" s="3">
        <v>5.0000000000000001E-4</v>
      </c>
      <c r="K8634" s="2" t="s">
        <v>10087</v>
      </c>
    </row>
    <row r="8635" spans="1:11" x14ac:dyDescent="0.2">
      <c r="A8635" s="2">
        <v>2161</v>
      </c>
      <c r="B8635" s="2">
        <v>16</v>
      </c>
      <c r="C8635" s="2">
        <v>80559686</v>
      </c>
      <c r="D8635" s="2">
        <v>81437861</v>
      </c>
      <c r="E8635" s="2">
        <v>1</v>
      </c>
      <c r="F8635" s="2" t="s">
        <v>10086</v>
      </c>
      <c r="H8635" s="2">
        <v>1.6999999999999999E-3</v>
      </c>
      <c r="K8635" s="2" t="s">
        <v>10085</v>
      </c>
    </row>
    <row r="8636" spans="1:11" x14ac:dyDescent="0.2">
      <c r="A8636" s="2">
        <v>2161</v>
      </c>
      <c r="B8636" s="2">
        <v>16</v>
      </c>
      <c r="C8636" s="2">
        <v>80559686</v>
      </c>
      <c r="D8636" s="2">
        <v>81437861</v>
      </c>
      <c r="E8636" s="2">
        <v>2</v>
      </c>
      <c r="F8636" s="2" t="s">
        <v>10086</v>
      </c>
      <c r="H8636" s="2">
        <v>2.3E-3</v>
      </c>
      <c r="K8636" s="2" t="s">
        <v>10089</v>
      </c>
    </row>
    <row r="8637" spans="1:11" x14ac:dyDescent="0.2">
      <c r="A8637" s="2">
        <v>2161</v>
      </c>
      <c r="B8637" s="2">
        <v>16</v>
      </c>
      <c r="C8637" s="2">
        <v>80559686</v>
      </c>
      <c r="D8637" s="2">
        <v>81437861</v>
      </c>
      <c r="E8637" s="2">
        <v>3</v>
      </c>
      <c r="F8637" s="2" t="s">
        <v>10086</v>
      </c>
      <c r="H8637" s="2">
        <v>2.3999999999999998E-3</v>
      </c>
      <c r="K8637" s="2" t="s">
        <v>10088</v>
      </c>
    </row>
    <row r="8638" spans="1:11" x14ac:dyDescent="0.2">
      <c r="A8638" s="2">
        <v>2161</v>
      </c>
      <c r="B8638" s="2">
        <v>16</v>
      </c>
      <c r="C8638" s="2">
        <v>80559686</v>
      </c>
      <c r="D8638" s="2">
        <v>81437861</v>
      </c>
      <c r="E8638" s="2">
        <v>4</v>
      </c>
      <c r="F8638" s="2" t="s">
        <v>10086</v>
      </c>
      <c r="H8638" s="3">
        <v>5.9999999999999995E-4</v>
      </c>
      <c r="K8638" s="2" t="s">
        <v>10087</v>
      </c>
    </row>
    <row r="8639" spans="1:11" x14ac:dyDescent="0.2">
      <c r="A8639" s="2">
        <v>2162</v>
      </c>
      <c r="B8639" s="2">
        <v>16</v>
      </c>
      <c r="C8639" s="2">
        <v>81437862</v>
      </c>
      <c r="D8639" s="2">
        <v>82310204</v>
      </c>
      <c r="E8639" s="2">
        <v>1</v>
      </c>
      <c r="F8639" s="2" t="s">
        <v>10086</v>
      </c>
      <c r="H8639" s="2">
        <v>4.5999999999999999E-3</v>
      </c>
      <c r="K8639" s="2" t="s">
        <v>10088</v>
      </c>
    </row>
    <row r="8640" spans="1:11" x14ac:dyDescent="0.2">
      <c r="A8640" s="2">
        <v>2162</v>
      </c>
      <c r="B8640" s="2">
        <v>16</v>
      </c>
      <c r="C8640" s="2">
        <v>81437862</v>
      </c>
      <c r="D8640" s="2">
        <v>82310204</v>
      </c>
      <c r="E8640" s="2">
        <v>2</v>
      </c>
      <c r="F8640" s="2" t="s">
        <v>10086</v>
      </c>
      <c r="H8640" s="2">
        <v>1.2999999999999999E-3</v>
      </c>
      <c r="K8640" s="2" t="s">
        <v>10085</v>
      </c>
    </row>
    <row r="8641" spans="1:11" x14ac:dyDescent="0.2">
      <c r="A8641" s="2">
        <v>2162</v>
      </c>
      <c r="B8641" s="2">
        <v>16</v>
      </c>
      <c r="C8641" s="2">
        <v>81437862</v>
      </c>
      <c r="D8641" s="2">
        <v>82310204</v>
      </c>
      <c r="E8641" s="2">
        <v>3</v>
      </c>
      <c r="F8641" s="2" t="s">
        <v>10086</v>
      </c>
      <c r="H8641" s="2">
        <v>1.2999999999999999E-3</v>
      </c>
      <c r="K8641" s="2" t="s">
        <v>10089</v>
      </c>
    </row>
    <row r="8642" spans="1:11" x14ac:dyDescent="0.2">
      <c r="A8642" s="2">
        <v>2162</v>
      </c>
      <c r="B8642" s="2">
        <v>16</v>
      </c>
      <c r="C8642" s="2">
        <v>81437862</v>
      </c>
      <c r="D8642" s="2">
        <v>82310204</v>
      </c>
      <c r="E8642" s="2">
        <v>4</v>
      </c>
      <c r="F8642" s="2" t="s">
        <v>10086</v>
      </c>
      <c r="H8642" s="3">
        <v>5.9999999999999995E-4</v>
      </c>
      <c r="K8642" s="2" t="s">
        <v>12324</v>
      </c>
    </row>
    <row r="8643" spans="1:11" x14ac:dyDescent="0.2">
      <c r="A8643" s="2">
        <v>2163</v>
      </c>
      <c r="B8643" s="2">
        <v>16</v>
      </c>
      <c r="C8643" s="2">
        <v>82310205</v>
      </c>
      <c r="D8643" s="2">
        <v>83077869</v>
      </c>
      <c r="E8643" s="2">
        <v>1</v>
      </c>
      <c r="F8643" s="2" t="s">
        <v>10086</v>
      </c>
      <c r="H8643" s="2">
        <v>1.6000000000000001E-3</v>
      </c>
      <c r="K8643" s="2" t="s">
        <v>10085</v>
      </c>
    </row>
    <row r="8644" spans="1:11" x14ac:dyDescent="0.2">
      <c r="A8644" s="2">
        <v>2163</v>
      </c>
      <c r="B8644" s="2">
        <v>16</v>
      </c>
      <c r="C8644" s="2">
        <v>82310205</v>
      </c>
      <c r="D8644" s="2">
        <v>83077869</v>
      </c>
      <c r="E8644" s="2">
        <v>2</v>
      </c>
      <c r="F8644" s="2" t="s">
        <v>10086</v>
      </c>
      <c r="H8644" s="2">
        <v>1.5E-3</v>
      </c>
      <c r="K8644" s="2" t="s">
        <v>10087</v>
      </c>
    </row>
    <row r="8645" spans="1:11" x14ac:dyDescent="0.2">
      <c r="A8645" s="2">
        <v>2163</v>
      </c>
      <c r="B8645" s="2">
        <v>16</v>
      </c>
      <c r="C8645" s="2">
        <v>82310205</v>
      </c>
      <c r="D8645" s="2">
        <v>83077869</v>
      </c>
      <c r="E8645" s="2">
        <v>3</v>
      </c>
      <c r="F8645" s="2" t="s">
        <v>10086</v>
      </c>
      <c r="H8645" s="2">
        <v>1.1999999999999999E-3</v>
      </c>
      <c r="K8645" s="2" t="s">
        <v>10088</v>
      </c>
    </row>
    <row r="8646" spans="1:11" x14ac:dyDescent="0.2">
      <c r="A8646" s="2">
        <v>2163</v>
      </c>
      <c r="B8646" s="2">
        <v>16</v>
      </c>
      <c r="C8646" s="2">
        <v>82310205</v>
      </c>
      <c r="D8646" s="2">
        <v>83077869</v>
      </c>
      <c r="E8646" s="2">
        <v>4</v>
      </c>
      <c r="F8646" s="2" t="s">
        <v>10086</v>
      </c>
      <c r="H8646" s="3">
        <v>6.9999999999999999E-4</v>
      </c>
      <c r="K8646" s="2" t="s">
        <v>10089</v>
      </c>
    </row>
    <row r="8647" spans="1:11" x14ac:dyDescent="0.2">
      <c r="A8647" s="2">
        <v>2164</v>
      </c>
      <c r="B8647" s="2">
        <v>16</v>
      </c>
      <c r="C8647" s="2">
        <v>83077870</v>
      </c>
      <c r="D8647" s="2">
        <v>83778371</v>
      </c>
      <c r="E8647" s="2">
        <v>1</v>
      </c>
      <c r="F8647" s="2" t="s">
        <v>10086</v>
      </c>
      <c r="H8647" s="2">
        <v>7.7999999999999996E-3</v>
      </c>
      <c r="K8647" s="2" t="s">
        <v>12324</v>
      </c>
    </row>
    <row r="8648" spans="1:11" x14ac:dyDescent="0.2">
      <c r="A8648" s="2">
        <v>2164</v>
      </c>
      <c r="B8648" s="2">
        <v>16</v>
      </c>
      <c r="C8648" s="2">
        <v>83077870</v>
      </c>
      <c r="D8648" s="2">
        <v>83778371</v>
      </c>
      <c r="E8648" s="2">
        <v>2</v>
      </c>
      <c r="F8648" s="2" t="s">
        <v>10086</v>
      </c>
      <c r="H8648" s="2">
        <v>1.8E-3</v>
      </c>
      <c r="K8648" s="2" t="s">
        <v>10089</v>
      </c>
    </row>
    <row r="8649" spans="1:11" x14ac:dyDescent="0.2">
      <c r="A8649" s="2">
        <v>2164</v>
      </c>
      <c r="B8649" s="2">
        <v>16</v>
      </c>
      <c r="C8649" s="2">
        <v>83077870</v>
      </c>
      <c r="D8649" s="2">
        <v>83778371</v>
      </c>
      <c r="E8649" s="2">
        <v>3</v>
      </c>
      <c r="F8649" s="2" t="s">
        <v>10086</v>
      </c>
      <c r="H8649" s="2">
        <v>1.1000000000000001E-3</v>
      </c>
      <c r="K8649" s="2" t="s">
        <v>10085</v>
      </c>
    </row>
    <row r="8650" spans="1:11" x14ac:dyDescent="0.2">
      <c r="A8650" s="2">
        <v>2164</v>
      </c>
      <c r="B8650" s="2">
        <v>16</v>
      </c>
      <c r="C8650" s="2">
        <v>83077870</v>
      </c>
      <c r="D8650" s="2">
        <v>83778371</v>
      </c>
      <c r="E8650" s="2">
        <v>4</v>
      </c>
      <c r="F8650" s="2" t="s">
        <v>10086</v>
      </c>
      <c r="H8650" s="2">
        <v>1.1000000000000001E-3</v>
      </c>
      <c r="K8650" s="2" t="s">
        <v>10087</v>
      </c>
    </row>
    <row r="8651" spans="1:11" x14ac:dyDescent="0.2">
      <c r="A8651" s="2">
        <v>2165</v>
      </c>
      <c r="B8651" s="2">
        <v>16</v>
      </c>
      <c r="C8651" s="2">
        <v>83778372</v>
      </c>
      <c r="D8651" s="2">
        <v>84440154</v>
      </c>
      <c r="E8651" s="2">
        <v>1</v>
      </c>
      <c r="F8651" s="2" t="s">
        <v>10086</v>
      </c>
      <c r="H8651" s="2">
        <v>1.1999999999999999E-3</v>
      </c>
      <c r="K8651" s="2" t="s">
        <v>10085</v>
      </c>
    </row>
    <row r="8652" spans="1:11" x14ac:dyDescent="0.2">
      <c r="A8652" s="2">
        <v>2165</v>
      </c>
      <c r="B8652" s="2">
        <v>16</v>
      </c>
      <c r="C8652" s="2">
        <v>83778372</v>
      </c>
      <c r="D8652" s="2">
        <v>84440154</v>
      </c>
      <c r="E8652" s="2">
        <v>2</v>
      </c>
      <c r="F8652" s="2" t="s">
        <v>10086</v>
      </c>
      <c r="H8652" s="2">
        <v>2.3999999999999998E-3</v>
      </c>
      <c r="K8652" s="2" t="s">
        <v>10087</v>
      </c>
    </row>
    <row r="8653" spans="1:11" x14ac:dyDescent="0.2">
      <c r="A8653" s="2">
        <v>2165</v>
      </c>
      <c r="B8653" s="2">
        <v>16</v>
      </c>
      <c r="C8653" s="2">
        <v>83778372</v>
      </c>
      <c r="D8653" s="2">
        <v>84440154</v>
      </c>
      <c r="E8653" s="2">
        <v>3</v>
      </c>
      <c r="F8653" s="2" t="s">
        <v>10086</v>
      </c>
      <c r="H8653" s="2">
        <v>1E-3</v>
      </c>
      <c r="K8653" s="2" t="s">
        <v>10089</v>
      </c>
    </row>
    <row r="8654" spans="1:11" x14ac:dyDescent="0.2">
      <c r="A8654" s="2">
        <v>2165</v>
      </c>
      <c r="B8654" s="2">
        <v>16</v>
      </c>
      <c r="C8654" s="2">
        <v>83778372</v>
      </c>
      <c r="D8654" s="2">
        <v>84440154</v>
      </c>
      <c r="E8654" s="2">
        <v>4</v>
      </c>
      <c r="F8654" s="2" t="s">
        <v>10086</v>
      </c>
      <c r="H8654" s="3">
        <v>6.9999999999999999E-4</v>
      </c>
      <c r="K8654" s="2" t="s">
        <v>10088</v>
      </c>
    </row>
    <row r="8655" spans="1:11" x14ac:dyDescent="0.2">
      <c r="A8655" s="2">
        <v>2166</v>
      </c>
      <c r="B8655" s="2">
        <v>16</v>
      </c>
      <c r="C8655" s="2">
        <v>84440155</v>
      </c>
      <c r="D8655" s="2">
        <v>85146805</v>
      </c>
      <c r="E8655" s="2">
        <v>1</v>
      </c>
      <c r="F8655" s="2" t="s">
        <v>10086</v>
      </c>
      <c r="H8655" s="2">
        <v>1.1999999999999999E-3</v>
      </c>
      <c r="K8655" s="2" t="s">
        <v>10085</v>
      </c>
    </row>
    <row r="8656" spans="1:11" x14ac:dyDescent="0.2">
      <c r="A8656" s="2">
        <v>2166</v>
      </c>
      <c r="B8656" s="2">
        <v>16</v>
      </c>
      <c r="C8656" s="2">
        <v>84440155</v>
      </c>
      <c r="D8656" s="2">
        <v>85146805</v>
      </c>
      <c r="E8656" s="2">
        <v>2</v>
      </c>
      <c r="F8656" s="2" t="s">
        <v>10086</v>
      </c>
      <c r="H8656" s="2">
        <v>1.2999999999999999E-3</v>
      </c>
      <c r="K8656" s="2" t="s">
        <v>10088</v>
      </c>
    </row>
    <row r="8657" spans="1:11" x14ac:dyDescent="0.2">
      <c r="A8657" s="2">
        <v>2166</v>
      </c>
      <c r="B8657" s="2">
        <v>16</v>
      </c>
      <c r="C8657" s="2">
        <v>84440155</v>
      </c>
      <c r="D8657" s="2">
        <v>85146805</v>
      </c>
      <c r="E8657" s="2">
        <v>3</v>
      </c>
      <c r="F8657" s="2" t="s">
        <v>10086</v>
      </c>
      <c r="H8657" s="2">
        <v>1E-3</v>
      </c>
      <c r="K8657" s="2" t="s">
        <v>10089</v>
      </c>
    </row>
    <row r="8658" spans="1:11" x14ac:dyDescent="0.2">
      <c r="A8658" s="2">
        <v>2166</v>
      </c>
      <c r="B8658" s="2">
        <v>16</v>
      </c>
      <c r="C8658" s="2">
        <v>84440155</v>
      </c>
      <c r="D8658" s="2">
        <v>85146805</v>
      </c>
      <c r="E8658" s="2">
        <v>4</v>
      </c>
      <c r="F8658" s="2" t="s">
        <v>10086</v>
      </c>
      <c r="H8658" s="3">
        <v>4.0000000000000002E-4</v>
      </c>
      <c r="K8658" s="2" t="s">
        <v>10087</v>
      </c>
    </row>
    <row r="8659" spans="1:11" x14ac:dyDescent="0.2">
      <c r="A8659" s="2">
        <v>2167</v>
      </c>
      <c r="B8659" s="2">
        <v>16</v>
      </c>
      <c r="C8659" s="2">
        <v>85146806</v>
      </c>
      <c r="D8659" s="2">
        <v>86058597</v>
      </c>
      <c r="E8659" s="2">
        <v>1</v>
      </c>
      <c r="F8659" s="2" t="s">
        <v>10086</v>
      </c>
      <c r="H8659" s="2">
        <v>4.5999999999999999E-3</v>
      </c>
      <c r="K8659" s="2" t="s">
        <v>10087</v>
      </c>
    </row>
    <row r="8660" spans="1:11" x14ac:dyDescent="0.2">
      <c r="A8660" s="2">
        <v>2167</v>
      </c>
      <c r="B8660" s="2">
        <v>16</v>
      </c>
      <c r="C8660" s="2">
        <v>85146806</v>
      </c>
      <c r="D8660" s="2">
        <v>86058597</v>
      </c>
      <c r="E8660" s="2">
        <v>2</v>
      </c>
      <c r="F8660" s="2" t="s">
        <v>10086</v>
      </c>
      <c r="H8660" s="2">
        <v>1.4E-3</v>
      </c>
      <c r="K8660" s="2" t="s">
        <v>10085</v>
      </c>
    </row>
    <row r="8661" spans="1:11" x14ac:dyDescent="0.2">
      <c r="A8661" s="2">
        <v>2167</v>
      </c>
      <c r="B8661" s="2">
        <v>16</v>
      </c>
      <c r="C8661" s="2">
        <v>85146806</v>
      </c>
      <c r="D8661" s="2">
        <v>86058597</v>
      </c>
      <c r="E8661" s="2">
        <v>3</v>
      </c>
      <c r="F8661" s="2" t="s">
        <v>10086</v>
      </c>
      <c r="H8661" s="2">
        <v>1E-3</v>
      </c>
      <c r="K8661" s="2" t="s">
        <v>10088</v>
      </c>
    </row>
    <row r="8662" spans="1:11" x14ac:dyDescent="0.2">
      <c r="A8662" s="2">
        <v>2167</v>
      </c>
      <c r="B8662" s="2">
        <v>16</v>
      </c>
      <c r="C8662" s="2">
        <v>85146806</v>
      </c>
      <c r="D8662" s="2">
        <v>86058597</v>
      </c>
      <c r="E8662" s="2">
        <v>4</v>
      </c>
      <c r="F8662" s="2" t="s">
        <v>10086</v>
      </c>
      <c r="H8662" s="3">
        <v>5.0000000000000001E-4</v>
      </c>
      <c r="K8662" s="2" t="s">
        <v>10089</v>
      </c>
    </row>
    <row r="8663" spans="1:11" x14ac:dyDescent="0.2">
      <c r="A8663" s="2">
        <v>2168</v>
      </c>
      <c r="B8663" s="2">
        <v>16</v>
      </c>
      <c r="C8663" s="2">
        <v>86058598</v>
      </c>
      <c r="D8663" s="2">
        <v>86748867</v>
      </c>
      <c r="E8663" s="2">
        <v>1</v>
      </c>
      <c r="F8663" s="2" t="s">
        <v>10086</v>
      </c>
      <c r="H8663" s="2">
        <v>3.2000000000000002E-3</v>
      </c>
      <c r="K8663" s="2" t="s">
        <v>10089</v>
      </c>
    </row>
    <row r="8664" spans="1:11" x14ac:dyDescent="0.2">
      <c r="A8664" s="2">
        <v>2168</v>
      </c>
      <c r="B8664" s="2">
        <v>16</v>
      </c>
      <c r="C8664" s="2">
        <v>86058598</v>
      </c>
      <c r="D8664" s="2">
        <v>86748867</v>
      </c>
      <c r="E8664" s="2">
        <v>2</v>
      </c>
      <c r="F8664" s="2" t="s">
        <v>10086</v>
      </c>
      <c r="H8664" s="2">
        <v>1.6000000000000001E-3</v>
      </c>
      <c r="K8664" s="2" t="s">
        <v>10085</v>
      </c>
    </row>
    <row r="8665" spans="1:11" x14ac:dyDescent="0.2">
      <c r="A8665" s="2">
        <v>2168</v>
      </c>
      <c r="B8665" s="2">
        <v>16</v>
      </c>
      <c r="C8665" s="2">
        <v>86058598</v>
      </c>
      <c r="D8665" s="2">
        <v>86748867</v>
      </c>
      <c r="E8665" s="2">
        <v>3</v>
      </c>
      <c r="F8665" s="2" t="s">
        <v>10086</v>
      </c>
      <c r="H8665" s="2">
        <v>1.5E-3</v>
      </c>
      <c r="K8665" s="2" t="s">
        <v>10088</v>
      </c>
    </row>
    <row r="8666" spans="1:11" x14ac:dyDescent="0.2">
      <c r="A8666" s="2">
        <v>2168</v>
      </c>
      <c r="B8666" s="2">
        <v>16</v>
      </c>
      <c r="C8666" s="2">
        <v>86058598</v>
      </c>
      <c r="D8666" s="2">
        <v>86748867</v>
      </c>
      <c r="E8666" s="2">
        <v>4</v>
      </c>
      <c r="F8666" s="2" t="s">
        <v>10086</v>
      </c>
      <c r="H8666" s="3">
        <v>6.9999999999999999E-4</v>
      </c>
      <c r="K8666" s="2" t="s">
        <v>10087</v>
      </c>
    </row>
    <row r="8667" spans="1:11" x14ac:dyDescent="0.2">
      <c r="A8667" s="2">
        <v>2169</v>
      </c>
      <c r="B8667" s="2">
        <v>16</v>
      </c>
      <c r="C8667" s="2">
        <v>86748868</v>
      </c>
      <c r="D8667" s="2">
        <v>87669168</v>
      </c>
      <c r="E8667" s="2">
        <v>1</v>
      </c>
      <c r="F8667" s="2" t="s">
        <v>10086</v>
      </c>
      <c r="H8667" s="2">
        <v>1.23E-2</v>
      </c>
      <c r="K8667" s="2" t="s">
        <v>10089</v>
      </c>
    </row>
    <row r="8668" spans="1:11" x14ac:dyDescent="0.2">
      <c r="A8668" s="2">
        <v>2169</v>
      </c>
      <c r="B8668" s="2">
        <v>16</v>
      </c>
      <c r="C8668" s="2">
        <v>86748868</v>
      </c>
      <c r="D8668" s="2">
        <v>87669168</v>
      </c>
      <c r="E8668" s="2">
        <v>2</v>
      </c>
      <c r="F8668" s="2" t="s">
        <v>10086</v>
      </c>
      <c r="H8668" s="2">
        <v>3.5999999999999999E-3</v>
      </c>
      <c r="K8668" s="2" t="s">
        <v>10085</v>
      </c>
    </row>
    <row r="8669" spans="1:11" x14ac:dyDescent="0.2">
      <c r="A8669" s="2">
        <v>2169</v>
      </c>
      <c r="B8669" s="2">
        <v>16</v>
      </c>
      <c r="C8669" s="2">
        <v>86748868</v>
      </c>
      <c r="D8669" s="2">
        <v>87669168</v>
      </c>
      <c r="E8669" s="2">
        <v>3</v>
      </c>
      <c r="F8669" s="2" t="s">
        <v>10086</v>
      </c>
      <c r="H8669" s="2">
        <v>1.6999999999999999E-3</v>
      </c>
      <c r="K8669" s="2" t="s">
        <v>10087</v>
      </c>
    </row>
    <row r="8670" spans="1:11" x14ac:dyDescent="0.2">
      <c r="A8670" s="2">
        <v>2169</v>
      </c>
      <c r="B8670" s="2">
        <v>16</v>
      </c>
      <c r="C8670" s="2">
        <v>86748868</v>
      </c>
      <c r="D8670" s="2">
        <v>87669168</v>
      </c>
      <c r="E8670" s="2">
        <v>4</v>
      </c>
      <c r="F8670" s="2" t="s">
        <v>10086</v>
      </c>
      <c r="H8670" s="3">
        <v>6.9999999999999999E-4</v>
      </c>
      <c r="K8670" s="2" t="s">
        <v>10088</v>
      </c>
    </row>
    <row r="8671" spans="1:11" x14ac:dyDescent="0.2">
      <c r="A8671" s="2">
        <v>2170</v>
      </c>
      <c r="B8671" s="2">
        <v>16</v>
      </c>
      <c r="C8671" s="2">
        <v>87669169</v>
      </c>
      <c r="D8671" s="2">
        <v>88387228</v>
      </c>
      <c r="E8671" s="2">
        <v>1</v>
      </c>
      <c r="F8671" s="2" t="s">
        <v>10086</v>
      </c>
      <c r="H8671" s="2">
        <v>3.3999999999999998E-3</v>
      </c>
      <c r="K8671" s="2" t="s">
        <v>10089</v>
      </c>
    </row>
    <row r="8672" spans="1:11" x14ac:dyDescent="0.2">
      <c r="A8672" s="2">
        <v>2170</v>
      </c>
      <c r="B8672" s="2">
        <v>16</v>
      </c>
      <c r="C8672" s="2">
        <v>87669169</v>
      </c>
      <c r="D8672" s="2">
        <v>88387228</v>
      </c>
      <c r="E8672" s="2">
        <v>2</v>
      </c>
      <c r="F8672" s="2" t="s">
        <v>10086</v>
      </c>
      <c r="H8672" s="2">
        <v>2.0999999999999999E-3</v>
      </c>
      <c r="K8672" s="2" t="s">
        <v>10085</v>
      </c>
    </row>
    <row r="8673" spans="1:11" x14ac:dyDescent="0.2">
      <c r="A8673" s="2">
        <v>2170</v>
      </c>
      <c r="B8673" s="2">
        <v>16</v>
      </c>
      <c r="C8673" s="2">
        <v>87669169</v>
      </c>
      <c r="D8673" s="2">
        <v>88387228</v>
      </c>
      <c r="E8673" s="2">
        <v>3</v>
      </c>
      <c r="F8673" s="2" t="s">
        <v>10086</v>
      </c>
      <c r="H8673" s="3">
        <v>6.9999999999999999E-4</v>
      </c>
      <c r="K8673" s="2" t="s">
        <v>10088</v>
      </c>
    </row>
    <row r="8674" spans="1:11" x14ac:dyDescent="0.2">
      <c r="A8674" s="2">
        <v>2170</v>
      </c>
      <c r="B8674" s="2">
        <v>16</v>
      </c>
      <c r="C8674" s="2">
        <v>87669169</v>
      </c>
      <c r="D8674" s="2">
        <v>88387228</v>
      </c>
      <c r="E8674" s="2">
        <v>4</v>
      </c>
      <c r="F8674" s="2" t="s">
        <v>10086</v>
      </c>
      <c r="H8674" s="3">
        <v>5.0000000000000001E-4</v>
      </c>
      <c r="K8674" s="2" t="s">
        <v>10087</v>
      </c>
    </row>
    <row r="8675" spans="1:11" x14ac:dyDescent="0.2">
      <c r="A8675" s="2">
        <v>2171</v>
      </c>
      <c r="B8675" s="2">
        <v>16</v>
      </c>
      <c r="C8675" s="2">
        <v>88387229</v>
      </c>
      <c r="D8675" s="2">
        <v>89106304</v>
      </c>
      <c r="E8675" s="2">
        <v>1</v>
      </c>
      <c r="F8675" s="2" t="s">
        <v>10086</v>
      </c>
      <c r="H8675" s="2">
        <v>4.5999999999999999E-3</v>
      </c>
      <c r="K8675" s="2" t="s">
        <v>12324</v>
      </c>
    </row>
    <row r="8676" spans="1:11" x14ac:dyDescent="0.2">
      <c r="A8676" s="2">
        <v>2171</v>
      </c>
      <c r="B8676" s="2">
        <v>16</v>
      </c>
      <c r="C8676" s="2">
        <v>88387229</v>
      </c>
      <c r="D8676" s="2">
        <v>89106304</v>
      </c>
      <c r="E8676" s="2">
        <v>2</v>
      </c>
      <c r="F8676" s="2" t="s">
        <v>10086</v>
      </c>
      <c r="H8676" s="2">
        <v>3.5999999999999999E-3</v>
      </c>
      <c r="K8676" s="2" t="s">
        <v>10088</v>
      </c>
    </row>
    <row r="8677" spans="1:11" x14ac:dyDescent="0.2">
      <c r="A8677" s="2">
        <v>2171</v>
      </c>
      <c r="B8677" s="2">
        <v>16</v>
      </c>
      <c r="C8677" s="2">
        <v>88387229</v>
      </c>
      <c r="D8677" s="2">
        <v>89106304</v>
      </c>
      <c r="E8677" s="2">
        <v>3</v>
      </c>
      <c r="F8677" s="2" t="s">
        <v>10086</v>
      </c>
      <c r="H8677" s="2">
        <v>1.8E-3</v>
      </c>
      <c r="K8677" s="2" t="s">
        <v>10085</v>
      </c>
    </row>
    <row r="8678" spans="1:11" x14ac:dyDescent="0.2">
      <c r="A8678" s="2">
        <v>2171</v>
      </c>
      <c r="B8678" s="2">
        <v>16</v>
      </c>
      <c r="C8678" s="2">
        <v>88387229</v>
      </c>
      <c r="D8678" s="2">
        <v>89106304</v>
      </c>
      <c r="E8678" s="2">
        <v>4</v>
      </c>
      <c r="F8678" s="2" t="s">
        <v>10086</v>
      </c>
      <c r="H8678" s="3">
        <v>8.0000000000000004E-4</v>
      </c>
      <c r="K8678" s="2" t="s">
        <v>10087</v>
      </c>
    </row>
    <row r="8679" spans="1:11" x14ac:dyDescent="0.2">
      <c r="A8679" s="2">
        <v>2172</v>
      </c>
      <c r="B8679" s="2">
        <v>16</v>
      </c>
      <c r="C8679" s="2">
        <v>89106305</v>
      </c>
      <c r="D8679" s="2">
        <v>90292787</v>
      </c>
      <c r="E8679" s="2">
        <v>1</v>
      </c>
      <c r="F8679" s="2" t="s">
        <v>10086</v>
      </c>
      <c r="H8679" s="2">
        <v>1.8E-3</v>
      </c>
      <c r="K8679" s="2" t="s">
        <v>10088</v>
      </c>
    </row>
    <row r="8680" spans="1:11" x14ac:dyDescent="0.2">
      <c r="A8680" s="2">
        <v>2172</v>
      </c>
      <c r="B8680" s="2">
        <v>16</v>
      </c>
      <c r="C8680" s="2">
        <v>89106305</v>
      </c>
      <c r="D8680" s="2">
        <v>90292787</v>
      </c>
      <c r="E8680" s="2">
        <v>2</v>
      </c>
      <c r="F8680" s="2" t="s">
        <v>10086</v>
      </c>
      <c r="H8680" s="2">
        <v>1.1999999999999999E-3</v>
      </c>
      <c r="K8680" s="2" t="s">
        <v>10085</v>
      </c>
    </row>
    <row r="8681" spans="1:11" x14ac:dyDescent="0.2">
      <c r="A8681" s="2">
        <v>2172</v>
      </c>
      <c r="B8681" s="2">
        <v>16</v>
      </c>
      <c r="C8681" s="2">
        <v>89106305</v>
      </c>
      <c r="D8681" s="2">
        <v>90292787</v>
      </c>
      <c r="E8681" s="2">
        <v>3</v>
      </c>
      <c r="F8681" s="2" t="s">
        <v>10086</v>
      </c>
      <c r="H8681" s="3">
        <v>8.9999999999999998E-4</v>
      </c>
      <c r="K8681" s="2" t="s">
        <v>10089</v>
      </c>
    </row>
    <row r="8682" spans="1:11" x14ac:dyDescent="0.2">
      <c r="A8682" s="2">
        <v>2172</v>
      </c>
      <c r="B8682" s="2">
        <v>16</v>
      </c>
      <c r="C8682" s="2">
        <v>89106305</v>
      </c>
      <c r="D8682" s="2">
        <v>90292787</v>
      </c>
      <c r="E8682" s="2">
        <v>4</v>
      </c>
      <c r="F8682" s="2" t="s">
        <v>10086</v>
      </c>
      <c r="H8682" s="3">
        <v>5.9999999999999995E-4</v>
      </c>
      <c r="K8682" s="2" t="s">
        <v>12324</v>
      </c>
    </row>
    <row r="8683" spans="1:11" x14ac:dyDescent="0.2">
      <c r="A8683" s="2">
        <v>2173</v>
      </c>
      <c r="B8683" s="2">
        <v>17</v>
      </c>
      <c r="C8683" s="2">
        <v>52</v>
      </c>
      <c r="D8683" s="2">
        <v>815653</v>
      </c>
      <c r="E8683" s="2">
        <v>1</v>
      </c>
      <c r="F8683" s="2" t="s">
        <v>10086</v>
      </c>
      <c r="H8683" s="2">
        <v>1.9E-3</v>
      </c>
      <c r="K8683" s="2" t="s">
        <v>10088</v>
      </c>
    </row>
    <row r="8684" spans="1:11" x14ac:dyDescent="0.2">
      <c r="A8684" s="2">
        <v>2173</v>
      </c>
      <c r="B8684" s="2">
        <v>17</v>
      </c>
      <c r="C8684" s="2">
        <v>52</v>
      </c>
      <c r="D8684" s="2">
        <v>815653</v>
      </c>
      <c r="E8684" s="2">
        <v>2</v>
      </c>
      <c r="F8684" s="2" t="s">
        <v>10086</v>
      </c>
      <c r="H8684" s="3">
        <v>8.9999999999999998E-4</v>
      </c>
      <c r="K8684" s="2" t="s">
        <v>10085</v>
      </c>
    </row>
    <row r="8685" spans="1:11" x14ac:dyDescent="0.2">
      <c r="A8685" s="2">
        <v>2173</v>
      </c>
      <c r="B8685" s="2">
        <v>17</v>
      </c>
      <c r="C8685" s="2">
        <v>52</v>
      </c>
      <c r="D8685" s="2">
        <v>815653</v>
      </c>
      <c r="E8685" s="2">
        <v>3</v>
      </c>
      <c r="F8685" s="2" t="s">
        <v>10086</v>
      </c>
      <c r="H8685" s="3">
        <v>6.9999999999999999E-4</v>
      </c>
      <c r="K8685" s="2" t="s">
        <v>10089</v>
      </c>
    </row>
    <row r="8686" spans="1:11" x14ac:dyDescent="0.2">
      <c r="A8686" s="2">
        <v>2173</v>
      </c>
      <c r="B8686" s="2">
        <v>17</v>
      </c>
      <c r="C8686" s="2">
        <v>52</v>
      </c>
      <c r="D8686" s="2">
        <v>815653</v>
      </c>
      <c r="E8686" s="2">
        <v>4</v>
      </c>
      <c r="F8686" s="2" t="s">
        <v>10086</v>
      </c>
      <c r="H8686" s="3">
        <v>4.0000000000000002E-4</v>
      </c>
      <c r="K8686" s="2" t="s">
        <v>10087</v>
      </c>
    </row>
    <row r="8687" spans="1:11" x14ac:dyDescent="0.2">
      <c r="A8687" s="2">
        <v>2174</v>
      </c>
      <c r="B8687" s="2">
        <v>17</v>
      </c>
      <c r="C8687" s="2">
        <v>815654</v>
      </c>
      <c r="D8687" s="2">
        <v>1480056</v>
      </c>
      <c r="E8687" s="2">
        <v>1</v>
      </c>
      <c r="F8687" s="2" t="s">
        <v>10086</v>
      </c>
      <c r="H8687" s="2">
        <v>1.9E-3</v>
      </c>
      <c r="K8687" s="2" t="s">
        <v>10085</v>
      </c>
    </row>
    <row r="8688" spans="1:11" x14ac:dyDescent="0.2">
      <c r="A8688" s="2">
        <v>2174</v>
      </c>
      <c r="B8688" s="2">
        <v>17</v>
      </c>
      <c r="C8688" s="2">
        <v>815654</v>
      </c>
      <c r="D8688" s="2">
        <v>1480056</v>
      </c>
      <c r="E8688" s="2">
        <v>2</v>
      </c>
      <c r="F8688" s="2" t="s">
        <v>10086</v>
      </c>
      <c r="H8688" s="2">
        <v>1.6999999999999999E-3</v>
      </c>
      <c r="K8688" s="2" t="s">
        <v>10087</v>
      </c>
    </row>
    <row r="8689" spans="1:11" x14ac:dyDescent="0.2">
      <c r="A8689" s="2">
        <v>2174</v>
      </c>
      <c r="B8689" s="2">
        <v>17</v>
      </c>
      <c r="C8689" s="2">
        <v>815654</v>
      </c>
      <c r="D8689" s="2">
        <v>1480056</v>
      </c>
      <c r="E8689" s="2">
        <v>3</v>
      </c>
      <c r="F8689" s="2" t="s">
        <v>10086</v>
      </c>
      <c r="H8689" s="2">
        <v>1.1000000000000001E-3</v>
      </c>
      <c r="K8689" s="2" t="s">
        <v>10088</v>
      </c>
    </row>
    <row r="8690" spans="1:11" x14ac:dyDescent="0.2">
      <c r="A8690" s="2">
        <v>2174</v>
      </c>
      <c r="B8690" s="2">
        <v>17</v>
      </c>
      <c r="C8690" s="2">
        <v>815654</v>
      </c>
      <c r="D8690" s="2">
        <v>1480056</v>
      </c>
      <c r="E8690" s="2">
        <v>4</v>
      </c>
      <c r="F8690" s="2" t="s">
        <v>10086</v>
      </c>
      <c r="H8690" s="3">
        <v>5.9999999999999995E-4</v>
      </c>
      <c r="K8690" s="2" t="s">
        <v>10089</v>
      </c>
    </row>
    <row r="8691" spans="1:11" x14ac:dyDescent="0.2">
      <c r="A8691" s="2">
        <v>2175</v>
      </c>
      <c r="B8691" s="2">
        <v>17</v>
      </c>
      <c r="C8691" s="2">
        <v>1480057</v>
      </c>
      <c r="D8691" s="2">
        <v>2699135</v>
      </c>
      <c r="E8691" s="2">
        <v>1</v>
      </c>
      <c r="F8691" s="2" t="s">
        <v>10086</v>
      </c>
      <c r="H8691" s="2">
        <v>1.9E-3</v>
      </c>
      <c r="K8691" s="2" t="s">
        <v>10085</v>
      </c>
    </row>
    <row r="8692" spans="1:11" x14ac:dyDescent="0.2">
      <c r="A8692" s="2">
        <v>2175</v>
      </c>
      <c r="B8692" s="2">
        <v>17</v>
      </c>
      <c r="C8692" s="2">
        <v>1480057</v>
      </c>
      <c r="D8692" s="2">
        <v>2699135</v>
      </c>
      <c r="E8692" s="2">
        <v>2</v>
      </c>
      <c r="F8692" s="2" t="s">
        <v>10086</v>
      </c>
      <c r="H8692" s="2">
        <v>2.0999999999999999E-3</v>
      </c>
      <c r="K8692" s="2" t="s">
        <v>10087</v>
      </c>
    </row>
    <row r="8693" spans="1:11" x14ac:dyDescent="0.2">
      <c r="A8693" s="2">
        <v>2175</v>
      </c>
      <c r="B8693" s="2">
        <v>17</v>
      </c>
      <c r="C8693" s="2">
        <v>1480057</v>
      </c>
      <c r="D8693" s="2">
        <v>2699135</v>
      </c>
      <c r="E8693" s="2">
        <v>3</v>
      </c>
      <c r="F8693" s="2" t="s">
        <v>10086</v>
      </c>
      <c r="H8693" s="2">
        <v>1E-3</v>
      </c>
      <c r="K8693" s="2" t="s">
        <v>10088</v>
      </c>
    </row>
    <row r="8694" spans="1:11" x14ac:dyDescent="0.2">
      <c r="A8694" s="2">
        <v>2175</v>
      </c>
      <c r="B8694" s="2">
        <v>17</v>
      </c>
      <c r="C8694" s="2">
        <v>1480057</v>
      </c>
      <c r="D8694" s="2">
        <v>2699135</v>
      </c>
      <c r="E8694" s="2">
        <v>4</v>
      </c>
      <c r="F8694" s="2" t="s">
        <v>10086</v>
      </c>
      <c r="H8694" s="3">
        <v>8.0000000000000004E-4</v>
      </c>
      <c r="K8694" s="2" t="s">
        <v>10089</v>
      </c>
    </row>
    <row r="8695" spans="1:11" x14ac:dyDescent="0.2">
      <c r="A8695" s="2">
        <v>2176</v>
      </c>
      <c r="B8695" s="2">
        <v>17</v>
      </c>
      <c r="C8695" s="2">
        <v>2699136</v>
      </c>
      <c r="D8695" s="2">
        <v>3430440</v>
      </c>
      <c r="E8695" s="2">
        <v>1</v>
      </c>
      <c r="F8695" s="2" t="s">
        <v>10086</v>
      </c>
      <c r="H8695" s="2">
        <v>6.6E-3</v>
      </c>
      <c r="K8695" s="2" t="s">
        <v>10087</v>
      </c>
    </row>
    <row r="8696" spans="1:11" x14ac:dyDescent="0.2">
      <c r="A8696" s="2">
        <v>2176</v>
      </c>
      <c r="B8696" s="2">
        <v>17</v>
      </c>
      <c r="C8696" s="2">
        <v>2699136</v>
      </c>
      <c r="D8696" s="2">
        <v>3430440</v>
      </c>
      <c r="E8696" s="2">
        <v>2</v>
      </c>
      <c r="F8696" s="2" t="s">
        <v>10086</v>
      </c>
      <c r="H8696" s="3">
        <v>6.9999999999999999E-4</v>
      </c>
      <c r="K8696" s="2" t="s">
        <v>10088</v>
      </c>
    </row>
    <row r="8697" spans="1:11" x14ac:dyDescent="0.2">
      <c r="A8697" s="2">
        <v>2176</v>
      </c>
      <c r="B8697" s="2">
        <v>17</v>
      </c>
      <c r="C8697" s="2">
        <v>2699136</v>
      </c>
      <c r="D8697" s="2">
        <v>3430440</v>
      </c>
      <c r="E8697" s="2">
        <v>3</v>
      </c>
      <c r="F8697" s="2" t="s">
        <v>10086</v>
      </c>
      <c r="H8697" s="3">
        <v>8.0000000000000004E-4</v>
      </c>
      <c r="K8697" s="2" t="s">
        <v>10089</v>
      </c>
    </row>
    <row r="8698" spans="1:11" x14ac:dyDescent="0.2">
      <c r="A8698" s="2">
        <v>2176</v>
      </c>
      <c r="B8698" s="2">
        <v>17</v>
      </c>
      <c r="C8698" s="2">
        <v>2699136</v>
      </c>
      <c r="D8698" s="2">
        <v>3430440</v>
      </c>
      <c r="E8698" s="2">
        <v>4</v>
      </c>
      <c r="F8698" s="2" t="s">
        <v>10086</v>
      </c>
      <c r="H8698" s="3">
        <v>6.9999999999999999E-4</v>
      </c>
      <c r="K8698" s="2" t="s">
        <v>10085</v>
      </c>
    </row>
    <row r="8699" spans="1:11" x14ac:dyDescent="0.2">
      <c r="A8699" s="2">
        <v>2177</v>
      </c>
      <c r="B8699" s="2">
        <v>17</v>
      </c>
      <c r="C8699" s="2">
        <v>3430441</v>
      </c>
      <c r="D8699" s="2">
        <v>4463971</v>
      </c>
      <c r="E8699" s="2">
        <v>1</v>
      </c>
      <c r="F8699" s="2" t="s">
        <v>10086</v>
      </c>
      <c r="H8699" s="2">
        <v>2.2000000000000001E-3</v>
      </c>
      <c r="K8699" s="2" t="s">
        <v>10087</v>
      </c>
    </row>
    <row r="8700" spans="1:11" x14ac:dyDescent="0.2">
      <c r="A8700" s="2">
        <v>2177</v>
      </c>
      <c r="B8700" s="2">
        <v>17</v>
      </c>
      <c r="C8700" s="2">
        <v>3430441</v>
      </c>
      <c r="D8700" s="2">
        <v>4463971</v>
      </c>
      <c r="E8700" s="2">
        <v>2</v>
      </c>
      <c r="F8700" s="2" t="s">
        <v>10086</v>
      </c>
      <c r="H8700" s="2">
        <v>2E-3</v>
      </c>
      <c r="K8700" s="2" t="s">
        <v>10088</v>
      </c>
    </row>
    <row r="8701" spans="1:11" x14ac:dyDescent="0.2">
      <c r="A8701" s="2">
        <v>2177</v>
      </c>
      <c r="B8701" s="2">
        <v>17</v>
      </c>
      <c r="C8701" s="2">
        <v>3430441</v>
      </c>
      <c r="D8701" s="2">
        <v>4463971</v>
      </c>
      <c r="E8701" s="2">
        <v>3</v>
      </c>
      <c r="F8701" s="2" t="s">
        <v>10086</v>
      </c>
      <c r="H8701" s="2">
        <v>1.6000000000000001E-3</v>
      </c>
      <c r="K8701" s="2" t="s">
        <v>10085</v>
      </c>
    </row>
    <row r="8702" spans="1:11" x14ac:dyDescent="0.2">
      <c r="A8702" s="2">
        <v>2177</v>
      </c>
      <c r="B8702" s="2">
        <v>17</v>
      </c>
      <c r="C8702" s="2">
        <v>3430441</v>
      </c>
      <c r="D8702" s="2">
        <v>4463971</v>
      </c>
      <c r="E8702" s="2">
        <v>4</v>
      </c>
      <c r="F8702" s="2" t="s">
        <v>10086</v>
      </c>
      <c r="H8702" s="3">
        <v>8.0000000000000004E-4</v>
      </c>
      <c r="K8702" s="2" t="s">
        <v>10089</v>
      </c>
    </row>
    <row r="8703" spans="1:11" x14ac:dyDescent="0.2">
      <c r="A8703" s="2">
        <v>2178</v>
      </c>
      <c r="B8703" s="2">
        <v>17</v>
      </c>
      <c r="C8703" s="2">
        <v>4463972</v>
      </c>
      <c r="D8703" s="2">
        <v>5573784</v>
      </c>
      <c r="E8703" s="2">
        <v>1</v>
      </c>
      <c r="F8703" s="2" t="s">
        <v>10086</v>
      </c>
      <c r="H8703" s="2">
        <v>1.3100000000000001E-2</v>
      </c>
      <c r="K8703" s="2" t="s">
        <v>10088</v>
      </c>
    </row>
    <row r="8704" spans="1:11" x14ac:dyDescent="0.2">
      <c r="A8704" s="2">
        <v>2178</v>
      </c>
      <c r="B8704" s="2">
        <v>17</v>
      </c>
      <c r="C8704" s="2">
        <v>4463972</v>
      </c>
      <c r="D8704" s="2">
        <v>5573784</v>
      </c>
      <c r="E8704" s="2">
        <v>2</v>
      </c>
      <c r="F8704" s="2" t="s">
        <v>10086</v>
      </c>
      <c r="H8704" s="2">
        <v>2E-3</v>
      </c>
      <c r="K8704" s="2" t="s">
        <v>10089</v>
      </c>
    </row>
    <row r="8705" spans="1:11" x14ac:dyDescent="0.2">
      <c r="A8705" s="2">
        <v>2178</v>
      </c>
      <c r="B8705" s="2">
        <v>17</v>
      </c>
      <c r="C8705" s="2">
        <v>4463972</v>
      </c>
      <c r="D8705" s="2">
        <v>5573784</v>
      </c>
      <c r="E8705" s="2">
        <v>3</v>
      </c>
      <c r="F8705" s="2" t="s">
        <v>10086</v>
      </c>
      <c r="H8705" s="2">
        <v>1.1000000000000001E-3</v>
      </c>
      <c r="K8705" s="2" t="s">
        <v>10085</v>
      </c>
    </row>
    <row r="8706" spans="1:11" x14ac:dyDescent="0.2">
      <c r="A8706" s="2">
        <v>2178</v>
      </c>
      <c r="B8706" s="2">
        <v>17</v>
      </c>
      <c r="C8706" s="2">
        <v>4463972</v>
      </c>
      <c r="D8706" s="2">
        <v>5573784</v>
      </c>
      <c r="E8706" s="2">
        <v>4</v>
      </c>
      <c r="F8706" s="2" t="s">
        <v>10086</v>
      </c>
      <c r="H8706" s="3">
        <v>5.0000000000000001E-4</v>
      </c>
      <c r="K8706" s="2" t="s">
        <v>10087</v>
      </c>
    </row>
    <row r="8707" spans="1:11" x14ac:dyDescent="0.2">
      <c r="A8707" s="2">
        <v>2179</v>
      </c>
      <c r="B8707" s="2">
        <v>17</v>
      </c>
      <c r="C8707" s="2">
        <v>5573785</v>
      </c>
      <c r="D8707" s="2">
        <v>6305078</v>
      </c>
      <c r="E8707" s="2">
        <v>1</v>
      </c>
      <c r="F8707" s="2" t="s">
        <v>10086</v>
      </c>
      <c r="H8707" s="2">
        <v>1.6999999999999999E-3</v>
      </c>
      <c r="K8707" s="2" t="s">
        <v>10089</v>
      </c>
    </row>
    <row r="8708" spans="1:11" x14ac:dyDescent="0.2">
      <c r="A8708" s="2">
        <v>2179</v>
      </c>
      <c r="B8708" s="2">
        <v>17</v>
      </c>
      <c r="C8708" s="2">
        <v>5573785</v>
      </c>
      <c r="D8708" s="2">
        <v>6305078</v>
      </c>
      <c r="E8708" s="2">
        <v>2</v>
      </c>
      <c r="F8708" s="2" t="s">
        <v>10086</v>
      </c>
      <c r="H8708" s="2">
        <v>1.1999999999999999E-3</v>
      </c>
      <c r="K8708" s="2" t="s">
        <v>10085</v>
      </c>
    </row>
    <row r="8709" spans="1:11" x14ac:dyDescent="0.2">
      <c r="A8709" s="2">
        <v>2179</v>
      </c>
      <c r="B8709" s="2">
        <v>17</v>
      </c>
      <c r="C8709" s="2">
        <v>5573785</v>
      </c>
      <c r="D8709" s="2">
        <v>6305078</v>
      </c>
      <c r="E8709" s="2">
        <v>3</v>
      </c>
      <c r="F8709" s="2" t="s">
        <v>10086</v>
      </c>
      <c r="H8709" s="3">
        <v>8.9999999999999998E-4</v>
      </c>
      <c r="K8709" s="2" t="s">
        <v>10087</v>
      </c>
    </row>
    <row r="8710" spans="1:11" x14ac:dyDescent="0.2">
      <c r="A8710" s="2">
        <v>2179</v>
      </c>
      <c r="B8710" s="2">
        <v>17</v>
      </c>
      <c r="C8710" s="2">
        <v>5573785</v>
      </c>
      <c r="D8710" s="2">
        <v>6305078</v>
      </c>
      <c r="E8710" s="2">
        <v>4</v>
      </c>
      <c r="F8710" s="2" t="s">
        <v>10086</v>
      </c>
      <c r="H8710" s="3">
        <v>5.0000000000000001E-4</v>
      </c>
      <c r="K8710" s="2" t="s">
        <v>10088</v>
      </c>
    </row>
    <row r="8711" spans="1:11" x14ac:dyDescent="0.2">
      <c r="A8711" s="2">
        <v>2180</v>
      </c>
      <c r="B8711" s="2">
        <v>17</v>
      </c>
      <c r="C8711" s="2">
        <v>6305079</v>
      </c>
      <c r="D8711" s="2">
        <v>7264458</v>
      </c>
      <c r="E8711" s="2">
        <v>1</v>
      </c>
      <c r="F8711" s="2" t="s">
        <v>10086</v>
      </c>
      <c r="H8711" s="2">
        <v>3.3E-3</v>
      </c>
      <c r="K8711" s="2" t="s">
        <v>12324</v>
      </c>
    </row>
    <row r="8712" spans="1:11" x14ac:dyDescent="0.2">
      <c r="A8712" s="2">
        <v>2180</v>
      </c>
      <c r="B8712" s="2">
        <v>17</v>
      </c>
      <c r="C8712" s="2">
        <v>6305079</v>
      </c>
      <c r="D8712" s="2">
        <v>7264458</v>
      </c>
      <c r="E8712" s="2">
        <v>2</v>
      </c>
      <c r="F8712" s="2" t="s">
        <v>10086</v>
      </c>
      <c r="H8712" s="2">
        <v>1.1000000000000001E-3</v>
      </c>
      <c r="K8712" s="2" t="s">
        <v>10089</v>
      </c>
    </row>
    <row r="8713" spans="1:11" x14ac:dyDescent="0.2">
      <c r="A8713" s="2">
        <v>2180</v>
      </c>
      <c r="B8713" s="2">
        <v>17</v>
      </c>
      <c r="C8713" s="2">
        <v>6305079</v>
      </c>
      <c r="D8713" s="2">
        <v>7264458</v>
      </c>
      <c r="E8713" s="2">
        <v>3</v>
      </c>
      <c r="F8713" s="2" t="s">
        <v>10086</v>
      </c>
      <c r="H8713" s="2">
        <v>1.4E-3</v>
      </c>
      <c r="K8713" s="2" t="s">
        <v>10087</v>
      </c>
    </row>
    <row r="8714" spans="1:11" x14ac:dyDescent="0.2">
      <c r="A8714" s="2">
        <v>2180</v>
      </c>
      <c r="B8714" s="2">
        <v>17</v>
      </c>
      <c r="C8714" s="2">
        <v>6305079</v>
      </c>
      <c r="D8714" s="2">
        <v>7264458</v>
      </c>
      <c r="E8714" s="2">
        <v>4</v>
      </c>
      <c r="F8714" s="2" t="s">
        <v>10086</v>
      </c>
      <c r="H8714" s="2">
        <v>1.1000000000000001E-3</v>
      </c>
      <c r="K8714" s="2" t="s">
        <v>10085</v>
      </c>
    </row>
    <row r="8715" spans="1:11" x14ac:dyDescent="0.2">
      <c r="A8715" s="2">
        <v>2181</v>
      </c>
      <c r="B8715" s="2">
        <v>17</v>
      </c>
      <c r="C8715" s="2">
        <v>7264459</v>
      </c>
      <c r="D8715" s="2">
        <v>8554763</v>
      </c>
      <c r="E8715" s="2">
        <v>1</v>
      </c>
      <c r="F8715" s="2" t="s">
        <v>10086</v>
      </c>
      <c r="H8715" s="2">
        <v>4.0000000000000001E-3</v>
      </c>
      <c r="K8715" s="2" t="s">
        <v>10088</v>
      </c>
    </row>
    <row r="8716" spans="1:11" x14ac:dyDescent="0.2">
      <c r="A8716" s="2">
        <v>2181</v>
      </c>
      <c r="B8716" s="2">
        <v>17</v>
      </c>
      <c r="C8716" s="2">
        <v>7264459</v>
      </c>
      <c r="D8716" s="2">
        <v>8554763</v>
      </c>
      <c r="E8716" s="2">
        <v>2</v>
      </c>
      <c r="F8716" s="2" t="s">
        <v>10086</v>
      </c>
      <c r="H8716" s="2">
        <v>2.3E-3</v>
      </c>
      <c r="K8716" s="2" t="s">
        <v>10089</v>
      </c>
    </row>
    <row r="8717" spans="1:11" x14ac:dyDescent="0.2">
      <c r="A8717" s="2">
        <v>2181</v>
      </c>
      <c r="B8717" s="2">
        <v>17</v>
      </c>
      <c r="C8717" s="2">
        <v>7264459</v>
      </c>
      <c r="D8717" s="2">
        <v>8554763</v>
      </c>
      <c r="E8717" s="2">
        <v>3</v>
      </c>
      <c r="F8717" s="2" t="s">
        <v>10086</v>
      </c>
      <c r="H8717" s="3">
        <v>8.9999999999999998E-4</v>
      </c>
      <c r="K8717" s="2" t="s">
        <v>10087</v>
      </c>
    </row>
    <row r="8718" spans="1:11" x14ac:dyDescent="0.2">
      <c r="A8718" s="2">
        <v>2181</v>
      </c>
      <c r="B8718" s="2">
        <v>17</v>
      </c>
      <c r="C8718" s="2">
        <v>7264459</v>
      </c>
      <c r="D8718" s="2">
        <v>8554763</v>
      </c>
      <c r="E8718" s="2">
        <v>4</v>
      </c>
      <c r="F8718" s="2" t="s">
        <v>10086</v>
      </c>
      <c r="H8718" s="3">
        <v>5.9999999999999995E-4</v>
      </c>
      <c r="K8718" s="2" t="s">
        <v>10085</v>
      </c>
    </row>
    <row r="8719" spans="1:11" x14ac:dyDescent="0.2">
      <c r="A8719" s="2">
        <v>2182</v>
      </c>
      <c r="B8719" s="2">
        <v>17</v>
      </c>
      <c r="C8719" s="2">
        <v>8554764</v>
      </c>
      <c r="D8719" s="2">
        <v>9619356</v>
      </c>
      <c r="E8719" s="2">
        <v>1</v>
      </c>
      <c r="F8719" s="2" t="s">
        <v>10086</v>
      </c>
      <c r="H8719" s="2">
        <v>2E-3</v>
      </c>
      <c r="K8719" s="2" t="s">
        <v>10088</v>
      </c>
    </row>
    <row r="8720" spans="1:11" x14ac:dyDescent="0.2">
      <c r="A8720" s="2">
        <v>2182</v>
      </c>
      <c r="B8720" s="2">
        <v>17</v>
      </c>
      <c r="C8720" s="2">
        <v>8554764</v>
      </c>
      <c r="D8720" s="2">
        <v>9619356</v>
      </c>
      <c r="E8720" s="2">
        <v>2</v>
      </c>
      <c r="F8720" s="2" t="s">
        <v>10086</v>
      </c>
      <c r="H8720" s="2">
        <v>1.1000000000000001E-3</v>
      </c>
      <c r="K8720" s="2" t="s">
        <v>10085</v>
      </c>
    </row>
    <row r="8721" spans="1:11" x14ac:dyDescent="0.2">
      <c r="A8721" s="2">
        <v>2182</v>
      </c>
      <c r="B8721" s="2">
        <v>17</v>
      </c>
      <c r="C8721" s="2">
        <v>8554764</v>
      </c>
      <c r="D8721" s="2">
        <v>9619356</v>
      </c>
      <c r="E8721" s="2">
        <v>3</v>
      </c>
      <c r="F8721" s="2" t="s">
        <v>10086</v>
      </c>
      <c r="H8721" s="3">
        <v>8.9999999999999998E-4</v>
      </c>
      <c r="K8721" s="2" t="s">
        <v>10089</v>
      </c>
    </row>
    <row r="8722" spans="1:11" x14ac:dyDescent="0.2">
      <c r="A8722" s="2">
        <v>2182</v>
      </c>
      <c r="B8722" s="2">
        <v>17</v>
      </c>
      <c r="C8722" s="2">
        <v>8554764</v>
      </c>
      <c r="D8722" s="2">
        <v>9619356</v>
      </c>
      <c r="E8722" s="2">
        <v>4</v>
      </c>
      <c r="F8722" s="2" t="s">
        <v>10086</v>
      </c>
      <c r="H8722" s="3">
        <v>4.0000000000000002E-4</v>
      </c>
      <c r="K8722" s="2" t="s">
        <v>10087</v>
      </c>
    </row>
    <row r="8723" spans="1:11" x14ac:dyDescent="0.2">
      <c r="A8723" s="2">
        <v>2183</v>
      </c>
      <c r="B8723" s="2">
        <v>17</v>
      </c>
      <c r="C8723" s="2">
        <v>9619357</v>
      </c>
      <c r="D8723" s="2">
        <v>10572617</v>
      </c>
      <c r="E8723" s="2">
        <v>1</v>
      </c>
      <c r="F8723" s="2" t="s">
        <v>10086</v>
      </c>
      <c r="H8723" s="2">
        <v>4.4999999999999997E-3</v>
      </c>
      <c r="K8723" s="2" t="s">
        <v>10087</v>
      </c>
    </row>
    <row r="8724" spans="1:11" x14ac:dyDescent="0.2">
      <c r="A8724" s="2">
        <v>2183</v>
      </c>
      <c r="B8724" s="2">
        <v>17</v>
      </c>
      <c r="C8724" s="2">
        <v>9619357</v>
      </c>
      <c r="D8724" s="2">
        <v>10572617</v>
      </c>
      <c r="E8724" s="2">
        <v>2</v>
      </c>
      <c r="F8724" s="2" t="s">
        <v>10086</v>
      </c>
      <c r="H8724" s="2">
        <v>2.5000000000000001E-3</v>
      </c>
      <c r="K8724" s="2" t="s">
        <v>10088</v>
      </c>
    </row>
    <row r="8725" spans="1:11" x14ac:dyDescent="0.2">
      <c r="A8725" s="2">
        <v>2183</v>
      </c>
      <c r="B8725" s="2">
        <v>17</v>
      </c>
      <c r="C8725" s="2">
        <v>9619357</v>
      </c>
      <c r="D8725" s="2">
        <v>10572617</v>
      </c>
      <c r="E8725" s="2">
        <v>3</v>
      </c>
      <c r="F8725" s="2" t="s">
        <v>10086</v>
      </c>
      <c r="H8725" s="2">
        <v>1.4E-3</v>
      </c>
      <c r="K8725" s="2" t="s">
        <v>10089</v>
      </c>
    </row>
    <row r="8726" spans="1:11" x14ac:dyDescent="0.2">
      <c r="A8726" s="2">
        <v>2183</v>
      </c>
      <c r="B8726" s="2">
        <v>17</v>
      </c>
      <c r="C8726" s="2">
        <v>9619357</v>
      </c>
      <c r="D8726" s="2">
        <v>10572617</v>
      </c>
      <c r="E8726" s="2">
        <v>4</v>
      </c>
      <c r="F8726" s="2" t="s">
        <v>10086</v>
      </c>
      <c r="H8726" s="3">
        <v>5.9999999999999995E-4</v>
      </c>
      <c r="K8726" s="2" t="s">
        <v>10085</v>
      </c>
    </row>
    <row r="8727" spans="1:11" x14ac:dyDescent="0.2">
      <c r="A8727" s="2">
        <v>2184</v>
      </c>
      <c r="B8727" s="2">
        <v>17</v>
      </c>
      <c r="C8727" s="2">
        <v>10572618</v>
      </c>
      <c r="D8727" s="2">
        <v>11778164</v>
      </c>
      <c r="E8727" s="2">
        <v>1</v>
      </c>
      <c r="F8727" s="2" t="s">
        <v>10086</v>
      </c>
      <c r="H8727" s="2">
        <v>3.2000000000000002E-3</v>
      </c>
      <c r="K8727" s="2" t="s">
        <v>10089</v>
      </c>
    </row>
    <row r="8728" spans="1:11" x14ac:dyDescent="0.2">
      <c r="A8728" s="2">
        <v>2184</v>
      </c>
      <c r="B8728" s="2">
        <v>17</v>
      </c>
      <c r="C8728" s="2">
        <v>10572618</v>
      </c>
      <c r="D8728" s="2">
        <v>11778164</v>
      </c>
      <c r="E8728" s="2">
        <v>2</v>
      </c>
      <c r="F8728" s="2" t="s">
        <v>10086</v>
      </c>
      <c r="H8728" s="2">
        <v>1.6999999999999999E-3</v>
      </c>
      <c r="K8728" s="2" t="s">
        <v>10087</v>
      </c>
    </row>
    <row r="8729" spans="1:11" x14ac:dyDescent="0.2">
      <c r="A8729" s="2">
        <v>2184</v>
      </c>
      <c r="B8729" s="2">
        <v>17</v>
      </c>
      <c r="C8729" s="2">
        <v>10572618</v>
      </c>
      <c r="D8729" s="2">
        <v>11778164</v>
      </c>
      <c r="E8729" s="2">
        <v>3</v>
      </c>
      <c r="F8729" s="2" t="s">
        <v>10086</v>
      </c>
      <c r="H8729" s="2">
        <v>1.6000000000000001E-3</v>
      </c>
      <c r="K8729" s="2" t="s">
        <v>10085</v>
      </c>
    </row>
    <row r="8730" spans="1:11" x14ac:dyDescent="0.2">
      <c r="A8730" s="2">
        <v>2184</v>
      </c>
      <c r="B8730" s="2">
        <v>17</v>
      </c>
      <c r="C8730" s="2">
        <v>10572618</v>
      </c>
      <c r="D8730" s="2">
        <v>11778164</v>
      </c>
      <c r="E8730" s="2">
        <v>4</v>
      </c>
      <c r="F8730" s="2" t="s">
        <v>10086</v>
      </c>
      <c r="H8730" s="3">
        <v>5.0000000000000001E-4</v>
      </c>
      <c r="K8730" s="2" t="s">
        <v>10088</v>
      </c>
    </row>
    <row r="8731" spans="1:11" x14ac:dyDescent="0.2">
      <c r="A8731" s="2">
        <v>2185</v>
      </c>
      <c r="B8731" s="2">
        <v>17</v>
      </c>
      <c r="C8731" s="2">
        <v>11778165</v>
      </c>
      <c r="D8731" s="2">
        <v>12676353</v>
      </c>
      <c r="E8731" s="2">
        <v>1</v>
      </c>
      <c r="F8731" s="2" t="s">
        <v>10086</v>
      </c>
      <c r="H8731" s="2">
        <v>1.4999999999999999E-2</v>
      </c>
      <c r="K8731" s="2" t="s">
        <v>10087</v>
      </c>
    </row>
    <row r="8732" spans="1:11" x14ac:dyDescent="0.2">
      <c r="A8732" s="2">
        <v>2185</v>
      </c>
      <c r="B8732" s="2">
        <v>17</v>
      </c>
      <c r="C8732" s="2">
        <v>11778165</v>
      </c>
      <c r="D8732" s="2">
        <v>12676353</v>
      </c>
      <c r="E8732" s="2">
        <v>2</v>
      </c>
      <c r="F8732" s="2" t="s">
        <v>10086</v>
      </c>
      <c r="H8732" s="2">
        <v>1.2999999999999999E-3</v>
      </c>
      <c r="K8732" s="2" t="s">
        <v>10088</v>
      </c>
    </row>
    <row r="8733" spans="1:11" x14ac:dyDescent="0.2">
      <c r="A8733" s="2">
        <v>2185</v>
      </c>
      <c r="B8733" s="2">
        <v>17</v>
      </c>
      <c r="C8733" s="2">
        <v>11778165</v>
      </c>
      <c r="D8733" s="2">
        <v>12676353</v>
      </c>
      <c r="E8733" s="2">
        <v>3</v>
      </c>
      <c r="F8733" s="2" t="s">
        <v>10086</v>
      </c>
      <c r="H8733" s="2">
        <v>1.2999999999999999E-3</v>
      </c>
      <c r="K8733" s="2" t="s">
        <v>10085</v>
      </c>
    </row>
    <row r="8734" spans="1:11" x14ac:dyDescent="0.2">
      <c r="A8734" s="2">
        <v>2185</v>
      </c>
      <c r="B8734" s="2">
        <v>17</v>
      </c>
      <c r="C8734" s="2">
        <v>11778165</v>
      </c>
      <c r="D8734" s="2">
        <v>12676353</v>
      </c>
      <c r="E8734" s="2">
        <v>4</v>
      </c>
      <c r="F8734" s="2" t="s">
        <v>10086</v>
      </c>
      <c r="H8734" s="3">
        <v>4.0000000000000002E-4</v>
      </c>
      <c r="K8734" s="2" t="s">
        <v>10089</v>
      </c>
    </row>
    <row r="8735" spans="1:11" x14ac:dyDescent="0.2">
      <c r="A8735" s="2">
        <v>2186</v>
      </c>
      <c r="B8735" s="2">
        <v>17</v>
      </c>
      <c r="C8735" s="2">
        <v>12676354</v>
      </c>
      <c r="D8735" s="2">
        <v>13648446</v>
      </c>
      <c r="E8735" s="2">
        <v>1</v>
      </c>
      <c r="F8735" s="2" t="s">
        <v>10086</v>
      </c>
      <c r="H8735" s="2">
        <v>1.5E-3</v>
      </c>
      <c r="K8735" s="2" t="s">
        <v>10085</v>
      </c>
    </row>
    <row r="8736" spans="1:11" x14ac:dyDescent="0.2">
      <c r="A8736" s="2">
        <v>2186</v>
      </c>
      <c r="B8736" s="2">
        <v>17</v>
      </c>
      <c r="C8736" s="2">
        <v>12676354</v>
      </c>
      <c r="D8736" s="2">
        <v>13648446</v>
      </c>
      <c r="E8736" s="2">
        <v>2</v>
      </c>
      <c r="F8736" s="2" t="s">
        <v>10086</v>
      </c>
      <c r="H8736" s="2">
        <v>1.4E-3</v>
      </c>
      <c r="K8736" s="2" t="s">
        <v>10088</v>
      </c>
    </row>
    <row r="8737" spans="1:11" x14ac:dyDescent="0.2">
      <c r="A8737" s="2">
        <v>2186</v>
      </c>
      <c r="B8737" s="2">
        <v>17</v>
      </c>
      <c r="C8737" s="2">
        <v>12676354</v>
      </c>
      <c r="D8737" s="2">
        <v>13648446</v>
      </c>
      <c r="E8737" s="2">
        <v>3</v>
      </c>
      <c r="F8737" s="2" t="s">
        <v>10086</v>
      </c>
      <c r="H8737" s="2">
        <v>1E-3</v>
      </c>
      <c r="K8737" s="2" t="s">
        <v>10089</v>
      </c>
    </row>
    <row r="8738" spans="1:11" x14ac:dyDescent="0.2">
      <c r="A8738" s="2">
        <v>2186</v>
      </c>
      <c r="B8738" s="2">
        <v>17</v>
      </c>
      <c r="C8738" s="2">
        <v>12676354</v>
      </c>
      <c r="D8738" s="2">
        <v>13648446</v>
      </c>
      <c r="E8738" s="2">
        <v>4</v>
      </c>
      <c r="F8738" s="2" t="s">
        <v>10086</v>
      </c>
      <c r="H8738" s="3">
        <v>5.0000000000000001E-4</v>
      </c>
      <c r="K8738" s="2" t="s">
        <v>10087</v>
      </c>
    </row>
    <row r="8739" spans="1:11" x14ac:dyDescent="0.2">
      <c r="A8739" s="2">
        <v>2187</v>
      </c>
      <c r="B8739" s="2">
        <v>17</v>
      </c>
      <c r="C8739" s="2">
        <v>13648447</v>
      </c>
      <c r="D8739" s="2">
        <v>14508610</v>
      </c>
      <c r="E8739" s="2">
        <v>1</v>
      </c>
      <c r="F8739" s="2" t="s">
        <v>10086</v>
      </c>
      <c r="H8739" s="2">
        <v>2.7000000000000001E-3</v>
      </c>
      <c r="K8739" s="2" t="s">
        <v>10087</v>
      </c>
    </row>
    <row r="8740" spans="1:11" x14ac:dyDescent="0.2">
      <c r="A8740" s="2">
        <v>2187</v>
      </c>
      <c r="B8740" s="2">
        <v>17</v>
      </c>
      <c r="C8740" s="2">
        <v>13648447</v>
      </c>
      <c r="D8740" s="2">
        <v>14508610</v>
      </c>
      <c r="E8740" s="2">
        <v>2</v>
      </c>
      <c r="F8740" s="2" t="s">
        <v>10086</v>
      </c>
      <c r="H8740" s="2">
        <v>1.2999999999999999E-3</v>
      </c>
      <c r="K8740" s="2" t="s">
        <v>10088</v>
      </c>
    </row>
    <row r="8741" spans="1:11" x14ac:dyDescent="0.2">
      <c r="A8741" s="2">
        <v>2187</v>
      </c>
      <c r="B8741" s="2">
        <v>17</v>
      </c>
      <c r="C8741" s="2">
        <v>13648447</v>
      </c>
      <c r="D8741" s="2">
        <v>14508610</v>
      </c>
      <c r="E8741" s="2">
        <v>3</v>
      </c>
      <c r="F8741" s="2" t="s">
        <v>10086</v>
      </c>
      <c r="H8741" s="2">
        <v>1E-3</v>
      </c>
      <c r="K8741" s="2" t="s">
        <v>10089</v>
      </c>
    </row>
    <row r="8742" spans="1:11" x14ac:dyDescent="0.2">
      <c r="A8742" s="2">
        <v>2187</v>
      </c>
      <c r="B8742" s="2">
        <v>17</v>
      </c>
      <c r="C8742" s="2">
        <v>13648447</v>
      </c>
      <c r="D8742" s="2">
        <v>14508610</v>
      </c>
      <c r="E8742" s="2">
        <v>4</v>
      </c>
      <c r="F8742" s="2" t="s">
        <v>10086</v>
      </c>
      <c r="H8742" s="3">
        <v>5.9999999999999995E-4</v>
      </c>
      <c r="K8742" s="2" t="s">
        <v>10085</v>
      </c>
    </row>
    <row r="8743" spans="1:11" x14ac:dyDescent="0.2">
      <c r="A8743" s="2">
        <v>2188</v>
      </c>
      <c r="B8743" s="2">
        <v>17</v>
      </c>
      <c r="C8743" s="2">
        <v>14508611</v>
      </c>
      <c r="D8743" s="2">
        <v>15308722</v>
      </c>
      <c r="E8743" s="2">
        <v>1</v>
      </c>
      <c r="F8743" s="2" t="s">
        <v>10086</v>
      </c>
      <c r="H8743" s="2">
        <v>1.1000000000000001E-3</v>
      </c>
      <c r="K8743" s="2" t="s">
        <v>10085</v>
      </c>
    </row>
    <row r="8744" spans="1:11" x14ac:dyDescent="0.2">
      <c r="A8744" s="2">
        <v>2188</v>
      </c>
      <c r="B8744" s="2">
        <v>17</v>
      </c>
      <c r="C8744" s="2">
        <v>14508611</v>
      </c>
      <c r="D8744" s="2">
        <v>15308722</v>
      </c>
      <c r="E8744" s="2">
        <v>2</v>
      </c>
      <c r="F8744" s="2" t="s">
        <v>10086</v>
      </c>
      <c r="H8744" s="3">
        <v>8.9999999999999998E-4</v>
      </c>
      <c r="K8744" s="2" t="s">
        <v>10087</v>
      </c>
    </row>
    <row r="8745" spans="1:11" x14ac:dyDescent="0.2">
      <c r="A8745" s="2">
        <v>2188</v>
      </c>
      <c r="B8745" s="2">
        <v>17</v>
      </c>
      <c r="C8745" s="2">
        <v>14508611</v>
      </c>
      <c r="D8745" s="2">
        <v>15308722</v>
      </c>
      <c r="E8745" s="2">
        <v>3</v>
      </c>
      <c r="F8745" s="2" t="s">
        <v>10086</v>
      </c>
      <c r="H8745" s="3">
        <v>5.9999999999999995E-4</v>
      </c>
      <c r="K8745" s="2" t="s">
        <v>10088</v>
      </c>
    </row>
    <row r="8746" spans="1:11" x14ac:dyDescent="0.2">
      <c r="A8746" s="2">
        <v>2188</v>
      </c>
      <c r="B8746" s="2">
        <v>17</v>
      </c>
      <c r="C8746" s="2">
        <v>14508611</v>
      </c>
      <c r="D8746" s="2">
        <v>15308722</v>
      </c>
      <c r="E8746" s="2">
        <v>4</v>
      </c>
      <c r="F8746" s="2" t="s">
        <v>10086</v>
      </c>
      <c r="H8746" s="3">
        <v>2.9999999999999997E-4</v>
      </c>
      <c r="K8746" s="2" t="s">
        <v>10089</v>
      </c>
    </row>
    <row r="8747" spans="1:11" x14ac:dyDescent="0.2">
      <c r="A8747" s="2">
        <v>2189</v>
      </c>
      <c r="B8747" s="2">
        <v>17</v>
      </c>
      <c r="C8747" s="2">
        <v>15308723</v>
      </c>
      <c r="D8747" s="2">
        <v>16405207</v>
      </c>
      <c r="E8747" s="2">
        <v>1</v>
      </c>
      <c r="F8747" s="2" t="s">
        <v>10086</v>
      </c>
      <c r="H8747" s="2">
        <v>1.1999999999999999E-3</v>
      </c>
      <c r="K8747" s="2" t="s">
        <v>10088</v>
      </c>
    </row>
    <row r="8748" spans="1:11" x14ac:dyDescent="0.2">
      <c r="A8748" s="2">
        <v>2189</v>
      </c>
      <c r="B8748" s="2">
        <v>17</v>
      </c>
      <c r="C8748" s="2">
        <v>15308723</v>
      </c>
      <c r="D8748" s="2">
        <v>16405207</v>
      </c>
      <c r="E8748" s="2">
        <v>2</v>
      </c>
      <c r="F8748" s="2" t="s">
        <v>10086</v>
      </c>
      <c r="H8748" s="2">
        <v>1.1999999999999999E-3</v>
      </c>
      <c r="K8748" s="2" t="s">
        <v>10087</v>
      </c>
    </row>
    <row r="8749" spans="1:11" x14ac:dyDescent="0.2">
      <c r="A8749" s="2">
        <v>2189</v>
      </c>
      <c r="B8749" s="2">
        <v>17</v>
      </c>
      <c r="C8749" s="2">
        <v>15308723</v>
      </c>
      <c r="D8749" s="2">
        <v>16405207</v>
      </c>
      <c r="E8749" s="2">
        <v>3</v>
      </c>
      <c r="F8749" s="2" t="s">
        <v>10086</v>
      </c>
      <c r="H8749" s="2">
        <v>1E-3</v>
      </c>
      <c r="K8749" s="2" t="s">
        <v>10089</v>
      </c>
    </row>
    <row r="8750" spans="1:11" x14ac:dyDescent="0.2">
      <c r="A8750" s="2">
        <v>2189</v>
      </c>
      <c r="B8750" s="2">
        <v>17</v>
      </c>
      <c r="C8750" s="2">
        <v>15308723</v>
      </c>
      <c r="D8750" s="2">
        <v>16405207</v>
      </c>
      <c r="E8750" s="2">
        <v>4</v>
      </c>
      <c r="F8750" s="2" t="s">
        <v>10086</v>
      </c>
      <c r="H8750" s="3">
        <v>4.0000000000000002E-4</v>
      </c>
      <c r="K8750" s="2" t="s">
        <v>10085</v>
      </c>
    </row>
    <row r="8751" spans="1:11" x14ac:dyDescent="0.2">
      <c r="A8751" s="2">
        <v>2190</v>
      </c>
      <c r="B8751" s="2">
        <v>17</v>
      </c>
      <c r="C8751" s="2">
        <v>16405208</v>
      </c>
      <c r="D8751" s="2">
        <v>17326540</v>
      </c>
      <c r="E8751" s="2">
        <v>1</v>
      </c>
      <c r="F8751" s="2" t="s">
        <v>10086</v>
      </c>
      <c r="H8751" s="2">
        <v>1.5E-3</v>
      </c>
      <c r="K8751" s="2" t="s">
        <v>10087</v>
      </c>
    </row>
    <row r="8752" spans="1:11" x14ac:dyDescent="0.2">
      <c r="A8752" s="2">
        <v>2190</v>
      </c>
      <c r="B8752" s="2">
        <v>17</v>
      </c>
      <c r="C8752" s="2">
        <v>16405208</v>
      </c>
      <c r="D8752" s="2">
        <v>17326540</v>
      </c>
      <c r="E8752" s="2">
        <v>2</v>
      </c>
      <c r="F8752" s="2" t="s">
        <v>10086</v>
      </c>
      <c r="H8752" s="2">
        <v>1.6000000000000001E-3</v>
      </c>
      <c r="K8752" s="2" t="s">
        <v>10088</v>
      </c>
    </row>
    <row r="8753" spans="1:11" x14ac:dyDescent="0.2">
      <c r="A8753" s="2">
        <v>2190</v>
      </c>
      <c r="B8753" s="2">
        <v>17</v>
      </c>
      <c r="C8753" s="2">
        <v>16405208</v>
      </c>
      <c r="D8753" s="2">
        <v>17326540</v>
      </c>
      <c r="E8753" s="2">
        <v>3</v>
      </c>
      <c r="F8753" s="2" t="s">
        <v>10086</v>
      </c>
      <c r="H8753" s="3">
        <v>8.9999999999999998E-4</v>
      </c>
      <c r="K8753" s="2" t="s">
        <v>10089</v>
      </c>
    </row>
    <row r="8754" spans="1:11" x14ac:dyDescent="0.2">
      <c r="A8754" s="2">
        <v>2190</v>
      </c>
      <c r="B8754" s="2">
        <v>17</v>
      </c>
      <c r="C8754" s="2">
        <v>16405208</v>
      </c>
      <c r="D8754" s="2">
        <v>17326540</v>
      </c>
      <c r="E8754" s="2">
        <v>4</v>
      </c>
      <c r="F8754" s="2" t="s">
        <v>10086</v>
      </c>
      <c r="H8754" s="3">
        <v>2.9999999999999997E-4</v>
      </c>
      <c r="K8754" s="2" t="s">
        <v>10085</v>
      </c>
    </row>
    <row r="8755" spans="1:11" x14ac:dyDescent="0.2">
      <c r="A8755" s="2">
        <v>2191</v>
      </c>
      <c r="B8755" s="2">
        <v>17</v>
      </c>
      <c r="C8755" s="2">
        <v>17326541</v>
      </c>
      <c r="D8755" s="2">
        <v>18900978</v>
      </c>
      <c r="E8755" s="2">
        <v>1</v>
      </c>
      <c r="F8755" s="2" t="s">
        <v>10086</v>
      </c>
      <c r="H8755" s="2">
        <v>1.5E-3</v>
      </c>
      <c r="K8755" s="2" t="s">
        <v>10088</v>
      </c>
    </row>
    <row r="8756" spans="1:11" x14ac:dyDescent="0.2">
      <c r="A8756" s="2">
        <v>2191</v>
      </c>
      <c r="B8756" s="2">
        <v>17</v>
      </c>
      <c r="C8756" s="2">
        <v>17326541</v>
      </c>
      <c r="D8756" s="2">
        <v>18900978</v>
      </c>
      <c r="E8756" s="2">
        <v>2</v>
      </c>
      <c r="F8756" s="2" t="s">
        <v>10086</v>
      </c>
      <c r="H8756" s="2">
        <v>1.2999999999999999E-3</v>
      </c>
      <c r="K8756" s="2" t="s">
        <v>10089</v>
      </c>
    </row>
    <row r="8757" spans="1:11" x14ac:dyDescent="0.2">
      <c r="A8757" s="2">
        <v>2191</v>
      </c>
      <c r="B8757" s="2">
        <v>17</v>
      </c>
      <c r="C8757" s="2">
        <v>17326541</v>
      </c>
      <c r="D8757" s="2">
        <v>18900978</v>
      </c>
      <c r="E8757" s="2">
        <v>3</v>
      </c>
      <c r="F8757" s="2" t="s">
        <v>10086</v>
      </c>
      <c r="H8757" s="2">
        <v>1E-3</v>
      </c>
      <c r="K8757" s="2" t="s">
        <v>10085</v>
      </c>
    </row>
    <row r="8758" spans="1:11" x14ac:dyDescent="0.2">
      <c r="A8758" s="2">
        <v>2191</v>
      </c>
      <c r="B8758" s="2">
        <v>17</v>
      </c>
      <c r="C8758" s="2">
        <v>17326541</v>
      </c>
      <c r="D8758" s="2">
        <v>18900978</v>
      </c>
      <c r="E8758" s="2">
        <v>4</v>
      </c>
      <c r="F8758" s="2" t="s">
        <v>10086</v>
      </c>
      <c r="H8758" s="3">
        <v>4.0000000000000002E-4</v>
      </c>
      <c r="K8758" s="2" t="s">
        <v>10087</v>
      </c>
    </row>
    <row r="8759" spans="1:11" x14ac:dyDescent="0.2">
      <c r="A8759" s="2">
        <v>2192</v>
      </c>
      <c r="B8759" s="2">
        <v>17</v>
      </c>
      <c r="C8759" s="2">
        <v>18900979</v>
      </c>
      <c r="D8759" s="2">
        <v>20402494</v>
      </c>
      <c r="E8759" s="2">
        <v>1</v>
      </c>
      <c r="F8759" s="2" t="s">
        <v>10086</v>
      </c>
      <c r="H8759" s="2">
        <v>1.1999999999999999E-3</v>
      </c>
      <c r="K8759" s="2" t="s">
        <v>10089</v>
      </c>
    </row>
    <row r="8760" spans="1:11" x14ac:dyDescent="0.2">
      <c r="A8760" s="2">
        <v>2192</v>
      </c>
      <c r="B8760" s="2">
        <v>17</v>
      </c>
      <c r="C8760" s="2">
        <v>18900979</v>
      </c>
      <c r="D8760" s="2">
        <v>20402494</v>
      </c>
      <c r="E8760" s="2">
        <v>2</v>
      </c>
      <c r="F8760" s="2" t="s">
        <v>10086</v>
      </c>
      <c r="H8760" s="3">
        <v>8.9999999999999998E-4</v>
      </c>
      <c r="K8760" s="2" t="s">
        <v>10087</v>
      </c>
    </row>
    <row r="8761" spans="1:11" x14ac:dyDescent="0.2">
      <c r="A8761" s="2">
        <v>2192</v>
      </c>
      <c r="B8761" s="2">
        <v>17</v>
      </c>
      <c r="C8761" s="2">
        <v>18900979</v>
      </c>
      <c r="D8761" s="2">
        <v>20402494</v>
      </c>
      <c r="E8761" s="2">
        <v>3</v>
      </c>
      <c r="F8761" s="2" t="s">
        <v>10086</v>
      </c>
      <c r="H8761" s="3">
        <v>6.9999999999999999E-4</v>
      </c>
      <c r="K8761" s="2" t="s">
        <v>10088</v>
      </c>
    </row>
    <row r="8762" spans="1:11" x14ac:dyDescent="0.2">
      <c r="A8762" s="2">
        <v>2192</v>
      </c>
      <c r="B8762" s="2">
        <v>17</v>
      </c>
      <c r="C8762" s="2">
        <v>18900979</v>
      </c>
      <c r="D8762" s="2">
        <v>20402494</v>
      </c>
      <c r="E8762" s="2">
        <v>4</v>
      </c>
      <c r="F8762" s="2" t="s">
        <v>10086</v>
      </c>
      <c r="H8762" s="3">
        <v>2.9999999999999997E-4</v>
      </c>
      <c r="K8762" s="2" t="s">
        <v>10085</v>
      </c>
    </row>
    <row r="8763" spans="1:11" x14ac:dyDescent="0.2">
      <c r="A8763" s="2">
        <v>2193</v>
      </c>
      <c r="B8763" s="2">
        <v>17</v>
      </c>
      <c r="C8763" s="2">
        <v>20402495</v>
      </c>
      <c r="D8763" s="2">
        <v>21432873</v>
      </c>
      <c r="E8763" s="2">
        <v>1</v>
      </c>
      <c r="F8763" s="2" t="s">
        <v>10086</v>
      </c>
      <c r="H8763" s="3">
        <v>8.0000000000000004E-4</v>
      </c>
      <c r="K8763" s="2" t="s">
        <v>10087</v>
      </c>
    </row>
    <row r="8764" spans="1:11" x14ac:dyDescent="0.2">
      <c r="A8764" s="2">
        <v>2193</v>
      </c>
      <c r="B8764" s="2">
        <v>17</v>
      </c>
      <c r="C8764" s="2">
        <v>20402495</v>
      </c>
      <c r="D8764" s="2">
        <v>21432873</v>
      </c>
      <c r="E8764" s="2">
        <v>2</v>
      </c>
      <c r="F8764" s="2" t="s">
        <v>10086</v>
      </c>
      <c r="H8764" s="3">
        <v>5.9999999999999995E-4</v>
      </c>
      <c r="K8764" s="2" t="s">
        <v>10085</v>
      </c>
    </row>
    <row r="8765" spans="1:11" x14ac:dyDescent="0.2">
      <c r="A8765" s="2">
        <v>2193</v>
      </c>
      <c r="B8765" s="2">
        <v>17</v>
      </c>
      <c r="C8765" s="2">
        <v>20402495</v>
      </c>
      <c r="D8765" s="2">
        <v>21432873</v>
      </c>
      <c r="E8765" s="2">
        <v>3</v>
      </c>
      <c r="F8765" s="2" t="s">
        <v>10086</v>
      </c>
      <c r="H8765" s="3">
        <v>6.9999999999999999E-4</v>
      </c>
      <c r="K8765" s="2" t="s">
        <v>10088</v>
      </c>
    </row>
    <row r="8766" spans="1:11" x14ac:dyDescent="0.2">
      <c r="A8766" s="2">
        <v>2193</v>
      </c>
      <c r="B8766" s="2">
        <v>17</v>
      </c>
      <c r="C8766" s="2">
        <v>20402495</v>
      </c>
      <c r="D8766" s="2">
        <v>21432873</v>
      </c>
      <c r="E8766" s="2">
        <v>4</v>
      </c>
      <c r="F8766" s="2" t="s">
        <v>10086</v>
      </c>
      <c r="H8766" s="3">
        <v>2.0000000000000001E-4</v>
      </c>
      <c r="K8766" s="2" t="s">
        <v>10089</v>
      </c>
    </row>
    <row r="8767" spans="1:11" x14ac:dyDescent="0.2">
      <c r="A8767" s="2">
        <v>2194</v>
      </c>
      <c r="B8767" s="2">
        <v>17</v>
      </c>
      <c r="C8767" s="2">
        <v>21432874</v>
      </c>
      <c r="D8767" s="2">
        <v>25872110</v>
      </c>
      <c r="E8767" s="2">
        <v>1</v>
      </c>
      <c r="F8767" s="2" t="s">
        <v>10086</v>
      </c>
      <c r="H8767" s="2">
        <v>1.6000000000000001E-3</v>
      </c>
      <c r="K8767" s="2" t="s">
        <v>10085</v>
      </c>
    </row>
    <row r="8768" spans="1:11" x14ac:dyDescent="0.2">
      <c r="A8768" s="2">
        <v>2194</v>
      </c>
      <c r="B8768" s="2">
        <v>17</v>
      </c>
      <c r="C8768" s="2">
        <v>21432874</v>
      </c>
      <c r="D8768" s="2">
        <v>25872110</v>
      </c>
      <c r="E8768" s="2">
        <v>2</v>
      </c>
      <c r="F8768" s="2" t="s">
        <v>10086</v>
      </c>
      <c r="H8768" s="2">
        <v>1.1000000000000001E-3</v>
      </c>
      <c r="K8768" s="2" t="s">
        <v>10088</v>
      </c>
    </row>
    <row r="8769" spans="1:11" x14ac:dyDescent="0.2">
      <c r="A8769" s="2">
        <v>2194</v>
      </c>
      <c r="B8769" s="2">
        <v>17</v>
      </c>
      <c r="C8769" s="2">
        <v>21432874</v>
      </c>
      <c r="D8769" s="2">
        <v>25872110</v>
      </c>
      <c r="E8769" s="2">
        <v>3</v>
      </c>
      <c r="F8769" s="2" t="s">
        <v>10086</v>
      </c>
      <c r="H8769" s="2">
        <v>1E-3</v>
      </c>
      <c r="K8769" s="2" t="s">
        <v>10089</v>
      </c>
    </row>
    <row r="8770" spans="1:11" x14ac:dyDescent="0.2">
      <c r="A8770" s="2">
        <v>2194</v>
      </c>
      <c r="B8770" s="2">
        <v>17</v>
      </c>
      <c r="C8770" s="2">
        <v>21432874</v>
      </c>
      <c r="D8770" s="2">
        <v>25872110</v>
      </c>
      <c r="E8770" s="2">
        <v>4</v>
      </c>
      <c r="F8770" s="2" t="s">
        <v>10086</v>
      </c>
      <c r="H8770" s="3">
        <v>5.0000000000000001E-4</v>
      </c>
      <c r="K8770" s="2" t="s">
        <v>10087</v>
      </c>
    </row>
    <row r="8771" spans="1:11" x14ac:dyDescent="0.2">
      <c r="A8771" s="2">
        <v>2195</v>
      </c>
      <c r="B8771" s="2">
        <v>17</v>
      </c>
      <c r="C8771" s="2">
        <v>25872111</v>
      </c>
      <c r="D8771" s="2">
        <v>27344401</v>
      </c>
      <c r="E8771" s="2">
        <v>1</v>
      </c>
      <c r="F8771" s="2" t="s">
        <v>10086</v>
      </c>
      <c r="H8771" s="2">
        <v>3.2000000000000002E-3</v>
      </c>
      <c r="K8771" s="2" t="s">
        <v>10087</v>
      </c>
    </row>
    <row r="8772" spans="1:11" x14ac:dyDescent="0.2">
      <c r="A8772" s="2">
        <v>2195</v>
      </c>
      <c r="B8772" s="2">
        <v>17</v>
      </c>
      <c r="C8772" s="2">
        <v>25872111</v>
      </c>
      <c r="D8772" s="2">
        <v>27344401</v>
      </c>
      <c r="E8772" s="2">
        <v>2</v>
      </c>
      <c r="F8772" s="2" t="s">
        <v>10086</v>
      </c>
      <c r="H8772" s="2">
        <v>2E-3</v>
      </c>
      <c r="K8772" s="2" t="s">
        <v>10089</v>
      </c>
    </row>
    <row r="8773" spans="1:11" x14ac:dyDescent="0.2">
      <c r="A8773" s="2">
        <v>2195</v>
      </c>
      <c r="B8773" s="2">
        <v>17</v>
      </c>
      <c r="C8773" s="2">
        <v>25872111</v>
      </c>
      <c r="D8773" s="2">
        <v>27344401</v>
      </c>
      <c r="E8773" s="2">
        <v>3</v>
      </c>
      <c r="F8773" s="2" t="s">
        <v>10086</v>
      </c>
      <c r="H8773" s="2">
        <v>1.6000000000000001E-3</v>
      </c>
      <c r="K8773" s="2" t="s">
        <v>10085</v>
      </c>
    </row>
    <row r="8774" spans="1:11" x14ac:dyDescent="0.2">
      <c r="A8774" s="2">
        <v>2195</v>
      </c>
      <c r="B8774" s="2">
        <v>17</v>
      </c>
      <c r="C8774" s="2">
        <v>25872111</v>
      </c>
      <c r="D8774" s="2">
        <v>27344401</v>
      </c>
      <c r="E8774" s="2">
        <v>4</v>
      </c>
      <c r="F8774" s="2" t="s">
        <v>10086</v>
      </c>
      <c r="H8774" s="3">
        <v>4.0000000000000002E-4</v>
      </c>
      <c r="K8774" s="2" t="s">
        <v>10088</v>
      </c>
    </row>
    <row r="8775" spans="1:11" x14ac:dyDescent="0.2">
      <c r="A8775" s="2">
        <v>2196</v>
      </c>
      <c r="B8775" s="2">
        <v>17</v>
      </c>
      <c r="C8775" s="2">
        <v>27344402</v>
      </c>
      <c r="D8775" s="2">
        <v>29783141</v>
      </c>
      <c r="E8775" s="2">
        <v>1</v>
      </c>
      <c r="F8775" s="2" t="s">
        <v>10086</v>
      </c>
      <c r="H8775" s="2">
        <v>1.0200000000000001E-2</v>
      </c>
      <c r="K8775" s="2" t="s">
        <v>10087</v>
      </c>
    </row>
    <row r="8776" spans="1:11" x14ac:dyDescent="0.2">
      <c r="A8776" s="2">
        <v>2196</v>
      </c>
      <c r="B8776" s="2">
        <v>17</v>
      </c>
      <c r="C8776" s="2">
        <v>27344402</v>
      </c>
      <c r="D8776" s="2">
        <v>29783141</v>
      </c>
      <c r="E8776" s="2">
        <v>2</v>
      </c>
      <c r="F8776" s="2" t="s">
        <v>10086</v>
      </c>
      <c r="H8776" s="2">
        <v>3.8E-3</v>
      </c>
      <c r="K8776" s="2" t="s">
        <v>10085</v>
      </c>
    </row>
    <row r="8777" spans="1:11" x14ac:dyDescent="0.2">
      <c r="A8777" s="2">
        <v>2196</v>
      </c>
      <c r="B8777" s="2">
        <v>17</v>
      </c>
      <c r="C8777" s="2">
        <v>27344402</v>
      </c>
      <c r="D8777" s="2">
        <v>29783141</v>
      </c>
      <c r="E8777" s="2">
        <v>3</v>
      </c>
      <c r="F8777" s="2" t="s">
        <v>10086</v>
      </c>
      <c r="H8777" s="2">
        <v>1.4E-3</v>
      </c>
      <c r="K8777" s="2" t="s">
        <v>10089</v>
      </c>
    </row>
    <row r="8778" spans="1:11" x14ac:dyDescent="0.2">
      <c r="A8778" s="2">
        <v>2196</v>
      </c>
      <c r="B8778" s="2">
        <v>17</v>
      </c>
      <c r="C8778" s="2">
        <v>27344402</v>
      </c>
      <c r="D8778" s="2">
        <v>29783141</v>
      </c>
      <c r="E8778" s="2">
        <v>4</v>
      </c>
      <c r="F8778" s="2" t="s">
        <v>10086</v>
      </c>
      <c r="H8778" s="3">
        <v>5.0000000000000001E-4</v>
      </c>
      <c r="K8778" s="2" t="s">
        <v>10088</v>
      </c>
    </row>
    <row r="8779" spans="1:11" x14ac:dyDescent="0.2">
      <c r="A8779" s="2">
        <v>2197</v>
      </c>
      <c r="B8779" s="2">
        <v>17</v>
      </c>
      <c r="C8779" s="2">
        <v>29783142</v>
      </c>
      <c r="D8779" s="2">
        <v>31318753</v>
      </c>
      <c r="E8779" s="2">
        <v>1</v>
      </c>
      <c r="F8779" s="2" t="s">
        <v>10086</v>
      </c>
      <c r="H8779" s="2">
        <v>1.06E-2</v>
      </c>
      <c r="K8779" s="2" t="s">
        <v>10087</v>
      </c>
    </row>
    <row r="8780" spans="1:11" x14ac:dyDescent="0.2">
      <c r="A8780" s="2">
        <v>2197</v>
      </c>
      <c r="B8780" s="2">
        <v>17</v>
      </c>
      <c r="C8780" s="2">
        <v>29783142</v>
      </c>
      <c r="D8780" s="2">
        <v>31318753</v>
      </c>
      <c r="E8780" s="2">
        <v>2</v>
      </c>
      <c r="F8780" s="2" t="s">
        <v>10086</v>
      </c>
      <c r="H8780" s="2">
        <v>2E-3</v>
      </c>
      <c r="K8780" s="2" t="s">
        <v>10089</v>
      </c>
    </row>
    <row r="8781" spans="1:11" x14ac:dyDescent="0.2">
      <c r="A8781" s="2">
        <v>2197</v>
      </c>
      <c r="B8781" s="2">
        <v>17</v>
      </c>
      <c r="C8781" s="2">
        <v>29783142</v>
      </c>
      <c r="D8781" s="2">
        <v>31318753</v>
      </c>
      <c r="E8781" s="2">
        <v>3</v>
      </c>
      <c r="F8781" s="2" t="s">
        <v>10086</v>
      </c>
      <c r="H8781" s="2">
        <v>1.1000000000000001E-3</v>
      </c>
      <c r="K8781" s="2" t="s">
        <v>10088</v>
      </c>
    </row>
    <row r="8782" spans="1:11" x14ac:dyDescent="0.2">
      <c r="A8782" s="2">
        <v>2197</v>
      </c>
      <c r="B8782" s="2">
        <v>17</v>
      </c>
      <c r="C8782" s="2">
        <v>29783142</v>
      </c>
      <c r="D8782" s="2">
        <v>31318753</v>
      </c>
      <c r="E8782" s="2">
        <v>4</v>
      </c>
      <c r="F8782" s="2" t="s">
        <v>10086</v>
      </c>
      <c r="H8782" s="3">
        <v>5.9999999999999995E-4</v>
      </c>
      <c r="K8782" s="2" t="s">
        <v>10085</v>
      </c>
    </row>
    <row r="8783" spans="1:11" x14ac:dyDescent="0.2">
      <c r="A8783" s="2">
        <v>2198</v>
      </c>
      <c r="B8783" s="2">
        <v>17</v>
      </c>
      <c r="C8783" s="2">
        <v>31318754</v>
      </c>
      <c r="D8783" s="2">
        <v>32356061</v>
      </c>
      <c r="E8783" s="2">
        <v>1</v>
      </c>
      <c r="F8783" s="2" t="s">
        <v>10086</v>
      </c>
      <c r="H8783" s="2">
        <v>3.3E-3</v>
      </c>
      <c r="K8783" s="2" t="s">
        <v>10087</v>
      </c>
    </row>
    <row r="8784" spans="1:11" x14ac:dyDescent="0.2">
      <c r="A8784" s="2">
        <v>2198</v>
      </c>
      <c r="B8784" s="2">
        <v>17</v>
      </c>
      <c r="C8784" s="2">
        <v>31318754</v>
      </c>
      <c r="D8784" s="2">
        <v>32356061</v>
      </c>
      <c r="E8784" s="2">
        <v>2</v>
      </c>
      <c r="F8784" s="2" t="s">
        <v>10086</v>
      </c>
      <c r="H8784" s="2">
        <v>1E-3</v>
      </c>
      <c r="K8784" s="2" t="s">
        <v>10085</v>
      </c>
    </row>
    <row r="8785" spans="1:11" x14ac:dyDescent="0.2">
      <c r="A8785" s="2">
        <v>2198</v>
      </c>
      <c r="B8785" s="2">
        <v>17</v>
      </c>
      <c r="C8785" s="2">
        <v>31318754</v>
      </c>
      <c r="D8785" s="2">
        <v>32356061</v>
      </c>
      <c r="E8785" s="2">
        <v>3</v>
      </c>
      <c r="F8785" s="2" t="s">
        <v>10086</v>
      </c>
      <c r="H8785" s="3">
        <v>8.9999999999999998E-4</v>
      </c>
      <c r="K8785" s="2" t="s">
        <v>10089</v>
      </c>
    </row>
    <row r="8786" spans="1:11" x14ac:dyDescent="0.2">
      <c r="A8786" s="2">
        <v>2198</v>
      </c>
      <c r="B8786" s="2">
        <v>17</v>
      </c>
      <c r="C8786" s="2">
        <v>31318754</v>
      </c>
      <c r="D8786" s="2">
        <v>32356061</v>
      </c>
      <c r="E8786" s="2">
        <v>4</v>
      </c>
      <c r="F8786" s="2" t="s">
        <v>10086</v>
      </c>
      <c r="H8786" s="3">
        <v>2.9999999999999997E-4</v>
      </c>
      <c r="K8786" s="2" t="s">
        <v>10088</v>
      </c>
    </row>
    <row r="8787" spans="1:11" x14ac:dyDescent="0.2">
      <c r="A8787" s="2">
        <v>2199</v>
      </c>
      <c r="B8787" s="2">
        <v>17</v>
      </c>
      <c r="C8787" s="2">
        <v>32356062</v>
      </c>
      <c r="D8787" s="2">
        <v>33614189</v>
      </c>
      <c r="E8787" s="2">
        <v>1</v>
      </c>
      <c r="F8787" s="2" t="s">
        <v>10086</v>
      </c>
      <c r="H8787" s="2">
        <v>5.4999999999999997E-3</v>
      </c>
      <c r="K8787" s="2" t="s">
        <v>10088</v>
      </c>
    </row>
    <row r="8788" spans="1:11" x14ac:dyDescent="0.2">
      <c r="A8788" s="2">
        <v>2199</v>
      </c>
      <c r="B8788" s="2">
        <v>17</v>
      </c>
      <c r="C8788" s="2">
        <v>32356062</v>
      </c>
      <c r="D8788" s="2">
        <v>33614189</v>
      </c>
      <c r="E8788" s="2">
        <v>2</v>
      </c>
      <c r="F8788" s="2" t="s">
        <v>10086</v>
      </c>
      <c r="H8788" s="2">
        <v>1.4E-3</v>
      </c>
      <c r="K8788" s="2" t="s">
        <v>10085</v>
      </c>
    </row>
    <row r="8789" spans="1:11" x14ac:dyDescent="0.2">
      <c r="A8789" s="2">
        <v>2199</v>
      </c>
      <c r="B8789" s="2">
        <v>17</v>
      </c>
      <c r="C8789" s="2">
        <v>32356062</v>
      </c>
      <c r="D8789" s="2">
        <v>33614189</v>
      </c>
      <c r="E8789" s="2">
        <v>3</v>
      </c>
      <c r="F8789" s="2" t="s">
        <v>10086</v>
      </c>
      <c r="H8789" s="3">
        <v>8.9999999999999998E-4</v>
      </c>
      <c r="K8789" s="2" t="s">
        <v>10087</v>
      </c>
    </row>
    <row r="8790" spans="1:11" x14ac:dyDescent="0.2">
      <c r="A8790" s="2">
        <v>2199</v>
      </c>
      <c r="B8790" s="2">
        <v>17</v>
      </c>
      <c r="C8790" s="2">
        <v>32356062</v>
      </c>
      <c r="D8790" s="2">
        <v>33614189</v>
      </c>
      <c r="E8790" s="2">
        <v>4</v>
      </c>
      <c r="F8790" s="2" t="s">
        <v>10086</v>
      </c>
      <c r="H8790" s="3">
        <v>6.9999999999999999E-4</v>
      </c>
      <c r="K8790" s="2" t="s">
        <v>10089</v>
      </c>
    </row>
    <row r="8791" spans="1:11" x14ac:dyDescent="0.2">
      <c r="A8791" s="2">
        <v>2200</v>
      </c>
      <c r="B8791" s="2">
        <v>17</v>
      </c>
      <c r="C8791" s="2">
        <v>33614190</v>
      </c>
      <c r="D8791" s="2">
        <v>34474611</v>
      </c>
      <c r="E8791" s="2">
        <v>1</v>
      </c>
      <c r="F8791" s="2" t="s">
        <v>10086</v>
      </c>
      <c r="H8791" s="2">
        <v>2.2000000000000001E-3</v>
      </c>
      <c r="K8791" s="2" t="s">
        <v>10087</v>
      </c>
    </row>
    <row r="8792" spans="1:11" x14ac:dyDescent="0.2">
      <c r="A8792" s="2">
        <v>2200</v>
      </c>
      <c r="B8792" s="2">
        <v>17</v>
      </c>
      <c r="C8792" s="2">
        <v>33614190</v>
      </c>
      <c r="D8792" s="2">
        <v>34474611</v>
      </c>
      <c r="E8792" s="2">
        <v>2</v>
      </c>
      <c r="F8792" s="2" t="s">
        <v>10086</v>
      </c>
      <c r="H8792" s="2">
        <v>2.5000000000000001E-3</v>
      </c>
      <c r="K8792" s="2" t="s">
        <v>10088</v>
      </c>
    </row>
    <row r="8793" spans="1:11" x14ac:dyDescent="0.2">
      <c r="A8793" s="2">
        <v>2200</v>
      </c>
      <c r="B8793" s="2">
        <v>17</v>
      </c>
      <c r="C8793" s="2">
        <v>33614190</v>
      </c>
      <c r="D8793" s="2">
        <v>34474611</v>
      </c>
      <c r="E8793" s="2">
        <v>3</v>
      </c>
      <c r="F8793" s="2" t="s">
        <v>10086</v>
      </c>
      <c r="H8793" s="3">
        <v>8.0000000000000004E-4</v>
      </c>
      <c r="K8793" s="2" t="s">
        <v>10085</v>
      </c>
    </row>
    <row r="8794" spans="1:11" x14ac:dyDescent="0.2">
      <c r="A8794" s="2">
        <v>2200</v>
      </c>
      <c r="B8794" s="2">
        <v>17</v>
      </c>
      <c r="C8794" s="2">
        <v>33614190</v>
      </c>
      <c r="D8794" s="2">
        <v>34474611</v>
      </c>
      <c r="E8794" s="2">
        <v>4</v>
      </c>
      <c r="F8794" s="2" t="s">
        <v>10086</v>
      </c>
      <c r="H8794" s="3">
        <v>4.0000000000000002E-4</v>
      </c>
      <c r="K8794" s="2" t="s">
        <v>10089</v>
      </c>
    </row>
    <row r="8795" spans="1:11" x14ac:dyDescent="0.2">
      <c r="A8795" s="2">
        <v>2201</v>
      </c>
      <c r="B8795" s="2">
        <v>17</v>
      </c>
      <c r="C8795" s="2">
        <v>34474612</v>
      </c>
      <c r="D8795" s="2">
        <v>36116884</v>
      </c>
      <c r="E8795" s="2">
        <v>1</v>
      </c>
      <c r="F8795" s="2" t="s">
        <v>10086</v>
      </c>
      <c r="H8795" s="2">
        <v>2.0999999999999999E-3</v>
      </c>
      <c r="K8795" s="2" t="s">
        <v>10088</v>
      </c>
    </row>
    <row r="8796" spans="1:11" x14ac:dyDescent="0.2">
      <c r="A8796" s="2">
        <v>2201</v>
      </c>
      <c r="B8796" s="2">
        <v>17</v>
      </c>
      <c r="C8796" s="2">
        <v>34474612</v>
      </c>
      <c r="D8796" s="2">
        <v>36116884</v>
      </c>
      <c r="E8796" s="2">
        <v>2</v>
      </c>
      <c r="F8796" s="2" t="s">
        <v>10086</v>
      </c>
      <c r="H8796" s="2">
        <v>1.1000000000000001E-3</v>
      </c>
      <c r="K8796" s="2" t="s">
        <v>10087</v>
      </c>
    </row>
    <row r="8797" spans="1:11" x14ac:dyDescent="0.2">
      <c r="A8797" s="2">
        <v>2201</v>
      </c>
      <c r="B8797" s="2">
        <v>17</v>
      </c>
      <c r="C8797" s="2">
        <v>34474612</v>
      </c>
      <c r="D8797" s="2">
        <v>36116884</v>
      </c>
      <c r="E8797" s="2">
        <v>3</v>
      </c>
      <c r="F8797" s="2" t="s">
        <v>10086</v>
      </c>
      <c r="H8797" s="3">
        <v>6.9999999999999999E-4</v>
      </c>
      <c r="K8797" s="2" t="s">
        <v>10085</v>
      </c>
    </row>
    <row r="8798" spans="1:11" x14ac:dyDescent="0.2">
      <c r="A8798" s="2">
        <v>2201</v>
      </c>
      <c r="B8798" s="2">
        <v>17</v>
      </c>
      <c r="C8798" s="2">
        <v>34474612</v>
      </c>
      <c r="D8798" s="2">
        <v>36116884</v>
      </c>
      <c r="E8798" s="2">
        <v>4</v>
      </c>
      <c r="F8798" s="2" t="s">
        <v>10086</v>
      </c>
      <c r="H8798" s="3">
        <v>2.9999999999999997E-4</v>
      </c>
      <c r="K8798" s="2" t="s">
        <v>10089</v>
      </c>
    </row>
    <row r="8799" spans="1:11" x14ac:dyDescent="0.2">
      <c r="A8799" s="2">
        <v>2202</v>
      </c>
      <c r="B8799" s="2">
        <v>17</v>
      </c>
      <c r="C8799" s="2">
        <v>36116885</v>
      </c>
      <c r="D8799" s="2">
        <v>37361178</v>
      </c>
      <c r="E8799" s="2">
        <v>1</v>
      </c>
      <c r="F8799" s="2" t="s">
        <v>10086</v>
      </c>
      <c r="H8799" s="2">
        <v>1.8E-3</v>
      </c>
      <c r="K8799" s="2" t="s">
        <v>10085</v>
      </c>
    </row>
    <row r="8800" spans="1:11" x14ac:dyDescent="0.2">
      <c r="A8800" s="2">
        <v>2202</v>
      </c>
      <c r="B8800" s="2">
        <v>17</v>
      </c>
      <c r="C8800" s="2">
        <v>36116885</v>
      </c>
      <c r="D8800" s="2">
        <v>37361178</v>
      </c>
      <c r="E8800" s="2">
        <v>2</v>
      </c>
      <c r="F8800" s="2" t="s">
        <v>10086</v>
      </c>
      <c r="H8800" s="2">
        <v>1.5E-3</v>
      </c>
      <c r="K8800" s="2" t="s">
        <v>10089</v>
      </c>
    </row>
    <row r="8801" spans="1:11" x14ac:dyDescent="0.2">
      <c r="A8801" s="2">
        <v>2202</v>
      </c>
      <c r="B8801" s="2">
        <v>17</v>
      </c>
      <c r="C8801" s="2">
        <v>36116885</v>
      </c>
      <c r="D8801" s="2">
        <v>37361178</v>
      </c>
      <c r="E8801" s="2">
        <v>3</v>
      </c>
      <c r="F8801" s="2" t="s">
        <v>10086</v>
      </c>
      <c r="H8801" s="2">
        <v>1E-3</v>
      </c>
      <c r="K8801" s="2" t="s">
        <v>10087</v>
      </c>
    </row>
    <row r="8802" spans="1:11" x14ac:dyDescent="0.2">
      <c r="A8802" s="2">
        <v>2202</v>
      </c>
      <c r="B8802" s="2">
        <v>17</v>
      </c>
      <c r="C8802" s="2">
        <v>36116885</v>
      </c>
      <c r="D8802" s="2">
        <v>37361178</v>
      </c>
      <c r="E8802" s="2">
        <v>4</v>
      </c>
      <c r="F8802" s="2" t="s">
        <v>10086</v>
      </c>
      <c r="H8802" s="3">
        <v>6.9999999999999999E-4</v>
      </c>
      <c r="K8802" s="2" t="s">
        <v>10088</v>
      </c>
    </row>
    <row r="8803" spans="1:11" x14ac:dyDescent="0.2">
      <c r="A8803" s="2">
        <v>2203</v>
      </c>
      <c r="B8803" s="2">
        <v>17</v>
      </c>
      <c r="C8803" s="2">
        <v>37361179</v>
      </c>
      <c r="D8803" s="2">
        <v>38880481</v>
      </c>
      <c r="E8803" s="2">
        <v>1</v>
      </c>
      <c r="F8803" s="2" t="s">
        <v>10086</v>
      </c>
      <c r="H8803" s="2">
        <v>3.3999999999999998E-3</v>
      </c>
      <c r="K8803" s="2" t="s">
        <v>10087</v>
      </c>
    </row>
    <row r="8804" spans="1:11" x14ac:dyDescent="0.2">
      <c r="A8804" s="2">
        <v>2203</v>
      </c>
      <c r="B8804" s="2">
        <v>17</v>
      </c>
      <c r="C8804" s="2">
        <v>37361179</v>
      </c>
      <c r="D8804" s="2">
        <v>38880481</v>
      </c>
      <c r="E8804" s="2">
        <v>2</v>
      </c>
      <c r="F8804" s="2" t="s">
        <v>10086</v>
      </c>
      <c r="H8804" s="2">
        <v>2.8E-3</v>
      </c>
      <c r="K8804" s="2" t="s">
        <v>10085</v>
      </c>
    </row>
    <row r="8805" spans="1:11" x14ac:dyDescent="0.2">
      <c r="A8805" s="2">
        <v>2203</v>
      </c>
      <c r="B8805" s="2">
        <v>17</v>
      </c>
      <c r="C8805" s="2">
        <v>37361179</v>
      </c>
      <c r="D8805" s="2">
        <v>38880481</v>
      </c>
      <c r="E8805" s="2">
        <v>3</v>
      </c>
      <c r="F8805" s="2" t="s">
        <v>10086</v>
      </c>
      <c r="H8805" s="2">
        <v>1.9E-3</v>
      </c>
      <c r="K8805" s="2" t="s">
        <v>10089</v>
      </c>
    </row>
    <row r="8806" spans="1:11" x14ac:dyDescent="0.2">
      <c r="A8806" s="2">
        <v>2203</v>
      </c>
      <c r="B8806" s="2">
        <v>17</v>
      </c>
      <c r="C8806" s="2">
        <v>37361179</v>
      </c>
      <c r="D8806" s="2">
        <v>38880481</v>
      </c>
      <c r="E8806" s="2">
        <v>4</v>
      </c>
      <c r="F8806" s="2" t="s">
        <v>10086</v>
      </c>
      <c r="H8806" s="3">
        <v>5.9999999999999995E-4</v>
      </c>
      <c r="K8806" s="2" t="s">
        <v>10088</v>
      </c>
    </row>
    <row r="8807" spans="1:11" x14ac:dyDescent="0.2">
      <c r="A8807" s="2">
        <v>2204</v>
      </c>
      <c r="B8807" s="2">
        <v>17</v>
      </c>
      <c r="C8807" s="2">
        <v>38880482</v>
      </c>
      <c r="D8807" s="2">
        <v>40233545</v>
      </c>
      <c r="E8807" s="2">
        <v>1</v>
      </c>
      <c r="F8807" s="2" t="s">
        <v>10086</v>
      </c>
      <c r="H8807" s="2">
        <v>2.8E-3</v>
      </c>
      <c r="K8807" s="2" t="s">
        <v>10088</v>
      </c>
    </row>
    <row r="8808" spans="1:11" x14ac:dyDescent="0.2">
      <c r="A8808" s="2">
        <v>2204</v>
      </c>
      <c r="B8808" s="2">
        <v>17</v>
      </c>
      <c r="C8808" s="2">
        <v>38880482</v>
      </c>
      <c r="D8808" s="2">
        <v>40233545</v>
      </c>
      <c r="E8808" s="2">
        <v>2</v>
      </c>
      <c r="F8808" s="2" t="s">
        <v>10086</v>
      </c>
      <c r="H8808" s="2">
        <v>1.9E-3</v>
      </c>
      <c r="K8808" s="2" t="s">
        <v>10085</v>
      </c>
    </row>
    <row r="8809" spans="1:11" x14ac:dyDescent="0.2">
      <c r="A8809" s="2">
        <v>2204</v>
      </c>
      <c r="B8809" s="2">
        <v>17</v>
      </c>
      <c r="C8809" s="2">
        <v>38880482</v>
      </c>
      <c r="D8809" s="2">
        <v>40233545</v>
      </c>
      <c r="E8809" s="2">
        <v>3</v>
      </c>
      <c r="F8809" s="2" t="s">
        <v>10086</v>
      </c>
      <c r="H8809" s="2">
        <v>1.5E-3</v>
      </c>
      <c r="K8809" s="2" t="s">
        <v>10089</v>
      </c>
    </row>
    <row r="8810" spans="1:11" x14ac:dyDescent="0.2">
      <c r="A8810" s="2">
        <v>2204</v>
      </c>
      <c r="B8810" s="2">
        <v>17</v>
      </c>
      <c r="C8810" s="2">
        <v>38880482</v>
      </c>
      <c r="D8810" s="2">
        <v>40233545</v>
      </c>
      <c r="E8810" s="2">
        <v>4</v>
      </c>
      <c r="F8810" s="2" t="s">
        <v>10086</v>
      </c>
      <c r="H8810" s="3">
        <v>8.0000000000000004E-4</v>
      </c>
      <c r="K8810" s="2" t="s">
        <v>10087</v>
      </c>
    </row>
    <row r="8811" spans="1:11" x14ac:dyDescent="0.2">
      <c r="A8811" s="2">
        <v>2205</v>
      </c>
      <c r="B8811" s="2">
        <v>17</v>
      </c>
      <c r="C8811" s="2">
        <v>40233546</v>
      </c>
      <c r="D8811" s="2">
        <v>42348003</v>
      </c>
      <c r="E8811" s="2">
        <v>1</v>
      </c>
      <c r="F8811" s="2" t="s">
        <v>10086</v>
      </c>
      <c r="H8811" s="2">
        <v>2.2000000000000001E-3</v>
      </c>
      <c r="K8811" s="2" t="s">
        <v>10087</v>
      </c>
    </row>
    <row r="8812" spans="1:11" x14ac:dyDescent="0.2">
      <c r="A8812" s="2">
        <v>2205</v>
      </c>
      <c r="B8812" s="2">
        <v>17</v>
      </c>
      <c r="C8812" s="2">
        <v>40233546</v>
      </c>
      <c r="D8812" s="2">
        <v>42348003</v>
      </c>
      <c r="E8812" s="2">
        <v>2</v>
      </c>
      <c r="F8812" s="2" t="s">
        <v>10086</v>
      </c>
      <c r="H8812" s="2">
        <v>1.6999999999999999E-3</v>
      </c>
      <c r="K8812" s="2" t="s">
        <v>10089</v>
      </c>
    </row>
    <row r="8813" spans="1:11" x14ac:dyDescent="0.2">
      <c r="A8813" s="2">
        <v>2205</v>
      </c>
      <c r="B8813" s="2">
        <v>17</v>
      </c>
      <c r="C8813" s="2">
        <v>40233546</v>
      </c>
      <c r="D8813" s="2">
        <v>42348003</v>
      </c>
      <c r="E8813" s="2">
        <v>3</v>
      </c>
      <c r="F8813" s="2" t="s">
        <v>10086</v>
      </c>
      <c r="H8813" s="2">
        <v>1.5E-3</v>
      </c>
      <c r="K8813" s="2" t="s">
        <v>10085</v>
      </c>
    </row>
    <row r="8814" spans="1:11" x14ac:dyDescent="0.2">
      <c r="A8814" s="2">
        <v>2205</v>
      </c>
      <c r="B8814" s="2">
        <v>17</v>
      </c>
      <c r="C8814" s="2">
        <v>40233546</v>
      </c>
      <c r="D8814" s="2">
        <v>42348003</v>
      </c>
      <c r="E8814" s="2">
        <v>4</v>
      </c>
      <c r="F8814" s="2" t="s">
        <v>10086</v>
      </c>
      <c r="H8814" s="3">
        <v>6.9999999999999999E-4</v>
      </c>
      <c r="K8814" s="2" t="s">
        <v>10088</v>
      </c>
    </row>
    <row r="8815" spans="1:11" x14ac:dyDescent="0.2">
      <c r="A8815" s="2">
        <v>2206</v>
      </c>
      <c r="B8815" s="2">
        <v>17</v>
      </c>
      <c r="C8815" s="2">
        <v>42348004</v>
      </c>
      <c r="D8815" s="2">
        <v>43460500</v>
      </c>
      <c r="E8815" s="2">
        <v>1</v>
      </c>
      <c r="F8815" s="2" t="s">
        <v>10086</v>
      </c>
      <c r="H8815" s="2">
        <v>2E-3</v>
      </c>
      <c r="K8815" s="2" t="s">
        <v>12324</v>
      </c>
    </row>
    <row r="8816" spans="1:11" x14ac:dyDescent="0.2">
      <c r="A8816" s="2">
        <v>2206</v>
      </c>
      <c r="B8816" s="2">
        <v>17</v>
      </c>
      <c r="C8816" s="2">
        <v>42348004</v>
      </c>
      <c r="D8816" s="2">
        <v>43460500</v>
      </c>
      <c r="E8816" s="2">
        <v>2</v>
      </c>
      <c r="F8816" s="2" t="s">
        <v>10086</v>
      </c>
      <c r="H8816" s="2">
        <v>1.1000000000000001E-3</v>
      </c>
      <c r="K8816" s="2" t="s">
        <v>10087</v>
      </c>
    </row>
    <row r="8817" spans="1:11" x14ac:dyDescent="0.2">
      <c r="A8817" s="2">
        <v>2206</v>
      </c>
      <c r="B8817" s="2">
        <v>17</v>
      </c>
      <c r="C8817" s="2">
        <v>42348004</v>
      </c>
      <c r="D8817" s="2">
        <v>43460500</v>
      </c>
      <c r="E8817" s="2">
        <v>3</v>
      </c>
      <c r="F8817" s="2" t="s">
        <v>10086</v>
      </c>
      <c r="H8817" s="3">
        <v>6.9999999999999999E-4</v>
      </c>
      <c r="K8817" s="2" t="s">
        <v>10088</v>
      </c>
    </row>
    <row r="8818" spans="1:11" x14ac:dyDescent="0.2">
      <c r="A8818" s="2">
        <v>2206</v>
      </c>
      <c r="B8818" s="2">
        <v>17</v>
      </c>
      <c r="C8818" s="2">
        <v>42348004</v>
      </c>
      <c r="D8818" s="2">
        <v>43460500</v>
      </c>
      <c r="E8818" s="2">
        <v>4</v>
      </c>
      <c r="F8818" s="2" t="s">
        <v>10086</v>
      </c>
      <c r="H8818" s="3">
        <v>5.9999999999999995E-4</v>
      </c>
      <c r="K8818" s="2" t="s">
        <v>10089</v>
      </c>
    </row>
    <row r="8819" spans="1:11" x14ac:dyDescent="0.2">
      <c r="A8819" s="2">
        <v>2207</v>
      </c>
      <c r="B8819" s="2">
        <v>17</v>
      </c>
      <c r="C8819" s="2">
        <v>43460501</v>
      </c>
      <c r="D8819" s="2">
        <v>44865832</v>
      </c>
      <c r="E8819" s="2">
        <v>1</v>
      </c>
      <c r="F8819" s="2" t="s">
        <v>10086</v>
      </c>
      <c r="H8819" s="2">
        <v>1.0999999999999999E-2</v>
      </c>
      <c r="K8819" s="2" t="s">
        <v>10087</v>
      </c>
    </row>
    <row r="8820" spans="1:11" x14ac:dyDescent="0.2">
      <c r="A8820" s="2">
        <v>2207</v>
      </c>
      <c r="B8820" s="2">
        <v>17</v>
      </c>
      <c r="C8820" s="2">
        <v>43460501</v>
      </c>
      <c r="D8820" s="2">
        <v>44865832</v>
      </c>
      <c r="E8820" s="2">
        <v>2</v>
      </c>
      <c r="F8820" s="2" t="s">
        <v>10086</v>
      </c>
      <c r="H8820" s="2">
        <v>1.9E-3</v>
      </c>
      <c r="K8820" s="2" t="s">
        <v>12324</v>
      </c>
    </row>
    <row r="8821" spans="1:11" x14ac:dyDescent="0.2">
      <c r="A8821" s="2">
        <v>2207</v>
      </c>
      <c r="B8821" s="2">
        <v>17</v>
      </c>
      <c r="C8821" s="2">
        <v>43460501</v>
      </c>
      <c r="D8821" s="2">
        <v>44865832</v>
      </c>
      <c r="E8821" s="2">
        <v>3</v>
      </c>
      <c r="F8821" s="2" t="s">
        <v>10086</v>
      </c>
      <c r="H8821" s="2">
        <v>3.0999999999999999E-3</v>
      </c>
      <c r="K8821" s="2" t="s">
        <v>10088</v>
      </c>
    </row>
    <row r="8822" spans="1:11" x14ac:dyDescent="0.2">
      <c r="A8822" s="2">
        <v>2207</v>
      </c>
      <c r="B8822" s="2">
        <v>17</v>
      </c>
      <c r="C8822" s="2">
        <v>43460501</v>
      </c>
      <c r="D8822" s="2">
        <v>44865832</v>
      </c>
      <c r="E8822" s="2">
        <v>4</v>
      </c>
      <c r="F8822" s="2" t="s">
        <v>10086</v>
      </c>
      <c r="H8822" s="3">
        <v>4.0000000000000002E-4</v>
      </c>
      <c r="K8822" s="2" t="s">
        <v>10085</v>
      </c>
    </row>
    <row r="8823" spans="1:11" x14ac:dyDescent="0.2">
      <c r="A8823" s="2">
        <v>2208</v>
      </c>
      <c r="B8823" s="2">
        <v>17</v>
      </c>
      <c r="C8823" s="2">
        <v>44865833</v>
      </c>
      <c r="D8823" s="2">
        <v>45883901</v>
      </c>
      <c r="E8823" s="2">
        <v>1</v>
      </c>
      <c r="F8823" s="2" t="s">
        <v>10086</v>
      </c>
      <c r="H8823" s="2">
        <v>4.0000000000000001E-3</v>
      </c>
      <c r="K8823" s="2" t="s">
        <v>10085</v>
      </c>
    </row>
    <row r="8824" spans="1:11" x14ac:dyDescent="0.2">
      <c r="A8824" s="2">
        <v>2208</v>
      </c>
      <c r="B8824" s="2">
        <v>17</v>
      </c>
      <c r="C8824" s="2">
        <v>44865833</v>
      </c>
      <c r="D8824" s="2">
        <v>45883901</v>
      </c>
      <c r="E8824" s="2">
        <v>2</v>
      </c>
      <c r="F8824" s="2" t="s">
        <v>10086</v>
      </c>
      <c r="H8824" s="2">
        <v>5.4999999999999997E-3</v>
      </c>
      <c r="K8824" s="2" t="s">
        <v>10088</v>
      </c>
    </row>
    <row r="8825" spans="1:11" x14ac:dyDescent="0.2">
      <c r="A8825" s="2">
        <v>2208</v>
      </c>
      <c r="B8825" s="2">
        <v>17</v>
      </c>
      <c r="C8825" s="2">
        <v>44865833</v>
      </c>
      <c r="D8825" s="2">
        <v>45883901</v>
      </c>
      <c r="E8825" s="2">
        <v>3</v>
      </c>
      <c r="F8825" s="2" t="s">
        <v>10086</v>
      </c>
      <c r="H8825" s="2">
        <v>1.4E-3</v>
      </c>
      <c r="K8825" s="2" t="s">
        <v>12324</v>
      </c>
    </row>
    <row r="8826" spans="1:11" x14ac:dyDescent="0.2">
      <c r="A8826" s="2">
        <v>2208</v>
      </c>
      <c r="B8826" s="2">
        <v>17</v>
      </c>
      <c r="C8826" s="2">
        <v>44865833</v>
      </c>
      <c r="D8826" s="2">
        <v>45883901</v>
      </c>
      <c r="E8826" s="2">
        <v>4</v>
      </c>
      <c r="F8826" s="2" t="s">
        <v>10086</v>
      </c>
      <c r="H8826" s="3">
        <v>8.0000000000000004E-4</v>
      </c>
      <c r="K8826" s="2" t="s">
        <v>10089</v>
      </c>
    </row>
    <row r="8827" spans="1:11" x14ac:dyDescent="0.2">
      <c r="A8827" s="2">
        <v>2209</v>
      </c>
      <c r="B8827" s="2">
        <v>17</v>
      </c>
      <c r="C8827" s="2">
        <v>45883902</v>
      </c>
      <c r="D8827" s="2">
        <v>47516224</v>
      </c>
      <c r="E8827" s="2">
        <v>1</v>
      </c>
      <c r="F8827" s="2" t="s">
        <v>10086</v>
      </c>
      <c r="H8827" s="2">
        <v>1.6199999999999999E-2</v>
      </c>
      <c r="K8827" s="2" t="s">
        <v>10089</v>
      </c>
    </row>
    <row r="8828" spans="1:11" x14ac:dyDescent="0.2">
      <c r="A8828" s="2">
        <v>2209</v>
      </c>
      <c r="B8828" s="2">
        <v>17</v>
      </c>
      <c r="C8828" s="2">
        <v>45883902</v>
      </c>
      <c r="D8828" s="2">
        <v>47516224</v>
      </c>
      <c r="E8828" s="2">
        <v>2</v>
      </c>
      <c r="F8828" s="2" t="s">
        <v>10086</v>
      </c>
      <c r="H8828" s="3">
        <v>8.9999999999999998E-4</v>
      </c>
      <c r="K8828" s="2" t="s">
        <v>10087</v>
      </c>
    </row>
    <row r="8829" spans="1:11" x14ac:dyDescent="0.2">
      <c r="A8829" s="2">
        <v>2209</v>
      </c>
      <c r="B8829" s="2">
        <v>17</v>
      </c>
      <c r="C8829" s="2">
        <v>45883902</v>
      </c>
      <c r="D8829" s="2">
        <v>47516224</v>
      </c>
      <c r="E8829" s="2">
        <v>3</v>
      </c>
      <c r="F8829" s="2" t="s">
        <v>10086</v>
      </c>
      <c r="H8829" s="2">
        <v>1.1999999999999999E-3</v>
      </c>
      <c r="K8829" s="2" t="s">
        <v>10088</v>
      </c>
    </row>
    <row r="8830" spans="1:11" x14ac:dyDescent="0.2">
      <c r="A8830" s="2">
        <v>2209</v>
      </c>
      <c r="B8830" s="2">
        <v>17</v>
      </c>
      <c r="C8830" s="2">
        <v>45883902</v>
      </c>
      <c r="D8830" s="2">
        <v>47516224</v>
      </c>
      <c r="E8830" s="2">
        <v>4</v>
      </c>
      <c r="F8830" s="2" t="s">
        <v>10086</v>
      </c>
      <c r="H8830" s="3">
        <v>5.9999999999999995E-4</v>
      </c>
      <c r="K8830" s="2" t="s">
        <v>10085</v>
      </c>
    </row>
    <row r="8831" spans="1:11" x14ac:dyDescent="0.2">
      <c r="A8831" s="2">
        <v>2210</v>
      </c>
      <c r="B8831" s="2">
        <v>17</v>
      </c>
      <c r="C8831" s="2">
        <v>47516225</v>
      </c>
      <c r="D8831" s="2">
        <v>48722590</v>
      </c>
      <c r="E8831" s="2">
        <v>1</v>
      </c>
      <c r="F8831" s="2" t="s">
        <v>10086</v>
      </c>
      <c r="H8831" s="2">
        <v>0.44669999999999999</v>
      </c>
      <c r="K8831" s="2" t="s">
        <v>10087</v>
      </c>
    </row>
    <row r="8832" spans="1:11" x14ac:dyDescent="0.2">
      <c r="A8832" s="2">
        <v>2210</v>
      </c>
      <c r="B8832" s="2">
        <v>17</v>
      </c>
      <c r="C8832" s="2">
        <v>47516225</v>
      </c>
      <c r="D8832" s="2">
        <v>48722590</v>
      </c>
      <c r="E8832" s="2">
        <v>2</v>
      </c>
      <c r="F8832" s="2" t="s">
        <v>10086</v>
      </c>
      <c r="H8832" s="2">
        <v>6.7999999999999996E-3</v>
      </c>
      <c r="K8832" s="2" t="s">
        <v>10088</v>
      </c>
    </row>
    <row r="8833" spans="1:11" x14ac:dyDescent="0.2">
      <c r="A8833" s="2">
        <v>2210</v>
      </c>
      <c r="B8833" s="2">
        <v>17</v>
      </c>
      <c r="C8833" s="2">
        <v>47516225</v>
      </c>
      <c r="D8833" s="2">
        <v>48722590</v>
      </c>
      <c r="E8833" s="2">
        <v>3</v>
      </c>
      <c r="F8833" s="2" t="s">
        <v>10086</v>
      </c>
      <c r="H8833" s="3">
        <v>8.9999999999999998E-4</v>
      </c>
      <c r="K8833" s="2" t="s">
        <v>10085</v>
      </c>
    </row>
    <row r="8834" spans="1:11" x14ac:dyDescent="0.2">
      <c r="A8834" s="2">
        <v>2210</v>
      </c>
      <c r="B8834" s="2">
        <v>17</v>
      </c>
      <c r="C8834" s="2">
        <v>47516225</v>
      </c>
      <c r="D8834" s="2">
        <v>48722590</v>
      </c>
      <c r="E8834" s="2">
        <v>4</v>
      </c>
      <c r="F8834" s="2" t="s">
        <v>10086</v>
      </c>
      <c r="H8834" s="3">
        <v>5.0000000000000001E-4</v>
      </c>
      <c r="K8834" s="2" t="s">
        <v>10089</v>
      </c>
    </row>
    <row r="8835" spans="1:11" x14ac:dyDescent="0.2">
      <c r="A8835" s="2">
        <v>2211</v>
      </c>
      <c r="B8835" s="2">
        <v>17</v>
      </c>
      <c r="C8835" s="2">
        <v>48722591</v>
      </c>
      <c r="D8835" s="2">
        <v>49909298</v>
      </c>
      <c r="E8835" s="2">
        <v>1</v>
      </c>
      <c r="F8835" s="2" t="s">
        <v>10086</v>
      </c>
      <c r="H8835" s="2">
        <v>3.8E-3</v>
      </c>
      <c r="K8835" s="2" t="s">
        <v>10085</v>
      </c>
    </row>
    <row r="8836" spans="1:11" x14ac:dyDescent="0.2">
      <c r="A8836" s="2">
        <v>2211</v>
      </c>
      <c r="B8836" s="2">
        <v>17</v>
      </c>
      <c r="C8836" s="2">
        <v>48722591</v>
      </c>
      <c r="D8836" s="2">
        <v>49909298</v>
      </c>
      <c r="E8836" s="2">
        <v>2</v>
      </c>
      <c r="F8836" s="2" t="s">
        <v>10086</v>
      </c>
      <c r="H8836" s="2">
        <v>2.0999999999999999E-3</v>
      </c>
      <c r="K8836" s="2" t="s">
        <v>10089</v>
      </c>
    </row>
    <row r="8837" spans="1:11" x14ac:dyDescent="0.2">
      <c r="A8837" s="2">
        <v>2211</v>
      </c>
      <c r="B8837" s="2">
        <v>17</v>
      </c>
      <c r="C8837" s="2">
        <v>48722591</v>
      </c>
      <c r="D8837" s="2">
        <v>49909298</v>
      </c>
      <c r="E8837" s="2">
        <v>3</v>
      </c>
      <c r="F8837" s="2" t="s">
        <v>10086</v>
      </c>
      <c r="H8837" s="2">
        <v>1.5E-3</v>
      </c>
      <c r="K8837" s="2" t="s">
        <v>10087</v>
      </c>
    </row>
    <row r="8838" spans="1:11" x14ac:dyDescent="0.2">
      <c r="A8838" s="2">
        <v>2211</v>
      </c>
      <c r="B8838" s="2">
        <v>17</v>
      </c>
      <c r="C8838" s="2">
        <v>48722591</v>
      </c>
      <c r="D8838" s="2">
        <v>49909298</v>
      </c>
      <c r="E8838" s="2">
        <v>4</v>
      </c>
      <c r="F8838" s="2" t="s">
        <v>10086</v>
      </c>
      <c r="H8838" s="3">
        <v>4.0000000000000002E-4</v>
      </c>
      <c r="K8838" s="2" t="s">
        <v>10088</v>
      </c>
    </row>
    <row r="8839" spans="1:11" x14ac:dyDescent="0.2">
      <c r="A8839" s="2">
        <v>2212</v>
      </c>
      <c r="B8839" s="2">
        <v>17</v>
      </c>
      <c r="C8839" s="2">
        <v>49909299</v>
      </c>
      <c r="D8839" s="2">
        <v>51110385</v>
      </c>
      <c r="E8839" s="2">
        <v>1</v>
      </c>
      <c r="F8839" s="2" t="s">
        <v>10086</v>
      </c>
      <c r="H8839" s="2">
        <v>8.9999999999999993E-3</v>
      </c>
      <c r="K8839" s="2" t="s">
        <v>10085</v>
      </c>
    </row>
    <row r="8840" spans="1:11" x14ac:dyDescent="0.2">
      <c r="A8840" s="2">
        <v>2212</v>
      </c>
      <c r="B8840" s="2">
        <v>17</v>
      </c>
      <c r="C8840" s="2">
        <v>49909299</v>
      </c>
      <c r="D8840" s="2">
        <v>51110385</v>
      </c>
      <c r="E8840" s="2">
        <v>2</v>
      </c>
      <c r="F8840" s="2" t="s">
        <v>10086</v>
      </c>
      <c r="H8840" s="2">
        <v>2.8999999999999998E-3</v>
      </c>
      <c r="K8840" s="2" t="s">
        <v>10088</v>
      </c>
    </row>
    <row r="8841" spans="1:11" x14ac:dyDescent="0.2">
      <c r="A8841" s="2">
        <v>2212</v>
      </c>
      <c r="B8841" s="2">
        <v>17</v>
      </c>
      <c r="C8841" s="2">
        <v>49909299</v>
      </c>
      <c r="D8841" s="2">
        <v>51110385</v>
      </c>
      <c r="E8841" s="2">
        <v>3</v>
      </c>
      <c r="F8841" s="2" t="s">
        <v>10086</v>
      </c>
      <c r="H8841" s="2">
        <v>1.4E-3</v>
      </c>
      <c r="K8841" s="2" t="s">
        <v>10087</v>
      </c>
    </row>
    <row r="8842" spans="1:11" x14ac:dyDescent="0.2">
      <c r="A8842" s="2">
        <v>2212</v>
      </c>
      <c r="B8842" s="2">
        <v>17</v>
      </c>
      <c r="C8842" s="2">
        <v>49909299</v>
      </c>
      <c r="D8842" s="2">
        <v>51110385</v>
      </c>
      <c r="E8842" s="2">
        <v>4</v>
      </c>
      <c r="F8842" s="2" t="s">
        <v>10086</v>
      </c>
      <c r="H8842" s="2">
        <v>1.1999999999999999E-3</v>
      </c>
      <c r="K8842" s="2" t="s">
        <v>12324</v>
      </c>
    </row>
    <row r="8843" spans="1:11" x14ac:dyDescent="0.2">
      <c r="A8843" s="2">
        <v>2213</v>
      </c>
      <c r="B8843" s="2">
        <v>17</v>
      </c>
      <c r="C8843" s="2">
        <v>51110386</v>
      </c>
      <c r="D8843" s="2">
        <v>52102649</v>
      </c>
      <c r="E8843" s="2">
        <v>1</v>
      </c>
      <c r="F8843" s="2" t="s">
        <v>10086</v>
      </c>
      <c r="H8843" s="2">
        <v>1.2999999999999999E-3</v>
      </c>
      <c r="K8843" s="2" t="s">
        <v>10087</v>
      </c>
    </row>
    <row r="8844" spans="1:11" x14ac:dyDescent="0.2">
      <c r="A8844" s="2">
        <v>2213</v>
      </c>
      <c r="B8844" s="2">
        <v>17</v>
      </c>
      <c r="C8844" s="2">
        <v>51110386</v>
      </c>
      <c r="D8844" s="2">
        <v>52102649</v>
      </c>
      <c r="E8844" s="2">
        <v>2</v>
      </c>
      <c r="F8844" s="2" t="s">
        <v>10086</v>
      </c>
      <c r="H8844" s="3">
        <v>8.9999999999999998E-4</v>
      </c>
      <c r="K8844" s="2" t="s">
        <v>10089</v>
      </c>
    </row>
    <row r="8845" spans="1:11" x14ac:dyDescent="0.2">
      <c r="A8845" s="2">
        <v>2213</v>
      </c>
      <c r="B8845" s="2">
        <v>17</v>
      </c>
      <c r="C8845" s="2">
        <v>51110386</v>
      </c>
      <c r="D8845" s="2">
        <v>52102649</v>
      </c>
      <c r="E8845" s="2">
        <v>3</v>
      </c>
      <c r="F8845" s="2" t="s">
        <v>10086</v>
      </c>
      <c r="H8845" s="3">
        <v>5.9999999999999995E-4</v>
      </c>
      <c r="K8845" s="2" t="s">
        <v>10088</v>
      </c>
    </row>
    <row r="8846" spans="1:11" x14ac:dyDescent="0.2">
      <c r="A8846" s="2">
        <v>2213</v>
      </c>
      <c r="B8846" s="2">
        <v>17</v>
      </c>
      <c r="C8846" s="2">
        <v>51110386</v>
      </c>
      <c r="D8846" s="2">
        <v>52102649</v>
      </c>
      <c r="E8846" s="2">
        <v>4</v>
      </c>
      <c r="F8846" s="2" t="s">
        <v>10086</v>
      </c>
      <c r="H8846" s="3">
        <v>2.9999999999999997E-4</v>
      </c>
      <c r="K8846" s="2" t="s">
        <v>10085</v>
      </c>
    </row>
    <row r="8847" spans="1:11" x14ac:dyDescent="0.2">
      <c r="A8847" s="2">
        <v>2214</v>
      </c>
      <c r="B8847" s="2">
        <v>17</v>
      </c>
      <c r="C8847" s="2">
        <v>52102650</v>
      </c>
      <c r="D8847" s="2">
        <v>53468006</v>
      </c>
      <c r="E8847" s="2">
        <v>1</v>
      </c>
      <c r="F8847" s="2" t="s">
        <v>10086</v>
      </c>
      <c r="H8847" s="2">
        <v>1.6000000000000001E-3</v>
      </c>
      <c r="K8847" s="2" t="s">
        <v>10087</v>
      </c>
    </row>
    <row r="8848" spans="1:11" x14ac:dyDescent="0.2">
      <c r="A8848" s="2">
        <v>2214</v>
      </c>
      <c r="B8848" s="2">
        <v>17</v>
      </c>
      <c r="C8848" s="2">
        <v>52102650</v>
      </c>
      <c r="D8848" s="2">
        <v>53468006</v>
      </c>
      <c r="E8848" s="2">
        <v>2</v>
      </c>
      <c r="F8848" s="2" t="s">
        <v>10086</v>
      </c>
      <c r="H8848" s="2">
        <v>1.1000000000000001E-3</v>
      </c>
      <c r="K8848" s="2" t="s">
        <v>10085</v>
      </c>
    </row>
    <row r="8849" spans="1:11" x14ac:dyDescent="0.2">
      <c r="A8849" s="2">
        <v>2214</v>
      </c>
      <c r="B8849" s="2">
        <v>17</v>
      </c>
      <c r="C8849" s="2">
        <v>52102650</v>
      </c>
      <c r="D8849" s="2">
        <v>53468006</v>
      </c>
      <c r="E8849" s="2">
        <v>3</v>
      </c>
      <c r="F8849" s="2" t="s">
        <v>10086</v>
      </c>
      <c r="H8849" s="2">
        <v>1E-3</v>
      </c>
      <c r="K8849" s="2" t="s">
        <v>10088</v>
      </c>
    </row>
    <row r="8850" spans="1:11" x14ac:dyDescent="0.2">
      <c r="A8850" s="2">
        <v>2214</v>
      </c>
      <c r="B8850" s="2">
        <v>17</v>
      </c>
      <c r="C8850" s="2">
        <v>52102650</v>
      </c>
      <c r="D8850" s="2">
        <v>53468006</v>
      </c>
      <c r="E8850" s="2">
        <v>4</v>
      </c>
      <c r="F8850" s="2" t="s">
        <v>10086</v>
      </c>
      <c r="H8850" s="3">
        <v>4.0000000000000002E-4</v>
      </c>
      <c r="K8850" s="2" t="s">
        <v>10089</v>
      </c>
    </row>
    <row r="8851" spans="1:11" x14ac:dyDescent="0.2">
      <c r="A8851" s="2">
        <v>2215</v>
      </c>
      <c r="B8851" s="2">
        <v>17</v>
      </c>
      <c r="C8851" s="2">
        <v>53468007</v>
      </c>
      <c r="D8851" s="2">
        <v>54950107</v>
      </c>
      <c r="E8851" s="2">
        <v>1</v>
      </c>
      <c r="F8851" s="2" t="s">
        <v>10086</v>
      </c>
      <c r="H8851" s="2">
        <v>1.03E-2</v>
      </c>
      <c r="K8851" s="2" t="s">
        <v>12324</v>
      </c>
    </row>
    <row r="8852" spans="1:11" x14ac:dyDescent="0.2">
      <c r="A8852" s="2">
        <v>2215</v>
      </c>
      <c r="B8852" s="2">
        <v>17</v>
      </c>
      <c r="C8852" s="2">
        <v>53468007</v>
      </c>
      <c r="D8852" s="2">
        <v>54950107</v>
      </c>
      <c r="E8852" s="2">
        <v>2</v>
      </c>
      <c r="F8852" s="2" t="s">
        <v>10086</v>
      </c>
      <c r="H8852" s="2">
        <v>2.5999999999999999E-3</v>
      </c>
      <c r="K8852" s="2" t="s">
        <v>10087</v>
      </c>
    </row>
    <row r="8853" spans="1:11" x14ac:dyDescent="0.2">
      <c r="A8853" s="2">
        <v>2215</v>
      </c>
      <c r="B8853" s="2">
        <v>17</v>
      </c>
      <c r="C8853" s="2">
        <v>53468007</v>
      </c>
      <c r="D8853" s="2">
        <v>54950107</v>
      </c>
      <c r="E8853" s="2">
        <v>3</v>
      </c>
      <c r="F8853" s="2" t="s">
        <v>10086</v>
      </c>
      <c r="H8853" s="2">
        <v>1.5E-3</v>
      </c>
      <c r="K8853" s="2" t="s">
        <v>10085</v>
      </c>
    </row>
    <row r="8854" spans="1:11" x14ac:dyDescent="0.2">
      <c r="A8854" s="2">
        <v>2215</v>
      </c>
      <c r="B8854" s="2">
        <v>17</v>
      </c>
      <c r="C8854" s="2">
        <v>53468007</v>
      </c>
      <c r="D8854" s="2">
        <v>54950107</v>
      </c>
      <c r="E8854" s="2">
        <v>4</v>
      </c>
      <c r="F8854" s="2" t="s">
        <v>10086</v>
      </c>
      <c r="H8854" s="2">
        <v>1.2999999999999999E-3</v>
      </c>
      <c r="K8854" s="2" t="s">
        <v>10088</v>
      </c>
    </row>
    <row r="8855" spans="1:11" x14ac:dyDescent="0.2">
      <c r="A8855" s="2">
        <v>2216</v>
      </c>
      <c r="B8855" s="2">
        <v>17</v>
      </c>
      <c r="C8855" s="2">
        <v>54950108</v>
      </c>
      <c r="D8855" s="2">
        <v>56245227</v>
      </c>
      <c r="E8855" s="2">
        <v>1</v>
      </c>
      <c r="F8855" s="2" t="s">
        <v>10086</v>
      </c>
      <c r="H8855" s="2">
        <v>1.9E-3</v>
      </c>
      <c r="K8855" s="2" t="s">
        <v>10089</v>
      </c>
    </row>
    <row r="8856" spans="1:11" x14ac:dyDescent="0.2">
      <c r="A8856" s="2">
        <v>2216</v>
      </c>
      <c r="B8856" s="2">
        <v>17</v>
      </c>
      <c r="C8856" s="2">
        <v>54950108</v>
      </c>
      <c r="D8856" s="2">
        <v>56245227</v>
      </c>
      <c r="E8856" s="2">
        <v>2</v>
      </c>
      <c r="F8856" s="2" t="s">
        <v>10086</v>
      </c>
      <c r="H8856" s="2">
        <v>2.2000000000000001E-3</v>
      </c>
      <c r="K8856" s="2" t="s">
        <v>10088</v>
      </c>
    </row>
    <row r="8857" spans="1:11" x14ac:dyDescent="0.2">
      <c r="A8857" s="2">
        <v>2216</v>
      </c>
      <c r="B8857" s="2">
        <v>17</v>
      </c>
      <c r="C8857" s="2">
        <v>54950108</v>
      </c>
      <c r="D8857" s="2">
        <v>56245227</v>
      </c>
      <c r="E8857" s="2">
        <v>3</v>
      </c>
      <c r="F8857" s="2" t="s">
        <v>10086</v>
      </c>
      <c r="H8857" s="2">
        <v>1.9E-3</v>
      </c>
      <c r="K8857" s="2" t="s">
        <v>10085</v>
      </c>
    </row>
    <row r="8858" spans="1:11" x14ac:dyDescent="0.2">
      <c r="A8858" s="2">
        <v>2216</v>
      </c>
      <c r="B8858" s="2">
        <v>17</v>
      </c>
      <c r="C8858" s="2">
        <v>54950108</v>
      </c>
      <c r="D8858" s="2">
        <v>56245227</v>
      </c>
      <c r="E8858" s="2">
        <v>4</v>
      </c>
      <c r="F8858" s="2" t="s">
        <v>10086</v>
      </c>
      <c r="H8858" s="3">
        <v>8.9999999999999998E-4</v>
      </c>
      <c r="K8858" s="2" t="s">
        <v>10087</v>
      </c>
    </row>
    <row r="8859" spans="1:11" x14ac:dyDescent="0.2">
      <c r="A8859" s="2">
        <v>2217</v>
      </c>
      <c r="B8859" s="2">
        <v>17</v>
      </c>
      <c r="C8859" s="2">
        <v>56245228</v>
      </c>
      <c r="D8859" s="2">
        <v>58652809</v>
      </c>
      <c r="E8859" s="2">
        <v>1</v>
      </c>
      <c r="F8859" s="2" t="s">
        <v>10086</v>
      </c>
      <c r="H8859" s="2">
        <v>3.7000000000000002E-3</v>
      </c>
      <c r="K8859" s="2" t="s">
        <v>10087</v>
      </c>
    </row>
    <row r="8860" spans="1:11" x14ac:dyDescent="0.2">
      <c r="A8860" s="2">
        <v>2217</v>
      </c>
      <c r="B8860" s="2">
        <v>17</v>
      </c>
      <c r="C8860" s="2">
        <v>56245228</v>
      </c>
      <c r="D8860" s="2">
        <v>58652809</v>
      </c>
      <c r="E8860" s="2">
        <v>2</v>
      </c>
      <c r="F8860" s="2" t="s">
        <v>10086</v>
      </c>
      <c r="H8860" s="2">
        <v>2.8E-3</v>
      </c>
      <c r="K8860" s="2" t="s">
        <v>10089</v>
      </c>
    </row>
    <row r="8861" spans="1:11" x14ac:dyDescent="0.2">
      <c r="A8861" s="2">
        <v>2217</v>
      </c>
      <c r="B8861" s="2">
        <v>17</v>
      </c>
      <c r="C8861" s="2">
        <v>56245228</v>
      </c>
      <c r="D8861" s="2">
        <v>58652809</v>
      </c>
      <c r="E8861" s="2">
        <v>3</v>
      </c>
      <c r="F8861" s="2" t="s">
        <v>10086</v>
      </c>
      <c r="H8861" s="2">
        <v>1.9E-3</v>
      </c>
      <c r="K8861" s="2" t="s">
        <v>10085</v>
      </c>
    </row>
    <row r="8862" spans="1:11" x14ac:dyDescent="0.2">
      <c r="A8862" s="2">
        <v>2217</v>
      </c>
      <c r="B8862" s="2">
        <v>17</v>
      </c>
      <c r="C8862" s="2">
        <v>56245228</v>
      </c>
      <c r="D8862" s="2">
        <v>58652809</v>
      </c>
      <c r="E8862" s="2">
        <v>4</v>
      </c>
      <c r="F8862" s="2" t="s">
        <v>10086</v>
      </c>
      <c r="H8862" s="2">
        <v>1.9E-3</v>
      </c>
      <c r="K8862" s="2" t="s">
        <v>10088</v>
      </c>
    </row>
    <row r="8863" spans="1:11" x14ac:dyDescent="0.2">
      <c r="A8863" s="2">
        <v>2218</v>
      </c>
      <c r="B8863" s="2">
        <v>17</v>
      </c>
      <c r="C8863" s="2">
        <v>58652810</v>
      </c>
      <c r="D8863" s="2">
        <v>60453120</v>
      </c>
      <c r="E8863" s="2">
        <v>1</v>
      </c>
      <c r="F8863" s="2" t="s">
        <v>10086</v>
      </c>
      <c r="H8863" s="2">
        <v>5.7999999999999996E-3</v>
      </c>
      <c r="K8863" s="2" t="s">
        <v>10088</v>
      </c>
    </row>
    <row r="8864" spans="1:11" x14ac:dyDescent="0.2">
      <c r="A8864" s="2">
        <v>2218</v>
      </c>
      <c r="B8864" s="2">
        <v>17</v>
      </c>
      <c r="C8864" s="2">
        <v>58652810</v>
      </c>
      <c r="D8864" s="2">
        <v>60453120</v>
      </c>
      <c r="E8864" s="2">
        <v>2</v>
      </c>
      <c r="F8864" s="2" t="s">
        <v>10086</v>
      </c>
      <c r="H8864" s="2">
        <v>1.2999999999999999E-3</v>
      </c>
      <c r="K8864" s="2" t="s">
        <v>10089</v>
      </c>
    </row>
    <row r="8865" spans="1:11" x14ac:dyDescent="0.2">
      <c r="A8865" s="2">
        <v>2218</v>
      </c>
      <c r="B8865" s="2">
        <v>17</v>
      </c>
      <c r="C8865" s="2">
        <v>58652810</v>
      </c>
      <c r="D8865" s="2">
        <v>60453120</v>
      </c>
      <c r="E8865" s="2">
        <v>3</v>
      </c>
      <c r="F8865" s="2" t="s">
        <v>10086</v>
      </c>
      <c r="H8865" s="2">
        <v>1.1999999999999999E-3</v>
      </c>
      <c r="K8865" s="2" t="s">
        <v>10085</v>
      </c>
    </row>
    <row r="8866" spans="1:11" x14ac:dyDescent="0.2">
      <c r="A8866" s="2">
        <v>2218</v>
      </c>
      <c r="B8866" s="2">
        <v>17</v>
      </c>
      <c r="C8866" s="2">
        <v>58652810</v>
      </c>
      <c r="D8866" s="2">
        <v>60453120</v>
      </c>
      <c r="E8866" s="2">
        <v>4</v>
      </c>
      <c r="F8866" s="2" t="s">
        <v>10086</v>
      </c>
      <c r="H8866" s="3">
        <v>4.0000000000000002E-4</v>
      </c>
      <c r="K8866" s="2" t="s">
        <v>10087</v>
      </c>
    </row>
    <row r="8867" spans="1:11" x14ac:dyDescent="0.2">
      <c r="A8867" s="2">
        <v>2219</v>
      </c>
      <c r="B8867" s="2">
        <v>17</v>
      </c>
      <c r="C8867" s="2">
        <v>60453121</v>
      </c>
      <c r="D8867" s="2">
        <v>62112373</v>
      </c>
      <c r="E8867" s="2">
        <v>1</v>
      </c>
      <c r="F8867" s="2" t="s">
        <v>10086</v>
      </c>
      <c r="H8867" s="2">
        <v>7.4000000000000003E-3</v>
      </c>
      <c r="K8867" s="2" t="s">
        <v>10088</v>
      </c>
    </row>
    <row r="8868" spans="1:11" x14ac:dyDescent="0.2">
      <c r="A8868" s="2">
        <v>2219</v>
      </c>
      <c r="B8868" s="2">
        <v>17</v>
      </c>
      <c r="C8868" s="2">
        <v>60453121</v>
      </c>
      <c r="D8868" s="2">
        <v>62112373</v>
      </c>
      <c r="E8868" s="2">
        <v>2</v>
      </c>
      <c r="F8868" s="2" t="s">
        <v>10086</v>
      </c>
      <c r="H8868" s="2">
        <v>1.6000000000000001E-3</v>
      </c>
      <c r="K8868" s="2" t="s">
        <v>10085</v>
      </c>
    </row>
    <row r="8869" spans="1:11" x14ac:dyDescent="0.2">
      <c r="A8869" s="2">
        <v>2219</v>
      </c>
      <c r="B8869" s="2">
        <v>17</v>
      </c>
      <c r="C8869" s="2">
        <v>60453121</v>
      </c>
      <c r="D8869" s="2">
        <v>62112373</v>
      </c>
      <c r="E8869" s="2">
        <v>3</v>
      </c>
      <c r="F8869" s="2" t="s">
        <v>10086</v>
      </c>
      <c r="H8869" s="2">
        <v>1.4E-3</v>
      </c>
      <c r="K8869" s="2" t="s">
        <v>10089</v>
      </c>
    </row>
    <row r="8870" spans="1:11" x14ac:dyDescent="0.2">
      <c r="A8870" s="2">
        <v>2219</v>
      </c>
      <c r="B8870" s="2">
        <v>17</v>
      </c>
      <c r="C8870" s="2">
        <v>60453121</v>
      </c>
      <c r="D8870" s="2">
        <v>62112373</v>
      </c>
      <c r="E8870" s="2">
        <v>4</v>
      </c>
      <c r="F8870" s="2" t="s">
        <v>10086</v>
      </c>
      <c r="H8870" s="3">
        <v>5.9999999999999995E-4</v>
      </c>
      <c r="K8870" s="2" t="s">
        <v>10087</v>
      </c>
    </row>
    <row r="8871" spans="1:11" x14ac:dyDescent="0.2">
      <c r="A8871" s="2">
        <v>2220</v>
      </c>
      <c r="B8871" s="2">
        <v>17</v>
      </c>
      <c r="C8871" s="2">
        <v>62112374</v>
      </c>
      <c r="D8871" s="2">
        <v>63548724</v>
      </c>
      <c r="E8871" s="2">
        <v>1</v>
      </c>
      <c r="F8871" s="2" t="s">
        <v>10086</v>
      </c>
      <c r="H8871" s="2">
        <v>1.6999999999999999E-3</v>
      </c>
      <c r="K8871" s="2" t="s">
        <v>10089</v>
      </c>
    </row>
    <row r="8872" spans="1:11" x14ac:dyDescent="0.2">
      <c r="A8872" s="2">
        <v>2220</v>
      </c>
      <c r="B8872" s="2">
        <v>17</v>
      </c>
      <c r="C8872" s="2">
        <v>62112374</v>
      </c>
      <c r="D8872" s="2">
        <v>63548724</v>
      </c>
      <c r="E8872" s="2">
        <v>2</v>
      </c>
      <c r="F8872" s="2" t="s">
        <v>10086</v>
      </c>
      <c r="H8872" s="2">
        <v>1.9E-3</v>
      </c>
      <c r="K8872" s="2" t="s">
        <v>10085</v>
      </c>
    </row>
    <row r="8873" spans="1:11" x14ac:dyDescent="0.2">
      <c r="A8873" s="2">
        <v>2220</v>
      </c>
      <c r="B8873" s="2">
        <v>17</v>
      </c>
      <c r="C8873" s="2">
        <v>62112374</v>
      </c>
      <c r="D8873" s="2">
        <v>63548724</v>
      </c>
      <c r="E8873" s="2">
        <v>3</v>
      </c>
      <c r="F8873" s="2" t="s">
        <v>10086</v>
      </c>
      <c r="H8873" s="2">
        <v>1.4E-3</v>
      </c>
      <c r="K8873" s="2" t="s">
        <v>10087</v>
      </c>
    </row>
    <row r="8874" spans="1:11" x14ac:dyDescent="0.2">
      <c r="A8874" s="2">
        <v>2220</v>
      </c>
      <c r="B8874" s="2">
        <v>17</v>
      </c>
      <c r="C8874" s="2">
        <v>62112374</v>
      </c>
      <c r="D8874" s="2">
        <v>63548724</v>
      </c>
      <c r="E8874" s="2">
        <v>4</v>
      </c>
      <c r="F8874" s="2" t="s">
        <v>10086</v>
      </c>
      <c r="H8874" s="3">
        <v>5.9999999999999995E-4</v>
      </c>
      <c r="K8874" s="2" t="s">
        <v>10088</v>
      </c>
    </row>
    <row r="8875" spans="1:11" x14ac:dyDescent="0.2">
      <c r="A8875" s="2">
        <v>2221</v>
      </c>
      <c r="B8875" s="2">
        <v>17</v>
      </c>
      <c r="C8875" s="2">
        <v>63548725</v>
      </c>
      <c r="D8875" s="2">
        <v>64438387</v>
      </c>
      <c r="E8875" s="2">
        <v>1</v>
      </c>
      <c r="F8875" s="2" t="s">
        <v>10086</v>
      </c>
      <c r="H8875" s="2">
        <v>1.2999999999999999E-3</v>
      </c>
      <c r="K8875" s="2" t="s">
        <v>10089</v>
      </c>
    </row>
    <row r="8876" spans="1:11" x14ac:dyDescent="0.2">
      <c r="A8876" s="2">
        <v>2221</v>
      </c>
      <c r="B8876" s="2">
        <v>17</v>
      </c>
      <c r="C8876" s="2">
        <v>63548725</v>
      </c>
      <c r="D8876" s="2">
        <v>64438387</v>
      </c>
      <c r="E8876" s="2">
        <v>2</v>
      </c>
      <c r="F8876" s="2" t="s">
        <v>10086</v>
      </c>
      <c r="H8876" s="2">
        <v>1.1000000000000001E-3</v>
      </c>
      <c r="K8876" s="2" t="s">
        <v>10087</v>
      </c>
    </row>
    <row r="8877" spans="1:11" x14ac:dyDescent="0.2">
      <c r="A8877" s="2">
        <v>2221</v>
      </c>
      <c r="B8877" s="2">
        <v>17</v>
      </c>
      <c r="C8877" s="2">
        <v>63548725</v>
      </c>
      <c r="D8877" s="2">
        <v>64438387</v>
      </c>
      <c r="E8877" s="2">
        <v>3</v>
      </c>
      <c r="F8877" s="2" t="s">
        <v>10086</v>
      </c>
      <c r="H8877" s="3">
        <v>5.0000000000000001E-4</v>
      </c>
      <c r="K8877" s="2" t="s">
        <v>10088</v>
      </c>
    </row>
    <row r="8878" spans="1:11" x14ac:dyDescent="0.2">
      <c r="A8878" s="2">
        <v>2221</v>
      </c>
      <c r="B8878" s="2">
        <v>17</v>
      </c>
      <c r="C8878" s="2">
        <v>63548725</v>
      </c>
      <c r="D8878" s="2">
        <v>64438387</v>
      </c>
      <c r="E8878" s="2">
        <v>4</v>
      </c>
      <c r="F8878" s="2" t="s">
        <v>10086</v>
      </c>
      <c r="H8878" s="3">
        <v>2.9999999999999997E-4</v>
      </c>
      <c r="K8878" s="2" t="s">
        <v>10085</v>
      </c>
    </row>
    <row r="8879" spans="1:11" x14ac:dyDescent="0.2">
      <c r="A8879" s="2">
        <v>2222</v>
      </c>
      <c r="B8879" s="2">
        <v>17</v>
      </c>
      <c r="C8879" s="2">
        <v>64438388</v>
      </c>
      <c r="D8879" s="2">
        <v>65582327</v>
      </c>
      <c r="E8879" s="2">
        <v>1</v>
      </c>
      <c r="F8879" s="2" t="s">
        <v>10086</v>
      </c>
      <c r="H8879" s="2">
        <v>4.5999999999999999E-3</v>
      </c>
      <c r="K8879" s="2" t="s">
        <v>10089</v>
      </c>
    </row>
    <row r="8880" spans="1:11" x14ac:dyDescent="0.2">
      <c r="A8880" s="2">
        <v>2222</v>
      </c>
      <c r="B8880" s="2">
        <v>17</v>
      </c>
      <c r="C8880" s="2">
        <v>64438388</v>
      </c>
      <c r="D8880" s="2">
        <v>65582327</v>
      </c>
      <c r="E8880" s="2">
        <v>2</v>
      </c>
      <c r="F8880" s="2" t="s">
        <v>10086</v>
      </c>
      <c r="H8880" s="2">
        <v>1.9E-3</v>
      </c>
      <c r="K8880" s="2" t="s">
        <v>10088</v>
      </c>
    </row>
    <row r="8881" spans="1:11" x14ac:dyDescent="0.2">
      <c r="A8881" s="2">
        <v>2222</v>
      </c>
      <c r="B8881" s="2">
        <v>17</v>
      </c>
      <c r="C8881" s="2">
        <v>64438388</v>
      </c>
      <c r="D8881" s="2">
        <v>65582327</v>
      </c>
      <c r="E8881" s="2">
        <v>3</v>
      </c>
      <c r="F8881" s="2" t="s">
        <v>10086</v>
      </c>
      <c r="H8881" s="2">
        <v>1.2999999999999999E-3</v>
      </c>
      <c r="K8881" s="2" t="s">
        <v>10085</v>
      </c>
    </row>
    <row r="8882" spans="1:11" x14ac:dyDescent="0.2">
      <c r="A8882" s="2">
        <v>2222</v>
      </c>
      <c r="B8882" s="2">
        <v>17</v>
      </c>
      <c r="C8882" s="2">
        <v>64438388</v>
      </c>
      <c r="D8882" s="2">
        <v>65582327</v>
      </c>
      <c r="E8882" s="2">
        <v>4</v>
      </c>
      <c r="F8882" s="2" t="s">
        <v>10086</v>
      </c>
      <c r="H8882" s="3">
        <v>6.9999999999999999E-4</v>
      </c>
      <c r="K8882" s="2" t="s">
        <v>10087</v>
      </c>
    </row>
    <row r="8883" spans="1:11" x14ac:dyDescent="0.2">
      <c r="A8883" s="2">
        <v>2223</v>
      </c>
      <c r="B8883" s="2">
        <v>17</v>
      </c>
      <c r="C8883" s="2">
        <v>65582328</v>
      </c>
      <c r="D8883" s="2">
        <v>66757556</v>
      </c>
      <c r="E8883" s="2">
        <v>1</v>
      </c>
      <c r="F8883" s="2" t="s">
        <v>10086</v>
      </c>
      <c r="H8883" s="2">
        <v>4.3E-3</v>
      </c>
      <c r="K8883" s="2" t="s">
        <v>12324</v>
      </c>
    </row>
    <row r="8884" spans="1:11" x14ac:dyDescent="0.2">
      <c r="A8884" s="2">
        <v>2223</v>
      </c>
      <c r="B8884" s="2">
        <v>17</v>
      </c>
      <c r="C8884" s="2">
        <v>65582328</v>
      </c>
      <c r="D8884" s="2">
        <v>66757556</v>
      </c>
      <c r="E8884" s="2">
        <v>2</v>
      </c>
      <c r="F8884" s="2" t="s">
        <v>10086</v>
      </c>
      <c r="H8884" s="2">
        <v>2.8999999999999998E-3</v>
      </c>
      <c r="K8884" s="2" t="s">
        <v>10088</v>
      </c>
    </row>
    <row r="8885" spans="1:11" x14ac:dyDescent="0.2">
      <c r="A8885" s="2">
        <v>2223</v>
      </c>
      <c r="B8885" s="2">
        <v>17</v>
      </c>
      <c r="C8885" s="2">
        <v>65582328</v>
      </c>
      <c r="D8885" s="2">
        <v>66757556</v>
      </c>
      <c r="E8885" s="2">
        <v>3</v>
      </c>
      <c r="F8885" s="2" t="s">
        <v>10086</v>
      </c>
      <c r="H8885" s="2">
        <v>2.0999999999999999E-3</v>
      </c>
      <c r="K8885" s="2" t="s">
        <v>10089</v>
      </c>
    </row>
    <row r="8886" spans="1:11" x14ac:dyDescent="0.2">
      <c r="A8886" s="2">
        <v>2223</v>
      </c>
      <c r="B8886" s="2">
        <v>17</v>
      </c>
      <c r="C8886" s="2">
        <v>65582328</v>
      </c>
      <c r="D8886" s="2">
        <v>66757556</v>
      </c>
      <c r="E8886" s="2">
        <v>4</v>
      </c>
      <c r="F8886" s="2" t="s">
        <v>10086</v>
      </c>
      <c r="H8886" s="2">
        <v>1E-3</v>
      </c>
      <c r="K8886" s="2" t="s">
        <v>10085</v>
      </c>
    </row>
    <row r="8887" spans="1:11" x14ac:dyDescent="0.2">
      <c r="A8887" s="2">
        <v>2224</v>
      </c>
      <c r="B8887" s="2">
        <v>17</v>
      </c>
      <c r="C8887" s="2">
        <v>66757557</v>
      </c>
      <c r="D8887" s="2">
        <v>68176219</v>
      </c>
      <c r="E8887" s="2">
        <v>1</v>
      </c>
      <c r="F8887" s="2" t="s">
        <v>10086</v>
      </c>
      <c r="H8887" s="2">
        <v>4.2099999999999999E-2</v>
      </c>
      <c r="K8887" s="2" t="s">
        <v>10089</v>
      </c>
    </row>
    <row r="8888" spans="1:11" x14ac:dyDescent="0.2">
      <c r="A8888" s="2">
        <v>2224</v>
      </c>
      <c r="B8888" s="2">
        <v>17</v>
      </c>
      <c r="C8888" s="2">
        <v>66757557</v>
      </c>
      <c r="D8888" s="2">
        <v>68176219</v>
      </c>
      <c r="E8888" s="2">
        <v>2</v>
      </c>
      <c r="F8888" s="2" t="s">
        <v>10086</v>
      </c>
      <c r="H8888" s="2">
        <v>2.5999999999999999E-3</v>
      </c>
      <c r="K8888" s="2" t="s">
        <v>10087</v>
      </c>
    </row>
    <row r="8889" spans="1:11" x14ac:dyDescent="0.2">
      <c r="A8889" s="2">
        <v>2224</v>
      </c>
      <c r="B8889" s="2">
        <v>17</v>
      </c>
      <c r="C8889" s="2">
        <v>66757557</v>
      </c>
      <c r="D8889" s="2">
        <v>68176219</v>
      </c>
      <c r="E8889" s="2">
        <v>3</v>
      </c>
      <c r="F8889" s="2" t="s">
        <v>10086</v>
      </c>
      <c r="H8889" s="2">
        <v>4.0000000000000001E-3</v>
      </c>
      <c r="K8889" s="2" t="s">
        <v>10088</v>
      </c>
    </row>
    <row r="8890" spans="1:11" x14ac:dyDescent="0.2">
      <c r="A8890" s="2">
        <v>2224</v>
      </c>
      <c r="B8890" s="2">
        <v>17</v>
      </c>
      <c r="C8890" s="2">
        <v>66757557</v>
      </c>
      <c r="D8890" s="2">
        <v>68176219</v>
      </c>
      <c r="E8890" s="2">
        <v>4</v>
      </c>
      <c r="F8890" s="2" t="s">
        <v>10086</v>
      </c>
      <c r="H8890" s="3">
        <v>8.0000000000000004E-4</v>
      </c>
      <c r="K8890" s="2" t="s">
        <v>10085</v>
      </c>
    </row>
    <row r="8891" spans="1:11" x14ac:dyDescent="0.2">
      <c r="A8891" s="2">
        <v>2225</v>
      </c>
      <c r="B8891" s="2">
        <v>17</v>
      </c>
      <c r="C8891" s="2">
        <v>68176220</v>
      </c>
      <c r="D8891" s="2">
        <v>69245590</v>
      </c>
      <c r="E8891" s="2">
        <v>1</v>
      </c>
      <c r="F8891" s="2" t="s">
        <v>10086</v>
      </c>
      <c r="H8891" s="2">
        <v>2E-3</v>
      </c>
      <c r="K8891" s="2" t="s">
        <v>10089</v>
      </c>
    </row>
    <row r="8892" spans="1:11" x14ac:dyDescent="0.2">
      <c r="A8892" s="2">
        <v>2225</v>
      </c>
      <c r="B8892" s="2">
        <v>17</v>
      </c>
      <c r="C8892" s="2">
        <v>68176220</v>
      </c>
      <c r="D8892" s="2">
        <v>69245590</v>
      </c>
      <c r="E8892" s="2">
        <v>2</v>
      </c>
      <c r="F8892" s="2" t="s">
        <v>10086</v>
      </c>
      <c r="H8892" s="2">
        <v>1.1999999999999999E-3</v>
      </c>
      <c r="K8892" s="2" t="s">
        <v>10088</v>
      </c>
    </row>
    <row r="8893" spans="1:11" x14ac:dyDescent="0.2">
      <c r="A8893" s="2">
        <v>2225</v>
      </c>
      <c r="B8893" s="2">
        <v>17</v>
      </c>
      <c r="C8893" s="2">
        <v>68176220</v>
      </c>
      <c r="D8893" s="2">
        <v>69245590</v>
      </c>
      <c r="E8893" s="2">
        <v>3</v>
      </c>
      <c r="F8893" s="2" t="s">
        <v>10086</v>
      </c>
      <c r="H8893" s="2">
        <v>1E-3</v>
      </c>
      <c r="K8893" s="2" t="s">
        <v>10085</v>
      </c>
    </row>
    <row r="8894" spans="1:11" x14ac:dyDescent="0.2">
      <c r="A8894" s="2">
        <v>2225</v>
      </c>
      <c r="B8894" s="2">
        <v>17</v>
      </c>
      <c r="C8894" s="2">
        <v>68176220</v>
      </c>
      <c r="D8894" s="2">
        <v>69245590</v>
      </c>
      <c r="E8894" s="2">
        <v>4</v>
      </c>
      <c r="F8894" s="2" t="s">
        <v>10086</v>
      </c>
      <c r="H8894" s="3">
        <v>4.0000000000000002E-4</v>
      </c>
      <c r="K8894" s="2" t="s">
        <v>10087</v>
      </c>
    </row>
    <row r="8895" spans="1:11" x14ac:dyDescent="0.2">
      <c r="A8895" s="2">
        <v>2226</v>
      </c>
      <c r="B8895" s="2">
        <v>17</v>
      </c>
      <c r="C8895" s="2">
        <v>69245591</v>
      </c>
      <c r="D8895" s="2">
        <v>70495119</v>
      </c>
      <c r="E8895" s="2">
        <v>1</v>
      </c>
      <c r="F8895" s="2" t="s">
        <v>10086</v>
      </c>
      <c r="H8895" s="2">
        <v>5.1000000000000004E-3</v>
      </c>
      <c r="K8895" s="2" t="s">
        <v>10085</v>
      </c>
    </row>
    <row r="8896" spans="1:11" x14ac:dyDescent="0.2">
      <c r="A8896" s="2">
        <v>2226</v>
      </c>
      <c r="B8896" s="2">
        <v>17</v>
      </c>
      <c r="C8896" s="2">
        <v>69245591</v>
      </c>
      <c r="D8896" s="2">
        <v>70495119</v>
      </c>
      <c r="E8896" s="2">
        <v>2</v>
      </c>
      <c r="F8896" s="2" t="s">
        <v>10086</v>
      </c>
      <c r="H8896" s="2">
        <v>2.0999999999999999E-3</v>
      </c>
      <c r="K8896" s="2" t="s">
        <v>10089</v>
      </c>
    </row>
    <row r="8897" spans="1:11" x14ac:dyDescent="0.2">
      <c r="A8897" s="2">
        <v>2226</v>
      </c>
      <c r="B8897" s="2">
        <v>17</v>
      </c>
      <c r="C8897" s="2">
        <v>69245591</v>
      </c>
      <c r="D8897" s="2">
        <v>70495119</v>
      </c>
      <c r="E8897" s="2">
        <v>3</v>
      </c>
      <c r="F8897" s="2" t="s">
        <v>10086</v>
      </c>
      <c r="H8897" s="2">
        <v>1.6999999999999999E-3</v>
      </c>
      <c r="K8897" s="2" t="s">
        <v>10088</v>
      </c>
    </row>
    <row r="8898" spans="1:11" x14ac:dyDescent="0.2">
      <c r="A8898" s="2">
        <v>2226</v>
      </c>
      <c r="B8898" s="2">
        <v>17</v>
      </c>
      <c r="C8898" s="2">
        <v>69245591</v>
      </c>
      <c r="D8898" s="2">
        <v>70495119</v>
      </c>
      <c r="E8898" s="2">
        <v>4</v>
      </c>
      <c r="F8898" s="2" t="s">
        <v>10086</v>
      </c>
      <c r="H8898" s="3">
        <v>8.0000000000000004E-4</v>
      </c>
      <c r="K8898" s="2" t="s">
        <v>10087</v>
      </c>
    </row>
    <row r="8899" spans="1:11" x14ac:dyDescent="0.2">
      <c r="A8899" s="2">
        <v>2227</v>
      </c>
      <c r="B8899" s="2">
        <v>17</v>
      </c>
      <c r="C8899" s="2">
        <v>70495120</v>
      </c>
      <c r="D8899" s="2">
        <v>71466953</v>
      </c>
      <c r="E8899" s="2">
        <v>1</v>
      </c>
      <c r="F8899" s="2" t="s">
        <v>10086</v>
      </c>
      <c r="H8899" s="2">
        <v>2.3999999999999998E-3</v>
      </c>
      <c r="K8899" s="2" t="s">
        <v>10087</v>
      </c>
    </row>
    <row r="8900" spans="1:11" x14ac:dyDescent="0.2">
      <c r="A8900" s="2">
        <v>2227</v>
      </c>
      <c r="B8900" s="2">
        <v>17</v>
      </c>
      <c r="C8900" s="2">
        <v>70495120</v>
      </c>
      <c r="D8900" s="2">
        <v>71466953</v>
      </c>
      <c r="E8900" s="2">
        <v>2</v>
      </c>
      <c r="F8900" s="2" t="s">
        <v>10086</v>
      </c>
      <c r="H8900" s="2">
        <v>1.6000000000000001E-3</v>
      </c>
      <c r="K8900" s="2" t="s">
        <v>10085</v>
      </c>
    </row>
    <row r="8901" spans="1:11" x14ac:dyDescent="0.2">
      <c r="A8901" s="2">
        <v>2227</v>
      </c>
      <c r="B8901" s="2">
        <v>17</v>
      </c>
      <c r="C8901" s="2">
        <v>70495120</v>
      </c>
      <c r="D8901" s="2">
        <v>71466953</v>
      </c>
      <c r="E8901" s="2">
        <v>3</v>
      </c>
      <c r="F8901" s="2" t="s">
        <v>10086</v>
      </c>
      <c r="H8901" s="2">
        <v>1.9E-3</v>
      </c>
      <c r="K8901" s="2" t="s">
        <v>10088</v>
      </c>
    </row>
    <row r="8902" spans="1:11" x14ac:dyDescent="0.2">
      <c r="A8902" s="2">
        <v>2227</v>
      </c>
      <c r="B8902" s="2">
        <v>17</v>
      </c>
      <c r="C8902" s="2">
        <v>70495120</v>
      </c>
      <c r="D8902" s="2">
        <v>71466953</v>
      </c>
      <c r="E8902" s="2">
        <v>4</v>
      </c>
      <c r="F8902" s="2" t="s">
        <v>10086</v>
      </c>
      <c r="H8902" s="2">
        <v>1.1000000000000001E-3</v>
      </c>
      <c r="K8902" s="2" t="s">
        <v>12324</v>
      </c>
    </row>
    <row r="8903" spans="1:11" x14ac:dyDescent="0.2">
      <c r="A8903" s="2">
        <v>2228</v>
      </c>
      <c r="B8903" s="2">
        <v>17</v>
      </c>
      <c r="C8903" s="2">
        <v>71466954</v>
      </c>
      <c r="D8903" s="2">
        <v>72383472</v>
      </c>
      <c r="E8903" s="2">
        <v>1</v>
      </c>
      <c r="F8903" s="2" t="s">
        <v>10086</v>
      </c>
      <c r="H8903" s="2">
        <v>3.5999999999999999E-3</v>
      </c>
      <c r="K8903" s="2" t="s">
        <v>10087</v>
      </c>
    </row>
    <row r="8904" spans="1:11" x14ac:dyDescent="0.2">
      <c r="A8904" s="2">
        <v>2228</v>
      </c>
      <c r="B8904" s="2">
        <v>17</v>
      </c>
      <c r="C8904" s="2">
        <v>71466954</v>
      </c>
      <c r="D8904" s="2">
        <v>72383472</v>
      </c>
      <c r="E8904" s="2">
        <v>2</v>
      </c>
      <c r="F8904" s="2" t="s">
        <v>10086</v>
      </c>
      <c r="H8904" s="2">
        <v>1.9E-3</v>
      </c>
      <c r="K8904" s="2" t="s">
        <v>10089</v>
      </c>
    </row>
    <row r="8905" spans="1:11" x14ac:dyDescent="0.2">
      <c r="A8905" s="2">
        <v>2228</v>
      </c>
      <c r="B8905" s="2">
        <v>17</v>
      </c>
      <c r="C8905" s="2">
        <v>71466954</v>
      </c>
      <c r="D8905" s="2">
        <v>72383472</v>
      </c>
      <c r="E8905" s="2">
        <v>3</v>
      </c>
      <c r="F8905" s="2" t="s">
        <v>10086</v>
      </c>
      <c r="H8905" s="2">
        <v>1.2999999999999999E-3</v>
      </c>
      <c r="K8905" s="2" t="s">
        <v>12324</v>
      </c>
    </row>
    <row r="8906" spans="1:11" x14ac:dyDescent="0.2">
      <c r="A8906" s="2">
        <v>2228</v>
      </c>
      <c r="B8906" s="2">
        <v>17</v>
      </c>
      <c r="C8906" s="2">
        <v>71466954</v>
      </c>
      <c r="D8906" s="2">
        <v>72383472</v>
      </c>
      <c r="E8906" s="2">
        <v>4</v>
      </c>
      <c r="F8906" s="2" t="s">
        <v>10086</v>
      </c>
      <c r="H8906" s="3">
        <v>8.0000000000000004E-4</v>
      </c>
      <c r="K8906" s="2" t="s">
        <v>10088</v>
      </c>
    </row>
    <row r="8907" spans="1:11" x14ac:dyDescent="0.2">
      <c r="A8907" s="2">
        <v>2229</v>
      </c>
      <c r="B8907" s="2">
        <v>17</v>
      </c>
      <c r="C8907" s="2">
        <v>72383473</v>
      </c>
      <c r="D8907" s="2">
        <v>73741321</v>
      </c>
      <c r="E8907" s="2">
        <v>1</v>
      </c>
      <c r="F8907" s="2" t="s">
        <v>10086</v>
      </c>
      <c r="H8907" s="2">
        <v>2.8999999999999998E-3</v>
      </c>
      <c r="K8907" s="2" t="s">
        <v>10089</v>
      </c>
    </row>
    <row r="8908" spans="1:11" x14ac:dyDescent="0.2">
      <c r="A8908" s="2">
        <v>2229</v>
      </c>
      <c r="B8908" s="2">
        <v>17</v>
      </c>
      <c r="C8908" s="2">
        <v>72383473</v>
      </c>
      <c r="D8908" s="2">
        <v>73741321</v>
      </c>
      <c r="E8908" s="2">
        <v>2</v>
      </c>
      <c r="F8908" s="2" t="s">
        <v>10086</v>
      </c>
      <c r="H8908" s="2">
        <v>2E-3</v>
      </c>
      <c r="K8908" s="2" t="s">
        <v>10087</v>
      </c>
    </row>
    <row r="8909" spans="1:11" x14ac:dyDescent="0.2">
      <c r="A8909" s="2">
        <v>2229</v>
      </c>
      <c r="B8909" s="2">
        <v>17</v>
      </c>
      <c r="C8909" s="2">
        <v>72383473</v>
      </c>
      <c r="D8909" s="2">
        <v>73741321</v>
      </c>
      <c r="E8909" s="2">
        <v>3</v>
      </c>
      <c r="F8909" s="2" t="s">
        <v>10086</v>
      </c>
      <c r="H8909" s="2">
        <v>1.1000000000000001E-3</v>
      </c>
      <c r="K8909" s="2" t="s">
        <v>10088</v>
      </c>
    </row>
    <row r="8910" spans="1:11" x14ac:dyDescent="0.2">
      <c r="A8910" s="2">
        <v>2229</v>
      </c>
      <c r="B8910" s="2">
        <v>17</v>
      </c>
      <c r="C8910" s="2">
        <v>72383473</v>
      </c>
      <c r="D8910" s="2">
        <v>73741321</v>
      </c>
      <c r="E8910" s="2">
        <v>4</v>
      </c>
      <c r="F8910" s="2" t="s">
        <v>10086</v>
      </c>
      <c r="H8910" s="3">
        <v>5.0000000000000001E-4</v>
      </c>
      <c r="K8910" s="2" t="s">
        <v>10085</v>
      </c>
    </row>
    <row r="8911" spans="1:11" x14ac:dyDescent="0.2">
      <c r="A8911" s="2">
        <v>2230</v>
      </c>
      <c r="B8911" s="2">
        <v>17</v>
      </c>
      <c r="C8911" s="2">
        <v>73741322</v>
      </c>
      <c r="D8911" s="2">
        <v>74908266</v>
      </c>
      <c r="E8911" s="2">
        <v>1</v>
      </c>
      <c r="F8911" s="2" t="s">
        <v>10086</v>
      </c>
      <c r="H8911" s="2">
        <v>9.4000000000000004E-3</v>
      </c>
      <c r="K8911" s="2" t="s">
        <v>10085</v>
      </c>
    </row>
    <row r="8912" spans="1:11" x14ac:dyDescent="0.2">
      <c r="A8912" s="2">
        <v>2230</v>
      </c>
      <c r="B8912" s="2">
        <v>17</v>
      </c>
      <c r="C8912" s="2">
        <v>73741322</v>
      </c>
      <c r="D8912" s="2">
        <v>74908266</v>
      </c>
      <c r="E8912" s="2">
        <v>2</v>
      </c>
      <c r="F8912" s="2" t="s">
        <v>10086</v>
      </c>
      <c r="H8912" s="2">
        <v>2.3E-3</v>
      </c>
      <c r="K8912" s="2" t="s">
        <v>10087</v>
      </c>
    </row>
    <row r="8913" spans="1:11" x14ac:dyDescent="0.2">
      <c r="A8913" s="2">
        <v>2230</v>
      </c>
      <c r="B8913" s="2">
        <v>17</v>
      </c>
      <c r="C8913" s="2">
        <v>73741322</v>
      </c>
      <c r="D8913" s="2">
        <v>74908266</v>
      </c>
      <c r="E8913" s="2">
        <v>3</v>
      </c>
      <c r="F8913" s="2" t="s">
        <v>10086</v>
      </c>
      <c r="H8913" s="2">
        <v>2.2000000000000001E-3</v>
      </c>
      <c r="K8913" s="2" t="s">
        <v>10089</v>
      </c>
    </row>
    <row r="8914" spans="1:11" x14ac:dyDescent="0.2">
      <c r="A8914" s="2">
        <v>2230</v>
      </c>
      <c r="B8914" s="2">
        <v>17</v>
      </c>
      <c r="C8914" s="2">
        <v>73741322</v>
      </c>
      <c r="D8914" s="2">
        <v>74908266</v>
      </c>
      <c r="E8914" s="2">
        <v>4</v>
      </c>
      <c r="F8914" s="2" t="s">
        <v>10086</v>
      </c>
      <c r="H8914" s="2">
        <v>1E-3</v>
      </c>
      <c r="K8914" s="2" t="s">
        <v>10088</v>
      </c>
    </row>
    <row r="8915" spans="1:11" x14ac:dyDescent="0.2">
      <c r="A8915" s="2">
        <v>2231</v>
      </c>
      <c r="B8915" s="2">
        <v>17</v>
      </c>
      <c r="C8915" s="2">
        <v>74908267</v>
      </c>
      <c r="D8915" s="2">
        <v>75619256</v>
      </c>
      <c r="E8915" s="2">
        <v>1</v>
      </c>
      <c r="F8915" s="2" t="s">
        <v>10086</v>
      </c>
      <c r="H8915" s="2">
        <v>2.5000000000000001E-3</v>
      </c>
      <c r="K8915" s="2" t="s">
        <v>10085</v>
      </c>
    </row>
    <row r="8916" spans="1:11" x14ac:dyDescent="0.2">
      <c r="A8916" s="2">
        <v>2231</v>
      </c>
      <c r="B8916" s="2">
        <v>17</v>
      </c>
      <c r="C8916" s="2">
        <v>74908267</v>
      </c>
      <c r="D8916" s="2">
        <v>75619256</v>
      </c>
      <c r="E8916" s="2">
        <v>2</v>
      </c>
      <c r="F8916" s="2" t="s">
        <v>10086</v>
      </c>
      <c r="H8916" s="2">
        <v>1.8E-3</v>
      </c>
      <c r="K8916" s="2" t="s">
        <v>10089</v>
      </c>
    </row>
    <row r="8917" spans="1:11" x14ac:dyDescent="0.2">
      <c r="A8917" s="2">
        <v>2231</v>
      </c>
      <c r="B8917" s="2">
        <v>17</v>
      </c>
      <c r="C8917" s="2">
        <v>74908267</v>
      </c>
      <c r="D8917" s="2">
        <v>75619256</v>
      </c>
      <c r="E8917" s="2">
        <v>3</v>
      </c>
      <c r="F8917" s="2" t="s">
        <v>10086</v>
      </c>
      <c r="H8917" s="2">
        <v>1.6000000000000001E-3</v>
      </c>
      <c r="K8917" s="2" t="s">
        <v>10087</v>
      </c>
    </row>
    <row r="8918" spans="1:11" x14ac:dyDescent="0.2">
      <c r="A8918" s="2">
        <v>2231</v>
      </c>
      <c r="B8918" s="2">
        <v>17</v>
      </c>
      <c r="C8918" s="2">
        <v>74908267</v>
      </c>
      <c r="D8918" s="2">
        <v>75619256</v>
      </c>
      <c r="E8918" s="2">
        <v>4</v>
      </c>
      <c r="F8918" s="2" t="s">
        <v>10086</v>
      </c>
      <c r="H8918" s="3">
        <v>5.9999999999999995E-4</v>
      </c>
      <c r="K8918" s="2" t="s">
        <v>10088</v>
      </c>
    </row>
    <row r="8919" spans="1:11" x14ac:dyDescent="0.2">
      <c r="A8919" s="2">
        <v>2232</v>
      </c>
      <c r="B8919" s="2">
        <v>17</v>
      </c>
      <c r="C8919" s="2">
        <v>75619257</v>
      </c>
      <c r="D8919" s="2">
        <v>76596287</v>
      </c>
      <c r="E8919" s="2">
        <v>1</v>
      </c>
      <c r="F8919" s="2" t="s">
        <v>10086</v>
      </c>
      <c r="H8919" s="2">
        <v>2E-3</v>
      </c>
      <c r="K8919" s="2" t="s">
        <v>10087</v>
      </c>
    </row>
    <row r="8920" spans="1:11" x14ac:dyDescent="0.2">
      <c r="A8920" s="2">
        <v>2232</v>
      </c>
      <c r="B8920" s="2">
        <v>17</v>
      </c>
      <c r="C8920" s="2">
        <v>75619257</v>
      </c>
      <c r="D8920" s="2">
        <v>76596287</v>
      </c>
      <c r="E8920" s="2">
        <v>2</v>
      </c>
      <c r="F8920" s="2" t="s">
        <v>10086</v>
      </c>
      <c r="H8920" s="2">
        <v>1.4E-3</v>
      </c>
      <c r="K8920" s="2" t="s">
        <v>10088</v>
      </c>
    </row>
    <row r="8921" spans="1:11" x14ac:dyDescent="0.2">
      <c r="A8921" s="2">
        <v>2232</v>
      </c>
      <c r="B8921" s="2">
        <v>17</v>
      </c>
      <c r="C8921" s="2">
        <v>75619257</v>
      </c>
      <c r="D8921" s="2">
        <v>76596287</v>
      </c>
      <c r="E8921" s="2">
        <v>3</v>
      </c>
      <c r="F8921" s="2" t="s">
        <v>10086</v>
      </c>
      <c r="H8921" s="3">
        <v>8.9999999999999998E-4</v>
      </c>
      <c r="K8921" s="2" t="s">
        <v>10089</v>
      </c>
    </row>
    <row r="8922" spans="1:11" x14ac:dyDescent="0.2">
      <c r="A8922" s="2">
        <v>2232</v>
      </c>
      <c r="B8922" s="2">
        <v>17</v>
      </c>
      <c r="C8922" s="2">
        <v>75619257</v>
      </c>
      <c r="D8922" s="2">
        <v>76596287</v>
      </c>
      <c r="E8922" s="2">
        <v>4</v>
      </c>
      <c r="F8922" s="2" t="s">
        <v>10086</v>
      </c>
      <c r="H8922" s="3">
        <v>4.0000000000000002E-4</v>
      </c>
      <c r="K8922" s="2" t="s">
        <v>10085</v>
      </c>
    </row>
    <row r="8923" spans="1:11" x14ac:dyDescent="0.2">
      <c r="A8923" s="2">
        <v>2233</v>
      </c>
      <c r="B8923" s="2">
        <v>17</v>
      </c>
      <c r="C8923" s="2">
        <v>76596288</v>
      </c>
      <c r="D8923" s="2">
        <v>77412786</v>
      </c>
      <c r="E8923" s="2">
        <v>1</v>
      </c>
      <c r="F8923" s="2" t="s">
        <v>10086</v>
      </c>
      <c r="H8923" s="2">
        <v>1.52E-2</v>
      </c>
      <c r="K8923" s="2" t="s">
        <v>10088</v>
      </c>
    </row>
    <row r="8924" spans="1:11" x14ac:dyDescent="0.2">
      <c r="A8924" s="2">
        <v>2233</v>
      </c>
      <c r="B8924" s="2">
        <v>17</v>
      </c>
      <c r="C8924" s="2">
        <v>76596288</v>
      </c>
      <c r="D8924" s="2">
        <v>77412786</v>
      </c>
      <c r="E8924" s="2">
        <v>2</v>
      </c>
      <c r="F8924" s="2" t="s">
        <v>10086</v>
      </c>
      <c r="H8924" s="2">
        <v>1.2999999999999999E-3</v>
      </c>
      <c r="K8924" s="2" t="s">
        <v>10085</v>
      </c>
    </row>
    <row r="8925" spans="1:11" x14ac:dyDescent="0.2">
      <c r="A8925" s="2">
        <v>2233</v>
      </c>
      <c r="B8925" s="2">
        <v>17</v>
      </c>
      <c r="C8925" s="2">
        <v>76596288</v>
      </c>
      <c r="D8925" s="2">
        <v>77412786</v>
      </c>
      <c r="E8925" s="2">
        <v>3</v>
      </c>
      <c r="F8925" s="2" t="s">
        <v>10086</v>
      </c>
      <c r="H8925" s="3">
        <v>8.9999999999999998E-4</v>
      </c>
      <c r="K8925" s="2" t="s">
        <v>10089</v>
      </c>
    </row>
    <row r="8926" spans="1:11" x14ac:dyDescent="0.2">
      <c r="A8926" s="2">
        <v>2233</v>
      </c>
      <c r="B8926" s="2">
        <v>17</v>
      </c>
      <c r="C8926" s="2">
        <v>76596288</v>
      </c>
      <c r="D8926" s="2">
        <v>77412786</v>
      </c>
      <c r="E8926" s="2">
        <v>4</v>
      </c>
      <c r="F8926" s="2" t="s">
        <v>10086</v>
      </c>
      <c r="H8926" s="3">
        <v>5.0000000000000001E-4</v>
      </c>
      <c r="K8926" s="2" t="s">
        <v>10087</v>
      </c>
    </row>
    <row r="8927" spans="1:11" x14ac:dyDescent="0.2">
      <c r="A8927" s="2">
        <v>2234</v>
      </c>
      <c r="B8927" s="2">
        <v>17</v>
      </c>
      <c r="C8927" s="2">
        <v>77412787</v>
      </c>
      <c r="D8927" s="2">
        <v>78438332</v>
      </c>
      <c r="E8927" s="2">
        <v>1</v>
      </c>
      <c r="F8927" s="2" t="s">
        <v>10086</v>
      </c>
      <c r="H8927" s="2">
        <v>1.7899999999999999E-2</v>
      </c>
      <c r="K8927" s="2" t="s">
        <v>10085</v>
      </c>
    </row>
    <row r="8928" spans="1:11" x14ac:dyDescent="0.2">
      <c r="A8928" s="2">
        <v>2234</v>
      </c>
      <c r="B8928" s="2">
        <v>17</v>
      </c>
      <c r="C8928" s="2">
        <v>77412787</v>
      </c>
      <c r="D8928" s="2">
        <v>78438332</v>
      </c>
      <c r="E8928" s="2">
        <v>2</v>
      </c>
      <c r="F8928" s="2" t="s">
        <v>10086</v>
      </c>
      <c r="H8928" s="2">
        <v>1.4E-3</v>
      </c>
      <c r="K8928" s="2" t="s">
        <v>10089</v>
      </c>
    </row>
    <row r="8929" spans="1:11" x14ac:dyDescent="0.2">
      <c r="A8929" s="2">
        <v>2234</v>
      </c>
      <c r="B8929" s="2">
        <v>17</v>
      </c>
      <c r="C8929" s="2">
        <v>77412787</v>
      </c>
      <c r="D8929" s="2">
        <v>78438332</v>
      </c>
      <c r="E8929" s="2">
        <v>3</v>
      </c>
      <c r="F8929" s="2" t="s">
        <v>10086</v>
      </c>
      <c r="H8929" s="2">
        <v>1.1999999999999999E-3</v>
      </c>
      <c r="K8929" s="2" t="s">
        <v>10087</v>
      </c>
    </row>
    <row r="8930" spans="1:11" x14ac:dyDescent="0.2">
      <c r="A8930" s="2">
        <v>2234</v>
      </c>
      <c r="B8930" s="2">
        <v>17</v>
      </c>
      <c r="C8930" s="2">
        <v>77412787</v>
      </c>
      <c r="D8930" s="2">
        <v>78438332</v>
      </c>
      <c r="E8930" s="2">
        <v>4</v>
      </c>
      <c r="F8930" s="2" t="s">
        <v>10086</v>
      </c>
      <c r="H8930" s="3">
        <v>5.0000000000000001E-4</v>
      </c>
      <c r="K8930" s="2" t="s">
        <v>10088</v>
      </c>
    </row>
    <row r="8931" spans="1:11" x14ac:dyDescent="0.2">
      <c r="A8931" s="2">
        <v>2235</v>
      </c>
      <c r="B8931" s="2">
        <v>17</v>
      </c>
      <c r="C8931" s="2">
        <v>78438333</v>
      </c>
      <c r="D8931" s="2">
        <v>79333774</v>
      </c>
      <c r="E8931" s="2">
        <v>1</v>
      </c>
      <c r="F8931" s="2" t="s">
        <v>10086</v>
      </c>
      <c r="H8931" s="2">
        <v>1.4E-3</v>
      </c>
      <c r="K8931" s="2" t="s">
        <v>10089</v>
      </c>
    </row>
    <row r="8932" spans="1:11" x14ac:dyDescent="0.2">
      <c r="A8932" s="2">
        <v>2235</v>
      </c>
      <c r="B8932" s="2">
        <v>17</v>
      </c>
      <c r="C8932" s="2">
        <v>78438333</v>
      </c>
      <c r="D8932" s="2">
        <v>79333774</v>
      </c>
      <c r="E8932" s="2">
        <v>2</v>
      </c>
      <c r="F8932" s="2" t="s">
        <v>10086</v>
      </c>
      <c r="H8932" s="2">
        <v>1.6999999999999999E-3</v>
      </c>
      <c r="K8932" s="2" t="s">
        <v>10088</v>
      </c>
    </row>
    <row r="8933" spans="1:11" x14ac:dyDescent="0.2">
      <c r="A8933" s="2">
        <v>2235</v>
      </c>
      <c r="B8933" s="2">
        <v>17</v>
      </c>
      <c r="C8933" s="2">
        <v>78438333</v>
      </c>
      <c r="D8933" s="2">
        <v>79333774</v>
      </c>
      <c r="E8933" s="2">
        <v>3</v>
      </c>
      <c r="F8933" s="2" t="s">
        <v>10086</v>
      </c>
      <c r="H8933" s="3">
        <v>6.9999999999999999E-4</v>
      </c>
      <c r="K8933" s="2" t="s">
        <v>10085</v>
      </c>
    </row>
    <row r="8934" spans="1:11" x14ac:dyDescent="0.2">
      <c r="A8934" s="2">
        <v>2235</v>
      </c>
      <c r="B8934" s="2">
        <v>17</v>
      </c>
      <c r="C8934" s="2">
        <v>78438333</v>
      </c>
      <c r="D8934" s="2">
        <v>79333774</v>
      </c>
      <c r="E8934" s="2">
        <v>4</v>
      </c>
      <c r="F8934" s="2" t="s">
        <v>10086</v>
      </c>
      <c r="H8934" s="3">
        <v>4.0000000000000002E-4</v>
      </c>
      <c r="K8934" s="2" t="s">
        <v>10087</v>
      </c>
    </row>
    <row r="8935" spans="1:11" x14ac:dyDescent="0.2">
      <c r="A8935" s="2">
        <v>2236</v>
      </c>
      <c r="B8935" s="2">
        <v>17</v>
      </c>
      <c r="C8935" s="2">
        <v>79333775</v>
      </c>
      <c r="D8935" s="2">
        <v>80459149</v>
      </c>
      <c r="E8935" s="2">
        <v>1</v>
      </c>
      <c r="F8935" s="2" t="s">
        <v>10086</v>
      </c>
      <c r="H8935" s="2">
        <v>1.4E-3</v>
      </c>
      <c r="K8935" s="2" t="s">
        <v>10087</v>
      </c>
    </row>
    <row r="8936" spans="1:11" x14ac:dyDescent="0.2">
      <c r="A8936" s="2">
        <v>2236</v>
      </c>
      <c r="B8936" s="2">
        <v>17</v>
      </c>
      <c r="C8936" s="2">
        <v>79333775</v>
      </c>
      <c r="D8936" s="2">
        <v>80459149</v>
      </c>
      <c r="E8936" s="2">
        <v>2</v>
      </c>
      <c r="F8936" s="2" t="s">
        <v>10086</v>
      </c>
      <c r="H8936" s="2">
        <v>1.2999999999999999E-3</v>
      </c>
      <c r="K8936" s="2" t="s">
        <v>10085</v>
      </c>
    </row>
    <row r="8937" spans="1:11" x14ac:dyDescent="0.2">
      <c r="A8937" s="2">
        <v>2236</v>
      </c>
      <c r="B8937" s="2">
        <v>17</v>
      </c>
      <c r="C8937" s="2">
        <v>79333775</v>
      </c>
      <c r="D8937" s="2">
        <v>80459149</v>
      </c>
      <c r="E8937" s="2">
        <v>3</v>
      </c>
      <c r="F8937" s="2" t="s">
        <v>10086</v>
      </c>
      <c r="H8937" s="3">
        <v>8.9999999999999998E-4</v>
      </c>
      <c r="K8937" s="2" t="s">
        <v>10089</v>
      </c>
    </row>
    <row r="8938" spans="1:11" x14ac:dyDescent="0.2">
      <c r="A8938" s="2">
        <v>2236</v>
      </c>
      <c r="B8938" s="2">
        <v>17</v>
      </c>
      <c r="C8938" s="2">
        <v>79333775</v>
      </c>
      <c r="D8938" s="2">
        <v>80459149</v>
      </c>
      <c r="E8938" s="2">
        <v>4</v>
      </c>
      <c r="F8938" s="2" t="s">
        <v>10086</v>
      </c>
      <c r="H8938" s="3">
        <v>6.9999999999999999E-4</v>
      </c>
      <c r="K8938" s="2" t="s">
        <v>12324</v>
      </c>
    </row>
    <row r="8939" spans="1:11" x14ac:dyDescent="0.2">
      <c r="A8939" s="2">
        <v>2237</v>
      </c>
      <c r="B8939" s="2">
        <v>17</v>
      </c>
      <c r="C8939" s="2">
        <v>80459150</v>
      </c>
      <c r="D8939" s="2">
        <v>81192460</v>
      </c>
      <c r="E8939" s="2">
        <v>1</v>
      </c>
      <c r="F8939" s="2" t="s">
        <v>10086</v>
      </c>
      <c r="H8939" s="2">
        <v>4.58E-2</v>
      </c>
      <c r="K8939" s="2" t="s">
        <v>10087</v>
      </c>
    </row>
    <row r="8940" spans="1:11" x14ac:dyDescent="0.2">
      <c r="A8940" s="2">
        <v>2237</v>
      </c>
      <c r="B8940" s="2">
        <v>17</v>
      </c>
      <c r="C8940" s="2">
        <v>80459150</v>
      </c>
      <c r="D8940" s="2">
        <v>81192460</v>
      </c>
      <c r="E8940" s="2">
        <v>2</v>
      </c>
      <c r="F8940" s="2" t="s">
        <v>10086</v>
      </c>
      <c r="H8940" s="3">
        <v>8.0000000000000004E-4</v>
      </c>
      <c r="K8940" s="2" t="s">
        <v>10089</v>
      </c>
    </row>
    <row r="8941" spans="1:11" x14ac:dyDescent="0.2">
      <c r="A8941" s="2">
        <v>2237</v>
      </c>
      <c r="B8941" s="2">
        <v>17</v>
      </c>
      <c r="C8941" s="2">
        <v>80459150</v>
      </c>
      <c r="D8941" s="2">
        <v>81192460</v>
      </c>
      <c r="E8941" s="2">
        <v>3</v>
      </c>
      <c r="F8941" s="2" t="s">
        <v>10086</v>
      </c>
      <c r="H8941" s="3">
        <v>6.9999999999999999E-4</v>
      </c>
      <c r="K8941" s="2" t="s">
        <v>10085</v>
      </c>
    </row>
    <row r="8942" spans="1:11" x14ac:dyDescent="0.2">
      <c r="A8942" s="2">
        <v>2237</v>
      </c>
      <c r="B8942" s="2">
        <v>17</v>
      </c>
      <c r="C8942" s="2">
        <v>80459150</v>
      </c>
      <c r="D8942" s="2">
        <v>81192460</v>
      </c>
      <c r="E8942" s="2">
        <v>4</v>
      </c>
      <c r="F8942" s="2" t="s">
        <v>10086</v>
      </c>
      <c r="H8942" s="3">
        <v>5.0000000000000001E-4</v>
      </c>
      <c r="K8942" s="2" t="s">
        <v>10088</v>
      </c>
    </row>
    <row r="8943" spans="1:11" x14ac:dyDescent="0.2">
      <c r="A8943" s="2">
        <v>2238</v>
      </c>
      <c r="B8943" s="2">
        <v>18</v>
      </c>
      <c r="C8943" s="2">
        <v>10719</v>
      </c>
      <c r="D8943" s="2">
        <v>848350</v>
      </c>
      <c r="E8943" s="2">
        <v>1</v>
      </c>
      <c r="F8943" s="2" t="s">
        <v>10086</v>
      </c>
      <c r="H8943" s="2">
        <v>3.3999999999999998E-3</v>
      </c>
      <c r="K8943" s="2" t="s">
        <v>10088</v>
      </c>
    </row>
    <row r="8944" spans="1:11" x14ac:dyDescent="0.2">
      <c r="A8944" s="2">
        <v>2238</v>
      </c>
      <c r="B8944" s="2">
        <v>18</v>
      </c>
      <c r="C8944" s="2">
        <v>10719</v>
      </c>
      <c r="D8944" s="2">
        <v>848350</v>
      </c>
      <c r="E8944" s="2">
        <v>2</v>
      </c>
      <c r="F8944" s="2" t="s">
        <v>10086</v>
      </c>
      <c r="H8944" s="3">
        <v>8.0000000000000004E-4</v>
      </c>
      <c r="K8944" s="2" t="s">
        <v>10089</v>
      </c>
    </row>
    <row r="8945" spans="1:11" x14ac:dyDescent="0.2">
      <c r="A8945" s="2">
        <v>2238</v>
      </c>
      <c r="B8945" s="2">
        <v>18</v>
      </c>
      <c r="C8945" s="2">
        <v>10719</v>
      </c>
      <c r="D8945" s="2">
        <v>848350</v>
      </c>
      <c r="E8945" s="2">
        <v>3</v>
      </c>
      <c r="F8945" s="2" t="s">
        <v>10086</v>
      </c>
      <c r="H8945" s="3">
        <v>5.9999999999999995E-4</v>
      </c>
      <c r="K8945" s="2" t="s">
        <v>10087</v>
      </c>
    </row>
    <row r="8946" spans="1:11" x14ac:dyDescent="0.2">
      <c r="A8946" s="2">
        <v>2238</v>
      </c>
      <c r="B8946" s="2">
        <v>18</v>
      </c>
      <c r="C8946" s="2">
        <v>10719</v>
      </c>
      <c r="D8946" s="2">
        <v>848350</v>
      </c>
      <c r="E8946" s="2">
        <v>4</v>
      </c>
      <c r="F8946" s="2" t="s">
        <v>10086</v>
      </c>
      <c r="H8946" s="3">
        <v>2.9999999999999997E-4</v>
      </c>
      <c r="K8946" s="2" t="s">
        <v>10085</v>
      </c>
    </row>
    <row r="8947" spans="1:11" x14ac:dyDescent="0.2">
      <c r="A8947" s="2">
        <v>2239</v>
      </c>
      <c r="B8947" s="2">
        <v>18</v>
      </c>
      <c r="C8947" s="2">
        <v>848351</v>
      </c>
      <c r="D8947" s="2">
        <v>1940211</v>
      </c>
      <c r="E8947" s="2">
        <v>1</v>
      </c>
      <c r="F8947" s="2" t="s">
        <v>10086</v>
      </c>
      <c r="H8947" s="2">
        <v>4.4999999999999997E-3</v>
      </c>
      <c r="K8947" s="2" t="s">
        <v>10085</v>
      </c>
    </row>
    <row r="8948" spans="1:11" x14ac:dyDescent="0.2">
      <c r="A8948" s="2">
        <v>2239</v>
      </c>
      <c r="B8948" s="2">
        <v>18</v>
      </c>
      <c r="C8948" s="2">
        <v>848351</v>
      </c>
      <c r="D8948" s="2">
        <v>1940211</v>
      </c>
      <c r="E8948" s="2">
        <v>2</v>
      </c>
      <c r="F8948" s="2" t="s">
        <v>10086</v>
      </c>
      <c r="H8948" s="2">
        <v>1.2999999999999999E-3</v>
      </c>
      <c r="K8948" s="2" t="s">
        <v>10087</v>
      </c>
    </row>
    <row r="8949" spans="1:11" x14ac:dyDescent="0.2">
      <c r="A8949" s="2">
        <v>2239</v>
      </c>
      <c r="B8949" s="2">
        <v>18</v>
      </c>
      <c r="C8949" s="2">
        <v>848351</v>
      </c>
      <c r="D8949" s="2">
        <v>1940211</v>
      </c>
      <c r="E8949" s="2">
        <v>3</v>
      </c>
      <c r="F8949" s="2" t="s">
        <v>10086</v>
      </c>
      <c r="H8949" s="2">
        <v>1.4E-3</v>
      </c>
      <c r="K8949" s="2" t="s">
        <v>10089</v>
      </c>
    </row>
    <row r="8950" spans="1:11" x14ac:dyDescent="0.2">
      <c r="A8950" s="2">
        <v>2239</v>
      </c>
      <c r="B8950" s="2">
        <v>18</v>
      </c>
      <c r="C8950" s="2">
        <v>848351</v>
      </c>
      <c r="D8950" s="2">
        <v>1940211</v>
      </c>
      <c r="E8950" s="2">
        <v>4</v>
      </c>
      <c r="F8950" s="2" t="s">
        <v>10086</v>
      </c>
      <c r="H8950" s="3">
        <v>5.0000000000000001E-4</v>
      </c>
      <c r="K8950" s="2" t="s">
        <v>10088</v>
      </c>
    </row>
    <row r="8951" spans="1:11" x14ac:dyDescent="0.2">
      <c r="A8951" s="2">
        <v>2240</v>
      </c>
      <c r="B8951" s="2">
        <v>18</v>
      </c>
      <c r="C8951" s="2">
        <v>1940212</v>
      </c>
      <c r="D8951" s="2">
        <v>2839842</v>
      </c>
      <c r="E8951" s="2">
        <v>1</v>
      </c>
      <c r="F8951" s="2" t="s">
        <v>10086</v>
      </c>
      <c r="H8951" s="2">
        <v>1.5E-3</v>
      </c>
      <c r="K8951" s="2" t="s">
        <v>10088</v>
      </c>
    </row>
    <row r="8952" spans="1:11" x14ac:dyDescent="0.2">
      <c r="A8952" s="2">
        <v>2240</v>
      </c>
      <c r="B8952" s="2">
        <v>18</v>
      </c>
      <c r="C8952" s="2">
        <v>1940212</v>
      </c>
      <c r="D8952" s="2">
        <v>2839842</v>
      </c>
      <c r="E8952" s="2">
        <v>2</v>
      </c>
      <c r="F8952" s="2" t="s">
        <v>10086</v>
      </c>
      <c r="H8952" s="2">
        <v>2E-3</v>
      </c>
      <c r="K8952" s="2" t="s">
        <v>10087</v>
      </c>
    </row>
    <row r="8953" spans="1:11" x14ac:dyDescent="0.2">
      <c r="A8953" s="2">
        <v>2240</v>
      </c>
      <c r="B8953" s="2">
        <v>18</v>
      </c>
      <c r="C8953" s="2">
        <v>1940212</v>
      </c>
      <c r="D8953" s="2">
        <v>2839842</v>
      </c>
      <c r="E8953" s="2">
        <v>3</v>
      </c>
      <c r="F8953" s="2" t="s">
        <v>10086</v>
      </c>
      <c r="H8953" s="2">
        <v>1.1000000000000001E-3</v>
      </c>
      <c r="K8953" s="2" t="s">
        <v>10085</v>
      </c>
    </row>
    <row r="8954" spans="1:11" x14ac:dyDescent="0.2">
      <c r="A8954" s="2">
        <v>2240</v>
      </c>
      <c r="B8954" s="2">
        <v>18</v>
      </c>
      <c r="C8954" s="2">
        <v>1940212</v>
      </c>
      <c r="D8954" s="2">
        <v>2839842</v>
      </c>
      <c r="E8954" s="2">
        <v>4</v>
      </c>
      <c r="F8954" s="2" t="s">
        <v>10086</v>
      </c>
      <c r="H8954" s="3">
        <v>5.0000000000000001E-4</v>
      </c>
      <c r="K8954" s="2" t="s">
        <v>10089</v>
      </c>
    </row>
    <row r="8955" spans="1:11" x14ac:dyDescent="0.2">
      <c r="A8955" s="2">
        <v>2241</v>
      </c>
      <c r="B8955" s="2">
        <v>18</v>
      </c>
      <c r="C8955" s="2">
        <v>2839843</v>
      </c>
      <c r="D8955" s="2">
        <v>3722828</v>
      </c>
      <c r="E8955" s="2">
        <v>1</v>
      </c>
      <c r="F8955" s="2" t="s">
        <v>10086</v>
      </c>
      <c r="H8955" s="2">
        <v>8.3000000000000001E-3</v>
      </c>
      <c r="K8955" s="2" t="s">
        <v>10088</v>
      </c>
    </row>
    <row r="8956" spans="1:11" x14ac:dyDescent="0.2">
      <c r="A8956" s="2">
        <v>2241</v>
      </c>
      <c r="B8956" s="2">
        <v>18</v>
      </c>
      <c r="C8956" s="2">
        <v>2839843</v>
      </c>
      <c r="D8956" s="2">
        <v>3722828</v>
      </c>
      <c r="E8956" s="2">
        <v>2</v>
      </c>
      <c r="F8956" s="2" t="s">
        <v>10086</v>
      </c>
      <c r="H8956" s="2">
        <v>1.1000000000000001E-3</v>
      </c>
      <c r="K8956" s="2" t="s">
        <v>10089</v>
      </c>
    </row>
    <row r="8957" spans="1:11" x14ac:dyDescent="0.2">
      <c r="A8957" s="2">
        <v>2241</v>
      </c>
      <c r="B8957" s="2">
        <v>18</v>
      </c>
      <c r="C8957" s="2">
        <v>2839843</v>
      </c>
      <c r="D8957" s="2">
        <v>3722828</v>
      </c>
      <c r="E8957" s="2">
        <v>3</v>
      </c>
      <c r="F8957" s="2" t="s">
        <v>10086</v>
      </c>
      <c r="H8957" s="2">
        <v>1E-3</v>
      </c>
      <c r="K8957" s="2" t="s">
        <v>10087</v>
      </c>
    </row>
    <row r="8958" spans="1:11" x14ac:dyDescent="0.2">
      <c r="A8958" s="2">
        <v>2241</v>
      </c>
      <c r="B8958" s="2">
        <v>18</v>
      </c>
      <c r="C8958" s="2">
        <v>2839843</v>
      </c>
      <c r="D8958" s="2">
        <v>3722828</v>
      </c>
      <c r="E8958" s="2">
        <v>4</v>
      </c>
      <c r="F8958" s="2" t="s">
        <v>10086</v>
      </c>
      <c r="H8958" s="3">
        <v>5.0000000000000001E-4</v>
      </c>
      <c r="K8958" s="2" t="s">
        <v>10085</v>
      </c>
    </row>
    <row r="8959" spans="1:11" x14ac:dyDescent="0.2">
      <c r="A8959" s="2">
        <v>2242</v>
      </c>
      <c r="B8959" s="2">
        <v>18</v>
      </c>
      <c r="C8959" s="2">
        <v>3722829</v>
      </c>
      <c r="D8959" s="2">
        <v>4603961</v>
      </c>
      <c r="E8959" s="2">
        <v>1</v>
      </c>
      <c r="F8959" s="2" t="s">
        <v>10086</v>
      </c>
      <c r="H8959" s="2">
        <v>1.1999999999999999E-3</v>
      </c>
      <c r="K8959" s="2" t="s">
        <v>10087</v>
      </c>
    </row>
    <row r="8960" spans="1:11" x14ac:dyDescent="0.2">
      <c r="A8960" s="2">
        <v>2242</v>
      </c>
      <c r="B8960" s="2">
        <v>18</v>
      </c>
      <c r="C8960" s="2">
        <v>3722829</v>
      </c>
      <c r="D8960" s="2">
        <v>4603961</v>
      </c>
      <c r="E8960" s="2">
        <v>2</v>
      </c>
      <c r="F8960" s="2" t="s">
        <v>10086</v>
      </c>
      <c r="H8960" s="2">
        <v>1.1000000000000001E-3</v>
      </c>
      <c r="K8960" s="2" t="s">
        <v>10085</v>
      </c>
    </row>
    <row r="8961" spans="1:11" x14ac:dyDescent="0.2">
      <c r="A8961" s="2">
        <v>2242</v>
      </c>
      <c r="B8961" s="2">
        <v>18</v>
      </c>
      <c r="C8961" s="2">
        <v>3722829</v>
      </c>
      <c r="D8961" s="2">
        <v>4603961</v>
      </c>
      <c r="E8961" s="2">
        <v>3</v>
      </c>
      <c r="F8961" s="2" t="s">
        <v>10086</v>
      </c>
      <c r="H8961" s="3">
        <v>8.9999999999999998E-4</v>
      </c>
      <c r="K8961" s="2" t="s">
        <v>10089</v>
      </c>
    </row>
    <row r="8962" spans="1:11" x14ac:dyDescent="0.2">
      <c r="A8962" s="2">
        <v>2242</v>
      </c>
      <c r="B8962" s="2">
        <v>18</v>
      </c>
      <c r="C8962" s="2">
        <v>3722829</v>
      </c>
      <c r="D8962" s="2">
        <v>4603961</v>
      </c>
      <c r="E8962" s="2">
        <v>4</v>
      </c>
      <c r="F8962" s="2" t="s">
        <v>10086</v>
      </c>
      <c r="H8962" s="3">
        <v>5.0000000000000001E-4</v>
      </c>
      <c r="K8962" s="2" t="s">
        <v>10088</v>
      </c>
    </row>
    <row r="8963" spans="1:11" x14ac:dyDescent="0.2">
      <c r="A8963" s="2">
        <v>2243</v>
      </c>
      <c r="B8963" s="2">
        <v>18</v>
      </c>
      <c r="C8963" s="2">
        <v>4603962</v>
      </c>
      <c r="D8963" s="2">
        <v>5575812</v>
      </c>
      <c r="E8963" s="2">
        <v>1</v>
      </c>
      <c r="F8963" s="2" t="s">
        <v>10086</v>
      </c>
      <c r="H8963" s="2">
        <v>1.9E-3</v>
      </c>
      <c r="K8963" s="2" t="s">
        <v>10089</v>
      </c>
    </row>
    <row r="8964" spans="1:11" x14ac:dyDescent="0.2">
      <c r="A8964" s="2">
        <v>2243</v>
      </c>
      <c r="B8964" s="2">
        <v>18</v>
      </c>
      <c r="C8964" s="2">
        <v>4603962</v>
      </c>
      <c r="D8964" s="2">
        <v>5575812</v>
      </c>
      <c r="E8964" s="2">
        <v>2</v>
      </c>
      <c r="F8964" s="2" t="s">
        <v>10086</v>
      </c>
      <c r="H8964" s="2">
        <v>2.0999999999999999E-3</v>
      </c>
      <c r="K8964" s="2" t="s">
        <v>10087</v>
      </c>
    </row>
    <row r="8965" spans="1:11" x14ac:dyDescent="0.2">
      <c r="A8965" s="2">
        <v>2243</v>
      </c>
      <c r="B8965" s="2">
        <v>18</v>
      </c>
      <c r="C8965" s="2">
        <v>4603962</v>
      </c>
      <c r="D8965" s="2">
        <v>5575812</v>
      </c>
      <c r="E8965" s="2">
        <v>3</v>
      </c>
      <c r="F8965" s="2" t="s">
        <v>10086</v>
      </c>
      <c r="H8965" s="2">
        <v>1.1999999999999999E-3</v>
      </c>
      <c r="K8965" s="2" t="s">
        <v>10088</v>
      </c>
    </row>
    <row r="8966" spans="1:11" x14ac:dyDescent="0.2">
      <c r="A8966" s="2">
        <v>2243</v>
      </c>
      <c r="B8966" s="2">
        <v>18</v>
      </c>
      <c r="C8966" s="2">
        <v>4603962</v>
      </c>
      <c r="D8966" s="2">
        <v>5575812</v>
      </c>
      <c r="E8966" s="2">
        <v>4</v>
      </c>
      <c r="F8966" s="2" t="s">
        <v>10086</v>
      </c>
      <c r="H8966" s="3">
        <v>4.0000000000000002E-4</v>
      </c>
      <c r="K8966" s="2" t="s">
        <v>10085</v>
      </c>
    </row>
    <row r="8967" spans="1:11" x14ac:dyDescent="0.2">
      <c r="A8967" s="2">
        <v>2244</v>
      </c>
      <c r="B8967" s="2">
        <v>18</v>
      </c>
      <c r="C8967" s="2">
        <v>5575813</v>
      </c>
      <c r="D8967" s="2">
        <v>6756496</v>
      </c>
      <c r="E8967" s="2">
        <v>1</v>
      </c>
      <c r="F8967" s="2" t="s">
        <v>10086</v>
      </c>
      <c r="H8967" s="2">
        <v>2.8999999999999998E-3</v>
      </c>
      <c r="K8967" s="2" t="s">
        <v>10085</v>
      </c>
    </row>
    <row r="8968" spans="1:11" x14ac:dyDescent="0.2">
      <c r="A8968" s="2">
        <v>2244</v>
      </c>
      <c r="B8968" s="2">
        <v>18</v>
      </c>
      <c r="C8968" s="2">
        <v>5575813</v>
      </c>
      <c r="D8968" s="2">
        <v>6756496</v>
      </c>
      <c r="E8968" s="2">
        <v>2</v>
      </c>
      <c r="F8968" s="2" t="s">
        <v>10086</v>
      </c>
      <c r="H8968" s="2">
        <v>1.6000000000000001E-3</v>
      </c>
      <c r="K8968" s="2" t="s">
        <v>10087</v>
      </c>
    </row>
    <row r="8969" spans="1:11" x14ac:dyDescent="0.2">
      <c r="A8969" s="2">
        <v>2244</v>
      </c>
      <c r="B8969" s="2">
        <v>18</v>
      </c>
      <c r="C8969" s="2">
        <v>5575813</v>
      </c>
      <c r="D8969" s="2">
        <v>6756496</v>
      </c>
      <c r="E8969" s="2">
        <v>3</v>
      </c>
      <c r="F8969" s="2" t="s">
        <v>10086</v>
      </c>
      <c r="H8969" s="2">
        <v>1.4E-3</v>
      </c>
      <c r="K8969" s="2" t="s">
        <v>10089</v>
      </c>
    </row>
    <row r="8970" spans="1:11" x14ac:dyDescent="0.2">
      <c r="A8970" s="2">
        <v>2244</v>
      </c>
      <c r="B8970" s="2">
        <v>18</v>
      </c>
      <c r="C8970" s="2">
        <v>5575813</v>
      </c>
      <c r="D8970" s="2">
        <v>6756496</v>
      </c>
      <c r="E8970" s="2">
        <v>4</v>
      </c>
      <c r="F8970" s="2" t="s">
        <v>10086</v>
      </c>
      <c r="H8970" s="3">
        <v>6.9999999999999999E-4</v>
      </c>
      <c r="K8970" s="2" t="s">
        <v>10088</v>
      </c>
    </row>
    <row r="8971" spans="1:11" x14ac:dyDescent="0.2">
      <c r="A8971" s="2">
        <v>2245</v>
      </c>
      <c r="B8971" s="2">
        <v>18</v>
      </c>
      <c r="C8971" s="2">
        <v>6756497</v>
      </c>
      <c r="D8971" s="2">
        <v>7862479</v>
      </c>
      <c r="E8971" s="2">
        <v>1</v>
      </c>
      <c r="F8971" s="2" t="s">
        <v>10086</v>
      </c>
      <c r="H8971" s="2">
        <v>2.2000000000000001E-3</v>
      </c>
      <c r="K8971" s="2" t="s">
        <v>10089</v>
      </c>
    </row>
    <row r="8972" spans="1:11" x14ac:dyDescent="0.2">
      <c r="A8972" s="2">
        <v>2245</v>
      </c>
      <c r="B8972" s="2">
        <v>18</v>
      </c>
      <c r="C8972" s="2">
        <v>6756497</v>
      </c>
      <c r="D8972" s="2">
        <v>7862479</v>
      </c>
      <c r="E8972" s="2">
        <v>2</v>
      </c>
      <c r="F8972" s="2" t="s">
        <v>10086</v>
      </c>
      <c r="H8972" s="2">
        <v>2.5999999999999999E-3</v>
      </c>
      <c r="K8972" s="2" t="s">
        <v>10085</v>
      </c>
    </row>
    <row r="8973" spans="1:11" x14ac:dyDescent="0.2">
      <c r="A8973" s="2">
        <v>2245</v>
      </c>
      <c r="B8973" s="2">
        <v>18</v>
      </c>
      <c r="C8973" s="2">
        <v>6756497</v>
      </c>
      <c r="D8973" s="2">
        <v>7862479</v>
      </c>
      <c r="E8973" s="2">
        <v>3</v>
      </c>
      <c r="F8973" s="2" t="s">
        <v>10086</v>
      </c>
      <c r="H8973" s="2">
        <v>1.2999999999999999E-3</v>
      </c>
      <c r="K8973" s="2" t="s">
        <v>10088</v>
      </c>
    </row>
    <row r="8974" spans="1:11" x14ac:dyDescent="0.2">
      <c r="A8974" s="2">
        <v>2245</v>
      </c>
      <c r="B8974" s="2">
        <v>18</v>
      </c>
      <c r="C8974" s="2">
        <v>6756497</v>
      </c>
      <c r="D8974" s="2">
        <v>7862479</v>
      </c>
      <c r="E8974" s="2">
        <v>4</v>
      </c>
      <c r="F8974" s="2" t="s">
        <v>10086</v>
      </c>
      <c r="H8974" s="3">
        <v>5.9999999999999995E-4</v>
      </c>
      <c r="K8974" s="2" t="s">
        <v>10087</v>
      </c>
    </row>
    <row r="8975" spans="1:11" x14ac:dyDescent="0.2">
      <c r="A8975" s="2">
        <v>2246</v>
      </c>
      <c r="B8975" s="2">
        <v>18</v>
      </c>
      <c r="C8975" s="2">
        <v>7862480</v>
      </c>
      <c r="D8975" s="2">
        <v>8788524</v>
      </c>
      <c r="E8975" s="2">
        <v>1</v>
      </c>
      <c r="F8975" s="2" t="s">
        <v>10086</v>
      </c>
      <c r="H8975" s="2">
        <v>5.7000000000000002E-3</v>
      </c>
      <c r="K8975" s="2" t="s">
        <v>10085</v>
      </c>
    </row>
    <row r="8976" spans="1:11" x14ac:dyDescent="0.2">
      <c r="A8976" s="2">
        <v>2246</v>
      </c>
      <c r="B8976" s="2">
        <v>18</v>
      </c>
      <c r="C8976" s="2">
        <v>7862480</v>
      </c>
      <c r="D8976" s="2">
        <v>8788524</v>
      </c>
      <c r="E8976" s="2">
        <v>2</v>
      </c>
      <c r="F8976" s="2" t="s">
        <v>10086</v>
      </c>
      <c r="H8976" s="2">
        <v>1.6999999999999999E-3</v>
      </c>
      <c r="K8976" s="2" t="s">
        <v>10089</v>
      </c>
    </row>
    <row r="8977" spans="1:11" x14ac:dyDescent="0.2">
      <c r="A8977" s="2">
        <v>2246</v>
      </c>
      <c r="B8977" s="2">
        <v>18</v>
      </c>
      <c r="C8977" s="2">
        <v>7862480</v>
      </c>
      <c r="D8977" s="2">
        <v>8788524</v>
      </c>
      <c r="E8977" s="2">
        <v>3</v>
      </c>
      <c r="F8977" s="2" t="s">
        <v>10086</v>
      </c>
      <c r="H8977" s="2">
        <v>1.6000000000000001E-3</v>
      </c>
      <c r="K8977" s="2" t="s">
        <v>10088</v>
      </c>
    </row>
    <row r="8978" spans="1:11" x14ac:dyDescent="0.2">
      <c r="A8978" s="2">
        <v>2246</v>
      </c>
      <c r="B8978" s="2">
        <v>18</v>
      </c>
      <c r="C8978" s="2">
        <v>7862480</v>
      </c>
      <c r="D8978" s="2">
        <v>8788524</v>
      </c>
      <c r="E8978" s="2">
        <v>4</v>
      </c>
      <c r="F8978" s="2" t="s">
        <v>10086</v>
      </c>
      <c r="H8978" s="3">
        <v>5.9999999999999995E-4</v>
      </c>
      <c r="K8978" s="2" t="s">
        <v>10087</v>
      </c>
    </row>
    <row r="8979" spans="1:11" x14ac:dyDescent="0.2">
      <c r="A8979" s="2">
        <v>2247</v>
      </c>
      <c r="B8979" s="2">
        <v>18</v>
      </c>
      <c r="C8979" s="2">
        <v>8788525</v>
      </c>
      <c r="D8979" s="2">
        <v>9816164</v>
      </c>
      <c r="E8979" s="2">
        <v>1</v>
      </c>
      <c r="F8979" s="2" t="s">
        <v>10086</v>
      </c>
      <c r="H8979" s="2">
        <v>9.6799999999999997E-2</v>
      </c>
      <c r="K8979" s="2" t="s">
        <v>12324</v>
      </c>
    </row>
    <row r="8980" spans="1:11" x14ac:dyDescent="0.2">
      <c r="A8980" s="2">
        <v>2247</v>
      </c>
      <c r="B8980" s="2">
        <v>18</v>
      </c>
      <c r="C8980" s="2">
        <v>8788525</v>
      </c>
      <c r="D8980" s="2">
        <v>9816164</v>
      </c>
      <c r="E8980" s="2">
        <v>2</v>
      </c>
      <c r="F8980" s="2" t="s">
        <v>10086</v>
      </c>
      <c r="H8980" s="2">
        <v>1.8E-3</v>
      </c>
      <c r="K8980" s="2" t="s">
        <v>10089</v>
      </c>
    </row>
    <row r="8981" spans="1:11" x14ac:dyDescent="0.2">
      <c r="A8981" s="2">
        <v>2247</v>
      </c>
      <c r="B8981" s="2">
        <v>18</v>
      </c>
      <c r="C8981" s="2">
        <v>8788525</v>
      </c>
      <c r="D8981" s="2">
        <v>9816164</v>
      </c>
      <c r="E8981" s="2">
        <v>3</v>
      </c>
      <c r="F8981" s="2" t="s">
        <v>10086</v>
      </c>
      <c r="H8981" s="2">
        <v>2.8999999999999998E-3</v>
      </c>
      <c r="K8981" s="2" t="s">
        <v>10088</v>
      </c>
    </row>
    <row r="8982" spans="1:11" x14ac:dyDescent="0.2">
      <c r="A8982" s="2">
        <v>2247</v>
      </c>
      <c r="B8982" s="2">
        <v>18</v>
      </c>
      <c r="C8982" s="2">
        <v>8788525</v>
      </c>
      <c r="D8982" s="2">
        <v>9816164</v>
      </c>
      <c r="E8982" s="2">
        <v>4</v>
      </c>
      <c r="F8982" s="2" t="s">
        <v>10086</v>
      </c>
      <c r="H8982" s="2">
        <v>1.1999999999999999E-3</v>
      </c>
      <c r="K8982" s="2" t="s">
        <v>10087</v>
      </c>
    </row>
    <row r="8983" spans="1:11" x14ac:dyDescent="0.2">
      <c r="A8983" s="2">
        <v>2248</v>
      </c>
      <c r="B8983" s="2">
        <v>18</v>
      </c>
      <c r="C8983" s="2">
        <v>9816165</v>
      </c>
      <c r="D8983" s="2">
        <v>10675548</v>
      </c>
      <c r="E8983" s="2">
        <v>1</v>
      </c>
      <c r="F8983" s="2" t="s">
        <v>10086</v>
      </c>
      <c r="H8983" s="2">
        <v>9.4999999999999998E-3</v>
      </c>
      <c r="K8983" s="2" t="s">
        <v>10089</v>
      </c>
    </row>
    <row r="8984" spans="1:11" x14ac:dyDescent="0.2">
      <c r="A8984" s="2">
        <v>2248</v>
      </c>
      <c r="B8984" s="2">
        <v>18</v>
      </c>
      <c r="C8984" s="2">
        <v>9816165</v>
      </c>
      <c r="D8984" s="2">
        <v>10675548</v>
      </c>
      <c r="E8984" s="2">
        <v>2</v>
      </c>
      <c r="F8984" s="2" t="s">
        <v>10086</v>
      </c>
      <c r="H8984" s="2">
        <v>1E-3</v>
      </c>
      <c r="K8984" s="2" t="s">
        <v>10085</v>
      </c>
    </row>
    <row r="8985" spans="1:11" x14ac:dyDescent="0.2">
      <c r="A8985" s="2">
        <v>2248</v>
      </c>
      <c r="B8985" s="2">
        <v>18</v>
      </c>
      <c r="C8985" s="2">
        <v>9816165</v>
      </c>
      <c r="D8985" s="2">
        <v>10675548</v>
      </c>
      <c r="E8985" s="2">
        <v>3</v>
      </c>
      <c r="F8985" s="2" t="s">
        <v>10086</v>
      </c>
      <c r="H8985" s="3">
        <v>8.0000000000000004E-4</v>
      </c>
      <c r="K8985" s="2" t="s">
        <v>10087</v>
      </c>
    </row>
    <row r="8986" spans="1:11" x14ac:dyDescent="0.2">
      <c r="A8986" s="2">
        <v>2248</v>
      </c>
      <c r="B8986" s="2">
        <v>18</v>
      </c>
      <c r="C8986" s="2">
        <v>9816165</v>
      </c>
      <c r="D8986" s="2">
        <v>10675548</v>
      </c>
      <c r="E8986" s="2">
        <v>4</v>
      </c>
      <c r="F8986" s="2" t="s">
        <v>10086</v>
      </c>
      <c r="H8986" s="3">
        <v>5.0000000000000001E-4</v>
      </c>
      <c r="K8986" s="2" t="s">
        <v>10088</v>
      </c>
    </row>
    <row r="8987" spans="1:11" x14ac:dyDescent="0.2">
      <c r="A8987" s="2">
        <v>2249</v>
      </c>
      <c r="B8987" s="2">
        <v>18</v>
      </c>
      <c r="C8987" s="2">
        <v>10675549</v>
      </c>
      <c r="D8987" s="2">
        <v>11872226</v>
      </c>
      <c r="E8987" s="2">
        <v>1</v>
      </c>
      <c r="F8987" s="2" t="s">
        <v>10086</v>
      </c>
      <c r="H8987" s="2">
        <v>2E-3</v>
      </c>
      <c r="K8987" s="2" t="s">
        <v>10089</v>
      </c>
    </row>
    <row r="8988" spans="1:11" x14ac:dyDescent="0.2">
      <c r="A8988" s="2">
        <v>2249</v>
      </c>
      <c r="B8988" s="2">
        <v>18</v>
      </c>
      <c r="C8988" s="2">
        <v>10675549</v>
      </c>
      <c r="D8988" s="2">
        <v>11872226</v>
      </c>
      <c r="E8988" s="2">
        <v>2</v>
      </c>
      <c r="F8988" s="2" t="s">
        <v>10086</v>
      </c>
      <c r="H8988" s="2">
        <v>1.8E-3</v>
      </c>
      <c r="K8988" s="2" t="s">
        <v>10088</v>
      </c>
    </row>
    <row r="8989" spans="1:11" x14ac:dyDescent="0.2">
      <c r="A8989" s="2">
        <v>2249</v>
      </c>
      <c r="B8989" s="2">
        <v>18</v>
      </c>
      <c r="C8989" s="2">
        <v>10675549</v>
      </c>
      <c r="D8989" s="2">
        <v>11872226</v>
      </c>
      <c r="E8989" s="2">
        <v>3</v>
      </c>
      <c r="F8989" s="2" t="s">
        <v>10086</v>
      </c>
      <c r="H8989" s="2">
        <v>1.4E-3</v>
      </c>
      <c r="K8989" s="2" t="s">
        <v>10087</v>
      </c>
    </row>
    <row r="8990" spans="1:11" x14ac:dyDescent="0.2">
      <c r="A8990" s="2">
        <v>2249</v>
      </c>
      <c r="B8990" s="2">
        <v>18</v>
      </c>
      <c r="C8990" s="2">
        <v>10675549</v>
      </c>
      <c r="D8990" s="2">
        <v>11872226</v>
      </c>
      <c r="E8990" s="2">
        <v>4</v>
      </c>
      <c r="F8990" s="2" t="s">
        <v>10086</v>
      </c>
      <c r="H8990" s="3">
        <v>8.0000000000000004E-4</v>
      </c>
      <c r="K8990" s="2" t="s">
        <v>10085</v>
      </c>
    </row>
    <row r="8991" spans="1:11" x14ac:dyDescent="0.2">
      <c r="A8991" s="2">
        <v>2250</v>
      </c>
      <c r="B8991" s="2">
        <v>18</v>
      </c>
      <c r="C8991" s="2">
        <v>11872227</v>
      </c>
      <c r="D8991" s="2">
        <v>12735558</v>
      </c>
      <c r="E8991" s="2">
        <v>1</v>
      </c>
      <c r="F8991" s="2" t="s">
        <v>10086</v>
      </c>
      <c r="H8991" s="2">
        <v>3.3999999999999998E-3</v>
      </c>
      <c r="K8991" s="2" t="s">
        <v>10087</v>
      </c>
    </row>
    <row r="8992" spans="1:11" x14ac:dyDescent="0.2">
      <c r="A8992" s="2">
        <v>2250</v>
      </c>
      <c r="B8992" s="2">
        <v>18</v>
      </c>
      <c r="C8992" s="2">
        <v>11872227</v>
      </c>
      <c r="D8992" s="2">
        <v>12735558</v>
      </c>
      <c r="E8992" s="2">
        <v>2</v>
      </c>
      <c r="F8992" s="2" t="s">
        <v>10086</v>
      </c>
      <c r="H8992" s="3">
        <v>8.9999999999999998E-4</v>
      </c>
      <c r="K8992" s="2" t="s">
        <v>10085</v>
      </c>
    </row>
    <row r="8993" spans="1:11" x14ac:dyDescent="0.2">
      <c r="A8993" s="2">
        <v>2250</v>
      </c>
      <c r="B8993" s="2">
        <v>18</v>
      </c>
      <c r="C8993" s="2">
        <v>11872227</v>
      </c>
      <c r="D8993" s="2">
        <v>12735558</v>
      </c>
      <c r="E8993" s="2">
        <v>3</v>
      </c>
      <c r="F8993" s="2" t="s">
        <v>10086</v>
      </c>
      <c r="H8993" s="3">
        <v>8.0000000000000004E-4</v>
      </c>
      <c r="K8993" s="2" t="s">
        <v>10088</v>
      </c>
    </row>
    <row r="8994" spans="1:11" x14ac:dyDescent="0.2">
      <c r="A8994" s="2">
        <v>2250</v>
      </c>
      <c r="B8994" s="2">
        <v>18</v>
      </c>
      <c r="C8994" s="2">
        <v>11872227</v>
      </c>
      <c r="D8994" s="2">
        <v>12735558</v>
      </c>
      <c r="E8994" s="2">
        <v>4</v>
      </c>
      <c r="F8994" s="2" t="s">
        <v>10086</v>
      </c>
      <c r="H8994" s="3">
        <v>4.0000000000000002E-4</v>
      </c>
      <c r="K8994" s="2" t="s">
        <v>10089</v>
      </c>
    </row>
    <row r="8995" spans="1:11" x14ac:dyDescent="0.2">
      <c r="A8995" s="2">
        <v>2251</v>
      </c>
      <c r="B8995" s="2">
        <v>18</v>
      </c>
      <c r="C8995" s="2">
        <v>12735559</v>
      </c>
      <c r="D8995" s="2">
        <v>13641479</v>
      </c>
      <c r="E8995" s="2">
        <v>1</v>
      </c>
      <c r="F8995" s="2" t="s">
        <v>10086</v>
      </c>
      <c r="H8995" s="2">
        <v>2.2000000000000001E-3</v>
      </c>
      <c r="K8995" s="2" t="s">
        <v>10085</v>
      </c>
    </row>
    <row r="8996" spans="1:11" x14ac:dyDescent="0.2">
      <c r="A8996" s="2">
        <v>2251</v>
      </c>
      <c r="B8996" s="2">
        <v>18</v>
      </c>
      <c r="C8996" s="2">
        <v>12735559</v>
      </c>
      <c r="D8996" s="2">
        <v>13641479</v>
      </c>
      <c r="E8996" s="2">
        <v>2</v>
      </c>
      <c r="F8996" s="2" t="s">
        <v>10086</v>
      </c>
      <c r="H8996" s="2">
        <v>1.6000000000000001E-3</v>
      </c>
      <c r="K8996" s="2" t="s">
        <v>10088</v>
      </c>
    </row>
    <row r="8997" spans="1:11" x14ac:dyDescent="0.2">
      <c r="A8997" s="2">
        <v>2251</v>
      </c>
      <c r="B8997" s="2">
        <v>18</v>
      </c>
      <c r="C8997" s="2">
        <v>12735559</v>
      </c>
      <c r="D8997" s="2">
        <v>13641479</v>
      </c>
      <c r="E8997" s="2">
        <v>3</v>
      </c>
      <c r="F8997" s="2" t="s">
        <v>10086</v>
      </c>
      <c r="H8997" s="2">
        <v>1.4E-3</v>
      </c>
      <c r="K8997" s="2" t="s">
        <v>10089</v>
      </c>
    </row>
    <row r="8998" spans="1:11" x14ac:dyDescent="0.2">
      <c r="A8998" s="2">
        <v>2251</v>
      </c>
      <c r="B8998" s="2">
        <v>18</v>
      </c>
      <c r="C8998" s="2">
        <v>12735559</v>
      </c>
      <c r="D8998" s="2">
        <v>13641479</v>
      </c>
      <c r="E8998" s="2">
        <v>4</v>
      </c>
      <c r="F8998" s="2" t="s">
        <v>10086</v>
      </c>
      <c r="H8998" s="3">
        <v>4.0000000000000002E-4</v>
      </c>
      <c r="K8998" s="2" t="s">
        <v>10087</v>
      </c>
    </row>
    <row r="8999" spans="1:11" x14ac:dyDescent="0.2">
      <c r="A8999" s="2">
        <v>2252</v>
      </c>
      <c r="B8999" s="2">
        <v>18</v>
      </c>
      <c r="C8999" s="2">
        <v>13641480</v>
      </c>
      <c r="D8999" s="2">
        <v>14439251</v>
      </c>
      <c r="E8999" s="2">
        <v>1</v>
      </c>
      <c r="F8999" s="2" t="s">
        <v>10086</v>
      </c>
      <c r="H8999" s="2">
        <v>1.4E-3</v>
      </c>
      <c r="K8999" s="2" t="s">
        <v>10088</v>
      </c>
    </row>
    <row r="9000" spans="1:11" x14ac:dyDescent="0.2">
      <c r="A9000" s="2">
        <v>2252</v>
      </c>
      <c r="B9000" s="2">
        <v>18</v>
      </c>
      <c r="C9000" s="2">
        <v>13641480</v>
      </c>
      <c r="D9000" s="2">
        <v>14439251</v>
      </c>
      <c r="E9000" s="2">
        <v>2</v>
      </c>
      <c r="F9000" s="2" t="s">
        <v>10086</v>
      </c>
      <c r="H9000" s="3">
        <v>8.9999999999999998E-4</v>
      </c>
      <c r="K9000" s="2" t="s">
        <v>10089</v>
      </c>
    </row>
    <row r="9001" spans="1:11" x14ac:dyDescent="0.2">
      <c r="A9001" s="2">
        <v>2252</v>
      </c>
      <c r="B9001" s="2">
        <v>18</v>
      </c>
      <c r="C9001" s="2">
        <v>13641480</v>
      </c>
      <c r="D9001" s="2">
        <v>14439251</v>
      </c>
      <c r="E9001" s="2">
        <v>3</v>
      </c>
      <c r="F9001" s="2" t="s">
        <v>10086</v>
      </c>
      <c r="H9001" s="3">
        <v>8.9999999999999998E-4</v>
      </c>
      <c r="K9001" s="2" t="s">
        <v>10085</v>
      </c>
    </row>
    <row r="9002" spans="1:11" x14ac:dyDescent="0.2">
      <c r="A9002" s="2">
        <v>2252</v>
      </c>
      <c r="B9002" s="2">
        <v>18</v>
      </c>
      <c r="C9002" s="2">
        <v>13641480</v>
      </c>
      <c r="D9002" s="2">
        <v>14439251</v>
      </c>
      <c r="E9002" s="2">
        <v>4</v>
      </c>
      <c r="F9002" s="2" t="s">
        <v>10086</v>
      </c>
      <c r="H9002" s="3">
        <v>4.0000000000000002E-4</v>
      </c>
      <c r="K9002" s="2" t="s">
        <v>10087</v>
      </c>
    </row>
    <row r="9003" spans="1:11" x14ac:dyDescent="0.2">
      <c r="A9003" s="2">
        <v>2253</v>
      </c>
      <c r="B9003" s="2">
        <v>18</v>
      </c>
      <c r="C9003" s="2">
        <v>14439252</v>
      </c>
      <c r="D9003" s="2">
        <v>15220934</v>
      </c>
      <c r="E9003" s="2">
        <v>1</v>
      </c>
      <c r="F9003" s="2" t="s">
        <v>10086</v>
      </c>
      <c r="H9003" s="2">
        <v>6.8999999999999999E-3</v>
      </c>
      <c r="K9003" s="2" t="s">
        <v>12324</v>
      </c>
    </row>
    <row r="9004" spans="1:11" x14ac:dyDescent="0.2">
      <c r="A9004" s="2">
        <v>2253</v>
      </c>
      <c r="B9004" s="2">
        <v>18</v>
      </c>
      <c r="C9004" s="2">
        <v>14439252</v>
      </c>
      <c r="D9004" s="2">
        <v>15220934</v>
      </c>
      <c r="E9004" s="2">
        <v>2</v>
      </c>
      <c r="F9004" s="2" t="s">
        <v>10086</v>
      </c>
      <c r="H9004" s="3">
        <v>6.9999999999999999E-4</v>
      </c>
      <c r="K9004" s="2" t="s">
        <v>10085</v>
      </c>
    </row>
    <row r="9005" spans="1:11" x14ac:dyDescent="0.2">
      <c r="A9005" s="2">
        <v>2253</v>
      </c>
      <c r="B9005" s="2">
        <v>18</v>
      </c>
      <c r="C9005" s="2">
        <v>14439252</v>
      </c>
      <c r="D9005" s="2">
        <v>15220934</v>
      </c>
      <c r="E9005" s="2">
        <v>3</v>
      </c>
      <c r="F9005" s="2" t="s">
        <v>10086</v>
      </c>
      <c r="H9005" s="3">
        <v>5.0000000000000001E-4</v>
      </c>
      <c r="K9005" s="2" t="s">
        <v>10089</v>
      </c>
    </row>
    <row r="9006" spans="1:11" x14ac:dyDescent="0.2">
      <c r="A9006" s="2">
        <v>2253</v>
      </c>
      <c r="B9006" s="2">
        <v>18</v>
      </c>
      <c r="C9006" s="2">
        <v>14439252</v>
      </c>
      <c r="D9006" s="2">
        <v>15220934</v>
      </c>
      <c r="E9006" s="2">
        <v>4</v>
      </c>
      <c r="F9006" s="2" t="s">
        <v>10086</v>
      </c>
      <c r="H9006" s="3">
        <v>5.9999999999999995E-4</v>
      </c>
      <c r="K9006" s="2" t="s">
        <v>10088</v>
      </c>
    </row>
    <row r="9007" spans="1:11" x14ac:dyDescent="0.2">
      <c r="A9007" s="2">
        <v>2254</v>
      </c>
      <c r="B9007" s="2">
        <v>18</v>
      </c>
      <c r="C9007" s="2">
        <v>15220935</v>
      </c>
      <c r="D9007" s="2">
        <v>20009696</v>
      </c>
      <c r="E9007" s="2">
        <v>1</v>
      </c>
      <c r="F9007" s="2" t="s">
        <v>10086</v>
      </c>
      <c r="H9007" s="2">
        <v>1.14E-2</v>
      </c>
      <c r="K9007" s="2" t="s">
        <v>10087</v>
      </c>
    </row>
    <row r="9008" spans="1:11" x14ac:dyDescent="0.2">
      <c r="A9008" s="2">
        <v>2254</v>
      </c>
      <c r="B9008" s="2">
        <v>18</v>
      </c>
      <c r="C9008" s="2">
        <v>15220935</v>
      </c>
      <c r="D9008" s="2">
        <v>20009696</v>
      </c>
      <c r="E9008" s="2">
        <v>2</v>
      </c>
      <c r="F9008" s="2" t="s">
        <v>10086</v>
      </c>
      <c r="H9008" s="2">
        <v>1.1000000000000001E-3</v>
      </c>
      <c r="K9008" s="2" t="s">
        <v>10085</v>
      </c>
    </row>
    <row r="9009" spans="1:11" x14ac:dyDescent="0.2">
      <c r="A9009" s="2">
        <v>2254</v>
      </c>
      <c r="B9009" s="2">
        <v>18</v>
      </c>
      <c r="C9009" s="2">
        <v>15220935</v>
      </c>
      <c r="D9009" s="2">
        <v>20009696</v>
      </c>
      <c r="E9009" s="2">
        <v>3</v>
      </c>
      <c r="F9009" s="2" t="s">
        <v>10086</v>
      </c>
      <c r="H9009" s="3">
        <v>8.0000000000000004E-4</v>
      </c>
      <c r="K9009" s="2" t="s">
        <v>12324</v>
      </c>
    </row>
    <row r="9010" spans="1:11" x14ac:dyDescent="0.2">
      <c r="A9010" s="2">
        <v>2254</v>
      </c>
      <c r="B9010" s="2">
        <v>18</v>
      </c>
      <c r="C9010" s="2">
        <v>15220935</v>
      </c>
      <c r="D9010" s="2">
        <v>20009696</v>
      </c>
      <c r="E9010" s="2">
        <v>4</v>
      </c>
      <c r="F9010" s="2" t="s">
        <v>10086</v>
      </c>
      <c r="H9010" s="3">
        <v>8.0000000000000004E-4</v>
      </c>
      <c r="K9010" s="2" t="s">
        <v>10089</v>
      </c>
    </row>
    <row r="9011" spans="1:11" x14ac:dyDescent="0.2">
      <c r="A9011" s="2">
        <v>2255</v>
      </c>
      <c r="B9011" s="2">
        <v>18</v>
      </c>
      <c r="C9011" s="2">
        <v>20009697</v>
      </c>
      <c r="D9011" s="2">
        <v>21622716</v>
      </c>
      <c r="E9011" s="2">
        <v>1</v>
      </c>
      <c r="F9011" s="2" t="s">
        <v>10086</v>
      </c>
      <c r="H9011" s="2">
        <v>2.3E-3</v>
      </c>
      <c r="K9011" s="2" t="s">
        <v>10087</v>
      </c>
    </row>
    <row r="9012" spans="1:11" x14ac:dyDescent="0.2">
      <c r="A9012" s="2">
        <v>2255</v>
      </c>
      <c r="B9012" s="2">
        <v>18</v>
      </c>
      <c r="C9012" s="2">
        <v>20009697</v>
      </c>
      <c r="D9012" s="2">
        <v>21622716</v>
      </c>
      <c r="E9012" s="2">
        <v>2</v>
      </c>
      <c r="F9012" s="2" t="s">
        <v>10086</v>
      </c>
      <c r="H9012" s="2">
        <v>1.9E-3</v>
      </c>
      <c r="K9012" s="2" t="s">
        <v>10085</v>
      </c>
    </row>
    <row r="9013" spans="1:11" x14ac:dyDescent="0.2">
      <c r="A9013" s="2">
        <v>2255</v>
      </c>
      <c r="B9013" s="2">
        <v>18</v>
      </c>
      <c r="C9013" s="2">
        <v>20009697</v>
      </c>
      <c r="D9013" s="2">
        <v>21622716</v>
      </c>
      <c r="E9013" s="2">
        <v>3</v>
      </c>
      <c r="F9013" s="2" t="s">
        <v>10086</v>
      </c>
      <c r="H9013" s="2">
        <v>1.1000000000000001E-3</v>
      </c>
      <c r="K9013" s="2" t="s">
        <v>12324</v>
      </c>
    </row>
    <row r="9014" spans="1:11" x14ac:dyDescent="0.2">
      <c r="A9014" s="2">
        <v>2255</v>
      </c>
      <c r="B9014" s="2">
        <v>18</v>
      </c>
      <c r="C9014" s="2">
        <v>20009697</v>
      </c>
      <c r="D9014" s="2">
        <v>21622716</v>
      </c>
      <c r="E9014" s="2">
        <v>4</v>
      </c>
      <c r="F9014" s="2" t="s">
        <v>10086</v>
      </c>
      <c r="H9014" s="2">
        <v>1.1000000000000001E-3</v>
      </c>
      <c r="K9014" s="2" t="s">
        <v>10089</v>
      </c>
    </row>
    <row r="9015" spans="1:11" x14ac:dyDescent="0.2">
      <c r="A9015" s="2">
        <v>2256</v>
      </c>
      <c r="B9015" s="2">
        <v>18</v>
      </c>
      <c r="C9015" s="2">
        <v>21622717</v>
      </c>
      <c r="D9015" s="2">
        <v>22746153</v>
      </c>
      <c r="E9015" s="2">
        <v>1</v>
      </c>
      <c r="F9015" s="2" t="s">
        <v>10086</v>
      </c>
      <c r="H9015" s="2">
        <v>8.6E-3</v>
      </c>
      <c r="K9015" s="2" t="s">
        <v>10088</v>
      </c>
    </row>
    <row r="9016" spans="1:11" x14ac:dyDescent="0.2">
      <c r="A9016" s="2">
        <v>2256</v>
      </c>
      <c r="B9016" s="2">
        <v>18</v>
      </c>
      <c r="C9016" s="2">
        <v>21622717</v>
      </c>
      <c r="D9016" s="2">
        <v>22746153</v>
      </c>
      <c r="E9016" s="2">
        <v>2</v>
      </c>
      <c r="F9016" s="2" t="s">
        <v>10086</v>
      </c>
      <c r="H9016" s="2">
        <v>1.5E-3</v>
      </c>
      <c r="K9016" s="2" t="s">
        <v>10085</v>
      </c>
    </row>
    <row r="9017" spans="1:11" x14ac:dyDescent="0.2">
      <c r="A9017" s="2">
        <v>2256</v>
      </c>
      <c r="B9017" s="2">
        <v>18</v>
      </c>
      <c r="C9017" s="2">
        <v>21622717</v>
      </c>
      <c r="D9017" s="2">
        <v>22746153</v>
      </c>
      <c r="E9017" s="2">
        <v>3</v>
      </c>
      <c r="F9017" s="2" t="s">
        <v>10086</v>
      </c>
      <c r="H9017" s="2">
        <v>1.1000000000000001E-3</v>
      </c>
      <c r="K9017" s="2" t="s">
        <v>10089</v>
      </c>
    </row>
    <row r="9018" spans="1:11" x14ac:dyDescent="0.2">
      <c r="A9018" s="2">
        <v>2256</v>
      </c>
      <c r="B9018" s="2">
        <v>18</v>
      </c>
      <c r="C9018" s="2">
        <v>21622717</v>
      </c>
      <c r="D9018" s="2">
        <v>22746153</v>
      </c>
      <c r="E9018" s="2">
        <v>4</v>
      </c>
      <c r="F9018" s="2" t="s">
        <v>10086</v>
      </c>
      <c r="H9018" s="3">
        <v>5.0000000000000001E-4</v>
      </c>
      <c r="K9018" s="2" t="s">
        <v>10087</v>
      </c>
    </row>
    <row r="9019" spans="1:11" x14ac:dyDescent="0.2">
      <c r="A9019" s="2">
        <v>2257</v>
      </c>
      <c r="B9019" s="2">
        <v>18</v>
      </c>
      <c r="C9019" s="2">
        <v>22746154</v>
      </c>
      <c r="D9019" s="2">
        <v>24088163</v>
      </c>
      <c r="E9019" s="2">
        <v>1</v>
      </c>
      <c r="F9019" s="2" t="s">
        <v>10086</v>
      </c>
      <c r="H9019" s="2">
        <v>6.4000000000000003E-3</v>
      </c>
      <c r="K9019" s="2" t="s">
        <v>10085</v>
      </c>
    </row>
    <row r="9020" spans="1:11" x14ac:dyDescent="0.2">
      <c r="A9020" s="2">
        <v>2257</v>
      </c>
      <c r="B9020" s="2">
        <v>18</v>
      </c>
      <c r="C9020" s="2">
        <v>22746154</v>
      </c>
      <c r="D9020" s="2">
        <v>24088163</v>
      </c>
      <c r="E9020" s="2">
        <v>2</v>
      </c>
      <c r="F9020" s="2" t="s">
        <v>10086</v>
      </c>
      <c r="H9020" s="2">
        <v>1.6999999999999999E-3</v>
      </c>
      <c r="K9020" s="2" t="s">
        <v>10088</v>
      </c>
    </row>
    <row r="9021" spans="1:11" x14ac:dyDescent="0.2">
      <c r="A9021" s="2">
        <v>2257</v>
      </c>
      <c r="B9021" s="2">
        <v>18</v>
      </c>
      <c r="C9021" s="2">
        <v>22746154</v>
      </c>
      <c r="D9021" s="2">
        <v>24088163</v>
      </c>
      <c r="E9021" s="2">
        <v>3</v>
      </c>
      <c r="F9021" s="2" t="s">
        <v>10086</v>
      </c>
      <c r="H9021" s="2">
        <v>1.2999999999999999E-3</v>
      </c>
      <c r="K9021" s="2" t="s">
        <v>10087</v>
      </c>
    </row>
    <row r="9022" spans="1:11" x14ac:dyDescent="0.2">
      <c r="A9022" s="2">
        <v>2257</v>
      </c>
      <c r="B9022" s="2">
        <v>18</v>
      </c>
      <c r="C9022" s="2">
        <v>22746154</v>
      </c>
      <c r="D9022" s="2">
        <v>24088163</v>
      </c>
      <c r="E9022" s="2">
        <v>4</v>
      </c>
      <c r="F9022" s="2" t="s">
        <v>10086</v>
      </c>
      <c r="H9022" s="3">
        <v>5.0000000000000001E-4</v>
      </c>
      <c r="K9022" s="2" t="s">
        <v>10089</v>
      </c>
    </row>
    <row r="9023" spans="1:11" x14ac:dyDescent="0.2">
      <c r="A9023" s="2">
        <v>2258</v>
      </c>
      <c r="B9023" s="2">
        <v>18</v>
      </c>
      <c r="C9023" s="2">
        <v>24088164</v>
      </c>
      <c r="D9023" s="2">
        <v>25305260</v>
      </c>
      <c r="E9023" s="2">
        <v>1</v>
      </c>
      <c r="F9023" s="2" t="s">
        <v>10086</v>
      </c>
      <c r="H9023" s="2">
        <v>1.6999999999999999E-3</v>
      </c>
      <c r="K9023" s="2" t="s">
        <v>10089</v>
      </c>
    </row>
    <row r="9024" spans="1:11" x14ac:dyDescent="0.2">
      <c r="A9024" s="2">
        <v>2258</v>
      </c>
      <c r="B9024" s="2">
        <v>18</v>
      </c>
      <c r="C9024" s="2">
        <v>24088164</v>
      </c>
      <c r="D9024" s="2">
        <v>25305260</v>
      </c>
      <c r="E9024" s="2">
        <v>2</v>
      </c>
      <c r="F9024" s="2" t="s">
        <v>10086</v>
      </c>
      <c r="H9024" s="2">
        <v>1.2999999999999999E-3</v>
      </c>
      <c r="K9024" s="2" t="s">
        <v>10087</v>
      </c>
    </row>
    <row r="9025" spans="1:11" x14ac:dyDescent="0.2">
      <c r="A9025" s="2">
        <v>2258</v>
      </c>
      <c r="B9025" s="2">
        <v>18</v>
      </c>
      <c r="C9025" s="2">
        <v>24088164</v>
      </c>
      <c r="D9025" s="2">
        <v>25305260</v>
      </c>
      <c r="E9025" s="2">
        <v>3</v>
      </c>
      <c r="F9025" s="2" t="s">
        <v>10086</v>
      </c>
      <c r="H9025" s="3">
        <v>8.9999999999999998E-4</v>
      </c>
      <c r="K9025" s="2" t="s">
        <v>10088</v>
      </c>
    </row>
    <row r="9026" spans="1:11" x14ac:dyDescent="0.2">
      <c r="A9026" s="2">
        <v>2258</v>
      </c>
      <c r="B9026" s="2">
        <v>18</v>
      </c>
      <c r="C9026" s="2">
        <v>24088164</v>
      </c>
      <c r="D9026" s="2">
        <v>25305260</v>
      </c>
      <c r="E9026" s="2">
        <v>4</v>
      </c>
      <c r="F9026" s="2" t="s">
        <v>10086</v>
      </c>
      <c r="H9026" s="3">
        <v>4.0000000000000002E-4</v>
      </c>
      <c r="K9026" s="2" t="s">
        <v>10085</v>
      </c>
    </row>
    <row r="9027" spans="1:11" x14ac:dyDescent="0.2">
      <c r="A9027" s="2">
        <v>2259</v>
      </c>
      <c r="B9027" s="2">
        <v>18</v>
      </c>
      <c r="C9027" s="2">
        <v>25305261</v>
      </c>
      <c r="D9027" s="2">
        <v>26861067</v>
      </c>
      <c r="E9027" s="2">
        <v>1</v>
      </c>
      <c r="F9027" s="2" t="s">
        <v>10086</v>
      </c>
      <c r="H9027" s="2">
        <v>1.6999999999999999E-3</v>
      </c>
      <c r="K9027" s="2" t="s">
        <v>10089</v>
      </c>
    </row>
    <row r="9028" spans="1:11" x14ac:dyDescent="0.2">
      <c r="A9028" s="2">
        <v>2259</v>
      </c>
      <c r="B9028" s="2">
        <v>18</v>
      </c>
      <c r="C9028" s="2">
        <v>25305261</v>
      </c>
      <c r="D9028" s="2">
        <v>26861067</v>
      </c>
      <c r="E9028" s="2">
        <v>2</v>
      </c>
      <c r="F9028" s="2" t="s">
        <v>10086</v>
      </c>
      <c r="H9028" s="2">
        <v>1E-3</v>
      </c>
      <c r="K9028" s="2" t="s">
        <v>10085</v>
      </c>
    </row>
    <row r="9029" spans="1:11" x14ac:dyDescent="0.2">
      <c r="A9029" s="2">
        <v>2259</v>
      </c>
      <c r="B9029" s="2">
        <v>18</v>
      </c>
      <c r="C9029" s="2">
        <v>25305261</v>
      </c>
      <c r="D9029" s="2">
        <v>26861067</v>
      </c>
      <c r="E9029" s="2">
        <v>3</v>
      </c>
      <c r="F9029" s="2" t="s">
        <v>10086</v>
      </c>
      <c r="H9029" s="2">
        <v>1E-3</v>
      </c>
      <c r="K9029" s="2" t="s">
        <v>10087</v>
      </c>
    </row>
    <row r="9030" spans="1:11" x14ac:dyDescent="0.2">
      <c r="A9030" s="2">
        <v>2259</v>
      </c>
      <c r="B9030" s="2">
        <v>18</v>
      </c>
      <c r="C9030" s="2">
        <v>25305261</v>
      </c>
      <c r="D9030" s="2">
        <v>26861067</v>
      </c>
      <c r="E9030" s="2">
        <v>4</v>
      </c>
      <c r="F9030" s="2" t="s">
        <v>10086</v>
      </c>
      <c r="H9030" s="3">
        <v>5.0000000000000001E-4</v>
      </c>
      <c r="K9030" s="2" t="s">
        <v>10088</v>
      </c>
    </row>
    <row r="9031" spans="1:11" x14ac:dyDescent="0.2">
      <c r="A9031" s="2">
        <v>2260</v>
      </c>
      <c r="B9031" s="2">
        <v>18</v>
      </c>
      <c r="C9031" s="2">
        <v>26861068</v>
      </c>
      <c r="D9031" s="2">
        <v>27823155</v>
      </c>
      <c r="E9031" s="2">
        <v>1</v>
      </c>
      <c r="F9031" s="2" t="s">
        <v>10086</v>
      </c>
      <c r="H9031" s="2">
        <v>1.5E-3</v>
      </c>
      <c r="K9031" s="2" t="s">
        <v>10088</v>
      </c>
    </row>
    <row r="9032" spans="1:11" x14ac:dyDescent="0.2">
      <c r="A9032" s="2">
        <v>2260</v>
      </c>
      <c r="B9032" s="2">
        <v>18</v>
      </c>
      <c r="C9032" s="2">
        <v>26861068</v>
      </c>
      <c r="D9032" s="2">
        <v>27823155</v>
      </c>
      <c r="E9032" s="2">
        <v>2</v>
      </c>
      <c r="F9032" s="2" t="s">
        <v>10086</v>
      </c>
      <c r="H9032" s="2">
        <v>1.1999999999999999E-3</v>
      </c>
      <c r="K9032" s="2" t="s">
        <v>10089</v>
      </c>
    </row>
    <row r="9033" spans="1:11" x14ac:dyDescent="0.2">
      <c r="A9033" s="2">
        <v>2260</v>
      </c>
      <c r="B9033" s="2">
        <v>18</v>
      </c>
      <c r="C9033" s="2">
        <v>26861068</v>
      </c>
      <c r="D9033" s="2">
        <v>27823155</v>
      </c>
      <c r="E9033" s="2">
        <v>3</v>
      </c>
      <c r="F9033" s="2" t="s">
        <v>10086</v>
      </c>
      <c r="H9033" s="2">
        <v>1E-3</v>
      </c>
      <c r="K9033" s="2" t="s">
        <v>10087</v>
      </c>
    </row>
    <row r="9034" spans="1:11" x14ac:dyDescent="0.2">
      <c r="A9034" s="2">
        <v>2260</v>
      </c>
      <c r="B9034" s="2">
        <v>18</v>
      </c>
      <c r="C9034" s="2">
        <v>26861068</v>
      </c>
      <c r="D9034" s="2">
        <v>27823155</v>
      </c>
      <c r="E9034" s="2">
        <v>4</v>
      </c>
      <c r="F9034" s="2" t="s">
        <v>10086</v>
      </c>
      <c r="H9034" s="3">
        <v>2.9999999999999997E-4</v>
      </c>
      <c r="K9034" s="2" t="s">
        <v>10085</v>
      </c>
    </row>
    <row r="9035" spans="1:11" x14ac:dyDescent="0.2">
      <c r="A9035" s="2">
        <v>2261</v>
      </c>
      <c r="B9035" s="2">
        <v>18</v>
      </c>
      <c r="C9035" s="2">
        <v>27823156</v>
      </c>
      <c r="D9035" s="2">
        <v>28792734</v>
      </c>
      <c r="E9035" s="2">
        <v>1</v>
      </c>
      <c r="F9035" s="2" t="s">
        <v>10086</v>
      </c>
      <c r="H9035" s="2">
        <v>1.6000000000000001E-3</v>
      </c>
      <c r="K9035" s="2" t="s">
        <v>10089</v>
      </c>
    </row>
    <row r="9036" spans="1:11" x14ac:dyDescent="0.2">
      <c r="A9036" s="2">
        <v>2261</v>
      </c>
      <c r="B9036" s="2">
        <v>18</v>
      </c>
      <c r="C9036" s="2">
        <v>27823156</v>
      </c>
      <c r="D9036" s="2">
        <v>28792734</v>
      </c>
      <c r="E9036" s="2">
        <v>2</v>
      </c>
      <c r="F9036" s="2" t="s">
        <v>10086</v>
      </c>
      <c r="H9036" s="2">
        <v>1.4E-3</v>
      </c>
      <c r="K9036" s="2" t="s">
        <v>10088</v>
      </c>
    </row>
    <row r="9037" spans="1:11" x14ac:dyDescent="0.2">
      <c r="A9037" s="2">
        <v>2261</v>
      </c>
      <c r="B9037" s="2">
        <v>18</v>
      </c>
      <c r="C9037" s="2">
        <v>27823156</v>
      </c>
      <c r="D9037" s="2">
        <v>28792734</v>
      </c>
      <c r="E9037" s="2">
        <v>3</v>
      </c>
      <c r="F9037" s="2" t="s">
        <v>10086</v>
      </c>
      <c r="H9037" s="3">
        <v>6.9999999999999999E-4</v>
      </c>
      <c r="K9037" s="2" t="s">
        <v>10087</v>
      </c>
    </row>
    <row r="9038" spans="1:11" x14ac:dyDescent="0.2">
      <c r="A9038" s="2">
        <v>2261</v>
      </c>
      <c r="B9038" s="2">
        <v>18</v>
      </c>
      <c r="C9038" s="2">
        <v>27823156</v>
      </c>
      <c r="D9038" s="2">
        <v>28792734</v>
      </c>
      <c r="E9038" s="2">
        <v>4</v>
      </c>
      <c r="F9038" s="2" t="s">
        <v>10086</v>
      </c>
      <c r="H9038" s="3">
        <v>2.0000000000000001E-4</v>
      </c>
      <c r="K9038" s="2" t="s">
        <v>10085</v>
      </c>
    </row>
    <row r="9039" spans="1:11" x14ac:dyDescent="0.2">
      <c r="A9039" s="2">
        <v>2262</v>
      </c>
      <c r="B9039" s="2">
        <v>18</v>
      </c>
      <c r="C9039" s="2">
        <v>28792735</v>
      </c>
      <c r="D9039" s="2">
        <v>30401128</v>
      </c>
      <c r="E9039" s="2">
        <v>1</v>
      </c>
      <c r="F9039" s="2" t="s">
        <v>10086</v>
      </c>
      <c r="H9039" s="2">
        <v>3.0000000000000001E-3</v>
      </c>
      <c r="K9039" s="2" t="s">
        <v>10088</v>
      </c>
    </row>
    <row r="9040" spans="1:11" x14ac:dyDescent="0.2">
      <c r="A9040" s="2">
        <v>2262</v>
      </c>
      <c r="B9040" s="2">
        <v>18</v>
      </c>
      <c r="C9040" s="2">
        <v>28792735</v>
      </c>
      <c r="D9040" s="2">
        <v>30401128</v>
      </c>
      <c r="E9040" s="2">
        <v>2</v>
      </c>
      <c r="F9040" s="2" t="s">
        <v>10086</v>
      </c>
      <c r="H9040" s="2">
        <v>1.1999999999999999E-3</v>
      </c>
      <c r="K9040" s="2" t="s">
        <v>10089</v>
      </c>
    </row>
    <row r="9041" spans="1:11" x14ac:dyDescent="0.2">
      <c r="A9041" s="2">
        <v>2262</v>
      </c>
      <c r="B9041" s="2">
        <v>18</v>
      </c>
      <c r="C9041" s="2">
        <v>28792735</v>
      </c>
      <c r="D9041" s="2">
        <v>30401128</v>
      </c>
      <c r="E9041" s="2">
        <v>3</v>
      </c>
      <c r="F9041" s="2" t="s">
        <v>10086</v>
      </c>
      <c r="H9041" s="2">
        <v>1E-3</v>
      </c>
      <c r="K9041" s="2" t="s">
        <v>10085</v>
      </c>
    </row>
    <row r="9042" spans="1:11" x14ac:dyDescent="0.2">
      <c r="A9042" s="2">
        <v>2262</v>
      </c>
      <c r="B9042" s="2">
        <v>18</v>
      </c>
      <c r="C9042" s="2">
        <v>28792735</v>
      </c>
      <c r="D9042" s="2">
        <v>30401128</v>
      </c>
      <c r="E9042" s="2">
        <v>4</v>
      </c>
      <c r="F9042" s="2" t="s">
        <v>10086</v>
      </c>
      <c r="H9042" s="3">
        <v>5.0000000000000001E-4</v>
      </c>
      <c r="K9042" s="2" t="s">
        <v>10087</v>
      </c>
    </row>
    <row r="9043" spans="1:11" x14ac:dyDescent="0.2">
      <c r="A9043" s="2">
        <v>2263</v>
      </c>
      <c r="B9043" s="2">
        <v>18</v>
      </c>
      <c r="C9043" s="2">
        <v>30401129</v>
      </c>
      <c r="D9043" s="2">
        <v>32458907</v>
      </c>
      <c r="E9043" s="2">
        <v>1</v>
      </c>
      <c r="F9043" s="2" t="s">
        <v>10086</v>
      </c>
      <c r="H9043" s="2">
        <v>2.5999999999999999E-3</v>
      </c>
      <c r="K9043" s="2" t="s">
        <v>10088</v>
      </c>
    </row>
    <row r="9044" spans="1:11" x14ac:dyDescent="0.2">
      <c r="A9044" s="2">
        <v>2263</v>
      </c>
      <c r="B9044" s="2">
        <v>18</v>
      </c>
      <c r="C9044" s="2">
        <v>30401129</v>
      </c>
      <c r="D9044" s="2">
        <v>32458907</v>
      </c>
      <c r="E9044" s="2">
        <v>2</v>
      </c>
      <c r="F9044" s="2" t="s">
        <v>10086</v>
      </c>
      <c r="H9044" s="2">
        <v>1.8E-3</v>
      </c>
      <c r="K9044" s="2" t="s">
        <v>10085</v>
      </c>
    </row>
    <row r="9045" spans="1:11" x14ac:dyDescent="0.2">
      <c r="A9045" s="2">
        <v>2263</v>
      </c>
      <c r="B9045" s="2">
        <v>18</v>
      </c>
      <c r="C9045" s="2">
        <v>30401129</v>
      </c>
      <c r="D9045" s="2">
        <v>32458907</v>
      </c>
      <c r="E9045" s="2">
        <v>3</v>
      </c>
      <c r="F9045" s="2" t="s">
        <v>10086</v>
      </c>
      <c r="H9045" s="2">
        <v>1.2999999999999999E-3</v>
      </c>
      <c r="K9045" s="2" t="s">
        <v>10087</v>
      </c>
    </row>
    <row r="9046" spans="1:11" x14ac:dyDescent="0.2">
      <c r="A9046" s="2">
        <v>2263</v>
      </c>
      <c r="B9046" s="2">
        <v>18</v>
      </c>
      <c r="C9046" s="2">
        <v>30401129</v>
      </c>
      <c r="D9046" s="2">
        <v>32458907</v>
      </c>
      <c r="E9046" s="2">
        <v>4</v>
      </c>
      <c r="F9046" s="2" t="s">
        <v>10086</v>
      </c>
      <c r="H9046" s="3">
        <v>8.0000000000000004E-4</v>
      </c>
      <c r="K9046" s="2" t="s">
        <v>10089</v>
      </c>
    </row>
    <row r="9047" spans="1:11" x14ac:dyDescent="0.2">
      <c r="A9047" s="2">
        <v>2264</v>
      </c>
      <c r="B9047" s="2">
        <v>18</v>
      </c>
      <c r="C9047" s="2">
        <v>32458908</v>
      </c>
      <c r="D9047" s="2">
        <v>34153297</v>
      </c>
      <c r="E9047" s="2">
        <v>1</v>
      </c>
      <c r="F9047" s="2" t="s">
        <v>10086</v>
      </c>
      <c r="H9047" s="2">
        <v>3.5999999999999999E-3</v>
      </c>
      <c r="K9047" s="2" t="s">
        <v>10085</v>
      </c>
    </row>
    <row r="9048" spans="1:11" x14ac:dyDescent="0.2">
      <c r="A9048" s="2">
        <v>2264</v>
      </c>
      <c r="B9048" s="2">
        <v>18</v>
      </c>
      <c r="C9048" s="2">
        <v>32458908</v>
      </c>
      <c r="D9048" s="2">
        <v>34153297</v>
      </c>
      <c r="E9048" s="2">
        <v>2</v>
      </c>
      <c r="F9048" s="2" t="s">
        <v>10086</v>
      </c>
      <c r="H9048" s="2">
        <v>2.3E-3</v>
      </c>
      <c r="K9048" s="2" t="s">
        <v>10088</v>
      </c>
    </row>
    <row r="9049" spans="1:11" x14ac:dyDescent="0.2">
      <c r="A9049" s="2">
        <v>2264</v>
      </c>
      <c r="B9049" s="2">
        <v>18</v>
      </c>
      <c r="C9049" s="2">
        <v>32458908</v>
      </c>
      <c r="D9049" s="2">
        <v>34153297</v>
      </c>
      <c r="E9049" s="2">
        <v>3</v>
      </c>
      <c r="F9049" s="2" t="s">
        <v>10086</v>
      </c>
      <c r="H9049" s="2">
        <v>1.5E-3</v>
      </c>
      <c r="K9049" s="2" t="s">
        <v>10087</v>
      </c>
    </row>
    <row r="9050" spans="1:11" x14ac:dyDescent="0.2">
      <c r="A9050" s="2">
        <v>2264</v>
      </c>
      <c r="B9050" s="2">
        <v>18</v>
      </c>
      <c r="C9050" s="2">
        <v>32458908</v>
      </c>
      <c r="D9050" s="2">
        <v>34153297</v>
      </c>
      <c r="E9050" s="2">
        <v>4</v>
      </c>
      <c r="F9050" s="2" t="s">
        <v>10086</v>
      </c>
      <c r="H9050" s="3">
        <v>6.9999999999999999E-4</v>
      </c>
      <c r="K9050" s="2" t="s">
        <v>10089</v>
      </c>
    </row>
    <row r="9051" spans="1:11" x14ac:dyDescent="0.2">
      <c r="A9051" s="2">
        <v>2265</v>
      </c>
      <c r="B9051" s="2">
        <v>18</v>
      </c>
      <c r="C9051" s="2">
        <v>34153298</v>
      </c>
      <c r="D9051" s="2">
        <v>36056932</v>
      </c>
      <c r="E9051" s="2">
        <v>1</v>
      </c>
      <c r="F9051" s="2" t="s">
        <v>10086</v>
      </c>
      <c r="H9051" s="2">
        <v>1.2999999999999999E-3</v>
      </c>
      <c r="K9051" s="2" t="s">
        <v>10085</v>
      </c>
    </row>
    <row r="9052" spans="1:11" x14ac:dyDescent="0.2">
      <c r="A9052" s="2">
        <v>2265</v>
      </c>
      <c r="B9052" s="2">
        <v>18</v>
      </c>
      <c r="C9052" s="2">
        <v>34153298</v>
      </c>
      <c r="D9052" s="2">
        <v>36056932</v>
      </c>
      <c r="E9052" s="2">
        <v>2</v>
      </c>
      <c r="F9052" s="2" t="s">
        <v>10086</v>
      </c>
      <c r="H9052" s="2">
        <v>1.2999999999999999E-3</v>
      </c>
      <c r="K9052" s="2" t="s">
        <v>10089</v>
      </c>
    </row>
    <row r="9053" spans="1:11" x14ac:dyDescent="0.2">
      <c r="A9053" s="2">
        <v>2265</v>
      </c>
      <c r="B9053" s="2">
        <v>18</v>
      </c>
      <c r="C9053" s="2">
        <v>34153298</v>
      </c>
      <c r="D9053" s="2">
        <v>36056932</v>
      </c>
      <c r="E9053" s="2">
        <v>3</v>
      </c>
      <c r="F9053" s="2" t="s">
        <v>10086</v>
      </c>
      <c r="H9053" s="2">
        <v>1.1999999999999999E-3</v>
      </c>
      <c r="K9053" s="2" t="s">
        <v>10087</v>
      </c>
    </row>
    <row r="9054" spans="1:11" x14ac:dyDescent="0.2">
      <c r="A9054" s="2">
        <v>2265</v>
      </c>
      <c r="B9054" s="2">
        <v>18</v>
      </c>
      <c r="C9054" s="2">
        <v>34153298</v>
      </c>
      <c r="D9054" s="2">
        <v>36056932</v>
      </c>
      <c r="E9054" s="2">
        <v>4</v>
      </c>
      <c r="F9054" s="2" t="s">
        <v>10086</v>
      </c>
      <c r="H9054" s="3">
        <v>5.0000000000000001E-4</v>
      </c>
      <c r="K9054" s="2" t="s">
        <v>10088</v>
      </c>
    </row>
    <row r="9055" spans="1:11" x14ac:dyDescent="0.2">
      <c r="A9055" s="2">
        <v>2266</v>
      </c>
      <c r="B9055" s="2">
        <v>18</v>
      </c>
      <c r="C9055" s="2">
        <v>36056933</v>
      </c>
      <c r="D9055" s="2">
        <v>37679127</v>
      </c>
      <c r="E9055" s="2">
        <v>1</v>
      </c>
      <c r="F9055" s="2" t="s">
        <v>10086</v>
      </c>
      <c r="H9055" s="2">
        <v>3.2000000000000002E-3</v>
      </c>
      <c r="K9055" s="2" t="s">
        <v>10089</v>
      </c>
    </row>
    <row r="9056" spans="1:11" x14ac:dyDescent="0.2">
      <c r="A9056" s="2">
        <v>2266</v>
      </c>
      <c r="B9056" s="2">
        <v>18</v>
      </c>
      <c r="C9056" s="2">
        <v>36056933</v>
      </c>
      <c r="D9056" s="2">
        <v>37679127</v>
      </c>
      <c r="E9056" s="2">
        <v>2</v>
      </c>
      <c r="F9056" s="2" t="s">
        <v>10086</v>
      </c>
      <c r="H9056" s="2">
        <v>2.2000000000000001E-3</v>
      </c>
      <c r="K9056" s="2" t="s">
        <v>12324</v>
      </c>
    </row>
    <row r="9057" spans="1:11" x14ac:dyDescent="0.2">
      <c r="A9057" s="2">
        <v>2266</v>
      </c>
      <c r="B9057" s="2">
        <v>18</v>
      </c>
      <c r="C9057" s="2">
        <v>36056933</v>
      </c>
      <c r="D9057" s="2">
        <v>37679127</v>
      </c>
      <c r="E9057" s="2">
        <v>3</v>
      </c>
      <c r="F9057" s="2" t="s">
        <v>10086</v>
      </c>
      <c r="H9057" s="2">
        <v>1.1000000000000001E-3</v>
      </c>
      <c r="K9057" s="2" t="s">
        <v>10087</v>
      </c>
    </row>
    <row r="9058" spans="1:11" x14ac:dyDescent="0.2">
      <c r="A9058" s="2">
        <v>2266</v>
      </c>
      <c r="B9058" s="2">
        <v>18</v>
      </c>
      <c r="C9058" s="2">
        <v>36056933</v>
      </c>
      <c r="D9058" s="2">
        <v>37679127</v>
      </c>
      <c r="E9058" s="2">
        <v>4</v>
      </c>
      <c r="F9058" s="2" t="s">
        <v>10086</v>
      </c>
      <c r="H9058" s="3">
        <v>8.0000000000000004E-4</v>
      </c>
      <c r="K9058" s="2" t="s">
        <v>10085</v>
      </c>
    </row>
    <row r="9059" spans="1:11" x14ac:dyDescent="0.2">
      <c r="A9059" s="2">
        <v>2267</v>
      </c>
      <c r="B9059" s="2">
        <v>18</v>
      </c>
      <c r="C9059" s="2">
        <v>37679128</v>
      </c>
      <c r="D9059" s="2">
        <v>38498381</v>
      </c>
      <c r="E9059" s="2">
        <v>1</v>
      </c>
      <c r="F9059" s="2" t="s">
        <v>10086</v>
      </c>
      <c r="H9059" s="2">
        <v>2.5000000000000001E-3</v>
      </c>
      <c r="K9059" s="2" t="s">
        <v>10087</v>
      </c>
    </row>
    <row r="9060" spans="1:11" x14ac:dyDescent="0.2">
      <c r="A9060" s="2">
        <v>2267</v>
      </c>
      <c r="B9060" s="2">
        <v>18</v>
      </c>
      <c r="C9060" s="2">
        <v>37679128</v>
      </c>
      <c r="D9060" s="2">
        <v>38498381</v>
      </c>
      <c r="E9060" s="2">
        <v>2</v>
      </c>
      <c r="F9060" s="2" t="s">
        <v>10086</v>
      </c>
      <c r="H9060" s="2">
        <v>1.8E-3</v>
      </c>
      <c r="K9060" s="2" t="s">
        <v>10089</v>
      </c>
    </row>
    <row r="9061" spans="1:11" x14ac:dyDescent="0.2">
      <c r="A9061" s="2">
        <v>2267</v>
      </c>
      <c r="B9061" s="2">
        <v>18</v>
      </c>
      <c r="C9061" s="2">
        <v>37679128</v>
      </c>
      <c r="D9061" s="2">
        <v>38498381</v>
      </c>
      <c r="E9061" s="2">
        <v>3</v>
      </c>
      <c r="F9061" s="2" t="s">
        <v>10086</v>
      </c>
      <c r="H9061" s="3">
        <v>6.9999999999999999E-4</v>
      </c>
      <c r="K9061" s="2" t="s">
        <v>10088</v>
      </c>
    </row>
    <row r="9062" spans="1:11" x14ac:dyDescent="0.2">
      <c r="A9062" s="2">
        <v>2267</v>
      </c>
      <c r="B9062" s="2">
        <v>18</v>
      </c>
      <c r="C9062" s="2">
        <v>37679128</v>
      </c>
      <c r="D9062" s="2">
        <v>38498381</v>
      </c>
      <c r="E9062" s="2">
        <v>4</v>
      </c>
      <c r="F9062" s="2" t="s">
        <v>10086</v>
      </c>
      <c r="H9062" s="3">
        <v>2.9999999999999997E-4</v>
      </c>
      <c r="K9062" s="2" t="s">
        <v>10085</v>
      </c>
    </row>
    <row r="9063" spans="1:11" x14ac:dyDescent="0.2">
      <c r="A9063" s="2">
        <v>2268</v>
      </c>
      <c r="B9063" s="2">
        <v>18</v>
      </c>
      <c r="C9063" s="2">
        <v>38498382</v>
      </c>
      <c r="D9063" s="2">
        <v>39410165</v>
      </c>
      <c r="E9063" s="2">
        <v>1</v>
      </c>
      <c r="F9063" s="2" t="s">
        <v>10086</v>
      </c>
      <c r="H9063" s="2">
        <v>2.3E-3</v>
      </c>
      <c r="K9063" s="2" t="s">
        <v>10087</v>
      </c>
    </row>
    <row r="9064" spans="1:11" x14ac:dyDescent="0.2">
      <c r="A9064" s="2">
        <v>2268</v>
      </c>
      <c r="B9064" s="2">
        <v>18</v>
      </c>
      <c r="C9064" s="2">
        <v>38498382</v>
      </c>
      <c r="D9064" s="2">
        <v>39410165</v>
      </c>
      <c r="E9064" s="2">
        <v>2</v>
      </c>
      <c r="F9064" s="2" t="s">
        <v>10086</v>
      </c>
      <c r="H9064" s="2">
        <v>1.1000000000000001E-3</v>
      </c>
      <c r="K9064" s="2" t="s">
        <v>10085</v>
      </c>
    </row>
    <row r="9065" spans="1:11" x14ac:dyDescent="0.2">
      <c r="A9065" s="2">
        <v>2268</v>
      </c>
      <c r="B9065" s="2">
        <v>18</v>
      </c>
      <c r="C9065" s="2">
        <v>38498382</v>
      </c>
      <c r="D9065" s="2">
        <v>39410165</v>
      </c>
      <c r="E9065" s="2">
        <v>3</v>
      </c>
      <c r="F9065" s="2" t="s">
        <v>10086</v>
      </c>
      <c r="H9065" s="3">
        <v>6.9999999999999999E-4</v>
      </c>
      <c r="K9065" s="2" t="s">
        <v>10088</v>
      </c>
    </row>
    <row r="9066" spans="1:11" x14ac:dyDescent="0.2">
      <c r="A9066" s="2">
        <v>2268</v>
      </c>
      <c r="B9066" s="2">
        <v>18</v>
      </c>
      <c r="C9066" s="2">
        <v>38498382</v>
      </c>
      <c r="D9066" s="2">
        <v>39410165</v>
      </c>
      <c r="E9066" s="2">
        <v>4</v>
      </c>
      <c r="F9066" s="2" t="s">
        <v>10086</v>
      </c>
      <c r="H9066" s="3">
        <v>4.0000000000000002E-4</v>
      </c>
      <c r="K9066" s="2" t="s">
        <v>10089</v>
      </c>
    </row>
    <row r="9067" spans="1:11" x14ac:dyDescent="0.2">
      <c r="A9067" s="2">
        <v>2269</v>
      </c>
      <c r="B9067" s="2">
        <v>18</v>
      </c>
      <c r="C9067" s="2">
        <v>39410166</v>
      </c>
      <c r="D9067" s="2">
        <v>40471407</v>
      </c>
      <c r="E9067" s="2">
        <v>1</v>
      </c>
      <c r="F9067" s="2" t="s">
        <v>10086</v>
      </c>
      <c r="H9067" s="2">
        <v>1.2999999999999999E-3</v>
      </c>
      <c r="K9067" s="2" t="s">
        <v>10089</v>
      </c>
    </row>
    <row r="9068" spans="1:11" x14ac:dyDescent="0.2">
      <c r="A9068" s="2">
        <v>2269</v>
      </c>
      <c r="B9068" s="2">
        <v>18</v>
      </c>
      <c r="C9068" s="2">
        <v>39410166</v>
      </c>
      <c r="D9068" s="2">
        <v>40471407</v>
      </c>
      <c r="E9068" s="2">
        <v>2</v>
      </c>
      <c r="F9068" s="2" t="s">
        <v>10086</v>
      </c>
      <c r="H9068" s="2">
        <v>1E-3</v>
      </c>
      <c r="K9068" s="2" t="s">
        <v>10087</v>
      </c>
    </row>
    <row r="9069" spans="1:11" x14ac:dyDescent="0.2">
      <c r="A9069" s="2">
        <v>2269</v>
      </c>
      <c r="B9069" s="2">
        <v>18</v>
      </c>
      <c r="C9069" s="2">
        <v>39410166</v>
      </c>
      <c r="D9069" s="2">
        <v>40471407</v>
      </c>
      <c r="E9069" s="2">
        <v>3</v>
      </c>
      <c r="F9069" s="2" t="s">
        <v>10086</v>
      </c>
      <c r="H9069" s="3">
        <v>8.9999999999999998E-4</v>
      </c>
      <c r="K9069" s="2" t="s">
        <v>10088</v>
      </c>
    </row>
    <row r="9070" spans="1:11" x14ac:dyDescent="0.2">
      <c r="A9070" s="2">
        <v>2269</v>
      </c>
      <c r="B9070" s="2">
        <v>18</v>
      </c>
      <c r="C9070" s="2">
        <v>39410166</v>
      </c>
      <c r="D9070" s="2">
        <v>40471407</v>
      </c>
      <c r="E9070" s="2">
        <v>4</v>
      </c>
      <c r="F9070" s="2" t="s">
        <v>10086</v>
      </c>
      <c r="H9070" s="3">
        <v>4.0000000000000002E-4</v>
      </c>
      <c r="K9070" s="2" t="s">
        <v>10085</v>
      </c>
    </row>
    <row r="9071" spans="1:11" x14ac:dyDescent="0.2">
      <c r="A9071" s="2">
        <v>2270</v>
      </c>
      <c r="B9071" s="2">
        <v>18</v>
      </c>
      <c r="C9071" s="2">
        <v>40471408</v>
      </c>
      <c r="D9071" s="2">
        <v>41425454</v>
      </c>
      <c r="E9071" s="2">
        <v>1</v>
      </c>
      <c r="F9071" s="2" t="s">
        <v>10086</v>
      </c>
      <c r="H9071" s="2">
        <v>2.5999999999999999E-3</v>
      </c>
      <c r="K9071" s="2" t="s">
        <v>10089</v>
      </c>
    </row>
    <row r="9072" spans="1:11" x14ac:dyDescent="0.2">
      <c r="A9072" s="2">
        <v>2270</v>
      </c>
      <c r="B9072" s="2">
        <v>18</v>
      </c>
      <c r="C9072" s="2">
        <v>40471408</v>
      </c>
      <c r="D9072" s="2">
        <v>41425454</v>
      </c>
      <c r="E9072" s="2">
        <v>2</v>
      </c>
      <c r="F9072" s="2" t="s">
        <v>10086</v>
      </c>
      <c r="H9072" s="2">
        <v>1.9E-3</v>
      </c>
      <c r="K9072" s="2" t="s">
        <v>10088</v>
      </c>
    </row>
    <row r="9073" spans="1:11" x14ac:dyDescent="0.2">
      <c r="A9073" s="2">
        <v>2270</v>
      </c>
      <c r="B9073" s="2">
        <v>18</v>
      </c>
      <c r="C9073" s="2">
        <v>40471408</v>
      </c>
      <c r="D9073" s="2">
        <v>41425454</v>
      </c>
      <c r="E9073" s="2">
        <v>3</v>
      </c>
      <c r="F9073" s="2" t="s">
        <v>10086</v>
      </c>
      <c r="H9073" s="3">
        <v>6.9999999999999999E-4</v>
      </c>
      <c r="K9073" s="2" t="s">
        <v>10085</v>
      </c>
    </row>
    <row r="9074" spans="1:11" x14ac:dyDescent="0.2">
      <c r="A9074" s="2">
        <v>2270</v>
      </c>
      <c r="B9074" s="2">
        <v>18</v>
      </c>
      <c r="C9074" s="2">
        <v>40471408</v>
      </c>
      <c r="D9074" s="2">
        <v>41425454</v>
      </c>
      <c r="E9074" s="2">
        <v>4</v>
      </c>
      <c r="F9074" s="2" t="s">
        <v>10086</v>
      </c>
      <c r="H9074" s="3">
        <v>2.9999999999999997E-4</v>
      </c>
      <c r="K9074" s="2" t="s">
        <v>10087</v>
      </c>
    </row>
    <row r="9075" spans="1:11" x14ac:dyDescent="0.2">
      <c r="A9075" s="2">
        <v>2271</v>
      </c>
      <c r="B9075" s="2">
        <v>18</v>
      </c>
      <c r="C9075" s="2">
        <v>41425455</v>
      </c>
      <c r="D9075" s="2">
        <v>42974165</v>
      </c>
      <c r="E9075" s="2">
        <v>1</v>
      </c>
      <c r="F9075" s="2" t="s">
        <v>10086</v>
      </c>
      <c r="H9075" s="2">
        <v>5.8999999999999999E-3</v>
      </c>
      <c r="K9075" s="2" t="s">
        <v>10089</v>
      </c>
    </row>
    <row r="9076" spans="1:11" x14ac:dyDescent="0.2">
      <c r="A9076" s="2">
        <v>2271</v>
      </c>
      <c r="B9076" s="2">
        <v>18</v>
      </c>
      <c r="C9076" s="2">
        <v>41425455</v>
      </c>
      <c r="D9076" s="2">
        <v>42974165</v>
      </c>
      <c r="E9076" s="2">
        <v>2</v>
      </c>
      <c r="F9076" s="2" t="s">
        <v>10086</v>
      </c>
      <c r="H9076" s="2">
        <v>3.3999999999999998E-3</v>
      </c>
      <c r="K9076" s="2" t="s">
        <v>10088</v>
      </c>
    </row>
    <row r="9077" spans="1:11" x14ac:dyDescent="0.2">
      <c r="A9077" s="2">
        <v>2271</v>
      </c>
      <c r="B9077" s="2">
        <v>18</v>
      </c>
      <c r="C9077" s="2">
        <v>41425455</v>
      </c>
      <c r="D9077" s="2">
        <v>42974165</v>
      </c>
      <c r="E9077" s="2">
        <v>3</v>
      </c>
      <c r="F9077" s="2" t="s">
        <v>10086</v>
      </c>
      <c r="H9077" s="2">
        <v>1.6000000000000001E-3</v>
      </c>
      <c r="K9077" s="2" t="s">
        <v>10085</v>
      </c>
    </row>
    <row r="9078" spans="1:11" x14ac:dyDescent="0.2">
      <c r="A9078" s="2">
        <v>2271</v>
      </c>
      <c r="B9078" s="2">
        <v>18</v>
      </c>
      <c r="C9078" s="2">
        <v>41425455</v>
      </c>
      <c r="D9078" s="2">
        <v>42974165</v>
      </c>
      <c r="E9078" s="2">
        <v>4</v>
      </c>
      <c r="F9078" s="2" t="s">
        <v>10086</v>
      </c>
      <c r="H9078" s="3">
        <v>6.9999999999999999E-4</v>
      </c>
      <c r="K9078" s="2" t="s">
        <v>10087</v>
      </c>
    </row>
    <row r="9079" spans="1:11" x14ac:dyDescent="0.2">
      <c r="A9079" s="2">
        <v>2272</v>
      </c>
      <c r="B9079" s="2">
        <v>18</v>
      </c>
      <c r="C9079" s="2">
        <v>42974166</v>
      </c>
      <c r="D9079" s="2">
        <v>44300145</v>
      </c>
      <c r="E9079" s="2">
        <v>1</v>
      </c>
      <c r="F9079" s="2" t="s">
        <v>10086</v>
      </c>
      <c r="H9079" s="2">
        <v>1.01E-2</v>
      </c>
      <c r="K9079" s="2" t="s">
        <v>12324</v>
      </c>
    </row>
    <row r="9080" spans="1:11" x14ac:dyDescent="0.2">
      <c r="A9080" s="2">
        <v>2272</v>
      </c>
      <c r="B9080" s="2">
        <v>18</v>
      </c>
      <c r="C9080" s="2">
        <v>42974166</v>
      </c>
      <c r="D9080" s="2">
        <v>44300145</v>
      </c>
      <c r="E9080" s="2">
        <v>2</v>
      </c>
      <c r="F9080" s="2" t="s">
        <v>10086</v>
      </c>
      <c r="H9080" s="2">
        <v>2E-3</v>
      </c>
      <c r="K9080" s="2" t="s">
        <v>10088</v>
      </c>
    </row>
    <row r="9081" spans="1:11" x14ac:dyDescent="0.2">
      <c r="A9081" s="2">
        <v>2272</v>
      </c>
      <c r="B9081" s="2">
        <v>18</v>
      </c>
      <c r="C9081" s="2">
        <v>42974166</v>
      </c>
      <c r="D9081" s="2">
        <v>44300145</v>
      </c>
      <c r="E9081" s="2">
        <v>3</v>
      </c>
      <c r="F9081" s="2" t="s">
        <v>10086</v>
      </c>
      <c r="H9081" s="2">
        <v>1.4E-3</v>
      </c>
      <c r="K9081" s="2" t="s">
        <v>10089</v>
      </c>
    </row>
    <row r="9082" spans="1:11" x14ac:dyDescent="0.2">
      <c r="A9082" s="2">
        <v>2272</v>
      </c>
      <c r="B9082" s="2">
        <v>18</v>
      </c>
      <c r="C9082" s="2">
        <v>42974166</v>
      </c>
      <c r="D9082" s="2">
        <v>44300145</v>
      </c>
      <c r="E9082" s="2">
        <v>4</v>
      </c>
      <c r="F9082" s="2" t="s">
        <v>10086</v>
      </c>
      <c r="H9082" s="2">
        <v>1E-3</v>
      </c>
      <c r="K9082" s="2" t="s">
        <v>10085</v>
      </c>
    </row>
    <row r="9083" spans="1:11" x14ac:dyDescent="0.2">
      <c r="A9083" s="2">
        <v>2273</v>
      </c>
      <c r="B9083" s="2">
        <v>18</v>
      </c>
      <c r="C9083" s="2">
        <v>44300146</v>
      </c>
      <c r="D9083" s="2">
        <v>45718492</v>
      </c>
      <c r="E9083" s="2">
        <v>1</v>
      </c>
      <c r="F9083" s="2" t="s">
        <v>10086</v>
      </c>
      <c r="H9083" s="2">
        <v>2.3999999999999998E-3</v>
      </c>
      <c r="K9083" s="2" t="s">
        <v>10089</v>
      </c>
    </row>
    <row r="9084" spans="1:11" x14ac:dyDescent="0.2">
      <c r="A9084" s="2">
        <v>2273</v>
      </c>
      <c r="B9084" s="2">
        <v>18</v>
      </c>
      <c r="C9084" s="2">
        <v>44300146</v>
      </c>
      <c r="D9084" s="2">
        <v>45718492</v>
      </c>
      <c r="E9084" s="2">
        <v>2</v>
      </c>
      <c r="F9084" s="2" t="s">
        <v>10086</v>
      </c>
      <c r="H9084" s="2">
        <v>1.6999999999999999E-3</v>
      </c>
      <c r="K9084" s="2" t="s">
        <v>10087</v>
      </c>
    </row>
    <row r="9085" spans="1:11" x14ac:dyDescent="0.2">
      <c r="A9085" s="2">
        <v>2273</v>
      </c>
      <c r="B9085" s="2">
        <v>18</v>
      </c>
      <c r="C9085" s="2">
        <v>44300146</v>
      </c>
      <c r="D9085" s="2">
        <v>45718492</v>
      </c>
      <c r="E9085" s="2">
        <v>3</v>
      </c>
      <c r="F9085" s="2" t="s">
        <v>10086</v>
      </c>
      <c r="H9085" s="2">
        <v>1.1000000000000001E-3</v>
      </c>
      <c r="K9085" s="2" t="s">
        <v>10088</v>
      </c>
    </row>
    <row r="9086" spans="1:11" x14ac:dyDescent="0.2">
      <c r="A9086" s="2">
        <v>2273</v>
      </c>
      <c r="B9086" s="2">
        <v>18</v>
      </c>
      <c r="C9086" s="2">
        <v>44300146</v>
      </c>
      <c r="D9086" s="2">
        <v>45718492</v>
      </c>
      <c r="E9086" s="2">
        <v>4</v>
      </c>
      <c r="F9086" s="2" t="s">
        <v>10086</v>
      </c>
      <c r="H9086" s="3">
        <v>5.9999999999999995E-4</v>
      </c>
      <c r="K9086" s="2" t="s">
        <v>10085</v>
      </c>
    </row>
    <row r="9087" spans="1:11" x14ac:dyDescent="0.2">
      <c r="A9087" s="2">
        <v>2274</v>
      </c>
      <c r="B9087" s="2">
        <v>18</v>
      </c>
      <c r="C9087" s="2">
        <v>45718493</v>
      </c>
      <c r="D9087" s="2">
        <v>46558306</v>
      </c>
      <c r="E9087" s="2">
        <v>1</v>
      </c>
      <c r="F9087" s="2" t="s">
        <v>10086</v>
      </c>
      <c r="H9087" s="2">
        <v>3.5999999999999999E-3</v>
      </c>
      <c r="K9087" s="2" t="s">
        <v>10089</v>
      </c>
    </row>
    <row r="9088" spans="1:11" x14ac:dyDescent="0.2">
      <c r="A9088" s="2">
        <v>2274</v>
      </c>
      <c r="B9088" s="2">
        <v>18</v>
      </c>
      <c r="C9088" s="2">
        <v>45718493</v>
      </c>
      <c r="D9088" s="2">
        <v>46558306</v>
      </c>
      <c r="E9088" s="2">
        <v>2</v>
      </c>
      <c r="F9088" s="2" t="s">
        <v>10086</v>
      </c>
      <c r="H9088" s="2">
        <v>5.1000000000000004E-3</v>
      </c>
      <c r="K9088" s="2" t="s">
        <v>10085</v>
      </c>
    </row>
    <row r="9089" spans="1:11" x14ac:dyDescent="0.2">
      <c r="A9089" s="2">
        <v>2274</v>
      </c>
      <c r="B9089" s="2">
        <v>18</v>
      </c>
      <c r="C9089" s="2">
        <v>45718493</v>
      </c>
      <c r="D9089" s="2">
        <v>46558306</v>
      </c>
      <c r="E9089" s="2">
        <v>3</v>
      </c>
      <c r="F9089" s="2" t="s">
        <v>10086</v>
      </c>
      <c r="H9089" s="2">
        <v>2.8999999999999998E-3</v>
      </c>
      <c r="K9089" s="2" t="s">
        <v>10088</v>
      </c>
    </row>
    <row r="9090" spans="1:11" x14ac:dyDescent="0.2">
      <c r="A9090" s="2">
        <v>2274</v>
      </c>
      <c r="B9090" s="2">
        <v>18</v>
      </c>
      <c r="C9090" s="2">
        <v>45718493</v>
      </c>
      <c r="D9090" s="2">
        <v>46558306</v>
      </c>
      <c r="E9090" s="2">
        <v>4</v>
      </c>
      <c r="F9090" s="2" t="s">
        <v>10086</v>
      </c>
      <c r="H9090" s="3">
        <v>5.0000000000000001E-4</v>
      </c>
      <c r="K9090" s="2" t="s">
        <v>10087</v>
      </c>
    </row>
    <row r="9091" spans="1:11" x14ac:dyDescent="0.2">
      <c r="A9091" s="2">
        <v>2275</v>
      </c>
      <c r="B9091" s="2">
        <v>18</v>
      </c>
      <c r="C9091" s="2">
        <v>46558307</v>
      </c>
      <c r="D9091" s="2">
        <v>47455925</v>
      </c>
      <c r="E9091" s="2">
        <v>1</v>
      </c>
      <c r="F9091" s="2" t="s">
        <v>10086</v>
      </c>
      <c r="H9091" s="3">
        <v>8.9999999999999998E-4</v>
      </c>
      <c r="K9091" s="2" t="s">
        <v>10089</v>
      </c>
    </row>
    <row r="9092" spans="1:11" x14ac:dyDescent="0.2">
      <c r="A9092" s="2">
        <v>2275</v>
      </c>
      <c r="B9092" s="2">
        <v>18</v>
      </c>
      <c r="C9092" s="2">
        <v>46558307</v>
      </c>
      <c r="D9092" s="2">
        <v>47455925</v>
      </c>
      <c r="E9092" s="2">
        <v>2</v>
      </c>
      <c r="F9092" s="2" t="s">
        <v>10086</v>
      </c>
      <c r="H9092" s="3">
        <v>6.9999999999999999E-4</v>
      </c>
      <c r="K9092" s="2" t="s">
        <v>10085</v>
      </c>
    </row>
    <row r="9093" spans="1:11" x14ac:dyDescent="0.2">
      <c r="A9093" s="2">
        <v>2275</v>
      </c>
      <c r="B9093" s="2">
        <v>18</v>
      </c>
      <c r="C9093" s="2">
        <v>46558307</v>
      </c>
      <c r="D9093" s="2">
        <v>47455925</v>
      </c>
      <c r="E9093" s="2">
        <v>3</v>
      </c>
      <c r="F9093" s="2" t="s">
        <v>10086</v>
      </c>
      <c r="H9093" s="3">
        <v>8.0000000000000004E-4</v>
      </c>
      <c r="K9093" s="2" t="s">
        <v>10088</v>
      </c>
    </row>
    <row r="9094" spans="1:11" x14ac:dyDescent="0.2">
      <c r="A9094" s="2">
        <v>2275</v>
      </c>
      <c r="B9094" s="2">
        <v>18</v>
      </c>
      <c r="C9094" s="2">
        <v>46558307</v>
      </c>
      <c r="D9094" s="2">
        <v>47455925</v>
      </c>
      <c r="E9094" s="2">
        <v>4</v>
      </c>
      <c r="F9094" s="2" t="s">
        <v>10086</v>
      </c>
      <c r="H9094" s="3">
        <v>4.0000000000000002E-4</v>
      </c>
      <c r="K9094" s="2" t="s">
        <v>10087</v>
      </c>
    </row>
    <row r="9095" spans="1:11" x14ac:dyDescent="0.2">
      <c r="A9095" s="2">
        <v>2276</v>
      </c>
      <c r="B9095" s="2">
        <v>18</v>
      </c>
      <c r="C9095" s="2">
        <v>47455926</v>
      </c>
      <c r="D9095" s="2">
        <v>48228379</v>
      </c>
      <c r="E9095" s="2">
        <v>1</v>
      </c>
      <c r="F9095" s="2" t="s">
        <v>10086</v>
      </c>
      <c r="H9095" s="2">
        <v>1.1000000000000001E-3</v>
      </c>
      <c r="K9095" s="2" t="s">
        <v>10087</v>
      </c>
    </row>
    <row r="9096" spans="1:11" x14ac:dyDescent="0.2">
      <c r="A9096" s="2">
        <v>2276</v>
      </c>
      <c r="B9096" s="2">
        <v>18</v>
      </c>
      <c r="C9096" s="2">
        <v>47455926</v>
      </c>
      <c r="D9096" s="2">
        <v>48228379</v>
      </c>
      <c r="E9096" s="2">
        <v>2</v>
      </c>
      <c r="F9096" s="2" t="s">
        <v>10086</v>
      </c>
      <c r="H9096" s="3">
        <v>6.9999999999999999E-4</v>
      </c>
      <c r="K9096" s="2" t="s">
        <v>10085</v>
      </c>
    </row>
    <row r="9097" spans="1:11" x14ac:dyDescent="0.2">
      <c r="A9097" s="2">
        <v>2276</v>
      </c>
      <c r="B9097" s="2">
        <v>18</v>
      </c>
      <c r="C9097" s="2">
        <v>47455926</v>
      </c>
      <c r="D9097" s="2">
        <v>48228379</v>
      </c>
      <c r="E9097" s="2">
        <v>3</v>
      </c>
      <c r="F9097" s="2" t="s">
        <v>10086</v>
      </c>
      <c r="H9097" s="3">
        <v>5.0000000000000001E-4</v>
      </c>
      <c r="K9097" s="2" t="s">
        <v>10089</v>
      </c>
    </row>
    <row r="9098" spans="1:11" x14ac:dyDescent="0.2">
      <c r="A9098" s="2">
        <v>2276</v>
      </c>
      <c r="B9098" s="2">
        <v>18</v>
      </c>
      <c r="C9098" s="2">
        <v>47455926</v>
      </c>
      <c r="D9098" s="2">
        <v>48228379</v>
      </c>
      <c r="E9098" s="2">
        <v>4</v>
      </c>
      <c r="F9098" s="2" t="s">
        <v>10086</v>
      </c>
      <c r="H9098" s="3">
        <v>4.0000000000000002E-4</v>
      </c>
      <c r="K9098" s="2" t="s">
        <v>10088</v>
      </c>
    </row>
    <row r="9099" spans="1:11" x14ac:dyDescent="0.2">
      <c r="A9099" s="2">
        <v>2277</v>
      </c>
      <c r="B9099" s="2">
        <v>18</v>
      </c>
      <c r="C9099" s="2">
        <v>48228380</v>
      </c>
      <c r="D9099" s="2">
        <v>49790996</v>
      </c>
      <c r="E9099" s="2">
        <v>1</v>
      </c>
      <c r="F9099" s="2" t="s">
        <v>10086</v>
      </c>
      <c r="H9099" s="2">
        <v>1.5E-3</v>
      </c>
      <c r="K9099" s="2" t="s">
        <v>10088</v>
      </c>
    </row>
    <row r="9100" spans="1:11" x14ac:dyDescent="0.2">
      <c r="A9100" s="2">
        <v>2277</v>
      </c>
      <c r="B9100" s="2">
        <v>18</v>
      </c>
      <c r="C9100" s="2">
        <v>48228380</v>
      </c>
      <c r="D9100" s="2">
        <v>49790996</v>
      </c>
      <c r="E9100" s="2">
        <v>2</v>
      </c>
      <c r="F9100" s="2" t="s">
        <v>10086</v>
      </c>
      <c r="H9100" s="2">
        <v>1.6000000000000001E-3</v>
      </c>
      <c r="K9100" s="2" t="s">
        <v>10087</v>
      </c>
    </row>
    <row r="9101" spans="1:11" x14ac:dyDescent="0.2">
      <c r="A9101" s="2">
        <v>2277</v>
      </c>
      <c r="B9101" s="2">
        <v>18</v>
      </c>
      <c r="C9101" s="2">
        <v>48228380</v>
      </c>
      <c r="D9101" s="2">
        <v>49790996</v>
      </c>
      <c r="E9101" s="2">
        <v>3</v>
      </c>
      <c r="F9101" s="2" t="s">
        <v>10086</v>
      </c>
      <c r="H9101" s="2">
        <v>1.4E-3</v>
      </c>
      <c r="K9101" s="2" t="s">
        <v>10089</v>
      </c>
    </row>
    <row r="9102" spans="1:11" x14ac:dyDescent="0.2">
      <c r="A9102" s="2">
        <v>2277</v>
      </c>
      <c r="B9102" s="2">
        <v>18</v>
      </c>
      <c r="C9102" s="2">
        <v>48228380</v>
      </c>
      <c r="D9102" s="2">
        <v>49790996</v>
      </c>
      <c r="E9102" s="2">
        <v>4</v>
      </c>
      <c r="F9102" s="2" t="s">
        <v>10086</v>
      </c>
      <c r="H9102" s="3">
        <v>5.9999999999999995E-4</v>
      </c>
      <c r="K9102" s="2" t="s">
        <v>10085</v>
      </c>
    </row>
    <row r="9103" spans="1:11" x14ac:dyDescent="0.2">
      <c r="A9103" s="2">
        <v>2278</v>
      </c>
      <c r="B9103" s="2">
        <v>18</v>
      </c>
      <c r="C9103" s="2">
        <v>49790997</v>
      </c>
      <c r="D9103" s="2">
        <v>50372823</v>
      </c>
      <c r="E9103" s="2">
        <v>1</v>
      </c>
      <c r="F9103" s="2" t="s">
        <v>10086</v>
      </c>
      <c r="H9103" s="2">
        <v>2.3E-3</v>
      </c>
      <c r="K9103" s="2" t="s">
        <v>10089</v>
      </c>
    </row>
    <row r="9104" spans="1:11" x14ac:dyDescent="0.2">
      <c r="A9104" s="2">
        <v>2278</v>
      </c>
      <c r="B9104" s="2">
        <v>18</v>
      </c>
      <c r="C9104" s="2">
        <v>49790997</v>
      </c>
      <c r="D9104" s="2">
        <v>50372823</v>
      </c>
      <c r="E9104" s="2">
        <v>2</v>
      </c>
      <c r="F9104" s="2" t="s">
        <v>10086</v>
      </c>
      <c r="H9104" s="2">
        <v>2.3E-3</v>
      </c>
      <c r="K9104" s="2" t="s">
        <v>10088</v>
      </c>
    </row>
    <row r="9105" spans="1:11" x14ac:dyDescent="0.2">
      <c r="A9105" s="2">
        <v>2278</v>
      </c>
      <c r="B9105" s="2">
        <v>18</v>
      </c>
      <c r="C9105" s="2">
        <v>49790997</v>
      </c>
      <c r="D9105" s="2">
        <v>50372823</v>
      </c>
      <c r="E9105" s="2">
        <v>3</v>
      </c>
      <c r="F9105" s="2" t="s">
        <v>10086</v>
      </c>
      <c r="H9105" s="3">
        <v>6.9999999999999999E-4</v>
      </c>
      <c r="K9105" s="2" t="s">
        <v>10085</v>
      </c>
    </row>
    <row r="9106" spans="1:11" x14ac:dyDescent="0.2">
      <c r="A9106" s="2">
        <v>2278</v>
      </c>
      <c r="B9106" s="2">
        <v>18</v>
      </c>
      <c r="C9106" s="2">
        <v>49790997</v>
      </c>
      <c r="D9106" s="2">
        <v>50372823</v>
      </c>
      <c r="E9106" s="2">
        <v>4</v>
      </c>
      <c r="F9106" s="2" t="s">
        <v>10086</v>
      </c>
      <c r="H9106" s="3">
        <v>4.0000000000000002E-4</v>
      </c>
      <c r="K9106" s="2" t="s">
        <v>10087</v>
      </c>
    </row>
    <row r="9107" spans="1:11" x14ac:dyDescent="0.2">
      <c r="A9107" s="2">
        <v>2279</v>
      </c>
      <c r="B9107" s="2">
        <v>18</v>
      </c>
      <c r="C9107" s="2">
        <v>50372824</v>
      </c>
      <c r="D9107" s="2">
        <v>51060986</v>
      </c>
      <c r="E9107" s="2">
        <v>1</v>
      </c>
      <c r="F9107" s="2" t="s">
        <v>10086</v>
      </c>
      <c r="H9107" s="2">
        <v>1.4E-3</v>
      </c>
      <c r="K9107" s="2" t="s">
        <v>10088</v>
      </c>
    </row>
    <row r="9108" spans="1:11" x14ac:dyDescent="0.2">
      <c r="A9108" s="2">
        <v>2279</v>
      </c>
      <c r="B9108" s="2">
        <v>18</v>
      </c>
      <c r="C9108" s="2">
        <v>50372824</v>
      </c>
      <c r="D9108" s="2">
        <v>51060986</v>
      </c>
      <c r="E9108" s="2">
        <v>2</v>
      </c>
      <c r="F9108" s="2" t="s">
        <v>10086</v>
      </c>
      <c r="H9108" s="3">
        <v>8.0000000000000004E-4</v>
      </c>
      <c r="K9108" s="2" t="s">
        <v>10085</v>
      </c>
    </row>
    <row r="9109" spans="1:11" x14ac:dyDescent="0.2">
      <c r="A9109" s="2">
        <v>2279</v>
      </c>
      <c r="B9109" s="2">
        <v>18</v>
      </c>
      <c r="C9109" s="2">
        <v>50372824</v>
      </c>
      <c r="D9109" s="2">
        <v>51060986</v>
      </c>
      <c r="E9109" s="2">
        <v>3</v>
      </c>
      <c r="F9109" s="2" t="s">
        <v>10086</v>
      </c>
      <c r="H9109" s="3">
        <v>5.0000000000000001E-4</v>
      </c>
      <c r="K9109" s="2" t="s">
        <v>10087</v>
      </c>
    </row>
    <row r="9110" spans="1:11" x14ac:dyDescent="0.2">
      <c r="A9110" s="2">
        <v>2279</v>
      </c>
      <c r="B9110" s="2">
        <v>18</v>
      </c>
      <c r="C9110" s="2">
        <v>50372824</v>
      </c>
      <c r="D9110" s="2">
        <v>51060986</v>
      </c>
      <c r="E9110" s="2">
        <v>4</v>
      </c>
      <c r="F9110" s="2" t="s">
        <v>10086</v>
      </c>
      <c r="H9110" s="3">
        <v>4.0000000000000002E-4</v>
      </c>
      <c r="K9110" s="2" t="s">
        <v>10089</v>
      </c>
    </row>
    <row r="9111" spans="1:11" x14ac:dyDescent="0.2">
      <c r="A9111" s="2">
        <v>2280</v>
      </c>
      <c r="B9111" s="2">
        <v>18</v>
      </c>
      <c r="C9111" s="2">
        <v>51060987</v>
      </c>
      <c r="D9111" s="2">
        <v>52512523</v>
      </c>
      <c r="E9111" s="2">
        <v>1</v>
      </c>
      <c r="F9111" s="2" t="s">
        <v>10086</v>
      </c>
      <c r="H9111" s="2">
        <v>3.0000000000000001E-3</v>
      </c>
      <c r="K9111" s="2" t="s">
        <v>10087</v>
      </c>
    </row>
    <row r="9112" spans="1:11" x14ac:dyDescent="0.2">
      <c r="A9112" s="2">
        <v>2280</v>
      </c>
      <c r="B9112" s="2">
        <v>18</v>
      </c>
      <c r="C9112" s="2">
        <v>51060987</v>
      </c>
      <c r="D9112" s="2">
        <v>52512523</v>
      </c>
      <c r="E9112" s="2">
        <v>2</v>
      </c>
      <c r="F9112" s="2" t="s">
        <v>10086</v>
      </c>
      <c r="H9112" s="2">
        <v>1.6000000000000001E-3</v>
      </c>
      <c r="K9112" s="2" t="s">
        <v>10089</v>
      </c>
    </row>
    <row r="9113" spans="1:11" x14ac:dyDescent="0.2">
      <c r="A9113" s="2">
        <v>2280</v>
      </c>
      <c r="B9113" s="2">
        <v>18</v>
      </c>
      <c r="C9113" s="2">
        <v>51060987</v>
      </c>
      <c r="D9113" s="2">
        <v>52512523</v>
      </c>
      <c r="E9113" s="2">
        <v>3</v>
      </c>
      <c r="F9113" s="2" t="s">
        <v>10086</v>
      </c>
      <c r="H9113" s="2">
        <v>1.6000000000000001E-3</v>
      </c>
      <c r="K9113" s="2" t="s">
        <v>12324</v>
      </c>
    </row>
    <row r="9114" spans="1:11" x14ac:dyDescent="0.2">
      <c r="A9114" s="2">
        <v>2280</v>
      </c>
      <c r="B9114" s="2">
        <v>18</v>
      </c>
      <c r="C9114" s="2">
        <v>51060987</v>
      </c>
      <c r="D9114" s="2">
        <v>52512523</v>
      </c>
      <c r="E9114" s="2">
        <v>4</v>
      </c>
      <c r="F9114" s="2" t="s">
        <v>10086</v>
      </c>
      <c r="H9114" s="3">
        <v>8.0000000000000004E-4</v>
      </c>
      <c r="K9114" s="2" t="s">
        <v>10085</v>
      </c>
    </row>
    <row r="9115" spans="1:11" x14ac:dyDescent="0.2">
      <c r="A9115" s="2">
        <v>2281</v>
      </c>
      <c r="B9115" s="2">
        <v>18</v>
      </c>
      <c r="C9115" s="2">
        <v>52512524</v>
      </c>
      <c r="D9115" s="2">
        <v>53762996</v>
      </c>
      <c r="E9115" s="2">
        <v>1</v>
      </c>
      <c r="F9115" s="2" t="s">
        <v>10086</v>
      </c>
      <c r="H9115" s="2">
        <v>1.1999999999999999E-3</v>
      </c>
      <c r="K9115" s="2" t="s">
        <v>10088</v>
      </c>
    </row>
    <row r="9116" spans="1:11" x14ac:dyDescent="0.2">
      <c r="A9116" s="2">
        <v>2281</v>
      </c>
      <c r="B9116" s="2">
        <v>18</v>
      </c>
      <c r="C9116" s="2">
        <v>52512524</v>
      </c>
      <c r="D9116" s="2">
        <v>53762996</v>
      </c>
      <c r="E9116" s="2">
        <v>2</v>
      </c>
      <c r="F9116" s="2" t="s">
        <v>10086</v>
      </c>
      <c r="H9116" s="2">
        <v>1.5E-3</v>
      </c>
      <c r="K9116" s="2" t="s">
        <v>12324</v>
      </c>
    </row>
    <row r="9117" spans="1:11" x14ac:dyDescent="0.2">
      <c r="A9117" s="2">
        <v>2281</v>
      </c>
      <c r="B9117" s="2">
        <v>18</v>
      </c>
      <c r="C9117" s="2">
        <v>52512524</v>
      </c>
      <c r="D9117" s="2">
        <v>53762996</v>
      </c>
      <c r="E9117" s="2">
        <v>3</v>
      </c>
      <c r="F9117" s="2" t="s">
        <v>10086</v>
      </c>
      <c r="H9117" s="2">
        <v>1.1000000000000001E-3</v>
      </c>
      <c r="K9117" s="2" t="s">
        <v>10089</v>
      </c>
    </row>
    <row r="9118" spans="1:11" x14ac:dyDescent="0.2">
      <c r="A9118" s="2">
        <v>2281</v>
      </c>
      <c r="B9118" s="2">
        <v>18</v>
      </c>
      <c r="C9118" s="2">
        <v>52512524</v>
      </c>
      <c r="D9118" s="2">
        <v>53762996</v>
      </c>
      <c r="E9118" s="2">
        <v>4</v>
      </c>
      <c r="F9118" s="2" t="s">
        <v>10086</v>
      </c>
      <c r="H9118" s="3">
        <v>5.9999999999999995E-4</v>
      </c>
      <c r="K9118" s="2" t="s">
        <v>10085</v>
      </c>
    </row>
    <row r="9119" spans="1:11" x14ac:dyDescent="0.2">
      <c r="A9119" s="2">
        <v>2282</v>
      </c>
      <c r="B9119" s="2">
        <v>18</v>
      </c>
      <c r="C9119" s="2">
        <v>53762997</v>
      </c>
      <c r="D9119" s="2">
        <v>54957867</v>
      </c>
      <c r="E9119" s="2">
        <v>1</v>
      </c>
      <c r="F9119" s="2" t="s">
        <v>10086</v>
      </c>
      <c r="H9119" s="2">
        <v>1.4E-3</v>
      </c>
      <c r="K9119" s="2" t="s">
        <v>10088</v>
      </c>
    </row>
    <row r="9120" spans="1:11" x14ac:dyDescent="0.2">
      <c r="A9120" s="2">
        <v>2282</v>
      </c>
      <c r="B9120" s="2">
        <v>18</v>
      </c>
      <c r="C9120" s="2">
        <v>53762997</v>
      </c>
      <c r="D9120" s="2">
        <v>54957867</v>
      </c>
      <c r="E9120" s="2">
        <v>2</v>
      </c>
      <c r="F9120" s="2" t="s">
        <v>10086</v>
      </c>
      <c r="H9120" s="2">
        <v>1.1000000000000001E-3</v>
      </c>
      <c r="K9120" s="2" t="s">
        <v>10085</v>
      </c>
    </row>
    <row r="9121" spans="1:11" x14ac:dyDescent="0.2">
      <c r="A9121" s="2">
        <v>2282</v>
      </c>
      <c r="B9121" s="2">
        <v>18</v>
      </c>
      <c r="C9121" s="2">
        <v>53762997</v>
      </c>
      <c r="D9121" s="2">
        <v>54957867</v>
      </c>
      <c r="E9121" s="2">
        <v>3</v>
      </c>
      <c r="F9121" s="2" t="s">
        <v>10086</v>
      </c>
      <c r="H9121" s="2">
        <v>1.1999999999999999E-3</v>
      </c>
      <c r="K9121" s="2" t="s">
        <v>10087</v>
      </c>
    </row>
    <row r="9122" spans="1:11" x14ac:dyDescent="0.2">
      <c r="A9122" s="2">
        <v>2282</v>
      </c>
      <c r="B9122" s="2">
        <v>18</v>
      </c>
      <c r="C9122" s="2">
        <v>53762997</v>
      </c>
      <c r="D9122" s="2">
        <v>54957867</v>
      </c>
      <c r="E9122" s="2">
        <v>4</v>
      </c>
      <c r="F9122" s="2" t="s">
        <v>10086</v>
      </c>
      <c r="H9122" s="3">
        <v>5.9999999999999995E-4</v>
      </c>
      <c r="K9122" s="2" t="s">
        <v>10089</v>
      </c>
    </row>
    <row r="9123" spans="1:11" x14ac:dyDescent="0.2">
      <c r="A9123" s="2">
        <v>2283</v>
      </c>
      <c r="B9123" s="2">
        <v>18</v>
      </c>
      <c r="C9123" s="2">
        <v>54957868</v>
      </c>
      <c r="D9123" s="2">
        <v>55809315</v>
      </c>
      <c r="E9123" s="2">
        <v>1</v>
      </c>
      <c r="F9123" s="2" t="s">
        <v>10086</v>
      </c>
      <c r="H9123" s="2">
        <v>1.6000000000000001E-3</v>
      </c>
      <c r="K9123" s="2" t="s">
        <v>10088</v>
      </c>
    </row>
    <row r="9124" spans="1:11" x14ac:dyDescent="0.2">
      <c r="A9124" s="2">
        <v>2283</v>
      </c>
      <c r="B9124" s="2">
        <v>18</v>
      </c>
      <c r="C9124" s="2">
        <v>54957868</v>
      </c>
      <c r="D9124" s="2">
        <v>55809315</v>
      </c>
      <c r="E9124" s="2">
        <v>2</v>
      </c>
      <c r="F9124" s="2" t="s">
        <v>10086</v>
      </c>
      <c r="H9124" s="2">
        <v>1.2999999999999999E-3</v>
      </c>
      <c r="K9124" s="2" t="s">
        <v>10089</v>
      </c>
    </row>
    <row r="9125" spans="1:11" x14ac:dyDescent="0.2">
      <c r="A9125" s="2">
        <v>2283</v>
      </c>
      <c r="B9125" s="2">
        <v>18</v>
      </c>
      <c r="C9125" s="2">
        <v>54957868</v>
      </c>
      <c r="D9125" s="2">
        <v>55809315</v>
      </c>
      <c r="E9125" s="2">
        <v>3</v>
      </c>
      <c r="F9125" s="2" t="s">
        <v>10086</v>
      </c>
      <c r="H9125" s="2">
        <v>1E-3</v>
      </c>
      <c r="K9125" s="2" t="s">
        <v>10087</v>
      </c>
    </row>
    <row r="9126" spans="1:11" x14ac:dyDescent="0.2">
      <c r="A9126" s="2">
        <v>2283</v>
      </c>
      <c r="B9126" s="2">
        <v>18</v>
      </c>
      <c r="C9126" s="2">
        <v>54957868</v>
      </c>
      <c r="D9126" s="2">
        <v>55809315</v>
      </c>
      <c r="E9126" s="2">
        <v>4</v>
      </c>
      <c r="F9126" s="2" t="s">
        <v>10086</v>
      </c>
      <c r="H9126" s="3">
        <v>5.9999999999999995E-4</v>
      </c>
      <c r="K9126" s="2" t="s">
        <v>10085</v>
      </c>
    </row>
    <row r="9127" spans="1:11" x14ac:dyDescent="0.2">
      <c r="A9127" s="2">
        <v>2284</v>
      </c>
      <c r="B9127" s="2">
        <v>18</v>
      </c>
      <c r="C9127" s="2">
        <v>55809316</v>
      </c>
      <c r="D9127" s="2">
        <v>56832312</v>
      </c>
      <c r="E9127" s="2">
        <v>1</v>
      </c>
      <c r="F9127" s="2" t="s">
        <v>10086</v>
      </c>
      <c r="H9127" s="2">
        <v>1.1000000000000001E-3</v>
      </c>
      <c r="K9127" s="2" t="s">
        <v>10089</v>
      </c>
    </row>
    <row r="9128" spans="1:11" x14ac:dyDescent="0.2">
      <c r="A9128" s="2">
        <v>2284</v>
      </c>
      <c r="B9128" s="2">
        <v>18</v>
      </c>
      <c r="C9128" s="2">
        <v>55809316</v>
      </c>
      <c r="D9128" s="2">
        <v>56832312</v>
      </c>
      <c r="E9128" s="2">
        <v>2</v>
      </c>
      <c r="F9128" s="2" t="s">
        <v>10086</v>
      </c>
      <c r="H9128" s="3">
        <v>8.0000000000000004E-4</v>
      </c>
      <c r="K9128" s="2" t="s">
        <v>10087</v>
      </c>
    </row>
    <row r="9129" spans="1:11" x14ac:dyDescent="0.2">
      <c r="A9129" s="2">
        <v>2284</v>
      </c>
      <c r="B9129" s="2">
        <v>18</v>
      </c>
      <c r="C9129" s="2">
        <v>55809316</v>
      </c>
      <c r="D9129" s="2">
        <v>56832312</v>
      </c>
      <c r="E9129" s="2">
        <v>3</v>
      </c>
      <c r="F9129" s="2" t="s">
        <v>10086</v>
      </c>
      <c r="H9129" s="3">
        <v>5.9999999999999995E-4</v>
      </c>
      <c r="K9129" s="2" t="s">
        <v>10085</v>
      </c>
    </row>
    <row r="9130" spans="1:11" x14ac:dyDescent="0.2">
      <c r="A9130" s="2">
        <v>2284</v>
      </c>
      <c r="B9130" s="2">
        <v>18</v>
      </c>
      <c r="C9130" s="2">
        <v>55809316</v>
      </c>
      <c r="D9130" s="2">
        <v>56832312</v>
      </c>
      <c r="E9130" s="2">
        <v>4</v>
      </c>
      <c r="F9130" s="2" t="s">
        <v>10086</v>
      </c>
      <c r="H9130" s="3">
        <v>2.9999999999999997E-4</v>
      </c>
      <c r="K9130" s="2" t="s">
        <v>10088</v>
      </c>
    </row>
    <row r="9131" spans="1:11" x14ac:dyDescent="0.2">
      <c r="A9131" s="2">
        <v>2285</v>
      </c>
      <c r="B9131" s="2">
        <v>18</v>
      </c>
      <c r="C9131" s="2">
        <v>56832313</v>
      </c>
      <c r="D9131" s="2">
        <v>57635821</v>
      </c>
      <c r="E9131" s="2">
        <v>1</v>
      </c>
      <c r="F9131" s="2" t="s">
        <v>10086</v>
      </c>
      <c r="H9131" s="3">
        <v>8.0000000000000004E-4</v>
      </c>
      <c r="K9131" s="2" t="s">
        <v>10085</v>
      </c>
    </row>
    <row r="9132" spans="1:11" x14ac:dyDescent="0.2">
      <c r="A9132" s="2">
        <v>2285</v>
      </c>
      <c r="B9132" s="2">
        <v>18</v>
      </c>
      <c r="C9132" s="2">
        <v>56832313</v>
      </c>
      <c r="D9132" s="2">
        <v>57635821</v>
      </c>
      <c r="E9132" s="2">
        <v>2</v>
      </c>
      <c r="F9132" s="2" t="s">
        <v>10086</v>
      </c>
      <c r="H9132" s="2">
        <v>1E-3</v>
      </c>
      <c r="K9132" s="2" t="s">
        <v>10088</v>
      </c>
    </row>
    <row r="9133" spans="1:11" x14ac:dyDescent="0.2">
      <c r="A9133" s="2">
        <v>2285</v>
      </c>
      <c r="B9133" s="2">
        <v>18</v>
      </c>
      <c r="C9133" s="2">
        <v>56832313</v>
      </c>
      <c r="D9133" s="2">
        <v>57635821</v>
      </c>
      <c r="E9133" s="2">
        <v>3</v>
      </c>
      <c r="F9133" s="2" t="s">
        <v>10086</v>
      </c>
      <c r="H9133" s="3">
        <v>6.9999999999999999E-4</v>
      </c>
      <c r="K9133" s="2" t="s">
        <v>10087</v>
      </c>
    </row>
    <row r="9134" spans="1:11" x14ac:dyDescent="0.2">
      <c r="A9134" s="2">
        <v>2285</v>
      </c>
      <c r="B9134" s="2">
        <v>18</v>
      </c>
      <c r="C9134" s="2">
        <v>56832313</v>
      </c>
      <c r="D9134" s="2">
        <v>57635821</v>
      </c>
      <c r="E9134" s="2">
        <v>4</v>
      </c>
      <c r="F9134" s="2" t="s">
        <v>10086</v>
      </c>
      <c r="H9134" s="3">
        <v>2.9999999999999997E-4</v>
      </c>
      <c r="K9134" s="2" t="s">
        <v>10089</v>
      </c>
    </row>
    <row r="9135" spans="1:11" x14ac:dyDescent="0.2">
      <c r="A9135" s="2">
        <v>2286</v>
      </c>
      <c r="B9135" s="2">
        <v>18</v>
      </c>
      <c r="C9135" s="2">
        <v>57635822</v>
      </c>
      <c r="D9135" s="2">
        <v>58527236</v>
      </c>
      <c r="E9135" s="2">
        <v>1</v>
      </c>
      <c r="F9135" s="2" t="s">
        <v>10086</v>
      </c>
      <c r="H9135" s="2">
        <v>1.4E-3</v>
      </c>
      <c r="K9135" s="2" t="s">
        <v>10089</v>
      </c>
    </row>
    <row r="9136" spans="1:11" x14ac:dyDescent="0.2">
      <c r="A9136" s="2">
        <v>2286</v>
      </c>
      <c r="B9136" s="2">
        <v>18</v>
      </c>
      <c r="C9136" s="2">
        <v>57635822</v>
      </c>
      <c r="D9136" s="2">
        <v>58527236</v>
      </c>
      <c r="E9136" s="2">
        <v>2</v>
      </c>
      <c r="F9136" s="2" t="s">
        <v>10086</v>
      </c>
      <c r="H9136" s="2">
        <v>1.1999999999999999E-3</v>
      </c>
      <c r="K9136" s="2" t="s">
        <v>10088</v>
      </c>
    </row>
    <row r="9137" spans="1:11" x14ac:dyDescent="0.2">
      <c r="A9137" s="2">
        <v>2286</v>
      </c>
      <c r="B9137" s="2">
        <v>18</v>
      </c>
      <c r="C9137" s="2">
        <v>57635822</v>
      </c>
      <c r="D9137" s="2">
        <v>58527236</v>
      </c>
      <c r="E9137" s="2">
        <v>3</v>
      </c>
      <c r="F9137" s="2" t="s">
        <v>10086</v>
      </c>
      <c r="H9137" s="3">
        <v>8.0000000000000004E-4</v>
      </c>
      <c r="K9137" s="2" t="s">
        <v>10087</v>
      </c>
    </row>
    <row r="9138" spans="1:11" x14ac:dyDescent="0.2">
      <c r="A9138" s="2">
        <v>2286</v>
      </c>
      <c r="B9138" s="2">
        <v>18</v>
      </c>
      <c r="C9138" s="2">
        <v>57635822</v>
      </c>
      <c r="D9138" s="2">
        <v>58527236</v>
      </c>
      <c r="E9138" s="2">
        <v>4</v>
      </c>
      <c r="F9138" s="2" t="s">
        <v>10086</v>
      </c>
      <c r="H9138" s="3">
        <v>2.9999999999999997E-4</v>
      </c>
      <c r="K9138" s="2" t="s">
        <v>10085</v>
      </c>
    </row>
    <row r="9139" spans="1:11" x14ac:dyDescent="0.2">
      <c r="A9139" s="2">
        <v>2287</v>
      </c>
      <c r="B9139" s="2">
        <v>18</v>
      </c>
      <c r="C9139" s="2">
        <v>58527237</v>
      </c>
      <c r="D9139" s="2">
        <v>59449422</v>
      </c>
      <c r="E9139" s="2">
        <v>1</v>
      </c>
      <c r="F9139" s="2" t="s">
        <v>10086</v>
      </c>
      <c r="H9139" s="2">
        <v>4.5999999999999999E-3</v>
      </c>
      <c r="K9139" s="2" t="s">
        <v>10089</v>
      </c>
    </row>
    <row r="9140" spans="1:11" x14ac:dyDescent="0.2">
      <c r="A9140" s="2">
        <v>2287</v>
      </c>
      <c r="B9140" s="2">
        <v>18</v>
      </c>
      <c r="C9140" s="2">
        <v>58527237</v>
      </c>
      <c r="D9140" s="2">
        <v>59449422</v>
      </c>
      <c r="E9140" s="2">
        <v>2</v>
      </c>
      <c r="F9140" s="2" t="s">
        <v>10086</v>
      </c>
      <c r="H9140" s="2">
        <v>1.1000000000000001E-3</v>
      </c>
      <c r="K9140" s="2" t="s">
        <v>10088</v>
      </c>
    </row>
    <row r="9141" spans="1:11" x14ac:dyDescent="0.2">
      <c r="A9141" s="2">
        <v>2287</v>
      </c>
      <c r="B9141" s="2">
        <v>18</v>
      </c>
      <c r="C9141" s="2">
        <v>58527237</v>
      </c>
      <c r="D9141" s="2">
        <v>59449422</v>
      </c>
      <c r="E9141" s="2">
        <v>3</v>
      </c>
      <c r="F9141" s="2" t="s">
        <v>10086</v>
      </c>
      <c r="H9141" s="3">
        <v>8.0000000000000004E-4</v>
      </c>
      <c r="K9141" s="2" t="s">
        <v>10085</v>
      </c>
    </row>
    <row r="9142" spans="1:11" x14ac:dyDescent="0.2">
      <c r="A9142" s="2">
        <v>2287</v>
      </c>
      <c r="B9142" s="2">
        <v>18</v>
      </c>
      <c r="C9142" s="2">
        <v>58527237</v>
      </c>
      <c r="D9142" s="2">
        <v>59449422</v>
      </c>
      <c r="E9142" s="2">
        <v>4</v>
      </c>
      <c r="F9142" s="2" t="s">
        <v>10086</v>
      </c>
      <c r="H9142" s="3">
        <v>5.0000000000000001E-4</v>
      </c>
      <c r="K9142" s="2" t="s">
        <v>10087</v>
      </c>
    </row>
    <row r="9143" spans="1:11" x14ac:dyDescent="0.2">
      <c r="A9143" s="2">
        <v>2288</v>
      </c>
      <c r="B9143" s="2">
        <v>18</v>
      </c>
      <c r="C9143" s="2">
        <v>59449423</v>
      </c>
      <c r="D9143" s="2">
        <v>60780194</v>
      </c>
      <c r="E9143" s="2">
        <v>1</v>
      </c>
      <c r="F9143" s="2" t="s">
        <v>10086</v>
      </c>
      <c r="H9143" s="2">
        <v>1.2500000000000001E-2</v>
      </c>
      <c r="K9143" s="2" t="s">
        <v>10089</v>
      </c>
    </row>
    <row r="9144" spans="1:11" x14ac:dyDescent="0.2">
      <c r="A9144" s="2">
        <v>2288</v>
      </c>
      <c r="B9144" s="2">
        <v>18</v>
      </c>
      <c r="C9144" s="2">
        <v>59449423</v>
      </c>
      <c r="D9144" s="2">
        <v>60780194</v>
      </c>
      <c r="E9144" s="2">
        <v>2</v>
      </c>
      <c r="F9144" s="2" t="s">
        <v>10086</v>
      </c>
      <c r="H9144" s="2">
        <v>1.6000000000000001E-3</v>
      </c>
      <c r="K9144" s="2" t="s">
        <v>10088</v>
      </c>
    </row>
    <row r="9145" spans="1:11" x14ac:dyDescent="0.2">
      <c r="A9145" s="2">
        <v>2288</v>
      </c>
      <c r="B9145" s="2">
        <v>18</v>
      </c>
      <c r="C9145" s="2">
        <v>59449423</v>
      </c>
      <c r="D9145" s="2">
        <v>60780194</v>
      </c>
      <c r="E9145" s="2">
        <v>3</v>
      </c>
      <c r="F9145" s="2" t="s">
        <v>10086</v>
      </c>
      <c r="H9145" s="3">
        <v>8.9999999999999998E-4</v>
      </c>
      <c r="K9145" s="2" t="s">
        <v>10085</v>
      </c>
    </row>
    <row r="9146" spans="1:11" x14ac:dyDescent="0.2">
      <c r="A9146" s="2">
        <v>2288</v>
      </c>
      <c r="B9146" s="2">
        <v>18</v>
      </c>
      <c r="C9146" s="2">
        <v>59449423</v>
      </c>
      <c r="D9146" s="2">
        <v>60780194</v>
      </c>
      <c r="E9146" s="2">
        <v>4</v>
      </c>
      <c r="F9146" s="2" t="s">
        <v>10086</v>
      </c>
      <c r="H9146" s="3">
        <v>6.9999999999999999E-4</v>
      </c>
      <c r="K9146" s="2" t="s">
        <v>12324</v>
      </c>
    </row>
    <row r="9147" spans="1:11" x14ac:dyDescent="0.2">
      <c r="A9147" s="2">
        <v>2289</v>
      </c>
      <c r="B9147" s="2">
        <v>18</v>
      </c>
      <c r="C9147" s="2">
        <v>60780195</v>
      </c>
      <c r="D9147" s="2">
        <v>62074993</v>
      </c>
      <c r="E9147" s="2">
        <v>1</v>
      </c>
      <c r="F9147" s="2" t="s">
        <v>10086</v>
      </c>
      <c r="H9147" s="2">
        <v>1.4E-3</v>
      </c>
      <c r="K9147" s="2" t="s">
        <v>10089</v>
      </c>
    </row>
    <row r="9148" spans="1:11" x14ac:dyDescent="0.2">
      <c r="A9148" s="2">
        <v>2289</v>
      </c>
      <c r="B9148" s="2">
        <v>18</v>
      </c>
      <c r="C9148" s="2">
        <v>60780195</v>
      </c>
      <c r="D9148" s="2">
        <v>62074993</v>
      </c>
      <c r="E9148" s="2">
        <v>2</v>
      </c>
      <c r="F9148" s="2" t="s">
        <v>10086</v>
      </c>
      <c r="H9148" s="2">
        <v>1.4E-3</v>
      </c>
      <c r="K9148" s="2" t="s">
        <v>10087</v>
      </c>
    </row>
    <row r="9149" spans="1:11" x14ac:dyDescent="0.2">
      <c r="A9149" s="2">
        <v>2289</v>
      </c>
      <c r="B9149" s="2">
        <v>18</v>
      </c>
      <c r="C9149" s="2">
        <v>60780195</v>
      </c>
      <c r="D9149" s="2">
        <v>62074993</v>
      </c>
      <c r="E9149" s="2">
        <v>3</v>
      </c>
      <c r="F9149" s="2" t="s">
        <v>10086</v>
      </c>
      <c r="H9149" s="2">
        <v>1.1999999999999999E-3</v>
      </c>
      <c r="K9149" s="2" t="s">
        <v>10088</v>
      </c>
    </row>
    <row r="9150" spans="1:11" x14ac:dyDescent="0.2">
      <c r="A9150" s="2">
        <v>2289</v>
      </c>
      <c r="B9150" s="2">
        <v>18</v>
      </c>
      <c r="C9150" s="2">
        <v>60780195</v>
      </c>
      <c r="D9150" s="2">
        <v>62074993</v>
      </c>
      <c r="E9150" s="2">
        <v>4</v>
      </c>
      <c r="F9150" s="2" t="s">
        <v>10086</v>
      </c>
      <c r="H9150" s="3">
        <v>5.9999999999999995E-4</v>
      </c>
      <c r="K9150" s="2" t="s">
        <v>10085</v>
      </c>
    </row>
    <row r="9151" spans="1:11" x14ac:dyDescent="0.2">
      <c r="A9151" s="2">
        <v>2290</v>
      </c>
      <c r="B9151" s="2">
        <v>18</v>
      </c>
      <c r="C9151" s="2">
        <v>62074994</v>
      </c>
      <c r="D9151" s="2">
        <v>63109755</v>
      </c>
      <c r="E9151" s="2">
        <v>1</v>
      </c>
      <c r="F9151" s="2" t="s">
        <v>10086</v>
      </c>
      <c r="H9151" s="2">
        <v>2.3E-3</v>
      </c>
      <c r="K9151" s="2" t="s">
        <v>10087</v>
      </c>
    </row>
    <row r="9152" spans="1:11" x14ac:dyDescent="0.2">
      <c r="A9152" s="2">
        <v>2290</v>
      </c>
      <c r="B9152" s="2">
        <v>18</v>
      </c>
      <c r="C9152" s="2">
        <v>62074994</v>
      </c>
      <c r="D9152" s="2">
        <v>63109755</v>
      </c>
      <c r="E9152" s="2">
        <v>2</v>
      </c>
      <c r="F9152" s="2" t="s">
        <v>10086</v>
      </c>
      <c r="H9152" s="2">
        <v>2.0999999999999999E-3</v>
      </c>
      <c r="K9152" s="2" t="s">
        <v>10089</v>
      </c>
    </row>
    <row r="9153" spans="1:11" x14ac:dyDescent="0.2">
      <c r="A9153" s="2">
        <v>2290</v>
      </c>
      <c r="B9153" s="2">
        <v>18</v>
      </c>
      <c r="C9153" s="2">
        <v>62074994</v>
      </c>
      <c r="D9153" s="2">
        <v>63109755</v>
      </c>
      <c r="E9153" s="2">
        <v>3</v>
      </c>
      <c r="F9153" s="2" t="s">
        <v>10086</v>
      </c>
      <c r="H9153" s="2">
        <v>1E-3</v>
      </c>
      <c r="K9153" s="2" t="s">
        <v>10085</v>
      </c>
    </row>
    <row r="9154" spans="1:11" x14ac:dyDescent="0.2">
      <c r="A9154" s="2">
        <v>2290</v>
      </c>
      <c r="B9154" s="2">
        <v>18</v>
      </c>
      <c r="C9154" s="2">
        <v>62074994</v>
      </c>
      <c r="D9154" s="2">
        <v>63109755</v>
      </c>
      <c r="E9154" s="2">
        <v>4</v>
      </c>
      <c r="F9154" s="2" t="s">
        <v>10086</v>
      </c>
      <c r="H9154" s="3">
        <v>4.0000000000000002E-4</v>
      </c>
      <c r="K9154" s="2" t="s">
        <v>10088</v>
      </c>
    </row>
    <row r="9155" spans="1:11" x14ac:dyDescent="0.2">
      <c r="A9155" s="2">
        <v>2291</v>
      </c>
      <c r="B9155" s="2">
        <v>18</v>
      </c>
      <c r="C9155" s="2">
        <v>63109756</v>
      </c>
      <c r="D9155" s="2">
        <v>64253143</v>
      </c>
      <c r="E9155" s="2">
        <v>1</v>
      </c>
      <c r="F9155" s="2" t="s">
        <v>10086</v>
      </c>
      <c r="H9155" s="2">
        <v>1.5E-3</v>
      </c>
      <c r="K9155" s="2" t="s">
        <v>10089</v>
      </c>
    </row>
    <row r="9156" spans="1:11" x14ac:dyDescent="0.2">
      <c r="A9156" s="2">
        <v>2291</v>
      </c>
      <c r="B9156" s="2">
        <v>18</v>
      </c>
      <c r="C9156" s="2">
        <v>63109756</v>
      </c>
      <c r="D9156" s="2">
        <v>64253143</v>
      </c>
      <c r="E9156" s="2">
        <v>2</v>
      </c>
      <c r="F9156" s="2" t="s">
        <v>10086</v>
      </c>
      <c r="H9156" s="3">
        <v>8.9999999999999998E-4</v>
      </c>
      <c r="K9156" s="2" t="s">
        <v>10088</v>
      </c>
    </row>
    <row r="9157" spans="1:11" x14ac:dyDescent="0.2">
      <c r="A9157" s="2">
        <v>2291</v>
      </c>
      <c r="B9157" s="2">
        <v>18</v>
      </c>
      <c r="C9157" s="2">
        <v>63109756</v>
      </c>
      <c r="D9157" s="2">
        <v>64253143</v>
      </c>
      <c r="E9157" s="2">
        <v>3</v>
      </c>
      <c r="F9157" s="2" t="s">
        <v>10086</v>
      </c>
      <c r="H9157" s="3">
        <v>6.9999999999999999E-4</v>
      </c>
      <c r="K9157" s="2" t="s">
        <v>12324</v>
      </c>
    </row>
    <row r="9158" spans="1:11" x14ac:dyDescent="0.2">
      <c r="A9158" s="2">
        <v>2291</v>
      </c>
      <c r="B9158" s="2">
        <v>18</v>
      </c>
      <c r="C9158" s="2">
        <v>63109756</v>
      </c>
      <c r="D9158" s="2">
        <v>64253143</v>
      </c>
      <c r="E9158" s="2">
        <v>4</v>
      </c>
      <c r="F9158" s="2" t="s">
        <v>10086</v>
      </c>
      <c r="H9158" s="3">
        <v>6.9999999999999999E-4</v>
      </c>
      <c r="K9158" s="2" t="s">
        <v>10085</v>
      </c>
    </row>
    <row r="9159" spans="1:11" x14ac:dyDescent="0.2">
      <c r="A9159" s="2">
        <v>2292</v>
      </c>
      <c r="B9159" s="2">
        <v>18</v>
      </c>
      <c r="C9159" s="2">
        <v>64253144</v>
      </c>
      <c r="D9159" s="2">
        <v>65294195</v>
      </c>
      <c r="E9159" s="2">
        <v>1</v>
      </c>
      <c r="F9159" s="2" t="s">
        <v>10086</v>
      </c>
      <c r="H9159" s="2">
        <v>3.0999999999999999E-3</v>
      </c>
      <c r="K9159" s="2" t="s">
        <v>10088</v>
      </c>
    </row>
    <row r="9160" spans="1:11" x14ac:dyDescent="0.2">
      <c r="A9160" s="2">
        <v>2292</v>
      </c>
      <c r="B9160" s="2">
        <v>18</v>
      </c>
      <c r="C9160" s="2">
        <v>64253144</v>
      </c>
      <c r="D9160" s="2">
        <v>65294195</v>
      </c>
      <c r="E9160" s="2">
        <v>2</v>
      </c>
      <c r="F9160" s="2" t="s">
        <v>10086</v>
      </c>
      <c r="H9160" s="2">
        <v>2E-3</v>
      </c>
      <c r="K9160" s="2" t="s">
        <v>10087</v>
      </c>
    </row>
    <row r="9161" spans="1:11" x14ac:dyDescent="0.2">
      <c r="A9161" s="2">
        <v>2292</v>
      </c>
      <c r="B9161" s="2">
        <v>18</v>
      </c>
      <c r="C9161" s="2">
        <v>64253144</v>
      </c>
      <c r="D9161" s="2">
        <v>65294195</v>
      </c>
      <c r="E9161" s="2">
        <v>3</v>
      </c>
      <c r="F9161" s="2" t="s">
        <v>10086</v>
      </c>
      <c r="H9161" s="2">
        <v>1.1999999999999999E-3</v>
      </c>
      <c r="K9161" s="2" t="s">
        <v>10089</v>
      </c>
    </row>
    <row r="9162" spans="1:11" x14ac:dyDescent="0.2">
      <c r="A9162" s="2">
        <v>2292</v>
      </c>
      <c r="B9162" s="2">
        <v>18</v>
      </c>
      <c r="C9162" s="2">
        <v>64253144</v>
      </c>
      <c r="D9162" s="2">
        <v>65294195</v>
      </c>
      <c r="E9162" s="2">
        <v>4</v>
      </c>
      <c r="F9162" s="2" t="s">
        <v>10086</v>
      </c>
      <c r="H9162" s="3">
        <v>4.0000000000000002E-4</v>
      </c>
      <c r="K9162" s="2" t="s">
        <v>10085</v>
      </c>
    </row>
    <row r="9163" spans="1:11" x14ac:dyDescent="0.2">
      <c r="A9163" s="2">
        <v>2293</v>
      </c>
      <c r="B9163" s="2">
        <v>18</v>
      </c>
      <c r="C9163" s="2">
        <v>65294196</v>
      </c>
      <c r="D9163" s="2">
        <v>66407960</v>
      </c>
      <c r="E9163" s="2">
        <v>1</v>
      </c>
      <c r="F9163" s="2" t="s">
        <v>10086</v>
      </c>
      <c r="H9163" s="2">
        <v>3.5999999999999999E-3</v>
      </c>
      <c r="K9163" s="2" t="s">
        <v>10088</v>
      </c>
    </row>
    <row r="9164" spans="1:11" x14ac:dyDescent="0.2">
      <c r="A9164" s="2">
        <v>2293</v>
      </c>
      <c r="B9164" s="2">
        <v>18</v>
      </c>
      <c r="C9164" s="2">
        <v>65294196</v>
      </c>
      <c r="D9164" s="2">
        <v>66407960</v>
      </c>
      <c r="E9164" s="2">
        <v>2</v>
      </c>
      <c r="F9164" s="2" t="s">
        <v>10086</v>
      </c>
      <c r="H9164" s="2">
        <v>1.2999999999999999E-3</v>
      </c>
      <c r="K9164" s="2" t="s">
        <v>10087</v>
      </c>
    </row>
    <row r="9165" spans="1:11" x14ac:dyDescent="0.2">
      <c r="A9165" s="2">
        <v>2293</v>
      </c>
      <c r="B9165" s="2">
        <v>18</v>
      </c>
      <c r="C9165" s="2">
        <v>65294196</v>
      </c>
      <c r="D9165" s="2">
        <v>66407960</v>
      </c>
      <c r="E9165" s="2">
        <v>3</v>
      </c>
      <c r="F9165" s="2" t="s">
        <v>10086</v>
      </c>
      <c r="H9165" s="3">
        <v>8.9999999999999998E-4</v>
      </c>
      <c r="K9165" s="2" t="s">
        <v>10085</v>
      </c>
    </row>
    <row r="9166" spans="1:11" x14ac:dyDescent="0.2">
      <c r="A9166" s="2">
        <v>2293</v>
      </c>
      <c r="B9166" s="2">
        <v>18</v>
      </c>
      <c r="C9166" s="2">
        <v>65294196</v>
      </c>
      <c r="D9166" s="2">
        <v>66407960</v>
      </c>
      <c r="E9166" s="2">
        <v>4</v>
      </c>
      <c r="F9166" s="2" t="s">
        <v>10086</v>
      </c>
      <c r="H9166" s="3">
        <v>8.0000000000000004E-4</v>
      </c>
      <c r="K9166" s="2" t="s">
        <v>12324</v>
      </c>
    </row>
    <row r="9167" spans="1:11" x14ac:dyDescent="0.2">
      <c r="A9167" s="2">
        <v>2294</v>
      </c>
      <c r="B9167" s="2">
        <v>18</v>
      </c>
      <c r="C9167" s="2">
        <v>66407961</v>
      </c>
      <c r="D9167" s="2">
        <v>67195980</v>
      </c>
      <c r="E9167" s="2">
        <v>1</v>
      </c>
      <c r="F9167" s="2" t="s">
        <v>10086</v>
      </c>
      <c r="H9167" s="2">
        <v>1.1999999999999999E-3</v>
      </c>
      <c r="K9167" s="2" t="s">
        <v>10088</v>
      </c>
    </row>
    <row r="9168" spans="1:11" x14ac:dyDescent="0.2">
      <c r="A9168" s="2">
        <v>2294</v>
      </c>
      <c r="B9168" s="2">
        <v>18</v>
      </c>
      <c r="C9168" s="2">
        <v>66407961</v>
      </c>
      <c r="D9168" s="2">
        <v>67195980</v>
      </c>
      <c r="E9168" s="2">
        <v>2</v>
      </c>
      <c r="F9168" s="2" t="s">
        <v>10086</v>
      </c>
      <c r="H9168" s="3">
        <v>8.9999999999999998E-4</v>
      </c>
      <c r="K9168" s="2" t="s">
        <v>10087</v>
      </c>
    </row>
    <row r="9169" spans="1:11" x14ac:dyDescent="0.2">
      <c r="A9169" s="2">
        <v>2294</v>
      </c>
      <c r="B9169" s="2">
        <v>18</v>
      </c>
      <c r="C9169" s="2">
        <v>66407961</v>
      </c>
      <c r="D9169" s="2">
        <v>67195980</v>
      </c>
      <c r="E9169" s="2">
        <v>3</v>
      </c>
      <c r="F9169" s="2" t="s">
        <v>10086</v>
      </c>
      <c r="H9169" s="2">
        <v>1.1000000000000001E-3</v>
      </c>
      <c r="K9169" s="2" t="s">
        <v>12324</v>
      </c>
    </row>
    <row r="9170" spans="1:11" x14ac:dyDescent="0.2">
      <c r="A9170" s="2">
        <v>2294</v>
      </c>
      <c r="B9170" s="2">
        <v>18</v>
      </c>
      <c r="C9170" s="2">
        <v>66407961</v>
      </c>
      <c r="D9170" s="2">
        <v>67195980</v>
      </c>
      <c r="E9170" s="2">
        <v>4</v>
      </c>
      <c r="F9170" s="2" t="s">
        <v>10086</v>
      </c>
      <c r="H9170" s="3">
        <v>6.9999999999999999E-4</v>
      </c>
      <c r="K9170" s="2" t="s">
        <v>10085</v>
      </c>
    </row>
    <row r="9171" spans="1:11" x14ac:dyDescent="0.2">
      <c r="A9171" s="2">
        <v>2295</v>
      </c>
      <c r="B9171" s="2">
        <v>18</v>
      </c>
      <c r="C9171" s="2">
        <v>67195981</v>
      </c>
      <c r="D9171" s="2">
        <v>68051035</v>
      </c>
      <c r="E9171" s="2">
        <v>1</v>
      </c>
      <c r="F9171" s="2" t="s">
        <v>10086</v>
      </c>
      <c r="H9171" s="2">
        <v>1.9E-3</v>
      </c>
      <c r="K9171" s="2" t="s">
        <v>10087</v>
      </c>
    </row>
    <row r="9172" spans="1:11" x14ac:dyDescent="0.2">
      <c r="A9172" s="2">
        <v>2295</v>
      </c>
      <c r="B9172" s="2">
        <v>18</v>
      </c>
      <c r="C9172" s="2">
        <v>67195981</v>
      </c>
      <c r="D9172" s="2">
        <v>68051035</v>
      </c>
      <c r="E9172" s="2">
        <v>2</v>
      </c>
      <c r="F9172" s="2" t="s">
        <v>10086</v>
      </c>
      <c r="H9172" s="2">
        <v>1.4E-3</v>
      </c>
      <c r="K9172" s="2" t="s">
        <v>10085</v>
      </c>
    </row>
    <row r="9173" spans="1:11" x14ac:dyDescent="0.2">
      <c r="A9173" s="2">
        <v>2295</v>
      </c>
      <c r="B9173" s="2">
        <v>18</v>
      </c>
      <c r="C9173" s="2">
        <v>67195981</v>
      </c>
      <c r="D9173" s="2">
        <v>68051035</v>
      </c>
      <c r="E9173" s="2">
        <v>3</v>
      </c>
      <c r="F9173" s="2" t="s">
        <v>10086</v>
      </c>
      <c r="H9173" s="3">
        <v>8.9999999999999998E-4</v>
      </c>
      <c r="K9173" s="2" t="s">
        <v>10089</v>
      </c>
    </row>
    <row r="9174" spans="1:11" x14ac:dyDescent="0.2">
      <c r="A9174" s="2">
        <v>2295</v>
      </c>
      <c r="B9174" s="2">
        <v>18</v>
      </c>
      <c r="C9174" s="2">
        <v>67195981</v>
      </c>
      <c r="D9174" s="2">
        <v>68051035</v>
      </c>
      <c r="E9174" s="2">
        <v>4</v>
      </c>
      <c r="F9174" s="2" t="s">
        <v>10086</v>
      </c>
      <c r="H9174" s="3">
        <v>4.0000000000000002E-4</v>
      </c>
      <c r="K9174" s="2" t="s">
        <v>10088</v>
      </c>
    </row>
    <row r="9175" spans="1:11" x14ac:dyDescent="0.2">
      <c r="A9175" s="2">
        <v>2296</v>
      </c>
      <c r="B9175" s="2">
        <v>18</v>
      </c>
      <c r="C9175" s="2">
        <v>68051036</v>
      </c>
      <c r="D9175" s="2">
        <v>69311742</v>
      </c>
      <c r="E9175" s="2">
        <v>1</v>
      </c>
      <c r="F9175" s="2" t="s">
        <v>10086</v>
      </c>
      <c r="H9175" s="2">
        <v>3.5999999999999999E-3</v>
      </c>
      <c r="K9175" s="2" t="s">
        <v>10085</v>
      </c>
    </row>
    <row r="9176" spans="1:11" x14ac:dyDescent="0.2">
      <c r="A9176" s="2">
        <v>2296</v>
      </c>
      <c r="B9176" s="2">
        <v>18</v>
      </c>
      <c r="C9176" s="2">
        <v>68051036</v>
      </c>
      <c r="D9176" s="2">
        <v>69311742</v>
      </c>
      <c r="E9176" s="2">
        <v>2</v>
      </c>
      <c r="F9176" s="2" t="s">
        <v>10086</v>
      </c>
      <c r="H9176" s="2">
        <v>1.6999999999999999E-3</v>
      </c>
      <c r="K9176" s="2" t="s">
        <v>10089</v>
      </c>
    </row>
    <row r="9177" spans="1:11" x14ac:dyDescent="0.2">
      <c r="A9177" s="2">
        <v>2296</v>
      </c>
      <c r="B9177" s="2">
        <v>18</v>
      </c>
      <c r="C9177" s="2">
        <v>68051036</v>
      </c>
      <c r="D9177" s="2">
        <v>69311742</v>
      </c>
      <c r="E9177" s="2">
        <v>3</v>
      </c>
      <c r="F9177" s="2" t="s">
        <v>10086</v>
      </c>
      <c r="H9177" s="2">
        <v>1.9E-3</v>
      </c>
      <c r="K9177" s="2" t="s">
        <v>10088</v>
      </c>
    </row>
    <row r="9178" spans="1:11" x14ac:dyDescent="0.2">
      <c r="A9178" s="2">
        <v>2296</v>
      </c>
      <c r="B9178" s="2">
        <v>18</v>
      </c>
      <c r="C9178" s="2">
        <v>68051036</v>
      </c>
      <c r="D9178" s="2">
        <v>69311742</v>
      </c>
      <c r="E9178" s="2">
        <v>4</v>
      </c>
      <c r="F9178" s="2" t="s">
        <v>10086</v>
      </c>
      <c r="H9178" s="3">
        <v>8.0000000000000004E-4</v>
      </c>
      <c r="K9178" s="2" t="s">
        <v>10087</v>
      </c>
    </row>
    <row r="9179" spans="1:11" x14ac:dyDescent="0.2">
      <c r="A9179" s="2">
        <v>2297</v>
      </c>
      <c r="B9179" s="2">
        <v>18</v>
      </c>
      <c r="C9179" s="2">
        <v>69311743</v>
      </c>
      <c r="D9179" s="2">
        <v>70540349</v>
      </c>
      <c r="E9179" s="2">
        <v>1</v>
      </c>
      <c r="F9179" s="2" t="s">
        <v>10086</v>
      </c>
      <c r="H9179" s="2">
        <v>2.8E-3</v>
      </c>
      <c r="K9179" s="2" t="s">
        <v>10085</v>
      </c>
    </row>
    <row r="9180" spans="1:11" x14ac:dyDescent="0.2">
      <c r="A9180" s="2">
        <v>2297</v>
      </c>
      <c r="B9180" s="2">
        <v>18</v>
      </c>
      <c r="C9180" s="2">
        <v>69311743</v>
      </c>
      <c r="D9180" s="2">
        <v>70540349</v>
      </c>
      <c r="E9180" s="2">
        <v>2</v>
      </c>
      <c r="F9180" s="2" t="s">
        <v>10086</v>
      </c>
      <c r="H9180" s="2">
        <v>2.3999999999999998E-3</v>
      </c>
      <c r="K9180" s="2" t="s">
        <v>10088</v>
      </c>
    </row>
    <row r="9181" spans="1:11" x14ac:dyDescent="0.2">
      <c r="A9181" s="2">
        <v>2297</v>
      </c>
      <c r="B9181" s="2">
        <v>18</v>
      </c>
      <c r="C9181" s="2">
        <v>69311743</v>
      </c>
      <c r="D9181" s="2">
        <v>70540349</v>
      </c>
      <c r="E9181" s="2">
        <v>3</v>
      </c>
      <c r="F9181" s="2" t="s">
        <v>10086</v>
      </c>
      <c r="H9181" s="2">
        <v>1.4E-3</v>
      </c>
      <c r="K9181" s="2" t="s">
        <v>12324</v>
      </c>
    </row>
    <row r="9182" spans="1:11" x14ac:dyDescent="0.2">
      <c r="A9182" s="2">
        <v>2297</v>
      </c>
      <c r="B9182" s="2">
        <v>18</v>
      </c>
      <c r="C9182" s="2">
        <v>69311743</v>
      </c>
      <c r="D9182" s="2">
        <v>70540349</v>
      </c>
      <c r="E9182" s="2">
        <v>4</v>
      </c>
      <c r="F9182" s="2" t="s">
        <v>10086</v>
      </c>
      <c r="H9182" s="2">
        <v>1E-3</v>
      </c>
      <c r="K9182" s="2" t="s">
        <v>10089</v>
      </c>
    </row>
    <row r="9183" spans="1:11" x14ac:dyDescent="0.2">
      <c r="A9183" s="2">
        <v>2298</v>
      </c>
      <c r="B9183" s="2">
        <v>18</v>
      </c>
      <c r="C9183" s="2">
        <v>70540350</v>
      </c>
      <c r="D9183" s="2">
        <v>71491860</v>
      </c>
      <c r="E9183" s="2">
        <v>1</v>
      </c>
      <c r="F9183" s="2" t="s">
        <v>10086</v>
      </c>
      <c r="H9183" s="2">
        <v>1.6999999999999999E-3</v>
      </c>
      <c r="K9183" s="2" t="s">
        <v>10087</v>
      </c>
    </row>
    <row r="9184" spans="1:11" x14ac:dyDescent="0.2">
      <c r="A9184" s="2">
        <v>2298</v>
      </c>
      <c r="B9184" s="2">
        <v>18</v>
      </c>
      <c r="C9184" s="2">
        <v>70540350</v>
      </c>
      <c r="D9184" s="2">
        <v>71491860</v>
      </c>
      <c r="E9184" s="2">
        <v>2</v>
      </c>
      <c r="F9184" s="2" t="s">
        <v>10086</v>
      </c>
      <c r="H9184" s="2">
        <v>1.1000000000000001E-3</v>
      </c>
      <c r="K9184" s="2" t="s">
        <v>10085</v>
      </c>
    </row>
    <row r="9185" spans="1:11" x14ac:dyDescent="0.2">
      <c r="A9185" s="2">
        <v>2298</v>
      </c>
      <c r="B9185" s="2">
        <v>18</v>
      </c>
      <c r="C9185" s="2">
        <v>70540350</v>
      </c>
      <c r="D9185" s="2">
        <v>71491860</v>
      </c>
      <c r="E9185" s="2">
        <v>3</v>
      </c>
      <c r="F9185" s="2" t="s">
        <v>10086</v>
      </c>
      <c r="H9185" s="3">
        <v>8.9999999999999998E-4</v>
      </c>
      <c r="K9185" s="2" t="s">
        <v>10089</v>
      </c>
    </row>
    <row r="9186" spans="1:11" x14ac:dyDescent="0.2">
      <c r="A9186" s="2">
        <v>2298</v>
      </c>
      <c r="B9186" s="2">
        <v>18</v>
      </c>
      <c r="C9186" s="2">
        <v>70540350</v>
      </c>
      <c r="D9186" s="2">
        <v>71491860</v>
      </c>
      <c r="E9186" s="2">
        <v>4</v>
      </c>
      <c r="F9186" s="2" t="s">
        <v>10086</v>
      </c>
      <c r="H9186" s="3">
        <v>4.0000000000000002E-4</v>
      </c>
      <c r="K9186" s="2" t="s">
        <v>10088</v>
      </c>
    </row>
    <row r="9187" spans="1:11" x14ac:dyDescent="0.2">
      <c r="A9187" s="2">
        <v>2299</v>
      </c>
      <c r="B9187" s="2">
        <v>18</v>
      </c>
      <c r="C9187" s="2">
        <v>71491861</v>
      </c>
      <c r="D9187" s="2">
        <v>72785206</v>
      </c>
      <c r="E9187" s="2">
        <v>1</v>
      </c>
      <c r="F9187" s="2" t="s">
        <v>10086</v>
      </c>
      <c r="H9187" s="2">
        <v>1.9E-3</v>
      </c>
      <c r="K9187" s="2" t="s">
        <v>12324</v>
      </c>
    </row>
    <row r="9188" spans="1:11" x14ac:dyDescent="0.2">
      <c r="A9188" s="2">
        <v>2299</v>
      </c>
      <c r="B9188" s="2">
        <v>18</v>
      </c>
      <c r="C9188" s="2">
        <v>71491861</v>
      </c>
      <c r="D9188" s="2">
        <v>72785206</v>
      </c>
      <c r="E9188" s="2">
        <v>2</v>
      </c>
      <c r="F9188" s="2" t="s">
        <v>10086</v>
      </c>
      <c r="H9188" s="2">
        <v>1.1000000000000001E-3</v>
      </c>
      <c r="K9188" s="2" t="s">
        <v>10085</v>
      </c>
    </row>
    <row r="9189" spans="1:11" x14ac:dyDescent="0.2">
      <c r="A9189" s="2">
        <v>2299</v>
      </c>
      <c r="B9189" s="2">
        <v>18</v>
      </c>
      <c r="C9189" s="2">
        <v>71491861</v>
      </c>
      <c r="D9189" s="2">
        <v>72785206</v>
      </c>
      <c r="E9189" s="2">
        <v>3</v>
      </c>
      <c r="F9189" s="2" t="s">
        <v>10086</v>
      </c>
      <c r="H9189" s="2">
        <v>1.4E-3</v>
      </c>
      <c r="K9189" s="2" t="s">
        <v>10087</v>
      </c>
    </row>
    <row r="9190" spans="1:11" x14ac:dyDescent="0.2">
      <c r="A9190" s="2">
        <v>2299</v>
      </c>
      <c r="B9190" s="2">
        <v>18</v>
      </c>
      <c r="C9190" s="2">
        <v>71491861</v>
      </c>
      <c r="D9190" s="2">
        <v>72785206</v>
      </c>
      <c r="E9190" s="2">
        <v>4</v>
      </c>
      <c r="F9190" s="2" t="s">
        <v>10086</v>
      </c>
      <c r="H9190" s="3">
        <v>8.9999999999999998E-4</v>
      </c>
      <c r="K9190" s="2" t="s">
        <v>10089</v>
      </c>
    </row>
    <row r="9191" spans="1:11" x14ac:dyDescent="0.2">
      <c r="A9191" s="2">
        <v>2300</v>
      </c>
      <c r="B9191" s="2">
        <v>18</v>
      </c>
      <c r="C9191" s="2">
        <v>72785207</v>
      </c>
      <c r="D9191" s="2">
        <v>73568260</v>
      </c>
      <c r="E9191" s="2">
        <v>1</v>
      </c>
      <c r="F9191" s="2" t="s">
        <v>10086</v>
      </c>
      <c r="H9191" s="2">
        <v>1.6000000000000001E-3</v>
      </c>
      <c r="K9191" s="2" t="s">
        <v>10088</v>
      </c>
    </row>
    <row r="9192" spans="1:11" x14ac:dyDescent="0.2">
      <c r="A9192" s="2">
        <v>2300</v>
      </c>
      <c r="B9192" s="2">
        <v>18</v>
      </c>
      <c r="C9192" s="2">
        <v>72785207</v>
      </c>
      <c r="D9192" s="2">
        <v>73568260</v>
      </c>
      <c r="E9192" s="2">
        <v>2</v>
      </c>
      <c r="F9192" s="2" t="s">
        <v>10086</v>
      </c>
      <c r="H9192" s="2">
        <v>1E-3</v>
      </c>
      <c r="K9192" s="2" t="s">
        <v>10085</v>
      </c>
    </row>
    <row r="9193" spans="1:11" x14ac:dyDescent="0.2">
      <c r="A9193" s="2">
        <v>2300</v>
      </c>
      <c r="B9193" s="2">
        <v>18</v>
      </c>
      <c r="C9193" s="2">
        <v>72785207</v>
      </c>
      <c r="D9193" s="2">
        <v>73568260</v>
      </c>
      <c r="E9193" s="2">
        <v>3</v>
      </c>
      <c r="F9193" s="2" t="s">
        <v>10086</v>
      </c>
      <c r="H9193" s="2">
        <v>1E-3</v>
      </c>
      <c r="K9193" s="2" t="s">
        <v>10089</v>
      </c>
    </row>
    <row r="9194" spans="1:11" x14ac:dyDescent="0.2">
      <c r="A9194" s="2">
        <v>2300</v>
      </c>
      <c r="B9194" s="2">
        <v>18</v>
      </c>
      <c r="C9194" s="2">
        <v>72785207</v>
      </c>
      <c r="D9194" s="2">
        <v>73568260</v>
      </c>
      <c r="E9194" s="2">
        <v>4</v>
      </c>
      <c r="F9194" s="2" t="s">
        <v>10086</v>
      </c>
      <c r="H9194" s="3">
        <v>4.0000000000000002E-4</v>
      </c>
      <c r="K9194" s="2" t="s">
        <v>10087</v>
      </c>
    </row>
    <row r="9195" spans="1:11" x14ac:dyDescent="0.2">
      <c r="A9195" s="2">
        <v>2301</v>
      </c>
      <c r="B9195" s="2">
        <v>18</v>
      </c>
      <c r="C9195" s="2">
        <v>73568261</v>
      </c>
      <c r="D9195" s="2">
        <v>74471745</v>
      </c>
      <c r="E9195" s="2">
        <v>1</v>
      </c>
      <c r="F9195" s="2" t="s">
        <v>10086</v>
      </c>
      <c r="H9195" s="2">
        <v>2.5999999999999999E-3</v>
      </c>
      <c r="K9195" s="2" t="s">
        <v>10088</v>
      </c>
    </row>
    <row r="9196" spans="1:11" x14ac:dyDescent="0.2">
      <c r="A9196" s="2">
        <v>2301</v>
      </c>
      <c r="B9196" s="2">
        <v>18</v>
      </c>
      <c r="C9196" s="2">
        <v>73568261</v>
      </c>
      <c r="D9196" s="2">
        <v>74471745</v>
      </c>
      <c r="E9196" s="2">
        <v>2</v>
      </c>
      <c r="F9196" s="2" t="s">
        <v>10086</v>
      </c>
      <c r="H9196" s="2">
        <v>1.1999999999999999E-3</v>
      </c>
      <c r="K9196" s="2" t="s">
        <v>10085</v>
      </c>
    </row>
    <row r="9197" spans="1:11" x14ac:dyDescent="0.2">
      <c r="A9197" s="2">
        <v>2301</v>
      </c>
      <c r="B9197" s="2">
        <v>18</v>
      </c>
      <c r="C9197" s="2">
        <v>73568261</v>
      </c>
      <c r="D9197" s="2">
        <v>74471745</v>
      </c>
      <c r="E9197" s="2">
        <v>3</v>
      </c>
      <c r="F9197" s="2" t="s">
        <v>10086</v>
      </c>
      <c r="H9197" s="2">
        <v>1.1999999999999999E-3</v>
      </c>
      <c r="K9197" s="2" t="s">
        <v>10089</v>
      </c>
    </row>
    <row r="9198" spans="1:11" x14ac:dyDescent="0.2">
      <c r="A9198" s="2">
        <v>2301</v>
      </c>
      <c r="B9198" s="2">
        <v>18</v>
      </c>
      <c r="C9198" s="2">
        <v>73568261</v>
      </c>
      <c r="D9198" s="2">
        <v>74471745</v>
      </c>
      <c r="E9198" s="2">
        <v>4</v>
      </c>
      <c r="F9198" s="2" t="s">
        <v>10086</v>
      </c>
      <c r="H9198" s="3">
        <v>5.9999999999999995E-4</v>
      </c>
      <c r="K9198" s="2" t="s">
        <v>10087</v>
      </c>
    </row>
    <row r="9199" spans="1:11" x14ac:dyDescent="0.2">
      <c r="A9199" s="2">
        <v>2302</v>
      </c>
      <c r="B9199" s="2">
        <v>18</v>
      </c>
      <c r="C9199" s="2">
        <v>74471746</v>
      </c>
      <c r="D9199" s="2">
        <v>75240760</v>
      </c>
      <c r="E9199" s="2">
        <v>1</v>
      </c>
      <c r="F9199" s="2" t="s">
        <v>10086</v>
      </c>
      <c r="H9199" s="2">
        <v>2.0999999999999999E-3</v>
      </c>
      <c r="K9199" s="2" t="s">
        <v>10085</v>
      </c>
    </row>
    <row r="9200" spans="1:11" x14ac:dyDescent="0.2">
      <c r="A9200" s="2">
        <v>2302</v>
      </c>
      <c r="B9200" s="2">
        <v>18</v>
      </c>
      <c r="C9200" s="2">
        <v>74471746</v>
      </c>
      <c r="D9200" s="2">
        <v>75240760</v>
      </c>
      <c r="E9200" s="2">
        <v>2</v>
      </c>
      <c r="F9200" s="2" t="s">
        <v>10086</v>
      </c>
      <c r="H9200" s="2">
        <v>2.3E-3</v>
      </c>
      <c r="K9200" s="2" t="s">
        <v>10087</v>
      </c>
    </row>
    <row r="9201" spans="1:11" x14ac:dyDescent="0.2">
      <c r="A9201" s="2">
        <v>2302</v>
      </c>
      <c r="B9201" s="2">
        <v>18</v>
      </c>
      <c r="C9201" s="2">
        <v>74471746</v>
      </c>
      <c r="D9201" s="2">
        <v>75240760</v>
      </c>
      <c r="E9201" s="2">
        <v>3</v>
      </c>
      <c r="F9201" s="2" t="s">
        <v>10086</v>
      </c>
      <c r="H9201" s="2">
        <v>1.4E-3</v>
      </c>
      <c r="K9201" s="2" t="s">
        <v>10088</v>
      </c>
    </row>
    <row r="9202" spans="1:11" x14ac:dyDescent="0.2">
      <c r="A9202" s="2">
        <v>2302</v>
      </c>
      <c r="B9202" s="2">
        <v>18</v>
      </c>
      <c r="C9202" s="2">
        <v>74471746</v>
      </c>
      <c r="D9202" s="2">
        <v>75240760</v>
      </c>
      <c r="E9202" s="2">
        <v>4</v>
      </c>
      <c r="F9202" s="2" t="s">
        <v>10086</v>
      </c>
      <c r="H9202" s="3">
        <v>5.9999999999999995E-4</v>
      </c>
      <c r="K9202" s="2" t="s">
        <v>10089</v>
      </c>
    </row>
    <row r="9203" spans="1:11" x14ac:dyDescent="0.2">
      <c r="A9203" s="2">
        <v>2303</v>
      </c>
      <c r="B9203" s="2">
        <v>18</v>
      </c>
      <c r="C9203" s="2">
        <v>75240761</v>
      </c>
      <c r="D9203" s="2">
        <v>76231685</v>
      </c>
      <c r="E9203" s="2">
        <v>1</v>
      </c>
      <c r="F9203" s="2" t="s">
        <v>10086</v>
      </c>
      <c r="H9203" s="2">
        <v>1.52E-2</v>
      </c>
      <c r="K9203" s="2" t="s">
        <v>10088</v>
      </c>
    </row>
    <row r="9204" spans="1:11" x14ac:dyDescent="0.2">
      <c r="A9204" s="2">
        <v>2303</v>
      </c>
      <c r="B9204" s="2">
        <v>18</v>
      </c>
      <c r="C9204" s="2">
        <v>75240761</v>
      </c>
      <c r="D9204" s="2">
        <v>76231685</v>
      </c>
      <c r="E9204" s="2">
        <v>2</v>
      </c>
      <c r="F9204" s="2" t="s">
        <v>10086</v>
      </c>
      <c r="H9204" s="2">
        <v>1.5E-3</v>
      </c>
      <c r="K9204" s="2" t="s">
        <v>10085</v>
      </c>
    </row>
    <row r="9205" spans="1:11" x14ac:dyDescent="0.2">
      <c r="A9205" s="2">
        <v>2303</v>
      </c>
      <c r="B9205" s="2">
        <v>18</v>
      </c>
      <c r="C9205" s="2">
        <v>75240761</v>
      </c>
      <c r="D9205" s="2">
        <v>76231685</v>
      </c>
      <c r="E9205" s="2">
        <v>3</v>
      </c>
      <c r="F9205" s="2" t="s">
        <v>10086</v>
      </c>
      <c r="H9205" s="2">
        <v>1.1999999999999999E-3</v>
      </c>
      <c r="K9205" s="2" t="s">
        <v>10089</v>
      </c>
    </row>
    <row r="9206" spans="1:11" x14ac:dyDescent="0.2">
      <c r="A9206" s="2">
        <v>2303</v>
      </c>
      <c r="B9206" s="2">
        <v>18</v>
      </c>
      <c r="C9206" s="2">
        <v>75240761</v>
      </c>
      <c r="D9206" s="2">
        <v>76231685</v>
      </c>
      <c r="E9206" s="2">
        <v>4</v>
      </c>
      <c r="F9206" s="2" t="s">
        <v>10086</v>
      </c>
      <c r="H9206" s="3">
        <v>4.0000000000000002E-4</v>
      </c>
      <c r="K9206" s="2" t="s">
        <v>10087</v>
      </c>
    </row>
    <row r="9207" spans="1:11" x14ac:dyDescent="0.2">
      <c r="A9207" s="2">
        <v>2304</v>
      </c>
      <c r="B9207" s="2">
        <v>18</v>
      </c>
      <c r="C9207" s="2">
        <v>76231686</v>
      </c>
      <c r="D9207" s="2">
        <v>77148137</v>
      </c>
      <c r="E9207" s="2">
        <v>1</v>
      </c>
      <c r="F9207" s="2" t="s">
        <v>10086</v>
      </c>
      <c r="H9207" s="2">
        <v>2.2000000000000001E-3</v>
      </c>
      <c r="K9207" s="2" t="s">
        <v>10089</v>
      </c>
    </row>
    <row r="9208" spans="1:11" x14ac:dyDescent="0.2">
      <c r="A9208" s="2">
        <v>2304</v>
      </c>
      <c r="B9208" s="2">
        <v>18</v>
      </c>
      <c r="C9208" s="2">
        <v>76231686</v>
      </c>
      <c r="D9208" s="2">
        <v>77148137</v>
      </c>
      <c r="E9208" s="2">
        <v>2</v>
      </c>
      <c r="F9208" s="2" t="s">
        <v>10086</v>
      </c>
      <c r="H9208" s="2">
        <v>1E-3</v>
      </c>
      <c r="K9208" s="2" t="s">
        <v>10085</v>
      </c>
    </row>
    <row r="9209" spans="1:11" x14ac:dyDescent="0.2">
      <c r="A9209" s="2">
        <v>2304</v>
      </c>
      <c r="B9209" s="2">
        <v>18</v>
      </c>
      <c r="C9209" s="2">
        <v>76231686</v>
      </c>
      <c r="D9209" s="2">
        <v>77148137</v>
      </c>
      <c r="E9209" s="2">
        <v>3</v>
      </c>
      <c r="F9209" s="2" t="s">
        <v>10086</v>
      </c>
      <c r="H9209" s="3">
        <v>8.9999999999999998E-4</v>
      </c>
      <c r="K9209" s="2" t="s">
        <v>10088</v>
      </c>
    </row>
    <row r="9210" spans="1:11" x14ac:dyDescent="0.2">
      <c r="A9210" s="2">
        <v>2304</v>
      </c>
      <c r="B9210" s="2">
        <v>18</v>
      </c>
      <c r="C9210" s="2">
        <v>76231686</v>
      </c>
      <c r="D9210" s="2">
        <v>77148137</v>
      </c>
      <c r="E9210" s="2">
        <v>4</v>
      </c>
      <c r="F9210" s="2" t="s">
        <v>10086</v>
      </c>
      <c r="H9210" s="3">
        <v>8.0000000000000004E-4</v>
      </c>
      <c r="K9210" s="2" t="s">
        <v>12324</v>
      </c>
    </row>
    <row r="9211" spans="1:11" x14ac:dyDescent="0.2">
      <c r="A9211" s="2">
        <v>2305</v>
      </c>
      <c r="B9211" s="2">
        <v>18</v>
      </c>
      <c r="C9211" s="2">
        <v>77148138</v>
      </c>
      <c r="D9211" s="2">
        <v>78017072</v>
      </c>
      <c r="E9211" s="2">
        <v>1</v>
      </c>
      <c r="F9211" s="2" t="s">
        <v>10086</v>
      </c>
      <c r="H9211" s="2">
        <v>3.8999999999999998E-3</v>
      </c>
      <c r="K9211" s="2" t="s">
        <v>10087</v>
      </c>
    </row>
    <row r="9212" spans="1:11" x14ac:dyDescent="0.2">
      <c r="A9212" s="2">
        <v>2305</v>
      </c>
      <c r="B9212" s="2">
        <v>18</v>
      </c>
      <c r="C9212" s="2">
        <v>77148138</v>
      </c>
      <c r="D9212" s="2">
        <v>78017072</v>
      </c>
      <c r="E9212" s="2">
        <v>2</v>
      </c>
      <c r="F9212" s="2" t="s">
        <v>10086</v>
      </c>
      <c r="H9212" s="2">
        <v>3.7000000000000002E-3</v>
      </c>
      <c r="K9212" s="2" t="s">
        <v>10085</v>
      </c>
    </row>
    <row r="9213" spans="1:11" x14ac:dyDescent="0.2">
      <c r="A9213" s="2">
        <v>2305</v>
      </c>
      <c r="B9213" s="2">
        <v>18</v>
      </c>
      <c r="C9213" s="2">
        <v>77148138</v>
      </c>
      <c r="D9213" s="2">
        <v>78017072</v>
      </c>
      <c r="E9213" s="2">
        <v>3</v>
      </c>
      <c r="F9213" s="2" t="s">
        <v>10086</v>
      </c>
      <c r="H9213" s="2">
        <v>1E-3</v>
      </c>
      <c r="K9213" s="2" t="s">
        <v>10089</v>
      </c>
    </row>
    <row r="9214" spans="1:11" x14ac:dyDescent="0.2">
      <c r="A9214" s="2">
        <v>2305</v>
      </c>
      <c r="B9214" s="2">
        <v>18</v>
      </c>
      <c r="C9214" s="2">
        <v>77148138</v>
      </c>
      <c r="D9214" s="2">
        <v>78017072</v>
      </c>
      <c r="E9214" s="2">
        <v>4</v>
      </c>
      <c r="F9214" s="2" t="s">
        <v>10086</v>
      </c>
      <c r="H9214" s="3">
        <v>2.9999999999999997E-4</v>
      </c>
      <c r="K9214" s="2" t="s">
        <v>10088</v>
      </c>
    </row>
    <row r="9215" spans="1:11" x14ac:dyDescent="0.2">
      <c r="A9215" s="2">
        <v>2306</v>
      </c>
      <c r="B9215" s="2">
        <v>19</v>
      </c>
      <c r="C9215" s="2">
        <v>64705</v>
      </c>
      <c r="D9215" s="2">
        <v>762046</v>
      </c>
      <c r="E9215" s="2">
        <v>1</v>
      </c>
      <c r="F9215" s="2" t="s">
        <v>10086</v>
      </c>
      <c r="H9215" s="2">
        <v>4.0000000000000001E-3</v>
      </c>
      <c r="K9215" s="2" t="s">
        <v>12324</v>
      </c>
    </row>
    <row r="9216" spans="1:11" x14ac:dyDescent="0.2">
      <c r="A9216" s="2">
        <v>2306</v>
      </c>
      <c r="B9216" s="2">
        <v>19</v>
      </c>
      <c r="C9216" s="2">
        <v>64705</v>
      </c>
      <c r="D9216" s="2">
        <v>762046</v>
      </c>
      <c r="E9216" s="2">
        <v>2</v>
      </c>
      <c r="F9216" s="2" t="s">
        <v>10086</v>
      </c>
      <c r="H9216" s="2">
        <v>1.8E-3</v>
      </c>
      <c r="K9216" s="2" t="s">
        <v>10085</v>
      </c>
    </row>
    <row r="9217" spans="1:11" x14ac:dyDescent="0.2">
      <c r="A9217" s="2">
        <v>2306</v>
      </c>
      <c r="B9217" s="2">
        <v>19</v>
      </c>
      <c r="C9217" s="2">
        <v>64705</v>
      </c>
      <c r="D9217" s="2">
        <v>762046</v>
      </c>
      <c r="E9217" s="2">
        <v>3</v>
      </c>
      <c r="F9217" s="2" t="s">
        <v>10086</v>
      </c>
      <c r="H9217" s="2">
        <v>1.9E-3</v>
      </c>
      <c r="K9217" s="2" t="s">
        <v>10088</v>
      </c>
    </row>
    <row r="9218" spans="1:11" x14ac:dyDescent="0.2">
      <c r="A9218" s="2">
        <v>2306</v>
      </c>
      <c r="B9218" s="2">
        <v>19</v>
      </c>
      <c r="C9218" s="2">
        <v>64705</v>
      </c>
      <c r="D9218" s="2">
        <v>762046</v>
      </c>
      <c r="E9218" s="2">
        <v>4</v>
      </c>
      <c r="F9218" s="2" t="s">
        <v>10086</v>
      </c>
      <c r="H9218" s="3">
        <v>8.9999999999999998E-4</v>
      </c>
      <c r="K9218" s="2" t="s">
        <v>10087</v>
      </c>
    </row>
    <row r="9219" spans="1:11" x14ac:dyDescent="0.2">
      <c r="A9219" s="2">
        <v>2307</v>
      </c>
      <c r="B9219" s="2">
        <v>19</v>
      </c>
      <c r="C9219" s="2">
        <v>762047</v>
      </c>
      <c r="D9219" s="2">
        <v>1515920</v>
      </c>
      <c r="E9219" s="2">
        <v>1</v>
      </c>
      <c r="F9219" s="2" t="s">
        <v>10086</v>
      </c>
      <c r="H9219" s="2">
        <v>2.8999999999999998E-3</v>
      </c>
      <c r="K9219" s="2" t="s">
        <v>10085</v>
      </c>
    </row>
    <row r="9220" spans="1:11" x14ac:dyDescent="0.2">
      <c r="A9220" s="2">
        <v>2307</v>
      </c>
      <c r="B9220" s="2">
        <v>19</v>
      </c>
      <c r="C9220" s="2">
        <v>762047</v>
      </c>
      <c r="D9220" s="2">
        <v>1515920</v>
      </c>
      <c r="E9220" s="2">
        <v>2</v>
      </c>
      <c r="F9220" s="2" t="s">
        <v>10086</v>
      </c>
      <c r="H9220" s="2">
        <v>1.6999999999999999E-3</v>
      </c>
      <c r="K9220" s="2" t="s">
        <v>10087</v>
      </c>
    </row>
    <row r="9221" spans="1:11" x14ac:dyDescent="0.2">
      <c r="A9221" s="2">
        <v>2307</v>
      </c>
      <c r="B9221" s="2">
        <v>19</v>
      </c>
      <c r="C9221" s="2">
        <v>762047</v>
      </c>
      <c r="D9221" s="2">
        <v>1515920</v>
      </c>
      <c r="E9221" s="2">
        <v>3</v>
      </c>
      <c r="F9221" s="2" t="s">
        <v>10086</v>
      </c>
      <c r="H9221" s="2">
        <v>1E-3</v>
      </c>
      <c r="K9221" s="2" t="s">
        <v>10089</v>
      </c>
    </row>
    <row r="9222" spans="1:11" x14ac:dyDescent="0.2">
      <c r="A9222" s="2">
        <v>2307</v>
      </c>
      <c r="B9222" s="2">
        <v>19</v>
      </c>
      <c r="C9222" s="2">
        <v>762047</v>
      </c>
      <c r="D9222" s="2">
        <v>1515920</v>
      </c>
      <c r="E9222" s="2">
        <v>4</v>
      </c>
      <c r="F9222" s="2" t="s">
        <v>10086</v>
      </c>
      <c r="H9222" s="3">
        <v>4.0000000000000002E-4</v>
      </c>
      <c r="K9222" s="2" t="s">
        <v>10088</v>
      </c>
    </row>
    <row r="9223" spans="1:11" x14ac:dyDescent="0.2">
      <c r="A9223" s="2">
        <v>2308</v>
      </c>
      <c r="B9223" s="2">
        <v>19</v>
      </c>
      <c r="C9223" s="2">
        <v>1515921</v>
      </c>
      <c r="D9223" s="2">
        <v>2253174</v>
      </c>
      <c r="E9223" s="2">
        <v>1</v>
      </c>
      <c r="F9223" s="2" t="s">
        <v>10086</v>
      </c>
      <c r="H9223" s="2">
        <v>2.5999999999999999E-3</v>
      </c>
      <c r="K9223" s="2" t="s">
        <v>10085</v>
      </c>
    </row>
    <row r="9224" spans="1:11" x14ac:dyDescent="0.2">
      <c r="A9224" s="2">
        <v>2308</v>
      </c>
      <c r="B9224" s="2">
        <v>19</v>
      </c>
      <c r="C9224" s="2">
        <v>1515921</v>
      </c>
      <c r="D9224" s="2">
        <v>2253174</v>
      </c>
      <c r="E9224" s="2">
        <v>2</v>
      </c>
      <c r="F9224" s="2" t="s">
        <v>10086</v>
      </c>
      <c r="H9224" s="2">
        <v>1.1999999999999999E-3</v>
      </c>
      <c r="K9224" s="2" t="s">
        <v>10088</v>
      </c>
    </row>
    <row r="9225" spans="1:11" x14ac:dyDescent="0.2">
      <c r="A9225" s="2">
        <v>2308</v>
      </c>
      <c r="B9225" s="2">
        <v>19</v>
      </c>
      <c r="C9225" s="2">
        <v>1515921</v>
      </c>
      <c r="D9225" s="2">
        <v>2253174</v>
      </c>
      <c r="E9225" s="2">
        <v>3</v>
      </c>
      <c r="F9225" s="2" t="s">
        <v>10086</v>
      </c>
      <c r="H9225" s="3">
        <v>8.9999999999999998E-4</v>
      </c>
      <c r="K9225" s="2" t="s">
        <v>10089</v>
      </c>
    </row>
    <row r="9226" spans="1:11" x14ac:dyDescent="0.2">
      <c r="A9226" s="2">
        <v>2308</v>
      </c>
      <c r="B9226" s="2">
        <v>19</v>
      </c>
      <c r="C9226" s="2">
        <v>1515921</v>
      </c>
      <c r="D9226" s="2">
        <v>2253174</v>
      </c>
      <c r="E9226" s="2">
        <v>4</v>
      </c>
      <c r="F9226" s="2" t="s">
        <v>10086</v>
      </c>
      <c r="H9226" s="3">
        <v>5.0000000000000001E-4</v>
      </c>
      <c r="K9226" s="2" t="s">
        <v>10087</v>
      </c>
    </row>
    <row r="9227" spans="1:11" x14ac:dyDescent="0.2">
      <c r="A9227" s="2">
        <v>2309</v>
      </c>
      <c r="B9227" s="2">
        <v>19</v>
      </c>
      <c r="C9227" s="2">
        <v>2253175</v>
      </c>
      <c r="D9227" s="2">
        <v>3085446</v>
      </c>
      <c r="E9227" s="2">
        <v>1</v>
      </c>
      <c r="F9227" s="2" t="s">
        <v>10086</v>
      </c>
      <c r="H9227" s="2">
        <v>1.21E-2</v>
      </c>
      <c r="K9227" s="2" t="s">
        <v>10085</v>
      </c>
    </row>
    <row r="9228" spans="1:11" x14ac:dyDescent="0.2">
      <c r="A9228" s="2">
        <v>2309</v>
      </c>
      <c r="B9228" s="2">
        <v>19</v>
      </c>
      <c r="C9228" s="2">
        <v>2253175</v>
      </c>
      <c r="D9228" s="2">
        <v>3085446</v>
      </c>
      <c r="E9228" s="2">
        <v>2</v>
      </c>
      <c r="F9228" s="2" t="s">
        <v>10086</v>
      </c>
      <c r="H9228" s="2">
        <v>1.6999999999999999E-3</v>
      </c>
      <c r="K9228" s="2" t="s">
        <v>10088</v>
      </c>
    </row>
    <row r="9229" spans="1:11" x14ac:dyDescent="0.2">
      <c r="A9229" s="2">
        <v>2309</v>
      </c>
      <c r="B9229" s="2">
        <v>19</v>
      </c>
      <c r="C9229" s="2">
        <v>2253175</v>
      </c>
      <c r="D9229" s="2">
        <v>3085446</v>
      </c>
      <c r="E9229" s="2">
        <v>3</v>
      </c>
      <c r="F9229" s="2" t="s">
        <v>10086</v>
      </c>
      <c r="H9229" s="2">
        <v>2.2000000000000001E-3</v>
      </c>
      <c r="K9229" s="2" t="s">
        <v>10089</v>
      </c>
    </row>
    <row r="9230" spans="1:11" x14ac:dyDescent="0.2">
      <c r="A9230" s="2">
        <v>2309</v>
      </c>
      <c r="B9230" s="2">
        <v>19</v>
      </c>
      <c r="C9230" s="2">
        <v>2253175</v>
      </c>
      <c r="D9230" s="2">
        <v>3085446</v>
      </c>
      <c r="E9230" s="2">
        <v>4</v>
      </c>
      <c r="F9230" s="2" t="s">
        <v>10086</v>
      </c>
      <c r="H9230" s="2">
        <v>1.4E-3</v>
      </c>
      <c r="K9230" s="2" t="s">
        <v>10087</v>
      </c>
    </row>
    <row r="9231" spans="1:11" x14ac:dyDescent="0.2">
      <c r="A9231" s="2">
        <v>2310</v>
      </c>
      <c r="B9231" s="2">
        <v>19</v>
      </c>
      <c r="C9231" s="2">
        <v>3085447</v>
      </c>
      <c r="D9231" s="2">
        <v>3893909</v>
      </c>
      <c r="E9231" s="2">
        <v>1</v>
      </c>
      <c r="F9231" s="2" t="s">
        <v>10086</v>
      </c>
      <c r="H9231" s="2">
        <v>1.2999999999999999E-3</v>
      </c>
      <c r="K9231" s="2" t="s">
        <v>10085</v>
      </c>
    </row>
    <row r="9232" spans="1:11" x14ac:dyDescent="0.2">
      <c r="A9232" s="2">
        <v>2310</v>
      </c>
      <c r="B9232" s="2">
        <v>19</v>
      </c>
      <c r="C9232" s="2">
        <v>3085447</v>
      </c>
      <c r="D9232" s="2">
        <v>3893909</v>
      </c>
      <c r="E9232" s="2">
        <v>2</v>
      </c>
      <c r="F9232" s="2" t="s">
        <v>10086</v>
      </c>
      <c r="H9232" s="2">
        <v>1.6999999999999999E-3</v>
      </c>
      <c r="K9232" s="2" t="s">
        <v>12324</v>
      </c>
    </row>
    <row r="9233" spans="1:11" x14ac:dyDescent="0.2">
      <c r="A9233" s="2">
        <v>2310</v>
      </c>
      <c r="B9233" s="2">
        <v>19</v>
      </c>
      <c r="C9233" s="2">
        <v>3085447</v>
      </c>
      <c r="D9233" s="2">
        <v>3893909</v>
      </c>
      <c r="E9233" s="2">
        <v>3</v>
      </c>
      <c r="F9233" s="2" t="s">
        <v>10086</v>
      </c>
      <c r="H9233" s="2">
        <v>1.9E-3</v>
      </c>
      <c r="K9233" s="2" t="s">
        <v>10087</v>
      </c>
    </row>
    <row r="9234" spans="1:11" x14ac:dyDescent="0.2">
      <c r="A9234" s="2">
        <v>2310</v>
      </c>
      <c r="B9234" s="2">
        <v>19</v>
      </c>
      <c r="C9234" s="2">
        <v>3085447</v>
      </c>
      <c r="D9234" s="2">
        <v>3893909</v>
      </c>
      <c r="E9234" s="2">
        <v>4</v>
      </c>
      <c r="F9234" s="2" t="s">
        <v>10086</v>
      </c>
      <c r="H9234" s="2">
        <v>1.1000000000000001E-3</v>
      </c>
      <c r="K9234" s="2" t="s">
        <v>10089</v>
      </c>
    </row>
    <row r="9235" spans="1:11" x14ac:dyDescent="0.2">
      <c r="A9235" s="2">
        <v>2311</v>
      </c>
      <c r="B9235" s="2">
        <v>19</v>
      </c>
      <c r="C9235" s="2">
        <v>3893910</v>
      </c>
      <c r="D9235" s="2">
        <v>4741718</v>
      </c>
      <c r="E9235" s="2">
        <v>1</v>
      </c>
      <c r="F9235" s="2" t="s">
        <v>10086</v>
      </c>
      <c r="H9235" s="2">
        <v>4.1999999999999997E-3</v>
      </c>
      <c r="K9235" s="2" t="s">
        <v>10085</v>
      </c>
    </row>
    <row r="9236" spans="1:11" x14ac:dyDescent="0.2">
      <c r="A9236" s="2">
        <v>2311</v>
      </c>
      <c r="B9236" s="2">
        <v>19</v>
      </c>
      <c r="C9236" s="2">
        <v>3893910</v>
      </c>
      <c r="D9236" s="2">
        <v>4741718</v>
      </c>
      <c r="E9236" s="2">
        <v>2</v>
      </c>
      <c r="F9236" s="2" t="s">
        <v>10086</v>
      </c>
      <c r="H9236" s="2">
        <v>4.0000000000000001E-3</v>
      </c>
      <c r="K9236" s="2" t="s">
        <v>12324</v>
      </c>
    </row>
    <row r="9237" spans="1:11" x14ac:dyDescent="0.2">
      <c r="A9237" s="2">
        <v>2311</v>
      </c>
      <c r="B9237" s="2">
        <v>19</v>
      </c>
      <c r="C9237" s="2">
        <v>3893910</v>
      </c>
      <c r="D9237" s="2">
        <v>4741718</v>
      </c>
      <c r="E9237" s="2">
        <v>3</v>
      </c>
      <c r="F9237" s="2" t="s">
        <v>10086</v>
      </c>
      <c r="H9237" s="2">
        <v>1.5E-3</v>
      </c>
      <c r="K9237" s="2" t="s">
        <v>10088</v>
      </c>
    </row>
    <row r="9238" spans="1:11" x14ac:dyDescent="0.2">
      <c r="A9238" s="2">
        <v>2311</v>
      </c>
      <c r="B9238" s="2">
        <v>19</v>
      </c>
      <c r="C9238" s="2">
        <v>3893910</v>
      </c>
      <c r="D9238" s="2">
        <v>4741718</v>
      </c>
      <c r="E9238" s="2">
        <v>4</v>
      </c>
      <c r="F9238" s="2" t="s">
        <v>10086</v>
      </c>
      <c r="H9238" s="2">
        <v>1.1000000000000001E-3</v>
      </c>
      <c r="K9238" s="2" t="s">
        <v>10087</v>
      </c>
    </row>
    <row r="9239" spans="1:11" x14ac:dyDescent="0.2">
      <c r="A9239" s="2">
        <v>2312</v>
      </c>
      <c r="B9239" s="2">
        <v>19</v>
      </c>
      <c r="C9239" s="2">
        <v>4741719</v>
      </c>
      <c r="D9239" s="2">
        <v>5478684</v>
      </c>
      <c r="E9239" s="2">
        <v>1</v>
      </c>
      <c r="F9239" s="2" t="s">
        <v>10086</v>
      </c>
      <c r="H9239" s="2">
        <v>2.3E-3</v>
      </c>
      <c r="K9239" s="2" t="s">
        <v>10085</v>
      </c>
    </row>
    <row r="9240" spans="1:11" x14ac:dyDescent="0.2">
      <c r="A9240" s="2">
        <v>2312</v>
      </c>
      <c r="B9240" s="2">
        <v>19</v>
      </c>
      <c r="C9240" s="2">
        <v>4741719</v>
      </c>
      <c r="D9240" s="2">
        <v>5478684</v>
      </c>
      <c r="E9240" s="2">
        <v>2</v>
      </c>
      <c r="F9240" s="2" t="s">
        <v>10086</v>
      </c>
      <c r="H9240" s="2">
        <v>1.4E-3</v>
      </c>
      <c r="K9240" s="2" t="s">
        <v>10088</v>
      </c>
    </row>
    <row r="9241" spans="1:11" x14ac:dyDescent="0.2">
      <c r="A9241" s="2">
        <v>2312</v>
      </c>
      <c r="B9241" s="2">
        <v>19</v>
      </c>
      <c r="C9241" s="2">
        <v>4741719</v>
      </c>
      <c r="D9241" s="2">
        <v>5478684</v>
      </c>
      <c r="E9241" s="2">
        <v>3</v>
      </c>
      <c r="F9241" s="2" t="s">
        <v>10086</v>
      </c>
      <c r="H9241" s="2">
        <v>1E-3</v>
      </c>
      <c r="K9241" s="2" t="s">
        <v>12324</v>
      </c>
    </row>
    <row r="9242" spans="1:11" x14ac:dyDescent="0.2">
      <c r="A9242" s="2">
        <v>2312</v>
      </c>
      <c r="B9242" s="2">
        <v>19</v>
      </c>
      <c r="C9242" s="2">
        <v>4741719</v>
      </c>
      <c r="D9242" s="2">
        <v>5478684</v>
      </c>
      <c r="E9242" s="2">
        <v>4</v>
      </c>
      <c r="F9242" s="2" t="s">
        <v>10086</v>
      </c>
      <c r="H9242" s="3">
        <v>8.0000000000000004E-4</v>
      </c>
      <c r="K9242" s="2" t="s">
        <v>10089</v>
      </c>
    </row>
    <row r="9243" spans="1:11" x14ac:dyDescent="0.2">
      <c r="A9243" s="2">
        <v>2313</v>
      </c>
      <c r="B9243" s="2">
        <v>19</v>
      </c>
      <c r="C9243" s="2">
        <v>5478685</v>
      </c>
      <c r="D9243" s="2">
        <v>6455428</v>
      </c>
      <c r="E9243" s="2">
        <v>1</v>
      </c>
      <c r="F9243" s="2" t="s">
        <v>10086</v>
      </c>
      <c r="H9243" s="2">
        <v>4.7999999999999996E-3</v>
      </c>
      <c r="K9243" s="2" t="s">
        <v>10089</v>
      </c>
    </row>
    <row r="9244" spans="1:11" x14ac:dyDescent="0.2">
      <c r="A9244" s="2">
        <v>2313</v>
      </c>
      <c r="B9244" s="2">
        <v>19</v>
      </c>
      <c r="C9244" s="2">
        <v>5478685</v>
      </c>
      <c r="D9244" s="2">
        <v>6455428</v>
      </c>
      <c r="E9244" s="2">
        <v>2</v>
      </c>
      <c r="F9244" s="2" t="s">
        <v>10086</v>
      </c>
      <c r="H9244" s="2">
        <v>1.4E-3</v>
      </c>
      <c r="K9244" s="2" t="s">
        <v>10088</v>
      </c>
    </row>
    <row r="9245" spans="1:11" x14ac:dyDescent="0.2">
      <c r="A9245" s="2">
        <v>2313</v>
      </c>
      <c r="B9245" s="2">
        <v>19</v>
      </c>
      <c r="C9245" s="2">
        <v>5478685</v>
      </c>
      <c r="D9245" s="2">
        <v>6455428</v>
      </c>
      <c r="E9245" s="2">
        <v>3</v>
      </c>
      <c r="F9245" s="2" t="s">
        <v>10086</v>
      </c>
      <c r="H9245" s="2">
        <v>1.1999999999999999E-3</v>
      </c>
      <c r="K9245" s="2" t="s">
        <v>10085</v>
      </c>
    </row>
    <row r="9246" spans="1:11" x14ac:dyDescent="0.2">
      <c r="A9246" s="2">
        <v>2313</v>
      </c>
      <c r="B9246" s="2">
        <v>19</v>
      </c>
      <c r="C9246" s="2">
        <v>5478685</v>
      </c>
      <c r="D9246" s="2">
        <v>6455428</v>
      </c>
      <c r="E9246" s="2">
        <v>4</v>
      </c>
      <c r="F9246" s="2" t="s">
        <v>10086</v>
      </c>
      <c r="H9246" s="3">
        <v>8.9999999999999998E-4</v>
      </c>
      <c r="K9246" s="2" t="s">
        <v>10087</v>
      </c>
    </row>
    <row r="9247" spans="1:11" x14ac:dyDescent="0.2">
      <c r="A9247" s="2">
        <v>2314</v>
      </c>
      <c r="B9247" s="2">
        <v>19</v>
      </c>
      <c r="C9247" s="2">
        <v>6455429</v>
      </c>
      <c r="D9247" s="2">
        <v>7249359</v>
      </c>
      <c r="E9247" s="2">
        <v>1</v>
      </c>
      <c r="F9247" s="2" t="s">
        <v>10086</v>
      </c>
      <c r="H9247" s="2">
        <v>1.9E-3</v>
      </c>
      <c r="K9247" s="2" t="s">
        <v>10085</v>
      </c>
    </row>
    <row r="9248" spans="1:11" x14ac:dyDescent="0.2">
      <c r="A9248" s="2">
        <v>2314</v>
      </c>
      <c r="B9248" s="2">
        <v>19</v>
      </c>
      <c r="C9248" s="2">
        <v>6455429</v>
      </c>
      <c r="D9248" s="2">
        <v>7249359</v>
      </c>
      <c r="E9248" s="2">
        <v>2</v>
      </c>
      <c r="F9248" s="2" t="s">
        <v>10086</v>
      </c>
      <c r="H9248" s="2">
        <v>3.5000000000000001E-3</v>
      </c>
      <c r="K9248" s="2" t="s">
        <v>10087</v>
      </c>
    </row>
    <row r="9249" spans="1:11" x14ac:dyDescent="0.2">
      <c r="A9249" s="2">
        <v>2314</v>
      </c>
      <c r="B9249" s="2">
        <v>19</v>
      </c>
      <c r="C9249" s="2">
        <v>6455429</v>
      </c>
      <c r="D9249" s="2">
        <v>7249359</v>
      </c>
      <c r="E9249" s="2">
        <v>3</v>
      </c>
      <c r="F9249" s="2" t="s">
        <v>10086</v>
      </c>
      <c r="H9249" s="2">
        <v>1.2999999999999999E-3</v>
      </c>
      <c r="K9249" s="2" t="s">
        <v>10089</v>
      </c>
    </row>
    <row r="9250" spans="1:11" x14ac:dyDescent="0.2">
      <c r="A9250" s="2">
        <v>2314</v>
      </c>
      <c r="B9250" s="2">
        <v>19</v>
      </c>
      <c r="C9250" s="2">
        <v>6455429</v>
      </c>
      <c r="D9250" s="2">
        <v>7249359</v>
      </c>
      <c r="E9250" s="2">
        <v>4</v>
      </c>
      <c r="F9250" s="2" t="s">
        <v>10086</v>
      </c>
      <c r="H9250" s="3">
        <v>4.0000000000000002E-4</v>
      </c>
      <c r="K9250" s="2" t="s">
        <v>10088</v>
      </c>
    </row>
    <row r="9251" spans="1:11" x14ac:dyDescent="0.2">
      <c r="A9251" s="2">
        <v>2315</v>
      </c>
      <c r="B9251" s="2">
        <v>19</v>
      </c>
      <c r="C9251" s="2">
        <v>7249360</v>
      </c>
      <c r="D9251" s="2">
        <v>8199016</v>
      </c>
      <c r="E9251" s="2">
        <v>1</v>
      </c>
      <c r="F9251" s="2" t="s">
        <v>10086</v>
      </c>
      <c r="H9251" s="2">
        <v>1.5E-3</v>
      </c>
      <c r="K9251" s="2" t="s">
        <v>10085</v>
      </c>
    </row>
    <row r="9252" spans="1:11" x14ac:dyDescent="0.2">
      <c r="A9252" s="2">
        <v>2315</v>
      </c>
      <c r="B9252" s="2">
        <v>19</v>
      </c>
      <c r="C9252" s="2">
        <v>7249360</v>
      </c>
      <c r="D9252" s="2">
        <v>8199016</v>
      </c>
      <c r="E9252" s="2">
        <v>2</v>
      </c>
      <c r="F9252" s="2" t="s">
        <v>10086</v>
      </c>
      <c r="H9252" s="2">
        <v>1.6999999999999999E-3</v>
      </c>
      <c r="K9252" s="2" t="s">
        <v>10088</v>
      </c>
    </row>
    <row r="9253" spans="1:11" x14ac:dyDescent="0.2">
      <c r="A9253" s="2">
        <v>2315</v>
      </c>
      <c r="B9253" s="2">
        <v>19</v>
      </c>
      <c r="C9253" s="2">
        <v>7249360</v>
      </c>
      <c r="D9253" s="2">
        <v>8199016</v>
      </c>
      <c r="E9253" s="2">
        <v>3</v>
      </c>
      <c r="F9253" s="2" t="s">
        <v>10086</v>
      </c>
      <c r="H9253" s="2">
        <v>1.1999999999999999E-3</v>
      </c>
      <c r="K9253" s="2" t="s">
        <v>10087</v>
      </c>
    </row>
    <row r="9254" spans="1:11" x14ac:dyDescent="0.2">
      <c r="A9254" s="2">
        <v>2315</v>
      </c>
      <c r="B9254" s="2">
        <v>19</v>
      </c>
      <c r="C9254" s="2">
        <v>7249360</v>
      </c>
      <c r="D9254" s="2">
        <v>8199016</v>
      </c>
      <c r="E9254" s="2">
        <v>4</v>
      </c>
      <c r="F9254" s="2" t="s">
        <v>10086</v>
      </c>
      <c r="H9254" s="3">
        <v>5.9999999999999995E-4</v>
      </c>
      <c r="K9254" s="2" t="s">
        <v>10089</v>
      </c>
    </row>
    <row r="9255" spans="1:11" x14ac:dyDescent="0.2">
      <c r="A9255" s="2">
        <v>2316</v>
      </c>
      <c r="B9255" s="2">
        <v>19</v>
      </c>
      <c r="C9255" s="2">
        <v>8199017</v>
      </c>
      <c r="D9255" s="2">
        <v>9105577</v>
      </c>
      <c r="E9255" s="2">
        <v>1</v>
      </c>
      <c r="F9255" s="2" t="s">
        <v>10086</v>
      </c>
      <c r="H9255" s="2">
        <v>4.7999999999999996E-3</v>
      </c>
      <c r="K9255" s="2" t="s">
        <v>10088</v>
      </c>
    </row>
    <row r="9256" spans="1:11" x14ac:dyDescent="0.2">
      <c r="A9256" s="2">
        <v>2316</v>
      </c>
      <c r="B9256" s="2">
        <v>19</v>
      </c>
      <c r="C9256" s="2">
        <v>8199017</v>
      </c>
      <c r="D9256" s="2">
        <v>9105577</v>
      </c>
      <c r="E9256" s="2">
        <v>2</v>
      </c>
      <c r="F9256" s="2" t="s">
        <v>10086</v>
      </c>
      <c r="H9256" s="2">
        <v>1.1999999999999999E-3</v>
      </c>
      <c r="K9256" s="2" t="s">
        <v>10089</v>
      </c>
    </row>
    <row r="9257" spans="1:11" x14ac:dyDescent="0.2">
      <c r="A9257" s="2">
        <v>2316</v>
      </c>
      <c r="B9257" s="2">
        <v>19</v>
      </c>
      <c r="C9257" s="2">
        <v>8199017</v>
      </c>
      <c r="D9257" s="2">
        <v>9105577</v>
      </c>
      <c r="E9257" s="2">
        <v>3</v>
      </c>
      <c r="F9257" s="2" t="s">
        <v>10086</v>
      </c>
      <c r="H9257" s="3">
        <v>8.0000000000000004E-4</v>
      </c>
      <c r="K9257" s="2" t="s">
        <v>10087</v>
      </c>
    </row>
    <row r="9258" spans="1:11" x14ac:dyDescent="0.2">
      <c r="A9258" s="2">
        <v>2316</v>
      </c>
      <c r="B9258" s="2">
        <v>19</v>
      </c>
      <c r="C9258" s="2">
        <v>8199017</v>
      </c>
      <c r="D9258" s="2">
        <v>9105577</v>
      </c>
      <c r="E9258" s="2">
        <v>4</v>
      </c>
      <c r="F9258" s="2" t="s">
        <v>10086</v>
      </c>
      <c r="H9258" s="3">
        <v>5.9999999999999995E-4</v>
      </c>
      <c r="K9258" s="2" t="s">
        <v>12324</v>
      </c>
    </row>
    <row r="9259" spans="1:11" x14ac:dyDescent="0.2">
      <c r="A9259" s="2">
        <v>2317</v>
      </c>
      <c r="B9259" s="2">
        <v>19</v>
      </c>
      <c r="C9259" s="2">
        <v>9105578</v>
      </c>
      <c r="D9259" s="2">
        <v>10028840</v>
      </c>
      <c r="E9259" s="2">
        <v>1</v>
      </c>
      <c r="F9259" s="2" t="s">
        <v>10086</v>
      </c>
      <c r="H9259" s="3">
        <v>8.0000000000000004E-4</v>
      </c>
      <c r="K9259" s="2" t="s">
        <v>10089</v>
      </c>
    </row>
    <row r="9260" spans="1:11" x14ac:dyDescent="0.2">
      <c r="A9260" s="2">
        <v>2317</v>
      </c>
      <c r="B9260" s="2">
        <v>19</v>
      </c>
      <c r="C9260" s="2">
        <v>9105578</v>
      </c>
      <c r="D9260" s="2">
        <v>10028840</v>
      </c>
      <c r="E9260" s="2">
        <v>2</v>
      </c>
      <c r="F9260" s="2" t="s">
        <v>10086</v>
      </c>
      <c r="H9260" s="3">
        <v>6.9999999999999999E-4</v>
      </c>
      <c r="K9260" s="2" t="s">
        <v>10085</v>
      </c>
    </row>
    <row r="9261" spans="1:11" x14ac:dyDescent="0.2">
      <c r="A9261" s="2">
        <v>2317</v>
      </c>
      <c r="B9261" s="2">
        <v>19</v>
      </c>
      <c r="C9261" s="2">
        <v>9105578</v>
      </c>
      <c r="D9261" s="2">
        <v>10028840</v>
      </c>
      <c r="E9261" s="2">
        <v>3</v>
      </c>
      <c r="F9261" s="2" t="s">
        <v>10086</v>
      </c>
      <c r="H9261" s="3">
        <v>6.9999999999999999E-4</v>
      </c>
      <c r="K9261" s="2" t="s">
        <v>10087</v>
      </c>
    </row>
    <row r="9262" spans="1:11" x14ac:dyDescent="0.2">
      <c r="A9262" s="2">
        <v>2317</v>
      </c>
      <c r="B9262" s="2">
        <v>19</v>
      </c>
      <c r="C9262" s="2">
        <v>9105578</v>
      </c>
      <c r="D9262" s="2">
        <v>10028840</v>
      </c>
      <c r="E9262" s="2">
        <v>4</v>
      </c>
      <c r="F9262" s="2" t="s">
        <v>10086</v>
      </c>
      <c r="H9262" s="3">
        <v>4.0000000000000002E-4</v>
      </c>
      <c r="K9262" s="2" t="s">
        <v>10088</v>
      </c>
    </row>
    <row r="9263" spans="1:11" x14ac:dyDescent="0.2">
      <c r="A9263" s="2">
        <v>2318</v>
      </c>
      <c r="B9263" s="2">
        <v>19</v>
      </c>
      <c r="C9263" s="2">
        <v>10028841</v>
      </c>
      <c r="D9263" s="2">
        <v>11681978</v>
      </c>
      <c r="E9263" s="2">
        <v>1</v>
      </c>
      <c r="F9263" s="2" t="s">
        <v>10086</v>
      </c>
      <c r="H9263" s="2">
        <v>2.0400000000000001E-2</v>
      </c>
      <c r="K9263" s="2" t="s">
        <v>10087</v>
      </c>
    </row>
    <row r="9264" spans="1:11" x14ac:dyDescent="0.2">
      <c r="A9264" s="2">
        <v>2318</v>
      </c>
      <c r="B9264" s="2">
        <v>19</v>
      </c>
      <c r="C9264" s="2">
        <v>10028841</v>
      </c>
      <c r="D9264" s="2">
        <v>11681978</v>
      </c>
      <c r="E9264" s="2">
        <v>2</v>
      </c>
      <c r="F9264" s="2" t="s">
        <v>10086</v>
      </c>
      <c r="H9264" s="2">
        <v>3.3999999999999998E-3</v>
      </c>
      <c r="K9264" s="2" t="s">
        <v>10088</v>
      </c>
    </row>
    <row r="9265" spans="1:11" x14ac:dyDescent="0.2">
      <c r="A9265" s="2">
        <v>2318</v>
      </c>
      <c r="B9265" s="2">
        <v>19</v>
      </c>
      <c r="C9265" s="2">
        <v>10028841</v>
      </c>
      <c r="D9265" s="2">
        <v>11681978</v>
      </c>
      <c r="E9265" s="2">
        <v>3</v>
      </c>
      <c r="F9265" s="2" t="s">
        <v>10086</v>
      </c>
      <c r="H9265" s="2">
        <v>2.5000000000000001E-3</v>
      </c>
      <c r="K9265" s="2" t="s">
        <v>10085</v>
      </c>
    </row>
    <row r="9266" spans="1:11" x14ac:dyDescent="0.2">
      <c r="A9266" s="2">
        <v>2318</v>
      </c>
      <c r="B9266" s="2">
        <v>19</v>
      </c>
      <c r="C9266" s="2">
        <v>10028841</v>
      </c>
      <c r="D9266" s="2">
        <v>11681978</v>
      </c>
      <c r="E9266" s="2">
        <v>4</v>
      </c>
      <c r="F9266" s="2" t="s">
        <v>10086</v>
      </c>
      <c r="H9266" s="2">
        <v>2E-3</v>
      </c>
      <c r="K9266" s="2" t="s">
        <v>12324</v>
      </c>
    </row>
    <row r="9267" spans="1:11" x14ac:dyDescent="0.2">
      <c r="A9267" s="2">
        <v>2319</v>
      </c>
      <c r="B9267" s="2">
        <v>19</v>
      </c>
      <c r="C9267" s="2">
        <v>11681979</v>
      </c>
      <c r="D9267" s="2">
        <v>13213186</v>
      </c>
      <c r="E9267" s="2">
        <v>1</v>
      </c>
      <c r="F9267" s="2" t="s">
        <v>10086</v>
      </c>
      <c r="H9267" s="2">
        <v>5.4999999999999997E-3</v>
      </c>
      <c r="K9267" s="2" t="s">
        <v>10089</v>
      </c>
    </row>
    <row r="9268" spans="1:11" x14ac:dyDescent="0.2">
      <c r="A9268" s="2">
        <v>2319</v>
      </c>
      <c r="B9268" s="2">
        <v>19</v>
      </c>
      <c r="C9268" s="2">
        <v>11681979</v>
      </c>
      <c r="D9268" s="2">
        <v>13213186</v>
      </c>
      <c r="E9268" s="2">
        <v>2</v>
      </c>
      <c r="F9268" s="2" t="s">
        <v>10086</v>
      </c>
      <c r="H9268" s="2">
        <v>2.8E-3</v>
      </c>
      <c r="K9268" s="2" t="s">
        <v>10087</v>
      </c>
    </row>
    <row r="9269" spans="1:11" x14ac:dyDescent="0.2">
      <c r="A9269" s="2">
        <v>2319</v>
      </c>
      <c r="B9269" s="2">
        <v>19</v>
      </c>
      <c r="C9269" s="2">
        <v>11681979</v>
      </c>
      <c r="D9269" s="2">
        <v>13213186</v>
      </c>
      <c r="E9269" s="2">
        <v>3</v>
      </c>
      <c r="F9269" s="2" t="s">
        <v>10086</v>
      </c>
      <c r="H9269" s="2">
        <v>1.6999999999999999E-3</v>
      </c>
      <c r="K9269" s="2" t="s">
        <v>10085</v>
      </c>
    </row>
    <row r="9270" spans="1:11" x14ac:dyDescent="0.2">
      <c r="A9270" s="2">
        <v>2319</v>
      </c>
      <c r="B9270" s="2">
        <v>19</v>
      </c>
      <c r="C9270" s="2">
        <v>11681979</v>
      </c>
      <c r="D9270" s="2">
        <v>13213186</v>
      </c>
      <c r="E9270" s="2">
        <v>4</v>
      </c>
      <c r="F9270" s="2" t="s">
        <v>10086</v>
      </c>
      <c r="H9270" s="2">
        <v>1.2999999999999999E-3</v>
      </c>
      <c r="K9270" s="2" t="s">
        <v>10088</v>
      </c>
    </row>
    <row r="9271" spans="1:11" x14ac:dyDescent="0.2">
      <c r="A9271" s="2">
        <v>2320</v>
      </c>
      <c r="B9271" s="2">
        <v>19</v>
      </c>
      <c r="C9271" s="2">
        <v>13213187</v>
      </c>
      <c r="D9271" s="2">
        <v>13968319</v>
      </c>
      <c r="E9271" s="2">
        <v>1</v>
      </c>
      <c r="F9271" s="2" t="s">
        <v>10086</v>
      </c>
      <c r="H9271" s="3">
        <v>8.0000000000000004E-4</v>
      </c>
      <c r="K9271" s="2" t="s">
        <v>10088</v>
      </c>
    </row>
    <row r="9272" spans="1:11" x14ac:dyDescent="0.2">
      <c r="A9272" s="2">
        <v>2320</v>
      </c>
      <c r="B9272" s="2">
        <v>19</v>
      </c>
      <c r="C9272" s="2">
        <v>13213187</v>
      </c>
      <c r="D9272" s="2">
        <v>13968319</v>
      </c>
      <c r="E9272" s="2">
        <v>2</v>
      </c>
      <c r="F9272" s="2" t="s">
        <v>10086</v>
      </c>
      <c r="H9272" s="3">
        <v>6.9999999999999999E-4</v>
      </c>
      <c r="K9272" s="2" t="s">
        <v>10085</v>
      </c>
    </row>
    <row r="9273" spans="1:11" x14ac:dyDescent="0.2">
      <c r="A9273" s="2">
        <v>2320</v>
      </c>
      <c r="B9273" s="2">
        <v>19</v>
      </c>
      <c r="C9273" s="2">
        <v>13213187</v>
      </c>
      <c r="D9273" s="2">
        <v>13968319</v>
      </c>
      <c r="E9273" s="2">
        <v>3</v>
      </c>
      <c r="F9273" s="2" t="s">
        <v>10086</v>
      </c>
      <c r="H9273" s="3">
        <v>6.9999999999999999E-4</v>
      </c>
      <c r="K9273" s="2" t="s">
        <v>10089</v>
      </c>
    </row>
    <row r="9274" spans="1:11" x14ac:dyDescent="0.2">
      <c r="A9274" s="2">
        <v>2320</v>
      </c>
      <c r="B9274" s="2">
        <v>19</v>
      </c>
      <c r="C9274" s="2">
        <v>13213187</v>
      </c>
      <c r="D9274" s="2">
        <v>13968319</v>
      </c>
      <c r="E9274" s="2">
        <v>4</v>
      </c>
      <c r="F9274" s="2" t="s">
        <v>10086</v>
      </c>
      <c r="H9274" s="3">
        <v>2.9999999999999997E-4</v>
      </c>
      <c r="K9274" s="2" t="s">
        <v>10087</v>
      </c>
    </row>
    <row r="9275" spans="1:11" x14ac:dyDescent="0.2">
      <c r="A9275" s="2">
        <v>2321</v>
      </c>
      <c r="B9275" s="2">
        <v>19</v>
      </c>
      <c r="C9275" s="2">
        <v>13968320</v>
      </c>
      <c r="D9275" s="2">
        <v>14891100</v>
      </c>
      <c r="E9275" s="2">
        <v>1</v>
      </c>
      <c r="F9275" s="2" t="s">
        <v>10086</v>
      </c>
      <c r="H9275" s="2">
        <v>2.8E-3</v>
      </c>
      <c r="K9275" s="2" t="s">
        <v>10088</v>
      </c>
    </row>
    <row r="9276" spans="1:11" x14ac:dyDescent="0.2">
      <c r="A9276" s="2">
        <v>2321</v>
      </c>
      <c r="B9276" s="2">
        <v>19</v>
      </c>
      <c r="C9276" s="2">
        <v>13968320</v>
      </c>
      <c r="D9276" s="2">
        <v>14891100</v>
      </c>
      <c r="E9276" s="2">
        <v>2</v>
      </c>
      <c r="F9276" s="2" t="s">
        <v>10086</v>
      </c>
      <c r="H9276" s="2">
        <v>1.2999999999999999E-3</v>
      </c>
      <c r="K9276" s="2" t="s">
        <v>10087</v>
      </c>
    </row>
    <row r="9277" spans="1:11" x14ac:dyDescent="0.2">
      <c r="A9277" s="2">
        <v>2321</v>
      </c>
      <c r="B9277" s="2">
        <v>19</v>
      </c>
      <c r="C9277" s="2">
        <v>13968320</v>
      </c>
      <c r="D9277" s="2">
        <v>14891100</v>
      </c>
      <c r="E9277" s="2">
        <v>3</v>
      </c>
      <c r="F9277" s="2" t="s">
        <v>10086</v>
      </c>
      <c r="H9277" s="2">
        <v>1.1999999999999999E-3</v>
      </c>
      <c r="K9277" s="2" t="s">
        <v>10089</v>
      </c>
    </row>
    <row r="9278" spans="1:11" x14ac:dyDescent="0.2">
      <c r="A9278" s="2">
        <v>2321</v>
      </c>
      <c r="B9278" s="2">
        <v>19</v>
      </c>
      <c r="C9278" s="2">
        <v>13968320</v>
      </c>
      <c r="D9278" s="2">
        <v>14891100</v>
      </c>
      <c r="E9278" s="2">
        <v>4</v>
      </c>
      <c r="F9278" s="2" t="s">
        <v>10086</v>
      </c>
      <c r="H9278" s="3">
        <v>8.0000000000000004E-4</v>
      </c>
      <c r="K9278" s="2" t="s">
        <v>10085</v>
      </c>
    </row>
    <row r="9279" spans="1:11" x14ac:dyDescent="0.2">
      <c r="A9279" s="2">
        <v>2322</v>
      </c>
      <c r="B9279" s="2">
        <v>19</v>
      </c>
      <c r="C9279" s="2">
        <v>14891101</v>
      </c>
      <c r="D9279" s="2">
        <v>15650185</v>
      </c>
      <c r="E9279" s="2">
        <v>1</v>
      </c>
      <c r="F9279" s="2" t="s">
        <v>10086</v>
      </c>
      <c r="H9279" s="2">
        <v>1.2999999999999999E-3</v>
      </c>
      <c r="K9279" s="2" t="s">
        <v>10088</v>
      </c>
    </row>
    <row r="9280" spans="1:11" x14ac:dyDescent="0.2">
      <c r="A9280" s="2">
        <v>2322</v>
      </c>
      <c r="B9280" s="2">
        <v>19</v>
      </c>
      <c r="C9280" s="2">
        <v>14891101</v>
      </c>
      <c r="D9280" s="2">
        <v>15650185</v>
      </c>
      <c r="E9280" s="2">
        <v>2</v>
      </c>
      <c r="F9280" s="2" t="s">
        <v>10086</v>
      </c>
      <c r="H9280" s="2">
        <v>1.1000000000000001E-3</v>
      </c>
      <c r="K9280" s="2" t="s">
        <v>10085</v>
      </c>
    </row>
    <row r="9281" spans="1:11" x14ac:dyDescent="0.2">
      <c r="A9281" s="2">
        <v>2322</v>
      </c>
      <c r="B9281" s="2">
        <v>19</v>
      </c>
      <c r="C9281" s="2">
        <v>14891101</v>
      </c>
      <c r="D9281" s="2">
        <v>15650185</v>
      </c>
      <c r="E9281" s="2">
        <v>3</v>
      </c>
      <c r="F9281" s="2" t="s">
        <v>10086</v>
      </c>
      <c r="H9281" s="3">
        <v>8.9999999999999998E-4</v>
      </c>
      <c r="K9281" s="2" t="s">
        <v>10087</v>
      </c>
    </row>
    <row r="9282" spans="1:11" x14ac:dyDescent="0.2">
      <c r="A9282" s="2">
        <v>2322</v>
      </c>
      <c r="B9282" s="2">
        <v>19</v>
      </c>
      <c r="C9282" s="2">
        <v>14891101</v>
      </c>
      <c r="D9282" s="2">
        <v>15650185</v>
      </c>
      <c r="E9282" s="2">
        <v>4</v>
      </c>
      <c r="F9282" s="2" t="s">
        <v>10086</v>
      </c>
      <c r="H9282" s="3">
        <v>4.0000000000000002E-4</v>
      </c>
      <c r="K9282" s="2" t="s">
        <v>10089</v>
      </c>
    </row>
    <row r="9283" spans="1:11" x14ac:dyDescent="0.2">
      <c r="A9283" s="2">
        <v>2323</v>
      </c>
      <c r="B9283" s="2">
        <v>19</v>
      </c>
      <c r="C9283" s="2">
        <v>15650186</v>
      </c>
      <c r="D9283" s="2">
        <v>16079006</v>
      </c>
      <c r="E9283" s="2">
        <v>1</v>
      </c>
      <c r="F9283" s="2" t="s">
        <v>10086</v>
      </c>
      <c r="H9283" s="2">
        <v>1E-3</v>
      </c>
      <c r="K9283" s="2" t="s">
        <v>10087</v>
      </c>
    </row>
    <row r="9284" spans="1:11" x14ac:dyDescent="0.2">
      <c r="A9284" s="2">
        <v>2323</v>
      </c>
      <c r="B9284" s="2">
        <v>19</v>
      </c>
      <c r="C9284" s="2">
        <v>15650186</v>
      </c>
      <c r="D9284" s="2">
        <v>16079006</v>
      </c>
      <c r="E9284" s="2">
        <v>2</v>
      </c>
      <c r="F9284" s="2" t="s">
        <v>10086</v>
      </c>
      <c r="H9284" s="3">
        <v>2.9999999999999997E-4</v>
      </c>
      <c r="K9284" s="2" t="s">
        <v>10088</v>
      </c>
    </row>
    <row r="9285" spans="1:11" x14ac:dyDescent="0.2">
      <c r="A9285" s="2">
        <v>2323</v>
      </c>
      <c r="B9285" s="2">
        <v>19</v>
      </c>
      <c r="C9285" s="2">
        <v>15650186</v>
      </c>
      <c r="D9285" s="2">
        <v>16079006</v>
      </c>
      <c r="E9285" s="2">
        <v>3</v>
      </c>
      <c r="F9285" s="2" t="s">
        <v>10086</v>
      </c>
      <c r="H9285" s="3">
        <v>2.9999999999999997E-4</v>
      </c>
      <c r="K9285" s="2" t="s">
        <v>10085</v>
      </c>
    </row>
    <row r="9286" spans="1:11" x14ac:dyDescent="0.2">
      <c r="A9286" s="2">
        <v>2323</v>
      </c>
      <c r="B9286" s="2">
        <v>19</v>
      </c>
      <c r="C9286" s="2">
        <v>15650186</v>
      </c>
      <c r="D9286" s="2">
        <v>16079006</v>
      </c>
      <c r="E9286" s="2">
        <v>4</v>
      </c>
      <c r="F9286" s="2" t="s">
        <v>10086</v>
      </c>
      <c r="H9286" s="3">
        <v>1E-4</v>
      </c>
      <c r="K9286" s="2" t="s">
        <v>10089</v>
      </c>
    </row>
    <row r="9287" spans="1:11" x14ac:dyDescent="0.2">
      <c r="A9287" s="2">
        <v>2324</v>
      </c>
      <c r="B9287" s="2">
        <v>19</v>
      </c>
      <c r="C9287" s="2">
        <v>16079007</v>
      </c>
      <c r="D9287" s="2">
        <v>17045963</v>
      </c>
      <c r="E9287" s="2">
        <v>1</v>
      </c>
      <c r="F9287" s="2" t="s">
        <v>10086</v>
      </c>
      <c r="H9287" s="2">
        <v>1.6000000000000001E-3</v>
      </c>
      <c r="K9287" s="2" t="s">
        <v>10085</v>
      </c>
    </row>
    <row r="9288" spans="1:11" x14ac:dyDescent="0.2">
      <c r="A9288" s="2">
        <v>2324</v>
      </c>
      <c r="B9288" s="2">
        <v>19</v>
      </c>
      <c r="C9288" s="2">
        <v>16079007</v>
      </c>
      <c r="D9288" s="2">
        <v>17045963</v>
      </c>
      <c r="E9288" s="2">
        <v>2</v>
      </c>
      <c r="F9288" s="2" t="s">
        <v>10086</v>
      </c>
      <c r="H9288" s="3">
        <v>8.9999999999999998E-4</v>
      </c>
      <c r="K9288" s="2" t="s">
        <v>10089</v>
      </c>
    </row>
    <row r="9289" spans="1:11" x14ac:dyDescent="0.2">
      <c r="A9289" s="2">
        <v>2324</v>
      </c>
      <c r="B9289" s="2">
        <v>19</v>
      </c>
      <c r="C9289" s="2">
        <v>16079007</v>
      </c>
      <c r="D9289" s="2">
        <v>17045963</v>
      </c>
      <c r="E9289" s="2">
        <v>3</v>
      </c>
      <c r="F9289" s="2" t="s">
        <v>10086</v>
      </c>
      <c r="H9289" s="3">
        <v>8.9999999999999998E-4</v>
      </c>
      <c r="K9289" s="2" t="s">
        <v>10088</v>
      </c>
    </row>
    <row r="9290" spans="1:11" x14ac:dyDescent="0.2">
      <c r="A9290" s="2">
        <v>2324</v>
      </c>
      <c r="B9290" s="2">
        <v>19</v>
      </c>
      <c r="C9290" s="2">
        <v>16079007</v>
      </c>
      <c r="D9290" s="2">
        <v>17045963</v>
      </c>
      <c r="E9290" s="2">
        <v>4</v>
      </c>
      <c r="F9290" s="2" t="s">
        <v>10086</v>
      </c>
      <c r="H9290" s="3">
        <v>4.0000000000000002E-4</v>
      </c>
      <c r="K9290" s="2" t="s">
        <v>10087</v>
      </c>
    </row>
    <row r="9291" spans="1:11" x14ac:dyDescent="0.2">
      <c r="A9291" s="2">
        <v>2325</v>
      </c>
      <c r="B9291" s="2">
        <v>19</v>
      </c>
      <c r="C9291" s="2">
        <v>17045964</v>
      </c>
      <c r="D9291" s="2">
        <v>17750518</v>
      </c>
      <c r="E9291" s="2">
        <v>1</v>
      </c>
      <c r="F9291" s="2" t="s">
        <v>10086</v>
      </c>
      <c r="H9291" s="2">
        <v>1.2999999999999999E-3</v>
      </c>
      <c r="K9291" s="2" t="s">
        <v>10089</v>
      </c>
    </row>
    <row r="9292" spans="1:11" x14ac:dyDescent="0.2">
      <c r="A9292" s="2">
        <v>2325</v>
      </c>
      <c r="B9292" s="2">
        <v>19</v>
      </c>
      <c r="C9292" s="2">
        <v>17045964</v>
      </c>
      <c r="D9292" s="2">
        <v>17750518</v>
      </c>
      <c r="E9292" s="2">
        <v>2</v>
      </c>
      <c r="F9292" s="2" t="s">
        <v>10086</v>
      </c>
      <c r="H9292" s="3">
        <v>8.9999999999999998E-4</v>
      </c>
      <c r="K9292" s="2" t="s">
        <v>10088</v>
      </c>
    </row>
    <row r="9293" spans="1:11" x14ac:dyDescent="0.2">
      <c r="A9293" s="2">
        <v>2325</v>
      </c>
      <c r="B9293" s="2">
        <v>19</v>
      </c>
      <c r="C9293" s="2">
        <v>17045964</v>
      </c>
      <c r="D9293" s="2">
        <v>17750518</v>
      </c>
      <c r="E9293" s="2">
        <v>3</v>
      </c>
      <c r="F9293" s="2" t="s">
        <v>10086</v>
      </c>
      <c r="H9293" s="3">
        <v>6.9999999999999999E-4</v>
      </c>
      <c r="K9293" s="2" t="s">
        <v>10085</v>
      </c>
    </row>
    <row r="9294" spans="1:11" x14ac:dyDescent="0.2">
      <c r="A9294" s="2">
        <v>2325</v>
      </c>
      <c r="B9294" s="2">
        <v>19</v>
      </c>
      <c r="C9294" s="2">
        <v>17045964</v>
      </c>
      <c r="D9294" s="2">
        <v>17750518</v>
      </c>
      <c r="E9294" s="2">
        <v>4</v>
      </c>
      <c r="F9294" s="2" t="s">
        <v>10086</v>
      </c>
      <c r="H9294" s="3">
        <v>4.0000000000000002E-4</v>
      </c>
      <c r="K9294" s="2" t="s">
        <v>10087</v>
      </c>
    </row>
    <row r="9295" spans="1:11" x14ac:dyDescent="0.2">
      <c r="A9295" s="2">
        <v>2326</v>
      </c>
      <c r="B9295" s="2">
        <v>19</v>
      </c>
      <c r="C9295" s="2">
        <v>17750519</v>
      </c>
      <c r="D9295" s="2">
        <v>18504867</v>
      </c>
      <c r="E9295" s="2">
        <v>1</v>
      </c>
      <c r="F9295" s="2" t="s">
        <v>10086</v>
      </c>
      <c r="H9295" s="2">
        <v>1.18E-2</v>
      </c>
      <c r="K9295" s="2" t="s">
        <v>10087</v>
      </c>
    </row>
    <row r="9296" spans="1:11" x14ac:dyDescent="0.2">
      <c r="A9296" s="2">
        <v>2326</v>
      </c>
      <c r="B9296" s="2">
        <v>19</v>
      </c>
      <c r="C9296" s="2">
        <v>17750519</v>
      </c>
      <c r="D9296" s="2">
        <v>18504867</v>
      </c>
      <c r="E9296" s="2">
        <v>2</v>
      </c>
      <c r="F9296" s="2" t="s">
        <v>10086</v>
      </c>
      <c r="H9296" s="2">
        <v>2.5000000000000001E-3</v>
      </c>
      <c r="K9296" s="2" t="s">
        <v>12324</v>
      </c>
    </row>
    <row r="9297" spans="1:11" x14ac:dyDescent="0.2">
      <c r="A9297" s="2">
        <v>2326</v>
      </c>
      <c r="B9297" s="2">
        <v>19</v>
      </c>
      <c r="C9297" s="2">
        <v>17750519</v>
      </c>
      <c r="D9297" s="2">
        <v>18504867</v>
      </c>
      <c r="E9297" s="2">
        <v>3</v>
      </c>
      <c r="F9297" s="2" t="s">
        <v>10086</v>
      </c>
      <c r="H9297" s="2">
        <v>1E-3</v>
      </c>
      <c r="K9297" s="2" t="s">
        <v>10089</v>
      </c>
    </row>
    <row r="9298" spans="1:11" x14ac:dyDescent="0.2">
      <c r="A9298" s="2">
        <v>2326</v>
      </c>
      <c r="B9298" s="2">
        <v>19</v>
      </c>
      <c r="C9298" s="2">
        <v>17750519</v>
      </c>
      <c r="D9298" s="2">
        <v>18504867</v>
      </c>
      <c r="E9298" s="2">
        <v>4</v>
      </c>
      <c r="F9298" s="2" t="s">
        <v>10086</v>
      </c>
      <c r="H9298" s="3">
        <v>8.9999999999999998E-4</v>
      </c>
      <c r="K9298" s="2" t="s">
        <v>10088</v>
      </c>
    </row>
    <row r="9299" spans="1:11" x14ac:dyDescent="0.2">
      <c r="A9299" s="2">
        <v>2327</v>
      </c>
      <c r="B9299" s="2">
        <v>19</v>
      </c>
      <c r="C9299" s="2">
        <v>18504868</v>
      </c>
      <c r="D9299" s="2">
        <v>19749166</v>
      </c>
      <c r="E9299" s="2">
        <v>1</v>
      </c>
      <c r="F9299" s="2" t="s">
        <v>10086</v>
      </c>
      <c r="H9299" s="2">
        <v>2E-3</v>
      </c>
      <c r="K9299" s="2" t="s">
        <v>10087</v>
      </c>
    </row>
    <row r="9300" spans="1:11" x14ac:dyDescent="0.2">
      <c r="A9300" s="2">
        <v>2327</v>
      </c>
      <c r="B9300" s="2">
        <v>19</v>
      </c>
      <c r="C9300" s="2">
        <v>18504868</v>
      </c>
      <c r="D9300" s="2">
        <v>19749166</v>
      </c>
      <c r="E9300" s="2">
        <v>2</v>
      </c>
      <c r="F9300" s="2" t="s">
        <v>10086</v>
      </c>
      <c r="H9300" s="2">
        <v>1.1000000000000001E-3</v>
      </c>
      <c r="K9300" s="2" t="s">
        <v>10088</v>
      </c>
    </row>
    <row r="9301" spans="1:11" x14ac:dyDescent="0.2">
      <c r="A9301" s="2">
        <v>2327</v>
      </c>
      <c r="B9301" s="2">
        <v>19</v>
      </c>
      <c r="C9301" s="2">
        <v>18504868</v>
      </c>
      <c r="D9301" s="2">
        <v>19749166</v>
      </c>
      <c r="E9301" s="2">
        <v>3</v>
      </c>
      <c r="F9301" s="2" t="s">
        <v>10086</v>
      </c>
      <c r="H9301" s="3">
        <v>8.9999999999999998E-4</v>
      </c>
      <c r="K9301" s="2" t="s">
        <v>10089</v>
      </c>
    </row>
    <row r="9302" spans="1:11" x14ac:dyDescent="0.2">
      <c r="A9302" s="2">
        <v>2327</v>
      </c>
      <c r="B9302" s="2">
        <v>19</v>
      </c>
      <c r="C9302" s="2">
        <v>18504868</v>
      </c>
      <c r="D9302" s="2">
        <v>19749166</v>
      </c>
      <c r="E9302" s="2">
        <v>4</v>
      </c>
      <c r="F9302" s="2" t="s">
        <v>10086</v>
      </c>
      <c r="H9302" s="3">
        <v>5.0000000000000001E-4</v>
      </c>
      <c r="K9302" s="2" t="s">
        <v>10085</v>
      </c>
    </row>
    <row r="9303" spans="1:11" x14ac:dyDescent="0.2">
      <c r="A9303" s="2">
        <v>2328</v>
      </c>
      <c r="B9303" s="2">
        <v>19</v>
      </c>
      <c r="C9303" s="2">
        <v>19749167</v>
      </c>
      <c r="D9303" s="2">
        <v>20485499</v>
      </c>
      <c r="E9303" s="2">
        <v>1</v>
      </c>
      <c r="F9303" s="2" t="s">
        <v>10086</v>
      </c>
      <c r="H9303" s="2">
        <v>3.2000000000000002E-3</v>
      </c>
      <c r="K9303" s="2" t="s">
        <v>10088</v>
      </c>
    </row>
    <row r="9304" spans="1:11" x14ac:dyDescent="0.2">
      <c r="A9304" s="2">
        <v>2328</v>
      </c>
      <c r="B9304" s="2">
        <v>19</v>
      </c>
      <c r="C9304" s="2">
        <v>19749167</v>
      </c>
      <c r="D9304" s="2">
        <v>20485499</v>
      </c>
      <c r="E9304" s="2">
        <v>2</v>
      </c>
      <c r="F9304" s="2" t="s">
        <v>10086</v>
      </c>
      <c r="H9304" s="2">
        <v>1.2999999999999999E-3</v>
      </c>
      <c r="K9304" s="2" t="s">
        <v>10089</v>
      </c>
    </row>
    <row r="9305" spans="1:11" x14ac:dyDescent="0.2">
      <c r="A9305" s="2">
        <v>2328</v>
      </c>
      <c r="B9305" s="2">
        <v>19</v>
      </c>
      <c r="C9305" s="2">
        <v>19749167</v>
      </c>
      <c r="D9305" s="2">
        <v>20485499</v>
      </c>
      <c r="E9305" s="2">
        <v>3</v>
      </c>
      <c r="F9305" s="2" t="s">
        <v>10086</v>
      </c>
      <c r="H9305" s="3">
        <v>6.9999999999999999E-4</v>
      </c>
      <c r="K9305" s="2" t="s">
        <v>10087</v>
      </c>
    </row>
    <row r="9306" spans="1:11" x14ac:dyDescent="0.2">
      <c r="A9306" s="2">
        <v>2328</v>
      </c>
      <c r="B9306" s="2">
        <v>19</v>
      </c>
      <c r="C9306" s="2">
        <v>19749167</v>
      </c>
      <c r="D9306" s="2">
        <v>20485499</v>
      </c>
      <c r="E9306" s="2">
        <v>4</v>
      </c>
      <c r="F9306" s="2" t="s">
        <v>10086</v>
      </c>
      <c r="H9306" s="3">
        <v>4.0000000000000002E-4</v>
      </c>
      <c r="K9306" s="2" t="s">
        <v>10085</v>
      </c>
    </row>
    <row r="9307" spans="1:11" x14ac:dyDescent="0.2">
      <c r="A9307" s="2">
        <v>2329</v>
      </c>
      <c r="B9307" s="2">
        <v>19</v>
      </c>
      <c r="C9307" s="2">
        <v>20485500</v>
      </c>
      <c r="D9307" s="2">
        <v>21155862</v>
      </c>
      <c r="E9307" s="2">
        <v>1</v>
      </c>
      <c r="F9307" s="2" t="s">
        <v>10086</v>
      </c>
      <c r="H9307" s="2">
        <v>2E-3</v>
      </c>
      <c r="K9307" s="2" t="s">
        <v>10085</v>
      </c>
    </row>
    <row r="9308" spans="1:11" x14ac:dyDescent="0.2">
      <c r="A9308" s="2">
        <v>2329</v>
      </c>
      <c r="B9308" s="2">
        <v>19</v>
      </c>
      <c r="C9308" s="2">
        <v>20485500</v>
      </c>
      <c r="D9308" s="2">
        <v>21155862</v>
      </c>
      <c r="E9308" s="2">
        <v>2</v>
      </c>
      <c r="F9308" s="2" t="s">
        <v>10086</v>
      </c>
      <c r="H9308" s="2">
        <v>1.2999999999999999E-3</v>
      </c>
      <c r="K9308" s="2" t="s">
        <v>10088</v>
      </c>
    </row>
    <row r="9309" spans="1:11" x14ac:dyDescent="0.2">
      <c r="A9309" s="2">
        <v>2329</v>
      </c>
      <c r="B9309" s="2">
        <v>19</v>
      </c>
      <c r="C9309" s="2">
        <v>20485500</v>
      </c>
      <c r="D9309" s="2">
        <v>21155862</v>
      </c>
      <c r="E9309" s="2">
        <v>3</v>
      </c>
      <c r="F9309" s="2" t="s">
        <v>10086</v>
      </c>
      <c r="H9309" s="3">
        <v>4.0000000000000002E-4</v>
      </c>
      <c r="K9309" s="2" t="s">
        <v>10089</v>
      </c>
    </row>
    <row r="9310" spans="1:11" x14ac:dyDescent="0.2">
      <c r="A9310" s="2">
        <v>2329</v>
      </c>
      <c r="B9310" s="2">
        <v>19</v>
      </c>
      <c r="C9310" s="2">
        <v>20485500</v>
      </c>
      <c r="D9310" s="2">
        <v>21155862</v>
      </c>
      <c r="E9310" s="2">
        <v>4</v>
      </c>
      <c r="F9310" s="2" t="s">
        <v>10086</v>
      </c>
      <c r="H9310" s="3">
        <v>2.0000000000000001E-4</v>
      </c>
      <c r="K9310" s="2" t="s">
        <v>10087</v>
      </c>
    </row>
    <row r="9311" spans="1:11" x14ac:dyDescent="0.2">
      <c r="A9311" s="2">
        <v>2330</v>
      </c>
      <c r="B9311" s="2">
        <v>19</v>
      </c>
      <c r="C9311" s="2">
        <v>21155863</v>
      </c>
      <c r="D9311" s="2">
        <v>21822653</v>
      </c>
      <c r="E9311" s="2">
        <v>1</v>
      </c>
      <c r="F9311" s="2" t="s">
        <v>10086</v>
      </c>
      <c r="H9311" s="2">
        <v>2E-3</v>
      </c>
      <c r="K9311" s="2" t="s">
        <v>10085</v>
      </c>
    </row>
    <row r="9312" spans="1:11" x14ac:dyDescent="0.2">
      <c r="A9312" s="2">
        <v>2330</v>
      </c>
      <c r="B9312" s="2">
        <v>19</v>
      </c>
      <c r="C9312" s="2">
        <v>21155863</v>
      </c>
      <c r="D9312" s="2">
        <v>21822653</v>
      </c>
      <c r="E9312" s="2">
        <v>2</v>
      </c>
      <c r="F9312" s="2" t="s">
        <v>10086</v>
      </c>
      <c r="H9312" s="2">
        <v>1.6999999999999999E-3</v>
      </c>
      <c r="K9312" s="2" t="s">
        <v>12324</v>
      </c>
    </row>
    <row r="9313" spans="1:11" x14ac:dyDescent="0.2">
      <c r="A9313" s="2">
        <v>2330</v>
      </c>
      <c r="B9313" s="2">
        <v>19</v>
      </c>
      <c r="C9313" s="2">
        <v>21155863</v>
      </c>
      <c r="D9313" s="2">
        <v>21822653</v>
      </c>
      <c r="E9313" s="2">
        <v>3</v>
      </c>
      <c r="F9313" s="2" t="s">
        <v>10086</v>
      </c>
      <c r="H9313" s="2">
        <v>2.2000000000000001E-3</v>
      </c>
      <c r="K9313" s="2" t="s">
        <v>10088</v>
      </c>
    </row>
    <row r="9314" spans="1:11" x14ac:dyDescent="0.2">
      <c r="A9314" s="2">
        <v>2330</v>
      </c>
      <c r="B9314" s="2">
        <v>19</v>
      </c>
      <c r="C9314" s="2">
        <v>21155863</v>
      </c>
      <c r="D9314" s="2">
        <v>21822653</v>
      </c>
      <c r="E9314" s="2">
        <v>4</v>
      </c>
      <c r="F9314" s="2" t="s">
        <v>10086</v>
      </c>
      <c r="H9314" s="3">
        <v>4.0000000000000002E-4</v>
      </c>
      <c r="K9314" s="2" t="s">
        <v>10087</v>
      </c>
    </row>
    <row r="9315" spans="1:11" x14ac:dyDescent="0.2">
      <c r="A9315" s="2">
        <v>2331</v>
      </c>
      <c r="B9315" s="2">
        <v>19</v>
      </c>
      <c r="C9315" s="2">
        <v>21822654</v>
      </c>
      <c r="D9315" s="2">
        <v>22729408</v>
      </c>
      <c r="E9315" s="2">
        <v>1</v>
      </c>
      <c r="F9315" s="2" t="s">
        <v>10086</v>
      </c>
      <c r="H9315" s="2">
        <v>4.3E-3</v>
      </c>
      <c r="K9315" s="2" t="s">
        <v>10087</v>
      </c>
    </row>
    <row r="9316" spans="1:11" x14ac:dyDescent="0.2">
      <c r="A9316" s="2">
        <v>2331</v>
      </c>
      <c r="B9316" s="2">
        <v>19</v>
      </c>
      <c r="C9316" s="2">
        <v>21822654</v>
      </c>
      <c r="D9316" s="2">
        <v>22729408</v>
      </c>
      <c r="E9316" s="2">
        <v>2</v>
      </c>
      <c r="F9316" s="2" t="s">
        <v>10086</v>
      </c>
      <c r="H9316" s="2">
        <v>1E-3</v>
      </c>
      <c r="K9316" s="2" t="s">
        <v>10089</v>
      </c>
    </row>
    <row r="9317" spans="1:11" x14ac:dyDescent="0.2">
      <c r="A9317" s="2">
        <v>2331</v>
      </c>
      <c r="B9317" s="2">
        <v>19</v>
      </c>
      <c r="C9317" s="2">
        <v>21822654</v>
      </c>
      <c r="D9317" s="2">
        <v>22729408</v>
      </c>
      <c r="E9317" s="2">
        <v>3</v>
      </c>
      <c r="F9317" s="2" t="s">
        <v>10086</v>
      </c>
      <c r="H9317" s="3">
        <v>6.9999999999999999E-4</v>
      </c>
      <c r="K9317" s="2" t="s">
        <v>10088</v>
      </c>
    </row>
    <row r="9318" spans="1:11" x14ac:dyDescent="0.2">
      <c r="A9318" s="2">
        <v>2331</v>
      </c>
      <c r="B9318" s="2">
        <v>19</v>
      </c>
      <c r="C9318" s="2">
        <v>21822654</v>
      </c>
      <c r="D9318" s="2">
        <v>22729408</v>
      </c>
      <c r="E9318" s="2">
        <v>4</v>
      </c>
      <c r="F9318" s="2" t="s">
        <v>10086</v>
      </c>
      <c r="H9318" s="3">
        <v>5.9999999999999995E-4</v>
      </c>
      <c r="K9318" s="2" t="s">
        <v>12324</v>
      </c>
    </row>
    <row r="9319" spans="1:11" x14ac:dyDescent="0.2">
      <c r="A9319" s="2">
        <v>2332</v>
      </c>
      <c r="B9319" s="2">
        <v>19</v>
      </c>
      <c r="C9319" s="2">
        <v>22729409</v>
      </c>
      <c r="D9319" s="2">
        <v>23468992</v>
      </c>
      <c r="E9319" s="2">
        <v>1</v>
      </c>
      <c r="F9319" s="2" t="s">
        <v>10086</v>
      </c>
      <c r="H9319" s="2">
        <v>1.6999999999999999E-3</v>
      </c>
      <c r="K9319" s="2" t="s">
        <v>10087</v>
      </c>
    </row>
    <row r="9320" spans="1:11" x14ac:dyDescent="0.2">
      <c r="A9320" s="2">
        <v>2332</v>
      </c>
      <c r="B9320" s="2">
        <v>19</v>
      </c>
      <c r="C9320" s="2">
        <v>22729409</v>
      </c>
      <c r="D9320" s="2">
        <v>23468992</v>
      </c>
      <c r="E9320" s="2">
        <v>2</v>
      </c>
      <c r="F9320" s="2" t="s">
        <v>10086</v>
      </c>
      <c r="H9320" s="3">
        <v>8.9999999999999998E-4</v>
      </c>
      <c r="K9320" s="2" t="s">
        <v>10089</v>
      </c>
    </row>
    <row r="9321" spans="1:11" x14ac:dyDescent="0.2">
      <c r="A9321" s="2">
        <v>2332</v>
      </c>
      <c r="B9321" s="2">
        <v>19</v>
      </c>
      <c r="C9321" s="2">
        <v>22729409</v>
      </c>
      <c r="D9321" s="2">
        <v>23468992</v>
      </c>
      <c r="E9321" s="2">
        <v>3</v>
      </c>
      <c r="F9321" s="2" t="s">
        <v>10086</v>
      </c>
      <c r="H9321" s="3">
        <v>5.0000000000000001E-4</v>
      </c>
      <c r="K9321" s="2" t="s">
        <v>10085</v>
      </c>
    </row>
    <row r="9322" spans="1:11" x14ac:dyDescent="0.2">
      <c r="A9322" s="2">
        <v>2332</v>
      </c>
      <c r="B9322" s="2">
        <v>19</v>
      </c>
      <c r="C9322" s="2">
        <v>22729409</v>
      </c>
      <c r="D9322" s="2">
        <v>23468992</v>
      </c>
      <c r="E9322" s="2">
        <v>4</v>
      </c>
      <c r="F9322" s="2" t="s">
        <v>10086</v>
      </c>
      <c r="H9322" s="3">
        <v>2.9999999999999997E-4</v>
      </c>
      <c r="K9322" s="2" t="s">
        <v>10088</v>
      </c>
    </row>
    <row r="9323" spans="1:11" x14ac:dyDescent="0.2">
      <c r="A9323" s="2">
        <v>2333</v>
      </c>
      <c r="B9323" s="2">
        <v>19</v>
      </c>
      <c r="C9323" s="2">
        <v>23468993</v>
      </c>
      <c r="D9323" s="2">
        <v>24567341</v>
      </c>
      <c r="E9323" s="2">
        <v>1</v>
      </c>
      <c r="F9323" s="2" t="s">
        <v>10086</v>
      </c>
      <c r="H9323" s="2">
        <v>4.41E-2</v>
      </c>
      <c r="K9323" s="2" t="s">
        <v>12324</v>
      </c>
    </row>
    <row r="9324" spans="1:11" x14ac:dyDescent="0.2">
      <c r="A9324" s="2">
        <v>2333</v>
      </c>
      <c r="B9324" s="2">
        <v>19</v>
      </c>
      <c r="C9324" s="2">
        <v>23468993</v>
      </c>
      <c r="D9324" s="2">
        <v>24567341</v>
      </c>
      <c r="E9324" s="2">
        <v>2</v>
      </c>
      <c r="F9324" s="2" t="s">
        <v>10086</v>
      </c>
      <c r="H9324" s="2">
        <v>1.1999999999999999E-3</v>
      </c>
      <c r="K9324" s="2" t="s">
        <v>10087</v>
      </c>
    </row>
    <row r="9325" spans="1:11" x14ac:dyDescent="0.2">
      <c r="A9325" s="2">
        <v>2333</v>
      </c>
      <c r="B9325" s="2">
        <v>19</v>
      </c>
      <c r="C9325" s="2">
        <v>23468993</v>
      </c>
      <c r="D9325" s="2">
        <v>24567341</v>
      </c>
      <c r="E9325" s="2">
        <v>3</v>
      </c>
      <c r="F9325" s="2" t="s">
        <v>10086</v>
      </c>
      <c r="H9325" s="2">
        <v>1.1000000000000001E-3</v>
      </c>
      <c r="K9325" s="2" t="s">
        <v>10088</v>
      </c>
    </row>
    <row r="9326" spans="1:11" x14ac:dyDescent="0.2">
      <c r="A9326" s="2">
        <v>2333</v>
      </c>
      <c r="B9326" s="2">
        <v>19</v>
      </c>
      <c r="C9326" s="2">
        <v>23468993</v>
      </c>
      <c r="D9326" s="2">
        <v>24567341</v>
      </c>
      <c r="E9326" s="2">
        <v>4</v>
      </c>
      <c r="F9326" s="2" t="s">
        <v>10086</v>
      </c>
      <c r="H9326" s="3">
        <v>8.9999999999999998E-4</v>
      </c>
      <c r="K9326" s="2" t="s">
        <v>10089</v>
      </c>
    </row>
    <row r="9327" spans="1:11" x14ac:dyDescent="0.2">
      <c r="A9327" s="2">
        <v>2334</v>
      </c>
      <c r="B9327" s="2">
        <v>19</v>
      </c>
      <c r="C9327" s="2">
        <v>24567342</v>
      </c>
      <c r="D9327" s="2">
        <v>28555845</v>
      </c>
      <c r="E9327" s="2">
        <v>1</v>
      </c>
      <c r="F9327" s="2" t="s">
        <v>10086</v>
      </c>
      <c r="H9327" s="2">
        <v>1.41E-2</v>
      </c>
      <c r="K9327" s="2" t="s">
        <v>12324</v>
      </c>
    </row>
    <row r="9328" spans="1:11" x14ac:dyDescent="0.2">
      <c r="A9328" s="2">
        <v>2334</v>
      </c>
      <c r="B9328" s="2">
        <v>19</v>
      </c>
      <c r="C9328" s="2">
        <v>24567342</v>
      </c>
      <c r="D9328" s="2">
        <v>28555845</v>
      </c>
      <c r="E9328" s="2">
        <v>2</v>
      </c>
      <c r="F9328" s="2" t="s">
        <v>10086</v>
      </c>
      <c r="H9328" s="2">
        <v>1.8E-3</v>
      </c>
      <c r="K9328" s="2" t="s">
        <v>10088</v>
      </c>
    </row>
    <row r="9329" spans="1:11" x14ac:dyDescent="0.2">
      <c r="A9329" s="2">
        <v>2334</v>
      </c>
      <c r="B9329" s="2">
        <v>19</v>
      </c>
      <c r="C9329" s="2">
        <v>24567342</v>
      </c>
      <c r="D9329" s="2">
        <v>28555845</v>
      </c>
      <c r="E9329" s="2">
        <v>3</v>
      </c>
      <c r="F9329" s="2" t="s">
        <v>10086</v>
      </c>
      <c r="H9329" s="2">
        <v>1.2999999999999999E-3</v>
      </c>
      <c r="K9329" s="2" t="s">
        <v>10087</v>
      </c>
    </row>
    <row r="9330" spans="1:11" x14ac:dyDescent="0.2">
      <c r="A9330" s="2">
        <v>2334</v>
      </c>
      <c r="B9330" s="2">
        <v>19</v>
      </c>
      <c r="C9330" s="2">
        <v>24567342</v>
      </c>
      <c r="D9330" s="2">
        <v>28555845</v>
      </c>
      <c r="E9330" s="2">
        <v>4</v>
      </c>
      <c r="F9330" s="2" t="s">
        <v>10086</v>
      </c>
      <c r="H9330" s="3">
        <v>8.9999999999999998E-4</v>
      </c>
      <c r="K9330" s="2" t="s">
        <v>10085</v>
      </c>
    </row>
    <row r="9331" spans="1:11" x14ac:dyDescent="0.2">
      <c r="A9331" s="2">
        <v>2335</v>
      </c>
      <c r="B9331" s="2">
        <v>19</v>
      </c>
      <c r="C9331" s="2">
        <v>28555846</v>
      </c>
      <c r="D9331" s="2">
        <v>29389090</v>
      </c>
      <c r="E9331" s="2">
        <v>1</v>
      </c>
      <c r="F9331" s="2" t="s">
        <v>10086</v>
      </c>
      <c r="H9331" s="2">
        <v>1.1999999999999999E-3</v>
      </c>
      <c r="K9331" s="2" t="s">
        <v>10088</v>
      </c>
    </row>
    <row r="9332" spans="1:11" x14ac:dyDescent="0.2">
      <c r="A9332" s="2">
        <v>2335</v>
      </c>
      <c r="B9332" s="2">
        <v>19</v>
      </c>
      <c r="C9332" s="2">
        <v>28555846</v>
      </c>
      <c r="D9332" s="2">
        <v>29389090</v>
      </c>
      <c r="E9332" s="2">
        <v>2</v>
      </c>
      <c r="F9332" s="2" t="s">
        <v>10086</v>
      </c>
      <c r="H9332" s="2">
        <v>1E-3</v>
      </c>
      <c r="K9332" s="2" t="s">
        <v>10085</v>
      </c>
    </row>
    <row r="9333" spans="1:11" x14ac:dyDescent="0.2">
      <c r="A9333" s="2">
        <v>2335</v>
      </c>
      <c r="B9333" s="2">
        <v>19</v>
      </c>
      <c r="C9333" s="2">
        <v>28555846</v>
      </c>
      <c r="D9333" s="2">
        <v>29389090</v>
      </c>
      <c r="E9333" s="2">
        <v>3</v>
      </c>
      <c r="F9333" s="2" t="s">
        <v>10086</v>
      </c>
      <c r="H9333" s="3">
        <v>8.0000000000000004E-4</v>
      </c>
      <c r="K9333" s="2" t="s">
        <v>10089</v>
      </c>
    </row>
    <row r="9334" spans="1:11" x14ac:dyDescent="0.2">
      <c r="A9334" s="2">
        <v>2335</v>
      </c>
      <c r="B9334" s="2">
        <v>19</v>
      </c>
      <c r="C9334" s="2">
        <v>28555846</v>
      </c>
      <c r="D9334" s="2">
        <v>29389090</v>
      </c>
      <c r="E9334" s="2">
        <v>4</v>
      </c>
      <c r="F9334" s="2" t="s">
        <v>10086</v>
      </c>
      <c r="H9334" s="3">
        <v>2.9999999999999997E-4</v>
      </c>
      <c r="K9334" s="2" t="s">
        <v>10087</v>
      </c>
    </row>
    <row r="9335" spans="1:11" x14ac:dyDescent="0.2">
      <c r="A9335" s="2">
        <v>2336</v>
      </c>
      <c r="B9335" s="2">
        <v>19</v>
      </c>
      <c r="C9335" s="2">
        <v>29389091</v>
      </c>
      <c r="D9335" s="2">
        <v>30375792</v>
      </c>
      <c r="E9335" s="2">
        <v>1</v>
      </c>
      <c r="F9335" s="2" t="s">
        <v>10086</v>
      </c>
      <c r="H9335" s="2">
        <v>6.7999999999999996E-3</v>
      </c>
      <c r="K9335" s="2" t="s">
        <v>10087</v>
      </c>
    </row>
    <row r="9336" spans="1:11" x14ac:dyDescent="0.2">
      <c r="A9336" s="2">
        <v>2336</v>
      </c>
      <c r="B9336" s="2">
        <v>19</v>
      </c>
      <c r="C9336" s="2">
        <v>29389091</v>
      </c>
      <c r="D9336" s="2">
        <v>30375792</v>
      </c>
      <c r="E9336" s="2">
        <v>2</v>
      </c>
      <c r="F9336" s="2" t="s">
        <v>10086</v>
      </c>
      <c r="H9336" s="2">
        <v>4.0000000000000001E-3</v>
      </c>
      <c r="K9336" s="2" t="s">
        <v>10085</v>
      </c>
    </row>
    <row r="9337" spans="1:11" x14ac:dyDescent="0.2">
      <c r="A9337" s="2">
        <v>2336</v>
      </c>
      <c r="B9337" s="2">
        <v>19</v>
      </c>
      <c r="C9337" s="2">
        <v>29389091</v>
      </c>
      <c r="D9337" s="2">
        <v>30375792</v>
      </c>
      <c r="E9337" s="2">
        <v>3</v>
      </c>
      <c r="F9337" s="2" t="s">
        <v>10086</v>
      </c>
      <c r="H9337" s="2">
        <v>2.3999999999999998E-3</v>
      </c>
      <c r="K9337" s="2" t="s">
        <v>10088</v>
      </c>
    </row>
    <row r="9338" spans="1:11" x14ac:dyDescent="0.2">
      <c r="A9338" s="2">
        <v>2336</v>
      </c>
      <c r="B9338" s="2">
        <v>19</v>
      </c>
      <c r="C9338" s="2">
        <v>29389091</v>
      </c>
      <c r="D9338" s="2">
        <v>30375792</v>
      </c>
      <c r="E9338" s="2">
        <v>4</v>
      </c>
      <c r="F9338" s="2" t="s">
        <v>10086</v>
      </c>
      <c r="H9338" s="3">
        <v>6.9999999999999999E-4</v>
      </c>
      <c r="K9338" s="2" t="s">
        <v>10089</v>
      </c>
    </row>
    <row r="9339" spans="1:11" x14ac:dyDescent="0.2">
      <c r="A9339" s="2">
        <v>2337</v>
      </c>
      <c r="B9339" s="2">
        <v>19</v>
      </c>
      <c r="C9339" s="2">
        <v>30375793</v>
      </c>
      <c r="D9339" s="2">
        <v>31763008</v>
      </c>
      <c r="E9339" s="2">
        <v>1</v>
      </c>
      <c r="F9339" s="2" t="s">
        <v>10086</v>
      </c>
      <c r="H9339" s="2">
        <v>2.8E-3</v>
      </c>
      <c r="K9339" s="2" t="s">
        <v>10085</v>
      </c>
    </row>
    <row r="9340" spans="1:11" x14ac:dyDescent="0.2">
      <c r="A9340" s="2">
        <v>2337</v>
      </c>
      <c r="B9340" s="2">
        <v>19</v>
      </c>
      <c r="C9340" s="2">
        <v>30375793</v>
      </c>
      <c r="D9340" s="2">
        <v>31763008</v>
      </c>
      <c r="E9340" s="2">
        <v>2</v>
      </c>
      <c r="F9340" s="2" t="s">
        <v>10086</v>
      </c>
      <c r="H9340" s="2">
        <v>1.1999999999999999E-3</v>
      </c>
      <c r="K9340" s="2" t="s">
        <v>10088</v>
      </c>
    </row>
    <row r="9341" spans="1:11" x14ac:dyDescent="0.2">
      <c r="A9341" s="2">
        <v>2337</v>
      </c>
      <c r="B9341" s="2">
        <v>19</v>
      </c>
      <c r="C9341" s="2">
        <v>30375793</v>
      </c>
      <c r="D9341" s="2">
        <v>31763008</v>
      </c>
      <c r="E9341" s="2">
        <v>3</v>
      </c>
      <c r="F9341" s="2" t="s">
        <v>10086</v>
      </c>
      <c r="H9341" s="3">
        <v>8.9999999999999998E-4</v>
      </c>
      <c r="K9341" s="2" t="s">
        <v>10087</v>
      </c>
    </row>
    <row r="9342" spans="1:11" x14ac:dyDescent="0.2">
      <c r="A9342" s="2">
        <v>2337</v>
      </c>
      <c r="B9342" s="2">
        <v>19</v>
      </c>
      <c r="C9342" s="2">
        <v>30375793</v>
      </c>
      <c r="D9342" s="2">
        <v>31763008</v>
      </c>
      <c r="E9342" s="2">
        <v>4</v>
      </c>
      <c r="F9342" s="2" t="s">
        <v>10086</v>
      </c>
      <c r="H9342" s="3">
        <v>4.0000000000000002E-4</v>
      </c>
      <c r="K9342" s="2" t="s">
        <v>10089</v>
      </c>
    </row>
    <row r="9343" spans="1:11" x14ac:dyDescent="0.2">
      <c r="A9343" s="2">
        <v>2338</v>
      </c>
      <c r="B9343" s="2">
        <v>19</v>
      </c>
      <c r="C9343" s="2">
        <v>31763009</v>
      </c>
      <c r="D9343" s="2">
        <v>33028099</v>
      </c>
      <c r="E9343" s="2">
        <v>1</v>
      </c>
      <c r="F9343" s="2" t="s">
        <v>10086</v>
      </c>
      <c r="H9343" s="2">
        <v>2.2000000000000001E-3</v>
      </c>
      <c r="K9343" s="2" t="s">
        <v>10087</v>
      </c>
    </row>
    <row r="9344" spans="1:11" x14ac:dyDescent="0.2">
      <c r="A9344" s="2">
        <v>2338</v>
      </c>
      <c r="B9344" s="2">
        <v>19</v>
      </c>
      <c r="C9344" s="2">
        <v>31763009</v>
      </c>
      <c r="D9344" s="2">
        <v>33028099</v>
      </c>
      <c r="E9344" s="2">
        <v>2</v>
      </c>
      <c r="F9344" s="2" t="s">
        <v>10086</v>
      </c>
      <c r="H9344" s="2">
        <v>1.1000000000000001E-3</v>
      </c>
      <c r="K9344" s="2" t="s">
        <v>10085</v>
      </c>
    </row>
    <row r="9345" spans="1:11" x14ac:dyDescent="0.2">
      <c r="A9345" s="2">
        <v>2338</v>
      </c>
      <c r="B9345" s="2">
        <v>19</v>
      </c>
      <c r="C9345" s="2">
        <v>31763009</v>
      </c>
      <c r="D9345" s="2">
        <v>33028099</v>
      </c>
      <c r="E9345" s="2">
        <v>3</v>
      </c>
      <c r="F9345" s="2" t="s">
        <v>10086</v>
      </c>
      <c r="H9345" s="2">
        <v>1E-3</v>
      </c>
      <c r="K9345" s="2" t="s">
        <v>10089</v>
      </c>
    </row>
    <row r="9346" spans="1:11" x14ac:dyDescent="0.2">
      <c r="A9346" s="2">
        <v>2338</v>
      </c>
      <c r="B9346" s="2">
        <v>19</v>
      </c>
      <c r="C9346" s="2">
        <v>31763009</v>
      </c>
      <c r="D9346" s="2">
        <v>33028099</v>
      </c>
      <c r="E9346" s="2">
        <v>4</v>
      </c>
      <c r="F9346" s="2" t="s">
        <v>10086</v>
      </c>
      <c r="H9346" s="3">
        <v>5.0000000000000001E-4</v>
      </c>
      <c r="K9346" s="2" t="s">
        <v>10088</v>
      </c>
    </row>
    <row r="9347" spans="1:11" x14ac:dyDescent="0.2">
      <c r="A9347" s="2">
        <v>2339</v>
      </c>
      <c r="B9347" s="2">
        <v>19</v>
      </c>
      <c r="C9347" s="2">
        <v>33028100</v>
      </c>
      <c r="D9347" s="2">
        <v>33785835</v>
      </c>
      <c r="E9347" s="2">
        <v>1</v>
      </c>
      <c r="F9347" s="2" t="s">
        <v>10086</v>
      </c>
      <c r="H9347" s="2">
        <v>1.6999999999999999E-3</v>
      </c>
      <c r="K9347" s="2" t="s">
        <v>12324</v>
      </c>
    </row>
    <row r="9348" spans="1:11" x14ac:dyDescent="0.2">
      <c r="A9348" s="2">
        <v>2339</v>
      </c>
      <c r="B9348" s="2">
        <v>19</v>
      </c>
      <c r="C9348" s="2">
        <v>33028100</v>
      </c>
      <c r="D9348" s="2">
        <v>33785835</v>
      </c>
      <c r="E9348" s="2">
        <v>2</v>
      </c>
      <c r="F9348" s="2" t="s">
        <v>10086</v>
      </c>
      <c r="H9348" s="2">
        <v>1.5E-3</v>
      </c>
      <c r="K9348" s="2" t="s">
        <v>10088</v>
      </c>
    </row>
    <row r="9349" spans="1:11" x14ac:dyDescent="0.2">
      <c r="A9349" s="2">
        <v>2339</v>
      </c>
      <c r="B9349" s="2">
        <v>19</v>
      </c>
      <c r="C9349" s="2">
        <v>33028100</v>
      </c>
      <c r="D9349" s="2">
        <v>33785835</v>
      </c>
      <c r="E9349" s="2">
        <v>3</v>
      </c>
      <c r="F9349" s="2" t="s">
        <v>10086</v>
      </c>
      <c r="H9349" s="2">
        <v>1.2999999999999999E-3</v>
      </c>
      <c r="K9349" s="2" t="s">
        <v>10085</v>
      </c>
    </row>
    <row r="9350" spans="1:11" x14ac:dyDescent="0.2">
      <c r="A9350" s="2">
        <v>2339</v>
      </c>
      <c r="B9350" s="2">
        <v>19</v>
      </c>
      <c r="C9350" s="2">
        <v>33028100</v>
      </c>
      <c r="D9350" s="2">
        <v>33785835</v>
      </c>
      <c r="E9350" s="2">
        <v>4</v>
      </c>
      <c r="F9350" s="2" t="s">
        <v>10086</v>
      </c>
      <c r="H9350" s="3">
        <v>8.0000000000000004E-4</v>
      </c>
      <c r="K9350" s="2" t="s">
        <v>10087</v>
      </c>
    </row>
    <row r="9351" spans="1:11" x14ac:dyDescent="0.2">
      <c r="A9351" s="2">
        <v>2340</v>
      </c>
      <c r="B9351" s="2">
        <v>19</v>
      </c>
      <c r="C9351" s="2">
        <v>33785836</v>
      </c>
      <c r="D9351" s="2">
        <v>34633274</v>
      </c>
      <c r="E9351" s="2">
        <v>1</v>
      </c>
      <c r="F9351" s="2" t="s">
        <v>10086</v>
      </c>
      <c r="H9351" s="2">
        <v>1.1000000000000001E-3</v>
      </c>
      <c r="K9351" s="2" t="s">
        <v>10085</v>
      </c>
    </row>
    <row r="9352" spans="1:11" x14ac:dyDescent="0.2">
      <c r="A9352" s="2">
        <v>2340</v>
      </c>
      <c r="B9352" s="2">
        <v>19</v>
      </c>
      <c r="C9352" s="2">
        <v>33785836</v>
      </c>
      <c r="D9352" s="2">
        <v>34633274</v>
      </c>
      <c r="E9352" s="2">
        <v>2</v>
      </c>
      <c r="F9352" s="2" t="s">
        <v>10086</v>
      </c>
      <c r="H9352" s="3">
        <v>8.9999999999999998E-4</v>
      </c>
      <c r="K9352" s="2" t="s">
        <v>10089</v>
      </c>
    </row>
    <row r="9353" spans="1:11" x14ac:dyDescent="0.2">
      <c r="A9353" s="2">
        <v>2340</v>
      </c>
      <c r="B9353" s="2">
        <v>19</v>
      </c>
      <c r="C9353" s="2">
        <v>33785836</v>
      </c>
      <c r="D9353" s="2">
        <v>34633274</v>
      </c>
      <c r="E9353" s="2">
        <v>3</v>
      </c>
      <c r="F9353" s="2" t="s">
        <v>10086</v>
      </c>
      <c r="H9353" s="2">
        <v>1E-3</v>
      </c>
      <c r="K9353" s="2" t="s">
        <v>10088</v>
      </c>
    </row>
    <row r="9354" spans="1:11" x14ac:dyDescent="0.2">
      <c r="A9354" s="2">
        <v>2340</v>
      </c>
      <c r="B9354" s="2">
        <v>19</v>
      </c>
      <c r="C9354" s="2">
        <v>33785836</v>
      </c>
      <c r="D9354" s="2">
        <v>34633274</v>
      </c>
      <c r="E9354" s="2">
        <v>4</v>
      </c>
      <c r="F9354" s="2" t="s">
        <v>10086</v>
      </c>
      <c r="H9354" s="3">
        <v>6.9999999999999999E-4</v>
      </c>
      <c r="K9354" s="2" t="s">
        <v>12324</v>
      </c>
    </row>
    <row r="9355" spans="1:11" x14ac:dyDescent="0.2">
      <c r="A9355" s="2">
        <v>2341</v>
      </c>
      <c r="B9355" s="2">
        <v>19</v>
      </c>
      <c r="C9355" s="2">
        <v>34633275</v>
      </c>
      <c r="D9355" s="2">
        <v>35649343</v>
      </c>
      <c r="E9355" s="2">
        <v>1</v>
      </c>
      <c r="F9355" s="2" t="s">
        <v>10086</v>
      </c>
      <c r="H9355" s="2">
        <v>1.5E-3</v>
      </c>
      <c r="K9355" s="2" t="s">
        <v>10085</v>
      </c>
    </row>
    <row r="9356" spans="1:11" x14ac:dyDescent="0.2">
      <c r="A9356" s="2">
        <v>2341</v>
      </c>
      <c r="B9356" s="2">
        <v>19</v>
      </c>
      <c r="C9356" s="2">
        <v>34633275</v>
      </c>
      <c r="D9356" s="2">
        <v>35649343</v>
      </c>
      <c r="E9356" s="2">
        <v>2</v>
      </c>
      <c r="F9356" s="2" t="s">
        <v>10086</v>
      </c>
      <c r="H9356" s="3">
        <v>8.9999999999999998E-4</v>
      </c>
      <c r="K9356" s="2" t="s">
        <v>10089</v>
      </c>
    </row>
    <row r="9357" spans="1:11" x14ac:dyDescent="0.2">
      <c r="A9357" s="2">
        <v>2341</v>
      </c>
      <c r="B9357" s="2">
        <v>19</v>
      </c>
      <c r="C9357" s="2">
        <v>34633275</v>
      </c>
      <c r="D9357" s="2">
        <v>35649343</v>
      </c>
      <c r="E9357" s="2">
        <v>3</v>
      </c>
      <c r="F9357" s="2" t="s">
        <v>10086</v>
      </c>
      <c r="H9357" s="3">
        <v>8.9999999999999998E-4</v>
      </c>
      <c r="K9357" s="2" t="s">
        <v>10088</v>
      </c>
    </row>
    <row r="9358" spans="1:11" x14ac:dyDescent="0.2">
      <c r="A9358" s="2">
        <v>2341</v>
      </c>
      <c r="B9358" s="2">
        <v>19</v>
      </c>
      <c r="C9358" s="2">
        <v>34633275</v>
      </c>
      <c r="D9358" s="2">
        <v>35649343</v>
      </c>
      <c r="E9358" s="2">
        <v>4</v>
      </c>
      <c r="F9358" s="2" t="s">
        <v>10086</v>
      </c>
      <c r="H9358" s="3">
        <v>2.9999999999999997E-4</v>
      </c>
      <c r="K9358" s="2" t="s">
        <v>10087</v>
      </c>
    </row>
    <row r="9359" spans="1:11" x14ac:dyDescent="0.2">
      <c r="A9359" s="2">
        <v>2342</v>
      </c>
      <c r="B9359" s="2">
        <v>19</v>
      </c>
      <c r="C9359" s="2">
        <v>35649344</v>
      </c>
      <c r="D9359" s="2">
        <v>36638122</v>
      </c>
      <c r="E9359" s="2">
        <v>1</v>
      </c>
      <c r="F9359" s="2" t="s">
        <v>10086</v>
      </c>
      <c r="H9359" s="2">
        <v>1.8E-3</v>
      </c>
      <c r="K9359" s="2" t="s">
        <v>10089</v>
      </c>
    </row>
    <row r="9360" spans="1:11" x14ac:dyDescent="0.2">
      <c r="A9360" s="2">
        <v>2342</v>
      </c>
      <c r="B9360" s="2">
        <v>19</v>
      </c>
      <c r="C9360" s="2">
        <v>35649344</v>
      </c>
      <c r="D9360" s="2">
        <v>36638122</v>
      </c>
      <c r="E9360" s="2">
        <v>2</v>
      </c>
      <c r="F9360" s="2" t="s">
        <v>10086</v>
      </c>
      <c r="H9360" s="2">
        <v>3.5000000000000001E-3</v>
      </c>
      <c r="K9360" s="2" t="s">
        <v>10088</v>
      </c>
    </row>
    <row r="9361" spans="1:11" x14ac:dyDescent="0.2">
      <c r="A9361" s="2">
        <v>2342</v>
      </c>
      <c r="B9361" s="2">
        <v>19</v>
      </c>
      <c r="C9361" s="2">
        <v>35649344</v>
      </c>
      <c r="D9361" s="2">
        <v>36638122</v>
      </c>
      <c r="E9361" s="2">
        <v>3</v>
      </c>
      <c r="F9361" s="2" t="s">
        <v>10086</v>
      </c>
      <c r="H9361" s="2">
        <v>1.1000000000000001E-3</v>
      </c>
      <c r="K9361" s="2" t="s">
        <v>10087</v>
      </c>
    </row>
    <row r="9362" spans="1:11" x14ac:dyDescent="0.2">
      <c r="A9362" s="2">
        <v>2342</v>
      </c>
      <c r="B9362" s="2">
        <v>19</v>
      </c>
      <c r="C9362" s="2">
        <v>35649344</v>
      </c>
      <c r="D9362" s="2">
        <v>36638122</v>
      </c>
      <c r="E9362" s="2">
        <v>4</v>
      </c>
      <c r="F9362" s="2" t="s">
        <v>10086</v>
      </c>
      <c r="H9362" s="3">
        <v>4.0000000000000002E-4</v>
      </c>
      <c r="K9362" s="2" t="s">
        <v>10085</v>
      </c>
    </row>
    <row r="9363" spans="1:11" x14ac:dyDescent="0.2">
      <c r="A9363" s="2">
        <v>2343</v>
      </c>
      <c r="B9363" s="2">
        <v>19</v>
      </c>
      <c r="C9363" s="2">
        <v>36638123</v>
      </c>
      <c r="D9363" s="2">
        <v>38472870</v>
      </c>
      <c r="E9363" s="2">
        <v>1</v>
      </c>
      <c r="F9363" s="2" t="s">
        <v>10086</v>
      </c>
      <c r="H9363" s="2">
        <v>3.8999999999999998E-3</v>
      </c>
      <c r="K9363" s="2" t="s">
        <v>10085</v>
      </c>
    </row>
    <row r="9364" spans="1:11" x14ac:dyDescent="0.2">
      <c r="A9364" s="2">
        <v>2343</v>
      </c>
      <c r="B9364" s="2">
        <v>19</v>
      </c>
      <c r="C9364" s="2">
        <v>36638123</v>
      </c>
      <c r="D9364" s="2">
        <v>38472870</v>
      </c>
      <c r="E9364" s="2">
        <v>2</v>
      </c>
      <c r="F9364" s="2" t="s">
        <v>10086</v>
      </c>
      <c r="H9364" s="2">
        <v>2.3E-3</v>
      </c>
      <c r="K9364" s="2" t="s">
        <v>10088</v>
      </c>
    </row>
    <row r="9365" spans="1:11" x14ac:dyDescent="0.2">
      <c r="A9365" s="2">
        <v>2343</v>
      </c>
      <c r="B9365" s="2">
        <v>19</v>
      </c>
      <c r="C9365" s="2">
        <v>36638123</v>
      </c>
      <c r="D9365" s="2">
        <v>38472870</v>
      </c>
      <c r="E9365" s="2">
        <v>3</v>
      </c>
      <c r="F9365" s="2" t="s">
        <v>10086</v>
      </c>
      <c r="H9365" s="2">
        <v>1E-3</v>
      </c>
      <c r="K9365" s="2" t="s">
        <v>10089</v>
      </c>
    </row>
    <row r="9366" spans="1:11" x14ac:dyDescent="0.2">
      <c r="A9366" s="2">
        <v>2343</v>
      </c>
      <c r="B9366" s="2">
        <v>19</v>
      </c>
      <c r="C9366" s="2">
        <v>36638123</v>
      </c>
      <c r="D9366" s="2">
        <v>38472870</v>
      </c>
      <c r="E9366" s="2">
        <v>4</v>
      </c>
      <c r="F9366" s="2" t="s">
        <v>10086</v>
      </c>
      <c r="H9366" s="3">
        <v>4.0000000000000002E-4</v>
      </c>
      <c r="K9366" s="2" t="s">
        <v>10087</v>
      </c>
    </row>
    <row r="9367" spans="1:11" x14ac:dyDescent="0.2">
      <c r="A9367" s="2">
        <v>2344</v>
      </c>
      <c r="B9367" s="2">
        <v>19</v>
      </c>
      <c r="C9367" s="2">
        <v>38472871</v>
      </c>
      <c r="D9367" s="2">
        <v>39370419</v>
      </c>
      <c r="E9367" s="2">
        <v>1</v>
      </c>
      <c r="F9367" s="2" t="s">
        <v>10086</v>
      </c>
      <c r="H9367" s="2">
        <v>1.8E-3</v>
      </c>
      <c r="K9367" s="2" t="s">
        <v>10088</v>
      </c>
    </row>
    <row r="9368" spans="1:11" x14ac:dyDescent="0.2">
      <c r="A9368" s="2">
        <v>2344</v>
      </c>
      <c r="B9368" s="2">
        <v>19</v>
      </c>
      <c r="C9368" s="2">
        <v>38472871</v>
      </c>
      <c r="D9368" s="2">
        <v>39370419</v>
      </c>
      <c r="E9368" s="2">
        <v>2</v>
      </c>
      <c r="F9368" s="2" t="s">
        <v>10086</v>
      </c>
      <c r="H9368" s="2">
        <v>1E-3</v>
      </c>
      <c r="K9368" s="2" t="s">
        <v>10089</v>
      </c>
    </row>
    <row r="9369" spans="1:11" x14ac:dyDescent="0.2">
      <c r="A9369" s="2">
        <v>2344</v>
      </c>
      <c r="B9369" s="2">
        <v>19</v>
      </c>
      <c r="C9369" s="2">
        <v>38472871</v>
      </c>
      <c r="D9369" s="2">
        <v>39370419</v>
      </c>
      <c r="E9369" s="2">
        <v>3</v>
      </c>
      <c r="F9369" s="2" t="s">
        <v>10086</v>
      </c>
      <c r="H9369" s="3">
        <v>5.9999999999999995E-4</v>
      </c>
      <c r="K9369" s="2" t="s">
        <v>10087</v>
      </c>
    </row>
    <row r="9370" spans="1:11" x14ac:dyDescent="0.2">
      <c r="A9370" s="2">
        <v>2344</v>
      </c>
      <c r="B9370" s="2">
        <v>19</v>
      </c>
      <c r="C9370" s="2">
        <v>38472871</v>
      </c>
      <c r="D9370" s="2">
        <v>39370419</v>
      </c>
      <c r="E9370" s="2">
        <v>4</v>
      </c>
      <c r="F9370" s="2" t="s">
        <v>10086</v>
      </c>
      <c r="H9370" s="3">
        <v>2.9999999999999997E-4</v>
      </c>
      <c r="K9370" s="2" t="s">
        <v>10085</v>
      </c>
    </row>
    <row r="9371" spans="1:11" x14ac:dyDescent="0.2">
      <c r="A9371" s="2">
        <v>2345</v>
      </c>
      <c r="B9371" s="2">
        <v>19</v>
      </c>
      <c r="C9371" s="2">
        <v>39370420</v>
      </c>
      <c r="D9371" s="2">
        <v>40171413</v>
      </c>
      <c r="E9371" s="2">
        <v>1</v>
      </c>
      <c r="F9371" s="2" t="s">
        <v>10086</v>
      </c>
      <c r="H9371" s="2">
        <v>1.5E-3</v>
      </c>
      <c r="K9371" s="2" t="s">
        <v>10088</v>
      </c>
    </row>
    <row r="9372" spans="1:11" x14ac:dyDescent="0.2">
      <c r="A9372" s="2">
        <v>2345</v>
      </c>
      <c r="B9372" s="2">
        <v>19</v>
      </c>
      <c r="C9372" s="2">
        <v>39370420</v>
      </c>
      <c r="D9372" s="2">
        <v>40171413</v>
      </c>
      <c r="E9372" s="2">
        <v>2</v>
      </c>
      <c r="F9372" s="2" t="s">
        <v>10086</v>
      </c>
      <c r="H9372" s="2">
        <v>1E-3</v>
      </c>
      <c r="K9372" s="2" t="s">
        <v>10085</v>
      </c>
    </row>
    <row r="9373" spans="1:11" x14ac:dyDescent="0.2">
      <c r="A9373" s="2">
        <v>2345</v>
      </c>
      <c r="B9373" s="2">
        <v>19</v>
      </c>
      <c r="C9373" s="2">
        <v>39370420</v>
      </c>
      <c r="D9373" s="2">
        <v>40171413</v>
      </c>
      <c r="E9373" s="2">
        <v>3</v>
      </c>
      <c r="F9373" s="2" t="s">
        <v>10086</v>
      </c>
      <c r="H9373" s="3">
        <v>6.9999999999999999E-4</v>
      </c>
      <c r="K9373" s="2" t="s">
        <v>10089</v>
      </c>
    </row>
    <row r="9374" spans="1:11" x14ac:dyDescent="0.2">
      <c r="A9374" s="2">
        <v>2345</v>
      </c>
      <c r="B9374" s="2">
        <v>19</v>
      </c>
      <c r="C9374" s="2">
        <v>39370420</v>
      </c>
      <c r="D9374" s="2">
        <v>40171413</v>
      </c>
      <c r="E9374" s="2">
        <v>4</v>
      </c>
      <c r="F9374" s="2" t="s">
        <v>10086</v>
      </c>
      <c r="H9374" s="3">
        <v>2.0000000000000001E-4</v>
      </c>
      <c r="K9374" s="2" t="s">
        <v>10087</v>
      </c>
    </row>
    <row r="9375" spans="1:11" x14ac:dyDescent="0.2">
      <c r="A9375" s="2">
        <v>2346</v>
      </c>
      <c r="B9375" s="2">
        <v>19</v>
      </c>
      <c r="C9375" s="2">
        <v>40171414</v>
      </c>
      <c r="D9375" s="2">
        <v>41004105</v>
      </c>
      <c r="E9375" s="2">
        <v>1</v>
      </c>
      <c r="F9375" s="2" t="s">
        <v>10086</v>
      </c>
      <c r="H9375" s="2">
        <v>2.1499999999999998E-2</v>
      </c>
      <c r="K9375" s="2" t="s">
        <v>10088</v>
      </c>
    </row>
    <row r="9376" spans="1:11" x14ac:dyDescent="0.2">
      <c r="A9376" s="2">
        <v>2346</v>
      </c>
      <c r="B9376" s="2">
        <v>19</v>
      </c>
      <c r="C9376" s="2">
        <v>40171414</v>
      </c>
      <c r="D9376" s="2">
        <v>41004105</v>
      </c>
      <c r="E9376" s="2">
        <v>2</v>
      </c>
      <c r="F9376" s="2" t="s">
        <v>10086</v>
      </c>
      <c r="H9376" s="2">
        <v>2E-3</v>
      </c>
      <c r="K9376" s="2" t="s">
        <v>10085</v>
      </c>
    </row>
    <row r="9377" spans="1:11" x14ac:dyDescent="0.2">
      <c r="A9377" s="2">
        <v>2346</v>
      </c>
      <c r="B9377" s="2">
        <v>19</v>
      </c>
      <c r="C9377" s="2">
        <v>40171414</v>
      </c>
      <c r="D9377" s="2">
        <v>41004105</v>
      </c>
      <c r="E9377" s="2">
        <v>3</v>
      </c>
      <c r="F9377" s="2" t="s">
        <v>10086</v>
      </c>
      <c r="H9377" s="2">
        <v>1.2999999999999999E-3</v>
      </c>
      <c r="K9377" s="2" t="s">
        <v>10089</v>
      </c>
    </row>
    <row r="9378" spans="1:11" x14ac:dyDescent="0.2">
      <c r="A9378" s="2">
        <v>2346</v>
      </c>
      <c r="B9378" s="2">
        <v>19</v>
      </c>
      <c r="C9378" s="2">
        <v>40171414</v>
      </c>
      <c r="D9378" s="2">
        <v>41004105</v>
      </c>
      <c r="E9378" s="2">
        <v>4</v>
      </c>
      <c r="F9378" s="2" t="s">
        <v>10086</v>
      </c>
      <c r="H9378" s="3">
        <v>2.9999999999999997E-4</v>
      </c>
      <c r="K9378" s="2" t="s">
        <v>10087</v>
      </c>
    </row>
    <row r="9379" spans="1:11" x14ac:dyDescent="0.2">
      <c r="A9379" s="2">
        <v>2347</v>
      </c>
      <c r="B9379" s="2">
        <v>19</v>
      </c>
      <c r="C9379" s="2">
        <v>41004106</v>
      </c>
      <c r="D9379" s="2">
        <v>41733463</v>
      </c>
      <c r="E9379" s="2">
        <v>1</v>
      </c>
      <c r="F9379" s="2" t="s">
        <v>10086</v>
      </c>
      <c r="H9379" s="2">
        <v>1.5E-3</v>
      </c>
      <c r="K9379" s="2" t="s">
        <v>10088</v>
      </c>
    </row>
    <row r="9380" spans="1:11" x14ac:dyDescent="0.2">
      <c r="A9380" s="2">
        <v>2347</v>
      </c>
      <c r="B9380" s="2">
        <v>19</v>
      </c>
      <c r="C9380" s="2">
        <v>41004106</v>
      </c>
      <c r="D9380" s="2">
        <v>41733463</v>
      </c>
      <c r="E9380" s="2">
        <v>2</v>
      </c>
      <c r="F9380" s="2" t="s">
        <v>10086</v>
      </c>
      <c r="H9380" s="2">
        <v>3.0000000000000001E-3</v>
      </c>
      <c r="K9380" s="2" t="s">
        <v>10087</v>
      </c>
    </row>
    <row r="9381" spans="1:11" x14ac:dyDescent="0.2">
      <c r="A9381" s="2">
        <v>2347</v>
      </c>
      <c r="B9381" s="2">
        <v>19</v>
      </c>
      <c r="C9381" s="2">
        <v>41004106</v>
      </c>
      <c r="D9381" s="2">
        <v>41733463</v>
      </c>
      <c r="E9381" s="2">
        <v>3</v>
      </c>
      <c r="F9381" s="2" t="s">
        <v>10086</v>
      </c>
      <c r="H9381" s="2">
        <v>2.3999999999999998E-3</v>
      </c>
      <c r="K9381" s="2" t="s">
        <v>10089</v>
      </c>
    </row>
    <row r="9382" spans="1:11" x14ac:dyDescent="0.2">
      <c r="A9382" s="2">
        <v>2347</v>
      </c>
      <c r="B9382" s="2">
        <v>19</v>
      </c>
      <c r="C9382" s="2">
        <v>41004106</v>
      </c>
      <c r="D9382" s="2">
        <v>41733463</v>
      </c>
      <c r="E9382" s="2">
        <v>4</v>
      </c>
      <c r="F9382" s="2" t="s">
        <v>10086</v>
      </c>
      <c r="H9382" s="3">
        <v>5.0000000000000001E-4</v>
      </c>
      <c r="K9382" s="2" t="s">
        <v>10085</v>
      </c>
    </row>
    <row r="9383" spans="1:11" x14ac:dyDescent="0.2">
      <c r="A9383" s="2">
        <v>2348</v>
      </c>
      <c r="B9383" s="2">
        <v>19</v>
      </c>
      <c r="C9383" s="2">
        <v>41733464</v>
      </c>
      <c r="D9383" s="2">
        <v>43317282</v>
      </c>
      <c r="E9383" s="2">
        <v>1</v>
      </c>
      <c r="F9383" s="2" t="s">
        <v>10086</v>
      </c>
      <c r="H9383" s="2">
        <v>1.21E-2</v>
      </c>
      <c r="K9383" s="2" t="s">
        <v>10087</v>
      </c>
    </row>
    <row r="9384" spans="1:11" x14ac:dyDescent="0.2">
      <c r="A9384" s="2">
        <v>2348</v>
      </c>
      <c r="B9384" s="2">
        <v>19</v>
      </c>
      <c r="C9384" s="2">
        <v>41733464</v>
      </c>
      <c r="D9384" s="2">
        <v>43317282</v>
      </c>
      <c r="E9384" s="2">
        <v>2</v>
      </c>
      <c r="F9384" s="2" t="s">
        <v>10086</v>
      </c>
      <c r="H9384" s="2">
        <v>2.2000000000000001E-3</v>
      </c>
      <c r="K9384" s="2" t="s">
        <v>10085</v>
      </c>
    </row>
    <row r="9385" spans="1:11" x14ac:dyDescent="0.2">
      <c r="A9385" s="2">
        <v>2348</v>
      </c>
      <c r="B9385" s="2">
        <v>19</v>
      </c>
      <c r="C9385" s="2">
        <v>41733464</v>
      </c>
      <c r="D9385" s="2">
        <v>43317282</v>
      </c>
      <c r="E9385" s="2">
        <v>3</v>
      </c>
      <c r="F9385" s="2" t="s">
        <v>10086</v>
      </c>
      <c r="H9385" s="2">
        <v>1.6000000000000001E-3</v>
      </c>
      <c r="K9385" s="2" t="s">
        <v>10088</v>
      </c>
    </row>
    <row r="9386" spans="1:11" x14ac:dyDescent="0.2">
      <c r="A9386" s="2">
        <v>2348</v>
      </c>
      <c r="B9386" s="2">
        <v>19</v>
      </c>
      <c r="C9386" s="2">
        <v>41733464</v>
      </c>
      <c r="D9386" s="2">
        <v>43317282</v>
      </c>
      <c r="E9386" s="2">
        <v>4</v>
      </c>
      <c r="F9386" s="2" t="s">
        <v>10086</v>
      </c>
      <c r="H9386" s="3">
        <v>8.9999999999999998E-4</v>
      </c>
      <c r="K9386" s="2" t="s">
        <v>10089</v>
      </c>
    </row>
    <row r="9387" spans="1:11" x14ac:dyDescent="0.2">
      <c r="A9387" s="2">
        <v>2349</v>
      </c>
      <c r="B9387" s="2">
        <v>19</v>
      </c>
      <c r="C9387" s="2">
        <v>43317283</v>
      </c>
      <c r="D9387" s="2">
        <v>43960958</v>
      </c>
      <c r="E9387" s="2">
        <v>1</v>
      </c>
      <c r="F9387" s="2" t="s">
        <v>10086</v>
      </c>
      <c r="H9387" s="2">
        <v>2.2000000000000001E-3</v>
      </c>
      <c r="K9387" s="2" t="s">
        <v>10087</v>
      </c>
    </row>
    <row r="9388" spans="1:11" x14ac:dyDescent="0.2">
      <c r="A9388" s="2">
        <v>2349</v>
      </c>
      <c r="B9388" s="2">
        <v>19</v>
      </c>
      <c r="C9388" s="2">
        <v>43317283</v>
      </c>
      <c r="D9388" s="2">
        <v>43960958</v>
      </c>
      <c r="E9388" s="2">
        <v>2</v>
      </c>
      <c r="F9388" s="2" t="s">
        <v>10086</v>
      </c>
      <c r="H9388" s="2">
        <v>1.1000000000000001E-3</v>
      </c>
      <c r="K9388" s="2" t="s">
        <v>10089</v>
      </c>
    </row>
    <row r="9389" spans="1:11" x14ac:dyDescent="0.2">
      <c r="A9389" s="2">
        <v>2349</v>
      </c>
      <c r="B9389" s="2">
        <v>19</v>
      </c>
      <c r="C9389" s="2">
        <v>43317283</v>
      </c>
      <c r="D9389" s="2">
        <v>43960958</v>
      </c>
      <c r="E9389" s="2">
        <v>3</v>
      </c>
      <c r="F9389" s="2" t="s">
        <v>10086</v>
      </c>
      <c r="H9389" s="3">
        <v>8.0000000000000004E-4</v>
      </c>
      <c r="K9389" s="2" t="s">
        <v>10085</v>
      </c>
    </row>
    <row r="9390" spans="1:11" x14ac:dyDescent="0.2">
      <c r="A9390" s="2">
        <v>2349</v>
      </c>
      <c r="B9390" s="2">
        <v>19</v>
      </c>
      <c r="C9390" s="2">
        <v>43317283</v>
      </c>
      <c r="D9390" s="2">
        <v>43960958</v>
      </c>
      <c r="E9390" s="2">
        <v>4</v>
      </c>
      <c r="F9390" s="2" t="s">
        <v>10086</v>
      </c>
      <c r="H9390" s="3">
        <v>2.9999999999999997E-4</v>
      </c>
      <c r="K9390" s="2" t="s">
        <v>10088</v>
      </c>
    </row>
    <row r="9391" spans="1:11" x14ac:dyDescent="0.2">
      <c r="A9391" s="2">
        <v>2350</v>
      </c>
      <c r="B9391" s="2">
        <v>19</v>
      </c>
      <c r="C9391" s="2">
        <v>43960959</v>
      </c>
      <c r="D9391" s="2">
        <v>45040932</v>
      </c>
      <c r="E9391" s="2">
        <v>1</v>
      </c>
      <c r="F9391" s="2" t="s">
        <v>10086</v>
      </c>
      <c r="H9391" s="2">
        <v>1.6000000000000001E-3</v>
      </c>
      <c r="K9391" s="2" t="s">
        <v>10087</v>
      </c>
    </row>
    <row r="9392" spans="1:11" x14ac:dyDescent="0.2">
      <c r="A9392" s="2">
        <v>2350</v>
      </c>
      <c r="B9392" s="2">
        <v>19</v>
      </c>
      <c r="C9392" s="2">
        <v>43960959</v>
      </c>
      <c r="D9392" s="2">
        <v>45040932</v>
      </c>
      <c r="E9392" s="2">
        <v>2</v>
      </c>
      <c r="F9392" s="2" t="s">
        <v>10086</v>
      </c>
      <c r="H9392" s="2">
        <v>1.2999999999999999E-3</v>
      </c>
      <c r="K9392" s="2" t="s">
        <v>10089</v>
      </c>
    </row>
    <row r="9393" spans="1:11" x14ac:dyDescent="0.2">
      <c r="A9393" s="2">
        <v>2350</v>
      </c>
      <c r="B9393" s="2">
        <v>19</v>
      </c>
      <c r="C9393" s="2">
        <v>43960959</v>
      </c>
      <c r="D9393" s="2">
        <v>45040932</v>
      </c>
      <c r="E9393" s="2">
        <v>3</v>
      </c>
      <c r="F9393" s="2" t="s">
        <v>10086</v>
      </c>
      <c r="H9393" s="2">
        <v>1.1000000000000001E-3</v>
      </c>
      <c r="K9393" s="2" t="s">
        <v>10085</v>
      </c>
    </row>
    <row r="9394" spans="1:11" x14ac:dyDescent="0.2">
      <c r="A9394" s="2">
        <v>2350</v>
      </c>
      <c r="B9394" s="2">
        <v>19</v>
      </c>
      <c r="C9394" s="2">
        <v>43960959</v>
      </c>
      <c r="D9394" s="2">
        <v>45040932</v>
      </c>
      <c r="E9394" s="2">
        <v>4</v>
      </c>
      <c r="F9394" s="2" t="s">
        <v>10086</v>
      </c>
      <c r="H9394" s="3">
        <v>6.9999999999999999E-4</v>
      </c>
      <c r="K9394" s="2" t="s">
        <v>10088</v>
      </c>
    </row>
    <row r="9395" spans="1:11" x14ac:dyDescent="0.2">
      <c r="A9395" s="2">
        <v>2351</v>
      </c>
      <c r="B9395" s="2">
        <v>19</v>
      </c>
      <c r="C9395" s="2">
        <v>45040933</v>
      </c>
      <c r="D9395" s="2">
        <v>45893307</v>
      </c>
      <c r="E9395" s="2">
        <v>1</v>
      </c>
      <c r="F9395" s="2" t="s">
        <v>10086</v>
      </c>
      <c r="H9395" s="2">
        <v>4.0000000000000001E-3</v>
      </c>
      <c r="K9395" s="2" t="s">
        <v>10089</v>
      </c>
    </row>
    <row r="9396" spans="1:11" x14ac:dyDescent="0.2">
      <c r="A9396" s="2">
        <v>2351</v>
      </c>
      <c r="B9396" s="2">
        <v>19</v>
      </c>
      <c r="C9396" s="2">
        <v>45040933</v>
      </c>
      <c r="D9396" s="2">
        <v>45893307</v>
      </c>
      <c r="E9396" s="2">
        <v>2</v>
      </c>
      <c r="F9396" s="2" t="s">
        <v>10086</v>
      </c>
      <c r="H9396" s="2">
        <v>2.8999999999999998E-3</v>
      </c>
      <c r="K9396" s="2" t="s">
        <v>10088</v>
      </c>
    </row>
    <row r="9397" spans="1:11" x14ac:dyDescent="0.2">
      <c r="A9397" s="2">
        <v>2351</v>
      </c>
      <c r="B9397" s="2">
        <v>19</v>
      </c>
      <c r="C9397" s="2">
        <v>45040933</v>
      </c>
      <c r="D9397" s="2">
        <v>45893307</v>
      </c>
      <c r="E9397" s="2">
        <v>3</v>
      </c>
      <c r="F9397" s="2" t="s">
        <v>10086</v>
      </c>
      <c r="H9397" s="2">
        <v>1.1000000000000001E-3</v>
      </c>
      <c r="K9397" s="2" t="s">
        <v>10085</v>
      </c>
    </row>
    <row r="9398" spans="1:11" x14ac:dyDescent="0.2">
      <c r="A9398" s="2">
        <v>2351</v>
      </c>
      <c r="B9398" s="2">
        <v>19</v>
      </c>
      <c r="C9398" s="2">
        <v>45040933</v>
      </c>
      <c r="D9398" s="2">
        <v>45893307</v>
      </c>
      <c r="E9398" s="2">
        <v>4</v>
      </c>
      <c r="F9398" s="2" t="s">
        <v>10086</v>
      </c>
      <c r="H9398" s="3">
        <v>8.9999999999999998E-4</v>
      </c>
      <c r="K9398" s="2" t="s">
        <v>10087</v>
      </c>
    </row>
    <row r="9399" spans="1:11" x14ac:dyDescent="0.2">
      <c r="A9399" s="2">
        <v>2352</v>
      </c>
      <c r="B9399" s="2">
        <v>19</v>
      </c>
      <c r="C9399" s="2">
        <v>45893308</v>
      </c>
      <c r="D9399" s="2">
        <v>46765060</v>
      </c>
      <c r="E9399" s="2">
        <v>1</v>
      </c>
      <c r="F9399" s="2" t="s">
        <v>10086</v>
      </c>
      <c r="H9399" s="2">
        <v>2.3999999999999998E-3</v>
      </c>
      <c r="K9399" s="2" t="s">
        <v>10088</v>
      </c>
    </row>
    <row r="9400" spans="1:11" x14ac:dyDescent="0.2">
      <c r="A9400" s="2">
        <v>2352</v>
      </c>
      <c r="B9400" s="2">
        <v>19</v>
      </c>
      <c r="C9400" s="2">
        <v>45893308</v>
      </c>
      <c r="D9400" s="2">
        <v>46765060</v>
      </c>
      <c r="E9400" s="2">
        <v>2</v>
      </c>
      <c r="F9400" s="2" t="s">
        <v>10086</v>
      </c>
      <c r="H9400" s="2">
        <v>2.3E-3</v>
      </c>
      <c r="K9400" s="2" t="s">
        <v>10087</v>
      </c>
    </row>
    <row r="9401" spans="1:11" x14ac:dyDescent="0.2">
      <c r="A9401" s="2">
        <v>2352</v>
      </c>
      <c r="B9401" s="2">
        <v>19</v>
      </c>
      <c r="C9401" s="2">
        <v>45893308</v>
      </c>
      <c r="D9401" s="2">
        <v>46765060</v>
      </c>
      <c r="E9401" s="2">
        <v>3</v>
      </c>
      <c r="F9401" s="2" t="s">
        <v>10086</v>
      </c>
      <c r="H9401" s="2">
        <v>2E-3</v>
      </c>
      <c r="K9401" s="2" t="s">
        <v>12324</v>
      </c>
    </row>
    <row r="9402" spans="1:11" x14ac:dyDescent="0.2">
      <c r="A9402" s="2">
        <v>2352</v>
      </c>
      <c r="B9402" s="2">
        <v>19</v>
      </c>
      <c r="C9402" s="2">
        <v>45893308</v>
      </c>
      <c r="D9402" s="2">
        <v>46765060</v>
      </c>
      <c r="E9402" s="2">
        <v>4</v>
      </c>
      <c r="F9402" s="2" t="s">
        <v>10086</v>
      </c>
      <c r="H9402" s="3">
        <v>6.9999999999999999E-4</v>
      </c>
      <c r="K9402" s="2" t="s">
        <v>10089</v>
      </c>
    </row>
    <row r="9403" spans="1:11" x14ac:dyDescent="0.2">
      <c r="A9403" s="2">
        <v>2353</v>
      </c>
      <c r="B9403" s="2">
        <v>19</v>
      </c>
      <c r="C9403" s="2">
        <v>46765061</v>
      </c>
      <c r="D9403" s="2">
        <v>47752727</v>
      </c>
      <c r="E9403" s="2">
        <v>1</v>
      </c>
      <c r="F9403" s="2" t="s">
        <v>10086</v>
      </c>
      <c r="H9403" s="2">
        <v>6.6E-3</v>
      </c>
      <c r="K9403" s="2" t="s">
        <v>10087</v>
      </c>
    </row>
    <row r="9404" spans="1:11" x14ac:dyDescent="0.2">
      <c r="A9404" s="2">
        <v>2353</v>
      </c>
      <c r="B9404" s="2">
        <v>19</v>
      </c>
      <c r="C9404" s="2">
        <v>46765061</v>
      </c>
      <c r="D9404" s="2">
        <v>47752727</v>
      </c>
      <c r="E9404" s="2">
        <v>2</v>
      </c>
      <c r="F9404" s="2" t="s">
        <v>10086</v>
      </c>
      <c r="H9404" s="2">
        <v>1.2999999999999999E-3</v>
      </c>
      <c r="K9404" s="2" t="s">
        <v>10085</v>
      </c>
    </row>
    <row r="9405" spans="1:11" x14ac:dyDescent="0.2">
      <c r="A9405" s="2">
        <v>2353</v>
      </c>
      <c r="B9405" s="2">
        <v>19</v>
      </c>
      <c r="C9405" s="2">
        <v>46765061</v>
      </c>
      <c r="D9405" s="2">
        <v>47752727</v>
      </c>
      <c r="E9405" s="2">
        <v>3</v>
      </c>
      <c r="F9405" s="2" t="s">
        <v>10086</v>
      </c>
      <c r="H9405" s="3">
        <v>8.9999999999999998E-4</v>
      </c>
      <c r="K9405" s="2" t="s">
        <v>10088</v>
      </c>
    </row>
    <row r="9406" spans="1:11" x14ac:dyDescent="0.2">
      <c r="A9406" s="2">
        <v>2353</v>
      </c>
      <c r="B9406" s="2">
        <v>19</v>
      </c>
      <c r="C9406" s="2">
        <v>46765061</v>
      </c>
      <c r="D9406" s="2">
        <v>47752727</v>
      </c>
      <c r="E9406" s="2">
        <v>4</v>
      </c>
      <c r="F9406" s="2" t="s">
        <v>10086</v>
      </c>
      <c r="H9406" s="3">
        <v>4.0000000000000002E-4</v>
      </c>
      <c r="K9406" s="2" t="s">
        <v>10089</v>
      </c>
    </row>
    <row r="9407" spans="1:11" x14ac:dyDescent="0.2">
      <c r="A9407" s="2">
        <v>2354</v>
      </c>
      <c r="B9407" s="2">
        <v>19</v>
      </c>
      <c r="C9407" s="2">
        <v>47752728</v>
      </c>
      <c r="D9407" s="2">
        <v>48573065</v>
      </c>
      <c r="E9407" s="2">
        <v>1</v>
      </c>
      <c r="F9407" s="2" t="s">
        <v>10086</v>
      </c>
      <c r="H9407" s="2">
        <v>2.3999999999999998E-3</v>
      </c>
      <c r="K9407" s="2" t="s">
        <v>10087</v>
      </c>
    </row>
    <row r="9408" spans="1:11" x14ac:dyDescent="0.2">
      <c r="A9408" s="2">
        <v>2354</v>
      </c>
      <c r="B9408" s="2">
        <v>19</v>
      </c>
      <c r="C9408" s="2">
        <v>47752728</v>
      </c>
      <c r="D9408" s="2">
        <v>48573065</v>
      </c>
      <c r="E9408" s="2">
        <v>2</v>
      </c>
      <c r="F9408" s="2" t="s">
        <v>10086</v>
      </c>
      <c r="H9408" s="2">
        <v>1E-3</v>
      </c>
      <c r="K9408" s="2" t="s">
        <v>10089</v>
      </c>
    </row>
    <row r="9409" spans="1:11" x14ac:dyDescent="0.2">
      <c r="A9409" s="2">
        <v>2354</v>
      </c>
      <c r="B9409" s="2">
        <v>19</v>
      </c>
      <c r="C9409" s="2">
        <v>47752728</v>
      </c>
      <c r="D9409" s="2">
        <v>48573065</v>
      </c>
      <c r="E9409" s="2">
        <v>3</v>
      </c>
      <c r="F9409" s="2" t="s">
        <v>10086</v>
      </c>
      <c r="H9409" s="2">
        <v>1E-3</v>
      </c>
      <c r="K9409" s="2" t="s">
        <v>10088</v>
      </c>
    </row>
    <row r="9410" spans="1:11" x14ac:dyDescent="0.2">
      <c r="A9410" s="2">
        <v>2354</v>
      </c>
      <c r="B9410" s="2">
        <v>19</v>
      </c>
      <c r="C9410" s="2">
        <v>47752728</v>
      </c>
      <c r="D9410" s="2">
        <v>48573065</v>
      </c>
      <c r="E9410" s="2">
        <v>4</v>
      </c>
      <c r="F9410" s="2" t="s">
        <v>10086</v>
      </c>
      <c r="H9410" s="3">
        <v>5.0000000000000001E-4</v>
      </c>
      <c r="K9410" s="2" t="s">
        <v>10085</v>
      </c>
    </row>
    <row r="9411" spans="1:11" x14ac:dyDescent="0.2">
      <c r="A9411" s="2">
        <v>2355</v>
      </c>
      <c r="B9411" s="2">
        <v>19</v>
      </c>
      <c r="C9411" s="2">
        <v>48573066</v>
      </c>
      <c r="D9411" s="2">
        <v>49415189</v>
      </c>
      <c r="E9411" s="2">
        <v>1</v>
      </c>
      <c r="F9411" s="2" t="s">
        <v>10086</v>
      </c>
      <c r="H9411" s="2">
        <v>1.6000000000000001E-3</v>
      </c>
      <c r="K9411" s="2" t="s">
        <v>10089</v>
      </c>
    </row>
    <row r="9412" spans="1:11" x14ac:dyDescent="0.2">
      <c r="A9412" s="2">
        <v>2355</v>
      </c>
      <c r="B9412" s="2">
        <v>19</v>
      </c>
      <c r="C9412" s="2">
        <v>48573066</v>
      </c>
      <c r="D9412" s="2">
        <v>49415189</v>
      </c>
      <c r="E9412" s="2">
        <v>2</v>
      </c>
      <c r="F9412" s="2" t="s">
        <v>10086</v>
      </c>
      <c r="H9412" s="2">
        <v>1.5E-3</v>
      </c>
      <c r="K9412" s="2" t="s">
        <v>10087</v>
      </c>
    </row>
    <row r="9413" spans="1:11" x14ac:dyDescent="0.2">
      <c r="A9413" s="2">
        <v>2355</v>
      </c>
      <c r="B9413" s="2">
        <v>19</v>
      </c>
      <c r="C9413" s="2">
        <v>48573066</v>
      </c>
      <c r="D9413" s="2">
        <v>49415189</v>
      </c>
      <c r="E9413" s="2">
        <v>3</v>
      </c>
      <c r="F9413" s="2" t="s">
        <v>10086</v>
      </c>
      <c r="H9413" s="3">
        <v>8.9999999999999998E-4</v>
      </c>
      <c r="K9413" s="2" t="s">
        <v>10085</v>
      </c>
    </row>
    <row r="9414" spans="1:11" x14ac:dyDescent="0.2">
      <c r="A9414" s="2">
        <v>2355</v>
      </c>
      <c r="B9414" s="2">
        <v>19</v>
      </c>
      <c r="C9414" s="2">
        <v>48573066</v>
      </c>
      <c r="D9414" s="2">
        <v>49415189</v>
      </c>
      <c r="E9414" s="2">
        <v>4</v>
      </c>
      <c r="F9414" s="2" t="s">
        <v>10086</v>
      </c>
      <c r="H9414" s="3">
        <v>5.0000000000000001E-4</v>
      </c>
      <c r="K9414" s="2" t="s">
        <v>12324</v>
      </c>
    </row>
    <row r="9415" spans="1:11" x14ac:dyDescent="0.2">
      <c r="A9415" s="2">
        <v>2356</v>
      </c>
      <c r="B9415" s="2">
        <v>19</v>
      </c>
      <c r="C9415" s="2">
        <v>49415190</v>
      </c>
      <c r="D9415" s="2">
        <v>50451925</v>
      </c>
      <c r="E9415" s="2">
        <v>1</v>
      </c>
      <c r="F9415" s="2" t="s">
        <v>10086</v>
      </c>
      <c r="H9415" s="2">
        <v>1.6000000000000001E-3</v>
      </c>
      <c r="K9415" s="2" t="s">
        <v>10087</v>
      </c>
    </row>
    <row r="9416" spans="1:11" x14ac:dyDescent="0.2">
      <c r="A9416" s="2">
        <v>2356</v>
      </c>
      <c r="B9416" s="2">
        <v>19</v>
      </c>
      <c r="C9416" s="2">
        <v>49415190</v>
      </c>
      <c r="D9416" s="2">
        <v>50451925</v>
      </c>
      <c r="E9416" s="2">
        <v>2</v>
      </c>
      <c r="F9416" s="2" t="s">
        <v>10086</v>
      </c>
      <c r="H9416" s="2">
        <v>1.1000000000000001E-3</v>
      </c>
      <c r="K9416" s="2" t="s">
        <v>10088</v>
      </c>
    </row>
    <row r="9417" spans="1:11" x14ac:dyDescent="0.2">
      <c r="A9417" s="2">
        <v>2356</v>
      </c>
      <c r="B9417" s="2">
        <v>19</v>
      </c>
      <c r="C9417" s="2">
        <v>49415190</v>
      </c>
      <c r="D9417" s="2">
        <v>50451925</v>
      </c>
      <c r="E9417" s="2">
        <v>3</v>
      </c>
      <c r="F9417" s="2" t="s">
        <v>10086</v>
      </c>
      <c r="H9417" s="2">
        <v>1.1000000000000001E-3</v>
      </c>
      <c r="K9417" s="2" t="s">
        <v>12324</v>
      </c>
    </row>
    <row r="9418" spans="1:11" x14ac:dyDescent="0.2">
      <c r="A9418" s="2">
        <v>2356</v>
      </c>
      <c r="B9418" s="2">
        <v>19</v>
      </c>
      <c r="C9418" s="2">
        <v>49415190</v>
      </c>
      <c r="D9418" s="2">
        <v>50451925</v>
      </c>
      <c r="E9418" s="2">
        <v>4</v>
      </c>
      <c r="F9418" s="2" t="s">
        <v>10086</v>
      </c>
      <c r="H9418" s="3">
        <v>6.9999999999999999E-4</v>
      </c>
      <c r="K9418" s="2" t="s">
        <v>10089</v>
      </c>
    </row>
    <row r="9419" spans="1:11" x14ac:dyDescent="0.2">
      <c r="A9419" s="2">
        <v>2357</v>
      </c>
      <c r="B9419" s="2">
        <v>19</v>
      </c>
      <c r="C9419" s="2">
        <v>50451926</v>
      </c>
      <c r="D9419" s="2">
        <v>51259178</v>
      </c>
      <c r="E9419" s="2">
        <v>1</v>
      </c>
      <c r="F9419" s="2" t="s">
        <v>10086</v>
      </c>
      <c r="H9419" s="2">
        <v>7.1000000000000004E-3</v>
      </c>
      <c r="K9419" s="2" t="s">
        <v>10088</v>
      </c>
    </row>
    <row r="9420" spans="1:11" x14ac:dyDescent="0.2">
      <c r="A9420" s="2">
        <v>2357</v>
      </c>
      <c r="B9420" s="2">
        <v>19</v>
      </c>
      <c r="C9420" s="2">
        <v>50451926</v>
      </c>
      <c r="D9420" s="2">
        <v>51259178</v>
      </c>
      <c r="E9420" s="2">
        <v>2</v>
      </c>
      <c r="F9420" s="2" t="s">
        <v>10086</v>
      </c>
      <c r="H9420" s="2">
        <v>1.1999999999999999E-3</v>
      </c>
      <c r="K9420" s="2" t="s">
        <v>10089</v>
      </c>
    </row>
    <row r="9421" spans="1:11" x14ac:dyDescent="0.2">
      <c r="A9421" s="2">
        <v>2357</v>
      </c>
      <c r="B9421" s="2">
        <v>19</v>
      </c>
      <c r="C9421" s="2">
        <v>50451926</v>
      </c>
      <c r="D9421" s="2">
        <v>51259178</v>
      </c>
      <c r="E9421" s="2">
        <v>3</v>
      </c>
      <c r="F9421" s="2" t="s">
        <v>10086</v>
      </c>
      <c r="H9421" s="3">
        <v>8.0000000000000004E-4</v>
      </c>
      <c r="K9421" s="2" t="s">
        <v>10085</v>
      </c>
    </row>
    <row r="9422" spans="1:11" x14ac:dyDescent="0.2">
      <c r="A9422" s="2">
        <v>2357</v>
      </c>
      <c r="B9422" s="2">
        <v>19</v>
      </c>
      <c r="C9422" s="2">
        <v>50451926</v>
      </c>
      <c r="D9422" s="2">
        <v>51259178</v>
      </c>
      <c r="E9422" s="2">
        <v>4</v>
      </c>
      <c r="F9422" s="2" t="s">
        <v>10086</v>
      </c>
      <c r="H9422" s="3">
        <v>4.0000000000000002E-4</v>
      </c>
      <c r="K9422" s="2" t="s">
        <v>10087</v>
      </c>
    </row>
    <row r="9423" spans="1:11" x14ac:dyDescent="0.2">
      <c r="A9423" s="2">
        <v>2358</v>
      </c>
      <c r="B9423" s="2">
        <v>19</v>
      </c>
      <c r="C9423" s="2">
        <v>51259179</v>
      </c>
      <c r="D9423" s="2">
        <v>51903804</v>
      </c>
      <c r="E9423" s="2">
        <v>1</v>
      </c>
      <c r="F9423" s="2" t="s">
        <v>10086</v>
      </c>
      <c r="H9423" s="2">
        <v>1.1000000000000001E-3</v>
      </c>
      <c r="K9423" s="2" t="s">
        <v>10088</v>
      </c>
    </row>
    <row r="9424" spans="1:11" x14ac:dyDescent="0.2">
      <c r="A9424" s="2">
        <v>2358</v>
      </c>
      <c r="B9424" s="2">
        <v>19</v>
      </c>
      <c r="C9424" s="2">
        <v>51259179</v>
      </c>
      <c r="D9424" s="2">
        <v>51903804</v>
      </c>
      <c r="E9424" s="2">
        <v>2</v>
      </c>
      <c r="F9424" s="2" t="s">
        <v>10086</v>
      </c>
      <c r="H9424" s="3">
        <v>6.9999999999999999E-4</v>
      </c>
      <c r="K9424" s="2" t="s">
        <v>10087</v>
      </c>
    </row>
    <row r="9425" spans="1:11" x14ac:dyDescent="0.2">
      <c r="A9425" s="2">
        <v>2358</v>
      </c>
      <c r="B9425" s="2">
        <v>19</v>
      </c>
      <c r="C9425" s="2">
        <v>51259179</v>
      </c>
      <c r="D9425" s="2">
        <v>51903804</v>
      </c>
      <c r="E9425" s="2">
        <v>3</v>
      </c>
      <c r="F9425" s="2" t="s">
        <v>10086</v>
      </c>
      <c r="H9425" s="3">
        <v>5.9999999999999995E-4</v>
      </c>
      <c r="K9425" s="2" t="s">
        <v>10085</v>
      </c>
    </row>
    <row r="9426" spans="1:11" x14ac:dyDescent="0.2">
      <c r="A9426" s="2">
        <v>2358</v>
      </c>
      <c r="B9426" s="2">
        <v>19</v>
      </c>
      <c r="C9426" s="2">
        <v>51259179</v>
      </c>
      <c r="D9426" s="2">
        <v>51903804</v>
      </c>
      <c r="E9426" s="2">
        <v>4</v>
      </c>
      <c r="F9426" s="2" t="s">
        <v>10086</v>
      </c>
      <c r="H9426" s="3">
        <v>2.9999999999999997E-4</v>
      </c>
      <c r="K9426" s="2" t="s">
        <v>10089</v>
      </c>
    </row>
    <row r="9427" spans="1:11" x14ac:dyDescent="0.2">
      <c r="A9427" s="2">
        <v>2359</v>
      </c>
      <c r="B9427" s="2">
        <v>19</v>
      </c>
      <c r="C9427" s="2">
        <v>51903805</v>
      </c>
      <c r="D9427" s="2">
        <v>52678748</v>
      </c>
      <c r="E9427" s="2">
        <v>1</v>
      </c>
      <c r="F9427" s="2" t="s">
        <v>10086</v>
      </c>
      <c r="H9427" s="2">
        <v>3.0000000000000001E-3</v>
      </c>
      <c r="K9427" s="2" t="s">
        <v>10088</v>
      </c>
    </row>
    <row r="9428" spans="1:11" x14ac:dyDescent="0.2">
      <c r="A9428" s="2">
        <v>2359</v>
      </c>
      <c r="B9428" s="2">
        <v>19</v>
      </c>
      <c r="C9428" s="2">
        <v>51903805</v>
      </c>
      <c r="D9428" s="2">
        <v>52678748</v>
      </c>
      <c r="E9428" s="2">
        <v>2</v>
      </c>
      <c r="F9428" s="2" t="s">
        <v>10086</v>
      </c>
      <c r="H9428" s="2">
        <v>2E-3</v>
      </c>
      <c r="K9428" s="2" t="s">
        <v>10089</v>
      </c>
    </row>
    <row r="9429" spans="1:11" x14ac:dyDescent="0.2">
      <c r="A9429" s="2">
        <v>2359</v>
      </c>
      <c r="B9429" s="2">
        <v>19</v>
      </c>
      <c r="C9429" s="2">
        <v>51903805</v>
      </c>
      <c r="D9429" s="2">
        <v>52678748</v>
      </c>
      <c r="E9429" s="2">
        <v>3</v>
      </c>
      <c r="F9429" s="2" t="s">
        <v>10086</v>
      </c>
      <c r="H9429" s="3">
        <v>8.0000000000000004E-4</v>
      </c>
      <c r="K9429" s="2" t="s">
        <v>10085</v>
      </c>
    </row>
    <row r="9430" spans="1:11" x14ac:dyDescent="0.2">
      <c r="A9430" s="2">
        <v>2359</v>
      </c>
      <c r="B9430" s="2">
        <v>19</v>
      </c>
      <c r="C9430" s="2">
        <v>51903805</v>
      </c>
      <c r="D9430" s="2">
        <v>52678748</v>
      </c>
      <c r="E9430" s="2">
        <v>4</v>
      </c>
      <c r="F9430" s="2" t="s">
        <v>10086</v>
      </c>
      <c r="H9430" s="3">
        <v>5.9999999999999995E-4</v>
      </c>
      <c r="K9430" s="2" t="s">
        <v>10087</v>
      </c>
    </row>
    <row r="9431" spans="1:11" x14ac:dyDescent="0.2">
      <c r="A9431" s="2">
        <v>2360</v>
      </c>
      <c r="B9431" s="2">
        <v>19</v>
      </c>
      <c r="C9431" s="2">
        <v>52678749</v>
      </c>
      <c r="D9431" s="2">
        <v>53431217</v>
      </c>
      <c r="E9431" s="2">
        <v>1</v>
      </c>
      <c r="F9431" s="2" t="s">
        <v>10086</v>
      </c>
      <c r="H9431" s="2">
        <v>1.6000000000000001E-3</v>
      </c>
      <c r="K9431" s="2" t="s">
        <v>10085</v>
      </c>
    </row>
    <row r="9432" spans="1:11" x14ac:dyDescent="0.2">
      <c r="A9432" s="2">
        <v>2360</v>
      </c>
      <c r="B9432" s="2">
        <v>19</v>
      </c>
      <c r="C9432" s="2">
        <v>52678749</v>
      </c>
      <c r="D9432" s="2">
        <v>53431217</v>
      </c>
      <c r="E9432" s="2">
        <v>2</v>
      </c>
      <c r="F9432" s="2" t="s">
        <v>10086</v>
      </c>
      <c r="H9432" s="2">
        <v>1E-3</v>
      </c>
      <c r="K9432" s="2" t="s">
        <v>10087</v>
      </c>
    </row>
    <row r="9433" spans="1:11" x14ac:dyDescent="0.2">
      <c r="A9433" s="2">
        <v>2360</v>
      </c>
      <c r="B9433" s="2">
        <v>19</v>
      </c>
      <c r="C9433" s="2">
        <v>52678749</v>
      </c>
      <c r="D9433" s="2">
        <v>53431217</v>
      </c>
      <c r="E9433" s="2">
        <v>3</v>
      </c>
      <c r="F9433" s="2" t="s">
        <v>10086</v>
      </c>
      <c r="H9433" s="3">
        <v>8.0000000000000004E-4</v>
      </c>
      <c r="K9433" s="2" t="s">
        <v>10089</v>
      </c>
    </row>
    <row r="9434" spans="1:11" x14ac:dyDescent="0.2">
      <c r="A9434" s="2">
        <v>2360</v>
      </c>
      <c r="B9434" s="2">
        <v>19</v>
      </c>
      <c r="C9434" s="2">
        <v>52678749</v>
      </c>
      <c r="D9434" s="2">
        <v>53431217</v>
      </c>
      <c r="E9434" s="2">
        <v>4</v>
      </c>
      <c r="F9434" s="2" t="s">
        <v>10086</v>
      </c>
      <c r="H9434" s="3">
        <v>4.0000000000000002E-4</v>
      </c>
      <c r="K9434" s="2" t="s">
        <v>10088</v>
      </c>
    </row>
    <row r="9435" spans="1:11" x14ac:dyDescent="0.2">
      <c r="A9435" s="2">
        <v>2361</v>
      </c>
      <c r="B9435" s="2">
        <v>19</v>
      </c>
      <c r="C9435" s="2">
        <v>53431218</v>
      </c>
      <c r="D9435" s="2">
        <v>54042240</v>
      </c>
      <c r="E9435" s="2">
        <v>1</v>
      </c>
      <c r="F9435" s="2" t="s">
        <v>10086</v>
      </c>
      <c r="H9435" s="2">
        <v>3.3E-3</v>
      </c>
      <c r="K9435" s="2" t="s">
        <v>10088</v>
      </c>
    </row>
    <row r="9436" spans="1:11" x14ac:dyDescent="0.2">
      <c r="A9436" s="2">
        <v>2361</v>
      </c>
      <c r="B9436" s="2">
        <v>19</v>
      </c>
      <c r="C9436" s="2">
        <v>53431218</v>
      </c>
      <c r="D9436" s="2">
        <v>54042240</v>
      </c>
      <c r="E9436" s="2">
        <v>2</v>
      </c>
      <c r="F9436" s="2" t="s">
        <v>10086</v>
      </c>
      <c r="H9436" s="2">
        <v>1.5E-3</v>
      </c>
      <c r="K9436" s="2" t="s">
        <v>10089</v>
      </c>
    </row>
    <row r="9437" spans="1:11" x14ac:dyDescent="0.2">
      <c r="A9437" s="2">
        <v>2361</v>
      </c>
      <c r="B9437" s="2">
        <v>19</v>
      </c>
      <c r="C9437" s="2">
        <v>53431218</v>
      </c>
      <c r="D9437" s="2">
        <v>54042240</v>
      </c>
      <c r="E9437" s="2">
        <v>3</v>
      </c>
      <c r="F9437" s="2" t="s">
        <v>10086</v>
      </c>
      <c r="H9437" s="2">
        <v>1.2999999999999999E-3</v>
      </c>
      <c r="K9437" s="2" t="s">
        <v>10087</v>
      </c>
    </row>
    <row r="9438" spans="1:11" x14ac:dyDescent="0.2">
      <c r="A9438" s="2">
        <v>2361</v>
      </c>
      <c r="B9438" s="2">
        <v>19</v>
      </c>
      <c r="C9438" s="2">
        <v>53431218</v>
      </c>
      <c r="D9438" s="2">
        <v>54042240</v>
      </c>
      <c r="E9438" s="2">
        <v>4</v>
      </c>
      <c r="F9438" s="2" t="s">
        <v>10086</v>
      </c>
      <c r="H9438" s="3">
        <v>5.9999999999999995E-4</v>
      </c>
      <c r="K9438" s="2" t="s">
        <v>10085</v>
      </c>
    </row>
    <row r="9439" spans="1:11" x14ac:dyDescent="0.2">
      <c r="A9439" s="2">
        <v>2362</v>
      </c>
      <c r="B9439" s="2">
        <v>19</v>
      </c>
      <c r="C9439" s="2">
        <v>54042241</v>
      </c>
      <c r="D9439" s="2">
        <v>54602370</v>
      </c>
      <c r="E9439" s="2">
        <v>1</v>
      </c>
      <c r="F9439" s="2" t="s">
        <v>10086</v>
      </c>
      <c r="H9439" s="2">
        <v>1.2999999999999999E-3</v>
      </c>
      <c r="K9439" s="2" t="s">
        <v>10088</v>
      </c>
    </row>
    <row r="9440" spans="1:11" x14ac:dyDescent="0.2">
      <c r="A9440" s="2">
        <v>2362</v>
      </c>
      <c r="B9440" s="2">
        <v>19</v>
      </c>
      <c r="C9440" s="2">
        <v>54042241</v>
      </c>
      <c r="D9440" s="2">
        <v>54602370</v>
      </c>
      <c r="E9440" s="2">
        <v>2</v>
      </c>
      <c r="F9440" s="2" t="s">
        <v>10086</v>
      </c>
      <c r="H9440" s="2">
        <v>1E-3</v>
      </c>
      <c r="K9440" s="2" t="s">
        <v>10087</v>
      </c>
    </row>
    <row r="9441" spans="1:11" x14ac:dyDescent="0.2">
      <c r="A9441" s="2">
        <v>2362</v>
      </c>
      <c r="B9441" s="2">
        <v>19</v>
      </c>
      <c r="C9441" s="2">
        <v>54042241</v>
      </c>
      <c r="D9441" s="2">
        <v>54602370</v>
      </c>
      <c r="E9441" s="2">
        <v>3</v>
      </c>
      <c r="F9441" s="2" t="s">
        <v>10086</v>
      </c>
      <c r="H9441" s="3">
        <v>8.9999999999999998E-4</v>
      </c>
      <c r="K9441" s="2" t="s">
        <v>10085</v>
      </c>
    </row>
    <row r="9442" spans="1:11" x14ac:dyDescent="0.2">
      <c r="A9442" s="2">
        <v>2362</v>
      </c>
      <c r="B9442" s="2">
        <v>19</v>
      </c>
      <c r="C9442" s="2">
        <v>54042241</v>
      </c>
      <c r="D9442" s="2">
        <v>54602370</v>
      </c>
      <c r="E9442" s="2">
        <v>4</v>
      </c>
      <c r="F9442" s="2" t="s">
        <v>10086</v>
      </c>
      <c r="H9442" s="3">
        <v>4.0000000000000002E-4</v>
      </c>
      <c r="K9442" s="2" t="s">
        <v>10089</v>
      </c>
    </row>
    <row r="9443" spans="1:11" x14ac:dyDescent="0.2">
      <c r="A9443" s="2">
        <v>2363</v>
      </c>
      <c r="B9443" s="2">
        <v>19</v>
      </c>
      <c r="C9443" s="2">
        <v>54602371</v>
      </c>
      <c r="D9443" s="2">
        <v>55182973</v>
      </c>
      <c r="E9443" s="2">
        <v>1</v>
      </c>
      <c r="F9443" s="2" t="s">
        <v>10086</v>
      </c>
      <c r="H9443" s="2">
        <v>1.9E-3</v>
      </c>
      <c r="K9443" s="2" t="s">
        <v>10088</v>
      </c>
    </row>
    <row r="9444" spans="1:11" x14ac:dyDescent="0.2">
      <c r="A9444" s="2">
        <v>2363</v>
      </c>
      <c r="B9444" s="2">
        <v>19</v>
      </c>
      <c r="C9444" s="2">
        <v>54602371</v>
      </c>
      <c r="D9444" s="2">
        <v>55182973</v>
      </c>
      <c r="E9444" s="2">
        <v>2</v>
      </c>
      <c r="F9444" s="2" t="s">
        <v>10086</v>
      </c>
      <c r="H9444" s="2">
        <v>1E-3</v>
      </c>
      <c r="K9444" s="2" t="s">
        <v>10085</v>
      </c>
    </row>
    <row r="9445" spans="1:11" x14ac:dyDescent="0.2">
      <c r="A9445" s="2">
        <v>2363</v>
      </c>
      <c r="B9445" s="2">
        <v>19</v>
      </c>
      <c r="C9445" s="2">
        <v>54602371</v>
      </c>
      <c r="D9445" s="2">
        <v>55182973</v>
      </c>
      <c r="E9445" s="2">
        <v>3</v>
      </c>
      <c r="F9445" s="2" t="s">
        <v>10086</v>
      </c>
      <c r="H9445" s="2">
        <v>1E-3</v>
      </c>
      <c r="K9445" s="2" t="s">
        <v>10089</v>
      </c>
    </row>
    <row r="9446" spans="1:11" x14ac:dyDescent="0.2">
      <c r="A9446" s="2">
        <v>2363</v>
      </c>
      <c r="B9446" s="2">
        <v>19</v>
      </c>
      <c r="C9446" s="2">
        <v>54602371</v>
      </c>
      <c r="D9446" s="2">
        <v>55182973</v>
      </c>
      <c r="E9446" s="2">
        <v>4</v>
      </c>
      <c r="F9446" s="2" t="s">
        <v>10086</v>
      </c>
      <c r="H9446" s="3">
        <v>2.9999999999999997E-4</v>
      </c>
      <c r="K9446" s="2" t="s">
        <v>10087</v>
      </c>
    </row>
    <row r="9447" spans="1:11" x14ac:dyDescent="0.2">
      <c r="A9447" s="2">
        <v>2364</v>
      </c>
      <c r="B9447" s="2">
        <v>19</v>
      </c>
      <c r="C9447" s="2">
        <v>55182974</v>
      </c>
      <c r="D9447" s="2">
        <v>55714085</v>
      </c>
      <c r="E9447" s="2">
        <v>1</v>
      </c>
      <c r="F9447" s="2" t="s">
        <v>10086</v>
      </c>
      <c r="H9447" s="2">
        <v>2.3E-3</v>
      </c>
      <c r="K9447" s="2" t="s">
        <v>10088</v>
      </c>
    </row>
    <row r="9448" spans="1:11" x14ac:dyDescent="0.2">
      <c r="A9448" s="2">
        <v>2364</v>
      </c>
      <c r="B9448" s="2">
        <v>19</v>
      </c>
      <c r="C9448" s="2">
        <v>55182974</v>
      </c>
      <c r="D9448" s="2">
        <v>55714085</v>
      </c>
      <c r="E9448" s="2">
        <v>2</v>
      </c>
      <c r="F9448" s="2" t="s">
        <v>10086</v>
      </c>
      <c r="H9448" s="3">
        <v>6.9999999999999999E-4</v>
      </c>
      <c r="K9448" s="2" t="s">
        <v>10089</v>
      </c>
    </row>
    <row r="9449" spans="1:11" x14ac:dyDescent="0.2">
      <c r="A9449" s="2">
        <v>2364</v>
      </c>
      <c r="B9449" s="2">
        <v>19</v>
      </c>
      <c r="C9449" s="2">
        <v>55182974</v>
      </c>
      <c r="D9449" s="2">
        <v>55714085</v>
      </c>
      <c r="E9449" s="2">
        <v>3</v>
      </c>
      <c r="F9449" s="2" t="s">
        <v>10086</v>
      </c>
      <c r="H9449" s="3">
        <v>5.9999999999999995E-4</v>
      </c>
      <c r="K9449" s="2" t="s">
        <v>10087</v>
      </c>
    </row>
    <row r="9450" spans="1:11" x14ac:dyDescent="0.2">
      <c r="A9450" s="2">
        <v>2364</v>
      </c>
      <c r="B9450" s="2">
        <v>19</v>
      </c>
      <c r="C9450" s="2">
        <v>55182974</v>
      </c>
      <c r="D9450" s="2">
        <v>55714085</v>
      </c>
      <c r="E9450" s="2">
        <v>4</v>
      </c>
      <c r="F9450" s="2" t="s">
        <v>10086</v>
      </c>
      <c r="H9450" s="3">
        <v>2.9999999999999997E-4</v>
      </c>
      <c r="K9450" s="2" t="s">
        <v>10085</v>
      </c>
    </row>
    <row r="9451" spans="1:11" x14ac:dyDescent="0.2">
      <c r="A9451" s="2">
        <v>2365</v>
      </c>
      <c r="B9451" s="2">
        <v>19</v>
      </c>
      <c r="C9451" s="2">
        <v>55714086</v>
      </c>
      <c r="D9451" s="2">
        <v>56411086</v>
      </c>
      <c r="E9451" s="2">
        <v>1</v>
      </c>
      <c r="F9451" s="2" t="s">
        <v>10086</v>
      </c>
      <c r="H9451" s="2">
        <v>0.16259999999999999</v>
      </c>
      <c r="K9451" s="2" t="s">
        <v>12324</v>
      </c>
    </row>
    <row r="9452" spans="1:11" x14ac:dyDescent="0.2">
      <c r="A9452" s="2">
        <v>2365</v>
      </c>
      <c r="B9452" s="2">
        <v>19</v>
      </c>
      <c r="C9452" s="2">
        <v>55714086</v>
      </c>
      <c r="D9452" s="2">
        <v>56411086</v>
      </c>
      <c r="E9452" s="2">
        <v>2</v>
      </c>
      <c r="F9452" s="2" t="s">
        <v>10086</v>
      </c>
      <c r="H9452" s="2">
        <v>2.3999999999999998E-3</v>
      </c>
      <c r="K9452" s="2" t="s">
        <v>10087</v>
      </c>
    </row>
    <row r="9453" spans="1:11" x14ac:dyDescent="0.2">
      <c r="A9453" s="2">
        <v>2365</v>
      </c>
      <c r="B9453" s="2">
        <v>19</v>
      </c>
      <c r="C9453" s="2">
        <v>55714086</v>
      </c>
      <c r="D9453" s="2">
        <v>56411086</v>
      </c>
      <c r="E9453" s="2">
        <v>3</v>
      </c>
      <c r="F9453" s="2" t="s">
        <v>10086</v>
      </c>
      <c r="H9453" s="2">
        <v>2.5000000000000001E-3</v>
      </c>
      <c r="K9453" s="2" t="s">
        <v>10085</v>
      </c>
    </row>
    <row r="9454" spans="1:11" x14ac:dyDescent="0.2">
      <c r="A9454" s="2">
        <v>2365</v>
      </c>
      <c r="B9454" s="2">
        <v>19</v>
      </c>
      <c r="C9454" s="2">
        <v>55714086</v>
      </c>
      <c r="D9454" s="2">
        <v>56411086</v>
      </c>
      <c r="E9454" s="2">
        <v>4</v>
      </c>
      <c r="F9454" s="2" t="s">
        <v>10086</v>
      </c>
      <c r="H9454" s="2">
        <v>1.2999999999999999E-3</v>
      </c>
      <c r="K9454" s="2" t="s">
        <v>10088</v>
      </c>
    </row>
    <row r="9455" spans="1:11" x14ac:dyDescent="0.2">
      <c r="A9455" s="2">
        <v>2366</v>
      </c>
      <c r="B9455" s="2">
        <v>19</v>
      </c>
      <c r="C9455" s="2">
        <v>56411087</v>
      </c>
      <c r="D9455" s="2">
        <v>57143509</v>
      </c>
      <c r="E9455" s="2">
        <v>1</v>
      </c>
      <c r="F9455" s="2" t="s">
        <v>10086</v>
      </c>
      <c r="H9455" s="2">
        <v>1.9E-3</v>
      </c>
      <c r="K9455" s="2" t="s">
        <v>10088</v>
      </c>
    </row>
    <row r="9456" spans="1:11" x14ac:dyDescent="0.2">
      <c r="A9456" s="2">
        <v>2366</v>
      </c>
      <c r="B9456" s="2">
        <v>19</v>
      </c>
      <c r="C9456" s="2">
        <v>56411087</v>
      </c>
      <c r="D9456" s="2">
        <v>57143509</v>
      </c>
      <c r="E9456" s="2">
        <v>2</v>
      </c>
      <c r="F9456" s="2" t="s">
        <v>10086</v>
      </c>
      <c r="H9456" s="2">
        <v>1.5E-3</v>
      </c>
      <c r="K9456" s="2" t="s">
        <v>10089</v>
      </c>
    </row>
    <row r="9457" spans="1:11" x14ac:dyDescent="0.2">
      <c r="A9457" s="2">
        <v>2366</v>
      </c>
      <c r="B9457" s="2">
        <v>19</v>
      </c>
      <c r="C9457" s="2">
        <v>56411087</v>
      </c>
      <c r="D9457" s="2">
        <v>57143509</v>
      </c>
      <c r="E9457" s="2">
        <v>3</v>
      </c>
      <c r="F9457" s="2" t="s">
        <v>10086</v>
      </c>
      <c r="H9457" s="3">
        <v>8.9999999999999998E-4</v>
      </c>
      <c r="K9457" s="2" t="s">
        <v>10085</v>
      </c>
    </row>
    <row r="9458" spans="1:11" x14ac:dyDescent="0.2">
      <c r="A9458" s="2">
        <v>2366</v>
      </c>
      <c r="B9458" s="2">
        <v>19</v>
      </c>
      <c r="C9458" s="2">
        <v>56411087</v>
      </c>
      <c r="D9458" s="2">
        <v>57143509</v>
      </c>
      <c r="E9458" s="2">
        <v>4</v>
      </c>
      <c r="F9458" s="2" t="s">
        <v>10086</v>
      </c>
      <c r="H9458" s="3">
        <v>6.9999999999999999E-4</v>
      </c>
      <c r="K9458" s="2" t="s">
        <v>12324</v>
      </c>
    </row>
    <row r="9459" spans="1:11" x14ac:dyDescent="0.2">
      <c r="A9459" s="2">
        <v>2367</v>
      </c>
      <c r="B9459" s="2">
        <v>19</v>
      </c>
      <c r="C9459" s="2">
        <v>57143510</v>
      </c>
      <c r="D9459" s="2">
        <v>57959952</v>
      </c>
      <c r="E9459" s="2">
        <v>1</v>
      </c>
      <c r="F9459" s="2" t="s">
        <v>10086</v>
      </c>
      <c r="H9459" s="2">
        <v>1.1999999999999999E-3</v>
      </c>
      <c r="K9459" s="2" t="s">
        <v>10088</v>
      </c>
    </row>
    <row r="9460" spans="1:11" x14ac:dyDescent="0.2">
      <c r="A9460" s="2">
        <v>2367</v>
      </c>
      <c r="B9460" s="2">
        <v>19</v>
      </c>
      <c r="C9460" s="2">
        <v>57143510</v>
      </c>
      <c r="D9460" s="2">
        <v>57959952</v>
      </c>
      <c r="E9460" s="2">
        <v>2</v>
      </c>
      <c r="F9460" s="2" t="s">
        <v>10086</v>
      </c>
      <c r="H9460" s="3">
        <v>8.9999999999999998E-4</v>
      </c>
      <c r="K9460" s="2" t="s">
        <v>10087</v>
      </c>
    </row>
    <row r="9461" spans="1:11" x14ac:dyDescent="0.2">
      <c r="A9461" s="2">
        <v>2367</v>
      </c>
      <c r="B9461" s="2">
        <v>19</v>
      </c>
      <c r="C9461" s="2">
        <v>57143510</v>
      </c>
      <c r="D9461" s="2">
        <v>57959952</v>
      </c>
      <c r="E9461" s="2">
        <v>3</v>
      </c>
      <c r="F9461" s="2" t="s">
        <v>10086</v>
      </c>
      <c r="H9461" s="3">
        <v>8.9999999999999998E-4</v>
      </c>
      <c r="K9461" s="2" t="s">
        <v>10089</v>
      </c>
    </row>
    <row r="9462" spans="1:11" x14ac:dyDescent="0.2">
      <c r="A9462" s="2">
        <v>2367</v>
      </c>
      <c r="B9462" s="2">
        <v>19</v>
      </c>
      <c r="C9462" s="2">
        <v>57143510</v>
      </c>
      <c r="D9462" s="2">
        <v>57959952</v>
      </c>
      <c r="E9462" s="2">
        <v>4</v>
      </c>
      <c r="F9462" s="2" t="s">
        <v>10086</v>
      </c>
      <c r="H9462" s="3">
        <v>4.0000000000000002E-4</v>
      </c>
      <c r="K9462" s="2" t="s">
        <v>10085</v>
      </c>
    </row>
    <row r="9463" spans="1:11" x14ac:dyDescent="0.2">
      <c r="A9463" s="2">
        <v>2368</v>
      </c>
      <c r="B9463" s="2">
        <v>19</v>
      </c>
      <c r="C9463" s="2">
        <v>57959953</v>
      </c>
      <c r="D9463" s="2">
        <v>59118811</v>
      </c>
      <c r="E9463" s="2">
        <v>1</v>
      </c>
      <c r="F9463" s="2" t="s">
        <v>10086</v>
      </c>
      <c r="H9463" s="2">
        <v>1.6999999999999999E-3</v>
      </c>
      <c r="K9463" s="2" t="s">
        <v>10085</v>
      </c>
    </row>
    <row r="9464" spans="1:11" x14ac:dyDescent="0.2">
      <c r="A9464" s="2">
        <v>2368</v>
      </c>
      <c r="B9464" s="2">
        <v>19</v>
      </c>
      <c r="C9464" s="2">
        <v>57959953</v>
      </c>
      <c r="D9464" s="2">
        <v>59118811</v>
      </c>
      <c r="E9464" s="2">
        <v>2</v>
      </c>
      <c r="F9464" s="2" t="s">
        <v>10086</v>
      </c>
      <c r="H9464" s="2">
        <v>1.6999999999999999E-3</v>
      </c>
      <c r="K9464" s="2" t="s">
        <v>12324</v>
      </c>
    </row>
    <row r="9465" spans="1:11" x14ac:dyDescent="0.2">
      <c r="A9465" s="2">
        <v>2368</v>
      </c>
      <c r="B9465" s="2">
        <v>19</v>
      </c>
      <c r="C9465" s="2">
        <v>57959953</v>
      </c>
      <c r="D9465" s="2">
        <v>59118811</v>
      </c>
      <c r="E9465" s="2">
        <v>3</v>
      </c>
      <c r="F9465" s="2" t="s">
        <v>10086</v>
      </c>
      <c r="H9465" s="2">
        <v>1.2999999999999999E-3</v>
      </c>
      <c r="K9465" s="2" t="s">
        <v>10089</v>
      </c>
    </row>
    <row r="9466" spans="1:11" x14ac:dyDescent="0.2">
      <c r="A9466" s="2">
        <v>2368</v>
      </c>
      <c r="B9466" s="2">
        <v>19</v>
      </c>
      <c r="C9466" s="2">
        <v>57959953</v>
      </c>
      <c r="D9466" s="2">
        <v>59118811</v>
      </c>
      <c r="E9466" s="2">
        <v>4</v>
      </c>
      <c r="F9466" s="2" t="s">
        <v>10086</v>
      </c>
      <c r="H9466" s="2">
        <v>1.6000000000000001E-3</v>
      </c>
      <c r="K9466" s="2" t="s">
        <v>10087</v>
      </c>
    </row>
    <row r="9467" spans="1:11" x14ac:dyDescent="0.2">
      <c r="A9467" s="2">
        <v>2369</v>
      </c>
      <c r="B9467" s="2">
        <v>20</v>
      </c>
      <c r="C9467" s="2">
        <v>60795</v>
      </c>
      <c r="D9467" s="2">
        <v>884241</v>
      </c>
      <c r="E9467" s="2">
        <v>1</v>
      </c>
      <c r="F9467" s="2" t="s">
        <v>10086</v>
      </c>
      <c r="H9467" s="2">
        <v>1.6999999999999999E-3</v>
      </c>
      <c r="K9467" s="2" t="s">
        <v>10089</v>
      </c>
    </row>
    <row r="9468" spans="1:11" x14ac:dyDescent="0.2">
      <c r="A9468" s="2">
        <v>2369</v>
      </c>
      <c r="B9468" s="2">
        <v>20</v>
      </c>
      <c r="C9468" s="2">
        <v>60795</v>
      </c>
      <c r="D9468" s="2">
        <v>884241</v>
      </c>
      <c r="E9468" s="2">
        <v>2</v>
      </c>
      <c r="F9468" s="2" t="s">
        <v>10086</v>
      </c>
      <c r="H9468" s="2">
        <v>1.5E-3</v>
      </c>
      <c r="K9468" s="2" t="s">
        <v>10085</v>
      </c>
    </row>
    <row r="9469" spans="1:11" x14ac:dyDescent="0.2">
      <c r="A9469" s="2">
        <v>2369</v>
      </c>
      <c r="B9469" s="2">
        <v>20</v>
      </c>
      <c r="C9469" s="2">
        <v>60795</v>
      </c>
      <c r="D9469" s="2">
        <v>884241</v>
      </c>
      <c r="E9469" s="2">
        <v>3</v>
      </c>
      <c r="F9469" s="2" t="s">
        <v>10086</v>
      </c>
      <c r="H9469" s="2">
        <v>1.4E-3</v>
      </c>
      <c r="K9469" s="2" t="s">
        <v>10088</v>
      </c>
    </row>
    <row r="9470" spans="1:11" x14ac:dyDescent="0.2">
      <c r="A9470" s="2">
        <v>2369</v>
      </c>
      <c r="B9470" s="2">
        <v>20</v>
      </c>
      <c r="C9470" s="2">
        <v>60795</v>
      </c>
      <c r="D9470" s="2">
        <v>884241</v>
      </c>
      <c r="E9470" s="2">
        <v>4</v>
      </c>
      <c r="F9470" s="2" t="s">
        <v>10086</v>
      </c>
      <c r="H9470" s="3">
        <v>4.0000000000000002E-4</v>
      </c>
      <c r="K9470" s="2" t="s">
        <v>10087</v>
      </c>
    </row>
    <row r="9471" spans="1:11" x14ac:dyDescent="0.2">
      <c r="A9471" s="2">
        <v>2370</v>
      </c>
      <c r="B9471" s="2">
        <v>20</v>
      </c>
      <c r="C9471" s="2">
        <v>884242</v>
      </c>
      <c r="D9471" s="2">
        <v>1771285</v>
      </c>
      <c r="E9471" s="2">
        <v>1</v>
      </c>
      <c r="F9471" s="2" t="s">
        <v>10086</v>
      </c>
      <c r="H9471" s="2">
        <v>3.2000000000000002E-3</v>
      </c>
      <c r="K9471" s="2" t="s">
        <v>10089</v>
      </c>
    </row>
    <row r="9472" spans="1:11" x14ac:dyDescent="0.2">
      <c r="A9472" s="2">
        <v>2370</v>
      </c>
      <c r="B9472" s="2">
        <v>20</v>
      </c>
      <c r="C9472" s="2">
        <v>884242</v>
      </c>
      <c r="D9472" s="2">
        <v>1771285</v>
      </c>
      <c r="E9472" s="2">
        <v>2</v>
      </c>
      <c r="F9472" s="2" t="s">
        <v>10086</v>
      </c>
      <c r="H9472" s="2">
        <v>1.6999999999999999E-3</v>
      </c>
      <c r="K9472" s="2" t="s">
        <v>10087</v>
      </c>
    </row>
    <row r="9473" spans="1:11" x14ac:dyDescent="0.2">
      <c r="A9473" s="2">
        <v>2370</v>
      </c>
      <c r="B9473" s="2">
        <v>20</v>
      </c>
      <c r="C9473" s="2">
        <v>884242</v>
      </c>
      <c r="D9473" s="2">
        <v>1771285</v>
      </c>
      <c r="E9473" s="2">
        <v>3</v>
      </c>
      <c r="F9473" s="2" t="s">
        <v>10086</v>
      </c>
      <c r="H9473" s="2">
        <v>1E-3</v>
      </c>
      <c r="K9473" s="2" t="s">
        <v>12324</v>
      </c>
    </row>
    <row r="9474" spans="1:11" x14ac:dyDescent="0.2">
      <c r="A9474" s="2">
        <v>2370</v>
      </c>
      <c r="B9474" s="2">
        <v>20</v>
      </c>
      <c r="C9474" s="2">
        <v>884242</v>
      </c>
      <c r="D9474" s="2">
        <v>1771285</v>
      </c>
      <c r="E9474" s="2">
        <v>4</v>
      </c>
      <c r="F9474" s="2" t="s">
        <v>10086</v>
      </c>
      <c r="H9474" s="3">
        <v>8.9999999999999998E-4</v>
      </c>
      <c r="K9474" s="2" t="s">
        <v>10085</v>
      </c>
    </row>
    <row r="9475" spans="1:11" x14ac:dyDescent="0.2">
      <c r="A9475" s="2">
        <v>2371</v>
      </c>
      <c r="B9475" s="2">
        <v>20</v>
      </c>
      <c r="C9475" s="2">
        <v>1771286</v>
      </c>
      <c r="D9475" s="2">
        <v>2668108</v>
      </c>
      <c r="E9475" s="2">
        <v>1</v>
      </c>
      <c r="F9475" s="2" t="s">
        <v>10086</v>
      </c>
      <c r="H9475" s="2">
        <v>1.6000000000000001E-3</v>
      </c>
      <c r="K9475" s="2" t="s">
        <v>10088</v>
      </c>
    </row>
    <row r="9476" spans="1:11" x14ac:dyDescent="0.2">
      <c r="A9476" s="2">
        <v>2371</v>
      </c>
      <c r="B9476" s="2">
        <v>20</v>
      </c>
      <c r="C9476" s="2">
        <v>1771286</v>
      </c>
      <c r="D9476" s="2">
        <v>2668108</v>
      </c>
      <c r="E9476" s="2">
        <v>2</v>
      </c>
      <c r="F9476" s="2" t="s">
        <v>10086</v>
      </c>
      <c r="H9476" s="2">
        <v>1.2999999999999999E-3</v>
      </c>
      <c r="K9476" s="2" t="s">
        <v>10089</v>
      </c>
    </row>
    <row r="9477" spans="1:11" x14ac:dyDescent="0.2">
      <c r="A9477" s="2">
        <v>2371</v>
      </c>
      <c r="B9477" s="2">
        <v>20</v>
      </c>
      <c r="C9477" s="2">
        <v>1771286</v>
      </c>
      <c r="D9477" s="2">
        <v>2668108</v>
      </c>
      <c r="E9477" s="2">
        <v>3</v>
      </c>
      <c r="F9477" s="2" t="s">
        <v>10086</v>
      </c>
      <c r="H9477" s="3">
        <v>8.9999999999999998E-4</v>
      </c>
      <c r="K9477" s="2" t="s">
        <v>10087</v>
      </c>
    </row>
    <row r="9478" spans="1:11" x14ac:dyDescent="0.2">
      <c r="A9478" s="2">
        <v>2371</v>
      </c>
      <c r="B9478" s="2">
        <v>20</v>
      </c>
      <c r="C9478" s="2">
        <v>1771286</v>
      </c>
      <c r="D9478" s="2">
        <v>2668108</v>
      </c>
      <c r="E9478" s="2">
        <v>4</v>
      </c>
      <c r="F9478" s="2" t="s">
        <v>10086</v>
      </c>
      <c r="H9478" s="3">
        <v>2.9999999999999997E-4</v>
      </c>
      <c r="K9478" s="2" t="s">
        <v>10085</v>
      </c>
    </row>
    <row r="9479" spans="1:11" x14ac:dyDescent="0.2">
      <c r="A9479" s="2">
        <v>2372</v>
      </c>
      <c r="B9479" s="2">
        <v>20</v>
      </c>
      <c r="C9479" s="2">
        <v>2668109</v>
      </c>
      <c r="D9479" s="2">
        <v>3736551</v>
      </c>
      <c r="E9479" s="2">
        <v>1</v>
      </c>
      <c r="F9479" s="2" t="s">
        <v>10086</v>
      </c>
      <c r="H9479" s="2">
        <v>3.5000000000000001E-3</v>
      </c>
      <c r="K9479" s="2" t="s">
        <v>10087</v>
      </c>
    </row>
    <row r="9480" spans="1:11" x14ac:dyDescent="0.2">
      <c r="A9480" s="2">
        <v>2372</v>
      </c>
      <c r="B9480" s="2">
        <v>20</v>
      </c>
      <c r="C9480" s="2">
        <v>2668109</v>
      </c>
      <c r="D9480" s="2">
        <v>3736551</v>
      </c>
      <c r="E9480" s="2">
        <v>2</v>
      </c>
      <c r="F9480" s="2" t="s">
        <v>10086</v>
      </c>
      <c r="H9480" s="2">
        <v>2.5999999999999999E-3</v>
      </c>
      <c r="K9480" s="2" t="s">
        <v>10088</v>
      </c>
    </row>
    <row r="9481" spans="1:11" x14ac:dyDescent="0.2">
      <c r="A9481" s="2">
        <v>2372</v>
      </c>
      <c r="B9481" s="2">
        <v>20</v>
      </c>
      <c r="C9481" s="2">
        <v>2668109</v>
      </c>
      <c r="D9481" s="2">
        <v>3736551</v>
      </c>
      <c r="E9481" s="2">
        <v>3</v>
      </c>
      <c r="F9481" s="2" t="s">
        <v>10086</v>
      </c>
      <c r="H9481" s="2">
        <v>1E-3</v>
      </c>
      <c r="K9481" s="2" t="s">
        <v>10089</v>
      </c>
    </row>
    <row r="9482" spans="1:11" x14ac:dyDescent="0.2">
      <c r="A9482" s="2">
        <v>2372</v>
      </c>
      <c r="B9482" s="2">
        <v>20</v>
      </c>
      <c r="C9482" s="2">
        <v>2668109</v>
      </c>
      <c r="D9482" s="2">
        <v>3736551</v>
      </c>
      <c r="E9482" s="2">
        <v>4</v>
      </c>
      <c r="F9482" s="2" t="s">
        <v>10086</v>
      </c>
      <c r="H9482" s="3">
        <v>4.0000000000000002E-4</v>
      </c>
      <c r="K9482" s="2" t="s">
        <v>10085</v>
      </c>
    </row>
    <row r="9483" spans="1:11" x14ac:dyDescent="0.2">
      <c r="A9483" s="2">
        <v>2373</v>
      </c>
      <c r="B9483" s="2">
        <v>20</v>
      </c>
      <c r="C9483" s="2">
        <v>3736552</v>
      </c>
      <c r="D9483" s="2">
        <v>4591847</v>
      </c>
      <c r="E9483" s="2">
        <v>1</v>
      </c>
      <c r="F9483" s="2" t="s">
        <v>10086</v>
      </c>
      <c r="H9483" s="2">
        <v>3.3999999999999998E-3</v>
      </c>
      <c r="K9483" s="2" t="s">
        <v>10088</v>
      </c>
    </row>
    <row r="9484" spans="1:11" x14ac:dyDescent="0.2">
      <c r="A9484" s="2">
        <v>2373</v>
      </c>
      <c r="B9484" s="2">
        <v>20</v>
      </c>
      <c r="C9484" s="2">
        <v>3736552</v>
      </c>
      <c r="D9484" s="2">
        <v>4591847</v>
      </c>
      <c r="E9484" s="2">
        <v>2</v>
      </c>
      <c r="F9484" s="2" t="s">
        <v>10086</v>
      </c>
      <c r="H9484" s="2">
        <v>1E-3</v>
      </c>
      <c r="K9484" s="2" t="s">
        <v>10089</v>
      </c>
    </row>
    <row r="9485" spans="1:11" x14ac:dyDescent="0.2">
      <c r="A9485" s="2">
        <v>2373</v>
      </c>
      <c r="B9485" s="2">
        <v>20</v>
      </c>
      <c r="C9485" s="2">
        <v>3736552</v>
      </c>
      <c r="D9485" s="2">
        <v>4591847</v>
      </c>
      <c r="E9485" s="2">
        <v>3</v>
      </c>
      <c r="F9485" s="2" t="s">
        <v>10086</v>
      </c>
      <c r="H9485" s="3">
        <v>8.9999999999999998E-4</v>
      </c>
      <c r="K9485" s="2" t="s">
        <v>10085</v>
      </c>
    </row>
    <row r="9486" spans="1:11" x14ac:dyDescent="0.2">
      <c r="A9486" s="2">
        <v>2373</v>
      </c>
      <c r="B9486" s="2">
        <v>20</v>
      </c>
      <c r="C9486" s="2">
        <v>3736552</v>
      </c>
      <c r="D9486" s="2">
        <v>4591847</v>
      </c>
      <c r="E9486" s="2">
        <v>4</v>
      </c>
      <c r="F9486" s="2" t="s">
        <v>10086</v>
      </c>
      <c r="H9486" s="3">
        <v>4.0000000000000002E-4</v>
      </c>
      <c r="K9486" s="2" t="s">
        <v>10087</v>
      </c>
    </row>
    <row r="9487" spans="1:11" x14ac:dyDescent="0.2">
      <c r="A9487" s="2">
        <v>2374</v>
      </c>
      <c r="B9487" s="2">
        <v>20</v>
      </c>
      <c r="C9487" s="2">
        <v>4591848</v>
      </c>
      <c r="D9487" s="2">
        <v>5379450</v>
      </c>
      <c r="E9487" s="2">
        <v>1</v>
      </c>
      <c r="F9487" s="2" t="s">
        <v>10086</v>
      </c>
      <c r="H9487" s="2">
        <v>2.0999999999999999E-3</v>
      </c>
      <c r="K9487" s="2" t="s">
        <v>10088</v>
      </c>
    </row>
    <row r="9488" spans="1:11" x14ac:dyDescent="0.2">
      <c r="A9488" s="2">
        <v>2374</v>
      </c>
      <c r="B9488" s="2">
        <v>20</v>
      </c>
      <c r="C9488" s="2">
        <v>4591848</v>
      </c>
      <c r="D9488" s="2">
        <v>5379450</v>
      </c>
      <c r="E9488" s="2">
        <v>2</v>
      </c>
      <c r="F9488" s="2" t="s">
        <v>10086</v>
      </c>
      <c r="H9488" s="2">
        <v>2.3999999999999998E-3</v>
      </c>
      <c r="K9488" s="2" t="s">
        <v>10087</v>
      </c>
    </row>
    <row r="9489" spans="1:11" x14ac:dyDescent="0.2">
      <c r="A9489" s="2">
        <v>2374</v>
      </c>
      <c r="B9489" s="2">
        <v>20</v>
      </c>
      <c r="C9489" s="2">
        <v>4591848</v>
      </c>
      <c r="D9489" s="2">
        <v>5379450</v>
      </c>
      <c r="E9489" s="2">
        <v>3</v>
      </c>
      <c r="F9489" s="2" t="s">
        <v>10086</v>
      </c>
      <c r="H9489" s="3">
        <v>5.9999999999999995E-4</v>
      </c>
      <c r="K9489" s="2" t="s">
        <v>10089</v>
      </c>
    </row>
    <row r="9490" spans="1:11" x14ac:dyDescent="0.2">
      <c r="A9490" s="2">
        <v>2374</v>
      </c>
      <c r="B9490" s="2">
        <v>20</v>
      </c>
      <c r="C9490" s="2">
        <v>4591848</v>
      </c>
      <c r="D9490" s="2">
        <v>5379450</v>
      </c>
      <c r="E9490" s="2">
        <v>4</v>
      </c>
      <c r="F9490" s="2" t="s">
        <v>10086</v>
      </c>
      <c r="H9490" s="3">
        <v>2.9999999999999997E-4</v>
      </c>
      <c r="K9490" s="2" t="s">
        <v>10085</v>
      </c>
    </row>
    <row r="9491" spans="1:11" x14ac:dyDescent="0.2">
      <c r="A9491" s="2">
        <v>2375</v>
      </c>
      <c r="B9491" s="2">
        <v>20</v>
      </c>
      <c r="C9491" s="2">
        <v>5379451</v>
      </c>
      <c r="D9491" s="2">
        <v>6128358</v>
      </c>
      <c r="E9491" s="2">
        <v>1</v>
      </c>
      <c r="F9491" s="2" t="s">
        <v>10086</v>
      </c>
      <c r="H9491" s="2">
        <v>1E-3</v>
      </c>
      <c r="K9491" s="2" t="s">
        <v>10088</v>
      </c>
    </row>
    <row r="9492" spans="1:11" x14ac:dyDescent="0.2">
      <c r="A9492" s="2">
        <v>2375</v>
      </c>
      <c r="B9492" s="2">
        <v>20</v>
      </c>
      <c r="C9492" s="2">
        <v>5379451</v>
      </c>
      <c r="D9492" s="2">
        <v>6128358</v>
      </c>
      <c r="E9492" s="2">
        <v>2</v>
      </c>
      <c r="F9492" s="2" t="s">
        <v>10086</v>
      </c>
      <c r="H9492" s="3">
        <v>8.0000000000000004E-4</v>
      </c>
      <c r="K9492" s="2" t="s">
        <v>10085</v>
      </c>
    </row>
    <row r="9493" spans="1:11" x14ac:dyDescent="0.2">
      <c r="A9493" s="2">
        <v>2375</v>
      </c>
      <c r="B9493" s="2">
        <v>20</v>
      </c>
      <c r="C9493" s="2">
        <v>5379451</v>
      </c>
      <c r="D9493" s="2">
        <v>6128358</v>
      </c>
      <c r="E9493" s="2">
        <v>3</v>
      </c>
      <c r="F9493" s="2" t="s">
        <v>10086</v>
      </c>
      <c r="H9493" s="2">
        <v>1E-3</v>
      </c>
      <c r="K9493" s="2" t="s">
        <v>12324</v>
      </c>
    </row>
    <row r="9494" spans="1:11" x14ac:dyDescent="0.2">
      <c r="A9494" s="2">
        <v>2375</v>
      </c>
      <c r="B9494" s="2">
        <v>20</v>
      </c>
      <c r="C9494" s="2">
        <v>5379451</v>
      </c>
      <c r="D9494" s="2">
        <v>6128358</v>
      </c>
      <c r="E9494" s="2">
        <v>4</v>
      </c>
      <c r="F9494" s="2" t="s">
        <v>10086</v>
      </c>
      <c r="H9494" s="3">
        <v>5.9999999999999995E-4</v>
      </c>
      <c r="K9494" s="2" t="s">
        <v>10089</v>
      </c>
    </row>
    <row r="9495" spans="1:11" x14ac:dyDescent="0.2">
      <c r="A9495" s="2">
        <v>2376</v>
      </c>
      <c r="B9495" s="2">
        <v>20</v>
      </c>
      <c r="C9495" s="2">
        <v>6128359</v>
      </c>
      <c r="D9495" s="2">
        <v>7231796</v>
      </c>
      <c r="E9495" s="2">
        <v>1</v>
      </c>
      <c r="F9495" s="2" t="s">
        <v>10086</v>
      </c>
      <c r="H9495" s="2">
        <v>2.5000000000000001E-3</v>
      </c>
      <c r="K9495" s="2" t="s">
        <v>10089</v>
      </c>
    </row>
    <row r="9496" spans="1:11" x14ac:dyDescent="0.2">
      <c r="A9496" s="2">
        <v>2376</v>
      </c>
      <c r="B9496" s="2">
        <v>20</v>
      </c>
      <c r="C9496" s="2">
        <v>6128359</v>
      </c>
      <c r="D9496" s="2">
        <v>7231796</v>
      </c>
      <c r="E9496" s="2">
        <v>2</v>
      </c>
      <c r="F9496" s="2" t="s">
        <v>10086</v>
      </c>
      <c r="H9496" s="2">
        <v>1.8E-3</v>
      </c>
      <c r="K9496" s="2" t="s">
        <v>10085</v>
      </c>
    </row>
    <row r="9497" spans="1:11" x14ac:dyDescent="0.2">
      <c r="A9497" s="2">
        <v>2376</v>
      </c>
      <c r="B9497" s="2">
        <v>20</v>
      </c>
      <c r="C9497" s="2">
        <v>6128359</v>
      </c>
      <c r="D9497" s="2">
        <v>7231796</v>
      </c>
      <c r="E9497" s="2">
        <v>3</v>
      </c>
      <c r="F9497" s="2" t="s">
        <v>10086</v>
      </c>
      <c r="H9497" s="2">
        <v>1.4E-3</v>
      </c>
      <c r="K9497" s="2" t="s">
        <v>10087</v>
      </c>
    </row>
    <row r="9498" spans="1:11" x14ac:dyDescent="0.2">
      <c r="A9498" s="2">
        <v>2376</v>
      </c>
      <c r="B9498" s="2">
        <v>20</v>
      </c>
      <c r="C9498" s="2">
        <v>6128359</v>
      </c>
      <c r="D9498" s="2">
        <v>7231796</v>
      </c>
      <c r="E9498" s="2">
        <v>4</v>
      </c>
      <c r="F9498" s="2" t="s">
        <v>10086</v>
      </c>
      <c r="H9498" s="3">
        <v>8.0000000000000004E-4</v>
      </c>
      <c r="K9498" s="2" t="s">
        <v>10088</v>
      </c>
    </row>
    <row r="9499" spans="1:11" x14ac:dyDescent="0.2">
      <c r="A9499" s="2">
        <v>2377</v>
      </c>
      <c r="B9499" s="2">
        <v>20</v>
      </c>
      <c r="C9499" s="2">
        <v>7231797</v>
      </c>
      <c r="D9499" s="2">
        <v>7959828</v>
      </c>
      <c r="E9499" s="2">
        <v>1</v>
      </c>
      <c r="F9499" s="2" t="s">
        <v>10086</v>
      </c>
      <c r="H9499" s="2">
        <v>1.6999999999999999E-3</v>
      </c>
      <c r="K9499" s="2" t="s">
        <v>10088</v>
      </c>
    </row>
    <row r="9500" spans="1:11" x14ac:dyDescent="0.2">
      <c r="A9500" s="2">
        <v>2377</v>
      </c>
      <c r="B9500" s="2">
        <v>20</v>
      </c>
      <c r="C9500" s="2">
        <v>7231797</v>
      </c>
      <c r="D9500" s="2">
        <v>7959828</v>
      </c>
      <c r="E9500" s="2">
        <v>2</v>
      </c>
      <c r="F9500" s="2" t="s">
        <v>10086</v>
      </c>
      <c r="H9500" s="2">
        <v>1.1999999999999999E-3</v>
      </c>
      <c r="K9500" s="2" t="s">
        <v>10085</v>
      </c>
    </row>
    <row r="9501" spans="1:11" x14ac:dyDescent="0.2">
      <c r="A9501" s="2">
        <v>2377</v>
      </c>
      <c r="B9501" s="2">
        <v>20</v>
      </c>
      <c r="C9501" s="2">
        <v>7231797</v>
      </c>
      <c r="D9501" s="2">
        <v>7959828</v>
      </c>
      <c r="E9501" s="2">
        <v>3</v>
      </c>
      <c r="F9501" s="2" t="s">
        <v>10086</v>
      </c>
      <c r="H9501" s="3">
        <v>6.9999999999999999E-4</v>
      </c>
      <c r="K9501" s="2" t="s">
        <v>10089</v>
      </c>
    </row>
    <row r="9502" spans="1:11" x14ac:dyDescent="0.2">
      <c r="A9502" s="2">
        <v>2377</v>
      </c>
      <c r="B9502" s="2">
        <v>20</v>
      </c>
      <c r="C9502" s="2">
        <v>7231797</v>
      </c>
      <c r="D9502" s="2">
        <v>7959828</v>
      </c>
      <c r="E9502" s="2">
        <v>4</v>
      </c>
      <c r="F9502" s="2" t="s">
        <v>10086</v>
      </c>
      <c r="H9502" s="3">
        <v>6.9999999999999999E-4</v>
      </c>
      <c r="K9502" s="2" t="s">
        <v>10087</v>
      </c>
    </row>
    <row r="9503" spans="1:11" x14ac:dyDescent="0.2">
      <c r="A9503" s="2">
        <v>2378</v>
      </c>
      <c r="B9503" s="2">
        <v>20</v>
      </c>
      <c r="C9503" s="2">
        <v>7959829</v>
      </c>
      <c r="D9503" s="2">
        <v>9279550</v>
      </c>
      <c r="E9503" s="2">
        <v>1</v>
      </c>
      <c r="F9503" s="2" t="s">
        <v>10086</v>
      </c>
      <c r="H9503" s="2">
        <v>4.4000000000000003E-3</v>
      </c>
      <c r="K9503" s="2" t="s">
        <v>10085</v>
      </c>
    </row>
    <row r="9504" spans="1:11" x14ac:dyDescent="0.2">
      <c r="A9504" s="2">
        <v>2378</v>
      </c>
      <c r="B9504" s="2">
        <v>20</v>
      </c>
      <c r="C9504" s="2">
        <v>7959829</v>
      </c>
      <c r="D9504" s="2">
        <v>9279550</v>
      </c>
      <c r="E9504" s="2">
        <v>2</v>
      </c>
      <c r="F9504" s="2" t="s">
        <v>10086</v>
      </c>
      <c r="H9504" s="2">
        <v>1.9E-3</v>
      </c>
      <c r="K9504" s="2" t="s">
        <v>10087</v>
      </c>
    </row>
    <row r="9505" spans="1:11" x14ac:dyDescent="0.2">
      <c r="A9505" s="2">
        <v>2378</v>
      </c>
      <c r="B9505" s="2">
        <v>20</v>
      </c>
      <c r="C9505" s="2">
        <v>7959829</v>
      </c>
      <c r="D9505" s="2">
        <v>9279550</v>
      </c>
      <c r="E9505" s="2">
        <v>3</v>
      </c>
      <c r="F9505" s="2" t="s">
        <v>10086</v>
      </c>
      <c r="H9505" s="2">
        <v>1.1999999999999999E-3</v>
      </c>
      <c r="K9505" s="2" t="s">
        <v>10089</v>
      </c>
    </row>
    <row r="9506" spans="1:11" x14ac:dyDescent="0.2">
      <c r="A9506" s="2">
        <v>2378</v>
      </c>
      <c r="B9506" s="2">
        <v>20</v>
      </c>
      <c r="C9506" s="2">
        <v>7959829</v>
      </c>
      <c r="D9506" s="2">
        <v>9279550</v>
      </c>
      <c r="E9506" s="2">
        <v>4</v>
      </c>
      <c r="F9506" s="2" t="s">
        <v>10086</v>
      </c>
      <c r="H9506" s="3">
        <v>5.9999999999999995E-4</v>
      </c>
      <c r="K9506" s="2" t="s">
        <v>12324</v>
      </c>
    </row>
    <row r="9507" spans="1:11" x14ac:dyDescent="0.2">
      <c r="A9507" s="2">
        <v>2379</v>
      </c>
      <c r="B9507" s="2">
        <v>20</v>
      </c>
      <c r="C9507" s="2">
        <v>9279551</v>
      </c>
      <c r="D9507" s="2">
        <v>10279603</v>
      </c>
      <c r="E9507" s="2">
        <v>1</v>
      </c>
      <c r="F9507" s="2" t="s">
        <v>10086</v>
      </c>
      <c r="H9507" s="2">
        <v>4.1000000000000003E-3</v>
      </c>
      <c r="K9507" s="2" t="s">
        <v>10088</v>
      </c>
    </row>
    <row r="9508" spans="1:11" x14ac:dyDescent="0.2">
      <c r="A9508" s="2">
        <v>2379</v>
      </c>
      <c r="B9508" s="2">
        <v>20</v>
      </c>
      <c r="C9508" s="2">
        <v>9279551</v>
      </c>
      <c r="D9508" s="2">
        <v>10279603</v>
      </c>
      <c r="E9508" s="2">
        <v>2</v>
      </c>
      <c r="F9508" s="2" t="s">
        <v>10086</v>
      </c>
      <c r="H9508" s="2">
        <v>1.1000000000000001E-3</v>
      </c>
      <c r="K9508" s="2" t="s">
        <v>10085</v>
      </c>
    </row>
    <row r="9509" spans="1:11" x14ac:dyDescent="0.2">
      <c r="A9509" s="2">
        <v>2379</v>
      </c>
      <c r="B9509" s="2">
        <v>20</v>
      </c>
      <c r="C9509" s="2">
        <v>9279551</v>
      </c>
      <c r="D9509" s="2">
        <v>10279603</v>
      </c>
      <c r="E9509" s="2">
        <v>3</v>
      </c>
      <c r="F9509" s="2" t="s">
        <v>10086</v>
      </c>
      <c r="H9509" s="3">
        <v>8.0000000000000004E-4</v>
      </c>
      <c r="K9509" s="2" t="s">
        <v>10087</v>
      </c>
    </row>
    <row r="9510" spans="1:11" x14ac:dyDescent="0.2">
      <c r="A9510" s="2">
        <v>2379</v>
      </c>
      <c r="B9510" s="2">
        <v>20</v>
      </c>
      <c r="C9510" s="2">
        <v>9279551</v>
      </c>
      <c r="D9510" s="2">
        <v>10279603</v>
      </c>
      <c r="E9510" s="2">
        <v>4</v>
      </c>
      <c r="F9510" s="2" t="s">
        <v>10086</v>
      </c>
      <c r="H9510" s="3">
        <v>5.0000000000000001E-4</v>
      </c>
      <c r="K9510" s="2" t="s">
        <v>10089</v>
      </c>
    </row>
    <row r="9511" spans="1:11" x14ac:dyDescent="0.2">
      <c r="A9511" s="2">
        <v>2380</v>
      </c>
      <c r="B9511" s="2">
        <v>20</v>
      </c>
      <c r="C9511" s="2">
        <v>10279604</v>
      </c>
      <c r="D9511" s="2">
        <v>11257012</v>
      </c>
      <c r="E9511" s="2">
        <v>1</v>
      </c>
      <c r="F9511" s="2" t="s">
        <v>10086</v>
      </c>
      <c r="H9511" s="2">
        <v>3.3999999999999998E-3</v>
      </c>
      <c r="K9511" s="2" t="s">
        <v>10087</v>
      </c>
    </row>
    <row r="9512" spans="1:11" x14ac:dyDescent="0.2">
      <c r="A9512" s="2">
        <v>2380</v>
      </c>
      <c r="B9512" s="2">
        <v>20</v>
      </c>
      <c r="C9512" s="2">
        <v>10279604</v>
      </c>
      <c r="D9512" s="2">
        <v>11257012</v>
      </c>
      <c r="E9512" s="2">
        <v>2</v>
      </c>
      <c r="F9512" s="2" t="s">
        <v>10086</v>
      </c>
      <c r="H9512" s="2">
        <v>3.7000000000000002E-3</v>
      </c>
      <c r="K9512" s="2" t="s">
        <v>10085</v>
      </c>
    </row>
    <row r="9513" spans="1:11" x14ac:dyDescent="0.2">
      <c r="A9513" s="2">
        <v>2380</v>
      </c>
      <c r="B9513" s="2">
        <v>20</v>
      </c>
      <c r="C9513" s="2">
        <v>10279604</v>
      </c>
      <c r="D9513" s="2">
        <v>11257012</v>
      </c>
      <c r="E9513" s="2">
        <v>3</v>
      </c>
      <c r="F9513" s="2" t="s">
        <v>10086</v>
      </c>
      <c r="H9513" s="2">
        <v>1E-3</v>
      </c>
      <c r="K9513" s="2" t="s">
        <v>10088</v>
      </c>
    </row>
    <row r="9514" spans="1:11" x14ac:dyDescent="0.2">
      <c r="A9514" s="2">
        <v>2380</v>
      </c>
      <c r="B9514" s="2">
        <v>20</v>
      </c>
      <c r="C9514" s="2">
        <v>10279604</v>
      </c>
      <c r="D9514" s="2">
        <v>11257012</v>
      </c>
      <c r="E9514" s="2">
        <v>4</v>
      </c>
      <c r="F9514" s="2" t="s">
        <v>10086</v>
      </c>
      <c r="H9514" s="3">
        <v>5.0000000000000001E-4</v>
      </c>
      <c r="K9514" s="2" t="s">
        <v>10089</v>
      </c>
    </row>
    <row r="9515" spans="1:11" x14ac:dyDescent="0.2">
      <c r="A9515" s="2">
        <v>2381</v>
      </c>
      <c r="B9515" s="2">
        <v>20</v>
      </c>
      <c r="C9515" s="2">
        <v>11257013</v>
      </c>
      <c r="D9515" s="2">
        <v>12353961</v>
      </c>
      <c r="E9515" s="2">
        <v>1</v>
      </c>
      <c r="F9515" s="2" t="s">
        <v>10086</v>
      </c>
      <c r="H9515" s="2">
        <v>1.2999999999999999E-3</v>
      </c>
      <c r="K9515" s="2" t="s">
        <v>10085</v>
      </c>
    </row>
    <row r="9516" spans="1:11" x14ac:dyDescent="0.2">
      <c r="A9516" s="2">
        <v>2381</v>
      </c>
      <c r="B9516" s="2">
        <v>20</v>
      </c>
      <c r="C9516" s="2">
        <v>11257013</v>
      </c>
      <c r="D9516" s="2">
        <v>12353961</v>
      </c>
      <c r="E9516" s="2">
        <v>2</v>
      </c>
      <c r="F9516" s="2" t="s">
        <v>10086</v>
      </c>
      <c r="H9516" s="2">
        <v>1.1999999999999999E-3</v>
      </c>
      <c r="K9516" s="2" t="s">
        <v>10089</v>
      </c>
    </row>
    <row r="9517" spans="1:11" x14ac:dyDescent="0.2">
      <c r="A9517" s="2">
        <v>2381</v>
      </c>
      <c r="B9517" s="2">
        <v>20</v>
      </c>
      <c r="C9517" s="2">
        <v>11257013</v>
      </c>
      <c r="D9517" s="2">
        <v>12353961</v>
      </c>
      <c r="E9517" s="2">
        <v>3</v>
      </c>
      <c r="F9517" s="2" t="s">
        <v>10086</v>
      </c>
      <c r="H9517" s="2">
        <v>1.5E-3</v>
      </c>
      <c r="K9517" s="2" t="s">
        <v>10088</v>
      </c>
    </row>
    <row r="9518" spans="1:11" x14ac:dyDescent="0.2">
      <c r="A9518" s="2">
        <v>2381</v>
      </c>
      <c r="B9518" s="2">
        <v>20</v>
      </c>
      <c r="C9518" s="2">
        <v>11257013</v>
      </c>
      <c r="D9518" s="2">
        <v>12353961</v>
      </c>
      <c r="E9518" s="2">
        <v>4</v>
      </c>
      <c r="F9518" s="2" t="s">
        <v>10086</v>
      </c>
      <c r="H9518" s="2">
        <v>1E-3</v>
      </c>
      <c r="K9518" s="2" t="s">
        <v>10087</v>
      </c>
    </row>
    <row r="9519" spans="1:11" x14ac:dyDescent="0.2">
      <c r="A9519" s="2">
        <v>2382</v>
      </c>
      <c r="B9519" s="2">
        <v>20</v>
      </c>
      <c r="C9519" s="2">
        <v>12353962</v>
      </c>
      <c r="D9519" s="2">
        <v>13202335</v>
      </c>
      <c r="E9519" s="2">
        <v>1</v>
      </c>
      <c r="F9519" s="2" t="s">
        <v>10086</v>
      </c>
      <c r="H9519" s="2">
        <v>6.3E-3</v>
      </c>
      <c r="K9519" s="2" t="s">
        <v>10089</v>
      </c>
    </row>
    <row r="9520" spans="1:11" x14ac:dyDescent="0.2">
      <c r="A9520" s="2">
        <v>2382</v>
      </c>
      <c r="B9520" s="2">
        <v>20</v>
      </c>
      <c r="C9520" s="2">
        <v>12353962</v>
      </c>
      <c r="D9520" s="2">
        <v>13202335</v>
      </c>
      <c r="E9520" s="2">
        <v>2</v>
      </c>
      <c r="F9520" s="2" t="s">
        <v>10086</v>
      </c>
      <c r="H9520" s="2">
        <v>2.2000000000000001E-3</v>
      </c>
      <c r="K9520" s="2" t="s">
        <v>10087</v>
      </c>
    </row>
    <row r="9521" spans="1:11" x14ac:dyDescent="0.2">
      <c r="A9521" s="2">
        <v>2382</v>
      </c>
      <c r="B9521" s="2">
        <v>20</v>
      </c>
      <c r="C9521" s="2">
        <v>12353962</v>
      </c>
      <c r="D9521" s="2">
        <v>13202335</v>
      </c>
      <c r="E9521" s="2">
        <v>3</v>
      </c>
      <c r="F9521" s="2" t="s">
        <v>10086</v>
      </c>
      <c r="H9521" s="2">
        <v>1E-3</v>
      </c>
      <c r="K9521" s="2" t="s">
        <v>12324</v>
      </c>
    </row>
    <row r="9522" spans="1:11" x14ac:dyDescent="0.2">
      <c r="A9522" s="2">
        <v>2382</v>
      </c>
      <c r="B9522" s="2">
        <v>20</v>
      </c>
      <c r="C9522" s="2">
        <v>12353962</v>
      </c>
      <c r="D9522" s="2">
        <v>13202335</v>
      </c>
      <c r="E9522" s="2">
        <v>4</v>
      </c>
      <c r="F9522" s="2" t="s">
        <v>10086</v>
      </c>
      <c r="H9522" s="2">
        <v>1E-3</v>
      </c>
      <c r="K9522" s="2" t="s">
        <v>10088</v>
      </c>
    </row>
    <row r="9523" spans="1:11" x14ac:dyDescent="0.2">
      <c r="A9523" s="2">
        <v>2383</v>
      </c>
      <c r="B9523" s="2">
        <v>20</v>
      </c>
      <c r="C9523" s="2">
        <v>13202336</v>
      </c>
      <c r="D9523" s="2">
        <v>14203755</v>
      </c>
      <c r="E9523" s="2">
        <v>1</v>
      </c>
      <c r="F9523" s="2" t="s">
        <v>10086</v>
      </c>
      <c r="H9523" s="2">
        <v>2.7000000000000001E-3</v>
      </c>
      <c r="K9523" s="2" t="s">
        <v>10085</v>
      </c>
    </row>
    <row r="9524" spans="1:11" x14ac:dyDescent="0.2">
      <c r="A9524" s="2">
        <v>2383</v>
      </c>
      <c r="B9524" s="2">
        <v>20</v>
      </c>
      <c r="C9524" s="2">
        <v>13202336</v>
      </c>
      <c r="D9524" s="2">
        <v>14203755</v>
      </c>
      <c r="E9524" s="2">
        <v>2</v>
      </c>
      <c r="F9524" s="2" t="s">
        <v>10086</v>
      </c>
      <c r="H9524" s="2">
        <v>1.1999999999999999E-3</v>
      </c>
      <c r="K9524" s="2" t="s">
        <v>10089</v>
      </c>
    </row>
    <row r="9525" spans="1:11" x14ac:dyDescent="0.2">
      <c r="A9525" s="2">
        <v>2383</v>
      </c>
      <c r="B9525" s="2">
        <v>20</v>
      </c>
      <c r="C9525" s="2">
        <v>13202336</v>
      </c>
      <c r="D9525" s="2">
        <v>14203755</v>
      </c>
      <c r="E9525" s="2">
        <v>3</v>
      </c>
      <c r="F9525" s="2" t="s">
        <v>10086</v>
      </c>
      <c r="H9525" s="3">
        <v>6.9999999999999999E-4</v>
      </c>
      <c r="K9525" s="2" t="s">
        <v>10088</v>
      </c>
    </row>
    <row r="9526" spans="1:11" x14ac:dyDescent="0.2">
      <c r="A9526" s="2">
        <v>2383</v>
      </c>
      <c r="B9526" s="2">
        <v>20</v>
      </c>
      <c r="C9526" s="2">
        <v>13202336</v>
      </c>
      <c r="D9526" s="2">
        <v>14203755</v>
      </c>
      <c r="E9526" s="2">
        <v>4</v>
      </c>
      <c r="F9526" s="2" t="s">
        <v>10086</v>
      </c>
      <c r="H9526" s="3">
        <v>5.0000000000000001E-4</v>
      </c>
      <c r="K9526" s="2" t="s">
        <v>10087</v>
      </c>
    </row>
    <row r="9527" spans="1:11" x14ac:dyDescent="0.2">
      <c r="A9527" s="2">
        <v>2384</v>
      </c>
      <c r="B9527" s="2">
        <v>20</v>
      </c>
      <c r="C9527" s="2">
        <v>14203756</v>
      </c>
      <c r="D9527" s="2">
        <v>15238519</v>
      </c>
      <c r="E9527" s="2">
        <v>1</v>
      </c>
      <c r="F9527" s="2" t="s">
        <v>10086</v>
      </c>
      <c r="H9527" s="3">
        <v>8.0000000000000004E-4</v>
      </c>
      <c r="K9527" s="2" t="s">
        <v>10088</v>
      </c>
    </row>
    <row r="9528" spans="1:11" x14ac:dyDescent="0.2">
      <c r="A9528" s="2">
        <v>2384</v>
      </c>
      <c r="B9528" s="2">
        <v>20</v>
      </c>
      <c r="C9528" s="2">
        <v>14203756</v>
      </c>
      <c r="D9528" s="2">
        <v>15238519</v>
      </c>
      <c r="E9528" s="2">
        <v>2</v>
      </c>
      <c r="F9528" s="2" t="s">
        <v>10086</v>
      </c>
      <c r="H9528" s="3">
        <v>6.9999999999999999E-4</v>
      </c>
      <c r="K9528" s="2" t="s">
        <v>10087</v>
      </c>
    </row>
    <row r="9529" spans="1:11" x14ac:dyDescent="0.2">
      <c r="A9529" s="2">
        <v>2384</v>
      </c>
      <c r="B9529" s="2">
        <v>20</v>
      </c>
      <c r="C9529" s="2">
        <v>14203756</v>
      </c>
      <c r="D9529" s="2">
        <v>15238519</v>
      </c>
      <c r="E9529" s="2">
        <v>3</v>
      </c>
      <c r="F9529" s="2" t="s">
        <v>10086</v>
      </c>
      <c r="H9529" s="3">
        <v>6.9999999999999999E-4</v>
      </c>
      <c r="K9529" s="2" t="s">
        <v>10089</v>
      </c>
    </row>
    <row r="9530" spans="1:11" x14ac:dyDescent="0.2">
      <c r="A9530" s="2">
        <v>2384</v>
      </c>
      <c r="B9530" s="2">
        <v>20</v>
      </c>
      <c r="C9530" s="2">
        <v>14203756</v>
      </c>
      <c r="D9530" s="2">
        <v>15238519</v>
      </c>
      <c r="E9530" s="2">
        <v>4</v>
      </c>
      <c r="F9530" s="2" t="s">
        <v>10086</v>
      </c>
      <c r="H9530" s="3">
        <v>2.9999999999999997E-4</v>
      </c>
      <c r="K9530" s="2" t="s">
        <v>10085</v>
      </c>
    </row>
    <row r="9531" spans="1:11" x14ac:dyDescent="0.2">
      <c r="A9531" s="2">
        <v>2385</v>
      </c>
      <c r="B9531" s="2">
        <v>20</v>
      </c>
      <c r="C9531" s="2">
        <v>15238520</v>
      </c>
      <c r="D9531" s="2">
        <v>15962576</v>
      </c>
      <c r="E9531" s="2">
        <v>1</v>
      </c>
      <c r="F9531" s="2" t="s">
        <v>10086</v>
      </c>
      <c r="H9531" s="2">
        <v>1.47E-2</v>
      </c>
      <c r="K9531" s="2" t="s">
        <v>10088</v>
      </c>
    </row>
    <row r="9532" spans="1:11" x14ac:dyDescent="0.2">
      <c r="A9532" s="2">
        <v>2385</v>
      </c>
      <c r="B9532" s="2">
        <v>20</v>
      </c>
      <c r="C9532" s="2">
        <v>15238520</v>
      </c>
      <c r="D9532" s="2">
        <v>15962576</v>
      </c>
      <c r="E9532" s="2">
        <v>2</v>
      </c>
      <c r="F9532" s="2" t="s">
        <v>10086</v>
      </c>
      <c r="H9532" s="2">
        <v>1.1999999999999999E-3</v>
      </c>
      <c r="K9532" s="2" t="s">
        <v>10087</v>
      </c>
    </row>
    <row r="9533" spans="1:11" x14ac:dyDescent="0.2">
      <c r="A9533" s="2">
        <v>2385</v>
      </c>
      <c r="B9533" s="2">
        <v>20</v>
      </c>
      <c r="C9533" s="2">
        <v>15238520</v>
      </c>
      <c r="D9533" s="2">
        <v>15962576</v>
      </c>
      <c r="E9533" s="2">
        <v>3</v>
      </c>
      <c r="F9533" s="2" t="s">
        <v>10086</v>
      </c>
      <c r="H9533" s="3">
        <v>5.9999999999999995E-4</v>
      </c>
      <c r="K9533" s="2" t="s">
        <v>10089</v>
      </c>
    </row>
    <row r="9534" spans="1:11" x14ac:dyDescent="0.2">
      <c r="A9534" s="2">
        <v>2385</v>
      </c>
      <c r="B9534" s="2">
        <v>20</v>
      </c>
      <c r="C9534" s="2">
        <v>15238520</v>
      </c>
      <c r="D9534" s="2">
        <v>15962576</v>
      </c>
      <c r="E9534" s="2">
        <v>4</v>
      </c>
      <c r="F9534" s="2" t="s">
        <v>10086</v>
      </c>
      <c r="H9534" s="3">
        <v>5.9999999999999995E-4</v>
      </c>
      <c r="K9534" s="2" t="s">
        <v>10085</v>
      </c>
    </row>
    <row r="9535" spans="1:11" x14ac:dyDescent="0.2">
      <c r="A9535" s="2">
        <v>2386</v>
      </c>
      <c r="B9535" s="2">
        <v>20</v>
      </c>
      <c r="C9535" s="2">
        <v>15962577</v>
      </c>
      <c r="D9535" s="2">
        <v>16661516</v>
      </c>
      <c r="E9535" s="2">
        <v>1</v>
      </c>
      <c r="F9535" s="2" t="s">
        <v>10086</v>
      </c>
      <c r="H9535" s="2">
        <v>2.8E-3</v>
      </c>
      <c r="K9535" s="2" t="s">
        <v>10089</v>
      </c>
    </row>
    <row r="9536" spans="1:11" x14ac:dyDescent="0.2">
      <c r="A9536" s="2">
        <v>2386</v>
      </c>
      <c r="B9536" s="2">
        <v>20</v>
      </c>
      <c r="C9536" s="2">
        <v>15962577</v>
      </c>
      <c r="D9536" s="2">
        <v>16661516</v>
      </c>
      <c r="E9536" s="2">
        <v>2</v>
      </c>
      <c r="F9536" s="2" t="s">
        <v>10086</v>
      </c>
      <c r="H9536" s="3">
        <v>8.9999999999999998E-4</v>
      </c>
      <c r="K9536" s="2" t="s">
        <v>10087</v>
      </c>
    </row>
    <row r="9537" spans="1:11" x14ac:dyDescent="0.2">
      <c r="A9537" s="2">
        <v>2386</v>
      </c>
      <c r="B9537" s="2">
        <v>20</v>
      </c>
      <c r="C9537" s="2">
        <v>15962577</v>
      </c>
      <c r="D9537" s="2">
        <v>16661516</v>
      </c>
      <c r="E9537" s="2">
        <v>3</v>
      </c>
      <c r="F9537" s="2" t="s">
        <v>10086</v>
      </c>
      <c r="H9537" s="3">
        <v>8.0000000000000004E-4</v>
      </c>
      <c r="K9537" s="2" t="s">
        <v>10085</v>
      </c>
    </row>
    <row r="9538" spans="1:11" x14ac:dyDescent="0.2">
      <c r="A9538" s="2">
        <v>2386</v>
      </c>
      <c r="B9538" s="2">
        <v>20</v>
      </c>
      <c r="C9538" s="2">
        <v>15962577</v>
      </c>
      <c r="D9538" s="2">
        <v>16661516</v>
      </c>
      <c r="E9538" s="2">
        <v>4</v>
      </c>
      <c r="F9538" s="2" t="s">
        <v>10086</v>
      </c>
      <c r="H9538" s="3">
        <v>4.0000000000000002E-4</v>
      </c>
      <c r="K9538" s="2" t="s">
        <v>10088</v>
      </c>
    </row>
    <row r="9539" spans="1:11" x14ac:dyDescent="0.2">
      <c r="A9539" s="2">
        <v>2387</v>
      </c>
      <c r="B9539" s="2">
        <v>20</v>
      </c>
      <c r="C9539" s="2">
        <v>16661517</v>
      </c>
      <c r="D9539" s="2">
        <v>17359290</v>
      </c>
      <c r="E9539" s="2">
        <v>1</v>
      </c>
      <c r="F9539" s="2" t="s">
        <v>10086</v>
      </c>
      <c r="H9539" s="2">
        <v>1.2800000000000001E-2</v>
      </c>
      <c r="K9539" s="2" t="s">
        <v>10085</v>
      </c>
    </row>
    <row r="9540" spans="1:11" x14ac:dyDescent="0.2">
      <c r="A9540" s="2">
        <v>2387</v>
      </c>
      <c r="B9540" s="2">
        <v>20</v>
      </c>
      <c r="C9540" s="2">
        <v>16661517</v>
      </c>
      <c r="D9540" s="2">
        <v>17359290</v>
      </c>
      <c r="E9540" s="2">
        <v>2</v>
      </c>
      <c r="F9540" s="2" t="s">
        <v>10086</v>
      </c>
      <c r="H9540" s="2">
        <v>1.8E-3</v>
      </c>
      <c r="K9540" s="2" t="s">
        <v>12324</v>
      </c>
    </row>
    <row r="9541" spans="1:11" x14ac:dyDescent="0.2">
      <c r="A9541" s="2">
        <v>2387</v>
      </c>
      <c r="B9541" s="2">
        <v>20</v>
      </c>
      <c r="C9541" s="2">
        <v>16661517</v>
      </c>
      <c r="D9541" s="2">
        <v>17359290</v>
      </c>
      <c r="E9541" s="2">
        <v>3</v>
      </c>
      <c r="F9541" s="2" t="s">
        <v>10086</v>
      </c>
      <c r="H9541" s="2">
        <v>1.2999999999999999E-3</v>
      </c>
      <c r="K9541" s="2" t="s">
        <v>10089</v>
      </c>
    </row>
    <row r="9542" spans="1:11" x14ac:dyDescent="0.2">
      <c r="A9542" s="2">
        <v>2387</v>
      </c>
      <c r="B9542" s="2">
        <v>20</v>
      </c>
      <c r="C9542" s="2">
        <v>16661517</v>
      </c>
      <c r="D9542" s="2">
        <v>17359290</v>
      </c>
      <c r="E9542" s="2">
        <v>4</v>
      </c>
      <c r="F9542" s="2" t="s">
        <v>10086</v>
      </c>
      <c r="H9542" s="3">
        <v>8.0000000000000004E-4</v>
      </c>
      <c r="K9542" s="2" t="s">
        <v>10087</v>
      </c>
    </row>
    <row r="9543" spans="1:11" x14ac:dyDescent="0.2">
      <c r="A9543" s="2">
        <v>2388</v>
      </c>
      <c r="B9543" s="2">
        <v>20</v>
      </c>
      <c r="C9543" s="2">
        <v>17359291</v>
      </c>
      <c r="D9543" s="2">
        <v>18058524</v>
      </c>
      <c r="E9543" s="2">
        <v>1</v>
      </c>
      <c r="F9543" s="2" t="s">
        <v>10086</v>
      </c>
      <c r="H9543" s="2">
        <v>1.1000000000000001E-3</v>
      </c>
      <c r="K9543" s="2" t="s">
        <v>10089</v>
      </c>
    </row>
    <row r="9544" spans="1:11" x14ac:dyDescent="0.2">
      <c r="A9544" s="2">
        <v>2388</v>
      </c>
      <c r="B9544" s="2">
        <v>20</v>
      </c>
      <c r="C9544" s="2">
        <v>17359291</v>
      </c>
      <c r="D9544" s="2">
        <v>18058524</v>
      </c>
      <c r="E9544" s="2">
        <v>2</v>
      </c>
      <c r="F9544" s="2" t="s">
        <v>10086</v>
      </c>
      <c r="H9544" s="2">
        <v>1E-3</v>
      </c>
      <c r="K9544" s="2" t="s">
        <v>10085</v>
      </c>
    </row>
    <row r="9545" spans="1:11" x14ac:dyDescent="0.2">
      <c r="A9545" s="2">
        <v>2388</v>
      </c>
      <c r="B9545" s="2">
        <v>20</v>
      </c>
      <c r="C9545" s="2">
        <v>17359291</v>
      </c>
      <c r="D9545" s="2">
        <v>18058524</v>
      </c>
      <c r="E9545" s="2">
        <v>3</v>
      </c>
      <c r="F9545" s="2" t="s">
        <v>10086</v>
      </c>
      <c r="H9545" s="2">
        <v>1E-3</v>
      </c>
      <c r="K9545" s="2" t="s">
        <v>10087</v>
      </c>
    </row>
    <row r="9546" spans="1:11" x14ac:dyDescent="0.2">
      <c r="A9546" s="2">
        <v>2388</v>
      </c>
      <c r="B9546" s="2">
        <v>20</v>
      </c>
      <c r="C9546" s="2">
        <v>17359291</v>
      </c>
      <c r="D9546" s="2">
        <v>18058524</v>
      </c>
      <c r="E9546" s="2">
        <v>4</v>
      </c>
      <c r="F9546" s="2" t="s">
        <v>10086</v>
      </c>
      <c r="H9546" s="3">
        <v>4.0000000000000002E-4</v>
      </c>
      <c r="K9546" s="2" t="s">
        <v>10088</v>
      </c>
    </row>
    <row r="9547" spans="1:11" x14ac:dyDescent="0.2">
      <c r="A9547" s="2">
        <v>2389</v>
      </c>
      <c r="B9547" s="2">
        <v>20</v>
      </c>
      <c r="C9547" s="2">
        <v>18058525</v>
      </c>
      <c r="D9547" s="2">
        <v>18959419</v>
      </c>
      <c r="E9547" s="2">
        <v>1</v>
      </c>
      <c r="F9547" s="2" t="s">
        <v>10086</v>
      </c>
      <c r="H9547" s="2">
        <v>2.3999999999999998E-3</v>
      </c>
      <c r="K9547" s="2" t="s">
        <v>10087</v>
      </c>
    </row>
    <row r="9548" spans="1:11" x14ac:dyDescent="0.2">
      <c r="A9548" s="2">
        <v>2389</v>
      </c>
      <c r="B9548" s="2">
        <v>20</v>
      </c>
      <c r="C9548" s="2">
        <v>18058525</v>
      </c>
      <c r="D9548" s="2">
        <v>18959419</v>
      </c>
      <c r="E9548" s="2">
        <v>2</v>
      </c>
      <c r="F9548" s="2" t="s">
        <v>10086</v>
      </c>
      <c r="H9548" s="2">
        <v>1E-3</v>
      </c>
      <c r="K9548" s="2" t="s">
        <v>10089</v>
      </c>
    </row>
    <row r="9549" spans="1:11" x14ac:dyDescent="0.2">
      <c r="A9549" s="2">
        <v>2389</v>
      </c>
      <c r="B9549" s="2">
        <v>20</v>
      </c>
      <c r="C9549" s="2">
        <v>18058525</v>
      </c>
      <c r="D9549" s="2">
        <v>18959419</v>
      </c>
      <c r="E9549" s="2">
        <v>3</v>
      </c>
      <c r="F9549" s="2" t="s">
        <v>10086</v>
      </c>
      <c r="H9549" s="3">
        <v>6.9999999999999999E-4</v>
      </c>
      <c r="K9549" s="2" t="s">
        <v>10085</v>
      </c>
    </row>
    <row r="9550" spans="1:11" x14ac:dyDescent="0.2">
      <c r="A9550" s="2">
        <v>2389</v>
      </c>
      <c r="B9550" s="2">
        <v>20</v>
      </c>
      <c r="C9550" s="2">
        <v>18058525</v>
      </c>
      <c r="D9550" s="2">
        <v>18959419</v>
      </c>
      <c r="E9550" s="2">
        <v>4</v>
      </c>
      <c r="F9550" s="2" t="s">
        <v>10086</v>
      </c>
      <c r="H9550" s="3">
        <v>5.0000000000000001E-4</v>
      </c>
      <c r="K9550" s="2" t="s">
        <v>10088</v>
      </c>
    </row>
    <row r="9551" spans="1:11" x14ac:dyDescent="0.2">
      <c r="A9551" s="2">
        <v>2390</v>
      </c>
      <c r="B9551" s="2">
        <v>20</v>
      </c>
      <c r="C9551" s="2">
        <v>18959420</v>
      </c>
      <c r="D9551" s="2">
        <v>19957928</v>
      </c>
      <c r="E9551" s="2">
        <v>1</v>
      </c>
      <c r="F9551" s="2" t="s">
        <v>10086</v>
      </c>
      <c r="H9551" s="2">
        <v>2.3E-3</v>
      </c>
      <c r="K9551" s="2" t="s">
        <v>10087</v>
      </c>
    </row>
    <row r="9552" spans="1:11" x14ac:dyDescent="0.2">
      <c r="A9552" s="2">
        <v>2390</v>
      </c>
      <c r="B9552" s="2">
        <v>20</v>
      </c>
      <c r="C9552" s="2">
        <v>18959420</v>
      </c>
      <c r="D9552" s="2">
        <v>19957928</v>
      </c>
      <c r="E9552" s="2">
        <v>2</v>
      </c>
      <c r="F9552" s="2" t="s">
        <v>10086</v>
      </c>
      <c r="H9552" s="2">
        <v>1.6999999999999999E-3</v>
      </c>
      <c r="K9552" s="2" t="s">
        <v>10085</v>
      </c>
    </row>
    <row r="9553" spans="1:11" x14ac:dyDescent="0.2">
      <c r="A9553" s="2">
        <v>2390</v>
      </c>
      <c r="B9553" s="2">
        <v>20</v>
      </c>
      <c r="C9553" s="2">
        <v>18959420</v>
      </c>
      <c r="D9553" s="2">
        <v>19957928</v>
      </c>
      <c r="E9553" s="2">
        <v>3</v>
      </c>
      <c r="F9553" s="2" t="s">
        <v>10086</v>
      </c>
      <c r="H9553" s="2">
        <v>1.1999999999999999E-3</v>
      </c>
      <c r="K9553" s="2" t="s">
        <v>10089</v>
      </c>
    </row>
    <row r="9554" spans="1:11" x14ac:dyDescent="0.2">
      <c r="A9554" s="2">
        <v>2390</v>
      </c>
      <c r="B9554" s="2">
        <v>20</v>
      </c>
      <c r="C9554" s="2">
        <v>18959420</v>
      </c>
      <c r="D9554" s="2">
        <v>19957928</v>
      </c>
      <c r="E9554" s="2">
        <v>4</v>
      </c>
      <c r="F9554" s="2" t="s">
        <v>10086</v>
      </c>
      <c r="H9554" s="3">
        <v>5.9999999999999995E-4</v>
      </c>
      <c r="K9554" s="2" t="s">
        <v>10088</v>
      </c>
    </row>
    <row r="9555" spans="1:11" x14ac:dyDescent="0.2">
      <c r="A9555" s="2">
        <v>2391</v>
      </c>
      <c r="B9555" s="2">
        <v>20</v>
      </c>
      <c r="C9555" s="2">
        <v>19957929</v>
      </c>
      <c r="D9555" s="2">
        <v>21682377</v>
      </c>
      <c r="E9555" s="2">
        <v>1</v>
      </c>
      <c r="F9555" s="2" t="s">
        <v>10086</v>
      </c>
      <c r="H9555" s="2">
        <v>2.5999999999999999E-3</v>
      </c>
      <c r="K9555" s="2" t="s">
        <v>10087</v>
      </c>
    </row>
    <row r="9556" spans="1:11" x14ac:dyDescent="0.2">
      <c r="A9556" s="2">
        <v>2391</v>
      </c>
      <c r="B9556" s="2">
        <v>20</v>
      </c>
      <c r="C9556" s="2">
        <v>19957929</v>
      </c>
      <c r="D9556" s="2">
        <v>21682377</v>
      </c>
      <c r="E9556" s="2">
        <v>2</v>
      </c>
      <c r="F9556" s="2" t="s">
        <v>10086</v>
      </c>
      <c r="H9556" s="2">
        <v>2.7000000000000001E-3</v>
      </c>
      <c r="K9556" s="2" t="s">
        <v>10088</v>
      </c>
    </row>
    <row r="9557" spans="1:11" x14ac:dyDescent="0.2">
      <c r="A9557" s="2">
        <v>2391</v>
      </c>
      <c r="B9557" s="2">
        <v>20</v>
      </c>
      <c r="C9557" s="2">
        <v>19957929</v>
      </c>
      <c r="D9557" s="2">
        <v>21682377</v>
      </c>
      <c r="E9557" s="2">
        <v>3</v>
      </c>
      <c r="F9557" s="2" t="s">
        <v>10086</v>
      </c>
      <c r="H9557" s="2">
        <v>1.4E-3</v>
      </c>
      <c r="K9557" s="2" t="s">
        <v>10085</v>
      </c>
    </row>
    <row r="9558" spans="1:11" x14ac:dyDescent="0.2">
      <c r="A9558" s="2">
        <v>2391</v>
      </c>
      <c r="B9558" s="2">
        <v>20</v>
      </c>
      <c r="C9558" s="2">
        <v>19957929</v>
      </c>
      <c r="D9558" s="2">
        <v>21682377</v>
      </c>
      <c r="E9558" s="2">
        <v>4</v>
      </c>
      <c r="F9558" s="2" t="s">
        <v>10086</v>
      </c>
      <c r="H9558" s="3">
        <v>6.9999999999999999E-4</v>
      </c>
      <c r="K9558" s="2" t="s">
        <v>10089</v>
      </c>
    </row>
    <row r="9559" spans="1:11" x14ac:dyDescent="0.2">
      <c r="A9559" s="2">
        <v>2392</v>
      </c>
      <c r="B9559" s="2">
        <v>20</v>
      </c>
      <c r="C9559" s="2">
        <v>21682378</v>
      </c>
      <c r="D9559" s="2">
        <v>22780956</v>
      </c>
      <c r="E9559" s="2">
        <v>1</v>
      </c>
      <c r="F9559" s="2" t="s">
        <v>10086</v>
      </c>
      <c r="H9559" s="2">
        <v>1.2999999999999999E-3</v>
      </c>
      <c r="K9559" s="2" t="s">
        <v>10089</v>
      </c>
    </row>
    <row r="9560" spans="1:11" x14ac:dyDescent="0.2">
      <c r="A9560" s="2">
        <v>2392</v>
      </c>
      <c r="B9560" s="2">
        <v>20</v>
      </c>
      <c r="C9560" s="2">
        <v>21682378</v>
      </c>
      <c r="D9560" s="2">
        <v>22780956</v>
      </c>
      <c r="E9560" s="2">
        <v>2</v>
      </c>
      <c r="F9560" s="2" t="s">
        <v>10086</v>
      </c>
      <c r="H9560" s="2">
        <v>2.0999999999999999E-3</v>
      </c>
      <c r="K9560" s="2" t="s">
        <v>10088</v>
      </c>
    </row>
    <row r="9561" spans="1:11" x14ac:dyDescent="0.2">
      <c r="A9561" s="2">
        <v>2392</v>
      </c>
      <c r="B9561" s="2">
        <v>20</v>
      </c>
      <c r="C9561" s="2">
        <v>21682378</v>
      </c>
      <c r="D9561" s="2">
        <v>22780956</v>
      </c>
      <c r="E9561" s="2">
        <v>3</v>
      </c>
      <c r="F9561" s="2" t="s">
        <v>10086</v>
      </c>
      <c r="H9561" s="3">
        <v>6.9999999999999999E-4</v>
      </c>
      <c r="K9561" s="2" t="s">
        <v>10085</v>
      </c>
    </row>
    <row r="9562" spans="1:11" x14ac:dyDescent="0.2">
      <c r="A9562" s="2">
        <v>2392</v>
      </c>
      <c r="B9562" s="2">
        <v>20</v>
      </c>
      <c r="C9562" s="2">
        <v>21682378</v>
      </c>
      <c r="D9562" s="2">
        <v>22780956</v>
      </c>
      <c r="E9562" s="2">
        <v>4</v>
      </c>
      <c r="F9562" s="2" t="s">
        <v>10086</v>
      </c>
      <c r="H9562" s="3">
        <v>2.0000000000000001E-4</v>
      </c>
      <c r="K9562" s="2" t="s">
        <v>10087</v>
      </c>
    </row>
    <row r="9563" spans="1:11" x14ac:dyDescent="0.2">
      <c r="A9563" s="2">
        <v>2393</v>
      </c>
      <c r="B9563" s="2">
        <v>20</v>
      </c>
      <c r="C9563" s="2">
        <v>22780957</v>
      </c>
      <c r="D9563" s="2">
        <v>23808562</v>
      </c>
      <c r="E9563" s="2">
        <v>1</v>
      </c>
      <c r="F9563" s="2" t="s">
        <v>10086</v>
      </c>
      <c r="H9563" s="2">
        <v>2.8999999999999998E-3</v>
      </c>
      <c r="K9563" s="2" t="s">
        <v>10088</v>
      </c>
    </row>
    <row r="9564" spans="1:11" x14ac:dyDescent="0.2">
      <c r="A9564" s="2">
        <v>2393</v>
      </c>
      <c r="B9564" s="2">
        <v>20</v>
      </c>
      <c r="C9564" s="2">
        <v>22780957</v>
      </c>
      <c r="D9564" s="2">
        <v>23808562</v>
      </c>
      <c r="E9564" s="2">
        <v>2</v>
      </c>
      <c r="F9564" s="2" t="s">
        <v>10086</v>
      </c>
      <c r="H9564" s="2">
        <v>1.1999999999999999E-3</v>
      </c>
      <c r="K9564" s="2" t="s">
        <v>10085</v>
      </c>
    </row>
    <row r="9565" spans="1:11" x14ac:dyDescent="0.2">
      <c r="A9565" s="2">
        <v>2393</v>
      </c>
      <c r="B9565" s="2">
        <v>20</v>
      </c>
      <c r="C9565" s="2">
        <v>22780957</v>
      </c>
      <c r="D9565" s="2">
        <v>23808562</v>
      </c>
      <c r="E9565" s="2">
        <v>3</v>
      </c>
      <c r="F9565" s="2" t="s">
        <v>10086</v>
      </c>
      <c r="H9565" s="3">
        <v>8.9999999999999998E-4</v>
      </c>
      <c r="K9565" s="2" t="s">
        <v>10089</v>
      </c>
    </row>
    <row r="9566" spans="1:11" x14ac:dyDescent="0.2">
      <c r="A9566" s="2">
        <v>2393</v>
      </c>
      <c r="B9566" s="2">
        <v>20</v>
      </c>
      <c r="C9566" s="2">
        <v>22780957</v>
      </c>
      <c r="D9566" s="2">
        <v>23808562</v>
      </c>
      <c r="E9566" s="2">
        <v>4</v>
      </c>
      <c r="F9566" s="2" t="s">
        <v>10086</v>
      </c>
      <c r="H9566" s="3">
        <v>4.0000000000000002E-4</v>
      </c>
      <c r="K9566" s="2" t="s">
        <v>10087</v>
      </c>
    </row>
    <row r="9567" spans="1:11" x14ac:dyDescent="0.2">
      <c r="A9567" s="2">
        <v>2394</v>
      </c>
      <c r="B9567" s="2">
        <v>20</v>
      </c>
      <c r="C9567" s="2">
        <v>23808563</v>
      </c>
      <c r="D9567" s="2">
        <v>24487128</v>
      </c>
      <c r="E9567" s="2">
        <v>1</v>
      </c>
      <c r="F9567" s="2" t="s">
        <v>10086</v>
      </c>
      <c r="H9567" s="3">
        <v>8.9999999999999998E-4</v>
      </c>
      <c r="K9567" s="2" t="s">
        <v>10085</v>
      </c>
    </row>
    <row r="9568" spans="1:11" x14ac:dyDescent="0.2">
      <c r="A9568" s="2">
        <v>2394</v>
      </c>
      <c r="B9568" s="2">
        <v>20</v>
      </c>
      <c r="C9568" s="2">
        <v>23808563</v>
      </c>
      <c r="D9568" s="2">
        <v>24487128</v>
      </c>
      <c r="E9568" s="2">
        <v>2</v>
      </c>
      <c r="F9568" s="2" t="s">
        <v>10086</v>
      </c>
      <c r="H9568" s="2">
        <v>1E-3</v>
      </c>
      <c r="K9568" s="2" t="s">
        <v>10088</v>
      </c>
    </row>
    <row r="9569" spans="1:11" x14ac:dyDescent="0.2">
      <c r="A9569" s="2">
        <v>2394</v>
      </c>
      <c r="B9569" s="2">
        <v>20</v>
      </c>
      <c r="C9569" s="2">
        <v>23808563</v>
      </c>
      <c r="D9569" s="2">
        <v>24487128</v>
      </c>
      <c r="E9569" s="2">
        <v>3</v>
      </c>
      <c r="F9569" s="2" t="s">
        <v>10086</v>
      </c>
      <c r="H9569" s="3">
        <v>6.9999999999999999E-4</v>
      </c>
      <c r="K9569" s="2" t="s">
        <v>10089</v>
      </c>
    </row>
    <row r="9570" spans="1:11" x14ac:dyDescent="0.2">
      <c r="A9570" s="2">
        <v>2394</v>
      </c>
      <c r="B9570" s="2">
        <v>20</v>
      </c>
      <c r="C9570" s="2">
        <v>23808563</v>
      </c>
      <c r="D9570" s="2">
        <v>24487128</v>
      </c>
      <c r="E9570" s="2">
        <v>4</v>
      </c>
      <c r="F9570" s="2" t="s">
        <v>10086</v>
      </c>
      <c r="H9570" s="3">
        <v>2.9999999999999997E-4</v>
      </c>
      <c r="K9570" s="2" t="s">
        <v>10087</v>
      </c>
    </row>
    <row r="9571" spans="1:11" x14ac:dyDescent="0.2">
      <c r="A9571" s="2">
        <v>2395</v>
      </c>
      <c r="B9571" s="2">
        <v>20</v>
      </c>
      <c r="C9571" s="2">
        <v>24487129</v>
      </c>
      <c r="D9571" s="2">
        <v>25181038</v>
      </c>
      <c r="E9571" s="2">
        <v>1</v>
      </c>
      <c r="F9571" s="2" t="s">
        <v>10086</v>
      </c>
      <c r="H9571" s="2">
        <v>1.6000000000000001E-3</v>
      </c>
      <c r="K9571" s="2" t="s">
        <v>10088</v>
      </c>
    </row>
    <row r="9572" spans="1:11" x14ac:dyDescent="0.2">
      <c r="A9572" s="2">
        <v>2395</v>
      </c>
      <c r="B9572" s="2">
        <v>20</v>
      </c>
      <c r="C9572" s="2">
        <v>24487129</v>
      </c>
      <c r="D9572" s="2">
        <v>25181038</v>
      </c>
      <c r="E9572" s="2">
        <v>2</v>
      </c>
      <c r="F9572" s="2" t="s">
        <v>10086</v>
      </c>
      <c r="H9572" s="2">
        <v>1E-3</v>
      </c>
      <c r="K9572" s="2" t="s">
        <v>10085</v>
      </c>
    </row>
    <row r="9573" spans="1:11" x14ac:dyDescent="0.2">
      <c r="A9573" s="2">
        <v>2395</v>
      </c>
      <c r="B9573" s="2">
        <v>20</v>
      </c>
      <c r="C9573" s="2">
        <v>24487129</v>
      </c>
      <c r="D9573" s="2">
        <v>25181038</v>
      </c>
      <c r="E9573" s="2">
        <v>3</v>
      </c>
      <c r="F9573" s="2" t="s">
        <v>10086</v>
      </c>
      <c r="H9573" s="3">
        <v>6.9999999999999999E-4</v>
      </c>
      <c r="K9573" s="2" t="s">
        <v>10087</v>
      </c>
    </row>
    <row r="9574" spans="1:11" x14ac:dyDescent="0.2">
      <c r="A9574" s="2">
        <v>2395</v>
      </c>
      <c r="B9574" s="2">
        <v>20</v>
      </c>
      <c r="C9574" s="2">
        <v>24487129</v>
      </c>
      <c r="D9574" s="2">
        <v>25181038</v>
      </c>
      <c r="E9574" s="2">
        <v>4</v>
      </c>
      <c r="F9574" s="2" t="s">
        <v>10086</v>
      </c>
      <c r="H9574" s="3">
        <v>4.0000000000000002E-4</v>
      </c>
      <c r="K9574" s="2" t="s">
        <v>10089</v>
      </c>
    </row>
    <row r="9575" spans="1:11" x14ac:dyDescent="0.2">
      <c r="A9575" s="2">
        <v>2396</v>
      </c>
      <c r="B9575" s="2">
        <v>20</v>
      </c>
      <c r="C9575" s="2">
        <v>25181039</v>
      </c>
      <c r="D9575" s="2">
        <v>26318858</v>
      </c>
      <c r="E9575" s="2">
        <v>1</v>
      </c>
      <c r="F9575" s="2" t="s">
        <v>10086</v>
      </c>
      <c r="H9575" s="2">
        <v>1.1000000000000001E-3</v>
      </c>
      <c r="K9575" s="2" t="s">
        <v>10087</v>
      </c>
    </row>
    <row r="9576" spans="1:11" x14ac:dyDescent="0.2">
      <c r="A9576" s="2">
        <v>2396</v>
      </c>
      <c r="B9576" s="2">
        <v>20</v>
      </c>
      <c r="C9576" s="2">
        <v>25181039</v>
      </c>
      <c r="D9576" s="2">
        <v>26318858</v>
      </c>
      <c r="E9576" s="2">
        <v>2</v>
      </c>
      <c r="F9576" s="2" t="s">
        <v>10086</v>
      </c>
      <c r="H9576" s="3">
        <v>6.9999999999999999E-4</v>
      </c>
      <c r="K9576" s="2" t="s">
        <v>10089</v>
      </c>
    </row>
    <row r="9577" spans="1:11" x14ac:dyDescent="0.2">
      <c r="A9577" s="2">
        <v>2396</v>
      </c>
      <c r="B9577" s="2">
        <v>20</v>
      </c>
      <c r="C9577" s="2">
        <v>25181039</v>
      </c>
      <c r="D9577" s="2">
        <v>26318858</v>
      </c>
      <c r="E9577" s="2">
        <v>3</v>
      </c>
      <c r="F9577" s="2" t="s">
        <v>10086</v>
      </c>
      <c r="H9577" s="3">
        <v>6.9999999999999999E-4</v>
      </c>
      <c r="K9577" s="2" t="s">
        <v>10088</v>
      </c>
    </row>
    <row r="9578" spans="1:11" x14ac:dyDescent="0.2">
      <c r="A9578" s="2">
        <v>2396</v>
      </c>
      <c r="B9578" s="2">
        <v>20</v>
      </c>
      <c r="C9578" s="2">
        <v>25181039</v>
      </c>
      <c r="D9578" s="2">
        <v>26318858</v>
      </c>
      <c r="E9578" s="2">
        <v>4</v>
      </c>
      <c r="F9578" s="2" t="s">
        <v>10086</v>
      </c>
      <c r="H9578" s="3">
        <v>4.0000000000000002E-4</v>
      </c>
      <c r="K9578" s="2" t="s">
        <v>10085</v>
      </c>
    </row>
    <row r="9579" spans="1:11" x14ac:dyDescent="0.2">
      <c r="A9579" s="2">
        <v>2397</v>
      </c>
      <c r="B9579" s="2">
        <v>20</v>
      </c>
      <c r="C9579" s="2">
        <v>26318859</v>
      </c>
      <c r="D9579" s="2">
        <v>30569659</v>
      </c>
      <c r="E9579" s="2">
        <v>1</v>
      </c>
      <c r="F9579" s="2" t="s">
        <v>10086</v>
      </c>
      <c r="H9579" s="2">
        <v>2.3999999999999998E-3</v>
      </c>
      <c r="K9579" s="2" t="s">
        <v>10088</v>
      </c>
    </row>
    <row r="9580" spans="1:11" x14ac:dyDescent="0.2">
      <c r="A9580" s="2">
        <v>2397</v>
      </c>
      <c r="B9580" s="2">
        <v>20</v>
      </c>
      <c r="C9580" s="2">
        <v>26318859</v>
      </c>
      <c r="D9580" s="2">
        <v>30569659</v>
      </c>
      <c r="E9580" s="2">
        <v>2</v>
      </c>
      <c r="F9580" s="2" t="s">
        <v>10086</v>
      </c>
      <c r="H9580" s="3">
        <v>6.9999999999999999E-4</v>
      </c>
      <c r="K9580" s="2" t="s">
        <v>10087</v>
      </c>
    </row>
    <row r="9581" spans="1:11" x14ac:dyDescent="0.2">
      <c r="A9581" s="2">
        <v>2397</v>
      </c>
      <c r="B9581" s="2">
        <v>20</v>
      </c>
      <c r="C9581" s="2">
        <v>26318859</v>
      </c>
      <c r="D9581" s="2">
        <v>30569659</v>
      </c>
      <c r="E9581" s="2">
        <v>3</v>
      </c>
      <c r="F9581" s="2" t="s">
        <v>10086</v>
      </c>
      <c r="H9581" s="3">
        <v>5.0000000000000001E-4</v>
      </c>
      <c r="K9581" s="2" t="s">
        <v>10089</v>
      </c>
    </row>
    <row r="9582" spans="1:11" x14ac:dyDescent="0.2">
      <c r="A9582" s="2">
        <v>2397</v>
      </c>
      <c r="B9582" s="2">
        <v>20</v>
      </c>
      <c r="C9582" s="2">
        <v>26318859</v>
      </c>
      <c r="D9582" s="2">
        <v>30569659</v>
      </c>
      <c r="E9582" s="2">
        <v>4</v>
      </c>
      <c r="F9582" s="2" t="s">
        <v>10086</v>
      </c>
      <c r="H9582" s="3">
        <v>2.9999999999999997E-4</v>
      </c>
      <c r="K9582" s="2" t="s">
        <v>10085</v>
      </c>
    </row>
    <row r="9583" spans="1:11" x14ac:dyDescent="0.2">
      <c r="A9583" s="2">
        <v>2398</v>
      </c>
      <c r="B9583" s="2">
        <v>20</v>
      </c>
      <c r="C9583" s="2">
        <v>30569660</v>
      </c>
      <c r="D9583" s="2">
        <v>32484506</v>
      </c>
      <c r="E9583" s="2">
        <v>1</v>
      </c>
      <c r="F9583" s="2" t="s">
        <v>10086</v>
      </c>
      <c r="H9583" s="2">
        <v>3.3999999999999998E-3</v>
      </c>
      <c r="K9583" s="2" t="s">
        <v>10088</v>
      </c>
    </row>
    <row r="9584" spans="1:11" x14ac:dyDescent="0.2">
      <c r="A9584" s="2">
        <v>2398</v>
      </c>
      <c r="B9584" s="2">
        <v>20</v>
      </c>
      <c r="C9584" s="2">
        <v>30569660</v>
      </c>
      <c r="D9584" s="2">
        <v>32484506</v>
      </c>
      <c r="E9584" s="2">
        <v>2</v>
      </c>
      <c r="F9584" s="2" t="s">
        <v>10086</v>
      </c>
      <c r="H9584" s="2">
        <v>1.15E-2</v>
      </c>
      <c r="K9584" s="2" t="s">
        <v>12324</v>
      </c>
    </row>
    <row r="9585" spans="1:11" x14ac:dyDescent="0.2">
      <c r="A9585" s="2">
        <v>2398</v>
      </c>
      <c r="B9585" s="2">
        <v>20</v>
      </c>
      <c r="C9585" s="2">
        <v>30569660</v>
      </c>
      <c r="D9585" s="2">
        <v>32484506</v>
      </c>
      <c r="E9585" s="2">
        <v>3</v>
      </c>
      <c r="F9585" s="2" t="s">
        <v>10086</v>
      </c>
      <c r="H9585" s="2">
        <v>2.5999999999999999E-3</v>
      </c>
      <c r="K9585" s="2" t="s">
        <v>10085</v>
      </c>
    </row>
    <row r="9586" spans="1:11" x14ac:dyDescent="0.2">
      <c r="A9586" s="2">
        <v>2398</v>
      </c>
      <c r="B9586" s="2">
        <v>20</v>
      </c>
      <c r="C9586" s="2">
        <v>30569660</v>
      </c>
      <c r="D9586" s="2">
        <v>32484506</v>
      </c>
      <c r="E9586" s="2">
        <v>4</v>
      </c>
      <c r="F9586" s="2" t="s">
        <v>10086</v>
      </c>
      <c r="H9586" s="2">
        <v>1.4E-3</v>
      </c>
      <c r="K9586" s="2" t="s">
        <v>10087</v>
      </c>
    </row>
    <row r="9587" spans="1:11" x14ac:dyDescent="0.2">
      <c r="A9587" s="2">
        <v>2399</v>
      </c>
      <c r="B9587" s="2">
        <v>20</v>
      </c>
      <c r="C9587" s="2">
        <v>32484507</v>
      </c>
      <c r="D9587" s="2">
        <v>33890060</v>
      </c>
      <c r="E9587" s="2">
        <v>1</v>
      </c>
      <c r="F9587" s="2" t="s">
        <v>10086</v>
      </c>
      <c r="H9587" s="2">
        <v>1.1999999999999999E-3</v>
      </c>
      <c r="K9587" s="2" t="s">
        <v>10088</v>
      </c>
    </row>
    <row r="9588" spans="1:11" x14ac:dyDescent="0.2">
      <c r="A9588" s="2">
        <v>2399</v>
      </c>
      <c r="B9588" s="2">
        <v>20</v>
      </c>
      <c r="C9588" s="2">
        <v>32484507</v>
      </c>
      <c r="D9588" s="2">
        <v>33890060</v>
      </c>
      <c r="E9588" s="2">
        <v>2</v>
      </c>
      <c r="F9588" s="2" t="s">
        <v>10086</v>
      </c>
      <c r="H9588" s="3">
        <v>5.9999999999999995E-4</v>
      </c>
      <c r="K9588" s="2" t="s">
        <v>10085</v>
      </c>
    </row>
    <row r="9589" spans="1:11" x14ac:dyDescent="0.2">
      <c r="A9589" s="2">
        <v>2399</v>
      </c>
      <c r="B9589" s="2">
        <v>20</v>
      </c>
      <c r="C9589" s="2">
        <v>32484507</v>
      </c>
      <c r="D9589" s="2">
        <v>33890060</v>
      </c>
      <c r="E9589" s="2">
        <v>3</v>
      </c>
      <c r="F9589" s="2" t="s">
        <v>10086</v>
      </c>
      <c r="H9589" s="3">
        <v>5.0000000000000001E-4</v>
      </c>
      <c r="K9589" s="2" t="s">
        <v>10087</v>
      </c>
    </row>
    <row r="9590" spans="1:11" x14ac:dyDescent="0.2">
      <c r="A9590" s="2">
        <v>2399</v>
      </c>
      <c r="B9590" s="2">
        <v>20</v>
      </c>
      <c r="C9590" s="2">
        <v>32484507</v>
      </c>
      <c r="D9590" s="2">
        <v>33890060</v>
      </c>
      <c r="E9590" s="2">
        <v>4</v>
      </c>
      <c r="F9590" s="2" t="s">
        <v>10086</v>
      </c>
      <c r="H9590" s="3">
        <v>2.9999999999999997E-4</v>
      </c>
      <c r="K9590" s="2" t="s">
        <v>12324</v>
      </c>
    </row>
    <row r="9591" spans="1:11" x14ac:dyDescent="0.2">
      <c r="A9591" s="2">
        <v>2400</v>
      </c>
      <c r="B9591" s="2">
        <v>20</v>
      </c>
      <c r="C9591" s="2">
        <v>33890061</v>
      </c>
      <c r="D9591" s="2">
        <v>35990261</v>
      </c>
      <c r="E9591" s="2">
        <v>1</v>
      </c>
      <c r="F9591" s="2" t="s">
        <v>10086</v>
      </c>
      <c r="H9591" s="2">
        <v>1.6000000000000001E-3</v>
      </c>
      <c r="K9591" s="2" t="s">
        <v>10087</v>
      </c>
    </row>
    <row r="9592" spans="1:11" x14ac:dyDescent="0.2">
      <c r="A9592" s="2">
        <v>2400</v>
      </c>
      <c r="B9592" s="2">
        <v>20</v>
      </c>
      <c r="C9592" s="2">
        <v>33890061</v>
      </c>
      <c r="D9592" s="2">
        <v>35990261</v>
      </c>
      <c r="E9592" s="2">
        <v>2</v>
      </c>
      <c r="F9592" s="2" t="s">
        <v>10086</v>
      </c>
      <c r="H9592" s="2">
        <v>1.5E-3</v>
      </c>
      <c r="K9592" s="2" t="s">
        <v>10089</v>
      </c>
    </row>
    <row r="9593" spans="1:11" x14ac:dyDescent="0.2">
      <c r="A9593" s="2">
        <v>2400</v>
      </c>
      <c r="B9593" s="2">
        <v>20</v>
      </c>
      <c r="C9593" s="2">
        <v>33890061</v>
      </c>
      <c r="D9593" s="2">
        <v>35990261</v>
      </c>
      <c r="E9593" s="2">
        <v>3</v>
      </c>
      <c r="F9593" s="2" t="s">
        <v>10086</v>
      </c>
      <c r="H9593" s="2">
        <v>1.1999999999999999E-3</v>
      </c>
      <c r="K9593" s="2" t="s">
        <v>10088</v>
      </c>
    </row>
    <row r="9594" spans="1:11" x14ac:dyDescent="0.2">
      <c r="A9594" s="2">
        <v>2400</v>
      </c>
      <c r="B9594" s="2">
        <v>20</v>
      </c>
      <c r="C9594" s="2">
        <v>33890061</v>
      </c>
      <c r="D9594" s="2">
        <v>35990261</v>
      </c>
      <c r="E9594" s="2">
        <v>4</v>
      </c>
      <c r="F9594" s="2" t="s">
        <v>10086</v>
      </c>
      <c r="H9594" s="2">
        <v>1E-3</v>
      </c>
      <c r="K9594" s="2" t="s">
        <v>12324</v>
      </c>
    </row>
    <row r="9595" spans="1:11" x14ac:dyDescent="0.2">
      <c r="A9595" s="2">
        <v>2401</v>
      </c>
      <c r="B9595" s="2">
        <v>20</v>
      </c>
      <c r="C9595" s="2">
        <v>35990262</v>
      </c>
      <c r="D9595" s="2">
        <v>37253657</v>
      </c>
      <c r="E9595" s="2">
        <v>1</v>
      </c>
      <c r="F9595" s="2" t="s">
        <v>10086</v>
      </c>
      <c r="H9595" s="2">
        <v>1.6500000000000001E-2</v>
      </c>
      <c r="K9595" s="2" t="s">
        <v>10085</v>
      </c>
    </row>
    <row r="9596" spans="1:11" x14ac:dyDescent="0.2">
      <c r="A9596" s="2">
        <v>2401</v>
      </c>
      <c r="B9596" s="2">
        <v>20</v>
      </c>
      <c r="C9596" s="2">
        <v>35990262</v>
      </c>
      <c r="D9596" s="2">
        <v>37253657</v>
      </c>
      <c r="E9596" s="2">
        <v>2</v>
      </c>
      <c r="F9596" s="2" t="s">
        <v>10086</v>
      </c>
      <c r="H9596" s="2">
        <v>1.8E-3</v>
      </c>
      <c r="K9596" s="2" t="s">
        <v>10087</v>
      </c>
    </row>
    <row r="9597" spans="1:11" x14ac:dyDescent="0.2">
      <c r="A9597" s="2">
        <v>2401</v>
      </c>
      <c r="B9597" s="2">
        <v>20</v>
      </c>
      <c r="C9597" s="2">
        <v>35990262</v>
      </c>
      <c r="D9597" s="2">
        <v>37253657</v>
      </c>
      <c r="E9597" s="2">
        <v>3</v>
      </c>
      <c r="F9597" s="2" t="s">
        <v>10086</v>
      </c>
      <c r="H9597" s="2">
        <v>1.9E-3</v>
      </c>
      <c r="K9597" s="2" t="s">
        <v>10088</v>
      </c>
    </row>
    <row r="9598" spans="1:11" x14ac:dyDescent="0.2">
      <c r="A9598" s="2">
        <v>2401</v>
      </c>
      <c r="B9598" s="2">
        <v>20</v>
      </c>
      <c r="C9598" s="2">
        <v>35990262</v>
      </c>
      <c r="D9598" s="2">
        <v>37253657</v>
      </c>
      <c r="E9598" s="2">
        <v>4</v>
      </c>
      <c r="F9598" s="2" t="s">
        <v>10086</v>
      </c>
      <c r="H9598" s="3">
        <v>4.0000000000000002E-4</v>
      </c>
      <c r="K9598" s="2" t="s">
        <v>10089</v>
      </c>
    </row>
    <row r="9599" spans="1:11" x14ac:dyDescent="0.2">
      <c r="A9599" s="2">
        <v>2402</v>
      </c>
      <c r="B9599" s="2">
        <v>20</v>
      </c>
      <c r="C9599" s="2">
        <v>37253658</v>
      </c>
      <c r="D9599" s="2">
        <v>38427594</v>
      </c>
      <c r="E9599" s="2">
        <v>1</v>
      </c>
      <c r="F9599" s="2" t="s">
        <v>10086</v>
      </c>
      <c r="H9599" s="2">
        <v>3.8E-3</v>
      </c>
      <c r="K9599" s="2" t="s">
        <v>10089</v>
      </c>
    </row>
    <row r="9600" spans="1:11" x14ac:dyDescent="0.2">
      <c r="A9600" s="2">
        <v>2402</v>
      </c>
      <c r="B9600" s="2">
        <v>20</v>
      </c>
      <c r="C9600" s="2">
        <v>37253658</v>
      </c>
      <c r="D9600" s="2">
        <v>38427594</v>
      </c>
      <c r="E9600" s="2">
        <v>2</v>
      </c>
      <c r="F9600" s="2" t="s">
        <v>10086</v>
      </c>
      <c r="H9600" s="3">
        <v>8.9999999999999998E-4</v>
      </c>
      <c r="K9600" s="2" t="s">
        <v>10087</v>
      </c>
    </row>
    <row r="9601" spans="1:11" x14ac:dyDescent="0.2">
      <c r="A9601" s="2">
        <v>2402</v>
      </c>
      <c r="B9601" s="2">
        <v>20</v>
      </c>
      <c r="C9601" s="2">
        <v>37253658</v>
      </c>
      <c r="D9601" s="2">
        <v>38427594</v>
      </c>
      <c r="E9601" s="2">
        <v>3</v>
      </c>
      <c r="F9601" s="2" t="s">
        <v>10086</v>
      </c>
      <c r="H9601" s="3">
        <v>8.0000000000000004E-4</v>
      </c>
      <c r="K9601" s="2" t="s">
        <v>10085</v>
      </c>
    </row>
    <row r="9602" spans="1:11" x14ac:dyDescent="0.2">
      <c r="A9602" s="2">
        <v>2402</v>
      </c>
      <c r="B9602" s="2">
        <v>20</v>
      </c>
      <c r="C9602" s="2">
        <v>37253658</v>
      </c>
      <c r="D9602" s="2">
        <v>38427594</v>
      </c>
      <c r="E9602" s="2">
        <v>4</v>
      </c>
      <c r="F9602" s="2" t="s">
        <v>10086</v>
      </c>
      <c r="H9602" s="3">
        <v>5.0000000000000001E-4</v>
      </c>
      <c r="K9602" s="2" t="s">
        <v>10088</v>
      </c>
    </row>
    <row r="9603" spans="1:11" x14ac:dyDescent="0.2">
      <c r="A9603" s="2">
        <v>2403</v>
      </c>
      <c r="B9603" s="2">
        <v>20</v>
      </c>
      <c r="C9603" s="2">
        <v>38427595</v>
      </c>
      <c r="D9603" s="2">
        <v>40272390</v>
      </c>
      <c r="E9603" s="2">
        <v>1</v>
      </c>
      <c r="F9603" s="2" t="s">
        <v>10086</v>
      </c>
      <c r="H9603" s="2">
        <v>2.2000000000000001E-3</v>
      </c>
      <c r="K9603" s="2" t="s">
        <v>10087</v>
      </c>
    </row>
    <row r="9604" spans="1:11" x14ac:dyDescent="0.2">
      <c r="A9604" s="2">
        <v>2403</v>
      </c>
      <c r="B9604" s="2">
        <v>20</v>
      </c>
      <c r="C9604" s="2">
        <v>38427595</v>
      </c>
      <c r="D9604" s="2">
        <v>40272390</v>
      </c>
      <c r="E9604" s="2">
        <v>2</v>
      </c>
      <c r="F9604" s="2" t="s">
        <v>10086</v>
      </c>
      <c r="H9604" s="2">
        <v>1.6000000000000001E-3</v>
      </c>
      <c r="K9604" s="2" t="s">
        <v>10089</v>
      </c>
    </row>
    <row r="9605" spans="1:11" x14ac:dyDescent="0.2">
      <c r="A9605" s="2">
        <v>2403</v>
      </c>
      <c r="B9605" s="2">
        <v>20</v>
      </c>
      <c r="C9605" s="2">
        <v>38427595</v>
      </c>
      <c r="D9605" s="2">
        <v>40272390</v>
      </c>
      <c r="E9605" s="2">
        <v>3</v>
      </c>
      <c r="F9605" s="2" t="s">
        <v>10086</v>
      </c>
      <c r="H9605" s="2">
        <v>1.2999999999999999E-3</v>
      </c>
      <c r="K9605" s="2" t="s">
        <v>10088</v>
      </c>
    </row>
    <row r="9606" spans="1:11" x14ac:dyDescent="0.2">
      <c r="A9606" s="2">
        <v>2403</v>
      </c>
      <c r="B9606" s="2">
        <v>20</v>
      </c>
      <c r="C9606" s="2">
        <v>38427595</v>
      </c>
      <c r="D9606" s="2">
        <v>40272390</v>
      </c>
      <c r="E9606" s="2">
        <v>4</v>
      </c>
      <c r="F9606" s="2" t="s">
        <v>10086</v>
      </c>
      <c r="H9606" s="3">
        <v>6.9999999999999999E-4</v>
      </c>
      <c r="K9606" s="2" t="s">
        <v>10085</v>
      </c>
    </row>
    <row r="9607" spans="1:11" x14ac:dyDescent="0.2">
      <c r="A9607" s="2">
        <v>2404</v>
      </c>
      <c r="B9607" s="2">
        <v>20</v>
      </c>
      <c r="C9607" s="2">
        <v>40272391</v>
      </c>
      <c r="D9607" s="2">
        <v>41351514</v>
      </c>
      <c r="E9607" s="2">
        <v>1</v>
      </c>
      <c r="F9607" s="2" t="s">
        <v>10086</v>
      </c>
      <c r="H9607" s="2">
        <v>1.2999999999999999E-3</v>
      </c>
      <c r="K9607" s="2" t="s">
        <v>10087</v>
      </c>
    </row>
    <row r="9608" spans="1:11" x14ac:dyDescent="0.2">
      <c r="A9608" s="2">
        <v>2404</v>
      </c>
      <c r="B9608" s="2">
        <v>20</v>
      </c>
      <c r="C9608" s="2">
        <v>40272391</v>
      </c>
      <c r="D9608" s="2">
        <v>41351514</v>
      </c>
      <c r="E9608" s="2">
        <v>2</v>
      </c>
      <c r="F9608" s="2" t="s">
        <v>10086</v>
      </c>
      <c r="H9608" s="2">
        <v>2.0999999999999999E-3</v>
      </c>
      <c r="K9608" s="2" t="s">
        <v>10088</v>
      </c>
    </row>
    <row r="9609" spans="1:11" x14ac:dyDescent="0.2">
      <c r="A9609" s="2">
        <v>2404</v>
      </c>
      <c r="B9609" s="2">
        <v>20</v>
      </c>
      <c r="C9609" s="2">
        <v>40272391</v>
      </c>
      <c r="D9609" s="2">
        <v>41351514</v>
      </c>
      <c r="E9609" s="2">
        <v>3</v>
      </c>
      <c r="F9609" s="2" t="s">
        <v>10086</v>
      </c>
      <c r="H9609" s="2">
        <v>1.4E-3</v>
      </c>
      <c r="K9609" s="2" t="s">
        <v>10085</v>
      </c>
    </row>
    <row r="9610" spans="1:11" x14ac:dyDescent="0.2">
      <c r="A9610" s="2">
        <v>2404</v>
      </c>
      <c r="B9610" s="2">
        <v>20</v>
      </c>
      <c r="C9610" s="2">
        <v>40272391</v>
      </c>
      <c r="D9610" s="2">
        <v>41351514</v>
      </c>
      <c r="E9610" s="2">
        <v>4</v>
      </c>
      <c r="F9610" s="2" t="s">
        <v>10086</v>
      </c>
      <c r="H9610" s="3">
        <v>5.0000000000000001E-4</v>
      </c>
      <c r="K9610" s="2" t="s">
        <v>10089</v>
      </c>
    </row>
    <row r="9611" spans="1:11" x14ac:dyDescent="0.2">
      <c r="A9611" s="2">
        <v>2405</v>
      </c>
      <c r="B9611" s="2">
        <v>20</v>
      </c>
      <c r="C9611" s="2">
        <v>41351515</v>
      </c>
      <c r="D9611" s="2">
        <v>42185671</v>
      </c>
      <c r="E9611" s="2">
        <v>1</v>
      </c>
      <c r="F9611" s="2" t="s">
        <v>10086</v>
      </c>
      <c r="H9611" s="3">
        <v>8.9999999999999998E-4</v>
      </c>
      <c r="K9611" s="2" t="s">
        <v>10087</v>
      </c>
    </row>
    <row r="9612" spans="1:11" x14ac:dyDescent="0.2">
      <c r="A9612" s="2">
        <v>2405</v>
      </c>
      <c r="B9612" s="2">
        <v>20</v>
      </c>
      <c r="C9612" s="2">
        <v>41351515</v>
      </c>
      <c r="D9612" s="2">
        <v>42185671</v>
      </c>
      <c r="E9612" s="2">
        <v>2</v>
      </c>
      <c r="F9612" s="2" t="s">
        <v>10086</v>
      </c>
      <c r="H9612" s="2">
        <v>1E-3</v>
      </c>
      <c r="K9612" s="2" t="s">
        <v>10088</v>
      </c>
    </row>
    <row r="9613" spans="1:11" x14ac:dyDescent="0.2">
      <c r="A9613" s="2">
        <v>2405</v>
      </c>
      <c r="B9613" s="2">
        <v>20</v>
      </c>
      <c r="C9613" s="2">
        <v>41351515</v>
      </c>
      <c r="D9613" s="2">
        <v>42185671</v>
      </c>
      <c r="E9613" s="2">
        <v>3</v>
      </c>
      <c r="F9613" s="2" t="s">
        <v>10086</v>
      </c>
      <c r="H9613" s="3">
        <v>6.9999999999999999E-4</v>
      </c>
      <c r="K9613" s="2" t="s">
        <v>10085</v>
      </c>
    </row>
    <row r="9614" spans="1:11" x14ac:dyDescent="0.2">
      <c r="A9614" s="2">
        <v>2405</v>
      </c>
      <c r="B9614" s="2">
        <v>20</v>
      </c>
      <c r="C9614" s="2">
        <v>41351515</v>
      </c>
      <c r="D9614" s="2">
        <v>42185671</v>
      </c>
      <c r="E9614" s="2">
        <v>4</v>
      </c>
      <c r="F9614" s="2" t="s">
        <v>10086</v>
      </c>
      <c r="H9614" s="3">
        <v>4.0000000000000002E-4</v>
      </c>
      <c r="K9614" s="2" t="s">
        <v>10089</v>
      </c>
    </row>
    <row r="9615" spans="1:11" x14ac:dyDescent="0.2">
      <c r="A9615" s="2">
        <v>2406</v>
      </c>
      <c r="B9615" s="2">
        <v>20</v>
      </c>
      <c r="C9615" s="2">
        <v>42185672</v>
      </c>
      <c r="D9615" s="2">
        <v>43008890</v>
      </c>
      <c r="E9615" s="2">
        <v>1</v>
      </c>
      <c r="F9615" s="2" t="s">
        <v>10086</v>
      </c>
      <c r="H9615" s="2">
        <v>2.0999999999999999E-3</v>
      </c>
      <c r="K9615" s="2" t="s">
        <v>10089</v>
      </c>
    </row>
    <row r="9616" spans="1:11" x14ac:dyDescent="0.2">
      <c r="A9616" s="2">
        <v>2406</v>
      </c>
      <c r="B9616" s="2">
        <v>20</v>
      </c>
      <c r="C9616" s="2">
        <v>42185672</v>
      </c>
      <c r="D9616" s="2">
        <v>43008890</v>
      </c>
      <c r="E9616" s="2">
        <v>2</v>
      </c>
      <c r="F9616" s="2" t="s">
        <v>10086</v>
      </c>
      <c r="H9616" s="2">
        <v>1.1000000000000001E-3</v>
      </c>
      <c r="K9616" s="2" t="s">
        <v>10085</v>
      </c>
    </row>
    <row r="9617" spans="1:11" x14ac:dyDescent="0.2">
      <c r="A9617" s="2">
        <v>2406</v>
      </c>
      <c r="B9617" s="2">
        <v>20</v>
      </c>
      <c r="C9617" s="2">
        <v>42185672</v>
      </c>
      <c r="D9617" s="2">
        <v>43008890</v>
      </c>
      <c r="E9617" s="2">
        <v>3</v>
      </c>
      <c r="F9617" s="2" t="s">
        <v>10086</v>
      </c>
      <c r="H9617" s="3">
        <v>8.9999999999999998E-4</v>
      </c>
      <c r="K9617" s="2" t="s">
        <v>10087</v>
      </c>
    </row>
    <row r="9618" spans="1:11" x14ac:dyDescent="0.2">
      <c r="A9618" s="2">
        <v>2406</v>
      </c>
      <c r="B9618" s="2">
        <v>20</v>
      </c>
      <c r="C9618" s="2">
        <v>42185672</v>
      </c>
      <c r="D9618" s="2">
        <v>43008890</v>
      </c>
      <c r="E9618" s="2">
        <v>4</v>
      </c>
      <c r="F9618" s="2" t="s">
        <v>10086</v>
      </c>
      <c r="H9618" s="3">
        <v>4.0000000000000002E-4</v>
      </c>
      <c r="K9618" s="2" t="s">
        <v>10088</v>
      </c>
    </row>
    <row r="9619" spans="1:11" x14ac:dyDescent="0.2">
      <c r="A9619" s="2">
        <v>2407</v>
      </c>
      <c r="B9619" s="2">
        <v>20</v>
      </c>
      <c r="C9619" s="2">
        <v>43008891</v>
      </c>
      <c r="D9619" s="2">
        <v>44072210</v>
      </c>
      <c r="E9619" s="2">
        <v>1</v>
      </c>
      <c r="F9619" s="2" t="s">
        <v>10086</v>
      </c>
      <c r="H9619" s="2">
        <v>1.5E-3</v>
      </c>
      <c r="K9619" s="2" t="s">
        <v>10085</v>
      </c>
    </row>
    <row r="9620" spans="1:11" x14ac:dyDescent="0.2">
      <c r="A9620" s="2">
        <v>2407</v>
      </c>
      <c r="B9620" s="2">
        <v>20</v>
      </c>
      <c r="C9620" s="2">
        <v>43008891</v>
      </c>
      <c r="D9620" s="2">
        <v>44072210</v>
      </c>
      <c r="E9620" s="2">
        <v>2</v>
      </c>
      <c r="F9620" s="2" t="s">
        <v>10086</v>
      </c>
      <c r="H9620" s="3">
        <v>8.0000000000000004E-4</v>
      </c>
      <c r="K9620" s="2" t="s">
        <v>10088</v>
      </c>
    </row>
    <row r="9621" spans="1:11" x14ac:dyDescent="0.2">
      <c r="A9621" s="2">
        <v>2407</v>
      </c>
      <c r="B9621" s="2">
        <v>20</v>
      </c>
      <c r="C9621" s="2">
        <v>43008891</v>
      </c>
      <c r="D9621" s="2">
        <v>44072210</v>
      </c>
      <c r="E9621" s="2">
        <v>3</v>
      </c>
      <c r="F9621" s="2" t="s">
        <v>10086</v>
      </c>
      <c r="H9621" s="3">
        <v>5.9999999999999995E-4</v>
      </c>
      <c r="K9621" s="2" t="s">
        <v>10089</v>
      </c>
    </row>
    <row r="9622" spans="1:11" x14ac:dyDescent="0.2">
      <c r="A9622" s="2">
        <v>2407</v>
      </c>
      <c r="B9622" s="2">
        <v>20</v>
      </c>
      <c r="C9622" s="2">
        <v>43008891</v>
      </c>
      <c r="D9622" s="2">
        <v>44072210</v>
      </c>
      <c r="E9622" s="2">
        <v>4</v>
      </c>
      <c r="F9622" s="2" t="s">
        <v>10086</v>
      </c>
      <c r="H9622" s="3">
        <v>2.9999999999999997E-4</v>
      </c>
      <c r="K9622" s="2" t="s">
        <v>10087</v>
      </c>
    </row>
    <row r="9623" spans="1:11" x14ac:dyDescent="0.2">
      <c r="A9623" s="2">
        <v>2408</v>
      </c>
      <c r="B9623" s="2">
        <v>20</v>
      </c>
      <c r="C9623" s="2">
        <v>44072211</v>
      </c>
      <c r="D9623" s="2">
        <v>45673603</v>
      </c>
      <c r="E9623" s="2">
        <v>1</v>
      </c>
      <c r="F9623" s="2" t="s">
        <v>10086</v>
      </c>
      <c r="H9623" s="2">
        <v>3.5000000000000001E-3</v>
      </c>
      <c r="K9623" s="2" t="s">
        <v>10088</v>
      </c>
    </row>
    <row r="9624" spans="1:11" x14ac:dyDescent="0.2">
      <c r="A9624" s="2">
        <v>2408</v>
      </c>
      <c r="B9624" s="2">
        <v>20</v>
      </c>
      <c r="C9624" s="2">
        <v>44072211</v>
      </c>
      <c r="D9624" s="2">
        <v>45673603</v>
      </c>
      <c r="E9624" s="2">
        <v>2</v>
      </c>
      <c r="F9624" s="2" t="s">
        <v>10086</v>
      </c>
      <c r="H9624" s="2">
        <v>2.5000000000000001E-3</v>
      </c>
      <c r="K9624" s="2" t="s">
        <v>12324</v>
      </c>
    </row>
    <row r="9625" spans="1:11" x14ac:dyDescent="0.2">
      <c r="A9625" s="2">
        <v>2408</v>
      </c>
      <c r="B9625" s="2">
        <v>20</v>
      </c>
      <c r="C9625" s="2">
        <v>44072211</v>
      </c>
      <c r="D9625" s="2">
        <v>45673603</v>
      </c>
      <c r="E9625" s="2">
        <v>3</v>
      </c>
      <c r="F9625" s="2" t="s">
        <v>10086</v>
      </c>
      <c r="H9625" s="2">
        <v>1.5E-3</v>
      </c>
      <c r="K9625" s="2" t="s">
        <v>10089</v>
      </c>
    </row>
    <row r="9626" spans="1:11" x14ac:dyDescent="0.2">
      <c r="A9626" s="2">
        <v>2408</v>
      </c>
      <c r="B9626" s="2">
        <v>20</v>
      </c>
      <c r="C9626" s="2">
        <v>44072211</v>
      </c>
      <c r="D9626" s="2">
        <v>45673603</v>
      </c>
      <c r="E9626" s="2">
        <v>4</v>
      </c>
      <c r="F9626" s="2" t="s">
        <v>10086</v>
      </c>
      <c r="H9626" s="2">
        <v>1.2999999999999999E-3</v>
      </c>
      <c r="K9626" s="2" t="s">
        <v>10085</v>
      </c>
    </row>
    <row r="9627" spans="1:11" x14ac:dyDescent="0.2">
      <c r="A9627" s="2">
        <v>2409</v>
      </c>
      <c r="B9627" s="2">
        <v>20</v>
      </c>
      <c r="C9627" s="2">
        <v>45673604</v>
      </c>
      <c r="D9627" s="2">
        <v>46486132</v>
      </c>
      <c r="E9627" s="2">
        <v>1</v>
      </c>
      <c r="F9627" s="2" t="s">
        <v>10086</v>
      </c>
      <c r="H9627" s="2">
        <v>1E-3</v>
      </c>
      <c r="K9627" s="2" t="s">
        <v>10085</v>
      </c>
    </row>
    <row r="9628" spans="1:11" x14ac:dyDescent="0.2">
      <c r="A9628" s="2">
        <v>2409</v>
      </c>
      <c r="B9628" s="2">
        <v>20</v>
      </c>
      <c r="C9628" s="2">
        <v>45673604</v>
      </c>
      <c r="D9628" s="2">
        <v>46486132</v>
      </c>
      <c r="E9628" s="2">
        <v>2</v>
      </c>
      <c r="F9628" s="2" t="s">
        <v>10086</v>
      </c>
      <c r="H9628" s="3">
        <v>8.0000000000000004E-4</v>
      </c>
      <c r="K9628" s="2" t="s">
        <v>10087</v>
      </c>
    </row>
    <row r="9629" spans="1:11" x14ac:dyDescent="0.2">
      <c r="A9629" s="2">
        <v>2409</v>
      </c>
      <c r="B9629" s="2">
        <v>20</v>
      </c>
      <c r="C9629" s="2">
        <v>45673604</v>
      </c>
      <c r="D9629" s="2">
        <v>46486132</v>
      </c>
      <c r="E9629" s="2">
        <v>3</v>
      </c>
      <c r="F9629" s="2" t="s">
        <v>10086</v>
      </c>
      <c r="H9629" s="3">
        <v>8.0000000000000004E-4</v>
      </c>
      <c r="K9629" s="2" t="s">
        <v>10089</v>
      </c>
    </row>
    <row r="9630" spans="1:11" x14ac:dyDescent="0.2">
      <c r="A9630" s="2">
        <v>2409</v>
      </c>
      <c r="B9630" s="2">
        <v>20</v>
      </c>
      <c r="C9630" s="2">
        <v>45673604</v>
      </c>
      <c r="D9630" s="2">
        <v>46486132</v>
      </c>
      <c r="E9630" s="2">
        <v>4</v>
      </c>
      <c r="F9630" s="2" t="s">
        <v>10086</v>
      </c>
      <c r="H9630" s="3">
        <v>5.0000000000000001E-4</v>
      </c>
      <c r="K9630" s="2" t="s">
        <v>10088</v>
      </c>
    </row>
    <row r="9631" spans="1:11" x14ac:dyDescent="0.2">
      <c r="A9631" s="2">
        <v>2410</v>
      </c>
      <c r="B9631" s="2">
        <v>20</v>
      </c>
      <c r="C9631" s="2">
        <v>46486133</v>
      </c>
      <c r="D9631" s="2">
        <v>47203836</v>
      </c>
      <c r="E9631" s="2">
        <v>1</v>
      </c>
      <c r="F9631" s="2" t="s">
        <v>10086</v>
      </c>
      <c r="H9631" s="2">
        <v>1.1999999999999999E-3</v>
      </c>
      <c r="K9631" s="2" t="s">
        <v>10089</v>
      </c>
    </row>
    <row r="9632" spans="1:11" x14ac:dyDescent="0.2">
      <c r="A9632" s="2">
        <v>2410</v>
      </c>
      <c r="B9632" s="2">
        <v>20</v>
      </c>
      <c r="C9632" s="2">
        <v>46486133</v>
      </c>
      <c r="D9632" s="2">
        <v>47203836</v>
      </c>
      <c r="E9632" s="2">
        <v>2</v>
      </c>
      <c r="F9632" s="2" t="s">
        <v>10086</v>
      </c>
      <c r="H9632" s="2">
        <v>1.1000000000000001E-3</v>
      </c>
      <c r="K9632" s="2" t="s">
        <v>10087</v>
      </c>
    </row>
    <row r="9633" spans="1:11" x14ac:dyDescent="0.2">
      <c r="A9633" s="2">
        <v>2410</v>
      </c>
      <c r="B9633" s="2">
        <v>20</v>
      </c>
      <c r="C9633" s="2">
        <v>46486133</v>
      </c>
      <c r="D9633" s="2">
        <v>47203836</v>
      </c>
      <c r="E9633" s="2">
        <v>3</v>
      </c>
      <c r="F9633" s="2" t="s">
        <v>10086</v>
      </c>
      <c r="H9633" s="3">
        <v>8.9999999999999998E-4</v>
      </c>
      <c r="K9633" s="2" t="s">
        <v>10088</v>
      </c>
    </row>
    <row r="9634" spans="1:11" x14ac:dyDescent="0.2">
      <c r="A9634" s="2">
        <v>2410</v>
      </c>
      <c r="B9634" s="2">
        <v>20</v>
      </c>
      <c r="C9634" s="2">
        <v>46486133</v>
      </c>
      <c r="D9634" s="2">
        <v>47203836</v>
      </c>
      <c r="E9634" s="2">
        <v>4</v>
      </c>
      <c r="F9634" s="2" t="s">
        <v>10086</v>
      </c>
      <c r="H9634" s="3">
        <v>4.0000000000000002E-4</v>
      </c>
      <c r="K9634" s="2" t="s">
        <v>10085</v>
      </c>
    </row>
    <row r="9635" spans="1:11" x14ac:dyDescent="0.2">
      <c r="A9635" s="2">
        <v>2411</v>
      </c>
      <c r="B9635" s="2">
        <v>20</v>
      </c>
      <c r="C9635" s="2">
        <v>47203837</v>
      </c>
      <c r="D9635" s="2">
        <v>48212975</v>
      </c>
      <c r="E9635" s="2">
        <v>1</v>
      </c>
      <c r="F9635" s="2" t="s">
        <v>10086</v>
      </c>
      <c r="H9635" s="2">
        <v>1.4E-2</v>
      </c>
      <c r="K9635" s="2" t="s">
        <v>10089</v>
      </c>
    </row>
    <row r="9636" spans="1:11" x14ac:dyDescent="0.2">
      <c r="A9636" s="2">
        <v>2411</v>
      </c>
      <c r="B9636" s="2">
        <v>20</v>
      </c>
      <c r="C9636" s="2">
        <v>47203837</v>
      </c>
      <c r="D9636" s="2">
        <v>48212975</v>
      </c>
      <c r="E9636" s="2">
        <v>2</v>
      </c>
      <c r="F9636" s="2" t="s">
        <v>10086</v>
      </c>
      <c r="H9636" s="2">
        <v>2.0999999999999999E-3</v>
      </c>
      <c r="K9636" s="2" t="s">
        <v>10088</v>
      </c>
    </row>
    <row r="9637" spans="1:11" x14ac:dyDescent="0.2">
      <c r="A9637" s="2">
        <v>2411</v>
      </c>
      <c r="B9637" s="2">
        <v>20</v>
      </c>
      <c r="C9637" s="2">
        <v>47203837</v>
      </c>
      <c r="D9637" s="2">
        <v>48212975</v>
      </c>
      <c r="E9637" s="2">
        <v>3</v>
      </c>
      <c r="F9637" s="2" t="s">
        <v>10086</v>
      </c>
      <c r="H9637" s="2">
        <v>1.5E-3</v>
      </c>
      <c r="K9637" s="2" t="s">
        <v>10085</v>
      </c>
    </row>
    <row r="9638" spans="1:11" x14ac:dyDescent="0.2">
      <c r="A9638" s="2">
        <v>2411</v>
      </c>
      <c r="B9638" s="2">
        <v>20</v>
      </c>
      <c r="C9638" s="2">
        <v>47203837</v>
      </c>
      <c r="D9638" s="2">
        <v>48212975</v>
      </c>
      <c r="E9638" s="2">
        <v>4</v>
      </c>
      <c r="F9638" s="2" t="s">
        <v>10086</v>
      </c>
      <c r="H9638" s="3">
        <v>6.9999999999999999E-4</v>
      </c>
      <c r="K9638" s="2" t="s">
        <v>12324</v>
      </c>
    </row>
    <row r="9639" spans="1:11" x14ac:dyDescent="0.2">
      <c r="A9639" s="2">
        <v>2412</v>
      </c>
      <c r="B9639" s="2">
        <v>20</v>
      </c>
      <c r="C9639" s="2">
        <v>48212976</v>
      </c>
      <c r="D9639" s="2">
        <v>49236418</v>
      </c>
      <c r="E9639" s="2">
        <v>1</v>
      </c>
      <c r="F9639" s="2" t="s">
        <v>10086</v>
      </c>
      <c r="H9639" s="2">
        <v>1.4E-3</v>
      </c>
      <c r="K9639" s="2" t="s">
        <v>10089</v>
      </c>
    </row>
    <row r="9640" spans="1:11" x14ac:dyDescent="0.2">
      <c r="A9640" s="2">
        <v>2412</v>
      </c>
      <c r="B9640" s="2">
        <v>20</v>
      </c>
      <c r="C9640" s="2">
        <v>48212976</v>
      </c>
      <c r="D9640" s="2">
        <v>49236418</v>
      </c>
      <c r="E9640" s="2">
        <v>2</v>
      </c>
      <c r="F9640" s="2" t="s">
        <v>10086</v>
      </c>
      <c r="H9640" s="2">
        <v>1.1000000000000001E-3</v>
      </c>
      <c r="K9640" s="2" t="s">
        <v>10087</v>
      </c>
    </row>
    <row r="9641" spans="1:11" x14ac:dyDescent="0.2">
      <c r="A9641" s="2">
        <v>2412</v>
      </c>
      <c r="B9641" s="2">
        <v>20</v>
      </c>
      <c r="C9641" s="2">
        <v>48212976</v>
      </c>
      <c r="D9641" s="2">
        <v>49236418</v>
      </c>
      <c r="E9641" s="2">
        <v>3</v>
      </c>
      <c r="F9641" s="2" t="s">
        <v>10086</v>
      </c>
      <c r="H9641" s="3">
        <v>8.9999999999999998E-4</v>
      </c>
      <c r="K9641" s="2" t="s">
        <v>10085</v>
      </c>
    </row>
    <row r="9642" spans="1:11" x14ac:dyDescent="0.2">
      <c r="A9642" s="2">
        <v>2412</v>
      </c>
      <c r="B9642" s="2">
        <v>20</v>
      </c>
      <c r="C9642" s="2">
        <v>48212976</v>
      </c>
      <c r="D9642" s="2">
        <v>49236418</v>
      </c>
      <c r="E9642" s="2">
        <v>4</v>
      </c>
      <c r="F9642" s="2" t="s">
        <v>10086</v>
      </c>
      <c r="H9642" s="3">
        <v>5.9999999999999995E-4</v>
      </c>
      <c r="K9642" s="2" t="s">
        <v>10088</v>
      </c>
    </row>
    <row r="9643" spans="1:11" x14ac:dyDescent="0.2">
      <c r="A9643" s="2">
        <v>2413</v>
      </c>
      <c r="B9643" s="2">
        <v>20</v>
      </c>
      <c r="C9643" s="2">
        <v>49236419</v>
      </c>
      <c r="D9643" s="2">
        <v>50653620</v>
      </c>
      <c r="E9643" s="2">
        <v>1</v>
      </c>
      <c r="F9643" s="2" t="s">
        <v>10086</v>
      </c>
      <c r="H9643" s="2">
        <v>4.1000000000000003E-3</v>
      </c>
      <c r="K9643" s="2" t="s">
        <v>10088</v>
      </c>
    </row>
    <row r="9644" spans="1:11" x14ac:dyDescent="0.2">
      <c r="A9644" s="2">
        <v>2413</v>
      </c>
      <c r="B9644" s="2">
        <v>20</v>
      </c>
      <c r="C9644" s="2">
        <v>49236419</v>
      </c>
      <c r="D9644" s="2">
        <v>50653620</v>
      </c>
      <c r="E9644" s="2">
        <v>2</v>
      </c>
      <c r="F9644" s="2" t="s">
        <v>10086</v>
      </c>
      <c r="H9644" s="2">
        <v>1.6000000000000001E-3</v>
      </c>
      <c r="K9644" s="2" t="s">
        <v>10087</v>
      </c>
    </row>
    <row r="9645" spans="1:11" x14ac:dyDescent="0.2">
      <c r="A9645" s="2">
        <v>2413</v>
      </c>
      <c r="B9645" s="2">
        <v>20</v>
      </c>
      <c r="C9645" s="2">
        <v>49236419</v>
      </c>
      <c r="D9645" s="2">
        <v>50653620</v>
      </c>
      <c r="E9645" s="2">
        <v>3</v>
      </c>
      <c r="F9645" s="2" t="s">
        <v>10086</v>
      </c>
      <c r="H9645" s="2">
        <v>1.2999999999999999E-3</v>
      </c>
      <c r="K9645" s="2" t="s">
        <v>10089</v>
      </c>
    </row>
    <row r="9646" spans="1:11" x14ac:dyDescent="0.2">
      <c r="A9646" s="2">
        <v>2413</v>
      </c>
      <c r="B9646" s="2">
        <v>20</v>
      </c>
      <c r="C9646" s="2">
        <v>49236419</v>
      </c>
      <c r="D9646" s="2">
        <v>50653620</v>
      </c>
      <c r="E9646" s="2">
        <v>4</v>
      </c>
      <c r="F9646" s="2" t="s">
        <v>10086</v>
      </c>
      <c r="H9646" s="3">
        <v>5.0000000000000001E-4</v>
      </c>
      <c r="K9646" s="2" t="s">
        <v>10085</v>
      </c>
    </row>
    <row r="9647" spans="1:11" x14ac:dyDescent="0.2">
      <c r="A9647" s="2">
        <v>2414</v>
      </c>
      <c r="B9647" s="2">
        <v>20</v>
      </c>
      <c r="C9647" s="2">
        <v>50653621</v>
      </c>
      <c r="D9647" s="2">
        <v>51533750</v>
      </c>
      <c r="E9647" s="2">
        <v>1</v>
      </c>
      <c r="F9647" s="2" t="s">
        <v>10086</v>
      </c>
      <c r="H9647" s="2">
        <v>1.2999999999999999E-3</v>
      </c>
      <c r="K9647" s="2" t="s">
        <v>10087</v>
      </c>
    </row>
    <row r="9648" spans="1:11" x14ac:dyDescent="0.2">
      <c r="A9648" s="2">
        <v>2414</v>
      </c>
      <c r="B9648" s="2">
        <v>20</v>
      </c>
      <c r="C9648" s="2">
        <v>50653621</v>
      </c>
      <c r="D9648" s="2">
        <v>51533750</v>
      </c>
      <c r="E9648" s="2">
        <v>2</v>
      </c>
      <c r="F9648" s="2" t="s">
        <v>10086</v>
      </c>
      <c r="H9648" s="2">
        <v>1E-3</v>
      </c>
      <c r="K9648" s="2" t="s">
        <v>10088</v>
      </c>
    </row>
    <row r="9649" spans="1:11" x14ac:dyDescent="0.2">
      <c r="A9649" s="2">
        <v>2414</v>
      </c>
      <c r="B9649" s="2">
        <v>20</v>
      </c>
      <c r="C9649" s="2">
        <v>50653621</v>
      </c>
      <c r="D9649" s="2">
        <v>51533750</v>
      </c>
      <c r="E9649" s="2">
        <v>3</v>
      </c>
      <c r="F9649" s="2" t="s">
        <v>10086</v>
      </c>
      <c r="H9649" s="3">
        <v>6.9999999999999999E-4</v>
      </c>
      <c r="K9649" s="2" t="s">
        <v>10085</v>
      </c>
    </row>
    <row r="9650" spans="1:11" x14ac:dyDescent="0.2">
      <c r="A9650" s="2">
        <v>2414</v>
      </c>
      <c r="B9650" s="2">
        <v>20</v>
      </c>
      <c r="C9650" s="2">
        <v>50653621</v>
      </c>
      <c r="D9650" s="2">
        <v>51533750</v>
      </c>
      <c r="E9650" s="2">
        <v>4</v>
      </c>
      <c r="F9650" s="2" t="s">
        <v>10086</v>
      </c>
      <c r="H9650" s="3">
        <v>2.9999999999999997E-4</v>
      </c>
      <c r="K9650" s="2" t="s">
        <v>10089</v>
      </c>
    </row>
    <row r="9651" spans="1:11" x14ac:dyDescent="0.2">
      <c r="A9651" s="2">
        <v>2415</v>
      </c>
      <c r="B9651" s="2">
        <v>20</v>
      </c>
      <c r="C9651" s="2">
        <v>51533751</v>
      </c>
      <c r="D9651" s="2">
        <v>52411532</v>
      </c>
      <c r="E9651" s="2">
        <v>1</v>
      </c>
      <c r="F9651" s="2" t="s">
        <v>10086</v>
      </c>
      <c r="H9651" s="2">
        <v>2.3999999999999998E-3</v>
      </c>
      <c r="K9651" s="2" t="s">
        <v>12324</v>
      </c>
    </row>
    <row r="9652" spans="1:11" x14ac:dyDescent="0.2">
      <c r="A9652" s="2">
        <v>2415</v>
      </c>
      <c r="B9652" s="2">
        <v>20</v>
      </c>
      <c r="C9652" s="2">
        <v>51533751</v>
      </c>
      <c r="D9652" s="2">
        <v>52411532</v>
      </c>
      <c r="E9652" s="2">
        <v>2</v>
      </c>
      <c r="F9652" s="2" t="s">
        <v>10086</v>
      </c>
      <c r="H9652" s="2">
        <v>1.8E-3</v>
      </c>
      <c r="K9652" s="2" t="s">
        <v>10087</v>
      </c>
    </row>
    <row r="9653" spans="1:11" x14ac:dyDescent="0.2">
      <c r="A9653" s="2">
        <v>2415</v>
      </c>
      <c r="B9653" s="2">
        <v>20</v>
      </c>
      <c r="C9653" s="2">
        <v>51533751</v>
      </c>
      <c r="D9653" s="2">
        <v>52411532</v>
      </c>
      <c r="E9653" s="2">
        <v>3</v>
      </c>
      <c r="F9653" s="2" t="s">
        <v>10086</v>
      </c>
      <c r="H9653" s="3">
        <v>8.0000000000000004E-4</v>
      </c>
      <c r="K9653" s="2" t="s">
        <v>10089</v>
      </c>
    </row>
    <row r="9654" spans="1:11" x14ac:dyDescent="0.2">
      <c r="A9654" s="2">
        <v>2415</v>
      </c>
      <c r="B9654" s="2">
        <v>20</v>
      </c>
      <c r="C9654" s="2">
        <v>51533751</v>
      </c>
      <c r="D9654" s="2">
        <v>52411532</v>
      </c>
      <c r="E9654" s="2">
        <v>4</v>
      </c>
      <c r="F9654" s="2" t="s">
        <v>10086</v>
      </c>
      <c r="H9654" s="3">
        <v>8.0000000000000004E-4</v>
      </c>
      <c r="K9654" s="2" t="s">
        <v>10085</v>
      </c>
    </row>
    <row r="9655" spans="1:11" x14ac:dyDescent="0.2">
      <c r="A9655" s="2">
        <v>2416</v>
      </c>
      <c r="B9655" s="2">
        <v>20</v>
      </c>
      <c r="C9655" s="2">
        <v>52411533</v>
      </c>
      <c r="D9655" s="2">
        <v>53120334</v>
      </c>
      <c r="E9655" s="2">
        <v>1</v>
      </c>
      <c r="F9655" s="2" t="s">
        <v>10086</v>
      </c>
      <c r="H9655" s="2">
        <v>2.0999999999999999E-3</v>
      </c>
      <c r="K9655" s="2" t="s">
        <v>10089</v>
      </c>
    </row>
    <row r="9656" spans="1:11" x14ac:dyDescent="0.2">
      <c r="A9656" s="2">
        <v>2416</v>
      </c>
      <c r="B9656" s="2">
        <v>20</v>
      </c>
      <c r="C9656" s="2">
        <v>52411533</v>
      </c>
      <c r="D9656" s="2">
        <v>53120334</v>
      </c>
      <c r="E9656" s="2">
        <v>2</v>
      </c>
      <c r="F9656" s="2" t="s">
        <v>10086</v>
      </c>
      <c r="H9656" s="3">
        <v>8.0000000000000004E-4</v>
      </c>
      <c r="K9656" s="2" t="s">
        <v>10088</v>
      </c>
    </row>
    <row r="9657" spans="1:11" x14ac:dyDescent="0.2">
      <c r="A9657" s="2">
        <v>2416</v>
      </c>
      <c r="B9657" s="2">
        <v>20</v>
      </c>
      <c r="C9657" s="2">
        <v>52411533</v>
      </c>
      <c r="D9657" s="2">
        <v>53120334</v>
      </c>
      <c r="E9657" s="2">
        <v>3</v>
      </c>
      <c r="F9657" s="2" t="s">
        <v>10086</v>
      </c>
      <c r="H9657" s="3">
        <v>6.9999999999999999E-4</v>
      </c>
      <c r="K9657" s="2" t="s">
        <v>10085</v>
      </c>
    </row>
    <row r="9658" spans="1:11" x14ac:dyDescent="0.2">
      <c r="A9658" s="2">
        <v>2416</v>
      </c>
      <c r="B9658" s="2">
        <v>20</v>
      </c>
      <c r="C9658" s="2">
        <v>52411533</v>
      </c>
      <c r="D9658" s="2">
        <v>53120334</v>
      </c>
      <c r="E9658" s="2">
        <v>4</v>
      </c>
      <c r="F9658" s="2" t="s">
        <v>10086</v>
      </c>
      <c r="H9658" s="3">
        <v>2.9999999999999997E-4</v>
      </c>
      <c r="K9658" s="2" t="s">
        <v>10087</v>
      </c>
    </row>
    <row r="9659" spans="1:11" x14ac:dyDescent="0.2">
      <c r="A9659" s="2">
        <v>2417</v>
      </c>
      <c r="B9659" s="2">
        <v>20</v>
      </c>
      <c r="C9659" s="2">
        <v>53120335</v>
      </c>
      <c r="D9659" s="2">
        <v>53879803</v>
      </c>
      <c r="E9659" s="2">
        <v>1</v>
      </c>
      <c r="F9659" s="2" t="s">
        <v>10086</v>
      </c>
      <c r="H9659" s="2">
        <v>1.6000000000000001E-3</v>
      </c>
      <c r="K9659" s="2" t="s">
        <v>10088</v>
      </c>
    </row>
    <row r="9660" spans="1:11" x14ac:dyDescent="0.2">
      <c r="A9660" s="2">
        <v>2417</v>
      </c>
      <c r="B9660" s="2">
        <v>20</v>
      </c>
      <c r="C9660" s="2">
        <v>53120335</v>
      </c>
      <c r="D9660" s="2">
        <v>53879803</v>
      </c>
      <c r="E9660" s="2">
        <v>2</v>
      </c>
      <c r="F9660" s="2" t="s">
        <v>10086</v>
      </c>
      <c r="H9660" s="2">
        <v>1.1000000000000001E-3</v>
      </c>
      <c r="K9660" s="2" t="s">
        <v>10085</v>
      </c>
    </row>
    <row r="9661" spans="1:11" x14ac:dyDescent="0.2">
      <c r="A9661" s="2">
        <v>2417</v>
      </c>
      <c r="B9661" s="2">
        <v>20</v>
      </c>
      <c r="C9661" s="2">
        <v>53120335</v>
      </c>
      <c r="D9661" s="2">
        <v>53879803</v>
      </c>
      <c r="E9661" s="2">
        <v>3</v>
      </c>
      <c r="F9661" s="2" t="s">
        <v>10086</v>
      </c>
      <c r="H9661" s="3">
        <v>8.9999999999999998E-4</v>
      </c>
      <c r="K9661" s="2" t="s">
        <v>10089</v>
      </c>
    </row>
    <row r="9662" spans="1:11" x14ac:dyDescent="0.2">
      <c r="A9662" s="2">
        <v>2417</v>
      </c>
      <c r="B9662" s="2">
        <v>20</v>
      </c>
      <c r="C9662" s="2">
        <v>53120335</v>
      </c>
      <c r="D9662" s="2">
        <v>53879803</v>
      </c>
      <c r="E9662" s="2">
        <v>4</v>
      </c>
      <c r="F9662" s="2" t="s">
        <v>10086</v>
      </c>
      <c r="H9662" s="3">
        <v>4.0000000000000002E-4</v>
      </c>
      <c r="K9662" s="2" t="s">
        <v>10087</v>
      </c>
    </row>
    <row r="9663" spans="1:11" x14ac:dyDescent="0.2">
      <c r="A9663" s="2">
        <v>2418</v>
      </c>
      <c r="B9663" s="2">
        <v>20</v>
      </c>
      <c r="C9663" s="2">
        <v>53879804</v>
      </c>
      <c r="D9663" s="2">
        <v>54743694</v>
      </c>
      <c r="E9663" s="2">
        <v>1</v>
      </c>
      <c r="F9663" s="2" t="s">
        <v>10086</v>
      </c>
      <c r="H9663" s="2">
        <v>1.5699999999999999E-2</v>
      </c>
      <c r="K9663" s="2" t="s">
        <v>10089</v>
      </c>
    </row>
    <row r="9664" spans="1:11" x14ac:dyDescent="0.2">
      <c r="A9664" s="2">
        <v>2418</v>
      </c>
      <c r="B9664" s="2">
        <v>20</v>
      </c>
      <c r="C9664" s="2">
        <v>53879804</v>
      </c>
      <c r="D9664" s="2">
        <v>54743694</v>
      </c>
      <c r="E9664" s="2">
        <v>2</v>
      </c>
      <c r="F9664" s="2" t="s">
        <v>10086</v>
      </c>
      <c r="H9664" s="2">
        <v>1.8E-3</v>
      </c>
      <c r="K9664" s="2" t="s">
        <v>10087</v>
      </c>
    </row>
    <row r="9665" spans="1:11" x14ac:dyDescent="0.2">
      <c r="A9665" s="2">
        <v>2418</v>
      </c>
      <c r="B9665" s="2">
        <v>20</v>
      </c>
      <c r="C9665" s="2">
        <v>53879804</v>
      </c>
      <c r="D9665" s="2">
        <v>54743694</v>
      </c>
      <c r="E9665" s="2">
        <v>3</v>
      </c>
      <c r="F9665" s="2" t="s">
        <v>10086</v>
      </c>
      <c r="H9665" s="2">
        <v>1.8E-3</v>
      </c>
      <c r="K9665" s="2" t="s">
        <v>10088</v>
      </c>
    </row>
    <row r="9666" spans="1:11" x14ac:dyDescent="0.2">
      <c r="A9666" s="2">
        <v>2418</v>
      </c>
      <c r="B9666" s="2">
        <v>20</v>
      </c>
      <c r="C9666" s="2">
        <v>53879804</v>
      </c>
      <c r="D9666" s="2">
        <v>54743694</v>
      </c>
      <c r="E9666" s="2">
        <v>4</v>
      </c>
      <c r="F9666" s="2" t="s">
        <v>10086</v>
      </c>
      <c r="H9666" s="3">
        <v>6.9999999999999999E-4</v>
      </c>
      <c r="K9666" s="2" t="s">
        <v>10085</v>
      </c>
    </row>
    <row r="9667" spans="1:11" x14ac:dyDescent="0.2">
      <c r="A9667" s="2">
        <v>2419</v>
      </c>
      <c r="B9667" s="2">
        <v>20</v>
      </c>
      <c r="C9667" s="2">
        <v>54743695</v>
      </c>
      <c r="D9667" s="2">
        <v>55448075</v>
      </c>
      <c r="E9667" s="2">
        <v>1</v>
      </c>
      <c r="F9667" s="2" t="s">
        <v>10086</v>
      </c>
      <c r="H9667" s="2">
        <v>4.7999999999999996E-3</v>
      </c>
      <c r="K9667" s="2" t="s">
        <v>10085</v>
      </c>
    </row>
    <row r="9668" spans="1:11" x14ac:dyDescent="0.2">
      <c r="A9668" s="2">
        <v>2419</v>
      </c>
      <c r="B9668" s="2">
        <v>20</v>
      </c>
      <c r="C9668" s="2">
        <v>54743695</v>
      </c>
      <c r="D9668" s="2">
        <v>55448075</v>
      </c>
      <c r="E9668" s="2">
        <v>2</v>
      </c>
      <c r="F9668" s="2" t="s">
        <v>10086</v>
      </c>
      <c r="H9668" s="2">
        <v>1.5E-3</v>
      </c>
      <c r="K9668" s="2" t="s">
        <v>10089</v>
      </c>
    </row>
    <row r="9669" spans="1:11" x14ac:dyDescent="0.2">
      <c r="A9669" s="2">
        <v>2419</v>
      </c>
      <c r="B9669" s="2">
        <v>20</v>
      </c>
      <c r="C9669" s="2">
        <v>54743695</v>
      </c>
      <c r="D9669" s="2">
        <v>55448075</v>
      </c>
      <c r="E9669" s="2">
        <v>3</v>
      </c>
      <c r="F9669" s="2" t="s">
        <v>10086</v>
      </c>
      <c r="H9669" s="2">
        <v>1E-3</v>
      </c>
      <c r="K9669" s="2" t="s">
        <v>10088</v>
      </c>
    </row>
    <row r="9670" spans="1:11" x14ac:dyDescent="0.2">
      <c r="A9670" s="2">
        <v>2419</v>
      </c>
      <c r="B9670" s="2">
        <v>20</v>
      </c>
      <c r="C9670" s="2">
        <v>54743695</v>
      </c>
      <c r="D9670" s="2">
        <v>55448075</v>
      </c>
      <c r="E9670" s="2">
        <v>4</v>
      </c>
      <c r="F9670" s="2" t="s">
        <v>10086</v>
      </c>
      <c r="H9670" s="3">
        <v>4.0000000000000002E-4</v>
      </c>
      <c r="K9670" s="2" t="s">
        <v>10087</v>
      </c>
    </row>
    <row r="9671" spans="1:11" x14ac:dyDescent="0.2">
      <c r="A9671" s="2">
        <v>2420</v>
      </c>
      <c r="B9671" s="2">
        <v>20</v>
      </c>
      <c r="C9671" s="2">
        <v>55448076</v>
      </c>
      <c r="D9671" s="2">
        <v>56172843</v>
      </c>
      <c r="E9671" s="2">
        <v>1</v>
      </c>
      <c r="F9671" s="2" t="s">
        <v>10086</v>
      </c>
      <c r="H9671" s="2">
        <v>6.6E-3</v>
      </c>
      <c r="K9671" s="2" t="s">
        <v>12324</v>
      </c>
    </row>
    <row r="9672" spans="1:11" x14ac:dyDescent="0.2">
      <c r="A9672" s="2">
        <v>2420</v>
      </c>
      <c r="B9672" s="2">
        <v>20</v>
      </c>
      <c r="C9672" s="2">
        <v>55448076</v>
      </c>
      <c r="D9672" s="2">
        <v>56172843</v>
      </c>
      <c r="E9672" s="2">
        <v>2</v>
      </c>
      <c r="F9672" s="2" t="s">
        <v>10086</v>
      </c>
      <c r="H9672" s="2">
        <v>2.5000000000000001E-3</v>
      </c>
      <c r="K9672" s="2" t="s">
        <v>10087</v>
      </c>
    </row>
    <row r="9673" spans="1:11" x14ac:dyDescent="0.2">
      <c r="A9673" s="2">
        <v>2420</v>
      </c>
      <c r="B9673" s="2">
        <v>20</v>
      </c>
      <c r="C9673" s="2">
        <v>55448076</v>
      </c>
      <c r="D9673" s="2">
        <v>56172843</v>
      </c>
      <c r="E9673" s="2">
        <v>3</v>
      </c>
      <c r="F9673" s="2" t="s">
        <v>10086</v>
      </c>
      <c r="H9673" s="2">
        <v>1.1000000000000001E-3</v>
      </c>
      <c r="K9673" s="2" t="s">
        <v>10089</v>
      </c>
    </row>
    <row r="9674" spans="1:11" x14ac:dyDescent="0.2">
      <c r="A9674" s="2">
        <v>2420</v>
      </c>
      <c r="B9674" s="2">
        <v>20</v>
      </c>
      <c r="C9674" s="2">
        <v>55448076</v>
      </c>
      <c r="D9674" s="2">
        <v>56172843</v>
      </c>
      <c r="E9674" s="2">
        <v>4</v>
      </c>
      <c r="F9674" s="2" t="s">
        <v>10086</v>
      </c>
      <c r="H9674" s="2">
        <v>1.1999999999999999E-3</v>
      </c>
      <c r="K9674" s="2" t="s">
        <v>10088</v>
      </c>
    </row>
    <row r="9675" spans="1:11" x14ac:dyDescent="0.2">
      <c r="A9675" s="2">
        <v>2421</v>
      </c>
      <c r="B9675" s="2">
        <v>20</v>
      </c>
      <c r="C9675" s="2">
        <v>56172844</v>
      </c>
      <c r="D9675" s="2">
        <v>56951773</v>
      </c>
      <c r="E9675" s="2">
        <v>1</v>
      </c>
      <c r="F9675" s="2" t="s">
        <v>10086</v>
      </c>
      <c r="H9675" s="2">
        <v>1E-3</v>
      </c>
      <c r="K9675" s="2" t="s">
        <v>10087</v>
      </c>
    </row>
    <row r="9676" spans="1:11" x14ac:dyDescent="0.2">
      <c r="A9676" s="2">
        <v>2421</v>
      </c>
      <c r="B9676" s="2">
        <v>20</v>
      </c>
      <c r="C9676" s="2">
        <v>56172844</v>
      </c>
      <c r="D9676" s="2">
        <v>56951773</v>
      </c>
      <c r="E9676" s="2">
        <v>2</v>
      </c>
      <c r="F9676" s="2" t="s">
        <v>10086</v>
      </c>
      <c r="H9676" s="3">
        <v>8.0000000000000004E-4</v>
      </c>
      <c r="K9676" s="2" t="s">
        <v>10085</v>
      </c>
    </row>
    <row r="9677" spans="1:11" x14ac:dyDescent="0.2">
      <c r="A9677" s="2">
        <v>2421</v>
      </c>
      <c r="B9677" s="2">
        <v>20</v>
      </c>
      <c r="C9677" s="2">
        <v>56172844</v>
      </c>
      <c r="D9677" s="2">
        <v>56951773</v>
      </c>
      <c r="E9677" s="2">
        <v>3</v>
      </c>
      <c r="F9677" s="2" t="s">
        <v>10086</v>
      </c>
      <c r="H9677" s="3">
        <v>6.9999999999999999E-4</v>
      </c>
      <c r="K9677" s="2" t="s">
        <v>10089</v>
      </c>
    </row>
    <row r="9678" spans="1:11" x14ac:dyDescent="0.2">
      <c r="A9678" s="2">
        <v>2421</v>
      </c>
      <c r="B9678" s="2">
        <v>20</v>
      </c>
      <c r="C9678" s="2">
        <v>56172844</v>
      </c>
      <c r="D9678" s="2">
        <v>56951773</v>
      </c>
      <c r="E9678" s="2">
        <v>4</v>
      </c>
      <c r="F9678" s="2" t="s">
        <v>10086</v>
      </c>
      <c r="H9678" s="3">
        <v>5.9999999999999995E-4</v>
      </c>
      <c r="K9678" s="2" t="s">
        <v>12324</v>
      </c>
    </row>
    <row r="9679" spans="1:11" x14ac:dyDescent="0.2">
      <c r="A9679" s="2">
        <v>2422</v>
      </c>
      <c r="B9679" s="2">
        <v>20</v>
      </c>
      <c r="C9679" s="2">
        <v>56951774</v>
      </c>
      <c r="D9679" s="2">
        <v>57924037</v>
      </c>
      <c r="E9679" s="2">
        <v>1</v>
      </c>
      <c r="F9679" s="2" t="s">
        <v>10086</v>
      </c>
      <c r="H9679" s="2">
        <v>1.9E-3</v>
      </c>
      <c r="K9679" s="2" t="s">
        <v>10087</v>
      </c>
    </row>
    <row r="9680" spans="1:11" x14ac:dyDescent="0.2">
      <c r="A9680" s="2">
        <v>2422</v>
      </c>
      <c r="B9680" s="2">
        <v>20</v>
      </c>
      <c r="C9680" s="2">
        <v>56951774</v>
      </c>
      <c r="D9680" s="2">
        <v>57924037</v>
      </c>
      <c r="E9680" s="2">
        <v>2</v>
      </c>
      <c r="F9680" s="2" t="s">
        <v>10086</v>
      </c>
      <c r="H9680" s="2">
        <v>1.2999999999999999E-3</v>
      </c>
      <c r="K9680" s="2" t="s">
        <v>10085</v>
      </c>
    </row>
    <row r="9681" spans="1:11" x14ac:dyDescent="0.2">
      <c r="A9681" s="2">
        <v>2422</v>
      </c>
      <c r="B9681" s="2">
        <v>20</v>
      </c>
      <c r="C9681" s="2">
        <v>56951774</v>
      </c>
      <c r="D9681" s="2">
        <v>57924037</v>
      </c>
      <c r="E9681" s="2">
        <v>3</v>
      </c>
      <c r="F9681" s="2" t="s">
        <v>10086</v>
      </c>
      <c r="H9681" s="2">
        <v>1.2999999999999999E-3</v>
      </c>
      <c r="K9681" s="2" t="s">
        <v>10088</v>
      </c>
    </row>
    <row r="9682" spans="1:11" x14ac:dyDescent="0.2">
      <c r="A9682" s="2">
        <v>2422</v>
      </c>
      <c r="B9682" s="2">
        <v>20</v>
      </c>
      <c r="C9682" s="2">
        <v>56951774</v>
      </c>
      <c r="D9682" s="2">
        <v>57924037</v>
      </c>
      <c r="E9682" s="2">
        <v>4</v>
      </c>
      <c r="F9682" s="2" t="s">
        <v>10086</v>
      </c>
      <c r="H9682" s="3">
        <v>5.9999999999999995E-4</v>
      </c>
      <c r="K9682" s="2" t="s">
        <v>10089</v>
      </c>
    </row>
    <row r="9683" spans="1:11" x14ac:dyDescent="0.2">
      <c r="A9683" s="2">
        <v>2423</v>
      </c>
      <c r="B9683" s="2">
        <v>20</v>
      </c>
      <c r="C9683" s="2">
        <v>57924038</v>
      </c>
      <c r="D9683" s="2">
        <v>58780894</v>
      </c>
      <c r="E9683" s="2">
        <v>1</v>
      </c>
      <c r="F9683" s="2" t="s">
        <v>10086</v>
      </c>
      <c r="H9683" s="2">
        <v>6.3E-3</v>
      </c>
      <c r="K9683" s="2" t="s">
        <v>10087</v>
      </c>
    </row>
    <row r="9684" spans="1:11" x14ac:dyDescent="0.2">
      <c r="A9684" s="2">
        <v>2423</v>
      </c>
      <c r="B9684" s="2">
        <v>20</v>
      </c>
      <c r="C9684" s="2">
        <v>57924038</v>
      </c>
      <c r="D9684" s="2">
        <v>58780894</v>
      </c>
      <c r="E9684" s="2">
        <v>2</v>
      </c>
      <c r="F9684" s="2" t="s">
        <v>10086</v>
      </c>
      <c r="H9684" s="2">
        <v>1.5E-3</v>
      </c>
      <c r="K9684" s="2" t="s">
        <v>10085</v>
      </c>
    </row>
    <row r="9685" spans="1:11" x14ac:dyDescent="0.2">
      <c r="A9685" s="2">
        <v>2423</v>
      </c>
      <c r="B9685" s="2">
        <v>20</v>
      </c>
      <c r="C9685" s="2">
        <v>57924038</v>
      </c>
      <c r="D9685" s="2">
        <v>58780894</v>
      </c>
      <c r="E9685" s="2">
        <v>3</v>
      </c>
      <c r="F9685" s="2" t="s">
        <v>10086</v>
      </c>
      <c r="H9685" s="3">
        <v>8.9999999999999998E-4</v>
      </c>
      <c r="K9685" s="2" t="s">
        <v>10088</v>
      </c>
    </row>
    <row r="9686" spans="1:11" x14ac:dyDescent="0.2">
      <c r="A9686" s="2">
        <v>2423</v>
      </c>
      <c r="B9686" s="2">
        <v>20</v>
      </c>
      <c r="C9686" s="2">
        <v>57924038</v>
      </c>
      <c r="D9686" s="2">
        <v>58780894</v>
      </c>
      <c r="E9686" s="2">
        <v>4</v>
      </c>
      <c r="F9686" s="2" t="s">
        <v>10086</v>
      </c>
      <c r="H9686" s="3">
        <v>4.0000000000000002E-4</v>
      </c>
      <c r="K9686" s="2" t="s">
        <v>10089</v>
      </c>
    </row>
    <row r="9687" spans="1:11" x14ac:dyDescent="0.2">
      <c r="A9687" s="2">
        <v>2424</v>
      </c>
      <c r="B9687" s="2">
        <v>20</v>
      </c>
      <c r="C9687" s="2">
        <v>58780895</v>
      </c>
      <c r="D9687" s="2">
        <v>59560457</v>
      </c>
      <c r="E9687" s="2">
        <v>1</v>
      </c>
      <c r="F9687" s="2" t="s">
        <v>10086</v>
      </c>
      <c r="H9687" s="2">
        <v>1.6999999999999999E-3</v>
      </c>
      <c r="K9687" s="2" t="s">
        <v>10087</v>
      </c>
    </row>
    <row r="9688" spans="1:11" x14ac:dyDescent="0.2">
      <c r="A9688" s="2">
        <v>2424</v>
      </c>
      <c r="B9688" s="2">
        <v>20</v>
      </c>
      <c r="C9688" s="2">
        <v>58780895</v>
      </c>
      <c r="D9688" s="2">
        <v>59560457</v>
      </c>
      <c r="E9688" s="2">
        <v>2</v>
      </c>
      <c r="F9688" s="2" t="s">
        <v>10086</v>
      </c>
      <c r="H9688" s="2">
        <v>1E-3</v>
      </c>
      <c r="K9688" s="2" t="s">
        <v>10089</v>
      </c>
    </row>
    <row r="9689" spans="1:11" x14ac:dyDescent="0.2">
      <c r="A9689" s="2">
        <v>2424</v>
      </c>
      <c r="B9689" s="2">
        <v>20</v>
      </c>
      <c r="C9689" s="2">
        <v>58780895</v>
      </c>
      <c r="D9689" s="2">
        <v>59560457</v>
      </c>
      <c r="E9689" s="2">
        <v>3</v>
      </c>
      <c r="F9689" s="2" t="s">
        <v>10086</v>
      </c>
      <c r="H9689" s="3">
        <v>8.9999999999999998E-4</v>
      </c>
      <c r="K9689" s="2" t="s">
        <v>10088</v>
      </c>
    </row>
    <row r="9690" spans="1:11" x14ac:dyDescent="0.2">
      <c r="A9690" s="2">
        <v>2424</v>
      </c>
      <c r="B9690" s="2">
        <v>20</v>
      </c>
      <c r="C9690" s="2">
        <v>58780895</v>
      </c>
      <c r="D9690" s="2">
        <v>59560457</v>
      </c>
      <c r="E9690" s="2">
        <v>4</v>
      </c>
      <c r="F9690" s="2" t="s">
        <v>10086</v>
      </c>
      <c r="H9690" s="3">
        <v>2.9999999999999997E-4</v>
      </c>
      <c r="K9690" s="2" t="s">
        <v>10085</v>
      </c>
    </row>
    <row r="9691" spans="1:11" x14ac:dyDescent="0.2">
      <c r="A9691" s="2">
        <v>2425</v>
      </c>
      <c r="B9691" s="2">
        <v>20</v>
      </c>
      <c r="C9691" s="2">
        <v>59560458</v>
      </c>
      <c r="D9691" s="2">
        <v>60125333</v>
      </c>
      <c r="E9691" s="2">
        <v>1</v>
      </c>
      <c r="F9691" s="2" t="s">
        <v>10086</v>
      </c>
      <c r="H9691" s="2">
        <v>4.3E-3</v>
      </c>
      <c r="K9691" s="2" t="s">
        <v>10087</v>
      </c>
    </row>
    <row r="9692" spans="1:11" x14ac:dyDescent="0.2">
      <c r="A9692" s="2">
        <v>2425</v>
      </c>
      <c r="B9692" s="2">
        <v>20</v>
      </c>
      <c r="C9692" s="2">
        <v>59560458</v>
      </c>
      <c r="D9692" s="2">
        <v>60125333</v>
      </c>
      <c r="E9692" s="2">
        <v>2</v>
      </c>
      <c r="F9692" s="2" t="s">
        <v>10086</v>
      </c>
      <c r="H9692" s="3">
        <v>6.9999999999999999E-4</v>
      </c>
      <c r="K9692" s="2" t="s">
        <v>10089</v>
      </c>
    </row>
    <row r="9693" spans="1:11" x14ac:dyDescent="0.2">
      <c r="A9693" s="2">
        <v>2425</v>
      </c>
      <c r="B9693" s="2">
        <v>20</v>
      </c>
      <c r="C9693" s="2">
        <v>59560458</v>
      </c>
      <c r="D9693" s="2">
        <v>60125333</v>
      </c>
      <c r="E9693" s="2">
        <v>3</v>
      </c>
      <c r="F9693" s="2" t="s">
        <v>10086</v>
      </c>
      <c r="H9693" s="3">
        <v>5.9999999999999995E-4</v>
      </c>
      <c r="K9693" s="2" t="s">
        <v>10085</v>
      </c>
    </row>
    <row r="9694" spans="1:11" x14ac:dyDescent="0.2">
      <c r="A9694" s="2">
        <v>2425</v>
      </c>
      <c r="B9694" s="2">
        <v>20</v>
      </c>
      <c r="C9694" s="2">
        <v>59560458</v>
      </c>
      <c r="D9694" s="2">
        <v>60125333</v>
      </c>
      <c r="E9694" s="2">
        <v>4</v>
      </c>
      <c r="F9694" s="2" t="s">
        <v>10086</v>
      </c>
      <c r="H9694" s="3">
        <v>4.0000000000000002E-4</v>
      </c>
      <c r="K9694" s="2" t="s">
        <v>10088</v>
      </c>
    </row>
    <row r="9695" spans="1:11" x14ac:dyDescent="0.2">
      <c r="A9695" s="2">
        <v>2426</v>
      </c>
      <c r="B9695" s="2">
        <v>20</v>
      </c>
      <c r="C9695" s="2">
        <v>60125334</v>
      </c>
      <c r="D9695" s="2">
        <v>60766557</v>
      </c>
      <c r="E9695" s="2">
        <v>1</v>
      </c>
      <c r="F9695" s="2" t="s">
        <v>10086</v>
      </c>
      <c r="H9695" s="2">
        <v>2.3E-3</v>
      </c>
      <c r="K9695" s="2" t="s">
        <v>10088</v>
      </c>
    </row>
    <row r="9696" spans="1:11" x14ac:dyDescent="0.2">
      <c r="A9696" s="2">
        <v>2426</v>
      </c>
      <c r="B9696" s="2">
        <v>20</v>
      </c>
      <c r="C9696" s="2">
        <v>60125334</v>
      </c>
      <c r="D9696" s="2">
        <v>60766557</v>
      </c>
      <c r="E9696" s="2">
        <v>2</v>
      </c>
      <c r="F9696" s="2" t="s">
        <v>10086</v>
      </c>
      <c r="H9696" s="2">
        <v>1.2999999999999999E-3</v>
      </c>
      <c r="K9696" s="2" t="s">
        <v>10085</v>
      </c>
    </row>
    <row r="9697" spans="1:11" x14ac:dyDescent="0.2">
      <c r="A9697" s="2">
        <v>2426</v>
      </c>
      <c r="B9697" s="2">
        <v>20</v>
      </c>
      <c r="C9697" s="2">
        <v>60125334</v>
      </c>
      <c r="D9697" s="2">
        <v>60766557</v>
      </c>
      <c r="E9697" s="2">
        <v>3</v>
      </c>
      <c r="F9697" s="2" t="s">
        <v>10086</v>
      </c>
      <c r="H9697" s="3">
        <v>8.0000000000000004E-4</v>
      </c>
      <c r="K9697" s="2" t="s">
        <v>10087</v>
      </c>
    </row>
    <row r="9698" spans="1:11" x14ac:dyDescent="0.2">
      <c r="A9698" s="2">
        <v>2426</v>
      </c>
      <c r="B9698" s="2">
        <v>20</v>
      </c>
      <c r="C9698" s="2">
        <v>60125334</v>
      </c>
      <c r="D9698" s="2">
        <v>60766557</v>
      </c>
      <c r="E9698" s="2">
        <v>4</v>
      </c>
      <c r="F9698" s="2" t="s">
        <v>10086</v>
      </c>
      <c r="H9698" s="3">
        <v>5.0000000000000001E-4</v>
      </c>
      <c r="K9698" s="2" t="s">
        <v>10089</v>
      </c>
    </row>
    <row r="9699" spans="1:11" x14ac:dyDescent="0.2">
      <c r="A9699" s="2">
        <v>2427</v>
      </c>
      <c r="B9699" s="2">
        <v>20</v>
      </c>
      <c r="C9699" s="2">
        <v>60766558</v>
      </c>
      <c r="D9699" s="2">
        <v>61470768</v>
      </c>
      <c r="E9699" s="2">
        <v>1</v>
      </c>
      <c r="F9699" s="2" t="s">
        <v>10086</v>
      </c>
      <c r="H9699" s="2">
        <v>1.4E-3</v>
      </c>
      <c r="K9699" s="2" t="s">
        <v>10085</v>
      </c>
    </row>
    <row r="9700" spans="1:11" x14ac:dyDescent="0.2">
      <c r="A9700" s="2">
        <v>2427</v>
      </c>
      <c r="B9700" s="2">
        <v>20</v>
      </c>
      <c r="C9700" s="2">
        <v>60766558</v>
      </c>
      <c r="D9700" s="2">
        <v>61470768</v>
      </c>
      <c r="E9700" s="2">
        <v>2</v>
      </c>
      <c r="F9700" s="2" t="s">
        <v>10086</v>
      </c>
      <c r="H9700" s="3">
        <v>8.0000000000000004E-4</v>
      </c>
      <c r="K9700" s="2" t="s">
        <v>10087</v>
      </c>
    </row>
    <row r="9701" spans="1:11" x14ac:dyDescent="0.2">
      <c r="A9701" s="2">
        <v>2427</v>
      </c>
      <c r="B9701" s="2">
        <v>20</v>
      </c>
      <c r="C9701" s="2">
        <v>60766558</v>
      </c>
      <c r="D9701" s="2">
        <v>61470768</v>
      </c>
      <c r="E9701" s="2">
        <v>3</v>
      </c>
      <c r="F9701" s="2" t="s">
        <v>10086</v>
      </c>
      <c r="H9701" s="3">
        <v>6.9999999999999999E-4</v>
      </c>
      <c r="K9701" s="2" t="s">
        <v>10089</v>
      </c>
    </row>
    <row r="9702" spans="1:11" x14ac:dyDescent="0.2">
      <c r="A9702" s="2">
        <v>2427</v>
      </c>
      <c r="B9702" s="2">
        <v>20</v>
      </c>
      <c r="C9702" s="2">
        <v>60766558</v>
      </c>
      <c r="D9702" s="2">
        <v>61470768</v>
      </c>
      <c r="E9702" s="2">
        <v>4</v>
      </c>
      <c r="F9702" s="2" t="s">
        <v>10086</v>
      </c>
      <c r="H9702" s="3">
        <v>2.9999999999999997E-4</v>
      </c>
      <c r="K9702" s="2" t="s">
        <v>10088</v>
      </c>
    </row>
    <row r="9703" spans="1:11" x14ac:dyDescent="0.2">
      <c r="A9703" s="2">
        <v>2428</v>
      </c>
      <c r="B9703" s="2">
        <v>20</v>
      </c>
      <c r="C9703" s="2">
        <v>61470769</v>
      </c>
      <c r="D9703" s="2">
        <v>62179241</v>
      </c>
      <c r="E9703" s="2">
        <v>1</v>
      </c>
      <c r="F9703" s="2" t="s">
        <v>10086</v>
      </c>
      <c r="H9703" s="2">
        <v>2.0999999999999999E-3</v>
      </c>
      <c r="K9703" s="2" t="s">
        <v>10087</v>
      </c>
    </row>
    <row r="9704" spans="1:11" x14ac:dyDescent="0.2">
      <c r="A9704" s="2">
        <v>2428</v>
      </c>
      <c r="B9704" s="2">
        <v>20</v>
      </c>
      <c r="C9704" s="2">
        <v>61470769</v>
      </c>
      <c r="D9704" s="2">
        <v>62179241</v>
      </c>
      <c r="E9704" s="2">
        <v>2</v>
      </c>
      <c r="F9704" s="2" t="s">
        <v>10086</v>
      </c>
      <c r="H9704" s="2">
        <v>1.4E-3</v>
      </c>
      <c r="K9704" s="2" t="s">
        <v>10089</v>
      </c>
    </row>
    <row r="9705" spans="1:11" x14ac:dyDescent="0.2">
      <c r="A9705" s="2">
        <v>2428</v>
      </c>
      <c r="B9705" s="2">
        <v>20</v>
      </c>
      <c r="C9705" s="2">
        <v>61470769</v>
      </c>
      <c r="D9705" s="2">
        <v>62179241</v>
      </c>
      <c r="E9705" s="2">
        <v>3</v>
      </c>
      <c r="F9705" s="2" t="s">
        <v>10086</v>
      </c>
      <c r="H9705" s="3">
        <v>8.9999999999999998E-4</v>
      </c>
      <c r="K9705" s="2" t="s">
        <v>10085</v>
      </c>
    </row>
    <row r="9706" spans="1:11" x14ac:dyDescent="0.2">
      <c r="A9706" s="2">
        <v>2428</v>
      </c>
      <c r="B9706" s="2">
        <v>20</v>
      </c>
      <c r="C9706" s="2">
        <v>61470769</v>
      </c>
      <c r="D9706" s="2">
        <v>62179241</v>
      </c>
      <c r="E9706" s="2">
        <v>4</v>
      </c>
      <c r="F9706" s="2" t="s">
        <v>10086</v>
      </c>
      <c r="H9706" s="3">
        <v>4.0000000000000002E-4</v>
      </c>
      <c r="K9706" s="2" t="s">
        <v>10088</v>
      </c>
    </row>
    <row r="9707" spans="1:11" x14ac:dyDescent="0.2">
      <c r="A9707" s="2">
        <v>2429</v>
      </c>
      <c r="B9707" s="2">
        <v>20</v>
      </c>
      <c r="C9707" s="2">
        <v>62179242</v>
      </c>
      <c r="D9707" s="2">
        <v>62963627</v>
      </c>
      <c r="E9707" s="2">
        <v>1</v>
      </c>
      <c r="F9707" s="2" t="s">
        <v>10086</v>
      </c>
      <c r="H9707" s="2">
        <v>1.4E-3</v>
      </c>
      <c r="K9707" s="2" t="s">
        <v>10088</v>
      </c>
    </row>
    <row r="9708" spans="1:11" x14ac:dyDescent="0.2">
      <c r="A9708" s="2">
        <v>2429</v>
      </c>
      <c r="B9708" s="2">
        <v>20</v>
      </c>
      <c r="C9708" s="2">
        <v>62179242</v>
      </c>
      <c r="D9708" s="2">
        <v>62963627</v>
      </c>
      <c r="E9708" s="2">
        <v>2</v>
      </c>
      <c r="F9708" s="2" t="s">
        <v>10086</v>
      </c>
      <c r="H9708" s="2">
        <v>1.1000000000000001E-3</v>
      </c>
      <c r="K9708" s="2" t="s">
        <v>10085</v>
      </c>
    </row>
    <row r="9709" spans="1:11" x14ac:dyDescent="0.2">
      <c r="A9709" s="2">
        <v>2429</v>
      </c>
      <c r="B9709" s="2">
        <v>20</v>
      </c>
      <c r="C9709" s="2">
        <v>62179242</v>
      </c>
      <c r="D9709" s="2">
        <v>62963627</v>
      </c>
      <c r="E9709" s="2">
        <v>3</v>
      </c>
      <c r="F9709" s="2" t="s">
        <v>10086</v>
      </c>
      <c r="H9709" s="3">
        <v>8.0000000000000004E-4</v>
      </c>
      <c r="K9709" s="2" t="s">
        <v>10089</v>
      </c>
    </row>
    <row r="9710" spans="1:11" x14ac:dyDescent="0.2">
      <c r="A9710" s="2">
        <v>2429</v>
      </c>
      <c r="B9710" s="2">
        <v>20</v>
      </c>
      <c r="C9710" s="2">
        <v>62179242</v>
      </c>
      <c r="D9710" s="2">
        <v>62963627</v>
      </c>
      <c r="E9710" s="2">
        <v>4</v>
      </c>
      <c r="F9710" s="2" t="s">
        <v>10086</v>
      </c>
      <c r="H9710" s="3">
        <v>2.9999999999999997E-4</v>
      </c>
      <c r="K9710" s="2" t="s">
        <v>10087</v>
      </c>
    </row>
    <row r="9711" spans="1:11" x14ac:dyDescent="0.2">
      <c r="A9711" s="2">
        <v>2430</v>
      </c>
      <c r="B9711" s="2">
        <v>21</v>
      </c>
      <c r="C9711" s="2">
        <v>9411245</v>
      </c>
      <c r="D9711" s="2">
        <v>15026792</v>
      </c>
      <c r="E9711" s="2">
        <v>1</v>
      </c>
      <c r="F9711" s="2" t="s">
        <v>10086</v>
      </c>
      <c r="H9711" s="2">
        <v>0.15490000000000001</v>
      </c>
      <c r="K9711" s="2" t="s">
        <v>10088</v>
      </c>
    </row>
    <row r="9712" spans="1:11" x14ac:dyDescent="0.2">
      <c r="A9712" s="2">
        <v>2430</v>
      </c>
      <c r="B9712" s="2">
        <v>21</v>
      </c>
      <c r="C9712" s="2">
        <v>9411245</v>
      </c>
      <c r="D9712" s="2">
        <v>15026792</v>
      </c>
      <c r="E9712" s="2">
        <v>2</v>
      </c>
      <c r="F9712" s="2" t="s">
        <v>10086</v>
      </c>
      <c r="H9712" s="3">
        <v>5.9999999999999995E-4</v>
      </c>
      <c r="K9712" s="2" t="s">
        <v>10085</v>
      </c>
    </row>
    <row r="9713" spans="1:11" x14ac:dyDescent="0.2">
      <c r="A9713" s="2">
        <v>2430</v>
      </c>
      <c r="B9713" s="2">
        <v>21</v>
      </c>
      <c r="C9713" s="2">
        <v>9411245</v>
      </c>
      <c r="D9713" s="2">
        <v>15026792</v>
      </c>
      <c r="E9713" s="2">
        <v>3</v>
      </c>
      <c r="F9713" s="2" t="s">
        <v>10086</v>
      </c>
      <c r="H9713" s="3">
        <v>4.0000000000000002E-4</v>
      </c>
      <c r="K9713" s="2" t="s">
        <v>10089</v>
      </c>
    </row>
    <row r="9714" spans="1:11" x14ac:dyDescent="0.2">
      <c r="A9714" s="2">
        <v>2430</v>
      </c>
      <c r="B9714" s="2">
        <v>21</v>
      </c>
      <c r="C9714" s="2">
        <v>9411245</v>
      </c>
      <c r="D9714" s="2">
        <v>15026792</v>
      </c>
      <c r="E9714" s="2">
        <v>4</v>
      </c>
      <c r="F9714" s="2" t="s">
        <v>10086</v>
      </c>
      <c r="H9714" s="3">
        <v>2.0000000000000001E-4</v>
      </c>
      <c r="K9714" s="2" t="s">
        <v>10087</v>
      </c>
    </row>
    <row r="9715" spans="1:11" x14ac:dyDescent="0.2">
      <c r="A9715" s="2">
        <v>2431</v>
      </c>
      <c r="B9715" s="2">
        <v>21</v>
      </c>
      <c r="C9715" s="2">
        <v>15026793</v>
      </c>
      <c r="D9715" s="2">
        <v>15840033</v>
      </c>
      <c r="E9715" s="2">
        <v>1</v>
      </c>
      <c r="F9715" s="2" t="s">
        <v>10086</v>
      </c>
      <c r="H9715" s="2">
        <v>2.0999999999999999E-3</v>
      </c>
      <c r="K9715" s="2" t="s">
        <v>10088</v>
      </c>
    </row>
    <row r="9716" spans="1:11" x14ac:dyDescent="0.2">
      <c r="A9716" s="2">
        <v>2431</v>
      </c>
      <c r="B9716" s="2">
        <v>21</v>
      </c>
      <c r="C9716" s="2">
        <v>15026793</v>
      </c>
      <c r="D9716" s="2">
        <v>15840033</v>
      </c>
      <c r="E9716" s="2">
        <v>2</v>
      </c>
      <c r="F9716" s="2" t="s">
        <v>10086</v>
      </c>
      <c r="H9716" s="2">
        <v>2.3999999999999998E-3</v>
      </c>
      <c r="K9716" s="2" t="s">
        <v>10089</v>
      </c>
    </row>
    <row r="9717" spans="1:11" x14ac:dyDescent="0.2">
      <c r="A9717" s="2">
        <v>2431</v>
      </c>
      <c r="B9717" s="2">
        <v>21</v>
      </c>
      <c r="C9717" s="2">
        <v>15026793</v>
      </c>
      <c r="D9717" s="2">
        <v>15840033</v>
      </c>
      <c r="E9717" s="2">
        <v>3</v>
      </c>
      <c r="F9717" s="2" t="s">
        <v>10086</v>
      </c>
      <c r="H9717" s="3">
        <v>8.9999999999999998E-4</v>
      </c>
      <c r="K9717" s="2" t="s">
        <v>10085</v>
      </c>
    </row>
    <row r="9718" spans="1:11" x14ac:dyDescent="0.2">
      <c r="A9718" s="2">
        <v>2431</v>
      </c>
      <c r="B9718" s="2">
        <v>21</v>
      </c>
      <c r="C9718" s="2">
        <v>15026793</v>
      </c>
      <c r="D9718" s="2">
        <v>15840033</v>
      </c>
      <c r="E9718" s="2">
        <v>4</v>
      </c>
      <c r="F9718" s="2" t="s">
        <v>10086</v>
      </c>
      <c r="H9718" s="3">
        <v>4.0000000000000002E-4</v>
      </c>
      <c r="K9718" s="2" t="s">
        <v>10087</v>
      </c>
    </row>
    <row r="9719" spans="1:11" x14ac:dyDescent="0.2">
      <c r="A9719" s="2">
        <v>2432</v>
      </c>
      <c r="B9719" s="2">
        <v>21</v>
      </c>
      <c r="C9719" s="2">
        <v>15840034</v>
      </c>
      <c r="D9719" s="2">
        <v>16873443</v>
      </c>
      <c r="E9719" s="2">
        <v>1</v>
      </c>
      <c r="F9719" s="2" t="s">
        <v>10086</v>
      </c>
      <c r="H9719" s="2">
        <v>2.2000000000000001E-3</v>
      </c>
      <c r="K9719" s="2" t="s">
        <v>10089</v>
      </c>
    </row>
    <row r="9720" spans="1:11" x14ac:dyDescent="0.2">
      <c r="A9720" s="2">
        <v>2432</v>
      </c>
      <c r="B9720" s="2">
        <v>21</v>
      </c>
      <c r="C9720" s="2">
        <v>15840034</v>
      </c>
      <c r="D9720" s="2">
        <v>16873443</v>
      </c>
      <c r="E9720" s="2">
        <v>2</v>
      </c>
      <c r="F9720" s="2" t="s">
        <v>10086</v>
      </c>
      <c r="H9720" s="2">
        <v>1.6000000000000001E-3</v>
      </c>
      <c r="K9720" s="2" t="s">
        <v>10087</v>
      </c>
    </row>
    <row r="9721" spans="1:11" x14ac:dyDescent="0.2">
      <c r="A9721" s="2">
        <v>2432</v>
      </c>
      <c r="B9721" s="2">
        <v>21</v>
      </c>
      <c r="C9721" s="2">
        <v>15840034</v>
      </c>
      <c r="D9721" s="2">
        <v>16873443</v>
      </c>
      <c r="E9721" s="2">
        <v>3</v>
      </c>
      <c r="F9721" s="2" t="s">
        <v>10086</v>
      </c>
      <c r="H9721" s="2">
        <v>1.1999999999999999E-3</v>
      </c>
      <c r="K9721" s="2" t="s">
        <v>10088</v>
      </c>
    </row>
    <row r="9722" spans="1:11" x14ac:dyDescent="0.2">
      <c r="A9722" s="2">
        <v>2432</v>
      </c>
      <c r="B9722" s="2">
        <v>21</v>
      </c>
      <c r="C9722" s="2">
        <v>15840034</v>
      </c>
      <c r="D9722" s="2">
        <v>16873443</v>
      </c>
      <c r="E9722" s="2">
        <v>4</v>
      </c>
      <c r="F9722" s="2" t="s">
        <v>10086</v>
      </c>
      <c r="H9722" s="3">
        <v>5.0000000000000001E-4</v>
      </c>
      <c r="K9722" s="2" t="s">
        <v>10085</v>
      </c>
    </row>
    <row r="9723" spans="1:11" x14ac:dyDescent="0.2">
      <c r="A9723" s="2">
        <v>2433</v>
      </c>
      <c r="B9723" s="2">
        <v>21</v>
      </c>
      <c r="C9723" s="2">
        <v>16873444</v>
      </c>
      <c r="D9723" s="2">
        <v>18222037</v>
      </c>
      <c r="E9723" s="2">
        <v>1</v>
      </c>
      <c r="F9723" s="2" t="s">
        <v>10086</v>
      </c>
      <c r="H9723" s="2">
        <v>6.4000000000000003E-3</v>
      </c>
      <c r="K9723" s="2" t="s">
        <v>10089</v>
      </c>
    </row>
    <row r="9724" spans="1:11" x14ac:dyDescent="0.2">
      <c r="A9724" s="2">
        <v>2433</v>
      </c>
      <c r="B9724" s="2">
        <v>21</v>
      </c>
      <c r="C9724" s="2">
        <v>16873444</v>
      </c>
      <c r="D9724" s="2">
        <v>18222037</v>
      </c>
      <c r="E9724" s="2">
        <v>2</v>
      </c>
      <c r="F9724" s="2" t="s">
        <v>10086</v>
      </c>
      <c r="H9724" s="2">
        <v>1.4E-3</v>
      </c>
      <c r="K9724" s="2" t="s">
        <v>10085</v>
      </c>
    </row>
    <row r="9725" spans="1:11" x14ac:dyDescent="0.2">
      <c r="A9725" s="2">
        <v>2433</v>
      </c>
      <c r="B9725" s="2">
        <v>21</v>
      </c>
      <c r="C9725" s="2">
        <v>16873444</v>
      </c>
      <c r="D9725" s="2">
        <v>18222037</v>
      </c>
      <c r="E9725" s="2">
        <v>3</v>
      </c>
      <c r="F9725" s="2" t="s">
        <v>10086</v>
      </c>
      <c r="H9725" s="2">
        <v>1.8E-3</v>
      </c>
      <c r="K9725" s="2" t="s">
        <v>10088</v>
      </c>
    </row>
    <row r="9726" spans="1:11" x14ac:dyDescent="0.2">
      <c r="A9726" s="2">
        <v>2433</v>
      </c>
      <c r="B9726" s="2">
        <v>21</v>
      </c>
      <c r="C9726" s="2">
        <v>16873444</v>
      </c>
      <c r="D9726" s="2">
        <v>18222037</v>
      </c>
      <c r="E9726" s="2">
        <v>4</v>
      </c>
      <c r="F9726" s="2" t="s">
        <v>10086</v>
      </c>
      <c r="H9726" s="3">
        <v>5.0000000000000001E-4</v>
      </c>
      <c r="K9726" s="2" t="s">
        <v>10087</v>
      </c>
    </row>
    <row r="9727" spans="1:11" x14ac:dyDescent="0.2">
      <c r="A9727" s="2">
        <v>2434</v>
      </c>
      <c r="B9727" s="2">
        <v>21</v>
      </c>
      <c r="C9727" s="2">
        <v>18222038</v>
      </c>
      <c r="D9727" s="2">
        <v>19479024</v>
      </c>
      <c r="E9727" s="2">
        <v>1</v>
      </c>
      <c r="F9727" s="2" t="s">
        <v>10086</v>
      </c>
      <c r="H9727" s="2">
        <v>4.0000000000000001E-3</v>
      </c>
      <c r="K9727" s="2" t="s">
        <v>10087</v>
      </c>
    </row>
    <row r="9728" spans="1:11" x14ac:dyDescent="0.2">
      <c r="A9728" s="2">
        <v>2434</v>
      </c>
      <c r="B9728" s="2">
        <v>21</v>
      </c>
      <c r="C9728" s="2">
        <v>18222038</v>
      </c>
      <c r="D9728" s="2">
        <v>19479024</v>
      </c>
      <c r="E9728" s="2">
        <v>2</v>
      </c>
      <c r="F9728" s="2" t="s">
        <v>10086</v>
      </c>
      <c r="H9728" s="2">
        <v>2.8E-3</v>
      </c>
      <c r="K9728" s="2" t="s">
        <v>10088</v>
      </c>
    </row>
    <row r="9729" spans="1:11" x14ac:dyDescent="0.2">
      <c r="A9729" s="2">
        <v>2434</v>
      </c>
      <c r="B9729" s="2">
        <v>21</v>
      </c>
      <c r="C9729" s="2">
        <v>18222038</v>
      </c>
      <c r="D9729" s="2">
        <v>19479024</v>
      </c>
      <c r="E9729" s="2">
        <v>3</v>
      </c>
      <c r="F9729" s="2" t="s">
        <v>10086</v>
      </c>
      <c r="H9729" s="2">
        <v>1.2999999999999999E-3</v>
      </c>
      <c r="K9729" s="2" t="s">
        <v>10089</v>
      </c>
    </row>
    <row r="9730" spans="1:11" x14ac:dyDescent="0.2">
      <c r="A9730" s="2">
        <v>2434</v>
      </c>
      <c r="B9730" s="2">
        <v>21</v>
      </c>
      <c r="C9730" s="2">
        <v>18222038</v>
      </c>
      <c r="D9730" s="2">
        <v>19479024</v>
      </c>
      <c r="E9730" s="2">
        <v>4</v>
      </c>
      <c r="F9730" s="2" t="s">
        <v>10086</v>
      </c>
      <c r="H9730" s="3">
        <v>5.9999999999999995E-4</v>
      </c>
      <c r="K9730" s="2" t="s">
        <v>10085</v>
      </c>
    </row>
    <row r="9731" spans="1:11" x14ac:dyDescent="0.2">
      <c r="A9731" s="2">
        <v>2435</v>
      </c>
      <c r="B9731" s="2">
        <v>21</v>
      </c>
      <c r="C9731" s="2">
        <v>19479025</v>
      </c>
      <c r="D9731" s="2">
        <v>20407307</v>
      </c>
      <c r="E9731" s="2">
        <v>1</v>
      </c>
      <c r="F9731" s="2" t="s">
        <v>10086</v>
      </c>
      <c r="H9731" s="2">
        <v>1.4E-3</v>
      </c>
      <c r="K9731" s="2" t="s">
        <v>10088</v>
      </c>
    </row>
    <row r="9732" spans="1:11" x14ac:dyDescent="0.2">
      <c r="A9732" s="2">
        <v>2435</v>
      </c>
      <c r="B9732" s="2">
        <v>21</v>
      </c>
      <c r="C9732" s="2">
        <v>19479025</v>
      </c>
      <c r="D9732" s="2">
        <v>20407307</v>
      </c>
      <c r="E9732" s="2">
        <v>2</v>
      </c>
      <c r="F9732" s="2" t="s">
        <v>10086</v>
      </c>
      <c r="H9732" s="2">
        <v>1.1999999999999999E-3</v>
      </c>
      <c r="K9732" s="2" t="s">
        <v>10089</v>
      </c>
    </row>
    <row r="9733" spans="1:11" x14ac:dyDescent="0.2">
      <c r="A9733" s="2">
        <v>2435</v>
      </c>
      <c r="B9733" s="2">
        <v>21</v>
      </c>
      <c r="C9733" s="2">
        <v>19479025</v>
      </c>
      <c r="D9733" s="2">
        <v>20407307</v>
      </c>
      <c r="E9733" s="2">
        <v>3</v>
      </c>
      <c r="F9733" s="2" t="s">
        <v>10086</v>
      </c>
      <c r="H9733" s="3">
        <v>8.0000000000000004E-4</v>
      </c>
      <c r="K9733" s="2" t="s">
        <v>10087</v>
      </c>
    </row>
    <row r="9734" spans="1:11" x14ac:dyDescent="0.2">
      <c r="A9734" s="2">
        <v>2435</v>
      </c>
      <c r="B9734" s="2">
        <v>21</v>
      </c>
      <c r="C9734" s="2">
        <v>19479025</v>
      </c>
      <c r="D9734" s="2">
        <v>20407307</v>
      </c>
      <c r="E9734" s="2">
        <v>4</v>
      </c>
      <c r="F9734" s="2" t="s">
        <v>10086</v>
      </c>
      <c r="H9734" s="3">
        <v>5.9999999999999995E-4</v>
      </c>
      <c r="K9734" s="2" t="s">
        <v>10085</v>
      </c>
    </row>
    <row r="9735" spans="1:11" x14ac:dyDescent="0.2">
      <c r="A9735" s="2">
        <v>2436</v>
      </c>
      <c r="B9735" s="2">
        <v>21</v>
      </c>
      <c r="C9735" s="2">
        <v>20407308</v>
      </c>
      <c r="D9735" s="2">
        <v>21632916</v>
      </c>
      <c r="E9735" s="2">
        <v>1</v>
      </c>
      <c r="F9735" s="2" t="s">
        <v>10086</v>
      </c>
      <c r="H9735" s="2">
        <v>2.3E-3</v>
      </c>
      <c r="K9735" s="2" t="s">
        <v>10088</v>
      </c>
    </row>
    <row r="9736" spans="1:11" x14ac:dyDescent="0.2">
      <c r="A9736" s="2">
        <v>2436</v>
      </c>
      <c r="B9736" s="2">
        <v>21</v>
      </c>
      <c r="C9736" s="2">
        <v>20407308</v>
      </c>
      <c r="D9736" s="2">
        <v>21632916</v>
      </c>
      <c r="E9736" s="2">
        <v>2</v>
      </c>
      <c r="F9736" s="2" t="s">
        <v>10086</v>
      </c>
      <c r="H9736" s="2">
        <v>1.2999999999999999E-3</v>
      </c>
      <c r="K9736" s="2" t="s">
        <v>10089</v>
      </c>
    </row>
    <row r="9737" spans="1:11" x14ac:dyDescent="0.2">
      <c r="A9737" s="2">
        <v>2436</v>
      </c>
      <c r="B9737" s="2">
        <v>21</v>
      </c>
      <c r="C9737" s="2">
        <v>20407308</v>
      </c>
      <c r="D9737" s="2">
        <v>21632916</v>
      </c>
      <c r="E9737" s="2">
        <v>3</v>
      </c>
      <c r="F9737" s="2" t="s">
        <v>10086</v>
      </c>
      <c r="H9737" s="2">
        <v>1.1000000000000001E-3</v>
      </c>
      <c r="K9737" s="2" t="s">
        <v>10087</v>
      </c>
    </row>
    <row r="9738" spans="1:11" x14ac:dyDescent="0.2">
      <c r="A9738" s="2">
        <v>2436</v>
      </c>
      <c r="B9738" s="2">
        <v>21</v>
      </c>
      <c r="C9738" s="2">
        <v>20407308</v>
      </c>
      <c r="D9738" s="2">
        <v>21632916</v>
      </c>
      <c r="E9738" s="2">
        <v>4</v>
      </c>
      <c r="F9738" s="2" t="s">
        <v>10086</v>
      </c>
      <c r="H9738" s="3">
        <v>6.9999999999999999E-4</v>
      </c>
      <c r="K9738" s="2" t="s">
        <v>10085</v>
      </c>
    </row>
    <row r="9739" spans="1:11" x14ac:dyDescent="0.2">
      <c r="A9739" s="2">
        <v>2437</v>
      </c>
      <c r="B9739" s="2">
        <v>21</v>
      </c>
      <c r="C9739" s="2">
        <v>21632917</v>
      </c>
      <c r="D9739" s="2">
        <v>22201890</v>
      </c>
      <c r="E9739" s="2">
        <v>1</v>
      </c>
      <c r="F9739" s="2" t="s">
        <v>10086</v>
      </c>
      <c r="H9739" s="2">
        <v>5.5999999999999999E-3</v>
      </c>
      <c r="K9739" s="2" t="s">
        <v>10088</v>
      </c>
    </row>
    <row r="9740" spans="1:11" x14ac:dyDescent="0.2">
      <c r="A9740" s="2">
        <v>2437</v>
      </c>
      <c r="B9740" s="2">
        <v>21</v>
      </c>
      <c r="C9740" s="2">
        <v>21632917</v>
      </c>
      <c r="D9740" s="2">
        <v>22201890</v>
      </c>
      <c r="E9740" s="2">
        <v>2</v>
      </c>
      <c r="F9740" s="2" t="s">
        <v>10086</v>
      </c>
      <c r="H9740" s="2">
        <v>1.9E-3</v>
      </c>
      <c r="K9740" s="2" t="s">
        <v>10089</v>
      </c>
    </row>
    <row r="9741" spans="1:11" x14ac:dyDescent="0.2">
      <c r="A9741" s="2">
        <v>2437</v>
      </c>
      <c r="B9741" s="2">
        <v>21</v>
      </c>
      <c r="C9741" s="2">
        <v>21632917</v>
      </c>
      <c r="D9741" s="2">
        <v>22201890</v>
      </c>
      <c r="E9741" s="2">
        <v>3</v>
      </c>
      <c r="F9741" s="2" t="s">
        <v>10086</v>
      </c>
      <c r="H9741" s="3">
        <v>8.0000000000000004E-4</v>
      </c>
      <c r="K9741" s="2" t="s">
        <v>10085</v>
      </c>
    </row>
    <row r="9742" spans="1:11" x14ac:dyDescent="0.2">
      <c r="A9742" s="2">
        <v>2437</v>
      </c>
      <c r="B9742" s="2">
        <v>21</v>
      </c>
      <c r="C9742" s="2">
        <v>21632917</v>
      </c>
      <c r="D9742" s="2">
        <v>22201890</v>
      </c>
      <c r="E9742" s="2">
        <v>4</v>
      </c>
      <c r="F9742" s="2" t="s">
        <v>10086</v>
      </c>
      <c r="H9742" s="3">
        <v>2.0000000000000001E-4</v>
      </c>
      <c r="K9742" s="2" t="s">
        <v>10087</v>
      </c>
    </row>
    <row r="9743" spans="1:11" x14ac:dyDescent="0.2">
      <c r="A9743" s="2">
        <v>2438</v>
      </c>
      <c r="B9743" s="2">
        <v>21</v>
      </c>
      <c r="C9743" s="2">
        <v>22201891</v>
      </c>
      <c r="D9743" s="2">
        <v>23266941</v>
      </c>
      <c r="E9743" s="2">
        <v>1</v>
      </c>
      <c r="F9743" s="2" t="s">
        <v>10086</v>
      </c>
      <c r="H9743" s="2">
        <v>1.2999999999999999E-3</v>
      </c>
      <c r="K9743" s="2" t="s">
        <v>10089</v>
      </c>
    </row>
    <row r="9744" spans="1:11" x14ac:dyDescent="0.2">
      <c r="A9744" s="2">
        <v>2438</v>
      </c>
      <c r="B9744" s="2">
        <v>21</v>
      </c>
      <c r="C9744" s="2">
        <v>22201891</v>
      </c>
      <c r="D9744" s="2">
        <v>23266941</v>
      </c>
      <c r="E9744" s="2">
        <v>2</v>
      </c>
      <c r="F9744" s="2" t="s">
        <v>10086</v>
      </c>
      <c r="H9744" s="2">
        <v>1E-3</v>
      </c>
      <c r="K9744" s="2" t="s">
        <v>10085</v>
      </c>
    </row>
    <row r="9745" spans="1:11" x14ac:dyDescent="0.2">
      <c r="A9745" s="2">
        <v>2438</v>
      </c>
      <c r="B9745" s="2">
        <v>21</v>
      </c>
      <c r="C9745" s="2">
        <v>22201891</v>
      </c>
      <c r="D9745" s="2">
        <v>23266941</v>
      </c>
      <c r="E9745" s="2">
        <v>3</v>
      </c>
      <c r="F9745" s="2" t="s">
        <v>10086</v>
      </c>
      <c r="H9745" s="2">
        <v>1E-3</v>
      </c>
      <c r="K9745" s="2" t="s">
        <v>10087</v>
      </c>
    </row>
    <row r="9746" spans="1:11" x14ac:dyDescent="0.2">
      <c r="A9746" s="2">
        <v>2438</v>
      </c>
      <c r="B9746" s="2">
        <v>21</v>
      </c>
      <c r="C9746" s="2">
        <v>22201891</v>
      </c>
      <c r="D9746" s="2">
        <v>23266941</v>
      </c>
      <c r="E9746" s="2">
        <v>4</v>
      </c>
      <c r="F9746" s="2" t="s">
        <v>10086</v>
      </c>
      <c r="H9746" s="3">
        <v>5.9999999999999995E-4</v>
      </c>
      <c r="K9746" s="2" t="s">
        <v>10088</v>
      </c>
    </row>
    <row r="9747" spans="1:11" x14ac:dyDescent="0.2">
      <c r="A9747" s="2">
        <v>2439</v>
      </c>
      <c r="B9747" s="2">
        <v>21</v>
      </c>
      <c r="C9747" s="2">
        <v>23266942</v>
      </c>
      <c r="D9747" s="2">
        <v>24055941</v>
      </c>
      <c r="E9747" s="2">
        <v>1</v>
      </c>
      <c r="F9747" s="2" t="s">
        <v>10086</v>
      </c>
      <c r="H9747" s="2">
        <v>3.2000000000000002E-3</v>
      </c>
      <c r="K9747" s="2" t="s">
        <v>10088</v>
      </c>
    </row>
    <row r="9748" spans="1:11" x14ac:dyDescent="0.2">
      <c r="A9748" s="2">
        <v>2439</v>
      </c>
      <c r="B9748" s="2">
        <v>21</v>
      </c>
      <c r="C9748" s="2">
        <v>23266942</v>
      </c>
      <c r="D9748" s="2">
        <v>24055941</v>
      </c>
      <c r="E9748" s="2">
        <v>2</v>
      </c>
      <c r="F9748" s="2" t="s">
        <v>10086</v>
      </c>
      <c r="H9748" s="2">
        <v>1E-3</v>
      </c>
      <c r="K9748" s="2" t="s">
        <v>10089</v>
      </c>
    </row>
    <row r="9749" spans="1:11" x14ac:dyDescent="0.2">
      <c r="A9749" s="2">
        <v>2439</v>
      </c>
      <c r="B9749" s="2">
        <v>21</v>
      </c>
      <c r="C9749" s="2">
        <v>23266942</v>
      </c>
      <c r="D9749" s="2">
        <v>24055941</v>
      </c>
      <c r="E9749" s="2">
        <v>3</v>
      </c>
      <c r="F9749" s="2" t="s">
        <v>10086</v>
      </c>
      <c r="H9749" s="3">
        <v>8.0000000000000004E-4</v>
      </c>
      <c r="K9749" s="2" t="s">
        <v>10085</v>
      </c>
    </row>
    <row r="9750" spans="1:11" x14ac:dyDescent="0.2">
      <c r="A9750" s="2">
        <v>2439</v>
      </c>
      <c r="B9750" s="2">
        <v>21</v>
      </c>
      <c r="C9750" s="2">
        <v>23266942</v>
      </c>
      <c r="D9750" s="2">
        <v>24055941</v>
      </c>
      <c r="E9750" s="2">
        <v>4</v>
      </c>
      <c r="F9750" s="2" t="s">
        <v>10086</v>
      </c>
      <c r="H9750" s="3">
        <v>5.0000000000000001E-4</v>
      </c>
      <c r="K9750" s="2" t="s">
        <v>10087</v>
      </c>
    </row>
    <row r="9751" spans="1:11" x14ac:dyDescent="0.2">
      <c r="A9751" s="2">
        <v>2440</v>
      </c>
      <c r="B9751" s="2">
        <v>21</v>
      </c>
      <c r="C9751" s="2">
        <v>24055942</v>
      </c>
      <c r="D9751" s="2">
        <v>25247986</v>
      </c>
      <c r="E9751" s="2">
        <v>1</v>
      </c>
      <c r="F9751" s="2" t="s">
        <v>10086</v>
      </c>
      <c r="H9751" s="2">
        <v>0.1827</v>
      </c>
      <c r="K9751" s="2" t="s">
        <v>10088</v>
      </c>
    </row>
    <row r="9752" spans="1:11" x14ac:dyDescent="0.2">
      <c r="A9752" s="2">
        <v>2440</v>
      </c>
      <c r="B9752" s="2">
        <v>21</v>
      </c>
      <c r="C9752" s="2">
        <v>24055942</v>
      </c>
      <c r="D9752" s="2">
        <v>25247986</v>
      </c>
      <c r="E9752" s="2">
        <v>2</v>
      </c>
      <c r="F9752" s="2" t="s">
        <v>10086</v>
      </c>
      <c r="H9752" s="2">
        <v>1.1000000000000001E-3</v>
      </c>
      <c r="K9752" s="2" t="s">
        <v>10089</v>
      </c>
    </row>
    <row r="9753" spans="1:11" x14ac:dyDescent="0.2">
      <c r="A9753" s="2">
        <v>2440</v>
      </c>
      <c r="B9753" s="2">
        <v>21</v>
      </c>
      <c r="C9753" s="2">
        <v>24055942</v>
      </c>
      <c r="D9753" s="2">
        <v>25247986</v>
      </c>
      <c r="E9753" s="2">
        <v>3</v>
      </c>
      <c r="F9753" s="2" t="s">
        <v>10086</v>
      </c>
      <c r="H9753" s="3">
        <v>8.9999999999999998E-4</v>
      </c>
      <c r="K9753" s="2" t="s">
        <v>10087</v>
      </c>
    </row>
    <row r="9754" spans="1:11" x14ac:dyDescent="0.2">
      <c r="A9754" s="2">
        <v>2440</v>
      </c>
      <c r="B9754" s="2">
        <v>21</v>
      </c>
      <c r="C9754" s="2">
        <v>24055942</v>
      </c>
      <c r="D9754" s="2">
        <v>25247986</v>
      </c>
      <c r="E9754" s="2">
        <v>4</v>
      </c>
      <c r="F9754" s="2" t="s">
        <v>10086</v>
      </c>
      <c r="H9754" s="3">
        <v>8.9999999999999998E-4</v>
      </c>
      <c r="K9754" s="2" t="s">
        <v>10085</v>
      </c>
    </row>
    <row r="9755" spans="1:11" x14ac:dyDescent="0.2">
      <c r="A9755" s="2">
        <v>2441</v>
      </c>
      <c r="B9755" s="2">
        <v>21</v>
      </c>
      <c r="C9755" s="2">
        <v>25247987</v>
      </c>
      <c r="D9755" s="2">
        <v>26467826</v>
      </c>
      <c r="E9755" s="2">
        <v>1</v>
      </c>
      <c r="F9755" s="2" t="s">
        <v>10086</v>
      </c>
      <c r="H9755" s="2">
        <v>2.2000000000000001E-3</v>
      </c>
      <c r="K9755" s="2" t="s">
        <v>10089</v>
      </c>
    </row>
    <row r="9756" spans="1:11" x14ac:dyDescent="0.2">
      <c r="A9756" s="2">
        <v>2441</v>
      </c>
      <c r="B9756" s="2">
        <v>21</v>
      </c>
      <c r="C9756" s="2">
        <v>25247987</v>
      </c>
      <c r="D9756" s="2">
        <v>26467826</v>
      </c>
      <c r="E9756" s="2">
        <v>2</v>
      </c>
      <c r="F9756" s="2" t="s">
        <v>10086</v>
      </c>
      <c r="H9756" s="2">
        <v>1.1999999999999999E-3</v>
      </c>
      <c r="K9756" s="2" t="s">
        <v>10087</v>
      </c>
    </row>
    <row r="9757" spans="1:11" x14ac:dyDescent="0.2">
      <c r="A9757" s="2">
        <v>2441</v>
      </c>
      <c r="B9757" s="2">
        <v>21</v>
      </c>
      <c r="C9757" s="2">
        <v>25247987</v>
      </c>
      <c r="D9757" s="2">
        <v>26467826</v>
      </c>
      <c r="E9757" s="2">
        <v>3</v>
      </c>
      <c r="F9757" s="2" t="s">
        <v>10086</v>
      </c>
      <c r="H9757" s="2">
        <v>1.2999999999999999E-3</v>
      </c>
      <c r="K9757" s="2" t="s">
        <v>10085</v>
      </c>
    </row>
    <row r="9758" spans="1:11" x14ac:dyDescent="0.2">
      <c r="A9758" s="2">
        <v>2441</v>
      </c>
      <c r="B9758" s="2">
        <v>21</v>
      </c>
      <c r="C9758" s="2">
        <v>25247987</v>
      </c>
      <c r="D9758" s="2">
        <v>26467826</v>
      </c>
      <c r="E9758" s="2">
        <v>4</v>
      </c>
      <c r="F9758" s="2" t="s">
        <v>10086</v>
      </c>
      <c r="H9758" s="3">
        <v>5.0000000000000001E-4</v>
      </c>
      <c r="K9758" s="2" t="s">
        <v>10088</v>
      </c>
    </row>
    <row r="9759" spans="1:11" x14ac:dyDescent="0.2">
      <c r="A9759" s="2">
        <v>2442</v>
      </c>
      <c r="B9759" s="2">
        <v>21</v>
      </c>
      <c r="C9759" s="2">
        <v>26467827</v>
      </c>
      <c r="D9759" s="2">
        <v>27774350</v>
      </c>
      <c r="E9759" s="2">
        <v>1</v>
      </c>
      <c r="F9759" s="2" t="s">
        <v>10086</v>
      </c>
      <c r="H9759" s="2">
        <v>2.8E-3</v>
      </c>
      <c r="K9759" s="2" t="s">
        <v>10085</v>
      </c>
    </row>
    <row r="9760" spans="1:11" x14ac:dyDescent="0.2">
      <c r="A9760" s="2">
        <v>2442</v>
      </c>
      <c r="B9760" s="2">
        <v>21</v>
      </c>
      <c r="C9760" s="2">
        <v>26467827</v>
      </c>
      <c r="D9760" s="2">
        <v>27774350</v>
      </c>
      <c r="E9760" s="2">
        <v>2</v>
      </c>
      <c r="F9760" s="2" t="s">
        <v>10086</v>
      </c>
      <c r="H9760" s="2">
        <v>1.1999999999999999E-3</v>
      </c>
      <c r="K9760" s="2" t="s">
        <v>10089</v>
      </c>
    </row>
    <row r="9761" spans="1:11" x14ac:dyDescent="0.2">
      <c r="A9761" s="2">
        <v>2442</v>
      </c>
      <c r="B9761" s="2">
        <v>21</v>
      </c>
      <c r="C9761" s="2">
        <v>26467827</v>
      </c>
      <c r="D9761" s="2">
        <v>27774350</v>
      </c>
      <c r="E9761" s="2">
        <v>3</v>
      </c>
      <c r="F9761" s="2" t="s">
        <v>10086</v>
      </c>
      <c r="H9761" s="3">
        <v>8.9999999999999998E-4</v>
      </c>
      <c r="K9761" s="2" t="s">
        <v>10087</v>
      </c>
    </row>
    <row r="9762" spans="1:11" x14ac:dyDescent="0.2">
      <c r="A9762" s="2">
        <v>2442</v>
      </c>
      <c r="B9762" s="2">
        <v>21</v>
      </c>
      <c r="C9762" s="2">
        <v>26467827</v>
      </c>
      <c r="D9762" s="2">
        <v>27774350</v>
      </c>
      <c r="E9762" s="2">
        <v>4</v>
      </c>
      <c r="F9762" s="2" t="s">
        <v>10086</v>
      </c>
      <c r="H9762" s="3">
        <v>5.0000000000000001E-4</v>
      </c>
      <c r="K9762" s="2" t="s">
        <v>10088</v>
      </c>
    </row>
    <row r="9763" spans="1:11" x14ac:dyDescent="0.2">
      <c r="A9763" s="2">
        <v>2443</v>
      </c>
      <c r="B9763" s="2">
        <v>21</v>
      </c>
      <c r="C9763" s="2">
        <v>27774351</v>
      </c>
      <c r="D9763" s="2">
        <v>28616539</v>
      </c>
      <c r="E9763" s="2">
        <v>1</v>
      </c>
      <c r="F9763" s="2" t="s">
        <v>10086</v>
      </c>
      <c r="H9763" s="2">
        <v>1.1999999999999999E-3</v>
      </c>
      <c r="K9763" s="2" t="s">
        <v>10089</v>
      </c>
    </row>
    <row r="9764" spans="1:11" x14ac:dyDescent="0.2">
      <c r="A9764" s="2">
        <v>2443</v>
      </c>
      <c r="B9764" s="2">
        <v>21</v>
      </c>
      <c r="C9764" s="2">
        <v>27774351</v>
      </c>
      <c r="D9764" s="2">
        <v>28616539</v>
      </c>
      <c r="E9764" s="2">
        <v>2</v>
      </c>
      <c r="F9764" s="2" t="s">
        <v>10086</v>
      </c>
      <c r="H9764" s="3">
        <v>8.9999999999999998E-4</v>
      </c>
      <c r="K9764" s="2" t="s">
        <v>10088</v>
      </c>
    </row>
    <row r="9765" spans="1:11" x14ac:dyDescent="0.2">
      <c r="A9765" s="2">
        <v>2443</v>
      </c>
      <c r="B9765" s="2">
        <v>21</v>
      </c>
      <c r="C9765" s="2">
        <v>27774351</v>
      </c>
      <c r="D9765" s="2">
        <v>28616539</v>
      </c>
      <c r="E9765" s="2">
        <v>3</v>
      </c>
      <c r="F9765" s="2" t="s">
        <v>10086</v>
      </c>
      <c r="H9765" s="3">
        <v>6.9999999999999999E-4</v>
      </c>
      <c r="K9765" s="2" t="s">
        <v>10085</v>
      </c>
    </row>
    <row r="9766" spans="1:11" x14ac:dyDescent="0.2">
      <c r="A9766" s="2">
        <v>2443</v>
      </c>
      <c r="B9766" s="2">
        <v>21</v>
      </c>
      <c r="C9766" s="2">
        <v>27774351</v>
      </c>
      <c r="D9766" s="2">
        <v>28616539</v>
      </c>
      <c r="E9766" s="2">
        <v>4</v>
      </c>
      <c r="F9766" s="2" t="s">
        <v>10086</v>
      </c>
      <c r="H9766" s="3">
        <v>2.9999999999999997E-4</v>
      </c>
      <c r="K9766" s="2" t="s">
        <v>10087</v>
      </c>
    </row>
    <row r="9767" spans="1:11" x14ac:dyDescent="0.2">
      <c r="A9767" s="2">
        <v>2444</v>
      </c>
      <c r="B9767" s="2">
        <v>21</v>
      </c>
      <c r="C9767" s="2">
        <v>28616540</v>
      </c>
      <c r="D9767" s="2">
        <v>29449870</v>
      </c>
      <c r="E9767" s="2">
        <v>1</v>
      </c>
      <c r="F9767" s="2" t="s">
        <v>10086</v>
      </c>
      <c r="H9767" s="3">
        <v>8.0000000000000004E-4</v>
      </c>
      <c r="K9767" s="2" t="s">
        <v>10089</v>
      </c>
    </row>
    <row r="9768" spans="1:11" x14ac:dyDescent="0.2">
      <c r="A9768" s="2">
        <v>2444</v>
      </c>
      <c r="B9768" s="2">
        <v>21</v>
      </c>
      <c r="C9768" s="2">
        <v>28616540</v>
      </c>
      <c r="D9768" s="2">
        <v>29449870</v>
      </c>
      <c r="E9768" s="2">
        <v>2</v>
      </c>
      <c r="F9768" s="2" t="s">
        <v>10086</v>
      </c>
      <c r="H9768" s="3">
        <v>8.9999999999999998E-4</v>
      </c>
      <c r="K9768" s="2" t="s">
        <v>10088</v>
      </c>
    </row>
    <row r="9769" spans="1:11" x14ac:dyDescent="0.2">
      <c r="A9769" s="2">
        <v>2444</v>
      </c>
      <c r="B9769" s="2">
        <v>21</v>
      </c>
      <c r="C9769" s="2">
        <v>28616540</v>
      </c>
      <c r="D9769" s="2">
        <v>29449870</v>
      </c>
      <c r="E9769" s="2">
        <v>3</v>
      </c>
      <c r="F9769" s="2" t="s">
        <v>10086</v>
      </c>
      <c r="H9769" s="3">
        <v>8.0000000000000004E-4</v>
      </c>
      <c r="K9769" s="2" t="s">
        <v>10085</v>
      </c>
    </row>
    <row r="9770" spans="1:11" x14ac:dyDescent="0.2">
      <c r="A9770" s="2">
        <v>2444</v>
      </c>
      <c r="B9770" s="2">
        <v>21</v>
      </c>
      <c r="C9770" s="2">
        <v>28616540</v>
      </c>
      <c r="D9770" s="2">
        <v>29449870</v>
      </c>
      <c r="E9770" s="2">
        <v>4</v>
      </c>
      <c r="F9770" s="2" t="s">
        <v>10086</v>
      </c>
      <c r="H9770" s="3">
        <v>4.0000000000000002E-4</v>
      </c>
      <c r="K9770" s="2" t="s">
        <v>10087</v>
      </c>
    </row>
    <row r="9771" spans="1:11" x14ac:dyDescent="0.2">
      <c r="A9771" s="2">
        <v>2445</v>
      </c>
      <c r="B9771" s="2">
        <v>21</v>
      </c>
      <c r="C9771" s="2">
        <v>29449871</v>
      </c>
      <c r="D9771" s="2">
        <v>30847296</v>
      </c>
      <c r="E9771" s="2">
        <v>1</v>
      </c>
      <c r="F9771" s="2" t="s">
        <v>10086</v>
      </c>
      <c r="H9771" s="2">
        <v>5.5999999999999999E-3</v>
      </c>
      <c r="K9771" s="2" t="s">
        <v>10085</v>
      </c>
    </row>
    <row r="9772" spans="1:11" x14ac:dyDescent="0.2">
      <c r="A9772" s="2">
        <v>2445</v>
      </c>
      <c r="B9772" s="2">
        <v>21</v>
      </c>
      <c r="C9772" s="2">
        <v>29449871</v>
      </c>
      <c r="D9772" s="2">
        <v>30847296</v>
      </c>
      <c r="E9772" s="2">
        <v>2</v>
      </c>
      <c r="F9772" s="2" t="s">
        <v>10086</v>
      </c>
      <c r="H9772" s="2">
        <v>1.6000000000000001E-3</v>
      </c>
      <c r="K9772" s="2" t="s">
        <v>10087</v>
      </c>
    </row>
    <row r="9773" spans="1:11" x14ac:dyDescent="0.2">
      <c r="A9773" s="2">
        <v>2445</v>
      </c>
      <c r="B9773" s="2">
        <v>21</v>
      </c>
      <c r="C9773" s="2">
        <v>29449871</v>
      </c>
      <c r="D9773" s="2">
        <v>30847296</v>
      </c>
      <c r="E9773" s="2">
        <v>3</v>
      </c>
      <c r="F9773" s="2" t="s">
        <v>10086</v>
      </c>
      <c r="H9773" s="2">
        <v>1.5E-3</v>
      </c>
      <c r="K9773" s="2" t="s">
        <v>10089</v>
      </c>
    </row>
    <row r="9774" spans="1:11" x14ac:dyDescent="0.2">
      <c r="A9774" s="2">
        <v>2445</v>
      </c>
      <c r="B9774" s="2">
        <v>21</v>
      </c>
      <c r="C9774" s="2">
        <v>29449871</v>
      </c>
      <c r="D9774" s="2">
        <v>30847296</v>
      </c>
      <c r="E9774" s="2">
        <v>4</v>
      </c>
      <c r="F9774" s="2" t="s">
        <v>10086</v>
      </c>
      <c r="H9774" s="3">
        <v>8.0000000000000004E-4</v>
      </c>
      <c r="K9774" s="2" t="s">
        <v>10088</v>
      </c>
    </row>
    <row r="9775" spans="1:11" x14ac:dyDescent="0.2">
      <c r="A9775" s="2">
        <v>2446</v>
      </c>
      <c r="B9775" s="2">
        <v>21</v>
      </c>
      <c r="C9775" s="2">
        <v>30847297</v>
      </c>
      <c r="D9775" s="2">
        <v>32202239</v>
      </c>
      <c r="E9775" s="2">
        <v>1</v>
      </c>
      <c r="F9775" s="2" t="s">
        <v>10086</v>
      </c>
      <c r="H9775" s="2">
        <v>1.6999999999999999E-3</v>
      </c>
      <c r="K9775" s="2" t="s">
        <v>10089</v>
      </c>
    </row>
    <row r="9776" spans="1:11" x14ac:dyDescent="0.2">
      <c r="A9776" s="2">
        <v>2446</v>
      </c>
      <c r="B9776" s="2">
        <v>21</v>
      </c>
      <c r="C9776" s="2">
        <v>30847297</v>
      </c>
      <c r="D9776" s="2">
        <v>32202239</v>
      </c>
      <c r="E9776" s="2">
        <v>2</v>
      </c>
      <c r="F9776" s="2" t="s">
        <v>10086</v>
      </c>
      <c r="H9776" s="2">
        <v>3.3E-3</v>
      </c>
      <c r="K9776" s="2" t="s">
        <v>10085</v>
      </c>
    </row>
    <row r="9777" spans="1:11" x14ac:dyDescent="0.2">
      <c r="A9777" s="2">
        <v>2446</v>
      </c>
      <c r="B9777" s="2">
        <v>21</v>
      </c>
      <c r="C9777" s="2">
        <v>30847297</v>
      </c>
      <c r="D9777" s="2">
        <v>32202239</v>
      </c>
      <c r="E9777" s="2">
        <v>3</v>
      </c>
      <c r="F9777" s="2" t="s">
        <v>10086</v>
      </c>
      <c r="H9777" s="2">
        <v>1.2999999999999999E-3</v>
      </c>
      <c r="K9777" s="2" t="s">
        <v>10088</v>
      </c>
    </row>
    <row r="9778" spans="1:11" x14ac:dyDescent="0.2">
      <c r="A9778" s="2">
        <v>2446</v>
      </c>
      <c r="B9778" s="2">
        <v>21</v>
      </c>
      <c r="C9778" s="2">
        <v>30847297</v>
      </c>
      <c r="D9778" s="2">
        <v>32202239</v>
      </c>
      <c r="E9778" s="2">
        <v>4</v>
      </c>
      <c r="F9778" s="2" t="s">
        <v>10086</v>
      </c>
      <c r="H9778" s="3">
        <v>8.0000000000000004E-4</v>
      </c>
      <c r="K9778" s="2" t="s">
        <v>10087</v>
      </c>
    </row>
    <row r="9779" spans="1:11" x14ac:dyDescent="0.2">
      <c r="A9779" s="2">
        <v>2447</v>
      </c>
      <c r="B9779" s="2">
        <v>21</v>
      </c>
      <c r="C9779" s="2">
        <v>32202240</v>
      </c>
      <c r="D9779" s="2">
        <v>33270272</v>
      </c>
      <c r="E9779" s="2">
        <v>1</v>
      </c>
      <c r="F9779" s="2" t="s">
        <v>10086</v>
      </c>
      <c r="H9779" s="2">
        <v>2E-3</v>
      </c>
      <c r="K9779" s="2" t="s">
        <v>10088</v>
      </c>
    </row>
    <row r="9780" spans="1:11" x14ac:dyDescent="0.2">
      <c r="A9780" s="2">
        <v>2447</v>
      </c>
      <c r="B9780" s="2">
        <v>21</v>
      </c>
      <c r="C9780" s="2">
        <v>32202240</v>
      </c>
      <c r="D9780" s="2">
        <v>33270272</v>
      </c>
      <c r="E9780" s="2">
        <v>2</v>
      </c>
      <c r="F9780" s="2" t="s">
        <v>10086</v>
      </c>
      <c r="H9780" s="2">
        <v>1.2999999999999999E-3</v>
      </c>
      <c r="K9780" s="2" t="s">
        <v>10085</v>
      </c>
    </row>
    <row r="9781" spans="1:11" x14ac:dyDescent="0.2">
      <c r="A9781" s="2">
        <v>2447</v>
      </c>
      <c r="B9781" s="2">
        <v>21</v>
      </c>
      <c r="C9781" s="2">
        <v>32202240</v>
      </c>
      <c r="D9781" s="2">
        <v>33270272</v>
      </c>
      <c r="E9781" s="2">
        <v>3</v>
      </c>
      <c r="F9781" s="2" t="s">
        <v>10086</v>
      </c>
      <c r="H9781" s="2">
        <v>1.9E-3</v>
      </c>
      <c r="K9781" s="2" t="s">
        <v>12324</v>
      </c>
    </row>
    <row r="9782" spans="1:11" x14ac:dyDescent="0.2">
      <c r="A9782" s="2">
        <v>2447</v>
      </c>
      <c r="B9782" s="2">
        <v>21</v>
      </c>
      <c r="C9782" s="2">
        <v>32202240</v>
      </c>
      <c r="D9782" s="2">
        <v>33270272</v>
      </c>
      <c r="E9782" s="2">
        <v>4</v>
      </c>
      <c r="F9782" s="2" t="s">
        <v>10086</v>
      </c>
      <c r="H9782" s="2">
        <v>1E-3</v>
      </c>
      <c r="K9782" s="2" t="s">
        <v>10087</v>
      </c>
    </row>
    <row r="9783" spans="1:11" x14ac:dyDescent="0.2">
      <c r="A9783" s="2">
        <v>2448</v>
      </c>
      <c r="B9783" s="2">
        <v>21</v>
      </c>
      <c r="C9783" s="2">
        <v>33270273</v>
      </c>
      <c r="D9783" s="2">
        <v>34383794</v>
      </c>
      <c r="E9783" s="2">
        <v>1</v>
      </c>
      <c r="F9783" s="2" t="s">
        <v>10086</v>
      </c>
      <c r="H9783" s="2">
        <v>1.6799999999999999E-2</v>
      </c>
      <c r="K9783" s="2" t="s">
        <v>10087</v>
      </c>
    </row>
    <row r="9784" spans="1:11" x14ac:dyDescent="0.2">
      <c r="A9784" s="2">
        <v>2448</v>
      </c>
      <c r="B9784" s="2">
        <v>21</v>
      </c>
      <c r="C9784" s="2">
        <v>33270273</v>
      </c>
      <c r="D9784" s="2">
        <v>34383794</v>
      </c>
      <c r="E9784" s="2">
        <v>2</v>
      </c>
      <c r="F9784" s="2" t="s">
        <v>10086</v>
      </c>
      <c r="H9784" s="2">
        <v>1.1999999999999999E-3</v>
      </c>
      <c r="K9784" s="2" t="s">
        <v>10089</v>
      </c>
    </row>
    <row r="9785" spans="1:11" x14ac:dyDescent="0.2">
      <c r="A9785" s="2">
        <v>2448</v>
      </c>
      <c r="B9785" s="2">
        <v>21</v>
      </c>
      <c r="C9785" s="2">
        <v>33270273</v>
      </c>
      <c r="D9785" s="2">
        <v>34383794</v>
      </c>
      <c r="E9785" s="2">
        <v>3</v>
      </c>
      <c r="F9785" s="2" t="s">
        <v>10086</v>
      </c>
      <c r="H9785" s="3">
        <v>8.9999999999999998E-4</v>
      </c>
      <c r="K9785" s="2" t="s">
        <v>10088</v>
      </c>
    </row>
    <row r="9786" spans="1:11" x14ac:dyDescent="0.2">
      <c r="A9786" s="2">
        <v>2448</v>
      </c>
      <c r="B9786" s="2">
        <v>21</v>
      </c>
      <c r="C9786" s="2">
        <v>33270273</v>
      </c>
      <c r="D9786" s="2">
        <v>34383794</v>
      </c>
      <c r="E9786" s="2">
        <v>4</v>
      </c>
      <c r="F9786" s="2" t="s">
        <v>10086</v>
      </c>
      <c r="H9786" s="3">
        <v>5.9999999999999995E-4</v>
      </c>
      <c r="K9786" s="2" t="s">
        <v>10085</v>
      </c>
    </row>
    <row r="9787" spans="1:11" x14ac:dyDescent="0.2">
      <c r="A9787" s="2">
        <v>2449</v>
      </c>
      <c r="B9787" s="2">
        <v>21</v>
      </c>
      <c r="C9787" s="2">
        <v>34383795</v>
      </c>
      <c r="D9787" s="2">
        <v>35729261</v>
      </c>
      <c r="E9787" s="2">
        <v>1</v>
      </c>
      <c r="F9787" s="2" t="s">
        <v>10086</v>
      </c>
      <c r="H9787" s="2">
        <v>8.2000000000000007E-3</v>
      </c>
      <c r="K9787" s="2" t="s">
        <v>10085</v>
      </c>
    </row>
    <row r="9788" spans="1:11" x14ac:dyDescent="0.2">
      <c r="A9788" s="2">
        <v>2449</v>
      </c>
      <c r="B9788" s="2">
        <v>21</v>
      </c>
      <c r="C9788" s="2">
        <v>34383795</v>
      </c>
      <c r="D9788" s="2">
        <v>35729261</v>
      </c>
      <c r="E9788" s="2">
        <v>2</v>
      </c>
      <c r="F9788" s="2" t="s">
        <v>10086</v>
      </c>
      <c r="H9788" s="2">
        <v>3.5000000000000001E-3</v>
      </c>
      <c r="K9788" s="2" t="s">
        <v>10088</v>
      </c>
    </row>
    <row r="9789" spans="1:11" x14ac:dyDescent="0.2">
      <c r="A9789" s="2">
        <v>2449</v>
      </c>
      <c r="B9789" s="2">
        <v>21</v>
      </c>
      <c r="C9789" s="2">
        <v>34383795</v>
      </c>
      <c r="D9789" s="2">
        <v>35729261</v>
      </c>
      <c r="E9789" s="2">
        <v>3</v>
      </c>
      <c r="F9789" s="2" t="s">
        <v>10086</v>
      </c>
      <c r="H9789" s="2">
        <v>1.4E-3</v>
      </c>
      <c r="K9789" s="2" t="s">
        <v>12324</v>
      </c>
    </row>
    <row r="9790" spans="1:11" x14ac:dyDescent="0.2">
      <c r="A9790" s="2">
        <v>2449</v>
      </c>
      <c r="B9790" s="2">
        <v>21</v>
      </c>
      <c r="C9790" s="2">
        <v>34383795</v>
      </c>
      <c r="D9790" s="2">
        <v>35729261</v>
      </c>
      <c r="E9790" s="2">
        <v>4</v>
      </c>
      <c r="F9790" s="2" t="s">
        <v>10086</v>
      </c>
      <c r="H9790" s="2">
        <v>1.2999999999999999E-3</v>
      </c>
      <c r="K9790" s="2" t="s">
        <v>10089</v>
      </c>
    </row>
    <row r="9791" spans="1:11" x14ac:dyDescent="0.2">
      <c r="A9791" s="2">
        <v>2450</v>
      </c>
      <c r="B9791" s="2">
        <v>21</v>
      </c>
      <c r="C9791" s="2">
        <v>35729262</v>
      </c>
      <c r="D9791" s="2">
        <v>37303548</v>
      </c>
      <c r="E9791" s="2">
        <v>1</v>
      </c>
      <c r="F9791" s="2" t="s">
        <v>10086</v>
      </c>
      <c r="H9791" s="2">
        <v>5.3E-3</v>
      </c>
      <c r="K9791" s="2" t="s">
        <v>10088</v>
      </c>
    </row>
    <row r="9792" spans="1:11" x14ac:dyDescent="0.2">
      <c r="A9792" s="2">
        <v>2450</v>
      </c>
      <c r="B9792" s="2">
        <v>21</v>
      </c>
      <c r="C9792" s="2">
        <v>35729262</v>
      </c>
      <c r="D9792" s="2">
        <v>37303548</v>
      </c>
      <c r="E9792" s="2">
        <v>2</v>
      </c>
      <c r="F9792" s="2" t="s">
        <v>10086</v>
      </c>
      <c r="H9792" s="2">
        <v>1.9E-3</v>
      </c>
      <c r="K9792" s="2" t="s">
        <v>10085</v>
      </c>
    </row>
    <row r="9793" spans="1:11" x14ac:dyDescent="0.2">
      <c r="A9793" s="2">
        <v>2450</v>
      </c>
      <c r="B9793" s="2">
        <v>21</v>
      </c>
      <c r="C9793" s="2">
        <v>35729262</v>
      </c>
      <c r="D9793" s="2">
        <v>37303548</v>
      </c>
      <c r="E9793" s="2">
        <v>3</v>
      </c>
      <c r="F9793" s="2" t="s">
        <v>10086</v>
      </c>
      <c r="H9793" s="2">
        <v>1.4E-3</v>
      </c>
      <c r="K9793" s="2" t="s">
        <v>12324</v>
      </c>
    </row>
    <row r="9794" spans="1:11" x14ac:dyDescent="0.2">
      <c r="A9794" s="2">
        <v>2450</v>
      </c>
      <c r="B9794" s="2">
        <v>21</v>
      </c>
      <c r="C9794" s="2">
        <v>35729262</v>
      </c>
      <c r="D9794" s="2">
        <v>37303548</v>
      </c>
      <c r="E9794" s="2">
        <v>4</v>
      </c>
      <c r="F9794" s="2" t="s">
        <v>10086</v>
      </c>
      <c r="H9794" s="2">
        <v>1.1999999999999999E-3</v>
      </c>
      <c r="K9794" s="2" t="s">
        <v>10089</v>
      </c>
    </row>
    <row r="9795" spans="1:11" x14ac:dyDescent="0.2">
      <c r="A9795" s="2">
        <v>2451</v>
      </c>
      <c r="B9795" s="2">
        <v>21</v>
      </c>
      <c r="C9795" s="2">
        <v>37303549</v>
      </c>
      <c r="D9795" s="2">
        <v>38046449</v>
      </c>
      <c r="E9795" s="2">
        <v>1</v>
      </c>
      <c r="F9795" s="2" t="s">
        <v>10086</v>
      </c>
      <c r="H9795" s="2">
        <v>3.5000000000000001E-3</v>
      </c>
      <c r="K9795" s="2" t="s">
        <v>10087</v>
      </c>
    </row>
    <row r="9796" spans="1:11" x14ac:dyDescent="0.2">
      <c r="A9796" s="2">
        <v>2451</v>
      </c>
      <c r="B9796" s="2">
        <v>21</v>
      </c>
      <c r="C9796" s="2">
        <v>37303549</v>
      </c>
      <c r="D9796" s="2">
        <v>38046449</v>
      </c>
      <c r="E9796" s="2">
        <v>2</v>
      </c>
      <c r="F9796" s="2" t="s">
        <v>10086</v>
      </c>
      <c r="H9796" s="2">
        <v>2.0999999999999999E-3</v>
      </c>
      <c r="K9796" s="2" t="s">
        <v>10085</v>
      </c>
    </row>
    <row r="9797" spans="1:11" x14ac:dyDescent="0.2">
      <c r="A9797" s="2">
        <v>2451</v>
      </c>
      <c r="B9797" s="2">
        <v>21</v>
      </c>
      <c r="C9797" s="2">
        <v>37303549</v>
      </c>
      <c r="D9797" s="2">
        <v>38046449</v>
      </c>
      <c r="E9797" s="2">
        <v>3</v>
      </c>
      <c r="F9797" s="2" t="s">
        <v>10086</v>
      </c>
      <c r="H9797" s="2">
        <v>1.6999999999999999E-3</v>
      </c>
      <c r="K9797" s="2" t="s">
        <v>10089</v>
      </c>
    </row>
    <row r="9798" spans="1:11" x14ac:dyDescent="0.2">
      <c r="A9798" s="2">
        <v>2451</v>
      </c>
      <c r="B9798" s="2">
        <v>21</v>
      </c>
      <c r="C9798" s="2">
        <v>37303549</v>
      </c>
      <c r="D9798" s="2">
        <v>38046449</v>
      </c>
      <c r="E9798" s="2">
        <v>4</v>
      </c>
      <c r="F9798" s="2" t="s">
        <v>10086</v>
      </c>
      <c r="H9798" s="3">
        <v>4.0000000000000002E-4</v>
      </c>
      <c r="K9798" s="2" t="s">
        <v>10088</v>
      </c>
    </row>
    <row r="9799" spans="1:11" x14ac:dyDescent="0.2">
      <c r="A9799" s="2">
        <v>2452</v>
      </c>
      <c r="B9799" s="2">
        <v>21</v>
      </c>
      <c r="C9799" s="2">
        <v>38046450</v>
      </c>
      <c r="D9799" s="2">
        <v>39252059</v>
      </c>
      <c r="E9799" s="2">
        <v>1</v>
      </c>
      <c r="F9799" s="2" t="s">
        <v>10086</v>
      </c>
      <c r="H9799" s="2">
        <v>8.8999999999999999E-3</v>
      </c>
      <c r="K9799" s="2" t="s">
        <v>10088</v>
      </c>
    </row>
    <row r="9800" spans="1:11" x14ac:dyDescent="0.2">
      <c r="A9800" s="2">
        <v>2452</v>
      </c>
      <c r="B9800" s="2">
        <v>21</v>
      </c>
      <c r="C9800" s="2">
        <v>38046450</v>
      </c>
      <c r="D9800" s="2">
        <v>39252059</v>
      </c>
      <c r="E9800" s="2">
        <v>2</v>
      </c>
      <c r="F9800" s="2" t="s">
        <v>10086</v>
      </c>
      <c r="H9800" s="2">
        <v>2.8E-3</v>
      </c>
      <c r="K9800" s="2" t="s">
        <v>10085</v>
      </c>
    </row>
    <row r="9801" spans="1:11" x14ac:dyDescent="0.2">
      <c r="A9801" s="2">
        <v>2452</v>
      </c>
      <c r="B9801" s="2">
        <v>21</v>
      </c>
      <c r="C9801" s="2">
        <v>38046450</v>
      </c>
      <c r="D9801" s="2">
        <v>39252059</v>
      </c>
      <c r="E9801" s="2">
        <v>3</v>
      </c>
      <c r="F9801" s="2" t="s">
        <v>10086</v>
      </c>
      <c r="H9801" s="2">
        <v>2.5999999999999999E-3</v>
      </c>
      <c r="K9801" s="2" t="s">
        <v>10089</v>
      </c>
    </row>
    <row r="9802" spans="1:11" x14ac:dyDescent="0.2">
      <c r="A9802" s="2">
        <v>2452</v>
      </c>
      <c r="B9802" s="2">
        <v>21</v>
      </c>
      <c r="C9802" s="2">
        <v>38046450</v>
      </c>
      <c r="D9802" s="2">
        <v>39252059</v>
      </c>
      <c r="E9802" s="2">
        <v>4</v>
      </c>
      <c r="F9802" s="2" t="s">
        <v>10086</v>
      </c>
      <c r="H9802" s="3">
        <v>4.0000000000000002E-4</v>
      </c>
      <c r="K9802" s="2" t="s">
        <v>10087</v>
      </c>
    </row>
    <row r="9803" spans="1:11" x14ac:dyDescent="0.2">
      <c r="A9803" s="2">
        <v>2453</v>
      </c>
      <c r="B9803" s="2">
        <v>21</v>
      </c>
      <c r="C9803" s="2">
        <v>39252060</v>
      </c>
      <c r="D9803" s="2">
        <v>40480831</v>
      </c>
      <c r="E9803" s="2">
        <v>1</v>
      </c>
      <c r="F9803" s="2" t="s">
        <v>10086</v>
      </c>
      <c r="H9803" s="2">
        <v>1.2999999999999999E-3</v>
      </c>
      <c r="K9803" s="2" t="s">
        <v>10089</v>
      </c>
    </row>
    <row r="9804" spans="1:11" x14ac:dyDescent="0.2">
      <c r="A9804" s="2">
        <v>2453</v>
      </c>
      <c r="B9804" s="2">
        <v>21</v>
      </c>
      <c r="C9804" s="2">
        <v>39252060</v>
      </c>
      <c r="D9804" s="2">
        <v>40480831</v>
      </c>
      <c r="E9804" s="2">
        <v>2</v>
      </c>
      <c r="F9804" s="2" t="s">
        <v>10086</v>
      </c>
      <c r="H9804" s="2">
        <v>1E-3</v>
      </c>
      <c r="K9804" s="2" t="s">
        <v>10087</v>
      </c>
    </row>
    <row r="9805" spans="1:11" x14ac:dyDescent="0.2">
      <c r="A9805" s="2">
        <v>2453</v>
      </c>
      <c r="B9805" s="2">
        <v>21</v>
      </c>
      <c r="C9805" s="2">
        <v>39252060</v>
      </c>
      <c r="D9805" s="2">
        <v>40480831</v>
      </c>
      <c r="E9805" s="2">
        <v>3</v>
      </c>
      <c r="F9805" s="2" t="s">
        <v>10086</v>
      </c>
      <c r="H9805" s="3">
        <v>8.9999999999999998E-4</v>
      </c>
      <c r="K9805" s="2" t="s">
        <v>10085</v>
      </c>
    </row>
    <row r="9806" spans="1:11" x14ac:dyDescent="0.2">
      <c r="A9806" s="2">
        <v>2453</v>
      </c>
      <c r="B9806" s="2">
        <v>21</v>
      </c>
      <c r="C9806" s="2">
        <v>39252060</v>
      </c>
      <c r="D9806" s="2">
        <v>40480831</v>
      </c>
      <c r="E9806" s="2">
        <v>4</v>
      </c>
      <c r="F9806" s="2" t="s">
        <v>10086</v>
      </c>
      <c r="H9806" s="3">
        <v>4.0000000000000002E-4</v>
      </c>
      <c r="K9806" s="2" t="s">
        <v>10088</v>
      </c>
    </row>
    <row r="9807" spans="1:11" x14ac:dyDescent="0.2">
      <c r="A9807" s="2">
        <v>2454</v>
      </c>
      <c r="B9807" s="2">
        <v>21</v>
      </c>
      <c r="C9807" s="2">
        <v>40480832</v>
      </c>
      <c r="D9807" s="2">
        <v>41344742</v>
      </c>
      <c r="E9807" s="2">
        <v>1</v>
      </c>
      <c r="F9807" s="2" t="s">
        <v>10086</v>
      </c>
      <c r="H9807" s="3">
        <v>6.9999999999999999E-4</v>
      </c>
      <c r="K9807" s="2" t="s">
        <v>10088</v>
      </c>
    </row>
    <row r="9808" spans="1:11" x14ac:dyDescent="0.2">
      <c r="A9808" s="2">
        <v>2454</v>
      </c>
      <c r="B9808" s="2">
        <v>21</v>
      </c>
      <c r="C9808" s="2">
        <v>40480832</v>
      </c>
      <c r="D9808" s="2">
        <v>41344742</v>
      </c>
      <c r="E9808" s="2">
        <v>2</v>
      </c>
      <c r="F9808" s="2" t="s">
        <v>10086</v>
      </c>
      <c r="H9808" s="3">
        <v>8.0000000000000004E-4</v>
      </c>
      <c r="K9808" s="2" t="s">
        <v>10087</v>
      </c>
    </row>
    <row r="9809" spans="1:11" x14ac:dyDescent="0.2">
      <c r="A9809" s="2">
        <v>2454</v>
      </c>
      <c r="B9809" s="2">
        <v>21</v>
      </c>
      <c r="C9809" s="2">
        <v>40480832</v>
      </c>
      <c r="D9809" s="2">
        <v>41344742</v>
      </c>
      <c r="E9809" s="2">
        <v>3</v>
      </c>
      <c r="F9809" s="2" t="s">
        <v>10086</v>
      </c>
      <c r="H9809" s="3">
        <v>5.0000000000000001E-4</v>
      </c>
      <c r="K9809" s="2" t="s">
        <v>10089</v>
      </c>
    </row>
    <row r="9810" spans="1:11" x14ac:dyDescent="0.2">
      <c r="A9810" s="2">
        <v>2454</v>
      </c>
      <c r="B9810" s="2">
        <v>21</v>
      </c>
      <c r="C9810" s="2">
        <v>40480832</v>
      </c>
      <c r="D9810" s="2">
        <v>41344742</v>
      </c>
      <c r="E9810" s="2">
        <v>4</v>
      </c>
      <c r="F9810" s="2" t="s">
        <v>10086</v>
      </c>
      <c r="H9810" s="3">
        <v>4.0000000000000002E-4</v>
      </c>
      <c r="K9810" s="2" t="s">
        <v>10085</v>
      </c>
    </row>
    <row r="9811" spans="1:11" x14ac:dyDescent="0.2">
      <c r="A9811" s="2">
        <v>2455</v>
      </c>
      <c r="B9811" s="2">
        <v>21</v>
      </c>
      <c r="C9811" s="2">
        <v>41344743</v>
      </c>
      <c r="D9811" s="2">
        <v>42187152</v>
      </c>
      <c r="E9811" s="2">
        <v>1</v>
      </c>
      <c r="F9811" s="2" t="s">
        <v>10086</v>
      </c>
      <c r="H9811" s="2">
        <v>1.1999999999999999E-3</v>
      </c>
      <c r="K9811" s="2" t="s">
        <v>10089</v>
      </c>
    </row>
    <row r="9812" spans="1:11" x14ac:dyDescent="0.2">
      <c r="A9812" s="2">
        <v>2455</v>
      </c>
      <c r="B9812" s="2">
        <v>21</v>
      </c>
      <c r="C9812" s="2">
        <v>41344743</v>
      </c>
      <c r="D9812" s="2">
        <v>42187152</v>
      </c>
      <c r="E9812" s="2">
        <v>2</v>
      </c>
      <c r="F9812" s="2" t="s">
        <v>10086</v>
      </c>
      <c r="H9812" s="2">
        <v>1.4E-3</v>
      </c>
      <c r="K9812" s="2" t="s">
        <v>10087</v>
      </c>
    </row>
    <row r="9813" spans="1:11" x14ac:dyDescent="0.2">
      <c r="A9813" s="2">
        <v>2455</v>
      </c>
      <c r="B9813" s="2">
        <v>21</v>
      </c>
      <c r="C9813" s="2">
        <v>41344743</v>
      </c>
      <c r="D9813" s="2">
        <v>42187152</v>
      </c>
      <c r="E9813" s="2">
        <v>3</v>
      </c>
      <c r="F9813" s="2" t="s">
        <v>10086</v>
      </c>
      <c r="H9813" s="2">
        <v>1.1000000000000001E-3</v>
      </c>
      <c r="K9813" s="2" t="s">
        <v>10088</v>
      </c>
    </row>
    <row r="9814" spans="1:11" x14ac:dyDescent="0.2">
      <c r="A9814" s="2">
        <v>2455</v>
      </c>
      <c r="B9814" s="2">
        <v>21</v>
      </c>
      <c r="C9814" s="2">
        <v>41344743</v>
      </c>
      <c r="D9814" s="2">
        <v>42187152</v>
      </c>
      <c r="E9814" s="2">
        <v>4</v>
      </c>
      <c r="F9814" s="2" t="s">
        <v>10086</v>
      </c>
      <c r="H9814" s="3">
        <v>4.0000000000000002E-4</v>
      </c>
      <c r="K9814" s="2" t="s">
        <v>10085</v>
      </c>
    </row>
    <row r="9815" spans="1:11" x14ac:dyDescent="0.2">
      <c r="A9815" s="2">
        <v>2456</v>
      </c>
      <c r="B9815" s="2">
        <v>21</v>
      </c>
      <c r="C9815" s="2">
        <v>42187153</v>
      </c>
      <c r="D9815" s="2">
        <v>43081434</v>
      </c>
      <c r="E9815" s="2">
        <v>1</v>
      </c>
      <c r="F9815" s="2" t="s">
        <v>10086</v>
      </c>
      <c r="H9815" s="2">
        <v>4.1999999999999997E-3</v>
      </c>
      <c r="K9815" s="2" t="s">
        <v>10085</v>
      </c>
    </row>
    <row r="9816" spans="1:11" x14ac:dyDescent="0.2">
      <c r="A9816" s="2">
        <v>2456</v>
      </c>
      <c r="B9816" s="2">
        <v>21</v>
      </c>
      <c r="C9816" s="2">
        <v>42187153</v>
      </c>
      <c r="D9816" s="2">
        <v>43081434</v>
      </c>
      <c r="E9816" s="2">
        <v>2</v>
      </c>
      <c r="F9816" s="2" t="s">
        <v>10086</v>
      </c>
      <c r="H9816" s="2">
        <v>1.4E-3</v>
      </c>
      <c r="K9816" s="2" t="s">
        <v>10089</v>
      </c>
    </row>
    <row r="9817" spans="1:11" x14ac:dyDescent="0.2">
      <c r="A9817" s="2">
        <v>2456</v>
      </c>
      <c r="B9817" s="2">
        <v>21</v>
      </c>
      <c r="C9817" s="2">
        <v>42187153</v>
      </c>
      <c r="D9817" s="2">
        <v>43081434</v>
      </c>
      <c r="E9817" s="2">
        <v>3</v>
      </c>
      <c r="F9817" s="2" t="s">
        <v>10086</v>
      </c>
      <c r="H9817" s="2">
        <v>1E-3</v>
      </c>
      <c r="K9817" s="2" t="s">
        <v>10087</v>
      </c>
    </row>
    <row r="9818" spans="1:11" x14ac:dyDescent="0.2">
      <c r="A9818" s="2">
        <v>2456</v>
      </c>
      <c r="B9818" s="2">
        <v>21</v>
      </c>
      <c r="C9818" s="2">
        <v>42187153</v>
      </c>
      <c r="D9818" s="2">
        <v>43081434</v>
      </c>
      <c r="E9818" s="2">
        <v>4</v>
      </c>
      <c r="F9818" s="2" t="s">
        <v>10086</v>
      </c>
      <c r="H9818" s="3">
        <v>2.9999999999999997E-4</v>
      </c>
      <c r="K9818" s="2" t="s">
        <v>10088</v>
      </c>
    </row>
    <row r="9819" spans="1:11" x14ac:dyDescent="0.2">
      <c r="A9819" s="2">
        <v>2457</v>
      </c>
      <c r="B9819" s="2">
        <v>21</v>
      </c>
      <c r="C9819" s="2">
        <v>43081435</v>
      </c>
      <c r="D9819" s="2">
        <v>43812791</v>
      </c>
      <c r="E9819" s="2">
        <v>1</v>
      </c>
      <c r="F9819" s="2" t="s">
        <v>10086</v>
      </c>
      <c r="H9819" s="2">
        <v>1.2999999999999999E-3</v>
      </c>
      <c r="K9819" s="2" t="s">
        <v>10085</v>
      </c>
    </row>
    <row r="9820" spans="1:11" x14ac:dyDescent="0.2">
      <c r="A9820" s="2">
        <v>2457</v>
      </c>
      <c r="B9820" s="2">
        <v>21</v>
      </c>
      <c r="C9820" s="2">
        <v>43081435</v>
      </c>
      <c r="D9820" s="2">
        <v>43812791</v>
      </c>
      <c r="E9820" s="2">
        <v>2</v>
      </c>
      <c r="F9820" s="2" t="s">
        <v>10086</v>
      </c>
      <c r="H9820" s="2">
        <v>2.3999999999999998E-3</v>
      </c>
      <c r="K9820" s="2" t="s">
        <v>10087</v>
      </c>
    </row>
    <row r="9821" spans="1:11" x14ac:dyDescent="0.2">
      <c r="A9821" s="2">
        <v>2457</v>
      </c>
      <c r="B9821" s="2">
        <v>21</v>
      </c>
      <c r="C9821" s="2">
        <v>43081435</v>
      </c>
      <c r="D9821" s="2">
        <v>43812791</v>
      </c>
      <c r="E9821" s="2">
        <v>3</v>
      </c>
      <c r="F9821" s="2" t="s">
        <v>10086</v>
      </c>
      <c r="H9821" s="2">
        <v>1.1000000000000001E-3</v>
      </c>
      <c r="K9821" s="2" t="s">
        <v>10088</v>
      </c>
    </row>
    <row r="9822" spans="1:11" x14ac:dyDescent="0.2">
      <c r="A9822" s="2">
        <v>2457</v>
      </c>
      <c r="B9822" s="2">
        <v>21</v>
      </c>
      <c r="C9822" s="2">
        <v>43081435</v>
      </c>
      <c r="D9822" s="2">
        <v>43812791</v>
      </c>
      <c r="E9822" s="2">
        <v>4</v>
      </c>
      <c r="F9822" s="2" t="s">
        <v>10086</v>
      </c>
      <c r="H9822" s="3">
        <v>8.9999999999999998E-4</v>
      </c>
      <c r="K9822" s="2" t="s">
        <v>10089</v>
      </c>
    </row>
    <row r="9823" spans="1:11" x14ac:dyDescent="0.2">
      <c r="A9823" s="2">
        <v>2458</v>
      </c>
      <c r="B9823" s="2">
        <v>21</v>
      </c>
      <c r="C9823" s="2">
        <v>43812792</v>
      </c>
      <c r="D9823" s="2">
        <v>44815008</v>
      </c>
      <c r="E9823" s="2">
        <v>1</v>
      </c>
      <c r="F9823" s="2" t="s">
        <v>10086</v>
      </c>
      <c r="H9823" s="2">
        <v>3.5999999999999999E-3</v>
      </c>
      <c r="K9823" s="2" t="s">
        <v>10088</v>
      </c>
    </row>
    <row r="9824" spans="1:11" x14ac:dyDescent="0.2">
      <c r="A9824" s="2">
        <v>2458</v>
      </c>
      <c r="B9824" s="2">
        <v>21</v>
      </c>
      <c r="C9824" s="2">
        <v>43812792</v>
      </c>
      <c r="D9824" s="2">
        <v>44815008</v>
      </c>
      <c r="E9824" s="2">
        <v>2</v>
      </c>
      <c r="F9824" s="2" t="s">
        <v>10086</v>
      </c>
      <c r="H9824" s="2">
        <v>1.2999999999999999E-3</v>
      </c>
      <c r="K9824" s="2" t="s">
        <v>10089</v>
      </c>
    </row>
    <row r="9825" spans="1:11" x14ac:dyDescent="0.2">
      <c r="A9825" s="2">
        <v>2458</v>
      </c>
      <c r="B9825" s="2">
        <v>21</v>
      </c>
      <c r="C9825" s="2">
        <v>43812792</v>
      </c>
      <c r="D9825" s="2">
        <v>44815008</v>
      </c>
      <c r="E9825" s="2">
        <v>3</v>
      </c>
      <c r="F9825" s="2" t="s">
        <v>10086</v>
      </c>
      <c r="H9825" s="3">
        <v>8.9999999999999998E-4</v>
      </c>
      <c r="K9825" s="2" t="s">
        <v>10085</v>
      </c>
    </row>
    <row r="9826" spans="1:11" x14ac:dyDescent="0.2">
      <c r="A9826" s="2">
        <v>2458</v>
      </c>
      <c r="B9826" s="2">
        <v>21</v>
      </c>
      <c r="C9826" s="2">
        <v>43812792</v>
      </c>
      <c r="D9826" s="2">
        <v>44815008</v>
      </c>
      <c r="E9826" s="2">
        <v>4</v>
      </c>
      <c r="F9826" s="2" t="s">
        <v>10086</v>
      </c>
      <c r="H9826" s="3">
        <v>8.0000000000000004E-4</v>
      </c>
      <c r="K9826" s="2" t="s">
        <v>12324</v>
      </c>
    </row>
    <row r="9827" spans="1:11" x14ac:dyDescent="0.2">
      <c r="A9827" s="2">
        <v>2459</v>
      </c>
      <c r="B9827" s="2">
        <v>21</v>
      </c>
      <c r="C9827" s="2">
        <v>44815009</v>
      </c>
      <c r="D9827" s="2">
        <v>46045433</v>
      </c>
      <c r="E9827" s="2">
        <v>1</v>
      </c>
      <c r="F9827" s="2" t="s">
        <v>10086</v>
      </c>
      <c r="H9827" s="2">
        <v>1.5E-3</v>
      </c>
      <c r="K9827" s="2" t="s">
        <v>10088</v>
      </c>
    </row>
    <row r="9828" spans="1:11" x14ac:dyDescent="0.2">
      <c r="A9828" s="2">
        <v>2459</v>
      </c>
      <c r="B9828" s="2">
        <v>21</v>
      </c>
      <c r="C9828" s="2">
        <v>44815009</v>
      </c>
      <c r="D9828" s="2">
        <v>46045433</v>
      </c>
      <c r="E9828" s="2">
        <v>2</v>
      </c>
      <c r="F9828" s="2" t="s">
        <v>10086</v>
      </c>
      <c r="H9828" s="2">
        <v>1.2999999999999999E-3</v>
      </c>
      <c r="K9828" s="2" t="s">
        <v>10087</v>
      </c>
    </row>
    <row r="9829" spans="1:11" x14ac:dyDescent="0.2">
      <c r="A9829" s="2">
        <v>2459</v>
      </c>
      <c r="B9829" s="2">
        <v>21</v>
      </c>
      <c r="C9829" s="2">
        <v>44815009</v>
      </c>
      <c r="D9829" s="2">
        <v>46045433</v>
      </c>
      <c r="E9829" s="2">
        <v>3</v>
      </c>
      <c r="F9829" s="2" t="s">
        <v>10086</v>
      </c>
      <c r="H9829" s="2">
        <v>1.2999999999999999E-3</v>
      </c>
      <c r="K9829" s="2" t="s">
        <v>10085</v>
      </c>
    </row>
    <row r="9830" spans="1:11" x14ac:dyDescent="0.2">
      <c r="A9830" s="2">
        <v>2459</v>
      </c>
      <c r="B9830" s="2">
        <v>21</v>
      </c>
      <c r="C9830" s="2">
        <v>44815009</v>
      </c>
      <c r="D9830" s="2">
        <v>46045433</v>
      </c>
      <c r="E9830" s="2">
        <v>4</v>
      </c>
      <c r="F9830" s="2" t="s">
        <v>10086</v>
      </c>
      <c r="H9830" s="2">
        <v>1E-3</v>
      </c>
      <c r="K9830" s="2" t="s">
        <v>12324</v>
      </c>
    </row>
    <row r="9831" spans="1:11" x14ac:dyDescent="0.2">
      <c r="A9831" s="2">
        <v>2460</v>
      </c>
      <c r="B9831" s="2">
        <v>21</v>
      </c>
      <c r="C9831" s="2">
        <v>46045434</v>
      </c>
      <c r="D9831" s="2">
        <v>47014880</v>
      </c>
      <c r="E9831" s="2">
        <v>1</v>
      </c>
      <c r="F9831" s="2" t="s">
        <v>10086</v>
      </c>
      <c r="H9831" s="2">
        <v>2.7000000000000001E-3</v>
      </c>
      <c r="K9831" s="2" t="s">
        <v>10088</v>
      </c>
    </row>
    <row r="9832" spans="1:11" x14ac:dyDescent="0.2">
      <c r="A9832" s="2">
        <v>2460</v>
      </c>
      <c r="B9832" s="2">
        <v>21</v>
      </c>
      <c r="C9832" s="2">
        <v>46045434</v>
      </c>
      <c r="D9832" s="2">
        <v>47014880</v>
      </c>
      <c r="E9832" s="2">
        <v>2</v>
      </c>
      <c r="F9832" s="2" t="s">
        <v>10086</v>
      </c>
      <c r="H9832" s="2">
        <v>6.0000000000000001E-3</v>
      </c>
      <c r="K9832" s="2" t="s">
        <v>10087</v>
      </c>
    </row>
    <row r="9833" spans="1:11" x14ac:dyDescent="0.2">
      <c r="A9833" s="2">
        <v>2460</v>
      </c>
      <c r="B9833" s="2">
        <v>21</v>
      </c>
      <c r="C9833" s="2">
        <v>46045434</v>
      </c>
      <c r="D9833" s="2">
        <v>47014880</v>
      </c>
      <c r="E9833" s="2">
        <v>3</v>
      </c>
      <c r="F9833" s="2" t="s">
        <v>10086</v>
      </c>
      <c r="H9833" s="3">
        <v>8.9999999999999998E-4</v>
      </c>
      <c r="K9833" s="2" t="s">
        <v>10085</v>
      </c>
    </row>
    <row r="9834" spans="1:11" x14ac:dyDescent="0.2">
      <c r="A9834" s="2">
        <v>2460</v>
      </c>
      <c r="B9834" s="2">
        <v>21</v>
      </c>
      <c r="C9834" s="2">
        <v>46045434</v>
      </c>
      <c r="D9834" s="2">
        <v>47014880</v>
      </c>
      <c r="E9834" s="2">
        <v>4</v>
      </c>
      <c r="F9834" s="2" t="s">
        <v>10086</v>
      </c>
      <c r="H9834" s="3">
        <v>6.9999999999999999E-4</v>
      </c>
      <c r="K9834" s="2" t="s">
        <v>10089</v>
      </c>
    </row>
    <row r="9835" spans="1:11" x14ac:dyDescent="0.2">
      <c r="A9835" s="2">
        <v>2461</v>
      </c>
      <c r="B9835" s="2">
        <v>21</v>
      </c>
      <c r="C9835" s="2">
        <v>47014881</v>
      </c>
      <c r="D9835" s="2">
        <v>48119633</v>
      </c>
      <c r="E9835" s="2">
        <v>1</v>
      </c>
      <c r="F9835" s="2" t="s">
        <v>10086</v>
      </c>
      <c r="H9835" s="2">
        <v>2.8E-3</v>
      </c>
      <c r="K9835" s="2" t="s">
        <v>10087</v>
      </c>
    </row>
    <row r="9836" spans="1:11" x14ac:dyDescent="0.2">
      <c r="A9836" s="2">
        <v>2461</v>
      </c>
      <c r="B9836" s="2">
        <v>21</v>
      </c>
      <c r="C9836" s="2">
        <v>47014881</v>
      </c>
      <c r="D9836" s="2">
        <v>48119633</v>
      </c>
      <c r="E9836" s="2">
        <v>2</v>
      </c>
      <c r="F9836" s="2" t="s">
        <v>10086</v>
      </c>
      <c r="H9836" s="2">
        <v>1.8E-3</v>
      </c>
      <c r="K9836" s="2" t="s">
        <v>10089</v>
      </c>
    </row>
    <row r="9837" spans="1:11" x14ac:dyDescent="0.2">
      <c r="A9837" s="2">
        <v>2461</v>
      </c>
      <c r="B9837" s="2">
        <v>21</v>
      </c>
      <c r="C9837" s="2">
        <v>47014881</v>
      </c>
      <c r="D9837" s="2">
        <v>48119633</v>
      </c>
      <c r="E9837" s="2">
        <v>3</v>
      </c>
      <c r="F9837" s="2" t="s">
        <v>10086</v>
      </c>
      <c r="H9837" s="2">
        <v>1.1999999999999999E-3</v>
      </c>
      <c r="K9837" s="2" t="s">
        <v>10085</v>
      </c>
    </row>
    <row r="9838" spans="1:11" x14ac:dyDescent="0.2">
      <c r="A9838" s="2">
        <v>2461</v>
      </c>
      <c r="B9838" s="2">
        <v>21</v>
      </c>
      <c r="C9838" s="2">
        <v>47014881</v>
      </c>
      <c r="D9838" s="2">
        <v>48119633</v>
      </c>
      <c r="E9838" s="2">
        <v>4</v>
      </c>
      <c r="F9838" s="2" t="s">
        <v>10086</v>
      </c>
      <c r="H9838" s="3">
        <v>5.9999999999999995E-4</v>
      </c>
      <c r="K9838" s="2" t="s">
        <v>12324</v>
      </c>
    </row>
    <row r="9839" spans="1:11" x14ac:dyDescent="0.2">
      <c r="A9839" s="2">
        <v>2462</v>
      </c>
      <c r="B9839" s="2">
        <v>22</v>
      </c>
      <c r="C9839" s="2">
        <v>16050213</v>
      </c>
      <c r="D9839" s="2">
        <v>17587474</v>
      </c>
      <c r="E9839" s="2">
        <v>1</v>
      </c>
      <c r="F9839" s="2" t="s">
        <v>10086</v>
      </c>
      <c r="H9839" s="2">
        <v>1.4E-3</v>
      </c>
      <c r="K9839" s="2" t="s">
        <v>10087</v>
      </c>
    </row>
    <row r="9840" spans="1:11" x14ac:dyDescent="0.2">
      <c r="A9840" s="2">
        <v>2462</v>
      </c>
      <c r="B9840" s="2">
        <v>22</v>
      </c>
      <c r="C9840" s="2">
        <v>16050213</v>
      </c>
      <c r="D9840" s="2">
        <v>17587474</v>
      </c>
      <c r="E9840" s="2">
        <v>2</v>
      </c>
      <c r="F9840" s="2" t="s">
        <v>10086</v>
      </c>
      <c r="H9840" s="3">
        <v>8.9999999999999998E-4</v>
      </c>
      <c r="K9840" s="2" t="s">
        <v>10089</v>
      </c>
    </row>
    <row r="9841" spans="1:11" x14ac:dyDescent="0.2">
      <c r="A9841" s="2">
        <v>2462</v>
      </c>
      <c r="B9841" s="2">
        <v>22</v>
      </c>
      <c r="C9841" s="2">
        <v>16050213</v>
      </c>
      <c r="D9841" s="2">
        <v>17587474</v>
      </c>
      <c r="E9841" s="2">
        <v>3</v>
      </c>
      <c r="F9841" s="2" t="s">
        <v>10086</v>
      </c>
      <c r="H9841" s="3">
        <v>5.0000000000000001E-4</v>
      </c>
      <c r="K9841" s="2" t="s">
        <v>10088</v>
      </c>
    </row>
    <row r="9842" spans="1:11" x14ac:dyDescent="0.2">
      <c r="A9842" s="2">
        <v>2462</v>
      </c>
      <c r="B9842" s="2">
        <v>22</v>
      </c>
      <c r="C9842" s="2">
        <v>16050213</v>
      </c>
      <c r="D9842" s="2">
        <v>17587474</v>
      </c>
      <c r="E9842" s="2">
        <v>4</v>
      </c>
      <c r="F9842" s="2" t="s">
        <v>10086</v>
      </c>
      <c r="H9842" s="3">
        <v>2.9999999999999997E-4</v>
      </c>
      <c r="K9842" s="2" t="s">
        <v>10085</v>
      </c>
    </row>
    <row r="9843" spans="1:11" x14ac:dyDescent="0.2">
      <c r="A9843" s="2">
        <v>2463</v>
      </c>
      <c r="B9843" s="2">
        <v>22</v>
      </c>
      <c r="C9843" s="2">
        <v>17587475</v>
      </c>
      <c r="D9843" s="2">
        <v>18535225</v>
      </c>
      <c r="E9843" s="2">
        <v>1</v>
      </c>
      <c r="F9843" s="2" t="s">
        <v>10086</v>
      </c>
      <c r="H9843" s="2">
        <v>1.5E-3</v>
      </c>
      <c r="K9843" s="2" t="s">
        <v>10085</v>
      </c>
    </row>
    <row r="9844" spans="1:11" x14ac:dyDescent="0.2">
      <c r="A9844" s="2">
        <v>2463</v>
      </c>
      <c r="B9844" s="2">
        <v>22</v>
      </c>
      <c r="C9844" s="2">
        <v>17587475</v>
      </c>
      <c r="D9844" s="2">
        <v>18535225</v>
      </c>
      <c r="E9844" s="2">
        <v>2</v>
      </c>
      <c r="F9844" s="2" t="s">
        <v>10086</v>
      </c>
      <c r="H9844" s="2">
        <v>2.0999999999999999E-3</v>
      </c>
      <c r="K9844" s="2" t="s">
        <v>10089</v>
      </c>
    </row>
    <row r="9845" spans="1:11" x14ac:dyDescent="0.2">
      <c r="A9845" s="2">
        <v>2463</v>
      </c>
      <c r="B9845" s="2">
        <v>22</v>
      </c>
      <c r="C9845" s="2">
        <v>17587475</v>
      </c>
      <c r="D9845" s="2">
        <v>18535225</v>
      </c>
      <c r="E9845" s="2">
        <v>3</v>
      </c>
      <c r="F9845" s="2" t="s">
        <v>10086</v>
      </c>
      <c r="H9845" s="2">
        <v>1.8E-3</v>
      </c>
      <c r="K9845" s="2" t="s">
        <v>10088</v>
      </c>
    </row>
    <row r="9846" spans="1:11" x14ac:dyDescent="0.2">
      <c r="A9846" s="2">
        <v>2463</v>
      </c>
      <c r="B9846" s="2">
        <v>22</v>
      </c>
      <c r="C9846" s="2">
        <v>17587475</v>
      </c>
      <c r="D9846" s="2">
        <v>18535225</v>
      </c>
      <c r="E9846" s="2">
        <v>4</v>
      </c>
      <c r="F9846" s="2" t="s">
        <v>10086</v>
      </c>
      <c r="H9846" s="3">
        <v>5.0000000000000001E-4</v>
      </c>
      <c r="K9846" s="2" t="s">
        <v>10087</v>
      </c>
    </row>
    <row r="9847" spans="1:11" x14ac:dyDescent="0.2">
      <c r="A9847" s="2">
        <v>2464</v>
      </c>
      <c r="B9847" s="2">
        <v>22</v>
      </c>
      <c r="C9847" s="2">
        <v>18535226</v>
      </c>
      <c r="D9847" s="2">
        <v>19635654</v>
      </c>
      <c r="E9847" s="2">
        <v>1</v>
      </c>
      <c r="F9847" s="2" t="s">
        <v>10086</v>
      </c>
      <c r="H9847" s="2">
        <v>1.8E-3</v>
      </c>
      <c r="K9847" s="2" t="s">
        <v>10089</v>
      </c>
    </row>
    <row r="9848" spans="1:11" x14ac:dyDescent="0.2">
      <c r="A9848" s="2">
        <v>2464</v>
      </c>
      <c r="B9848" s="2">
        <v>22</v>
      </c>
      <c r="C9848" s="2">
        <v>18535226</v>
      </c>
      <c r="D9848" s="2">
        <v>19635654</v>
      </c>
      <c r="E9848" s="2">
        <v>2</v>
      </c>
      <c r="F9848" s="2" t="s">
        <v>10086</v>
      </c>
      <c r="H9848" s="2">
        <v>2E-3</v>
      </c>
      <c r="K9848" s="2" t="s">
        <v>10087</v>
      </c>
    </row>
    <row r="9849" spans="1:11" x14ac:dyDescent="0.2">
      <c r="A9849" s="2">
        <v>2464</v>
      </c>
      <c r="B9849" s="2">
        <v>22</v>
      </c>
      <c r="C9849" s="2">
        <v>18535226</v>
      </c>
      <c r="D9849" s="2">
        <v>19635654</v>
      </c>
      <c r="E9849" s="2">
        <v>3</v>
      </c>
      <c r="F9849" s="2" t="s">
        <v>10086</v>
      </c>
      <c r="H9849" s="2">
        <v>1.1000000000000001E-3</v>
      </c>
      <c r="K9849" s="2" t="s">
        <v>10088</v>
      </c>
    </row>
    <row r="9850" spans="1:11" x14ac:dyDescent="0.2">
      <c r="A9850" s="2">
        <v>2464</v>
      </c>
      <c r="B9850" s="2">
        <v>22</v>
      </c>
      <c r="C9850" s="2">
        <v>18535226</v>
      </c>
      <c r="D9850" s="2">
        <v>19635654</v>
      </c>
      <c r="E9850" s="2">
        <v>4</v>
      </c>
      <c r="F9850" s="2" t="s">
        <v>10086</v>
      </c>
      <c r="H9850" s="3">
        <v>6.9999999999999999E-4</v>
      </c>
      <c r="K9850" s="2" t="s">
        <v>10085</v>
      </c>
    </row>
    <row r="9851" spans="1:11" x14ac:dyDescent="0.2">
      <c r="A9851" s="2">
        <v>2465</v>
      </c>
      <c r="B9851" s="2">
        <v>22</v>
      </c>
      <c r="C9851" s="2">
        <v>19635655</v>
      </c>
      <c r="D9851" s="2">
        <v>20969184</v>
      </c>
      <c r="E9851" s="2">
        <v>1</v>
      </c>
      <c r="F9851" s="2" t="s">
        <v>10086</v>
      </c>
      <c r="H9851" s="2">
        <v>2.2000000000000001E-3</v>
      </c>
      <c r="K9851" s="2" t="s">
        <v>10089</v>
      </c>
    </row>
    <row r="9852" spans="1:11" x14ac:dyDescent="0.2">
      <c r="A9852" s="2">
        <v>2465</v>
      </c>
      <c r="B9852" s="2">
        <v>22</v>
      </c>
      <c r="C9852" s="2">
        <v>19635655</v>
      </c>
      <c r="D9852" s="2">
        <v>20969184</v>
      </c>
      <c r="E9852" s="2">
        <v>2</v>
      </c>
      <c r="F9852" s="2" t="s">
        <v>10086</v>
      </c>
      <c r="H9852" s="2">
        <v>2.5999999999999999E-3</v>
      </c>
      <c r="K9852" s="2" t="s">
        <v>10085</v>
      </c>
    </row>
    <row r="9853" spans="1:11" x14ac:dyDescent="0.2">
      <c r="A9853" s="2">
        <v>2465</v>
      </c>
      <c r="B9853" s="2">
        <v>22</v>
      </c>
      <c r="C9853" s="2">
        <v>19635655</v>
      </c>
      <c r="D9853" s="2">
        <v>20969184</v>
      </c>
      <c r="E9853" s="2">
        <v>3</v>
      </c>
      <c r="F9853" s="2" t="s">
        <v>10086</v>
      </c>
      <c r="H9853" s="2">
        <v>1.6999999999999999E-3</v>
      </c>
      <c r="K9853" s="2" t="s">
        <v>10088</v>
      </c>
    </row>
    <row r="9854" spans="1:11" x14ac:dyDescent="0.2">
      <c r="A9854" s="2">
        <v>2465</v>
      </c>
      <c r="B9854" s="2">
        <v>22</v>
      </c>
      <c r="C9854" s="2">
        <v>19635655</v>
      </c>
      <c r="D9854" s="2">
        <v>20969184</v>
      </c>
      <c r="E9854" s="2">
        <v>4</v>
      </c>
      <c r="F9854" s="2" t="s">
        <v>10086</v>
      </c>
      <c r="H9854" s="2">
        <v>1E-3</v>
      </c>
      <c r="K9854" s="2" t="s">
        <v>12324</v>
      </c>
    </row>
    <row r="9855" spans="1:11" x14ac:dyDescent="0.2">
      <c r="A9855" s="2">
        <v>2466</v>
      </c>
      <c r="B9855" s="2">
        <v>22</v>
      </c>
      <c r="C9855" s="2">
        <v>20969185</v>
      </c>
      <c r="D9855" s="2">
        <v>22404422</v>
      </c>
      <c r="E9855" s="2">
        <v>1</v>
      </c>
      <c r="F9855" s="2" t="s">
        <v>10086</v>
      </c>
      <c r="H9855" s="2">
        <v>4.5999999999999999E-3</v>
      </c>
      <c r="K9855" s="2" t="s">
        <v>10085</v>
      </c>
    </row>
    <row r="9856" spans="1:11" x14ac:dyDescent="0.2">
      <c r="A9856" s="2">
        <v>2466</v>
      </c>
      <c r="B9856" s="2">
        <v>22</v>
      </c>
      <c r="C9856" s="2">
        <v>20969185</v>
      </c>
      <c r="D9856" s="2">
        <v>22404422</v>
      </c>
      <c r="E9856" s="2">
        <v>2</v>
      </c>
      <c r="F9856" s="2" t="s">
        <v>10086</v>
      </c>
      <c r="H9856" s="2">
        <v>1.6000000000000001E-3</v>
      </c>
      <c r="K9856" s="2" t="s">
        <v>10088</v>
      </c>
    </row>
    <row r="9857" spans="1:11" x14ac:dyDescent="0.2">
      <c r="A9857" s="2">
        <v>2466</v>
      </c>
      <c r="B9857" s="2">
        <v>22</v>
      </c>
      <c r="C9857" s="2">
        <v>20969185</v>
      </c>
      <c r="D9857" s="2">
        <v>22404422</v>
      </c>
      <c r="E9857" s="2">
        <v>3</v>
      </c>
      <c r="F9857" s="2" t="s">
        <v>10086</v>
      </c>
      <c r="H9857" s="3">
        <v>8.9999999999999998E-4</v>
      </c>
      <c r="K9857" s="2" t="s">
        <v>10087</v>
      </c>
    </row>
    <row r="9858" spans="1:11" x14ac:dyDescent="0.2">
      <c r="A9858" s="2">
        <v>2466</v>
      </c>
      <c r="B9858" s="2">
        <v>22</v>
      </c>
      <c r="C9858" s="2">
        <v>20969185</v>
      </c>
      <c r="D9858" s="2">
        <v>22404422</v>
      </c>
      <c r="E9858" s="2">
        <v>4</v>
      </c>
      <c r="F9858" s="2" t="s">
        <v>10086</v>
      </c>
      <c r="H9858" s="3">
        <v>4.0000000000000002E-4</v>
      </c>
      <c r="K9858" s="2" t="s">
        <v>10089</v>
      </c>
    </row>
    <row r="9859" spans="1:11" x14ac:dyDescent="0.2">
      <c r="A9859" s="2">
        <v>2467</v>
      </c>
      <c r="B9859" s="2">
        <v>22</v>
      </c>
      <c r="C9859" s="2">
        <v>22404423</v>
      </c>
      <c r="D9859" s="2">
        <v>23143364</v>
      </c>
      <c r="E9859" s="2">
        <v>1</v>
      </c>
      <c r="F9859" s="2" t="s">
        <v>10086</v>
      </c>
      <c r="H9859" s="2">
        <v>1.0500000000000001E-2</v>
      </c>
      <c r="K9859" s="2" t="s">
        <v>10088</v>
      </c>
    </row>
    <row r="9860" spans="1:11" x14ac:dyDescent="0.2">
      <c r="A9860" s="2">
        <v>2467</v>
      </c>
      <c r="B9860" s="2">
        <v>22</v>
      </c>
      <c r="C9860" s="2">
        <v>22404423</v>
      </c>
      <c r="D9860" s="2">
        <v>23143364</v>
      </c>
      <c r="E9860" s="2">
        <v>2</v>
      </c>
      <c r="F9860" s="2" t="s">
        <v>10086</v>
      </c>
      <c r="H9860" s="2">
        <v>1.1000000000000001E-3</v>
      </c>
      <c r="K9860" s="2" t="s">
        <v>10087</v>
      </c>
    </row>
    <row r="9861" spans="1:11" x14ac:dyDescent="0.2">
      <c r="A9861" s="2">
        <v>2467</v>
      </c>
      <c r="B9861" s="2">
        <v>22</v>
      </c>
      <c r="C9861" s="2">
        <v>22404423</v>
      </c>
      <c r="D9861" s="2">
        <v>23143364</v>
      </c>
      <c r="E9861" s="2">
        <v>3</v>
      </c>
      <c r="F9861" s="2" t="s">
        <v>10086</v>
      </c>
      <c r="H9861" s="3">
        <v>8.0000000000000004E-4</v>
      </c>
      <c r="K9861" s="2" t="s">
        <v>10085</v>
      </c>
    </row>
    <row r="9862" spans="1:11" x14ac:dyDescent="0.2">
      <c r="A9862" s="2">
        <v>2467</v>
      </c>
      <c r="B9862" s="2">
        <v>22</v>
      </c>
      <c r="C9862" s="2">
        <v>22404423</v>
      </c>
      <c r="D9862" s="2">
        <v>23143364</v>
      </c>
      <c r="E9862" s="2">
        <v>4</v>
      </c>
      <c r="F9862" s="2" t="s">
        <v>10086</v>
      </c>
      <c r="H9862" s="3">
        <v>5.0000000000000001E-4</v>
      </c>
      <c r="K9862" s="2" t="s">
        <v>10089</v>
      </c>
    </row>
    <row r="9863" spans="1:11" x14ac:dyDescent="0.2">
      <c r="A9863" s="2">
        <v>2468</v>
      </c>
      <c r="B9863" s="2">
        <v>22</v>
      </c>
      <c r="C9863" s="2">
        <v>23143365</v>
      </c>
      <c r="D9863" s="2">
        <v>23950732</v>
      </c>
      <c r="E9863" s="2">
        <v>1</v>
      </c>
      <c r="F9863" s="2" t="s">
        <v>10086</v>
      </c>
      <c r="H9863" s="2">
        <v>1.6999999999999999E-3</v>
      </c>
      <c r="K9863" s="2" t="s">
        <v>10085</v>
      </c>
    </row>
    <row r="9864" spans="1:11" x14ac:dyDescent="0.2">
      <c r="A9864" s="2">
        <v>2468</v>
      </c>
      <c r="B9864" s="2">
        <v>22</v>
      </c>
      <c r="C9864" s="2">
        <v>23143365</v>
      </c>
      <c r="D9864" s="2">
        <v>23950732</v>
      </c>
      <c r="E9864" s="2">
        <v>2</v>
      </c>
      <c r="F9864" s="2" t="s">
        <v>10086</v>
      </c>
      <c r="H9864" s="2">
        <v>1.5E-3</v>
      </c>
      <c r="K9864" s="2" t="s">
        <v>10088</v>
      </c>
    </row>
    <row r="9865" spans="1:11" x14ac:dyDescent="0.2">
      <c r="A9865" s="2">
        <v>2468</v>
      </c>
      <c r="B9865" s="2">
        <v>22</v>
      </c>
      <c r="C9865" s="2">
        <v>23143365</v>
      </c>
      <c r="D9865" s="2">
        <v>23950732</v>
      </c>
      <c r="E9865" s="2">
        <v>3</v>
      </c>
      <c r="F9865" s="2" t="s">
        <v>10086</v>
      </c>
      <c r="H9865" s="2">
        <v>1.1000000000000001E-3</v>
      </c>
      <c r="K9865" s="2" t="s">
        <v>10089</v>
      </c>
    </row>
    <row r="9866" spans="1:11" x14ac:dyDescent="0.2">
      <c r="A9866" s="2">
        <v>2468</v>
      </c>
      <c r="B9866" s="2">
        <v>22</v>
      </c>
      <c r="C9866" s="2">
        <v>23143365</v>
      </c>
      <c r="D9866" s="2">
        <v>23950732</v>
      </c>
      <c r="E9866" s="2">
        <v>4</v>
      </c>
      <c r="F9866" s="2" t="s">
        <v>10086</v>
      </c>
      <c r="H9866" s="3">
        <v>2.9999999999999997E-4</v>
      </c>
      <c r="K9866" s="2" t="s">
        <v>10087</v>
      </c>
    </row>
    <row r="9867" spans="1:11" x14ac:dyDescent="0.2">
      <c r="A9867" s="2">
        <v>2469</v>
      </c>
      <c r="B9867" s="2">
        <v>22</v>
      </c>
      <c r="C9867" s="2">
        <v>23950733</v>
      </c>
      <c r="D9867" s="2">
        <v>25282436</v>
      </c>
      <c r="E9867" s="2">
        <v>1</v>
      </c>
      <c r="F9867" s="2" t="s">
        <v>10086</v>
      </c>
      <c r="H9867" s="2">
        <v>1.6999999999999999E-3</v>
      </c>
      <c r="K9867" s="2" t="s">
        <v>10087</v>
      </c>
    </row>
    <row r="9868" spans="1:11" x14ac:dyDescent="0.2">
      <c r="A9868" s="2">
        <v>2469</v>
      </c>
      <c r="B9868" s="2">
        <v>22</v>
      </c>
      <c r="C9868" s="2">
        <v>23950733</v>
      </c>
      <c r="D9868" s="2">
        <v>25282436</v>
      </c>
      <c r="E9868" s="2">
        <v>2</v>
      </c>
      <c r="F9868" s="2" t="s">
        <v>10086</v>
      </c>
      <c r="H9868" s="2">
        <v>1.1999999999999999E-3</v>
      </c>
      <c r="K9868" s="2" t="s">
        <v>10085</v>
      </c>
    </row>
    <row r="9869" spans="1:11" x14ac:dyDescent="0.2">
      <c r="A9869" s="2">
        <v>2469</v>
      </c>
      <c r="B9869" s="2">
        <v>22</v>
      </c>
      <c r="C9869" s="2">
        <v>23950733</v>
      </c>
      <c r="D9869" s="2">
        <v>25282436</v>
      </c>
      <c r="E9869" s="2">
        <v>3</v>
      </c>
      <c r="F9869" s="2" t="s">
        <v>10086</v>
      </c>
      <c r="H9869" s="2">
        <v>1E-3</v>
      </c>
      <c r="K9869" s="2" t="s">
        <v>10089</v>
      </c>
    </row>
    <row r="9870" spans="1:11" x14ac:dyDescent="0.2">
      <c r="A9870" s="2">
        <v>2469</v>
      </c>
      <c r="B9870" s="2">
        <v>22</v>
      </c>
      <c r="C9870" s="2">
        <v>23950733</v>
      </c>
      <c r="D9870" s="2">
        <v>25282436</v>
      </c>
      <c r="E9870" s="2">
        <v>4</v>
      </c>
      <c r="F9870" s="2" t="s">
        <v>10086</v>
      </c>
      <c r="H9870" s="3">
        <v>4.0000000000000002E-4</v>
      </c>
      <c r="K9870" s="2" t="s">
        <v>10088</v>
      </c>
    </row>
    <row r="9871" spans="1:11" x14ac:dyDescent="0.2">
      <c r="A9871" s="2">
        <v>2470</v>
      </c>
      <c r="B9871" s="2">
        <v>22</v>
      </c>
      <c r="C9871" s="2">
        <v>25282437</v>
      </c>
      <c r="D9871" s="2">
        <v>26166934</v>
      </c>
      <c r="E9871" s="2">
        <v>1</v>
      </c>
      <c r="F9871" s="2" t="s">
        <v>10086</v>
      </c>
      <c r="H9871" s="2">
        <v>3.3E-3</v>
      </c>
      <c r="K9871" s="2" t="s">
        <v>10089</v>
      </c>
    </row>
    <row r="9872" spans="1:11" x14ac:dyDescent="0.2">
      <c r="A9872" s="2">
        <v>2470</v>
      </c>
      <c r="B9872" s="2">
        <v>22</v>
      </c>
      <c r="C9872" s="2">
        <v>25282437</v>
      </c>
      <c r="D9872" s="2">
        <v>26166934</v>
      </c>
      <c r="E9872" s="2">
        <v>2</v>
      </c>
      <c r="F9872" s="2" t="s">
        <v>10086</v>
      </c>
      <c r="H9872" s="2">
        <v>1.8E-3</v>
      </c>
      <c r="K9872" s="2" t="s">
        <v>10087</v>
      </c>
    </row>
    <row r="9873" spans="1:11" x14ac:dyDescent="0.2">
      <c r="A9873" s="2">
        <v>2470</v>
      </c>
      <c r="B9873" s="2">
        <v>22</v>
      </c>
      <c r="C9873" s="2">
        <v>25282437</v>
      </c>
      <c r="D9873" s="2">
        <v>26166934</v>
      </c>
      <c r="E9873" s="2">
        <v>3</v>
      </c>
      <c r="F9873" s="2" t="s">
        <v>10086</v>
      </c>
      <c r="H9873" s="2">
        <v>1.6000000000000001E-3</v>
      </c>
      <c r="K9873" s="2" t="s">
        <v>10088</v>
      </c>
    </row>
    <row r="9874" spans="1:11" x14ac:dyDescent="0.2">
      <c r="A9874" s="2">
        <v>2470</v>
      </c>
      <c r="B9874" s="2">
        <v>22</v>
      </c>
      <c r="C9874" s="2">
        <v>25282437</v>
      </c>
      <c r="D9874" s="2">
        <v>26166934</v>
      </c>
      <c r="E9874" s="2">
        <v>4</v>
      </c>
      <c r="F9874" s="2" t="s">
        <v>10086</v>
      </c>
      <c r="H9874" s="3">
        <v>8.9999999999999998E-4</v>
      </c>
      <c r="K9874" s="2" t="s">
        <v>10085</v>
      </c>
    </row>
    <row r="9875" spans="1:11" x14ac:dyDescent="0.2">
      <c r="A9875" s="2">
        <v>2471</v>
      </c>
      <c r="B9875" s="2">
        <v>22</v>
      </c>
      <c r="C9875" s="2">
        <v>26166935</v>
      </c>
      <c r="D9875" s="2">
        <v>27192923</v>
      </c>
      <c r="E9875" s="2">
        <v>1</v>
      </c>
      <c r="F9875" s="2" t="s">
        <v>10086</v>
      </c>
      <c r="H9875" s="2">
        <v>1.8E-3</v>
      </c>
      <c r="K9875" s="2" t="s">
        <v>10089</v>
      </c>
    </row>
    <row r="9876" spans="1:11" x14ac:dyDescent="0.2">
      <c r="A9876" s="2">
        <v>2471</v>
      </c>
      <c r="B9876" s="2">
        <v>22</v>
      </c>
      <c r="C9876" s="2">
        <v>26166935</v>
      </c>
      <c r="D9876" s="2">
        <v>27192923</v>
      </c>
      <c r="E9876" s="2">
        <v>2</v>
      </c>
      <c r="F9876" s="2" t="s">
        <v>10086</v>
      </c>
      <c r="H9876" s="2">
        <v>1.4E-3</v>
      </c>
      <c r="K9876" s="2" t="s">
        <v>10085</v>
      </c>
    </row>
    <row r="9877" spans="1:11" x14ac:dyDescent="0.2">
      <c r="A9877" s="2">
        <v>2471</v>
      </c>
      <c r="B9877" s="2">
        <v>22</v>
      </c>
      <c r="C9877" s="2">
        <v>26166935</v>
      </c>
      <c r="D9877" s="2">
        <v>27192923</v>
      </c>
      <c r="E9877" s="2">
        <v>3</v>
      </c>
      <c r="F9877" s="2" t="s">
        <v>10086</v>
      </c>
      <c r="H9877" s="2">
        <v>1.5E-3</v>
      </c>
      <c r="K9877" s="2" t="s">
        <v>10088</v>
      </c>
    </row>
    <row r="9878" spans="1:11" x14ac:dyDescent="0.2">
      <c r="A9878" s="2">
        <v>2471</v>
      </c>
      <c r="B9878" s="2">
        <v>22</v>
      </c>
      <c r="C9878" s="2">
        <v>26166935</v>
      </c>
      <c r="D9878" s="2">
        <v>27192923</v>
      </c>
      <c r="E9878" s="2">
        <v>4</v>
      </c>
      <c r="F9878" s="2" t="s">
        <v>10086</v>
      </c>
      <c r="H9878" s="3">
        <v>5.0000000000000001E-4</v>
      </c>
      <c r="K9878" s="2" t="s">
        <v>10087</v>
      </c>
    </row>
    <row r="9879" spans="1:11" x14ac:dyDescent="0.2">
      <c r="A9879" s="2">
        <v>2472</v>
      </c>
      <c r="B9879" s="2">
        <v>22</v>
      </c>
      <c r="C9879" s="2">
        <v>27192924</v>
      </c>
      <c r="D9879" s="2">
        <v>27952441</v>
      </c>
      <c r="E9879" s="2">
        <v>1</v>
      </c>
      <c r="F9879" s="2" t="s">
        <v>10086</v>
      </c>
      <c r="H9879" s="2">
        <v>2E-3</v>
      </c>
      <c r="K9879" s="2" t="s">
        <v>10088</v>
      </c>
    </row>
    <row r="9880" spans="1:11" x14ac:dyDescent="0.2">
      <c r="A9880" s="2">
        <v>2472</v>
      </c>
      <c r="B9880" s="2">
        <v>22</v>
      </c>
      <c r="C9880" s="2">
        <v>27192924</v>
      </c>
      <c r="D9880" s="2">
        <v>27952441</v>
      </c>
      <c r="E9880" s="2">
        <v>2</v>
      </c>
      <c r="F9880" s="2" t="s">
        <v>10086</v>
      </c>
      <c r="H9880" s="2">
        <v>1.8E-3</v>
      </c>
      <c r="K9880" s="2" t="s">
        <v>10087</v>
      </c>
    </row>
    <row r="9881" spans="1:11" x14ac:dyDescent="0.2">
      <c r="A9881" s="2">
        <v>2472</v>
      </c>
      <c r="B9881" s="2">
        <v>22</v>
      </c>
      <c r="C9881" s="2">
        <v>27192924</v>
      </c>
      <c r="D9881" s="2">
        <v>27952441</v>
      </c>
      <c r="E9881" s="2">
        <v>3</v>
      </c>
      <c r="F9881" s="2" t="s">
        <v>10086</v>
      </c>
      <c r="H9881" s="2">
        <v>1.2999999999999999E-3</v>
      </c>
      <c r="K9881" s="2" t="s">
        <v>10085</v>
      </c>
    </row>
    <row r="9882" spans="1:11" x14ac:dyDescent="0.2">
      <c r="A9882" s="2">
        <v>2472</v>
      </c>
      <c r="B9882" s="2">
        <v>22</v>
      </c>
      <c r="C9882" s="2">
        <v>27192924</v>
      </c>
      <c r="D9882" s="2">
        <v>27952441</v>
      </c>
      <c r="E9882" s="2">
        <v>4</v>
      </c>
      <c r="F9882" s="2" t="s">
        <v>10086</v>
      </c>
      <c r="H9882" s="3">
        <v>5.0000000000000001E-4</v>
      </c>
      <c r="K9882" s="2" t="s">
        <v>10089</v>
      </c>
    </row>
    <row r="9883" spans="1:11" x14ac:dyDescent="0.2">
      <c r="A9883" s="2">
        <v>2473</v>
      </c>
      <c r="B9883" s="2">
        <v>22</v>
      </c>
      <c r="C9883" s="2">
        <v>27952442</v>
      </c>
      <c r="D9883" s="2">
        <v>29457601</v>
      </c>
      <c r="E9883" s="2">
        <v>1</v>
      </c>
      <c r="F9883" s="2" t="s">
        <v>10086</v>
      </c>
      <c r="H9883" s="2">
        <v>1.8E-3</v>
      </c>
      <c r="K9883" s="2" t="s">
        <v>10087</v>
      </c>
    </row>
    <row r="9884" spans="1:11" x14ac:dyDescent="0.2">
      <c r="A9884" s="2">
        <v>2473</v>
      </c>
      <c r="B9884" s="2">
        <v>22</v>
      </c>
      <c r="C9884" s="2">
        <v>27952442</v>
      </c>
      <c r="D9884" s="2">
        <v>29457601</v>
      </c>
      <c r="E9884" s="2">
        <v>2</v>
      </c>
      <c r="F9884" s="2" t="s">
        <v>10086</v>
      </c>
      <c r="H9884" s="2">
        <v>1E-3</v>
      </c>
      <c r="K9884" s="2" t="s">
        <v>10088</v>
      </c>
    </row>
    <row r="9885" spans="1:11" x14ac:dyDescent="0.2">
      <c r="A9885" s="2">
        <v>2473</v>
      </c>
      <c r="B9885" s="2">
        <v>22</v>
      </c>
      <c r="C9885" s="2">
        <v>27952442</v>
      </c>
      <c r="D9885" s="2">
        <v>29457601</v>
      </c>
      <c r="E9885" s="2">
        <v>3</v>
      </c>
      <c r="F9885" s="2" t="s">
        <v>10086</v>
      </c>
      <c r="H9885" s="2">
        <v>1E-3</v>
      </c>
      <c r="K9885" s="2" t="s">
        <v>10085</v>
      </c>
    </row>
    <row r="9886" spans="1:11" x14ac:dyDescent="0.2">
      <c r="A9886" s="2">
        <v>2473</v>
      </c>
      <c r="B9886" s="2">
        <v>22</v>
      </c>
      <c r="C9886" s="2">
        <v>27952442</v>
      </c>
      <c r="D9886" s="2">
        <v>29457601</v>
      </c>
      <c r="E9886" s="2">
        <v>4</v>
      </c>
      <c r="F9886" s="2" t="s">
        <v>10086</v>
      </c>
      <c r="H9886" s="3">
        <v>5.0000000000000001E-4</v>
      </c>
      <c r="K9886" s="2" t="s">
        <v>10089</v>
      </c>
    </row>
    <row r="9887" spans="1:11" x14ac:dyDescent="0.2">
      <c r="A9887" s="2">
        <v>2474</v>
      </c>
      <c r="B9887" s="2">
        <v>22</v>
      </c>
      <c r="C9887" s="2">
        <v>29457602</v>
      </c>
      <c r="D9887" s="2">
        <v>30962255</v>
      </c>
      <c r="E9887" s="2">
        <v>1</v>
      </c>
      <c r="F9887" s="2" t="s">
        <v>10086</v>
      </c>
      <c r="H9887" s="2">
        <v>9.1999999999999998E-3</v>
      </c>
      <c r="K9887" s="2" t="s">
        <v>10088</v>
      </c>
    </row>
    <row r="9888" spans="1:11" x14ac:dyDescent="0.2">
      <c r="A9888" s="2">
        <v>2474</v>
      </c>
      <c r="B9888" s="2">
        <v>22</v>
      </c>
      <c r="C9888" s="2">
        <v>29457602</v>
      </c>
      <c r="D9888" s="2">
        <v>30962255</v>
      </c>
      <c r="E9888" s="2">
        <v>2</v>
      </c>
      <c r="F9888" s="2" t="s">
        <v>10086</v>
      </c>
      <c r="H9888" s="2">
        <v>1.6000000000000001E-3</v>
      </c>
      <c r="K9888" s="2" t="s">
        <v>12324</v>
      </c>
    </row>
    <row r="9889" spans="1:11" x14ac:dyDescent="0.2">
      <c r="A9889" s="2">
        <v>2474</v>
      </c>
      <c r="B9889" s="2">
        <v>22</v>
      </c>
      <c r="C9889" s="2">
        <v>29457602</v>
      </c>
      <c r="D9889" s="2">
        <v>30962255</v>
      </c>
      <c r="E9889" s="2">
        <v>3</v>
      </c>
      <c r="F9889" s="2" t="s">
        <v>10086</v>
      </c>
      <c r="H9889" s="2">
        <v>1.4E-3</v>
      </c>
      <c r="K9889" s="2" t="s">
        <v>10089</v>
      </c>
    </row>
    <row r="9890" spans="1:11" x14ac:dyDescent="0.2">
      <c r="A9890" s="2">
        <v>2474</v>
      </c>
      <c r="B9890" s="2">
        <v>22</v>
      </c>
      <c r="C9890" s="2">
        <v>29457602</v>
      </c>
      <c r="D9890" s="2">
        <v>30962255</v>
      </c>
      <c r="E9890" s="2">
        <v>4</v>
      </c>
      <c r="F9890" s="2" t="s">
        <v>10086</v>
      </c>
      <c r="H9890" s="2">
        <v>1E-3</v>
      </c>
      <c r="K9890" s="2" t="s">
        <v>10085</v>
      </c>
    </row>
    <row r="9891" spans="1:11" x14ac:dyDescent="0.2">
      <c r="A9891" s="2">
        <v>2475</v>
      </c>
      <c r="B9891" s="2">
        <v>22</v>
      </c>
      <c r="C9891" s="2">
        <v>30962256</v>
      </c>
      <c r="D9891" s="2">
        <v>31904549</v>
      </c>
      <c r="E9891" s="2">
        <v>1</v>
      </c>
      <c r="F9891" s="2" t="s">
        <v>10086</v>
      </c>
      <c r="H9891" s="2">
        <v>1.1000000000000001E-3</v>
      </c>
      <c r="K9891" s="2" t="s">
        <v>10089</v>
      </c>
    </row>
    <row r="9892" spans="1:11" x14ac:dyDescent="0.2">
      <c r="A9892" s="2">
        <v>2475</v>
      </c>
      <c r="B9892" s="2">
        <v>22</v>
      </c>
      <c r="C9892" s="2">
        <v>30962256</v>
      </c>
      <c r="D9892" s="2">
        <v>31904549</v>
      </c>
      <c r="E9892" s="2">
        <v>2</v>
      </c>
      <c r="F9892" s="2" t="s">
        <v>10086</v>
      </c>
      <c r="H9892" s="2">
        <v>1.1000000000000001E-3</v>
      </c>
      <c r="K9892" s="2" t="s">
        <v>10087</v>
      </c>
    </row>
    <row r="9893" spans="1:11" x14ac:dyDescent="0.2">
      <c r="A9893" s="2">
        <v>2475</v>
      </c>
      <c r="B9893" s="2">
        <v>22</v>
      </c>
      <c r="C9893" s="2">
        <v>30962256</v>
      </c>
      <c r="D9893" s="2">
        <v>31904549</v>
      </c>
      <c r="E9893" s="2">
        <v>3</v>
      </c>
      <c r="F9893" s="2" t="s">
        <v>10086</v>
      </c>
      <c r="H9893" s="3">
        <v>8.0000000000000004E-4</v>
      </c>
      <c r="K9893" s="2" t="s">
        <v>12324</v>
      </c>
    </row>
    <row r="9894" spans="1:11" x14ac:dyDescent="0.2">
      <c r="A9894" s="2">
        <v>2475</v>
      </c>
      <c r="B9894" s="2">
        <v>22</v>
      </c>
      <c r="C9894" s="2">
        <v>30962256</v>
      </c>
      <c r="D9894" s="2">
        <v>31904549</v>
      </c>
      <c r="E9894" s="2">
        <v>4</v>
      </c>
      <c r="F9894" s="2" t="s">
        <v>10086</v>
      </c>
      <c r="H9894" s="3">
        <v>5.9999999999999995E-4</v>
      </c>
      <c r="K9894" s="2" t="s">
        <v>10088</v>
      </c>
    </row>
    <row r="9895" spans="1:11" x14ac:dyDescent="0.2">
      <c r="A9895" s="2">
        <v>2476</v>
      </c>
      <c r="B9895" s="2">
        <v>22</v>
      </c>
      <c r="C9895" s="2">
        <v>31904550</v>
      </c>
      <c r="D9895" s="2">
        <v>32662293</v>
      </c>
      <c r="E9895" s="2">
        <v>1</v>
      </c>
      <c r="F9895" s="2" t="s">
        <v>10086</v>
      </c>
      <c r="H9895" s="2">
        <v>2.2000000000000001E-3</v>
      </c>
      <c r="K9895" s="2" t="s">
        <v>10088</v>
      </c>
    </row>
    <row r="9896" spans="1:11" x14ac:dyDescent="0.2">
      <c r="A9896" s="2">
        <v>2476</v>
      </c>
      <c r="B9896" s="2">
        <v>22</v>
      </c>
      <c r="C9896" s="2">
        <v>31904550</v>
      </c>
      <c r="D9896" s="2">
        <v>32662293</v>
      </c>
      <c r="E9896" s="2">
        <v>2</v>
      </c>
      <c r="F9896" s="2" t="s">
        <v>10086</v>
      </c>
      <c r="H9896" s="2">
        <v>1.6000000000000001E-3</v>
      </c>
      <c r="K9896" s="2" t="s">
        <v>10089</v>
      </c>
    </row>
    <row r="9897" spans="1:11" x14ac:dyDescent="0.2">
      <c r="A9897" s="2">
        <v>2476</v>
      </c>
      <c r="B9897" s="2">
        <v>22</v>
      </c>
      <c r="C9897" s="2">
        <v>31904550</v>
      </c>
      <c r="D9897" s="2">
        <v>32662293</v>
      </c>
      <c r="E9897" s="2">
        <v>3</v>
      </c>
      <c r="F9897" s="2" t="s">
        <v>10086</v>
      </c>
      <c r="H9897" s="3">
        <v>8.9999999999999998E-4</v>
      </c>
      <c r="K9897" s="2" t="s">
        <v>10085</v>
      </c>
    </row>
    <row r="9898" spans="1:11" x14ac:dyDescent="0.2">
      <c r="A9898" s="2">
        <v>2476</v>
      </c>
      <c r="B9898" s="2">
        <v>22</v>
      </c>
      <c r="C9898" s="2">
        <v>31904550</v>
      </c>
      <c r="D9898" s="2">
        <v>32662293</v>
      </c>
      <c r="E9898" s="2">
        <v>4</v>
      </c>
      <c r="F9898" s="2" t="s">
        <v>10086</v>
      </c>
      <c r="H9898" s="3">
        <v>5.9999999999999995E-4</v>
      </c>
      <c r="K9898" s="2" t="s">
        <v>10087</v>
      </c>
    </row>
    <row r="9899" spans="1:11" x14ac:dyDescent="0.2">
      <c r="A9899" s="2">
        <v>2477</v>
      </c>
      <c r="B9899" s="2">
        <v>22</v>
      </c>
      <c r="C9899" s="2">
        <v>32662294</v>
      </c>
      <c r="D9899" s="2">
        <v>33501725</v>
      </c>
      <c r="E9899" s="2">
        <v>1</v>
      </c>
      <c r="F9899" s="2" t="s">
        <v>10086</v>
      </c>
      <c r="H9899" s="2">
        <v>1.1000000000000001E-3</v>
      </c>
      <c r="K9899" s="2" t="s">
        <v>10087</v>
      </c>
    </row>
    <row r="9900" spans="1:11" x14ac:dyDescent="0.2">
      <c r="A9900" s="2">
        <v>2477</v>
      </c>
      <c r="B9900" s="2">
        <v>22</v>
      </c>
      <c r="C9900" s="2">
        <v>32662294</v>
      </c>
      <c r="D9900" s="2">
        <v>33501725</v>
      </c>
      <c r="E9900" s="2">
        <v>2</v>
      </c>
      <c r="F9900" s="2" t="s">
        <v>10086</v>
      </c>
      <c r="H9900" s="2">
        <v>1.1000000000000001E-3</v>
      </c>
      <c r="K9900" s="2" t="s">
        <v>10088</v>
      </c>
    </row>
    <row r="9901" spans="1:11" x14ac:dyDescent="0.2">
      <c r="A9901" s="2">
        <v>2477</v>
      </c>
      <c r="B9901" s="2">
        <v>22</v>
      </c>
      <c r="C9901" s="2">
        <v>32662294</v>
      </c>
      <c r="D9901" s="2">
        <v>33501725</v>
      </c>
      <c r="E9901" s="2">
        <v>3</v>
      </c>
      <c r="F9901" s="2" t="s">
        <v>10086</v>
      </c>
      <c r="H9901" s="2">
        <v>1E-3</v>
      </c>
      <c r="K9901" s="2" t="s">
        <v>10085</v>
      </c>
    </row>
    <row r="9902" spans="1:11" x14ac:dyDescent="0.2">
      <c r="A9902" s="2">
        <v>2477</v>
      </c>
      <c r="B9902" s="2">
        <v>22</v>
      </c>
      <c r="C9902" s="2">
        <v>32662294</v>
      </c>
      <c r="D9902" s="2">
        <v>33501725</v>
      </c>
      <c r="E9902" s="2">
        <v>4</v>
      </c>
      <c r="F9902" s="2" t="s">
        <v>10086</v>
      </c>
      <c r="H9902" s="3">
        <v>2.9999999999999997E-4</v>
      </c>
      <c r="K9902" s="2" t="s">
        <v>10089</v>
      </c>
    </row>
    <row r="9903" spans="1:11" x14ac:dyDescent="0.2">
      <c r="A9903" s="2">
        <v>2478</v>
      </c>
      <c r="B9903" s="2">
        <v>22</v>
      </c>
      <c r="C9903" s="2">
        <v>33501726</v>
      </c>
      <c r="D9903" s="2">
        <v>34361897</v>
      </c>
      <c r="E9903" s="2">
        <v>1</v>
      </c>
      <c r="F9903" s="2" t="s">
        <v>10086</v>
      </c>
      <c r="H9903" s="2">
        <v>1E-3</v>
      </c>
      <c r="K9903" s="2" t="s">
        <v>10089</v>
      </c>
    </row>
    <row r="9904" spans="1:11" x14ac:dyDescent="0.2">
      <c r="A9904" s="2">
        <v>2478</v>
      </c>
      <c r="B9904" s="2">
        <v>22</v>
      </c>
      <c r="C9904" s="2">
        <v>33501726</v>
      </c>
      <c r="D9904" s="2">
        <v>34361897</v>
      </c>
      <c r="E9904" s="2">
        <v>2</v>
      </c>
      <c r="F9904" s="2" t="s">
        <v>10086</v>
      </c>
      <c r="H9904" s="2">
        <v>1.5E-3</v>
      </c>
      <c r="K9904" s="2" t="s">
        <v>10088</v>
      </c>
    </row>
    <row r="9905" spans="1:11" x14ac:dyDescent="0.2">
      <c r="A9905" s="2">
        <v>2478</v>
      </c>
      <c r="B9905" s="2">
        <v>22</v>
      </c>
      <c r="C9905" s="2">
        <v>33501726</v>
      </c>
      <c r="D9905" s="2">
        <v>34361897</v>
      </c>
      <c r="E9905" s="2">
        <v>3</v>
      </c>
      <c r="F9905" s="2" t="s">
        <v>10086</v>
      </c>
      <c r="H9905" s="3">
        <v>8.9999999999999998E-4</v>
      </c>
      <c r="K9905" s="2" t="s">
        <v>10085</v>
      </c>
    </row>
    <row r="9906" spans="1:11" x14ac:dyDescent="0.2">
      <c r="A9906" s="2">
        <v>2478</v>
      </c>
      <c r="B9906" s="2">
        <v>22</v>
      </c>
      <c r="C9906" s="2">
        <v>33501726</v>
      </c>
      <c r="D9906" s="2">
        <v>34361897</v>
      </c>
      <c r="E9906" s="2">
        <v>4</v>
      </c>
      <c r="F9906" s="2" t="s">
        <v>10086</v>
      </c>
      <c r="H9906" s="3">
        <v>8.9999999999999998E-4</v>
      </c>
      <c r="K9906" s="2" t="s">
        <v>10087</v>
      </c>
    </row>
    <row r="9907" spans="1:11" x14ac:dyDescent="0.2">
      <c r="A9907" s="2">
        <v>2479</v>
      </c>
      <c r="B9907" s="2">
        <v>22</v>
      </c>
      <c r="C9907" s="2">
        <v>34361898</v>
      </c>
      <c r="D9907" s="2">
        <v>35368341</v>
      </c>
      <c r="E9907" s="2">
        <v>1</v>
      </c>
      <c r="F9907" s="2" t="s">
        <v>10086</v>
      </c>
      <c r="H9907" s="2">
        <v>7.6E-3</v>
      </c>
      <c r="K9907" s="2" t="s">
        <v>10085</v>
      </c>
    </row>
    <row r="9908" spans="1:11" x14ac:dyDescent="0.2">
      <c r="A9908" s="2">
        <v>2479</v>
      </c>
      <c r="B9908" s="2">
        <v>22</v>
      </c>
      <c r="C9908" s="2">
        <v>34361898</v>
      </c>
      <c r="D9908" s="2">
        <v>35368341</v>
      </c>
      <c r="E9908" s="2">
        <v>2</v>
      </c>
      <c r="F9908" s="2" t="s">
        <v>10086</v>
      </c>
      <c r="H9908" s="2">
        <v>1E-3</v>
      </c>
      <c r="K9908" s="2" t="s">
        <v>10089</v>
      </c>
    </row>
    <row r="9909" spans="1:11" x14ac:dyDescent="0.2">
      <c r="A9909" s="2">
        <v>2479</v>
      </c>
      <c r="B9909" s="2">
        <v>22</v>
      </c>
      <c r="C9909" s="2">
        <v>34361898</v>
      </c>
      <c r="D9909" s="2">
        <v>35368341</v>
      </c>
      <c r="E9909" s="2">
        <v>3</v>
      </c>
      <c r="F9909" s="2" t="s">
        <v>10086</v>
      </c>
      <c r="H9909" s="2">
        <v>1E-3</v>
      </c>
      <c r="K9909" s="2" t="s">
        <v>10088</v>
      </c>
    </row>
    <row r="9910" spans="1:11" x14ac:dyDescent="0.2">
      <c r="A9910" s="2">
        <v>2479</v>
      </c>
      <c r="B9910" s="2">
        <v>22</v>
      </c>
      <c r="C9910" s="2">
        <v>34361898</v>
      </c>
      <c r="D9910" s="2">
        <v>35368341</v>
      </c>
      <c r="E9910" s="2">
        <v>4</v>
      </c>
      <c r="F9910" s="2" t="s">
        <v>10086</v>
      </c>
      <c r="H9910" s="3">
        <v>4.0000000000000002E-4</v>
      </c>
      <c r="K9910" s="2" t="s">
        <v>10087</v>
      </c>
    </row>
    <row r="9911" spans="1:11" x14ac:dyDescent="0.2">
      <c r="A9911" s="2">
        <v>2480</v>
      </c>
      <c r="B9911" s="2">
        <v>22</v>
      </c>
      <c r="C9911" s="2">
        <v>35368342</v>
      </c>
      <c r="D9911" s="2">
        <v>36135968</v>
      </c>
      <c r="E9911" s="2">
        <v>1</v>
      </c>
      <c r="F9911" s="2" t="s">
        <v>10086</v>
      </c>
      <c r="H9911" s="2">
        <v>2.2000000000000001E-3</v>
      </c>
      <c r="K9911" s="2" t="s">
        <v>10089</v>
      </c>
    </row>
    <row r="9912" spans="1:11" x14ac:dyDescent="0.2">
      <c r="A9912" s="2">
        <v>2480</v>
      </c>
      <c r="B9912" s="2">
        <v>22</v>
      </c>
      <c r="C9912" s="2">
        <v>35368342</v>
      </c>
      <c r="D9912" s="2">
        <v>36135968</v>
      </c>
      <c r="E9912" s="2">
        <v>2</v>
      </c>
      <c r="F9912" s="2" t="s">
        <v>10086</v>
      </c>
      <c r="H9912" s="2">
        <v>1.1999999999999999E-3</v>
      </c>
      <c r="K9912" s="2" t="s">
        <v>10085</v>
      </c>
    </row>
    <row r="9913" spans="1:11" x14ac:dyDescent="0.2">
      <c r="A9913" s="2">
        <v>2480</v>
      </c>
      <c r="B9913" s="2">
        <v>22</v>
      </c>
      <c r="C9913" s="2">
        <v>35368342</v>
      </c>
      <c r="D9913" s="2">
        <v>36135968</v>
      </c>
      <c r="E9913" s="2">
        <v>3</v>
      </c>
      <c r="F9913" s="2" t="s">
        <v>10086</v>
      </c>
      <c r="H9913" s="2">
        <v>1.1000000000000001E-3</v>
      </c>
      <c r="K9913" s="2" t="s">
        <v>12324</v>
      </c>
    </row>
    <row r="9914" spans="1:11" x14ac:dyDescent="0.2">
      <c r="A9914" s="2">
        <v>2480</v>
      </c>
      <c r="B9914" s="2">
        <v>22</v>
      </c>
      <c r="C9914" s="2">
        <v>35368342</v>
      </c>
      <c r="D9914" s="2">
        <v>36135968</v>
      </c>
      <c r="E9914" s="2">
        <v>4</v>
      </c>
      <c r="F9914" s="2" t="s">
        <v>10086</v>
      </c>
      <c r="H9914" s="3">
        <v>6.9999999999999999E-4</v>
      </c>
      <c r="K9914" s="2" t="s">
        <v>10087</v>
      </c>
    </row>
    <row r="9915" spans="1:11" x14ac:dyDescent="0.2">
      <c r="A9915" s="2">
        <v>2481</v>
      </c>
      <c r="B9915" s="2">
        <v>22</v>
      </c>
      <c r="C9915" s="2">
        <v>36135969</v>
      </c>
      <c r="D9915" s="2">
        <v>37364004</v>
      </c>
      <c r="E9915" s="2">
        <v>1</v>
      </c>
      <c r="F9915" s="2" t="s">
        <v>10086</v>
      </c>
      <c r="H9915" s="2">
        <v>1.6999999999999999E-3</v>
      </c>
      <c r="K9915" s="2" t="s">
        <v>10087</v>
      </c>
    </row>
    <row r="9916" spans="1:11" x14ac:dyDescent="0.2">
      <c r="A9916" s="2">
        <v>2481</v>
      </c>
      <c r="B9916" s="2">
        <v>22</v>
      </c>
      <c r="C9916" s="2">
        <v>36135969</v>
      </c>
      <c r="D9916" s="2">
        <v>37364004</v>
      </c>
      <c r="E9916" s="2">
        <v>2</v>
      </c>
      <c r="F9916" s="2" t="s">
        <v>10086</v>
      </c>
      <c r="H9916" s="2">
        <v>1.1999999999999999E-3</v>
      </c>
      <c r="K9916" s="2" t="s">
        <v>10088</v>
      </c>
    </row>
    <row r="9917" spans="1:11" x14ac:dyDescent="0.2">
      <c r="A9917" s="2">
        <v>2481</v>
      </c>
      <c r="B9917" s="2">
        <v>22</v>
      </c>
      <c r="C9917" s="2">
        <v>36135969</v>
      </c>
      <c r="D9917" s="2">
        <v>37364004</v>
      </c>
      <c r="E9917" s="2">
        <v>3</v>
      </c>
      <c r="F9917" s="2" t="s">
        <v>10086</v>
      </c>
      <c r="H9917" s="3">
        <v>8.9999999999999998E-4</v>
      </c>
      <c r="K9917" s="2" t="s">
        <v>10085</v>
      </c>
    </row>
    <row r="9918" spans="1:11" x14ac:dyDescent="0.2">
      <c r="A9918" s="2">
        <v>2481</v>
      </c>
      <c r="B9918" s="2">
        <v>22</v>
      </c>
      <c r="C9918" s="2">
        <v>36135969</v>
      </c>
      <c r="D9918" s="2">
        <v>37364004</v>
      </c>
      <c r="E9918" s="2">
        <v>4</v>
      </c>
      <c r="F9918" s="2" t="s">
        <v>10086</v>
      </c>
      <c r="H9918" s="3">
        <v>5.0000000000000001E-4</v>
      </c>
      <c r="K9918" s="2" t="s">
        <v>10089</v>
      </c>
    </row>
    <row r="9919" spans="1:11" x14ac:dyDescent="0.2">
      <c r="A9919" s="2">
        <v>2482</v>
      </c>
      <c r="B9919" s="2">
        <v>22</v>
      </c>
      <c r="C9919" s="2">
        <v>37364005</v>
      </c>
      <c r="D9919" s="2">
        <v>38718589</v>
      </c>
      <c r="E9919" s="2">
        <v>1</v>
      </c>
      <c r="F9919" s="2" t="s">
        <v>10086</v>
      </c>
      <c r="H9919" s="2">
        <v>4.3E-3</v>
      </c>
      <c r="K9919" s="2" t="s">
        <v>12324</v>
      </c>
    </row>
    <row r="9920" spans="1:11" x14ac:dyDescent="0.2">
      <c r="A9920" s="2">
        <v>2482</v>
      </c>
      <c r="B9920" s="2">
        <v>22</v>
      </c>
      <c r="C9920" s="2">
        <v>37364005</v>
      </c>
      <c r="D9920" s="2">
        <v>38718589</v>
      </c>
      <c r="E9920" s="2">
        <v>2</v>
      </c>
      <c r="F9920" s="2" t="s">
        <v>10086</v>
      </c>
      <c r="H9920" s="2">
        <v>7.4000000000000003E-3</v>
      </c>
      <c r="K9920" s="2" t="s">
        <v>10088</v>
      </c>
    </row>
    <row r="9921" spans="1:11" x14ac:dyDescent="0.2">
      <c r="A9921" s="2">
        <v>2482</v>
      </c>
      <c r="B9921" s="2">
        <v>22</v>
      </c>
      <c r="C9921" s="2">
        <v>37364005</v>
      </c>
      <c r="D9921" s="2">
        <v>38718589</v>
      </c>
      <c r="E9921" s="2">
        <v>3</v>
      </c>
      <c r="F9921" s="2" t="s">
        <v>10086</v>
      </c>
      <c r="H9921" s="2">
        <v>2.2000000000000001E-3</v>
      </c>
      <c r="K9921" s="2" t="s">
        <v>10085</v>
      </c>
    </row>
    <row r="9922" spans="1:11" x14ac:dyDescent="0.2">
      <c r="A9922" s="2">
        <v>2482</v>
      </c>
      <c r="B9922" s="2">
        <v>22</v>
      </c>
      <c r="C9922" s="2">
        <v>37364005</v>
      </c>
      <c r="D9922" s="2">
        <v>38718589</v>
      </c>
      <c r="E9922" s="2">
        <v>4</v>
      </c>
      <c r="F9922" s="2" t="s">
        <v>10086</v>
      </c>
      <c r="H9922" s="2">
        <v>1.1000000000000001E-3</v>
      </c>
      <c r="K9922" s="2" t="s">
        <v>10087</v>
      </c>
    </row>
    <row r="9923" spans="1:11" x14ac:dyDescent="0.2">
      <c r="A9923" s="2">
        <v>2483</v>
      </c>
      <c r="B9923" s="2">
        <v>22</v>
      </c>
      <c r="C9923" s="2">
        <v>38718590</v>
      </c>
      <c r="D9923" s="2">
        <v>40378783</v>
      </c>
      <c r="E9923" s="2">
        <v>1</v>
      </c>
      <c r="F9923" s="2" t="s">
        <v>10086</v>
      </c>
      <c r="H9923" s="2">
        <v>1.6000000000000001E-3</v>
      </c>
      <c r="K9923" s="2" t="s">
        <v>10088</v>
      </c>
    </row>
    <row r="9924" spans="1:11" x14ac:dyDescent="0.2">
      <c r="A9924" s="2">
        <v>2483</v>
      </c>
      <c r="B9924" s="2">
        <v>22</v>
      </c>
      <c r="C9924" s="2">
        <v>38718590</v>
      </c>
      <c r="D9924" s="2">
        <v>40378783</v>
      </c>
      <c r="E9924" s="2">
        <v>2</v>
      </c>
      <c r="F9924" s="2" t="s">
        <v>10086</v>
      </c>
      <c r="H9924" s="2">
        <v>2.7000000000000001E-3</v>
      </c>
      <c r="K9924" s="2" t="s">
        <v>10087</v>
      </c>
    </row>
    <row r="9925" spans="1:11" x14ac:dyDescent="0.2">
      <c r="A9925" s="2">
        <v>2483</v>
      </c>
      <c r="B9925" s="2">
        <v>22</v>
      </c>
      <c r="C9925" s="2">
        <v>38718590</v>
      </c>
      <c r="D9925" s="2">
        <v>40378783</v>
      </c>
      <c r="E9925" s="2">
        <v>3</v>
      </c>
      <c r="F9925" s="2" t="s">
        <v>10086</v>
      </c>
      <c r="H9925" s="2">
        <v>1.1999999999999999E-3</v>
      </c>
      <c r="K9925" s="2" t="s">
        <v>10085</v>
      </c>
    </row>
    <row r="9926" spans="1:11" x14ac:dyDescent="0.2">
      <c r="A9926" s="2">
        <v>2483</v>
      </c>
      <c r="B9926" s="2">
        <v>22</v>
      </c>
      <c r="C9926" s="2">
        <v>38718590</v>
      </c>
      <c r="D9926" s="2">
        <v>40378783</v>
      </c>
      <c r="E9926" s="2">
        <v>4</v>
      </c>
      <c r="F9926" s="2" t="s">
        <v>10086</v>
      </c>
      <c r="H9926" s="3">
        <v>8.9999999999999998E-4</v>
      </c>
      <c r="K9926" s="2" t="s">
        <v>10089</v>
      </c>
    </row>
    <row r="9927" spans="1:11" x14ac:dyDescent="0.2">
      <c r="A9927" s="2">
        <v>2484</v>
      </c>
      <c r="B9927" s="2">
        <v>22</v>
      </c>
      <c r="C9927" s="2">
        <v>40378784</v>
      </c>
      <c r="D9927" s="2">
        <v>41722787</v>
      </c>
      <c r="E9927" s="2">
        <v>1</v>
      </c>
      <c r="F9927" s="2" t="s">
        <v>10086</v>
      </c>
      <c r="H9927" s="2">
        <v>1.5E-3</v>
      </c>
      <c r="K9927" s="2" t="s">
        <v>10089</v>
      </c>
    </row>
    <row r="9928" spans="1:11" x14ac:dyDescent="0.2">
      <c r="A9928" s="2">
        <v>2484</v>
      </c>
      <c r="B9928" s="2">
        <v>22</v>
      </c>
      <c r="C9928" s="2">
        <v>40378784</v>
      </c>
      <c r="D9928" s="2">
        <v>41722787</v>
      </c>
      <c r="E9928" s="2">
        <v>2</v>
      </c>
      <c r="F9928" s="2" t="s">
        <v>10086</v>
      </c>
      <c r="H9928" s="2">
        <v>1.2999999999999999E-3</v>
      </c>
      <c r="K9928" s="2" t="s">
        <v>10087</v>
      </c>
    </row>
    <row r="9929" spans="1:11" x14ac:dyDescent="0.2">
      <c r="A9929" s="2">
        <v>2484</v>
      </c>
      <c r="B9929" s="2">
        <v>22</v>
      </c>
      <c r="C9929" s="2">
        <v>40378784</v>
      </c>
      <c r="D9929" s="2">
        <v>41722787</v>
      </c>
      <c r="E9929" s="2">
        <v>3</v>
      </c>
      <c r="F9929" s="2" t="s">
        <v>10086</v>
      </c>
      <c r="H9929" s="3">
        <v>8.9999999999999998E-4</v>
      </c>
      <c r="K9929" s="2" t="s">
        <v>10088</v>
      </c>
    </row>
    <row r="9930" spans="1:11" x14ac:dyDescent="0.2">
      <c r="A9930" s="2">
        <v>2484</v>
      </c>
      <c r="B9930" s="2">
        <v>22</v>
      </c>
      <c r="C9930" s="2">
        <v>40378784</v>
      </c>
      <c r="D9930" s="2">
        <v>41722787</v>
      </c>
      <c r="E9930" s="2">
        <v>4</v>
      </c>
      <c r="F9930" s="2" t="s">
        <v>10086</v>
      </c>
      <c r="H9930" s="3">
        <v>8.9999999999999998E-4</v>
      </c>
      <c r="K9930" s="2" t="s">
        <v>12324</v>
      </c>
    </row>
    <row r="9931" spans="1:11" x14ac:dyDescent="0.2">
      <c r="A9931" s="2">
        <v>2485</v>
      </c>
      <c r="B9931" s="2">
        <v>22</v>
      </c>
      <c r="C9931" s="2">
        <v>41722788</v>
      </c>
      <c r="D9931" s="2">
        <v>42867927</v>
      </c>
      <c r="E9931" s="2">
        <v>1</v>
      </c>
      <c r="F9931" s="2" t="s">
        <v>10086</v>
      </c>
      <c r="H9931" s="2">
        <v>1.6199999999999999E-2</v>
      </c>
      <c r="K9931" s="2" t="s">
        <v>10089</v>
      </c>
    </row>
    <row r="9932" spans="1:11" x14ac:dyDescent="0.2">
      <c r="A9932" s="2">
        <v>2485</v>
      </c>
      <c r="B9932" s="2">
        <v>22</v>
      </c>
      <c r="C9932" s="2">
        <v>41722788</v>
      </c>
      <c r="D9932" s="2">
        <v>42867927</v>
      </c>
      <c r="E9932" s="2">
        <v>2</v>
      </c>
      <c r="F9932" s="2" t="s">
        <v>10086</v>
      </c>
      <c r="H9932" s="2">
        <v>2.8E-3</v>
      </c>
      <c r="K9932" s="2" t="s">
        <v>10085</v>
      </c>
    </row>
    <row r="9933" spans="1:11" x14ac:dyDescent="0.2">
      <c r="A9933" s="2">
        <v>2485</v>
      </c>
      <c r="B9933" s="2">
        <v>22</v>
      </c>
      <c r="C9933" s="2">
        <v>41722788</v>
      </c>
      <c r="D9933" s="2">
        <v>42867927</v>
      </c>
      <c r="E9933" s="2">
        <v>3</v>
      </c>
      <c r="F9933" s="2" t="s">
        <v>10086</v>
      </c>
      <c r="H9933" s="2">
        <v>1.4E-3</v>
      </c>
      <c r="K9933" s="2" t="s">
        <v>10087</v>
      </c>
    </row>
    <row r="9934" spans="1:11" x14ac:dyDescent="0.2">
      <c r="A9934" s="2">
        <v>2485</v>
      </c>
      <c r="B9934" s="2">
        <v>22</v>
      </c>
      <c r="C9934" s="2">
        <v>41722788</v>
      </c>
      <c r="D9934" s="2">
        <v>42867927</v>
      </c>
      <c r="E9934" s="2">
        <v>4</v>
      </c>
      <c r="F9934" s="2" t="s">
        <v>10086</v>
      </c>
      <c r="H9934" s="3">
        <v>5.9999999999999995E-4</v>
      </c>
      <c r="K9934" s="2" t="s">
        <v>10088</v>
      </c>
    </row>
    <row r="9935" spans="1:11" x14ac:dyDescent="0.2">
      <c r="A9935" s="2">
        <v>2486</v>
      </c>
      <c r="B9935" s="2">
        <v>22</v>
      </c>
      <c r="C9935" s="2">
        <v>42867928</v>
      </c>
      <c r="D9935" s="2">
        <v>43574017</v>
      </c>
      <c r="E9935" s="2">
        <v>1</v>
      </c>
      <c r="F9935" s="2" t="s">
        <v>10086</v>
      </c>
      <c r="H9935" s="2">
        <v>3.56E-2</v>
      </c>
      <c r="K9935" s="2" t="s">
        <v>10087</v>
      </c>
    </row>
    <row r="9936" spans="1:11" x14ac:dyDescent="0.2">
      <c r="A9936" s="2">
        <v>2486</v>
      </c>
      <c r="B9936" s="2">
        <v>22</v>
      </c>
      <c r="C9936" s="2">
        <v>42867928</v>
      </c>
      <c r="D9936" s="2">
        <v>43574017</v>
      </c>
      <c r="E9936" s="2">
        <v>2</v>
      </c>
      <c r="F9936" s="2" t="s">
        <v>10086</v>
      </c>
      <c r="H9936" s="2">
        <v>7.6E-3</v>
      </c>
      <c r="K9936" s="2" t="s">
        <v>10085</v>
      </c>
    </row>
    <row r="9937" spans="1:11" x14ac:dyDescent="0.2">
      <c r="A9937" s="2">
        <v>2486</v>
      </c>
      <c r="B9937" s="2">
        <v>22</v>
      </c>
      <c r="C9937" s="2">
        <v>42867928</v>
      </c>
      <c r="D9937" s="2">
        <v>43574017</v>
      </c>
      <c r="E9937" s="2">
        <v>3</v>
      </c>
      <c r="F9937" s="2" t="s">
        <v>10086</v>
      </c>
      <c r="H9937" s="2">
        <v>1.6999999999999999E-3</v>
      </c>
      <c r="K9937" s="2" t="s">
        <v>10088</v>
      </c>
    </row>
    <row r="9938" spans="1:11" x14ac:dyDescent="0.2">
      <c r="A9938" s="2">
        <v>2486</v>
      </c>
      <c r="B9938" s="2">
        <v>22</v>
      </c>
      <c r="C9938" s="2">
        <v>42867928</v>
      </c>
      <c r="D9938" s="2">
        <v>43574017</v>
      </c>
      <c r="E9938" s="2">
        <v>4</v>
      </c>
      <c r="F9938" s="2" t="s">
        <v>10086</v>
      </c>
      <c r="H9938" s="3">
        <v>2.9999999999999997E-4</v>
      </c>
      <c r="K9938" s="2" t="s">
        <v>10089</v>
      </c>
    </row>
    <row r="9939" spans="1:11" x14ac:dyDescent="0.2">
      <c r="A9939" s="2">
        <v>2487</v>
      </c>
      <c r="B9939" s="2">
        <v>22</v>
      </c>
      <c r="C9939" s="2">
        <v>43574018</v>
      </c>
      <c r="D9939" s="2">
        <v>44409533</v>
      </c>
      <c r="E9939" s="2">
        <v>1</v>
      </c>
      <c r="F9939" s="2" t="s">
        <v>10086</v>
      </c>
      <c r="H9939" s="2">
        <v>3.0000000000000001E-3</v>
      </c>
      <c r="K9939" s="2" t="s">
        <v>10085</v>
      </c>
    </row>
    <row r="9940" spans="1:11" x14ac:dyDescent="0.2">
      <c r="A9940" s="2">
        <v>2487</v>
      </c>
      <c r="B9940" s="2">
        <v>22</v>
      </c>
      <c r="C9940" s="2">
        <v>43574018</v>
      </c>
      <c r="D9940" s="2">
        <v>44409533</v>
      </c>
      <c r="E9940" s="2">
        <v>2</v>
      </c>
      <c r="F9940" s="2" t="s">
        <v>10086</v>
      </c>
      <c r="H9940" s="2">
        <v>1.1999999999999999E-3</v>
      </c>
      <c r="K9940" s="2" t="s">
        <v>10087</v>
      </c>
    </row>
    <row r="9941" spans="1:11" x14ac:dyDescent="0.2">
      <c r="A9941" s="2">
        <v>2487</v>
      </c>
      <c r="B9941" s="2">
        <v>22</v>
      </c>
      <c r="C9941" s="2">
        <v>43574018</v>
      </c>
      <c r="D9941" s="2">
        <v>44409533</v>
      </c>
      <c r="E9941" s="2">
        <v>3</v>
      </c>
      <c r="F9941" s="2" t="s">
        <v>10086</v>
      </c>
      <c r="H9941" s="3">
        <v>6.9999999999999999E-4</v>
      </c>
      <c r="K9941" s="2" t="s">
        <v>10089</v>
      </c>
    </row>
    <row r="9942" spans="1:11" x14ac:dyDescent="0.2">
      <c r="A9942" s="2">
        <v>2487</v>
      </c>
      <c r="B9942" s="2">
        <v>22</v>
      </c>
      <c r="C9942" s="2">
        <v>43574018</v>
      </c>
      <c r="D9942" s="2">
        <v>44409533</v>
      </c>
      <c r="E9942" s="2">
        <v>4</v>
      </c>
      <c r="F9942" s="2" t="s">
        <v>10086</v>
      </c>
      <c r="H9942" s="3">
        <v>2.9999999999999997E-4</v>
      </c>
      <c r="K9942" s="2" t="s">
        <v>10088</v>
      </c>
    </row>
    <row r="9943" spans="1:11" x14ac:dyDescent="0.2">
      <c r="A9943" s="2">
        <v>2488</v>
      </c>
      <c r="B9943" s="2">
        <v>22</v>
      </c>
      <c r="C9943" s="2">
        <v>44409534</v>
      </c>
      <c r="D9943" s="2">
        <v>45170649</v>
      </c>
      <c r="E9943" s="2">
        <v>1</v>
      </c>
      <c r="F9943" s="2" t="s">
        <v>10086</v>
      </c>
      <c r="H9943" s="2">
        <v>1.5E-3</v>
      </c>
      <c r="K9943" s="2" t="s">
        <v>10087</v>
      </c>
    </row>
    <row r="9944" spans="1:11" x14ac:dyDescent="0.2">
      <c r="A9944" s="2">
        <v>2488</v>
      </c>
      <c r="B9944" s="2">
        <v>22</v>
      </c>
      <c r="C9944" s="2">
        <v>44409534</v>
      </c>
      <c r="D9944" s="2">
        <v>45170649</v>
      </c>
      <c r="E9944" s="2">
        <v>2</v>
      </c>
      <c r="F9944" s="2" t="s">
        <v>10086</v>
      </c>
      <c r="H9944" s="2">
        <v>1.2999999999999999E-3</v>
      </c>
      <c r="K9944" s="2" t="s">
        <v>10088</v>
      </c>
    </row>
    <row r="9945" spans="1:11" x14ac:dyDescent="0.2">
      <c r="A9945" s="2">
        <v>2488</v>
      </c>
      <c r="B9945" s="2">
        <v>22</v>
      </c>
      <c r="C9945" s="2">
        <v>44409534</v>
      </c>
      <c r="D9945" s="2">
        <v>45170649</v>
      </c>
      <c r="E9945" s="2">
        <v>3</v>
      </c>
      <c r="F9945" s="2" t="s">
        <v>10086</v>
      </c>
      <c r="H9945" s="2">
        <v>1.1999999999999999E-3</v>
      </c>
      <c r="K9945" s="2" t="s">
        <v>10089</v>
      </c>
    </row>
    <row r="9946" spans="1:11" x14ac:dyDescent="0.2">
      <c r="A9946" s="2">
        <v>2488</v>
      </c>
      <c r="B9946" s="2">
        <v>22</v>
      </c>
      <c r="C9946" s="2">
        <v>44409534</v>
      </c>
      <c r="D9946" s="2">
        <v>45170649</v>
      </c>
      <c r="E9946" s="2">
        <v>4</v>
      </c>
      <c r="F9946" s="2" t="s">
        <v>10086</v>
      </c>
      <c r="H9946" s="3">
        <v>8.9999999999999998E-4</v>
      </c>
      <c r="K9946" s="2" t="s">
        <v>10085</v>
      </c>
    </row>
    <row r="9947" spans="1:11" x14ac:dyDescent="0.2">
      <c r="A9947" s="2">
        <v>2489</v>
      </c>
      <c r="B9947" s="2">
        <v>22</v>
      </c>
      <c r="C9947" s="2">
        <v>45170650</v>
      </c>
      <c r="D9947" s="2">
        <v>46351048</v>
      </c>
      <c r="E9947" s="2">
        <v>1</v>
      </c>
      <c r="F9947" s="2" t="s">
        <v>10086</v>
      </c>
      <c r="H9947" s="2">
        <v>2E-3</v>
      </c>
      <c r="K9947" s="2" t="s">
        <v>10089</v>
      </c>
    </row>
    <row r="9948" spans="1:11" x14ac:dyDescent="0.2">
      <c r="A9948" s="2">
        <v>2489</v>
      </c>
      <c r="B9948" s="2">
        <v>22</v>
      </c>
      <c r="C9948" s="2">
        <v>45170650</v>
      </c>
      <c r="D9948" s="2">
        <v>46351048</v>
      </c>
      <c r="E9948" s="2">
        <v>2</v>
      </c>
      <c r="F9948" s="2" t="s">
        <v>10086</v>
      </c>
      <c r="H9948" s="2">
        <v>1.5E-3</v>
      </c>
      <c r="K9948" s="2" t="s">
        <v>10088</v>
      </c>
    </row>
    <row r="9949" spans="1:11" x14ac:dyDescent="0.2">
      <c r="A9949" s="2">
        <v>2489</v>
      </c>
      <c r="B9949" s="2">
        <v>22</v>
      </c>
      <c r="C9949" s="2">
        <v>45170650</v>
      </c>
      <c r="D9949" s="2">
        <v>46351048</v>
      </c>
      <c r="E9949" s="2">
        <v>3</v>
      </c>
      <c r="F9949" s="2" t="s">
        <v>10086</v>
      </c>
      <c r="H9949" s="2">
        <v>1.4E-3</v>
      </c>
      <c r="K9949" s="2" t="s">
        <v>12324</v>
      </c>
    </row>
    <row r="9950" spans="1:11" x14ac:dyDescent="0.2">
      <c r="A9950" s="2">
        <v>2489</v>
      </c>
      <c r="B9950" s="2">
        <v>22</v>
      </c>
      <c r="C9950" s="2">
        <v>45170650</v>
      </c>
      <c r="D9950" s="2">
        <v>46351048</v>
      </c>
      <c r="E9950" s="2">
        <v>4</v>
      </c>
      <c r="F9950" s="2" t="s">
        <v>10086</v>
      </c>
      <c r="H9950" s="2">
        <v>1.1000000000000001E-3</v>
      </c>
      <c r="K9950" s="2" t="s">
        <v>10087</v>
      </c>
    </row>
    <row r="9951" spans="1:11" x14ac:dyDescent="0.2">
      <c r="A9951" s="2">
        <v>2490</v>
      </c>
      <c r="B9951" s="2">
        <v>22</v>
      </c>
      <c r="C9951" s="2">
        <v>46351049</v>
      </c>
      <c r="D9951" s="2">
        <v>47299625</v>
      </c>
      <c r="E9951" s="2">
        <v>1</v>
      </c>
      <c r="F9951" s="2" t="s">
        <v>10086</v>
      </c>
      <c r="H9951" s="2">
        <v>7.0000000000000001E-3</v>
      </c>
      <c r="K9951" s="2" t="s">
        <v>10088</v>
      </c>
    </row>
    <row r="9952" spans="1:11" x14ac:dyDescent="0.2">
      <c r="A9952" s="2">
        <v>2490</v>
      </c>
      <c r="B9952" s="2">
        <v>22</v>
      </c>
      <c r="C9952" s="2">
        <v>46351049</v>
      </c>
      <c r="D9952" s="2">
        <v>47299625</v>
      </c>
      <c r="E9952" s="2">
        <v>2</v>
      </c>
      <c r="F9952" s="2" t="s">
        <v>10086</v>
      </c>
      <c r="H9952" s="2">
        <v>1.5E-3</v>
      </c>
      <c r="K9952" s="2" t="s">
        <v>10089</v>
      </c>
    </row>
    <row r="9953" spans="1:11" x14ac:dyDescent="0.2">
      <c r="A9953" s="2">
        <v>2490</v>
      </c>
      <c r="B9953" s="2">
        <v>22</v>
      </c>
      <c r="C9953" s="2">
        <v>46351049</v>
      </c>
      <c r="D9953" s="2">
        <v>47299625</v>
      </c>
      <c r="E9953" s="2">
        <v>3</v>
      </c>
      <c r="F9953" s="2" t="s">
        <v>10086</v>
      </c>
      <c r="H9953" s="3">
        <v>8.9999999999999998E-4</v>
      </c>
      <c r="K9953" s="2" t="s">
        <v>10087</v>
      </c>
    </row>
    <row r="9954" spans="1:11" x14ac:dyDescent="0.2">
      <c r="A9954" s="2">
        <v>2490</v>
      </c>
      <c r="B9954" s="2">
        <v>22</v>
      </c>
      <c r="C9954" s="2">
        <v>46351049</v>
      </c>
      <c r="D9954" s="2">
        <v>47299625</v>
      </c>
      <c r="E9954" s="2">
        <v>4</v>
      </c>
      <c r="F9954" s="2" t="s">
        <v>10086</v>
      </c>
      <c r="H9954" s="3">
        <v>5.9999999999999995E-4</v>
      </c>
      <c r="K9954" s="2" t="s">
        <v>12324</v>
      </c>
    </row>
    <row r="9955" spans="1:11" x14ac:dyDescent="0.2">
      <c r="A9955" s="2">
        <v>2491</v>
      </c>
      <c r="B9955" s="2">
        <v>22</v>
      </c>
      <c r="C9955" s="2">
        <v>47299626</v>
      </c>
      <c r="D9955" s="2">
        <v>48269177</v>
      </c>
      <c r="E9955" s="2">
        <v>1</v>
      </c>
      <c r="F9955" s="2" t="s">
        <v>10086</v>
      </c>
      <c r="H9955" s="2">
        <v>1.9E-3</v>
      </c>
      <c r="K9955" s="2" t="s">
        <v>10087</v>
      </c>
    </row>
    <row r="9956" spans="1:11" x14ac:dyDescent="0.2">
      <c r="A9956" s="2">
        <v>2491</v>
      </c>
      <c r="B9956" s="2">
        <v>22</v>
      </c>
      <c r="C9956" s="2">
        <v>47299626</v>
      </c>
      <c r="D9956" s="2">
        <v>48269177</v>
      </c>
      <c r="E9956" s="2">
        <v>2</v>
      </c>
      <c r="F9956" s="2" t="s">
        <v>10086</v>
      </c>
      <c r="H9956" s="2">
        <v>1.1999999999999999E-3</v>
      </c>
      <c r="K9956" s="2" t="s">
        <v>10089</v>
      </c>
    </row>
    <row r="9957" spans="1:11" x14ac:dyDescent="0.2">
      <c r="A9957" s="2">
        <v>2491</v>
      </c>
      <c r="B9957" s="2">
        <v>22</v>
      </c>
      <c r="C9957" s="2">
        <v>47299626</v>
      </c>
      <c r="D9957" s="2">
        <v>48269177</v>
      </c>
      <c r="E9957" s="2">
        <v>3</v>
      </c>
      <c r="F9957" s="2" t="s">
        <v>10086</v>
      </c>
      <c r="H9957" s="2">
        <v>1.1000000000000001E-3</v>
      </c>
      <c r="K9957" s="2" t="s">
        <v>10088</v>
      </c>
    </row>
    <row r="9958" spans="1:11" x14ac:dyDescent="0.2">
      <c r="A9958" s="2">
        <v>2491</v>
      </c>
      <c r="B9958" s="2">
        <v>22</v>
      </c>
      <c r="C9958" s="2">
        <v>47299626</v>
      </c>
      <c r="D9958" s="2">
        <v>48269177</v>
      </c>
      <c r="E9958" s="2">
        <v>4</v>
      </c>
      <c r="F9958" s="2" t="s">
        <v>10086</v>
      </c>
      <c r="H9958" s="3">
        <v>5.9999999999999995E-4</v>
      </c>
      <c r="K9958" s="2" t="s">
        <v>10085</v>
      </c>
    </row>
    <row r="9959" spans="1:11" x14ac:dyDescent="0.2">
      <c r="A9959" s="2">
        <v>2492</v>
      </c>
      <c r="B9959" s="2">
        <v>22</v>
      </c>
      <c r="C9959" s="2">
        <v>48269178</v>
      </c>
      <c r="D9959" s="2">
        <v>48977538</v>
      </c>
      <c r="E9959" s="2">
        <v>1</v>
      </c>
      <c r="F9959" s="2" t="s">
        <v>10086</v>
      </c>
      <c r="H9959" s="2">
        <v>1.4E-3</v>
      </c>
      <c r="K9959" s="2" t="s">
        <v>10085</v>
      </c>
    </row>
    <row r="9960" spans="1:11" x14ac:dyDescent="0.2">
      <c r="A9960" s="2">
        <v>2492</v>
      </c>
      <c r="B9960" s="2">
        <v>22</v>
      </c>
      <c r="C9960" s="2">
        <v>48269178</v>
      </c>
      <c r="D9960" s="2">
        <v>48977538</v>
      </c>
      <c r="E9960" s="2">
        <v>2</v>
      </c>
      <c r="F9960" s="2" t="s">
        <v>10086</v>
      </c>
      <c r="H9960" s="2">
        <v>1.5E-3</v>
      </c>
      <c r="K9960" s="2" t="s">
        <v>10087</v>
      </c>
    </row>
    <row r="9961" spans="1:11" x14ac:dyDescent="0.2">
      <c r="A9961" s="2">
        <v>2492</v>
      </c>
      <c r="B9961" s="2">
        <v>22</v>
      </c>
      <c r="C9961" s="2">
        <v>48269178</v>
      </c>
      <c r="D9961" s="2">
        <v>48977538</v>
      </c>
      <c r="E9961" s="2">
        <v>3</v>
      </c>
      <c r="F9961" s="2" t="s">
        <v>10086</v>
      </c>
      <c r="H9961" s="2">
        <v>1.1000000000000001E-3</v>
      </c>
      <c r="K9961" s="2" t="s">
        <v>10089</v>
      </c>
    </row>
    <row r="9962" spans="1:11" x14ac:dyDescent="0.2">
      <c r="A9962" s="2">
        <v>2492</v>
      </c>
      <c r="B9962" s="2">
        <v>22</v>
      </c>
      <c r="C9962" s="2">
        <v>48269178</v>
      </c>
      <c r="D9962" s="2">
        <v>48977538</v>
      </c>
      <c r="E9962" s="2">
        <v>4</v>
      </c>
      <c r="F9962" s="2" t="s">
        <v>10086</v>
      </c>
      <c r="H9962" s="3">
        <v>4.0000000000000002E-4</v>
      </c>
      <c r="K9962" s="2" t="s">
        <v>10088</v>
      </c>
    </row>
    <row r="9963" spans="1:11" x14ac:dyDescent="0.2">
      <c r="A9963" s="2">
        <v>2493</v>
      </c>
      <c r="B9963" s="2">
        <v>22</v>
      </c>
      <c r="C9963" s="2">
        <v>48977539</v>
      </c>
      <c r="D9963" s="2">
        <v>49559207</v>
      </c>
      <c r="E9963" s="2">
        <v>1</v>
      </c>
      <c r="F9963" s="2" t="s">
        <v>10086</v>
      </c>
      <c r="H9963" s="2">
        <v>1.1999999999999999E-3</v>
      </c>
      <c r="K9963" s="2" t="s">
        <v>10085</v>
      </c>
    </row>
    <row r="9964" spans="1:11" x14ac:dyDescent="0.2">
      <c r="A9964" s="2">
        <v>2493</v>
      </c>
      <c r="B9964" s="2">
        <v>22</v>
      </c>
      <c r="C9964" s="2">
        <v>48977539</v>
      </c>
      <c r="D9964" s="2">
        <v>49559207</v>
      </c>
      <c r="E9964" s="2">
        <v>2</v>
      </c>
      <c r="F9964" s="2" t="s">
        <v>10086</v>
      </c>
      <c r="H9964" s="2">
        <v>1.8E-3</v>
      </c>
      <c r="K9964" s="2" t="s">
        <v>10089</v>
      </c>
    </row>
    <row r="9965" spans="1:11" x14ac:dyDescent="0.2">
      <c r="A9965" s="2">
        <v>2493</v>
      </c>
      <c r="B9965" s="2">
        <v>22</v>
      </c>
      <c r="C9965" s="2">
        <v>48977539</v>
      </c>
      <c r="D9965" s="2">
        <v>49559207</v>
      </c>
      <c r="E9965" s="2">
        <v>3</v>
      </c>
      <c r="F9965" s="2" t="s">
        <v>10086</v>
      </c>
      <c r="H9965" s="2">
        <v>1.5E-3</v>
      </c>
      <c r="K9965" s="2" t="s">
        <v>10088</v>
      </c>
    </row>
    <row r="9966" spans="1:11" x14ac:dyDescent="0.2">
      <c r="A9966" s="2">
        <v>2493</v>
      </c>
      <c r="B9966" s="2">
        <v>22</v>
      </c>
      <c r="C9966" s="2">
        <v>48977539</v>
      </c>
      <c r="D9966" s="2">
        <v>49559207</v>
      </c>
      <c r="E9966" s="2">
        <v>4</v>
      </c>
      <c r="F9966" s="2" t="s">
        <v>10086</v>
      </c>
      <c r="H9966" s="3">
        <v>4.0000000000000002E-4</v>
      </c>
      <c r="K9966" s="2" t="s">
        <v>10087</v>
      </c>
    </row>
    <row r="9967" spans="1:11" x14ac:dyDescent="0.2">
      <c r="A9967" s="2">
        <v>2494</v>
      </c>
      <c r="B9967" s="2">
        <v>22</v>
      </c>
      <c r="C9967" s="2">
        <v>49559208</v>
      </c>
      <c r="D9967" s="2">
        <v>50347996</v>
      </c>
      <c r="E9967" s="2">
        <v>1</v>
      </c>
      <c r="F9967" s="2" t="s">
        <v>10086</v>
      </c>
      <c r="H9967" s="2">
        <v>1.8E-3</v>
      </c>
      <c r="K9967" s="2" t="s">
        <v>10085</v>
      </c>
    </row>
    <row r="9968" spans="1:11" x14ac:dyDescent="0.2">
      <c r="A9968" s="2">
        <v>2494</v>
      </c>
      <c r="B9968" s="2">
        <v>22</v>
      </c>
      <c r="C9968" s="2">
        <v>49559208</v>
      </c>
      <c r="D9968" s="2">
        <v>50347996</v>
      </c>
      <c r="E9968" s="2">
        <v>2</v>
      </c>
      <c r="F9968" s="2" t="s">
        <v>10086</v>
      </c>
      <c r="H9968" s="2">
        <v>2E-3</v>
      </c>
      <c r="K9968" s="2" t="s">
        <v>10088</v>
      </c>
    </row>
    <row r="9969" spans="1:11" x14ac:dyDescent="0.2">
      <c r="A9969" s="2">
        <v>2494</v>
      </c>
      <c r="B9969" s="2">
        <v>22</v>
      </c>
      <c r="C9969" s="2">
        <v>49559208</v>
      </c>
      <c r="D9969" s="2">
        <v>50347996</v>
      </c>
      <c r="E9969" s="2">
        <v>3</v>
      </c>
      <c r="F9969" s="2" t="s">
        <v>10086</v>
      </c>
      <c r="H9969" s="2">
        <v>2.0999999999999999E-3</v>
      </c>
      <c r="K9969" s="2" t="s">
        <v>10087</v>
      </c>
    </row>
    <row r="9970" spans="1:11" x14ac:dyDescent="0.2">
      <c r="A9970" s="2">
        <v>2494</v>
      </c>
      <c r="B9970" s="2">
        <v>22</v>
      </c>
      <c r="C9970" s="2">
        <v>49559208</v>
      </c>
      <c r="D9970" s="2">
        <v>50347996</v>
      </c>
      <c r="E9970" s="2">
        <v>4</v>
      </c>
      <c r="F9970" s="2" t="s">
        <v>10086</v>
      </c>
      <c r="H9970" s="3">
        <v>6.9999999999999999E-4</v>
      </c>
      <c r="K9970" s="2" t="s">
        <v>10089</v>
      </c>
    </row>
    <row r="9971" spans="1:11" x14ac:dyDescent="0.2">
      <c r="A9971" s="2">
        <v>2495</v>
      </c>
      <c r="B9971" s="2">
        <v>22</v>
      </c>
      <c r="C9971" s="2">
        <v>50347997</v>
      </c>
      <c r="D9971" s="2">
        <v>51244236</v>
      </c>
      <c r="E9971" s="2">
        <v>1</v>
      </c>
      <c r="F9971" s="2" t="s">
        <v>10086</v>
      </c>
      <c r="H9971" s="2">
        <v>4.7000000000000002E-3</v>
      </c>
      <c r="K9971" s="2" t="s">
        <v>12324</v>
      </c>
    </row>
    <row r="9972" spans="1:11" x14ac:dyDescent="0.2">
      <c r="A9972" s="2">
        <v>2495</v>
      </c>
      <c r="B9972" s="2">
        <v>22</v>
      </c>
      <c r="C9972" s="2">
        <v>50347997</v>
      </c>
      <c r="D9972" s="2">
        <v>51244236</v>
      </c>
      <c r="E9972" s="2">
        <v>2</v>
      </c>
      <c r="F9972" s="2" t="s">
        <v>10086</v>
      </c>
      <c r="H9972" s="2">
        <v>1.5E-3</v>
      </c>
      <c r="K9972" s="2" t="s">
        <v>10088</v>
      </c>
    </row>
    <row r="9973" spans="1:11" x14ac:dyDescent="0.2">
      <c r="A9973" s="2">
        <v>2495</v>
      </c>
      <c r="B9973" s="2">
        <v>22</v>
      </c>
      <c r="C9973" s="2">
        <v>50347997</v>
      </c>
      <c r="D9973" s="2">
        <v>51244236</v>
      </c>
      <c r="E9973" s="2">
        <v>3</v>
      </c>
      <c r="F9973" s="2" t="s">
        <v>10086</v>
      </c>
      <c r="H9973" s="2">
        <v>1.1000000000000001E-3</v>
      </c>
      <c r="K9973" s="2" t="s">
        <v>10087</v>
      </c>
    </row>
    <row r="9974" spans="1:11" x14ac:dyDescent="0.2">
      <c r="A9974" s="2">
        <v>2495</v>
      </c>
      <c r="B9974" s="2">
        <v>22</v>
      </c>
      <c r="C9974" s="2">
        <v>50347997</v>
      </c>
      <c r="D9974" s="2">
        <v>51244236</v>
      </c>
      <c r="E9974" s="2">
        <v>4</v>
      </c>
      <c r="F9974" s="2" t="s">
        <v>10086</v>
      </c>
      <c r="H9974" s="3">
        <v>8.9999999999999998E-4</v>
      </c>
      <c r="K9974" s="2" t="s">
        <v>10085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513C1-0E76-4CE7-99D2-593C4341F8FC}">
  <dimension ref="A1:G37"/>
  <sheetViews>
    <sheetView workbookViewId="0"/>
  </sheetViews>
  <sheetFormatPr defaultColWidth="9" defaultRowHeight="14.25" x14ac:dyDescent="0.2"/>
  <cols>
    <col min="1" max="1" width="23" style="2" customWidth="1"/>
    <col min="2" max="2" width="12" style="2" bestFit="1" customWidth="1"/>
    <col min="3" max="3" width="22.7109375" style="2" bestFit="1" customWidth="1"/>
    <col min="4" max="4" width="14.42578125" style="2" bestFit="1" customWidth="1"/>
    <col min="5" max="5" width="42.140625" style="2" bestFit="1" customWidth="1"/>
    <col min="6" max="6" width="9.42578125" style="2" bestFit="1" customWidth="1"/>
    <col min="7" max="7" width="9" style="2" bestFit="1" customWidth="1"/>
    <col min="8" max="16384" width="9" style="2"/>
  </cols>
  <sheetData>
    <row r="1" spans="1:7" x14ac:dyDescent="0.2">
      <c r="A1" s="1" t="s">
        <v>12311</v>
      </c>
    </row>
    <row r="2" spans="1:7" s="8" customFormat="1" ht="15" x14ac:dyDescent="0.25">
      <c r="A2" s="10" t="s">
        <v>10134</v>
      </c>
      <c r="B2" s="10" t="s">
        <v>10133</v>
      </c>
      <c r="C2" s="10" t="s">
        <v>10132</v>
      </c>
      <c r="D2" s="10" t="s">
        <v>10131</v>
      </c>
      <c r="E2" s="10" t="s">
        <v>10130</v>
      </c>
      <c r="F2" s="10" t="s">
        <v>10129</v>
      </c>
      <c r="G2" s="10" t="s">
        <v>10128</v>
      </c>
    </row>
    <row r="3" spans="1:7" x14ac:dyDescent="0.2">
      <c r="A3" s="2" t="s">
        <v>12322</v>
      </c>
      <c r="B3" s="2" t="s">
        <v>10093</v>
      </c>
      <c r="C3" s="2" t="s">
        <v>10126</v>
      </c>
      <c r="D3" s="2" t="s">
        <v>10125</v>
      </c>
      <c r="E3" s="2" t="s">
        <v>10122</v>
      </c>
      <c r="F3" s="3">
        <v>3.6000000000000002E-4</v>
      </c>
      <c r="G3" s="2">
        <v>1</v>
      </c>
    </row>
    <row r="4" spans="1:7" x14ac:dyDescent="0.2">
      <c r="A4" s="2" t="s">
        <v>12322</v>
      </c>
      <c r="B4" s="2" t="s">
        <v>10093</v>
      </c>
      <c r="C4" s="2" t="s">
        <v>10126</v>
      </c>
      <c r="D4" s="2" t="s">
        <v>10125</v>
      </c>
      <c r="E4" s="2" t="s">
        <v>10117</v>
      </c>
      <c r="F4" s="3">
        <v>1E-4</v>
      </c>
      <c r="G4" s="2">
        <v>1</v>
      </c>
    </row>
    <row r="5" spans="1:7" x14ac:dyDescent="0.2">
      <c r="A5" s="2" t="s">
        <v>12322</v>
      </c>
      <c r="B5" s="2" t="s">
        <v>10093</v>
      </c>
      <c r="C5" s="2" t="s">
        <v>10126</v>
      </c>
      <c r="D5" s="2" t="s">
        <v>10125</v>
      </c>
      <c r="E5" s="2" t="s">
        <v>10115</v>
      </c>
      <c r="F5" s="3">
        <v>3.6999999999999998E-5</v>
      </c>
      <c r="G5" s="2">
        <v>1</v>
      </c>
    </row>
    <row r="6" spans="1:7" x14ac:dyDescent="0.2">
      <c r="A6" s="2" t="s">
        <v>12322</v>
      </c>
      <c r="B6" s="2" t="s">
        <v>10093</v>
      </c>
      <c r="C6" s="2" t="s">
        <v>10126</v>
      </c>
      <c r="D6" s="2" t="s">
        <v>10125</v>
      </c>
      <c r="E6" s="2" t="s">
        <v>10114</v>
      </c>
      <c r="F6" s="2">
        <v>0.04</v>
      </c>
      <c r="G6" s="2">
        <v>0.999</v>
      </c>
    </row>
    <row r="7" spans="1:7" x14ac:dyDescent="0.2">
      <c r="A7" s="2" t="s">
        <v>12322</v>
      </c>
      <c r="B7" s="2" t="s">
        <v>10093</v>
      </c>
      <c r="C7" s="2" t="s">
        <v>10126</v>
      </c>
      <c r="D7" s="2" t="s">
        <v>10125</v>
      </c>
      <c r="E7" s="2" t="s">
        <v>10110</v>
      </c>
      <c r="F7" s="2">
        <v>5.0000000000000001E-3</v>
      </c>
      <c r="G7" s="2">
        <v>0.996</v>
      </c>
    </row>
    <row r="8" spans="1:7" x14ac:dyDescent="0.2">
      <c r="A8" s="2" t="s">
        <v>12322</v>
      </c>
      <c r="B8" s="2" t="s">
        <v>10093</v>
      </c>
      <c r="C8" s="2" t="s">
        <v>10126</v>
      </c>
      <c r="D8" s="2" t="s">
        <v>10125</v>
      </c>
      <c r="E8" s="2" t="s">
        <v>10123</v>
      </c>
      <c r="F8" s="3">
        <v>2.5999999999999999E-3</v>
      </c>
      <c r="G8" s="2">
        <v>0.99299999999999999</v>
      </c>
    </row>
    <row r="9" spans="1:7" x14ac:dyDescent="0.2">
      <c r="A9" s="2" t="s">
        <v>12322</v>
      </c>
      <c r="B9" s="2" t="s">
        <v>10093</v>
      </c>
      <c r="C9" s="2" t="s">
        <v>10126</v>
      </c>
      <c r="D9" s="2" t="s">
        <v>10125</v>
      </c>
      <c r="E9" s="2" t="s">
        <v>10111</v>
      </c>
      <c r="F9" s="2">
        <v>7.0000000000000001E-3</v>
      </c>
      <c r="G9" s="2">
        <v>0.99199999999999999</v>
      </c>
    </row>
    <row r="10" spans="1:7" x14ac:dyDescent="0.2">
      <c r="A10" s="2" t="s">
        <v>12322</v>
      </c>
      <c r="B10" s="2" t="s">
        <v>10093</v>
      </c>
      <c r="C10" s="2" t="s">
        <v>10126</v>
      </c>
      <c r="D10" s="2" t="s">
        <v>10125</v>
      </c>
      <c r="E10" s="2" t="s">
        <v>10119</v>
      </c>
      <c r="F10" s="2">
        <v>0.03</v>
      </c>
      <c r="G10" s="2">
        <v>0.97399999999999998</v>
      </c>
    </row>
    <row r="11" spans="1:7" x14ac:dyDescent="0.2">
      <c r="A11" s="2" t="s">
        <v>12322</v>
      </c>
      <c r="B11" s="2" t="s">
        <v>10093</v>
      </c>
      <c r="C11" s="2" t="s">
        <v>10126</v>
      </c>
      <c r="D11" s="2" t="s">
        <v>10125</v>
      </c>
      <c r="E11" s="2" t="s">
        <v>10107</v>
      </c>
      <c r="F11" s="2">
        <v>0.08</v>
      </c>
      <c r="G11" s="2">
        <v>0.96799999999999997</v>
      </c>
    </row>
    <row r="12" spans="1:7" x14ac:dyDescent="0.2">
      <c r="A12" s="2" t="s">
        <v>12322</v>
      </c>
      <c r="B12" s="2" t="s">
        <v>10093</v>
      </c>
      <c r="C12" s="2" t="s">
        <v>10126</v>
      </c>
      <c r="D12" s="2" t="s">
        <v>10125</v>
      </c>
      <c r="E12" s="2" t="s">
        <v>10124</v>
      </c>
      <c r="F12" s="2">
        <v>0.01</v>
      </c>
      <c r="G12" s="2">
        <v>0.96699999999999997</v>
      </c>
    </row>
    <row r="13" spans="1:7" x14ac:dyDescent="0.2">
      <c r="A13" s="2" t="s">
        <v>12322</v>
      </c>
      <c r="B13" s="2" t="s">
        <v>10093</v>
      </c>
      <c r="C13" s="2" t="s">
        <v>10126</v>
      </c>
      <c r="D13" s="2" t="s">
        <v>10125</v>
      </c>
      <c r="E13" s="2" t="s">
        <v>10127</v>
      </c>
      <c r="F13" s="2">
        <v>0.04</v>
      </c>
      <c r="G13" s="2">
        <v>0.96499999999999997</v>
      </c>
    </row>
    <row r="14" spans="1:7" x14ac:dyDescent="0.2">
      <c r="A14" s="2" t="s">
        <v>12322</v>
      </c>
      <c r="B14" s="2" t="s">
        <v>10093</v>
      </c>
      <c r="C14" s="2" t="s">
        <v>10126</v>
      </c>
      <c r="D14" s="2" t="s">
        <v>10125</v>
      </c>
      <c r="E14" s="2" t="s">
        <v>10116</v>
      </c>
      <c r="F14" s="2">
        <v>0.04</v>
      </c>
      <c r="G14" s="2">
        <v>0.95799999999999996</v>
      </c>
    </row>
    <row r="15" spans="1:7" x14ac:dyDescent="0.2">
      <c r="A15" s="2" t="s">
        <v>12322</v>
      </c>
      <c r="B15" s="2" t="s">
        <v>10093</v>
      </c>
      <c r="C15" s="2" t="s">
        <v>10121</v>
      </c>
      <c r="D15" s="2" t="s">
        <v>10120</v>
      </c>
      <c r="E15" s="2" t="s">
        <v>10117</v>
      </c>
      <c r="F15" s="3">
        <v>4.6999999999999997E-5</v>
      </c>
      <c r="G15" s="2">
        <v>1</v>
      </c>
    </row>
    <row r="16" spans="1:7" x14ac:dyDescent="0.2">
      <c r="A16" s="2" t="s">
        <v>12322</v>
      </c>
      <c r="B16" s="2" t="s">
        <v>10093</v>
      </c>
      <c r="C16" s="2" t="s">
        <v>10121</v>
      </c>
      <c r="D16" s="2" t="s">
        <v>10120</v>
      </c>
      <c r="E16" s="2" t="s">
        <v>10118</v>
      </c>
      <c r="F16" s="2">
        <v>0.08</v>
      </c>
      <c r="G16" s="2">
        <v>0.999</v>
      </c>
    </row>
    <row r="17" spans="1:7" x14ac:dyDescent="0.2">
      <c r="A17" s="2" t="s">
        <v>12322</v>
      </c>
      <c r="B17" s="2" t="s">
        <v>10093</v>
      </c>
      <c r="C17" s="2" t="s">
        <v>10121</v>
      </c>
      <c r="D17" s="2" t="s">
        <v>10120</v>
      </c>
      <c r="E17" s="2" t="s">
        <v>10114</v>
      </c>
      <c r="F17" s="2">
        <v>0.02</v>
      </c>
      <c r="G17" s="2">
        <v>0.998</v>
      </c>
    </row>
    <row r="18" spans="1:7" x14ac:dyDescent="0.2">
      <c r="A18" s="2" t="s">
        <v>12322</v>
      </c>
      <c r="B18" s="2" t="s">
        <v>10093</v>
      </c>
      <c r="C18" s="2" t="s">
        <v>10121</v>
      </c>
      <c r="D18" s="2" t="s">
        <v>10120</v>
      </c>
      <c r="E18" s="2" t="s">
        <v>10124</v>
      </c>
      <c r="F18" s="2">
        <v>0.1</v>
      </c>
      <c r="G18" s="2">
        <v>0.99399999999999999</v>
      </c>
    </row>
    <row r="19" spans="1:7" x14ac:dyDescent="0.2">
      <c r="A19" s="2" t="s">
        <v>12322</v>
      </c>
      <c r="B19" s="2" t="s">
        <v>10093</v>
      </c>
      <c r="C19" s="2" t="s">
        <v>10121</v>
      </c>
      <c r="D19" s="2" t="s">
        <v>10120</v>
      </c>
      <c r="E19" s="2" t="s">
        <v>10107</v>
      </c>
      <c r="F19" s="2">
        <v>7.0000000000000001E-3</v>
      </c>
      <c r="G19" s="2">
        <v>0.99399999999999999</v>
      </c>
    </row>
    <row r="20" spans="1:7" x14ac:dyDescent="0.2">
      <c r="A20" s="2" t="s">
        <v>12322</v>
      </c>
      <c r="B20" s="2" t="s">
        <v>10093</v>
      </c>
      <c r="C20" s="2" t="s">
        <v>10121</v>
      </c>
      <c r="D20" s="2" t="s">
        <v>10120</v>
      </c>
      <c r="E20" s="2" t="s">
        <v>10123</v>
      </c>
      <c r="F20" s="2">
        <v>8.0000000000000002E-3</v>
      </c>
      <c r="G20" s="2">
        <v>0.99199999999999999</v>
      </c>
    </row>
    <row r="21" spans="1:7" x14ac:dyDescent="0.2">
      <c r="A21" s="2" t="s">
        <v>12322</v>
      </c>
      <c r="B21" s="2" t="s">
        <v>10093</v>
      </c>
      <c r="C21" s="2" t="s">
        <v>10121</v>
      </c>
      <c r="D21" s="2" t="s">
        <v>10120</v>
      </c>
      <c r="E21" s="2" t="s">
        <v>10119</v>
      </c>
      <c r="F21" s="2">
        <v>0.2</v>
      </c>
      <c r="G21" s="2">
        <v>0.98</v>
      </c>
    </row>
    <row r="22" spans="1:7" x14ac:dyDescent="0.2">
      <c r="A22" s="2" t="s">
        <v>12322</v>
      </c>
      <c r="B22" s="2" t="s">
        <v>10093</v>
      </c>
      <c r="C22" s="2" t="s">
        <v>10121</v>
      </c>
      <c r="D22" s="2" t="s">
        <v>10120</v>
      </c>
      <c r="E22" s="2" t="s">
        <v>10122</v>
      </c>
      <c r="F22" s="2">
        <v>0.3</v>
      </c>
      <c r="G22" s="2">
        <v>0.97299999999999998</v>
      </c>
    </row>
    <row r="23" spans="1:7" x14ac:dyDescent="0.2">
      <c r="A23" s="2" t="s">
        <v>12322</v>
      </c>
      <c r="B23" s="2" t="s">
        <v>10093</v>
      </c>
      <c r="C23" s="2" t="s">
        <v>10121</v>
      </c>
      <c r="D23" s="2" t="s">
        <v>10120</v>
      </c>
      <c r="E23" s="2" t="s">
        <v>10116</v>
      </c>
      <c r="F23" s="2">
        <v>0.8</v>
      </c>
      <c r="G23" s="2">
        <v>0.95899999999999996</v>
      </c>
    </row>
    <row r="24" spans="1:7" x14ac:dyDescent="0.2">
      <c r="A24" s="2" t="s">
        <v>12322</v>
      </c>
      <c r="B24" s="2" t="s">
        <v>10093</v>
      </c>
      <c r="C24" s="2" t="s">
        <v>10121</v>
      </c>
      <c r="D24" s="2" t="s">
        <v>10120</v>
      </c>
      <c r="E24" s="2" t="s">
        <v>10115</v>
      </c>
      <c r="F24" s="2">
        <v>0.4</v>
      </c>
      <c r="G24" s="2">
        <v>0.93799999999999994</v>
      </c>
    </row>
    <row r="25" spans="1:7" x14ac:dyDescent="0.2">
      <c r="A25" s="2" t="s">
        <v>12322</v>
      </c>
      <c r="B25" s="2" t="s">
        <v>10093</v>
      </c>
      <c r="C25" s="2" t="s">
        <v>10121</v>
      </c>
      <c r="D25" s="2" t="s">
        <v>10120</v>
      </c>
      <c r="E25" s="2" t="s">
        <v>10110</v>
      </c>
      <c r="F25" s="2">
        <v>0.8</v>
      </c>
      <c r="G25" s="2">
        <v>0.92600000000000005</v>
      </c>
    </row>
    <row r="26" spans="1:7" x14ac:dyDescent="0.2">
      <c r="A26" s="2" t="s">
        <v>12322</v>
      </c>
      <c r="B26" s="2" t="s">
        <v>10093</v>
      </c>
      <c r="C26" s="2" t="s">
        <v>10121</v>
      </c>
      <c r="D26" s="2" t="s">
        <v>10120</v>
      </c>
      <c r="E26" s="2" t="s">
        <v>10111</v>
      </c>
      <c r="F26" s="2">
        <v>0.9</v>
      </c>
      <c r="G26" s="2">
        <v>0.91700000000000004</v>
      </c>
    </row>
    <row r="27" spans="1:7" x14ac:dyDescent="0.2">
      <c r="A27" s="2" t="s">
        <v>12322</v>
      </c>
      <c r="B27" s="2" t="s">
        <v>10093</v>
      </c>
      <c r="C27" s="2" t="s">
        <v>10113</v>
      </c>
      <c r="D27" s="2" t="s">
        <v>10112</v>
      </c>
      <c r="E27" s="2" t="s">
        <v>10119</v>
      </c>
      <c r="F27" s="3">
        <v>4.2000000000000002E-4</v>
      </c>
      <c r="G27" s="2">
        <v>1</v>
      </c>
    </row>
    <row r="28" spans="1:7" x14ac:dyDescent="0.2">
      <c r="A28" s="2" t="s">
        <v>12322</v>
      </c>
      <c r="B28" s="2" t="s">
        <v>10093</v>
      </c>
      <c r="C28" s="2" t="s">
        <v>10113</v>
      </c>
      <c r="D28" s="2" t="s">
        <v>10112</v>
      </c>
      <c r="E28" s="2" t="s">
        <v>10118</v>
      </c>
      <c r="F28" s="2">
        <v>0.04</v>
      </c>
      <c r="G28" s="2">
        <v>0.99399999999999999</v>
      </c>
    </row>
    <row r="29" spans="1:7" x14ac:dyDescent="0.2">
      <c r="A29" s="2" t="s">
        <v>12322</v>
      </c>
      <c r="B29" s="2" t="s">
        <v>10093</v>
      </c>
      <c r="C29" s="2" t="s">
        <v>10113</v>
      </c>
      <c r="D29" s="2" t="s">
        <v>10112</v>
      </c>
      <c r="E29" s="2" t="s">
        <v>10117</v>
      </c>
      <c r="F29" s="2">
        <v>0.02</v>
      </c>
      <c r="G29" s="2">
        <v>0.98499999999999999</v>
      </c>
    </row>
    <row r="30" spans="1:7" x14ac:dyDescent="0.2">
      <c r="A30" s="2" t="s">
        <v>12322</v>
      </c>
      <c r="B30" s="2" t="s">
        <v>10093</v>
      </c>
      <c r="C30" s="2" t="s">
        <v>10113</v>
      </c>
      <c r="D30" s="2" t="s">
        <v>10112</v>
      </c>
      <c r="E30" s="2" t="s">
        <v>10110</v>
      </c>
      <c r="F30" s="2">
        <v>0.01</v>
      </c>
      <c r="G30" s="2">
        <v>0.98299999999999998</v>
      </c>
    </row>
    <row r="31" spans="1:7" x14ac:dyDescent="0.2">
      <c r="A31" s="2" t="s">
        <v>12322</v>
      </c>
      <c r="B31" s="2" t="s">
        <v>10093</v>
      </c>
      <c r="C31" s="2" t="s">
        <v>10113</v>
      </c>
      <c r="D31" s="2" t="s">
        <v>10112</v>
      </c>
      <c r="E31" s="2" t="s">
        <v>10116</v>
      </c>
      <c r="F31" s="2">
        <v>0.06</v>
      </c>
      <c r="G31" s="2">
        <v>0.98299999999999998</v>
      </c>
    </row>
    <row r="32" spans="1:7" x14ac:dyDescent="0.2">
      <c r="A32" s="2" t="s">
        <v>12322</v>
      </c>
      <c r="B32" s="2" t="s">
        <v>10093</v>
      </c>
      <c r="C32" s="2" t="s">
        <v>10113</v>
      </c>
      <c r="D32" s="2" t="s">
        <v>10112</v>
      </c>
      <c r="E32" s="2" t="s">
        <v>10115</v>
      </c>
      <c r="F32" s="2">
        <v>0.01</v>
      </c>
      <c r="G32" s="2">
        <v>0.96899999999999997</v>
      </c>
    </row>
    <row r="33" spans="1:7" x14ac:dyDescent="0.2">
      <c r="A33" s="2" t="s">
        <v>12322</v>
      </c>
      <c r="B33" s="2" t="s">
        <v>10093</v>
      </c>
      <c r="C33" s="2" t="s">
        <v>10113</v>
      </c>
      <c r="D33" s="2" t="s">
        <v>10112</v>
      </c>
      <c r="E33" s="2" t="s">
        <v>10107</v>
      </c>
      <c r="F33" s="2">
        <v>0.2</v>
      </c>
      <c r="G33" s="2">
        <v>0.96299999999999997</v>
      </c>
    </row>
    <row r="34" spans="1:7" x14ac:dyDescent="0.2">
      <c r="A34" s="2" t="s">
        <v>12322</v>
      </c>
      <c r="B34" s="2" t="s">
        <v>10093</v>
      </c>
      <c r="C34" s="2" t="s">
        <v>10113</v>
      </c>
      <c r="D34" s="2" t="s">
        <v>10112</v>
      </c>
      <c r="E34" s="2" t="s">
        <v>10114</v>
      </c>
      <c r="F34" s="2">
        <v>7.0000000000000007E-2</v>
      </c>
      <c r="G34" s="2">
        <v>0.95799999999999996</v>
      </c>
    </row>
    <row r="35" spans="1:7" x14ac:dyDescent="0.2">
      <c r="A35" s="2" t="s">
        <v>12322</v>
      </c>
      <c r="B35" s="2" t="s">
        <v>10093</v>
      </c>
      <c r="C35" s="2" t="s">
        <v>10113</v>
      </c>
      <c r="D35" s="2" t="s">
        <v>10112</v>
      </c>
      <c r="E35" s="2" t="s">
        <v>10111</v>
      </c>
      <c r="F35" s="2">
        <v>0.08</v>
      </c>
      <c r="G35" s="2">
        <v>0.95299999999999996</v>
      </c>
    </row>
    <row r="36" spans="1:7" x14ac:dyDescent="0.2">
      <c r="A36" s="2" t="s">
        <v>12323</v>
      </c>
      <c r="B36" s="2" t="s">
        <v>10092</v>
      </c>
      <c r="C36" s="2" t="s">
        <v>10109</v>
      </c>
      <c r="D36" s="2" t="s">
        <v>10108</v>
      </c>
      <c r="E36" s="2" t="s">
        <v>10110</v>
      </c>
      <c r="F36" s="2">
        <v>0.03</v>
      </c>
      <c r="G36" s="2">
        <v>0.92200000000000004</v>
      </c>
    </row>
    <row r="37" spans="1:7" x14ac:dyDescent="0.2">
      <c r="A37" s="2" t="s">
        <v>12323</v>
      </c>
      <c r="B37" s="2" t="s">
        <v>10092</v>
      </c>
      <c r="C37" s="2" t="s">
        <v>10109</v>
      </c>
      <c r="D37" s="2" t="s">
        <v>10108</v>
      </c>
      <c r="E37" s="2" t="s">
        <v>10107</v>
      </c>
      <c r="F37" s="2">
        <v>0.08</v>
      </c>
      <c r="G37" s="2">
        <v>0.90300000000000002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2EC56-9883-4555-944B-1FC4D152D1F4}">
  <dimension ref="A1:N4"/>
  <sheetViews>
    <sheetView workbookViewId="0"/>
  </sheetViews>
  <sheetFormatPr defaultColWidth="9" defaultRowHeight="14.25" x14ac:dyDescent="0.2"/>
  <cols>
    <col min="1" max="1" width="9.7109375" style="5" customWidth="1"/>
    <col min="2" max="2" width="4.28515625" style="5" bestFit="1" customWidth="1"/>
    <col min="3" max="4" width="10.140625" style="5" bestFit="1" customWidth="1"/>
    <col min="5" max="5" width="21.5703125" style="5" bestFit="1" customWidth="1"/>
    <col min="6" max="6" width="14.42578125" style="5" bestFit="1" customWidth="1"/>
    <col min="7" max="7" width="31.140625" style="5" bestFit="1" customWidth="1"/>
    <col min="8" max="8" width="9.42578125" style="5" bestFit="1" customWidth="1"/>
    <col min="9" max="9" width="13.140625" style="5" bestFit="1" customWidth="1"/>
    <col min="10" max="10" width="16.28515625" style="5" bestFit="1" customWidth="1"/>
    <col min="11" max="11" width="15.28515625" style="5" bestFit="1" customWidth="1"/>
    <col min="12" max="12" width="15.85546875" style="5" bestFit="1" customWidth="1"/>
    <col min="13" max="13" width="30.28515625" style="5" bestFit="1" customWidth="1"/>
    <col min="14" max="14" width="14.85546875" style="5" bestFit="1" customWidth="1"/>
    <col min="15" max="16384" width="9" style="5"/>
  </cols>
  <sheetData>
    <row r="1" spans="1:14" x14ac:dyDescent="0.2">
      <c r="A1" s="1" t="s">
        <v>12341</v>
      </c>
    </row>
    <row r="2" spans="1:14" s="8" customFormat="1" ht="15" x14ac:dyDescent="0.25">
      <c r="A2" s="10" t="s">
        <v>10137</v>
      </c>
      <c r="B2" s="10" t="s">
        <v>10105</v>
      </c>
      <c r="C2" s="10" t="s">
        <v>10104</v>
      </c>
      <c r="D2" s="10" t="s">
        <v>10103</v>
      </c>
      <c r="E2" s="10" t="s">
        <v>10132</v>
      </c>
      <c r="F2" s="10" t="s">
        <v>10131</v>
      </c>
      <c r="G2" s="10" t="s">
        <v>10130</v>
      </c>
      <c r="H2" s="10" t="s">
        <v>10102</v>
      </c>
      <c r="I2" s="10" t="s">
        <v>10101</v>
      </c>
      <c r="J2" s="10" t="s">
        <v>10100</v>
      </c>
      <c r="K2" s="10" t="s">
        <v>10099</v>
      </c>
      <c r="L2" s="10" t="s">
        <v>10098</v>
      </c>
      <c r="M2" s="10" t="s">
        <v>10097</v>
      </c>
      <c r="N2" s="10" t="s">
        <v>10096</v>
      </c>
    </row>
    <row r="3" spans="1:14" x14ac:dyDescent="0.2">
      <c r="A3" s="15">
        <v>1</v>
      </c>
      <c r="B3" s="15">
        <v>9</v>
      </c>
      <c r="C3" s="15">
        <v>95854926</v>
      </c>
      <c r="D3" s="15">
        <v>96670171</v>
      </c>
      <c r="E3" s="15" t="s">
        <v>10109</v>
      </c>
      <c r="F3" s="8" t="s">
        <v>10108</v>
      </c>
      <c r="G3" s="8" t="s">
        <v>10136</v>
      </c>
      <c r="H3" s="15">
        <v>1</v>
      </c>
      <c r="I3" s="8" t="s">
        <v>12323</v>
      </c>
      <c r="J3" s="15">
        <v>0.51539999999999997</v>
      </c>
      <c r="K3" s="15">
        <v>0.62860000000000005</v>
      </c>
      <c r="L3" s="8" t="s">
        <v>10092</v>
      </c>
      <c r="M3" s="15">
        <v>0.83609999999999995</v>
      </c>
      <c r="N3" s="8"/>
    </row>
    <row r="4" spans="1:14" x14ac:dyDescent="0.2">
      <c r="A4" s="15">
        <v>2</v>
      </c>
      <c r="B4" s="15">
        <v>9</v>
      </c>
      <c r="C4" s="15">
        <v>95854926</v>
      </c>
      <c r="D4" s="15">
        <v>96670171</v>
      </c>
      <c r="E4" s="15" t="s">
        <v>10109</v>
      </c>
      <c r="F4" s="8" t="s">
        <v>10108</v>
      </c>
      <c r="G4" s="8" t="s">
        <v>10135</v>
      </c>
      <c r="H4" s="15">
        <v>1</v>
      </c>
      <c r="I4" s="8" t="s">
        <v>12323</v>
      </c>
      <c r="J4" s="15">
        <v>0.51539999999999997</v>
      </c>
      <c r="K4" s="15">
        <v>0.62860000000000005</v>
      </c>
      <c r="L4" s="8" t="s">
        <v>10092</v>
      </c>
      <c r="M4" s="15">
        <v>0.83609999999999995</v>
      </c>
      <c r="N4" s="8"/>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FBC49-5558-44F7-9C00-0B2DD3295A45}">
  <dimension ref="A1:N35"/>
  <sheetViews>
    <sheetView workbookViewId="0"/>
  </sheetViews>
  <sheetFormatPr defaultColWidth="11.5703125" defaultRowHeight="14.25" x14ac:dyDescent="0.2"/>
  <cols>
    <col min="1" max="1" width="11.5703125" style="15"/>
    <col min="2" max="2" width="4.28515625" style="15" bestFit="1" customWidth="1"/>
    <col min="3" max="4" width="10.140625" style="15" bestFit="1" customWidth="1"/>
    <col min="5" max="5" width="22.7109375" style="8" bestFit="1" customWidth="1"/>
    <col min="6" max="6" width="14.42578125" style="8" bestFit="1" customWidth="1"/>
    <col min="7" max="7" width="41.5703125" style="8" bestFit="1" customWidth="1"/>
    <col min="8" max="8" width="9.42578125" style="15" bestFit="1" customWidth="1"/>
    <col min="9" max="9" width="19.7109375" style="8" bestFit="1" customWidth="1"/>
    <col min="10" max="10" width="16.28515625" style="15" bestFit="1" customWidth="1"/>
    <col min="11" max="11" width="15.28515625" style="15" bestFit="1" customWidth="1"/>
    <col min="12" max="12" width="15.85546875" style="8" bestFit="1" customWidth="1"/>
    <col min="13" max="13" width="30.28515625" style="15" bestFit="1" customWidth="1"/>
    <col min="14" max="14" width="14" style="5" customWidth="1"/>
    <col min="15" max="16384" width="11.5703125" style="5"/>
  </cols>
  <sheetData>
    <row r="1" spans="1:14" s="8" customFormat="1" x14ac:dyDescent="0.2">
      <c r="A1" s="1" t="s">
        <v>12340</v>
      </c>
    </row>
    <row r="2" spans="1:14" s="8" customFormat="1" ht="15" x14ac:dyDescent="0.25">
      <c r="A2" s="10" t="s">
        <v>10137</v>
      </c>
      <c r="B2" s="10" t="s">
        <v>10105</v>
      </c>
      <c r="C2" s="10" t="s">
        <v>10104</v>
      </c>
      <c r="D2" s="10" t="s">
        <v>10103</v>
      </c>
      <c r="E2" s="10" t="s">
        <v>10132</v>
      </c>
      <c r="F2" s="10" t="s">
        <v>10131</v>
      </c>
      <c r="G2" s="10" t="s">
        <v>10130</v>
      </c>
      <c r="H2" s="10" t="s">
        <v>10102</v>
      </c>
      <c r="I2" s="10" t="s">
        <v>10101</v>
      </c>
      <c r="J2" s="10" t="s">
        <v>10100</v>
      </c>
      <c r="K2" s="10" t="s">
        <v>10099</v>
      </c>
      <c r="L2" s="10" t="s">
        <v>10098</v>
      </c>
      <c r="M2" s="10" t="s">
        <v>10097</v>
      </c>
      <c r="N2" s="10" t="s">
        <v>10096</v>
      </c>
    </row>
    <row r="3" spans="1:14" x14ac:dyDescent="0.2">
      <c r="A3" s="15">
        <v>1</v>
      </c>
      <c r="B3" s="15">
        <v>2</v>
      </c>
      <c r="C3" s="15">
        <v>53852121</v>
      </c>
      <c r="D3" s="15">
        <v>54688234</v>
      </c>
      <c r="E3" s="8" t="s">
        <v>10126</v>
      </c>
      <c r="F3" s="8" t="s">
        <v>10125</v>
      </c>
      <c r="G3" s="8" t="s">
        <v>10145</v>
      </c>
      <c r="H3" s="15">
        <v>1</v>
      </c>
      <c r="I3" s="8" t="s">
        <v>12321</v>
      </c>
      <c r="J3" s="15">
        <v>0.4617</v>
      </c>
      <c r="K3" s="15">
        <v>0.61729999999999996</v>
      </c>
      <c r="L3" s="8" t="s">
        <v>10093</v>
      </c>
      <c r="M3" s="15">
        <v>1</v>
      </c>
    </row>
    <row r="4" spans="1:14" x14ac:dyDescent="0.2">
      <c r="A4" s="15">
        <v>2</v>
      </c>
      <c r="B4" s="15">
        <v>2</v>
      </c>
      <c r="C4" s="15">
        <v>53852121</v>
      </c>
      <c r="D4" s="15">
        <v>54688234</v>
      </c>
      <c r="E4" s="8" t="s">
        <v>10126</v>
      </c>
      <c r="F4" s="8" t="s">
        <v>10125</v>
      </c>
      <c r="G4" s="8" t="s">
        <v>10142</v>
      </c>
      <c r="H4" s="15">
        <v>1</v>
      </c>
      <c r="I4" s="8" t="s">
        <v>12321</v>
      </c>
      <c r="J4" s="15">
        <v>0.59199999999999997</v>
      </c>
      <c r="K4" s="15">
        <v>0.70750000000000002</v>
      </c>
      <c r="L4" s="8" t="s">
        <v>10093</v>
      </c>
      <c r="M4" s="15">
        <v>1</v>
      </c>
    </row>
    <row r="5" spans="1:14" x14ac:dyDescent="0.2">
      <c r="A5" s="15">
        <v>3</v>
      </c>
      <c r="B5" s="15">
        <v>2</v>
      </c>
      <c r="C5" s="15">
        <v>53852121</v>
      </c>
      <c r="D5" s="15">
        <v>54688234</v>
      </c>
      <c r="E5" s="8" t="s">
        <v>10126</v>
      </c>
      <c r="F5" s="8" t="s">
        <v>10125</v>
      </c>
      <c r="G5" s="8" t="s">
        <v>10140</v>
      </c>
      <c r="H5" s="15">
        <v>1</v>
      </c>
      <c r="I5" s="8" t="s">
        <v>12321</v>
      </c>
      <c r="J5" s="15">
        <v>0.6613</v>
      </c>
      <c r="K5" s="15">
        <v>0.77229999999999999</v>
      </c>
      <c r="L5" s="8" t="s">
        <v>10093</v>
      </c>
      <c r="M5" s="15">
        <v>1</v>
      </c>
    </row>
    <row r="6" spans="1:14" x14ac:dyDescent="0.2">
      <c r="A6" s="15">
        <v>4</v>
      </c>
      <c r="B6" s="15">
        <v>2</v>
      </c>
      <c r="C6" s="15">
        <v>53852121</v>
      </c>
      <c r="D6" s="15">
        <v>54688234</v>
      </c>
      <c r="E6" s="8" t="s">
        <v>10126</v>
      </c>
      <c r="F6" s="8" t="s">
        <v>10125</v>
      </c>
      <c r="G6" s="8" t="s">
        <v>10139</v>
      </c>
      <c r="H6" s="15">
        <v>1</v>
      </c>
      <c r="I6" s="8" t="s">
        <v>12322</v>
      </c>
      <c r="J6" s="15">
        <v>0.67730000000000001</v>
      </c>
      <c r="K6" s="15">
        <v>0.76680000000000004</v>
      </c>
      <c r="L6" s="8" t="s">
        <v>10093</v>
      </c>
      <c r="M6" s="15">
        <v>0.99960000000000004</v>
      </c>
    </row>
    <row r="7" spans="1:14" x14ac:dyDescent="0.2">
      <c r="A7" s="15">
        <v>5</v>
      </c>
      <c r="B7" s="15">
        <v>2</v>
      </c>
      <c r="C7" s="15">
        <v>53852121</v>
      </c>
      <c r="D7" s="15">
        <v>54688234</v>
      </c>
      <c r="E7" s="8" t="s">
        <v>10126</v>
      </c>
      <c r="F7" s="8" t="s">
        <v>10125</v>
      </c>
      <c r="G7" s="8" t="s">
        <v>10136</v>
      </c>
      <c r="H7" s="15">
        <v>1</v>
      </c>
      <c r="I7" s="8" t="s">
        <v>12322</v>
      </c>
      <c r="J7" s="15">
        <v>0.6774</v>
      </c>
      <c r="K7" s="15">
        <v>0.76680000000000004</v>
      </c>
      <c r="L7" s="8" t="s">
        <v>10093</v>
      </c>
      <c r="M7" s="15">
        <v>0.99960000000000004</v>
      </c>
    </row>
    <row r="8" spans="1:14" x14ac:dyDescent="0.2">
      <c r="A8" s="15">
        <v>6</v>
      </c>
      <c r="B8" s="15">
        <v>2</v>
      </c>
      <c r="C8" s="15">
        <v>53852121</v>
      </c>
      <c r="D8" s="15">
        <v>54688234</v>
      </c>
      <c r="E8" s="8" t="s">
        <v>10126</v>
      </c>
      <c r="F8" s="8" t="s">
        <v>10125</v>
      </c>
      <c r="G8" s="8" t="s">
        <v>10146</v>
      </c>
      <c r="H8" s="15">
        <v>1</v>
      </c>
      <c r="I8" s="8" t="s">
        <v>12322</v>
      </c>
      <c r="J8" s="15">
        <v>0.67730000000000001</v>
      </c>
      <c r="K8" s="15">
        <v>0.76680000000000004</v>
      </c>
      <c r="L8" s="8" t="s">
        <v>10093</v>
      </c>
      <c r="M8" s="15">
        <v>0.99960000000000004</v>
      </c>
    </row>
    <row r="9" spans="1:14" x14ac:dyDescent="0.2">
      <c r="A9" s="15">
        <v>7</v>
      </c>
      <c r="B9" s="15">
        <v>2</v>
      </c>
      <c r="C9" s="15">
        <v>53852121</v>
      </c>
      <c r="D9" s="15">
        <v>54688234</v>
      </c>
      <c r="E9" s="8" t="s">
        <v>10126</v>
      </c>
      <c r="F9" s="8" t="s">
        <v>10125</v>
      </c>
      <c r="G9" s="8" t="s">
        <v>10138</v>
      </c>
      <c r="H9" s="15">
        <v>1</v>
      </c>
      <c r="I9" s="8" t="s">
        <v>12322</v>
      </c>
      <c r="J9" s="15">
        <v>0.67730000000000001</v>
      </c>
      <c r="K9" s="15">
        <v>0.76680000000000004</v>
      </c>
      <c r="L9" s="8" t="s">
        <v>10093</v>
      </c>
      <c r="M9" s="15">
        <v>0.99960000000000004</v>
      </c>
    </row>
    <row r="10" spans="1:14" x14ac:dyDescent="0.2">
      <c r="A10" s="15">
        <v>8</v>
      </c>
      <c r="B10" s="15">
        <v>2</v>
      </c>
      <c r="C10" s="15">
        <v>53852121</v>
      </c>
      <c r="D10" s="15">
        <v>54688234</v>
      </c>
      <c r="E10" s="8" t="s">
        <v>10126</v>
      </c>
      <c r="F10" s="8" t="s">
        <v>10125</v>
      </c>
      <c r="G10" s="8" t="s">
        <v>10144</v>
      </c>
      <c r="H10" s="15">
        <v>1</v>
      </c>
      <c r="I10" s="8" t="s">
        <v>12322</v>
      </c>
      <c r="J10" s="15">
        <v>0.67730000000000001</v>
      </c>
      <c r="K10" s="15">
        <v>0.76680000000000004</v>
      </c>
      <c r="L10" s="8" t="s">
        <v>10093</v>
      </c>
      <c r="M10" s="15">
        <v>0.99960000000000004</v>
      </c>
    </row>
    <row r="11" spans="1:14" x14ac:dyDescent="0.2">
      <c r="A11" s="15">
        <v>9</v>
      </c>
      <c r="B11" s="15">
        <v>2</v>
      </c>
      <c r="C11" s="15">
        <v>53852121</v>
      </c>
      <c r="D11" s="15">
        <v>54688234</v>
      </c>
      <c r="E11" s="8" t="s">
        <v>10126</v>
      </c>
      <c r="F11" s="8" t="s">
        <v>10125</v>
      </c>
      <c r="G11" s="8" t="s">
        <v>10135</v>
      </c>
      <c r="H11" s="15">
        <v>1</v>
      </c>
      <c r="I11" s="8" t="s">
        <v>12322</v>
      </c>
      <c r="J11" s="15">
        <v>0.67730000000000001</v>
      </c>
      <c r="K11" s="15">
        <v>0.76680000000000004</v>
      </c>
      <c r="L11" s="8" t="s">
        <v>10093</v>
      </c>
      <c r="M11" s="15">
        <v>0.99960000000000004</v>
      </c>
    </row>
    <row r="12" spans="1:14" x14ac:dyDescent="0.2">
      <c r="A12" s="15">
        <v>10</v>
      </c>
      <c r="B12" s="15">
        <v>2</v>
      </c>
      <c r="C12" s="15">
        <v>53852121</v>
      </c>
      <c r="D12" s="15">
        <v>54688234</v>
      </c>
      <c r="E12" s="8" t="s">
        <v>10126</v>
      </c>
      <c r="F12" s="8" t="s">
        <v>10125</v>
      </c>
      <c r="G12" s="8" t="s">
        <v>10147</v>
      </c>
      <c r="H12" s="15">
        <v>1</v>
      </c>
      <c r="I12" s="8" t="s">
        <v>12322</v>
      </c>
      <c r="J12" s="15">
        <v>0.67730000000000001</v>
      </c>
      <c r="K12" s="15">
        <v>0.76680000000000004</v>
      </c>
      <c r="L12" s="8" t="s">
        <v>10093</v>
      </c>
      <c r="M12" s="15">
        <v>0.99960000000000004</v>
      </c>
    </row>
    <row r="13" spans="1:14" x14ac:dyDescent="0.2">
      <c r="A13" s="15">
        <v>11</v>
      </c>
      <c r="B13" s="15">
        <v>2</v>
      </c>
      <c r="C13" s="15">
        <v>53852121</v>
      </c>
      <c r="D13" s="15">
        <v>54688234</v>
      </c>
      <c r="E13" s="8" t="s">
        <v>10126</v>
      </c>
      <c r="F13" s="8" t="s">
        <v>10125</v>
      </c>
      <c r="G13" s="8" t="s">
        <v>10148</v>
      </c>
      <c r="H13" s="15">
        <v>1</v>
      </c>
      <c r="I13" s="8" t="s">
        <v>12322</v>
      </c>
      <c r="J13" s="15">
        <v>0.67730000000000001</v>
      </c>
      <c r="K13" s="15">
        <v>0.76680000000000004</v>
      </c>
      <c r="L13" s="8" t="s">
        <v>10093</v>
      </c>
      <c r="M13" s="15">
        <v>0.99960000000000004</v>
      </c>
    </row>
    <row r="14" spans="1:14" x14ac:dyDescent="0.2">
      <c r="A14" s="15">
        <v>12</v>
      </c>
      <c r="B14" s="15">
        <v>2</v>
      </c>
      <c r="C14" s="15">
        <v>53852121</v>
      </c>
      <c r="D14" s="15">
        <v>54688234</v>
      </c>
      <c r="E14" s="8" t="s">
        <v>10126</v>
      </c>
      <c r="F14" s="8" t="s">
        <v>10125</v>
      </c>
      <c r="G14" s="8" t="s">
        <v>10141</v>
      </c>
      <c r="H14" s="15">
        <v>1</v>
      </c>
      <c r="I14" s="8" t="s">
        <v>12322</v>
      </c>
      <c r="J14" s="15">
        <v>0.67730000000000001</v>
      </c>
      <c r="K14" s="15">
        <v>0.76680000000000004</v>
      </c>
      <c r="L14" s="8" t="s">
        <v>10093</v>
      </c>
      <c r="M14" s="15">
        <v>0.99960000000000004</v>
      </c>
    </row>
    <row r="15" spans="1:14" x14ac:dyDescent="0.2">
      <c r="A15" s="15">
        <v>13</v>
      </c>
      <c r="B15" s="15">
        <v>2</v>
      </c>
      <c r="C15" s="15">
        <v>53852121</v>
      </c>
      <c r="D15" s="15">
        <v>54688234</v>
      </c>
      <c r="E15" s="8" t="s">
        <v>10121</v>
      </c>
      <c r="F15" s="8" t="s">
        <v>10120</v>
      </c>
      <c r="G15" s="8" t="s">
        <v>10142</v>
      </c>
      <c r="H15" s="15">
        <v>1</v>
      </c>
      <c r="I15" s="8" t="s">
        <v>12321</v>
      </c>
      <c r="J15" s="15">
        <v>0.49159999999999998</v>
      </c>
      <c r="K15" s="15">
        <v>0.61839999999999995</v>
      </c>
      <c r="L15" s="8" t="s">
        <v>10093</v>
      </c>
      <c r="M15" s="15">
        <v>1</v>
      </c>
    </row>
    <row r="16" spans="1:14" x14ac:dyDescent="0.2">
      <c r="A16" s="15">
        <v>14</v>
      </c>
      <c r="B16" s="15">
        <v>2</v>
      </c>
      <c r="C16" s="15">
        <v>53852121</v>
      </c>
      <c r="D16" s="15">
        <v>54688234</v>
      </c>
      <c r="E16" s="8" t="s">
        <v>10121</v>
      </c>
      <c r="F16" s="8" t="s">
        <v>10120</v>
      </c>
      <c r="G16" s="8" t="s">
        <v>10143</v>
      </c>
      <c r="H16" s="15">
        <v>1</v>
      </c>
      <c r="I16" s="8" t="s">
        <v>12322</v>
      </c>
      <c r="J16" s="15">
        <v>0.67730000000000001</v>
      </c>
      <c r="K16" s="15">
        <v>0.76680000000000004</v>
      </c>
      <c r="L16" s="8" t="s">
        <v>10093</v>
      </c>
      <c r="M16" s="15">
        <v>0.99960000000000004</v>
      </c>
    </row>
    <row r="17" spans="1:13" x14ac:dyDescent="0.2">
      <c r="A17" s="15">
        <v>15</v>
      </c>
      <c r="B17" s="15">
        <v>2</v>
      </c>
      <c r="C17" s="15">
        <v>53852121</v>
      </c>
      <c r="D17" s="15">
        <v>54688234</v>
      </c>
      <c r="E17" s="8" t="s">
        <v>10121</v>
      </c>
      <c r="F17" s="8" t="s">
        <v>10120</v>
      </c>
      <c r="G17" s="8" t="s">
        <v>10139</v>
      </c>
      <c r="H17" s="15">
        <v>1</v>
      </c>
      <c r="I17" s="8" t="s">
        <v>12322</v>
      </c>
      <c r="J17" s="15">
        <v>0.67730000000000001</v>
      </c>
      <c r="K17" s="15">
        <v>0.76680000000000004</v>
      </c>
      <c r="L17" s="8" t="s">
        <v>10093</v>
      </c>
      <c r="M17" s="15">
        <v>0.99960000000000004</v>
      </c>
    </row>
    <row r="18" spans="1:13" x14ac:dyDescent="0.2">
      <c r="A18" s="15">
        <v>16</v>
      </c>
      <c r="B18" s="15">
        <v>2</v>
      </c>
      <c r="C18" s="15">
        <v>53852121</v>
      </c>
      <c r="D18" s="15">
        <v>54688234</v>
      </c>
      <c r="E18" s="8" t="s">
        <v>10121</v>
      </c>
      <c r="F18" s="8" t="s">
        <v>10120</v>
      </c>
      <c r="G18" s="8" t="s">
        <v>10147</v>
      </c>
      <c r="H18" s="15">
        <v>1</v>
      </c>
      <c r="I18" s="8" t="s">
        <v>12322</v>
      </c>
      <c r="J18" s="15">
        <v>0.67730000000000001</v>
      </c>
      <c r="K18" s="15">
        <v>0.76680000000000004</v>
      </c>
      <c r="L18" s="8" t="s">
        <v>10093</v>
      </c>
      <c r="M18" s="15">
        <v>0.99960000000000004</v>
      </c>
    </row>
    <row r="19" spans="1:13" x14ac:dyDescent="0.2">
      <c r="A19" s="15">
        <v>17</v>
      </c>
      <c r="B19" s="15">
        <v>2</v>
      </c>
      <c r="C19" s="15">
        <v>53852121</v>
      </c>
      <c r="D19" s="15">
        <v>54688234</v>
      </c>
      <c r="E19" s="8" t="s">
        <v>10121</v>
      </c>
      <c r="F19" s="8" t="s">
        <v>10120</v>
      </c>
      <c r="G19" s="8" t="s">
        <v>10135</v>
      </c>
      <c r="H19" s="15">
        <v>1</v>
      </c>
      <c r="I19" s="8" t="s">
        <v>12322</v>
      </c>
      <c r="J19" s="15">
        <v>0.67730000000000001</v>
      </c>
      <c r="K19" s="15">
        <v>0.76680000000000004</v>
      </c>
      <c r="L19" s="8" t="s">
        <v>10093</v>
      </c>
      <c r="M19" s="15">
        <v>0.99960000000000004</v>
      </c>
    </row>
    <row r="20" spans="1:13" x14ac:dyDescent="0.2">
      <c r="A20" s="15">
        <v>18</v>
      </c>
      <c r="B20" s="15">
        <v>2</v>
      </c>
      <c r="C20" s="15">
        <v>53852121</v>
      </c>
      <c r="D20" s="15">
        <v>54688234</v>
      </c>
      <c r="E20" s="8" t="s">
        <v>10121</v>
      </c>
      <c r="F20" s="8" t="s">
        <v>10120</v>
      </c>
      <c r="G20" s="8" t="s">
        <v>10146</v>
      </c>
      <c r="H20" s="15">
        <v>1</v>
      </c>
      <c r="I20" s="8" t="s">
        <v>12322</v>
      </c>
      <c r="J20" s="15">
        <v>0.67730000000000001</v>
      </c>
      <c r="K20" s="15">
        <v>0.76680000000000004</v>
      </c>
      <c r="L20" s="8" t="s">
        <v>10093</v>
      </c>
      <c r="M20" s="15">
        <v>0.99960000000000004</v>
      </c>
    </row>
    <row r="21" spans="1:13" x14ac:dyDescent="0.2">
      <c r="A21" s="15">
        <v>19</v>
      </c>
      <c r="B21" s="15">
        <v>2</v>
      </c>
      <c r="C21" s="15">
        <v>53852121</v>
      </c>
      <c r="D21" s="15">
        <v>54688234</v>
      </c>
      <c r="E21" s="8" t="s">
        <v>10121</v>
      </c>
      <c r="F21" s="8" t="s">
        <v>10120</v>
      </c>
      <c r="G21" s="8" t="s">
        <v>10144</v>
      </c>
      <c r="H21" s="15">
        <v>1</v>
      </c>
      <c r="I21" s="8" t="s">
        <v>12322</v>
      </c>
      <c r="J21" s="15">
        <v>0.67730000000000001</v>
      </c>
      <c r="K21" s="15">
        <v>0.76680000000000004</v>
      </c>
      <c r="L21" s="8" t="s">
        <v>10093</v>
      </c>
      <c r="M21" s="15">
        <v>0.99960000000000004</v>
      </c>
    </row>
    <row r="22" spans="1:13" x14ac:dyDescent="0.2">
      <c r="A22" s="15">
        <v>20</v>
      </c>
      <c r="B22" s="15">
        <v>2</v>
      </c>
      <c r="C22" s="15">
        <v>53852121</v>
      </c>
      <c r="D22" s="15">
        <v>54688234</v>
      </c>
      <c r="E22" s="8" t="s">
        <v>10121</v>
      </c>
      <c r="F22" s="8" t="s">
        <v>10120</v>
      </c>
      <c r="G22" s="8" t="s">
        <v>10145</v>
      </c>
      <c r="H22" s="15">
        <v>1</v>
      </c>
      <c r="I22" s="8" t="s">
        <v>12322</v>
      </c>
      <c r="J22" s="15">
        <v>0.67730000000000001</v>
      </c>
      <c r="K22" s="15">
        <v>0.76680000000000004</v>
      </c>
      <c r="L22" s="8" t="s">
        <v>10093</v>
      </c>
      <c r="M22" s="15">
        <v>0.99960000000000004</v>
      </c>
    </row>
    <row r="23" spans="1:13" x14ac:dyDescent="0.2">
      <c r="A23" s="15">
        <v>21</v>
      </c>
      <c r="B23" s="15">
        <v>2</v>
      </c>
      <c r="C23" s="15">
        <v>53852121</v>
      </c>
      <c r="D23" s="15">
        <v>54688234</v>
      </c>
      <c r="E23" s="8" t="s">
        <v>10121</v>
      </c>
      <c r="F23" s="8" t="s">
        <v>10120</v>
      </c>
      <c r="G23" s="8" t="s">
        <v>10141</v>
      </c>
      <c r="H23" s="15">
        <v>1</v>
      </c>
      <c r="I23" s="8" t="s">
        <v>12322</v>
      </c>
      <c r="J23" s="15">
        <v>0.67730000000000001</v>
      </c>
      <c r="K23" s="15">
        <v>0.76680000000000004</v>
      </c>
      <c r="L23" s="8" t="s">
        <v>10093</v>
      </c>
      <c r="M23" s="15">
        <v>0.99960000000000004</v>
      </c>
    </row>
    <row r="24" spans="1:13" x14ac:dyDescent="0.2">
      <c r="A24" s="15">
        <v>22</v>
      </c>
      <c r="B24" s="15">
        <v>2</v>
      </c>
      <c r="C24" s="15">
        <v>53852121</v>
      </c>
      <c r="D24" s="15">
        <v>54688234</v>
      </c>
      <c r="E24" s="8" t="s">
        <v>10121</v>
      </c>
      <c r="F24" s="8" t="s">
        <v>10120</v>
      </c>
      <c r="G24" s="8" t="s">
        <v>10140</v>
      </c>
      <c r="H24" s="15">
        <v>1</v>
      </c>
      <c r="I24" s="8" t="s">
        <v>12322</v>
      </c>
      <c r="J24" s="15">
        <v>0.67730000000000001</v>
      </c>
      <c r="K24" s="15">
        <v>0.76680000000000004</v>
      </c>
      <c r="L24" s="8" t="s">
        <v>10093</v>
      </c>
      <c r="M24" s="15">
        <v>0.99960000000000004</v>
      </c>
    </row>
    <row r="25" spans="1:13" x14ac:dyDescent="0.2">
      <c r="A25" s="15">
        <v>23</v>
      </c>
      <c r="B25" s="15">
        <v>2</v>
      </c>
      <c r="C25" s="15">
        <v>53852121</v>
      </c>
      <c r="D25" s="15">
        <v>54688234</v>
      </c>
      <c r="E25" s="8" t="s">
        <v>10121</v>
      </c>
      <c r="F25" s="8" t="s">
        <v>10120</v>
      </c>
      <c r="G25" s="8" t="s">
        <v>10136</v>
      </c>
      <c r="H25" s="15">
        <v>1</v>
      </c>
      <c r="I25" s="8" t="s">
        <v>12322</v>
      </c>
      <c r="J25" s="15">
        <v>0.6774</v>
      </c>
      <c r="K25" s="15">
        <v>0.76680000000000004</v>
      </c>
      <c r="L25" s="8" t="s">
        <v>10093</v>
      </c>
      <c r="M25" s="15">
        <v>0.99960000000000004</v>
      </c>
    </row>
    <row r="26" spans="1:13" x14ac:dyDescent="0.2">
      <c r="A26" s="15">
        <v>24</v>
      </c>
      <c r="B26" s="15">
        <v>2</v>
      </c>
      <c r="C26" s="15">
        <v>53852121</v>
      </c>
      <c r="D26" s="15">
        <v>54688234</v>
      </c>
      <c r="E26" s="8" t="s">
        <v>10121</v>
      </c>
      <c r="F26" s="8" t="s">
        <v>10120</v>
      </c>
      <c r="G26" s="8" t="s">
        <v>10138</v>
      </c>
      <c r="H26" s="15">
        <v>1</v>
      </c>
      <c r="I26" s="8" t="s">
        <v>12322</v>
      </c>
      <c r="J26" s="15">
        <v>0.67730000000000001</v>
      </c>
      <c r="K26" s="15">
        <v>0.76680000000000004</v>
      </c>
      <c r="L26" s="8" t="s">
        <v>10093</v>
      </c>
      <c r="M26" s="15">
        <v>0.99960000000000004</v>
      </c>
    </row>
    <row r="27" spans="1:13" x14ac:dyDescent="0.2">
      <c r="A27" s="15">
        <v>25</v>
      </c>
      <c r="B27" s="15">
        <v>2</v>
      </c>
      <c r="C27" s="15">
        <v>53852121</v>
      </c>
      <c r="D27" s="15">
        <v>54688234</v>
      </c>
      <c r="E27" s="8" t="s">
        <v>10113</v>
      </c>
      <c r="F27" s="8" t="s">
        <v>10112</v>
      </c>
      <c r="G27" s="8" t="s">
        <v>10144</v>
      </c>
      <c r="H27" s="15">
        <v>1</v>
      </c>
      <c r="I27" s="8" t="s">
        <v>12322</v>
      </c>
      <c r="J27" s="15">
        <v>0.68979999999999997</v>
      </c>
      <c r="K27" s="15">
        <v>0.77180000000000004</v>
      </c>
      <c r="L27" s="8" t="s">
        <v>10093</v>
      </c>
      <c r="M27" s="15">
        <v>0.99990000000000001</v>
      </c>
    </row>
    <row r="28" spans="1:13" x14ac:dyDescent="0.2">
      <c r="A28" s="15">
        <v>26</v>
      </c>
      <c r="B28" s="15">
        <v>2</v>
      </c>
      <c r="C28" s="15">
        <v>53852121</v>
      </c>
      <c r="D28" s="15">
        <v>54688234</v>
      </c>
      <c r="E28" s="8" t="s">
        <v>10113</v>
      </c>
      <c r="F28" s="8" t="s">
        <v>10112</v>
      </c>
      <c r="G28" s="8" t="s">
        <v>10143</v>
      </c>
      <c r="H28" s="15">
        <v>1</v>
      </c>
      <c r="I28" s="8" t="s">
        <v>12322</v>
      </c>
      <c r="J28" s="15">
        <v>0.68979999999999997</v>
      </c>
      <c r="K28" s="15">
        <v>0.77180000000000004</v>
      </c>
      <c r="L28" s="8" t="s">
        <v>10093</v>
      </c>
      <c r="M28" s="15">
        <v>0.99990000000000001</v>
      </c>
    </row>
    <row r="29" spans="1:13" x14ac:dyDescent="0.2">
      <c r="A29" s="15">
        <v>27</v>
      </c>
      <c r="B29" s="15">
        <v>2</v>
      </c>
      <c r="C29" s="15">
        <v>53852121</v>
      </c>
      <c r="D29" s="15">
        <v>54688234</v>
      </c>
      <c r="E29" s="8" t="s">
        <v>10113</v>
      </c>
      <c r="F29" s="8" t="s">
        <v>10112</v>
      </c>
      <c r="G29" s="8" t="s">
        <v>10142</v>
      </c>
      <c r="H29" s="15">
        <v>1</v>
      </c>
      <c r="I29" s="8" t="s">
        <v>12322</v>
      </c>
      <c r="J29" s="15">
        <v>0.68979999999999997</v>
      </c>
      <c r="K29" s="15">
        <v>0.77180000000000004</v>
      </c>
      <c r="L29" s="8" t="s">
        <v>10093</v>
      </c>
      <c r="M29" s="15">
        <v>0.99990000000000001</v>
      </c>
    </row>
    <row r="30" spans="1:13" x14ac:dyDescent="0.2">
      <c r="A30" s="15">
        <v>28</v>
      </c>
      <c r="B30" s="15">
        <v>2</v>
      </c>
      <c r="C30" s="15">
        <v>53852121</v>
      </c>
      <c r="D30" s="15">
        <v>54688234</v>
      </c>
      <c r="E30" s="8" t="s">
        <v>10113</v>
      </c>
      <c r="F30" s="8" t="s">
        <v>10112</v>
      </c>
      <c r="G30" s="8" t="s">
        <v>10136</v>
      </c>
      <c r="H30" s="15">
        <v>1</v>
      </c>
      <c r="I30" s="8" t="s">
        <v>12322</v>
      </c>
      <c r="J30" s="15">
        <v>0.68979999999999997</v>
      </c>
      <c r="K30" s="15">
        <v>0.77180000000000004</v>
      </c>
      <c r="L30" s="8" t="s">
        <v>10093</v>
      </c>
      <c r="M30" s="15">
        <v>0.99990000000000001</v>
      </c>
    </row>
    <row r="31" spans="1:13" x14ac:dyDescent="0.2">
      <c r="A31" s="15">
        <v>29</v>
      </c>
      <c r="B31" s="15">
        <v>2</v>
      </c>
      <c r="C31" s="15">
        <v>53852121</v>
      </c>
      <c r="D31" s="15">
        <v>54688234</v>
      </c>
      <c r="E31" s="8" t="s">
        <v>10113</v>
      </c>
      <c r="F31" s="8" t="s">
        <v>10112</v>
      </c>
      <c r="G31" s="8" t="s">
        <v>10141</v>
      </c>
      <c r="H31" s="15">
        <v>1</v>
      </c>
      <c r="I31" s="8" t="s">
        <v>12322</v>
      </c>
      <c r="J31" s="15">
        <v>0.68979999999999997</v>
      </c>
      <c r="K31" s="15">
        <v>0.77180000000000004</v>
      </c>
      <c r="L31" s="8" t="s">
        <v>10093</v>
      </c>
      <c r="M31" s="15">
        <v>0.99990000000000001</v>
      </c>
    </row>
    <row r="32" spans="1:13" x14ac:dyDescent="0.2">
      <c r="A32" s="15">
        <v>30</v>
      </c>
      <c r="B32" s="15">
        <v>2</v>
      </c>
      <c r="C32" s="15">
        <v>53852121</v>
      </c>
      <c r="D32" s="15">
        <v>54688234</v>
      </c>
      <c r="E32" s="8" t="s">
        <v>10113</v>
      </c>
      <c r="F32" s="8" t="s">
        <v>10112</v>
      </c>
      <c r="G32" s="8" t="s">
        <v>10140</v>
      </c>
      <c r="H32" s="15">
        <v>1</v>
      </c>
      <c r="I32" s="8" t="s">
        <v>12322</v>
      </c>
      <c r="J32" s="15">
        <v>0.68979999999999997</v>
      </c>
      <c r="K32" s="15">
        <v>0.77180000000000004</v>
      </c>
      <c r="L32" s="8" t="s">
        <v>10093</v>
      </c>
      <c r="M32" s="15">
        <v>0.99990000000000001</v>
      </c>
    </row>
    <row r="33" spans="1:13" x14ac:dyDescent="0.2">
      <c r="A33" s="15">
        <v>31</v>
      </c>
      <c r="B33" s="15">
        <v>2</v>
      </c>
      <c r="C33" s="15">
        <v>53852121</v>
      </c>
      <c r="D33" s="15">
        <v>54688234</v>
      </c>
      <c r="E33" s="8" t="s">
        <v>10113</v>
      </c>
      <c r="F33" s="8" t="s">
        <v>10112</v>
      </c>
      <c r="G33" s="8" t="s">
        <v>10135</v>
      </c>
      <c r="H33" s="15">
        <v>1</v>
      </c>
      <c r="I33" s="8" t="s">
        <v>12322</v>
      </c>
      <c r="J33" s="15">
        <v>0.68979999999999997</v>
      </c>
      <c r="K33" s="15">
        <v>0.77180000000000004</v>
      </c>
      <c r="L33" s="8" t="s">
        <v>10093</v>
      </c>
      <c r="M33" s="15">
        <v>0.99990000000000001</v>
      </c>
    </row>
    <row r="34" spans="1:13" x14ac:dyDescent="0.2">
      <c r="A34" s="15">
        <v>32</v>
      </c>
      <c r="B34" s="15">
        <v>2</v>
      </c>
      <c r="C34" s="15">
        <v>53852121</v>
      </c>
      <c r="D34" s="15">
        <v>54688234</v>
      </c>
      <c r="E34" s="8" t="s">
        <v>10113</v>
      </c>
      <c r="F34" s="8" t="s">
        <v>10112</v>
      </c>
      <c r="G34" s="8" t="s">
        <v>10139</v>
      </c>
      <c r="H34" s="15">
        <v>1</v>
      </c>
      <c r="I34" s="8" t="s">
        <v>12322</v>
      </c>
      <c r="J34" s="15">
        <v>0.68979999999999997</v>
      </c>
      <c r="K34" s="15">
        <v>0.77180000000000004</v>
      </c>
      <c r="L34" s="8" t="s">
        <v>10093</v>
      </c>
      <c r="M34" s="15">
        <v>0.99990000000000001</v>
      </c>
    </row>
    <row r="35" spans="1:13" x14ac:dyDescent="0.2">
      <c r="A35" s="15">
        <v>33</v>
      </c>
      <c r="B35" s="15">
        <v>2</v>
      </c>
      <c r="C35" s="15">
        <v>53852121</v>
      </c>
      <c r="D35" s="15">
        <v>54688234</v>
      </c>
      <c r="E35" s="8" t="s">
        <v>10113</v>
      </c>
      <c r="F35" s="8" t="s">
        <v>10112</v>
      </c>
      <c r="G35" s="8" t="s">
        <v>10138</v>
      </c>
      <c r="H35" s="15">
        <v>1</v>
      </c>
      <c r="I35" s="8" t="s">
        <v>12322</v>
      </c>
      <c r="J35" s="15">
        <v>0.68979999999999997</v>
      </c>
      <c r="K35" s="15">
        <v>0.77180000000000004</v>
      </c>
      <c r="L35" s="8" t="s">
        <v>10093</v>
      </c>
      <c r="M35" s="15">
        <v>0.99990000000000001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CD59-03EC-4A4B-8CDD-B6838C658AA3}">
  <dimension ref="A1:E3937"/>
  <sheetViews>
    <sheetView workbookViewId="0"/>
  </sheetViews>
  <sheetFormatPr defaultRowHeight="15" x14ac:dyDescent="0.25"/>
  <cols>
    <col min="1" max="1" width="7.28515625" bestFit="1" customWidth="1"/>
    <col min="2" max="2" width="8" bestFit="1" customWidth="1"/>
    <col min="3" max="3" width="62.42578125" style="11" bestFit="1" customWidth="1"/>
    <col min="4" max="4" width="33.5703125" style="11" bestFit="1" customWidth="1"/>
    <col min="5" max="5" width="77.28515625" style="11" customWidth="1"/>
  </cols>
  <sheetData>
    <row r="1" spans="1:5" x14ac:dyDescent="0.25">
      <c r="A1" s="1" t="s">
        <v>12309</v>
      </c>
      <c r="B1" s="5"/>
      <c r="C1" s="8"/>
      <c r="D1" s="8"/>
      <c r="E1" s="8"/>
    </row>
    <row r="2" spans="1:5" s="11" customFormat="1" x14ac:dyDescent="0.25">
      <c r="A2" s="4" t="s">
        <v>10038</v>
      </c>
      <c r="B2" s="4" t="s">
        <v>0</v>
      </c>
      <c r="C2" s="10" t="s">
        <v>1</v>
      </c>
      <c r="D2" s="10" t="s">
        <v>10039</v>
      </c>
      <c r="E2" s="10" t="s">
        <v>10149</v>
      </c>
    </row>
    <row r="3" spans="1:5" x14ac:dyDescent="0.25">
      <c r="A3" s="5" t="s">
        <v>5</v>
      </c>
      <c r="B3" s="9" t="str">
        <f>HYPERLINK("http://biobank.ctsu.ox.ac.uk/crystal/field.cgi?id=25001", "25001")</f>
        <v>25001</v>
      </c>
      <c r="C3" s="8" t="s">
        <v>7</v>
      </c>
      <c r="D3" s="8" t="s">
        <v>10040</v>
      </c>
      <c r="E3" s="8" t="s">
        <v>10150</v>
      </c>
    </row>
    <row r="4" spans="1:5" x14ac:dyDescent="0.25">
      <c r="A4" s="5" t="s">
        <v>8</v>
      </c>
      <c r="B4" s="9" t="str">
        <f>HYPERLINK("http://biobank.ctsu.ox.ac.uk/crystal/field.cgi?id=25002", "25002")</f>
        <v>25002</v>
      </c>
      <c r="C4" s="8" t="s">
        <v>10</v>
      </c>
      <c r="D4" s="8" t="s">
        <v>10040</v>
      </c>
      <c r="E4" s="8" t="s">
        <v>10151</v>
      </c>
    </row>
    <row r="5" spans="1:5" x14ac:dyDescent="0.25">
      <c r="A5" s="5" t="s">
        <v>11</v>
      </c>
      <c r="B5" s="9" t="str">
        <f>HYPERLINK("http://biobank.ctsu.ox.ac.uk/crystal/field.cgi?id=25003", "25003")</f>
        <v>25003</v>
      </c>
      <c r="C5" s="8" t="s">
        <v>13</v>
      </c>
      <c r="D5" s="8" t="s">
        <v>10040</v>
      </c>
      <c r="E5" s="8" t="s">
        <v>10152</v>
      </c>
    </row>
    <row r="6" spans="1:5" x14ac:dyDescent="0.25">
      <c r="A6" s="5" t="s">
        <v>14</v>
      </c>
      <c r="B6" s="9" t="str">
        <f>HYPERLINK("http://biobank.ctsu.ox.ac.uk/crystal/field.cgi?id=25004", "25004")</f>
        <v>25004</v>
      </c>
      <c r="C6" s="8" t="s">
        <v>16</v>
      </c>
      <c r="D6" s="8" t="s">
        <v>10040</v>
      </c>
      <c r="E6" s="8" t="s">
        <v>10153</v>
      </c>
    </row>
    <row r="7" spans="1:5" x14ac:dyDescent="0.25">
      <c r="A7" s="5" t="s">
        <v>17</v>
      </c>
      <c r="B7" s="9" t="str">
        <f>HYPERLINK("http://biobank.ctsu.ox.ac.uk/crystal/field.cgi?id=25005", "25005")</f>
        <v>25005</v>
      </c>
      <c r="C7" s="8" t="s">
        <v>19</v>
      </c>
      <c r="D7" s="8" t="s">
        <v>10040</v>
      </c>
      <c r="E7" s="8" t="s">
        <v>10154</v>
      </c>
    </row>
    <row r="8" spans="1:5" x14ac:dyDescent="0.25">
      <c r="A8" s="5" t="s">
        <v>20</v>
      </c>
      <c r="B8" s="9" t="str">
        <f>HYPERLINK("http://biobank.ctsu.ox.ac.uk/crystal/field.cgi?id=25006", "25006")</f>
        <v>25006</v>
      </c>
      <c r="C8" s="8" t="s">
        <v>22</v>
      </c>
      <c r="D8" s="8" t="s">
        <v>10040</v>
      </c>
      <c r="E8" s="8" t="s">
        <v>10155</v>
      </c>
    </row>
    <row r="9" spans="1:5" x14ac:dyDescent="0.25">
      <c r="A9" s="5" t="s">
        <v>23</v>
      </c>
      <c r="B9" s="9" t="str">
        <f>HYPERLINK("http://biobank.ctsu.ox.ac.uk/crystal/field.cgi?id=25007", "25007")</f>
        <v>25007</v>
      </c>
      <c r="C9" s="8" t="s">
        <v>25</v>
      </c>
      <c r="D9" s="8" t="s">
        <v>10040</v>
      </c>
      <c r="E9" s="8" t="s">
        <v>10156</v>
      </c>
    </row>
    <row r="10" spans="1:5" x14ac:dyDescent="0.25">
      <c r="A10" s="5" t="s">
        <v>26</v>
      </c>
      <c r="B10" s="9" t="str">
        <f>HYPERLINK("http://biobank.ctsu.ox.ac.uk/crystal/field.cgi?id=25008", "25008")</f>
        <v>25008</v>
      </c>
      <c r="C10" s="8" t="s">
        <v>28</v>
      </c>
      <c r="D10" s="8" t="s">
        <v>10040</v>
      </c>
      <c r="E10" s="8" t="s">
        <v>10157</v>
      </c>
    </row>
    <row r="11" spans="1:5" x14ac:dyDescent="0.25">
      <c r="A11" s="5" t="s">
        <v>29</v>
      </c>
      <c r="B11" s="9" t="str">
        <f>HYPERLINK("http://biobank.ctsu.ox.ac.uk/crystal/field.cgi?id=25009", "25009")</f>
        <v>25009</v>
      </c>
      <c r="C11" s="8" t="s">
        <v>31</v>
      </c>
      <c r="D11" s="8" t="s">
        <v>10040</v>
      </c>
      <c r="E11" s="8" t="s">
        <v>10158</v>
      </c>
    </row>
    <row r="12" spans="1:5" x14ac:dyDescent="0.25">
      <c r="A12" s="5" t="s">
        <v>32</v>
      </c>
      <c r="B12" s="9" t="str">
        <f>HYPERLINK("http://biobank.ctsu.ox.ac.uk/crystal/field.cgi?id=25010", "25010")</f>
        <v>25010</v>
      </c>
      <c r="C12" s="8" t="s">
        <v>34</v>
      </c>
      <c r="D12" s="8" t="s">
        <v>10040</v>
      </c>
      <c r="E12" s="8" t="s">
        <v>10159</v>
      </c>
    </row>
    <row r="13" spans="1:5" x14ac:dyDescent="0.25">
      <c r="A13" s="5" t="s">
        <v>35</v>
      </c>
      <c r="B13" s="9" t="str">
        <f>HYPERLINK("http://biobank.ctsu.ox.ac.uk/crystal/field.cgi?id=25011", "25011")</f>
        <v>25011</v>
      </c>
      <c r="C13" s="8" t="s">
        <v>37</v>
      </c>
      <c r="D13" s="8" t="s">
        <v>10040</v>
      </c>
      <c r="E13" s="8" t="s">
        <v>10160</v>
      </c>
    </row>
    <row r="14" spans="1:5" x14ac:dyDescent="0.25">
      <c r="A14" s="5" t="s">
        <v>38</v>
      </c>
      <c r="B14" s="9" t="str">
        <f>HYPERLINK("http://biobank.ctsu.ox.ac.uk/crystal/field.cgi?id=25012", "25012")</f>
        <v>25012</v>
      </c>
      <c r="C14" s="8" t="s">
        <v>40</v>
      </c>
      <c r="D14" s="8" t="s">
        <v>10040</v>
      </c>
      <c r="E14" s="8" t="s">
        <v>10161</v>
      </c>
    </row>
    <row r="15" spans="1:5" x14ac:dyDescent="0.25">
      <c r="A15" s="5" t="s">
        <v>41</v>
      </c>
      <c r="B15" s="9" t="str">
        <f>HYPERLINK("http://biobank.ctsu.ox.ac.uk/crystal/field.cgi?id=25013", "25013")</f>
        <v>25013</v>
      </c>
      <c r="C15" s="8" t="s">
        <v>43</v>
      </c>
      <c r="D15" s="8" t="s">
        <v>10040</v>
      </c>
      <c r="E15" s="8" t="s">
        <v>10162</v>
      </c>
    </row>
    <row r="16" spans="1:5" x14ac:dyDescent="0.25">
      <c r="A16" s="5" t="s">
        <v>44</v>
      </c>
      <c r="B16" s="9" t="str">
        <f>HYPERLINK("http://biobank.ctsu.ox.ac.uk/crystal/field.cgi?id=25014", "25014")</f>
        <v>25014</v>
      </c>
      <c r="C16" s="8" t="s">
        <v>46</v>
      </c>
      <c r="D16" s="8" t="s">
        <v>10040</v>
      </c>
      <c r="E16" s="8" t="s">
        <v>10163</v>
      </c>
    </row>
    <row r="17" spans="1:5" x14ac:dyDescent="0.25">
      <c r="A17" s="5" t="s">
        <v>47</v>
      </c>
      <c r="B17" s="9" t="str">
        <f>HYPERLINK("http://biobank.ctsu.ox.ac.uk/crystal/field.cgi?id=25015", "25015")</f>
        <v>25015</v>
      </c>
      <c r="C17" s="8" t="s">
        <v>49</v>
      </c>
      <c r="D17" s="8" t="s">
        <v>10040</v>
      </c>
      <c r="E17" s="8" t="s">
        <v>10164</v>
      </c>
    </row>
    <row r="18" spans="1:5" x14ac:dyDescent="0.25">
      <c r="A18" s="5" t="s">
        <v>50</v>
      </c>
      <c r="B18" s="9" t="str">
        <f>HYPERLINK("http://biobank.ctsu.ox.ac.uk/crystal/field.cgi?id=25016", "25016")</f>
        <v>25016</v>
      </c>
      <c r="C18" s="8" t="s">
        <v>52</v>
      </c>
      <c r="D18" s="8" t="s">
        <v>10040</v>
      </c>
      <c r="E18" s="8" t="s">
        <v>10165</v>
      </c>
    </row>
    <row r="19" spans="1:5" x14ac:dyDescent="0.25">
      <c r="A19" s="5" t="s">
        <v>53</v>
      </c>
      <c r="B19" s="9" t="str">
        <f>HYPERLINK("http://biobank.ctsu.ox.ac.uk/crystal/field.cgi?id=25017", "25017")</f>
        <v>25017</v>
      </c>
      <c r="C19" s="8" t="s">
        <v>55</v>
      </c>
      <c r="D19" s="8" t="s">
        <v>10040</v>
      </c>
      <c r="E19" s="8" t="s">
        <v>10166</v>
      </c>
    </row>
    <row r="20" spans="1:5" x14ac:dyDescent="0.25">
      <c r="A20" s="5" t="s">
        <v>56</v>
      </c>
      <c r="B20" s="9" t="str">
        <f>HYPERLINK("http://biobank.ctsu.ox.ac.uk/crystal/field.cgi?id=25018", "25018")</f>
        <v>25018</v>
      </c>
      <c r="C20" s="8" t="s">
        <v>58</v>
      </c>
      <c r="D20" s="8" t="s">
        <v>10040</v>
      </c>
      <c r="E20" s="8" t="s">
        <v>10167</v>
      </c>
    </row>
    <row r="21" spans="1:5" x14ac:dyDescent="0.25">
      <c r="A21" s="5" t="s">
        <v>59</v>
      </c>
      <c r="B21" s="9" t="str">
        <f>HYPERLINK("http://biobank.ctsu.ox.ac.uk/crystal/field.cgi?id=25019", "25019")</f>
        <v>25019</v>
      </c>
      <c r="C21" s="8" t="s">
        <v>61</v>
      </c>
      <c r="D21" s="8" t="s">
        <v>10040</v>
      </c>
      <c r="E21" s="8" t="s">
        <v>10168</v>
      </c>
    </row>
    <row r="22" spans="1:5" x14ac:dyDescent="0.25">
      <c r="A22" s="5" t="s">
        <v>62</v>
      </c>
      <c r="B22" s="9" t="str">
        <f>HYPERLINK("http://biobank.ctsu.ox.ac.uk/crystal/field.cgi?id=25020", "25020")</f>
        <v>25020</v>
      </c>
      <c r="C22" s="8" t="s">
        <v>64</v>
      </c>
      <c r="D22" s="8" t="s">
        <v>10040</v>
      </c>
      <c r="E22" s="8" t="s">
        <v>10169</v>
      </c>
    </row>
    <row r="23" spans="1:5" x14ac:dyDescent="0.25">
      <c r="A23" s="5" t="s">
        <v>65</v>
      </c>
      <c r="B23" s="9" t="str">
        <f>HYPERLINK("http://biobank.ctsu.ox.ac.uk/crystal/field.cgi?id=25021", "25021")</f>
        <v>25021</v>
      </c>
      <c r="C23" s="8" t="s">
        <v>67</v>
      </c>
      <c r="D23" s="8" t="s">
        <v>10040</v>
      </c>
      <c r="E23" s="8" t="s">
        <v>10170</v>
      </c>
    </row>
    <row r="24" spans="1:5" x14ac:dyDescent="0.25">
      <c r="A24" s="5" t="s">
        <v>68</v>
      </c>
      <c r="B24" s="9" t="str">
        <f>HYPERLINK("http://biobank.ctsu.ox.ac.uk/crystal/field.cgi?id=25022", "25022")</f>
        <v>25022</v>
      </c>
      <c r="C24" s="8" t="s">
        <v>70</v>
      </c>
      <c r="D24" s="8" t="s">
        <v>10040</v>
      </c>
      <c r="E24" s="8" t="s">
        <v>10171</v>
      </c>
    </row>
    <row r="25" spans="1:5" x14ac:dyDescent="0.25">
      <c r="A25" s="5" t="s">
        <v>71</v>
      </c>
      <c r="B25" s="9" t="str">
        <f>HYPERLINK("http://biobank.ctsu.ox.ac.uk/crystal/field.cgi?id=25023", "25023")</f>
        <v>25023</v>
      </c>
      <c r="C25" s="8" t="s">
        <v>73</v>
      </c>
      <c r="D25" s="8" t="s">
        <v>10040</v>
      </c>
      <c r="E25" s="8" t="s">
        <v>10172</v>
      </c>
    </row>
    <row r="26" spans="1:5" x14ac:dyDescent="0.25">
      <c r="A26" s="5" t="s">
        <v>74</v>
      </c>
      <c r="B26" s="9" t="str">
        <f>HYPERLINK("http://biobank.ctsu.ox.ac.uk/crystal/field.cgi?id=25024", "25024")</f>
        <v>25024</v>
      </c>
      <c r="C26" s="8" t="s">
        <v>76</v>
      </c>
      <c r="D26" s="8" t="s">
        <v>10040</v>
      </c>
      <c r="E26" s="8" t="s">
        <v>10173</v>
      </c>
    </row>
    <row r="27" spans="1:5" x14ac:dyDescent="0.25">
      <c r="A27" s="5" t="s">
        <v>77</v>
      </c>
      <c r="B27" s="9" t="str">
        <f>HYPERLINK("http://biobank.ctsu.ox.ac.uk/crystal/field.cgi?id=25025", "25025")</f>
        <v>25025</v>
      </c>
      <c r="C27" s="8" t="s">
        <v>79</v>
      </c>
      <c r="D27" s="8" t="s">
        <v>10040</v>
      </c>
      <c r="E27" s="8" t="s">
        <v>10174</v>
      </c>
    </row>
    <row r="28" spans="1:5" x14ac:dyDescent="0.25">
      <c r="A28" s="5" t="s">
        <v>80</v>
      </c>
      <c r="B28" s="9" t="str">
        <f>HYPERLINK("http://biobank.ctsu.ox.ac.uk/crystal/field.cgi?id=25782", "25782")</f>
        <v>25782</v>
      </c>
      <c r="C28" s="8" t="s">
        <v>82</v>
      </c>
      <c r="D28" s="8" t="s">
        <v>10040</v>
      </c>
      <c r="E28" s="8" t="s">
        <v>10175</v>
      </c>
    </row>
    <row r="29" spans="1:5" x14ac:dyDescent="0.25">
      <c r="A29" s="5" t="s">
        <v>83</v>
      </c>
      <c r="B29" s="9" t="str">
        <f>HYPERLINK("http://biobank.ctsu.ox.ac.uk/crystal/field.cgi?id=25783", "25783")</f>
        <v>25783</v>
      </c>
      <c r="C29" s="8" t="s">
        <v>85</v>
      </c>
      <c r="D29" s="8" t="s">
        <v>10040</v>
      </c>
      <c r="E29" s="8" t="s">
        <v>10176</v>
      </c>
    </row>
    <row r="30" spans="1:5" x14ac:dyDescent="0.25">
      <c r="A30" s="5" t="s">
        <v>86</v>
      </c>
      <c r="B30" s="9" t="str">
        <f>HYPERLINK("http://biobank.ctsu.ox.ac.uk/crystal/field.cgi?id=25784", "25784")</f>
        <v>25784</v>
      </c>
      <c r="C30" s="8" t="s">
        <v>88</v>
      </c>
      <c r="D30" s="8" t="s">
        <v>10040</v>
      </c>
      <c r="E30" s="8" t="s">
        <v>10177</v>
      </c>
    </row>
    <row r="31" spans="1:5" x14ac:dyDescent="0.25">
      <c r="A31" s="5" t="s">
        <v>89</v>
      </c>
      <c r="B31" s="9" t="str">
        <f>HYPERLINK("http://biobank.ctsu.ox.ac.uk/crystal/field.cgi?id=25785", "25785")</f>
        <v>25785</v>
      </c>
      <c r="C31" s="8" t="s">
        <v>91</v>
      </c>
      <c r="D31" s="8" t="s">
        <v>10040</v>
      </c>
      <c r="E31" s="8" t="s">
        <v>10178</v>
      </c>
    </row>
    <row r="32" spans="1:5" x14ac:dyDescent="0.25">
      <c r="A32" s="5" t="s">
        <v>92</v>
      </c>
      <c r="B32" s="9" t="str">
        <f>HYPERLINK("http://biobank.ctsu.ox.ac.uk/crystal/field.cgi?id=25786", "25786")</f>
        <v>25786</v>
      </c>
      <c r="C32" s="8" t="s">
        <v>94</v>
      </c>
      <c r="D32" s="8" t="s">
        <v>10040</v>
      </c>
      <c r="E32" s="8" t="s">
        <v>10179</v>
      </c>
    </row>
    <row r="33" spans="1:5" x14ac:dyDescent="0.25">
      <c r="A33" s="5" t="s">
        <v>95</v>
      </c>
      <c r="B33" s="9" t="str">
        <f>HYPERLINK("http://biobank.ctsu.ox.ac.uk/crystal/field.cgi?id=25787", "25787")</f>
        <v>25787</v>
      </c>
      <c r="C33" s="8" t="s">
        <v>97</v>
      </c>
      <c r="D33" s="8" t="s">
        <v>10040</v>
      </c>
      <c r="E33" s="8" t="s">
        <v>10180</v>
      </c>
    </row>
    <row r="34" spans="1:5" x14ac:dyDescent="0.25">
      <c r="A34" s="5" t="s">
        <v>98</v>
      </c>
      <c r="B34" s="9" t="str">
        <f>HYPERLINK("http://biobank.ctsu.ox.ac.uk/crystal/field.cgi?id=25788", "25788")</f>
        <v>25788</v>
      </c>
      <c r="C34" s="8" t="s">
        <v>100</v>
      </c>
      <c r="D34" s="8" t="s">
        <v>10040</v>
      </c>
      <c r="E34" s="8" t="s">
        <v>10181</v>
      </c>
    </row>
    <row r="35" spans="1:5" x14ac:dyDescent="0.25">
      <c r="A35" s="5" t="s">
        <v>101</v>
      </c>
      <c r="B35" s="9" t="str">
        <f>HYPERLINK("http://biobank.ctsu.ox.ac.uk/crystal/field.cgi?id=25789", "25789")</f>
        <v>25789</v>
      </c>
      <c r="C35" s="8" t="s">
        <v>103</v>
      </c>
      <c r="D35" s="8" t="s">
        <v>10040</v>
      </c>
      <c r="E35" s="8" t="s">
        <v>10182</v>
      </c>
    </row>
    <row r="36" spans="1:5" x14ac:dyDescent="0.25">
      <c r="A36" s="5" t="s">
        <v>104</v>
      </c>
      <c r="B36" s="9" t="str">
        <f>HYPERLINK("http://biobank.ctsu.ox.ac.uk/crystal/field.cgi?id=25790", "25790")</f>
        <v>25790</v>
      </c>
      <c r="C36" s="8" t="s">
        <v>106</v>
      </c>
      <c r="D36" s="8" t="s">
        <v>10040</v>
      </c>
      <c r="E36" s="8" t="s">
        <v>10183</v>
      </c>
    </row>
    <row r="37" spans="1:5" x14ac:dyDescent="0.25">
      <c r="A37" s="5" t="s">
        <v>107</v>
      </c>
      <c r="B37" s="9" t="str">
        <f>HYPERLINK("http://biobank.ctsu.ox.ac.uk/crystal/field.cgi?id=25791", "25791")</f>
        <v>25791</v>
      </c>
      <c r="C37" s="8" t="s">
        <v>109</v>
      </c>
      <c r="D37" s="8" t="s">
        <v>10040</v>
      </c>
      <c r="E37" s="8" t="s">
        <v>10184</v>
      </c>
    </row>
    <row r="38" spans="1:5" x14ac:dyDescent="0.25">
      <c r="A38" s="5" t="s">
        <v>110</v>
      </c>
      <c r="B38" s="9" t="str">
        <f>HYPERLINK("http://biobank.ctsu.ox.ac.uk/crystal/field.cgi?id=25792", "25792")</f>
        <v>25792</v>
      </c>
      <c r="C38" s="8" t="s">
        <v>112</v>
      </c>
      <c r="D38" s="8" t="s">
        <v>10040</v>
      </c>
      <c r="E38" s="8" t="s">
        <v>10185</v>
      </c>
    </row>
    <row r="39" spans="1:5" x14ac:dyDescent="0.25">
      <c r="A39" s="5" t="s">
        <v>113</v>
      </c>
      <c r="B39" s="9" t="str">
        <f>HYPERLINK("http://biobank.ctsu.ox.ac.uk/crystal/field.cgi?id=25793", "25793")</f>
        <v>25793</v>
      </c>
      <c r="C39" s="8" t="s">
        <v>115</v>
      </c>
      <c r="D39" s="8" t="s">
        <v>10040</v>
      </c>
      <c r="E39" s="8" t="s">
        <v>10186</v>
      </c>
    </row>
    <row r="40" spans="1:5" x14ac:dyDescent="0.25">
      <c r="A40" s="5" t="s">
        <v>116</v>
      </c>
      <c r="B40" s="9" t="str">
        <f>HYPERLINK("http://biobank.ctsu.ox.ac.uk/crystal/field.cgi?id=25794", "25794")</f>
        <v>25794</v>
      </c>
      <c r="C40" s="8" t="s">
        <v>118</v>
      </c>
      <c r="D40" s="8" t="s">
        <v>10040</v>
      </c>
      <c r="E40" s="8" t="s">
        <v>10187</v>
      </c>
    </row>
    <row r="41" spans="1:5" x14ac:dyDescent="0.25">
      <c r="A41" s="5" t="s">
        <v>119</v>
      </c>
      <c r="B41" s="9" t="str">
        <f>HYPERLINK("http://biobank.ctsu.ox.ac.uk/crystal/field.cgi?id=25795", "25795")</f>
        <v>25795</v>
      </c>
      <c r="C41" s="8" t="s">
        <v>121</v>
      </c>
      <c r="D41" s="8" t="s">
        <v>10040</v>
      </c>
      <c r="E41" s="8" t="s">
        <v>10188</v>
      </c>
    </row>
    <row r="42" spans="1:5" x14ac:dyDescent="0.25">
      <c r="A42" s="5" t="s">
        <v>122</v>
      </c>
      <c r="B42" s="9" t="str">
        <f>HYPERLINK("http://biobank.ctsu.ox.ac.uk/crystal/field.cgi?id=25796", "25796")</f>
        <v>25796</v>
      </c>
      <c r="C42" s="8" t="s">
        <v>124</v>
      </c>
      <c r="D42" s="8" t="s">
        <v>10040</v>
      </c>
      <c r="E42" s="8" t="s">
        <v>10189</v>
      </c>
    </row>
    <row r="43" spans="1:5" x14ac:dyDescent="0.25">
      <c r="A43" s="5" t="s">
        <v>125</v>
      </c>
      <c r="B43" s="9" t="str">
        <f>HYPERLINK("http://biobank.ctsu.ox.ac.uk/crystal/field.cgi?id=25797", "25797")</f>
        <v>25797</v>
      </c>
      <c r="C43" s="8" t="s">
        <v>127</v>
      </c>
      <c r="D43" s="8" t="s">
        <v>10040</v>
      </c>
      <c r="E43" s="8" t="s">
        <v>10190</v>
      </c>
    </row>
    <row r="44" spans="1:5" x14ac:dyDescent="0.25">
      <c r="A44" s="5" t="s">
        <v>128</v>
      </c>
      <c r="B44" s="9" t="str">
        <f>HYPERLINK("http://biobank.ctsu.ox.ac.uk/crystal/field.cgi?id=25798", "25798")</f>
        <v>25798</v>
      </c>
      <c r="C44" s="8" t="s">
        <v>130</v>
      </c>
      <c r="D44" s="8" t="s">
        <v>10040</v>
      </c>
      <c r="E44" s="8" t="s">
        <v>10191</v>
      </c>
    </row>
    <row r="45" spans="1:5" x14ac:dyDescent="0.25">
      <c r="A45" s="5" t="s">
        <v>131</v>
      </c>
      <c r="B45" s="9" t="str">
        <f>HYPERLINK("http://biobank.ctsu.ox.ac.uk/crystal/field.cgi?id=25799", "25799")</f>
        <v>25799</v>
      </c>
      <c r="C45" s="8" t="s">
        <v>133</v>
      </c>
      <c r="D45" s="8" t="s">
        <v>10040</v>
      </c>
      <c r="E45" s="8" t="s">
        <v>10192</v>
      </c>
    </row>
    <row r="46" spans="1:5" x14ac:dyDescent="0.25">
      <c r="A46" s="5" t="s">
        <v>134</v>
      </c>
      <c r="B46" s="9" t="str">
        <f>HYPERLINK("http://biobank.ctsu.ox.ac.uk/crystal/field.cgi?id=25800", "25800")</f>
        <v>25800</v>
      </c>
      <c r="C46" s="8" t="s">
        <v>136</v>
      </c>
      <c r="D46" s="8" t="s">
        <v>10040</v>
      </c>
      <c r="E46" s="8" t="s">
        <v>10193</v>
      </c>
    </row>
    <row r="47" spans="1:5" x14ac:dyDescent="0.25">
      <c r="A47" s="5" t="s">
        <v>137</v>
      </c>
      <c r="B47" s="9" t="str">
        <f>HYPERLINK("http://biobank.ctsu.ox.ac.uk/crystal/field.cgi?id=25801", "25801")</f>
        <v>25801</v>
      </c>
      <c r="C47" s="8" t="s">
        <v>139</v>
      </c>
      <c r="D47" s="8" t="s">
        <v>10040</v>
      </c>
      <c r="E47" s="8" t="s">
        <v>10194</v>
      </c>
    </row>
    <row r="48" spans="1:5" x14ac:dyDescent="0.25">
      <c r="A48" s="5" t="s">
        <v>140</v>
      </c>
      <c r="B48" s="9" t="str">
        <f>HYPERLINK("http://biobank.ctsu.ox.ac.uk/crystal/field.cgi?id=25802", "25802")</f>
        <v>25802</v>
      </c>
      <c r="C48" s="8" t="s">
        <v>142</v>
      </c>
      <c r="D48" s="8" t="s">
        <v>10040</v>
      </c>
      <c r="E48" s="8" t="s">
        <v>10195</v>
      </c>
    </row>
    <row r="49" spans="1:5" x14ac:dyDescent="0.25">
      <c r="A49" s="5" t="s">
        <v>143</v>
      </c>
      <c r="B49" s="9" t="str">
        <f>HYPERLINK("http://biobank.ctsu.ox.ac.uk/crystal/field.cgi?id=25803", "25803")</f>
        <v>25803</v>
      </c>
      <c r="C49" s="8" t="s">
        <v>145</v>
      </c>
      <c r="D49" s="8" t="s">
        <v>10040</v>
      </c>
      <c r="E49" s="8" t="s">
        <v>10196</v>
      </c>
    </row>
    <row r="50" spans="1:5" x14ac:dyDescent="0.25">
      <c r="A50" s="5" t="s">
        <v>146</v>
      </c>
      <c r="B50" s="9" t="str">
        <f>HYPERLINK("http://biobank.ctsu.ox.ac.uk/crystal/field.cgi?id=25804", "25804")</f>
        <v>25804</v>
      </c>
      <c r="C50" s="8" t="s">
        <v>148</v>
      </c>
      <c r="D50" s="8" t="s">
        <v>10040</v>
      </c>
      <c r="E50" s="8" t="s">
        <v>10197</v>
      </c>
    </row>
    <row r="51" spans="1:5" x14ac:dyDescent="0.25">
      <c r="A51" s="5" t="s">
        <v>149</v>
      </c>
      <c r="B51" s="9" t="str">
        <f>HYPERLINK("http://biobank.ctsu.ox.ac.uk/crystal/field.cgi?id=25805", "25805")</f>
        <v>25805</v>
      </c>
      <c r="C51" s="8" t="s">
        <v>151</v>
      </c>
      <c r="D51" s="8" t="s">
        <v>10040</v>
      </c>
      <c r="E51" s="8" t="s">
        <v>10198</v>
      </c>
    </row>
    <row r="52" spans="1:5" x14ac:dyDescent="0.25">
      <c r="A52" s="5" t="s">
        <v>152</v>
      </c>
      <c r="B52" s="9" t="str">
        <f>HYPERLINK("http://biobank.ctsu.ox.ac.uk/crystal/field.cgi?id=25806", "25806")</f>
        <v>25806</v>
      </c>
      <c r="C52" s="8" t="s">
        <v>154</v>
      </c>
      <c r="D52" s="8" t="s">
        <v>10040</v>
      </c>
      <c r="E52" s="8" t="s">
        <v>10199</v>
      </c>
    </row>
    <row r="53" spans="1:5" x14ac:dyDescent="0.25">
      <c r="A53" s="5" t="s">
        <v>155</v>
      </c>
      <c r="B53" s="9" t="str">
        <f>HYPERLINK("http://biobank.ctsu.ox.ac.uk/crystal/field.cgi?id=25807", "25807")</f>
        <v>25807</v>
      </c>
      <c r="C53" s="8" t="s">
        <v>157</v>
      </c>
      <c r="D53" s="8" t="s">
        <v>10040</v>
      </c>
      <c r="E53" s="8" t="s">
        <v>10200</v>
      </c>
    </row>
    <row r="54" spans="1:5" x14ac:dyDescent="0.25">
      <c r="A54" s="5" t="s">
        <v>158</v>
      </c>
      <c r="B54" s="9" t="str">
        <f>HYPERLINK("http://biobank.ctsu.ox.ac.uk/crystal/field.cgi?id=25808", "25808")</f>
        <v>25808</v>
      </c>
      <c r="C54" s="8" t="s">
        <v>160</v>
      </c>
      <c r="D54" s="8" t="s">
        <v>10040</v>
      </c>
      <c r="E54" s="8" t="s">
        <v>10201</v>
      </c>
    </row>
    <row r="55" spans="1:5" x14ac:dyDescent="0.25">
      <c r="A55" s="5" t="s">
        <v>161</v>
      </c>
      <c r="B55" s="9" t="str">
        <f>HYPERLINK("http://biobank.ctsu.ox.ac.uk/crystal/field.cgi?id=25809", "25809")</f>
        <v>25809</v>
      </c>
      <c r="C55" s="8" t="s">
        <v>163</v>
      </c>
      <c r="D55" s="8" t="s">
        <v>10040</v>
      </c>
      <c r="E55" s="8" t="s">
        <v>10202</v>
      </c>
    </row>
    <row r="56" spans="1:5" x14ac:dyDescent="0.25">
      <c r="A56" s="5" t="s">
        <v>164</v>
      </c>
      <c r="B56" s="9" t="str">
        <f>HYPERLINK("http://biobank.ctsu.ox.ac.uk/crystal/field.cgi?id=25810", "25810")</f>
        <v>25810</v>
      </c>
      <c r="C56" s="8" t="s">
        <v>166</v>
      </c>
      <c r="D56" s="8" t="s">
        <v>10040</v>
      </c>
      <c r="E56" s="8" t="s">
        <v>10203</v>
      </c>
    </row>
    <row r="57" spans="1:5" x14ac:dyDescent="0.25">
      <c r="A57" s="5" t="s">
        <v>167</v>
      </c>
      <c r="B57" s="9" t="str">
        <f>HYPERLINK("http://biobank.ctsu.ox.ac.uk/crystal/field.cgi?id=25811", "25811")</f>
        <v>25811</v>
      </c>
      <c r="C57" s="8" t="s">
        <v>169</v>
      </c>
      <c r="D57" s="8" t="s">
        <v>10040</v>
      </c>
      <c r="E57" s="8" t="s">
        <v>10204</v>
      </c>
    </row>
    <row r="58" spans="1:5" x14ac:dyDescent="0.25">
      <c r="A58" s="5" t="s">
        <v>170</v>
      </c>
      <c r="B58" s="9" t="str">
        <f>HYPERLINK("http://biobank.ctsu.ox.ac.uk/crystal/field.cgi?id=25812", "25812")</f>
        <v>25812</v>
      </c>
      <c r="C58" s="8" t="s">
        <v>172</v>
      </c>
      <c r="D58" s="8" t="s">
        <v>10040</v>
      </c>
      <c r="E58" s="8" t="s">
        <v>10205</v>
      </c>
    </row>
    <row r="59" spans="1:5" x14ac:dyDescent="0.25">
      <c r="A59" s="5" t="s">
        <v>173</v>
      </c>
      <c r="B59" s="9" t="str">
        <f>HYPERLINK("http://biobank.ctsu.ox.ac.uk/crystal/field.cgi?id=25813", "25813")</f>
        <v>25813</v>
      </c>
      <c r="C59" s="8" t="s">
        <v>175</v>
      </c>
      <c r="D59" s="8" t="s">
        <v>10040</v>
      </c>
      <c r="E59" s="8" t="s">
        <v>10206</v>
      </c>
    </row>
    <row r="60" spans="1:5" x14ac:dyDescent="0.25">
      <c r="A60" s="5" t="s">
        <v>176</v>
      </c>
      <c r="B60" s="9" t="str">
        <f>HYPERLINK("http://biobank.ctsu.ox.ac.uk/crystal/field.cgi?id=25814", "25814")</f>
        <v>25814</v>
      </c>
      <c r="C60" s="8" t="s">
        <v>178</v>
      </c>
      <c r="D60" s="8" t="s">
        <v>10040</v>
      </c>
      <c r="E60" s="8" t="s">
        <v>10207</v>
      </c>
    </row>
    <row r="61" spans="1:5" x14ac:dyDescent="0.25">
      <c r="A61" s="5" t="s">
        <v>179</v>
      </c>
      <c r="B61" s="9" t="str">
        <f>HYPERLINK("http://biobank.ctsu.ox.ac.uk/crystal/field.cgi?id=25815", "25815")</f>
        <v>25815</v>
      </c>
      <c r="C61" s="8" t="s">
        <v>181</v>
      </c>
      <c r="D61" s="8" t="s">
        <v>10040</v>
      </c>
      <c r="E61" s="8" t="s">
        <v>10208</v>
      </c>
    </row>
    <row r="62" spans="1:5" x14ac:dyDescent="0.25">
      <c r="A62" s="5" t="s">
        <v>182</v>
      </c>
      <c r="B62" s="9" t="str">
        <f>HYPERLINK("http://biobank.ctsu.ox.ac.uk/crystal/field.cgi?id=25816", "25816")</f>
        <v>25816</v>
      </c>
      <c r="C62" s="8" t="s">
        <v>184</v>
      </c>
      <c r="D62" s="8" t="s">
        <v>10040</v>
      </c>
      <c r="E62" s="8" t="s">
        <v>10209</v>
      </c>
    </row>
    <row r="63" spans="1:5" x14ac:dyDescent="0.25">
      <c r="A63" s="5" t="s">
        <v>185</v>
      </c>
      <c r="B63" s="9" t="str">
        <f>HYPERLINK("http://biobank.ctsu.ox.ac.uk/crystal/field.cgi?id=25817", "25817")</f>
        <v>25817</v>
      </c>
      <c r="C63" s="8" t="s">
        <v>187</v>
      </c>
      <c r="D63" s="8" t="s">
        <v>10040</v>
      </c>
      <c r="E63" s="8" t="s">
        <v>10210</v>
      </c>
    </row>
    <row r="64" spans="1:5" x14ac:dyDescent="0.25">
      <c r="A64" s="5" t="s">
        <v>188</v>
      </c>
      <c r="B64" s="9" t="str">
        <f>HYPERLINK("http://biobank.ctsu.ox.ac.uk/crystal/field.cgi?id=25818", "25818")</f>
        <v>25818</v>
      </c>
      <c r="C64" s="8" t="s">
        <v>190</v>
      </c>
      <c r="D64" s="8" t="s">
        <v>10040</v>
      </c>
      <c r="E64" s="8" t="s">
        <v>10211</v>
      </c>
    </row>
    <row r="65" spans="1:5" x14ac:dyDescent="0.25">
      <c r="A65" s="5" t="s">
        <v>191</v>
      </c>
      <c r="B65" s="9" t="str">
        <f>HYPERLINK("http://biobank.ctsu.ox.ac.uk/crystal/field.cgi?id=25819", "25819")</f>
        <v>25819</v>
      </c>
      <c r="C65" s="8" t="s">
        <v>193</v>
      </c>
      <c r="D65" s="8" t="s">
        <v>10040</v>
      </c>
      <c r="E65" s="8" t="s">
        <v>10212</v>
      </c>
    </row>
    <row r="66" spans="1:5" x14ac:dyDescent="0.25">
      <c r="A66" s="5" t="s">
        <v>194</v>
      </c>
      <c r="B66" s="9" t="str">
        <f>HYPERLINK("http://biobank.ctsu.ox.ac.uk/crystal/field.cgi?id=25820", "25820")</f>
        <v>25820</v>
      </c>
      <c r="C66" s="8" t="s">
        <v>196</v>
      </c>
      <c r="D66" s="8" t="s">
        <v>10040</v>
      </c>
      <c r="E66" s="8" t="s">
        <v>10213</v>
      </c>
    </row>
    <row r="67" spans="1:5" x14ac:dyDescent="0.25">
      <c r="A67" s="5" t="s">
        <v>197</v>
      </c>
      <c r="B67" s="9" t="str">
        <f>HYPERLINK("http://biobank.ctsu.ox.ac.uk/crystal/field.cgi?id=25821", "25821")</f>
        <v>25821</v>
      </c>
      <c r="C67" s="8" t="s">
        <v>199</v>
      </c>
      <c r="D67" s="8" t="s">
        <v>10040</v>
      </c>
      <c r="E67" s="8" t="s">
        <v>10214</v>
      </c>
    </row>
    <row r="68" spans="1:5" x14ac:dyDescent="0.25">
      <c r="A68" s="5" t="s">
        <v>200</v>
      </c>
      <c r="B68" s="9" t="str">
        <f>HYPERLINK("http://biobank.ctsu.ox.ac.uk/crystal/field.cgi?id=25822", "25822")</f>
        <v>25822</v>
      </c>
      <c r="C68" s="8" t="s">
        <v>202</v>
      </c>
      <c r="D68" s="8" t="s">
        <v>10040</v>
      </c>
      <c r="E68" s="8" t="s">
        <v>10215</v>
      </c>
    </row>
    <row r="69" spans="1:5" x14ac:dyDescent="0.25">
      <c r="A69" s="5" t="s">
        <v>203</v>
      </c>
      <c r="B69" s="9" t="str">
        <f>HYPERLINK("http://biobank.ctsu.ox.ac.uk/crystal/field.cgi?id=25823", "25823")</f>
        <v>25823</v>
      </c>
      <c r="C69" s="8" t="s">
        <v>205</v>
      </c>
      <c r="D69" s="8" t="s">
        <v>10040</v>
      </c>
      <c r="E69" s="8" t="s">
        <v>10216</v>
      </c>
    </row>
    <row r="70" spans="1:5" x14ac:dyDescent="0.25">
      <c r="A70" s="5" t="s">
        <v>206</v>
      </c>
      <c r="B70" s="9" t="str">
        <f>HYPERLINK("http://biobank.ctsu.ox.ac.uk/crystal/field.cgi?id=25824", "25824")</f>
        <v>25824</v>
      </c>
      <c r="C70" s="8" t="s">
        <v>208</v>
      </c>
      <c r="D70" s="8" t="s">
        <v>10040</v>
      </c>
      <c r="E70" s="8" t="s">
        <v>10217</v>
      </c>
    </row>
    <row r="71" spans="1:5" x14ac:dyDescent="0.25">
      <c r="A71" s="5" t="s">
        <v>209</v>
      </c>
      <c r="B71" s="9" t="str">
        <f>HYPERLINK("http://biobank.ctsu.ox.ac.uk/crystal/field.cgi?id=25825", "25825")</f>
        <v>25825</v>
      </c>
      <c r="C71" s="8" t="s">
        <v>211</v>
      </c>
      <c r="D71" s="8" t="s">
        <v>10040</v>
      </c>
      <c r="E71" s="8" t="s">
        <v>10218</v>
      </c>
    </row>
    <row r="72" spans="1:5" x14ac:dyDescent="0.25">
      <c r="A72" s="5" t="s">
        <v>212</v>
      </c>
      <c r="B72" s="9" t="str">
        <f>HYPERLINK("http://biobank.ctsu.ox.ac.uk/crystal/field.cgi?id=25826", "25826")</f>
        <v>25826</v>
      </c>
      <c r="C72" s="8" t="s">
        <v>214</v>
      </c>
      <c r="D72" s="8" t="s">
        <v>10040</v>
      </c>
      <c r="E72" s="8" t="s">
        <v>10219</v>
      </c>
    </row>
    <row r="73" spans="1:5" x14ac:dyDescent="0.25">
      <c r="A73" s="5" t="s">
        <v>215</v>
      </c>
      <c r="B73" s="9" t="str">
        <f>HYPERLINK("http://biobank.ctsu.ox.ac.uk/crystal/field.cgi?id=25827", "25827")</f>
        <v>25827</v>
      </c>
      <c r="C73" s="8" t="s">
        <v>217</v>
      </c>
      <c r="D73" s="8" t="s">
        <v>10040</v>
      </c>
      <c r="E73" s="8" t="s">
        <v>10220</v>
      </c>
    </row>
    <row r="74" spans="1:5" x14ac:dyDescent="0.25">
      <c r="A74" s="5" t="s">
        <v>218</v>
      </c>
      <c r="B74" s="9" t="str">
        <f>HYPERLINK("http://biobank.ctsu.ox.ac.uk/crystal/field.cgi?id=25828", "25828")</f>
        <v>25828</v>
      </c>
      <c r="C74" s="8" t="s">
        <v>220</v>
      </c>
      <c r="D74" s="8" t="s">
        <v>10040</v>
      </c>
      <c r="E74" s="8" t="s">
        <v>10221</v>
      </c>
    </row>
    <row r="75" spans="1:5" x14ac:dyDescent="0.25">
      <c r="A75" s="5" t="s">
        <v>221</v>
      </c>
      <c r="B75" s="9" t="str">
        <f>HYPERLINK("http://biobank.ctsu.ox.ac.uk/crystal/field.cgi?id=25829", "25829")</f>
        <v>25829</v>
      </c>
      <c r="C75" s="8" t="s">
        <v>223</v>
      </c>
      <c r="D75" s="8" t="s">
        <v>10040</v>
      </c>
      <c r="E75" s="8" t="s">
        <v>10222</v>
      </c>
    </row>
    <row r="76" spans="1:5" x14ac:dyDescent="0.25">
      <c r="A76" s="5" t="s">
        <v>224</v>
      </c>
      <c r="B76" s="9" t="str">
        <f>HYPERLINK("http://biobank.ctsu.ox.ac.uk/crystal/field.cgi?id=25830", "25830")</f>
        <v>25830</v>
      </c>
      <c r="C76" s="8" t="s">
        <v>226</v>
      </c>
      <c r="D76" s="8" t="s">
        <v>10040</v>
      </c>
      <c r="E76" s="8" t="s">
        <v>10223</v>
      </c>
    </row>
    <row r="77" spans="1:5" x14ac:dyDescent="0.25">
      <c r="A77" s="5" t="s">
        <v>227</v>
      </c>
      <c r="B77" s="9" t="str">
        <f>HYPERLINK("http://biobank.ctsu.ox.ac.uk/crystal/field.cgi?id=25831", "25831")</f>
        <v>25831</v>
      </c>
      <c r="C77" s="8" t="s">
        <v>229</v>
      </c>
      <c r="D77" s="8" t="s">
        <v>10040</v>
      </c>
      <c r="E77" s="8" t="s">
        <v>10224</v>
      </c>
    </row>
    <row r="78" spans="1:5" x14ac:dyDescent="0.25">
      <c r="A78" s="5" t="s">
        <v>230</v>
      </c>
      <c r="B78" s="9" t="str">
        <f>HYPERLINK("http://biobank.ctsu.ox.ac.uk/crystal/field.cgi?id=25832", "25832")</f>
        <v>25832</v>
      </c>
      <c r="C78" s="8" t="s">
        <v>232</v>
      </c>
      <c r="D78" s="8" t="s">
        <v>10040</v>
      </c>
      <c r="E78" s="8" t="s">
        <v>10225</v>
      </c>
    </row>
    <row r="79" spans="1:5" x14ac:dyDescent="0.25">
      <c r="A79" s="5" t="s">
        <v>233</v>
      </c>
      <c r="B79" s="9" t="str">
        <f>HYPERLINK("http://biobank.ctsu.ox.ac.uk/crystal/field.cgi?id=25833", "25833")</f>
        <v>25833</v>
      </c>
      <c r="C79" s="8" t="s">
        <v>235</v>
      </c>
      <c r="D79" s="8" t="s">
        <v>10040</v>
      </c>
      <c r="E79" s="8" t="s">
        <v>10226</v>
      </c>
    </row>
    <row r="80" spans="1:5" x14ac:dyDescent="0.25">
      <c r="A80" s="5" t="s">
        <v>236</v>
      </c>
      <c r="B80" s="9" t="str">
        <f>HYPERLINK("http://biobank.ctsu.ox.ac.uk/crystal/field.cgi?id=25834", "25834")</f>
        <v>25834</v>
      </c>
      <c r="C80" s="8" t="s">
        <v>238</v>
      </c>
      <c r="D80" s="8" t="s">
        <v>10040</v>
      </c>
      <c r="E80" s="8" t="s">
        <v>10227</v>
      </c>
    </row>
    <row r="81" spans="1:5" x14ac:dyDescent="0.25">
      <c r="A81" s="5" t="s">
        <v>239</v>
      </c>
      <c r="B81" s="9" t="str">
        <f>HYPERLINK("http://biobank.ctsu.ox.ac.uk/crystal/field.cgi?id=25835", "25835")</f>
        <v>25835</v>
      </c>
      <c r="C81" s="8" t="s">
        <v>241</v>
      </c>
      <c r="D81" s="8" t="s">
        <v>10040</v>
      </c>
      <c r="E81" s="8" t="s">
        <v>10228</v>
      </c>
    </row>
    <row r="82" spans="1:5" x14ac:dyDescent="0.25">
      <c r="A82" s="5" t="s">
        <v>242</v>
      </c>
      <c r="B82" s="9" t="str">
        <f>HYPERLINK("http://biobank.ctsu.ox.ac.uk/crystal/field.cgi?id=25836", "25836")</f>
        <v>25836</v>
      </c>
      <c r="C82" s="8" t="s">
        <v>244</v>
      </c>
      <c r="D82" s="8" t="s">
        <v>10040</v>
      </c>
      <c r="E82" s="8" t="s">
        <v>10229</v>
      </c>
    </row>
    <row r="83" spans="1:5" x14ac:dyDescent="0.25">
      <c r="A83" s="5" t="s">
        <v>245</v>
      </c>
      <c r="B83" s="9" t="str">
        <f>HYPERLINK("http://biobank.ctsu.ox.ac.uk/crystal/field.cgi?id=25837", "25837")</f>
        <v>25837</v>
      </c>
      <c r="C83" s="8" t="s">
        <v>247</v>
      </c>
      <c r="D83" s="8" t="s">
        <v>10040</v>
      </c>
      <c r="E83" s="8" t="s">
        <v>10230</v>
      </c>
    </row>
    <row r="84" spans="1:5" x14ac:dyDescent="0.25">
      <c r="A84" s="5" t="s">
        <v>248</v>
      </c>
      <c r="B84" s="9" t="str">
        <f>HYPERLINK("http://biobank.ctsu.ox.ac.uk/crystal/field.cgi?id=25838", "25838")</f>
        <v>25838</v>
      </c>
      <c r="C84" s="8" t="s">
        <v>250</v>
      </c>
      <c r="D84" s="8" t="s">
        <v>10040</v>
      </c>
      <c r="E84" s="8" t="s">
        <v>10231</v>
      </c>
    </row>
    <row r="85" spans="1:5" x14ac:dyDescent="0.25">
      <c r="A85" s="5" t="s">
        <v>251</v>
      </c>
      <c r="B85" s="9" t="str">
        <f>HYPERLINK("http://biobank.ctsu.ox.ac.uk/crystal/field.cgi?id=25839", "25839")</f>
        <v>25839</v>
      </c>
      <c r="C85" s="8" t="s">
        <v>253</v>
      </c>
      <c r="D85" s="8" t="s">
        <v>10040</v>
      </c>
      <c r="E85" s="8" t="s">
        <v>10232</v>
      </c>
    </row>
    <row r="86" spans="1:5" x14ac:dyDescent="0.25">
      <c r="A86" s="5" t="s">
        <v>254</v>
      </c>
      <c r="B86" s="9" t="str">
        <f>HYPERLINK("http://biobank.ctsu.ox.ac.uk/crystal/field.cgi?id=25840", "25840")</f>
        <v>25840</v>
      </c>
      <c r="C86" s="8" t="s">
        <v>256</v>
      </c>
      <c r="D86" s="8" t="s">
        <v>10040</v>
      </c>
      <c r="E86" s="8" t="s">
        <v>10233</v>
      </c>
    </row>
    <row r="87" spans="1:5" x14ac:dyDescent="0.25">
      <c r="A87" s="5" t="s">
        <v>257</v>
      </c>
      <c r="B87" s="9" t="str">
        <f>HYPERLINK("http://biobank.ctsu.ox.ac.uk/crystal/field.cgi?id=25841", "25841")</f>
        <v>25841</v>
      </c>
      <c r="C87" s="8" t="s">
        <v>259</v>
      </c>
      <c r="D87" s="8" t="s">
        <v>10040</v>
      </c>
      <c r="E87" s="8" t="s">
        <v>10234</v>
      </c>
    </row>
    <row r="88" spans="1:5" x14ac:dyDescent="0.25">
      <c r="A88" s="5" t="s">
        <v>260</v>
      </c>
      <c r="B88" s="9" t="str">
        <f>HYPERLINK("http://biobank.ctsu.ox.ac.uk/crystal/field.cgi?id=25842", "25842")</f>
        <v>25842</v>
      </c>
      <c r="C88" s="8" t="s">
        <v>262</v>
      </c>
      <c r="D88" s="8" t="s">
        <v>10040</v>
      </c>
      <c r="E88" s="8" t="s">
        <v>10235</v>
      </c>
    </row>
    <row r="89" spans="1:5" x14ac:dyDescent="0.25">
      <c r="A89" s="5" t="s">
        <v>263</v>
      </c>
      <c r="B89" s="9" t="str">
        <f>HYPERLINK("http://biobank.ctsu.ox.ac.uk/crystal/field.cgi?id=25843", "25843")</f>
        <v>25843</v>
      </c>
      <c r="C89" s="8" t="s">
        <v>265</v>
      </c>
      <c r="D89" s="8" t="s">
        <v>10040</v>
      </c>
      <c r="E89" s="8" t="s">
        <v>10236</v>
      </c>
    </row>
    <row r="90" spans="1:5" x14ac:dyDescent="0.25">
      <c r="A90" s="5" t="s">
        <v>266</v>
      </c>
      <c r="B90" s="9" t="str">
        <f>HYPERLINK("http://biobank.ctsu.ox.ac.uk/crystal/field.cgi?id=25844", "25844")</f>
        <v>25844</v>
      </c>
      <c r="C90" s="8" t="s">
        <v>268</v>
      </c>
      <c r="D90" s="8" t="s">
        <v>10040</v>
      </c>
      <c r="E90" s="8" t="s">
        <v>10237</v>
      </c>
    </row>
    <row r="91" spans="1:5" x14ac:dyDescent="0.25">
      <c r="A91" s="5" t="s">
        <v>269</v>
      </c>
      <c r="B91" s="9" t="str">
        <f>HYPERLINK("http://biobank.ctsu.ox.ac.uk/crystal/field.cgi?id=25845", "25845")</f>
        <v>25845</v>
      </c>
      <c r="C91" s="8" t="s">
        <v>271</v>
      </c>
      <c r="D91" s="8" t="s">
        <v>10040</v>
      </c>
      <c r="E91" s="8" t="s">
        <v>10238</v>
      </c>
    </row>
    <row r="92" spans="1:5" x14ac:dyDescent="0.25">
      <c r="A92" s="5" t="s">
        <v>272</v>
      </c>
      <c r="B92" s="9" t="str">
        <f>HYPERLINK("http://biobank.ctsu.ox.ac.uk/crystal/field.cgi?id=25846", "25846")</f>
        <v>25846</v>
      </c>
      <c r="C92" s="8" t="s">
        <v>274</v>
      </c>
      <c r="D92" s="8" t="s">
        <v>10040</v>
      </c>
      <c r="E92" s="8" t="s">
        <v>10239</v>
      </c>
    </row>
    <row r="93" spans="1:5" x14ac:dyDescent="0.25">
      <c r="A93" s="5" t="s">
        <v>275</v>
      </c>
      <c r="B93" s="9" t="str">
        <f>HYPERLINK("http://biobank.ctsu.ox.ac.uk/crystal/field.cgi?id=25847", "25847")</f>
        <v>25847</v>
      </c>
      <c r="C93" s="8" t="s">
        <v>277</v>
      </c>
      <c r="D93" s="8" t="s">
        <v>10040</v>
      </c>
      <c r="E93" s="8" t="s">
        <v>10240</v>
      </c>
    </row>
    <row r="94" spans="1:5" x14ac:dyDescent="0.25">
      <c r="A94" s="5" t="s">
        <v>278</v>
      </c>
      <c r="B94" s="9" t="str">
        <f>HYPERLINK("http://biobank.ctsu.ox.ac.uk/crystal/field.cgi?id=25848", "25848")</f>
        <v>25848</v>
      </c>
      <c r="C94" s="8" t="s">
        <v>280</v>
      </c>
      <c r="D94" s="8" t="s">
        <v>10040</v>
      </c>
      <c r="E94" s="8" t="s">
        <v>10241</v>
      </c>
    </row>
    <row r="95" spans="1:5" x14ac:dyDescent="0.25">
      <c r="A95" s="5" t="s">
        <v>281</v>
      </c>
      <c r="B95" s="9" t="str">
        <f>HYPERLINK("http://biobank.ctsu.ox.ac.uk/crystal/field.cgi?id=25849", "25849")</f>
        <v>25849</v>
      </c>
      <c r="C95" s="8" t="s">
        <v>283</v>
      </c>
      <c r="D95" s="8" t="s">
        <v>10040</v>
      </c>
      <c r="E95" s="8" t="s">
        <v>10242</v>
      </c>
    </row>
    <row r="96" spans="1:5" x14ac:dyDescent="0.25">
      <c r="A96" s="5" t="s">
        <v>284</v>
      </c>
      <c r="B96" s="9" t="str">
        <f>HYPERLINK("http://biobank.ctsu.ox.ac.uk/crystal/field.cgi?id=25850", "25850")</f>
        <v>25850</v>
      </c>
      <c r="C96" s="8" t="s">
        <v>286</v>
      </c>
      <c r="D96" s="8" t="s">
        <v>10040</v>
      </c>
      <c r="E96" s="8" t="s">
        <v>10243</v>
      </c>
    </row>
    <row r="97" spans="1:5" x14ac:dyDescent="0.25">
      <c r="A97" s="5" t="s">
        <v>287</v>
      </c>
      <c r="B97" s="9" t="str">
        <f>HYPERLINK("http://biobank.ctsu.ox.ac.uk/crystal/field.cgi?id=25851", "25851")</f>
        <v>25851</v>
      </c>
      <c r="C97" s="8" t="s">
        <v>289</v>
      </c>
      <c r="D97" s="8" t="s">
        <v>10040</v>
      </c>
      <c r="E97" s="8" t="s">
        <v>10244</v>
      </c>
    </row>
    <row r="98" spans="1:5" x14ac:dyDescent="0.25">
      <c r="A98" s="5" t="s">
        <v>290</v>
      </c>
      <c r="B98" s="9" t="str">
        <f>HYPERLINK("http://biobank.ctsu.ox.ac.uk/crystal/field.cgi?id=25852", "25852")</f>
        <v>25852</v>
      </c>
      <c r="C98" s="8" t="s">
        <v>292</v>
      </c>
      <c r="D98" s="8" t="s">
        <v>10040</v>
      </c>
      <c r="E98" s="8" t="s">
        <v>10245</v>
      </c>
    </row>
    <row r="99" spans="1:5" x14ac:dyDescent="0.25">
      <c r="A99" s="5" t="s">
        <v>293</v>
      </c>
      <c r="B99" s="9" t="str">
        <f>HYPERLINK("http://biobank.ctsu.ox.ac.uk/crystal/field.cgi?id=25853", "25853")</f>
        <v>25853</v>
      </c>
      <c r="C99" s="8" t="s">
        <v>295</v>
      </c>
      <c r="D99" s="8" t="s">
        <v>10040</v>
      </c>
      <c r="E99" s="8" t="s">
        <v>10246</v>
      </c>
    </row>
    <row r="100" spans="1:5" x14ac:dyDescent="0.25">
      <c r="A100" s="5" t="s">
        <v>296</v>
      </c>
      <c r="B100" s="9" t="str">
        <f>HYPERLINK("http://biobank.ctsu.ox.ac.uk/crystal/field.cgi?id=25854", "25854")</f>
        <v>25854</v>
      </c>
      <c r="C100" s="8" t="s">
        <v>298</v>
      </c>
      <c r="D100" s="8" t="s">
        <v>10040</v>
      </c>
      <c r="E100" s="8" t="s">
        <v>10247</v>
      </c>
    </row>
    <row r="101" spans="1:5" x14ac:dyDescent="0.25">
      <c r="A101" s="5" t="s">
        <v>299</v>
      </c>
      <c r="B101" s="9" t="str">
        <f>HYPERLINK("http://biobank.ctsu.ox.ac.uk/crystal/field.cgi?id=25855", "25855")</f>
        <v>25855</v>
      </c>
      <c r="C101" s="8" t="s">
        <v>301</v>
      </c>
      <c r="D101" s="8" t="s">
        <v>10040</v>
      </c>
      <c r="E101" s="8" t="s">
        <v>10248</v>
      </c>
    </row>
    <row r="102" spans="1:5" x14ac:dyDescent="0.25">
      <c r="A102" s="5" t="s">
        <v>302</v>
      </c>
      <c r="B102" s="9" t="str">
        <f>HYPERLINK("http://biobank.ctsu.ox.ac.uk/crystal/field.cgi?id=25856", "25856")</f>
        <v>25856</v>
      </c>
      <c r="C102" s="8" t="s">
        <v>304</v>
      </c>
      <c r="D102" s="8" t="s">
        <v>10040</v>
      </c>
      <c r="E102" s="8" t="s">
        <v>10249</v>
      </c>
    </row>
    <row r="103" spans="1:5" x14ac:dyDescent="0.25">
      <c r="A103" s="5" t="s">
        <v>305</v>
      </c>
      <c r="B103" s="9" t="str">
        <f>HYPERLINK("http://biobank.ctsu.ox.ac.uk/crystal/field.cgi?id=25857", "25857")</f>
        <v>25857</v>
      </c>
      <c r="C103" s="8" t="s">
        <v>307</v>
      </c>
      <c r="D103" s="8" t="s">
        <v>10040</v>
      </c>
      <c r="E103" s="8" t="s">
        <v>10250</v>
      </c>
    </row>
    <row r="104" spans="1:5" x14ac:dyDescent="0.25">
      <c r="A104" s="5" t="s">
        <v>308</v>
      </c>
      <c r="B104" s="9" t="str">
        <f>HYPERLINK("http://biobank.ctsu.ox.ac.uk/crystal/field.cgi?id=25858", "25858")</f>
        <v>25858</v>
      </c>
      <c r="C104" s="8" t="s">
        <v>310</v>
      </c>
      <c r="D104" s="8" t="s">
        <v>10040</v>
      </c>
      <c r="E104" s="8" t="s">
        <v>10251</v>
      </c>
    </row>
    <row r="105" spans="1:5" x14ac:dyDescent="0.25">
      <c r="A105" s="5" t="s">
        <v>311</v>
      </c>
      <c r="B105" s="9" t="str">
        <f>HYPERLINK("http://biobank.ctsu.ox.ac.uk/crystal/field.cgi?id=25859", "25859")</f>
        <v>25859</v>
      </c>
      <c r="C105" s="8" t="s">
        <v>313</v>
      </c>
      <c r="D105" s="8" t="s">
        <v>10040</v>
      </c>
      <c r="E105" s="8" t="s">
        <v>10252</v>
      </c>
    </row>
    <row r="106" spans="1:5" x14ac:dyDescent="0.25">
      <c r="A106" s="5" t="s">
        <v>314</v>
      </c>
      <c r="B106" s="9" t="str">
        <f>HYPERLINK("http://biobank.ctsu.ox.ac.uk/crystal/field.cgi?id=25860", "25860")</f>
        <v>25860</v>
      </c>
      <c r="C106" s="8" t="s">
        <v>316</v>
      </c>
      <c r="D106" s="8" t="s">
        <v>10040</v>
      </c>
      <c r="E106" s="8" t="s">
        <v>10253</v>
      </c>
    </row>
    <row r="107" spans="1:5" x14ac:dyDescent="0.25">
      <c r="A107" s="5" t="s">
        <v>317</v>
      </c>
      <c r="B107" s="9" t="str">
        <f>HYPERLINK("http://biobank.ctsu.ox.ac.uk/crystal/field.cgi?id=25861", "25861")</f>
        <v>25861</v>
      </c>
      <c r="C107" s="8" t="s">
        <v>319</v>
      </c>
      <c r="D107" s="8" t="s">
        <v>10040</v>
      </c>
      <c r="E107" s="8" t="s">
        <v>10254</v>
      </c>
    </row>
    <row r="108" spans="1:5" x14ac:dyDescent="0.25">
      <c r="A108" s="5" t="s">
        <v>320</v>
      </c>
      <c r="B108" s="9" t="str">
        <f>HYPERLINK("http://biobank.ctsu.ox.ac.uk/crystal/field.cgi?id=25862", "25862")</f>
        <v>25862</v>
      </c>
      <c r="C108" s="8" t="s">
        <v>322</v>
      </c>
      <c r="D108" s="8" t="s">
        <v>10040</v>
      </c>
      <c r="E108" s="8" t="s">
        <v>10255</v>
      </c>
    </row>
    <row r="109" spans="1:5" x14ac:dyDescent="0.25">
      <c r="A109" s="5" t="s">
        <v>323</v>
      </c>
      <c r="B109" s="9" t="str">
        <f>HYPERLINK("http://biobank.ctsu.ox.ac.uk/crystal/field.cgi?id=25863", "25863")</f>
        <v>25863</v>
      </c>
      <c r="C109" s="8" t="s">
        <v>325</v>
      </c>
      <c r="D109" s="8" t="s">
        <v>10040</v>
      </c>
      <c r="E109" s="8" t="s">
        <v>10256</v>
      </c>
    </row>
    <row r="110" spans="1:5" x14ac:dyDescent="0.25">
      <c r="A110" s="5" t="s">
        <v>326</v>
      </c>
      <c r="B110" s="9" t="str">
        <f>HYPERLINK("http://biobank.ctsu.ox.ac.uk/crystal/field.cgi?id=25864", "25864")</f>
        <v>25864</v>
      </c>
      <c r="C110" s="8" t="s">
        <v>328</v>
      </c>
      <c r="D110" s="8" t="s">
        <v>10040</v>
      </c>
      <c r="E110" s="8" t="s">
        <v>10257</v>
      </c>
    </row>
    <row r="111" spans="1:5" x14ac:dyDescent="0.25">
      <c r="A111" s="5" t="s">
        <v>329</v>
      </c>
      <c r="B111" s="9" t="str">
        <f>HYPERLINK("http://biobank.ctsu.ox.ac.uk/crystal/field.cgi?id=25865", "25865")</f>
        <v>25865</v>
      </c>
      <c r="C111" s="8" t="s">
        <v>331</v>
      </c>
      <c r="D111" s="8" t="s">
        <v>10040</v>
      </c>
      <c r="E111" s="8" t="s">
        <v>10258</v>
      </c>
    </row>
    <row r="112" spans="1:5" x14ac:dyDescent="0.25">
      <c r="A112" s="5" t="s">
        <v>332</v>
      </c>
      <c r="B112" s="9" t="str">
        <f>HYPERLINK("http://biobank.ctsu.ox.ac.uk/crystal/field.cgi?id=25866", "25866")</f>
        <v>25866</v>
      </c>
      <c r="C112" s="8" t="s">
        <v>334</v>
      </c>
      <c r="D112" s="8" t="s">
        <v>10040</v>
      </c>
      <c r="E112" s="8" t="s">
        <v>10259</v>
      </c>
    </row>
    <row r="113" spans="1:5" x14ac:dyDescent="0.25">
      <c r="A113" s="5" t="s">
        <v>335</v>
      </c>
      <c r="B113" s="9" t="str">
        <f>HYPERLINK("http://biobank.ctsu.ox.ac.uk/crystal/field.cgi?id=25867", "25867")</f>
        <v>25867</v>
      </c>
      <c r="C113" s="8" t="s">
        <v>337</v>
      </c>
      <c r="D113" s="8" t="s">
        <v>10040</v>
      </c>
      <c r="E113" s="8" t="s">
        <v>10260</v>
      </c>
    </row>
    <row r="114" spans="1:5" x14ac:dyDescent="0.25">
      <c r="A114" s="5" t="s">
        <v>338</v>
      </c>
      <c r="B114" s="9" t="str">
        <f>HYPERLINK("http://biobank.ctsu.ox.ac.uk/crystal/field.cgi?id=25868", "25868")</f>
        <v>25868</v>
      </c>
      <c r="C114" s="8" t="s">
        <v>340</v>
      </c>
      <c r="D114" s="8" t="s">
        <v>10040</v>
      </c>
      <c r="E114" s="8" t="s">
        <v>10261</v>
      </c>
    </row>
    <row r="115" spans="1:5" x14ac:dyDescent="0.25">
      <c r="A115" s="5" t="s">
        <v>341</v>
      </c>
      <c r="B115" s="9" t="str">
        <f>HYPERLINK("http://biobank.ctsu.ox.ac.uk/crystal/field.cgi?id=25869", "25869")</f>
        <v>25869</v>
      </c>
      <c r="C115" s="8" t="s">
        <v>343</v>
      </c>
      <c r="D115" s="8" t="s">
        <v>10040</v>
      </c>
      <c r="E115" s="8" t="s">
        <v>10262</v>
      </c>
    </row>
    <row r="116" spans="1:5" x14ac:dyDescent="0.25">
      <c r="A116" s="5" t="s">
        <v>344</v>
      </c>
      <c r="B116" s="9" t="str">
        <f>HYPERLINK("http://biobank.ctsu.ox.ac.uk/crystal/field.cgi?id=25870", "25870")</f>
        <v>25870</v>
      </c>
      <c r="C116" s="8" t="s">
        <v>346</v>
      </c>
      <c r="D116" s="8" t="s">
        <v>10040</v>
      </c>
      <c r="E116" s="8" t="s">
        <v>10263</v>
      </c>
    </row>
    <row r="117" spans="1:5" x14ac:dyDescent="0.25">
      <c r="A117" s="5" t="s">
        <v>347</v>
      </c>
      <c r="B117" s="9" t="str">
        <f>HYPERLINK("http://biobank.ctsu.ox.ac.uk/crystal/field.cgi?id=25871", "25871")</f>
        <v>25871</v>
      </c>
      <c r="C117" s="8" t="s">
        <v>349</v>
      </c>
      <c r="D117" s="8" t="s">
        <v>10040</v>
      </c>
      <c r="E117" s="8" t="s">
        <v>10264</v>
      </c>
    </row>
    <row r="118" spans="1:5" x14ac:dyDescent="0.25">
      <c r="A118" s="5" t="s">
        <v>350</v>
      </c>
      <c r="B118" s="9" t="str">
        <f>HYPERLINK("http://biobank.ctsu.ox.ac.uk/crystal/field.cgi?id=25872", "25872")</f>
        <v>25872</v>
      </c>
      <c r="C118" s="8" t="s">
        <v>352</v>
      </c>
      <c r="D118" s="8" t="s">
        <v>10040</v>
      </c>
      <c r="E118" s="8" t="s">
        <v>10265</v>
      </c>
    </row>
    <row r="119" spans="1:5" x14ac:dyDescent="0.25">
      <c r="A119" s="5" t="s">
        <v>353</v>
      </c>
      <c r="B119" s="9" t="str">
        <f>HYPERLINK("http://biobank.ctsu.ox.ac.uk/crystal/field.cgi?id=25873", "25873")</f>
        <v>25873</v>
      </c>
      <c r="C119" s="8" t="s">
        <v>355</v>
      </c>
      <c r="D119" s="8" t="s">
        <v>10040</v>
      </c>
      <c r="E119" s="8" t="s">
        <v>10266</v>
      </c>
    </row>
    <row r="120" spans="1:5" x14ac:dyDescent="0.25">
      <c r="A120" s="5" t="s">
        <v>356</v>
      </c>
      <c r="B120" s="9" t="str">
        <f>HYPERLINK("http://biobank.ctsu.ox.ac.uk/crystal/field.cgi?id=25874", "25874")</f>
        <v>25874</v>
      </c>
      <c r="C120" s="8" t="s">
        <v>358</v>
      </c>
      <c r="D120" s="8" t="s">
        <v>10040</v>
      </c>
      <c r="E120" s="8" t="s">
        <v>10267</v>
      </c>
    </row>
    <row r="121" spans="1:5" x14ac:dyDescent="0.25">
      <c r="A121" s="5" t="s">
        <v>359</v>
      </c>
      <c r="B121" s="9" t="str">
        <f>HYPERLINK("http://biobank.ctsu.ox.ac.uk/crystal/field.cgi?id=25875", "25875")</f>
        <v>25875</v>
      </c>
      <c r="C121" s="8" t="s">
        <v>361</v>
      </c>
      <c r="D121" s="8" t="s">
        <v>10040</v>
      </c>
      <c r="E121" s="8" t="s">
        <v>10268</v>
      </c>
    </row>
    <row r="122" spans="1:5" x14ac:dyDescent="0.25">
      <c r="A122" s="5" t="s">
        <v>362</v>
      </c>
      <c r="B122" s="9" t="str">
        <f>HYPERLINK("http://biobank.ctsu.ox.ac.uk/crystal/field.cgi?id=25876", "25876")</f>
        <v>25876</v>
      </c>
      <c r="C122" s="8" t="s">
        <v>364</v>
      </c>
      <c r="D122" s="8" t="s">
        <v>10040</v>
      </c>
      <c r="E122" s="8" t="s">
        <v>10269</v>
      </c>
    </row>
    <row r="123" spans="1:5" x14ac:dyDescent="0.25">
      <c r="A123" s="5" t="s">
        <v>365</v>
      </c>
      <c r="B123" s="9" t="str">
        <f>HYPERLINK("http://biobank.ctsu.ox.ac.uk/crystal/field.cgi?id=25877", "25877")</f>
        <v>25877</v>
      </c>
      <c r="C123" s="8" t="s">
        <v>367</v>
      </c>
      <c r="D123" s="8" t="s">
        <v>10040</v>
      </c>
      <c r="E123" s="8" t="s">
        <v>10270</v>
      </c>
    </row>
    <row r="124" spans="1:5" x14ac:dyDescent="0.25">
      <c r="A124" s="5" t="s">
        <v>368</v>
      </c>
      <c r="B124" s="9" t="str">
        <f>HYPERLINK("http://biobank.ctsu.ox.ac.uk/crystal/field.cgi?id=25878", "25878")</f>
        <v>25878</v>
      </c>
      <c r="C124" s="8" t="s">
        <v>370</v>
      </c>
      <c r="D124" s="8" t="s">
        <v>10040</v>
      </c>
      <c r="E124" s="8" t="s">
        <v>10271</v>
      </c>
    </row>
    <row r="125" spans="1:5" x14ac:dyDescent="0.25">
      <c r="A125" s="5" t="s">
        <v>371</v>
      </c>
      <c r="B125" s="9" t="str">
        <f>HYPERLINK("http://biobank.ctsu.ox.ac.uk/crystal/field.cgi?id=25879", "25879")</f>
        <v>25879</v>
      </c>
      <c r="C125" s="8" t="s">
        <v>373</v>
      </c>
      <c r="D125" s="8" t="s">
        <v>10040</v>
      </c>
      <c r="E125" s="8" t="s">
        <v>10272</v>
      </c>
    </row>
    <row r="126" spans="1:5" x14ac:dyDescent="0.25">
      <c r="A126" s="5" t="s">
        <v>374</v>
      </c>
      <c r="B126" s="9" t="str">
        <f>HYPERLINK("http://biobank.ctsu.ox.ac.uk/crystal/field.cgi?id=25880", "25880")</f>
        <v>25880</v>
      </c>
      <c r="C126" s="8" t="s">
        <v>376</v>
      </c>
      <c r="D126" s="8" t="s">
        <v>10040</v>
      </c>
      <c r="E126" s="8" t="s">
        <v>10273</v>
      </c>
    </row>
    <row r="127" spans="1:5" x14ac:dyDescent="0.25">
      <c r="A127" s="5" t="s">
        <v>377</v>
      </c>
      <c r="B127" s="9" t="str">
        <f>HYPERLINK("http://biobank.ctsu.ox.ac.uk/crystal/field.cgi?id=25881", "25881")</f>
        <v>25881</v>
      </c>
      <c r="C127" s="8" t="s">
        <v>379</v>
      </c>
      <c r="D127" s="8" t="s">
        <v>10040</v>
      </c>
      <c r="E127" s="8" t="s">
        <v>10274</v>
      </c>
    </row>
    <row r="128" spans="1:5" x14ac:dyDescent="0.25">
      <c r="A128" s="5" t="s">
        <v>380</v>
      </c>
      <c r="B128" s="9" t="str">
        <f>HYPERLINK("http://biobank.ctsu.ox.ac.uk/crystal/field.cgi?id=25882", "25882")</f>
        <v>25882</v>
      </c>
      <c r="C128" s="8" t="s">
        <v>382</v>
      </c>
      <c r="D128" s="8" t="s">
        <v>10040</v>
      </c>
      <c r="E128" s="8" t="s">
        <v>10275</v>
      </c>
    </row>
    <row r="129" spans="1:5" x14ac:dyDescent="0.25">
      <c r="A129" s="5" t="s">
        <v>383</v>
      </c>
      <c r="B129" s="9" t="str">
        <f>HYPERLINK("http://biobank.ctsu.ox.ac.uk/crystal/field.cgi?id=25883", "25883")</f>
        <v>25883</v>
      </c>
      <c r="C129" s="8" t="s">
        <v>385</v>
      </c>
      <c r="D129" s="8" t="s">
        <v>10040</v>
      </c>
      <c r="E129" s="8" t="s">
        <v>10276</v>
      </c>
    </row>
    <row r="130" spans="1:5" x14ac:dyDescent="0.25">
      <c r="A130" s="5" t="s">
        <v>386</v>
      </c>
      <c r="B130" s="9" t="str">
        <f>HYPERLINK("http://biobank.ctsu.ox.ac.uk/crystal/field.cgi?id=25884", "25884")</f>
        <v>25884</v>
      </c>
      <c r="C130" s="8" t="s">
        <v>388</v>
      </c>
      <c r="D130" s="8" t="s">
        <v>10040</v>
      </c>
      <c r="E130" s="8" t="s">
        <v>10277</v>
      </c>
    </row>
    <row r="131" spans="1:5" x14ac:dyDescent="0.25">
      <c r="A131" s="5" t="s">
        <v>389</v>
      </c>
      <c r="B131" s="9" t="str">
        <f>HYPERLINK("http://biobank.ctsu.ox.ac.uk/crystal/field.cgi?id=25885", "25885")</f>
        <v>25885</v>
      </c>
      <c r="C131" s="8" t="s">
        <v>391</v>
      </c>
      <c r="D131" s="8" t="s">
        <v>10040</v>
      </c>
      <c r="E131" s="8" t="s">
        <v>10278</v>
      </c>
    </row>
    <row r="132" spans="1:5" x14ac:dyDescent="0.25">
      <c r="A132" s="5" t="s">
        <v>392</v>
      </c>
      <c r="B132" s="9" t="str">
        <f>HYPERLINK("http://biobank.ctsu.ox.ac.uk/crystal/field.cgi?id=25886", "25886")</f>
        <v>25886</v>
      </c>
      <c r="C132" s="8" t="s">
        <v>394</v>
      </c>
      <c r="D132" s="8" t="s">
        <v>10040</v>
      </c>
      <c r="E132" s="8" t="s">
        <v>10279</v>
      </c>
    </row>
    <row r="133" spans="1:5" x14ac:dyDescent="0.25">
      <c r="A133" s="5" t="s">
        <v>395</v>
      </c>
      <c r="B133" s="9" t="str">
        <f>HYPERLINK("http://biobank.ctsu.ox.ac.uk/crystal/field.cgi?id=25887", "25887")</f>
        <v>25887</v>
      </c>
      <c r="C133" s="8" t="s">
        <v>397</v>
      </c>
      <c r="D133" s="8" t="s">
        <v>10040</v>
      </c>
      <c r="E133" s="8" t="s">
        <v>10280</v>
      </c>
    </row>
    <row r="134" spans="1:5" x14ac:dyDescent="0.25">
      <c r="A134" s="5" t="s">
        <v>398</v>
      </c>
      <c r="B134" s="9" t="str">
        <f>HYPERLINK("http://biobank.ctsu.ox.ac.uk/crystal/field.cgi?id=25888", "25888")</f>
        <v>25888</v>
      </c>
      <c r="C134" s="8" t="s">
        <v>400</v>
      </c>
      <c r="D134" s="8" t="s">
        <v>10040</v>
      </c>
      <c r="E134" s="8" t="s">
        <v>10281</v>
      </c>
    </row>
    <row r="135" spans="1:5" x14ac:dyDescent="0.25">
      <c r="A135" s="5" t="s">
        <v>401</v>
      </c>
      <c r="B135" s="9" t="str">
        <f>HYPERLINK("http://biobank.ctsu.ox.ac.uk/crystal/field.cgi?id=25889", "25889")</f>
        <v>25889</v>
      </c>
      <c r="C135" s="8" t="s">
        <v>403</v>
      </c>
      <c r="D135" s="8" t="s">
        <v>10040</v>
      </c>
      <c r="E135" s="8" t="s">
        <v>10282</v>
      </c>
    </row>
    <row r="136" spans="1:5" x14ac:dyDescent="0.25">
      <c r="A136" s="5" t="s">
        <v>404</v>
      </c>
      <c r="B136" s="9" t="str">
        <f>HYPERLINK("http://biobank.ctsu.ox.ac.uk/crystal/field.cgi?id=25890", "25890")</f>
        <v>25890</v>
      </c>
      <c r="C136" s="8" t="s">
        <v>406</v>
      </c>
      <c r="D136" s="8" t="s">
        <v>10040</v>
      </c>
      <c r="E136" s="8" t="s">
        <v>10283</v>
      </c>
    </row>
    <row r="137" spans="1:5" x14ac:dyDescent="0.25">
      <c r="A137" s="5" t="s">
        <v>407</v>
      </c>
      <c r="B137" s="9" t="str">
        <f>HYPERLINK("http://biobank.ctsu.ox.ac.uk/crystal/field.cgi?id=25891", "25891")</f>
        <v>25891</v>
      </c>
      <c r="C137" s="8" t="s">
        <v>409</v>
      </c>
      <c r="D137" s="8" t="s">
        <v>10040</v>
      </c>
      <c r="E137" s="8" t="s">
        <v>10284</v>
      </c>
    </row>
    <row r="138" spans="1:5" x14ac:dyDescent="0.25">
      <c r="A138" s="5" t="s">
        <v>410</v>
      </c>
      <c r="B138" s="9" t="str">
        <f>HYPERLINK("http://biobank.ctsu.ox.ac.uk/crystal/field.cgi?id=25892", "25892")</f>
        <v>25892</v>
      </c>
      <c r="C138" s="8" t="s">
        <v>412</v>
      </c>
      <c r="D138" s="8" t="s">
        <v>10040</v>
      </c>
      <c r="E138" s="8" t="s">
        <v>10285</v>
      </c>
    </row>
    <row r="139" spans="1:5" x14ac:dyDescent="0.25">
      <c r="A139" s="5" t="s">
        <v>413</v>
      </c>
      <c r="B139" s="9" t="str">
        <f>HYPERLINK("http://biobank.ctsu.ox.ac.uk/crystal/field.cgi?id=25893", "25893")</f>
        <v>25893</v>
      </c>
      <c r="C139" s="8" t="s">
        <v>415</v>
      </c>
      <c r="D139" s="8" t="s">
        <v>10040</v>
      </c>
      <c r="E139" s="8" t="s">
        <v>10286</v>
      </c>
    </row>
    <row r="140" spans="1:5" x14ac:dyDescent="0.25">
      <c r="A140" s="5" t="s">
        <v>416</v>
      </c>
      <c r="B140" s="9" t="str">
        <f>HYPERLINK("http://biobank.ctsu.ox.ac.uk/crystal/field.cgi?id=25894", "25894")</f>
        <v>25894</v>
      </c>
      <c r="C140" s="8" t="s">
        <v>418</v>
      </c>
      <c r="D140" s="8" t="s">
        <v>10040</v>
      </c>
      <c r="E140" s="8" t="s">
        <v>10287</v>
      </c>
    </row>
    <row r="141" spans="1:5" x14ac:dyDescent="0.25">
      <c r="A141" s="5" t="s">
        <v>419</v>
      </c>
      <c r="B141" s="9" t="str">
        <f>HYPERLINK("http://biobank.ctsu.ox.ac.uk/crystal/field.cgi?id=25895", "25895")</f>
        <v>25895</v>
      </c>
      <c r="C141" s="8" t="s">
        <v>421</v>
      </c>
      <c r="D141" s="8" t="s">
        <v>10040</v>
      </c>
      <c r="E141" s="8" t="s">
        <v>10288</v>
      </c>
    </row>
    <row r="142" spans="1:5" x14ac:dyDescent="0.25">
      <c r="A142" s="5" t="s">
        <v>422</v>
      </c>
      <c r="B142" s="9" t="str">
        <f>HYPERLINK("http://biobank.ctsu.ox.ac.uk/crystal/field.cgi?id=25896", "25896")</f>
        <v>25896</v>
      </c>
      <c r="C142" s="8" t="s">
        <v>424</v>
      </c>
      <c r="D142" s="8" t="s">
        <v>10040</v>
      </c>
      <c r="E142" s="8" t="s">
        <v>10289</v>
      </c>
    </row>
    <row r="143" spans="1:5" x14ac:dyDescent="0.25">
      <c r="A143" s="5" t="s">
        <v>425</v>
      </c>
      <c r="B143" s="9" t="str">
        <f>HYPERLINK("http://biobank.ctsu.ox.ac.uk/crystal/field.cgi?id=25897", "25897")</f>
        <v>25897</v>
      </c>
      <c r="C143" s="8" t="s">
        <v>427</v>
      </c>
      <c r="D143" s="8" t="s">
        <v>10040</v>
      </c>
      <c r="E143" s="8" t="s">
        <v>10290</v>
      </c>
    </row>
    <row r="144" spans="1:5" x14ac:dyDescent="0.25">
      <c r="A144" s="5" t="s">
        <v>428</v>
      </c>
      <c r="B144" s="9" t="str">
        <f>HYPERLINK("http://biobank.ctsu.ox.ac.uk/crystal/field.cgi?id=25898", "25898")</f>
        <v>25898</v>
      </c>
      <c r="C144" s="8" t="s">
        <v>430</v>
      </c>
      <c r="D144" s="8" t="s">
        <v>10040</v>
      </c>
      <c r="E144" s="8" t="s">
        <v>10291</v>
      </c>
    </row>
    <row r="145" spans="1:5" x14ac:dyDescent="0.25">
      <c r="A145" s="5" t="s">
        <v>431</v>
      </c>
      <c r="B145" s="9" t="str">
        <f>HYPERLINK("http://biobank.ctsu.ox.ac.uk/crystal/field.cgi?id=25899", "25899")</f>
        <v>25899</v>
      </c>
      <c r="C145" s="8" t="s">
        <v>433</v>
      </c>
      <c r="D145" s="8" t="s">
        <v>10040</v>
      </c>
      <c r="E145" s="8" t="s">
        <v>10292</v>
      </c>
    </row>
    <row r="146" spans="1:5" x14ac:dyDescent="0.25">
      <c r="A146" s="5" t="s">
        <v>434</v>
      </c>
      <c r="B146" s="9" t="str">
        <f>HYPERLINK("http://biobank.ctsu.ox.ac.uk/crystal/field.cgi?id=25900", "25900")</f>
        <v>25900</v>
      </c>
      <c r="C146" s="8" t="s">
        <v>436</v>
      </c>
      <c r="D146" s="8" t="s">
        <v>10040</v>
      </c>
      <c r="E146" s="8" t="s">
        <v>10293</v>
      </c>
    </row>
    <row r="147" spans="1:5" x14ac:dyDescent="0.25">
      <c r="A147" s="5" t="s">
        <v>437</v>
      </c>
      <c r="B147" s="9" t="str">
        <f>HYPERLINK("http://biobank.ctsu.ox.ac.uk/crystal/field.cgi?id=25901", "25901")</f>
        <v>25901</v>
      </c>
      <c r="C147" s="8" t="s">
        <v>439</v>
      </c>
      <c r="D147" s="8" t="s">
        <v>10040</v>
      </c>
      <c r="E147" s="8" t="s">
        <v>10294</v>
      </c>
    </row>
    <row r="148" spans="1:5" x14ac:dyDescent="0.25">
      <c r="A148" s="5" t="s">
        <v>440</v>
      </c>
      <c r="B148" s="9" t="str">
        <f>HYPERLINK("http://biobank.ctsu.ox.ac.uk/crystal/field.cgi?id=25902", "25902")</f>
        <v>25902</v>
      </c>
      <c r="C148" s="8" t="s">
        <v>442</v>
      </c>
      <c r="D148" s="8" t="s">
        <v>10040</v>
      </c>
      <c r="E148" s="8" t="s">
        <v>10295</v>
      </c>
    </row>
    <row r="149" spans="1:5" x14ac:dyDescent="0.25">
      <c r="A149" s="5" t="s">
        <v>443</v>
      </c>
      <c r="B149" s="9" t="str">
        <f>HYPERLINK("http://biobank.ctsu.ox.ac.uk/crystal/field.cgi?id=25903", "25903")</f>
        <v>25903</v>
      </c>
      <c r="C149" s="8" t="s">
        <v>445</v>
      </c>
      <c r="D149" s="8" t="s">
        <v>10040</v>
      </c>
      <c r="E149" s="8" t="s">
        <v>10296</v>
      </c>
    </row>
    <row r="150" spans="1:5" x14ac:dyDescent="0.25">
      <c r="A150" s="5" t="s">
        <v>446</v>
      </c>
      <c r="B150" s="9" t="str">
        <f>HYPERLINK("http://biobank.ctsu.ox.ac.uk/crystal/field.cgi?id=25904", "25904")</f>
        <v>25904</v>
      </c>
      <c r="C150" s="8" t="s">
        <v>448</v>
      </c>
      <c r="D150" s="8" t="s">
        <v>10040</v>
      </c>
      <c r="E150" s="8" t="s">
        <v>10297</v>
      </c>
    </row>
    <row r="151" spans="1:5" x14ac:dyDescent="0.25">
      <c r="A151" s="5" t="s">
        <v>449</v>
      </c>
      <c r="B151" s="9" t="str">
        <f>HYPERLINK("http://biobank.ctsu.ox.ac.uk/crystal/field.cgi?id=25905", "25905")</f>
        <v>25905</v>
      </c>
      <c r="C151" s="8" t="s">
        <v>451</v>
      </c>
      <c r="D151" s="8" t="s">
        <v>10040</v>
      </c>
      <c r="E151" s="8" t="s">
        <v>10298</v>
      </c>
    </row>
    <row r="152" spans="1:5" x14ac:dyDescent="0.25">
      <c r="A152" s="5" t="s">
        <v>452</v>
      </c>
      <c r="B152" s="9" t="str">
        <f>HYPERLINK("http://biobank.ctsu.ox.ac.uk/crystal/field.cgi?id=25906", "25906")</f>
        <v>25906</v>
      </c>
      <c r="C152" s="8" t="s">
        <v>454</v>
      </c>
      <c r="D152" s="8" t="s">
        <v>10040</v>
      </c>
      <c r="E152" s="8" t="s">
        <v>10299</v>
      </c>
    </row>
    <row r="153" spans="1:5" x14ac:dyDescent="0.25">
      <c r="A153" s="5" t="s">
        <v>455</v>
      </c>
      <c r="B153" s="9" t="str">
        <f>HYPERLINK("http://biobank.ctsu.ox.ac.uk/crystal/field.cgi?id=25907", "25907")</f>
        <v>25907</v>
      </c>
      <c r="C153" s="8" t="s">
        <v>457</v>
      </c>
      <c r="D153" s="8" t="s">
        <v>10040</v>
      </c>
      <c r="E153" s="8" t="s">
        <v>10300</v>
      </c>
    </row>
    <row r="154" spans="1:5" x14ac:dyDescent="0.25">
      <c r="A154" s="5" t="s">
        <v>458</v>
      </c>
      <c r="B154" s="9" t="str">
        <f>HYPERLINK("http://biobank.ctsu.ox.ac.uk/crystal/field.cgi?id=25908", "25908")</f>
        <v>25908</v>
      </c>
      <c r="C154" s="8" t="s">
        <v>460</v>
      </c>
      <c r="D154" s="8" t="s">
        <v>10040</v>
      </c>
      <c r="E154" s="8" t="s">
        <v>10301</v>
      </c>
    </row>
    <row r="155" spans="1:5" x14ac:dyDescent="0.25">
      <c r="A155" s="5" t="s">
        <v>461</v>
      </c>
      <c r="B155" s="9" t="str">
        <f>HYPERLINK("http://biobank.ctsu.ox.ac.uk/crystal/field.cgi?id=25909", "25909")</f>
        <v>25909</v>
      </c>
      <c r="C155" s="8" t="s">
        <v>463</v>
      </c>
      <c r="D155" s="8" t="s">
        <v>10040</v>
      </c>
      <c r="E155" s="8" t="s">
        <v>10302</v>
      </c>
    </row>
    <row r="156" spans="1:5" x14ac:dyDescent="0.25">
      <c r="A156" s="5" t="s">
        <v>464</v>
      </c>
      <c r="B156" s="9" t="str">
        <f>HYPERLINK("http://biobank.ctsu.ox.ac.uk/crystal/field.cgi?id=25910", "25910")</f>
        <v>25910</v>
      </c>
      <c r="C156" s="8" t="s">
        <v>466</v>
      </c>
      <c r="D156" s="8" t="s">
        <v>10040</v>
      </c>
      <c r="E156" s="8" t="s">
        <v>10303</v>
      </c>
    </row>
    <row r="157" spans="1:5" x14ac:dyDescent="0.25">
      <c r="A157" s="5" t="s">
        <v>467</v>
      </c>
      <c r="B157" s="9" t="str">
        <f>HYPERLINK("http://biobank.ctsu.ox.ac.uk/crystal/field.cgi?id=25911", "25911")</f>
        <v>25911</v>
      </c>
      <c r="C157" s="8" t="s">
        <v>469</v>
      </c>
      <c r="D157" s="8" t="s">
        <v>10040</v>
      </c>
      <c r="E157" s="8" t="s">
        <v>10304</v>
      </c>
    </row>
    <row r="158" spans="1:5" x14ac:dyDescent="0.25">
      <c r="A158" s="5" t="s">
        <v>470</v>
      </c>
      <c r="B158" s="9" t="str">
        <f>HYPERLINK("http://biobank.ctsu.ox.ac.uk/crystal/field.cgi?id=25912", "25912")</f>
        <v>25912</v>
      </c>
      <c r="C158" s="8" t="s">
        <v>472</v>
      </c>
      <c r="D158" s="8" t="s">
        <v>10040</v>
      </c>
      <c r="E158" s="8" t="s">
        <v>10305</v>
      </c>
    </row>
    <row r="159" spans="1:5" x14ac:dyDescent="0.25">
      <c r="A159" s="5" t="s">
        <v>473</v>
      </c>
      <c r="B159" s="9" t="str">
        <f>HYPERLINK("http://biobank.ctsu.ox.ac.uk/crystal/field.cgi?id=25913", "25913")</f>
        <v>25913</v>
      </c>
      <c r="C159" s="8" t="s">
        <v>475</v>
      </c>
      <c r="D159" s="8" t="s">
        <v>10040</v>
      </c>
      <c r="E159" s="8" t="s">
        <v>10306</v>
      </c>
    </row>
    <row r="160" spans="1:5" x14ac:dyDescent="0.25">
      <c r="A160" s="5" t="s">
        <v>476</v>
      </c>
      <c r="B160" s="9" t="str">
        <f>HYPERLINK("http://biobank.ctsu.ox.ac.uk/crystal/field.cgi?id=25914", "25914")</f>
        <v>25914</v>
      </c>
      <c r="C160" s="8" t="s">
        <v>478</v>
      </c>
      <c r="D160" s="8" t="s">
        <v>10040</v>
      </c>
      <c r="E160" s="8" t="s">
        <v>10307</v>
      </c>
    </row>
    <row r="161" spans="1:5" x14ac:dyDescent="0.25">
      <c r="A161" s="5" t="s">
        <v>479</v>
      </c>
      <c r="B161" s="9" t="str">
        <f>HYPERLINK("http://biobank.ctsu.ox.ac.uk/crystal/field.cgi?id=25915", "25915")</f>
        <v>25915</v>
      </c>
      <c r="C161" s="8" t="s">
        <v>481</v>
      </c>
      <c r="D161" s="8" t="s">
        <v>10040</v>
      </c>
      <c r="E161" s="8" t="s">
        <v>10308</v>
      </c>
    </row>
    <row r="162" spans="1:5" x14ac:dyDescent="0.25">
      <c r="A162" s="5" t="s">
        <v>482</v>
      </c>
      <c r="B162" s="9" t="str">
        <f>HYPERLINK("http://biobank.ctsu.ox.ac.uk/crystal/field.cgi?id=25916", "25916")</f>
        <v>25916</v>
      </c>
      <c r="C162" s="8" t="s">
        <v>484</v>
      </c>
      <c r="D162" s="8" t="s">
        <v>10040</v>
      </c>
      <c r="E162" s="8" t="s">
        <v>10309</v>
      </c>
    </row>
    <row r="163" spans="1:5" x14ac:dyDescent="0.25">
      <c r="A163" s="5" t="s">
        <v>485</v>
      </c>
      <c r="B163" s="9" t="str">
        <f>HYPERLINK("http://biobank.ctsu.ox.ac.uk/crystal/field.cgi?id=25917", "25917")</f>
        <v>25917</v>
      </c>
      <c r="C163" s="8" t="s">
        <v>487</v>
      </c>
      <c r="D163" s="8" t="s">
        <v>10040</v>
      </c>
      <c r="E163" s="8" t="s">
        <v>10310</v>
      </c>
    </row>
    <row r="164" spans="1:5" x14ac:dyDescent="0.25">
      <c r="A164" s="5" t="s">
        <v>488</v>
      </c>
      <c r="B164" s="9" t="str">
        <f>HYPERLINK("http://biobank.ctsu.ox.ac.uk/crystal/field.cgi?id=25918", "25918")</f>
        <v>25918</v>
      </c>
      <c r="C164" s="8" t="s">
        <v>490</v>
      </c>
      <c r="D164" s="8" t="s">
        <v>10040</v>
      </c>
      <c r="E164" s="8" t="s">
        <v>10311</v>
      </c>
    </row>
    <row r="165" spans="1:5" x14ac:dyDescent="0.25">
      <c r="A165" s="5" t="s">
        <v>491</v>
      </c>
      <c r="B165" s="9" t="str">
        <f>HYPERLINK("http://biobank.ctsu.ox.ac.uk/crystal/field.cgi?id=25919", "25919")</f>
        <v>25919</v>
      </c>
      <c r="C165" s="8" t="s">
        <v>493</v>
      </c>
      <c r="D165" s="8" t="s">
        <v>10040</v>
      </c>
      <c r="E165" s="8" t="s">
        <v>10312</v>
      </c>
    </row>
    <row r="166" spans="1:5" x14ac:dyDescent="0.25">
      <c r="A166" s="5" t="s">
        <v>494</v>
      </c>
      <c r="B166" s="9" t="str">
        <f>HYPERLINK("http://biobank.ctsu.ox.ac.uk/crystal/field.cgi?id=25920", "25920")</f>
        <v>25920</v>
      </c>
      <c r="C166" s="8" t="s">
        <v>496</v>
      </c>
      <c r="D166" s="8" t="s">
        <v>10040</v>
      </c>
      <c r="E166" s="8" t="s">
        <v>10313</v>
      </c>
    </row>
    <row r="167" spans="1:5" x14ac:dyDescent="0.25">
      <c r="A167" s="5" t="s">
        <v>497</v>
      </c>
      <c r="B167" s="9" t="str">
        <f>HYPERLINK("http://biobank.ctsu.ox.ac.uk/crystal/field.cgi?id=26514", "26514")</f>
        <v>26514</v>
      </c>
      <c r="C167" s="8" t="s">
        <v>499</v>
      </c>
      <c r="D167" s="8" t="s">
        <v>10040</v>
      </c>
      <c r="E167" s="8" t="s">
        <v>10314</v>
      </c>
    </row>
    <row r="168" spans="1:5" x14ac:dyDescent="0.25">
      <c r="A168" s="5" t="s">
        <v>500</v>
      </c>
      <c r="B168" s="9" t="str">
        <f>HYPERLINK("http://biobank.ctsu.ox.ac.uk/crystal/field.cgi?id=26515", "26515")</f>
        <v>26515</v>
      </c>
      <c r="C168" s="8" t="s">
        <v>502</v>
      </c>
      <c r="D168" s="8" t="s">
        <v>10040</v>
      </c>
      <c r="E168" s="8" t="s">
        <v>10315</v>
      </c>
    </row>
    <row r="169" spans="1:5" x14ac:dyDescent="0.25">
      <c r="A169" s="5" t="s">
        <v>503</v>
      </c>
      <c r="B169" s="9" t="str">
        <f>HYPERLINK("http://biobank.ctsu.ox.ac.uk/crystal/field.cgi?id=26516", "26516")</f>
        <v>26516</v>
      </c>
      <c r="C169" s="8" t="s">
        <v>505</v>
      </c>
      <c r="D169" s="8" t="s">
        <v>10040</v>
      </c>
      <c r="E169" s="8" t="s">
        <v>10316</v>
      </c>
    </row>
    <row r="170" spans="1:5" x14ac:dyDescent="0.25">
      <c r="A170" s="5" t="s">
        <v>506</v>
      </c>
      <c r="B170" s="9" t="str">
        <f>HYPERLINK("http://biobank.ctsu.ox.ac.uk/crystal/field.cgi?id=26517", "26517")</f>
        <v>26517</v>
      </c>
      <c r="C170" s="8" t="s">
        <v>508</v>
      </c>
      <c r="D170" s="8" t="s">
        <v>10040</v>
      </c>
      <c r="E170" s="8" t="s">
        <v>10317</v>
      </c>
    </row>
    <row r="171" spans="1:5" x14ac:dyDescent="0.25">
      <c r="A171" s="5" t="s">
        <v>509</v>
      </c>
      <c r="B171" s="9" t="str">
        <f>HYPERLINK("http://biobank.ctsu.ox.ac.uk/crystal/field.cgi?id=26518", "26518")</f>
        <v>26518</v>
      </c>
      <c r="C171" s="8" t="s">
        <v>511</v>
      </c>
      <c r="D171" s="8" t="s">
        <v>10040</v>
      </c>
      <c r="E171" s="8" t="s">
        <v>10318</v>
      </c>
    </row>
    <row r="172" spans="1:5" x14ac:dyDescent="0.25">
      <c r="A172" s="5" t="s">
        <v>512</v>
      </c>
      <c r="B172" s="9" t="str">
        <f>HYPERLINK("http://biobank.ctsu.ox.ac.uk/crystal/field.cgi?id=26519", "26519")</f>
        <v>26519</v>
      </c>
      <c r="C172" s="8" t="s">
        <v>514</v>
      </c>
      <c r="D172" s="8" t="s">
        <v>10040</v>
      </c>
      <c r="E172" s="8" t="s">
        <v>10319</v>
      </c>
    </row>
    <row r="173" spans="1:5" x14ac:dyDescent="0.25">
      <c r="A173" s="5" t="s">
        <v>515</v>
      </c>
      <c r="B173" s="9" t="str">
        <f>HYPERLINK("http://biobank.ctsu.ox.ac.uk/crystal/field.cgi?id=26520", "26520")</f>
        <v>26520</v>
      </c>
      <c r="C173" s="8" t="s">
        <v>517</v>
      </c>
      <c r="D173" s="8" t="s">
        <v>10040</v>
      </c>
      <c r="E173" s="8" t="s">
        <v>10320</v>
      </c>
    </row>
    <row r="174" spans="1:5" x14ac:dyDescent="0.25">
      <c r="A174" s="5" t="s">
        <v>518</v>
      </c>
      <c r="B174" s="9" t="str">
        <f>HYPERLINK("http://biobank.ctsu.ox.ac.uk/crystal/field.cgi?id=26521", "26521")</f>
        <v>26521</v>
      </c>
      <c r="C174" s="8" t="s">
        <v>520</v>
      </c>
      <c r="D174" s="8" t="s">
        <v>10040</v>
      </c>
      <c r="E174" s="8" t="s">
        <v>10321</v>
      </c>
    </row>
    <row r="175" spans="1:5" x14ac:dyDescent="0.25">
      <c r="A175" s="5" t="s">
        <v>521</v>
      </c>
      <c r="B175" s="9" t="str">
        <f>HYPERLINK("http://biobank.ctsu.ox.ac.uk/crystal/field.cgi?id=26522", "26522")</f>
        <v>26522</v>
      </c>
      <c r="C175" s="8" t="s">
        <v>523</v>
      </c>
      <c r="D175" s="8" t="s">
        <v>10040</v>
      </c>
      <c r="E175" s="8" t="s">
        <v>10322</v>
      </c>
    </row>
    <row r="176" spans="1:5" x14ac:dyDescent="0.25">
      <c r="A176" s="5" t="s">
        <v>524</v>
      </c>
      <c r="B176" s="9" t="str">
        <f>HYPERLINK("http://biobank.ctsu.ox.ac.uk/crystal/field.cgi?id=26523", "26523")</f>
        <v>26523</v>
      </c>
      <c r="C176" s="8" t="s">
        <v>526</v>
      </c>
      <c r="D176" s="8" t="s">
        <v>10040</v>
      </c>
      <c r="E176" s="8" t="s">
        <v>10323</v>
      </c>
    </row>
    <row r="177" spans="1:5" x14ac:dyDescent="0.25">
      <c r="A177" s="5" t="s">
        <v>527</v>
      </c>
      <c r="B177" s="9" t="str">
        <f>HYPERLINK("http://biobank.ctsu.ox.ac.uk/crystal/field.cgi?id=26524", "26524")</f>
        <v>26524</v>
      </c>
      <c r="C177" s="8" t="s">
        <v>529</v>
      </c>
      <c r="D177" s="8" t="s">
        <v>10040</v>
      </c>
      <c r="E177" s="8" t="s">
        <v>10324</v>
      </c>
    </row>
    <row r="178" spans="1:5" x14ac:dyDescent="0.25">
      <c r="A178" s="5" t="s">
        <v>530</v>
      </c>
      <c r="B178" s="9" t="str">
        <f>HYPERLINK("http://biobank.ctsu.ox.ac.uk/crystal/field.cgi?id=26525", "26525")</f>
        <v>26525</v>
      </c>
      <c r="C178" s="8" t="s">
        <v>532</v>
      </c>
      <c r="D178" s="8" t="s">
        <v>10040</v>
      </c>
      <c r="E178" s="8" t="s">
        <v>10325</v>
      </c>
    </row>
    <row r="179" spans="1:5" x14ac:dyDescent="0.25">
      <c r="A179" s="5" t="s">
        <v>533</v>
      </c>
      <c r="B179" s="9" t="str">
        <f>HYPERLINK("http://biobank.ctsu.ox.ac.uk/crystal/field.cgi?id=26526", "26526")</f>
        <v>26526</v>
      </c>
      <c r="C179" s="8" t="s">
        <v>535</v>
      </c>
      <c r="D179" s="8" t="s">
        <v>10040</v>
      </c>
      <c r="E179" s="8" t="s">
        <v>10326</v>
      </c>
    </row>
    <row r="180" spans="1:5" x14ac:dyDescent="0.25">
      <c r="A180" s="5" t="s">
        <v>536</v>
      </c>
      <c r="B180" s="9" t="str">
        <f>HYPERLINK("http://biobank.ctsu.ox.ac.uk/crystal/field.cgi?id=26527", "26527")</f>
        <v>26527</v>
      </c>
      <c r="C180" s="8" t="s">
        <v>538</v>
      </c>
      <c r="D180" s="8" t="s">
        <v>10040</v>
      </c>
      <c r="E180" s="8" t="s">
        <v>10327</v>
      </c>
    </row>
    <row r="181" spans="1:5" x14ac:dyDescent="0.25">
      <c r="A181" s="5" t="s">
        <v>539</v>
      </c>
      <c r="B181" s="9" t="str">
        <f>HYPERLINK("http://biobank.ctsu.ox.ac.uk/crystal/field.cgi?id=26528", "26528")</f>
        <v>26528</v>
      </c>
      <c r="C181" s="8" t="s">
        <v>541</v>
      </c>
      <c r="D181" s="8" t="s">
        <v>10040</v>
      </c>
      <c r="E181" s="8" t="s">
        <v>10328</v>
      </c>
    </row>
    <row r="182" spans="1:5" x14ac:dyDescent="0.25">
      <c r="A182" s="5" t="s">
        <v>542</v>
      </c>
      <c r="B182" s="9" t="str">
        <f>HYPERLINK("http://biobank.ctsu.ox.ac.uk/crystal/field.cgi?id=26529", "26529")</f>
        <v>26529</v>
      </c>
      <c r="C182" s="8" t="s">
        <v>544</v>
      </c>
      <c r="D182" s="8" t="s">
        <v>10040</v>
      </c>
      <c r="E182" s="8" t="s">
        <v>10329</v>
      </c>
    </row>
    <row r="183" spans="1:5" x14ac:dyDescent="0.25">
      <c r="A183" s="5" t="s">
        <v>545</v>
      </c>
      <c r="B183" s="9" t="str">
        <f>HYPERLINK("http://biobank.ctsu.ox.ac.uk/crystal/field.cgi?id=26530", "26530")</f>
        <v>26530</v>
      </c>
      <c r="C183" s="8" t="s">
        <v>547</v>
      </c>
      <c r="D183" s="8" t="s">
        <v>10040</v>
      </c>
      <c r="E183" s="8" t="s">
        <v>10330</v>
      </c>
    </row>
    <row r="184" spans="1:5" x14ac:dyDescent="0.25">
      <c r="A184" s="5" t="s">
        <v>548</v>
      </c>
      <c r="B184" s="9" t="str">
        <f>HYPERLINK("http://biobank.ctsu.ox.ac.uk/crystal/field.cgi?id=26531", "26531")</f>
        <v>26531</v>
      </c>
      <c r="C184" s="8" t="s">
        <v>550</v>
      </c>
      <c r="D184" s="8" t="s">
        <v>10040</v>
      </c>
      <c r="E184" s="8" t="s">
        <v>10331</v>
      </c>
    </row>
    <row r="185" spans="1:5" x14ac:dyDescent="0.25">
      <c r="A185" s="5" t="s">
        <v>551</v>
      </c>
      <c r="B185" s="9" t="str">
        <f>HYPERLINK("http://biobank.ctsu.ox.ac.uk/crystal/field.cgi?id=26532", "26532")</f>
        <v>26532</v>
      </c>
      <c r="C185" s="8" t="s">
        <v>553</v>
      </c>
      <c r="D185" s="8" t="s">
        <v>10040</v>
      </c>
      <c r="E185" s="8" t="s">
        <v>10332</v>
      </c>
    </row>
    <row r="186" spans="1:5" x14ac:dyDescent="0.25">
      <c r="A186" s="5" t="s">
        <v>554</v>
      </c>
      <c r="B186" s="9" t="str">
        <f>HYPERLINK("http://biobank.ctsu.ox.ac.uk/crystal/field.cgi?id=26533", "26533")</f>
        <v>26533</v>
      </c>
      <c r="C186" s="8" t="s">
        <v>556</v>
      </c>
      <c r="D186" s="8" t="s">
        <v>10040</v>
      </c>
      <c r="E186" s="8" t="s">
        <v>10333</v>
      </c>
    </row>
    <row r="187" spans="1:5" x14ac:dyDescent="0.25">
      <c r="A187" s="5" t="s">
        <v>557</v>
      </c>
      <c r="B187" s="9" t="str">
        <f>HYPERLINK("http://biobank.ctsu.ox.ac.uk/crystal/field.cgi?id=26534", "26534")</f>
        <v>26534</v>
      </c>
      <c r="C187" s="8" t="s">
        <v>559</v>
      </c>
      <c r="D187" s="8" t="s">
        <v>10040</v>
      </c>
      <c r="E187" s="8" t="s">
        <v>10334</v>
      </c>
    </row>
    <row r="188" spans="1:5" x14ac:dyDescent="0.25">
      <c r="A188" s="5" t="s">
        <v>560</v>
      </c>
      <c r="B188" s="9" t="str">
        <f>HYPERLINK("http://biobank.ctsu.ox.ac.uk/crystal/field.cgi?id=26535", "26535")</f>
        <v>26535</v>
      </c>
      <c r="C188" s="8" t="s">
        <v>562</v>
      </c>
      <c r="D188" s="8" t="s">
        <v>10040</v>
      </c>
      <c r="E188" s="8" t="s">
        <v>10335</v>
      </c>
    </row>
    <row r="189" spans="1:5" x14ac:dyDescent="0.25">
      <c r="A189" s="5" t="s">
        <v>563</v>
      </c>
      <c r="B189" s="9" t="str">
        <f>HYPERLINK("http://biobank.ctsu.ox.ac.uk/crystal/field.cgi?id=26536", "26536")</f>
        <v>26536</v>
      </c>
      <c r="C189" s="8" t="s">
        <v>565</v>
      </c>
      <c r="D189" s="8" t="s">
        <v>10040</v>
      </c>
      <c r="E189" s="8" t="s">
        <v>10336</v>
      </c>
    </row>
    <row r="190" spans="1:5" x14ac:dyDescent="0.25">
      <c r="A190" s="5" t="s">
        <v>566</v>
      </c>
      <c r="B190" s="9" t="str">
        <f>HYPERLINK("http://biobank.ctsu.ox.ac.uk/crystal/field.cgi?id=26537", "26537")</f>
        <v>26537</v>
      </c>
      <c r="C190" s="8" t="s">
        <v>568</v>
      </c>
      <c r="D190" s="8" t="s">
        <v>10040</v>
      </c>
      <c r="E190" s="8" t="s">
        <v>10337</v>
      </c>
    </row>
    <row r="191" spans="1:5" x14ac:dyDescent="0.25">
      <c r="A191" s="5" t="s">
        <v>569</v>
      </c>
      <c r="B191" s="9" t="str">
        <f>HYPERLINK("http://biobank.ctsu.ox.ac.uk/crystal/field.cgi?id=26552", "26552")</f>
        <v>26552</v>
      </c>
      <c r="C191" s="8" t="s">
        <v>571</v>
      </c>
      <c r="D191" s="8" t="s">
        <v>10040</v>
      </c>
      <c r="E191" s="8" t="s">
        <v>10338</v>
      </c>
    </row>
    <row r="192" spans="1:5" x14ac:dyDescent="0.25">
      <c r="A192" s="5" t="s">
        <v>572</v>
      </c>
      <c r="B192" s="9" t="str">
        <f>HYPERLINK("http://biobank.ctsu.ox.ac.uk/crystal/field.cgi?id=26553", "26553")</f>
        <v>26553</v>
      </c>
      <c r="C192" s="8" t="s">
        <v>574</v>
      </c>
      <c r="D192" s="8" t="s">
        <v>10040</v>
      </c>
      <c r="E192" s="8" t="s">
        <v>10339</v>
      </c>
    </row>
    <row r="193" spans="1:5" x14ac:dyDescent="0.25">
      <c r="A193" s="5" t="s">
        <v>575</v>
      </c>
      <c r="B193" s="9" t="str">
        <f>HYPERLINK("http://biobank.ctsu.ox.ac.uk/crystal/field.cgi?id=26554", "26554")</f>
        <v>26554</v>
      </c>
      <c r="C193" s="8" t="s">
        <v>577</v>
      </c>
      <c r="D193" s="8" t="s">
        <v>10040</v>
      </c>
      <c r="E193" s="8" t="s">
        <v>10340</v>
      </c>
    </row>
    <row r="194" spans="1:5" x14ac:dyDescent="0.25">
      <c r="A194" s="5" t="s">
        <v>578</v>
      </c>
      <c r="B194" s="9" t="str">
        <f>HYPERLINK("http://biobank.ctsu.ox.ac.uk/crystal/field.cgi?id=26555", "26555")</f>
        <v>26555</v>
      </c>
      <c r="C194" s="8" t="s">
        <v>580</v>
      </c>
      <c r="D194" s="8" t="s">
        <v>10040</v>
      </c>
      <c r="E194" s="8" t="s">
        <v>10341</v>
      </c>
    </row>
    <row r="195" spans="1:5" x14ac:dyDescent="0.25">
      <c r="A195" s="5" t="s">
        <v>581</v>
      </c>
      <c r="B195" s="9" t="str">
        <f>HYPERLINK("http://biobank.ctsu.ox.ac.uk/crystal/field.cgi?id=26556", "26556")</f>
        <v>26556</v>
      </c>
      <c r="C195" s="8" t="s">
        <v>583</v>
      </c>
      <c r="D195" s="8" t="s">
        <v>10040</v>
      </c>
      <c r="E195" s="8" t="s">
        <v>10342</v>
      </c>
    </row>
    <row r="196" spans="1:5" x14ac:dyDescent="0.25">
      <c r="A196" s="5" t="s">
        <v>584</v>
      </c>
      <c r="B196" s="9" t="str">
        <f>HYPERLINK("http://biobank.ctsu.ox.ac.uk/crystal/field.cgi?id=26557", "26557")</f>
        <v>26557</v>
      </c>
      <c r="C196" s="8" t="s">
        <v>586</v>
      </c>
      <c r="D196" s="8" t="s">
        <v>10040</v>
      </c>
      <c r="E196" s="8" t="s">
        <v>10343</v>
      </c>
    </row>
    <row r="197" spans="1:5" x14ac:dyDescent="0.25">
      <c r="A197" s="5" t="s">
        <v>587</v>
      </c>
      <c r="B197" s="9" t="str">
        <f>HYPERLINK("http://biobank.ctsu.ox.ac.uk/crystal/field.cgi?id=26558", "26558")</f>
        <v>26558</v>
      </c>
      <c r="C197" s="8" t="s">
        <v>589</v>
      </c>
      <c r="D197" s="8" t="s">
        <v>10040</v>
      </c>
      <c r="E197" s="8" t="s">
        <v>10344</v>
      </c>
    </row>
    <row r="198" spans="1:5" x14ac:dyDescent="0.25">
      <c r="A198" s="5" t="s">
        <v>590</v>
      </c>
      <c r="B198" s="9" t="str">
        <f>HYPERLINK("http://biobank.ctsu.ox.ac.uk/crystal/field.cgi?id=26559", "26559")</f>
        <v>26559</v>
      </c>
      <c r="C198" s="8" t="s">
        <v>592</v>
      </c>
      <c r="D198" s="8" t="s">
        <v>10040</v>
      </c>
      <c r="E198" s="8" t="s">
        <v>10345</v>
      </c>
    </row>
    <row r="199" spans="1:5" x14ac:dyDescent="0.25">
      <c r="A199" s="5" t="s">
        <v>593</v>
      </c>
      <c r="B199" s="9" t="str">
        <f>HYPERLINK("http://biobank.ctsu.ox.ac.uk/crystal/field.cgi?id=26560", "26560")</f>
        <v>26560</v>
      </c>
      <c r="C199" s="8" t="s">
        <v>595</v>
      </c>
      <c r="D199" s="8" t="s">
        <v>10040</v>
      </c>
      <c r="E199" s="8" t="s">
        <v>10346</v>
      </c>
    </row>
    <row r="200" spans="1:5" x14ac:dyDescent="0.25">
      <c r="A200" s="5" t="s">
        <v>596</v>
      </c>
      <c r="B200" s="9" t="str">
        <f>HYPERLINK("http://biobank.ctsu.ox.ac.uk/crystal/field.cgi?id=26561", "26561")</f>
        <v>26561</v>
      </c>
      <c r="C200" s="8" t="s">
        <v>598</v>
      </c>
      <c r="D200" s="8" t="s">
        <v>10040</v>
      </c>
      <c r="E200" s="8" t="s">
        <v>10347</v>
      </c>
    </row>
    <row r="201" spans="1:5" x14ac:dyDescent="0.25">
      <c r="A201" s="5" t="s">
        <v>599</v>
      </c>
      <c r="B201" s="9" t="str">
        <f>HYPERLINK("http://biobank.ctsu.ox.ac.uk/crystal/field.cgi?id=26562", "26562")</f>
        <v>26562</v>
      </c>
      <c r="C201" s="8" t="s">
        <v>601</v>
      </c>
      <c r="D201" s="8" t="s">
        <v>10040</v>
      </c>
      <c r="E201" s="8" t="s">
        <v>10348</v>
      </c>
    </row>
    <row r="202" spans="1:5" x14ac:dyDescent="0.25">
      <c r="A202" s="5" t="s">
        <v>602</v>
      </c>
      <c r="B202" s="9" t="str">
        <f>HYPERLINK("http://biobank.ctsu.ox.ac.uk/crystal/field.cgi?id=26563", "26563")</f>
        <v>26563</v>
      </c>
      <c r="C202" s="8" t="s">
        <v>604</v>
      </c>
      <c r="D202" s="8" t="s">
        <v>10040</v>
      </c>
      <c r="E202" s="8" t="s">
        <v>10349</v>
      </c>
    </row>
    <row r="203" spans="1:5" x14ac:dyDescent="0.25">
      <c r="A203" s="5" t="s">
        <v>605</v>
      </c>
      <c r="B203" s="9" t="str">
        <f>HYPERLINK("http://biobank.ctsu.ox.ac.uk/crystal/field.cgi?id=26564", "26564")</f>
        <v>26564</v>
      </c>
      <c r="C203" s="8" t="s">
        <v>607</v>
      </c>
      <c r="D203" s="8" t="s">
        <v>10040</v>
      </c>
      <c r="E203" s="8" t="s">
        <v>10350</v>
      </c>
    </row>
    <row r="204" spans="1:5" x14ac:dyDescent="0.25">
      <c r="A204" s="5" t="s">
        <v>608</v>
      </c>
      <c r="B204" s="9" t="str">
        <f>HYPERLINK("http://biobank.ctsu.ox.ac.uk/crystal/field.cgi?id=26565", "26565")</f>
        <v>26565</v>
      </c>
      <c r="C204" s="8" t="s">
        <v>610</v>
      </c>
      <c r="D204" s="8" t="s">
        <v>10040</v>
      </c>
      <c r="E204" s="8" t="s">
        <v>10351</v>
      </c>
    </row>
    <row r="205" spans="1:5" x14ac:dyDescent="0.25">
      <c r="A205" s="5" t="s">
        <v>611</v>
      </c>
      <c r="B205" s="9" t="str">
        <f>HYPERLINK("http://biobank.ctsu.ox.ac.uk/crystal/field.cgi?id=26566", "26566")</f>
        <v>26566</v>
      </c>
      <c r="C205" s="8" t="s">
        <v>613</v>
      </c>
      <c r="D205" s="8" t="s">
        <v>10040</v>
      </c>
      <c r="E205" s="8" t="s">
        <v>10352</v>
      </c>
    </row>
    <row r="206" spans="1:5" x14ac:dyDescent="0.25">
      <c r="A206" s="5" t="s">
        <v>614</v>
      </c>
      <c r="B206" s="9" t="str">
        <f>HYPERLINK("http://biobank.ctsu.ox.ac.uk/crystal/field.cgi?id=26567", "26567")</f>
        <v>26567</v>
      </c>
      <c r="C206" s="8" t="s">
        <v>616</v>
      </c>
      <c r="D206" s="8" t="s">
        <v>10040</v>
      </c>
      <c r="E206" s="8" t="s">
        <v>10353</v>
      </c>
    </row>
    <row r="207" spans="1:5" x14ac:dyDescent="0.25">
      <c r="A207" s="5" t="s">
        <v>617</v>
      </c>
      <c r="B207" s="9" t="str">
        <f>HYPERLINK("http://biobank.ctsu.ox.ac.uk/crystal/field.cgi?id=26568", "26568")</f>
        <v>26568</v>
      </c>
      <c r="C207" s="8" t="s">
        <v>619</v>
      </c>
      <c r="D207" s="8" t="s">
        <v>10040</v>
      </c>
      <c r="E207" s="8" t="s">
        <v>10354</v>
      </c>
    </row>
    <row r="208" spans="1:5" x14ac:dyDescent="0.25">
      <c r="A208" s="5" t="s">
        <v>620</v>
      </c>
      <c r="B208" s="9" t="str">
        <f>HYPERLINK("http://biobank.ctsu.ox.ac.uk/crystal/field.cgi?id=26583", "26583")</f>
        <v>26583</v>
      </c>
      <c r="C208" s="8" t="s">
        <v>622</v>
      </c>
      <c r="D208" s="8" t="s">
        <v>10040</v>
      </c>
      <c r="E208" s="8" t="s">
        <v>10355</v>
      </c>
    </row>
    <row r="209" spans="1:5" x14ac:dyDescent="0.25">
      <c r="A209" s="5" t="s">
        <v>623</v>
      </c>
      <c r="B209" s="9" t="str">
        <f>HYPERLINK("http://biobank.ctsu.ox.ac.uk/crystal/field.cgi?id=26584", "26584")</f>
        <v>26584</v>
      </c>
      <c r="C209" s="8" t="s">
        <v>625</v>
      </c>
      <c r="D209" s="8" t="s">
        <v>10040</v>
      </c>
      <c r="E209" s="8" t="s">
        <v>10356</v>
      </c>
    </row>
    <row r="210" spans="1:5" x14ac:dyDescent="0.25">
      <c r="A210" s="5" t="s">
        <v>626</v>
      </c>
      <c r="B210" s="9" t="str">
        <f>HYPERLINK("http://biobank.ctsu.ox.ac.uk/crystal/field.cgi?id=26585", "26585")</f>
        <v>26585</v>
      </c>
      <c r="C210" s="8" t="s">
        <v>628</v>
      </c>
      <c r="D210" s="8" t="s">
        <v>10040</v>
      </c>
      <c r="E210" s="8" t="s">
        <v>10357</v>
      </c>
    </row>
    <row r="211" spans="1:5" x14ac:dyDescent="0.25">
      <c r="A211" s="5" t="s">
        <v>629</v>
      </c>
      <c r="B211" s="9" t="str">
        <f>HYPERLINK("http://biobank.ctsu.ox.ac.uk/crystal/field.cgi?id=26586", "26586")</f>
        <v>26586</v>
      </c>
      <c r="C211" s="8" t="s">
        <v>631</v>
      </c>
      <c r="D211" s="8" t="s">
        <v>10040</v>
      </c>
      <c r="E211" s="8" t="s">
        <v>10358</v>
      </c>
    </row>
    <row r="212" spans="1:5" x14ac:dyDescent="0.25">
      <c r="A212" s="5" t="s">
        <v>632</v>
      </c>
      <c r="B212" s="9" t="str">
        <f>HYPERLINK("http://biobank.ctsu.ox.ac.uk/crystal/field.cgi?id=26587", "26587")</f>
        <v>26587</v>
      </c>
      <c r="C212" s="8" t="s">
        <v>634</v>
      </c>
      <c r="D212" s="8" t="s">
        <v>10040</v>
      </c>
      <c r="E212" s="8" t="s">
        <v>10359</v>
      </c>
    </row>
    <row r="213" spans="1:5" x14ac:dyDescent="0.25">
      <c r="A213" s="5" t="s">
        <v>635</v>
      </c>
      <c r="B213" s="9" t="str">
        <f>HYPERLINK("http://biobank.ctsu.ox.ac.uk/crystal/field.cgi?id=26588", "26588")</f>
        <v>26588</v>
      </c>
      <c r="C213" s="8" t="s">
        <v>637</v>
      </c>
      <c r="D213" s="8" t="s">
        <v>10040</v>
      </c>
      <c r="E213" s="8" t="s">
        <v>10360</v>
      </c>
    </row>
    <row r="214" spans="1:5" x14ac:dyDescent="0.25">
      <c r="A214" s="5" t="s">
        <v>638</v>
      </c>
      <c r="B214" s="9" t="str">
        <f>HYPERLINK("http://biobank.ctsu.ox.ac.uk/crystal/field.cgi?id=26589", "26589")</f>
        <v>26589</v>
      </c>
      <c r="C214" s="8" t="s">
        <v>640</v>
      </c>
      <c r="D214" s="8" t="s">
        <v>10040</v>
      </c>
      <c r="E214" s="8" t="s">
        <v>10361</v>
      </c>
    </row>
    <row r="215" spans="1:5" x14ac:dyDescent="0.25">
      <c r="A215" s="5" t="s">
        <v>641</v>
      </c>
      <c r="B215" s="9" t="str">
        <f>HYPERLINK("http://biobank.ctsu.ox.ac.uk/crystal/field.cgi?id=26590", "26590")</f>
        <v>26590</v>
      </c>
      <c r="C215" s="8" t="s">
        <v>643</v>
      </c>
      <c r="D215" s="8" t="s">
        <v>10040</v>
      </c>
      <c r="E215" s="8" t="s">
        <v>10362</v>
      </c>
    </row>
    <row r="216" spans="1:5" x14ac:dyDescent="0.25">
      <c r="A216" s="5" t="s">
        <v>644</v>
      </c>
      <c r="B216" s="9" t="str">
        <f>HYPERLINK("http://biobank.ctsu.ox.ac.uk/crystal/field.cgi?id=26591", "26591")</f>
        <v>26591</v>
      </c>
      <c r="C216" s="8" t="s">
        <v>646</v>
      </c>
      <c r="D216" s="8" t="s">
        <v>10040</v>
      </c>
      <c r="E216" s="8" t="s">
        <v>10363</v>
      </c>
    </row>
    <row r="217" spans="1:5" x14ac:dyDescent="0.25">
      <c r="A217" s="5" t="s">
        <v>647</v>
      </c>
      <c r="B217" s="9" t="str">
        <f>HYPERLINK("http://biobank.ctsu.ox.ac.uk/crystal/field.cgi?id=26592", "26592")</f>
        <v>26592</v>
      </c>
      <c r="C217" s="8" t="s">
        <v>649</v>
      </c>
      <c r="D217" s="8" t="s">
        <v>10040</v>
      </c>
      <c r="E217" s="8" t="s">
        <v>10364</v>
      </c>
    </row>
    <row r="218" spans="1:5" x14ac:dyDescent="0.25">
      <c r="A218" s="5" t="s">
        <v>650</v>
      </c>
      <c r="B218" s="9" t="str">
        <f>HYPERLINK("http://biobank.ctsu.ox.ac.uk/crystal/field.cgi?id=26593", "26593")</f>
        <v>26593</v>
      </c>
      <c r="C218" s="8" t="s">
        <v>652</v>
      </c>
      <c r="D218" s="8" t="s">
        <v>10040</v>
      </c>
      <c r="E218" s="8" t="s">
        <v>10365</v>
      </c>
    </row>
    <row r="219" spans="1:5" x14ac:dyDescent="0.25">
      <c r="A219" s="5" t="s">
        <v>653</v>
      </c>
      <c r="B219" s="9" t="str">
        <f>HYPERLINK("http://biobank.ctsu.ox.ac.uk/crystal/field.cgi?id=26594", "26594")</f>
        <v>26594</v>
      </c>
      <c r="C219" s="8" t="s">
        <v>655</v>
      </c>
      <c r="D219" s="8" t="s">
        <v>10040</v>
      </c>
      <c r="E219" s="8" t="s">
        <v>10366</v>
      </c>
    </row>
    <row r="220" spans="1:5" x14ac:dyDescent="0.25">
      <c r="A220" s="5" t="s">
        <v>656</v>
      </c>
      <c r="B220" s="9" t="str">
        <f>HYPERLINK("http://biobank.ctsu.ox.ac.uk/crystal/field.cgi?id=26595", "26595")</f>
        <v>26595</v>
      </c>
      <c r="C220" s="8" t="s">
        <v>658</v>
      </c>
      <c r="D220" s="8" t="s">
        <v>10040</v>
      </c>
      <c r="E220" s="8" t="s">
        <v>10367</v>
      </c>
    </row>
    <row r="221" spans="1:5" x14ac:dyDescent="0.25">
      <c r="A221" s="5" t="s">
        <v>659</v>
      </c>
      <c r="B221" s="9" t="str">
        <f>HYPERLINK("http://biobank.ctsu.ox.ac.uk/crystal/field.cgi?id=26596", "26596")</f>
        <v>26596</v>
      </c>
      <c r="C221" s="8" t="s">
        <v>661</v>
      </c>
      <c r="D221" s="8" t="s">
        <v>10040</v>
      </c>
      <c r="E221" s="8" t="s">
        <v>10368</v>
      </c>
    </row>
    <row r="222" spans="1:5" x14ac:dyDescent="0.25">
      <c r="A222" s="5" t="s">
        <v>662</v>
      </c>
      <c r="B222" s="9" t="str">
        <f>HYPERLINK("http://biobank.ctsu.ox.ac.uk/crystal/field.cgi?id=26597", "26597")</f>
        <v>26597</v>
      </c>
      <c r="C222" s="8" t="s">
        <v>664</v>
      </c>
      <c r="D222" s="8" t="s">
        <v>10040</v>
      </c>
      <c r="E222" s="8" t="s">
        <v>10369</v>
      </c>
    </row>
    <row r="223" spans="1:5" x14ac:dyDescent="0.25">
      <c r="A223" s="5" t="s">
        <v>665</v>
      </c>
      <c r="B223" s="9" t="str">
        <f>HYPERLINK("http://biobank.ctsu.ox.ac.uk/crystal/field.cgi?id=26598", "26598")</f>
        <v>26598</v>
      </c>
      <c r="C223" s="8" t="s">
        <v>667</v>
      </c>
      <c r="D223" s="8" t="s">
        <v>10040</v>
      </c>
      <c r="E223" s="8" t="s">
        <v>10370</v>
      </c>
    </row>
    <row r="224" spans="1:5" x14ac:dyDescent="0.25">
      <c r="A224" s="5" t="s">
        <v>668</v>
      </c>
      <c r="B224" s="9" t="str">
        <f>HYPERLINK("http://biobank.ctsu.ox.ac.uk/crystal/field.cgi?id=26599", "26599")</f>
        <v>26599</v>
      </c>
      <c r="C224" s="8" t="s">
        <v>670</v>
      </c>
      <c r="D224" s="8" t="s">
        <v>10040</v>
      </c>
      <c r="E224" s="8" t="s">
        <v>10371</v>
      </c>
    </row>
    <row r="225" spans="1:5" x14ac:dyDescent="0.25">
      <c r="A225" s="5" t="s">
        <v>671</v>
      </c>
      <c r="B225" s="9" t="str">
        <f>HYPERLINK("http://biobank.ctsu.ox.ac.uk/crystal/field.cgi?id=26600", "26600")</f>
        <v>26600</v>
      </c>
      <c r="C225" s="8" t="s">
        <v>673</v>
      </c>
      <c r="D225" s="8" t="s">
        <v>10040</v>
      </c>
      <c r="E225" s="8" t="s">
        <v>10372</v>
      </c>
    </row>
    <row r="226" spans="1:5" x14ac:dyDescent="0.25">
      <c r="A226" s="5" t="s">
        <v>674</v>
      </c>
      <c r="B226" s="9" t="str">
        <f>HYPERLINK("http://biobank.ctsu.ox.ac.uk/crystal/field.cgi?id=26601", "26601")</f>
        <v>26601</v>
      </c>
      <c r="C226" s="8" t="s">
        <v>676</v>
      </c>
      <c r="D226" s="8" t="s">
        <v>10040</v>
      </c>
      <c r="E226" s="8" t="s">
        <v>10373</v>
      </c>
    </row>
    <row r="227" spans="1:5" x14ac:dyDescent="0.25">
      <c r="A227" s="5" t="s">
        <v>677</v>
      </c>
      <c r="B227" s="9" t="str">
        <f>HYPERLINK("http://biobank.ctsu.ox.ac.uk/crystal/field.cgi?id=26602", "26602")</f>
        <v>26602</v>
      </c>
      <c r="C227" s="8" t="s">
        <v>679</v>
      </c>
      <c r="D227" s="8" t="s">
        <v>10040</v>
      </c>
      <c r="E227" s="8" t="s">
        <v>10374</v>
      </c>
    </row>
    <row r="228" spans="1:5" x14ac:dyDescent="0.25">
      <c r="A228" s="5" t="s">
        <v>680</v>
      </c>
      <c r="B228" s="9" t="str">
        <f>HYPERLINK("http://biobank.ctsu.ox.ac.uk/crystal/field.cgi?id=26603", "26603")</f>
        <v>26603</v>
      </c>
      <c r="C228" s="8" t="s">
        <v>682</v>
      </c>
      <c r="D228" s="8" t="s">
        <v>10040</v>
      </c>
      <c r="E228" s="8" t="s">
        <v>10375</v>
      </c>
    </row>
    <row r="229" spans="1:5" x14ac:dyDescent="0.25">
      <c r="A229" s="5" t="s">
        <v>683</v>
      </c>
      <c r="B229" s="9" t="str">
        <f>HYPERLINK("http://biobank.ctsu.ox.ac.uk/crystal/field.cgi?id=26604", "26604")</f>
        <v>26604</v>
      </c>
      <c r="C229" s="8" t="s">
        <v>685</v>
      </c>
      <c r="D229" s="8" t="s">
        <v>10040</v>
      </c>
      <c r="E229" s="8" t="s">
        <v>10376</v>
      </c>
    </row>
    <row r="230" spans="1:5" x14ac:dyDescent="0.25">
      <c r="A230" s="5" t="s">
        <v>686</v>
      </c>
      <c r="B230" s="9" t="str">
        <f>HYPERLINK("http://biobank.ctsu.ox.ac.uk/crystal/field.cgi?id=26605", "26605")</f>
        <v>26605</v>
      </c>
      <c r="C230" s="8" t="s">
        <v>688</v>
      </c>
      <c r="D230" s="8" t="s">
        <v>10040</v>
      </c>
      <c r="E230" s="8" t="s">
        <v>10377</v>
      </c>
    </row>
    <row r="231" spans="1:5" x14ac:dyDescent="0.25">
      <c r="A231" s="5" t="s">
        <v>689</v>
      </c>
      <c r="B231" s="9" t="str">
        <f>HYPERLINK("http://biobank.ctsu.ox.ac.uk/crystal/field.cgi?id=26606", "26606")</f>
        <v>26606</v>
      </c>
      <c r="C231" s="8" t="s">
        <v>691</v>
      </c>
      <c r="D231" s="8" t="s">
        <v>10040</v>
      </c>
      <c r="E231" s="8" t="s">
        <v>10378</v>
      </c>
    </row>
    <row r="232" spans="1:5" x14ac:dyDescent="0.25">
      <c r="A232" s="5" t="s">
        <v>692</v>
      </c>
      <c r="B232" s="9" t="str">
        <f>HYPERLINK("http://biobank.ctsu.ox.ac.uk/crystal/field.cgi?id=26607", "26607")</f>
        <v>26607</v>
      </c>
      <c r="C232" s="8" t="s">
        <v>694</v>
      </c>
      <c r="D232" s="8" t="s">
        <v>10040</v>
      </c>
      <c r="E232" s="8" t="s">
        <v>10379</v>
      </c>
    </row>
    <row r="233" spans="1:5" x14ac:dyDescent="0.25">
      <c r="A233" s="5" t="s">
        <v>695</v>
      </c>
      <c r="B233" s="9" t="str">
        <f>HYPERLINK("http://biobank.ctsu.ox.ac.uk/crystal/field.cgi?id=26608", "26608")</f>
        <v>26608</v>
      </c>
      <c r="C233" s="8" t="s">
        <v>697</v>
      </c>
      <c r="D233" s="8" t="s">
        <v>10040</v>
      </c>
      <c r="E233" s="8" t="s">
        <v>10380</v>
      </c>
    </row>
    <row r="234" spans="1:5" x14ac:dyDescent="0.25">
      <c r="A234" s="5" t="s">
        <v>698</v>
      </c>
      <c r="B234" s="9" t="str">
        <f>HYPERLINK("http://biobank.ctsu.ox.ac.uk/crystal/field.cgi?id=26609", "26609")</f>
        <v>26609</v>
      </c>
      <c r="C234" s="8" t="s">
        <v>700</v>
      </c>
      <c r="D234" s="8" t="s">
        <v>10040</v>
      </c>
      <c r="E234" s="8" t="s">
        <v>10381</v>
      </c>
    </row>
    <row r="235" spans="1:5" x14ac:dyDescent="0.25">
      <c r="A235" s="5" t="s">
        <v>701</v>
      </c>
      <c r="B235" s="9" t="str">
        <f>HYPERLINK("http://biobank.ctsu.ox.ac.uk/crystal/field.cgi?id=26610", "26610")</f>
        <v>26610</v>
      </c>
      <c r="C235" s="8" t="s">
        <v>703</v>
      </c>
      <c r="D235" s="8" t="s">
        <v>10040</v>
      </c>
      <c r="E235" s="8" t="s">
        <v>10382</v>
      </c>
    </row>
    <row r="236" spans="1:5" x14ac:dyDescent="0.25">
      <c r="A236" s="5" t="s">
        <v>704</v>
      </c>
      <c r="B236" s="9" t="str">
        <f>HYPERLINK("http://biobank.ctsu.ox.ac.uk/crystal/field.cgi?id=26611", "26611")</f>
        <v>26611</v>
      </c>
      <c r="C236" s="8" t="s">
        <v>706</v>
      </c>
      <c r="D236" s="8" t="s">
        <v>10040</v>
      </c>
      <c r="E236" s="8" t="s">
        <v>10383</v>
      </c>
    </row>
    <row r="237" spans="1:5" x14ac:dyDescent="0.25">
      <c r="A237" s="5" t="s">
        <v>707</v>
      </c>
      <c r="B237" s="9" t="str">
        <f>HYPERLINK("http://biobank.ctsu.ox.ac.uk/crystal/field.cgi?id=26612", "26612")</f>
        <v>26612</v>
      </c>
      <c r="C237" s="8" t="s">
        <v>709</v>
      </c>
      <c r="D237" s="8" t="s">
        <v>10040</v>
      </c>
      <c r="E237" s="8" t="s">
        <v>10384</v>
      </c>
    </row>
    <row r="238" spans="1:5" x14ac:dyDescent="0.25">
      <c r="A238" s="5" t="s">
        <v>710</v>
      </c>
      <c r="B238" s="9" t="str">
        <f>HYPERLINK("http://biobank.ctsu.ox.ac.uk/crystal/field.cgi?id=26613", "26613")</f>
        <v>26613</v>
      </c>
      <c r="C238" s="8" t="s">
        <v>712</v>
      </c>
      <c r="D238" s="8" t="s">
        <v>10040</v>
      </c>
      <c r="E238" s="8" t="s">
        <v>10385</v>
      </c>
    </row>
    <row r="239" spans="1:5" x14ac:dyDescent="0.25">
      <c r="A239" s="5" t="s">
        <v>713</v>
      </c>
      <c r="B239" s="9" t="str">
        <f>HYPERLINK("http://biobank.ctsu.ox.ac.uk/crystal/field.cgi?id=26614", "26614")</f>
        <v>26614</v>
      </c>
      <c r="C239" s="8" t="s">
        <v>715</v>
      </c>
      <c r="D239" s="8" t="s">
        <v>10040</v>
      </c>
      <c r="E239" s="8" t="s">
        <v>10386</v>
      </c>
    </row>
    <row r="240" spans="1:5" x14ac:dyDescent="0.25">
      <c r="A240" s="5" t="s">
        <v>716</v>
      </c>
      <c r="B240" s="9" t="str">
        <f>HYPERLINK("http://biobank.ctsu.ox.ac.uk/crystal/field.cgi?id=26615", "26615")</f>
        <v>26615</v>
      </c>
      <c r="C240" s="8" t="s">
        <v>718</v>
      </c>
      <c r="D240" s="8" t="s">
        <v>10040</v>
      </c>
      <c r="E240" s="8" t="s">
        <v>10387</v>
      </c>
    </row>
    <row r="241" spans="1:5" x14ac:dyDescent="0.25">
      <c r="A241" s="5" t="s">
        <v>719</v>
      </c>
      <c r="B241" s="9" t="str">
        <f>HYPERLINK("http://biobank.ctsu.ox.ac.uk/crystal/field.cgi?id=26616", "26616")</f>
        <v>26616</v>
      </c>
      <c r="C241" s="8" t="s">
        <v>721</v>
      </c>
      <c r="D241" s="8" t="s">
        <v>10040</v>
      </c>
      <c r="E241" s="8" t="s">
        <v>10388</v>
      </c>
    </row>
    <row r="242" spans="1:5" x14ac:dyDescent="0.25">
      <c r="A242" s="5" t="s">
        <v>722</v>
      </c>
      <c r="B242" s="9" t="str">
        <f>HYPERLINK("http://biobank.ctsu.ox.ac.uk/crystal/field.cgi?id=26617", "26617")</f>
        <v>26617</v>
      </c>
      <c r="C242" s="8" t="s">
        <v>724</v>
      </c>
      <c r="D242" s="8" t="s">
        <v>10040</v>
      </c>
      <c r="E242" s="8" t="s">
        <v>10389</v>
      </c>
    </row>
    <row r="243" spans="1:5" x14ac:dyDescent="0.25">
      <c r="A243" s="5" t="s">
        <v>725</v>
      </c>
      <c r="B243" s="9" t="str">
        <f>HYPERLINK("http://biobank.ctsu.ox.ac.uk/crystal/field.cgi?id=26618", "26618")</f>
        <v>26618</v>
      </c>
      <c r="C243" s="8" t="s">
        <v>727</v>
      </c>
      <c r="D243" s="8" t="s">
        <v>10040</v>
      </c>
      <c r="E243" s="8" t="s">
        <v>10390</v>
      </c>
    </row>
    <row r="244" spans="1:5" x14ac:dyDescent="0.25">
      <c r="A244" s="5" t="s">
        <v>728</v>
      </c>
      <c r="B244" s="9" t="str">
        <f>HYPERLINK("http://biobank.ctsu.ox.ac.uk/crystal/field.cgi?id=26619", "26619")</f>
        <v>26619</v>
      </c>
      <c r="C244" s="8" t="s">
        <v>730</v>
      </c>
      <c r="D244" s="8" t="s">
        <v>10040</v>
      </c>
      <c r="E244" s="8" t="s">
        <v>10391</v>
      </c>
    </row>
    <row r="245" spans="1:5" x14ac:dyDescent="0.25">
      <c r="A245" s="5" t="s">
        <v>731</v>
      </c>
      <c r="B245" s="9" t="str">
        <f>HYPERLINK("http://biobank.ctsu.ox.ac.uk/crystal/field.cgi?id=26620", "26620")</f>
        <v>26620</v>
      </c>
      <c r="C245" s="8" t="s">
        <v>733</v>
      </c>
      <c r="D245" s="8" t="s">
        <v>10040</v>
      </c>
      <c r="E245" s="8" t="s">
        <v>10392</v>
      </c>
    </row>
    <row r="246" spans="1:5" x14ac:dyDescent="0.25">
      <c r="A246" s="5" t="s">
        <v>734</v>
      </c>
      <c r="B246" s="9" t="str">
        <f>HYPERLINK("http://biobank.ctsu.ox.ac.uk/crystal/field.cgi?id=26621", "26621")</f>
        <v>26621</v>
      </c>
      <c r="C246" s="8" t="s">
        <v>736</v>
      </c>
      <c r="D246" s="8" t="s">
        <v>10040</v>
      </c>
      <c r="E246" s="8" t="s">
        <v>10393</v>
      </c>
    </row>
    <row r="247" spans="1:5" x14ac:dyDescent="0.25">
      <c r="A247" s="5" t="s">
        <v>737</v>
      </c>
      <c r="B247" s="9" t="str">
        <f>HYPERLINK("http://biobank.ctsu.ox.ac.uk/crystal/field.cgi?id=26622", "26622")</f>
        <v>26622</v>
      </c>
      <c r="C247" s="8" t="s">
        <v>739</v>
      </c>
      <c r="D247" s="8" t="s">
        <v>10040</v>
      </c>
      <c r="E247" s="8" t="s">
        <v>10394</v>
      </c>
    </row>
    <row r="248" spans="1:5" x14ac:dyDescent="0.25">
      <c r="A248" s="5" t="s">
        <v>740</v>
      </c>
      <c r="B248" s="9" t="str">
        <f>HYPERLINK("http://biobank.ctsu.ox.ac.uk/crystal/field.cgi?id=26623", "26623")</f>
        <v>26623</v>
      </c>
      <c r="C248" s="8" t="s">
        <v>742</v>
      </c>
      <c r="D248" s="8" t="s">
        <v>10040</v>
      </c>
      <c r="E248" s="8" t="s">
        <v>10395</v>
      </c>
    </row>
    <row r="249" spans="1:5" x14ac:dyDescent="0.25">
      <c r="A249" s="5" t="s">
        <v>743</v>
      </c>
      <c r="B249" s="9" t="str">
        <f>HYPERLINK("http://biobank.ctsu.ox.ac.uk/crystal/field.cgi?id=26624", "26624")</f>
        <v>26624</v>
      </c>
      <c r="C249" s="8" t="s">
        <v>745</v>
      </c>
      <c r="D249" s="8" t="s">
        <v>10040</v>
      </c>
      <c r="E249" s="8" t="s">
        <v>10396</v>
      </c>
    </row>
    <row r="250" spans="1:5" x14ac:dyDescent="0.25">
      <c r="A250" s="5" t="s">
        <v>746</v>
      </c>
      <c r="B250" s="9" t="str">
        <f>HYPERLINK("http://biobank.ctsu.ox.ac.uk/crystal/field.cgi?id=26625", "26625")</f>
        <v>26625</v>
      </c>
      <c r="C250" s="8" t="s">
        <v>748</v>
      </c>
      <c r="D250" s="8" t="s">
        <v>10040</v>
      </c>
      <c r="E250" s="8" t="s">
        <v>10397</v>
      </c>
    </row>
    <row r="251" spans="1:5" x14ac:dyDescent="0.25">
      <c r="A251" s="5" t="s">
        <v>749</v>
      </c>
      <c r="B251" s="9" t="str">
        <f>HYPERLINK("http://biobank.ctsu.ox.ac.uk/crystal/field.cgi?id=26626", "26626")</f>
        <v>26626</v>
      </c>
      <c r="C251" s="8" t="s">
        <v>751</v>
      </c>
      <c r="D251" s="8" t="s">
        <v>10040</v>
      </c>
      <c r="E251" s="8" t="s">
        <v>10398</v>
      </c>
    </row>
    <row r="252" spans="1:5" x14ac:dyDescent="0.25">
      <c r="A252" s="5" t="s">
        <v>752</v>
      </c>
      <c r="B252" s="9" t="str">
        <f>HYPERLINK("http://biobank.ctsu.ox.ac.uk/crystal/field.cgi?id=26627", "26627")</f>
        <v>26627</v>
      </c>
      <c r="C252" s="8" t="s">
        <v>754</v>
      </c>
      <c r="D252" s="8" t="s">
        <v>10040</v>
      </c>
      <c r="E252" s="8" t="s">
        <v>10399</v>
      </c>
    </row>
    <row r="253" spans="1:5" x14ac:dyDescent="0.25">
      <c r="A253" s="5" t="s">
        <v>755</v>
      </c>
      <c r="B253" s="9" t="str">
        <f>HYPERLINK("http://biobank.ctsu.ox.ac.uk/crystal/field.cgi?id=26628", "26628")</f>
        <v>26628</v>
      </c>
      <c r="C253" s="8" t="s">
        <v>757</v>
      </c>
      <c r="D253" s="8" t="s">
        <v>10040</v>
      </c>
      <c r="E253" s="8" t="s">
        <v>10400</v>
      </c>
    </row>
    <row r="254" spans="1:5" x14ac:dyDescent="0.25">
      <c r="A254" s="5" t="s">
        <v>758</v>
      </c>
      <c r="B254" s="9" t="str">
        <f>HYPERLINK("http://biobank.ctsu.ox.ac.uk/crystal/field.cgi?id=26629", "26629")</f>
        <v>26629</v>
      </c>
      <c r="C254" s="8" t="s">
        <v>760</v>
      </c>
      <c r="D254" s="8" t="s">
        <v>10040</v>
      </c>
      <c r="E254" s="8" t="s">
        <v>10401</v>
      </c>
    </row>
    <row r="255" spans="1:5" x14ac:dyDescent="0.25">
      <c r="A255" s="5" t="s">
        <v>761</v>
      </c>
      <c r="B255" s="9" t="str">
        <f>HYPERLINK("http://biobank.ctsu.ox.ac.uk/crystal/field.cgi?id=26630", "26630")</f>
        <v>26630</v>
      </c>
      <c r="C255" s="8" t="s">
        <v>763</v>
      </c>
      <c r="D255" s="8" t="s">
        <v>10040</v>
      </c>
      <c r="E255" s="8" t="s">
        <v>10402</v>
      </c>
    </row>
    <row r="256" spans="1:5" x14ac:dyDescent="0.25">
      <c r="A256" s="5" t="s">
        <v>764</v>
      </c>
      <c r="B256" s="9" t="str">
        <f>HYPERLINK("http://biobank.ctsu.ox.ac.uk/crystal/field.cgi?id=26631", "26631")</f>
        <v>26631</v>
      </c>
      <c r="C256" s="8" t="s">
        <v>766</v>
      </c>
      <c r="D256" s="8" t="s">
        <v>10040</v>
      </c>
      <c r="E256" s="8" t="s">
        <v>10403</v>
      </c>
    </row>
    <row r="257" spans="1:5" x14ac:dyDescent="0.25">
      <c r="A257" s="5" t="s">
        <v>767</v>
      </c>
      <c r="B257" s="9" t="str">
        <f>HYPERLINK("http://biobank.ctsu.ox.ac.uk/crystal/field.cgi?id=26632", "26632")</f>
        <v>26632</v>
      </c>
      <c r="C257" s="8" t="s">
        <v>769</v>
      </c>
      <c r="D257" s="8" t="s">
        <v>10040</v>
      </c>
      <c r="E257" s="8" t="s">
        <v>10404</v>
      </c>
    </row>
    <row r="258" spans="1:5" x14ac:dyDescent="0.25">
      <c r="A258" s="5" t="s">
        <v>770</v>
      </c>
      <c r="B258" s="9" t="str">
        <f>HYPERLINK("http://biobank.ctsu.ox.ac.uk/crystal/field.cgi?id=26633", "26633")</f>
        <v>26633</v>
      </c>
      <c r="C258" s="8" t="s">
        <v>772</v>
      </c>
      <c r="D258" s="8" t="s">
        <v>10040</v>
      </c>
      <c r="E258" s="8" t="s">
        <v>10405</v>
      </c>
    </row>
    <row r="259" spans="1:5" x14ac:dyDescent="0.25">
      <c r="A259" s="5" t="s">
        <v>773</v>
      </c>
      <c r="B259" s="9" t="str">
        <f>HYPERLINK("http://biobank.ctsu.ox.ac.uk/crystal/field.cgi?id=26634", "26634")</f>
        <v>26634</v>
      </c>
      <c r="C259" s="8" t="s">
        <v>775</v>
      </c>
      <c r="D259" s="8" t="s">
        <v>10040</v>
      </c>
      <c r="E259" s="8" t="s">
        <v>10406</v>
      </c>
    </row>
    <row r="260" spans="1:5" x14ac:dyDescent="0.25">
      <c r="A260" s="5" t="s">
        <v>776</v>
      </c>
      <c r="B260" s="9" t="str">
        <f>HYPERLINK("http://biobank.ctsu.ox.ac.uk/crystal/field.cgi?id=26635", "26635")</f>
        <v>26635</v>
      </c>
      <c r="C260" s="8" t="s">
        <v>778</v>
      </c>
      <c r="D260" s="8" t="s">
        <v>10040</v>
      </c>
      <c r="E260" s="8" t="s">
        <v>10407</v>
      </c>
    </row>
    <row r="261" spans="1:5" x14ac:dyDescent="0.25">
      <c r="A261" s="5" t="s">
        <v>779</v>
      </c>
      <c r="B261" s="9" t="str">
        <f>HYPERLINK("http://biobank.ctsu.ox.ac.uk/crystal/field.cgi?id=26636", "26636")</f>
        <v>26636</v>
      </c>
      <c r="C261" s="8" t="s">
        <v>781</v>
      </c>
      <c r="D261" s="8" t="s">
        <v>10040</v>
      </c>
      <c r="E261" s="8" t="s">
        <v>10408</v>
      </c>
    </row>
    <row r="262" spans="1:5" x14ac:dyDescent="0.25">
      <c r="A262" s="5" t="s">
        <v>782</v>
      </c>
      <c r="B262" s="9" t="str">
        <f>HYPERLINK("http://biobank.ctsu.ox.ac.uk/crystal/field.cgi?id=26637", "26637")</f>
        <v>26637</v>
      </c>
      <c r="C262" s="8" t="s">
        <v>784</v>
      </c>
      <c r="D262" s="8" t="s">
        <v>10040</v>
      </c>
      <c r="E262" s="8" t="s">
        <v>10409</v>
      </c>
    </row>
    <row r="263" spans="1:5" x14ac:dyDescent="0.25">
      <c r="A263" s="5" t="s">
        <v>785</v>
      </c>
      <c r="B263" s="9" t="str">
        <f>HYPERLINK("http://biobank.ctsu.ox.ac.uk/crystal/field.cgi?id=26638", "26638")</f>
        <v>26638</v>
      </c>
      <c r="C263" s="8" t="s">
        <v>787</v>
      </c>
      <c r="D263" s="8" t="s">
        <v>10040</v>
      </c>
      <c r="E263" s="8" t="s">
        <v>10410</v>
      </c>
    </row>
    <row r="264" spans="1:5" x14ac:dyDescent="0.25">
      <c r="A264" s="5" t="s">
        <v>788</v>
      </c>
      <c r="B264" s="9" t="str">
        <f>HYPERLINK("http://biobank.ctsu.ox.ac.uk/crystal/field.cgi?id=26639", "26639")</f>
        <v>26639</v>
      </c>
      <c r="C264" s="8" t="s">
        <v>790</v>
      </c>
      <c r="D264" s="8" t="s">
        <v>10040</v>
      </c>
      <c r="E264" s="8" t="s">
        <v>10411</v>
      </c>
    </row>
    <row r="265" spans="1:5" x14ac:dyDescent="0.25">
      <c r="A265" s="5" t="s">
        <v>791</v>
      </c>
      <c r="B265" s="9" t="str">
        <f>HYPERLINK("http://biobank.ctsu.ox.ac.uk/crystal/field.cgi?id=26640", "26640")</f>
        <v>26640</v>
      </c>
      <c r="C265" s="8" t="s">
        <v>793</v>
      </c>
      <c r="D265" s="8" t="s">
        <v>10040</v>
      </c>
      <c r="E265" s="8" t="s">
        <v>10412</v>
      </c>
    </row>
    <row r="266" spans="1:5" x14ac:dyDescent="0.25">
      <c r="A266" s="5" t="s">
        <v>794</v>
      </c>
      <c r="B266" s="9" t="str">
        <f>HYPERLINK("http://biobank.ctsu.ox.ac.uk/crystal/field.cgi?id=26641", "26641")</f>
        <v>26641</v>
      </c>
      <c r="C266" s="8" t="s">
        <v>796</v>
      </c>
      <c r="D266" s="8" t="s">
        <v>10040</v>
      </c>
      <c r="E266" s="8" t="s">
        <v>10413</v>
      </c>
    </row>
    <row r="267" spans="1:5" x14ac:dyDescent="0.25">
      <c r="A267" s="5" t="s">
        <v>797</v>
      </c>
      <c r="B267" s="9" t="str">
        <f>HYPERLINK("http://biobank.ctsu.ox.ac.uk/crystal/field.cgi?id=26642", "26642")</f>
        <v>26642</v>
      </c>
      <c r="C267" s="8" t="s">
        <v>799</v>
      </c>
      <c r="D267" s="8" t="s">
        <v>10040</v>
      </c>
      <c r="E267" s="8" t="s">
        <v>10414</v>
      </c>
    </row>
    <row r="268" spans="1:5" x14ac:dyDescent="0.25">
      <c r="A268" s="5" t="s">
        <v>800</v>
      </c>
      <c r="B268" s="9" t="str">
        <f>HYPERLINK("http://biobank.ctsu.ox.ac.uk/crystal/field.cgi?id=26643", "26643")</f>
        <v>26643</v>
      </c>
      <c r="C268" s="8" t="s">
        <v>802</v>
      </c>
      <c r="D268" s="8" t="s">
        <v>10040</v>
      </c>
      <c r="E268" s="8" t="s">
        <v>10415</v>
      </c>
    </row>
    <row r="269" spans="1:5" x14ac:dyDescent="0.25">
      <c r="A269" s="5" t="s">
        <v>803</v>
      </c>
      <c r="B269" s="9" t="str">
        <f>HYPERLINK("http://biobank.ctsu.ox.ac.uk/crystal/field.cgi?id=26644", "26644")</f>
        <v>26644</v>
      </c>
      <c r="C269" s="8" t="s">
        <v>805</v>
      </c>
      <c r="D269" s="8" t="s">
        <v>10040</v>
      </c>
      <c r="E269" s="8" t="s">
        <v>10416</v>
      </c>
    </row>
    <row r="270" spans="1:5" x14ac:dyDescent="0.25">
      <c r="A270" s="5" t="s">
        <v>806</v>
      </c>
      <c r="B270" s="9" t="str">
        <f>HYPERLINK("http://biobank.ctsu.ox.ac.uk/crystal/field.cgi?id=26645", "26645")</f>
        <v>26645</v>
      </c>
      <c r="C270" s="8" t="s">
        <v>808</v>
      </c>
      <c r="D270" s="8" t="s">
        <v>10040</v>
      </c>
      <c r="E270" s="8" t="s">
        <v>10417</v>
      </c>
    </row>
    <row r="271" spans="1:5" x14ac:dyDescent="0.25">
      <c r="A271" s="5" t="s">
        <v>809</v>
      </c>
      <c r="B271" s="9" t="str">
        <f>HYPERLINK("http://biobank.ctsu.ox.ac.uk/crystal/field.cgi?id=26646", "26646")</f>
        <v>26646</v>
      </c>
      <c r="C271" s="8" t="s">
        <v>811</v>
      </c>
      <c r="D271" s="8" t="s">
        <v>10040</v>
      </c>
      <c r="E271" s="8" t="s">
        <v>10418</v>
      </c>
    </row>
    <row r="272" spans="1:5" x14ac:dyDescent="0.25">
      <c r="A272" s="5" t="s">
        <v>812</v>
      </c>
      <c r="B272" s="9" t="str">
        <f>HYPERLINK("http://biobank.ctsu.ox.ac.uk/crystal/field.cgi?id=26647", "26647")</f>
        <v>26647</v>
      </c>
      <c r="C272" s="8" t="s">
        <v>814</v>
      </c>
      <c r="D272" s="8" t="s">
        <v>10040</v>
      </c>
      <c r="E272" s="8" t="s">
        <v>10419</v>
      </c>
    </row>
    <row r="273" spans="1:5" x14ac:dyDescent="0.25">
      <c r="A273" s="5" t="s">
        <v>815</v>
      </c>
      <c r="B273" s="9" t="str">
        <f>HYPERLINK("http://biobank.ctsu.ox.ac.uk/crystal/field.cgi?id=26648", "26648")</f>
        <v>26648</v>
      </c>
      <c r="C273" s="8" t="s">
        <v>817</v>
      </c>
      <c r="D273" s="8" t="s">
        <v>10040</v>
      </c>
      <c r="E273" s="8" t="s">
        <v>10420</v>
      </c>
    </row>
    <row r="274" spans="1:5" x14ac:dyDescent="0.25">
      <c r="A274" s="5" t="s">
        <v>818</v>
      </c>
      <c r="B274" s="9" t="str">
        <f>HYPERLINK("http://biobank.ctsu.ox.ac.uk/crystal/field.cgi?id=26649", "26649")</f>
        <v>26649</v>
      </c>
      <c r="C274" s="8" t="s">
        <v>820</v>
      </c>
      <c r="D274" s="8" t="s">
        <v>10040</v>
      </c>
      <c r="E274" s="8" t="s">
        <v>10421</v>
      </c>
    </row>
    <row r="275" spans="1:5" x14ac:dyDescent="0.25">
      <c r="A275" s="5" t="s">
        <v>821</v>
      </c>
      <c r="B275" s="9" t="str">
        <f>HYPERLINK("http://biobank.ctsu.ox.ac.uk/crystal/field.cgi?id=26650", "26650")</f>
        <v>26650</v>
      </c>
      <c r="C275" s="8" t="s">
        <v>823</v>
      </c>
      <c r="D275" s="8" t="s">
        <v>10040</v>
      </c>
      <c r="E275" s="8" t="s">
        <v>10422</v>
      </c>
    </row>
    <row r="276" spans="1:5" x14ac:dyDescent="0.25">
      <c r="A276" s="5" t="s">
        <v>824</v>
      </c>
      <c r="B276" s="9" t="str">
        <f>HYPERLINK("http://biobank.ctsu.ox.ac.uk/crystal/field.cgi?id=26651", "26651")</f>
        <v>26651</v>
      </c>
      <c r="C276" s="8" t="s">
        <v>826</v>
      </c>
      <c r="D276" s="8" t="s">
        <v>10040</v>
      </c>
      <c r="E276" s="8" t="s">
        <v>10423</v>
      </c>
    </row>
    <row r="277" spans="1:5" x14ac:dyDescent="0.25">
      <c r="A277" s="5" t="s">
        <v>827</v>
      </c>
      <c r="B277" s="9" t="str">
        <f>HYPERLINK("http://biobank.ctsu.ox.ac.uk/crystal/field.cgi?id=26652", "26652")</f>
        <v>26652</v>
      </c>
      <c r="C277" s="8" t="s">
        <v>829</v>
      </c>
      <c r="D277" s="8" t="s">
        <v>10040</v>
      </c>
      <c r="E277" s="8" t="s">
        <v>10424</v>
      </c>
    </row>
    <row r="278" spans="1:5" x14ac:dyDescent="0.25">
      <c r="A278" s="5" t="s">
        <v>830</v>
      </c>
      <c r="B278" s="9" t="str">
        <f>HYPERLINK("http://biobank.ctsu.ox.ac.uk/crystal/field.cgi?id=26653", "26653")</f>
        <v>26653</v>
      </c>
      <c r="C278" s="8" t="s">
        <v>832</v>
      </c>
      <c r="D278" s="8" t="s">
        <v>10040</v>
      </c>
      <c r="E278" s="8" t="s">
        <v>10425</v>
      </c>
    </row>
    <row r="279" spans="1:5" x14ac:dyDescent="0.25">
      <c r="A279" s="5" t="s">
        <v>833</v>
      </c>
      <c r="B279" s="9" t="str">
        <f>HYPERLINK("http://biobank.ctsu.ox.ac.uk/crystal/field.cgi?id=26654", "26654")</f>
        <v>26654</v>
      </c>
      <c r="C279" s="8" t="s">
        <v>835</v>
      </c>
      <c r="D279" s="8" t="s">
        <v>10040</v>
      </c>
      <c r="E279" s="8" t="s">
        <v>10426</v>
      </c>
    </row>
    <row r="280" spans="1:5" x14ac:dyDescent="0.25">
      <c r="A280" s="5" t="s">
        <v>836</v>
      </c>
      <c r="B280" s="9" t="str">
        <f>HYPERLINK("http://biobank.ctsu.ox.ac.uk/crystal/field.cgi?id=26655", "26655")</f>
        <v>26655</v>
      </c>
      <c r="C280" s="8" t="s">
        <v>838</v>
      </c>
      <c r="D280" s="8" t="s">
        <v>10040</v>
      </c>
      <c r="E280" s="8" t="s">
        <v>10427</v>
      </c>
    </row>
    <row r="281" spans="1:5" x14ac:dyDescent="0.25">
      <c r="A281" s="5" t="s">
        <v>839</v>
      </c>
      <c r="B281" s="9" t="str">
        <f>HYPERLINK("http://biobank.ctsu.ox.ac.uk/crystal/field.cgi?id=26656", "26656")</f>
        <v>26656</v>
      </c>
      <c r="C281" s="8" t="s">
        <v>841</v>
      </c>
      <c r="D281" s="8" t="s">
        <v>10040</v>
      </c>
      <c r="E281" s="8" t="s">
        <v>10428</v>
      </c>
    </row>
    <row r="282" spans="1:5" x14ac:dyDescent="0.25">
      <c r="A282" s="5" t="s">
        <v>842</v>
      </c>
      <c r="B282" s="9" t="str">
        <f>HYPERLINK("http://biobank.ctsu.ox.ac.uk/crystal/field.cgi?id=26657", "26657")</f>
        <v>26657</v>
      </c>
      <c r="C282" s="8" t="s">
        <v>844</v>
      </c>
      <c r="D282" s="8" t="s">
        <v>10040</v>
      </c>
      <c r="E282" s="8" t="s">
        <v>10429</v>
      </c>
    </row>
    <row r="283" spans="1:5" x14ac:dyDescent="0.25">
      <c r="A283" s="5" t="s">
        <v>845</v>
      </c>
      <c r="B283" s="9" t="str">
        <f>HYPERLINK("http://biobank.ctsu.ox.ac.uk/crystal/field.cgi?id=26658", "26658")</f>
        <v>26658</v>
      </c>
      <c r="C283" s="8" t="s">
        <v>847</v>
      </c>
      <c r="D283" s="8" t="s">
        <v>10040</v>
      </c>
      <c r="E283" s="8" t="s">
        <v>10430</v>
      </c>
    </row>
    <row r="284" spans="1:5" x14ac:dyDescent="0.25">
      <c r="A284" s="5" t="s">
        <v>848</v>
      </c>
      <c r="B284" s="9" t="str">
        <f>HYPERLINK("http://biobank.ctsu.ox.ac.uk/crystal/field.cgi?id=26659", "26659")</f>
        <v>26659</v>
      </c>
      <c r="C284" s="8" t="s">
        <v>850</v>
      </c>
      <c r="D284" s="8" t="s">
        <v>10040</v>
      </c>
      <c r="E284" s="8" t="s">
        <v>10431</v>
      </c>
    </row>
    <row r="285" spans="1:5" x14ac:dyDescent="0.25">
      <c r="A285" s="5" t="s">
        <v>851</v>
      </c>
      <c r="B285" s="9" t="str">
        <f>HYPERLINK("http://biobank.ctsu.ox.ac.uk/crystal/field.cgi?id=26660", "26660")</f>
        <v>26660</v>
      </c>
      <c r="C285" s="8" t="s">
        <v>853</v>
      </c>
      <c r="D285" s="8" t="s">
        <v>10040</v>
      </c>
      <c r="E285" s="8" t="s">
        <v>10432</v>
      </c>
    </row>
    <row r="286" spans="1:5" x14ac:dyDescent="0.25">
      <c r="A286" s="5" t="s">
        <v>854</v>
      </c>
      <c r="B286" s="9" t="str">
        <f>HYPERLINK("http://biobank.ctsu.ox.ac.uk/crystal/field.cgi?id=26661", "26661")</f>
        <v>26661</v>
      </c>
      <c r="C286" s="8" t="s">
        <v>856</v>
      </c>
      <c r="D286" s="8" t="s">
        <v>10040</v>
      </c>
      <c r="E286" s="8" t="s">
        <v>10433</v>
      </c>
    </row>
    <row r="287" spans="1:5" x14ac:dyDescent="0.25">
      <c r="A287" s="5" t="s">
        <v>857</v>
      </c>
      <c r="B287" s="9" t="str">
        <f>HYPERLINK("http://biobank.ctsu.ox.ac.uk/crystal/field.cgi?id=26662", "26662")</f>
        <v>26662</v>
      </c>
      <c r="C287" s="8" t="s">
        <v>859</v>
      </c>
      <c r="D287" s="8" t="s">
        <v>10040</v>
      </c>
      <c r="E287" s="8" t="s">
        <v>10434</v>
      </c>
    </row>
    <row r="288" spans="1:5" x14ac:dyDescent="0.25">
      <c r="A288" s="5" t="s">
        <v>860</v>
      </c>
      <c r="B288" s="9" t="str">
        <f>HYPERLINK("http://biobank.ctsu.ox.ac.uk/crystal/field.cgi?id=26663", "26663")</f>
        <v>26663</v>
      </c>
      <c r="C288" s="8" t="s">
        <v>862</v>
      </c>
      <c r="D288" s="8" t="s">
        <v>10040</v>
      </c>
      <c r="E288" s="8" t="s">
        <v>10435</v>
      </c>
    </row>
    <row r="289" spans="1:5" x14ac:dyDescent="0.25">
      <c r="A289" s="5" t="s">
        <v>863</v>
      </c>
      <c r="B289" s="9" t="str">
        <f>HYPERLINK("http://biobank.ctsu.ox.ac.uk/crystal/field.cgi?id=26664", "26664")</f>
        <v>26664</v>
      </c>
      <c r="C289" s="8" t="s">
        <v>865</v>
      </c>
      <c r="D289" s="8" t="s">
        <v>10040</v>
      </c>
      <c r="E289" s="8" t="s">
        <v>10436</v>
      </c>
    </row>
    <row r="290" spans="1:5" x14ac:dyDescent="0.25">
      <c r="A290" s="5" t="s">
        <v>866</v>
      </c>
      <c r="B290" s="9" t="str">
        <f>HYPERLINK("http://biobank.ctsu.ox.ac.uk/crystal/field.cgi?id=26665", "26665")</f>
        <v>26665</v>
      </c>
      <c r="C290" s="8" t="s">
        <v>868</v>
      </c>
      <c r="D290" s="8" t="s">
        <v>10040</v>
      </c>
      <c r="E290" s="8" t="s">
        <v>10437</v>
      </c>
    </row>
    <row r="291" spans="1:5" x14ac:dyDescent="0.25">
      <c r="A291" s="5" t="s">
        <v>869</v>
      </c>
      <c r="B291" s="9" t="str">
        <f>HYPERLINK("http://biobank.ctsu.ox.ac.uk/crystal/field.cgi?id=26666", "26666")</f>
        <v>26666</v>
      </c>
      <c r="C291" s="8" t="s">
        <v>871</v>
      </c>
      <c r="D291" s="8" t="s">
        <v>10040</v>
      </c>
      <c r="E291" s="8" t="s">
        <v>10438</v>
      </c>
    </row>
    <row r="292" spans="1:5" x14ac:dyDescent="0.25">
      <c r="A292" s="5" t="s">
        <v>872</v>
      </c>
      <c r="B292" s="9" t="str">
        <f>HYPERLINK("http://biobank.ctsu.ox.ac.uk/crystal/field.cgi?id=26667", "26667")</f>
        <v>26667</v>
      </c>
      <c r="C292" s="8" t="s">
        <v>874</v>
      </c>
      <c r="D292" s="8" t="s">
        <v>10040</v>
      </c>
      <c r="E292" s="8" t="s">
        <v>10439</v>
      </c>
    </row>
    <row r="293" spans="1:5" x14ac:dyDescent="0.25">
      <c r="A293" s="5" t="s">
        <v>875</v>
      </c>
      <c r="B293" s="9" t="str">
        <f>HYPERLINK("http://biobank.ctsu.ox.ac.uk/crystal/field.cgi?id=26668", "26668")</f>
        <v>26668</v>
      </c>
      <c r="C293" s="8" t="s">
        <v>877</v>
      </c>
      <c r="D293" s="8" t="s">
        <v>10040</v>
      </c>
      <c r="E293" s="8" t="s">
        <v>10440</v>
      </c>
    </row>
    <row r="294" spans="1:5" x14ac:dyDescent="0.25">
      <c r="A294" s="5" t="s">
        <v>878</v>
      </c>
      <c r="B294" s="9" t="str">
        <f>HYPERLINK("http://biobank.ctsu.ox.ac.uk/crystal/field.cgi?id=26669", "26669")</f>
        <v>26669</v>
      </c>
      <c r="C294" s="8" t="s">
        <v>880</v>
      </c>
      <c r="D294" s="8" t="s">
        <v>10040</v>
      </c>
      <c r="E294" s="8" t="s">
        <v>10441</v>
      </c>
    </row>
    <row r="295" spans="1:5" x14ac:dyDescent="0.25">
      <c r="A295" s="5" t="s">
        <v>881</v>
      </c>
      <c r="B295" s="9" t="str">
        <f>HYPERLINK("http://biobank.ctsu.ox.ac.uk/crystal/field.cgi?id=26670", "26670")</f>
        <v>26670</v>
      </c>
      <c r="C295" s="8" t="s">
        <v>883</v>
      </c>
      <c r="D295" s="8" t="s">
        <v>10040</v>
      </c>
      <c r="E295" s="8" t="s">
        <v>10442</v>
      </c>
    </row>
    <row r="296" spans="1:5" x14ac:dyDescent="0.25">
      <c r="A296" s="5" t="s">
        <v>884</v>
      </c>
      <c r="B296" s="9" t="str">
        <f>HYPERLINK("http://biobank.ctsu.ox.ac.uk/crystal/field.cgi?id=26671", "26671")</f>
        <v>26671</v>
      </c>
      <c r="C296" s="8" t="s">
        <v>886</v>
      </c>
      <c r="D296" s="8" t="s">
        <v>10040</v>
      </c>
      <c r="E296" s="8" t="s">
        <v>10443</v>
      </c>
    </row>
    <row r="297" spans="1:5" x14ac:dyDescent="0.25">
      <c r="A297" s="5" t="s">
        <v>887</v>
      </c>
      <c r="B297" s="9" t="str">
        <f>HYPERLINK("http://biobank.ctsu.ox.ac.uk/crystal/field.cgi?id=26672", "26672")</f>
        <v>26672</v>
      </c>
      <c r="C297" s="8" t="s">
        <v>889</v>
      </c>
      <c r="D297" s="8" t="s">
        <v>10040</v>
      </c>
      <c r="E297" s="8" t="s">
        <v>10444</v>
      </c>
    </row>
    <row r="298" spans="1:5" x14ac:dyDescent="0.25">
      <c r="A298" s="5" t="s">
        <v>890</v>
      </c>
      <c r="B298" s="9" t="str">
        <f>HYPERLINK("http://biobank.ctsu.ox.ac.uk/crystal/field.cgi?id=26673", "26673")</f>
        <v>26673</v>
      </c>
      <c r="C298" s="8" t="s">
        <v>892</v>
      </c>
      <c r="D298" s="8" t="s">
        <v>10040</v>
      </c>
      <c r="E298" s="8" t="s">
        <v>10445</v>
      </c>
    </row>
    <row r="299" spans="1:5" x14ac:dyDescent="0.25">
      <c r="A299" s="5" t="s">
        <v>893</v>
      </c>
      <c r="B299" s="9" t="str">
        <f>HYPERLINK("http://biobank.ctsu.ox.ac.uk/crystal/field.cgi?id=26674", "26674")</f>
        <v>26674</v>
      </c>
      <c r="C299" s="8" t="s">
        <v>895</v>
      </c>
      <c r="D299" s="8" t="s">
        <v>10040</v>
      </c>
      <c r="E299" s="8" t="s">
        <v>10446</v>
      </c>
    </row>
    <row r="300" spans="1:5" x14ac:dyDescent="0.25">
      <c r="A300" s="5" t="s">
        <v>896</v>
      </c>
      <c r="B300" s="9" t="str">
        <f>HYPERLINK("http://biobank.ctsu.ox.ac.uk/crystal/field.cgi?id=26675", "26675")</f>
        <v>26675</v>
      </c>
      <c r="C300" s="8" t="s">
        <v>898</v>
      </c>
      <c r="D300" s="8" t="s">
        <v>10040</v>
      </c>
      <c r="E300" s="8" t="s">
        <v>10447</v>
      </c>
    </row>
    <row r="301" spans="1:5" x14ac:dyDescent="0.25">
      <c r="A301" s="5" t="s">
        <v>899</v>
      </c>
      <c r="B301" s="9" t="str">
        <f>HYPERLINK("http://biobank.ctsu.ox.ac.uk/crystal/field.cgi?id=26676", "26676")</f>
        <v>26676</v>
      </c>
      <c r="C301" s="8" t="s">
        <v>901</v>
      </c>
      <c r="D301" s="8" t="s">
        <v>10040</v>
      </c>
      <c r="E301" s="8" t="s">
        <v>10448</v>
      </c>
    </row>
    <row r="302" spans="1:5" x14ac:dyDescent="0.25">
      <c r="A302" s="5" t="s">
        <v>902</v>
      </c>
      <c r="B302" s="9" t="str">
        <f>HYPERLINK("http://biobank.ctsu.ox.ac.uk/crystal/field.cgi?id=26677", "26677")</f>
        <v>26677</v>
      </c>
      <c r="C302" s="8" t="s">
        <v>904</v>
      </c>
      <c r="D302" s="8" t="s">
        <v>10040</v>
      </c>
      <c r="E302" s="8" t="s">
        <v>10449</v>
      </c>
    </row>
    <row r="303" spans="1:5" x14ac:dyDescent="0.25">
      <c r="A303" s="5" t="s">
        <v>905</v>
      </c>
      <c r="B303" s="9" t="str">
        <f>HYPERLINK("http://biobank.ctsu.ox.ac.uk/crystal/field.cgi?id=26678", "26678")</f>
        <v>26678</v>
      </c>
      <c r="C303" s="8" t="s">
        <v>907</v>
      </c>
      <c r="D303" s="8" t="s">
        <v>10040</v>
      </c>
      <c r="E303" s="8" t="s">
        <v>10450</v>
      </c>
    </row>
    <row r="304" spans="1:5" x14ac:dyDescent="0.25">
      <c r="A304" s="5" t="s">
        <v>908</v>
      </c>
      <c r="B304" s="9" t="str">
        <f>HYPERLINK("http://biobank.ctsu.ox.ac.uk/crystal/field.cgi?id=26679", "26679")</f>
        <v>26679</v>
      </c>
      <c r="C304" s="8" t="s">
        <v>910</v>
      </c>
      <c r="D304" s="8" t="s">
        <v>10040</v>
      </c>
      <c r="E304" s="8" t="s">
        <v>10451</v>
      </c>
    </row>
    <row r="305" spans="1:5" x14ac:dyDescent="0.25">
      <c r="A305" s="5" t="s">
        <v>911</v>
      </c>
      <c r="B305" s="9" t="str">
        <f>HYPERLINK("http://biobank.ctsu.ox.ac.uk/crystal/field.cgi?id=26680", "26680")</f>
        <v>26680</v>
      </c>
      <c r="C305" s="8" t="s">
        <v>913</v>
      </c>
      <c r="D305" s="8" t="s">
        <v>10040</v>
      </c>
      <c r="E305" s="8" t="s">
        <v>10452</v>
      </c>
    </row>
    <row r="306" spans="1:5" x14ac:dyDescent="0.25">
      <c r="A306" s="5" t="s">
        <v>914</v>
      </c>
      <c r="B306" s="9" t="str">
        <f>HYPERLINK("http://biobank.ctsu.ox.ac.uk/crystal/field.cgi?id=26681", "26681")</f>
        <v>26681</v>
      </c>
      <c r="C306" s="8" t="s">
        <v>916</v>
      </c>
      <c r="D306" s="8" t="s">
        <v>10040</v>
      </c>
      <c r="E306" s="8" t="s">
        <v>10453</v>
      </c>
    </row>
    <row r="307" spans="1:5" x14ac:dyDescent="0.25">
      <c r="A307" s="5" t="s">
        <v>917</v>
      </c>
      <c r="B307" s="9" t="str">
        <f>HYPERLINK("http://biobank.ctsu.ox.ac.uk/crystal/field.cgi?id=26682", "26682")</f>
        <v>26682</v>
      </c>
      <c r="C307" s="8" t="s">
        <v>919</v>
      </c>
      <c r="D307" s="8" t="s">
        <v>10040</v>
      </c>
      <c r="E307" s="8" t="s">
        <v>10454</v>
      </c>
    </row>
    <row r="308" spans="1:5" x14ac:dyDescent="0.25">
      <c r="A308" s="5" t="s">
        <v>920</v>
      </c>
      <c r="B308" s="9" t="str">
        <f>HYPERLINK("http://biobank.ctsu.ox.ac.uk/crystal/field.cgi?id=26683", "26683")</f>
        <v>26683</v>
      </c>
      <c r="C308" s="8" t="s">
        <v>922</v>
      </c>
      <c r="D308" s="8" t="s">
        <v>10040</v>
      </c>
      <c r="E308" s="8" t="s">
        <v>10455</v>
      </c>
    </row>
    <row r="309" spans="1:5" x14ac:dyDescent="0.25">
      <c r="A309" s="5" t="s">
        <v>923</v>
      </c>
      <c r="B309" s="9" t="str">
        <f>HYPERLINK("http://biobank.ctsu.ox.ac.uk/crystal/field.cgi?id=26684", "26684")</f>
        <v>26684</v>
      </c>
      <c r="C309" s="8" t="s">
        <v>925</v>
      </c>
      <c r="D309" s="8" t="s">
        <v>10040</v>
      </c>
      <c r="E309" s="8" t="s">
        <v>10456</v>
      </c>
    </row>
    <row r="310" spans="1:5" x14ac:dyDescent="0.25">
      <c r="A310" s="5" t="s">
        <v>926</v>
      </c>
      <c r="B310" s="9" t="str">
        <f>HYPERLINK("http://biobank.ctsu.ox.ac.uk/crystal/field.cgi?id=26685", "26685")</f>
        <v>26685</v>
      </c>
      <c r="C310" s="8" t="s">
        <v>928</v>
      </c>
      <c r="D310" s="8" t="s">
        <v>10040</v>
      </c>
      <c r="E310" s="8" t="s">
        <v>10457</v>
      </c>
    </row>
    <row r="311" spans="1:5" x14ac:dyDescent="0.25">
      <c r="A311" s="5" t="s">
        <v>929</v>
      </c>
      <c r="B311" s="9" t="str">
        <f>HYPERLINK("http://biobank.ctsu.ox.ac.uk/crystal/field.cgi?id=26686", "26686")</f>
        <v>26686</v>
      </c>
      <c r="C311" s="8" t="s">
        <v>931</v>
      </c>
      <c r="D311" s="8" t="s">
        <v>10040</v>
      </c>
      <c r="E311" s="8" t="s">
        <v>10458</v>
      </c>
    </row>
    <row r="312" spans="1:5" x14ac:dyDescent="0.25">
      <c r="A312" s="5" t="s">
        <v>932</v>
      </c>
      <c r="B312" s="9" t="str">
        <f>HYPERLINK("http://biobank.ctsu.ox.ac.uk/crystal/field.cgi?id=26687", "26687")</f>
        <v>26687</v>
      </c>
      <c r="C312" s="8" t="s">
        <v>934</v>
      </c>
      <c r="D312" s="8" t="s">
        <v>10040</v>
      </c>
      <c r="E312" s="8" t="s">
        <v>10459</v>
      </c>
    </row>
    <row r="313" spans="1:5" x14ac:dyDescent="0.25">
      <c r="A313" s="5" t="s">
        <v>935</v>
      </c>
      <c r="B313" s="9" t="str">
        <f>HYPERLINK("http://biobank.ctsu.ox.ac.uk/crystal/field.cgi?id=26688", "26688")</f>
        <v>26688</v>
      </c>
      <c r="C313" s="8" t="s">
        <v>937</v>
      </c>
      <c r="D313" s="8" t="s">
        <v>10040</v>
      </c>
      <c r="E313" s="8" t="s">
        <v>10460</v>
      </c>
    </row>
    <row r="314" spans="1:5" x14ac:dyDescent="0.25">
      <c r="A314" s="5" t="s">
        <v>938</v>
      </c>
      <c r="B314" s="9" t="str">
        <f>HYPERLINK("http://biobank.ctsu.ox.ac.uk/crystal/field.cgi?id=26689", "26689")</f>
        <v>26689</v>
      </c>
      <c r="C314" s="8" t="s">
        <v>940</v>
      </c>
      <c r="D314" s="8" t="s">
        <v>10040</v>
      </c>
      <c r="E314" s="8" t="s">
        <v>10461</v>
      </c>
    </row>
    <row r="315" spans="1:5" x14ac:dyDescent="0.25">
      <c r="A315" s="5" t="s">
        <v>941</v>
      </c>
      <c r="B315" s="9" t="str">
        <f>HYPERLINK("http://biobank.ctsu.ox.ac.uk/crystal/field.cgi?id=26690", "26690")</f>
        <v>26690</v>
      </c>
      <c r="C315" s="8" t="s">
        <v>943</v>
      </c>
      <c r="D315" s="8" t="s">
        <v>10040</v>
      </c>
      <c r="E315" s="8" t="s">
        <v>10462</v>
      </c>
    </row>
    <row r="316" spans="1:5" x14ac:dyDescent="0.25">
      <c r="A316" s="5" t="s">
        <v>944</v>
      </c>
      <c r="B316" s="9" t="str">
        <f>HYPERLINK("http://biobank.ctsu.ox.ac.uk/crystal/field.cgi?id=26691", "26691")</f>
        <v>26691</v>
      </c>
      <c r="C316" s="8" t="s">
        <v>946</v>
      </c>
      <c r="D316" s="8" t="s">
        <v>10040</v>
      </c>
      <c r="E316" s="8" t="s">
        <v>10463</v>
      </c>
    </row>
    <row r="317" spans="1:5" x14ac:dyDescent="0.25">
      <c r="A317" s="5" t="s">
        <v>947</v>
      </c>
      <c r="B317" s="9" t="str">
        <f>HYPERLINK("http://biobank.ctsu.ox.ac.uk/crystal/field.cgi?id=26692", "26692")</f>
        <v>26692</v>
      </c>
      <c r="C317" s="8" t="s">
        <v>949</v>
      </c>
      <c r="D317" s="8" t="s">
        <v>10040</v>
      </c>
      <c r="E317" s="8" t="s">
        <v>10464</v>
      </c>
    </row>
    <row r="318" spans="1:5" x14ac:dyDescent="0.25">
      <c r="A318" s="5" t="s">
        <v>950</v>
      </c>
      <c r="B318" s="9" t="str">
        <f>HYPERLINK("http://biobank.ctsu.ox.ac.uk/crystal/field.cgi?id=26693", "26693")</f>
        <v>26693</v>
      </c>
      <c r="C318" s="8" t="s">
        <v>952</v>
      </c>
      <c r="D318" s="8" t="s">
        <v>10040</v>
      </c>
      <c r="E318" s="8" t="s">
        <v>10465</v>
      </c>
    </row>
    <row r="319" spans="1:5" x14ac:dyDescent="0.25">
      <c r="A319" s="5" t="s">
        <v>953</v>
      </c>
      <c r="B319" s="9" t="str">
        <f>HYPERLINK("http://biobank.ctsu.ox.ac.uk/crystal/field.cgi?id=26694", "26694")</f>
        <v>26694</v>
      </c>
      <c r="C319" s="8" t="s">
        <v>955</v>
      </c>
      <c r="D319" s="8" t="s">
        <v>10040</v>
      </c>
      <c r="E319" s="8" t="s">
        <v>10466</v>
      </c>
    </row>
    <row r="320" spans="1:5" x14ac:dyDescent="0.25">
      <c r="A320" s="5" t="s">
        <v>956</v>
      </c>
      <c r="B320" s="9" t="str">
        <f>HYPERLINK("http://biobank.ctsu.ox.ac.uk/crystal/field.cgi?id=26695", "26695")</f>
        <v>26695</v>
      </c>
      <c r="C320" s="8" t="s">
        <v>958</v>
      </c>
      <c r="D320" s="8" t="s">
        <v>10040</v>
      </c>
      <c r="E320" s="8" t="s">
        <v>10467</v>
      </c>
    </row>
    <row r="321" spans="1:5" x14ac:dyDescent="0.25">
      <c r="A321" s="5" t="s">
        <v>959</v>
      </c>
      <c r="B321" s="9" t="str">
        <f>HYPERLINK("http://biobank.ctsu.ox.ac.uk/crystal/field.cgi?id=26696", "26696")</f>
        <v>26696</v>
      </c>
      <c r="C321" s="8" t="s">
        <v>961</v>
      </c>
      <c r="D321" s="8" t="s">
        <v>10040</v>
      </c>
      <c r="E321" s="8" t="s">
        <v>10468</v>
      </c>
    </row>
    <row r="322" spans="1:5" x14ac:dyDescent="0.25">
      <c r="A322" s="5" t="s">
        <v>962</v>
      </c>
      <c r="B322" s="9" t="str">
        <f>HYPERLINK("http://biobank.ctsu.ox.ac.uk/crystal/field.cgi?id=26697", "26697")</f>
        <v>26697</v>
      </c>
      <c r="C322" s="8" t="s">
        <v>964</v>
      </c>
      <c r="D322" s="8" t="s">
        <v>10040</v>
      </c>
      <c r="E322" s="8" t="s">
        <v>10469</v>
      </c>
    </row>
    <row r="323" spans="1:5" x14ac:dyDescent="0.25">
      <c r="A323" s="5" t="s">
        <v>965</v>
      </c>
      <c r="B323" s="9" t="str">
        <f>HYPERLINK("http://biobank.ctsu.ox.ac.uk/crystal/field.cgi?id=26698", "26698")</f>
        <v>26698</v>
      </c>
      <c r="C323" s="8" t="s">
        <v>967</v>
      </c>
      <c r="D323" s="8" t="s">
        <v>10040</v>
      </c>
      <c r="E323" s="8" t="s">
        <v>10470</v>
      </c>
    </row>
    <row r="324" spans="1:5" x14ac:dyDescent="0.25">
      <c r="A324" s="5" t="s">
        <v>968</v>
      </c>
      <c r="B324" s="9" t="str">
        <f>HYPERLINK("http://biobank.ctsu.ox.ac.uk/crystal/field.cgi?id=26699", "26699")</f>
        <v>26699</v>
      </c>
      <c r="C324" s="8" t="s">
        <v>970</v>
      </c>
      <c r="D324" s="8" t="s">
        <v>10040</v>
      </c>
      <c r="E324" s="8" t="s">
        <v>10471</v>
      </c>
    </row>
    <row r="325" spans="1:5" x14ac:dyDescent="0.25">
      <c r="A325" s="5" t="s">
        <v>971</v>
      </c>
      <c r="B325" s="9" t="str">
        <f>HYPERLINK("http://biobank.ctsu.ox.ac.uk/crystal/field.cgi?id=26700", "26700")</f>
        <v>26700</v>
      </c>
      <c r="C325" s="8" t="s">
        <v>973</v>
      </c>
      <c r="D325" s="8" t="s">
        <v>10040</v>
      </c>
      <c r="E325" s="8" t="s">
        <v>10472</v>
      </c>
    </row>
    <row r="326" spans="1:5" x14ac:dyDescent="0.25">
      <c r="A326" s="5" t="s">
        <v>974</v>
      </c>
      <c r="B326" s="9" t="str">
        <f>HYPERLINK("http://biobank.ctsu.ox.ac.uk/crystal/field.cgi?id=26701", "26701")</f>
        <v>26701</v>
      </c>
      <c r="C326" s="8" t="s">
        <v>976</v>
      </c>
      <c r="D326" s="8" t="s">
        <v>10040</v>
      </c>
      <c r="E326" s="8" t="s">
        <v>10473</v>
      </c>
    </row>
    <row r="327" spans="1:5" x14ac:dyDescent="0.25">
      <c r="A327" s="5" t="s">
        <v>977</v>
      </c>
      <c r="B327" s="9" t="str">
        <f>HYPERLINK("http://biobank.ctsu.ox.ac.uk/crystal/field.cgi?id=26702", "26702")</f>
        <v>26702</v>
      </c>
      <c r="C327" s="8" t="s">
        <v>979</v>
      </c>
      <c r="D327" s="8" t="s">
        <v>10040</v>
      </c>
      <c r="E327" s="8" t="s">
        <v>10474</v>
      </c>
    </row>
    <row r="328" spans="1:5" x14ac:dyDescent="0.25">
      <c r="A328" s="5" t="s">
        <v>980</v>
      </c>
      <c r="B328" s="9" t="str">
        <f>HYPERLINK("http://biobank.ctsu.ox.ac.uk/crystal/field.cgi?id=26703", "26703")</f>
        <v>26703</v>
      </c>
      <c r="C328" s="8" t="s">
        <v>982</v>
      </c>
      <c r="D328" s="8" t="s">
        <v>10040</v>
      </c>
      <c r="E328" s="8" t="s">
        <v>10475</v>
      </c>
    </row>
    <row r="329" spans="1:5" x14ac:dyDescent="0.25">
      <c r="A329" s="5" t="s">
        <v>983</v>
      </c>
      <c r="B329" s="9" t="str">
        <f>HYPERLINK("http://biobank.ctsu.ox.ac.uk/crystal/field.cgi?id=26704", "26704")</f>
        <v>26704</v>
      </c>
      <c r="C329" s="8" t="s">
        <v>985</v>
      </c>
      <c r="D329" s="8" t="s">
        <v>10040</v>
      </c>
      <c r="E329" s="8" t="s">
        <v>10476</v>
      </c>
    </row>
    <row r="330" spans="1:5" x14ac:dyDescent="0.25">
      <c r="A330" s="5" t="s">
        <v>986</v>
      </c>
      <c r="B330" s="9" t="str">
        <f>HYPERLINK("http://biobank.ctsu.ox.ac.uk/crystal/field.cgi?id=26705", "26705")</f>
        <v>26705</v>
      </c>
      <c r="C330" s="8" t="s">
        <v>988</v>
      </c>
      <c r="D330" s="8" t="s">
        <v>10040</v>
      </c>
      <c r="E330" s="8" t="s">
        <v>10477</v>
      </c>
    </row>
    <row r="331" spans="1:5" x14ac:dyDescent="0.25">
      <c r="A331" s="5" t="s">
        <v>989</v>
      </c>
      <c r="B331" s="9" t="str">
        <f>HYPERLINK("http://biobank.ctsu.ox.ac.uk/crystal/field.cgi?id=26706", "26706")</f>
        <v>26706</v>
      </c>
      <c r="C331" s="8" t="s">
        <v>991</v>
      </c>
      <c r="D331" s="8" t="s">
        <v>10040</v>
      </c>
      <c r="E331" s="8" t="s">
        <v>10478</v>
      </c>
    </row>
    <row r="332" spans="1:5" x14ac:dyDescent="0.25">
      <c r="A332" s="5" t="s">
        <v>992</v>
      </c>
      <c r="B332" s="9" t="str">
        <f>HYPERLINK("http://biobank.ctsu.ox.ac.uk/crystal/field.cgi?id=26707", "26707")</f>
        <v>26707</v>
      </c>
      <c r="C332" s="8" t="s">
        <v>994</v>
      </c>
      <c r="D332" s="8" t="s">
        <v>10040</v>
      </c>
      <c r="E332" s="8" t="s">
        <v>10479</v>
      </c>
    </row>
    <row r="333" spans="1:5" x14ac:dyDescent="0.25">
      <c r="A333" s="5" t="s">
        <v>995</v>
      </c>
      <c r="B333" s="9" t="str">
        <f>HYPERLINK("http://biobank.ctsu.ox.ac.uk/crystal/field.cgi?id=26708", "26708")</f>
        <v>26708</v>
      </c>
      <c r="C333" s="8" t="s">
        <v>997</v>
      </c>
      <c r="D333" s="8" t="s">
        <v>10040</v>
      </c>
      <c r="E333" s="8" t="s">
        <v>10480</v>
      </c>
    </row>
    <row r="334" spans="1:5" x14ac:dyDescent="0.25">
      <c r="A334" s="5" t="s">
        <v>998</v>
      </c>
      <c r="B334" s="9" t="str">
        <f>HYPERLINK("http://biobank.ctsu.ox.ac.uk/crystal/field.cgi?id=26709", "26709")</f>
        <v>26709</v>
      </c>
      <c r="C334" s="8" t="s">
        <v>1000</v>
      </c>
      <c r="D334" s="8" t="s">
        <v>10040</v>
      </c>
      <c r="E334" s="8" t="s">
        <v>10481</v>
      </c>
    </row>
    <row r="335" spans="1:5" x14ac:dyDescent="0.25">
      <c r="A335" s="5" t="s">
        <v>1001</v>
      </c>
      <c r="B335" s="9" t="str">
        <f>HYPERLINK("http://biobank.ctsu.ox.ac.uk/crystal/field.cgi?id=26710", "26710")</f>
        <v>26710</v>
      </c>
      <c r="C335" s="8" t="s">
        <v>1003</v>
      </c>
      <c r="D335" s="8" t="s">
        <v>10040</v>
      </c>
      <c r="E335" s="8" t="s">
        <v>10482</v>
      </c>
    </row>
    <row r="336" spans="1:5" x14ac:dyDescent="0.25">
      <c r="A336" s="5" t="s">
        <v>1004</v>
      </c>
      <c r="B336" s="9" t="str">
        <f>HYPERLINK("http://biobank.ctsu.ox.ac.uk/crystal/field.cgi?id=26711", "26711")</f>
        <v>26711</v>
      </c>
      <c r="C336" s="8" t="s">
        <v>1006</v>
      </c>
      <c r="D336" s="8" t="s">
        <v>10040</v>
      </c>
      <c r="E336" s="8" t="s">
        <v>10483</v>
      </c>
    </row>
    <row r="337" spans="1:5" x14ac:dyDescent="0.25">
      <c r="A337" s="5" t="s">
        <v>1007</v>
      </c>
      <c r="B337" s="9" t="str">
        <f>HYPERLINK("http://biobank.ctsu.ox.ac.uk/crystal/field.cgi?id=26712", "26712")</f>
        <v>26712</v>
      </c>
      <c r="C337" s="8" t="s">
        <v>1009</v>
      </c>
      <c r="D337" s="8" t="s">
        <v>10040</v>
      </c>
      <c r="E337" s="8" t="s">
        <v>10484</v>
      </c>
    </row>
    <row r="338" spans="1:5" x14ac:dyDescent="0.25">
      <c r="A338" s="5" t="s">
        <v>1010</v>
      </c>
      <c r="B338" s="9" t="str">
        <f>HYPERLINK("http://biobank.ctsu.ox.ac.uk/crystal/field.cgi?id=26713", "26713")</f>
        <v>26713</v>
      </c>
      <c r="C338" s="8" t="s">
        <v>1012</v>
      </c>
      <c r="D338" s="8" t="s">
        <v>10040</v>
      </c>
      <c r="E338" s="8" t="s">
        <v>10485</v>
      </c>
    </row>
    <row r="339" spans="1:5" x14ac:dyDescent="0.25">
      <c r="A339" s="5" t="s">
        <v>1013</v>
      </c>
      <c r="B339" s="9" t="str">
        <f>HYPERLINK("http://biobank.ctsu.ox.ac.uk/crystal/field.cgi?id=26714", "26714")</f>
        <v>26714</v>
      </c>
      <c r="C339" s="8" t="s">
        <v>1015</v>
      </c>
      <c r="D339" s="8" t="s">
        <v>10040</v>
      </c>
      <c r="E339" s="8" t="s">
        <v>10486</v>
      </c>
    </row>
    <row r="340" spans="1:5" x14ac:dyDescent="0.25">
      <c r="A340" s="5" t="s">
        <v>1016</v>
      </c>
      <c r="B340" s="9" t="str">
        <f>HYPERLINK("http://biobank.ctsu.ox.ac.uk/crystal/field.cgi?id=26715", "26715")</f>
        <v>26715</v>
      </c>
      <c r="C340" s="8" t="s">
        <v>1018</v>
      </c>
      <c r="D340" s="8" t="s">
        <v>10040</v>
      </c>
      <c r="E340" s="8" t="s">
        <v>10487</v>
      </c>
    </row>
    <row r="341" spans="1:5" x14ac:dyDescent="0.25">
      <c r="A341" s="5" t="s">
        <v>1019</v>
      </c>
      <c r="B341" s="9" t="str">
        <f>HYPERLINK("http://biobank.ctsu.ox.ac.uk/crystal/field.cgi?id=26716", "26716")</f>
        <v>26716</v>
      </c>
      <c r="C341" s="8" t="s">
        <v>1021</v>
      </c>
      <c r="D341" s="8" t="s">
        <v>10040</v>
      </c>
      <c r="E341" s="8" t="s">
        <v>10488</v>
      </c>
    </row>
    <row r="342" spans="1:5" x14ac:dyDescent="0.25">
      <c r="A342" s="5" t="s">
        <v>1022</v>
      </c>
      <c r="B342" s="9" t="str">
        <f>HYPERLINK("http://biobank.ctsu.ox.ac.uk/crystal/field.cgi?id=26717", "26717")</f>
        <v>26717</v>
      </c>
      <c r="C342" s="8" t="s">
        <v>1024</v>
      </c>
      <c r="D342" s="8" t="s">
        <v>10040</v>
      </c>
      <c r="E342" s="8" t="s">
        <v>10489</v>
      </c>
    </row>
    <row r="343" spans="1:5" x14ac:dyDescent="0.25">
      <c r="A343" s="5" t="s">
        <v>1025</v>
      </c>
      <c r="B343" s="9" t="str">
        <f>HYPERLINK("http://biobank.ctsu.ox.ac.uk/crystal/field.cgi?id=26718", "26718")</f>
        <v>26718</v>
      </c>
      <c r="C343" s="8" t="s">
        <v>1027</v>
      </c>
      <c r="D343" s="8" t="s">
        <v>10040</v>
      </c>
      <c r="E343" s="8" t="s">
        <v>10490</v>
      </c>
    </row>
    <row r="344" spans="1:5" x14ac:dyDescent="0.25">
      <c r="A344" s="5" t="s">
        <v>1028</v>
      </c>
      <c r="B344" s="9" t="str">
        <f>HYPERLINK("http://biobank.ctsu.ox.ac.uk/crystal/field.cgi?id=26719", "26719")</f>
        <v>26719</v>
      </c>
      <c r="C344" s="8" t="s">
        <v>1030</v>
      </c>
      <c r="D344" s="8" t="s">
        <v>10040</v>
      </c>
      <c r="E344" s="8" t="s">
        <v>10491</v>
      </c>
    </row>
    <row r="345" spans="1:5" x14ac:dyDescent="0.25">
      <c r="A345" s="5" t="s">
        <v>1031</v>
      </c>
      <c r="B345" s="9" t="str">
        <f>HYPERLINK("http://biobank.ctsu.ox.ac.uk/crystal/field.cgi?id=26720", "26720")</f>
        <v>26720</v>
      </c>
      <c r="C345" s="8" t="s">
        <v>1033</v>
      </c>
      <c r="D345" s="8" t="s">
        <v>10040</v>
      </c>
      <c r="E345" s="8" t="s">
        <v>10492</v>
      </c>
    </row>
    <row r="346" spans="1:5" x14ac:dyDescent="0.25">
      <c r="A346" s="5" t="s">
        <v>1034</v>
      </c>
      <c r="B346" s="9" t="str">
        <f>HYPERLINK("http://biobank.ctsu.ox.ac.uk/crystal/field.cgi?id=26789", "26789")</f>
        <v>26789</v>
      </c>
      <c r="C346" s="8" t="s">
        <v>1036</v>
      </c>
      <c r="D346" s="8" t="s">
        <v>10040</v>
      </c>
      <c r="E346" s="8" t="s">
        <v>10493</v>
      </c>
    </row>
    <row r="347" spans="1:5" x14ac:dyDescent="0.25">
      <c r="A347" s="5" t="s">
        <v>1037</v>
      </c>
      <c r="B347" s="9" t="str">
        <f>HYPERLINK("http://biobank.ctsu.ox.ac.uk/crystal/field.cgi?id=26790", "26790")</f>
        <v>26790</v>
      </c>
      <c r="C347" s="8" t="s">
        <v>1039</v>
      </c>
      <c r="D347" s="8" t="s">
        <v>10040</v>
      </c>
      <c r="E347" s="8" t="s">
        <v>10494</v>
      </c>
    </row>
    <row r="348" spans="1:5" x14ac:dyDescent="0.25">
      <c r="A348" s="5" t="s">
        <v>1040</v>
      </c>
      <c r="B348" s="9" t="str">
        <f>HYPERLINK("http://biobank.ctsu.ox.ac.uk/crystal/field.cgi?id=26791", "26791")</f>
        <v>26791</v>
      </c>
      <c r="C348" s="8" t="s">
        <v>1042</v>
      </c>
      <c r="D348" s="8" t="s">
        <v>10040</v>
      </c>
      <c r="E348" s="8" t="s">
        <v>10495</v>
      </c>
    </row>
    <row r="349" spans="1:5" x14ac:dyDescent="0.25">
      <c r="A349" s="5" t="s">
        <v>1043</v>
      </c>
      <c r="B349" s="9" t="str">
        <f>HYPERLINK("http://biobank.ctsu.ox.ac.uk/crystal/field.cgi?id=26792", "26792")</f>
        <v>26792</v>
      </c>
      <c r="C349" s="8" t="s">
        <v>1045</v>
      </c>
      <c r="D349" s="8" t="s">
        <v>10040</v>
      </c>
      <c r="E349" s="8" t="s">
        <v>10496</v>
      </c>
    </row>
    <row r="350" spans="1:5" x14ac:dyDescent="0.25">
      <c r="A350" s="5" t="s">
        <v>1046</v>
      </c>
      <c r="B350" s="9" t="str">
        <f>HYPERLINK("http://biobank.ctsu.ox.ac.uk/crystal/field.cgi?id=26793", "26793")</f>
        <v>26793</v>
      </c>
      <c r="C350" s="8" t="s">
        <v>1048</v>
      </c>
      <c r="D350" s="8" t="s">
        <v>10040</v>
      </c>
      <c r="E350" s="8" t="s">
        <v>10497</v>
      </c>
    </row>
    <row r="351" spans="1:5" x14ac:dyDescent="0.25">
      <c r="A351" s="5" t="s">
        <v>1049</v>
      </c>
      <c r="B351" s="9" t="str">
        <f>HYPERLINK("http://biobank.ctsu.ox.ac.uk/crystal/field.cgi?id=26794", "26794")</f>
        <v>26794</v>
      </c>
      <c r="C351" s="8" t="s">
        <v>1051</v>
      </c>
      <c r="D351" s="8" t="s">
        <v>10040</v>
      </c>
      <c r="E351" s="8" t="s">
        <v>10498</v>
      </c>
    </row>
    <row r="352" spans="1:5" x14ac:dyDescent="0.25">
      <c r="A352" s="5" t="s">
        <v>1052</v>
      </c>
      <c r="B352" s="9" t="str">
        <f>HYPERLINK("http://biobank.ctsu.ox.ac.uk/crystal/field.cgi?id=26795", "26795")</f>
        <v>26795</v>
      </c>
      <c r="C352" s="8" t="s">
        <v>1054</v>
      </c>
      <c r="D352" s="8" t="s">
        <v>10040</v>
      </c>
      <c r="E352" s="8" t="s">
        <v>10499</v>
      </c>
    </row>
    <row r="353" spans="1:5" x14ac:dyDescent="0.25">
      <c r="A353" s="5" t="s">
        <v>1055</v>
      </c>
      <c r="B353" s="9" t="str">
        <f>HYPERLINK("http://biobank.ctsu.ox.ac.uk/crystal/field.cgi?id=26796", "26796")</f>
        <v>26796</v>
      </c>
      <c r="C353" s="8" t="s">
        <v>1057</v>
      </c>
      <c r="D353" s="8" t="s">
        <v>10040</v>
      </c>
      <c r="E353" s="8" t="s">
        <v>10500</v>
      </c>
    </row>
    <row r="354" spans="1:5" x14ac:dyDescent="0.25">
      <c r="A354" s="5" t="s">
        <v>1058</v>
      </c>
      <c r="B354" s="9" t="str">
        <f>HYPERLINK("http://biobank.ctsu.ox.ac.uk/crystal/field.cgi?id=26797", "26797")</f>
        <v>26797</v>
      </c>
      <c r="C354" s="8" t="s">
        <v>1060</v>
      </c>
      <c r="D354" s="8" t="s">
        <v>10040</v>
      </c>
      <c r="E354" s="8" t="s">
        <v>10501</v>
      </c>
    </row>
    <row r="355" spans="1:5" x14ac:dyDescent="0.25">
      <c r="A355" s="5" t="s">
        <v>1061</v>
      </c>
      <c r="B355" s="9" t="str">
        <f>HYPERLINK("http://biobank.ctsu.ox.ac.uk/crystal/field.cgi?id=26798", "26798")</f>
        <v>26798</v>
      </c>
      <c r="C355" s="8" t="s">
        <v>1063</v>
      </c>
      <c r="D355" s="8" t="s">
        <v>10040</v>
      </c>
      <c r="E355" s="8" t="s">
        <v>10502</v>
      </c>
    </row>
    <row r="356" spans="1:5" x14ac:dyDescent="0.25">
      <c r="A356" s="5" t="s">
        <v>1064</v>
      </c>
      <c r="B356" s="9" t="str">
        <f>HYPERLINK("http://biobank.ctsu.ox.ac.uk/crystal/field.cgi?id=26799", "26799")</f>
        <v>26799</v>
      </c>
      <c r="C356" s="8" t="s">
        <v>1066</v>
      </c>
      <c r="D356" s="8" t="s">
        <v>10040</v>
      </c>
      <c r="E356" s="8" t="s">
        <v>10503</v>
      </c>
    </row>
    <row r="357" spans="1:5" x14ac:dyDescent="0.25">
      <c r="A357" s="5" t="s">
        <v>1067</v>
      </c>
      <c r="B357" s="9" t="str">
        <f>HYPERLINK("http://biobank.ctsu.ox.ac.uk/crystal/field.cgi?id=26800", "26800")</f>
        <v>26800</v>
      </c>
      <c r="C357" s="8" t="s">
        <v>1069</v>
      </c>
      <c r="D357" s="8" t="s">
        <v>10040</v>
      </c>
      <c r="E357" s="8" t="s">
        <v>10504</v>
      </c>
    </row>
    <row r="358" spans="1:5" x14ac:dyDescent="0.25">
      <c r="A358" s="5" t="s">
        <v>1070</v>
      </c>
      <c r="B358" s="9" t="str">
        <f>HYPERLINK("http://biobank.ctsu.ox.ac.uk/crystal/field.cgi?id=26801", "26801")</f>
        <v>26801</v>
      </c>
      <c r="C358" s="8" t="s">
        <v>1072</v>
      </c>
      <c r="D358" s="8" t="s">
        <v>10040</v>
      </c>
      <c r="E358" s="8" t="s">
        <v>10505</v>
      </c>
    </row>
    <row r="359" spans="1:5" x14ac:dyDescent="0.25">
      <c r="A359" s="5" t="s">
        <v>1073</v>
      </c>
      <c r="B359" s="9" t="str">
        <f>HYPERLINK("http://biobank.ctsu.ox.ac.uk/crystal/field.cgi?id=26802", "26802")</f>
        <v>26802</v>
      </c>
      <c r="C359" s="8" t="s">
        <v>1075</v>
      </c>
      <c r="D359" s="8" t="s">
        <v>10040</v>
      </c>
      <c r="E359" s="8" t="s">
        <v>10506</v>
      </c>
    </row>
    <row r="360" spans="1:5" x14ac:dyDescent="0.25">
      <c r="A360" s="5" t="s">
        <v>1076</v>
      </c>
      <c r="B360" s="9" t="str">
        <f>HYPERLINK("http://biobank.ctsu.ox.ac.uk/crystal/field.cgi?id=26803", "26803")</f>
        <v>26803</v>
      </c>
      <c r="C360" s="8" t="s">
        <v>1078</v>
      </c>
      <c r="D360" s="8" t="s">
        <v>10040</v>
      </c>
      <c r="E360" s="8" t="s">
        <v>10507</v>
      </c>
    </row>
    <row r="361" spans="1:5" x14ac:dyDescent="0.25">
      <c r="A361" s="5" t="s">
        <v>1079</v>
      </c>
      <c r="B361" s="9" t="str">
        <f>HYPERLINK("http://biobank.ctsu.ox.ac.uk/crystal/field.cgi?id=26804", "26804")</f>
        <v>26804</v>
      </c>
      <c r="C361" s="8" t="s">
        <v>1081</v>
      </c>
      <c r="D361" s="8" t="s">
        <v>10040</v>
      </c>
      <c r="E361" s="8" t="s">
        <v>10508</v>
      </c>
    </row>
    <row r="362" spans="1:5" x14ac:dyDescent="0.25">
      <c r="A362" s="5" t="s">
        <v>1082</v>
      </c>
      <c r="B362" s="9" t="str">
        <f>HYPERLINK("http://biobank.ctsu.ox.ac.uk/crystal/field.cgi?id=26805", "26805")</f>
        <v>26805</v>
      </c>
      <c r="C362" s="8" t="s">
        <v>1084</v>
      </c>
      <c r="D362" s="8" t="s">
        <v>10040</v>
      </c>
      <c r="E362" s="8" t="s">
        <v>10509</v>
      </c>
    </row>
    <row r="363" spans="1:5" x14ac:dyDescent="0.25">
      <c r="A363" s="5" t="s">
        <v>1085</v>
      </c>
      <c r="B363" s="9" t="str">
        <f>HYPERLINK("http://biobank.ctsu.ox.ac.uk/crystal/field.cgi?id=26806", "26806")</f>
        <v>26806</v>
      </c>
      <c r="C363" s="8" t="s">
        <v>1087</v>
      </c>
      <c r="D363" s="8" t="s">
        <v>10040</v>
      </c>
      <c r="E363" s="8" t="s">
        <v>10510</v>
      </c>
    </row>
    <row r="364" spans="1:5" x14ac:dyDescent="0.25">
      <c r="A364" s="5" t="s">
        <v>1088</v>
      </c>
      <c r="B364" s="9" t="str">
        <f>HYPERLINK("http://biobank.ctsu.ox.ac.uk/crystal/field.cgi?id=26807", "26807")</f>
        <v>26807</v>
      </c>
      <c r="C364" s="8" t="s">
        <v>1090</v>
      </c>
      <c r="D364" s="8" t="s">
        <v>10040</v>
      </c>
      <c r="E364" s="8" t="s">
        <v>10511</v>
      </c>
    </row>
    <row r="365" spans="1:5" x14ac:dyDescent="0.25">
      <c r="A365" s="5" t="s">
        <v>1091</v>
      </c>
      <c r="B365" s="9" t="str">
        <f>HYPERLINK("http://biobank.ctsu.ox.ac.uk/crystal/field.cgi?id=26808", "26808")</f>
        <v>26808</v>
      </c>
      <c r="C365" s="8" t="s">
        <v>1093</v>
      </c>
      <c r="D365" s="8" t="s">
        <v>10040</v>
      </c>
      <c r="E365" s="8" t="s">
        <v>10512</v>
      </c>
    </row>
    <row r="366" spans="1:5" x14ac:dyDescent="0.25">
      <c r="A366" s="5" t="s">
        <v>1094</v>
      </c>
      <c r="B366" s="9" t="str">
        <f>HYPERLINK("http://biobank.ctsu.ox.ac.uk/crystal/field.cgi?id=26809", "26809")</f>
        <v>26809</v>
      </c>
      <c r="C366" s="8" t="s">
        <v>1096</v>
      </c>
      <c r="D366" s="8" t="s">
        <v>10040</v>
      </c>
      <c r="E366" s="8" t="s">
        <v>10513</v>
      </c>
    </row>
    <row r="367" spans="1:5" x14ac:dyDescent="0.25">
      <c r="A367" s="5" t="s">
        <v>1097</v>
      </c>
      <c r="B367" s="9" t="str">
        <f>HYPERLINK("http://biobank.ctsu.ox.ac.uk/crystal/field.cgi?id=26810", "26810")</f>
        <v>26810</v>
      </c>
      <c r="C367" s="8" t="s">
        <v>1099</v>
      </c>
      <c r="D367" s="8" t="s">
        <v>10040</v>
      </c>
      <c r="E367" s="8" t="s">
        <v>10514</v>
      </c>
    </row>
    <row r="368" spans="1:5" x14ac:dyDescent="0.25">
      <c r="A368" s="5" t="s">
        <v>1100</v>
      </c>
      <c r="B368" s="9" t="str">
        <f>HYPERLINK("http://biobank.ctsu.ox.ac.uk/crystal/field.cgi?id=26811", "26811")</f>
        <v>26811</v>
      </c>
      <c r="C368" s="8" t="s">
        <v>1102</v>
      </c>
      <c r="D368" s="8" t="s">
        <v>10040</v>
      </c>
      <c r="E368" s="8" t="s">
        <v>10515</v>
      </c>
    </row>
    <row r="369" spans="1:5" x14ac:dyDescent="0.25">
      <c r="A369" s="5" t="s">
        <v>1103</v>
      </c>
      <c r="B369" s="9" t="str">
        <f>HYPERLINK("http://biobank.ctsu.ox.ac.uk/crystal/field.cgi?id=26812", "26812")</f>
        <v>26812</v>
      </c>
      <c r="C369" s="8" t="s">
        <v>1105</v>
      </c>
      <c r="D369" s="8" t="s">
        <v>10040</v>
      </c>
      <c r="E369" s="8" t="s">
        <v>10516</v>
      </c>
    </row>
    <row r="370" spans="1:5" x14ac:dyDescent="0.25">
      <c r="A370" s="5" t="s">
        <v>1106</v>
      </c>
      <c r="B370" s="9" t="str">
        <f>HYPERLINK("http://biobank.ctsu.ox.ac.uk/crystal/field.cgi?id=26813", "26813")</f>
        <v>26813</v>
      </c>
      <c r="C370" s="8" t="s">
        <v>1108</v>
      </c>
      <c r="D370" s="8" t="s">
        <v>10040</v>
      </c>
      <c r="E370" s="8" t="s">
        <v>10517</v>
      </c>
    </row>
    <row r="371" spans="1:5" x14ac:dyDescent="0.25">
      <c r="A371" s="5" t="s">
        <v>1109</v>
      </c>
      <c r="B371" s="9" t="str">
        <f>HYPERLINK("http://biobank.ctsu.ox.ac.uk/crystal/field.cgi?id=26814", "26814")</f>
        <v>26814</v>
      </c>
      <c r="C371" s="8" t="s">
        <v>1111</v>
      </c>
      <c r="D371" s="8" t="s">
        <v>10040</v>
      </c>
      <c r="E371" s="8" t="s">
        <v>10518</v>
      </c>
    </row>
    <row r="372" spans="1:5" x14ac:dyDescent="0.25">
      <c r="A372" s="5" t="s">
        <v>1112</v>
      </c>
      <c r="B372" s="9" t="str">
        <f>HYPERLINK("http://biobank.ctsu.ox.ac.uk/crystal/field.cgi?id=26815", "26815")</f>
        <v>26815</v>
      </c>
      <c r="C372" s="8" t="s">
        <v>1114</v>
      </c>
      <c r="D372" s="8" t="s">
        <v>10040</v>
      </c>
      <c r="E372" s="8" t="s">
        <v>10519</v>
      </c>
    </row>
    <row r="373" spans="1:5" x14ac:dyDescent="0.25">
      <c r="A373" s="5" t="s">
        <v>1115</v>
      </c>
      <c r="B373" s="9" t="str">
        <f>HYPERLINK("http://biobank.ctsu.ox.ac.uk/crystal/field.cgi?id=26816", "26816")</f>
        <v>26816</v>
      </c>
      <c r="C373" s="8" t="s">
        <v>1117</v>
      </c>
      <c r="D373" s="8" t="s">
        <v>10040</v>
      </c>
      <c r="E373" s="8" t="s">
        <v>10520</v>
      </c>
    </row>
    <row r="374" spans="1:5" x14ac:dyDescent="0.25">
      <c r="A374" s="5" t="s">
        <v>1118</v>
      </c>
      <c r="B374" s="9" t="str">
        <f>HYPERLINK("http://biobank.ctsu.ox.ac.uk/crystal/field.cgi?id=26817", "26817")</f>
        <v>26817</v>
      </c>
      <c r="C374" s="8" t="s">
        <v>1120</v>
      </c>
      <c r="D374" s="8" t="s">
        <v>10040</v>
      </c>
      <c r="E374" s="8" t="s">
        <v>10521</v>
      </c>
    </row>
    <row r="375" spans="1:5" x14ac:dyDescent="0.25">
      <c r="A375" s="5" t="s">
        <v>1121</v>
      </c>
      <c r="B375" s="9" t="str">
        <f>HYPERLINK("http://biobank.ctsu.ox.ac.uk/crystal/field.cgi?id=26818", "26818")</f>
        <v>26818</v>
      </c>
      <c r="C375" s="8" t="s">
        <v>1123</v>
      </c>
      <c r="D375" s="8" t="s">
        <v>10040</v>
      </c>
      <c r="E375" s="8" t="s">
        <v>10522</v>
      </c>
    </row>
    <row r="376" spans="1:5" x14ac:dyDescent="0.25">
      <c r="A376" s="5" t="s">
        <v>1124</v>
      </c>
      <c r="B376" s="9" t="str">
        <f>HYPERLINK("http://biobank.ctsu.ox.ac.uk/crystal/field.cgi?id=26819", "26819")</f>
        <v>26819</v>
      </c>
      <c r="C376" s="8" t="s">
        <v>1126</v>
      </c>
      <c r="D376" s="8" t="s">
        <v>10040</v>
      </c>
      <c r="E376" s="8" t="s">
        <v>10523</v>
      </c>
    </row>
    <row r="377" spans="1:5" x14ac:dyDescent="0.25">
      <c r="A377" s="5" t="s">
        <v>1127</v>
      </c>
      <c r="B377" s="9" t="str">
        <f>HYPERLINK("http://biobank.ctsu.ox.ac.uk/crystal/field.cgi?id=26820", "26820")</f>
        <v>26820</v>
      </c>
      <c r="C377" s="8" t="s">
        <v>1129</v>
      </c>
      <c r="D377" s="8" t="s">
        <v>10040</v>
      </c>
      <c r="E377" s="8" t="s">
        <v>10524</v>
      </c>
    </row>
    <row r="378" spans="1:5" x14ac:dyDescent="0.25">
      <c r="A378" s="5" t="s">
        <v>1130</v>
      </c>
      <c r="B378" s="9" t="str">
        <f>HYPERLINK("http://biobank.ctsu.ox.ac.uk/crystal/field.cgi?id=26821", "26821")</f>
        <v>26821</v>
      </c>
      <c r="C378" s="8" t="s">
        <v>1132</v>
      </c>
      <c r="D378" s="8" t="s">
        <v>10040</v>
      </c>
      <c r="E378" s="8" t="s">
        <v>10525</v>
      </c>
    </row>
    <row r="379" spans="1:5" x14ac:dyDescent="0.25">
      <c r="A379" s="5" t="s">
        <v>1133</v>
      </c>
      <c r="B379" s="9" t="str">
        <f>HYPERLINK("http://biobank.ctsu.ox.ac.uk/crystal/field.cgi?id=26890", "26890")</f>
        <v>26890</v>
      </c>
      <c r="C379" s="8" t="s">
        <v>1135</v>
      </c>
      <c r="D379" s="8" t="s">
        <v>10040</v>
      </c>
      <c r="E379" s="8" t="s">
        <v>10526</v>
      </c>
    </row>
    <row r="380" spans="1:5" x14ac:dyDescent="0.25">
      <c r="A380" s="5" t="s">
        <v>1136</v>
      </c>
      <c r="B380" s="9" t="str">
        <f>HYPERLINK("http://biobank.ctsu.ox.ac.uk/crystal/field.cgi?id=26891", "26891")</f>
        <v>26891</v>
      </c>
      <c r="C380" s="8" t="s">
        <v>1138</v>
      </c>
      <c r="D380" s="8" t="s">
        <v>10040</v>
      </c>
      <c r="E380" s="8" t="s">
        <v>10527</v>
      </c>
    </row>
    <row r="381" spans="1:5" x14ac:dyDescent="0.25">
      <c r="A381" s="5" t="s">
        <v>1139</v>
      </c>
      <c r="B381" s="9" t="str">
        <f>HYPERLINK("http://biobank.ctsu.ox.ac.uk/crystal/field.cgi?id=26892", "26892")</f>
        <v>26892</v>
      </c>
      <c r="C381" s="8" t="s">
        <v>1141</v>
      </c>
      <c r="D381" s="8" t="s">
        <v>10040</v>
      </c>
      <c r="E381" s="8" t="s">
        <v>10528</v>
      </c>
    </row>
    <row r="382" spans="1:5" x14ac:dyDescent="0.25">
      <c r="A382" s="5" t="s">
        <v>1142</v>
      </c>
      <c r="B382" s="9" t="str">
        <f>HYPERLINK("http://biobank.ctsu.ox.ac.uk/crystal/field.cgi?id=26893", "26893")</f>
        <v>26893</v>
      </c>
      <c r="C382" s="8" t="s">
        <v>1144</v>
      </c>
      <c r="D382" s="8" t="s">
        <v>10040</v>
      </c>
      <c r="E382" s="8" t="s">
        <v>10529</v>
      </c>
    </row>
    <row r="383" spans="1:5" x14ac:dyDescent="0.25">
      <c r="A383" s="5" t="s">
        <v>1145</v>
      </c>
      <c r="B383" s="9" t="str">
        <f>HYPERLINK("http://biobank.ctsu.ox.ac.uk/crystal/field.cgi?id=26894", "26894")</f>
        <v>26894</v>
      </c>
      <c r="C383" s="8" t="s">
        <v>1147</v>
      </c>
      <c r="D383" s="8" t="s">
        <v>10040</v>
      </c>
      <c r="E383" s="8" t="s">
        <v>10530</v>
      </c>
    </row>
    <row r="384" spans="1:5" x14ac:dyDescent="0.25">
      <c r="A384" s="5" t="s">
        <v>1148</v>
      </c>
      <c r="B384" s="9" t="str">
        <f>HYPERLINK("http://biobank.ctsu.ox.ac.uk/crystal/field.cgi?id=26895", "26895")</f>
        <v>26895</v>
      </c>
      <c r="C384" s="8" t="s">
        <v>1150</v>
      </c>
      <c r="D384" s="8" t="s">
        <v>10040</v>
      </c>
      <c r="E384" s="8" t="s">
        <v>10531</v>
      </c>
    </row>
    <row r="385" spans="1:5" x14ac:dyDescent="0.25">
      <c r="A385" s="5" t="s">
        <v>1151</v>
      </c>
      <c r="B385" s="9" t="str">
        <f>HYPERLINK("http://biobank.ctsu.ox.ac.uk/crystal/field.cgi?id=26896", "26896")</f>
        <v>26896</v>
      </c>
      <c r="C385" s="8" t="s">
        <v>1153</v>
      </c>
      <c r="D385" s="8" t="s">
        <v>10040</v>
      </c>
      <c r="E385" s="8" t="s">
        <v>10532</v>
      </c>
    </row>
    <row r="386" spans="1:5" x14ac:dyDescent="0.25">
      <c r="A386" s="5" t="s">
        <v>1154</v>
      </c>
      <c r="B386" s="9" t="str">
        <f>HYPERLINK("http://biobank.ctsu.ox.ac.uk/crystal/field.cgi?id=26897", "26897")</f>
        <v>26897</v>
      </c>
      <c r="C386" s="8" t="s">
        <v>1156</v>
      </c>
      <c r="D386" s="8" t="s">
        <v>10040</v>
      </c>
      <c r="E386" s="8" t="s">
        <v>10533</v>
      </c>
    </row>
    <row r="387" spans="1:5" x14ac:dyDescent="0.25">
      <c r="A387" s="5" t="s">
        <v>1157</v>
      </c>
      <c r="B387" s="9" t="str">
        <f>HYPERLINK("http://biobank.ctsu.ox.ac.uk/crystal/field.cgi?id=26898", "26898")</f>
        <v>26898</v>
      </c>
      <c r="C387" s="8" t="s">
        <v>1159</v>
      </c>
      <c r="D387" s="8" t="s">
        <v>10040</v>
      </c>
      <c r="E387" s="8" t="s">
        <v>10534</v>
      </c>
    </row>
    <row r="388" spans="1:5" x14ac:dyDescent="0.25">
      <c r="A388" s="5" t="s">
        <v>1160</v>
      </c>
      <c r="B388" s="9" t="str">
        <f>HYPERLINK("http://biobank.ctsu.ox.ac.uk/crystal/field.cgi?id=26899", "26899")</f>
        <v>26899</v>
      </c>
      <c r="C388" s="8" t="s">
        <v>1162</v>
      </c>
      <c r="D388" s="8" t="s">
        <v>10040</v>
      </c>
      <c r="E388" s="8" t="s">
        <v>10535</v>
      </c>
    </row>
    <row r="389" spans="1:5" x14ac:dyDescent="0.25">
      <c r="A389" s="5" t="s">
        <v>1163</v>
      </c>
      <c r="B389" s="9" t="str">
        <f>HYPERLINK("http://biobank.ctsu.ox.ac.uk/crystal/field.cgi?id=26900", "26900")</f>
        <v>26900</v>
      </c>
      <c r="C389" s="8" t="s">
        <v>1165</v>
      </c>
      <c r="D389" s="8" t="s">
        <v>10040</v>
      </c>
      <c r="E389" s="8" t="s">
        <v>10536</v>
      </c>
    </row>
    <row r="390" spans="1:5" x14ac:dyDescent="0.25">
      <c r="A390" s="5" t="s">
        <v>1166</v>
      </c>
      <c r="B390" s="9" t="str">
        <f>HYPERLINK("http://biobank.ctsu.ox.ac.uk/crystal/field.cgi?id=26901", "26901")</f>
        <v>26901</v>
      </c>
      <c r="C390" s="8" t="s">
        <v>1168</v>
      </c>
      <c r="D390" s="8" t="s">
        <v>10040</v>
      </c>
      <c r="E390" s="8" t="s">
        <v>10537</v>
      </c>
    </row>
    <row r="391" spans="1:5" x14ac:dyDescent="0.25">
      <c r="A391" s="5" t="s">
        <v>1169</v>
      </c>
      <c r="B391" s="9" t="str">
        <f>HYPERLINK("http://biobank.ctsu.ox.ac.uk/crystal/field.cgi?id=26902", "26902")</f>
        <v>26902</v>
      </c>
      <c r="C391" s="8" t="s">
        <v>1171</v>
      </c>
      <c r="D391" s="8" t="s">
        <v>10040</v>
      </c>
      <c r="E391" s="8" t="s">
        <v>10538</v>
      </c>
    </row>
    <row r="392" spans="1:5" x14ac:dyDescent="0.25">
      <c r="A392" s="5" t="s">
        <v>1172</v>
      </c>
      <c r="B392" s="9" t="str">
        <f>HYPERLINK("http://biobank.ctsu.ox.ac.uk/crystal/field.cgi?id=26903", "26903")</f>
        <v>26903</v>
      </c>
      <c r="C392" s="8" t="s">
        <v>1174</v>
      </c>
      <c r="D392" s="8" t="s">
        <v>10040</v>
      </c>
      <c r="E392" s="8" t="s">
        <v>10539</v>
      </c>
    </row>
    <row r="393" spans="1:5" x14ac:dyDescent="0.25">
      <c r="A393" s="5" t="s">
        <v>1175</v>
      </c>
      <c r="B393" s="9" t="str">
        <f>HYPERLINK("http://biobank.ctsu.ox.ac.uk/crystal/field.cgi?id=26904", "26904")</f>
        <v>26904</v>
      </c>
      <c r="C393" s="8" t="s">
        <v>1177</v>
      </c>
      <c r="D393" s="8" t="s">
        <v>10040</v>
      </c>
      <c r="E393" s="8" t="s">
        <v>10540</v>
      </c>
    </row>
    <row r="394" spans="1:5" x14ac:dyDescent="0.25">
      <c r="A394" s="5" t="s">
        <v>1178</v>
      </c>
      <c r="B394" s="9" t="str">
        <f>HYPERLINK("http://biobank.ctsu.ox.ac.uk/crystal/field.cgi?id=26905", "26905")</f>
        <v>26905</v>
      </c>
      <c r="C394" s="8" t="s">
        <v>1180</v>
      </c>
      <c r="D394" s="8" t="s">
        <v>10040</v>
      </c>
      <c r="E394" s="8" t="s">
        <v>10541</v>
      </c>
    </row>
    <row r="395" spans="1:5" x14ac:dyDescent="0.25">
      <c r="A395" s="5" t="s">
        <v>1181</v>
      </c>
      <c r="B395" s="9" t="str">
        <f>HYPERLINK("http://biobank.ctsu.ox.ac.uk/crystal/field.cgi?id=26906", "26906")</f>
        <v>26906</v>
      </c>
      <c r="C395" s="8" t="s">
        <v>1183</v>
      </c>
      <c r="D395" s="8" t="s">
        <v>10040</v>
      </c>
      <c r="E395" s="8" t="s">
        <v>10542</v>
      </c>
    </row>
    <row r="396" spans="1:5" x14ac:dyDescent="0.25">
      <c r="A396" s="5" t="s">
        <v>1184</v>
      </c>
      <c r="B396" s="9" t="str">
        <f>HYPERLINK("http://biobank.ctsu.ox.ac.uk/crystal/field.cgi?id=26907", "26907")</f>
        <v>26907</v>
      </c>
      <c r="C396" s="8" t="s">
        <v>1186</v>
      </c>
      <c r="D396" s="8" t="s">
        <v>10040</v>
      </c>
      <c r="E396" s="8" t="s">
        <v>10543</v>
      </c>
    </row>
    <row r="397" spans="1:5" x14ac:dyDescent="0.25">
      <c r="A397" s="5" t="s">
        <v>1187</v>
      </c>
      <c r="B397" s="9" t="str">
        <f>HYPERLINK("http://biobank.ctsu.ox.ac.uk/crystal/field.cgi?id=26908", "26908")</f>
        <v>26908</v>
      </c>
      <c r="C397" s="8" t="s">
        <v>1189</v>
      </c>
      <c r="D397" s="8" t="s">
        <v>10040</v>
      </c>
      <c r="E397" s="8" t="s">
        <v>10544</v>
      </c>
    </row>
    <row r="398" spans="1:5" x14ac:dyDescent="0.25">
      <c r="A398" s="5" t="s">
        <v>1190</v>
      </c>
      <c r="B398" s="9" t="str">
        <f>HYPERLINK("http://biobank.ctsu.ox.ac.uk/crystal/field.cgi?id=26909", "26909")</f>
        <v>26909</v>
      </c>
      <c r="C398" s="8" t="s">
        <v>1192</v>
      </c>
      <c r="D398" s="8" t="s">
        <v>10040</v>
      </c>
      <c r="E398" s="8" t="s">
        <v>10545</v>
      </c>
    </row>
    <row r="399" spans="1:5" x14ac:dyDescent="0.25">
      <c r="A399" s="5" t="s">
        <v>1193</v>
      </c>
      <c r="B399" s="9" t="str">
        <f>HYPERLINK("http://biobank.ctsu.ox.ac.uk/crystal/field.cgi?id=26910", "26910")</f>
        <v>26910</v>
      </c>
      <c r="C399" s="8" t="s">
        <v>1195</v>
      </c>
      <c r="D399" s="8" t="s">
        <v>10040</v>
      </c>
      <c r="E399" s="8" t="s">
        <v>10546</v>
      </c>
    </row>
    <row r="400" spans="1:5" x14ac:dyDescent="0.25">
      <c r="A400" s="5" t="s">
        <v>1196</v>
      </c>
      <c r="B400" s="9" t="str">
        <f>HYPERLINK("http://biobank.ctsu.ox.ac.uk/crystal/field.cgi?id=26911", "26911")</f>
        <v>26911</v>
      </c>
      <c r="C400" s="8" t="s">
        <v>1198</v>
      </c>
      <c r="D400" s="8" t="s">
        <v>10040</v>
      </c>
      <c r="E400" s="8" t="s">
        <v>10547</v>
      </c>
    </row>
    <row r="401" spans="1:5" x14ac:dyDescent="0.25">
      <c r="A401" s="5" t="s">
        <v>1199</v>
      </c>
      <c r="B401" s="9" t="str">
        <f>HYPERLINK("http://biobank.ctsu.ox.ac.uk/crystal/field.cgi?id=26912", "26912")</f>
        <v>26912</v>
      </c>
      <c r="C401" s="8" t="s">
        <v>1201</v>
      </c>
      <c r="D401" s="8" t="s">
        <v>10040</v>
      </c>
      <c r="E401" s="8" t="s">
        <v>10548</v>
      </c>
    </row>
    <row r="402" spans="1:5" x14ac:dyDescent="0.25">
      <c r="A402" s="5" t="s">
        <v>1202</v>
      </c>
      <c r="B402" s="9" t="str">
        <f>HYPERLINK("http://biobank.ctsu.ox.ac.uk/crystal/field.cgi?id=26913", "26913")</f>
        <v>26913</v>
      </c>
      <c r="C402" s="8" t="s">
        <v>1204</v>
      </c>
      <c r="D402" s="8" t="s">
        <v>10040</v>
      </c>
      <c r="E402" s="8" t="s">
        <v>10549</v>
      </c>
    </row>
    <row r="403" spans="1:5" x14ac:dyDescent="0.25">
      <c r="A403" s="5" t="s">
        <v>1205</v>
      </c>
      <c r="B403" s="9" t="str">
        <f>HYPERLINK("http://biobank.ctsu.ox.ac.uk/crystal/field.cgi?id=26914", "26914")</f>
        <v>26914</v>
      </c>
      <c r="C403" s="8" t="s">
        <v>1207</v>
      </c>
      <c r="D403" s="8" t="s">
        <v>10040</v>
      </c>
      <c r="E403" s="8" t="s">
        <v>10550</v>
      </c>
    </row>
    <row r="404" spans="1:5" x14ac:dyDescent="0.25">
      <c r="A404" s="5" t="s">
        <v>1208</v>
      </c>
      <c r="B404" s="9" t="str">
        <f>HYPERLINK("http://biobank.ctsu.ox.ac.uk/crystal/field.cgi?id=26915", "26915")</f>
        <v>26915</v>
      </c>
      <c r="C404" s="8" t="s">
        <v>1210</v>
      </c>
      <c r="D404" s="8" t="s">
        <v>10040</v>
      </c>
      <c r="E404" s="8" t="s">
        <v>10551</v>
      </c>
    </row>
    <row r="405" spans="1:5" x14ac:dyDescent="0.25">
      <c r="A405" s="5" t="s">
        <v>1211</v>
      </c>
      <c r="B405" s="9" t="str">
        <f>HYPERLINK("http://biobank.ctsu.ox.ac.uk/crystal/field.cgi?id=26916", "26916")</f>
        <v>26916</v>
      </c>
      <c r="C405" s="8" t="s">
        <v>1213</v>
      </c>
      <c r="D405" s="8" t="s">
        <v>10040</v>
      </c>
      <c r="E405" s="8" t="s">
        <v>10552</v>
      </c>
    </row>
    <row r="406" spans="1:5" x14ac:dyDescent="0.25">
      <c r="A406" s="5" t="s">
        <v>1214</v>
      </c>
      <c r="B406" s="9" t="str">
        <f>HYPERLINK("http://biobank.ctsu.ox.ac.uk/crystal/field.cgi?id=26917", "26917")</f>
        <v>26917</v>
      </c>
      <c r="C406" s="8" t="s">
        <v>1216</v>
      </c>
      <c r="D406" s="8" t="s">
        <v>10040</v>
      </c>
      <c r="E406" s="8" t="s">
        <v>10553</v>
      </c>
    </row>
    <row r="407" spans="1:5" x14ac:dyDescent="0.25">
      <c r="A407" s="5" t="s">
        <v>1217</v>
      </c>
      <c r="B407" s="9" t="str">
        <f>HYPERLINK("http://biobank.ctsu.ox.ac.uk/crystal/field.cgi?id=26918", "26918")</f>
        <v>26918</v>
      </c>
      <c r="C407" s="8" t="s">
        <v>1219</v>
      </c>
      <c r="D407" s="8" t="s">
        <v>10040</v>
      </c>
      <c r="E407" s="8" t="s">
        <v>10554</v>
      </c>
    </row>
    <row r="408" spans="1:5" x14ac:dyDescent="0.25">
      <c r="A408" s="5" t="s">
        <v>1220</v>
      </c>
      <c r="B408" s="9" t="str">
        <f>HYPERLINK("http://biobank.ctsu.ox.ac.uk/crystal/field.cgi?id=26919", "26919")</f>
        <v>26919</v>
      </c>
      <c r="C408" s="8" t="s">
        <v>1222</v>
      </c>
      <c r="D408" s="8" t="s">
        <v>10040</v>
      </c>
      <c r="E408" s="8" t="s">
        <v>10555</v>
      </c>
    </row>
    <row r="409" spans="1:5" x14ac:dyDescent="0.25">
      <c r="A409" s="5" t="s">
        <v>1223</v>
      </c>
      <c r="B409" s="9" t="str">
        <f>HYPERLINK("http://biobank.ctsu.ox.ac.uk/crystal/field.cgi?id=26920", "26920")</f>
        <v>26920</v>
      </c>
      <c r="C409" s="8" t="s">
        <v>1225</v>
      </c>
      <c r="D409" s="8" t="s">
        <v>10040</v>
      </c>
      <c r="E409" s="8" t="s">
        <v>10556</v>
      </c>
    </row>
    <row r="410" spans="1:5" x14ac:dyDescent="0.25">
      <c r="A410" s="5" t="s">
        <v>1226</v>
      </c>
      <c r="B410" s="9" t="str">
        <f>HYPERLINK("http://biobank.ctsu.ox.ac.uk/crystal/field.cgi?id=26921", "26921")</f>
        <v>26921</v>
      </c>
      <c r="C410" s="8" t="s">
        <v>1228</v>
      </c>
      <c r="D410" s="8" t="s">
        <v>10040</v>
      </c>
      <c r="E410" s="8" t="s">
        <v>10557</v>
      </c>
    </row>
    <row r="411" spans="1:5" x14ac:dyDescent="0.25">
      <c r="A411" s="5" t="s">
        <v>1229</v>
      </c>
      <c r="B411" s="9" t="str">
        <f>HYPERLINK("http://biobank.ctsu.ox.ac.uk/crystal/field.cgi?id=26922", "26922")</f>
        <v>26922</v>
      </c>
      <c r="C411" s="8" t="s">
        <v>1231</v>
      </c>
      <c r="D411" s="8" t="s">
        <v>10040</v>
      </c>
      <c r="E411" s="8" t="s">
        <v>10558</v>
      </c>
    </row>
    <row r="412" spans="1:5" x14ac:dyDescent="0.25">
      <c r="A412" s="5" t="s">
        <v>1232</v>
      </c>
      <c r="B412" s="9" t="str">
        <f>HYPERLINK("http://biobank.ctsu.ox.ac.uk/crystal/field.cgi?id=27087", "27087")</f>
        <v>27087</v>
      </c>
      <c r="C412" s="8" t="s">
        <v>1234</v>
      </c>
      <c r="D412" s="8" t="s">
        <v>10040</v>
      </c>
      <c r="E412" s="8" t="s">
        <v>10559</v>
      </c>
    </row>
    <row r="413" spans="1:5" x14ac:dyDescent="0.25">
      <c r="A413" s="5" t="s">
        <v>1235</v>
      </c>
      <c r="B413" s="9" t="str">
        <f>HYPERLINK("http://biobank.ctsu.ox.ac.uk/crystal/field.cgi?id=27088", "27088")</f>
        <v>27088</v>
      </c>
      <c r="C413" s="8" t="s">
        <v>1237</v>
      </c>
      <c r="D413" s="8" t="s">
        <v>10040</v>
      </c>
      <c r="E413" s="8" t="s">
        <v>10560</v>
      </c>
    </row>
    <row r="414" spans="1:5" x14ac:dyDescent="0.25">
      <c r="A414" s="5" t="s">
        <v>1238</v>
      </c>
      <c r="B414" s="9" t="str">
        <f>HYPERLINK("http://biobank.ctsu.ox.ac.uk/crystal/field.cgi?id=27089", "27089")</f>
        <v>27089</v>
      </c>
      <c r="C414" s="8" t="s">
        <v>1240</v>
      </c>
      <c r="D414" s="8" t="s">
        <v>10040</v>
      </c>
      <c r="E414" s="8" t="s">
        <v>10561</v>
      </c>
    </row>
    <row r="415" spans="1:5" x14ac:dyDescent="0.25">
      <c r="A415" s="5" t="s">
        <v>1241</v>
      </c>
      <c r="B415" s="9" t="str">
        <f>HYPERLINK("http://biobank.ctsu.ox.ac.uk/crystal/field.cgi?id=27090", "27090")</f>
        <v>27090</v>
      </c>
      <c r="C415" s="8" t="s">
        <v>1243</v>
      </c>
      <c r="D415" s="8" t="s">
        <v>10040</v>
      </c>
      <c r="E415" s="8" t="s">
        <v>10562</v>
      </c>
    </row>
    <row r="416" spans="1:5" x14ac:dyDescent="0.25">
      <c r="A416" s="5" t="s">
        <v>1244</v>
      </c>
      <c r="B416" s="9" t="str">
        <f>HYPERLINK("http://biobank.ctsu.ox.ac.uk/crystal/field.cgi?id=27091", "27091")</f>
        <v>27091</v>
      </c>
      <c r="C416" s="8" t="s">
        <v>1246</v>
      </c>
      <c r="D416" s="8" t="s">
        <v>10040</v>
      </c>
      <c r="E416" s="8" t="s">
        <v>10563</v>
      </c>
    </row>
    <row r="417" spans="1:5" x14ac:dyDescent="0.25">
      <c r="A417" s="5" t="s">
        <v>1247</v>
      </c>
      <c r="B417" s="9" t="str">
        <f>HYPERLINK("http://biobank.ctsu.ox.ac.uk/crystal/field.cgi?id=27092", "27092")</f>
        <v>27092</v>
      </c>
      <c r="C417" s="8" t="s">
        <v>1249</v>
      </c>
      <c r="D417" s="8" t="s">
        <v>10040</v>
      </c>
      <c r="E417" s="8" t="s">
        <v>10564</v>
      </c>
    </row>
    <row r="418" spans="1:5" x14ac:dyDescent="0.25">
      <c r="A418" s="5" t="s">
        <v>1250</v>
      </c>
      <c r="B418" s="9" t="str">
        <f>HYPERLINK("http://biobank.ctsu.ox.ac.uk/crystal/field.cgi?id=27093", "27093")</f>
        <v>27093</v>
      </c>
      <c r="C418" s="8" t="s">
        <v>1252</v>
      </c>
      <c r="D418" s="8" t="s">
        <v>10040</v>
      </c>
      <c r="E418" s="8" t="s">
        <v>10565</v>
      </c>
    </row>
    <row r="419" spans="1:5" x14ac:dyDescent="0.25">
      <c r="A419" s="5" t="s">
        <v>1253</v>
      </c>
      <c r="B419" s="9" t="str">
        <f>HYPERLINK("http://biobank.ctsu.ox.ac.uk/crystal/field.cgi?id=27094", "27094")</f>
        <v>27094</v>
      </c>
      <c r="C419" s="8" t="s">
        <v>1255</v>
      </c>
      <c r="D419" s="8" t="s">
        <v>10040</v>
      </c>
      <c r="E419" s="8" t="s">
        <v>10566</v>
      </c>
    </row>
    <row r="420" spans="1:5" x14ac:dyDescent="0.25">
      <c r="A420" s="5" t="s">
        <v>1256</v>
      </c>
      <c r="B420" s="9" t="str">
        <f>HYPERLINK("http://biobank.ctsu.ox.ac.uk/crystal/field.cgi?id=27095", "27095")</f>
        <v>27095</v>
      </c>
      <c r="C420" s="8" t="s">
        <v>1258</v>
      </c>
      <c r="D420" s="8" t="s">
        <v>10040</v>
      </c>
      <c r="E420" s="8" t="s">
        <v>10567</v>
      </c>
    </row>
    <row r="421" spans="1:5" x14ac:dyDescent="0.25">
      <c r="A421" s="5" t="s">
        <v>1259</v>
      </c>
      <c r="B421" s="9" t="str">
        <f>HYPERLINK("http://biobank.ctsu.ox.ac.uk/crystal/field.cgi?id=27096", "27096")</f>
        <v>27096</v>
      </c>
      <c r="C421" s="8" t="s">
        <v>1261</v>
      </c>
      <c r="D421" s="8" t="s">
        <v>10040</v>
      </c>
      <c r="E421" s="8" t="s">
        <v>10568</v>
      </c>
    </row>
    <row r="422" spans="1:5" x14ac:dyDescent="0.25">
      <c r="A422" s="5" t="s">
        <v>1262</v>
      </c>
      <c r="B422" s="9" t="str">
        <f>HYPERLINK("http://biobank.ctsu.ox.ac.uk/crystal/field.cgi?id=27097", "27097")</f>
        <v>27097</v>
      </c>
      <c r="C422" s="8" t="s">
        <v>1264</v>
      </c>
      <c r="D422" s="8" t="s">
        <v>10040</v>
      </c>
      <c r="E422" s="8" t="s">
        <v>10569</v>
      </c>
    </row>
    <row r="423" spans="1:5" x14ac:dyDescent="0.25">
      <c r="A423" s="5" t="s">
        <v>1265</v>
      </c>
      <c r="B423" s="9" t="str">
        <f>HYPERLINK("http://biobank.ctsu.ox.ac.uk/crystal/field.cgi?id=27098", "27098")</f>
        <v>27098</v>
      </c>
      <c r="C423" s="8" t="s">
        <v>1267</v>
      </c>
      <c r="D423" s="8" t="s">
        <v>10040</v>
      </c>
      <c r="E423" s="8" t="s">
        <v>10570</v>
      </c>
    </row>
    <row r="424" spans="1:5" x14ac:dyDescent="0.25">
      <c r="A424" s="5" t="s">
        <v>1268</v>
      </c>
      <c r="B424" s="9" t="str">
        <f>HYPERLINK("http://biobank.ctsu.ox.ac.uk/crystal/field.cgi?id=27099", "27099")</f>
        <v>27099</v>
      </c>
      <c r="C424" s="8" t="s">
        <v>1270</v>
      </c>
      <c r="D424" s="8" t="s">
        <v>10040</v>
      </c>
      <c r="E424" s="8" t="s">
        <v>10571</v>
      </c>
    </row>
    <row r="425" spans="1:5" x14ac:dyDescent="0.25">
      <c r="A425" s="5" t="s">
        <v>1271</v>
      </c>
      <c r="B425" s="9" t="str">
        <f>HYPERLINK("http://biobank.ctsu.ox.ac.uk/crystal/field.cgi?id=27100", "27100")</f>
        <v>27100</v>
      </c>
      <c r="C425" s="8" t="s">
        <v>1273</v>
      </c>
      <c r="D425" s="8" t="s">
        <v>10040</v>
      </c>
      <c r="E425" s="8" t="s">
        <v>10572</v>
      </c>
    </row>
    <row r="426" spans="1:5" x14ac:dyDescent="0.25">
      <c r="A426" s="5" t="s">
        <v>1274</v>
      </c>
      <c r="B426" s="9" t="str">
        <f>HYPERLINK("http://biobank.ctsu.ox.ac.uk/crystal/field.cgi?id=27129", "27129")</f>
        <v>27129</v>
      </c>
      <c r="C426" s="8" t="s">
        <v>1276</v>
      </c>
      <c r="D426" s="8" t="s">
        <v>10040</v>
      </c>
      <c r="E426" s="8" t="s">
        <v>10573</v>
      </c>
    </row>
    <row r="427" spans="1:5" x14ac:dyDescent="0.25">
      <c r="A427" s="5" t="s">
        <v>1277</v>
      </c>
      <c r="B427" s="9" t="str">
        <f>HYPERLINK("http://biobank.ctsu.ox.ac.uk/crystal/field.cgi?id=27130", "27130")</f>
        <v>27130</v>
      </c>
      <c r="C427" s="8" t="s">
        <v>1279</v>
      </c>
      <c r="D427" s="8" t="s">
        <v>10040</v>
      </c>
      <c r="E427" s="8" t="s">
        <v>10574</v>
      </c>
    </row>
    <row r="428" spans="1:5" x14ac:dyDescent="0.25">
      <c r="A428" s="5" t="s">
        <v>1280</v>
      </c>
      <c r="B428" s="9" t="str">
        <f>HYPERLINK("http://biobank.ctsu.ox.ac.uk/crystal/field.cgi?id=27131", "27131")</f>
        <v>27131</v>
      </c>
      <c r="C428" s="8" t="s">
        <v>1282</v>
      </c>
      <c r="D428" s="8" t="s">
        <v>10040</v>
      </c>
      <c r="E428" s="8" t="s">
        <v>10575</v>
      </c>
    </row>
    <row r="429" spans="1:5" x14ac:dyDescent="0.25">
      <c r="A429" s="5" t="s">
        <v>1283</v>
      </c>
      <c r="B429" s="9" t="str">
        <f>HYPERLINK("http://biobank.ctsu.ox.ac.uk/crystal/field.cgi?id=27132", "27132")</f>
        <v>27132</v>
      </c>
      <c r="C429" s="8" t="s">
        <v>1285</v>
      </c>
      <c r="D429" s="8" t="s">
        <v>10040</v>
      </c>
      <c r="E429" s="8" t="s">
        <v>10576</v>
      </c>
    </row>
    <row r="430" spans="1:5" x14ac:dyDescent="0.25">
      <c r="A430" s="5" t="s">
        <v>1286</v>
      </c>
      <c r="B430" s="9" t="str">
        <f>HYPERLINK("http://biobank.ctsu.ox.ac.uk/crystal/field.cgi?id=27133", "27133")</f>
        <v>27133</v>
      </c>
      <c r="C430" s="8" t="s">
        <v>1288</v>
      </c>
      <c r="D430" s="8" t="s">
        <v>10040</v>
      </c>
      <c r="E430" s="8" t="s">
        <v>10577</v>
      </c>
    </row>
    <row r="431" spans="1:5" x14ac:dyDescent="0.25">
      <c r="A431" s="5" t="s">
        <v>1289</v>
      </c>
      <c r="B431" s="9" t="str">
        <f>HYPERLINK("http://biobank.ctsu.ox.ac.uk/crystal/field.cgi?id=27134", "27134")</f>
        <v>27134</v>
      </c>
      <c r="C431" s="8" t="s">
        <v>1291</v>
      </c>
      <c r="D431" s="8" t="s">
        <v>10040</v>
      </c>
      <c r="E431" s="8" t="s">
        <v>10578</v>
      </c>
    </row>
    <row r="432" spans="1:5" x14ac:dyDescent="0.25">
      <c r="A432" s="5" t="s">
        <v>1292</v>
      </c>
      <c r="B432" s="9" t="str">
        <f>HYPERLINK("http://biobank.ctsu.ox.ac.uk/crystal/field.cgi?id=27135", "27135")</f>
        <v>27135</v>
      </c>
      <c r="C432" s="8" t="s">
        <v>1294</v>
      </c>
      <c r="D432" s="8" t="s">
        <v>10040</v>
      </c>
      <c r="E432" s="8" t="s">
        <v>10579</v>
      </c>
    </row>
    <row r="433" spans="1:5" x14ac:dyDescent="0.25">
      <c r="A433" s="5" t="s">
        <v>1295</v>
      </c>
      <c r="B433" s="9" t="str">
        <f>HYPERLINK("http://biobank.ctsu.ox.ac.uk/crystal/field.cgi?id=27136", "27136")</f>
        <v>27136</v>
      </c>
      <c r="C433" s="8" t="s">
        <v>1297</v>
      </c>
      <c r="D433" s="8" t="s">
        <v>10040</v>
      </c>
      <c r="E433" s="8" t="s">
        <v>10580</v>
      </c>
    </row>
    <row r="434" spans="1:5" x14ac:dyDescent="0.25">
      <c r="A434" s="5" t="s">
        <v>1298</v>
      </c>
      <c r="B434" s="9" t="str">
        <f>HYPERLINK("http://biobank.ctsu.ox.ac.uk/crystal/field.cgi?id=27137", "27137")</f>
        <v>27137</v>
      </c>
      <c r="C434" s="8" t="s">
        <v>1300</v>
      </c>
      <c r="D434" s="8" t="s">
        <v>10040</v>
      </c>
      <c r="E434" s="8" t="s">
        <v>10581</v>
      </c>
    </row>
    <row r="435" spans="1:5" x14ac:dyDescent="0.25">
      <c r="A435" s="5" t="s">
        <v>1301</v>
      </c>
      <c r="B435" s="9" t="str">
        <f>HYPERLINK("http://biobank.ctsu.ox.ac.uk/crystal/field.cgi?id=27138", "27138")</f>
        <v>27138</v>
      </c>
      <c r="C435" s="8" t="s">
        <v>1303</v>
      </c>
      <c r="D435" s="8" t="s">
        <v>10040</v>
      </c>
      <c r="E435" s="8" t="s">
        <v>10582</v>
      </c>
    </row>
    <row r="436" spans="1:5" x14ac:dyDescent="0.25">
      <c r="A436" s="5" t="s">
        <v>1304</v>
      </c>
      <c r="B436" s="9" t="str">
        <f>HYPERLINK("http://biobank.ctsu.ox.ac.uk/crystal/field.cgi?id=27139", "27139")</f>
        <v>27139</v>
      </c>
      <c r="C436" s="8" t="s">
        <v>1306</v>
      </c>
      <c r="D436" s="8" t="s">
        <v>10040</v>
      </c>
      <c r="E436" s="8" t="s">
        <v>10583</v>
      </c>
    </row>
    <row r="437" spans="1:5" x14ac:dyDescent="0.25">
      <c r="A437" s="5" t="s">
        <v>1307</v>
      </c>
      <c r="B437" s="9" t="str">
        <f>HYPERLINK("http://biobank.ctsu.ox.ac.uk/crystal/field.cgi?id=27140", "27140")</f>
        <v>27140</v>
      </c>
      <c r="C437" s="8" t="s">
        <v>1309</v>
      </c>
      <c r="D437" s="8" t="s">
        <v>10040</v>
      </c>
      <c r="E437" s="8" t="s">
        <v>10584</v>
      </c>
    </row>
    <row r="438" spans="1:5" x14ac:dyDescent="0.25">
      <c r="A438" s="5" t="s">
        <v>1310</v>
      </c>
      <c r="B438" s="9" t="str">
        <f>HYPERLINK("http://biobank.ctsu.ox.ac.uk/crystal/field.cgi?id=27141", "27141")</f>
        <v>27141</v>
      </c>
      <c r="C438" s="8" t="s">
        <v>1312</v>
      </c>
      <c r="D438" s="8" t="s">
        <v>10040</v>
      </c>
      <c r="E438" s="8" t="s">
        <v>10585</v>
      </c>
    </row>
    <row r="439" spans="1:5" x14ac:dyDescent="0.25">
      <c r="A439" s="5" t="s">
        <v>1313</v>
      </c>
      <c r="B439" s="9" t="str">
        <f>HYPERLINK("http://biobank.ctsu.ox.ac.uk/crystal/field.cgi?id=27142", "27142")</f>
        <v>27142</v>
      </c>
      <c r="C439" s="8" t="s">
        <v>1315</v>
      </c>
      <c r="D439" s="8" t="s">
        <v>10040</v>
      </c>
      <c r="E439" s="8" t="s">
        <v>10586</v>
      </c>
    </row>
    <row r="440" spans="1:5" x14ac:dyDescent="0.25">
      <c r="A440" s="5" t="s">
        <v>1316</v>
      </c>
      <c r="B440" s="9" t="str">
        <f>HYPERLINK("http://biobank.ctsu.ox.ac.uk/crystal/field.cgi?id=27205", "27205")</f>
        <v>27205</v>
      </c>
      <c r="C440" s="8" t="s">
        <v>1318</v>
      </c>
      <c r="D440" s="8" t="s">
        <v>10040</v>
      </c>
      <c r="E440" s="8" t="s">
        <v>10587</v>
      </c>
    </row>
    <row r="441" spans="1:5" x14ac:dyDescent="0.25">
      <c r="A441" s="5" t="s">
        <v>1319</v>
      </c>
      <c r="B441" s="9" t="str">
        <f>HYPERLINK("http://biobank.ctsu.ox.ac.uk/crystal/field.cgi?id=27206", "27206")</f>
        <v>27206</v>
      </c>
      <c r="C441" s="8" t="s">
        <v>1321</v>
      </c>
      <c r="D441" s="8" t="s">
        <v>10040</v>
      </c>
      <c r="E441" s="8" t="s">
        <v>10588</v>
      </c>
    </row>
    <row r="442" spans="1:5" x14ac:dyDescent="0.25">
      <c r="A442" s="5" t="s">
        <v>1322</v>
      </c>
      <c r="B442" s="9" t="str">
        <f>HYPERLINK("http://biobank.ctsu.ox.ac.uk/crystal/field.cgi?id=27207", "27207")</f>
        <v>27207</v>
      </c>
      <c r="C442" s="8" t="s">
        <v>1324</v>
      </c>
      <c r="D442" s="8" t="s">
        <v>10040</v>
      </c>
      <c r="E442" s="8" t="s">
        <v>10589</v>
      </c>
    </row>
    <row r="443" spans="1:5" x14ac:dyDescent="0.25">
      <c r="A443" s="5" t="s">
        <v>1325</v>
      </c>
      <c r="B443" s="9" t="str">
        <f>HYPERLINK("http://biobank.ctsu.ox.ac.uk/crystal/field.cgi?id=27208", "27208")</f>
        <v>27208</v>
      </c>
      <c r="C443" s="8" t="s">
        <v>1327</v>
      </c>
      <c r="D443" s="8" t="s">
        <v>10040</v>
      </c>
      <c r="E443" s="8" t="s">
        <v>10590</v>
      </c>
    </row>
    <row r="444" spans="1:5" x14ac:dyDescent="0.25">
      <c r="A444" s="5" t="s">
        <v>1328</v>
      </c>
      <c r="B444" s="9" t="str">
        <f>HYPERLINK("http://biobank.ctsu.ox.ac.uk/crystal/field.cgi?id=27209", "27209")</f>
        <v>27209</v>
      </c>
      <c r="C444" s="8" t="s">
        <v>1330</v>
      </c>
      <c r="D444" s="8" t="s">
        <v>10040</v>
      </c>
      <c r="E444" s="8" t="s">
        <v>10591</v>
      </c>
    </row>
    <row r="445" spans="1:5" x14ac:dyDescent="0.25">
      <c r="A445" s="5" t="s">
        <v>1331</v>
      </c>
      <c r="B445" s="9" t="str">
        <f>HYPERLINK("http://biobank.ctsu.ox.ac.uk/crystal/field.cgi?id=27210", "27210")</f>
        <v>27210</v>
      </c>
      <c r="C445" s="8" t="s">
        <v>1333</v>
      </c>
      <c r="D445" s="8" t="s">
        <v>10040</v>
      </c>
      <c r="E445" s="8" t="s">
        <v>10592</v>
      </c>
    </row>
    <row r="446" spans="1:5" x14ac:dyDescent="0.25">
      <c r="A446" s="5" t="s">
        <v>1334</v>
      </c>
      <c r="B446" s="9" t="str">
        <f>HYPERLINK("http://biobank.ctsu.ox.ac.uk/crystal/field.cgi?id=27211", "27211")</f>
        <v>27211</v>
      </c>
      <c r="C446" s="8" t="s">
        <v>1336</v>
      </c>
      <c r="D446" s="8" t="s">
        <v>10040</v>
      </c>
      <c r="E446" s="8" t="s">
        <v>10593</v>
      </c>
    </row>
    <row r="447" spans="1:5" x14ac:dyDescent="0.25">
      <c r="A447" s="5" t="s">
        <v>1337</v>
      </c>
      <c r="B447" s="9" t="str">
        <f>HYPERLINK("http://biobank.ctsu.ox.ac.uk/crystal/field.cgi?id=27212", "27212")</f>
        <v>27212</v>
      </c>
      <c r="C447" s="8" t="s">
        <v>1339</v>
      </c>
      <c r="D447" s="8" t="s">
        <v>10040</v>
      </c>
      <c r="E447" s="8" t="s">
        <v>10594</v>
      </c>
    </row>
    <row r="448" spans="1:5" x14ac:dyDescent="0.25">
      <c r="A448" s="5" t="s">
        <v>1340</v>
      </c>
      <c r="B448" s="9" t="str">
        <f>HYPERLINK("http://biobank.ctsu.ox.ac.uk/crystal/field.cgi?id=27213", "27213")</f>
        <v>27213</v>
      </c>
      <c r="C448" s="8" t="s">
        <v>1342</v>
      </c>
      <c r="D448" s="8" t="s">
        <v>10040</v>
      </c>
      <c r="E448" s="8" t="s">
        <v>10595</v>
      </c>
    </row>
    <row r="449" spans="1:5" x14ac:dyDescent="0.25">
      <c r="A449" s="5" t="s">
        <v>1343</v>
      </c>
      <c r="B449" s="9" t="str">
        <f>HYPERLINK("http://biobank.ctsu.ox.ac.uk/crystal/field.cgi?id=27214", "27214")</f>
        <v>27214</v>
      </c>
      <c r="C449" s="8" t="s">
        <v>1345</v>
      </c>
      <c r="D449" s="8" t="s">
        <v>10040</v>
      </c>
      <c r="E449" s="8" t="s">
        <v>10596</v>
      </c>
    </row>
    <row r="450" spans="1:5" x14ac:dyDescent="0.25">
      <c r="A450" s="5" t="s">
        <v>1346</v>
      </c>
      <c r="B450" s="9" t="str">
        <f>HYPERLINK("http://biobank.ctsu.ox.ac.uk/crystal/field.cgi?id=27215", "27215")</f>
        <v>27215</v>
      </c>
      <c r="C450" s="8" t="s">
        <v>1348</v>
      </c>
      <c r="D450" s="8" t="s">
        <v>10040</v>
      </c>
      <c r="E450" s="8" t="s">
        <v>10597</v>
      </c>
    </row>
    <row r="451" spans="1:5" x14ac:dyDescent="0.25">
      <c r="A451" s="5" t="s">
        <v>1349</v>
      </c>
      <c r="B451" s="9" t="str">
        <f>HYPERLINK("http://biobank.ctsu.ox.ac.uk/crystal/field.cgi?id=27216", "27216")</f>
        <v>27216</v>
      </c>
      <c r="C451" s="8" t="s">
        <v>1351</v>
      </c>
      <c r="D451" s="8" t="s">
        <v>10040</v>
      </c>
      <c r="E451" s="8" t="s">
        <v>10598</v>
      </c>
    </row>
    <row r="452" spans="1:5" x14ac:dyDescent="0.25">
      <c r="A452" s="5" t="s">
        <v>1352</v>
      </c>
      <c r="B452" s="9" t="str">
        <f>HYPERLINK("http://biobank.ctsu.ox.ac.uk/crystal/field.cgi?id=27217", "27217")</f>
        <v>27217</v>
      </c>
      <c r="C452" s="8" t="s">
        <v>1354</v>
      </c>
      <c r="D452" s="8" t="s">
        <v>10040</v>
      </c>
      <c r="E452" s="8" t="s">
        <v>10599</v>
      </c>
    </row>
    <row r="453" spans="1:5" x14ac:dyDescent="0.25">
      <c r="A453" s="5" t="s">
        <v>1355</v>
      </c>
      <c r="B453" s="9" t="str">
        <f>HYPERLINK("http://biobank.ctsu.ox.ac.uk/crystal/field.cgi?id=27218", "27218")</f>
        <v>27218</v>
      </c>
      <c r="C453" s="8" t="s">
        <v>1357</v>
      </c>
      <c r="D453" s="8" t="s">
        <v>10040</v>
      </c>
      <c r="E453" s="8" t="s">
        <v>10600</v>
      </c>
    </row>
    <row r="454" spans="1:5" x14ac:dyDescent="0.25">
      <c r="A454" s="5" t="s">
        <v>1358</v>
      </c>
      <c r="B454" s="9" t="str">
        <f>HYPERLINK("http://biobank.ctsu.ox.ac.uk/crystal/field.cgi?id=27219", "27219")</f>
        <v>27219</v>
      </c>
      <c r="C454" s="8" t="s">
        <v>1360</v>
      </c>
      <c r="D454" s="8" t="s">
        <v>10040</v>
      </c>
      <c r="E454" s="8" t="s">
        <v>10601</v>
      </c>
    </row>
    <row r="455" spans="1:5" x14ac:dyDescent="0.25">
      <c r="A455" s="5" t="s">
        <v>1361</v>
      </c>
      <c r="B455" s="9" t="str">
        <f>HYPERLINK("http://biobank.ctsu.ox.ac.uk/crystal/field.cgi?id=27220", "27220")</f>
        <v>27220</v>
      </c>
      <c r="C455" s="8" t="s">
        <v>1363</v>
      </c>
      <c r="D455" s="8" t="s">
        <v>10040</v>
      </c>
      <c r="E455" s="8" t="s">
        <v>10602</v>
      </c>
    </row>
    <row r="456" spans="1:5" x14ac:dyDescent="0.25">
      <c r="A456" s="5" t="s">
        <v>1364</v>
      </c>
      <c r="B456" s="9" t="str">
        <f>HYPERLINK("http://biobank.ctsu.ox.ac.uk/crystal/field.cgi?id=27221", "27221")</f>
        <v>27221</v>
      </c>
      <c r="C456" s="8" t="s">
        <v>1366</v>
      </c>
      <c r="D456" s="8" t="s">
        <v>10040</v>
      </c>
      <c r="E456" s="8" t="s">
        <v>10603</v>
      </c>
    </row>
    <row r="457" spans="1:5" x14ac:dyDescent="0.25">
      <c r="A457" s="5" t="s">
        <v>1367</v>
      </c>
      <c r="B457" s="9" t="str">
        <f>HYPERLINK("http://biobank.ctsu.ox.ac.uk/crystal/field.cgi?id=27222", "27222")</f>
        <v>27222</v>
      </c>
      <c r="C457" s="8" t="s">
        <v>1369</v>
      </c>
      <c r="D457" s="8" t="s">
        <v>10040</v>
      </c>
      <c r="E457" s="8" t="s">
        <v>10604</v>
      </c>
    </row>
    <row r="458" spans="1:5" x14ac:dyDescent="0.25">
      <c r="A458" s="5" t="s">
        <v>1370</v>
      </c>
      <c r="B458" s="9" t="str">
        <f>HYPERLINK("http://biobank.ctsu.ox.ac.uk/crystal/field.cgi?id=27223", "27223")</f>
        <v>27223</v>
      </c>
      <c r="C458" s="8" t="s">
        <v>1372</v>
      </c>
      <c r="D458" s="8" t="s">
        <v>10040</v>
      </c>
      <c r="E458" s="8" t="s">
        <v>10605</v>
      </c>
    </row>
    <row r="459" spans="1:5" x14ac:dyDescent="0.25">
      <c r="A459" s="5" t="s">
        <v>1373</v>
      </c>
      <c r="B459" s="9" t="str">
        <f>HYPERLINK("http://biobank.ctsu.ox.ac.uk/crystal/field.cgi?id=27224", "27224")</f>
        <v>27224</v>
      </c>
      <c r="C459" s="8" t="s">
        <v>1375</v>
      </c>
      <c r="D459" s="8" t="s">
        <v>10040</v>
      </c>
      <c r="E459" s="8" t="s">
        <v>10606</v>
      </c>
    </row>
    <row r="460" spans="1:5" x14ac:dyDescent="0.25">
      <c r="A460" s="5" t="s">
        <v>1376</v>
      </c>
      <c r="B460" s="9" t="str">
        <f>HYPERLINK("http://biobank.ctsu.ox.ac.uk/crystal/field.cgi?id=27225", "27225")</f>
        <v>27225</v>
      </c>
      <c r="C460" s="8" t="s">
        <v>1378</v>
      </c>
      <c r="D460" s="8" t="s">
        <v>10040</v>
      </c>
      <c r="E460" s="8" t="s">
        <v>10607</v>
      </c>
    </row>
    <row r="461" spans="1:5" x14ac:dyDescent="0.25">
      <c r="A461" s="5" t="s">
        <v>1379</v>
      </c>
      <c r="B461" s="9" t="str">
        <f>HYPERLINK("http://biobank.ctsu.ox.ac.uk/crystal/field.cgi?id=27226", "27226")</f>
        <v>27226</v>
      </c>
      <c r="C461" s="8" t="s">
        <v>1381</v>
      </c>
      <c r="D461" s="8" t="s">
        <v>10040</v>
      </c>
      <c r="E461" s="8" t="s">
        <v>10608</v>
      </c>
    </row>
    <row r="462" spans="1:5" x14ac:dyDescent="0.25">
      <c r="A462" s="5" t="s">
        <v>1382</v>
      </c>
      <c r="B462" s="9" t="str">
        <f>HYPERLINK("http://biobank.ctsu.ox.ac.uk/crystal/field.cgi?id=27227", "27227")</f>
        <v>27227</v>
      </c>
      <c r="C462" s="8" t="s">
        <v>1384</v>
      </c>
      <c r="D462" s="8" t="s">
        <v>10040</v>
      </c>
      <c r="E462" s="8" t="s">
        <v>10609</v>
      </c>
    </row>
    <row r="463" spans="1:5" x14ac:dyDescent="0.25">
      <c r="A463" s="5" t="s">
        <v>1385</v>
      </c>
      <c r="B463" s="9" t="str">
        <f>HYPERLINK("http://biobank.ctsu.ox.ac.uk/crystal/field.cgi?id=27228", "27228")</f>
        <v>27228</v>
      </c>
      <c r="C463" s="8" t="s">
        <v>1387</v>
      </c>
      <c r="D463" s="8" t="s">
        <v>10040</v>
      </c>
      <c r="E463" s="8" t="s">
        <v>10610</v>
      </c>
    </row>
    <row r="464" spans="1:5" x14ac:dyDescent="0.25">
      <c r="A464" s="5" t="s">
        <v>1388</v>
      </c>
      <c r="B464" s="9" t="str">
        <f>HYPERLINK("http://biobank.ctsu.ox.ac.uk/crystal/field.cgi?id=27229", "27229")</f>
        <v>27229</v>
      </c>
      <c r="C464" s="8" t="s">
        <v>1390</v>
      </c>
      <c r="D464" s="8" t="s">
        <v>10040</v>
      </c>
      <c r="E464" s="8" t="s">
        <v>10611</v>
      </c>
    </row>
    <row r="465" spans="1:5" x14ac:dyDescent="0.25">
      <c r="A465" s="5" t="s">
        <v>1391</v>
      </c>
      <c r="B465" s="9" t="str">
        <f>HYPERLINK("http://biobank.ctsu.ox.ac.uk/crystal/field.cgi?id=27230", "27230")</f>
        <v>27230</v>
      </c>
      <c r="C465" s="8" t="s">
        <v>1393</v>
      </c>
      <c r="D465" s="8" t="s">
        <v>10040</v>
      </c>
      <c r="E465" s="8" t="s">
        <v>10612</v>
      </c>
    </row>
    <row r="466" spans="1:5" x14ac:dyDescent="0.25">
      <c r="A466" s="5" t="s">
        <v>1394</v>
      </c>
      <c r="B466" s="9" t="str">
        <f>HYPERLINK("http://biobank.ctsu.ox.ac.uk/crystal/field.cgi?id=27231", "27231")</f>
        <v>27231</v>
      </c>
      <c r="C466" s="8" t="s">
        <v>1396</v>
      </c>
      <c r="D466" s="8" t="s">
        <v>10040</v>
      </c>
      <c r="E466" s="8" t="s">
        <v>10613</v>
      </c>
    </row>
    <row r="467" spans="1:5" x14ac:dyDescent="0.25">
      <c r="A467" s="5" t="s">
        <v>1397</v>
      </c>
      <c r="B467" s="9" t="str">
        <f>HYPERLINK("http://biobank.ctsu.ox.ac.uk/crystal/field.cgi?id=27232", "27232")</f>
        <v>27232</v>
      </c>
      <c r="C467" s="8" t="s">
        <v>1399</v>
      </c>
      <c r="D467" s="8" t="s">
        <v>10040</v>
      </c>
      <c r="E467" s="8" t="s">
        <v>10614</v>
      </c>
    </row>
    <row r="468" spans="1:5" x14ac:dyDescent="0.25">
      <c r="A468" s="5" t="s">
        <v>1400</v>
      </c>
      <c r="B468" s="9" t="str">
        <f>HYPERLINK("http://biobank.ctsu.ox.ac.uk/crystal/field.cgi?id=27233", "27233")</f>
        <v>27233</v>
      </c>
      <c r="C468" s="8" t="s">
        <v>1402</v>
      </c>
      <c r="D468" s="8" t="s">
        <v>10040</v>
      </c>
      <c r="E468" s="8" t="s">
        <v>10615</v>
      </c>
    </row>
    <row r="469" spans="1:5" x14ac:dyDescent="0.25">
      <c r="A469" s="5" t="s">
        <v>1403</v>
      </c>
      <c r="B469" s="9" t="str">
        <f>HYPERLINK("http://biobank.ctsu.ox.ac.uk/crystal/field.cgi?id=27234", "27234")</f>
        <v>27234</v>
      </c>
      <c r="C469" s="8" t="s">
        <v>1405</v>
      </c>
      <c r="D469" s="8" t="s">
        <v>10040</v>
      </c>
      <c r="E469" s="8" t="s">
        <v>10616</v>
      </c>
    </row>
    <row r="470" spans="1:5" x14ac:dyDescent="0.25">
      <c r="A470" s="5" t="s">
        <v>1406</v>
      </c>
      <c r="B470" s="9" t="str">
        <f>HYPERLINK("http://biobank.ctsu.ox.ac.uk/crystal/field.cgi?id=27235", "27235")</f>
        <v>27235</v>
      </c>
      <c r="C470" s="8" t="s">
        <v>1408</v>
      </c>
      <c r="D470" s="8" t="s">
        <v>10040</v>
      </c>
      <c r="E470" s="8" t="s">
        <v>10617</v>
      </c>
    </row>
    <row r="471" spans="1:5" x14ac:dyDescent="0.25">
      <c r="A471" s="5" t="s">
        <v>1409</v>
      </c>
      <c r="B471" s="9" t="str">
        <f>HYPERLINK("http://biobank.ctsu.ox.ac.uk/crystal/field.cgi?id=27298", "27298")</f>
        <v>27298</v>
      </c>
      <c r="C471" s="8" t="s">
        <v>1411</v>
      </c>
      <c r="D471" s="8" t="s">
        <v>10040</v>
      </c>
      <c r="E471" s="8" t="s">
        <v>10618</v>
      </c>
    </row>
    <row r="472" spans="1:5" x14ac:dyDescent="0.25">
      <c r="A472" s="5" t="s">
        <v>1412</v>
      </c>
      <c r="B472" s="9" t="str">
        <f>HYPERLINK("http://biobank.ctsu.ox.ac.uk/crystal/field.cgi?id=27299", "27299")</f>
        <v>27299</v>
      </c>
      <c r="C472" s="8" t="s">
        <v>1414</v>
      </c>
      <c r="D472" s="8" t="s">
        <v>10040</v>
      </c>
      <c r="E472" s="8" t="s">
        <v>10619</v>
      </c>
    </row>
    <row r="473" spans="1:5" x14ac:dyDescent="0.25">
      <c r="A473" s="5" t="s">
        <v>1415</v>
      </c>
      <c r="B473" s="9" t="str">
        <f>HYPERLINK("http://biobank.ctsu.ox.ac.uk/crystal/field.cgi?id=27300", "27300")</f>
        <v>27300</v>
      </c>
      <c r="C473" s="8" t="s">
        <v>1417</v>
      </c>
      <c r="D473" s="8" t="s">
        <v>10040</v>
      </c>
      <c r="E473" s="8" t="s">
        <v>10620</v>
      </c>
    </row>
    <row r="474" spans="1:5" x14ac:dyDescent="0.25">
      <c r="A474" s="5" t="s">
        <v>1418</v>
      </c>
      <c r="B474" s="9" t="str">
        <f>HYPERLINK("http://biobank.ctsu.ox.ac.uk/crystal/field.cgi?id=27301", "27301")</f>
        <v>27301</v>
      </c>
      <c r="C474" s="8" t="s">
        <v>1420</v>
      </c>
      <c r="D474" s="8" t="s">
        <v>10040</v>
      </c>
      <c r="E474" s="8" t="s">
        <v>10621</v>
      </c>
    </row>
    <row r="475" spans="1:5" x14ac:dyDescent="0.25">
      <c r="A475" s="5" t="s">
        <v>1421</v>
      </c>
      <c r="B475" s="9" t="str">
        <f>HYPERLINK("http://biobank.ctsu.ox.ac.uk/crystal/field.cgi?id=27302", "27302")</f>
        <v>27302</v>
      </c>
      <c r="C475" s="8" t="s">
        <v>1423</v>
      </c>
      <c r="D475" s="8" t="s">
        <v>10040</v>
      </c>
      <c r="E475" s="8" t="s">
        <v>10622</v>
      </c>
    </row>
    <row r="476" spans="1:5" x14ac:dyDescent="0.25">
      <c r="A476" s="5" t="s">
        <v>1424</v>
      </c>
      <c r="B476" s="9" t="str">
        <f>HYPERLINK("http://biobank.ctsu.ox.ac.uk/crystal/field.cgi?id=27303", "27303")</f>
        <v>27303</v>
      </c>
      <c r="C476" s="8" t="s">
        <v>1426</v>
      </c>
      <c r="D476" s="8" t="s">
        <v>10040</v>
      </c>
      <c r="E476" s="8" t="s">
        <v>10623</v>
      </c>
    </row>
    <row r="477" spans="1:5" x14ac:dyDescent="0.25">
      <c r="A477" s="5" t="s">
        <v>1427</v>
      </c>
      <c r="B477" s="9" t="str">
        <f>HYPERLINK("http://biobank.ctsu.ox.ac.uk/crystal/field.cgi?id=27304", "27304")</f>
        <v>27304</v>
      </c>
      <c r="C477" s="8" t="s">
        <v>1429</v>
      </c>
      <c r="D477" s="8" t="s">
        <v>10040</v>
      </c>
      <c r="E477" s="8" t="s">
        <v>10624</v>
      </c>
    </row>
    <row r="478" spans="1:5" x14ac:dyDescent="0.25">
      <c r="A478" s="5" t="s">
        <v>1430</v>
      </c>
      <c r="B478" s="9" t="str">
        <f>HYPERLINK("http://biobank.ctsu.ox.ac.uk/crystal/field.cgi?id=27305", "27305")</f>
        <v>27305</v>
      </c>
      <c r="C478" s="8" t="s">
        <v>1432</v>
      </c>
      <c r="D478" s="8" t="s">
        <v>10040</v>
      </c>
      <c r="E478" s="8" t="s">
        <v>10625</v>
      </c>
    </row>
    <row r="479" spans="1:5" x14ac:dyDescent="0.25">
      <c r="A479" s="5" t="s">
        <v>1433</v>
      </c>
      <c r="B479" s="9" t="str">
        <f>HYPERLINK("http://biobank.ctsu.ox.ac.uk/crystal/field.cgi?id=27306", "27306")</f>
        <v>27306</v>
      </c>
      <c r="C479" s="8" t="s">
        <v>1435</v>
      </c>
      <c r="D479" s="8" t="s">
        <v>10040</v>
      </c>
      <c r="E479" s="8" t="s">
        <v>10626</v>
      </c>
    </row>
    <row r="480" spans="1:5" x14ac:dyDescent="0.25">
      <c r="A480" s="5" t="s">
        <v>1436</v>
      </c>
      <c r="B480" s="9" t="str">
        <f>HYPERLINK("http://biobank.ctsu.ox.ac.uk/crystal/field.cgi?id=27307", "27307")</f>
        <v>27307</v>
      </c>
      <c r="C480" s="8" t="s">
        <v>1438</v>
      </c>
      <c r="D480" s="8" t="s">
        <v>10040</v>
      </c>
      <c r="E480" s="8" t="s">
        <v>10627</v>
      </c>
    </row>
    <row r="481" spans="1:5" x14ac:dyDescent="0.25">
      <c r="A481" s="5" t="s">
        <v>1439</v>
      </c>
      <c r="B481" s="9" t="str">
        <f>HYPERLINK("http://biobank.ctsu.ox.ac.uk/crystal/field.cgi?id=27308", "27308")</f>
        <v>27308</v>
      </c>
      <c r="C481" s="8" t="s">
        <v>1441</v>
      </c>
      <c r="D481" s="8" t="s">
        <v>10040</v>
      </c>
      <c r="E481" s="8" t="s">
        <v>10628</v>
      </c>
    </row>
    <row r="482" spans="1:5" x14ac:dyDescent="0.25">
      <c r="A482" s="5" t="s">
        <v>1442</v>
      </c>
      <c r="B482" s="9" t="str">
        <f>HYPERLINK("http://biobank.ctsu.ox.ac.uk/crystal/field.cgi?id=27309", "27309")</f>
        <v>27309</v>
      </c>
      <c r="C482" s="8" t="s">
        <v>1444</v>
      </c>
      <c r="D482" s="8" t="s">
        <v>10040</v>
      </c>
      <c r="E482" s="8" t="s">
        <v>10629</v>
      </c>
    </row>
    <row r="483" spans="1:5" x14ac:dyDescent="0.25">
      <c r="A483" s="5" t="s">
        <v>1445</v>
      </c>
      <c r="B483" s="9" t="str">
        <f>HYPERLINK("http://biobank.ctsu.ox.ac.uk/crystal/field.cgi?id=27310", "27310")</f>
        <v>27310</v>
      </c>
      <c r="C483" s="8" t="s">
        <v>1447</v>
      </c>
      <c r="D483" s="8" t="s">
        <v>10040</v>
      </c>
      <c r="E483" s="8" t="s">
        <v>10630</v>
      </c>
    </row>
    <row r="484" spans="1:5" x14ac:dyDescent="0.25">
      <c r="A484" s="5" t="s">
        <v>1448</v>
      </c>
      <c r="B484" s="9" t="str">
        <f>HYPERLINK("http://biobank.ctsu.ox.ac.uk/crystal/field.cgi?id=27311", "27311")</f>
        <v>27311</v>
      </c>
      <c r="C484" s="8" t="s">
        <v>1450</v>
      </c>
      <c r="D484" s="8" t="s">
        <v>10040</v>
      </c>
      <c r="E484" s="8" t="s">
        <v>10631</v>
      </c>
    </row>
    <row r="485" spans="1:5" x14ac:dyDescent="0.25">
      <c r="A485" s="5" t="s">
        <v>1451</v>
      </c>
      <c r="B485" s="9" t="str">
        <f>HYPERLINK("http://biobank.ctsu.ox.ac.uk/crystal/field.cgi?id=27312", "27312")</f>
        <v>27312</v>
      </c>
      <c r="C485" s="8" t="s">
        <v>1453</v>
      </c>
      <c r="D485" s="8" t="s">
        <v>10040</v>
      </c>
      <c r="E485" s="8" t="s">
        <v>10632</v>
      </c>
    </row>
    <row r="486" spans="1:5" x14ac:dyDescent="0.25">
      <c r="A486" s="5" t="s">
        <v>1454</v>
      </c>
      <c r="B486" s="9" t="str">
        <f>HYPERLINK("http://biobank.ctsu.ox.ac.uk/crystal/field.cgi?id=27313", "27313")</f>
        <v>27313</v>
      </c>
      <c r="C486" s="8" t="s">
        <v>1456</v>
      </c>
      <c r="D486" s="8" t="s">
        <v>10040</v>
      </c>
      <c r="E486" s="8" t="s">
        <v>10633</v>
      </c>
    </row>
    <row r="487" spans="1:5" x14ac:dyDescent="0.25">
      <c r="A487" s="5" t="s">
        <v>1457</v>
      </c>
      <c r="B487" s="9" t="str">
        <f>HYPERLINK("http://biobank.ctsu.ox.ac.uk/crystal/field.cgi?id=27314", "27314")</f>
        <v>27314</v>
      </c>
      <c r="C487" s="8" t="s">
        <v>1459</v>
      </c>
      <c r="D487" s="8" t="s">
        <v>10040</v>
      </c>
      <c r="E487" s="8" t="s">
        <v>10634</v>
      </c>
    </row>
    <row r="488" spans="1:5" x14ac:dyDescent="0.25">
      <c r="A488" s="5" t="s">
        <v>1460</v>
      </c>
      <c r="B488" s="9" t="str">
        <f>HYPERLINK("http://biobank.ctsu.ox.ac.uk/crystal/field.cgi?id=27315", "27315")</f>
        <v>27315</v>
      </c>
      <c r="C488" s="8" t="s">
        <v>1462</v>
      </c>
      <c r="D488" s="8" t="s">
        <v>10040</v>
      </c>
      <c r="E488" s="8" t="s">
        <v>10635</v>
      </c>
    </row>
    <row r="489" spans="1:5" x14ac:dyDescent="0.25">
      <c r="A489" s="5" t="s">
        <v>1463</v>
      </c>
      <c r="B489" s="9" t="str">
        <f>HYPERLINK("http://biobank.ctsu.ox.ac.uk/crystal/field.cgi?id=27316", "27316")</f>
        <v>27316</v>
      </c>
      <c r="C489" s="8" t="s">
        <v>1465</v>
      </c>
      <c r="D489" s="8" t="s">
        <v>10040</v>
      </c>
      <c r="E489" s="8" t="s">
        <v>10636</v>
      </c>
    </row>
    <row r="490" spans="1:5" x14ac:dyDescent="0.25">
      <c r="A490" s="5" t="s">
        <v>1466</v>
      </c>
      <c r="B490" s="9" t="str">
        <f>HYPERLINK("http://biobank.ctsu.ox.ac.uk/crystal/field.cgi?id=27317", "27317")</f>
        <v>27317</v>
      </c>
      <c r="C490" s="8" t="s">
        <v>1468</v>
      </c>
      <c r="D490" s="8" t="s">
        <v>10040</v>
      </c>
      <c r="E490" s="8" t="s">
        <v>10637</v>
      </c>
    </row>
    <row r="491" spans="1:5" x14ac:dyDescent="0.25">
      <c r="A491" s="5" t="s">
        <v>1469</v>
      </c>
      <c r="B491" s="9" t="str">
        <f>HYPERLINK("http://biobank.ctsu.ox.ac.uk/crystal/field.cgi?id=27318", "27318")</f>
        <v>27318</v>
      </c>
      <c r="C491" s="8" t="s">
        <v>1471</v>
      </c>
      <c r="D491" s="8" t="s">
        <v>10040</v>
      </c>
      <c r="E491" s="8" t="s">
        <v>10638</v>
      </c>
    </row>
    <row r="492" spans="1:5" x14ac:dyDescent="0.25">
      <c r="A492" s="5" t="s">
        <v>1472</v>
      </c>
      <c r="B492" s="9" t="str">
        <f>HYPERLINK("http://biobank.ctsu.ox.ac.uk/crystal/field.cgi?id=27319", "27319")</f>
        <v>27319</v>
      </c>
      <c r="C492" s="8" t="s">
        <v>1474</v>
      </c>
      <c r="D492" s="8" t="s">
        <v>10040</v>
      </c>
      <c r="E492" s="8" t="s">
        <v>10639</v>
      </c>
    </row>
    <row r="493" spans="1:5" x14ac:dyDescent="0.25">
      <c r="A493" s="5" t="s">
        <v>1475</v>
      </c>
      <c r="B493" s="9" t="str">
        <f>HYPERLINK("http://biobank.ctsu.ox.ac.uk/crystal/field.cgi?id=27320", "27320")</f>
        <v>27320</v>
      </c>
      <c r="C493" s="8" t="s">
        <v>1477</v>
      </c>
      <c r="D493" s="8" t="s">
        <v>10040</v>
      </c>
      <c r="E493" s="8" t="s">
        <v>10640</v>
      </c>
    </row>
    <row r="494" spans="1:5" x14ac:dyDescent="0.25">
      <c r="A494" s="5" t="s">
        <v>1478</v>
      </c>
      <c r="B494" s="9" t="str">
        <f>HYPERLINK("http://biobank.ctsu.ox.ac.uk/crystal/field.cgi?id=27321", "27321")</f>
        <v>27321</v>
      </c>
      <c r="C494" s="8" t="s">
        <v>1480</v>
      </c>
      <c r="D494" s="8" t="s">
        <v>10040</v>
      </c>
      <c r="E494" s="8" t="s">
        <v>10641</v>
      </c>
    </row>
    <row r="495" spans="1:5" x14ac:dyDescent="0.25">
      <c r="A495" s="5" t="s">
        <v>1481</v>
      </c>
      <c r="B495" s="9" t="str">
        <f>HYPERLINK("http://biobank.ctsu.ox.ac.uk/crystal/field.cgi?id=27322", "27322")</f>
        <v>27322</v>
      </c>
      <c r="C495" s="8" t="s">
        <v>1483</v>
      </c>
      <c r="D495" s="8" t="s">
        <v>10040</v>
      </c>
      <c r="E495" s="8" t="s">
        <v>10642</v>
      </c>
    </row>
    <row r="496" spans="1:5" x14ac:dyDescent="0.25">
      <c r="A496" s="5" t="s">
        <v>1484</v>
      </c>
      <c r="B496" s="9" t="str">
        <f>HYPERLINK("http://biobank.ctsu.ox.ac.uk/crystal/field.cgi?id=27323", "27323")</f>
        <v>27323</v>
      </c>
      <c r="C496" s="8" t="s">
        <v>1486</v>
      </c>
      <c r="D496" s="8" t="s">
        <v>10040</v>
      </c>
      <c r="E496" s="8" t="s">
        <v>10643</v>
      </c>
    </row>
    <row r="497" spans="1:5" x14ac:dyDescent="0.25">
      <c r="A497" s="5" t="s">
        <v>1487</v>
      </c>
      <c r="B497" s="9" t="str">
        <f>HYPERLINK("http://biobank.ctsu.ox.ac.uk/crystal/field.cgi?id=27324", "27324")</f>
        <v>27324</v>
      </c>
      <c r="C497" s="8" t="s">
        <v>1489</v>
      </c>
      <c r="D497" s="8" t="s">
        <v>10040</v>
      </c>
      <c r="E497" s="8" t="s">
        <v>10644</v>
      </c>
    </row>
    <row r="498" spans="1:5" x14ac:dyDescent="0.25">
      <c r="A498" s="5" t="s">
        <v>1490</v>
      </c>
      <c r="B498" s="9" t="str">
        <f>HYPERLINK("http://biobank.ctsu.ox.ac.uk/crystal/field.cgi?id=27325", "27325")</f>
        <v>27325</v>
      </c>
      <c r="C498" s="8" t="s">
        <v>1492</v>
      </c>
      <c r="D498" s="8" t="s">
        <v>10040</v>
      </c>
      <c r="E498" s="8" t="s">
        <v>10645</v>
      </c>
    </row>
    <row r="499" spans="1:5" x14ac:dyDescent="0.25">
      <c r="A499" s="5" t="s">
        <v>1493</v>
      </c>
      <c r="B499" s="9" t="str">
        <f>HYPERLINK("http://biobank.ctsu.ox.ac.uk/crystal/field.cgi?id=27326", "27326")</f>
        <v>27326</v>
      </c>
      <c r="C499" s="8" t="s">
        <v>1495</v>
      </c>
      <c r="D499" s="8" t="s">
        <v>10040</v>
      </c>
      <c r="E499" s="8" t="s">
        <v>10646</v>
      </c>
    </row>
    <row r="500" spans="1:5" x14ac:dyDescent="0.25">
      <c r="A500" s="5" t="s">
        <v>1496</v>
      </c>
      <c r="B500" s="9" t="str">
        <f>HYPERLINK("http://biobank.ctsu.ox.ac.uk/crystal/field.cgi?id=27327", "27327")</f>
        <v>27327</v>
      </c>
      <c r="C500" s="8" t="s">
        <v>1498</v>
      </c>
      <c r="D500" s="8" t="s">
        <v>10040</v>
      </c>
      <c r="E500" s="8" t="s">
        <v>10647</v>
      </c>
    </row>
    <row r="501" spans="1:5" x14ac:dyDescent="0.25">
      <c r="A501" s="5" t="s">
        <v>1499</v>
      </c>
      <c r="B501" s="9" t="str">
        <f>HYPERLINK("http://biobank.ctsu.ox.ac.uk/crystal/field.cgi?id=27328", "27328")</f>
        <v>27328</v>
      </c>
      <c r="C501" s="8" t="s">
        <v>1501</v>
      </c>
      <c r="D501" s="8" t="s">
        <v>10040</v>
      </c>
      <c r="E501" s="8" t="s">
        <v>10648</v>
      </c>
    </row>
    <row r="502" spans="1:5" x14ac:dyDescent="0.25">
      <c r="A502" s="5" t="s">
        <v>1502</v>
      </c>
      <c r="B502" s="9" t="str">
        <f>HYPERLINK("http://biobank.ctsu.ox.ac.uk/crystal/field.cgi?id=27477", "27477")</f>
        <v>27477</v>
      </c>
      <c r="C502" s="8" t="s">
        <v>1504</v>
      </c>
      <c r="D502" s="8" t="s">
        <v>10040</v>
      </c>
      <c r="E502" s="8" t="s">
        <v>10649</v>
      </c>
    </row>
    <row r="503" spans="1:5" x14ac:dyDescent="0.25">
      <c r="A503" s="5" t="s">
        <v>1505</v>
      </c>
      <c r="B503" s="9" t="str">
        <f>HYPERLINK("http://biobank.ctsu.ox.ac.uk/crystal/field.cgi?id=27478", "27478")</f>
        <v>27478</v>
      </c>
      <c r="C503" s="8" t="s">
        <v>1507</v>
      </c>
      <c r="D503" s="8" t="s">
        <v>10040</v>
      </c>
      <c r="E503" s="8" t="s">
        <v>10650</v>
      </c>
    </row>
    <row r="504" spans="1:5" x14ac:dyDescent="0.25">
      <c r="A504" s="5" t="s">
        <v>1508</v>
      </c>
      <c r="B504" s="9" t="str">
        <f>HYPERLINK("http://biobank.ctsu.ox.ac.uk/crystal/field.cgi?id=27479", "27479")</f>
        <v>27479</v>
      </c>
      <c r="C504" s="8" t="s">
        <v>1510</v>
      </c>
      <c r="D504" s="8" t="s">
        <v>10040</v>
      </c>
      <c r="E504" s="8" t="s">
        <v>10651</v>
      </c>
    </row>
    <row r="505" spans="1:5" x14ac:dyDescent="0.25">
      <c r="A505" s="5" t="s">
        <v>1511</v>
      </c>
      <c r="B505" s="9" t="str">
        <f>HYPERLINK("http://biobank.ctsu.ox.ac.uk/crystal/field.cgi?id=27480", "27480")</f>
        <v>27480</v>
      </c>
      <c r="C505" s="8" t="s">
        <v>1513</v>
      </c>
      <c r="D505" s="8" t="s">
        <v>10040</v>
      </c>
      <c r="E505" s="8" t="s">
        <v>10652</v>
      </c>
    </row>
    <row r="506" spans="1:5" x14ac:dyDescent="0.25">
      <c r="A506" s="5" t="s">
        <v>1514</v>
      </c>
      <c r="B506" s="9" t="str">
        <f>HYPERLINK("http://biobank.ctsu.ox.ac.uk/crystal/field.cgi?id=27481", "27481")</f>
        <v>27481</v>
      </c>
      <c r="C506" s="8" t="s">
        <v>1516</v>
      </c>
      <c r="D506" s="8" t="s">
        <v>10040</v>
      </c>
      <c r="E506" s="8" t="s">
        <v>10653</v>
      </c>
    </row>
    <row r="507" spans="1:5" x14ac:dyDescent="0.25">
      <c r="A507" s="5" t="s">
        <v>1517</v>
      </c>
      <c r="B507" s="9" t="str">
        <f>HYPERLINK("http://biobank.ctsu.ox.ac.uk/crystal/field.cgi?id=27482", "27482")</f>
        <v>27482</v>
      </c>
      <c r="C507" s="8" t="s">
        <v>1519</v>
      </c>
      <c r="D507" s="8" t="s">
        <v>10040</v>
      </c>
      <c r="E507" s="8" t="s">
        <v>10654</v>
      </c>
    </row>
    <row r="508" spans="1:5" x14ac:dyDescent="0.25">
      <c r="A508" s="5" t="s">
        <v>1520</v>
      </c>
      <c r="B508" s="9" t="str">
        <f>HYPERLINK("http://biobank.ctsu.ox.ac.uk/crystal/field.cgi?id=27483", "27483")</f>
        <v>27483</v>
      </c>
      <c r="C508" s="8" t="s">
        <v>1522</v>
      </c>
      <c r="D508" s="8" t="s">
        <v>10040</v>
      </c>
      <c r="E508" s="8" t="s">
        <v>10655</v>
      </c>
    </row>
    <row r="509" spans="1:5" x14ac:dyDescent="0.25">
      <c r="A509" s="5" t="s">
        <v>1523</v>
      </c>
      <c r="B509" s="9" t="str">
        <f>HYPERLINK("http://biobank.ctsu.ox.ac.uk/crystal/field.cgi?id=27484", "27484")</f>
        <v>27484</v>
      </c>
      <c r="C509" s="8" t="s">
        <v>1525</v>
      </c>
      <c r="D509" s="8" t="s">
        <v>10040</v>
      </c>
      <c r="E509" s="8" t="s">
        <v>10656</v>
      </c>
    </row>
    <row r="510" spans="1:5" x14ac:dyDescent="0.25">
      <c r="A510" s="5" t="s">
        <v>1526</v>
      </c>
      <c r="B510" s="9" t="str">
        <f>HYPERLINK("http://biobank.ctsu.ox.ac.uk/crystal/field.cgi?id=27485", "27485")</f>
        <v>27485</v>
      </c>
      <c r="C510" s="8" t="s">
        <v>1528</v>
      </c>
      <c r="D510" s="8" t="s">
        <v>10040</v>
      </c>
      <c r="E510" s="8" t="s">
        <v>10657</v>
      </c>
    </row>
    <row r="511" spans="1:5" x14ac:dyDescent="0.25">
      <c r="A511" s="5" t="s">
        <v>1529</v>
      </c>
      <c r="B511" s="9" t="str">
        <f>HYPERLINK("http://biobank.ctsu.ox.ac.uk/crystal/field.cgi?id=27486", "27486")</f>
        <v>27486</v>
      </c>
      <c r="C511" s="8" t="s">
        <v>1531</v>
      </c>
      <c r="D511" s="8" t="s">
        <v>10040</v>
      </c>
      <c r="E511" s="8" t="s">
        <v>10658</v>
      </c>
    </row>
    <row r="512" spans="1:5" x14ac:dyDescent="0.25">
      <c r="A512" s="5" t="s">
        <v>1532</v>
      </c>
      <c r="B512" s="9" t="str">
        <f>HYPERLINK("http://biobank.ctsu.ox.ac.uk/crystal/field.cgi?id=27487", "27487")</f>
        <v>27487</v>
      </c>
      <c r="C512" s="8" t="s">
        <v>1534</v>
      </c>
      <c r="D512" s="8" t="s">
        <v>10040</v>
      </c>
      <c r="E512" s="8" t="s">
        <v>10659</v>
      </c>
    </row>
    <row r="513" spans="1:5" x14ac:dyDescent="0.25">
      <c r="A513" s="5" t="s">
        <v>1535</v>
      </c>
      <c r="B513" s="9" t="str">
        <f>HYPERLINK("http://biobank.ctsu.ox.ac.uk/crystal/field.cgi?id=27488", "27488")</f>
        <v>27488</v>
      </c>
      <c r="C513" s="8" t="s">
        <v>1537</v>
      </c>
      <c r="D513" s="8" t="s">
        <v>10040</v>
      </c>
      <c r="E513" s="8" t="s">
        <v>10660</v>
      </c>
    </row>
    <row r="514" spans="1:5" x14ac:dyDescent="0.25">
      <c r="A514" s="5" t="s">
        <v>1538</v>
      </c>
      <c r="B514" s="9" t="str">
        <f>HYPERLINK("http://biobank.ctsu.ox.ac.uk/crystal/field.cgi?id=27489", "27489")</f>
        <v>27489</v>
      </c>
      <c r="C514" s="8" t="s">
        <v>1540</v>
      </c>
      <c r="D514" s="8" t="s">
        <v>10040</v>
      </c>
      <c r="E514" s="8" t="s">
        <v>10661</v>
      </c>
    </row>
    <row r="515" spans="1:5" x14ac:dyDescent="0.25">
      <c r="A515" s="5" t="s">
        <v>1541</v>
      </c>
      <c r="B515" s="9" t="str">
        <f>HYPERLINK("http://biobank.ctsu.ox.ac.uk/crystal/field.cgi?id=27490", "27490")</f>
        <v>27490</v>
      </c>
      <c r="C515" s="8" t="s">
        <v>1543</v>
      </c>
      <c r="D515" s="8" t="s">
        <v>10040</v>
      </c>
      <c r="E515" s="8" t="s">
        <v>10662</v>
      </c>
    </row>
    <row r="516" spans="1:5" x14ac:dyDescent="0.25">
      <c r="A516" s="5" t="s">
        <v>1544</v>
      </c>
      <c r="B516" s="9" t="str">
        <f>HYPERLINK("http://biobank.ctsu.ox.ac.uk/crystal/field.cgi?id=27491", "27491")</f>
        <v>27491</v>
      </c>
      <c r="C516" s="8" t="s">
        <v>1546</v>
      </c>
      <c r="D516" s="8" t="s">
        <v>10040</v>
      </c>
      <c r="E516" s="8" t="s">
        <v>10663</v>
      </c>
    </row>
    <row r="517" spans="1:5" x14ac:dyDescent="0.25">
      <c r="A517" s="5" t="s">
        <v>1547</v>
      </c>
      <c r="B517" s="9" t="str">
        <f>HYPERLINK("http://biobank.ctsu.ox.ac.uk/crystal/field.cgi?id=27492", "27492")</f>
        <v>27492</v>
      </c>
      <c r="C517" s="8" t="s">
        <v>1549</v>
      </c>
      <c r="D517" s="8" t="s">
        <v>10040</v>
      </c>
      <c r="E517" s="8" t="s">
        <v>10664</v>
      </c>
    </row>
    <row r="518" spans="1:5" x14ac:dyDescent="0.25">
      <c r="A518" s="5" t="s">
        <v>1550</v>
      </c>
      <c r="B518" s="9" t="str">
        <f>HYPERLINK("http://biobank.ctsu.ox.ac.uk/crystal/field.cgi?id=27493", "27493")</f>
        <v>27493</v>
      </c>
      <c r="C518" s="8" t="s">
        <v>1552</v>
      </c>
      <c r="D518" s="8" t="s">
        <v>10040</v>
      </c>
      <c r="E518" s="8" t="s">
        <v>10665</v>
      </c>
    </row>
    <row r="519" spans="1:5" x14ac:dyDescent="0.25">
      <c r="A519" s="5" t="s">
        <v>1553</v>
      </c>
      <c r="B519" s="9" t="str">
        <f>HYPERLINK("http://biobank.ctsu.ox.ac.uk/crystal/field.cgi?id=27494", "27494")</f>
        <v>27494</v>
      </c>
      <c r="C519" s="8" t="s">
        <v>1555</v>
      </c>
      <c r="D519" s="8" t="s">
        <v>10040</v>
      </c>
      <c r="E519" s="8" t="s">
        <v>10666</v>
      </c>
    </row>
    <row r="520" spans="1:5" x14ac:dyDescent="0.25">
      <c r="A520" s="5" t="s">
        <v>1556</v>
      </c>
      <c r="B520" s="9" t="str">
        <f>HYPERLINK("http://biobank.ctsu.ox.ac.uk/crystal/field.cgi?id=27495", "27495")</f>
        <v>27495</v>
      </c>
      <c r="C520" s="8" t="s">
        <v>1558</v>
      </c>
      <c r="D520" s="8" t="s">
        <v>10040</v>
      </c>
      <c r="E520" s="8" t="s">
        <v>10667</v>
      </c>
    </row>
    <row r="521" spans="1:5" x14ac:dyDescent="0.25">
      <c r="A521" s="5" t="s">
        <v>1559</v>
      </c>
      <c r="B521" s="9" t="str">
        <f>HYPERLINK("http://biobank.ctsu.ox.ac.uk/crystal/field.cgi?id=27496", "27496")</f>
        <v>27496</v>
      </c>
      <c r="C521" s="8" t="s">
        <v>1561</v>
      </c>
      <c r="D521" s="8" t="s">
        <v>10040</v>
      </c>
      <c r="E521" s="8" t="s">
        <v>10668</v>
      </c>
    </row>
    <row r="522" spans="1:5" x14ac:dyDescent="0.25">
      <c r="A522" s="5" t="s">
        <v>1562</v>
      </c>
      <c r="B522" s="9" t="str">
        <f>HYPERLINK("http://biobank.ctsu.ox.ac.uk/crystal/field.cgi?id=27497", "27497")</f>
        <v>27497</v>
      </c>
      <c r="C522" s="8" t="s">
        <v>1564</v>
      </c>
      <c r="D522" s="8" t="s">
        <v>10040</v>
      </c>
      <c r="E522" s="8" t="s">
        <v>10669</v>
      </c>
    </row>
    <row r="523" spans="1:5" x14ac:dyDescent="0.25">
      <c r="A523" s="5" t="s">
        <v>1565</v>
      </c>
      <c r="B523" s="9" t="str">
        <f>HYPERLINK("http://biobank.ctsu.ox.ac.uk/crystal/field.cgi?id=27498", "27498")</f>
        <v>27498</v>
      </c>
      <c r="C523" s="8" t="s">
        <v>1567</v>
      </c>
      <c r="D523" s="8" t="s">
        <v>10040</v>
      </c>
      <c r="E523" s="8" t="s">
        <v>10670</v>
      </c>
    </row>
    <row r="524" spans="1:5" x14ac:dyDescent="0.25">
      <c r="A524" s="5" t="s">
        <v>1568</v>
      </c>
      <c r="B524" s="9" t="str">
        <f>HYPERLINK("http://biobank.ctsu.ox.ac.uk/crystal/field.cgi?id=27499", "27499")</f>
        <v>27499</v>
      </c>
      <c r="C524" s="8" t="s">
        <v>1570</v>
      </c>
      <c r="D524" s="8" t="s">
        <v>10040</v>
      </c>
      <c r="E524" s="8" t="s">
        <v>10671</v>
      </c>
    </row>
    <row r="525" spans="1:5" x14ac:dyDescent="0.25">
      <c r="A525" s="5" t="s">
        <v>1571</v>
      </c>
      <c r="B525" s="9" t="str">
        <f>HYPERLINK("http://biobank.ctsu.ox.ac.uk/crystal/field.cgi?id=27500", "27500")</f>
        <v>27500</v>
      </c>
      <c r="C525" s="8" t="s">
        <v>1573</v>
      </c>
      <c r="D525" s="8" t="s">
        <v>10040</v>
      </c>
      <c r="E525" s="8" t="s">
        <v>10672</v>
      </c>
    </row>
    <row r="526" spans="1:5" x14ac:dyDescent="0.25">
      <c r="A526" s="5" t="s">
        <v>1574</v>
      </c>
      <c r="B526" s="9" t="str">
        <f>HYPERLINK("http://biobank.ctsu.ox.ac.uk/crystal/field.cgi?id=27501", "27501")</f>
        <v>27501</v>
      </c>
      <c r="C526" s="8" t="s">
        <v>1576</v>
      </c>
      <c r="D526" s="8" t="s">
        <v>10040</v>
      </c>
      <c r="E526" s="8" t="s">
        <v>10673</v>
      </c>
    </row>
    <row r="527" spans="1:5" x14ac:dyDescent="0.25">
      <c r="A527" s="5" t="s">
        <v>1577</v>
      </c>
      <c r="B527" s="9" t="str">
        <f>HYPERLINK("http://biobank.ctsu.ox.ac.uk/crystal/field.cgi?id=27502", "27502")</f>
        <v>27502</v>
      </c>
      <c r="C527" s="8" t="s">
        <v>1579</v>
      </c>
      <c r="D527" s="8" t="s">
        <v>10040</v>
      </c>
      <c r="E527" s="8" t="s">
        <v>10674</v>
      </c>
    </row>
    <row r="528" spans="1:5" x14ac:dyDescent="0.25">
      <c r="A528" s="5" t="s">
        <v>1580</v>
      </c>
      <c r="B528" s="9" t="str">
        <f>HYPERLINK("http://biobank.ctsu.ox.ac.uk/crystal/field.cgi?id=27503", "27503")</f>
        <v>27503</v>
      </c>
      <c r="C528" s="8" t="s">
        <v>1582</v>
      </c>
      <c r="D528" s="8" t="s">
        <v>10040</v>
      </c>
      <c r="E528" s="8" t="s">
        <v>10675</v>
      </c>
    </row>
    <row r="529" spans="1:5" x14ac:dyDescent="0.25">
      <c r="A529" s="5" t="s">
        <v>1583</v>
      </c>
      <c r="B529" s="9" t="str">
        <f>HYPERLINK("http://biobank.ctsu.ox.ac.uk/crystal/field.cgi?id=27504", "27504")</f>
        <v>27504</v>
      </c>
      <c r="C529" s="8" t="s">
        <v>1585</v>
      </c>
      <c r="D529" s="8" t="s">
        <v>10040</v>
      </c>
      <c r="E529" s="8" t="s">
        <v>10676</v>
      </c>
    </row>
    <row r="530" spans="1:5" x14ac:dyDescent="0.25">
      <c r="A530" s="5" t="s">
        <v>1586</v>
      </c>
      <c r="B530" s="9" t="str">
        <f>HYPERLINK("http://biobank.ctsu.ox.ac.uk/crystal/field.cgi?id=27505", "27505")</f>
        <v>27505</v>
      </c>
      <c r="C530" s="8" t="s">
        <v>1588</v>
      </c>
      <c r="D530" s="8" t="s">
        <v>10040</v>
      </c>
      <c r="E530" s="8" t="s">
        <v>10677</v>
      </c>
    </row>
    <row r="531" spans="1:5" x14ac:dyDescent="0.25">
      <c r="A531" s="5" t="s">
        <v>1589</v>
      </c>
      <c r="B531" s="9" t="str">
        <f>HYPERLINK("http://biobank.ctsu.ox.ac.uk/crystal/field.cgi?id=27506", "27506")</f>
        <v>27506</v>
      </c>
      <c r="C531" s="8" t="s">
        <v>1591</v>
      </c>
      <c r="D531" s="8" t="s">
        <v>10040</v>
      </c>
      <c r="E531" s="8" t="s">
        <v>10678</v>
      </c>
    </row>
    <row r="532" spans="1:5" x14ac:dyDescent="0.25">
      <c r="A532" s="5" t="s">
        <v>1592</v>
      </c>
      <c r="B532" s="9" t="str">
        <f>HYPERLINK("http://biobank.ctsu.ox.ac.uk/crystal/field.cgi?id=27507", "27507")</f>
        <v>27507</v>
      </c>
      <c r="C532" s="8" t="s">
        <v>1594</v>
      </c>
      <c r="D532" s="8" t="s">
        <v>10040</v>
      </c>
      <c r="E532" s="8" t="s">
        <v>10679</v>
      </c>
    </row>
    <row r="533" spans="1:5" x14ac:dyDescent="0.25">
      <c r="A533" s="5" t="s">
        <v>1595</v>
      </c>
      <c r="B533" s="9" t="str">
        <f>HYPERLINK("http://biobank.ctsu.ox.ac.uk/crystal/field.cgi?id=27508", "27508")</f>
        <v>27508</v>
      </c>
      <c r="C533" s="8" t="s">
        <v>1597</v>
      </c>
      <c r="D533" s="8" t="s">
        <v>10040</v>
      </c>
      <c r="E533" s="8" t="s">
        <v>10680</v>
      </c>
    </row>
    <row r="534" spans="1:5" x14ac:dyDescent="0.25">
      <c r="A534" s="5" t="s">
        <v>1598</v>
      </c>
      <c r="B534" s="9" t="str">
        <f>HYPERLINK("http://biobank.ctsu.ox.ac.uk/crystal/field.cgi?id=27509", "27509")</f>
        <v>27509</v>
      </c>
      <c r="C534" s="8" t="s">
        <v>1600</v>
      </c>
      <c r="D534" s="8" t="s">
        <v>10040</v>
      </c>
      <c r="E534" s="8" t="s">
        <v>10681</v>
      </c>
    </row>
    <row r="535" spans="1:5" x14ac:dyDescent="0.25">
      <c r="A535" s="5" t="s">
        <v>1601</v>
      </c>
      <c r="B535" s="9" t="str">
        <f>HYPERLINK("http://biobank.ctsu.ox.ac.uk/crystal/field.cgi?id=27510", "27510")</f>
        <v>27510</v>
      </c>
      <c r="C535" s="8" t="s">
        <v>1603</v>
      </c>
      <c r="D535" s="8" t="s">
        <v>10040</v>
      </c>
      <c r="E535" s="8" t="s">
        <v>10682</v>
      </c>
    </row>
    <row r="536" spans="1:5" x14ac:dyDescent="0.25">
      <c r="A536" s="5" t="s">
        <v>1604</v>
      </c>
      <c r="B536" s="9" t="str">
        <f>HYPERLINK("http://biobank.ctsu.ox.ac.uk/crystal/field.cgi?id=27511", "27511")</f>
        <v>27511</v>
      </c>
      <c r="C536" s="8" t="s">
        <v>1606</v>
      </c>
      <c r="D536" s="8" t="s">
        <v>10040</v>
      </c>
      <c r="E536" s="8" t="s">
        <v>10683</v>
      </c>
    </row>
    <row r="537" spans="1:5" x14ac:dyDescent="0.25">
      <c r="A537" s="5" t="s">
        <v>1607</v>
      </c>
      <c r="B537" s="9" t="str">
        <f>HYPERLINK("http://biobank.ctsu.ox.ac.uk/crystal/field.cgi?id=27512", "27512")</f>
        <v>27512</v>
      </c>
      <c r="C537" s="8" t="s">
        <v>1609</v>
      </c>
      <c r="D537" s="8" t="s">
        <v>10040</v>
      </c>
      <c r="E537" s="8" t="s">
        <v>10684</v>
      </c>
    </row>
    <row r="538" spans="1:5" x14ac:dyDescent="0.25">
      <c r="A538" s="5" t="s">
        <v>1610</v>
      </c>
      <c r="B538" s="9" t="str">
        <f>HYPERLINK("http://biobank.ctsu.ox.ac.uk/crystal/field.cgi?id=27513", "27513")</f>
        <v>27513</v>
      </c>
      <c r="C538" s="8" t="s">
        <v>1612</v>
      </c>
      <c r="D538" s="8" t="s">
        <v>10040</v>
      </c>
      <c r="E538" s="8" t="s">
        <v>10685</v>
      </c>
    </row>
    <row r="539" spans="1:5" x14ac:dyDescent="0.25">
      <c r="A539" s="5" t="s">
        <v>1613</v>
      </c>
      <c r="B539" s="9" t="str">
        <f>HYPERLINK("http://biobank.ctsu.ox.ac.uk/crystal/field.cgi?id=27514", "27514")</f>
        <v>27514</v>
      </c>
      <c r="C539" s="8" t="s">
        <v>1615</v>
      </c>
      <c r="D539" s="8" t="s">
        <v>10040</v>
      </c>
      <c r="E539" s="8" t="s">
        <v>10686</v>
      </c>
    </row>
    <row r="540" spans="1:5" x14ac:dyDescent="0.25">
      <c r="A540" s="5" t="s">
        <v>1616</v>
      </c>
      <c r="B540" s="9" t="str">
        <f>HYPERLINK("http://biobank.ctsu.ox.ac.uk/crystal/field.cgi?id=27515", "27515")</f>
        <v>27515</v>
      </c>
      <c r="C540" s="8" t="s">
        <v>1618</v>
      </c>
      <c r="D540" s="8" t="s">
        <v>10040</v>
      </c>
      <c r="E540" s="8" t="s">
        <v>10687</v>
      </c>
    </row>
    <row r="541" spans="1:5" x14ac:dyDescent="0.25">
      <c r="A541" s="5" t="s">
        <v>1619</v>
      </c>
      <c r="B541" s="9" t="str">
        <f>HYPERLINK("http://biobank.ctsu.ox.ac.uk/crystal/field.cgi?id=27516", "27516")</f>
        <v>27516</v>
      </c>
      <c r="C541" s="8" t="s">
        <v>1621</v>
      </c>
      <c r="D541" s="8" t="s">
        <v>10040</v>
      </c>
      <c r="E541" s="8" t="s">
        <v>10688</v>
      </c>
    </row>
    <row r="542" spans="1:5" x14ac:dyDescent="0.25">
      <c r="A542" s="5" t="s">
        <v>1622</v>
      </c>
      <c r="B542" s="9" t="str">
        <f>HYPERLINK("http://biobank.ctsu.ox.ac.uk/crystal/field.cgi?id=27517", "27517")</f>
        <v>27517</v>
      </c>
      <c r="C542" s="8" t="s">
        <v>1624</v>
      </c>
      <c r="D542" s="8" t="s">
        <v>10040</v>
      </c>
      <c r="E542" s="8" t="s">
        <v>10689</v>
      </c>
    </row>
    <row r="543" spans="1:5" x14ac:dyDescent="0.25">
      <c r="A543" s="5" t="s">
        <v>1625</v>
      </c>
      <c r="B543" s="9" t="str">
        <f>HYPERLINK("http://biobank.ctsu.ox.ac.uk/crystal/field.cgi?id=27518", "27518")</f>
        <v>27518</v>
      </c>
      <c r="C543" s="8" t="s">
        <v>1627</v>
      </c>
      <c r="D543" s="8" t="s">
        <v>10040</v>
      </c>
      <c r="E543" s="8" t="s">
        <v>10690</v>
      </c>
    </row>
    <row r="544" spans="1:5" x14ac:dyDescent="0.25">
      <c r="A544" s="5" t="s">
        <v>1628</v>
      </c>
      <c r="B544" s="9" t="str">
        <f>HYPERLINK("http://biobank.ctsu.ox.ac.uk/crystal/field.cgi?id=27519", "27519")</f>
        <v>27519</v>
      </c>
      <c r="C544" s="8" t="s">
        <v>1630</v>
      </c>
      <c r="D544" s="8" t="s">
        <v>10040</v>
      </c>
      <c r="E544" s="8" t="s">
        <v>10691</v>
      </c>
    </row>
    <row r="545" spans="1:5" x14ac:dyDescent="0.25">
      <c r="A545" s="5" t="s">
        <v>1631</v>
      </c>
      <c r="B545" s="9" t="str">
        <f>HYPERLINK("http://biobank.ctsu.ox.ac.uk/crystal/field.cgi?id=27520", "27520")</f>
        <v>27520</v>
      </c>
      <c r="C545" s="8" t="s">
        <v>1633</v>
      </c>
      <c r="D545" s="8" t="s">
        <v>10040</v>
      </c>
      <c r="E545" s="8" t="s">
        <v>10692</v>
      </c>
    </row>
    <row r="546" spans="1:5" x14ac:dyDescent="0.25">
      <c r="A546" s="5" t="s">
        <v>1634</v>
      </c>
      <c r="B546" s="9" t="str">
        <f>HYPERLINK("http://biobank.ctsu.ox.ac.uk/crystal/field.cgi?id=27521", "27521")</f>
        <v>27521</v>
      </c>
      <c r="C546" s="8" t="s">
        <v>1636</v>
      </c>
      <c r="D546" s="8" t="s">
        <v>10040</v>
      </c>
      <c r="E546" s="8" t="s">
        <v>10693</v>
      </c>
    </row>
    <row r="547" spans="1:5" x14ac:dyDescent="0.25">
      <c r="A547" s="5" t="s">
        <v>1637</v>
      </c>
      <c r="B547" s="9" t="str">
        <f>HYPERLINK("http://biobank.ctsu.ox.ac.uk/crystal/field.cgi?id=27522", "27522")</f>
        <v>27522</v>
      </c>
      <c r="C547" s="8" t="s">
        <v>1639</v>
      </c>
      <c r="D547" s="8" t="s">
        <v>10040</v>
      </c>
      <c r="E547" s="8" t="s">
        <v>10694</v>
      </c>
    </row>
    <row r="548" spans="1:5" x14ac:dyDescent="0.25">
      <c r="A548" s="5" t="s">
        <v>1640</v>
      </c>
      <c r="B548" s="9" t="str">
        <f>HYPERLINK("http://biobank.ctsu.ox.ac.uk/crystal/field.cgi?id=27523", "27523")</f>
        <v>27523</v>
      </c>
      <c r="C548" s="8" t="s">
        <v>1642</v>
      </c>
      <c r="D548" s="8" t="s">
        <v>10040</v>
      </c>
      <c r="E548" s="8" t="s">
        <v>10695</v>
      </c>
    </row>
    <row r="549" spans="1:5" x14ac:dyDescent="0.25">
      <c r="A549" s="5" t="s">
        <v>1643</v>
      </c>
      <c r="B549" s="9" t="str">
        <f>HYPERLINK("http://biobank.ctsu.ox.ac.uk/crystal/field.cgi?id=27524", "27524")</f>
        <v>27524</v>
      </c>
      <c r="C549" s="8" t="s">
        <v>1645</v>
      </c>
      <c r="D549" s="8" t="s">
        <v>10040</v>
      </c>
      <c r="E549" s="8" t="s">
        <v>10696</v>
      </c>
    </row>
    <row r="550" spans="1:5" x14ac:dyDescent="0.25">
      <c r="A550" s="5" t="s">
        <v>1646</v>
      </c>
      <c r="B550" s="9" t="str">
        <f>HYPERLINK("http://biobank.ctsu.ox.ac.uk/crystal/field.cgi?id=27525", "27525")</f>
        <v>27525</v>
      </c>
      <c r="C550" s="8" t="s">
        <v>1648</v>
      </c>
      <c r="D550" s="8" t="s">
        <v>10040</v>
      </c>
      <c r="E550" s="8" t="s">
        <v>10697</v>
      </c>
    </row>
    <row r="551" spans="1:5" x14ac:dyDescent="0.25">
      <c r="A551" s="5" t="s">
        <v>1649</v>
      </c>
      <c r="B551" s="9" t="str">
        <f>HYPERLINK("http://biobank.ctsu.ox.ac.uk/crystal/field.cgi?id=27526", "27526")</f>
        <v>27526</v>
      </c>
      <c r="C551" s="8" t="s">
        <v>1651</v>
      </c>
      <c r="D551" s="8" t="s">
        <v>10040</v>
      </c>
      <c r="E551" s="8" t="s">
        <v>10698</v>
      </c>
    </row>
    <row r="552" spans="1:5" x14ac:dyDescent="0.25">
      <c r="A552" s="5" t="s">
        <v>1652</v>
      </c>
      <c r="B552" s="9" t="str">
        <f>HYPERLINK("http://biobank.ctsu.ox.ac.uk/crystal/field.cgi?id=27527", "27527")</f>
        <v>27527</v>
      </c>
      <c r="C552" s="8" t="s">
        <v>1654</v>
      </c>
      <c r="D552" s="8" t="s">
        <v>10040</v>
      </c>
      <c r="E552" s="8" t="s">
        <v>10699</v>
      </c>
    </row>
    <row r="553" spans="1:5" x14ac:dyDescent="0.25">
      <c r="A553" s="5" t="s">
        <v>1655</v>
      </c>
      <c r="B553" s="9" t="str">
        <f>HYPERLINK("http://biobank.ctsu.ox.ac.uk/crystal/field.cgi?id=27528", "27528")</f>
        <v>27528</v>
      </c>
      <c r="C553" s="8" t="s">
        <v>1657</v>
      </c>
      <c r="D553" s="8" t="s">
        <v>10040</v>
      </c>
      <c r="E553" s="8" t="s">
        <v>10700</v>
      </c>
    </row>
    <row r="554" spans="1:5" x14ac:dyDescent="0.25">
      <c r="A554" s="5" t="s">
        <v>1658</v>
      </c>
      <c r="B554" s="9" t="str">
        <f>HYPERLINK("http://biobank.ctsu.ox.ac.uk/crystal/field.cgi?id=27529", "27529")</f>
        <v>27529</v>
      </c>
      <c r="C554" s="8" t="s">
        <v>1660</v>
      </c>
      <c r="D554" s="8" t="s">
        <v>10040</v>
      </c>
      <c r="E554" s="8" t="s">
        <v>10701</v>
      </c>
    </row>
    <row r="555" spans="1:5" x14ac:dyDescent="0.25">
      <c r="A555" s="5" t="s">
        <v>1661</v>
      </c>
      <c r="B555" s="9" t="str">
        <f>HYPERLINK("http://biobank.ctsu.ox.ac.uk/crystal/field.cgi?id=27530", "27530")</f>
        <v>27530</v>
      </c>
      <c r="C555" s="8" t="s">
        <v>1663</v>
      </c>
      <c r="D555" s="8" t="s">
        <v>10040</v>
      </c>
      <c r="E555" s="8" t="s">
        <v>10702</v>
      </c>
    </row>
    <row r="556" spans="1:5" x14ac:dyDescent="0.25">
      <c r="A556" s="5" t="s">
        <v>1664</v>
      </c>
      <c r="B556" s="9" t="str">
        <f>HYPERLINK("http://biobank.ctsu.ox.ac.uk/crystal/field.cgi?id=27531", "27531")</f>
        <v>27531</v>
      </c>
      <c r="C556" s="8" t="s">
        <v>1666</v>
      </c>
      <c r="D556" s="8" t="s">
        <v>10040</v>
      </c>
      <c r="E556" s="8" t="s">
        <v>10703</v>
      </c>
    </row>
    <row r="557" spans="1:5" x14ac:dyDescent="0.25">
      <c r="A557" s="5" t="s">
        <v>1667</v>
      </c>
      <c r="B557" s="9" t="str">
        <f>HYPERLINK("http://biobank.ctsu.ox.ac.uk/crystal/field.cgi?id=27532", "27532")</f>
        <v>27532</v>
      </c>
      <c r="C557" s="8" t="s">
        <v>1669</v>
      </c>
      <c r="D557" s="8" t="s">
        <v>10040</v>
      </c>
      <c r="E557" s="8" t="s">
        <v>10704</v>
      </c>
    </row>
    <row r="558" spans="1:5" x14ac:dyDescent="0.25">
      <c r="A558" s="5" t="s">
        <v>1670</v>
      </c>
      <c r="B558" s="9" t="str">
        <f>HYPERLINK("http://biobank.ctsu.ox.ac.uk/crystal/field.cgi?id=27533", "27533")</f>
        <v>27533</v>
      </c>
      <c r="C558" s="8" t="s">
        <v>1672</v>
      </c>
      <c r="D558" s="8" t="s">
        <v>10040</v>
      </c>
      <c r="E558" s="8" t="s">
        <v>10705</v>
      </c>
    </row>
    <row r="559" spans="1:5" x14ac:dyDescent="0.25">
      <c r="A559" s="5" t="s">
        <v>1673</v>
      </c>
      <c r="B559" s="9" t="str">
        <f>HYPERLINK("http://biobank.ctsu.ox.ac.uk/crystal/field.cgi?id=27534", "27534")</f>
        <v>27534</v>
      </c>
      <c r="C559" s="8" t="s">
        <v>1675</v>
      </c>
      <c r="D559" s="8" t="s">
        <v>10040</v>
      </c>
      <c r="E559" s="8" t="s">
        <v>10706</v>
      </c>
    </row>
    <row r="560" spans="1:5" x14ac:dyDescent="0.25">
      <c r="A560" s="5" t="s">
        <v>1676</v>
      </c>
      <c r="B560" s="9" t="str">
        <f>HYPERLINK("http://biobank.ctsu.ox.ac.uk/crystal/field.cgi?id=27535", "27535")</f>
        <v>27535</v>
      </c>
      <c r="C560" s="8" t="s">
        <v>1678</v>
      </c>
      <c r="D560" s="8" t="s">
        <v>10040</v>
      </c>
      <c r="E560" s="8" t="s">
        <v>10707</v>
      </c>
    </row>
    <row r="561" spans="1:5" x14ac:dyDescent="0.25">
      <c r="A561" s="5" t="s">
        <v>1679</v>
      </c>
      <c r="B561" s="9" t="str">
        <f>HYPERLINK("http://biobank.ctsu.ox.ac.uk/crystal/field.cgi?id=27536", "27536")</f>
        <v>27536</v>
      </c>
      <c r="C561" s="8" t="s">
        <v>1681</v>
      </c>
      <c r="D561" s="8" t="s">
        <v>10040</v>
      </c>
      <c r="E561" s="8" t="s">
        <v>10708</v>
      </c>
    </row>
    <row r="562" spans="1:5" x14ac:dyDescent="0.25">
      <c r="A562" s="5" t="s">
        <v>1682</v>
      </c>
      <c r="B562" s="9" t="str">
        <f>HYPERLINK("http://biobank.ctsu.ox.ac.uk/crystal/field.cgi?id=27537", "27537")</f>
        <v>27537</v>
      </c>
      <c r="C562" s="8" t="s">
        <v>1684</v>
      </c>
      <c r="D562" s="8" t="s">
        <v>10040</v>
      </c>
      <c r="E562" s="8" t="s">
        <v>10709</v>
      </c>
    </row>
    <row r="563" spans="1:5" x14ac:dyDescent="0.25">
      <c r="A563" s="5" t="s">
        <v>1685</v>
      </c>
      <c r="B563" s="9" t="str">
        <f>HYPERLINK("http://biobank.ctsu.ox.ac.uk/crystal/field.cgi?id=27538", "27538")</f>
        <v>27538</v>
      </c>
      <c r="C563" s="8" t="s">
        <v>1687</v>
      </c>
      <c r="D563" s="8" t="s">
        <v>10040</v>
      </c>
      <c r="E563" s="8" t="s">
        <v>10710</v>
      </c>
    </row>
    <row r="564" spans="1:5" x14ac:dyDescent="0.25">
      <c r="A564" s="5" t="s">
        <v>1688</v>
      </c>
      <c r="B564" s="9" t="str">
        <f>HYPERLINK("http://biobank.ctsu.ox.ac.uk/crystal/field.cgi?id=27539", "27539")</f>
        <v>27539</v>
      </c>
      <c r="C564" s="8" t="s">
        <v>1690</v>
      </c>
      <c r="D564" s="8" t="s">
        <v>10040</v>
      </c>
      <c r="E564" s="8" t="s">
        <v>10711</v>
      </c>
    </row>
    <row r="565" spans="1:5" x14ac:dyDescent="0.25">
      <c r="A565" s="5" t="s">
        <v>1691</v>
      </c>
      <c r="B565" s="9" t="str">
        <f>HYPERLINK("http://biobank.ctsu.ox.ac.uk/crystal/field.cgi?id=27540", "27540")</f>
        <v>27540</v>
      </c>
      <c r="C565" s="8" t="s">
        <v>1693</v>
      </c>
      <c r="D565" s="8" t="s">
        <v>10040</v>
      </c>
      <c r="E565" s="8" t="s">
        <v>10712</v>
      </c>
    </row>
    <row r="566" spans="1:5" x14ac:dyDescent="0.25">
      <c r="A566" s="5" t="s">
        <v>1694</v>
      </c>
      <c r="B566" s="9" t="str">
        <f>HYPERLINK("http://biobank.ctsu.ox.ac.uk/crystal/field.cgi?id=27541", "27541")</f>
        <v>27541</v>
      </c>
      <c r="C566" s="8" t="s">
        <v>1696</v>
      </c>
      <c r="D566" s="8" t="s">
        <v>10040</v>
      </c>
      <c r="E566" s="8" t="s">
        <v>10713</v>
      </c>
    </row>
    <row r="567" spans="1:5" x14ac:dyDescent="0.25">
      <c r="A567" s="5" t="s">
        <v>1697</v>
      </c>
      <c r="B567" s="9" t="str">
        <f>HYPERLINK("http://biobank.ctsu.ox.ac.uk/crystal/field.cgi?id=27542", "27542")</f>
        <v>27542</v>
      </c>
      <c r="C567" s="8" t="s">
        <v>1699</v>
      </c>
      <c r="D567" s="8" t="s">
        <v>10040</v>
      </c>
      <c r="E567" s="8" t="s">
        <v>10714</v>
      </c>
    </row>
    <row r="568" spans="1:5" x14ac:dyDescent="0.25">
      <c r="A568" s="5" t="s">
        <v>1700</v>
      </c>
      <c r="B568" s="9" t="str">
        <f>HYPERLINK("http://biobank.ctsu.ox.ac.uk/crystal/field.cgi?id=27543", "27543")</f>
        <v>27543</v>
      </c>
      <c r="C568" s="8" t="s">
        <v>1702</v>
      </c>
      <c r="D568" s="8" t="s">
        <v>10040</v>
      </c>
      <c r="E568" s="8" t="s">
        <v>10715</v>
      </c>
    </row>
    <row r="569" spans="1:5" x14ac:dyDescent="0.25">
      <c r="A569" s="5" t="s">
        <v>1703</v>
      </c>
      <c r="B569" s="9" t="str">
        <f>HYPERLINK("http://biobank.ctsu.ox.ac.uk/crystal/field.cgi?id=27544", "27544")</f>
        <v>27544</v>
      </c>
      <c r="C569" s="8" t="s">
        <v>1705</v>
      </c>
      <c r="D569" s="8" t="s">
        <v>10040</v>
      </c>
      <c r="E569" s="8" t="s">
        <v>10716</v>
      </c>
    </row>
    <row r="570" spans="1:5" x14ac:dyDescent="0.25">
      <c r="A570" s="5" t="s">
        <v>1706</v>
      </c>
      <c r="B570" s="9" t="str">
        <f>HYPERLINK("http://biobank.ctsu.ox.ac.uk/crystal/field.cgi?id=27545", "27545")</f>
        <v>27545</v>
      </c>
      <c r="C570" s="8" t="s">
        <v>1708</v>
      </c>
      <c r="D570" s="8" t="s">
        <v>10040</v>
      </c>
      <c r="E570" s="8" t="s">
        <v>10717</v>
      </c>
    </row>
    <row r="571" spans="1:5" x14ac:dyDescent="0.25">
      <c r="A571" s="5" t="s">
        <v>1709</v>
      </c>
      <c r="B571" s="9" t="str">
        <f>HYPERLINK("http://biobank.ctsu.ox.ac.uk/crystal/field.cgi?id=27546", "27546")</f>
        <v>27546</v>
      </c>
      <c r="C571" s="8" t="s">
        <v>1711</v>
      </c>
      <c r="D571" s="8" t="s">
        <v>10040</v>
      </c>
      <c r="E571" s="8" t="s">
        <v>10718</v>
      </c>
    </row>
    <row r="572" spans="1:5" x14ac:dyDescent="0.25">
      <c r="A572" s="5" t="s">
        <v>1712</v>
      </c>
      <c r="B572" s="9" t="str">
        <f>HYPERLINK("http://biobank.ctsu.ox.ac.uk/crystal/field.cgi?id=27547", "27547")</f>
        <v>27547</v>
      </c>
      <c r="C572" s="8" t="s">
        <v>1714</v>
      </c>
      <c r="D572" s="8" t="s">
        <v>10040</v>
      </c>
      <c r="E572" s="8" t="s">
        <v>10719</v>
      </c>
    </row>
    <row r="573" spans="1:5" x14ac:dyDescent="0.25">
      <c r="A573" s="5" t="s">
        <v>1715</v>
      </c>
      <c r="B573" s="9" t="str">
        <f>HYPERLINK("http://biobank.ctsu.ox.ac.uk/crystal/field.cgi?id=27548", "27548")</f>
        <v>27548</v>
      </c>
      <c r="C573" s="8" t="s">
        <v>1717</v>
      </c>
      <c r="D573" s="8" t="s">
        <v>10040</v>
      </c>
      <c r="E573" s="8" t="s">
        <v>10720</v>
      </c>
    </row>
    <row r="574" spans="1:5" x14ac:dyDescent="0.25">
      <c r="A574" s="5" t="s">
        <v>1718</v>
      </c>
      <c r="B574" s="9" t="str">
        <f>HYPERLINK("http://biobank.ctsu.ox.ac.uk/crystal/field.cgi?id=27549", "27549")</f>
        <v>27549</v>
      </c>
      <c r="C574" s="8" t="s">
        <v>1720</v>
      </c>
      <c r="D574" s="8" t="s">
        <v>10040</v>
      </c>
      <c r="E574" s="8" t="s">
        <v>10721</v>
      </c>
    </row>
    <row r="575" spans="1:5" x14ac:dyDescent="0.25">
      <c r="A575" s="5" t="s">
        <v>1721</v>
      </c>
      <c r="B575" s="9" t="str">
        <f>HYPERLINK("http://biobank.ctsu.ox.ac.uk/crystal/field.cgi?id=27550", "27550")</f>
        <v>27550</v>
      </c>
      <c r="C575" s="8" t="s">
        <v>1723</v>
      </c>
      <c r="D575" s="8" t="s">
        <v>10040</v>
      </c>
      <c r="E575" s="8" t="s">
        <v>10722</v>
      </c>
    </row>
    <row r="576" spans="1:5" x14ac:dyDescent="0.25">
      <c r="A576" s="5" t="s">
        <v>1724</v>
      </c>
      <c r="B576" s="9" t="str">
        <f>HYPERLINK("http://biobank.ctsu.ox.ac.uk/crystal/field.cgi?id=27699", "27699")</f>
        <v>27699</v>
      </c>
      <c r="C576" s="8" t="s">
        <v>1726</v>
      </c>
      <c r="D576" s="8" t="s">
        <v>10040</v>
      </c>
      <c r="E576" s="8" t="s">
        <v>10723</v>
      </c>
    </row>
    <row r="577" spans="1:5" x14ac:dyDescent="0.25">
      <c r="A577" s="5" t="s">
        <v>1727</v>
      </c>
      <c r="B577" s="9" t="str">
        <f>HYPERLINK("http://biobank.ctsu.ox.ac.uk/crystal/field.cgi?id=27700", "27700")</f>
        <v>27700</v>
      </c>
      <c r="C577" s="8" t="s">
        <v>1729</v>
      </c>
      <c r="D577" s="8" t="s">
        <v>10040</v>
      </c>
      <c r="E577" s="8" t="s">
        <v>10724</v>
      </c>
    </row>
    <row r="578" spans="1:5" x14ac:dyDescent="0.25">
      <c r="A578" s="5" t="s">
        <v>1730</v>
      </c>
      <c r="B578" s="9" t="str">
        <f>HYPERLINK("http://biobank.ctsu.ox.ac.uk/crystal/field.cgi?id=27701", "27701")</f>
        <v>27701</v>
      </c>
      <c r="C578" s="8" t="s">
        <v>1732</v>
      </c>
      <c r="D578" s="8" t="s">
        <v>10040</v>
      </c>
      <c r="E578" s="8" t="s">
        <v>10725</v>
      </c>
    </row>
    <row r="579" spans="1:5" x14ac:dyDescent="0.25">
      <c r="A579" s="5" t="s">
        <v>1733</v>
      </c>
      <c r="B579" s="9" t="str">
        <f>HYPERLINK("http://biobank.ctsu.ox.ac.uk/crystal/field.cgi?id=27702", "27702")</f>
        <v>27702</v>
      </c>
      <c r="C579" s="8" t="s">
        <v>1735</v>
      </c>
      <c r="D579" s="8" t="s">
        <v>10040</v>
      </c>
      <c r="E579" s="8" t="s">
        <v>10726</v>
      </c>
    </row>
    <row r="580" spans="1:5" x14ac:dyDescent="0.25">
      <c r="A580" s="5" t="s">
        <v>1736</v>
      </c>
      <c r="B580" s="9" t="str">
        <f>HYPERLINK("http://biobank.ctsu.ox.ac.uk/crystal/field.cgi?id=27703", "27703")</f>
        <v>27703</v>
      </c>
      <c r="C580" s="8" t="s">
        <v>1738</v>
      </c>
      <c r="D580" s="8" t="s">
        <v>10040</v>
      </c>
      <c r="E580" s="8" t="s">
        <v>10727</v>
      </c>
    </row>
    <row r="581" spans="1:5" x14ac:dyDescent="0.25">
      <c r="A581" s="5" t="s">
        <v>1739</v>
      </c>
      <c r="B581" s="9" t="str">
        <f>HYPERLINK("http://biobank.ctsu.ox.ac.uk/crystal/field.cgi?id=27704", "27704")</f>
        <v>27704</v>
      </c>
      <c r="C581" s="8" t="s">
        <v>1741</v>
      </c>
      <c r="D581" s="8" t="s">
        <v>10040</v>
      </c>
      <c r="E581" s="8" t="s">
        <v>10728</v>
      </c>
    </row>
    <row r="582" spans="1:5" x14ac:dyDescent="0.25">
      <c r="A582" s="5" t="s">
        <v>1742</v>
      </c>
      <c r="B582" s="9" t="str">
        <f>HYPERLINK("http://biobank.ctsu.ox.ac.uk/crystal/field.cgi?id=27705", "27705")</f>
        <v>27705</v>
      </c>
      <c r="C582" s="8" t="s">
        <v>1744</v>
      </c>
      <c r="D582" s="8" t="s">
        <v>10040</v>
      </c>
      <c r="E582" s="8" t="s">
        <v>10729</v>
      </c>
    </row>
    <row r="583" spans="1:5" x14ac:dyDescent="0.25">
      <c r="A583" s="5" t="s">
        <v>1745</v>
      </c>
      <c r="B583" s="9" t="str">
        <f>HYPERLINK("http://biobank.ctsu.ox.ac.uk/crystal/field.cgi?id=27706", "27706")</f>
        <v>27706</v>
      </c>
      <c r="C583" s="8" t="s">
        <v>1747</v>
      </c>
      <c r="D583" s="8" t="s">
        <v>10040</v>
      </c>
      <c r="E583" s="8" t="s">
        <v>10730</v>
      </c>
    </row>
    <row r="584" spans="1:5" x14ac:dyDescent="0.25">
      <c r="A584" s="5" t="s">
        <v>1748</v>
      </c>
      <c r="B584" s="9" t="str">
        <f>HYPERLINK("http://biobank.ctsu.ox.ac.uk/crystal/field.cgi?id=27707", "27707")</f>
        <v>27707</v>
      </c>
      <c r="C584" s="8" t="s">
        <v>1750</v>
      </c>
      <c r="D584" s="8" t="s">
        <v>10040</v>
      </c>
      <c r="E584" s="8" t="s">
        <v>10731</v>
      </c>
    </row>
    <row r="585" spans="1:5" x14ac:dyDescent="0.25">
      <c r="A585" s="5" t="s">
        <v>1751</v>
      </c>
      <c r="B585" s="9" t="str">
        <f>HYPERLINK("http://biobank.ctsu.ox.ac.uk/crystal/field.cgi?id=27708", "27708")</f>
        <v>27708</v>
      </c>
      <c r="C585" s="8" t="s">
        <v>1753</v>
      </c>
      <c r="D585" s="8" t="s">
        <v>10040</v>
      </c>
      <c r="E585" s="8" t="s">
        <v>10732</v>
      </c>
    </row>
    <row r="586" spans="1:5" x14ac:dyDescent="0.25">
      <c r="A586" s="5" t="s">
        <v>1754</v>
      </c>
      <c r="B586" s="9" t="str">
        <f>HYPERLINK("http://biobank.ctsu.ox.ac.uk/crystal/field.cgi?id=27709", "27709")</f>
        <v>27709</v>
      </c>
      <c r="C586" s="8" t="s">
        <v>1756</v>
      </c>
      <c r="D586" s="8" t="s">
        <v>10040</v>
      </c>
      <c r="E586" s="8" t="s">
        <v>10733</v>
      </c>
    </row>
    <row r="587" spans="1:5" x14ac:dyDescent="0.25">
      <c r="A587" s="5" t="s">
        <v>1757</v>
      </c>
      <c r="B587" s="9" t="str">
        <f>HYPERLINK("http://biobank.ctsu.ox.ac.uk/crystal/field.cgi?id=27710", "27710")</f>
        <v>27710</v>
      </c>
      <c r="C587" s="8" t="s">
        <v>1759</v>
      </c>
      <c r="D587" s="8" t="s">
        <v>10040</v>
      </c>
      <c r="E587" s="8" t="s">
        <v>10734</v>
      </c>
    </row>
    <row r="588" spans="1:5" x14ac:dyDescent="0.25">
      <c r="A588" s="5" t="s">
        <v>1760</v>
      </c>
      <c r="B588" s="9" t="str">
        <f>HYPERLINK("http://biobank.ctsu.ox.ac.uk/crystal/field.cgi?id=27711", "27711")</f>
        <v>27711</v>
      </c>
      <c r="C588" s="8" t="s">
        <v>1762</v>
      </c>
      <c r="D588" s="8" t="s">
        <v>10040</v>
      </c>
      <c r="E588" s="8" t="s">
        <v>10735</v>
      </c>
    </row>
    <row r="589" spans="1:5" x14ac:dyDescent="0.25">
      <c r="A589" s="5" t="s">
        <v>1763</v>
      </c>
      <c r="B589" s="9" t="str">
        <f>HYPERLINK("http://biobank.ctsu.ox.ac.uk/crystal/field.cgi?id=27712", "27712")</f>
        <v>27712</v>
      </c>
      <c r="C589" s="8" t="s">
        <v>1765</v>
      </c>
      <c r="D589" s="8" t="s">
        <v>10040</v>
      </c>
      <c r="E589" s="8" t="s">
        <v>10736</v>
      </c>
    </row>
    <row r="590" spans="1:5" x14ac:dyDescent="0.25">
      <c r="A590" s="5" t="s">
        <v>1766</v>
      </c>
      <c r="B590" s="9" t="str">
        <f>HYPERLINK("http://biobank.ctsu.ox.ac.uk/crystal/field.cgi?id=27713", "27713")</f>
        <v>27713</v>
      </c>
      <c r="C590" s="8" t="s">
        <v>1768</v>
      </c>
      <c r="D590" s="8" t="s">
        <v>10040</v>
      </c>
      <c r="E590" s="8" t="s">
        <v>10737</v>
      </c>
    </row>
    <row r="591" spans="1:5" x14ac:dyDescent="0.25">
      <c r="A591" s="5" t="s">
        <v>1769</v>
      </c>
      <c r="B591" s="9" t="str">
        <f>HYPERLINK("http://biobank.ctsu.ox.ac.uk/crystal/field.cgi?id=27714", "27714")</f>
        <v>27714</v>
      </c>
      <c r="C591" s="8" t="s">
        <v>1771</v>
      </c>
      <c r="D591" s="8" t="s">
        <v>10040</v>
      </c>
      <c r="E591" s="8" t="s">
        <v>10738</v>
      </c>
    </row>
    <row r="592" spans="1:5" x14ac:dyDescent="0.25">
      <c r="A592" s="5" t="s">
        <v>1772</v>
      </c>
      <c r="B592" s="9" t="str">
        <f>HYPERLINK("http://biobank.ctsu.ox.ac.uk/crystal/field.cgi?id=27715", "27715")</f>
        <v>27715</v>
      </c>
      <c r="C592" s="8" t="s">
        <v>1774</v>
      </c>
      <c r="D592" s="8" t="s">
        <v>10040</v>
      </c>
      <c r="E592" s="8" t="s">
        <v>10739</v>
      </c>
    </row>
    <row r="593" spans="1:5" x14ac:dyDescent="0.25">
      <c r="A593" s="5" t="s">
        <v>1775</v>
      </c>
      <c r="B593" s="9" t="str">
        <f>HYPERLINK("http://biobank.ctsu.ox.ac.uk/crystal/field.cgi?id=27716", "27716")</f>
        <v>27716</v>
      </c>
      <c r="C593" s="8" t="s">
        <v>1777</v>
      </c>
      <c r="D593" s="8" t="s">
        <v>10040</v>
      </c>
      <c r="E593" s="8" t="s">
        <v>10740</v>
      </c>
    </row>
    <row r="594" spans="1:5" x14ac:dyDescent="0.25">
      <c r="A594" s="5" t="s">
        <v>1778</v>
      </c>
      <c r="B594" s="9" t="str">
        <f>HYPERLINK("http://biobank.ctsu.ox.ac.uk/crystal/field.cgi?id=27717", "27717")</f>
        <v>27717</v>
      </c>
      <c r="C594" s="8" t="s">
        <v>1780</v>
      </c>
      <c r="D594" s="8" t="s">
        <v>10040</v>
      </c>
      <c r="E594" s="8" t="s">
        <v>10741</v>
      </c>
    </row>
    <row r="595" spans="1:5" x14ac:dyDescent="0.25">
      <c r="A595" s="5" t="s">
        <v>1781</v>
      </c>
      <c r="B595" s="9" t="str">
        <f>HYPERLINK("http://biobank.ctsu.ox.ac.uk/crystal/field.cgi?id=27718", "27718")</f>
        <v>27718</v>
      </c>
      <c r="C595" s="8" t="s">
        <v>1783</v>
      </c>
      <c r="D595" s="8" t="s">
        <v>10040</v>
      </c>
      <c r="E595" s="8" t="s">
        <v>10742</v>
      </c>
    </row>
    <row r="596" spans="1:5" x14ac:dyDescent="0.25">
      <c r="A596" s="5" t="s">
        <v>1784</v>
      </c>
      <c r="B596" s="9" t="str">
        <f>HYPERLINK("http://biobank.ctsu.ox.ac.uk/crystal/field.cgi?id=27719", "27719")</f>
        <v>27719</v>
      </c>
      <c r="C596" s="8" t="s">
        <v>1786</v>
      </c>
      <c r="D596" s="8" t="s">
        <v>10040</v>
      </c>
      <c r="E596" s="8" t="s">
        <v>10743</v>
      </c>
    </row>
    <row r="597" spans="1:5" x14ac:dyDescent="0.25">
      <c r="A597" s="5" t="s">
        <v>1787</v>
      </c>
      <c r="B597" s="9" t="str">
        <f>HYPERLINK("http://biobank.ctsu.ox.ac.uk/crystal/field.cgi?id=27720", "27720")</f>
        <v>27720</v>
      </c>
      <c r="C597" s="8" t="s">
        <v>1789</v>
      </c>
      <c r="D597" s="8" t="s">
        <v>10040</v>
      </c>
      <c r="E597" s="8" t="s">
        <v>10744</v>
      </c>
    </row>
    <row r="598" spans="1:5" x14ac:dyDescent="0.25">
      <c r="A598" s="5" t="s">
        <v>1790</v>
      </c>
      <c r="B598" s="9" t="str">
        <f>HYPERLINK("http://biobank.ctsu.ox.ac.uk/crystal/field.cgi?id=27721", "27721")</f>
        <v>27721</v>
      </c>
      <c r="C598" s="8" t="s">
        <v>1792</v>
      </c>
      <c r="D598" s="8" t="s">
        <v>10040</v>
      </c>
      <c r="E598" s="8" t="s">
        <v>10745</v>
      </c>
    </row>
    <row r="599" spans="1:5" x14ac:dyDescent="0.25">
      <c r="A599" s="5" t="s">
        <v>1793</v>
      </c>
      <c r="B599" s="9" t="str">
        <f>HYPERLINK("http://biobank.ctsu.ox.ac.uk/crystal/field.cgi?id=27722", "27722")</f>
        <v>27722</v>
      </c>
      <c r="C599" s="8" t="s">
        <v>1795</v>
      </c>
      <c r="D599" s="8" t="s">
        <v>10040</v>
      </c>
      <c r="E599" s="8" t="s">
        <v>10746</v>
      </c>
    </row>
    <row r="600" spans="1:5" x14ac:dyDescent="0.25">
      <c r="A600" s="5" t="s">
        <v>1796</v>
      </c>
      <c r="B600" s="9" t="str">
        <f>HYPERLINK("http://biobank.ctsu.ox.ac.uk/crystal/field.cgi?id=27723", "27723")</f>
        <v>27723</v>
      </c>
      <c r="C600" s="8" t="s">
        <v>1798</v>
      </c>
      <c r="D600" s="8" t="s">
        <v>10040</v>
      </c>
      <c r="E600" s="8" t="s">
        <v>10747</v>
      </c>
    </row>
    <row r="601" spans="1:5" x14ac:dyDescent="0.25">
      <c r="A601" s="5" t="s">
        <v>1799</v>
      </c>
      <c r="B601" s="9" t="str">
        <f>HYPERLINK("http://biobank.ctsu.ox.ac.uk/crystal/field.cgi?id=27724", "27724")</f>
        <v>27724</v>
      </c>
      <c r="C601" s="8" t="s">
        <v>1801</v>
      </c>
      <c r="D601" s="8" t="s">
        <v>10040</v>
      </c>
      <c r="E601" s="8" t="s">
        <v>10748</v>
      </c>
    </row>
    <row r="602" spans="1:5" x14ac:dyDescent="0.25">
      <c r="A602" s="5" t="s">
        <v>1802</v>
      </c>
      <c r="B602" s="9" t="str">
        <f>HYPERLINK("http://biobank.ctsu.ox.ac.uk/crystal/field.cgi?id=27725", "27725")</f>
        <v>27725</v>
      </c>
      <c r="C602" s="8" t="s">
        <v>1804</v>
      </c>
      <c r="D602" s="8" t="s">
        <v>10040</v>
      </c>
      <c r="E602" s="8" t="s">
        <v>10749</v>
      </c>
    </row>
    <row r="603" spans="1:5" x14ac:dyDescent="0.25">
      <c r="A603" s="5" t="s">
        <v>1805</v>
      </c>
      <c r="B603" s="9" t="str">
        <f>HYPERLINK("http://biobank.ctsu.ox.ac.uk/crystal/field.cgi?id=27726", "27726")</f>
        <v>27726</v>
      </c>
      <c r="C603" s="8" t="s">
        <v>1807</v>
      </c>
      <c r="D603" s="8" t="s">
        <v>10040</v>
      </c>
      <c r="E603" s="8" t="s">
        <v>10750</v>
      </c>
    </row>
    <row r="604" spans="1:5" x14ac:dyDescent="0.25">
      <c r="A604" s="5" t="s">
        <v>1808</v>
      </c>
      <c r="B604" s="9" t="str">
        <f>HYPERLINK("http://biobank.ctsu.ox.ac.uk/crystal/field.cgi?id=27727", "27727")</f>
        <v>27727</v>
      </c>
      <c r="C604" s="8" t="s">
        <v>1810</v>
      </c>
      <c r="D604" s="8" t="s">
        <v>10040</v>
      </c>
      <c r="E604" s="8" t="s">
        <v>10751</v>
      </c>
    </row>
    <row r="605" spans="1:5" x14ac:dyDescent="0.25">
      <c r="A605" s="5" t="s">
        <v>1811</v>
      </c>
      <c r="B605" s="9" t="str">
        <f>HYPERLINK("http://biobank.ctsu.ox.ac.uk/crystal/field.cgi?id=27728", "27728")</f>
        <v>27728</v>
      </c>
      <c r="C605" s="8" t="s">
        <v>1813</v>
      </c>
      <c r="D605" s="8" t="s">
        <v>10040</v>
      </c>
      <c r="E605" s="8" t="s">
        <v>10752</v>
      </c>
    </row>
    <row r="606" spans="1:5" x14ac:dyDescent="0.25">
      <c r="A606" s="5" t="s">
        <v>1814</v>
      </c>
      <c r="B606" s="9" t="str">
        <f>HYPERLINK("http://biobank.ctsu.ox.ac.uk/crystal/field.cgi?id=27729", "27729")</f>
        <v>27729</v>
      </c>
      <c r="C606" s="8" t="s">
        <v>1816</v>
      </c>
      <c r="D606" s="8" t="s">
        <v>10040</v>
      </c>
      <c r="E606" s="8" t="s">
        <v>10753</v>
      </c>
    </row>
    <row r="607" spans="1:5" x14ac:dyDescent="0.25">
      <c r="A607" s="5" t="s">
        <v>1817</v>
      </c>
      <c r="B607" s="9" t="str">
        <f>HYPERLINK("http://biobank.ctsu.ox.ac.uk/crystal/field.cgi?id=27730", "27730")</f>
        <v>27730</v>
      </c>
      <c r="C607" s="8" t="s">
        <v>1819</v>
      </c>
      <c r="D607" s="8" t="s">
        <v>10040</v>
      </c>
      <c r="E607" s="8" t="s">
        <v>10754</v>
      </c>
    </row>
    <row r="608" spans="1:5" x14ac:dyDescent="0.25">
      <c r="A608" s="5" t="s">
        <v>1820</v>
      </c>
      <c r="B608" s="9" t="str">
        <f>HYPERLINK("http://biobank.ctsu.ox.ac.uk/crystal/field.cgi?id=27731", "27731")</f>
        <v>27731</v>
      </c>
      <c r="C608" s="8" t="s">
        <v>1822</v>
      </c>
      <c r="D608" s="8" t="s">
        <v>10040</v>
      </c>
      <c r="E608" s="8" t="s">
        <v>10755</v>
      </c>
    </row>
    <row r="609" spans="1:5" x14ac:dyDescent="0.25">
      <c r="A609" s="5" t="s">
        <v>1823</v>
      </c>
      <c r="B609" s="9" t="str">
        <f>HYPERLINK("http://biobank.ctsu.ox.ac.uk/crystal/field.cgi?id=27732", "27732")</f>
        <v>27732</v>
      </c>
      <c r="C609" s="8" t="s">
        <v>1825</v>
      </c>
      <c r="D609" s="8" t="s">
        <v>10040</v>
      </c>
      <c r="E609" s="8" t="s">
        <v>10756</v>
      </c>
    </row>
    <row r="610" spans="1:5" x14ac:dyDescent="0.25">
      <c r="A610" s="5" t="s">
        <v>1826</v>
      </c>
      <c r="B610" s="9" t="str">
        <f>HYPERLINK("http://biobank.ctsu.ox.ac.uk/crystal/field.cgi?id=27733", "27733")</f>
        <v>27733</v>
      </c>
      <c r="C610" s="8" t="s">
        <v>1828</v>
      </c>
      <c r="D610" s="8" t="s">
        <v>10040</v>
      </c>
      <c r="E610" s="8" t="s">
        <v>10757</v>
      </c>
    </row>
    <row r="611" spans="1:5" x14ac:dyDescent="0.25">
      <c r="A611" s="5" t="s">
        <v>1829</v>
      </c>
      <c r="B611" s="9" t="str">
        <f>HYPERLINK("http://biobank.ctsu.ox.ac.uk/crystal/field.cgi?id=27734", "27734")</f>
        <v>27734</v>
      </c>
      <c r="C611" s="8" t="s">
        <v>1831</v>
      </c>
      <c r="D611" s="8" t="s">
        <v>10040</v>
      </c>
      <c r="E611" s="8" t="s">
        <v>10758</v>
      </c>
    </row>
    <row r="612" spans="1:5" x14ac:dyDescent="0.25">
      <c r="A612" s="5" t="s">
        <v>1832</v>
      </c>
      <c r="B612" s="9" t="str">
        <f>HYPERLINK("http://biobank.ctsu.ox.ac.uk/crystal/field.cgi?id=27735", "27735")</f>
        <v>27735</v>
      </c>
      <c r="C612" s="8" t="s">
        <v>1834</v>
      </c>
      <c r="D612" s="8" t="s">
        <v>10040</v>
      </c>
      <c r="E612" s="8" t="s">
        <v>10759</v>
      </c>
    </row>
    <row r="613" spans="1:5" x14ac:dyDescent="0.25">
      <c r="A613" s="5" t="s">
        <v>1835</v>
      </c>
      <c r="B613" s="9" t="str">
        <f>HYPERLINK("http://biobank.ctsu.ox.ac.uk/crystal/field.cgi?id=27736", "27736")</f>
        <v>27736</v>
      </c>
      <c r="C613" s="8" t="s">
        <v>1837</v>
      </c>
      <c r="D613" s="8" t="s">
        <v>10040</v>
      </c>
      <c r="E613" s="8" t="s">
        <v>10760</v>
      </c>
    </row>
    <row r="614" spans="1:5" x14ac:dyDescent="0.25">
      <c r="A614" s="5" t="s">
        <v>1838</v>
      </c>
      <c r="B614" s="9" t="str">
        <f>HYPERLINK("http://biobank.ctsu.ox.ac.uk/crystal/field.cgi?id=27737", "27737")</f>
        <v>27737</v>
      </c>
      <c r="C614" s="8" t="s">
        <v>1840</v>
      </c>
      <c r="D614" s="8" t="s">
        <v>10040</v>
      </c>
      <c r="E614" s="8" t="s">
        <v>10761</v>
      </c>
    </row>
    <row r="615" spans="1:5" x14ac:dyDescent="0.25">
      <c r="A615" s="5" t="s">
        <v>1841</v>
      </c>
      <c r="B615" s="9" t="str">
        <f>HYPERLINK("http://biobank.ctsu.ox.ac.uk/crystal/field.cgi?id=27738", "27738")</f>
        <v>27738</v>
      </c>
      <c r="C615" s="8" t="s">
        <v>1843</v>
      </c>
      <c r="D615" s="8" t="s">
        <v>10040</v>
      </c>
      <c r="E615" s="8" t="s">
        <v>10762</v>
      </c>
    </row>
    <row r="616" spans="1:5" x14ac:dyDescent="0.25">
      <c r="A616" s="5" t="s">
        <v>1844</v>
      </c>
      <c r="B616" s="9" t="str">
        <f>HYPERLINK("http://biobank.ctsu.ox.ac.uk/crystal/field.cgi?id=27739", "27739")</f>
        <v>27739</v>
      </c>
      <c r="C616" s="8" t="s">
        <v>1846</v>
      </c>
      <c r="D616" s="8" t="s">
        <v>10040</v>
      </c>
      <c r="E616" s="8" t="s">
        <v>10763</v>
      </c>
    </row>
    <row r="617" spans="1:5" x14ac:dyDescent="0.25">
      <c r="A617" s="5" t="s">
        <v>1847</v>
      </c>
      <c r="B617" s="9" t="str">
        <f>HYPERLINK("http://biobank.ctsu.ox.ac.uk/crystal/field.cgi?id=27740", "27740")</f>
        <v>27740</v>
      </c>
      <c r="C617" s="8" t="s">
        <v>1849</v>
      </c>
      <c r="D617" s="8" t="s">
        <v>10040</v>
      </c>
      <c r="E617" s="8" t="s">
        <v>10764</v>
      </c>
    </row>
    <row r="618" spans="1:5" x14ac:dyDescent="0.25">
      <c r="A618" s="5" t="s">
        <v>1850</v>
      </c>
      <c r="B618" s="9" t="str">
        <f>HYPERLINK("http://biobank.ctsu.ox.ac.uk/crystal/field.cgi?id=27741", "27741")</f>
        <v>27741</v>
      </c>
      <c r="C618" s="8" t="s">
        <v>1852</v>
      </c>
      <c r="D618" s="8" t="s">
        <v>10040</v>
      </c>
      <c r="E618" s="8" t="s">
        <v>10765</v>
      </c>
    </row>
    <row r="619" spans="1:5" x14ac:dyDescent="0.25">
      <c r="A619" s="5" t="s">
        <v>1853</v>
      </c>
      <c r="B619" s="9" t="str">
        <f>HYPERLINK("http://biobank.ctsu.ox.ac.uk/crystal/field.cgi?id=27742", "27742")</f>
        <v>27742</v>
      </c>
      <c r="C619" s="8" t="s">
        <v>1855</v>
      </c>
      <c r="D619" s="8" t="s">
        <v>10040</v>
      </c>
      <c r="E619" s="8" t="s">
        <v>10766</v>
      </c>
    </row>
    <row r="620" spans="1:5" x14ac:dyDescent="0.25">
      <c r="A620" s="5" t="s">
        <v>1856</v>
      </c>
      <c r="B620" s="9" t="str">
        <f>HYPERLINK("http://biobank.ctsu.ox.ac.uk/crystal/field.cgi?id=27743", "27743")</f>
        <v>27743</v>
      </c>
      <c r="C620" s="8" t="s">
        <v>1858</v>
      </c>
      <c r="D620" s="8" t="s">
        <v>10040</v>
      </c>
      <c r="E620" s="8" t="s">
        <v>10767</v>
      </c>
    </row>
    <row r="621" spans="1:5" x14ac:dyDescent="0.25">
      <c r="A621" s="5" t="s">
        <v>1859</v>
      </c>
      <c r="B621" s="9" t="str">
        <f>HYPERLINK("http://biobank.ctsu.ox.ac.uk/crystal/field.cgi?id=27744", "27744")</f>
        <v>27744</v>
      </c>
      <c r="C621" s="8" t="s">
        <v>1861</v>
      </c>
      <c r="D621" s="8" t="s">
        <v>10040</v>
      </c>
      <c r="E621" s="8" t="s">
        <v>10768</v>
      </c>
    </row>
    <row r="622" spans="1:5" x14ac:dyDescent="0.25">
      <c r="A622" s="5" t="s">
        <v>1862</v>
      </c>
      <c r="B622" s="9" t="str">
        <f>HYPERLINK("http://biobank.ctsu.ox.ac.uk/crystal/field.cgi?id=27745", "27745")</f>
        <v>27745</v>
      </c>
      <c r="C622" s="8" t="s">
        <v>1864</v>
      </c>
      <c r="D622" s="8" t="s">
        <v>10040</v>
      </c>
      <c r="E622" s="8" t="s">
        <v>10769</v>
      </c>
    </row>
    <row r="623" spans="1:5" x14ac:dyDescent="0.25">
      <c r="A623" s="5" t="s">
        <v>1865</v>
      </c>
      <c r="B623" s="9" t="str">
        <f>HYPERLINK("http://biobank.ctsu.ox.ac.uk/crystal/field.cgi?id=27746", "27746")</f>
        <v>27746</v>
      </c>
      <c r="C623" s="8" t="s">
        <v>1867</v>
      </c>
      <c r="D623" s="8" t="s">
        <v>10040</v>
      </c>
      <c r="E623" s="8" t="s">
        <v>10770</v>
      </c>
    </row>
    <row r="624" spans="1:5" x14ac:dyDescent="0.25">
      <c r="A624" s="5" t="s">
        <v>1868</v>
      </c>
      <c r="B624" s="9" t="str">
        <f>HYPERLINK("http://biobank.ctsu.ox.ac.uk/crystal/field.cgi?id=27747", "27747")</f>
        <v>27747</v>
      </c>
      <c r="C624" s="8" t="s">
        <v>1870</v>
      </c>
      <c r="D624" s="8" t="s">
        <v>10040</v>
      </c>
      <c r="E624" s="8" t="s">
        <v>10771</v>
      </c>
    </row>
    <row r="625" spans="1:5" x14ac:dyDescent="0.25">
      <c r="A625" s="5" t="s">
        <v>1871</v>
      </c>
      <c r="B625" s="9" t="str">
        <f>HYPERLINK("http://biobank.ctsu.ox.ac.uk/crystal/field.cgi?id=27748", "27748")</f>
        <v>27748</v>
      </c>
      <c r="C625" s="8" t="s">
        <v>1873</v>
      </c>
      <c r="D625" s="8" t="s">
        <v>10040</v>
      </c>
      <c r="E625" s="8" t="s">
        <v>10772</v>
      </c>
    </row>
    <row r="626" spans="1:5" x14ac:dyDescent="0.25">
      <c r="A626" s="5" t="s">
        <v>1874</v>
      </c>
      <c r="B626" s="9" t="str">
        <f>HYPERLINK("http://biobank.ctsu.ox.ac.uk/crystal/field.cgi?id=27749", "27749")</f>
        <v>27749</v>
      </c>
      <c r="C626" s="8" t="s">
        <v>1876</v>
      </c>
      <c r="D626" s="8" t="s">
        <v>10040</v>
      </c>
      <c r="E626" s="8" t="s">
        <v>10773</v>
      </c>
    </row>
    <row r="627" spans="1:5" x14ac:dyDescent="0.25">
      <c r="A627" s="5" t="s">
        <v>1877</v>
      </c>
      <c r="B627" s="9" t="str">
        <f>HYPERLINK("http://biobank.ctsu.ox.ac.uk/crystal/field.cgi?id=27750", "27750")</f>
        <v>27750</v>
      </c>
      <c r="C627" s="8" t="s">
        <v>1879</v>
      </c>
      <c r="D627" s="8" t="s">
        <v>10040</v>
      </c>
      <c r="E627" s="8" t="s">
        <v>10774</v>
      </c>
    </row>
    <row r="628" spans="1:5" x14ac:dyDescent="0.25">
      <c r="A628" s="5" t="s">
        <v>1880</v>
      </c>
      <c r="B628" s="9" t="str">
        <f>HYPERLINK("http://biobank.ctsu.ox.ac.uk/crystal/field.cgi?id=27751", "27751")</f>
        <v>27751</v>
      </c>
      <c r="C628" s="8" t="s">
        <v>1882</v>
      </c>
      <c r="D628" s="8" t="s">
        <v>10040</v>
      </c>
      <c r="E628" s="8" t="s">
        <v>10775</v>
      </c>
    </row>
    <row r="629" spans="1:5" x14ac:dyDescent="0.25">
      <c r="A629" s="5" t="s">
        <v>1883</v>
      </c>
      <c r="B629" s="9" t="str">
        <f>HYPERLINK("http://biobank.ctsu.ox.ac.uk/crystal/field.cgi?id=27752", "27752")</f>
        <v>27752</v>
      </c>
      <c r="C629" s="8" t="s">
        <v>1885</v>
      </c>
      <c r="D629" s="8" t="s">
        <v>10040</v>
      </c>
      <c r="E629" s="8" t="s">
        <v>10776</v>
      </c>
    </row>
    <row r="630" spans="1:5" x14ac:dyDescent="0.25">
      <c r="A630" s="5" t="s">
        <v>1886</v>
      </c>
      <c r="B630" s="9" t="str">
        <f>HYPERLINK("http://biobank.ctsu.ox.ac.uk/crystal/field.cgi?id=27753", "27753")</f>
        <v>27753</v>
      </c>
      <c r="C630" s="8" t="s">
        <v>1888</v>
      </c>
      <c r="D630" s="8" t="s">
        <v>10040</v>
      </c>
      <c r="E630" s="8" t="s">
        <v>10777</v>
      </c>
    </row>
    <row r="631" spans="1:5" x14ac:dyDescent="0.25">
      <c r="A631" s="5" t="s">
        <v>1889</v>
      </c>
      <c r="B631" s="9" t="str">
        <f>HYPERLINK("http://biobank.ctsu.ox.ac.uk/crystal/field.cgi?id=27754", "27754")</f>
        <v>27754</v>
      </c>
      <c r="C631" s="8" t="s">
        <v>1891</v>
      </c>
      <c r="D631" s="8" t="s">
        <v>10040</v>
      </c>
      <c r="E631" s="8" t="s">
        <v>10778</v>
      </c>
    </row>
    <row r="632" spans="1:5" x14ac:dyDescent="0.25">
      <c r="A632" s="5" t="s">
        <v>1892</v>
      </c>
      <c r="B632" s="9" t="str">
        <f>HYPERLINK("http://biobank.ctsu.ox.ac.uk/crystal/field.cgi?id=27755", "27755")</f>
        <v>27755</v>
      </c>
      <c r="C632" s="8" t="s">
        <v>1894</v>
      </c>
      <c r="D632" s="8" t="s">
        <v>10040</v>
      </c>
      <c r="E632" s="8" t="s">
        <v>10779</v>
      </c>
    </row>
    <row r="633" spans="1:5" x14ac:dyDescent="0.25">
      <c r="A633" s="5" t="s">
        <v>1895</v>
      </c>
      <c r="B633" s="9" t="str">
        <f>HYPERLINK("http://biobank.ctsu.ox.ac.uk/crystal/field.cgi?id=27756", "27756")</f>
        <v>27756</v>
      </c>
      <c r="C633" s="8" t="s">
        <v>1897</v>
      </c>
      <c r="D633" s="8" t="s">
        <v>10040</v>
      </c>
      <c r="E633" s="8" t="s">
        <v>10780</v>
      </c>
    </row>
    <row r="634" spans="1:5" x14ac:dyDescent="0.25">
      <c r="A634" s="5" t="s">
        <v>1898</v>
      </c>
      <c r="B634" s="9" t="str">
        <f>HYPERLINK("http://biobank.ctsu.ox.ac.uk/crystal/field.cgi?id=27757", "27757")</f>
        <v>27757</v>
      </c>
      <c r="C634" s="8" t="s">
        <v>1900</v>
      </c>
      <c r="D634" s="8" t="s">
        <v>10040</v>
      </c>
      <c r="E634" s="8" t="s">
        <v>10781</v>
      </c>
    </row>
    <row r="635" spans="1:5" x14ac:dyDescent="0.25">
      <c r="A635" s="5" t="s">
        <v>1901</v>
      </c>
      <c r="B635" s="9" t="str">
        <f>HYPERLINK("http://biobank.ctsu.ox.ac.uk/crystal/field.cgi?id=27758", "27758")</f>
        <v>27758</v>
      </c>
      <c r="C635" s="8" t="s">
        <v>1903</v>
      </c>
      <c r="D635" s="8" t="s">
        <v>10040</v>
      </c>
      <c r="E635" s="8" t="s">
        <v>10782</v>
      </c>
    </row>
    <row r="636" spans="1:5" x14ac:dyDescent="0.25">
      <c r="A636" s="5" t="s">
        <v>1904</v>
      </c>
      <c r="B636" s="9" t="str">
        <f>HYPERLINK("http://biobank.ctsu.ox.ac.uk/crystal/field.cgi?id=27759", "27759")</f>
        <v>27759</v>
      </c>
      <c r="C636" s="8" t="s">
        <v>1906</v>
      </c>
      <c r="D636" s="8" t="s">
        <v>10040</v>
      </c>
      <c r="E636" s="8" t="s">
        <v>10783</v>
      </c>
    </row>
    <row r="637" spans="1:5" x14ac:dyDescent="0.25">
      <c r="A637" s="5" t="s">
        <v>1907</v>
      </c>
      <c r="B637" s="9" t="str">
        <f>HYPERLINK("http://biobank.ctsu.ox.ac.uk/crystal/field.cgi?id=27760", "27760")</f>
        <v>27760</v>
      </c>
      <c r="C637" s="8" t="s">
        <v>1909</v>
      </c>
      <c r="D637" s="8" t="s">
        <v>10040</v>
      </c>
      <c r="E637" s="8" t="s">
        <v>10784</v>
      </c>
    </row>
    <row r="638" spans="1:5" x14ac:dyDescent="0.25">
      <c r="A638" s="5" t="s">
        <v>1910</v>
      </c>
      <c r="B638" s="9" t="str">
        <f>HYPERLINK("http://biobank.ctsu.ox.ac.uk/crystal/field.cgi?id=27761", "27761")</f>
        <v>27761</v>
      </c>
      <c r="C638" s="8" t="s">
        <v>1912</v>
      </c>
      <c r="D638" s="8" t="s">
        <v>10040</v>
      </c>
      <c r="E638" s="8" t="s">
        <v>10785</v>
      </c>
    </row>
    <row r="639" spans="1:5" x14ac:dyDescent="0.25">
      <c r="A639" s="5" t="s">
        <v>1913</v>
      </c>
      <c r="B639" s="9" t="str">
        <f>HYPERLINK("http://biobank.ctsu.ox.ac.uk/crystal/field.cgi?id=27762", "27762")</f>
        <v>27762</v>
      </c>
      <c r="C639" s="8" t="s">
        <v>1915</v>
      </c>
      <c r="D639" s="8" t="s">
        <v>10040</v>
      </c>
      <c r="E639" s="8" t="s">
        <v>10786</v>
      </c>
    </row>
    <row r="640" spans="1:5" x14ac:dyDescent="0.25">
      <c r="A640" s="5" t="s">
        <v>1916</v>
      </c>
      <c r="B640" s="9" t="str">
        <f>HYPERLINK("http://biobank.ctsu.ox.ac.uk/crystal/field.cgi?id=27763", "27763")</f>
        <v>27763</v>
      </c>
      <c r="C640" s="8" t="s">
        <v>1918</v>
      </c>
      <c r="D640" s="8" t="s">
        <v>10040</v>
      </c>
      <c r="E640" s="8" t="s">
        <v>10787</v>
      </c>
    </row>
    <row r="641" spans="1:5" x14ac:dyDescent="0.25">
      <c r="A641" s="5" t="s">
        <v>1919</v>
      </c>
      <c r="B641" s="9" t="str">
        <f>HYPERLINK("http://biobank.ctsu.ox.ac.uk/crystal/field.cgi?id=27764", "27764")</f>
        <v>27764</v>
      </c>
      <c r="C641" s="8" t="s">
        <v>1921</v>
      </c>
      <c r="D641" s="8" t="s">
        <v>10040</v>
      </c>
      <c r="E641" s="8" t="s">
        <v>10788</v>
      </c>
    </row>
    <row r="642" spans="1:5" x14ac:dyDescent="0.25">
      <c r="A642" s="5" t="s">
        <v>1922</v>
      </c>
      <c r="B642" s="9" t="str">
        <f>HYPERLINK("http://biobank.ctsu.ox.ac.uk/crystal/field.cgi?id=27765", "27765")</f>
        <v>27765</v>
      </c>
      <c r="C642" s="8" t="s">
        <v>1924</v>
      </c>
      <c r="D642" s="8" t="s">
        <v>10040</v>
      </c>
      <c r="E642" s="8" t="s">
        <v>10789</v>
      </c>
    </row>
    <row r="643" spans="1:5" x14ac:dyDescent="0.25">
      <c r="A643" s="5" t="s">
        <v>1925</v>
      </c>
      <c r="B643" s="9" t="str">
        <f>HYPERLINK("http://biobank.ctsu.ox.ac.uk/crystal/field.cgi?id=27766", "27766")</f>
        <v>27766</v>
      </c>
      <c r="C643" s="8" t="s">
        <v>1927</v>
      </c>
      <c r="D643" s="8" t="s">
        <v>10040</v>
      </c>
      <c r="E643" s="8" t="s">
        <v>10790</v>
      </c>
    </row>
    <row r="644" spans="1:5" x14ac:dyDescent="0.25">
      <c r="A644" s="5" t="s">
        <v>1928</v>
      </c>
      <c r="B644" s="9" t="str">
        <f>HYPERLINK("http://biobank.ctsu.ox.ac.uk/crystal/field.cgi?id=27767", "27767")</f>
        <v>27767</v>
      </c>
      <c r="C644" s="8" t="s">
        <v>1930</v>
      </c>
      <c r="D644" s="8" t="s">
        <v>10040</v>
      </c>
      <c r="E644" s="8" t="s">
        <v>10791</v>
      </c>
    </row>
    <row r="645" spans="1:5" x14ac:dyDescent="0.25">
      <c r="A645" s="5" t="s">
        <v>1931</v>
      </c>
      <c r="B645" s="9" t="str">
        <f>HYPERLINK("http://biobank.ctsu.ox.ac.uk/crystal/field.cgi?id=27768", "27768")</f>
        <v>27768</v>
      </c>
      <c r="C645" s="8" t="s">
        <v>1933</v>
      </c>
      <c r="D645" s="8" t="s">
        <v>10040</v>
      </c>
      <c r="E645" s="8" t="s">
        <v>10792</v>
      </c>
    </row>
    <row r="646" spans="1:5" x14ac:dyDescent="0.25">
      <c r="A646" s="5" t="s">
        <v>1934</v>
      </c>
      <c r="B646" s="9" t="str">
        <f>HYPERLINK("http://biobank.ctsu.ox.ac.uk/crystal/field.cgi?id=27769", "27769")</f>
        <v>27769</v>
      </c>
      <c r="C646" s="8" t="s">
        <v>1936</v>
      </c>
      <c r="D646" s="8" t="s">
        <v>10040</v>
      </c>
      <c r="E646" s="8" t="s">
        <v>10793</v>
      </c>
    </row>
    <row r="647" spans="1:5" x14ac:dyDescent="0.25">
      <c r="A647" s="5" t="s">
        <v>1937</v>
      </c>
      <c r="B647" s="9" t="str">
        <f>HYPERLINK("http://biobank.ctsu.ox.ac.uk/crystal/field.cgi?id=27770", "27770")</f>
        <v>27770</v>
      </c>
      <c r="C647" s="8" t="s">
        <v>1939</v>
      </c>
      <c r="D647" s="8" t="s">
        <v>10040</v>
      </c>
      <c r="E647" s="8" t="s">
        <v>10794</v>
      </c>
    </row>
    <row r="648" spans="1:5" x14ac:dyDescent="0.25">
      <c r="A648" s="5" t="s">
        <v>1940</v>
      </c>
      <c r="B648" s="9" t="str">
        <f>HYPERLINK("http://biobank.ctsu.ox.ac.uk/crystal/field.cgi?id=27771", "27771")</f>
        <v>27771</v>
      </c>
      <c r="C648" s="8" t="s">
        <v>1942</v>
      </c>
      <c r="D648" s="8" t="s">
        <v>10040</v>
      </c>
      <c r="E648" s="8" t="s">
        <v>10795</v>
      </c>
    </row>
    <row r="649" spans="1:5" x14ac:dyDescent="0.25">
      <c r="A649" s="5" t="s">
        <v>1943</v>
      </c>
      <c r="B649" s="9" t="str">
        <f>HYPERLINK("http://biobank.ctsu.ox.ac.uk/crystal/field.cgi?id=27772", "27772")</f>
        <v>27772</v>
      </c>
      <c r="C649" s="8" t="s">
        <v>1945</v>
      </c>
      <c r="D649" s="8" t="s">
        <v>10040</v>
      </c>
      <c r="E649" s="8" t="s">
        <v>10796</v>
      </c>
    </row>
    <row r="650" spans="1:5" x14ac:dyDescent="0.25">
      <c r="A650" s="5" t="s">
        <v>1946</v>
      </c>
      <c r="B650" s="9" t="str">
        <f>HYPERLINK("http://biobank.ctsu.ox.ac.uk/crystal/field.cgi?id=26721", "26721")</f>
        <v>26721</v>
      </c>
      <c r="C650" s="8" t="s">
        <v>1948</v>
      </c>
      <c r="D650" s="8" t="s">
        <v>10041</v>
      </c>
      <c r="E650" s="8" t="s">
        <v>10797</v>
      </c>
    </row>
    <row r="651" spans="1:5" x14ac:dyDescent="0.25">
      <c r="A651" s="5" t="s">
        <v>1949</v>
      </c>
      <c r="B651" s="9" t="str">
        <f>HYPERLINK("http://biobank.ctsu.ox.ac.uk/crystal/field.cgi?id=26722", "26722")</f>
        <v>26722</v>
      </c>
      <c r="C651" s="8" t="s">
        <v>1951</v>
      </c>
      <c r="D651" s="8" t="s">
        <v>10041</v>
      </c>
      <c r="E651" s="8" t="s">
        <v>10798</v>
      </c>
    </row>
    <row r="652" spans="1:5" x14ac:dyDescent="0.25">
      <c r="A652" s="5" t="s">
        <v>1952</v>
      </c>
      <c r="B652" s="9" t="str">
        <f>HYPERLINK("http://biobank.ctsu.ox.ac.uk/crystal/field.cgi?id=26723", "26723")</f>
        <v>26723</v>
      </c>
      <c r="C652" s="8" t="s">
        <v>1954</v>
      </c>
      <c r="D652" s="8" t="s">
        <v>10041</v>
      </c>
      <c r="E652" s="8" t="s">
        <v>10799</v>
      </c>
    </row>
    <row r="653" spans="1:5" x14ac:dyDescent="0.25">
      <c r="A653" s="5" t="s">
        <v>1955</v>
      </c>
      <c r="B653" s="9" t="str">
        <f>HYPERLINK("http://biobank.ctsu.ox.ac.uk/crystal/field.cgi?id=26724", "26724")</f>
        <v>26724</v>
      </c>
      <c r="C653" s="8" t="s">
        <v>1957</v>
      </c>
      <c r="D653" s="8" t="s">
        <v>10041</v>
      </c>
      <c r="E653" s="8" t="s">
        <v>10800</v>
      </c>
    </row>
    <row r="654" spans="1:5" x14ac:dyDescent="0.25">
      <c r="A654" s="5" t="s">
        <v>1958</v>
      </c>
      <c r="B654" s="9" t="str">
        <f>HYPERLINK("http://biobank.ctsu.ox.ac.uk/crystal/field.cgi?id=26725", "26725")</f>
        <v>26725</v>
      </c>
      <c r="C654" s="8" t="s">
        <v>1960</v>
      </c>
      <c r="D654" s="8" t="s">
        <v>10041</v>
      </c>
      <c r="E654" s="8" t="s">
        <v>10801</v>
      </c>
    </row>
    <row r="655" spans="1:5" x14ac:dyDescent="0.25">
      <c r="A655" s="5" t="s">
        <v>1961</v>
      </c>
      <c r="B655" s="9" t="str">
        <f>HYPERLINK("http://biobank.ctsu.ox.ac.uk/crystal/field.cgi?id=26726", "26726")</f>
        <v>26726</v>
      </c>
      <c r="C655" s="8" t="s">
        <v>1963</v>
      </c>
      <c r="D655" s="8" t="s">
        <v>10041</v>
      </c>
      <c r="E655" s="8" t="s">
        <v>10802</v>
      </c>
    </row>
    <row r="656" spans="1:5" x14ac:dyDescent="0.25">
      <c r="A656" s="5" t="s">
        <v>1964</v>
      </c>
      <c r="B656" s="9" t="str">
        <f>HYPERLINK("http://biobank.ctsu.ox.ac.uk/crystal/field.cgi?id=26727", "26727")</f>
        <v>26727</v>
      </c>
      <c r="C656" s="8" t="s">
        <v>1966</v>
      </c>
      <c r="D656" s="8" t="s">
        <v>10041</v>
      </c>
      <c r="E656" s="8" t="s">
        <v>10803</v>
      </c>
    </row>
    <row r="657" spans="1:5" x14ac:dyDescent="0.25">
      <c r="A657" s="5" t="s">
        <v>1967</v>
      </c>
      <c r="B657" s="9" t="str">
        <f>HYPERLINK("http://biobank.ctsu.ox.ac.uk/crystal/field.cgi?id=26728", "26728")</f>
        <v>26728</v>
      </c>
      <c r="C657" s="8" t="s">
        <v>1969</v>
      </c>
      <c r="D657" s="8" t="s">
        <v>10041</v>
      </c>
      <c r="E657" s="8" t="s">
        <v>10804</v>
      </c>
    </row>
    <row r="658" spans="1:5" x14ac:dyDescent="0.25">
      <c r="A658" s="5" t="s">
        <v>1970</v>
      </c>
      <c r="B658" s="9" t="str">
        <f>HYPERLINK("http://biobank.ctsu.ox.ac.uk/crystal/field.cgi?id=26729", "26729")</f>
        <v>26729</v>
      </c>
      <c r="C658" s="8" t="s">
        <v>1972</v>
      </c>
      <c r="D658" s="8" t="s">
        <v>10041</v>
      </c>
      <c r="E658" s="8" t="s">
        <v>10805</v>
      </c>
    </row>
    <row r="659" spans="1:5" x14ac:dyDescent="0.25">
      <c r="A659" s="5" t="s">
        <v>1973</v>
      </c>
      <c r="B659" s="9" t="str">
        <f>HYPERLINK("http://biobank.ctsu.ox.ac.uk/crystal/field.cgi?id=26730", "26730")</f>
        <v>26730</v>
      </c>
      <c r="C659" s="8" t="s">
        <v>1975</v>
      </c>
      <c r="D659" s="8" t="s">
        <v>10041</v>
      </c>
      <c r="E659" s="8" t="s">
        <v>10806</v>
      </c>
    </row>
    <row r="660" spans="1:5" x14ac:dyDescent="0.25">
      <c r="A660" s="5" t="s">
        <v>1976</v>
      </c>
      <c r="B660" s="9" t="str">
        <f>HYPERLINK("http://biobank.ctsu.ox.ac.uk/crystal/field.cgi?id=26731", "26731")</f>
        <v>26731</v>
      </c>
      <c r="C660" s="8" t="s">
        <v>1978</v>
      </c>
      <c r="D660" s="8" t="s">
        <v>10041</v>
      </c>
      <c r="E660" s="8" t="s">
        <v>10807</v>
      </c>
    </row>
    <row r="661" spans="1:5" x14ac:dyDescent="0.25">
      <c r="A661" s="5" t="s">
        <v>1979</v>
      </c>
      <c r="B661" s="9" t="str">
        <f>HYPERLINK("http://biobank.ctsu.ox.ac.uk/crystal/field.cgi?id=26732", "26732")</f>
        <v>26732</v>
      </c>
      <c r="C661" s="8" t="s">
        <v>1981</v>
      </c>
      <c r="D661" s="8" t="s">
        <v>10041</v>
      </c>
      <c r="E661" s="8" t="s">
        <v>10808</v>
      </c>
    </row>
    <row r="662" spans="1:5" x14ac:dyDescent="0.25">
      <c r="A662" s="5" t="s">
        <v>1982</v>
      </c>
      <c r="B662" s="9" t="str">
        <f>HYPERLINK("http://biobank.ctsu.ox.ac.uk/crystal/field.cgi?id=26733", "26733")</f>
        <v>26733</v>
      </c>
      <c r="C662" s="8" t="s">
        <v>1984</v>
      </c>
      <c r="D662" s="8" t="s">
        <v>10041</v>
      </c>
      <c r="E662" s="8" t="s">
        <v>10809</v>
      </c>
    </row>
    <row r="663" spans="1:5" x14ac:dyDescent="0.25">
      <c r="A663" s="5" t="s">
        <v>1985</v>
      </c>
      <c r="B663" s="9" t="str">
        <f>HYPERLINK("http://biobank.ctsu.ox.ac.uk/crystal/field.cgi?id=26734", "26734")</f>
        <v>26734</v>
      </c>
      <c r="C663" s="8" t="s">
        <v>1987</v>
      </c>
      <c r="D663" s="8" t="s">
        <v>10041</v>
      </c>
      <c r="E663" s="8" t="s">
        <v>10810</v>
      </c>
    </row>
    <row r="664" spans="1:5" x14ac:dyDescent="0.25">
      <c r="A664" s="5" t="s">
        <v>1988</v>
      </c>
      <c r="B664" s="9" t="str">
        <f>HYPERLINK("http://biobank.ctsu.ox.ac.uk/crystal/field.cgi?id=26735", "26735")</f>
        <v>26735</v>
      </c>
      <c r="C664" s="8" t="s">
        <v>1990</v>
      </c>
      <c r="D664" s="8" t="s">
        <v>10041</v>
      </c>
      <c r="E664" s="8" t="s">
        <v>10811</v>
      </c>
    </row>
    <row r="665" spans="1:5" x14ac:dyDescent="0.25">
      <c r="A665" s="5" t="s">
        <v>1991</v>
      </c>
      <c r="B665" s="9" t="str">
        <f>HYPERLINK("http://biobank.ctsu.ox.ac.uk/crystal/field.cgi?id=26736", "26736")</f>
        <v>26736</v>
      </c>
      <c r="C665" s="8" t="s">
        <v>1993</v>
      </c>
      <c r="D665" s="8" t="s">
        <v>10041</v>
      </c>
      <c r="E665" s="8" t="s">
        <v>10812</v>
      </c>
    </row>
    <row r="666" spans="1:5" x14ac:dyDescent="0.25">
      <c r="A666" s="5" t="s">
        <v>1994</v>
      </c>
      <c r="B666" s="9" t="str">
        <f>HYPERLINK("http://biobank.ctsu.ox.ac.uk/crystal/field.cgi?id=26737", "26737")</f>
        <v>26737</v>
      </c>
      <c r="C666" s="8" t="s">
        <v>1996</v>
      </c>
      <c r="D666" s="8" t="s">
        <v>10041</v>
      </c>
      <c r="E666" s="8" t="s">
        <v>10813</v>
      </c>
    </row>
    <row r="667" spans="1:5" x14ac:dyDescent="0.25">
      <c r="A667" s="5" t="s">
        <v>1997</v>
      </c>
      <c r="B667" s="9" t="str">
        <f>HYPERLINK("http://biobank.ctsu.ox.ac.uk/crystal/field.cgi?id=26738", "26738")</f>
        <v>26738</v>
      </c>
      <c r="C667" s="8" t="s">
        <v>1999</v>
      </c>
      <c r="D667" s="8" t="s">
        <v>10041</v>
      </c>
      <c r="E667" s="8" t="s">
        <v>10814</v>
      </c>
    </row>
    <row r="668" spans="1:5" x14ac:dyDescent="0.25">
      <c r="A668" s="5" t="s">
        <v>2000</v>
      </c>
      <c r="B668" s="9" t="str">
        <f>HYPERLINK("http://biobank.ctsu.ox.ac.uk/crystal/field.cgi?id=26739", "26739")</f>
        <v>26739</v>
      </c>
      <c r="C668" s="8" t="s">
        <v>2002</v>
      </c>
      <c r="D668" s="8" t="s">
        <v>10041</v>
      </c>
      <c r="E668" s="8" t="s">
        <v>10815</v>
      </c>
    </row>
    <row r="669" spans="1:5" x14ac:dyDescent="0.25">
      <c r="A669" s="5" t="s">
        <v>2003</v>
      </c>
      <c r="B669" s="9" t="str">
        <f>HYPERLINK("http://biobank.ctsu.ox.ac.uk/crystal/field.cgi?id=26740", "26740")</f>
        <v>26740</v>
      </c>
      <c r="C669" s="8" t="s">
        <v>2005</v>
      </c>
      <c r="D669" s="8" t="s">
        <v>10041</v>
      </c>
      <c r="E669" s="8" t="s">
        <v>10816</v>
      </c>
    </row>
    <row r="670" spans="1:5" x14ac:dyDescent="0.25">
      <c r="A670" s="5" t="s">
        <v>2006</v>
      </c>
      <c r="B670" s="9" t="str">
        <f>HYPERLINK("http://biobank.ctsu.ox.ac.uk/crystal/field.cgi?id=26741", "26741")</f>
        <v>26741</v>
      </c>
      <c r="C670" s="8" t="s">
        <v>2008</v>
      </c>
      <c r="D670" s="8" t="s">
        <v>10041</v>
      </c>
      <c r="E670" s="8" t="s">
        <v>10817</v>
      </c>
    </row>
    <row r="671" spans="1:5" x14ac:dyDescent="0.25">
      <c r="A671" s="5" t="s">
        <v>2009</v>
      </c>
      <c r="B671" s="9" t="str">
        <f>HYPERLINK("http://biobank.ctsu.ox.ac.uk/crystal/field.cgi?id=26742", "26742")</f>
        <v>26742</v>
      </c>
      <c r="C671" s="8" t="s">
        <v>2011</v>
      </c>
      <c r="D671" s="8" t="s">
        <v>10041</v>
      </c>
      <c r="E671" s="8" t="s">
        <v>10818</v>
      </c>
    </row>
    <row r="672" spans="1:5" x14ac:dyDescent="0.25">
      <c r="A672" s="5" t="s">
        <v>2012</v>
      </c>
      <c r="B672" s="9" t="str">
        <f>HYPERLINK("http://biobank.ctsu.ox.ac.uk/crystal/field.cgi?id=26743", "26743")</f>
        <v>26743</v>
      </c>
      <c r="C672" s="8" t="s">
        <v>2014</v>
      </c>
      <c r="D672" s="8" t="s">
        <v>10041</v>
      </c>
      <c r="E672" s="8" t="s">
        <v>10819</v>
      </c>
    </row>
    <row r="673" spans="1:5" x14ac:dyDescent="0.25">
      <c r="A673" s="5" t="s">
        <v>2015</v>
      </c>
      <c r="B673" s="9" t="str">
        <f>HYPERLINK("http://biobank.ctsu.ox.ac.uk/crystal/field.cgi?id=26744", "26744")</f>
        <v>26744</v>
      </c>
      <c r="C673" s="8" t="s">
        <v>2017</v>
      </c>
      <c r="D673" s="8" t="s">
        <v>10041</v>
      </c>
      <c r="E673" s="8" t="s">
        <v>10820</v>
      </c>
    </row>
    <row r="674" spans="1:5" x14ac:dyDescent="0.25">
      <c r="A674" s="5" t="s">
        <v>2018</v>
      </c>
      <c r="B674" s="9" t="str">
        <f>HYPERLINK("http://biobank.ctsu.ox.ac.uk/crystal/field.cgi?id=26745", "26745")</f>
        <v>26745</v>
      </c>
      <c r="C674" s="8" t="s">
        <v>2020</v>
      </c>
      <c r="D674" s="8" t="s">
        <v>10041</v>
      </c>
      <c r="E674" s="8" t="s">
        <v>10821</v>
      </c>
    </row>
    <row r="675" spans="1:5" x14ac:dyDescent="0.25">
      <c r="A675" s="5" t="s">
        <v>2021</v>
      </c>
      <c r="B675" s="9" t="str">
        <f>HYPERLINK("http://biobank.ctsu.ox.ac.uk/crystal/field.cgi?id=26746", "26746")</f>
        <v>26746</v>
      </c>
      <c r="C675" s="8" t="s">
        <v>2023</v>
      </c>
      <c r="D675" s="8" t="s">
        <v>10041</v>
      </c>
      <c r="E675" s="8" t="s">
        <v>10822</v>
      </c>
    </row>
    <row r="676" spans="1:5" x14ac:dyDescent="0.25">
      <c r="A676" s="5" t="s">
        <v>2024</v>
      </c>
      <c r="B676" s="9" t="str">
        <f>HYPERLINK("http://biobank.ctsu.ox.ac.uk/crystal/field.cgi?id=26747", "26747")</f>
        <v>26747</v>
      </c>
      <c r="C676" s="8" t="s">
        <v>2026</v>
      </c>
      <c r="D676" s="8" t="s">
        <v>10041</v>
      </c>
      <c r="E676" s="8" t="s">
        <v>10823</v>
      </c>
    </row>
    <row r="677" spans="1:5" x14ac:dyDescent="0.25">
      <c r="A677" s="5" t="s">
        <v>2027</v>
      </c>
      <c r="B677" s="9" t="str">
        <f>HYPERLINK("http://biobank.ctsu.ox.ac.uk/crystal/field.cgi?id=26748", "26748")</f>
        <v>26748</v>
      </c>
      <c r="C677" s="8" t="s">
        <v>2029</v>
      </c>
      <c r="D677" s="8" t="s">
        <v>10041</v>
      </c>
      <c r="E677" s="8" t="s">
        <v>10824</v>
      </c>
    </row>
    <row r="678" spans="1:5" x14ac:dyDescent="0.25">
      <c r="A678" s="5" t="s">
        <v>2030</v>
      </c>
      <c r="B678" s="9" t="str">
        <f>HYPERLINK("http://biobank.ctsu.ox.ac.uk/crystal/field.cgi?id=26749", "26749")</f>
        <v>26749</v>
      </c>
      <c r="C678" s="8" t="s">
        <v>2032</v>
      </c>
      <c r="D678" s="8" t="s">
        <v>10041</v>
      </c>
      <c r="E678" s="8" t="s">
        <v>10825</v>
      </c>
    </row>
    <row r="679" spans="1:5" x14ac:dyDescent="0.25">
      <c r="A679" s="5" t="s">
        <v>2033</v>
      </c>
      <c r="B679" s="9" t="str">
        <f>HYPERLINK("http://biobank.ctsu.ox.ac.uk/crystal/field.cgi?id=26750", "26750")</f>
        <v>26750</v>
      </c>
      <c r="C679" s="8" t="s">
        <v>2035</v>
      </c>
      <c r="D679" s="8" t="s">
        <v>10041</v>
      </c>
      <c r="E679" s="8" t="s">
        <v>10826</v>
      </c>
    </row>
    <row r="680" spans="1:5" x14ac:dyDescent="0.25">
      <c r="A680" s="5" t="s">
        <v>2036</v>
      </c>
      <c r="B680" s="9" t="str">
        <f>HYPERLINK("http://biobank.ctsu.ox.ac.uk/crystal/field.cgi?id=26751", "26751")</f>
        <v>26751</v>
      </c>
      <c r="C680" s="8" t="s">
        <v>2038</v>
      </c>
      <c r="D680" s="8" t="s">
        <v>10041</v>
      </c>
      <c r="E680" s="8" t="s">
        <v>10827</v>
      </c>
    </row>
    <row r="681" spans="1:5" x14ac:dyDescent="0.25">
      <c r="A681" s="5" t="s">
        <v>2039</v>
      </c>
      <c r="B681" s="9" t="str">
        <f>HYPERLINK("http://biobank.ctsu.ox.ac.uk/crystal/field.cgi?id=26752", "26752")</f>
        <v>26752</v>
      </c>
      <c r="C681" s="8" t="s">
        <v>2041</v>
      </c>
      <c r="D681" s="8" t="s">
        <v>10041</v>
      </c>
      <c r="E681" s="8" t="s">
        <v>10828</v>
      </c>
    </row>
    <row r="682" spans="1:5" x14ac:dyDescent="0.25">
      <c r="A682" s="5" t="s">
        <v>2042</v>
      </c>
      <c r="B682" s="9" t="str">
        <f>HYPERLINK("http://biobank.ctsu.ox.ac.uk/crystal/field.cgi?id=26753", "26753")</f>
        <v>26753</v>
      </c>
      <c r="C682" s="8" t="s">
        <v>2044</v>
      </c>
      <c r="D682" s="8" t="s">
        <v>10041</v>
      </c>
      <c r="E682" s="8" t="s">
        <v>10829</v>
      </c>
    </row>
    <row r="683" spans="1:5" x14ac:dyDescent="0.25">
      <c r="A683" s="5" t="s">
        <v>2045</v>
      </c>
      <c r="B683" s="9" t="str">
        <f>HYPERLINK("http://biobank.ctsu.ox.ac.uk/crystal/field.cgi?id=26754", "26754")</f>
        <v>26754</v>
      </c>
      <c r="C683" s="8" t="s">
        <v>2047</v>
      </c>
      <c r="D683" s="8" t="s">
        <v>10041</v>
      </c>
      <c r="E683" s="8" t="s">
        <v>10830</v>
      </c>
    </row>
    <row r="684" spans="1:5" x14ac:dyDescent="0.25">
      <c r="A684" s="5" t="s">
        <v>2048</v>
      </c>
      <c r="B684" s="9" t="str">
        <f>HYPERLINK("http://biobank.ctsu.ox.ac.uk/crystal/field.cgi?id=26822", "26822")</f>
        <v>26822</v>
      </c>
      <c r="C684" s="8" t="s">
        <v>2050</v>
      </c>
      <c r="D684" s="8" t="s">
        <v>10041</v>
      </c>
      <c r="E684" s="8" t="s">
        <v>10831</v>
      </c>
    </row>
    <row r="685" spans="1:5" x14ac:dyDescent="0.25">
      <c r="A685" s="5" t="s">
        <v>2051</v>
      </c>
      <c r="B685" s="9" t="str">
        <f>HYPERLINK("http://biobank.ctsu.ox.ac.uk/crystal/field.cgi?id=26823", "26823")</f>
        <v>26823</v>
      </c>
      <c r="C685" s="8" t="s">
        <v>2053</v>
      </c>
      <c r="D685" s="8" t="s">
        <v>10041</v>
      </c>
      <c r="E685" s="8" t="s">
        <v>10832</v>
      </c>
    </row>
    <row r="686" spans="1:5" x14ac:dyDescent="0.25">
      <c r="A686" s="5" t="s">
        <v>2054</v>
      </c>
      <c r="B686" s="9" t="str">
        <f>HYPERLINK("http://biobank.ctsu.ox.ac.uk/crystal/field.cgi?id=26824", "26824")</f>
        <v>26824</v>
      </c>
      <c r="C686" s="8" t="s">
        <v>2056</v>
      </c>
      <c r="D686" s="8" t="s">
        <v>10041</v>
      </c>
      <c r="E686" s="8" t="s">
        <v>10833</v>
      </c>
    </row>
    <row r="687" spans="1:5" x14ac:dyDescent="0.25">
      <c r="A687" s="5" t="s">
        <v>2057</v>
      </c>
      <c r="B687" s="9" t="str">
        <f>HYPERLINK("http://biobank.ctsu.ox.ac.uk/crystal/field.cgi?id=26825", "26825")</f>
        <v>26825</v>
      </c>
      <c r="C687" s="8" t="s">
        <v>2059</v>
      </c>
      <c r="D687" s="8" t="s">
        <v>10041</v>
      </c>
      <c r="E687" s="8" t="s">
        <v>10834</v>
      </c>
    </row>
    <row r="688" spans="1:5" x14ac:dyDescent="0.25">
      <c r="A688" s="5" t="s">
        <v>2060</v>
      </c>
      <c r="B688" s="9" t="str">
        <f>HYPERLINK("http://biobank.ctsu.ox.ac.uk/crystal/field.cgi?id=26826", "26826")</f>
        <v>26826</v>
      </c>
      <c r="C688" s="8" t="s">
        <v>2062</v>
      </c>
      <c r="D688" s="8" t="s">
        <v>10041</v>
      </c>
      <c r="E688" s="8" t="s">
        <v>10835</v>
      </c>
    </row>
    <row r="689" spans="1:5" x14ac:dyDescent="0.25">
      <c r="A689" s="5" t="s">
        <v>2063</v>
      </c>
      <c r="B689" s="9" t="str">
        <f>HYPERLINK("http://biobank.ctsu.ox.ac.uk/crystal/field.cgi?id=26827", "26827")</f>
        <v>26827</v>
      </c>
      <c r="C689" s="8" t="s">
        <v>2065</v>
      </c>
      <c r="D689" s="8" t="s">
        <v>10041</v>
      </c>
      <c r="E689" s="8" t="s">
        <v>10836</v>
      </c>
    </row>
    <row r="690" spans="1:5" x14ac:dyDescent="0.25">
      <c r="A690" s="5" t="s">
        <v>2066</v>
      </c>
      <c r="B690" s="9" t="str">
        <f>HYPERLINK("http://biobank.ctsu.ox.ac.uk/crystal/field.cgi?id=26828", "26828")</f>
        <v>26828</v>
      </c>
      <c r="C690" s="8" t="s">
        <v>2068</v>
      </c>
      <c r="D690" s="8" t="s">
        <v>10041</v>
      </c>
      <c r="E690" s="8" t="s">
        <v>10837</v>
      </c>
    </row>
    <row r="691" spans="1:5" x14ac:dyDescent="0.25">
      <c r="A691" s="5" t="s">
        <v>2069</v>
      </c>
      <c r="B691" s="9" t="str">
        <f>HYPERLINK("http://biobank.ctsu.ox.ac.uk/crystal/field.cgi?id=26829", "26829")</f>
        <v>26829</v>
      </c>
      <c r="C691" s="8" t="s">
        <v>2071</v>
      </c>
      <c r="D691" s="8" t="s">
        <v>10041</v>
      </c>
      <c r="E691" s="8" t="s">
        <v>10838</v>
      </c>
    </row>
    <row r="692" spans="1:5" x14ac:dyDescent="0.25">
      <c r="A692" s="5" t="s">
        <v>2072</v>
      </c>
      <c r="B692" s="9" t="str">
        <f>HYPERLINK("http://biobank.ctsu.ox.ac.uk/crystal/field.cgi?id=26830", "26830")</f>
        <v>26830</v>
      </c>
      <c r="C692" s="8" t="s">
        <v>2074</v>
      </c>
      <c r="D692" s="8" t="s">
        <v>10041</v>
      </c>
      <c r="E692" s="8" t="s">
        <v>10839</v>
      </c>
    </row>
    <row r="693" spans="1:5" x14ac:dyDescent="0.25">
      <c r="A693" s="5" t="s">
        <v>2075</v>
      </c>
      <c r="B693" s="9" t="str">
        <f>HYPERLINK("http://biobank.ctsu.ox.ac.uk/crystal/field.cgi?id=26831", "26831")</f>
        <v>26831</v>
      </c>
      <c r="C693" s="8" t="s">
        <v>2077</v>
      </c>
      <c r="D693" s="8" t="s">
        <v>10041</v>
      </c>
      <c r="E693" s="8" t="s">
        <v>10840</v>
      </c>
    </row>
    <row r="694" spans="1:5" x14ac:dyDescent="0.25">
      <c r="A694" s="5" t="s">
        <v>2078</v>
      </c>
      <c r="B694" s="9" t="str">
        <f>HYPERLINK("http://biobank.ctsu.ox.ac.uk/crystal/field.cgi?id=26832", "26832")</f>
        <v>26832</v>
      </c>
      <c r="C694" s="8" t="s">
        <v>2080</v>
      </c>
      <c r="D694" s="8" t="s">
        <v>10041</v>
      </c>
      <c r="E694" s="8" t="s">
        <v>10841</v>
      </c>
    </row>
    <row r="695" spans="1:5" x14ac:dyDescent="0.25">
      <c r="A695" s="5" t="s">
        <v>2081</v>
      </c>
      <c r="B695" s="9" t="str">
        <f>HYPERLINK("http://biobank.ctsu.ox.ac.uk/crystal/field.cgi?id=26833", "26833")</f>
        <v>26833</v>
      </c>
      <c r="C695" s="8" t="s">
        <v>2083</v>
      </c>
      <c r="D695" s="8" t="s">
        <v>10041</v>
      </c>
      <c r="E695" s="8" t="s">
        <v>10842</v>
      </c>
    </row>
    <row r="696" spans="1:5" x14ac:dyDescent="0.25">
      <c r="A696" s="5" t="s">
        <v>2084</v>
      </c>
      <c r="B696" s="9" t="str">
        <f>HYPERLINK("http://biobank.ctsu.ox.ac.uk/crystal/field.cgi?id=26834", "26834")</f>
        <v>26834</v>
      </c>
      <c r="C696" s="8" t="s">
        <v>2086</v>
      </c>
      <c r="D696" s="8" t="s">
        <v>10041</v>
      </c>
      <c r="E696" s="8" t="s">
        <v>10843</v>
      </c>
    </row>
    <row r="697" spans="1:5" x14ac:dyDescent="0.25">
      <c r="A697" s="5" t="s">
        <v>2087</v>
      </c>
      <c r="B697" s="9" t="str">
        <f>HYPERLINK("http://biobank.ctsu.ox.ac.uk/crystal/field.cgi?id=26835", "26835")</f>
        <v>26835</v>
      </c>
      <c r="C697" s="8" t="s">
        <v>2089</v>
      </c>
      <c r="D697" s="8" t="s">
        <v>10041</v>
      </c>
      <c r="E697" s="8" t="s">
        <v>10844</v>
      </c>
    </row>
    <row r="698" spans="1:5" x14ac:dyDescent="0.25">
      <c r="A698" s="5" t="s">
        <v>2090</v>
      </c>
      <c r="B698" s="9" t="str">
        <f>HYPERLINK("http://biobank.ctsu.ox.ac.uk/crystal/field.cgi?id=26836", "26836")</f>
        <v>26836</v>
      </c>
      <c r="C698" s="8" t="s">
        <v>2092</v>
      </c>
      <c r="D698" s="8" t="s">
        <v>10041</v>
      </c>
      <c r="E698" s="8" t="s">
        <v>10845</v>
      </c>
    </row>
    <row r="699" spans="1:5" x14ac:dyDescent="0.25">
      <c r="A699" s="5" t="s">
        <v>2093</v>
      </c>
      <c r="B699" s="9" t="str">
        <f>HYPERLINK("http://biobank.ctsu.ox.ac.uk/crystal/field.cgi?id=26837", "26837")</f>
        <v>26837</v>
      </c>
      <c r="C699" s="8" t="s">
        <v>2095</v>
      </c>
      <c r="D699" s="8" t="s">
        <v>10041</v>
      </c>
      <c r="E699" s="8" t="s">
        <v>10846</v>
      </c>
    </row>
    <row r="700" spans="1:5" x14ac:dyDescent="0.25">
      <c r="A700" s="5" t="s">
        <v>2096</v>
      </c>
      <c r="B700" s="9" t="str">
        <f>HYPERLINK("http://biobank.ctsu.ox.ac.uk/crystal/field.cgi?id=26838", "26838")</f>
        <v>26838</v>
      </c>
      <c r="C700" s="8" t="s">
        <v>2098</v>
      </c>
      <c r="D700" s="8" t="s">
        <v>10041</v>
      </c>
      <c r="E700" s="8" t="s">
        <v>10847</v>
      </c>
    </row>
    <row r="701" spans="1:5" x14ac:dyDescent="0.25">
      <c r="A701" s="5" t="s">
        <v>2099</v>
      </c>
      <c r="B701" s="9" t="str">
        <f>HYPERLINK("http://biobank.ctsu.ox.ac.uk/crystal/field.cgi?id=26839", "26839")</f>
        <v>26839</v>
      </c>
      <c r="C701" s="8" t="s">
        <v>2101</v>
      </c>
      <c r="D701" s="8" t="s">
        <v>10041</v>
      </c>
      <c r="E701" s="8" t="s">
        <v>10848</v>
      </c>
    </row>
    <row r="702" spans="1:5" x14ac:dyDescent="0.25">
      <c r="A702" s="5" t="s">
        <v>2102</v>
      </c>
      <c r="B702" s="9" t="str">
        <f>HYPERLINK("http://biobank.ctsu.ox.ac.uk/crystal/field.cgi?id=26840", "26840")</f>
        <v>26840</v>
      </c>
      <c r="C702" s="8" t="s">
        <v>2104</v>
      </c>
      <c r="D702" s="8" t="s">
        <v>10041</v>
      </c>
      <c r="E702" s="8" t="s">
        <v>10849</v>
      </c>
    </row>
    <row r="703" spans="1:5" x14ac:dyDescent="0.25">
      <c r="A703" s="5" t="s">
        <v>2105</v>
      </c>
      <c r="B703" s="9" t="str">
        <f>HYPERLINK("http://biobank.ctsu.ox.ac.uk/crystal/field.cgi?id=26841", "26841")</f>
        <v>26841</v>
      </c>
      <c r="C703" s="8" t="s">
        <v>2107</v>
      </c>
      <c r="D703" s="8" t="s">
        <v>10041</v>
      </c>
      <c r="E703" s="8" t="s">
        <v>10850</v>
      </c>
    </row>
    <row r="704" spans="1:5" x14ac:dyDescent="0.25">
      <c r="A704" s="5" t="s">
        <v>2108</v>
      </c>
      <c r="B704" s="9" t="str">
        <f>HYPERLINK("http://biobank.ctsu.ox.ac.uk/crystal/field.cgi?id=26842", "26842")</f>
        <v>26842</v>
      </c>
      <c r="C704" s="8" t="s">
        <v>2110</v>
      </c>
      <c r="D704" s="8" t="s">
        <v>10041</v>
      </c>
      <c r="E704" s="8" t="s">
        <v>10851</v>
      </c>
    </row>
    <row r="705" spans="1:5" x14ac:dyDescent="0.25">
      <c r="A705" s="5" t="s">
        <v>2111</v>
      </c>
      <c r="B705" s="9" t="str">
        <f>HYPERLINK("http://biobank.ctsu.ox.ac.uk/crystal/field.cgi?id=26843", "26843")</f>
        <v>26843</v>
      </c>
      <c r="C705" s="8" t="s">
        <v>2113</v>
      </c>
      <c r="D705" s="8" t="s">
        <v>10041</v>
      </c>
      <c r="E705" s="8" t="s">
        <v>10852</v>
      </c>
    </row>
    <row r="706" spans="1:5" x14ac:dyDescent="0.25">
      <c r="A706" s="5" t="s">
        <v>2114</v>
      </c>
      <c r="B706" s="9" t="str">
        <f>HYPERLINK("http://biobank.ctsu.ox.ac.uk/crystal/field.cgi?id=26844", "26844")</f>
        <v>26844</v>
      </c>
      <c r="C706" s="8" t="s">
        <v>2116</v>
      </c>
      <c r="D706" s="8" t="s">
        <v>10041</v>
      </c>
      <c r="E706" s="8" t="s">
        <v>10853</v>
      </c>
    </row>
    <row r="707" spans="1:5" x14ac:dyDescent="0.25">
      <c r="A707" s="5" t="s">
        <v>2117</v>
      </c>
      <c r="B707" s="9" t="str">
        <f>HYPERLINK("http://biobank.ctsu.ox.ac.uk/crystal/field.cgi?id=26845", "26845")</f>
        <v>26845</v>
      </c>
      <c r="C707" s="8" t="s">
        <v>2119</v>
      </c>
      <c r="D707" s="8" t="s">
        <v>10041</v>
      </c>
      <c r="E707" s="8" t="s">
        <v>10854</v>
      </c>
    </row>
    <row r="708" spans="1:5" x14ac:dyDescent="0.25">
      <c r="A708" s="5" t="s">
        <v>2120</v>
      </c>
      <c r="B708" s="9" t="str">
        <f>HYPERLINK("http://biobank.ctsu.ox.ac.uk/crystal/field.cgi?id=26846", "26846")</f>
        <v>26846</v>
      </c>
      <c r="C708" s="8" t="s">
        <v>2122</v>
      </c>
      <c r="D708" s="8" t="s">
        <v>10041</v>
      </c>
      <c r="E708" s="8" t="s">
        <v>10855</v>
      </c>
    </row>
    <row r="709" spans="1:5" x14ac:dyDescent="0.25">
      <c r="A709" s="5" t="s">
        <v>2123</v>
      </c>
      <c r="B709" s="9" t="str">
        <f>HYPERLINK("http://biobank.ctsu.ox.ac.uk/crystal/field.cgi?id=26847", "26847")</f>
        <v>26847</v>
      </c>
      <c r="C709" s="8" t="s">
        <v>2125</v>
      </c>
      <c r="D709" s="8" t="s">
        <v>10041</v>
      </c>
      <c r="E709" s="8" t="s">
        <v>10856</v>
      </c>
    </row>
    <row r="710" spans="1:5" x14ac:dyDescent="0.25">
      <c r="A710" s="5" t="s">
        <v>2126</v>
      </c>
      <c r="B710" s="9" t="str">
        <f>HYPERLINK("http://biobank.ctsu.ox.ac.uk/crystal/field.cgi?id=26848", "26848")</f>
        <v>26848</v>
      </c>
      <c r="C710" s="8" t="s">
        <v>2128</v>
      </c>
      <c r="D710" s="8" t="s">
        <v>10041</v>
      </c>
      <c r="E710" s="8" t="s">
        <v>10857</v>
      </c>
    </row>
    <row r="711" spans="1:5" x14ac:dyDescent="0.25">
      <c r="A711" s="5" t="s">
        <v>2129</v>
      </c>
      <c r="B711" s="9" t="str">
        <f>HYPERLINK("http://biobank.ctsu.ox.ac.uk/crystal/field.cgi?id=26849", "26849")</f>
        <v>26849</v>
      </c>
      <c r="C711" s="8" t="s">
        <v>2131</v>
      </c>
      <c r="D711" s="8" t="s">
        <v>10041</v>
      </c>
      <c r="E711" s="8" t="s">
        <v>10858</v>
      </c>
    </row>
    <row r="712" spans="1:5" x14ac:dyDescent="0.25">
      <c r="A712" s="5" t="s">
        <v>2132</v>
      </c>
      <c r="B712" s="9" t="str">
        <f>HYPERLINK("http://biobank.ctsu.ox.ac.uk/crystal/field.cgi?id=26850", "26850")</f>
        <v>26850</v>
      </c>
      <c r="C712" s="8" t="s">
        <v>2134</v>
      </c>
      <c r="D712" s="8" t="s">
        <v>10041</v>
      </c>
      <c r="E712" s="8" t="s">
        <v>10859</v>
      </c>
    </row>
    <row r="713" spans="1:5" x14ac:dyDescent="0.25">
      <c r="A713" s="5" t="s">
        <v>2135</v>
      </c>
      <c r="B713" s="9" t="str">
        <f>HYPERLINK("http://biobank.ctsu.ox.ac.uk/crystal/field.cgi?id=26851", "26851")</f>
        <v>26851</v>
      </c>
      <c r="C713" s="8" t="s">
        <v>2137</v>
      </c>
      <c r="D713" s="8" t="s">
        <v>10041</v>
      </c>
      <c r="E713" s="8" t="s">
        <v>10860</v>
      </c>
    </row>
    <row r="714" spans="1:5" x14ac:dyDescent="0.25">
      <c r="A714" s="5" t="s">
        <v>2138</v>
      </c>
      <c r="B714" s="9" t="str">
        <f>HYPERLINK("http://biobank.ctsu.ox.ac.uk/crystal/field.cgi?id=26852", "26852")</f>
        <v>26852</v>
      </c>
      <c r="C714" s="8" t="s">
        <v>2140</v>
      </c>
      <c r="D714" s="8" t="s">
        <v>10041</v>
      </c>
      <c r="E714" s="8" t="s">
        <v>10861</v>
      </c>
    </row>
    <row r="715" spans="1:5" x14ac:dyDescent="0.25">
      <c r="A715" s="5" t="s">
        <v>2141</v>
      </c>
      <c r="B715" s="9" t="str">
        <f>HYPERLINK("http://biobank.ctsu.ox.ac.uk/crystal/field.cgi?id=26853", "26853")</f>
        <v>26853</v>
      </c>
      <c r="C715" s="8" t="s">
        <v>2143</v>
      </c>
      <c r="D715" s="8" t="s">
        <v>10041</v>
      </c>
      <c r="E715" s="8" t="s">
        <v>10862</v>
      </c>
    </row>
    <row r="716" spans="1:5" x14ac:dyDescent="0.25">
      <c r="A716" s="5" t="s">
        <v>2144</v>
      </c>
      <c r="B716" s="9" t="str">
        <f>HYPERLINK("http://biobank.ctsu.ox.ac.uk/crystal/field.cgi?id=26854", "26854")</f>
        <v>26854</v>
      </c>
      <c r="C716" s="8" t="s">
        <v>2146</v>
      </c>
      <c r="D716" s="8" t="s">
        <v>10041</v>
      </c>
      <c r="E716" s="8" t="s">
        <v>10863</v>
      </c>
    </row>
    <row r="717" spans="1:5" x14ac:dyDescent="0.25">
      <c r="A717" s="5" t="s">
        <v>2147</v>
      </c>
      <c r="B717" s="9" t="str">
        <f>HYPERLINK("http://biobank.ctsu.ox.ac.uk/crystal/field.cgi?id=26855", "26855")</f>
        <v>26855</v>
      </c>
      <c r="C717" s="8" t="s">
        <v>2149</v>
      </c>
      <c r="D717" s="8" t="s">
        <v>10041</v>
      </c>
      <c r="E717" s="8" t="s">
        <v>10864</v>
      </c>
    </row>
    <row r="718" spans="1:5" x14ac:dyDescent="0.25">
      <c r="A718" s="5" t="s">
        <v>2150</v>
      </c>
      <c r="B718" s="9" t="str">
        <f>HYPERLINK("http://biobank.ctsu.ox.ac.uk/crystal/field.cgi?id=26923", "26923")</f>
        <v>26923</v>
      </c>
      <c r="C718" s="8" t="s">
        <v>2152</v>
      </c>
      <c r="D718" s="8" t="s">
        <v>10041</v>
      </c>
      <c r="E718" s="8" t="s">
        <v>10865</v>
      </c>
    </row>
    <row r="719" spans="1:5" x14ac:dyDescent="0.25">
      <c r="A719" s="5" t="s">
        <v>2153</v>
      </c>
      <c r="B719" s="9" t="str">
        <f>HYPERLINK("http://biobank.ctsu.ox.ac.uk/crystal/field.cgi?id=26924", "26924")</f>
        <v>26924</v>
      </c>
      <c r="C719" s="8" t="s">
        <v>2155</v>
      </c>
      <c r="D719" s="8" t="s">
        <v>10041</v>
      </c>
      <c r="E719" s="8" t="s">
        <v>10866</v>
      </c>
    </row>
    <row r="720" spans="1:5" x14ac:dyDescent="0.25">
      <c r="A720" s="5" t="s">
        <v>2156</v>
      </c>
      <c r="B720" s="9" t="str">
        <f>HYPERLINK("http://biobank.ctsu.ox.ac.uk/crystal/field.cgi?id=26925", "26925")</f>
        <v>26925</v>
      </c>
      <c r="C720" s="8" t="s">
        <v>2158</v>
      </c>
      <c r="D720" s="8" t="s">
        <v>10041</v>
      </c>
      <c r="E720" s="8" t="s">
        <v>10867</v>
      </c>
    </row>
    <row r="721" spans="1:5" x14ac:dyDescent="0.25">
      <c r="A721" s="5" t="s">
        <v>2159</v>
      </c>
      <c r="B721" s="9" t="str">
        <f>HYPERLINK("http://biobank.ctsu.ox.ac.uk/crystal/field.cgi?id=26926", "26926")</f>
        <v>26926</v>
      </c>
      <c r="C721" s="8" t="s">
        <v>2161</v>
      </c>
      <c r="D721" s="8" t="s">
        <v>10041</v>
      </c>
      <c r="E721" s="8" t="s">
        <v>10868</v>
      </c>
    </row>
    <row r="722" spans="1:5" x14ac:dyDescent="0.25">
      <c r="A722" s="5" t="s">
        <v>2162</v>
      </c>
      <c r="B722" s="9" t="str">
        <f>HYPERLINK("http://biobank.ctsu.ox.ac.uk/crystal/field.cgi?id=26927", "26927")</f>
        <v>26927</v>
      </c>
      <c r="C722" s="8" t="s">
        <v>2164</v>
      </c>
      <c r="D722" s="8" t="s">
        <v>10041</v>
      </c>
      <c r="E722" s="8" t="s">
        <v>10869</v>
      </c>
    </row>
    <row r="723" spans="1:5" x14ac:dyDescent="0.25">
      <c r="A723" s="5" t="s">
        <v>2165</v>
      </c>
      <c r="B723" s="9" t="str">
        <f>HYPERLINK("http://biobank.ctsu.ox.ac.uk/crystal/field.cgi?id=26928", "26928")</f>
        <v>26928</v>
      </c>
      <c r="C723" s="8" t="s">
        <v>2167</v>
      </c>
      <c r="D723" s="8" t="s">
        <v>10041</v>
      </c>
      <c r="E723" s="8" t="s">
        <v>10870</v>
      </c>
    </row>
    <row r="724" spans="1:5" x14ac:dyDescent="0.25">
      <c r="A724" s="5" t="s">
        <v>2168</v>
      </c>
      <c r="B724" s="9" t="str">
        <f>HYPERLINK("http://biobank.ctsu.ox.ac.uk/crystal/field.cgi?id=26929", "26929")</f>
        <v>26929</v>
      </c>
      <c r="C724" s="8" t="s">
        <v>2170</v>
      </c>
      <c r="D724" s="8" t="s">
        <v>10041</v>
      </c>
      <c r="E724" s="8" t="s">
        <v>10871</v>
      </c>
    </row>
    <row r="725" spans="1:5" x14ac:dyDescent="0.25">
      <c r="A725" s="5" t="s">
        <v>2171</v>
      </c>
      <c r="B725" s="9" t="str">
        <f>HYPERLINK("http://biobank.ctsu.ox.ac.uk/crystal/field.cgi?id=26930", "26930")</f>
        <v>26930</v>
      </c>
      <c r="C725" s="8" t="s">
        <v>2173</v>
      </c>
      <c r="D725" s="8" t="s">
        <v>10041</v>
      </c>
      <c r="E725" s="8" t="s">
        <v>10872</v>
      </c>
    </row>
    <row r="726" spans="1:5" x14ac:dyDescent="0.25">
      <c r="A726" s="5" t="s">
        <v>2174</v>
      </c>
      <c r="B726" s="9" t="str">
        <f>HYPERLINK("http://biobank.ctsu.ox.ac.uk/crystal/field.cgi?id=26931", "26931")</f>
        <v>26931</v>
      </c>
      <c r="C726" s="8" t="s">
        <v>2176</v>
      </c>
      <c r="D726" s="8" t="s">
        <v>10041</v>
      </c>
      <c r="E726" s="8" t="s">
        <v>10873</v>
      </c>
    </row>
    <row r="727" spans="1:5" x14ac:dyDescent="0.25">
      <c r="A727" s="5" t="s">
        <v>2177</v>
      </c>
      <c r="B727" s="9" t="str">
        <f>HYPERLINK("http://biobank.ctsu.ox.ac.uk/crystal/field.cgi?id=26932", "26932")</f>
        <v>26932</v>
      </c>
      <c r="C727" s="8" t="s">
        <v>2179</v>
      </c>
      <c r="D727" s="8" t="s">
        <v>10041</v>
      </c>
      <c r="E727" s="8" t="s">
        <v>10874</v>
      </c>
    </row>
    <row r="728" spans="1:5" x14ac:dyDescent="0.25">
      <c r="A728" s="5" t="s">
        <v>2180</v>
      </c>
      <c r="B728" s="9" t="str">
        <f>HYPERLINK("http://biobank.ctsu.ox.ac.uk/crystal/field.cgi?id=26933", "26933")</f>
        <v>26933</v>
      </c>
      <c r="C728" s="8" t="s">
        <v>2182</v>
      </c>
      <c r="D728" s="8" t="s">
        <v>10041</v>
      </c>
      <c r="E728" s="8" t="s">
        <v>10875</v>
      </c>
    </row>
    <row r="729" spans="1:5" x14ac:dyDescent="0.25">
      <c r="A729" s="5" t="s">
        <v>2183</v>
      </c>
      <c r="B729" s="9" t="str">
        <f>HYPERLINK("http://biobank.ctsu.ox.ac.uk/crystal/field.cgi?id=26934", "26934")</f>
        <v>26934</v>
      </c>
      <c r="C729" s="8" t="s">
        <v>2185</v>
      </c>
      <c r="D729" s="8" t="s">
        <v>10041</v>
      </c>
      <c r="E729" s="8" t="s">
        <v>10876</v>
      </c>
    </row>
    <row r="730" spans="1:5" x14ac:dyDescent="0.25">
      <c r="A730" s="5" t="s">
        <v>2186</v>
      </c>
      <c r="B730" s="9" t="str">
        <f>HYPERLINK("http://biobank.ctsu.ox.ac.uk/crystal/field.cgi?id=26935", "26935")</f>
        <v>26935</v>
      </c>
      <c r="C730" s="8" t="s">
        <v>2188</v>
      </c>
      <c r="D730" s="8" t="s">
        <v>10041</v>
      </c>
      <c r="E730" s="8" t="s">
        <v>10877</v>
      </c>
    </row>
    <row r="731" spans="1:5" x14ac:dyDescent="0.25">
      <c r="A731" s="5" t="s">
        <v>2189</v>
      </c>
      <c r="B731" s="9" t="str">
        <f>HYPERLINK("http://biobank.ctsu.ox.ac.uk/crystal/field.cgi?id=26936", "26936")</f>
        <v>26936</v>
      </c>
      <c r="C731" s="8" t="s">
        <v>2191</v>
      </c>
      <c r="D731" s="8" t="s">
        <v>10041</v>
      </c>
      <c r="E731" s="8" t="s">
        <v>10878</v>
      </c>
    </row>
    <row r="732" spans="1:5" x14ac:dyDescent="0.25">
      <c r="A732" s="5" t="s">
        <v>2192</v>
      </c>
      <c r="B732" s="9" t="str">
        <f>HYPERLINK("http://biobank.ctsu.ox.ac.uk/crystal/field.cgi?id=26937", "26937")</f>
        <v>26937</v>
      </c>
      <c r="C732" s="8" t="s">
        <v>2194</v>
      </c>
      <c r="D732" s="8" t="s">
        <v>10041</v>
      </c>
      <c r="E732" s="8" t="s">
        <v>10879</v>
      </c>
    </row>
    <row r="733" spans="1:5" x14ac:dyDescent="0.25">
      <c r="A733" s="5" t="s">
        <v>2195</v>
      </c>
      <c r="B733" s="9" t="str">
        <f>HYPERLINK("http://biobank.ctsu.ox.ac.uk/crystal/field.cgi?id=26938", "26938")</f>
        <v>26938</v>
      </c>
      <c r="C733" s="8" t="s">
        <v>2197</v>
      </c>
      <c r="D733" s="8" t="s">
        <v>10041</v>
      </c>
      <c r="E733" s="8" t="s">
        <v>10880</v>
      </c>
    </row>
    <row r="734" spans="1:5" x14ac:dyDescent="0.25">
      <c r="A734" s="5" t="s">
        <v>2198</v>
      </c>
      <c r="B734" s="9" t="str">
        <f>HYPERLINK("http://biobank.ctsu.ox.ac.uk/crystal/field.cgi?id=26939", "26939")</f>
        <v>26939</v>
      </c>
      <c r="C734" s="8" t="s">
        <v>2200</v>
      </c>
      <c r="D734" s="8" t="s">
        <v>10041</v>
      </c>
      <c r="E734" s="8" t="s">
        <v>10881</v>
      </c>
    </row>
    <row r="735" spans="1:5" x14ac:dyDescent="0.25">
      <c r="A735" s="5" t="s">
        <v>2201</v>
      </c>
      <c r="B735" s="9" t="str">
        <f>HYPERLINK("http://biobank.ctsu.ox.ac.uk/crystal/field.cgi?id=26940", "26940")</f>
        <v>26940</v>
      </c>
      <c r="C735" s="8" t="s">
        <v>2203</v>
      </c>
      <c r="D735" s="8" t="s">
        <v>10041</v>
      </c>
      <c r="E735" s="8" t="s">
        <v>10882</v>
      </c>
    </row>
    <row r="736" spans="1:5" x14ac:dyDescent="0.25">
      <c r="A736" s="5" t="s">
        <v>2204</v>
      </c>
      <c r="B736" s="9" t="str">
        <f>HYPERLINK("http://biobank.ctsu.ox.ac.uk/crystal/field.cgi?id=26941", "26941")</f>
        <v>26941</v>
      </c>
      <c r="C736" s="8" t="s">
        <v>2206</v>
      </c>
      <c r="D736" s="8" t="s">
        <v>10041</v>
      </c>
      <c r="E736" s="8" t="s">
        <v>10883</v>
      </c>
    </row>
    <row r="737" spans="1:5" x14ac:dyDescent="0.25">
      <c r="A737" s="5" t="s">
        <v>2207</v>
      </c>
      <c r="B737" s="9" t="str">
        <f>HYPERLINK("http://biobank.ctsu.ox.ac.uk/crystal/field.cgi?id=26942", "26942")</f>
        <v>26942</v>
      </c>
      <c r="C737" s="8" t="s">
        <v>2209</v>
      </c>
      <c r="D737" s="8" t="s">
        <v>10041</v>
      </c>
      <c r="E737" s="8" t="s">
        <v>10884</v>
      </c>
    </row>
    <row r="738" spans="1:5" x14ac:dyDescent="0.25">
      <c r="A738" s="5" t="s">
        <v>2210</v>
      </c>
      <c r="B738" s="9" t="str">
        <f>HYPERLINK("http://biobank.ctsu.ox.ac.uk/crystal/field.cgi?id=26943", "26943")</f>
        <v>26943</v>
      </c>
      <c r="C738" s="8" t="s">
        <v>2212</v>
      </c>
      <c r="D738" s="8" t="s">
        <v>10041</v>
      </c>
      <c r="E738" s="8" t="s">
        <v>10885</v>
      </c>
    </row>
    <row r="739" spans="1:5" x14ac:dyDescent="0.25">
      <c r="A739" s="5" t="s">
        <v>2213</v>
      </c>
      <c r="B739" s="9" t="str">
        <f>HYPERLINK("http://biobank.ctsu.ox.ac.uk/crystal/field.cgi?id=26944", "26944")</f>
        <v>26944</v>
      </c>
      <c r="C739" s="8" t="s">
        <v>2215</v>
      </c>
      <c r="D739" s="8" t="s">
        <v>10041</v>
      </c>
      <c r="E739" s="8" t="s">
        <v>10886</v>
      </c>
    </row>
    <row r="740" spans="1:5" x14ac:dyDescent="0.25">
      <c r="A740" s="5" t="s">
        <v>2216</v>
      </c>
      <c r="B740" s="9" t="str">
        <f>HYPERLINK("http://biobank.ctsu.ox.ac.uk/crystal/field.cgi?id=26945", "26945")</f>
        <v>26945</v>
      </c>
      <c r="C740" s="8" t="s">
        <v>2218</v>
      </c>
      <c r="D740" s="8" t="s">
        <v>10041</v>
      </c>
      <c r="E740" s="8" t="s">
        <v>10887</v>
      </c>
    </row>
    <row r="741" spans="1:5" x14ac:dyDescent="0.25">
      <c r="A741" s="5" t="s">
        <v>2219</v>
      </c>
      <c r="B741" s="9" t="str">
        <f>HYPERLINK("http://biobank.ctsu.ox.ac.uk/crystal/field.cgi?id=26946", "26946")</f>
        <v>26946</v>
      </c>
      <c r="C741" s="8" t="s">
        <v>2221</v>
      </c>
      <c r="D741" s="8" t="s">
        <v>10041</v>
      </c>
      <c r="E741" s="8" t="s">
        <v>10888</v>
      </c>
    </row>
    <row r="742" spans="1:5" x14ac:dyDescent="0.25">
      <c r="A742" s="5" t="s">
        <v>2222</v>
      </c>
      <c r="B742" s="9" t="str">
        <f>HYPERLINK("http://biobank.ctsu.ox.ac.uk/crystal/field.cgi?id=26947", "26947")</f>
        <v>26947</v>
      </c>
      <c r="C742" s="8" t="s">
        <v>2224</v>
      </c>
      <c r="D742" s="8" t="s">
        <v>10041</v>
      </c>
      <c r="E742" s="8" t="s">
        <v>10889</v>
      </c>
    </row>
    <row r="743" spans="1:5" x14ac:dyDescent="0.25">
      <c r="A743" s="5" t="s">
        <v>2225</v>
      </c>
      <c r="B743" s="9" t="str">
        <f>HYPERLINK("http://biobank.ctsu.ox.ac.uk/crystal/field.cgi?id=26948", "26948")</f>
        <v>26948</v>
      </c>
      <c r="C743" s="8" t="s">
        <v>2227</v>
      </c>
      <c r="D743" s="8" t="s">
        <v>10041</v>
      </c>
      <c r="E743" s="8" t="s">
        <v>10890</v>
      </c>
    </row>
    <row r="744" spans="1:5" x14ac:dyDescent="0.25">
      <c r="A744" s="5" t="s">
        <v>2228</v>
      </c>
      <c r="B744" s="9" t="str">
        <f>HYPERLINK("http://biobank.ctsu.ox.ac.uk/crystal/field.cgi?id=26949", "26949")</f>
        <v>26949</v>
      </c>
      <c r="C744" s="8" t="s">
        <v>2230</v>
      </c>
      <c r="D744" s="8" t="s">
        <v>10041</v>
      </c>
      <c r="E744" s="8" t="s">
        <v>10891</v>
      </c>
    </row>
    <row r="745" spans="1:5" x14ac:dyDescent="0.25">
      <c r="A745" s="5" t="s">
        <v>2231</v>
      </c>
      <c r="B745" s="9" t="str">
        <f>HYPERLINK("http://biobank.ctsu.ox.ac.uk/crystal/field.cgi?id=26950", "26950")</f>
        <v>26950</v>
      </c>
      <c r="C745" s="8" t="s">
        <v>2233</v>
      </c>
      <c r="D745" s="8" t="s">
        <v>10041</v>
      </c>
      <c r="E745" s="8" t="s">
        <v>10892</v>
      </c>
    </row>
    <row r="746" spans="1:5" x14ac:dyDescent="0.25">
      <c r="A746" s="5" t="s">
        <v>2234</v>
      </c>
      <c r="B746" s="9" t="str">
        <f>HYPERLINK("http://biobank.ctsu.ox.ac.uk/crystal/field.cgi?id=26951", "26951")</f>
        <v>26951</v>
      </c>
      <c r="C746" s="8" t="s">
        <v>2236</v>
      </c>
      <c r="D746" s="8" t="s">
        <v>10041</v>
      </c>
      <c r="E746" s="8" t="s">
        <v>10893</v>
      </c>
    </row>
    <row r="747" spans="1:5" x14ac:dyDescent="0.25">
      <c r="A747" s="5" t="s">
        <v>2237</v>
      </c>
      <c r="B747" s="9" t="str">
        <f>HYPERLINK("http://biobank.ctsu.ox.ac.uk/crystal/field.cgi?id=26952", "26952")</f>
        <v>26952</v>
      </c>
      <c r="C747" s="8" t="s">
        <v>2239</v>
      </c>
      <c r="D747" s="8" t="s">
        <v>10041</v>
      </c>
      <c r="E747" s="8" t="s">
        <v>10894</v>
      </c>
    </row>
    <row r="748" spans="1:5" x14ac:dyDescent="0.25">
      <c r="A748" s="5" t="s">
        <v>2240</v>
      </c>
      <c r="B748" s="9" t="str">
        <f>HYPERLINK("http://biobank.ctsu.ox.ac.uk/crystal/field.cgi?id=26953", "26953")</f>
        <v>26953</v>
      </c>
      <c r="C748" s="8" t="s">
        <v>2242</v>
      </c>
      <c r="D748" s="8" t="s">
        <v>10041</v>
      </c>
      <c r="E748" s="8" t="s">
        <v>10895</v>
      </c>
    </row>
    <row r="749" spans="1:5" x14ac:dyDescent="0.25">
      <c r="A749" s="5" t="s">
        <v>2243</v>
      </c>
      <c r="B749" s="9" t="str">
        <f>HYPERLINK("http://biobank.ctsu.ox.ac.uk/crystal/field.cgi?id=26954", "26954")</f>
        <v>26954</v>
      </c>
      <c r="C749" s="8" t="s">
        <v>2245</v>
      </c>
      <c r="D749" s="8" t="s">
        <v>10041</v>
      </c>
      <c r="E749" s="8" t="s">
        <v>10896</v>
      </c>
    </row>
    <row r="750" spans="1:5" x14ac:dyDescent="0.25">
      <c r="A750" s="5" t="s">
        <v>2246</v>
      </c>
      <c r="B750" s="9" t="str">
        <f>HYPERLINK("http://biobank.ctsu.ox.ac.uk/crystal/field.cgi?id=26955", "26955")</f>
        <v>26955</v>
      </c>
      <c r="C750" s="8" t="s">
        <v>2248</v>
      </c>
      <c r="D750" s="8" t="s">
        <v>10041</v>
      </c>
      <c r="E750" s="8" t="s">
        <v>10897</v>
      </c>
    </row>
    <row r="751" spans="1:5" x14ac:dyDescent="0.25">
      <c r="A751" s="5" t="s">
        <v>2249</v>
      </c>
      <c r="B751" s="9" t="str">
        <f>HYPERLINK("http://biobank.ctsu.ox.ac.uk/crystal/field.cgi?id=26956", "26956")</f>
        <v>26956</v>
      </c>
      <c r="C751" s="8" t="s">
        <v>2251</v>
      </c>
      <c r="D751" s="8" t="s">
        <v>10041</v>
      </c>
      <c r="E751" s="8" t="s">
        <v>10898</v>
      </c>
    </row>
    <row r="752" spans="1:5" x14ac:dyDescent="0.25">
      <c r="A752" s="5" t="s">
        <v>2252</v>
      </c>
      <c r="B752" s="9" t="str">
        <f>HYPERLINK("http://biobank.ctsu.ox.ac.uk/crystal/field.cgi?id=26957", "26957")</f>
        <v>26957</v>
      </c>
      <c r="C752" s="8" t="s">
        <v>2254</v>
      </c>
      <c r="D752" s="8" t="s">
        <v>10041</v>
      </c>
      <c r="E752" s="8" t="s">
        <v>10899</v>
      </c>
    </row>
    <row r="753" spans="1:5" x14ac:dyDescent="0.25">
      <c r="A753" s="5" t="s">
        <v>2255</v>
      </c>
      <c r="B753" s="9" t="str">
        <f>HYPERLINK("http://biobank.ctsu.ox.ac.uk/crystal/field.cgi?id=26958", "26958")</f>
        <v>26958</v>
      </c>
      <c r="C753" s="8" t="s">
        <v>2257</v>
      </c>
      <c r="D753" s="8" t="s">
        <v>10041</v>
      </c>
      <c r="E753" s="8" t="s">
        <v>10900</v>
      </c>
    </row>
    <row r="754" spans="1:5" x14ac:dyDescent="0.25">
      <c r="A754" s="5" t="s">
        <v>2258</v>
      </c>
      <c r="B754" s="9" t="str">
        <f>HYPERLINK("http://biobank.ctsu.ox.ac.uk/crystal/field.cgi?id=26959", "26959")</f>
        <v>26959</v>
      </c>
      <c r="C754" s="8" t="s">
        <v>2260</v>
      </c>
      <c r="D754" s="8" t="s">
        <v>10041</v>
      </c>
      <c r="E754" s="8" t="s">
        <v>10901</v>
      </c>
    </row>
    <row r="755" spans="1:5" x14ac:dyDescent="0.25">
      <c r="A755" s="5" t="s">
        <v>2261</v>
      </c>
      <c r="B755" s="9" t="str">
        <f>HYPERLINK("http://biobank.ctsu.ox.ac.uk/crystal/field.cgi?id=26960", "26960")</f>
        <v>26960</v>
      </c>
      <c r="C755" s="8" t="s">
        <v>2263</v>
      </c>
      <c r="D755" s="8" t="s">
        <v>10041</v>
      </c>
      <c r="E755" s="8" t="s">
        <v>10902</v>
      </c>
    </row>
    <row r="756" spans="1:5" x14ac:dyDescent="0.25">
      <c r="A756" s="5" t="s">
        <v>2264</v>
      </c>
      <c r="B756" s="9" t="str">
        <f>HYPERLINK("http://biobank.ctsu.ox.ac.uk/crystal/field.cgi?id=26961", "26961")</f>
        <v>26961</v>
      </c>
      <c r="C756" s="8" t="s">
        <v>2266</v>
      </c>
      <c r="D756" s="8" t="s">
        <v>10041</v>
      </c>
      <c r="E756" s="8" t="s">
        <v>10903</v>
      </c>
    </row>
    <row r="757" spans="1:5" x14ac:dyDescent="0.25">
      <c r="A757" s="5" t="s">
        <v>2267</v>
      </c>
      <c r="B757" s="9" t="str">
        <f>HYPERLINK("http://biobank.ctsu.ox.ac.uk/crystal/field.cgi?id=26962", "26962")</f>
        <v>26962</v>
      </c>
      <c r="C757" s="8" t="s">
        <v>2269</v>
      </c>
      <c r="D757" s="8" t="s">
        <v>10041</v>
      </c>
      <c r="E757" s="8" t="s">
        <v>10904</v>
      </c>
    </row>
    <row r="758" spans="1:5" x14ac:dyDescent="0.25">
      <c r="A758" s="5" t="s">
        <v>2270</v>
      </c>
      <c r="B758" s="9" t="str">
        <f>HYPERLINK("http://biobank.ctsu.ox.ac.uk/crystal/field.cgi?id=26963", "26963")</f>
        <v>26963</v>
      </c>
      <c r="C758" s="8" t="s">
        <v>2272</v>
      </c>
      <c r="D758" s="8" t="s">
        <v>10041</v>
      </c>
      <c r="E758" s="8" t="s">
        <v>10905</v>
      </c>
    </row>
    <row r="759" spans="1:5" x14ac:dyDescent="0.25">
      <c r="A759" s="5" t="s">
        <v>2273</v>
      </c>
      <c r="B759" s="9" t="str">
        <f>HYPERLINK("http://biobank.ctsu.ox.ac.uk/crystal/field.cgi?id=26964", "26964")</f>
        <v>26964</v>
      </c>
      <c r="C759" s="8" t="s">
        <v>2275</v>
      </c>
      <c r="D759" s="8" t="s">
        <v>10041</v>
      </c>
      <c r="E759" s="8" t="s">
        <v>10906</v>
      </c>
    </row>
    <row r="760" spans="1:5" x14ac:dyDescent="0.25">
      <c r="A760" s="5" t="s">
        <v>2276</v>
      </c>
      <c r="B760" s="9" t="str">
        <f>HYPERLINK("http://biobank.ctsu.ox.ac.uk/crystal/field.cgi?id=26965", "26965")</f>
        <v>26965</v>
      </c>
      <c r="C760" s="8" t="s">
        <v>2278</v>
      </c>
      <c r="D760" s="8" t="s">
        <v>10041</v>
      </c>
      <c r="E760" s="8" t="s">
        <v>10907</v>
      </c>
    </row>
    <row r="761" spans="1:5" x14ac:dyDescent="0.25">
      <c r="A761" s="5" t="s">
        <v>2279</v>
      </c>
      <c r="B761" s="9" t="str">
        <f>HYPERLINK("http://biobank.ctsu.ox.ac.uk/crystal/field.cgi?id=26966", "26966")</f>
        <v>26966</v>
      </c>
      <c r="C761" s="8" t="s">
        <v>2281</v>
      </c>
      <c r="D761" s="8" t="s">
        <v>10041</v>
      </c>
      <c r="E761" s="8" t="s">
        <v>10908</v>
      </c>
    </row>
    <row r="762" spans="1:5" x14ac:dyDescent="0.25">
      <c r="A762" s="5" t="s">
        <v>2282</v>
      </c>
      <c r="B762" s="9" t="str">
        <f>HYPERLINK("http://biobank.ctsu.ox.ac.uk/crystal/field.cgi?id=26967", "26967")</f>
        <v>26967</v>
      </c>
      <c r="C762" s="8" t="s">
        <v>2284</v>
      </c>
      <c r="D762" s="8" t="s">
        <v>10041</v>
      </c>
      <c r="E762" s="8" t="s">
        <v>10909</v>
      </c>
    </row>
    <row r="763" spans="1:5" x14ac:dyDescent="0.25">
      <c r="A763" s="5" t="s">
        <v>2285</v>
      </c>
      <c r="B763" s="9" t="str">
        <f>HYPERLINK("http://biobank.ctsu.ox.ac.uk/crystal/field.cgi?id=26968", "26968")</f>
        <v>26968</v>
      </c>
      <c r="C763" s="8" t="s">
        <v>2287</v>
      </c>
      <c r="D763" s="8" t="s">
        <v>10041</v>
      </c>
      <c r="E763" s="8" t="s">
        <v>10910</v>
      </c>
    </row>
    <row r="764" spans="1:5" x14ac:dyDescent="0.25">
      <c r="A764" s="5" t="s">
        <v>2288</v>
      </c>
      <c r="B764" s="9" t="str">
        <f>HYPERLINK("http://biobank.ctsu.ox.ac.uk/crystal/field.cgi?id=26969", "26969")</f>
        <v>26969</v>
      </c>
      <c r="C764" s="8" t="s">
        <v>2290</v>
      </c>
      <c r="D764" s="8" t="s">
        <v>10041</v>
      </c>
      <c r="E764" s="8" t="s">
        <v>10911</v>
      </c>
    </row>
    <row r="765" spans="1:5" x14ac:dyDescent="0.25">
      <c r="A765" s="5" t="s">
        <v>2291</v>
      </c>
      <c r="B765" s="9" t="str">
        <f>HYPERLINK("http://biobank.ctsu.ox.ac.uk/crystal/field.cgi?id=26970", "26970")</f>
        <v>26970</v>
      </c>
      <c r="C765" s="8" t="s">
        <v>2293</v>
      </c>
      <c r="D765" s="8" t="s">
        <v>10041</v>
      </c>
      <c r="E765" s="8" t="s">
        <v>10912</v>
      </c>
    </row>
    <row r="766" spans="1:5" x14ac:dyDescent="0.25">
      <c r="A766" s="5" t="s">
        <v>2294</v>
      </c>
      <c r="B766" s="9" t="str">
        <f>HYPERLINK("http://biobank.ctsu.ox.ac.uk/crystal/field.cgi?id=26971", "26971")</f>
        <v>26971</v>
      </c>
      <c r="C766" s="8" t="s">
        <v>2296</v>
      </c>
      <c r="D766" s="8" t="s">
        <v>10041</v>
      </c>
      <c r="E766" s="8" t="s">
        <v>10913</v>
      </c>
    </row>
    <row r="767" spans="1:5" x14ac:dyDescent="0.25">
      <c r="A767" s="5" t="s">
        <v>2297</v>
      </c>
      <c r="B767" s="9" t="str">
        <f>HYPERLINK("http://biobank.ctsu.ox.ac.uk/crystal/field.cgi?id=26972", "26972")</f>
        <v>26972</v>
      </c>
      <c r="C767" s="8" t="s">
        <v>2299</v>
      </c>
      <c r="D767" s="8" t="s">
        <v>10041</v>
      </c>
      <c r="E767" s="8" t="s">
        <v>10914</v>
      </c>
    </row>
    <row r="768" spans="1:5" x14ac:dyDescent="0.25">
      <c r="A768" s="5" t="s">
        <v>2300</v>
      </c>
      <c r="B768" s="9" t="str">
        <f>HYPERLINK("http://biobank.ctsu.ox.ac.uk/crystal/field.cgi?id=26973", "26973")</f>
        <v>26973</v>
      </c>
      <c r="C768" s="8" t="s">
        <v>2302</v>
      </c>
      <c r="D768" s="8" t="s">
        <v>10041</v>
      </c>
      <c r="E768" s="8" t="s">
        <v>10915</v>
      </c>
    </row>
    <row r="769" spans="1:5" x14ac:dyDescent="0.25">
      <c r="A769" s="5" t="s">
        <v>2303</v>
      </c>
      <c r="B769" s="9" t="str">
        <f>HYPERLINK("http://biobank.ctsu.ox.ac.uk/crystal/field.cgi?id=26974", "26974")</f>
        <v>26974</v>
      </c>
      <c r="C769" s="8" t="s">
        <v>2305</v>
      </c>
      <c r="D769" s="8" t="s">
        <v>10041</v>
      </c>
      <c r="E769" s="8" t="s">
        <v>10916</v>
      </c>
    </row>
    <row r="770" spans="1:5" x14ac:dyDescent="0.25">
      <c r="A770" s="5" t="s">
        <v>2306</v>
      </c>
      <c r="B770" s="9" t="str">
        <f>HYPERLINK("http://biobank.ctsu.ox.ac.uk/crystal/field.cgi?id=26975", "26975")</f>
        <v>26975</v>
      </c>
      <c r="C770" s="8" t="s">
        <v>2308</v>
      </c>
      <c r="D770" s="8" t="s">
        <v>10041</v>
      </c>
      <c r="E770" s="8" t="s">
        <v>10917</v>
      </c>
    </row>
    <row r="771" spans="1:5" x14ac:dyDescent="0.25">
      <c r="A771" s="5" t="s">
        <v>2309</v>
      </c>
      <c r="B771" s="9" t="str">
        <f>HYPERLINK("http://biobank.ctsu.ox.ac.uk/crystal/field.cgi?id=26976", "26976")</f>
        <v>26976</v>
      </c>
      <c r="C771" s="8" t="s">
        <v>2311</v>
      </c>
      <c r="D771" s="8" t="s">
        <v>10041</v>
      </c>
      <c r="E771" s="8" t="s">
        <v>10918</v>
      </c>
    </row>
    <row r="772" spans="1:5" x14ac:dyDescent="0.25">
      <c r="A772" s="5" t="s">
        <v>2312</v>
      </c>
      <c r="B772" s="9" t="str">
        <f>HYPERLINK("http://biobank.ctsu.ox.ac.uk/crystal/field.cgi?id=26977", "26977")</f>
        <v>26977</v>
      </c>
      <c r="C772" s="8" t="s">
        <v>2314</v>
      </c>
      <c r="D772" s="8" t="s">
        <v>10041</v>
      </c>
      <c r="E772" s="8" t="s">
        <v>10919</v>
      </c>
    </row>
    <row r="773" spans="1:5" x14ac:dyDescent="0.25">
      <c r="A773" s="5" t="s">
        <v>2315</v>
      </c>
      <c r="B773" s="9" t="str">
        <f>HYPERLINK("http://biobank.ctsu.ox.ac.uk/crystal/field.cgi?id=26978", "26978")</f>
        <v>26978</v>
      </c>
      <c r="C773" s="8" t="s">
        <v>2317</v>
      </c>
      <c r="D773" s="8" t="s">
        <v>10041</v>
      </c>
      <c r="E773" s="8" t="s">
        <v>10920</v>
      </c>
    </row>
    <row r="774" spans="1:5" x14ac:dyDescent="0.25">
      <c r="A774" s="5" t="s">
        <v>2318</v>
      </c>
      <c r="B774" s="9" t="str">
        <f>HYPERLINK("http://biobank.ctsu.ox.ac.uk/crystal/field.cgi?id=26979", "26979")</f>
        <v>26979</v>
      </c>
      <c r="C774" s="8" t="s">
        <v>2320</v>
      </c>
      <c r="D774" s="8" t="s">
        <v>10041</v>
      </c>
      <c r="E774" s="8" t="s">
        <v>10921</v>
      </c>
    </row>
    <row r="775" spans="1:5" x14ac:dyDescent="0.25">
      <c r="A775" s="5" t="s">
        <v>2321</v>
      </c>
      <c r="B775" s="9" t="str">
        <f>HYPERLINK("http://biobank.ctsu.ox.ac.uk/crystal/field.cgi?id=26980", "26980")</f>
        <v>26980</v>
      </c>
      <c r="C775" s="8" t="s">
        <v>2323</v>
      </c>
      <c r="D775" s="8" t="s">
        <v>10041</v>
      </c>
      <c r="E775" s="8" t="s">
        <v>10922</v>
      </c>
    </row>
    <row r="776" spans="1:5" x14ac:dyDescent="0.25">
      <c r="A776" s="5" t="s">
        <v>2324</v>
      </c>
      <c r="B776" s="9" t="str">
        <f>HYPERLINK("http://biobank.ctsu.ox.ac.uk/crystal/field.cgi?id=26981", "26981")</f>
        <v>26981</v>
      </c>
      <c r="C776" s="8" t="s">
        <v>2326</v>
      </c>
      <c r="D776" s="8" t="s">
        <v>10041</v>
      </c>
      <c r="E776" s="8" t="s">
        <v>10923</v>
      </c>
    </row>
    <row r="777" spans="1:5" x14ac:dyDescent="0.25">
      <c r="A777" s="5" t="s">
        <v>2327</v>
      </c>
      <c r="B777" s="9" t="str">
        <f>HYPERLINK("http://biobank.ctsu.ox.ac.uk/crystal/field.cgi?id=26982", "26982")</f>
        <v>26982</v>
      </c>
      <c r="C777" s="8" t="s">
        <v>2329</v>
      </c>
      <c r="D777" s="8" t="s">
        <v>10041</v>
      </c>
      <c r="E777" s="8" t="s">
        <v>10924</v>
      </c>
    </row>
    <row r="778" spans="1:5" x14ac:dyDescent="0.25">
      <c r="A778" s="5" t="s">
        <v>2330</v>
      </c>
      <c r="B778" s="9" t="str">
        <f>HYPERLINK("http://biobank.ctsu.ox.ac.uk/crystal/field.cgi?id=26983", "26983")</f>
        <v>26983</v>
      </c>
      <c r="C778" s="8" t="s">
        <v>2332</v>
      </c>
      <c r="D778" s="8" t="s">
        <v>10041</v>
      </c>
      <c r="E778" s="8" t="s">
        <v>10925</v>
      </c>
    </row>
    <row r="779" spans="1:5" x14ac:dyDescent="0.25">
      <c r="A779" s="5" t="s">
        <v>2333</v>
      </c>
      <c r="B779" s="9" t="str">
        <f>HYPERLINK("http://biobank.ctsu.ox.ac.uk/crystal/field.cgi?id=26984", "26984")</f>
        <v>26984</v>
      </c>
      <c r="C779" s="8" t="s">
        <v>2335</v>
      </c>
      <c r="D779" s="8" t="s">
        <v>10041</v>
      </c>
      <c r="E779" s="8" t="s">
        <v>10926</v>
      </c>
    </row>
    <row r="780" spans="1:5" x14ac:dyDescent="0.25">
      <c r="A780" s="5" t="s">
        <v>2336</v>
      </c>
      <c r="B780" s="9" t="str">
        <f>HYPERLINK("http://biobank.ctsu.ox.ac.uk/crystal/field.cgi?id=26985", "26985")</f>
        <v>26985</v>
      </c>
      <c r="C780" s="8" t="s">
        <v>2338</v>
      </c>
      <c r="D780" s="8" t="s">
        <v>10041</v>
      </c>
      <c r="E780" s="8" t="s">
        <v>10927</v>
      </c>
    </row>
    <row r="781" spans="1:5" x14ac:dyDescent="0.25">
      <c r="A781" s="5" t="s">
        <v>2339</v>
      </c>
      <c r="B781" s="9" t="str">
        <f>HYPERLINK("http://biobank.ctsu.ox.ac.uk/crystal/field.cgi?id=26986", "26986")</f>
        <v>26986</v>
      </c>
      <c r="C781" s="8" t="s">
        <v>2341</v>
      </c>
      <c r="D781" s="8" t="s">
        <v>10041</v>
      </c>
      <c r="E781" s="8" t="s">
        <v>10928</v>
      </c>
    </row>
    <row r="782" spans="1:5" x14ac:dyDescent="0.25">
      <c r="A782" s="5" t="s">
        <v>2342</v>
      </c>
      <c r="B782" s="9" t="str">
        <f>HYPERLINK("http://biobank.ctsu.ox.ac.uk/crystal/field.cgi?id=26987", "26987")</f>
        <v>26987</v>
      </c>
      <c r="C782" s="8" t="s">
        <v>2344</v>
      </c>
      <c r="D782" s="8" t="s">
        <v>10041</v>
      </c>
      <c r="E782" s="8" t="s">
        <v>10929</v>
      </c>
    </row>
    <row r="783" spans="1:5" x14ac:dyDescent="0.25">
      <c r="A783" s="5" t="s">
        <v>2345</v>
      </c>
      <c r="B783" s="9" t="str">
        <f>HYPERLINK("http://biobank.ctsu.ox.ac.uk/crystal/field.cgi?id=26988", "26988")</f>
        <v>26988</v>
      </c>
      <c r="C783" s="8" t="s">
        <v>2347</v>
      </c>
      <c r="D783" s="8" t="s">
        <v>10041</v>
      </c>
      <c r="E783" s="8" t="s">
        <v>10930</v>
      </c>
    </row>
    <row r="784" spans="1:5" x14ac:dyDescent="0.25">
      <c r="A784" s="5" t="s">
        <v>2348</v>
      </c>
      <c r="B784" s="9" t="str">
        <f>HYPERLINK("http://biobank.ctsu.ox.ac.uk/crystal/field.cgi?id=27059", "27059")</f>
        <v>27059</v>
      </c>
      <c r="C784" s="8" t="s">
        <v>2350</v>
      </c>
      <c r="D784" s="8" t="s">
        <v>10041</v>
      </c>
      <c r="E784" s="8" t="s">
        <v>10931</v>
      </c>
    </row>
    <row r="785" spans="1:5" x14ac:dyDescent="0.25">
      <c r="A785" s="5" t="s">
        <v>2351</v>
      </c>
      <c r="B785" s="9" t="str">
        <f>HYPERLINK("http://biobank.ctsu.ox.ac.uk/crystal/field.cgi?id=27060", "27060")</f>
        <v>27060</v>
      </c>
      <c r="C785" s="8" t="s">
        <v>2353</v>
      </c>
      <c r="D785" s="8" t="s">
        <v>10041</v>
      </c>
      <c r="E785" s="8" t="s">
        <v>10932</v>
      </c>
    </row>
    <row r="786" spans="1:5" x14ac:dyDescent="0.25">
      <c r="A786" s="5" t="s">
        <v>2354</v>
      </c>
      <c r="B786" s="9" t="str">
        <f>HYPERLINK("http://biobank.ctsu.ox.ac.uk/crystal/field.cgi?id=27061", "27061")</f>
        <v>27061</v>
      </c>
      <c r="C786" s="8" t="s">
        <v>2356</v>
      </c>
      <c r="D786" s="8" t="s">
        <v>10041</v>
      </c>
      <c r="E786" s="8" t="s">
        <v>10933</v>
      </c>
    </row>
    <row r="787" spans="1:5" x14ac:dyDescent="0.25">
      <c r="A787" s="5" t="s">
        <v>2357</v>
      </c>
      <c r="B787" s="9" t="str">
        <f>HYPERLINK("http://biobank.ctsu.ox.ac.uk/crystal/field.cgi?id=27062", "27062")</f>
        <v>27062</v>
      </c>
      <c r="C787" s="8" t="s">
        <v>2359</v>
      </c>
      <c r="D787" s="8" t="s">
        <v>10041</v>
      </c>
      <c r="E787" s="8" t="s">
        <v>10934</v>
      </c>
    </row>
    <row r="788" spans="1:5" x14ac:dyDescent="0.25">
      <c r="A788" s="5" t="s">
        <v>2360</v>
      </c>
      <c r="B788" s="9" t="str">
        <f>HYPERLINK("http://biobank.ctsu.ox.ac.uk/crystal/field.cgi?id=27063", "27063")</f>
        <v>27063</v>
      </c>
      <c r="C788" s="8" t="s">
        <v>2362</v>
      </c>
      <c r="D788" s="8" t="s">
        <v>10041</v>
      </c>
      <c r="E788" s="8" t="s">
        <v>10935</v>
      </c>
    </row>
    <row r="789" spans="1:5" x14ac:dyDescent="0.25">
      <c r="A789" s="5" t="s">
        <v>2363</v>
      </c>
      <c r="B789" s="9" t="str">
        <f>HYPERLINK("http://biobank.ctsu.ox.ac.uk/crystal/field.cgi?id=27064", "27064")</f>
        <v>27064</v>
      </c>
      <c r="C789" s="8" t="s">
        <v>2365</v>
      </c>
      <c r="D789" s="8" t="s">
        <v>10041</v>
      </c>
      <c r="E789" s="8" t="s">
        <v>10936</v>
      </c>
    </row>
    <row r="790" spans="1:5" x14ac:dyDescent="0.25">
      <c r="A790" s="5" t="s">
        <v>2366</v>
      </c>
      <c r="B790" s="9" t="str">
        <f>HYPERLINK("http://biobank.ctsu.ox.ac.uk/crystal/field.cgi?id=27065", "27065")</f>
        <v>27065</v>
      </c>
      <c r="C790" s="8" t="s">
        <v>2368</v>
      </c>
      <c r="D790" s="8" t="s">
        <v>10041</v>
      </c>
      <c r="E790" s="8" t="s">
        <v>10937</v>
      </c>
    </row>
    <row r="791" spans="1:5" x14ac:dyDescent="0.25">
      <c r="A791" s="5" t="s">
        <v>2369</v>
      </c>
      <c r="B791" s="9" t="str">
        <f>HYPERLINK("http://biobank.ctsu.ox.ac.uk/crystal/field.cgi?id=27066", "27066")</f>
        <v>27066</v>
      </c>
      <c r="C791" s="8" t="s">
        <v>2371</v>
      </c>
      <c r="D791" s="8" t="s">
        <v>10041</v>
      </c>
      <c r="E791" s="8" t="s">
        <v>10938</v>
      </c>
    </row>
    <row r="792" spans="1:5" x14ac:dyDescent="0.25">
      <c r="A792" s="5" t="s">
        <v>2372</v>
      </c>
      <c r="B792" s="9" t="str">
        <f>HYPERLINK("http://biobank.ctsu.ox.ac.uk/crystal/field.cgi?id=27067", "27067")</f>
        <v>27067</v>
      </c>
      <c r="C792" s="8" t="s">
        <v>2374</v>
      </c>
      <c r="D792" s="8" t="s">
        <v>10041</v>
      </c>
      <c r="E792" s="8" t="s">
        <v>10939</v>
      </c>
    </row>
    <row r="793" spans="1:5" x14ac:dyDescent="0.25">
      <c r="A793" s="5" t="s">
        <v>2375</v>
      </c>
      <c r="B793" s="9" t="str">
        <f>HYPERLINK("http://biobank.ctsu.ox.ac.uk/crystal/field.cgi?id=27068", "27068")</f>
        <v>27068</v>
      </c>
      <c r="C793" s="8" t="s">
        <v>2377</v>
      </c>
      <c r="D793" s="8" t="s">
        <v>10041</v>
      </c>
      <c r="E793" s="8" t="s">
        <v>10940</v>
      </c>
    </row>
    <row r="794" spans="1:5" x14ac:dyDescent="0.25">
      <c r="A794" s="5" t="s">
        <v>2378</v>
      </c>
      <c r="B794" s="9" t="str">
        <f>HYPERLINK("http://biobank.ctsu.ox.ac.uk/crystal/field.cgi?id=27069", "27069")</f>
        <v>27069</v>
      </c>
      <c r="C794" s="8" t="s">
        <v>2380</v>
      </c>
      <c r="D794" s="8" t="s">
        <v>10041</v>
      </c>
      <c r="E794" s="8" t="s">
        <v>10941</v>
      </c>
    </row>
    <row r="795" spans="1:5" x14ac:dyDescent="0.25">
      <c r="A795" s="5" t="s">
        <v>2381</v>
      </c>
      <c r="B795" s="9" t="str">
        <f>HYPERLINK("http://biobank.ctsu.ox.ac.uk/crystal/field.cgi?id=27070", "27070")</f>
        <v>27070</v>
      </c>
      <c r="C795" s="8" t="s">
        <v>2383</v>
      </c>
      <c r="D795" s="8" t="s">
        <v>10041</v>
      </c>
      <c r="E795" s="8" t="s">
        <v>10942</v>
      </c>
    </row>
    <row r="796" spans="1:5" x14ac:dyDescent="0.25">
      <c r="A796" s="5" t="s">
        <v>2384</v>
      </c>
      <c r="B796" s="9" t="str">
        <f>HYPERLINK("http://biobank.ctsu.ox.ac.uk/crystal/field.cgi?id=27071", "27071")</f>
        <v>27071</v>
      </c>
      <c r="C796" s="8" t="s">
        <v>2386</v>
      </c>
      <c r="D796" s="8" t="s">
        <v>10041</v>
      </c>
      <c r="E796" s="8" t="s">
        <v>10943</v>
      </c>
    </row>
    <row r="797" spans="1:5" x14ac:dyDescent="0.25">
      <c r="A797" s="5" t="s">
        <v>2387</v>
      </c>
      <c r="B797" s="9" t="str">
        <f>HYPERLINK("http://biobank.ctsu.ox.ac.uk/crystal/field.cgi?id=27072", "27072")</f>
        <v>27072</v>
      </c>
      <c r="C797" s="8" t="s">
        <v>2389</v>
      </c>
      <c r="D797" s="8" t="s">
        <v>10041</v>
      </c>
      <c r="E797" s="8" t="s">
        <v>10944</v>
      </c>
    </row>
    <row r="798" spans="1:5" x14ac:dyDescent="0.25">
      <c r="A798" s="5" t="s">
        <v>2390</v>
      </c>
      <c r="B798" s="9" t="str">
        <f>HYPERLINK("http://biobank.ctsu.ox.ac.uk/crystal/field.cgi?id=27101", "27101")</f>
        <v>27101</v>
      </c>
      <c r="C798" s="8" t="s">
        <v>2392</v>
      </c>
      <c r="D798" s="8" t="s">
        <v>10041</v>
      </c>
      <c r="E798" s="8" t="s">
        <v>10945</v>
      </c>
    </row>
    <row r="799" spans="1:5" x14ac:dyDescent="0.25">
      <c r="A799" s="5" t="s">
        <v>2393</v>
      </c>
      <c r="B799" s="9" t="str">
        <f>HYPERLINK("http://biobank.ctsu.ox.ac.uk/crystal/field.cgi?id=27102", "27102")</f>
        <v>27102</v>
      </c>
      <c r="C799" s="8" t="s">
        <v>2395</v>
      </c>
      <c r="D799" s="8" t="s">
        <v>10041</v>
      </c>
      <c r="E799" s="8" t="s">
        <v>10946</v>
      </c>
    </row>
    <row r="800" spans="1:5" x14ac:dyDescent="0.25">
      <c r="A800" s="5" t="s">
        <v>2396</v>
      </c>
      <c r="B800" s="9" t="str">
        <f>HYPERLINK("http://biobank.ctsu.ox.ac.uk/crystal/field.cgi?id=27103", "27103")</f>
        <v>27103</v>
      </c>
      <c r="C800" s="8" t="s">
        <v>2398</v>
      </c>
      <c r="D800" s="8" t="s">
        <v>10041</v>
      </c>
      <c r="E800" s="8" t="s">
        <v>10947</v>
      </c>
    </row>
    <row r="801" spans="1:5" x14ac:dyDescent="0.25">
      <c r="A801" s="5" t="s">
        <v>2399</v>
      </c>
      <c r="B801" s="9" t="str">
        <f>HYPERLINK("http://biobank.ctsu.ox.ac.uk/crystal/field.cgi?id=27104", "27104")</f>
        <v>27104</v>
      </c>
      <c r="C801" s="8" t="s">
        <v>2401</v>
      </c>
      <c r="D801" s="8" t="s">
        <v>10041</v>
      </c>
      <c r="E801" s="8" t="s">
        <v>10948</v>
      </c>
    </row>
    <row r="802" spans="1:5" x14ac:dyDescent="0.25">
      <c r="A802" s="5" t="s">
        <v>2402</v>
      </c>
      <c r="B802" s="9" t="str">
        <f>HYPERLINK("http://biobank.ctsu.ox.ac.uk/crystal/field.cgi?id=27105", "27105")</f>
        <v>27105</v>
      </c>
      <c r="C802" s="8" t="s">
        <v>2404</v>
      </c>
      <c r="D802" s="8" t="s">
        <v>10041</v>
      </c>
      <c r="E802" s="8" t="s">
        <v>10949</v>
      </c>
    </row>
    <row r="803" spans="1:5" x14ac:dyDescent="0.25">
      <c r="A803" s="5" t="s">
        <v>2405</v>
      </c>
      <c r="B803" s="9" t="str">
        <f>HYPERLINK("http://biobank.ctsu.ox.ac.uk/crystal/field.cgi?id=27106", "27106")</f>
        <v>27106</v>
      </c>
      <c r="C803" s="8" t="s">
        <v>2407</v>
      </c>
      <c r="D803" s="8" t="s">
        <v>10041</v>
      </c>
      <c r="E803" s="8" t="s">
        <v>10950</v>
      </c>
    </row>
    <row r="804" spans="1:5" x14ac:dyDescent="0.25">
      <c r="A804" s="5" t="s">
        <v>2408</v>
      </c>
      <c r="B804" s="9" t="str">
        <f>HYPERLINK("http://biobank.ctsu.ox.ac.uk/crystal/field.cgi?id=27107", "27107")</f>
        <v>27107</v>
      </c>
      <c r="C804" s="8" t="s">
        <v>2410</v>
      </c>
      <c r="D804" s="8" t="s">
        <v>10041</v>
      </c>
      <c r="E804" s="8" t="s">
        <v>10951</v>
      </c>
    </row>
    <row r="805" spans="1:5" x14ac:dyDescent="0.25">
      <c r="A805" s="5" t="s">
        <v>2411</v>
      </c>
      <c r="B805" s="9" t="str">
        <f>HYPERLINK("http://biobank.ctsu.ox.ac.uk/crystal/field.cgi?id=27108", "27108")</f>
        <v>27108</v>
      </c>
      <c r="C805" s="8" t="s">
        <v>2413</v>
      </c>
      <c r="D805" s="8" t="s">
        <v>10041</v>
      </c>
      <c r="E805" s="8" t="s">
        <v>10952</v>
      </c>
    </row>
    <row r="806" spans="1:5" x14ac:dyDescent="0.25">
      <c r="A806" s="5" t="s">
        <v>2414</v>
      </c>
      <c r="B806" s="9" t="str">
        <f>HYPERLINK("http://biobank.ctsu.ox.ac.uk/crystal/field.cgi?id=27109", "27109")</f>
        <v>27109</v>
      </c>
      <c r="C806" s="8" t="s">
        <v>2416</v>
      </c>
      <c r="D806" s="8" t="s">
        <v>10041</v>
      </c>
      <c r="E806" s="8" t="s">
        <v>10953</v>
      </c>
    </row>
    <row r="807" spans="1:5" x14ac:dyDescent="0.25">
      <c r="A807" s="5" t="s">
        <v>2417</v>
      </c>
      <c r="B807" s="9" t="str">
        <f>HYPERLINK("http://biobank.ctsu.ox.ac.uk/crystal/field.cgi?id=27110", "27110")</f>
        <v>27110</v>
      </c>
      <c r="C807" s="8" t="s">
        <v>2419</v>
      </c>
      <c r="D807" s="8" t="s">
        <v>10041</v>
      </c>
      <c r="E807" s="8" t="s">
        <v>10954</v>
      </c>
    </row>
    <row r="808" spans="1:5" x14ac:dyDescent="0.25">
      <c r="A808" s="5" t="s">
        <v>2420</v>
      </c>
      <c r="B808" s="9" t="str">
        <f>HYPERLINK("http://biobank.ctsu.ox.ac.uk/crystal/field.cgi?id=27111", "27111")</f>
        <v>27111</v>
      </c>
      <c r="C808" s="8" t="s">
        <v>2422</v>
      </c>
      <c r="D808" s="8" t="s">
        <v>10041</v>
      </c>
      <c r="E808" s="8" t="s">
        <v>10955</v>
      </c>
    </row>
    <row r="809" spans="1:5" x14ac:dyDescent="0.25">
      <c r="A809" s="5" t="s">
        <v>2423</v>
      </c>
      <c r="B809" s="9" t="str">
        <f>HYPERLINK("http://biobank.ctsu.ox.ac.uk/crystal/field.cgi?id=27112", "27112")</f>
        <v>27112</v>
      </c>
      <c r="C809" s="8" t="s">
        <v>2425</v>
      </c>
      <c r="D809" s="8" t="s">
        <v>10041</v>
      </c>
      <c r="E809" s="8" t="s">
        <v>10956</v>
      </c>
    </row>
    <row r="810" spans="1:5" x14ac:dyDescent="0.25">
      <c r="A810" s="5" t="s">
        <v>2426</v>
      </c>
      <c r="B810" s="9" t="str">
        <f>HYPERLINK("http://biobank.ctsu.ox.ac.uk/crystal/field.cgi?id=27113", "27113")</f>
        <v>27113</v>
      </c>
      <c r="C810" s="8" t="s">
        <v>2428</v>
      </c>
      <c r="D810" s="8" t="s">
        <v>10041</v>
      </c>
      <c r="E810" s="8" t="s">
        <v>10957</v>
      </c>
    </row>
    <row r="811" spans="1:5" x14ac:dyDescent="0.25">
      <c r="A811" s="5" t="s">
        <v>2429</v>
      </c>
      <c r="B811" s="9" t="str">
        <f>HYPERLINK("http://biobank.ctsu.ox.ac.uk/crystal/field.cgi?id=27114", "27114")</f>
        <v>27114</v>
      </c>
      <c r="C811" s="8" t="s">
        <v>2431</v>
      </c>
      <c r="D811" s="8" t="s">
        <v>10041</v>
      </c>
      <c r="E811" s="8" t="s">
        <v>10958</v>
      </c>
    </row>
    <row r="812" spans="1:5" x14ac:dyDescent="0.25">
      <c r="A812" s="5" t="s">
        <v>2432</v>
      </c>
      <c r="B812" s="9" t="str">
        <f>HYPERLINK("http://biobank.ctsu.ox.ac.uk/crystal/field.cgi?id=27143", "27143")</f>
        <v>27143</v>
      </c>
      <c r="C812" s="8" t="s">
        <v>2434</v>
      </c>
      <c r="D812" s="8" t="s">
        <v>10041</v>
      </c>
      <c r="E812" s="8" t="s">
        <v>10959</v>
      </c>
    </row>
    <row r="813" spans="1:5" x14ac:dyDescent="0.25">
      <c r="A813" s="5" t="s">
        <v>2435</v>
      </c>
      <c r="B813" s="9" t="str">
        <f>HYPERLINK("http://biobank.ctsu.ox.ac.uk/crystal/field.cgi?id=27144", "27144")</f>
        <v>27144</v>
      </c>
      <c r="C813" s="8" t="s">
        <v>2437</v>
      </c>
      <c r="D813" s="8" t="s">
        <v>10041</v>
      </c>
      <c r="E813" s="8" t="s">
        <v>10960</v>
      </c>
    </row>
    <row r="814" spans="1:5" x14ac:dyDescent="0.25">
      <c r="A814" s="5" t="s">
        <v>2438</v>
      </c>
      <c r="B814" s="9" t="str">
        <f>HYPERLINK("http://biobank.ctsu.ox.ac.uk/crystal/field.cgi?id=27145", "27145")</f>
        <v>27145</v>
      </c>
      <c r="C814" s="8" t="s">
        <v>2440</v>
      </c>
      <c r="D814" s="8" t="s">
        <v>10041</v>
      </c>
      <c r="E814" s="8" t="s">
        <v>10961</v>
      </c>
    </row>
    <row r="815" spans="1:5" x14ac:dyDescent="0.25">
      <c r="A815" s="5" t="s">
        <v>2441</v>
      </c>
      <c r="B815" s="9" t="str">
        <f>HYPERLINK("http://biobank.ctsu.ox.ac.uk/crystal/field.cgi?id=27146", "27146")</f>
        <v>27146</v>
      </c>
      <c r="C815" s="8" t="s">
        <v>2443</v>
      </c>
      <c r="D815" s="8" t="s">
        <v>10041</v>
      </c>
      <c r="E815" s="8" t="s">
        <v>10962</v>
      </c>
    </row>
    <row r="816" spans="1:5" x14ac:dyDescent="0.25">
      <c r="A816" s="5" t="s">
        <v>2444</v>
      </c>
      <c r="B816" s="9" t="str">
        <f>HYPERLINK("http://biobank.ctsu.ox.ac.uk/crystal/field.cgi?id=27147", "27147")</f>
        <v>27147</v>
      </c>
      <c r="C816" s="8" t="s">
        <v>2446</v>
      </c>
      <c r="D816" s="8" t="s">
        <v>10041</v>
      </c>
      <c r="E816" s="8" t="s">
        <v>10963</v>
      </c>
    </row>
    <row r="817" spans="1:5" x14ac:dyDescent="0.25">
      <c r="A817" s="5" t="s">
        <v>2447</v>
      </c>
      <c r="B817" s="9" t="str">
        <f>HYPERLINK("http://biobank.ctsu.ox.ac.uk/crystal/field.cgi?id=27148", "27148")</f>
        <v>27148</v>
      </c>
      <c r="C817" s="8" t="s">
        <v>2449</v>
      </c>
      <c r="D817" s="8" t="s">
        <v>10041</v>
      </c>
      <c r="E817" s="8" t="s">
        <v>10964</v>
      </c>
    </row>
    <row r="818" spans="1:5" x14ac:dyDescent="0.25">
      <c r="A818" s="5" t="s">
        <v>2450</v>
      </c>
      <c r="B818" s="9" t="str">
        <f>HYPERLINK("http://biobank.ctsu.ox.ac.uk/crystal/field.cgi?id=27149", "27149")</f>
        <v>27149</v>
      </c>
      <c r="C818" s="8" t="s">
        <v>2452</v>
      </c>
      <c r="D818" s="8" t="s">
        <v>10041</v>
      </c>
      <c r="E818" s="8" t="s">
        <v>10965</v>
      </c>
    </row>
    <row r="819" spans="1:5" x14ac:dyDescent="0.25">
      <c r="A819" s="5" t="s">
        <v>2453</v>
      </c>
      <c r="B819" s="9" t="str">
        <f>HYPERLINK("http://biobank.ctsu.ox.ac.uk/crystal/field.cgi?id=27150", "27150")</f>
        <v>27150</v>
      </c>
      <c r="C819" s="8" t="s">
        <v>2455</v>
      </c>
      <c r="D819" s="8" t="s">
        <v>10041</v>
      </c>
      <c r="E819" s="8" t="s">
        <v>10966</v>
      </c>
    </row>
    <row r="820" spans="1:5" x14ac:dyDescent="0.25">
      <c r="A820" s="5" t="s">
        <v>2456</v>
      </c>
      <c r="B820" s="9" t="str">
        <f>HYPERLINK("http://biobank.ctsu.ox.ac.uk/crystal/field.cgi?id=27151", "27151")</f>
        <v>27151</v>
      </c>
      <c r="C820" s="8" t="s">
        <v>2458</v>
      </c>
      <c r="D820" s="8" t="s">
        <v>10041</v>
      </c>
      <c r="E820" s="8" t="s">
        <v>10967</v>
      </c>
    </row>
    <row r="821" spans="1:5" x14ac:dyDescent="0.25">
      <c r="A821" s="5" t="s">
        <v>2459</v>
      </c>
      <c r="B821" s="9" t="str">
        <f>HYPERLINK("http://biobank.ctsu.ox.ac.uk/crystal/field.cgi?id=27152", "27152")</f>
        <v>27152</v>
      </c>
      <c r="C821" s="8" t="s">
        <v>2461</v>
      </c>
      <c r="D821" s="8" t="s">
        <v>10041</v>
      </c>
      <c r="E821" s="8" t="s">
        <v>10968</v>
      </c>
    </row>
    <row r="822" spans="1:5" x14ac:dyDescent="0.25">
      <c r="A822" s="5" t="s">
        <v>2462</v>
      </c>
      <c r="B822" s="9" t="str">
        <f>HYPERLINK("http://biobank.ctsu.ox.ac.uk/crystal/field.cgi?id=27153", "27153")</f>
        <v>27153</v>
      </c>
      <c r="C822" s="8" t="s">
        <v>2464</v>
      </c>
      <c r="D822" s="8" t="s">
        <v>10041</v>
      </c>
      <c r="E822" s="8" t="s">
        <v>10969</v>
      </c>
    </row>
    <row r="823" spans="1:5" x14ac:dyDescent="0.25">
      <c r="A823" s="5" t="s">
        <v>2465</v>
      </c>
      <c r="B823" s="9" t="str">
        <f>HYPERLINK("http://biobank.ctsu.ox.ac.uk/crystal/field.cgi?id=27154", "27154")</f>
        <v>27154</v>
      </c>
      <c r="C823" s="8" t="s">
        <v>2467</v>
      </c>
      <c r="D823" s="8" t="s">
        <v>10041</v>
      </c>
      <c r="E823" s="8" t="s">
        <v>10970</v>
      </c>
    </row>
    <row r="824" spans="1:5" x14ac:dyDescent="0.25">
      <c r="A824" s="5" t="s">
        <v>2468</v>
      </c>
      <c r="B824" s="9" t="str">
        <f>HYPERLINK("http://biobank.ctsu.ox.ac.uk/crystal/field.cgi?id=27155", "27155")</f>
        <v>27155</v>
      </c>
      <c r="C824" s="8" t="s">
        <v>2470</v>
      </c>
      <c r="D824" s="8" t="s">
        <v>10041</v>
      </c>
      <c r="E824" s="8" t="s">
        <v>10971</v>
      </c>
    </row>
    <row r="825" spans="1:5" x14ac:dyDescent="0.25">
      <c r="A825" s="5" t="s">
        <v>2471</v>
      </c>
      <c r="B825" s="9" t="str">
        <f>HYPERLINK("http://biobank.ctsu.ox.ac.uk/crystal/field.cgi?id=27156", "27156")</f>
        <v>27156</v>
      </c>
      <c r="C825" s="8" t="s">
        <v>2473</v>
      </c>
      <c r="D825" s="8" t="s">
        <v>10041</v>
      </c>
      <c r="E825" s="8" t="s">
        <v>10972</v>
      </c>
    </row>
    <row r="826" spans="1:5" x14ac:dyDescent="0.25">
      <c r="A826" s="5" t="s">
        <v>2474</v>
      </c>
      <c r="B826" s="9" t="str">
        <f>HYPERLINK("http://biobank.ctsu.ox.ac.uk/crystal/field.cgi?id=27157", "27157")</f>
        <v>27157</v>
      </c>
      <c r="C826" s="8" t="s">
        <v>2476</v>
      </c>
      <c r="D826" s="8" t="s">
        <v>10041</v>
      </c>
      <c r="E826" s="8" t="s">
        <v>10973</v>
      </c>
    </row>
    <row r="827" spans="1:5" x14ac:dyDescent="0.25">
      <c r="A827" s="5" t="s">
        <v>2477</v>
      </c>
      <c r="B827" s="9" t="str">
        <f>HYPERLINK("http://biobank.ctsu.ox.ac.uk/crystal/field.cgi?id=27158", "27158")</f>
        <v>27158</v>
      </c>
      <c r="C827" s="8" t="s">
        <v>2479</v>
      </c>
      <c r="D827" s="8" t="s">
        <v>10041</v>
      </c>
      <c r="E827" s="8" t="s">
        <v>10974</v>
      </c>
    </row>
    <row r="828" spans="1:5" x14ac:dyDescent="0.25">
      <c r="A828" s="5" t="s">
        <v>2480</v>
      </c>
      <c r="B828" s="9" t="str">
        <f>HYPERLINK("http://biobank.ctsu.ox.ac.uk/crystal/field.cgi?id=27159", "27159")</f>
        <v>27159</v>
      </c>
      <c r="C828" s="8" t="s">
        <v>2482</v>
      </c>
      <c r="D828" s="8" t="s">
        <v>10041</v>
      </c>
      <c r="E828" s="8" t="s">
        <v>10975</v>
      </c>
    </row>
    <row r="829" spans="1:5" x14ac:dyDescent="0.25">
      <c r="A829" s="5" t="s">
        <v>2483</v>
      </c>
      <c r="B829" s="9" t="str">
        <f>HYPERLINK("http://biobank.ctsu.ox.ac.uk/crystal/field.cgi?id=27160", "27160")</f>
        <v>27160</v>
      </c>
      <c r="C829" s="8" t="s">
        <v>2485</v>
      </c>
      <c r="D829" s="8" t="s">
        <v>10041</v>
      </c>
      <c r="E829" s="8" t="s">
        <v>10976</v>
      </c>
    </row>
    <row r="830" spans="1:5" x14ac:dyDescent="0.25">
      <c r="A830" s="5" t="s">
        <v>2486</v>
      </c>
      <c r="B830" s="9" t="str">
        <f>HYPERLINK("http://biobank.ctsu.ox.ac.uk/crystal/field.cgi?id=27161", "27161")</f>
        <v>27161</v>
      </c>
      <c r="C830" s="8" t="s">
        <v>2488</v>
      </c>
      <c r="D830" s="8" t="s">
        <v>10041</v>
      </c>
      <c r="E830" s="8" t="s">
        <v>10977</v>
      </c>
    </row>
    <row r="831" spans="1:5" x14ac:dyDescent="0.25">
      <c r="A831" s="5" t="s">
        <v>2489</v>
      </c>
      <c r="B831" s="9" t="str">
        <f>HYPERLINK("http://biobank.ctsu.ox.ac.uk/crystal/field.cgi?id=27162", "27162")</f>
        <v>27162</v>
      </c>
      <c r="C831" s="8" t="s">
        <v>2491</v>
      </c>
      <c r="D831" s="8" t="s">
        <v>10041</v>
      </c>
      <c r="E831" s="8" t="s">
        <v>10978</v>
      </c>
    </row>
    <row r="832" spans="1:5" x14ac:dyDescent="0.25">
      <c r="A832" s="5" t="s">
        <v>2492</v>
      </c>
      <c r="B832" s="9" t="str">
        <f>HYPERLINK("http://biobank.ctsu.ox.ac.uk/crystal/field.cgi?id=27163", "27163")</f>
        <v>27163</v>
      </c>
      <c r="C832" s="8" t="s">
        <v>2494</v>
      </c>
      <c r="D832" s="8" t="s">
        <v>10041</v>
      </c>
      <c r="E832" s="8" t="s">
        <v>10979</v>
      </c>
    </row>
    <row r="833" spans="1:5" x14ac:dyDescent="0.25">
      <c r="A833" s="5" t="s">
        <v>2495</v>
      </c>
      <c r="B833" s="9" t="str">
        <f>HYPERLINK("http://biobank.ctsu.ox.ac.uk/crystal/field.cgi?id=27164", "27164")</f>
        <v>27164</v>
      </c>
      <c r="C833" s="8" t="s">
        <v>2497</v>
      </c>
      <c r="D833" s="8" t="s">
        <v>10041</v>
      </c>
      <c r="E833" s="8" t="s">
        <v>10980</v>
      </c>
    </row>
    <row r="834" spans="1:5" x14ac:dyDescent="0.25">
      <c r="A834" s="5" t="s">
        <v>2498</v>
      </c>
      <c r="B834" s="9" t="str">
        <f>HYPERLINK("http://biobank.ctsu.ox.ac.uk/crystal/field.cgi?id=27165", "27165")</f>
        <v>27165</v>
      </c>
      <c r="C834" s="8" t="s">
        <v>2500</v>
      </c>
      <c r="D834" s="8" t="s">
        <v>10041</v>
      </c>
      <c r="E834" s="8" t="s">
        <v>10981</v>
      </c>
    </row>
    <row r="835" spans="1:5" x14ac:dyDescent="0.25">
      <c r="A835" s="5" t="s">
        <v>2501</v>
      </c>
      <c r="B835" s="9" t="str">
        <f>HYPERLINK("http://biobank.ctsu.ox.ac.uk/crystal/field.cgi?id=27166", "27166")</f>
        <v>27166</v>
      </c>
      <c r="C835" s="8" t="s">
        <v>2503</v>
      </c>
      <c r="D835" s="8" t="s">
        <v>10041</v>
      </c>
      <c r="E835" s="8" t="s">
        <v>10982</v>
      </c>
    </row>
    <row r="836" spans="1:5" x14ac:dyDescent="0.25">
      <c r="A836" s="5" t="s">
        <v>2504</v>
      </c>
      <c r="B836" s="9" t="str">
        <f>HYPERLINK("http://biobank.ctsu.ox.ac.uk/crystal/field.cgi?id=27167", "27167")</f>
        <v>27167</v>
      </c>
      <c r="C836" s="8" t="s">
        <v>2506</v>
      </c>
      <c r="D836" s="8" t="s">
        <v>10041</v>
      </c>
      <c r="E836" s="8" t="s">
        <v>10983</v>
      </c>
    </row>
    <row r="837" spans="1:5" x14ac:dyDescent="0.25">
      <c r="A837" s="5" t="s">
        <v>2507</v>
      </c>
      <c r="B837" s="9" t="str">
        <f>HYPERLINK("http://biobank.ctsu.ox.ac.uk/crystal/field.cgi?id=27168", "27168")</f>
        <v>27168</v>
      </c>
      <c r="C837" s="8" t="s">
        <v>2509</v>
      </c>
      <c r="D837" s="8" t="s">
        <v>10041</v>
      </c>
      <c r="E837" s="8" t="s">
        <v>10984</v>
      </c>
    </row>
    <row r="838" spans="1:5" x14ac:dyDescent="0.25">
      <c r="A838" s="5" t="s">
        <v>2510</v>
      </c>
      <c r="B838" s="9" t="str">
        <f>HYPERLINK("http://biobank.ctsu.ox.ac.uk/crystal/field.cgi?id=27169", "27169")</f>
        <v>27169</v>
      </c>
      <c r="C838" s="8" t="s">
        <v>2512</v>
      </c>
      <c r="D838" s="8" t="s">
        <v>10041</v>
      </c>
      <c r="E838" s="8" t="s">
        <v>10985</v>
      </c>
    </row>
    <row r="839" spans="1:5" x14ac:dyDescent="0.25">
      <c r="A839" s="5" t="s">
        <v>2513</v>
      </c>
      <c r="B839" s="9" t="str">
        <f>HYPERLINK("http://biobank.ctsu.ox.ac.uk/crystal/field.cgi?id=27170", "27170")</f>
        <v>27170</v>
      </c>
      <c r="C839" s="8" t="s">
        <v>2515</v>
      </c>
      <c r="D839" s="8" t="s">
        <v>10041</v>
      </c>
      <c r="E839" s="8" t="s">
        <v>10986</v>
      </c>
    </row>
    <row r="840" spans="1:5" x14ac:dyDescent="0.25">
      <c r="A840" s="5" t="s">
        <v>2516</v>
      </c>
      <c r="B840" s="9" t="str">
        <f>HYPERLINK("http://biobank.ctsu.ox.ac.uk/crystal/field.cgi?id=27171", "27171")</f>
        <v>27171</v>
      </c>
      <c r="C840" s="8" t="s">
        <v>2518</v>
      </c>
      <c r="D840" s="8" t="s">
        <v>10041</v>
      </c>
      <c r="E840" s="8" t="s">
        <v>10987</v>
      </c>
    </row>
    <row r="841" spans="1:5" x14ac:dyDescent="0.25">
      <c r="A841" s="5" t="s">
        <v>2519</v>
      </c>
      <c r="B841" s="9" t="str">
        <f>HYPERLINK("http://biobank.ctsu.ox.ac.uk/crystal/field.cgi?id=27172", "27172")</f>
        <v>27172</v>
      </c>
      <c r="C841" s="8" t="s">
        <v>2521</v>
      </c>
      <c r="D841" s="8" t="s">
        <v>10041</v>
      </c>
      <c r="E841" s="8" t="s">
        <v>10988</v>
      </c>
    </row>
    <row r="842" spans="1:5" x14ac:dyDescent="0.25">
      <c r="A842" s="5" t="s">
        <v>2522</v>
      </c>
      <c r="B842" s="9" t="str">
        <f>HYPERLINK("http://biobank.ctsu.ox.ac.uk/crystal/field.cgi?id=27173", "27173")</f>
        <v>27173</v>
      </c>
      <c r="C842" s="8" t="s">
        <v>2524</v>
      </c>
      <c r="D842" s="8" t="s">
        <v>10041</v>
      </c>
      <c r="E842" s="8" t="s">
        <v>10989</v>
      </c>
    </row>
    <row r="843" spans="1:5" x14ac:dyDescent="0.25">
      <c r="A843" s="5" t="s">
        <v>2525</v>
      </c>
      <c r="B843" s="9" t="str">
        <f>HYPERLINK("http://biobank.ctsu.ox.ac.uk/crystal/field.cgi?id=27236", "27236")</f>
        <v>27236</v>
      </c>
      <c r="C843" s="8" t="s">
        <v>2527</v>
      </c>
      <c r="D843" s="8" t="s">
        <v>10041</v>
      </c>
      <c r="E843" s="8" t="s">
        <v>10990</v>
      </c>
    </row>
    <row r="844" spans="1:5" x14ac:dyDescent="0.25">
      <c r="A844" s="5" t="s">
        <v>2528</v>
      </c>
      <c r="B844" s="9" t="str">
        <f>HYPERLINK("http://biobank.ctsu.ox.ac.uk/crystal/field.cgi?id=27237", "27237")</f>
        <v>27237</v>
      </c>
      <c r="C844" s="8" t="s">
        <v>2530</v>
      </c>
      <c r="D844" s="8" t="s">
        <v>10041</v>
      </c>
      <c r="E844" s="8" t="s">
        <v>10991</v>
      </c>
    </row>
    <row r="845" spans="1:5" x14ac:dyDescent="0.25">
      <c r="A845" s="5" t="s">
        <v>2531</v>
      </c>
      <c r="B845" s="9" t="str">
        <f>HYPERLINK("http://biobank.ctsu.ox.ac.uk/crystal/field.cgi?id=27238", "27238")</f>
        <v>27238</v>
      </c>
      <c r="C845" s="8" t="s">
        <v>2533</v>
      </c>
      <c r="D845" s="8" t="s">
        <v>10041</v>
      </c>
      <c r="E845" s="8" t="s">
        <v>10992</v>
      </c>
    </row>
    <row r="846" spans="1:5" x14ac:dyDescent="0.25">
      <c r="A846" s="5" t="s">
        <v>2534</v>
      </c>
      <c r="B846" s="9" t="str">
        <f>HYPERLINK("http://biobank.ctsu.ox.ac.uk/crystal/field.cgi?id=27239", "27239")</f>
        <v>27239</v>
      </c>
      <c r="C846" s="8" t="s">
        <v>2536</v>
      </c>
      <c r="D846" s="8" t="s">
        <v>10041</v>
      </c>
      <c r="E846" s="8" t="s">
        <v>10993</v>
      </c>
    </row>
    <row r="847" spans="1:5" x14ac:dyDescent="0.25">
      <c r="A847" s="5" t="s">
        <v>2537</v>
      </c>
      <c r="B847" s="9" t="str">
        <f>HYPERLINK("http://biobank.ctsu.ox.ac.uk/crystal/field.cgi?id=27240", "27240")</f>
        <v>27240</v>
      </c>
      <c r="C847" s="8" t="s">
        <v>2539</v>
      </c>
      <c r="D847" s="8" t="s">
        <v>10041</v>
      </c>
      <c r="E847" s="8" t="s">
        <v>10994</v>
      </c>
    </row>
    <row r="848" spans="1:5" x14ac:dyDescent="0.25">
      <c r="A848" s="5" t="s">
        <v>2540</v>
      </c>
      <c r="B848" s="9" t="str">
        <f>HYPERLINK("http://biobank.ctsu.ox.ac.uk/crystal/field.cgi?id=27241", "27241")</f>
        <v>27241</v>
      </c>
      <c r="C848" s="8" t="s">
        <v>2542</v>
      </c>
      <c r="D848" s="8" t="s">
        <v>10041</v>
      </c>
      <c r="E848" s="8" t="s">
        <v>10995</v>
      </c>
    </row>
    <row r="849" spans="1:5" x14ac:dyDescent="0.25">
      <c r="A849" s="5" t="s">
        <v>2543</v>
      </c>
      <c r="B849" s="9" t="str">
        <f>HYPERLINK("http://biobank.ctsu.ox.ac.uk/crystal/field.cgi?id=27242", "27242")</f>
        <v>27242</v>
      </c>
      <c r="C849" s="8" t="s">
        <v>2545</v>
      </c>
      <c r="D849" s="8" t="s">
        <v>10041</v>
      </c>
      <c r="E849" s="8" t="s">
        <v>10996</v>
      </c>
    </row>
    <row r="850" spans="1:5" x14ac:dyDescent="0.25">
      <c r="A850" s="5" t="s">
        <v>2546</v>
      </c>
      <c r="B850" s="9" t="str">
        <f>HYPERLINK("http://biobank.ctsu.ox.ac.uk/crystal/field.cgi?id=27243", "27243")</f>
        <v>27243</v>
      </c>
      <c r="C850" s="8" t="s">
        <v>2548</v>
      </c>
      <c r="D850" s="8" t="s">
        <v>10041</v>
      </c>
      <c r="E850" s="8" t="s">
        <v>10997</v>
      </c>
    </row>
    <row r="851" spans="1:5" x14ac:dyDescent="0.25">
      <c r="A851" s="5" t="s">
        <v>2549</v>
      </c>
      <c r="B851" s="9" t="str">
        <f>HYPERLINK("http://biobank.ctsu.ox.ac.uk/crystal/field.cgi?id=27244", "27244")</f>
        <v>27244</v>
      </c>
      <c r="C851" s="8" t="s">
        <v>2551</v>
      </c>
      <c r="D851" s="8" t="s">
        <v>10041</v>
      </c>
      <c r="E851" s="8" t="s">
        <v>10998</v>
      </c>
    </row>
    <row r="852" spans="1:5" x14ac:dyDescent="0.25">
      <c r="A852" s="5" t="s">
        <v>2552</v>
      </c>
      <c r="B852" s="9" t="str">
        <f>HYPERLINK("http://biobank.ctsu.ox.ac.uk/crystal/field.cgi?id=27245", "27245")</f>
        <v>27245</v>
      </c>
      <c r="C852" s="8" t="s">
        <v>2554</v>
      </c>
      <c r="D852" s="8" t="s">
        <v>10041</v>
      </c>
      <c r="E852" s="8" t="s">
        <v>10999</v>
      </c>
    </row>
    <row r="853" spans="1:5" x14ac:dyDescent="0.25">
      <c r="A853" s="5" t="s">
        <v>2555</v>
      </c>
      <c r="B853" s="9" t="str">
        <f>HYPERLINK("http://biobank.ctsu.ox.ac.uk/crystal/field.cgi?id=27246", "27246")</f>
        <v>27246</v>
      </c>
      <c r="C853" s="8" t="s">
        <v>2557</v>
      </c>
      <c r="D853" s="8" t="s">
        <v>10041</v>
      </c>
      <c r="E853" s="8" t="s">
        <v>11000</v>
      </c>
    </row>
    <row r="854" spans="1:5" x14ac:dyDescent="0.25">
      <c r="A854" s="5" t="s">
        <v>2558</v>
      </c>
      <c r="B854" s="9" t="str">
        <f>HYPERLINK("http://biobank.ctsu.ox.ac.uk/crystal/field.cgi?id=27247", "27247")</f>
        <v>27247</v>
      </c>
      <c r="C854" s="8" t="s">
        <v>2560</v>
      </c>
      <c r="D854" s="8" t="s">
        <v>10041</v>
      </c>
      <c r="E854" s="8" t="s">
        <v>11001</v>
      </c>
    </row>
    <row r="855" spans="1:5" x14ac:dyDescent="0.25">
      <c r="A855" s="5" t="s">
        <v>2561</v>
      </c>
      <c r="B855" s="9" t="str">
        <f>HYPERLINK("http://biobank.ctsu.ox.ac.uk/crystal/field.cgi?id=27248", "27248")</f>
        <v>27248</v>
      </c>
      <c r="C855" s="8" t="s">
        <v>2563</v>
      </c>
      <c r="D855" s="8" t="s">
        <v>10041</v>
      </c>
      <c r="E855" s="8" t="s">
        <v>11002</v>
      </c>
    </row>
    <row r="856" spans="1:5" x14ac:dyDescent="0.25">
      <c r="A856" s="5" t="s">
        <v>2564</v>
      </c>
      <c r="B856" s="9" t="str">
        <f>HYPERLINK("http://biobank.ctsu.ox.ac.uk/crystal/field.cgi?id=27249", "27249")</f>
        <v>27249</v>
      </c>
      <c r="C856" s="8" t="s">
        <v>2566</v>
      </c>
      <c r="D856" s="8" t="s">
        <v>10041</v>
      </c>
      <c r="E856" s="8" t="s">
        <v>11003</v>
      </c>
    </row>
    <row r="857" spans="1:5" x14ac:dyDescent="0.25">
      <c r="A857" s="5" t="s">
        <v>2567</v>
      </c>
      <c r="B857" s="9" t="str">
        <f>HYPERLINK("http://biobank.ctsu.ox.ac.uk/crystal/field.cgi?id=27250", "27250")</f>
        <v>27250</v>
      </c>
      <c r="C857" s="8" t="s">
        <v>2569</v>
      </c>
      <c r="D857" s="8" t="s">
        <v>10041</v>
      </c>
      <c r="E857" s="8" t="s">
        <v>11004</v>
      </c>
    </row>
    <row r="858" spans="1:5" x14ac:dyDescent="0.25">
      <c r="A858" s="5" t="s">
        <v>2570</v>
      </c>
      <c r="B858" s="9" t="str">
        <f>HYPERLINK("http://biobank.ctsu.ox.ac.uk/crystal/field.cgi?id=27251", "27251")</f>
        <v>27251</v>
      </c>
      <c r="C858" s="8" t="s">
        <v>2572</v>
      </c>
      <c r="D858" s="8" t="s">
        <v>10041</v>
      </c>
      <c r="E858" s="8" t="s">
        <v>11005</v>
      </c>
    </row>
    <row r="859" spans="1:5" x14ac:dyDescent="0.25">
      <c r="A859" s="5" t="s">
        <v>2573</v>
      </c>
      <c r="B859" s="9" t="str">
        <f>HYPERLINK("http://biobank.ctsu.ox.ac.uk/crystal/field.cgi?id=27252", "27252")</f>
        <v>27252</v>
      </c>
      <c r="C859" s="8" t="s">
        <v>2575</v>
      </c>
      <c r="D859" s="8" t="s">
        <v>10041</v>
      </c>
      <c r="E859" s="8" t="s">
        <v>11006</v>
      </c>
    </row>
    <row r="860" spans="1:5" x14ac:dyDescent="0.25">
      <c r="A860" s="5" t="s">
        <v>2576</v>
      </c>
      <c r="B860" s="9" t="str">
        <f>HYPERLINK("http://biobank.ctsu.ox.ac.uk/crystal/field.cgi?id=27253", "27253")</f>
        <v>27253</v>
      </c>
      <c r="C860" s="8" t="s">
        <v>2578</v>
      </c>
      <c r="D860" s="8" t="s">
        <v>10041</v>
      </c>
      <c r="E860" s="8" t="s">
        <v>11007</v>
      </c>
    </row>
    <row r="861" spans="1:5" x14ac:dyDescent="0.25">
      <c r="A861" s="5" t="s">
        <v>2579</v>
      </c>
      <c r="B861" s="9" t="str">
        <f>HYPERLINK("http://biobank.ctsu.ox.ac.uk/crystal/field.cgi?id=27254", "27254")</f>
        <v>27254</v>
      </c>
      <c r="C861" s="8" t="s">
        <v>2581</v>
      </c>
      <c r="D861" s="8" t="s">
        <v>10041</v>
      </c>
      <c r="E861" s="8" t="s">
        <v>11008</v>
      </c>
    </row>
    <row r="862" spans="1:5" x14ac:dyDescent="0.25">
      <c r="A862" s="5" t="s">
        <v>2582</v>
      </c>
      <c r="B862" s="9" t="str">
        <f>HYPERLINK("http://biobank.ctsu.ox.ac.uk/crystal/field.cgi?id=27255", "27255")</f>
        <v>27255</v>
      </c>
      <c r="C862" s="8" t="s">
        <v>2584</v>
      </c>
      <c r="D862" s="8" t="s">
        <v>10041</v>
      </c>
      <c r="E862" s="8" t="s">
        <v>11009</v>
      </c>
    </row>
    <row r="863" spans="1:5" x14ac:dyDescent="0.25">
      <c r="A863" s="5" t="s">
        <v>2585</v>
      </c>
      <c r="B863" s="9" t="str">
        <f>HYPERLINK("http://biobank.ctsu.ox.ac.uk/crystal/field.cgi?id=27256", "27256")</f>
        <v>27256</v>
      </c>
      <c r="C863" s="8" t="s">
        <v>2587</v>
      </c>
      <c r="D863" s="8" t="s">
        <v>10041</v>
      </c>
      <c r="E863" s="8" t="s">
        <v>11010</v>
      </c>
    </row>
    <row r="864" spans="1:5" x14ac:dyDescent="0.25">
      <c r="A864" s="5" t="s">
        <v>2588</v>
      </c>
      <c r="B864" s="9" t="str">
        <f>HYPERLINK("http://biobank.ctsu.ox.ac.uk/crystal/field.cgi?id=27257", "27257")</f>
        <v>27257</v>
      </c>
      <c r="C864" s="8" t="s">
        <v>2590</v>
      </c>
      <c r="D864" s="8" t="s">
        <v>10041</v>
      </c>
      <c r="E864" s="8" t="s">
        <v>11011</v>
      </c>
    </row>
    <row r="865" spans="1:5" x14ac:dyDescent="0.25">
      <c r="A865" s="5" t="s">
        <v>2591</v>
      </c>
      <c r="B865" s="9" t="str">
        <f>HYPERLINK("http://biobank.ctsu.ox.ac.uk/crystal/field.cgi?id=27258", "27258")</f>
        <v>27258</v>
      </c>
      <c r="C865" s="8" t="s">
        <v>2593</v>
      </c>
      <c r="D865" s="8" t="s">
        <v>10041</v>
      </c>
      <c r="E865" s="8" t="s">
        <v>11012</v>
      </c>
    </row>
    <row r="866" spans="1:5" x14ac:dyDescent="0.25">
      <c r="A866" s="5" t="s">
        <v>2594</v>
      </c>
      <c r="B866" s="9" t="str">
        <f>HYPERLINK("http://biobank.ctsu.ox.ac.uk/crystal/field.cgi?id=27259", "27259")</f>
        <v>27259</v>
      </c>
      <c r="C866" s="8" t="s">
        <v>2596</v>
      </c>
      <c r="D866" s="8" t="s">
        <v>10041</v>
      </c>
      <c r="E866" s="8" t="s">
        <v>11013</v>
      </c>
    </row>
    <row r="867" spans="1:5" x14ac:dyDescent="0.25">
      <c r="A867" s="5" t="s">
        <v>2597</v>
      </c>
      <c r="B867" s="9" t="str">
        <f>HYPERLINK("http://biobank.ctsu.ox.ac.uk/crystal/field.cgi?id=27260", "27260")</f>
        <v>27260</v>
      </c>
      <c r="C867" s="8" t="s">
        <v>2599</v>
      </c>
      <c r="D867" s="8" t="s">
        <v>10041</v>
      </c>
      <c r="E867" s="8" t="s">
        <v>11014</v>
      </c>
    </row>
    <row r="868" spans="1:5" x14ac:dyDescent="0.25">
      <c r="A868" s="5" t="s">
        <v>2600</v>
      </c>
      <c r="B868" s="9" t="str">
        <f>HYPERLINK("http://biobank.ctsu.ox.ac.uk/crystal/field.cgi?id=27261", "27261")</f>
        <v>27261</v>
      </c>
      <c r="C868" s="8" t="s">
        <v>2602</v>
      </c>
      <c r="D868" s="8" t="s">
        <v>10041</v>
      </c>
      <c r="E868" s="8" t="s">
        <v>11015</v>
      </c>
    </row>
    <row r="869" spans="1:5" x14ac:dyDescent="0.25">
      <c r="A869" s="5" t="s">
        <v>2603</v>
      </c>
      <c r="B869" s="9" t="str">
        <f>HYPERLINK("http://biobank.ctsu.ox.ac.uk/crystal/field.cgi?id=27262", "27262")</f>
        <v>27262</v>
      </c>
      <c r="C869" s="8" t="s">
        <v>2605</v>
      </c>
      <c r="D869" s="8" t="s">
        <v>10041</v>
      </c>
      <c r="E869" s="8" t="s">
        <v>11016</v>
      </c>
    </row>
    <row r="870" spans="1:5" x14ac:dyDescent="0.25">
      <c r="A870" s="5" t="s">
        <v>2606</v>
      </c>
      <c r="B870" s="9" t="str">
        <f>HYPERLINK("http://biobank.ctsu.ox.ac.uk/crystal/field.cgi?id=27263", "27263")</f>
        <v>27263</v>
      </c>
      <c r="C870" s="8" t="s">
        <v>2608</v>
      </c>
      <c r="D870" s="8" t="s">
        <v>10041</v>
      </c>
      <c r="E870" s="8" t="s">
        <v>11017</v>
      </c>
    </row>
    <row r="871" spans="1:5" x14ac:dyDescent="0.25">
      <c r="A871" s="5" t="s">
        <v>2609</v>
      </c>
      <c r="B871" s="9" t="str">
        <f>HYPERLINK("http://biobank.ctsu.ox.ac.uk/crystal/field.cgi?id=27264", "27264")</f>
        <v>27264</v>
      </c>
      <c r="C871" s="8" t="s">
        <v>2611</v>
      </c>
      <c r="D871" s="8" t="s">
        <v>10041</v>
      </c>
      <c r="E871" s="8" t="s">
        <v>11018</v>
      </c>
    </row>
    <row r="872" spans="1:5" x14ac:dyDescent="0.25">
      <c r="A872" s="5" t="s">
        <v>2612</v>
      </c>
      <c r="B872" s="9" t="str">
        <f>HYPERLINK("http://biobank.ctsu.ox.ac.uk/crystal/field.cgi?id=27265", "27265")</f>
        <v>27265</v>
      </c>
      <c r="C872" s="8" t="s">
        <v>2614</v>
      </c>
      <c r="D872" s="8" t="s">
        <v>10041</v>
      </c>
      <c r="E872" s="8" t="s">
        <v>11019</v>
      </c>
    </row>
    <row r="873" spans="1:5" x14ac:dyDescent="0.25">
      <c r="A873" s="5" t="s">
        <v>2615</v>
      </c>
      <c r="B873" s="9" t="str">
        <f>HYPERLINK("http://biobank.ctsu.ox.ac.uk/crystal/field.cgi?id=27266", "27266")</f>
        <v>27266</v>
      </c>
      <c r="C873" s="8" t="s">
        <v>2617</v>
      </c>
      <c r="D873" s="8" t="s">
        <v>10041</v>
      </c>
      <c r="E873" s="8" t="s">
        <v>11020</v>
      </c>
    </row>
    <row r="874" spans="1:5" x14ac:dyDescent="0.25">
      <c r="A874" s="5" t="s">
        <v>2618</v>
      </c>
      <c r="B874" s="9" t="str">
        <f>HYPERLINK("http://biobank.ctsu.ox.ac.uk/crystal/field.cgi?id=27329", "27329")</f>
        <v>27329</v>
      </c>
      <c r="C874" s="8" t="s">
        <v>2620</v>
      </c>
      <c r="D874" s="8" t="s">
        <v>10041</v>
      </c>
      <c r="E874" s="8" t="s">
        <v>11021</v>
      </c>
    </row>
    <row r="875" spans="1:5" x14ac:dyDescent="0.25">
      <c r="A875" s="5" t="s">
        <v>2621</v>
      </c>
      <c r="B875" s="9" t="str">
        <f>HYPERLINK("http://biobank.ctsu.ox.ac.uk/crystal/field.cgi?id=27330", "27330")</f>
        <v>27330</v>
      </c>
      <c r="C875" s="8" t="s">
        <v>2623</v>
      </c>
      <c r="D875" s="8" t="s">
        <v>10041</v>
      </c>
      <c r="E875" s="8" t="s">
        <v>11022</v>
      </c>
    </row>
    <row r="876" spans="1:5" x14ac:dyDescent="0.25">
      <c r="A876" s="5" t="s">
        <v>2624</v>
      </c>
      <c r="B876" s="9" t="str">
        <f>HYPERLINK("http://biobank.ctsu.ox.ac.uk/crystal/field.cgi?id=27331", "27331")</f>
        <v>27331</v>
      </c>
      <c r="C876" s="8" t="s">
        <v>2626</v>
      </c>
      <c r="D876" s="8" t="s">
        <v>10041</v>
      </c>
      <c r="E876" s="8" t="s">
        <v>11023</v>
      </c>
    </row>
    <row r="877" spans="1:5" x14ac:dyDescent="0.25">
      <c r="A877" s="5" t="s">
        <v>2627</v>
      </c>
      <c r="B877" s="9" t="str">
        <f>HYPERLINK("http://biobank.ctsu.ox.ac.uk/crystal/field.cgi?id=27332", "27332")</f>
        <v>27332</v>
      </c>
      <c r="C877" s="8" t="s">
        <v>2629</v>
      </c>
      <c r="D877" s="8" t="s">
        <v>10041</v>
      </c>
      <c r="E877" s="8" t="s">
        <v>11024</v>
      </c>
    </row>
    <row r="878" spans="1:5" x14ac:dyDescent="0.25">
      <c r="A878" s="5" t="s">
        <v>2630</v>
      </c>
      <c r="B878" s="9" t="str">
        <f>HYPERLINK("http://biobank.ctsu.ox.ac.uk/crystal/field.cgi?id=27333", "27333")</f>
        <v>27333</v>
      </c>
      <c r="C878" s="8" t="s">
        <v>2632</v>
      </c>
      <c r="D878" s="8" t="s">
        <v>10041</v>
      </c>
      <c r="E878" s="8" t="s">
        <v>11025</v>
      </c>
    </row>
    <row r="879" spans="1:5" x14ac:dyDescent="0.25">
      <c r="A879" s="5" t="s">
        <v>2633</v>
      </c>
      <c r="B879" s="9" t="str">
        <f>HYPERLINK("http://biobank.ctsu.ox.ac.uk/crystal/field.cgi?id=27334", "27334")</f>
        <v>27334</v>
      </c>
      <c r="C879" s="8" t="s">
        <v>2635</v>
      </c>
      <c r="D879" s="8" t="s">
        <v>10041</v>
      </c>
      <c r="E879" s="8" t="s">
        <v>11026</v>
      </c>
    </row>
    <row r="880" spans="1:5" x14ac:dyDescent="0.25">
      <c r="A880" s="5" t="s">
        <v>2636</v>
      </c>
      <c r="B880" s="9" t="str">
        <f>HYPERLINK("http://biobank.ctsu.ox.ac.uk/crystal/field.cgi?id=27335", "27335")</f>
        <v>27335</v>
      </c>
      <c r="C880" s="8" t="s">
        <v>2638</v>
      </c>
      <c r="D880" s="8" t="s">
        <v>10041</v>
      </c>
      <c r="E880" s="8" t="s">
        <v>11027</v>
      </c>
    </row>
    <row r="881" spans="1:5" x14ac:dyDescent="0.25">
      <c r="A881" s="5" t="s">
        <v>2639</v>
      </c>
      <c r="B881" s="9" t="str">
        <f>HYPERLINK("http://biobank.ctsu.ox.ac.uk/crystal/field.cgi?id=27336", "27336")</f>
        <v>27336</v>
      </c>
      <c r="C881" s="8" t="s">
        <v>2641</v>
      </c>
      <c r="D881" s="8" t="s">
        <v>10041</v>
      </c>
      <c r="E881" s="8" t="s">
        <v>11028</v>
      </c>
    </row>
    <row r="882" spans="1:5" x14ac:dyDescent="0.25">
      <c r="A882" s="5" t="s">
        <v>2642</v>
      </c>
      <c r="B882" s="9" t="str">
        <f>HYPERLINK("http://biobank.ctsu.ox.ac.uk/crystal/field.cgi?id=27337", "27337")</f>
        <v>27337</v>
      </c>
      <c r="C882" s="8" t="s">
        <v>2644</v>
      </c>
      <c r="D882" s="8" t="s">
        <v>10041</v>
      </c>
      <c r="E882" s="8" t="s">
        <v>11029</v>
      </c>
    </row>
    <row r="883" spans="1:5" x14ac:dyDescent="0.25">
      <c r="A883" s="5" t="s">
        <v>2645</v>
      </c>
      <c r="B883" s="9" t="str">
        <f>HYPERLINK("http://biobank.ctsu.ox.ac.uk/crystal/field.cgi?id=27338", "27338")</f>
        <v>27338</v>
      </c>
      <c r="C883" s="8" t="s">
        <v>2647</v>
      </c>
      <c r="D883" s="8" t="s">
        <v>10041</v>
      </c>
      <c r="E883" s="8" t="s">
        <v>11030</v>
      </c>
    </row>
    <row r="884" spans="1:5" x14ac:dyDescent="0.25">
      <c r="A884" s="5" t="s">
        <v>2648</v>
      </c>
      <c r="B884" s="9" t="str">
        <f>HYPERLINK("http://biobank.ctsu.ox.ac.uk/crystal/field.cgi?id=27339", "27339")</f>
        <v>27339</v>
      </c>
      <c r="C884" s="8" t="s">
        <v>2650</v>
      </c>
      <c r="D884" s="8" t="s">
        <v>10041</v>
      </c>
      <c r="E884" s="8" t="s">
        <v>11031</v>
      </c>
    </row>
    <row r="885" spans="1:5" x14ac:dyDescent="0.25">
      <c r="A885" s="5" t="s">
        <v>2651</v>
      </c>
      <c r="B885" s="9" t="str">
        <f>HYPERLINK("http://biobank.ctsu.ox.ac.uk/crystal/field.cgi?id=27340", "27340")</f>
        <v>27340</v>
      </c>
      <c r="C885" s="8" t="s">
        <v>2653</v>
      </c>
      <c r="D885" s="8" t="s">
        <v>10041</v>
      </c>
      <c r="E885" s="8" t="s">
        <v>11032</v>
      </c>
    </row>
    <row r="886" spans="1:5" x14ac:dyDescent="0.25">
      <c r="A886" s="5" t="s">
        <v>2654</v>
      </c>
      <c r="B886" s="9" t="str">
        <f>HYPERLINK("http://biobank.ctsu.ox.ac.uk/crystal/field.cgi?id=27341", "27341")</f>
        <v>27341</v>
      </c>
      <c r="C886" s="8" t="s">
        <v>2656</v>
      </c>
      <c r="D886" s="8" t="s">
        <v>10041</v>
      </c>
      <c r="E886" s="8" t="s">
        <v>11033</v>
      </c>
    </row>
    <row r="887" spans="1:5" x14ac:dyDescent="0.25">
      <c r="A887" s="5" t="s">
        <v>2657</v>
      </c>
      <c r="B887" s="9" t="str">
        <f>HYPERLINK("http://biobank.ctsu.ox.ac.uk/crystal/field.cgi?id=27342", "27342")</f>
        <v>27342</v>
      </c>
      <c r="C887" s="8" t="s">
        <v>2659</v>
      </c>
      <c r="D887" s="8" t="s">
        <v>10041</v>
      </c>
      <c r="E887" s="8" t="s">
        <v>11034</v>
      </c>
    </row>
    <row r="888" spans="1:5" x14ac:dyDescent="0.25">
      <c r="A888" s="5" t="s">
        <v>2660</v>
      </c>
      <c r="B888" s="9" t="str">
        <f>HYPERLINK("http://biobank.ctsu.ox.ac.uk/crystal/field.cgi?id=27343", "27343")</f>
        <v>27343</v>
      </c>
      <c r="C888" s="8" t="s">
        <v>2662</v>
      </c>
      <c r="D888" s="8" t="s">
        <v>10041</v>
      </c>
      <c r="E888" s="8" t="s">
        <v>11035</v>
      </c>
    </row>
    <row r="889" spans="1:5" x14ac:dyDescent="0.25">
      <c r="A889" s="5" t="s">
        <v>2663</v>
      </c>
      <c r="B889" s="9" t="str">
        <f>HYPERLINK("http://biobank.ctsu.ox.ac.uk/crystal/field.cgi?id=27344", "27344")</f>
        <v>27344</v>
      </c>
      <c r="C889" s="8" t="s">
        <v>2665</v>
      </c>
      <c r="D889" s="8" t="s">
        <v>10041</v>
      </c>
      <c r="E889" s="8" t="s">
        <v>11036</v>
      </c>
    </row>
    <row r="890" spans="1:5" x14ac:dyDescent="0.25">
      <c r="A890" s="5" t="s">
        <v>2666</v>
      </c>
      <c r="B890" s="9" t="str">
        <f>HYPERLINK("http://biobank.ctsu.ox.ac.uk/crystal/field.cgi?id=27345", "27345")</f>
        <v>27345</v>
      </c>
      <c r="C890" s="8" t="s">
        <v>2668</v>
      </c>
      <c r="D890" s="8" t="s">
        <v>10041</v>
      </c>
      <c r="E890" s="8" t="s">
        <v>11037</v>
      </c>
    </row>
    <row r="891" spans="1:5" x14ac:dyDescent="0.25">
      <c r="A891" s="5" t="s">
        <v>2669</v>
      </c>
      <c r="B891" s="9" t="str">
        <f>HYPERLINK("http://biobank.ctsu.ox.ac.uk/crystal/field.cgi?id=27346", "27346")</f>
        <v>27346</v>
      </c>
      <c r="C891" s="8" t="s">
        <v>2671</v>
      </c>
      <c r="D891" s="8" t="s">
        <v>10041</v>
      </c>
      <c r="E891" s="8" t="s">
        <v>11038</v>
      </c>
    </row>
    <row r="892" spans="1:5" x14ac:dyDescent="0.25">
      <c r="A892" s="5" t="s">
        <v>2672</v>
      </c>
      <c r="B892" s="9" t="str">
        <f>HYPERLINK("http://biobank.ctsu.ox.ac.uk/crystal/field.cgi?id=27347", "27347")</f>
        <v>27347</v>
      </c>
      <c r="C892" s="8" t="s">
        <v>2674</v>
      </c>
      <c r="D892" s="8" t="s">
        <v>10041</v>
      </c>
      <c r="E892" s="8" t="s">
        <v>11039</v>
      </c>
    </row>
    <row r="893" spans="1:5" x14ac:dyDescent="0.25">
      <c r="A893" s="5" t="s">
        <v>2675</v>
      </c>
      <c r="B893" s="9" t="str">
        <f>HYPERLINK("http://biobank.ctsu.ox.ac.uk/crystal/field.cgi?id=27348", "27348")</f>
        <v>27348</v>
      </c>
      <c r="C893" s="8" t="s">
        <v>2677</v>
      </c>
      <c r="D893" s="8" t="s">
        <v>10041</v>
      </c>
      <c r="E893" s="8" t="s">
        <v>11040</v>
      </c>
    </row>
    <row r="894" spans="1:5" x14ac:dyDescent="0.25">
      <c r="A894" s="5" t="s">
        <v>2678</v>
      </c>
      <c r="B894" s="9" t="str">
        <f>HYPERLINK("http://biobank.ctsu.ox.ac.uk/crystal/field.cgi?id=27349", "27349")</f>
        <v>27349</v>
      </c>
      <c r="C894" s="8" t="s">
        <v>2680</v>
      </c>
      <c r="D894" s="8" t="s">
        <v>10041</v>
      </c>
      <c r="E894" s="8" t="s">
        <v>11041</v>
      </c>
    </row>
    <row r="895" spans="1:5" x14ac:dyDescent="0.25">
      <c r="A895" s="5" t="s">
        <v>2681</v>
      </c>
      <c r="B895" s="9" t="str">
        <f>HYPERLINK("http://biobank.ctsu.ox.ac.uk/crystal/field.cgi?id=27350", "27350")</f>
        <v>27350</v>
      </c>
      <c r="C895" s="8" t="s">
        <v>2683</v>
      </c>
      <c r="D895" s="8" t="s">
        <v>10041</v>
      </c>
      <c r="E895" s="8" t="s">
        <v>11042</v>
      </c>
    </row>
    <row r="896" spans="1:5" x14ac:dyDescent="0.25">
      <c r="A896" s="5" t="s">
        <v>2684</v>
      </c>
      <c r="B896" s="9" t="str">
        <f>HYPERLINK("http://biobank.ctsu.ox.ac.uk/crystal/field.cgi?id=27351", "27351")</f>
        <v>27351</v>
      </c>
      <c r="C896" s="8" t="s">
        <v>2686</v>
      </c>
      <c r="D896" s="8" t="s">
        <v>10041</v>
      </c>
      <c r="E896" s="8" t="s">
        <v>11043</v>
      </c>
    </row>
    <row r="897" spans="1:5" x14ac:dyDescent="0.25">
      <c r="A897" s="5" t="s">
        <v>2687</v>
      </c>
      <c r="B897" s="9" t="str">
        <f>HYPERLINK("http://biobank.ctsu.ox.ac.uk/crystal/field.cgi?id=27352", "27352")</f>
        <v>27352</v>
      </c>
      <c r="C897" s="8" t="s">
        <v>2689</v>
      </c>
      <c r="D897" s="8" t="s">
        <v>10041</v>
      </c>
      <c r="E897" s="8" t="s">
        <v>11044</v>
      </c>
    </row>
    <row r="898" spans="1:5" x14ac:dyDescent="0.25">
      <c r="A898" s="5" t="s">
        <v>2690</v>
      </c>
      <c r="B898" s="9" t="str">
        <f>HYPERLINK("http://biobank.ctsu.ox.ac.uk/crystal/field.cgi?id=27353", "27353")</f>
        <v>27353</v>
      </c>
      <c r="C898" s="8" t="s">
        <v>2692</v>
      </c>
      <c r="D898" s="8" t="s">
        <v>10041</v>
      </c>
      <c r="E898" s="8" t="s">
        <v>11045</v>
      </c>
    </row>
    <row r="899" spans="1:5" x14ac:dyDescent="0.25">
      <c r="A899" s="5" t="s">
        <v>2693</v>
      </c>
      <c r="B899" s="9" t="str">
        <f>HYPERLINK("http://biobank.ctsu.ox.ac.uk/crystal/field.cgi?id=27354", "27354")</f>
        <v>27354</v>
      </c>
      <c r="C899" s="8" t="s">
        <v>2695</v>
      </c>
      <c r="D899" s="8" t="s">
        <v>10041</v>
      </c>
      <c r="E899" s="8" t="s">
        <v>11046</v>
      </c>
    </row>
    <row r="900" spans="1:5" x14ac:dyDescent="0.25">
      <c r="A900" s="5" t="s">
        <v>2696</v>
      </c>
      <c r="B900" s="9" t="str">
        <f>HYPERLINK("http://biobank.ctsu.ox.ac.uk/crystal/field.cgi?id=27355", "27355")</f>
        <v>27355</v>
      </c>
      <c r="C900" s="8" t="s">
        <v>2698</v>
      </c>
      <c r="D900" s="8" t="s">
        <v>10041</v>
      </c>
      <c r="E900" s="8" t="s">
        <v>11047</v>
      </c>
    </row>
    <row r="901" spans="1:5" x14ac:dyDescent="0.25">
      <c r="A901" s="5" t="s">
        <v>2699</v>
      </c>
      <c r="B901" s="9" t="str">
        <f>HYPERLINK("http://biobank.ctsu.ox.ac.uk/crystal/field.cgi?id=27356", "27356")</f>
        <v>27356</v>
      </c>
      <c r="C901" s="8" t="s">
        <v>2701</v>
      </c>
      <c r="D901" s="8" t="s">
        <v>10041</v>
      </c>
      <c r="E901" s="8" t="s">
        <v>11048</v>
      </c>
    </row>
    <row r="902" spans="1:5" x14ac:dyDescent="0.25">
      <c r="A902" s="5" t="s">
        <v>2702</v>
      </c>
      <c r="B902" s="9" t="str">
        <f>HYPERLINK("http://biobank.ctsu.ox.ac.uk/crystal/field.cgi?id=27357", "27357")</f>
        <v>27357</v>
      </c>
      <c r="C902" s="8" t="s">
        <v>2704</v>
      </c>
      <c r="D902" s="8" t="s">
        <v>10041</v>
      </c>
      <c r="E902" s="8" t="s">
        <v>11049</v>
      </c>
    </row>
    <row r="903" spans="1:5" x14ac:dyDescent="0.25">
      <c r="A903" s="5" t="s">
        <v>2705</v>
      </c>
      <c r="B903" s="9" t="str">
        <f>HYPERLINK("http://biobank.ctsu.ox.ac.uk/crystal/field.cgi?id=27358", "27358")</f>
        <v>27358</v>
      </c>
      <c r="C903" s="8" t="s">
        <v>2707</v>
      </c>
      <c r="D903" s="8" t="s">
        <v>10041</v>
      </c>
      <c r="E903" s="8" t="s">
        <v>11050</v>
      </c>
    </row>
    <row r="904" spans="1:5" x14ac:dyDescent="0.25">
      <c r="A904" s="5" t="s">
        <v>2708</v>
      </c>
      <c r="B904" s="9" t="str">
        <f>HYPERLINK("http://biobank.ctsu.ox.ac.uk/crystal/field.cgi?id=27359", "27359")</f>
        <v>27359</v>
      </c>
      <c r="C904" s="8" t="s">
        <v>2710</v>
      </c>
      <c r="D904" s="8" t="s">
        <v>10041</v>
      </c>
      <c r="E904" s="8" t="s">
        <v>11051</v>
      </c>
    </row>
    <row r="905" spans="1:5" x14ac:dyDescent="0.25">
      <c r="A905" s="5" t="s">
        <v>2711</v>
      </c>
      <c r="B905" s="9" t="str">
        <f>HYPERLINK("http://biobank.ctsu.ox.ac.uk/crystal/field.cgi?id=27360", "27360")</f>
        <v>27360</v>
      </c>
      <c r="C905" s="8" t="s">
        <v>2713</v>
      </c>
      <c r="D905" s="8" t="s">
        <v>10041</v>
      </c>
      <c r="E905" s="8" t="s">
        <v>11052</v>
      </c>
    </row>
    <row r="906" spans="1:5" x14ac:dyDescent="0.25">
      <c r="A906" s="5" t="s">
        <v>2714</v>
      </c>
      <c r="B906" s="9" t="str">
        <f>HYPERLINK("http://biobank.ctsu.ox.ac.uk/crystal/field.cgi?id=27361", "27361")</f>
        <v>27361</v>
      </c>
      <c r="C906" s="8" t="s">
        <v>2716</v>
      </c>
      <c r="D906" s="8" t="s">
        <v>10041</v>
      </c>
      <c r="E906" s="8" t="s">
        <v>11053</v>
      </c>
    </row>
    <row r="907" spans="1:5" x14ac:dyDescent="0.25">
      <c r="A907" s="5" t="s">
        <v>2717</v>
      </c>
      <c r="B907" s="9" t="str">
        <f>HYPERLINK("http://biobank.ctsu.ox.ac.uk/crystal/field.cgi?id=27362", "27362")</f>
        <v>27362</v>
      </c>
      <c r="C907" s="8" t="s">
        <v>2719</v>
      </c>
      <c r="D907" s="8" t="s">
        <v>10041</v>
      </c>
      <c r="E907" s="8" t="s">
        <v>11054</v>
      </c>
    </row>
    <row r="908" spans="1:5" x14ac:dyDescent="0.25">
      <c r="A908" s="5" t="s">
        <v>2720</v>
      </c>
      <c r="B908" s="9" t="str">
        <f>HYPERLINK("http://biobank.ctsu.ox.ac.uk/crystal/field.cgi?id=27363", "27363")</f>
        <v>27363</v>
      </c>
      <c r="C908" s="8" t="s">
        <v>2722</v>
      </c>
      <c r="D908" s="8" t="s">
        <v>10041</v>
      </c>
      <c r="E908" s="8" t="s">
        <v>11055</v>
      </c>
    </row>
    <row r="909" spans="1:5" x14ac:dyDescent="0.25">
      <c r="A909" s="5" t="s">
        <v>2723</v>
      </c>
      <c r="B909" s="9" t="str">
        <f>HYPERLINK("http://biobank.ctsu.ox.ac.uk/crystal/field.cgi?id=27364", "27364")</f>
        <v>27364</v>
      </c>
      <c r="C909" s="8" t="s">
        <v>2725</v>
      </c>
      <c r="D909" s="8" t="s">
        <v>10041</v>
      </c>
      <c r="E909" s="8" t="s">
        <v>11056</v>
      </c>
    </row>
    <row r="910" spans="1:5" x14ac:dyDescent="0.25">
      <c r="A910" s="5" t="s">
        <v>2726</v>
      </c>
      <c r="B910" s="9" t="str">
        <f>HYPERLINK("http://biobank.ctsu.ox.ac.uk/crystal/field.cgi?id=27365", "27365")</f>
        <v>27365</v>
      </c>
      <c r="C910" s="8" t="s">
        <v>2728</v>
      </c>
      <c r="D910" s="8" t="s">
        <v>10041</v>
      </c>
      <c r="E910" s="8" t="s">
        <v>11057</v>
      </c>
    </row>
    <row r="911" spans="1:5" x14ac:dyDescent="0.25">
      <c r="A911" s="5" t="s">
        <v>2729</v>
      </c>
      <c r="B911" s="9" t="str">
        <f>HYPERLINK("http://biobank.ctsu.ox.ac.uk/crystal/field.cgi?id=27366", "27366")</f>
        <v>27366</v>
      </c>
      <c r="C911" s="8" t="s">
        <v>2731</v>
      </c>
      <c r="D911" s="8" t="s">
        <v>10041</v>
      </c>
      <c r="E911" s="8" t="s">
        <v>11058</v>
      </c>
    </row>
    <row r="912" spans="1:5" x14ac:dyDescent="0.25">
      <c r="A912" s="5" t="s">
        <v>2732</v>
      </c>
      <c r="B912" s="9" t="str">
        <f>HYPERLINK("http://biobank.ctsu.ox.ac.uk/crystal/field.cgi?id=27367", "27367")</f>
        <v>27367</v>
      </c>
      <c r="C912" s="8" t="s">
        <v>2734</v>
      </c>
      <c r="D912" s="8" t="s">
        <v>10041</v>
      </c>
      <c r="E912" s="8" t="s">
        <v>11059</v>
      </c>
    </row>
    <row r="913" spans="1:5" x14ac:dyDescent="0.25">
      <c r="A913" s="5" t="s">
        <v>2735</v>
      </c>
      <c r="B913" s="9" t="str">
        <f>HYPERLINK("http://biobank.ctsu.ox.ac.uk/crystal/field.cgi?id=27368", "27368")</f>
        <v>27368</v>
      </c>
      <c r="C913" s="8" t="s">
        <v>2737</v>
      </c>
      <c r="D913" s="8" t="s">
        <v>10041</v>
      </c>
      <c r="E913" s="8" t="s">
        <v>11060</v>
      </c>
    </row>
    <row r="914" spans="1:5" x14ac:dyDescent="0.25">
      <c r="A914" s="5" t="s">
        <v>2738</v>
      </c>
      <c r="B914" s="9" t="str">
        <f>HYPERLINK("http://biobank.ctsu.ox.ac.uk/crystal/field.cgi?id=27369", "27369")</f>
        <v>27369</v>
      </c>
      <c r="C914" s="8" t="s">
        <v>2740</v>
      </c>
      <c r="D914" s="8" t="s">
        <v>10041</v>
      </c>
      <c r="E914" s="8" t="s">
        <v>11061</v>
      </c>
    </row>
    <row r="915" spans="1:5" x14ac:dyDescent="0.25">
      <c r="A915" s="5" t="s">
        <v>2741</v>
      </c>
      <c r="B915" s="9" t="str">
        <f>HYPERLINK("http://biobank.ctsu.ox.ac.uk/crystal/field.cgi?id=27370", "27370")</f>
        <v>27370</v>
      </c>
      <c r="C915" s="8" t="s">
        <v>2743</v>
      </c>
      <c r="D915" s="8" t="s">
        <v>10041</v>
      </c>
      <c r="E915" s="8" t="s">
        <v>11062</v>
      </c>
    </row>
    <row r="916" spans="1:5" x14ac:dyDescent="0.25">
      <c r="A916" s="5" t="s">
        <v>2744</v>
      </c>
      <c r="B916" s="9" t="str">
        <f>HYPERLINK("http://biobank.ctsu.ox.ac.uk/crystal/field.cgi?id=27371", "27371")</f>
        <v>27371</v>
      </c>
      <c r="C916" s="8" t="s">
        <v>2746</v>
      </c>
      <c r="D916" s="8" t="s">
        <v>10041</v>
      </c>
      <c r="E916" s="8" t="s">
        <v>11063</v>
      </c>
    </row>
    <row r="917" spans="1:5" x14ac:dyDescent="0.25">
      <c r="A917" s="5" t="s">
        <v>2747</v>
      </c>
      <c r="B917" s="9" t="str">
        <f>HYPERLINK("http://biobank.ctsu.ox.ac.uk/crystal/field.cgi?id=27372", "27372")</f>
        <v>27372</v>
      </c>
      <c r="C917" s="8" t="s">
        <v>2749</v>
      </c>
      <c r="D917" s="8" t="s">
        <v>10041</v>
      </c>
      <c r="E917" s="8" t="s">
        <v>11064</v>
      </c>
    </row>
    <row r="918" spans="1:5" x14ac:dyDescent="0.25">
      <c r="A918" s="5" t="s">
        <v>2750</v>
      </c>
      <c r="B918" s="9" t="str">
        <f>HYPERLINK("http://biobank.ctsu.ox.ac.uk/crystal/field.cgi?id=27373", "27373")</f>
        <v>27373</v>
      </c>
      <c r="C918" s="8" t="s">
        <v>2752</v>
      </c>
      <c r="D918" s="8" t="s">
        <v>10041</v>
      </c>
      <c r="E918" s="8" t="s">
        <v>11065</v>
      </c>
    </row>
    <row r="919" spans="1:5" x14ac:dyDescent="0.25">
      <c r="A919" s="5" t="s">
        <v>2753</v>
      </c>
      <c r="B919" s="9" t="str">
        <f>HYPERLINK("http://biobank.ctsu.ox.ac.uk/crystal/field.cgi?id=27374", "27374")</f>
        <v>27374</v>
      </c>
      <c r="C919" s="8" t="s">
        <v>2755</v>
      </c>
      <c r="D919" s="8" t="s">
        <v>10041</v>
      </c>
      <c r="E919" s="8" t="s">
        <v>11066</v>
      </c>
    </row>
    <row r="920" spans="1:5" x14ac:dyDescent="0.25">
      <c r="A920" s="5" t="s">
        <v>2756</v>
      </c>
      <c r="B920" s="9" t="str">
        <f>HYPERLINK("http://biobank.ctsu.ox.ac.uk/crystal/field.cgi?id=27375", "27375")</f>
        <v>27375</v>
      </c>
      <c r="C920" s="8" t="s">
        <v>2758</v>
      </c>
      <c r="D920" s="8" t="s">
        <v>10041</v>
      </c>
      <c r="E920" s="8" t="s">
        <v>11067</v>
      </c>
    </row>
    <row r="921" spans="1:5" x14ac:dyDescent="0.25">
      <c r="A921" s="5" t="s">
        <v>2759</v>
      </c>
      <c r="B921" s="9" t="str">
        <f>HYPERLINK("http://biobank.ctsu.ox.ac.uk/crystal/field.cgi?id=27376", "27376")</f>
        <v>27376</v>
      </c>
      <c r="C921" s="8" t="s">
        <v>2761</v>
      </c>
      <c r="D921" s="8" t="s">
        <v>10041</v>
      </c>
      <c r="E921" s="8" t="s">
        <v>11068</v>
      </c>
    </row>
    <row r="922" spans="1:5" x14ac:dyDescent="0.25">
      <c r="A922" s="5" t="s">
        <v>2762</v>
      </c>
      <c r="B922" s="9" t="str">
        <f>HYPERLINK("http://biobank.ctsu.ox.ac.uk/crystal/field.cgi?id=27377", "27377")</f>
        <v>27377</v>
      </c>
      <c r="C922" s="8" t="s">
        <v>2764</v>
      </c>
      <c r="D922" s="8" t="s">
        <v>10041</v>
      </c>
      <c r="E922" s="8" t="s">
        <v>11069</v>
      </c>
    </row>
    <row r="923" spans="1:5" x14ac:dyDescent="0.25">
      <c r="A923" s="5" t="s">
        <v>2765</v>
      </c>
      <c r="B923" s="9" t="str">
        <f>HYPERLINK("http://biobank.ctsu.ox.ac.uk/crystal/field.cgi?id=27378", "27378")</f>
        <v>27378</v>
      </c>
      <c r="C923" s="8" t="s">
        <v>2767</v>
      </c>
      <c r="D923" s="8" t="s">
        <v>10041</v>
      </c>
      <c r="E923" s="8" t="s">
        <v>11070</v>
      </c>
    </row>
    <row r="924" spans="1:5" x14ac:dyDescent="0.25">
      <c r="A924" s="5" t="s">
        <v>2768</v>
      </c>
      <c r="B924" s="9" t="str">
        <f>HYPERLINK("http://biobank.ctsu.ox.ac.uk/crystal/field.cgi?id=27379", "27379")</f>
        <v>27379</v>
      </c>
      <c r="C924" s="8" t="s">
        <v>2770</v>
      </c>
      <c r="D924" s="8" t="s">
        <v>10041</v>
      </c>
      <c r="E924" s="8" t="s">
        <v>11071</v>
      </c>
    </row>
    <row r="925" spans="1:5" x14ac:dyDescent="0.25">
      <c r="A925" s="5" t="s">
        <v>2771</v>
      </c>
      <c r="B925" s="9" t="str">
        <f>HYPERLINK("http://biobank.ctsu.ox.ac.uk/crystal/field.cgi?id=27380", "27380")</f>
        <v>27380</v>
      </c>
      <c r="C925" s="8" t="s">
        <v>2773</v>
      </c>
      <c r="D925" s="8" t="s">
        <v>10041</v>
      </c>
      <c r="E925" s="8" t="s">
        <v>11072</v>
      </c>
    </row>
    <row r="926" spans="1:5" x14ac:dyDescent="0.25">
      <c r="A926" s="5" t="s">
        <v>2774</v>
      </c>
      <c r="B926" s="9" t="str">
        <f>HYPERLINK("http://biobank.ctsu.ox.ac.uk/crystal/field.cgi?id=27381", "27381")</f>
        <v>27381</v>
      </c>
      <c r="C926" s="8" t="s">
        <v>2776</v>
      </c>
      <c r="D926" s="8" t="s">
        <v>10041</v>
      </c>
      <c r="E926" s="8" t="s">
        <v>11073</v>
      </c>
    </row>
    <row r="927" spans="1:5" x14ac:dyDescent="0.25">
      <c r="A927" s="5" t="s">
        <v>2777</v>
      </c>
      <c r="B927" s="9" t="str">
        <f>HYPERLINK("http://biobank.ctsu.ox.ac.uk/crystal/field.cgi?id=27382", "27382")</f>
        <v>27382</v>
      </c>
      <c r="C927" s="8" t="s">
        <v>2779</v>
      </c>
      <c r="D927" s="8" t="s">
        <v>10041</v>
      </c>
      <c r="E927" s="8" t="s">
        <v>11074</v>
      </c>
    </row>
    <row r="928" spans="1:5" x14ac:dyDescent="0.25">
      <c r="A928" s="5" t="s">
        <v>2780</v>
      </c>
      <c r="B928" s="9" t="str">
        <f>HYPERLINK("http://biobank.ctsu.ox.ac.uk/crystal/field.cgi?id=27383", "27383")</f>
        <v>27383</v>
      </c>
      <c r="C928" s="8" t="s">
        <v>2782</v>
      </c>
      <c r="D928" s="8" t="s">
        <v>10041</v>
      </c>
      <c r="E928" s="8" t="s">
        <v>11075</v>
      </c>
    </row>
    <row r="929" spans="1:5" x14ac:dyDescent="0.25">
      <c r="A929" s="5" t="s">
        <v>2783</v>
      </c>
      <c r="B929" s="9" t="str">
        <f>HYPERLINK("http://biobank.ctsu.ox.ac.uk/crystal/field.cgi?id=27384", "27384")</f>
        <v>27384</v>
      </c>
      <c r="C929" s="8" t="s">
        <v>2785</v>
      </c>
      <c r="D929" s="8" t="s">
        <v>10041</v>
      </c>
      <c r="E929" s="8" t="s">
        <v>11076</v>
      </c>
    </row>
    <row r="930" spans="1:5" x14ac:dyDescent="0.25">
      <c r="A930" s="5" t="s">
        <v>2786</v>
      </c>
      <c r="B930" s="9" t="str">
        <f>HYPERLINK("http://biobank.ctsu.ox.ac.uk/crystal/field.cgi?id=27385", "27385")</f>
        <v>27385</v>
      </c>
      <c r="C930" s="8" t="s">
        <v>2788</v>
      </c>
      <c r="D930" s="8" t="s">
        <v>10041</v>
      </c>
      <c r="E930" s="8" t="s">
        <v>11077</v>
      </c>
    </row>
    <row r="931" spans="1:5" x14ac:dyDescent="0.25">
      <c r="A931" s="5" t="s">
        <v>2789</v>
      </c>
      <c r="B931" s="9" t="str">
        <f>HYPERLINK("http://biobank.ctsu.ox.ac.uk/crystal/field.cgi?id=27386", "27386")</f>
        <v>27386</v>
      </c>
      <c r="C931" s="8" t="s">
        <v>2791</v>
      </c>
      <c r="D931" s="8" t="s">
        <v>10041</v>
      </c>
      <c r="E931" s="8" t="s">
        <v>11078</v>
      </c>
    </row>
    <row r="932" spans="1:5" x14ac:dyDescent="0.25">
      <c r="A932" s="5" t="s">
        <v>2792</v>
      </c>
      <c r="B932" s="9" t="str">
        <f>HYPERLINK("http://biobank.ctsu.ox.ac.uk/crystal/field.cgi?id=27387", "27387")</f>
        <v>27387</v>
      </c>
      <c r="C932" s="8" t="s">
        <v>2794</v>
      </c>
      <c r="D932" s="8" t="s">
        <v>10041</v>
      </c>
      <c r="E932" s="8" t="s">
        <v>11079</v>
      </c>
    </row>
    <row r="933" spans="1:5" x14ac:dyDescent="0.25">
      <c r="A933" s="5" t="s">
        <v>2795</v>
      </c>
      <c r="B933" s="9" t="str">
        <f>HYPERLINK("http://biobank.ctsu.ox.ac.uk/crystal/field.cgi?id=27388", "27388")</f>
        <v>27388</v>
      </c>
      <c r="C933" s="8" t="s">
        <v>2797</v>
      </c>
      <c r="D933" s="8" t="s">
        <v>10041</v>
      </c>
      <c r="E933" s="8" t="s">
        <v>11080</v>
      </c>
    </row>
    <row r="934" spans="1:5" x14ac:dyDescent="0.25">
      <c r="A934" s="5" t="s">
        <v>2798</v>
      </c>
      <c r="B934" s="9" t="str">
        <f>HYPERLINK("http://biobank.ctsu.ox.ac.uk/crystal/field.cgi?id=27389", "27389")</f>
        <v>27389</v>
      </c>
      <c r="C934" s="8" t="s">
        <v>2800</v>
      </c>
      <c r="D934" s="8" t="s">
        <v>10041</v>
      </c>
      <c r="E934" s="8" t="s">
        <v>11081</v>
      </c>
    </row>
    <row r="935" spans="1:5" x14ac:dyDescent="0.25">
      <c r="A935" s="5" t="s">
        <v>2801</v>
      </c>
      <c r="B935" s="9" t="str">
        <f>HYPERLINK("http://biobank.ctsu.ox.ac.uk/crystal/field.cgi?id=27390", "27390")</f>
        <v>27390</v>
      </c>
      <c r="C935" s="8" t="s">
        <v>2803</v>
      </c>
      <c r="D935" s="8" t="s">
        <v>10041</v>
      </c>
      <c r="E935" s="8" t="s">
        <v>11082</v>
      </c>
    </row>
    <row r="936" spans="1:5" x14ac:dyDescent="0.25">
      <c r="A936" s="5" t="s">
        <v>2804</v>
      </c>
      <c r="B936" s="9" t="str">
        <f>HYPERLINK("http://biobank.ctsu.ox.ac.uk/crystal/field.cgi?id=27391", "27391")</f>
        <v>27391</v>
      </c>
      <c r="C936" s="8" t="s">
        <v>2806</v>
      </c>
      <c r="D936" s="8" t="s">
        <v>10041</v>
      </c>
      <c r="E936" s="8" t="s">
        <v>11083</v>
      </c>
    </row>
    <row r="937" spans="1:5" x14ac:dyDescent="0.25">
      <c r="A937" s="5" t="s">
        <v>2807</v>
      </c>
      <c r="B937" s="9" t="str">
        <f>HYPERLINK("http://biobank.ctsu.ox.ac.uk/crystal/field.cgi?id=27392", "27392")</f>
        <v>27392</v>
      </c>
      <c r="C937" s="8" t="s">
        <v>2809</v>
      </c>
      <c r="D937" s="8" t="s">
        <v>10041</v>
      </c>
      <c r="E937" s="8" t="s">
        <v>11084</v>
      </c>
    </row>
    <row r="938" spans="1:5" x14ac:dyDescent="0.25">
      <c r="A938" s="5" t="s">
        <v>2810</v>
      </c>
      <c r="B938" s="9" t="str">
        <f>HYPERLINK("http://biobank.ctsu.ox.ac.uk/crystal/field.cgi?id=27393", "27393")</f>
        <v>27393</v>
      </c>
      <c r="C938" s="8" t="s">
        <v>2812</v>
      </c>
      <c r="D938" s="8" t="s">
        <v>10041</v>
      </c>
      <c r="E938" s="8" t="s">
        <v>11085</v>
      </c>
    </row>
    <row r="939" spans="1:5" x14ac:dyDescent="0.25">
      <c r="A939" s="5" t="s">
        <v>2813</v>
      </c>
      <c r="B939" s="9" t="str">
        <f>HYPERLINK("http://biobank.ctsu.ox.ac.uk/crystal/field.cgi?id=27394", "27394")</f>
        <v>27394</v>
      </c>
      <c r="C939" s="8" t="s">
        <v>2815</v>
      </c>
      <c r="D939" s="8" t="s">
        <v>10041</v>
      </c>
      <c r="E939" s="8" t="s">
        <v>11086</v>
      </c>
    </row>
    <row r="940" spans="1:5" x14ac:dyDescent="0.25">
      <c r="A940" s="5" t="s">
        <v>2816</v>
      </c>
      <c r="B940" s="9" t="str">
        <f>HYPERLINK("http://biobank.ctsu.ox.ac.uk/crystal/field.cgi?id=27395", "27395")</f>
        <v>27395</v>
      </c>
      <c r="C940" s="8" t="s">
        <v>2818</v>
      </c>
      <c r="D940" s="8" t="s">
        <v>10041</v>
      </c>
      <c r="E940" s="8" t="s">
        <v>11087</v>
      </c>
    </row>
    <row r="941" spans="1:5" x14ac:dyDescent="0.25">
      <c r="A941" s="5" t="s">
        <v>2819</v>
      </c>
      <c r="B941" s="9" t="str">
        <f>HYPERLINK("http://biobank.ctsu.ox.ac.uk/crystal/field.cgi?id=27396", "27396")</f>
        <v>27396</v>
      </c>
      <c r="C941" s="8" t="s">
        <v>2821</v>
      </c>
      <c r="D941" s="8" t="s">
        <v>10041</v>
      </c>
      <c r="E941" s="8" t="s">
        <v>11088</v>
      </c>
    </row>
    <row r="942" spans="1:5" x14ac:dyDescent="0.25">
      <c r="A942" s="5" t="s">
        <v>2822</v>
      </c>
      <c r="B942" s="9" t="str">
        <f>HYPERLINK("http://biobank.ctsu.ox.ac.uk/crystal/field.cgi?id=27397", "27397")</f>
        <v>27397</v>
      </c>
      <c r="C942" s="8" t="s">
        <v>2824</v>
      </c>
      <c r="D942" s="8" t="s">
        <v>10041</v>
      </c>
      <c r="E942" s="8" t="s">
        <v>11089</v>
      </c>
    </row>
    <row r="943" spans="1:5" x14ac:dyDescent="0.25">
      <c r="A943" s="5" t="s">
        <v>2825</v>
      </c>
      <c r="B943" s="9" t="str">
        <f>HYPERLINK("http://biobank.ctsu.ox.ac.uk/crystal/field.cgi?id=27398", "27398")</f>
        <v>27398</v>
      </c>
      <c r="C943" s="8" t="s">
        <v>2827</v>
      </c>
      <c r="D943" s="8" t="s">
        <v>10041</v>
      </c>
      <c r="E943" s="8" t="s">
        <v>11090</v>
      </c>
    </row>
    <row r="944" spans="1:5" x14ac:dyDescent="0.25">
      <c r="A944" s="5" t="s">
        <v>2828</v>
      </c>
      <c r="B944" s="9" t="str">
        <f>HYPERLINK("http://biobank.ctsu.ox.ac.uk/crystal/field.cgi?id=27399", "27399")</f>
        <v>27399</v>
      </c>
      <c r="C944" s="8" t="s">
        <v>2830</v>
      </c>
      <c r="D944" s="8" t="s">
        <v>10041</v>
      </c>
      <c r="E944" s="8" t="s">
        <v>11091</v>
      </c>
    </row>
    <row r="945" spans="1:5" x14ac:dyDescent="0.25">
      <c r="A945" s="5" t="s">
        <v>2831</v>
      </c>
      <c r="B945" s="9" t="str">
        <f>HYPERLINK("http://biobank.ctsu.ox.ac.uk/crystal/field.cgi?id=27400", "27400")</f>
        <v>27400</v>
      </c>
      <c r="C945" s="8" t="s">
        <v>2833</v>
      </c>
      <c r="D945" s="8" t="s">
        <v>10041</v>
      </c>
      <c r="E945" s="8" t="s">
        <v>11092</v>
      </c>
    </row>
    <row r="946" spans="1:5" x14ac:dyDescent="0.25">
      <c r="A946" s="5" t="s">
        <v>2834</v>
      </c>
      <c r="B946" s="9" t="str">
        <f>HYPERLINK("http://biobank.ctsu.ox.ac.uk/crystal/field.cgi?id=27401", "27401")</f>
        <v>27401</v>
      </c>
      <c r="C946" s="8" t="s">
        <v>2836</v>
      </c>
      <c r="D946" s="8" t="s">
        <v>10041</v>
      </c>
      <c r="E946" s="8" t="s">
        <v>11093</v>
      </c>
    </row>
    <row r="947" spans="1:5" x14ac:dyDescent="0.25">
      <c r="A947" s="5" t="s">
        <v>2837</v>
      </c>
      <c r="B947" s="9" t="str">
        <f>HYPERLINK("http://biobank.ctsu.ox.ac.uk/crystal/field.cgi?id=27402", "27402")</f>
        <v>27402</v>
      </c>
      <c r="C947" s="8" t="s">
        <v>2839</v>
      </c>
      <c r="D947" s="8" t="s">
        <v>10041</v>
      </c>
      <c r="E947" s="8" t="s">
        <v>11094</v>
      </c>
    </row>
    <row r="948" spans="1:5" x14ac:dyDescent="0.25">
      <c r="A948" s="5" t="s">
        <v>2840</v>
      </c>
      <c r="B948" s="9" t="str">
        <f>HYPERLINK("http://biobank.ctsu.ox.ac.uk/crystal/field.cgi?id=27551", "27551")</f>
        <v>27551</v>
      </c>
      <c r="C948" s="8" t="s">
        <v>2842</v>
      </c>
      <c r="D948" s="8" t="s">
        <v>10041</v>
      </c>
      <c r="E948" s="8" t="s">
        <v>11095</v>
      </c>
    </row>
    <row r="949" spans="1:5" x14ac:dyDescent="0.25">
      <c r="A949" s="5" t="s">
        <v>2843</v>
      </c>
      <c r="B949" s="9" t="str">
        <f>HYPERLINK("http://biobank.ctsu.ox.ac.uk/crystal/field.cgi?id=27552", "27552")</f>
        <v>27552</v>
      </c>
      <c r="C949" s="8" t="s">
        <v>2845</v>
      </c>
      <c r="D949" s="8" t="s">
        <v>10041</v>
      </c>
      <c r="E949" s="8" t="s">
        <v>11096</v>
      </c>
    </row>
    <row r="950" spans="1:5" x14ac:dyDescent="0.25">
      <c r="A950" s="5" t="s">
        <v>2846</v>
      </c>
      <c r="B950" s="9" t="str">
        <f>HYPERLINK("http://biobank.ctsu.ox.ac.uk/crystal/field.cgi?id=27553", "27553")</f>
        <v>27553</v>
      </c>
      <c r="C950" s="8" t="s">
        <v>2848</v>
      </c>
      <c r="D950" s="8" t="s">
        <v>10041</v>
      </c>
      <c r="E950" s="8" t="s">
        <v>11097</v>
      </c>
    </row>
    <row r="951" spans="1:5" x14ac:dyDescent="0.25">
      <c r="A951" s="5" t="s">
        <v>2849</v>
      </c>
      <c r="B951" s="9" t="str">
        <f>HYPERLINK("http://biobank.ctsu.ox.ac.uk/crystal/field.cgi?id=27554", "27554")</f>
        <v>27554</v>
      </c>
      <c r="C951" s="8" t="s">
        <v>2851</v>
      </c>
      <c r="D951" s="8" t="s">
        <v>10041</v>
      </c>
      <c r="E951" s="8" t="s">
        <v>11098</v>
      </c>
    </row>
    <row r="952" spans="1:5" x14ac:dyDescent="0.25">
      <c r="A952" s="5" t="s">
        <v>2852</v>
      </c>
      <c r="B952" s="9" t="str">
        <f>HYPERLINK("http://biobank.ctsu.ox.ac.uk/crystal/field.cgi?id=27555", "27555")</f>
        <v>27555</v>
      </c>
      <c r="C952" s="8" t="s">
        <v>2854</v>
      </c>
      <c r="D952" s="8" t="s">
        <v>10041</v>
      </c>
      <c r="E952" s="8" t="s">
        <v>11099</v>
      </c>
    </row>
    <row r="953" spans="1:5" x14ac:dyDescent="0.25">
      <c r="A953" s="5" t="s">
        <v>2855</v>
      </c>
      <c r="B953" s="9" t="str">
        <f>HYPERLINK("http://biobank.ctsu.ox.ac.uk/crystal/field.cgi?id=27556", "27556")</f>
        <v>27556</v>
      </c>
      <c r="C953" s="8" t="s">
        <v>2857</v>
      </c>
      <c r="D953" s="8" t="s">
        <v>10041</v>
      </c>
      <c r="E953" s="8" t="s">
        <v>11100</v>
      </c>
    </row>
    <row r="954" spans="1:5" x14ac:dyDescent="0.25">
      <c r="A954" s="5" t="s">
        <v>2858</v>
      </c>
      <c r="B954" s="9" t="str">
        <f>HYPERLINK("http://biobank.ctsu.ox.ac.uk/crystal/field.cgi?id=27557", "27557")</f>
        <v>27557</v>
      </c>
      <c r="C954" s="8" t="s">
        <v>2860</v>
      </c>
      <c r="D954" s="8" t="s">
        <v>10041</v>
      </c>
      <c r="E954" s="8" t="s">
        <v>11101</v>
      </c>
    </row>
    <row r="955" spans="1:5" x14ac:dyDescent="0.25">
      <c r="A955" s="5" t="s">
        <v>2861</v>
      </c>
      <c r="B955" s="9" t="str">
        <f>HYPERLINK("http://biobank.ctsu.ox.ac.uk/crystal/field.cgi?id=27558", "27558")</f>
        <v>27558</v>
      </c>
      <c r="C955" s="8" t="s">
        <v>2863</v>
      </c>
      <c r="D955" s="8" t="s">
        <v>10041</v>
      </c>
      <c r="E955" s="8" t="s">
        <v>11102</v>
      </c>
    </row>
    <row r="956" spans="1:5" x14ac:dyDescent="0.25">
      <c r="A956" s="5" t="s">
        <v>2864</v>
      </c>
      <c r="B956" s="9" t="str">
        <f>HYPERLINK("http://biobank.ctsu.ox.ac.uk/crystal/field.cgi?id=27559", "27559")</f>
        <v>27559</v>
      </c>
      <c r="C956" s="8" t="s">
        <v>2866</v>
      </c>
      <c r="D956" s="8" t="s">
        <v>10041</v>
      </c>
      <c r="E956" s="8" t="s">
        <v>11103</v>
      </c>
    </row>
    <row r="957" spans="1:5" x14ac:dyDescent="0.25">
      <c r="A957" s="5" t="s">
        <v>2867</v>
      </c>
      <c r="B957" s="9" t="str">
        <f>HYPERLINK("http://biobank.ctsu.ox.ac.uk/crystal/field.cgi?id=27560", "27560")</f>
        <v>27560</v>
      </c>
      <c r="C957" s="8" t="s">
        <v>2869</v>
      </c>
      <c r="D957" s="8" t="s">
        <v>10041</v>
      </c>
      <c r="E957" s="8" t="s">
        <v>11104</v>
      </c>
    </row>
    <row r="958" spans="1:5" x14ac:dyDescent="0.25">
      <c r="A958" s="5" t="s">
        <v>2870</v>
      </c>
      <c r="B958" s="9" t="str">
        <f>HYPERLINK("http://biobank.ctsu.ox.ac.uk/crystal/field.cgi?id=27561", "27561")</f>
        <v>27561</v>
      </c>
      <c r="C958" s="8" t="s">
        <v>2872</v>
      </c>
      <c r="D958" s="8" t="s">
        <v>10041</v>
      </c>
      <c r="E958" s="8" t="s">
        <v>11105</v>
      </c>
    </row>
    <row r="959" spans="1:5" x14ac:dyDescent="0.25">
      <c r="A959" s="5" t="s">
        <v>2873</v>
      </c>
      <c r="B959" s="9" t="str">
        <f>HYPERLINK("http://biobank.ctsu.ox.ac.uk/crystal/field.cgi?id=27562", "27562")</f>
        <v>27562</v>
      </c>
      <c r="C959" s="8" t="s">
        <v>2875</v>
      </c>
      <c r="D959" s="8" t="s">
        <v>10041</v>
      </c>
      <c r="E959" s="8" t="s">
        <v>11106</v>
      </c>
    </row>
    <row r="960" spans="1:5" x14ac:dyDescent="0.25">
      <c r="A960" s="5" t="s">
        <v>2876</v>
      </c>
      <c r="B960" s="9" t="str">
        <f>HYPERLINK("http://biobank.ctsu.ox.ac.uk/crystal/field.cgi?id=27563", "27563")</f>
        <v>27563</v>
      </c>
      <c r="C960" s="8" t="s">
        <v>2878</v>
      </c>
      <c r="D960" s="8" t="s">
        <v>10041</v>
      </c>
      <c r="E960" s="8" t="s">
        <v>11107</v>
      </c>
    </row>
    <row r="961" spans="1:5" x14ac:dyDescent="0.25">
      <c r="A961" s="5" t="s">
        <v>2879</v>
      </c>
      <c r="B961" s="9" t="str">
        <f>HYPERLINK("http://biobank.ctsu.ox.ac.uk/crystal/field.cgi?id=27564", "27564")</f>
        <v>27564</v>
      </c>
      <c r="C961" s="8" t="s">
        <v>2881</v>
      </c>
      <c r="D961" s="8" t="s">
        <v>10041</v>
      </c>
      <c r="E961" s="8" t="s">
        <v>11108</v>
      </c>
    </row>
    <row r="962" spans="1:5" x14ac:dyDescent="0.25">
      <c r="A962" s="5" t="s">
        <v>2882</v>
      </c>
      <c r="B962" s="9" t="str">
        <f>HYPERLINK("http://biobank.ctsu.ox.ac.uk/crystal/field.cgi?id=27565", "27565")</f>
        <v>27565</v>
      </c>
      <c r="C962" s="8" t="s">
        <v>2884</v>
      </c>
      <c r="D962" s="8" t="s">
        <v>10041</v>
      </c>
      <c r="E962" s="8" t="s">
        <v>11109</v>
      </c>
    </row>
    <row r="963" spans="1:5" x14ac:dyDescent="0.25">
      <c r="A963" s="5" t="s">
        <v>2885</v>
      </c>
      <c r="B963" s="9" t="str">
        <f>HYPERLINK("http://biobank.ctsu.ox.ac.uk/crystal/field.cgi?id=27566", "27566")</f>
        <v>27566</v>
      </c>
      <c r="C963" s="8" t="s">
        <v>2887</v>
      </c>
      <c r="D963" s="8" t="s">
        <v>10041</v>
      </c>
      <c r="E963" s="8" t="s">
        <v>11110</v>
      </c>
    </row>
    <row r="964" spans="1:5" x14ac:dyDescent="0.25">
      <c r="A964" s="5" t="s">
        <v>2888</v>
      </c>
      <c r="B964" s="9" t="str">
        <f>HYPERLINK("http://biobank.ctsu.ox.ac.uk/crystal/field.cgi?id=27567", "27567")</f>
        <v>27567</v>
      </c>
      <c r="C964" s="8" t="s">
        <v>2890</v>
      </c>
      <c r="D964" s="8" t="s">
        <v>10041</v>
      </c>
      <c r="E964" s="8" t="s">
        <v>11111</v>
      </c>
    </row>
    <row r="965" spans="1:5" x14ac:dyDescent="0.25">
      <c r="A965" s="5" t="s">
        <v>2891</v>
      </c>
      <c r="B965" s="9" t="str">
        <f>HYPERLINK("http://biobank.ctsu.ox.ac.uk/crystal/field.cgi?id=27568", "27568")</f>
        <v>27568</v>
      </c>
      <c r="C965" s="8" t="s">
        <v>2893</v>
      </c>
      <c r="D965" s="8" t="s">
        <v>10041</v>
      </c>
      <c r="E965" s="8" t="s">
        <v>11112</v>
      </c>
    </row>
    <row r="966" spans="1:5" x14ac:dyDescent="0.25">
      <c r="A966" s="5" t="s">
        <v>2894</v>
      </c>
      <c r="B966" s="9" t="str">
        <f>HYPERLINK("http://biobank.ctsu.ox.ac.uk/crystal/field.cgi?id=27569", "27569")</f>
        <v>27569</v>
      </c>
      <c r="C966" s="8" t="s">
        <v>2896</v>
      </c>
      <c r="D966" s="8" t="s">
        <v>10041</v>
      </c>
      <c r="E966" s="8" t="s">
        <v>11113</v>
      </c>
    </row>
    <row r="967" spans="1:5" x14ac:dyDescent="0.25">
      <c r="A967" s="5" t="s">
        <v>2897</v>
      </c>
      <c r="B967" s="9" t="str">
        <f>HYPERLINK("http://biobank.ctsu.ox.ac.uk/crystal/field.cgi?id=27570", "27570")</f>
        <v>27570</v>
      </c>
      <c r="C967" s="8" t="s">
        <v>2899</v>
      </c>
      <c r="D967" s="8" t="s">
        <v>10041</v>
      </c>
      <c r="E967" s="8" t="s">
        <v>11114</v>
      </c>
    </row>
    <row r="968" spans="1:5" x14ac:dyDescent="0.25">
      <c r="A968" s="5" t="s">
        <v>2900</v>
      </c>
      <c r="B968" s="9" t="str">
        <f>HYPERLINK("http://biobank.ctsu.ox.ac.uk/crystal/field.cgi?id=27571", "27571")</f>
        <v>27571</v>
      </c>
      <c r="C968" s="8" t="s">
        <v>2902</v>
      </c>
      <c r="D968" s="8" t="s">
        <v>10041</v>
      </c>
      <c r="E968" s="8" t="s">
        <v>11115</v>
      </c>
    </row>
    <row r="969" spans="1:5" x14ac:dyDescent="0.25">
      <c r="A969" s="5" t="s">
        <v>2903</v>
      </c>
      <c r="B969" s="9" t="str">
        <f>HYPERLINK("http://biobank.ctsu.ox.ac.uk/crystal/field.cgi?id=27572", "27572")</f>
        <v>27572</v>
      </c>
      <c r="C969" s="8" t="s">
        <v>2905</v>
      </c>
      <c r="D969" s="8" t="s">
        <v>10041</v>
      </c>
      <c r="E969" s="8" t="s">
        <v>11116</v>
      </c>
    </row>
    <row r="970" spans="1:5" x14ac:dyDescent="0.25">
      <c r="A970" s="5" t="s">
        <v>2906</v>
      </c>
      <c r="B970" s="9" t="str">
        <f>HYPERLINK("http://biobank.ctsu.ox.ac.uk/crystal/field.cgi?id=27573", "27573")</f>
        <v>27573</v>
      </c>
      <c r="C970" s="8" t="s">
        <v>2908</v>
      </c>
      <c r="D970" s="8" t="s">
        <v>10041</v>
      </c>
      <c r="E970" s="8" t="s">
        <v>11117</v>
      </c>
    </row>
    <row r="971" spans="1:5" x14ac:dyDescent="0.25">
      <c r="A971" s="5" t="s">
        <v>2909</v>
      </c>
      <c r="B971" s="9" t="str">
        <f>HYPERLINK("http://biobank.ctsu.ox.ac.uk/crystal/field.cgi?id=27574", "27574")</f>
        <v>27574</v>
      </c>
      <c r="C971" s="8" t="s">
        <v>2911</v>
      </c>
      <c r="D971" s="8" t="s">
        <v>10041</v>
      </c>
      <c r="E971" s="8" t="s">
        <v>11118</v>
      </c>
    </row>
    <row r="972" spans="1:5" x14ac:dyDescent="0.25">
      <c r="A972" s="5" t="s">
        <v>2912</v>
      </c>
      <c r="B972" s="9" t="str">
        <f>HYPERLINK("http://biobank.ctsu.ox.ac.uk/crystal/field.cgi?id=27575", "27575")</f>
        <v>27575</v>
      </c>
      <c r="C972" s="8" t="s">
        <v>2914</v>
      </c>
      <c r="D972" s="8" t="s">
        <v>10041</v>
      </c>
      <c r="E972" s="8" t="s">
        <v>11119</v>
      </c>
    </row>
    <row r="973" spans="1:5" x14ac:dyDescent="0.25">
      <c r="A973" s="5" t="s">
        <v>2915</v>
      </c>
      <c r="B973" s="9" t="str">
        <f>HYPERLINK("http://biobank.ctsu.ox.ac.uk/crystal/field.cgi?id=27576", "27576")</f>
        <v>27576</v>
      </c>
      <c r="C973" s="8" t="s">
        <v>2917</v>
      </c>
      <c r="D973" s="8" t="s">
        <v>10041</v>
      </c>
      <c r="E973" s="8" t="s">
        <v>11120</v>
      </c>
    </row>
    <row r="974" spans="1:5" x14ac:dyDescent="0.25">
      <c r="A974" s="5" t="s">
        <v>2918</v>
      </c>
      <c r="B974" s="9" t="str">
        <f>HYPERLINK("http://biobank.ctsu.ox.ac.uk/crystal/field.cgi?id=27577", "27577")</f>
        <v>27577</v>
      </c>
      <c r="C974" s="8" t="s">
        <v>2920</v>
      </c>
      <c r="D974" s="8" t="s">
        <v>10041</v>
      </c>
      <c r="E974" s="8" t="s">
        <v>11121</v>
      </c>
    </row>
    <row r="975" spans="1:5" x14ac:dyDescent="0.25">
      <c r="A975" s="5" t="s">
        <v>2921</v>
      </c>
      <c r="B975" s="9" t="str">
        <f>HYPERLINK("http://biobank.ctsu.ox.ac.uk/crystal/field.cgi?id=27578", "27578")</f>
        <v>27578</v>
      </c>
      <c r="C975" s="8" t="s">
        <v>2923</v>
      </c>
      <c r="D975" s="8" t="s">
        <v>10041</v>
      </c>
      <c r="E975" s="8" t="s">
        <v>11122</v>
      </c>
    </row>
    <row r="976" spans="1:5" x14ac:dyDescent="0.25">
      <c r="A976" s="5" t="s">
        <v>2924</v>
      </c>
      <c r="B976" s="9" t="str">
        <f>HYPERLINK("http://biobank.ctsu.ox.ac.uk/crystal/field.cgi?id=27579", "27579")</f>
        <v>27579</v>
      </c>
      <c r="C976" s="8" t="s">
        <v>2926</v>
      </c>
      <c r="D976" s="8" t="s">
        <v>10041</v>
      </c>
      <c r="E976" s="8" t="s">
        <v>11123</v>
      </c>
    </row>
    <row r="977" spans="1:5" x14ac:dyDescent="0.25">
      <c r="A977" s="5" t="s">
        <v>2927</v>
      </c>
      <c r="B977" s="9" t="str">
        <f>HYPERLINK("http://biobank.ctsu.ox.ac.uk/crystal/field.cgi?id=27580", "27580")</f>
        <v>27580</v>
      </c>
      <c r="C977" s="8" t="s">
        <v>2929</v>
      </c>
      <c r="D977" s="8" t="s">
        <v>10041</v>
      </c>
      <c r="E977" s="8" t="s">
        <v>11124</v>
      </c>
    </row>
    <row r="978" spans="1:5" x14ac:dyDescent="0.25">
      <c r="A978" s="5" t="s">
        <v>2930</v>
      </c>
      <c r="B978" s="9" t="str">
        <f>HYPERLINK("http://biobank.ctsu.ox.ac.uk/crystal/field.cgi?id=27581", "27581")</f>
        <v>27581</v>
      </c>
      <c r="C978" s="8" t="s">
        <v>2932</v>
      </c>
      <c r="D978" s="8" t="s">
        <v>10041</v>
      </c>
      <c r="E978" s="8" t="s">
        <v>11125</v>
      </c>
    </row>
    <row r="979" spans="1:5" x14ac:dyDescent="0.25">
      <c r="A979" s="5" t="s">
        <v>2933</v>
      </c>
      <c r="B979" s="9" t="str">
        <f>HYPERLINK("http://biobank.ctsu.ox.ac.uk/crystal/field.cgi?id=27582", "27582")</f>
        <v>27582</v>
      </c>
      <c r="C979" s="8" t="s">
        <v>2935</v>
      </c>
      <c r="D979" s="8" t="s">
        <v>10041</v>
      </c>
      <c r="E979" s="8" t="s">
        <v>11126</v>
      </c>
    </row>
    <row r="980" spans="1:5" x14ac:dyDescent="0.25">
      <c r="A980" s="5" t="s">
        <v>2936</v>
      </c>
      <c r="B980" s="9" t="str">
        <f>HYPERLINK("http://biobank.ctsu.ox.ac.uk/crystal/field.cgi?id=27583", "27583")</f>
        <v>27583</v>
      </c>
      <c r="C980" s="8" t="s">
        <v>2938</v>
      </c>
      <c r="D980" s="8" t="s">
        <v>10041</v>
      </c>
      <c r="E980" s="8" t="s">
        <v>11127</v>
      </c>
    </row>
    <row r="981" spans="1:5" x14ac:dyDescent="0.25">
      <c r="A981" s="5" t="s">
        <v>2939</v>
      </c>
      <c r="B981" s="9" t="str">
        <f>HYPERLINK("http://biobank.ctsu.ox.ac.uk/crystal/field.cgi?id=27584", "27584")</f>
        <v>27584</v>
      </c>
      <c r="C981" s="8" t="s">
        <v>2941</v>
      </c>
      <c r="D981" s="8" t="s">
        <v>10041</v>
      </c>
      <c r="E981" s="8" t="s">
        <v>11128</v>
      </c>
    </row>
    <row r="982" spans="1:5" x14ac:dyDescent="0.25">
      <c r="A982" s="5" t="s">
        <v>2942</v>
      </c>
      <c r="B982" s="9" t="str">
        <f>HYPERLINK("http://biobank.ctsu.ox.ac.uk/crystal/field.cgi?id=27585", "27585")</f>
        <v>27585</v>
      </c>
      <c r="C982" s="8" t="s">
        <v>2944</v>
      </c>
      <c r="D982" s="8" t="s">
        <v>10041</v>
      </c>
      <c r="E982" s="8" t="s">
        <v>11129</v>
      </c>
    </row>
    <row r="983" spans="1:5" x14ac:dyDescent="0.25">
      <c r="A983" s="5" t="s">
        <v>2945</v>
      </c>
      <c r="B983" s="9" t="str">
        <f>HYPERLINK("http://biobank.ctsu.ox.ac.uk/crystal/field.cgi?id=27586", "27586")</f>
        <v>27586</v>
      </c>
      <c r="C983" s="8" t="s">
        <v>2947</v>
      </c>
      <c r="D983" s="8" t="s">
        <v>10041</v>
      </c>
      <c r="E983" s="8" t="s">
        <v>11130</v>
      </c>
    </row>
    <row r="984" spans="1:5" x14ac:dyDescent="0.25">
      <c r="A984" s="5" t="s">
        <v>2948</v>
      </c>
      <c r="B984" s="9" t="str">
        <f>HYPERLINK("http://biobank.ctsu.ox.ac.uk/crystal/field.cgi?id=27587", "27587")</f>
        <v>27587</v>
      </c>
      <c r="C984" s="8" t="s">
        <v>2950</v>
      </c>
      <c r="D984" s="8" t="s">
        <v>10041</v>
      </c>
      <c r="E984" s="8" t="s">
        <v>11131</v>
      </c>
    </row>
    <row r="985" spans="1:5" x14ac:dyDescent="0.25">
      <c r="A985" s="5" t="s">
        <v>2951</v>
      </c>
      <c r="B985" s="9" t="str">
        <f>HYPERLINK("http://biobank.ctsu.ox.ac.uk/crystal/field.cgi?id=27588", "27588")</f>
        <v>27588</v>
      </c>
      <c r="C985" s="8" t="s">
        <v>2953</v>
      </c>
      <c r="D985" s="8" t="s">
        <v>10041</v>
      </c>
      <c r="E985" s="8" t="s">
        <v>11132</v>
      </c>
    </row>
    <row r="986" spans="1:5" x14ac:dyDescent="0.25">
      <c r="A986" s="5" t="s">
        <v>2954</v>
      </c>
      <c r="B986" s="9" t="str">
        <f>HYPERLINK("http://biobank.ctsu.ox.ac.uk/crystal/field.cgi?id=27589", "27589")</f>
        <v>27589</v>
      </c>
      <c r="C986" s="8" t="s">
        <v>2956</v>
      </c>
      <c r="D986" s="8" t="s">
        <v>10041</v>
      </c>
      <c r="E986" s="8" t="s">
        <v>11133</v>
      </c>
    </row>
    <row r="987" spans="1:5" x14ac:dyDescent="0.25">
      <c r="A987" s="5" t="s">
        <v>2957</v>
      </c>
      <c r="B987" s="9" t="str">
        <f>HYPERLINK("http://biobank.ctsu.ox.ac.uk/crystal/field.cgi?id=27590", "27590")</f>
        <v>27590</v>
      </c>
      <c r="C987" s="8" t="s">
        <v>2959</v>
      </c>
      <c r="D987" s="8" t="s">
        <v>10041</v>
      </c>
      <c r="E987" s="8" t="s">
        <v>11134</v>
      </c>
    </row>
    <row r="988" spans="1:5" x14ac:dyDescent="0.25">
      <c r="A988" s="5" t="s">
        <v>2960</v>
      </c>
      <c r="B988" s="9" t="str">
        <f>HYPERLINK("http://biobank.ctsu.ox.ac.uk/crystal/field.cgi?id=27591", "27591")</f>
        <v>27591</v>
      </c>
      <c r="C988" s="8" t="s">
        <v>2962</v>
      </c>
      <c r="D988" s="8" t="s">
        <v>10041</v>
      </c>
      <c r="E988" s="8" t="s">
        <v>11135</v>
      </c>
    </row>
    <row r="989" spans="1:5" x14ac:dyDescent="0.25">
      <c r="A989" s="5" t="s">
        <v>2963</v>
      </c>
      <c r="B989" s="9" t="str">
        <f>HYPERLINK("http://biobank.ctsu.ox.ac.uk/crystal/field.cgi?id=27592", "27592")</f>
        <v>27592</v>
      </c>
      <c r="C989" s="8" t="s">
        <v>2965</v>
      </c>
      <c r="D989" s="8" t="s">
        <v>10041</v>
      </c>
      <c r="E989" s="8" t="s">
        <v>11136</v>
      </c>
    </row>
    <row r="990" spans="1:5" x14ac:dyDescent="0.25">
      <c r="A990" s="5" t="s">
        <v>2966</v>
      </c>
      <c r="B990" s="9" t="str">
        <f>HYPERLINK("http://biobank.ctsu.ox.ac.uk/crystal/field.cgi?id=27593", "27593")</f>
        <v>27593</v>
      </c>
      <c r="C990" s="8" t="s">
        <v>2968</v>
      </c>
      <c r="D990" s="8" t="s">
        <v>10041</v>
      </c>
      <c r="E990" s="8" t="s">
        <v>11137</v>
      </c>
    </row>
    <row r="991" spans="1:5" x14ac:dyDescent="0.25">
      <c r="A991" s="5" t="s">
        <v>2969</v>
      </c>
      <c r="B991" s="9" t="str">
        <f>HYPERLINK("http://biobank.ctsu.ox.ac.uk/crystal/field.cgi?id=27594", "27594")</f>
        <v>27594</v>
      </c>
      <c r="C991" s="8" t="s">
        <v>2971</v>
      </c>
      <c r="D991" s="8" t="s">
        <v>10041</v>
      </c>
      <c r="E991" s="8" t="s">
        <v>11138</v>
      </c>
    </row>
    <row r="992" spans="1:5" x14ac:dyDescent="0.25">
      <c r="A992" s="5" t="s">
        <v>2972</v>
      </c>
      <c r="B992" s="9" t="str">
        <f>HYPERLINK("http://biobank.ctsu.ox.ac.uk/crystal/field.cgi?id=27595", "27595")</f>
        <v>27595</v>
      </c>
      <c r="C992" s="8" t="s">
        <v>2974</v>
      </c>
      <c r="D992" s="8" t="s">
        <v>10041</v>
      </c>
      <c r="E992" s="8" t="s">
        <v>11139</v>
      </c>
    </row>
    <row r="993" spans="1:5" x14ac:dyDescent="0.25">
      <c r="A993" s="5" t="s">
        <v>2975</v>
      </c>
      <c r="B993" s="9" t="str">
        <f>HYPERLINK("http://biobank.ctsu.ox.ac.uk/crystal/field.cgi?id=27596", "27596")</f>
        <v>27596</v>
      </c>
      <c r="C993" s="8" t="s">
        <v>2977</v>
      </c>
      <c r="D993" s="8" t="s">
        <v>10041</v>
      </c>
      <c r="E993" s="8" t="s">
        <v>11140</v>
      </c>
    </row>
    <row r="994" spans="1:5" x14ac:dyDescent="0.25">
      <c r="A994" s="5" t="s">
        <v>2978</v>
      </c>
      <c r="B994" s="9" t="str">
        <f>HYPERLINK("http://biobank.ctsu.ox.ac.uk/crystal/field.cgi?id=27597", "27597")</f>
        <v>27597</v>
      </c>
      <c r="C994" s="8" t="s">
        <v>2980</v>
      </c>
      <c r="D994" s="8" t="s">
        <v>10041</v>
      </c>
      <c r="E994" s="8" t="s">
        <v>11141</v>
      </c>
    </row>
    <row r="995" spans="1:5" x14ac:dyDescent="0.25">
      <c r="A995" s="5" t="s">
        <v>2981</v>
      </c>
      <c r="B995" s="9" t="str">
        <f>HYPERLINK("http://biobank.ctsu.ox.ac.uk/crystal/field.cgi?id=27598", "27598")</f>
        <v>27598</v>
      </c>
      <c r="C995" s="8" t="s">
        <v>2983</v>
      </c>
      <c r="D995" s="8" t="s">
        <v>10041</v>
      </c>
      <c r="E995" s="8" t="s">
        <v>11142</v>
      </c>
    </row>
    <row r="996" spans="1:5" x14ac:dyDescent="0.25">
      <c r="A996" s="5" t="s">
        <v>2984</v>
      </c>
      <c r="B996" s="9" t="str">
        <f>HYPERLINK("http://biobank.ctsu.ox.ac.uk/crystal/field.cgi?id=27599", "27599")</f>
        <v>27599</v>
      </c>
      <c r="C996" s="8" t="s">
        <v>2986</v>
      </c>
      <c r="D996" s="8" t="s">
        <v>10041</v>
      </c>
      <c r="E996" s="8" t="s">
        <v>11143</v>
      </c>
    </row>
    <row r="997" spans="1:5" x14ac:dyDescent="0.25">
      <c r="A997" s="5" t="s">
        <v>2987</v>
      </c>
      <c r="B997" s="9" t="str">
        <f>HYPERLINK("http://biobank.ctsu.ox.ac.uk/crystal/field.cgi?id=27600", "27600")</f>
        <v>27600</v>
      </c>
      <c r="C997" s="8" t="s">
        <v>2989</v>
      </c>
      <c r="D997" s="8" t="s">
        <v>10041</v>
      </c>
      <c r="E997" s="8" t="s">
        <v>11144</v>
      </c>
    </row>
    <row r="998" spans="1:5" x14ac:dyDescent="0.25">
      <c r="A998" s="5" t="s">
        <v>2990</v>
      </c>
      <c r="B998" s="9" t="str">
        <f>HYPERLINK("http://biobank.ctsu.ox.ac.uk/crystal/field.cgi?id=27601", "27601")</f>
        <v>27601</v>
      </c>
      <c r="C998" s="8" t="s">
        <v>2992</v>
      </c>
      <c r="D998" s="8" t="s">
        <v>10041</v>
      </c>
      <c r="E998" s="8" t="s">
        <v>11145</v>
      </c>
    </row>
    <row r="999" spans="1:5" x14ac:dyDescent="0.25">
      <c r="A999" s="5" t="s">
        <v>2993</v>
      </c>
      <c r="B999" s="9" t="str">
        <f>HYPERLINK("http://biobank.ctsu.ox.ac.uk/crystal/field.cgi?id=27602", "27602")</f>
        <v>27602</v>
      </c>
      <c r="C999" s="8" t="s">
        <v>2995</v>
      </c>
      <c r="D999" s="8" t="s">
        <v>10041</v>
      </c>
      <c r="E999" s="8" t="s">
        <v>11146</v>
      </c>
    </row>
    <row r="1000" spans="1:5" x14ac:dyDescent="0.25">
      <c r="A1000" s="5" t="s">
        <v>2996</v>
      </c>
      <c r="B1000" s="9" t="str">
        <f>HYPERLINK("http://biobank.ctsu.ox.ac.uk/crystal/field.cgi?id=27603", "27603")</f>
        <v>27603</v>
      </c>
      <c r="C1000" s="8" t="s">
        <v>2998</v>
      </c>
      <c r="D1000" s="8" t="s">
        <v>10041</v>
      </c>
      <c r="E1000" s="8" t="s">
        <v>11147</v>
      </c>
    </row>
    <row r="1001" spans="1:5" x14ac:dyDescent="0.25">
      <c r="A1001" s="5" t="s">
        <v>2999</v>
      </c>
      <c r="B1001" s="9" t="str">
        <f>HYPERLINK("http://biobank.ctsu.ox.ac.uk/crystal/field.cgi?id=27604", "27604")</f>
        <v>27604</v>
      </c>
      <c r="C1001" s="8" t="s">
        <v>3001</v>
      </c>
      <c r="D1001" s="8" t="s">
        <v>10041</v>
      </c>
      <c r="E1001" s="8" t="s">
        <v>11148</v>
      </c>
    </row>
    <row r="1002" spans="1:5" x14ac:dyDescent="0.25">
      <c r="A1002" s="5" t="s">
        <v>3002</v>
      </c>
      <c r="B1002" s="9" t="str">
        <f>HYPERLINK("http://biobank.ctsu.ox.ac.uk/crystal/field.cgi?id=27605", "27605")</f>
        <v>27605</v>
      </c>
      <c r="C1002" s="8" t="s">
        <v>3004</v>
      </c>
      <c r="D1002" s="8" t="s">
        <v>10041</v>
      </c>
      <c r="E1002" s="8" t="s">
        <v>11149</v>
      </c>
    </row>
    <row r="1003" spans="1:5" x14ac:dyDescent="0.25">
      <c r="A1003" s="5" t="s">
        <v>3005</v>
      </c>
      <c r="B1003" s="9" t="str">
        <f>HYPERLINK("http://biobank.ctsu.ox.ac.uk/crystal/field.cgi?id=27606", "27606")</f>
        <v>27606</v>
      </c>
      <c r="C1003" s="8" t="s">
        <v>3007</v>
      </c>
      <c r="D1003" s="8" t="s">
        <v>10041</v>
      </c>
      <c r="E1003" s="8" t="s">
        <v>11150</v>
      </c>
    </row>
    <row r="1004" spans="1:5" x14ac:dyDescent="0.25">
      <c r="A1004" s="5" t="s">
        <v>3008</v>
      </c>
      <c r="B1004" s="9" t="str">
        <f>HYPERLINK("http://biobank.ctsu.ox.ac.uk/crystal/field.cgi?id=27607", "27607")</f>
        <v>27607</v>
      </c>
      <c r="C1004" s="8" t="s">
        <v>3010</v>
      </c>
      <c r="D1004" s="8" t="s">
        <v>10041</v>
      </c>
      <c r="E1004" s="8" t="s">
        <v>11151</v>
      </c>
    </row>
    <row r="1005" spans="1:5" x14ac:dyDescent="0.25">
      <c r="A1005" s="5" t="s">
        <v>3011</v>
      </c>
      <c r="B1005" s="9" t="str">
        <f>HYPERLINK("http://biobank.ctsu.ox.ac.uk/crystal/field.cgi?id=27608", "27608")</f>
        <v>27608</v>
      </c>
      <c r="C1005" s="8" t="s">
        <v>3013</v>
      </c>
      <c r="D1005" s="8" t="s">
        <v>10041</v>
      </c>
      <c r="E1005" s="8" t="s">
        <v>11152</v>
      </c>
    </row>
    <row r="1006" spans="1:5" x14ac:dyDescent="0.25">
      <c r="A1006" s="5" t="s">
        <v>3014</v>
      </c>
      <c r="B1006" s="9" t="str">
        <f>HYPERLINK("http://biobank.ctsu.ox.ac.uk/crystal/field.cgi?id=27609", "27609")</f>
        <v>27609</v>
      </c>
      <c r="C1006" s="8" t="s">
        <v>3016</v>
      </c>
      <c r="D1006" s="8" t="s">
        <v>10041</v>
      </c>
      <c r="E1006" s="8" t="s">
        <v>11153</v>
      </c>
    </row>
    <row r="1007" spans="1:5" x14ac:dyDescent="0.25">
      <c r="A1007" s="5" t="s">
        <v>3017</v>
      </c>
      <c r="B1007" s="9" t="str">
        <f>HYPERLINK("http://biobank.ctsu.ox.ac.uk/crystal/field.cgi?id=27610", "27610")</f>
        <v>27610</v>
      </c>
      <c r="C1007" s="8" t="s">
        <v>3019</v>
      </c>
      <c r="D1007" s="8" t="s">
        <v>10041</v>
      </c>
      <c r="E1007" s="8" t="s">
        <v>11154</v>
      </c>
    </row>
    <row r="1008" spans="1:5" x14ac:dyDescent="0.25">
      <c r="A1008" s="5" t="s">
        <v>3020</v>
      </c>
      <c r="B1008" s="9" t="str">
        <f>HYPERLINK("http://biobank.ctsu.ox.ac.uk/crystal/field.cgi?id=27611", "27611")</f>
        <v>27611</v>
      </c>
      <c r="C1008" s="8" t="s">
        <v>3022</v>
      </c>
      <c r="D1008" s="8" t="s">
        <v>10041</v>
      </c>
      <c r="E1008" s="8" t="s">
        <v>11155</v>
      </c>
    </row>
    <row r="1009" spans="1:5" x14ac:dyDescent="0.25">
      <c r="A1009" s="5" t="s">
        <v>3023</v>
      </c>
      <c r="B1009" s="9" t="str">
        <f>HYPERLINK("http://biobank.ctsu.ox.ac.uk/crystal/field.cgi?id=27612", "27612")</f>
        <v>27612</v>
      </c>
      <c r="C1009" s="8" t="s">
        <v>3025</v>
      </c>
      <c r="D1009" s="8" t="s">
        <v>10041</v>
      </c>
      <c r="E1009" s="8" t="s">
        <v>11156</v>
      </c>
    </row>
    <row r="1010" spans="1:5" x14ac:dyDescent="0.25">
      <c r="A1010" s="5" t="s">
        <v>3026</v>
      </c>
      <c r="B1010" s="9" t="str">
        <f>HYPERLINK("http://biobank.ctsu.ox.ac.uk/crystal/field.cgi?id=27613", "27613")</f>
        <v>27613</v>
      </c>
      <c r="C1010" s="8" t="s">
        <v>3028</v>
      </c>
      <c r="D1010" s="8" t="s">
        <v>10041</v>
      </c>
      <c r="E1010" s="8" t="s">
        <v>11157</v>
      </c>
    </row>
    <row r="1011" spans="1:5" x14ac:dyDescent="0.25">
      <c r="A1011" s="5" t="s">
        <v>3029</v>
      </c>
      <c r="B1011" s="9" t="str">
        <f>HYPERLINK("http://biobank.ctsu.ox.ac.uk/crystal/field.cgi?id=27614", "27614")</f>
        <v>27614</v>
      </c>
      <c r="C1011" s="8" t="s">
        <v>3031</v>
      </c>
      <c r="D1011" s="8" t="s">
        <v>10041</v>
      </c>
      <c r="E1011" s="8" t="s">
        <v>11158</v>
      </c>
    </row>
    <row r="1012" spans="1:5" x14ac:dyDescent="0.25">
      <c r="A1012" s="5" t="s">
        <v>3032</v>
      </c>
      <c r="B1012" s="9" t="str">
        <f>HYPERLINK("http://biobank.ctsu.ox.ac.uk/crystal/field.cgi?id=27615", "27615")</f>
        <v>27615</v>
      </c>
      <c r="C1012" s="8" t="s">
        <v>3034</v>
      </c>
      <c r="D1012" s="8" t="s">
        <v>10041</v>
      </c>
      <c r="E1012" s="8" t="s">
        <v>11159</v>
      </c>
    </row>
    <row r="1013" spans="1:5" x14ac:dyDescent="0.25">
      <c r="A1013" s="5" t="s">
        <v>3035</v>
      </c>
      <c r="B1013" s="9" t="str">
        <f>HYPERLINK("http://biobank.ctsu.ox.ac.uk/crystal/field.cgi?id=27616", "27616")</f>
        <v>27616</v>
      </c>
      <c r="C1013" s="8" t="s">
        <v>3037</v>
      </c>
      <c r="D1013" s="8" t="s">
        <v>10041</v>
      </c>
      <c r="E1013" s="8" t="s">
        <v>11160</v>
      </c>
    </row>
    <row r="1014" spans="1:5" x14ac:dyDescent="0.25">
      <c r="A1014" s="5" t="s">
        <v>3038</v>
      </c>
      <c r="B1014" s="9" t="str">
        <f>HYPERLINK("http://biobank.ctsu.ox.ac.uk/crystal/field.cgi?id=27617", "27617")</f>
        <v>27617</v>
      </c>
      <c r="C1014" s="8" t="s">
        <v>3040</v>
      </c>
      <c r="D1014" s="8" t="s">
        <v>10041</v>
      </c>
      <c r="E1014" s="8" t="s">
        <v>11161</v>
      </c>
    </row>
    <row r="1015" spans="1:5" x14ac:dyDescent="0.25">
      <c r="A1015" s="5" t="s">
        <v>3041</v>
      </c>
      <c r="B1015" s="9" t="str">
        <f>HYPERLINK("http://biobank.ctsu.ox.ac.uk/crystal/field.cgi?id=27618", "27618")</f>
        <v>27618</v>
      </c>
      <c r="C1015" s="8" t="s">
        <v>3043</v>
      </c>
      <c r="D1015" s="8" t="s">
        <v>10041</v>
      </c>
      <c r="E1015" s="8" t="s">
        <v>11162</v>
      </c>
    </row>
    <row r="1016" spans="1:5" x14ac:dyDescent="0.25">
      <c r="A1016" s="5" t="s">
        <v>3044</v>
      </c>
      <c r="B1016" s="9" t="str">
        <f>HYPERLINK("http://biobank.ctsu.ox.ac.uk/crystal/field.cgi?id=27619", "27619")</f>
        <v>27619</v>
      </c>
      <c r="C1016" s="8" t="s">
        <v>3046</v>
      </c>
      <c r="D1016" s="8" t="s">
        <v>10041</v>
      </c>
      <c r="E1016" s="8" t="s">
        <v>11163</v>
      </c>
    </row>
    <row r="1017" spans="1:5" x14ac:dyDescent="0.25">
      <c r="A1017" s="5" t="s">
        <v>3047</v>
      </c>
      <c r="B1017" s="9" t="str">
        <f>HYPERLINK("http://biobank.ctsu.ox.ac.uk/crystal/field.cgi?id=27620", "27620")</f>
        <v>27620</v>
      </c>
      <c r="C1017" s="8" t="s">
        <v>3049</v>
      </c>
      <c r="D1017" s="8" t="s">
        <v>10041</v>
      </c>
      <c r="E1017" s="8" t="s">
        <v>11164</v>
      </c>
    </row>
    <row r="1018" spans="1:5" x14ac:dyDescent="0.25">
      <c r="A1018" s="5" t="s">
        <v>3050</v>
      </c>
      <c r="B1018" s="9" t="str">
        <f>HYPERLINK("http://biobank.ctsu.ox.ac.uk/crystal/field.cgi?id=27621", "27621")</f>
        <v>27621</v>
      </c>
      <c r="C1018" s="8" t="s">
        <v>3052</v>
      </c>
      <c r="D1018" s="8" t="s">
        <v>10041</v>
      </c>
      <c r="E1018" s="8" t="s">
        <v>11165</v>
      </c>
    </row>
    <row r="1019" spans="1:5" x14ac:dyDescent="0.25">
      <c r="A1019" s="5" t="s">
        <v>3053</v>
      </c>
      <c r="B1019" s="9" t="str">
        <f>HYPERLINK("http://biobank.ctsu.ox.ac.uk/crystal/field.cgi?id=27622", "27622")</f>
        <v>27622</v>
      </c>
      <c r="C1019" s="8" t="s">
        <v>3055</v>
      </c>
      <c r="D1019" s="8" t="s">
        <v>10041</v>
      </c>
      <c r="E1019" s="8" t="s">
        <v>11166</v>
      </c>
    </row>
    <row r="1020" spans="1:5" x14ac:dyDescent="0.25">
      <c r="A1020" s="5" t="s">
        <v>3056</v>
      </c>
      <c r="B1020" s="9" t="str">
        <f>HYPERLINK("http://biobank.ctsu.ox.ac.uk/crystal/field.cgi?id=27623", "27623")</f>
        <v>27623</v>
      </c>
      <c r="C1020" s="8" t="s">
        <v>3058</v>
      </c>
      <c r="D1020" s="8" t="s">
        <v>10041</v>
      </c>
      <c r="E1020" s="8" t="s">
        <v>11167</v>
      </c>
    </row>
    <row r="1021" spans="1:5" x14ac:dyDescent="0.25">
      <c r="A1021" s="5" t="s">
        <v>3059</v>
      </c>
      <c r="B1021" s="9" t="str">
        <f>HYPERLINK("http://biobank.ctsu.ox.ac.uk/crystal/field.cgi?id=27624", "27624")</f>
        <v>27624</v>
      </c>
      <c r="C1021" s="8" t="s">
        <v>3061</v>
      </c>
      <c r="D1021" s="8" t="s">
        <v>10041</v>
      </c>
      <c r="E1021" s="8" t="s">
        <v>11168</v>
      </c>
    </row>
    <row r="1022" spans="1:5" x14ac:dyDescent="0.25">
      <c r="A1022" s="5" t="s">
        <v>3062</v>
      </c>
      <c r="B1022" s="9" t="str">
        <f>HYPERLINK("http://biobank.ctsu.ox.ac.uk/crystal/field.cgi?id=26755", "26755")</f>
        <v>26755</v>
      </c>
      <c r="C1022" s="8" t="s">
        <v>3064</v>
      </c>
      <c r="D1022" s="8" t="s">
        <v>10042</v>
      </c>
      <c r="E1022" s="8" t="s">
        <v>11169</v>
      </c>
    </row>
    <row r="1023" spans="1:5" x14ac:dyDescent="0.25">
      <c r="A1023" s="5" t="s">
        <v>3065</v>
      </c>
      <c r="B1023" s="9" t="str">
        <f>HYPERLINK("http://biobank.ctsu.ox.ac.uk/crystal/field.cgi?id=26756", "26756")</f>
        <v>26756</v>
      </c>
      <c r="C1023" s="8" t="s">
        <v>3067</v>
      </c>
      <c r="D1023" s="8" t="s">
        <v>10042</v>
      </c>
      <c r="E1023" s="8" t="s">
        <v>11170</v>
      </c>
    </row>
    <row r="1024" spans="1:5" x14ac:dyDescent="0.25">
      <c r="A1024" s="5" t="s">
        <v>3068</v>
      </c>
      <c r="B1024" s="9" t="str">
        <f>HYPERLINK("http://biobank.ctsu.ox.ac.uk/crystal/field.cgi?id=26757", "26757")</f>
        <v>26757</v>
      </c>
      <c r="C1024" s="8" t="s">
        <v>3070</v>
      </c>
      <c r="D1024" s="8" t="s">
        <v>10042</v>
      </c>
      <c r="E1024" s="8" t="s">
        <v>11171</v>
      </c>
    </row>
    <row r="1025" spans="1:5" x14ac:dyDescent="0.25">
      <c r="A1025" s="5" t="s">
        <v>3071</v>
      </c>
      <c r="B1025" s="9" t="str">
        <f>HYPERLINK("http://biobank.ctsu.ox.ac.uk/crystal/field.cgi?id=26758", "26758")</f>
        <v>26758</v>
      </c>
      <c r="C1025" s="8" t="s">
        <v>3073</v>
      </c>
      <c r="D1025" s="8" t="s">
        <v>10042</v>
      </c>
      <c r="E1025" s="8" t="s">
        <v>11172</v>
      </c>
    </row>
    <row r="1026" spans="1:5" x14ac:dyDescent="0.25">
      <c r="A1026" s="5" t="s">
        <v>3074</v>
      </c>
      <c r="B1026" s="9" t="str">
        <f>HYPERLINK("http://biobank.ctsu.ox.ac.uk/crystal/field.cgi?id=26759", "26759")</f>
        <v>26759</v>
      </c>
      <c r="C1026" s="8" t="s">
        <v>3076</v>
      </c>
      <c r="D1026" s="8" t="s">
        <v>10042</v>
      </c>
      <c r="E1026" s="8" t="s">
        <v>11173</v>
      </c>
    </row>
    <row r="1027" spans="1:5" x14ac:dyDescent="0.25">
      <c r="A1027" s="5" t="s">
        <v>3077</v>
      </c>
      <c r="B1027" s="9" t="str">
        <f>HYPERLINK("http://biobank.ctsu.ox.ac.uk/crystal/field.cgi?id=26760", "26760")</f>
        <v>26760</v>
      </c>
      <c r="C1027" s="8" t="s">
        <v>3079</v>
      </c>
      <c r="D1027" s="8" t="s">
        <v>10042</v>
      </c>
      <c r="E1027" s="8" t="s">
        <v>11174</v>
      </c>
    </row>
    <row r="1028" spans="1:5" x14ac:dyDescent="0.25">
      <c r="A1028" s="5" t="s">
        <v>3080</v>
      </c>
      <c r="B1028" s="9" t="str">
        <f>HYPERLINK("http://biobank.ctsu.ox.ac.uk/crystal/field.cgi?id=26761", "26761")</f>
        <v>26761</v>
      </c>
      <c r="C1028" s="8" t="s">
        <v>3082</v>
      </c>
      <c r="D1028" s="8" t="s">
        <v>10042</v>
      </c>
      <c r="E1028" s="8" t="s">
        <v>11175</v>
      </c>
    </row>
    <row r="1029" spans="1:5" x14ac:dyDescent="0.25">
      <c r="A1029" s="5" t="s">
        <v>3083</v>
      </c>
      <c r="B1029" s="9" t="str">
        <f>HYPERLINK("http://biobank.ctsu.ox.ac.uk/crystal/field.cgi?id=26762", "26762")</f>
        <v>26762</v>
      </c>
      <c r="C1029" s="8" t="s">
        <v>3085</v>
      </c>
      <c r="D1029" s="8" t="s">
        <v>10042</v>
      </c>
      <c r="E1029" s="8" t="s">
        <v>11176</v>
      </c>
    </row>
    <row r="1030" spans="1:5" x14ac:dyDescent="0.25">
      <c r="A1030" s="5" t="s">
        <v>3086</v>
      </c>
      <c r="B1030" s="9" t="str">
        <f>HYPERLINK("http://biobank.ctsu.ox.ac.uk/crystal/field.cgi?id=26763", "26763")</f>
        <v>26763</v>
      </c>
      <c r="C1030" s="8" t="s">
        <v>3088</v>
      </c>
      <c r="D1030" s="8" t="s">
        <v>10042</v>
      </c>
      <c r="E1030" s="8" t="s">
        <v>11177</v>
      </c>
    </row>
    <row r="1031" spans="1:5" x14ac:dyDescent="0.25">
      <c r="A1031" s="5" t="s">
        <v>3089</v>
      </c>
      <c r="B1031" s="9" t="str">
        <f>HYPERLINK("http://biobank.ctsu.ox.ac.uk/crystal/field.cgi?id=26764", "26764")</f>
        <v>26764</v>
      </c>
      <c r="C1031" s="8" t="s">
        <v>3091</v>
      </c>
      <c r="D1031" s="8" t="s">
        <v>10042</v>
      </c>
      <c r="E1031" s="8" t="s">
        <v>11178</v>
      </c>
    </row>
    <row r="1032" spans="1:5" x14ac:dyDescent="0.25">
      <c r="A1032" s="5" t="s">
        <v>3092</v>
      </c>
      <c r="B1032" s="9" t="str">
        <f>HYPERLINK("http://biobank.ctsu.ox.ac.uk/crystal/field.cgi?id=26765", "26765")</f>
        <v>26765</v>
      </c>
      <c r="C1032" s="8" t="s">
        <v>3094</v>
      </c>
      <c r="D1032" s="8" t="s">
        <v>10042</v>
      </c>
      <c r="E1032" s="8" t="s">
        <v>11179</v>
      </c>
    </row>
    <row r="1033" spans="1:5" x14ac:dyDescent="0.25">
      <c r="A1033" s="5" t="s">
        <v>3095</v>
      </c>
      <c r="B1033" s="9" t="str">
        <f>HYPERLINK("http://biobank.ctsu.ox.ac.uk/crystal/field.cgi?id=26766", "26766")</f>
        <v>26766</v>
      </c>
      <c r="C1033" s="8" t="s">
        <v>3097</v>
      </c>
      <c r="D1033" s="8" t="s">
        <v>10042</v>
      </c>
      <c r="E1033" s="8" t="s">
        <v>11180</v>
      </c>
    </row>
    <row r="1034" spans="1:5" x14ac:dyDescent="0.25">
      <c r="A1034" s="5" t="s">
        <v>3098</v>
      </c>
      <c r="B1034" s="9" t="str">
        <f>HYPERLINK("http://biobank.ctsu.ox.ac.uk/crystal/field.cgi?id=26767", "26767")</f>
        <v>26767</v>
      </c>
      <c r="C1034" s="8" t="s">
        <v>3100</v>
      </c>
      <c r="D1034" s="8" t="s">
        <v>10042</v>
      </c>
      <c r="E1034" s="8" t="s">
        <v>11181</v>
      </c>
    </row>
    <row r="1035" spans="1:5" x14ac:dyDescent="0.25">
      <c r="A1035" s="5" t="s">
        <v>3101</v>
      </c>
      <c r="B1035" s="9" t="str">
        <f>HYPERLINK("http://biobank.ctsu.ox.ac.uk/crystal/field.cgi?id=26768", "26768")</f>
        <v>26768</v>
      </c>
      <c r="C1035" s="8" t="s">
        <v>3103</v>
      </c>
      <c r="D1035" s="8" t="s">
        <v>10042</v>
      </c>
      <c r="E1035" s="8" t="s">
        <v>11182</v>
      </c>
    </row>
    <row r="1036" spans="1:5" x14ac:dyDescent="0.25">
      <c r="A1036" s="5" t="s">
        <v>3104</v>
      </c>
      <c r="B1036" s="9" t="str">
        <f>HYPERLINK("http://biobank.ctsu.ox.ac.uk/crystal/field.cgi?id=26769", "26769")</f>
        <v>26769</v>
      </c>
      <c r="C1036" s="8" t="s">
        <v>3106</v>
      </c>
      <c r="D1036" s="8" t="s">
        <v>10042</v>
      </c>
      <c r="E1036" s="8" t="s">
        <v>11183</v>
      </c>
    </row>
    <row r="1037" spans="1:5" x14ac:dyDescent="0.25">
      <c r="A1037" s="5" t="s">
        <v>3107</v>
      </c>
      <c r="B1037" s="9" t="str">
        <f>HYPERLINK("http://biobank.ctsu.ox.ac.uk/crystal/field.cgi?id=26770", "26770")</f>
        <v>26770</v>
      </c>
      <c r="C1037" s="8" t="s">
        <v>3109</v>
      </c>
      <c r="D1037" s="8" t="s">
        <v>10042</v>
      </c>
      <c r="E1037" s="8" t="s">
        <v>11184</v>
      </c>
    </row>
    <row r="1038" spans="1:5" x14ac:dyDescent="0.25">
      <c r="A1038" s="5" t="s">
        <v>3110</v>
      </c>
      <c r="B1038" s="9" t="str">
        <f>HYPERLINK("http://biobank.ctsu.ox.ac.uk/crystal/field.cgi?id=26771", "26771")</f>
        <v>26771</v>
      </c>
      <c r="C1038" s="8" t="s">
        <v>3112</v>
      </c>
      <c r="D1038" s="8" t="s">
        <v>10042</v>
      </c>
      <c r="E1038" s="8" t="s">
        <v>11185</v>
      </c>
    </row>
    <row r="1039" spans="1:5" x14ac:dyDescent="0.25">
      <c r="A1039" s="5" t="s">
        <v>3113</v>
      </c>
      <c r="B1039" s="9" t="str">
        <f>HYPERLINK("http://biobank.ctsu.ox.ac.uk/crystal/field.cgi?id=26772", "26772")</f>
        <v>26772</v>
      </c>
      <c r="C1039" s="8" t="s">
        <v>3115</v>
      </c>
      <c r="D1039" s="8" t="s">
        <v>10042</v>
      </c>
      <c r="E1039" s="8" t="s">
        <v>11186</v>
      </c>
    </row>
    <row r="1040" spans="1:5" x14ac:dyDescent="0.25">
      <c r="A1040" s="5" t="s">
        <v>3116</v>
      </c>
      <c r="B1040" s="9" t="str">
        <f>HYPERLINK("http://biobank.ctsu.ox.ac.uk/crystal/field.cgi?id=26773", "26773")</f>
        <v>26773</v>
      </c>
      <c r="C1040" s="8" t="s">
        <v>3118</v>
      </c>
      <c r="D1040" s="8" t="s">
        <v>10042</v>
      </c>
      <c r="E1040" s="8" t="s">
        <v>11187</v>
      </c>
    </row>
    <row r="1041" spans="1:5" x14ac:dyDescent="0.25">
      <c r="A1041" s="5" t="s">
        <v>3119</v>
      </c>
      <c r="B1041" s="9" t="str">
        <f>HYPERLINK("http://biobank.ctsu.ox.ac.uk/crystal/field.cgi?id=26774", "26774")</f>
        <v>26774</v>
      </c>
      <c r="C1041" s="8" t="s">
        <v>3121</v>
      </c>
      <c r="D1041" s="8" t="s">
        <v>10042</v>
      </c>
      <c r="E1041" s="8" t="s">
        <v>11188</v>
      </c>
    </row>
    <row r="1042" spans="1:5" x14ac:dyDescent="0.25">
      <c r="A1042" s="5" t="s">
        <v>3122</v>
      </c>
      <c r="B1042" s="9" t="str">
        <f>HYPERLINK("http://biobank.ctsu.ox.ac.uk/crystal/field.cgi?id=26775", "26775")</f>
        <v>26775</v>
      </c>
      <c r="C1042" s="8" t="s">
        <v>3124</v>
      </c>
      <c r="D1042" s="8" t="s">
        <v>10042</v>
      </c>
      <c r="E1042" s="8" t="s">
        <v>11189</v>
      </c>
    </row>
    <row r="1043" spans="1:5" x14ac:dyDescent="0.25">
      <c r="A1043" s="5" t="s">
        <v>3125</v>
      </c>
      <c r="B1043" s="9" t="str">
        <f>HYPERLINK("http://biobank.ctsu.ox.ac.uk/crystal/field.cgi?id=26776", "26776")</f>
        <v>26776</v>
      </c>
      <c r="C1043" s="8" t="s">
        <v>3127</v>
      </c>
      <c r="D1043" s="8" t="s">
        <v>10042</v>
      </c>
      <c r="E1043" s="8" t="s">
        <v>11190</v>
      </c>
    </row>
    <row r="1044" spans="1:5" x14ac:dyDescent="0.25">
      <c r="A1044" s="5" t="s">
        <v>3128</v>
      </c>
      <c r="B1044" s="9" t="str">
        <f>HYPERLINK("http://biobank.ctsu.ox.ac.uk/crystal/field.cgi?id=26777", "26777")</f>
        <v>26777</v>
      </c>
      <c r="C1044" s="8" t="s">
        <v>3130</v>
      </c>
      <c r="D1044" s="8" t="s">
        <v>10042</v>
      </c>
      <c r="E1044" s="8" t="s">
        <v>11191</v>
      </c>
    </row>
    <row r="1045" spans="1:5" x14ac:dyDescent="0.25">
      <c r="A1045" s="5" t="s">
        <v>3131</v>
      </c>
      <c r="B1045" s="9" t="str">
        <f>HYPERLINK("http://biobank.ctsu.ox.ac.uk/crystal/field.cgi?id=26778", "26778")</f>
        <v>26778</v>
      </c>
      <c r="C1045" s="8" t="s">
        <v>3133</v>
      </c>
      <c r="D1045" s="8" t="s">
        <v>10042</v>
      </c>
      <c r="E1045" s="8" t="s">
        <v>11192</v>
      </c>
    </row>
    <row r="1046" spans="1:5" x14ac:dyDescent="0.25">
      <c r="A1046" s="5" t="s">
        <v>3134</v>
      </c>
      <c r="B1046" s="9" t="str">
        <f>HYPERLINK("http://biobank.ctsu.ox.ac.uk/crystal/field.cgi?id=26779", "26779")</f>
        <v>26779</v>
      </c>
      <c r="C1046" s="8" t="s">
        <v>3136</v>
      </c>
      <c r="D1046" s="8" t="s">
        <v>10042</v>
      </c>
      <c r="E1046" s="8" t="s">
        <v>11193</v>
      </c>
    </row>
    <row r="1047" spans="1:5" x14ac:dyDescent="0.25">
      <c r="A1047" s="5" t="s">
        <v>3137</v>
      </c>
      <c r="B1047" s="9" t="str">
        <f>HYPERLINK("http://biobank.ctsu.ox.ac.uk/crystal/field.cgi?id=26780", "26780")</f>
        <v>26780</v>
      </c>
      <c r="C1047" s="8" t="s">
        <v>3139</v>
      </c>
      <c r="D1047" s="8" t="s">
        <v>10042</v>
      </c>
      <c r="E1047" s="8" t="s">
        <v>11194</v>
      </c>
    </row>
    <row r="1048" spans="1:5" x14ac:dyDescent="0.25">
      <c r="A1048" s="5" t="s">
        <v>3140</v>
      </c>
      <c r="B1048" s="9" t="str">
        <f>HYPERLINK("http://biobank.ctsu.ox.ac.uk/crystal/field.cgi?id=26781", "26781")</f>
        <v>26781</v>
      </c>
      <c r="C1048" s="8" t="s">
        <v>3142</v>
      </c>
      <c r="D1048" s="8" t="s">
        <v>10042</v>
      </c>
      <c r="E1048" s="8" t="s">
        <v>11195</v>
      </c>
    </row>
    <row r="1049" spans="1:5" x14ac:dyDescent="0.25">
      <c r="A1049" s="5" t="s">
        <v>3143</v>
      </c>
      <c r="B1049" s="9" t="str">
        <f>HYPERLINK("http://biobank.ctsu.ox.ac.uk/crystal/field.cgi?id=26782", "26782")</f>
        <v>26782</v>
      </c>
      <c r="C1049" s="8" t="s">
        <v>3145</v>
      </c>
      <c r="D1049" s="8" t="s">
        <v>10042</v>
      </c>
      <c r="E1049" s="8" t="s">
        <v>11196</v>
      </c>
    </row>
    <row r="1050" spans="1:5" x14ac:dyDescent="0.25">
      <c r="A1050" s="5" t="s">
        <v>3146</v>
      </c>
      <c r="B1050" s="9" t="str">
        <f>HYPERLINK("http://biobank.ctsu.ox.ac.uk/crystal/field.cgi?id=26783", "26783")</f>
        <v>26783</v>
      </c>
      <c r="C1050" s="8" t="s">
        <v>3148</v>
      </c>
      <c r="D1050" s="8" t="s">
        <v>10042</v>
      </c>
      <c r="E1050" s="8" t="s">
        <v>11197</v>
      </c>
    </row>
    <row r="1051" spans="1:5" x14ac:dyDescent="0.25">
      <c r="A1051" s="5" t="s">
        <v>3149</v>
      </c>
      <c r="B1051" s="9" t="str">
        <f>HYPERLINK("http://biobank.ctsu.ox.ac.uk/crystal/field.cgi?id=26784", "26784")</f>
        <v>26784</v>
      </c>
      <c r="C1051" s="8" t="s">
        <v>3151</v>
      </c>
      <c r="D1051" s="8" t="s">
        <v>10042</v>
      </c>
      <c r="E1051" s="8" t="s">
        <v>11198</v>
      </c>
    </row>
    <row r="1052" spans="1:5" x14ac:dyDescent="0.25">
      <c r="A1052" s="5" t="s">
        <v>3152</v>
      </c>
      <c r="B1052" s="9" t="str">
        <f>HYPERLINK("http://biobank.ctsu.ox.ac.uk/crystal/field.cgi?id=26785", "26785")</f>
        <v>26785</v>
      </c>
      <c r="C1052" s="8" t="s">
        <v>3154</v>
      </c>
      <c r="D1052" s="8" t="s">
        <v>10042</v>
      </c>
      <c r="E1052" s="8" t="s">
        <v>11199</v>
      </c>
    </row>
    <row r="1053" spans="1:5" x14ac:dyDescent="0.25">
      <c r="A1053" s="5" t="s">
        <v>3155</v>
      </c>
      <c r="B1053" s="9" t="str">
        <f>HYPERLINK("http://biobank.ctsu.ox.ac.uk/crystal/field.cgi?id=26786", "26786")</f>
        <v>26786</v>
      </c>
      <c r="C1053" s="8" t="s">
        <v>3157</v>
      </c>
      <c r="D1053" s="8" t="s">
        <v>10042</v>
      </c>
      <c r="E1053" s="8" t="s">
        <v>11200</v>
      </c>
    </row>
    <row r="1054" spans="1:5" x14ac:dyDescent="0.25">
      <c r="A1054" s="5" t="s">
        <v>3158</v>
      </c>
      <c r="B1054" s="9" t="str">
        <f>HYPERLINK("http://biobank.ctsu.ox.ac.uk/crystal/field.cgi?id=26787", "26787")</f>
        <v>26787</v>
      </c>
      <c r="C1054" s="8" t="s">
        <v>3160</v>
      </c>
      <c r="D1054" s="8" t="s">
        <v>10042</v>
      </c>
      <c r="E1054" s="8" t="s">
        <v>11201</v>
      </c>
    </row>
    <row r="1055" spans="1:5" x14ac:dyDescent="0.25">
      <c r="A1055" s="5" t="s">
        <v>3161</v>
      </c>
      <c r="B1055" s="9" t="str">
        <f>HYPERLINK("http://biobank.ctsu.ox.ac.uk/crystal/field.cgi?id=26788", "26788")</f>
        <v>26788</v>
      </c>
      <c r="C1055" s="8" t="s">
        <v>3163</v>
      </c>
      <c r="D1055" s="8" t="s">
        <v>10042</v>
      </c>
      <c r="E1055" s="8" t="s">
        <v>11202</v>
      </c>
    </row>
    <row r="1056" spans="1:5" x14ac:dyDescent="0.25">
      <c r="A1056" s="5" t="s">
        <v>3164</v>
      </c>
      <c r="B1056" s="9" t="str">
        <f>HYPERLINK("http://biobank.ctsu.ox.ac.uk/crystal/field.cgi?id=26856", "26856")</f>
        <v>26856</v>
      </c>
      <c r="C1056" s="8" t="s">
        <v>3166</v>
      </c>
      <c r="D1056" s="8" t="s">
        <v>10042</v>
      </c>
      <c r="E1056" s="8" t="s">
        <v>11203</v>
      </c>
    </row>
    <row r="1057" spans="1:5" x14ac:dyDescent="0.25">
      <c r="A1057" s="5" t="s">
        <v>3167</v>
      </c>
      <c r="B1057" s="9" t="str">
        <f>HYPERLINK("http://biobank.ctsu.ox.ac.uk/crystal/field.cgi?id=26857", "26857")</f>
        <v>26857</v>
      </c>
      <c r="C1057" s="8" t="s">
        <v>3169</v>
      </c>
      <c r="D1057" s="8" t="s">
        <v>10042</v>
      </c>
      <c r="E1057" s="8" t="s">
        <v>11204</v>
      </c>
    </row>
    <row r="1058" spans="1:5" x14ac:dyDescent="0.25">
      <c r="A1058" s="5" t="s">
        <v>3170</v>
      </c>
      <c r="B1058" s="9" t="str">
        <f>HYPERLINK("http://biobank.ctsu.ox.ac.uk/crystal/field.cgi?id=26858", "26858")</f>
        <v>26858</v>
      </c>
      <c r="C1058" s="8" t="s">
        <v>3172</v>
      </c>
      <c r="D1058" s="8" t="s">
        <v>10042</v>
      </c>
      <c r="E1058" s="8" t="s">
        <v>11205</v>
      </c>
    </row>
    <row r="1059" spans="1:5" x14ac:dyDescent="0.25">
      <c r="A1059" s="5" t="s">
        <v>3173</v>
      </c>
      <c r="B1059" s="9" t="str">
        <f>HYPERLINK("http://biobank.ctsu.ox.ac.uk/crystal/field.cgi?id=26859", "26859")</f>
        <v>26859</v>
      </c>
      <c r="C1059" s="8" t="s">
        <v>3175</v>
      </c>
      <c r="D1059" s="8" t="s">
        <v>10042</v>
      </c>
      <c r="E1059" s="8" t="s">
        <v>11206</v>
      </c>
    </row>
    <row r="1060" spans="1:5" x14ac:dyDescent="0.25">
      <c r="A1060" s="5" t="s">
        <v>3176</v>
      </c>
      <c r="B1060" s="9" t="str">
        <f>HYPERLINK("http://biobank.ctsu.ox.ac.uk/crystal/field.cgi?id=26860", "26860")</f>
        <v>26860</v>
      </c>
      <c r="C1060" s="8" t="s">
        <v>3178</v>
      </c>
      <c r="D1060" s="8" t="s">
        <v>10042</v>
      </c>
      <c r="E1060" s="8" t="s">
        <v>11207</v>
      </c>
    </row>
    <row r="1061" spans="1:5" x14ac:dyDescent="0.25">
      <c r="A1061" s="5" t="s">
        <v>3179</v>
      </c>
      <c r="B1061" s="9" t="str">
        <f>HYPERLINK("http://biobank.ctsu.ox.ac.uk/crystal/field.cgi?id=26861", "26861")</f>
        <v>26861</v>
      </c>
      <c r="C1061" s="8" t="s">
        <v>3181</v>
      </c>
      <c r="D1061" s="8" t="s">
        <v>10042</v>
      </c>
      <c r="E1061" s="8" t="s">
        <v>11208</v>
      </c>
    </row>
    <row r="1062" spans="1:5" x14ac:dyDescent="0.25">
      <c r="A1062" s="5" t="s">
        <v>3182</v>
      </c>
      <c r="B1062" s="9" t="str">
        <f>HYPERLINK("http://biobank.ctsu.ox.ac.uk/crystal/field.cgi?id=26862", "26862")</f>
        <v>26862</v>
      </c>
      <c r="C1062" s="8" t="s">
        <v>3184</v>
      </c>
      <c r="D1062" s="8" t="s">
        <v>10042</v>
      </c>
      <c r="E1062" s="8" t="s">
        <v>11209</v>
      </c>
    </row>
    <row r="1063" spans="1:5" x14ac:dyDescent="0.25">
      <c r="A1063" s="5" t="s">
        <v>3185</v>
      </c>
      <c r="B1063" s="9" t="str">
        <f>HYPERLINK("http://biobank.ctsu.ox.ac.uk/crystal/field.cgi?id=26863", "26863")</f>
        <v>26863</v>
      </c>
      <c r="C1063" s="8" t="s">
        <v>3187</v>
      </c>
      <c r="D1063" s="8" t="s">
        <v>10042</v>
      </c>
      <c r="E1063" s="8" t="s">
        <v>11210</v>
      </c>
    </row>
    <row r="1064" spans="1:5" x14ac:dyDescent="0.25">
      <c r="A1064" s="5" t="s">
        <v>3188</v>
      </c>
      <c r="B1064" s="9" t="str">
        <f>HYPERLINK("http://biobank.ctsu.ox.ac.uk/crystal/field.cgi?id=26864", "26864")</f>
        <v>26864</v>
      </c>
      <c r="C1064" s="8" t="s">
        <v>3190</v>
      </c>
      <c r="D1064" s="8" t="s">
        <v>10042</v>
      </c>
      <c r="E1064" s="8" t="s">
        <v>11211</v>
      </c>
    </row>
    <row r="1065" spans="1:5" x14ac:dyDescent="0.25">
      <c r="A1065" s="5" t="s">
        <v>3191</v>
      </c>
      <c r="B1065" s="9" t="str">
        <f>HYPERLINK("http://biobank.ctsu.ox.ac.uk/crystal/field.cgi?id=26865", "26865")</f>
        <v>26865</v>
      </c>
      <c r="C1065" s="8" t="s">
        <v>3193</v>
      </c>
      <c r="D1065" s="8" t="s">
        <v>10042</v>
      </c>
      <c r="E1065" s="8" t="s">
        <v>11212</v>
      </c>
    </row>
    <row r="1066" spans="1:5" x14ac:dyDescent="0.25">
      <c r="A1066" s="5" t="s">
        <v>3194</v>
      </c>
      <c r="B1066" s="9" t="str">
        <f>HYPERLINK("http://biobank.ctsu.ox.ac.uk/crystal/field.cgi?id=26866", "26866")</f>
        <v>26866</v>
      </c>
      <c r="C1066" s="8" t="s">
        <v>3196</v>
      </c>
      <c r="D1066" s="8" t="s">
        <v>10042</v>
      </c>
      <c r="E1066" s="8" t="s">
        <v>11213</v>
      </c>
    </row>
    <row r="1067" spans="1:5" x14ac:dyDescent="0.25">
      <c r="A1067" s="5" t="s">
        <v>3197</v>
      </c>
      <c r="B1067" s="9" t="str">
        <f>HYPERLINK("http://biobank.ctsu.ox.ac.uk/crystal/field.cgi?id=26867", "26867")</f>
        <v>26867</v>
      </c>
      <c r="C1067" s="8" t="s">
        <v>3199</v>
      </c>
      <c r="D1067" s="8" t="s">
        <v>10042</v>
      </c>
      <c r="E1067" s="8" t="s">
        <v>11214</v>
      </c>
    </row>
    <row r="1068" spans="1:5" x14ac:dyDescent="0.25">
      <c r="A1068" s="5" t="s">
        <v>3200</v>
      </c>
      <c r="B1068" s="9" t="str">
        <f>HYPERLINK("http://biobank.ctsu.ox.ac.uk/crystal/field.cgi?id=26868", "26868")</f>
        <v>26868</v>
      </c>
      <c r="C1068" s="8" t="s">
        <v>3202</v>
      </c>
      <c r="D1068" s="8" t="s">
        <v>10042</v>
      </c>
      <c r="E1068" s="8" t="s">
        <v>11215</v>
      </c>
    </row>
    <row r="1069" spans="1:5" x14ac:dyDescent="0.25">
      <c r="A1069" s="5" t="s">
        <v>3203</v>
      </c>
      <c r="B1069" s="9" t="str">
        <f>HYPERLINK("http://biobank.ctsu.ox.ac.uk/crystal/field.cgi?id=26869", "26869")</f>
        <v>26869</v>
      </c>
      <c r="C1069" s="8" t="s">
        <v>3205</v>
      </c>
      <c r="D1069" s="8" t="s">
        <v>10042</v>
      </c>
      <c r="E1069" s="8" t="s">
        <v>11216</v>
      </c>
    </row>
    <row r="1070" spans="1:5" x14ac:dyDescent="0.25">
      <c r="A1070" s="5" t="s">
        <v>3206</v>
      </c>
      <c r="B1070" s="9" t="str">
        <f>HYPERLINK("http://biobank.ctsu.ox.ac.uk/crystal/field.cgi?id=26870", "26870")</f>
        <v>26870</v>
      </c>
      <c r="C1070" s="8" t="s">
        <v>3208</v>
      </c>
      <c r="D1070" s="8" t="s">
        <v>10042</v>
      </c>
      <c r="E1070" s="8" t="s">
        <v>11217</v>
      </c>
    </row>
    <row r="1071" spans="1:5" x14ac:dyDescent="0.25">
      <c r="A1071" s="5" t="s">
        <v>3209</v>
      </c>
      <c r="B1071" s="9" t="str">
        <f>HYPERLINK("http://biobank.ctsu.ox.ac.uk/crystal/field.cgi?id=26871", "26871")</f>
        <v>26871</v>
      </c>
      <c r="C1071" s="8" t="s">
        <v>3211</v>
      </c>
      <c r="D1071" s="8" t="s">
        <v>10042</v>
      </c>
      <c r="E1071" s="8" t="s">
        <v>11218</v>
      </c>
    </row>
    <row r="1072" spans="1:5" x14ac:dyDescent="0.25">
      <c r="A1072" s="5" t="s">
        <v>3212</v>
      </c>
      <c r="B1072" s="9" t="str">
        <f>HYPERLINK("http://biobank.ctsu.ox.ac.uk/crystal/field.cgi?id=26872", "26872")</f>
        <v>26872</v>
      </c>
      <c r="C1072" s="8" t="s">
        <v>3214</v>
      </c>
      <c r="D1072" s="8" t="s">
        <v>10042</v>
      </c>
      <c r="E1072" s="8" t="s">
        <v>11219</v>
      </c>
    </row>
    <row r="1073" spans="1:5" x14ac:dyDescent="0.25">
      <c r="A1073" s="5" t="s">
        <v>3215</v>
      </c>
      <c r="B1073" s="9" t="str">
        <f>HYPERLINK("http://biobank.ctsu.ox.ac.uk/crystal/field.cgi?id=26873", "26873")</f>
        <v>26873</v>
      </c>
      <c r="C1073" s="8" t="s">
        <v>3217</v>
      </c>
      <c r="D1073" s="8" t="s">
        <v>10042</v>
      </c>
      <c r="E1073" s="8" t="s">
        <v>11220</v>
      </c>
    </row>
    <row r="1074" spans="1:5" x14ac:dyDescent="0.25">
      <c r="A1074" s="5" t="s">
        <v>3218</v>
      </c>
      <c r="B1074" s="9" t="str">
        <f>HYPERLINK("http://biobank.ctsu.ox.ac.uk/crystal/field.cgi?id=26874", "26874")</f>
        <v>26874</v>
      </c>
      <c r="C1074" s="8" t="s">
        <v>3220</v>
      </c>
      <c r="D1074" s="8" t="s">
        <v>10042</v>
      </c>
      <c r="E1074" s="8" t="s">
        <v>11221</v>
      </c>
    </row>
    <row r="1075" spans="1:5" x14ac:dyDescent="0.25">
      <c r="A1075" s="5" t="s">
        <v>3221</v>
      </c>
      <c r="B1075" s="9" t="str">
        <f>HYPERLINK("http://biobank.ctsu.ox.ac.uk/crystal/field.cgi?id=26875", "26875")</f>
        <v>26875</v>
      </c>
      <c r="C1075" s="8" t="s">
        <v>3223</v>
      </c>
      <c r="D1075" s="8" t="s">
        <v>10042</v>
      </c>
      <c r="E1075" s="8" t="s">
        <v>11222</v>
      </c>
    </row>
    <row r="1076" spans="1:5" x14ac:dyDescent="0.25">
      <c r="A1076" s="5" t="s">
        <v>3224</v>
      </c>
      <c r="B1076" s="9" t="str">
        <f>HYPERLINK("http://biobank.ctsu.ox.ac.uk/crystal/field.cgi?id=26876", "26876")</f>
        <v>26876</v>
      </c>
      <c r="C1076" s="8" t="s">
        <v>3226</v>
      </c>
      <c r="D1076" s="8" t="s">
        <v>10042</v>
      </c>
      <c r="E1076" s="8" t="s">
        <v>11223</v>
      </c>
    </row>
    <row r="1077" spans="1:5" x14ac:dyDescent="0.25">
      <c r="A1077" s="5" t="s">
        <v>3227</v>
      </c>
      <c r="B1077" s="9" t="str">
        <f>HYPERLINK("http://biobank.ctsu.ox.ac.uk/crystal/field.cgi?id=26877", "26877")</f>
        <v>26877</v>
      </c>
      <c r="C1077" s="8" t="s">
        <v>3229</v>
      </c>
      <c r="D1077" s="8" t="s">
        <v>10042</v>
      </c>
      <c r="E1077" s="8" t="s">
        <v>11224</v>
      </c>
    </row>
    <row r="1078" spans="1:5" x14ac:dyDescent="0.25">
      <c r="A1078" s="5" t="s">
        <v>3230</v>
      </c>
      <c r="B1078" s="9" t="str">
        <f>HYPERLINK("http://biobank.ctsu.ox.ac.uk/crystal/field.cgi?id=26878", "26878")</f>
        <v>26878</v>
      </c>
      <c r="C1078" s="8" t="s">
        <v>3232</v>
      </c>
      <c r="D1078" s="8" t="s">
        <v>10042</v>
      </c>
      <c r="E1078" s="8" t="s">
        <v>11225</v>
      </c>
    </row>
    <row r="1079" spans="1:5" x14ac:dyDescent="0.25">
      <c r="A1079" s="5" t="s">
        <v>3233</v>
      </c>
      <c r="B1079" s="9" t="str">
        <f>HYPERLINK("http://biobank.ctsu.ox.ac.uk/crystal/field.cgi?id=26879", "26879")</f>
        <v>26879</v>
      </c>
      <c r="C1079" s="8" t="s">
        <v>3235</v>
      </c>
      <c r="D1079" s="8" t="s">
        <v>10042</v>
      </c>
      <c r="E1079" s="8" t="s">
        <v>11226</v>
      </c>
    </row>
    <row r="1080" spans="1:5" x14ac:dyDescent="0.25">
      <c r="A1080" s="5" t="s">
        <v>3236</v>
      </c>
      <c r="B1080" s="9" t="str">
        <f>HYPERLINK("http://biobank.ctsu.ox.ac.uk/crystal/field.cgi?id=26880", "26880")</f>
        <v>26880</v>
      </c>
      <c r="C1080" s="8" t="s">
        <v>3238</v>
      </c>
      <c r="D1080" s="8" t="s">
        <v>10042</v>
      </c>
      <c r="E1080" s="8" t="s">
        <v>11227</v>
      </c>
    </row>
    <row r="1081" spans="1:5" x14ac:dyDescent="0.25">
      <c r="A1081" s="5" t="s">
        <v>3239</v>
      </c>
      <c r="B1081" s="9" t="str">
        <f>HYPERLINK("http://biobank.ctsu.ox.ac.uk/crystal/field.cgi?id=26881", "26881")</f>
        <v>26881</v>
      </c>
      <c r="C1081" s="8" t="s">
        <v>3241</v>
      </c>
      <c r="D1081" s="8" t="s">
        <v>10042</v>
      </c>
      <c r="E1081" s="8" t="s">
        <v>11228</v>
      </c>
    </row>
    <row r="1082" spans="1:5" x14ac:dyDescent="0.25">
      <c r="A1082" s="5" t="s">
        <v>3242</v>
      </c>
      <c r="B1082" s="9" t="str">
        <f>HYPERLINK("http://biobank.ctsu.ox.ac.uk/crystal/field.cgi?id=26882", "26882")</f>
        <v>26882</v>
      </c>
      <c r="C1082" s="8" t="s">
        <v>3244</v>
      </c>
      <c r="D1082" s="8" t="s">
        <v>10042</v>
      </c>
      <c r="E1082" s="8" t="s">
        <v>11229</v>
      </c>
    </row>
    <row r="1083" spans="1:5" x14ac:dyDescent="0.25">
      <c r="A1083" s="5" t="s">
        <v>3245</v>
      </c>
      <c r="B1083" s="9" t="str">
        <f>HYPERLINK("http://biobank.ctsu.ox.ac.uk/crystal/field.cgi?id=26883", "26883")</f>
        <v>26883</v>
      </c>
      <c r="C1083" s="8" t="s">
        <v>3247</v>
      </c>
      <c r="D1083" s="8" t="s">
        <v>10042</v>
      </c>
      <c r="E1083" s="8" t="s">
        <v>11230</v>
      </c>
    </row>
    <row r="1084" spans="1:5" x14ac:dyDescent="0.25">
      <c r="A1084" s="5" t="s">
        <v>3248</v>
      </c>
      <c r="B1084" s="9" t="str">
        <f>HYPERLINK("http://biobank.ctsu.ox.ac.uk/crystal/field.cgi?id=26884", "26884")</f>
        <v>26884</v>
      </c>
      <c r="C1084" s="8" t="s">
        <v>3250</v>
      </c>
      <c r="D1084" s="8" t="s">
        <v>10042</v>
      </c>
      <c r="E1084" s="8" t="s">
        <v>11231</v>
      </c>
    </row>
    <row r="1085" spans="1:5" x14ac:dyDescent="0.25">
      <c r="A1085" s="5" t="s">
        <v>3251</v>
      </c>
      <c r="B1085" s="9" t="str">
        <f>HYPERLINK("http://biobank.ctsu.ox.ac.uk/crystal/field.cgi?id=26885", "26885")</f>
        <v>26885</v>
      </c>
      <c r="C1085" s="8" t="s">
        <v>3253</v>
      </c>
      <c r="D1085" s="8" t="s">
        <v>10042</v>
      </c>
      <c r="E1085" s="8" t="s">
        <v>11232</v>
      </c>
    </row>
    <row r="1086" spans="1:5" x14ac:dyDescent="0.25">
      <c r="A1086" s="5" t="s">
        <v>3254</v>
      </c>
      <c r="B1086" s="9" t="str">
        <f>HYPERLINK("http://biobank.ctsu.ox.ac.uk/crystal/field.cgi?id=26886", "26886")</f>
        <v>26886</v>
      </c>
      <c r="C1086" s="8" t="s">
        <v>3256</v>
      </c>
      <c r="D1086" s="8" t="s">
        <v>10042</v>
      </c>
      <c r="E1086" s="8" t="s">
        <v>11233</v>
      </c>
    </row>
    <row r="1087" spans="1:5" x14ac:dyDescent="0.25">
      <c r="A1087" s="5" t="s">
        <v>3257</v>
      </c>
      <c r="B1087" s="9" t="str">
        <f>HYPERLINK("http://biobank.ctsu.ox.ac.uk/crystal/field.cgi?id=26887", "26887")</f>
        <v>26887</v>
      </c>
      <c r="C1087" s="8" t="s">
        <v>3259</v>
      </c>
      <c r="D1087" s="8" t="s">
        <v>10042</v>
      </c>
      <c r="E1087" s="8" t="s">
        <v>11234</v>
      </c>
    </row>
    <row r="1088" spans="1:5" x14ac:dyDescent="0.25">
      <c r="A1088" s="5" t="s">
        <v>3260</v>
      </c>
      <c r="B1088" s="9" t="str">
        <f>HYPERLINK("http://biobank.ctsu.ox.ac.uk/crystal/field.cgi?id=26888", "26888")</f>
        <v>26888</v>
      </c>
      <c r="C1088" s="8" t="s">
        <v>3262</v>
      </c>
      <c r="D1088" s="8" t="s">
        <v>10042</v>
      </c>
      <c r="E1088" s="8" t="s">
        <v>11235</v>
      </c>
    </row>
    <row r="1089" spans="1:5" x14ac:dyDescent="0.25">
      <c r="A1089" s="5" t="s">
        <v>3263</v>
      </c>
      <c r="B1089" s="9" t="str">
        <f>HYPERLINK("http://biobank.ctsu.ox.ac.uk/crystal/field.cgi?id=26889", "26889")</f>
        <v>26889</v>
      </c>
      <c r="C1089" s="8" t="s">
        <v>3265</v>
      </c>
      <c r="D1089" s="8" t="s">
        <v>10042</v>
      </c>
      <c r="E1089" s="8" t="s">
        <v>11236</v>
      </c>
    </row>
    <row r="1090" spans="1:5" x14ac:dyDescent="0.25">
      <c r="A1090" s="5" t="s">
        <v>3266</v>
      </c>
      <c r="B1090" s="9" t="str">
        <f>HYPERLINK("http://biobank.ctsu.ox.ac.uk/crystal/field.cgi?id=27073", "27073")</f>
        <v>27073</v>
      </c>
      <c r="C1090" s="8" t="s">
        <v>3268</v>
      </c>
      <c r="D1090" s="8" t="s">
        <v>10042</v>
      </c>
      <c r="E1090" s="8" t="s">
        <v>11237</v>
      </c>
    </row>
    <row r="1091" spans="1:5" x14ac:dyDescent="0.25">
      <c r="A1091" s="5" t="s">
        <v>3269</v>
      </c>
      <c r="B1091" s="9" t="str">
        <f>HYPERLINK("http://biobank.ctsu.ox.ac.uk/crystal/field.cgi?id=27074", "27074")</f>
        <v>27074</v>
      </c>
      <c r="C1091" s="8" t="s">
        <v>3271</v>
      </c>
      <c r="D1091" s="8" t="s">
        <v>10042</v>
      </c>
      <c r="E1091" s="8" t="s">
        <v>11238</v>
      </c>
    </row>
    <row r="1092" spans="1:5" x14ac:dyDescent="0.25">
      <c r="A1092" s="5" t="s">
        <v>3272</v>
      </c>
      <c r="B1092" s="9" t="str">
        <f>HYPERLINK("http://biobank.ctsu.ox.ac.uk/crystal/field.cgi?id=27075", "27075")</f>
        <v>27075</v>
      </c>
      <c r="C1092" s="8" t="s">
        <v>3274</v>
      </c>
      <c r="D1092" s="8" t="s">
        <v>10042</v>
      </c>
      <c r="E1092" s="8" t="s">
        <v>11239</v>
      </c>
    </row>
    <row r="1093" spans="1:5" x14ac:dyDescent="0.25">
      <c r="A1093" s="5" t="s">
        <v>3275</v>
      </c>
      <c r="B1093" s="9" t="str">
        <f>HYPERLINK("http://biobank.ctsu.ox.ac.uk/crystal/field.cgi?id=27076", "27076")</f>
        <v>27076</v>
      </c>
      <c r="C1093" s="8" t="s">
        <v>3277</v>
      </c>
      <c r="D1093" s="8" t="s">
        <v>10042</v>
      </c>
      <c r="E1093" s="8" t="s">
        <v>11240</v>
      </c>
    </row>
    <row r="1094" spans="1:5" x14ac:dyDescent="0.25">
      <c r="A1094" s="5" t="s">
        <v>3278</v>
      </c>
      <c r="B1094" s="9" t="str">
        <f>HYPERLINK("http://biobank.ctsu.ox.ac.uk/crystal/field.cgi?id=27077", "27077")</f>
        <v>27077</v>
      </c>
      <c r="C1094" s="8" t="s">
        <v>3280</v>
      </c>
      <c r="D1094" s="8" t="s">
        <v>10042</v>
      </c>
      <c r="E1094" s="8" t="s">
        <v>11241</v>
      </c>
    </row>
    <row r="1095" spans="1:5" x14ac:dyDescent="0.25">
      <c r="A1095" s="5" t="s">
        <v>3281</v>
      </c>
      <c r="B1095" s="9" t="str">
        <f>HYPERLINK("http://biobank.ctsu.ox.ac.uk/crystal/field.cgi?id=27078", "27078")</f>
        <v>27078</v>
      </c>
      <c r="C1095" s="8" t="s">
        <v>3283</v>
      </c>
      <c r="D1095" s="8" t="s">
        <v>10042</v>
      </c>
      <c r="E1095" s="8" t="s">
        <v>11242</v>
      </c>
    </row>
    <row r="1096" spans="1:5" x14ac:dyDescent="0.25">
      <c r="A1096" s="5" t="s">
        <v>3284</v>
      </c>
      <c r="B1096" s="9" t="str">
        <f>HYPERLINK("http://biobank.ctsu.ox.ac.uk/crystal/field.cgi?id=27079", "27079")</f>
        <v>27079</v>
      </c>
      <c r="C1096" s="8" t="s">
        <v>3286</v>
      </c>
      <c r="D1096" s="8" t="s">
        <v>10042</v>
      </c>
      <c r="E1096" s="8" t="s">
        <v>11243</v>
      </c>
    </row>
    <row r="1097" spans="1:5" x14ac:dyDescent="0.25">
      <c r="A1097" s="5" t="s">
        <v>3287</v>
      </c>
      <c r="B1097" s="9" t="str">
        <f>HYPERLINK("http://biobank.ctsu.ox.ac.uk/crystal/field.cgi?id=27080", "27080")</f>
        <v>27080</v>
      </c>
      <c r="C1097" s="8" t="s">
        <v>3289</v>
      </c>
      <c r="D1097" s="8" t="s">
        <v>10042</v>
      </c>
      <c r="E1097" s="8" t="s">
        <v>11244</v>
      </c>
    </row>
    <row r="1098" spans="1:5" x14ac:dyDescent="0.25">
      <c r="A1098" s="5" t="s">
        <v>3290</v>
      </c>
      <c r="B1098" s="9" t="str">
        <f>HYPERLINK("http://biobank.ctsu.ox.ac.uk/crystal/field.cgi?id=27081", "27081")</f>
        <v>27081</v>
      </c>
      <c r="C1098" s="8" t="s">
        <v>3292</v>
      </c>
      <c r="D1098" s="8" t="s">
        <v>10042</v>
      </c>
      <c r="E1098" s="8" t="s">
        <v>11245</v>
      </c>
    </row>
    <row r="1099" spans="1:5" x14ac:dyDescent="0.25">
      <c r="A1099" s="5" t="s">
        <v>3293</v>
      </c>
      <c r="B1099" s="9" t="str">
        <f>HYPERLINK("http://biobank.ctsu.ox.ac.uk/crystal/field.cgi?id=27082", "27082")</f>
        <v>27082</v>
      </c>
      <c r="C1099" s="8" t="s">
        <v>3295</v>
      </c>
      <c r="D1099" s="8" t="s">
        <v>10042</v>
      </c>
      <c r="E1099" s="8" t="s">
        <v>11246</v>
      </c>
    </row>
    <row r="1100" spans="1:5" x14ac:dyDescent="0.25">
      <c r="A1100" s="5" t="s">
        <v>3296</v>
      </c>
      <c r="B1100" s="9" t="str">
        <f>HYPERLINK("http://biobank.ctsu.ox.ac.uk/crystal/field.cgi?id=27083", "27083")</f>
        <v>27083</v>
      </c>
      <c r="C1100" s="8" t="s">
        <v>3298</v>
      </c>
      <c r="D1100" s="8" t="s">
        <v>10042</v>
      </c>
      <c r="E1100" s="8" t="s">
        <v>11247</v>
      </c>
    </row>
    <row r="1101" spans="1:5" x14ac:dyDescent="0.25">
      <c r="A1101" s="5" t="s">
        <v>3299</v>
      </c>
      <c r="B1101" s="9" t="str">
        <f>HYPERLINK("http://biobank.ctsu.ox.ac.uk/crystal/field.cgi?id=27084", "27084")</f>
        <v>27084</v>
      </c>
      <c r="C1101" s="8" t="s">
        <v>3301</v>
      </c>
      <c r="D1101" s="8" t="s">
        <v>10042</v>
      </c>
      <c r="E1101" s="8" t="s">
        <v>11248</v>
      </c>
    </row>
    <row r="1102" spans="1:5" x14ac:dyDescent="0.25">
      <c r="A1102" s="5" t="s">
        <v>3302</v>
      </c>
      <c r="B1102" s="9" t="str">
        <f>HYPERLINK("http://biobank.ctsu.ox.ac.uk/crystal/field.cgi?id=27085", "27085")</f>
        <v>27085</v>
      </c>
      <c r="C1102" s="8" t="s">
        <v>3304</v>
      </c>
      <c r="D1102" s="8" t="s">
        <v>10042</v>
      </c>
      <c r="E1102" s="8" t="s">
        <v>11249</v>
      </c>
    </row>
    <row r="1103" spans="1:5" x14ac:dyDescent="0.25">
      <c r="A1103" s="5" t="s">
        <v>3305</v>
      </c>
      <c r="B1103" s="9" t="str">
        <f>HYPERLINK("http://biobank.ctsu.ox.ac.uk/crystal/field.cgi?id=27086", "27086")</f>
        <v>27086</v>
      </c>
      <c r="C1103" s="8" t="s">
        <v>3307</v>
      </c>
      <c r="D1103" s="8" t="s">
        <v>10042</v>
      </c>
      <c r="E1103" s="8" t="s">
        <v>11250</v>
      </c>
    </row>
    <row r="1104" spans="1:5" x14ac:dyDescent="0.25">
      <c r="A1104" s="5" t="s">
        <v>3308</v>
      </c>
      <c r="B1104" s="9" t="str">
        <f>HYPERLINK("http://biobank.ctsu.ox.ac.uk/crystal/field.cgi?id=27115", "27115")</f>
        <v>27115</v>
      </c>
      <c r="C1104" s="8" t="s">
        <v>3310</v>
      </c>
      <c r="D1104" s="8" t="s">
        <v>10042</v>
      </c>
      <c r="E1104" s="8" t="s">
        <v>11251</v>
      </c>
    </row>
    <row r="1105" spans="1:5" x14ac:dyDescent="0.25">
      <c r="A1105" s="5" t="s">
        <v>3311</v>
      </c>
      <c r="B1105" s="9" t="str">
        <f>HYPERLINK("http://biobank.ctsu.ox.ac.uk/crystal/field.cgi?id=27116", "27116")</f>
        <v>27116</v>
      </c>
      <c r="C1105" s="8" t="s">
        <v>3313</v>
      </c>
      <c r="D1105" s="8" t="s">
        <v>10042</v>
      </c>
      <c r="E1105" s="8" t="s">
        <v>11252</v>
      </c>
    </row>
    <row r="1106" spans="1:5" x14ac:dyDescent="0.25">
      <c r="A1106" s="5" t="s">
        <v>3314</v>
      </c>
      <c r="B1106" s="9" t="str">
        <f>HYPERLINK("http://biobank.ctsu.ox.ac.uk/crystal/field.cgi?id=27117", "27117")</f>
        <v>27117</v>
      </c>
      <c r="C1106" s="8" t="s">
        <v>3316</v>
      </c>
      <c r="D1106" s="8" t="s">
        <v>10042</v>
      </c>
      <c r="E1106" s="8" t="s">
        <v>11253</v>
      </c>
    </row>
    <row r="1107" spans="1:5" x14ac:dyDescent="0.25">
      <c r="A1107" s="5" t="s">
        <v>3317</v>
      </c>
      <c r="B1107" s="9" t="str">
        <f>HYPERLINK("http://biobank.ctsu.ox.ac.uk/crystal/field.cgi?id=27118", "27118")</f>
        <v>27118</v>
      </c>
      <c r="C1107" s="8" t="s">
        <v>3319</v>
      </c>
      <c r="D1107" s="8" t="s">
        <v>10042</v>
      </c>
      <c r="E1107" s="8" t="s">
        <v>11254</v>
      </c>
    </row>
    <row r="1108" spans="1:5" x14ac:dyDescent="0.25">
      <c r="A1108" s="5" t="s">
        <v>3320</v>
      </c>
      <c r="B1108" s="9" t="str">
        <f>HYPERLINK("http://biobank.ctsu.ox.ac.uk/crystal/field.cgi?id=27119", "27119")</f>
        <v>27119</v>
      </c>
      <c r="C1108" s="8" t="s">
        <v>3322</v>
      </c>
      <c r="D1108" s="8" t="s">
        <v>10042</v>
      </c>
      <c r="E1108" s="8" t="s">
        <v>11255</v>
      </c>
    </row>
    <row r="1109" spans="1:5" x14ac:dyDescent="0.25">
      <c r="A1109" s="5" t="s">
        <v>3323</v>
      </c>
      <c r="B1109" s="9" t="str">
        <f>HYPERLINK("http://biobank.ctsu.ox.ac.uk/crystal/field.cgi?id=27120", "27120")</f>
        <v>27120</v>
      </c>
      <c r="C1109" s="8" t="s">
        <v>3325</v>
      </c>
      <c r="D1109" s="8" t="s">
        <v>10042</v>
      </c>
      <c r="E1109" s="8" t="s">
        <v>11256</v>
      </c>
    </row>
    <row r="1110" spans="1:5" x14ac:dyDescent="0.25">
      <c r="A1110" s="5" t="s">
        <v>3326</v>
      </c>
      <c r="B1110" s="9" t="str">
        <f>HYPERLINK("http://biobank.ctsu.ox.ac.uk/crystal/field.cgi?id=27121", "27121")</f>
        <v>27121</v>
      </c>
      <c r="C1110" s="8" t="s">
        <v>3328</v>
      </c>
      <c r="D1110" s="8" t="s">
        <v>10042</v>
      </c>
      <c r="E1110" s="8" t="s">
        <v>11257</v>
      </c>
    </row>
    <row r="1111" spans="1:5" x14ac:dyDescent="0.25">
      <c r="A1111" s="5" t="s">
        <v>3329</v>
      </c>
      <c r="B1111" s="9" t="str">
        <f>HYPERLINK("http://biobank.ctsu.ox.ac.uk/crystal/field.cgi?id=27122", "27122")</f>
        <v>27122</v>
      </c>
      <c r="C1111" s="8" t="s">
        <v>3331</v>
      </c>
      <c r="D1111" s="8" t="s">
        <v>10042</v>
      </c>
      <c r="E1111" s="8" t="s">
        <v>11258</v>
      </c>
    </row>
    <row r="1112" spans="1:5" x14ac:dyDescent="0.25">
      <c r="A1112" s="5" t="s">
        <v>3332</v>
      </c>
      <c r="B1112" s="9" t="str">
        <f>HYPERLINK("http://biobank.ctsu.ox.ac.uk/crystal/field.cgi?id=27123", "27123")</f>
        <v>27123</v>
      </c>
      <c r="C1112" s="8" t="s">
        <v>3334</v>
      </c>
      <c r="D1112" s="8" t="s">
        <v>10042</v>
      </c>
      <c r="E1112" s="8" t="s">
        <v>11259</v>
      </c>
    </row>
    <row r="1113" spans="1:5" x14ac:dyDescent="0.25">
      <c r="A1113" s="5" t="s">
        <v>3335</v>
      </c>
      <c r="B1113" s="9" t="str">
        <f>HYPERLINK("http://biobank.ctsu.ox.ac.uk/crystal/field.cgi?id=27124", "27124")</f>
        <v>27124</v>
      </c>
      <c r="C1113" s="8" t="s">
        <v>3337</v>
      </c>
      <c r="D1113" s="8" t="s">
        <v>10042</v>
      </c>
      <c r="E1113" s="8" t="s">
        <v>11260</v>
      </c>
    </row>
    <row r="1114" spans="1:5" x14ac:dyDescent="0.25">
      <c r="A1114" s="5" t="s">
        <v>3338</v>
      </c>
      <c r="B1114" s="9" t="str">
        <f>HYPERLINK("http://biobank.ctsu.ox.ac.uk/crystal/field.cgi?id=27125", "27125")</f>
        <v>27125</v>
      </c>
      <c r="C1114" s="8" t="s">
        <v>3340</v>
      </c>
      <c r="D1114" s="8" t="s">
        <v>10042</v>
      </c>
      <c r="E1114" s="8" t="s">
        <v>11261</v>
      </c>
    </row>
    <row r="1115" spans="1:5" x14ac:dyDescent="0.25">
      <c r="A1115" s="5" t="s">
        <v>3341</v>
      </c>
      <c r="B1115" s="9" t="str">
        <f>HYPERLINK("http://biobank.ctsu.ox.ac.uk/crystal/field.cgi?id=27126", "27126")</f>
        <v>27126</v>
      </c>
      <c r="C1115" s="8" t="s">
        <v>3343</v>
      </c>
      <c r="D1115" s="8" t="s">
        <v>10042</v>
      </c>
      <c r="E1115" s="8" t="s">
        <v>11262</v>
      </c>
    </row>
    <row r="1116" spans="1:5" x14ac:dyDescent="0.25">
      <c r="A1116" s="5" t="s">
        <v>3344</v>
      </c>
      <c r="B1116" s="9" t="str">
        <f>HYPERLINK("http://biobank.ctsu.ox.ac.uk/crystal/field.cgi?id=27127", "27127")</f>
        <v>27127</v>
      </c>
      <c r="C1116" s="8" t="s">
        <v>3346</v>
      </c>
      <c r="D1116" s="8" t="s">
        <v>10042</v>
      </c>
      <c r="E1116" s="8" t="s">
        <v>11263</v>
      </c>
    </row>
    <row r="1117" spans="1:5" x14ac:dyDescent="0.25">
      <c r="A1117" s="5" t="s">
        <v>3347</v>
      </c>
      <c r="B1117" s="9" t="str">
        <f>HYPERLINK("http://biobank.ctsu.ox.ac.uk/crystal/field.cgi?id=27128", "27128")</f>
        <v>27128</v>
      </c>
      <c r="C1117" s="8" t="s">
        <v>3349</v>
      </c>
      <c r="D1117" s="8" t="s">
        <v>10042</v>
      </c>
      <c r="E1117" s="8" t="s">
        <v>11264</v>
      </c>
    </row>
    <row r="1118" spans="1:5" x14ac:dyDescent="0.25">
      <c r="A1118" s="5" t="s">
        <v>3350</v>
      </c>
      <c r="B1118" s="9" t="str">
        <f>HYPERLINK("http://biobank.ctsu.ox.ac.uk/crystal/field.cgi?id=27174", "27174")</f>
        <v>27174</v>
      </c>
      <c r="C1118" s="8" t="s">
        <v>3352</v>
      </c>
      <c r="D1118" s="8" t="s">
        <v>10042</v>
      </c>
      <c r="E1118" s="8" t="s">
        <v>11265</v>
      </c>
    </row>
    <row r="1119" spans="1:5" x14ac:dyDescent="0.25">
      <c r="A1119" s="5" t="s">
        <v>3353</v>
      </c>
      <c r="B1119" s="9" t="str">
        <f>HYPERLINK("http://biobank.ctsu.ox.ac.uk/crystal/field.cgi?id=27175", "27175")</f>
        <v>27175</v>
      </c>
      <c r="C1119" s="8" t="s">
        <v>3355</v>
      </c>
      <c r="D1119" s="8" t="s">
        <v>10042</v>
      </c>
      <c r="E1119" s="8" t="s">
        <v>11266</v>
      </c>
    </row>
    <row r="1120" spans="1:5" x14ac:dyDescent="0.25">
      <c r="A1120" s="5" t="s">
        <v>3356</v>
      </c>
      <c r="B1120" s="9" t="str">
        <f>HYPERLINK("http://biobank.ctsu.ox.ac.uk/crystal/field.cgi?id=27176", "27176")</f>
        <v>27176</v>
      </c>
      <c r="C1120" s="8" t="s">
        <v>3358</v>
      </c>
      <c r="D1120" s="8" t="s">
        <v>10042</v>
      </c>
      <c r="E1120" s="8" t="s">
        <v>11267</v>
      </c>
    </row>
    <row r="1121" spans="1:5" x14ac:dyDescent="0.25">
      <c r="A1121" s="5" t="s">
        <v>3359</v>
      </c>
      <c r="B1121" s="9" t="str">
        <f>HYPERLINK("http://biobank.ctsu.ox.ac.uk/crystal/field.cgi?id=27177", "27177")</f>
        <v>27177</v>
      </c>
      <c r="C1121" s="8" t="s">
        <v>3361</v>
      </c>
      <c r="D1121" s="8" t="s">
        <v>10042</v>
      </c>
      <c r="E1121" s="8" t="s">
        <v>11268</v>
      </c>
    </row>
    <row r="1122" spans="1:5" x14ac:dyDescent="0.25">
      <c r="A1122" s="5" t="s">
        <v>3362</v>
      </c>
      <c r="B1122" s="9" t="str">
        <f>HYPERLINK("http://biobank.ctsu.ox.ac.uk/crystal/field.cgi?id=27178", "27178")</f>
        <v>27178</v>
      </c>
      <c r="C1122" s="8" t="s">
        <v>3364</v>
      </c>
      <c r="D1122" s="8" t="s">
        <v>10042</v>
      </c>
      <c r="E1122" s="8" t="s">
        <v>11269</v>
      </c>
    </row>
    <row r="1123" spans="1:5" x14ac:dyDescent="0.25">
      <c r="A1123" s="5" t="s">
        <v>3365</v>
      </c>
      <c r="B1123" s="9" t="str">
        <f>HYPERLINK("http://biobank.ctsu.ox.ac.uk/crystal/field.cgi?id=27179", "27179")</f>
        <v>27179</v>
      </c>
      <c r="C1123" s="8" t="s">
        <v>3367</v>
      </c>
      <c r="D1123" s="8" t="s">
        <v>10042</v>
      </c>
      <c r="E1123" s="8" t="s">
        <v>11270</v>
      </c>
    </row>
    <row r="1124" spans="1:5" x14ac:dyDescent="0.25">
      <c r="A1124" s="5" t="s">
        <v>3368</v>
      </c>
      <c r="B1124" s="9" t="str">
        <f>HYPERLINK("http://biobank.ctsu.ox.ac.uk/crystal/field.cgi?id=27180", "27180")</f>
        <v>27180</v>
      </c>
      <c r="C1124" s="8" t="s">
        <v>3370</v>
      </c>
      <c r="D1124" s="8" t="s">
        <v>10042</v>
      </c>
      <c r="E1124" s="8" t="s">
        <v>11271</v>
      </c>
    </row>
    <row r="1125" spans="1:5" x14ac:dyDescent="0.25">
      <c r="A1125" s="5" t="s">
        <v>3371</v>
      </c>
      <c r="B1125" s="9" t="str">
        <f>HYPERLINK("http://biobank.ctsu.ox.ac.uk/crystal/field.cgi?id=27181", "27181")</f>
        <v>27181</v>
      </c>
      <c r="C1125" s="8" t="s">
        <v>3373</v>
      </c>
      <c r="D1125" s="8" t="s">
        <v>10042</v>
      </c>
      <c r="E1125" s="8" t="s">
        <v>11272</v>
      </c>
    </row>
    <row r="1126" spans="1:5" x14ac:dyDescent="0.25">
      <c r="A1126" s="5" t="s">
        <v>3374</v>
      </c>
      <c r="B1126" s="9" t="str">
        <f>HYPERLINK("http://biobank.ctsu.ox.ac.uk/crystal/field.cgi?id=27182", "27182")</f>
        <v>27182</v>
      </c>
      <c r="C1126" s="8" t="s">
        <v>3376</v>
      </c>
      <c r="D1126" s="8" t="s">
        <v>10042</v>
      </c>
      <c r="E1126" s="8" t="s">
        <v>11273</v>
      </c>
    </row>
    <row r="1127" spans="1:5" x14ac:dyDescent="0.25">
      <c r="A1127" s="5" t="s">
        <v>3377</v>
      </c>
      <c r="B1127" s="9" t="str">
        <f>HYPERLINK("http://biobank.ctsu.ox.ac.uk/crystal/field.cgi?id=27183", "27183")</f>
        <v>27183</v>
      </c>
      <c r="C1127" s="8" t="s">
        <v>3379</v>
      </c>
      <c r="D1127" s="8" t="s">
        <v>10042</v>
      </c>
      <c r="E1127" s="8" t="s">
        <v>11274</v>
      </c>
    </row>
    <row r="1128" spans="1:5" x14ac:dyDescent="0.25">
      <c r="A1128" s="5" t="s">
        <v>3380</v>
      </c>
      <c r="B1128" s="9" t="str">
        <f>HYPERLINK("http://biobank.ctsu.ox.ac.uk/crystal/field.cgi?id=27184", "27184")</f>
        <v>27184</v>
      </c>
      <c r="C1128" s="8" t="s">
        <v>3382</v>
      </c>
      <c r="D1128" s="8" t="s">
        <v>10042</v>
      </c>
      <c r="E1128" s="8" t="s">
        <v>11275</v>
      </c>
    </row>
    <row r="1129" spans="1:5" x14ac:dyDescent="0.25">
      <c r="A1129" s="5" t="s">
        <v>3383</v>
      </c>
      <c r="B1129" s="9" t="str">
        <f>HYPERLINK("http://biobank.ctsu.ox.ac.uk/crystal/field.cgi?id=27185", "27185")</f>
        <v>27185</v>
      </c>
      <c r="C1129" s="8" t="s">
        <v>3385</v>
      </c>
      <c r="D1129" s="8" t="s">
        <v>10042</v>
      </c>
      <c r="E1129" s="8" t="s">
        <v>11276</v>
      </c>
    </row>
    <row r="1130" spans="1:5" x14ac:dyDescent="0.25">
      <c r="A1130" s="5" t="s">
        <v>3386</v>
      </c>
      <c r="B1130" s="9" t="str">
        <f>HYPERLINK("http://biobank.ctsu.ox.ac.uk/crystal/field.cgi?id=27186", "27186")</f>
        <v>27186</v>
      </c>
      <c r="C1130" s="8" t="s">
        <v>3388</v>
      </c>
      <c r="D1130" s="8" t="s">
        <v>10042</v>
      </c>
      <c r="E1130" s="8" t="s">
        <v>11277</v>
      </c>
    </row>
    <row r="1131" spans="1:5" x14ac:dyDescent="0.25">
      <c r="A1131" s="5" t="s">
        <v>3389</v>
      </c>
      <c r="B1131" s="9" t="str">
        <f>HYPERLINK("http://biobank.ctsu.ox.ac.uk/crystal/field.cgi?id=27187", "27187")</f>
        <v>27187</v>
      </c>
      <c r="C1131" s="8" t="s">
        <v>3391</v>
      </c>
      <c r="D1131" s="8" t="s">
        <v>10042</v>
      </c>
      <c r="E1131" s="8" t="s">
        <v>11278</v>
      </c>
    </row>
    <row r="1132" spans="1:5" x14ac:dyDescent="0.25">
      <c r="A1132" s="5" t="s">
        <v>3392</v>
      </c>
      <c r="B1132" s="9" t="str">
        <f>HYPERLINK("http://biobank.ctsu.ox.ac.uk/crystal/field.cgi?id=27188", "27188")</f>
        <v>27188</v>
      </c>
      <c r="C1132" s="8" t="s">
        <v>3394</v>
      </c>
      <c r="D1132" s="8" t="s">
        <v>10042</v>
      </c>
      <c r="E1132" s="8" t="s">
        <v>11279</v>
      </c>
    </row>
    <row r="1133" spans="1:5" x14ac:dyDescent="0.25">
      <c r="A1133" s="5" t="s">
        <v>3395</v>
      </c>
      <c r="B1133" s="9" t="str">
        <f>HYPERLINK("http://biobank.ctsu.ox.ac.uk/crystal/field.cgi?id=27189", "27189")</f>
        <v>27189</v>
      </c>
      <c r="C1133" s="8" t="s">
        <v>3397</v>
      </c>
      <c r="D1133" s="8" t="s">
        <v>10042</v>
      </c>
      <c r="E1133" s="8" t="s">
        <v>11280</v>
      </c>
    </row>
    <row r="1134" spans="1:5" x14ac:dyDescent="0.25">
      <c r="A1134" s="5" t="s">
        <v>3398</v>
      </c>
      <c r="B1134" s="9" t="str">
        <f>HYPERLINK("http://biobank.ctsu.ox.ac.uk/crystal/field.cgi?id=27190", "27190")</f>
        <v>27190</v>
      </c>
      <c r="C1134" s="8" t="s">
        <v>3400</v>
      </c>
      <c r="D1134" s="8" t="s">
        <v>10042</v>
      </c>
      <c r="E1134" s="8" t="s">
        <v>11281</v>
      </c>
    </row>
    <row r="1135" spans="1:5" x14ac:dyDescent="0.25">
      <c r="A1135" s="5" t="s">
        <v>3401</v>
      </c>
      <c r="B1135" s="9" t="str">
        <f>HYPERLINK("http://biobank.ctsu.ox.ac.uk/crystal/field.cgi?id=27191", "27191")</f>
        <v>27191</v>
      </c>
      <c r="C1135" s="8" t="s">
        <v>3403</v>
      </c>
      <c r="D1135" s="8" t="s">
        <v>10042</v>
      </c>
      <c r="E1135" s="8" t="s">
        <v>11282</v>
      </c>
    </row>
    <row r="1136" spans="1:5" x14ac:dyDescent="0.25">
      <c r="A1136" s="5" t="s">
        <v>3404</v>
      </c>
      <c r="B1136" s="9" t="str">
        <f>HYPERLINK("http://biobank.ctsu.ox.ac.uk/crystal/field.cgi?id=27192", "27192")</f>
        <v>27192</v>
      </c>
      <c r="C1136" s="8" t="s">
        <v>3406</v>
      </c>
      <c r="D1136" s="8" t="s">
        <v>10042</v>
      </c>
      <c r="E1136" s="8" t="s">
        <v>11283</v>
      </c>
    </row>
    <row r="1137" spans="1:5" x14ac:dyDescent="0.25">
      <c r="A1137" s="5" t="s">
        <v>3407</v>
      </c>
      <c r="B1137" s="9" t="str">
        <f>HYPERLINK("http://biobank.ctsu.ox.ac.uk/crystal/field.cgi?id=27193", "27193")</f>
        <v>27193</v>
      </c>
      <c r="C1137" s="8" t="s">
        <v>3409</v>
      </c>
      <c r="D1137" s="8" t="s">
        <v>10042</v>
      </c>
      <c r="E1137" s="8" t="s">
        <v>11284</v>
      </c>
    </row>
    <row r="1138" spans="1:5" x14ac:dyDescent="0.25">
      <c r="A1138" s="5" t="s">
        <v>3410</v>
      </c>
      <c r="B1138" s="9" t="str">
        <f>HYPERLINK("http://biobank.ctsu.ox.ac.uk/crystal/field.cgi?id=27194", "27194")</f>
        <v>27194</v>
      </c>
      <c r="C1138" s="8" t="s">
        <v>3412</v>
      </c>
      <c r="D1138" s="8" t="s">
        <v>10042</v>
      </c>
      <c r="E1138" s="8" t="s">
        <v>11285</v>
      </c>
    </row>
    <row r="1139" spans="1:5" x14ac:dyDescent="0.25">
      <c r="A1139" s="5" t="s">
        <v>3413</v>
      </c>
      <c r="B1139" s="9" t="str">
        <f>HYPERLINK("http://biobank.ctsu.ox.ac.uk/crystal/field.cgi?id=27195", "27195")</f>
        <v>27195</v>
      </c>
      <c r="C1139" s="8" t="s">
        <v>3415</v>
      </c>
      <c r="D1139" s="8" t="s">
        <v>10042</v>
      </c>
      <c r="E1139" s="8" t="s">
        <v>11286</v>
      </c>
    </row>
    <row r="1140" spans="1:5" x14ac:dyDescent="0.25">
      <c r="A1140" s="5" t="s">
        <v>3416</v>
      </c>
      <c r="B1140" s="9" t="str">
        <f>HYPERLINK("http://biobank.ctsu.ox.ac.uk/crystal/field.cgi?id=27196", "27196")</f>
        <v>27196</v>
      </c>
      <c r="C1140" s="8" t="s">
        <v>3418</v>
      </c>
      <c r="D1140" s="8" t="s">
        <v>10042</v>
      </c>
      <c r="E1140" s="8" t="s">
        <v>11287</v>
      </c>
    </row>
    <row r="1141" spans="1:5" x14ac:dyDescent="0.25">
      <c r="A1141" s="5" t="s">
        <v>3419</v>
      </c>
      <c r="B1141" s="9" t="str">
        <f>HYPERLINK("http://biobank.ctsu.ox.ac.uk/crystal/field.cgi?id=27197", "27197")</f>
        <v>27197</v>
      </c>
      <c r="C1141" s="8" t="s">
        <v>3421</v>
      </c>
      <c r="D1141" s="8" t="s">
        <v>10042</v>
      </c>
      <c r="E1141" s="8" t="s">
        <v>11288</v>
      </c>
    </row>
    <row r="1142" spans="1:5" x14ac:dyDescent="0.25">
      <c r="A1142" s="5" t="s">
        <v>3422</v>
      </c>
      <c r="B1142" s="9" t="str">
        <f>HYPERLINK("http://biobank.ctsu.ox.ac.uk/crystal/field.cgi?id=27198", "27198")</f>
        <v>27198</v>
      </c>
      <c r="C1142" s="8" t="s">
        <v>3424</v>
      </c>
      <c r="D1142" s="8" t="s">
        <v>10042</v>
      </c>
      <c r="E1142" s="8" t="s">
        <v>11289</v>
      </c>
    </row>
    <row r="1143" spans="1:5" x14ac:dyDescent="0.25">
      <c r="A1143" s="5" t="s">
        <v>3425</v>
      </c>
      <c r="B1143" s="9" t="str">
        <f>HYPERLINK("http://biobank.ctsu.ox.ac.uk/crystal/field.cgi?id=27199", "27199")</f>
        <v>27199</v>
      </c>
      <c r="C1143" s="8" t="s">
        <v>3427</v>
      </c>
      <c r="D1143" s="8" t="s">
        <v>10042</v>
      </c>
      <c r="E1143" s="8" t="s">
        <v>11290</v>
      </c>
    </row>
    <row r="1144" spans="1:5" x14ac:dyDescent="0.25">
      <c r="A1144" s="5" t="s">
        <v>3428</v>
      </c>
      <c r="B1144" s="9" t="str">
        <f>HYPERLINK("http://biobank.ctsu.ox.ac.uk/crystal/field.cgi?id=27200", "27200")</f>
        <v>27200</v>
      </c>
      <c r="C1144" s="8" t="s">
        <v>3430</v>
      </c>
      <c r="D1144" s="8" t="s">
        <v>10042</v>
      </c>
      <c r="E1144" s="8" t="s">
        <v>11291</v>
      </c>
    </row>
    <row r="1145" spans="1:5" x14ac:dyDescent="0.25">
      <c r="A1145" s="5" t="s">
        <v>3431</v>
      </c>
      <c r="B1145" s="9" t="str">
        <f>HYPERLINK("http://biobank.ctsu.ox.ac.uk/crystal/field.cgi?id=27201", "27201")</f>
        <v>27201</v>
      </c>
      <c r="C1145" s="8" t="s">
        <v>3433</v>
      </c>
      <c r="D1145" s="8" t="s">
        <v>10042</v>
      </c>
      <c r="E1145" s="8" t="s">
        <v>11292</v>
      </c>
    </row>
    <row r="1146" spans="1:5" x14ac:dyDescent="0.25">
      <c r="A1146" s="5" t="s">
        <v>3434</v>
      </c>
      <c r="B1146" s="9" t="str">
        <f>HYPERLINK("http://biobank.ctsu.ox.ac.uk/crystal/field.cgi?id=27202", "27202")</f>
        <v>27202</v>
      </c>
      <c r="C1146" s="8" t="s">
        <v>3436</v>
      </c>
      <c r="D1146" s="8" t="s">
        <v>10042</v>
      </c>
      <c r="E1146" s="8" t="s">
        <v>11293</v>
      </c>
    </row>
    <row r="1147" spans="1:5" x14ac:dyDescent="0.25">
      <c r="A1147" s="5" t="s">
        <v>3437</v>
      </c>
      <c r="B1147" s="9" t="str">
        <f>HYPERLINK("http://biobank.ctsu.ox.ac.uk/crystal/field.cgi?id=27203", "27203")</f>
        <v>27203</v>
      </c>
      <c r="C1147" s="8" t="s">
        <v>3439</v>
      </c>
      <c r="D1147" s="8" t="s">
        <v>10042</v>
      </c>
      <c r="E1147" s="8" t="s">
        <v>11294</v>
      </c>
    </row>
    <row r="1148" spans="1:5" x14ac:dyDescent="0.25">
      <c r="A1148" s="5" t="s">
        <v>3440</v>
      </c>
      <c r="B1148" s="9" t="str">
        <f>HYPERLINK("http://biobank.ctsu.ox.ac.uk/crystal/field.cgi?id=27204", "27204")</f>
        <v>27204</v>
      </c>
      <c r="C1148" s="8" t="s">
        <v>3442</v>
      </c>
      <c r="D1148" s="8" t="s">
        <v>10042</v>
      </c>
      <c r="E1148" s="8" t="s">
        <v>11295</v>
      </c>
    </row>
    <row r="1149" spans="1:5" x14ac:dyDescent="0.25">
      <c r="A1149" s="5" t="s">
        <v>3443</v>
      </c>
      <c r="B1149" s="9" t="str">
        <f>HYPERLINK("http://biobank.ctsu.ox.ac.uk/crystal/field.cgi?id=27267", "27267")</f>
        <v>27267</v>
      </c>
      <c r="C1149" s="8" t="s">
        <v>3445</v>
      </c>
      <c r="D1149" s="8" t="s">
        <v>10042</v>
      </c>
      <c r="E1149" s="8" t="s">
        <v>11296</v>
      </c>
    </row>
    <row r="1150" spans="1:5" x14ac:dyDescent="0.25">
      <c r="A1150" s="5" t="s">
        <v>3446</v>
      </c>
      <c r="B1150" s="9" t="str">
        <f>HYPERLINK("http://biobank.ctsu.ox.ac.uk/crystal/field.cgi?id=27268", "27268")</f>
        <v>27268</v>
      </c>
      <c r="C1150" s="8" t="s">
        <v>3448</v>
      </c>
      <c r="D1150" s="8" t="s">
        <v>10042</v>
      </c>
      <c r="E1150" s="8" t="s">
        <v>11297</v>
      </c>
    </row>
    <row r="1151" spans="1:5" x14ac:dyDescent="0.25">
      <c r="A1151" s="5" t="s">
        <v>3449</v>
      </c>
      <c r="B1151" s="9" t="str">
        <f>HYPERLINK("http://biobank.ctsu.ox.ac.uk/crystal/field.cgi?id=27269", "27269")</f>
        <v>27269</v>
      </c>
      <c r="C1151" s="8" t="s">
        <v>3451</v>
      </c>
      <c r="D1151" s="8" t="s">
        <v>10042</v>
      </c>
      <c r="E1151" s="8" t="s">
        <v>11298</v>
      </c>
    </row>
    <row r="1152" spans="1:5" x14ac:dyDescent="0.25">
      <c r="A1152" s="5" t="s">
        <v>3452</v>
      </c>
      <c r="B1152" s="9" t="str">
        <f>HYPERLINK("http://biobank.ctsu.ox.ac.uk/crystal/field.cgi?id=27270", "27270")</f>
        <v>27270</v>
      </c>
      <c r="C1152" s="8" t="s">
        <v>3454</v>
      </c>
      <c r="D1152" s="8" t="s">
        <v>10042</v>
      </c>
      <c r="E1152" s="8" t="s">
        <v>11299</v>
      </c>
    </row>
    <row r="1153" spans="1:5" x14ac:dyDescent="0.25">
      <c r="A1153" s="5" t="s">
        <v>3455</v>
      </c>
      <c r="B1153" s="9" t="str">
        <f>HYPERLINK("http://biobank.ctsu.ox.ac.uk/crystal/field.cgi?id=27271", "27271")</f>
        <v>27271</v>
      </c>
      <c r="C1153" s="8" t="s">
        <v>3457</v>
      </c>
      <c r="D1153" s="8" t="s">
        <v>10042</v>
      </c>
      <c r="E1153" s="8" t="s">
        <v>11300</v>
      </c>
    </row>
    <row r="1154" spans="1:5" x14ac:dyDescent="0.25">
      <c r="A1154" s="5" t="s">
        <v>3458</v>
      </c>
      <c r="B1154" s="9" t="str">
        <f>HYPERLINK("http://biobank.ctsu.ox.ac.uk/crystal/field.cgi?id=27272", "27272")</f>
        <v>27272</v>
      </c>
      <c r="C1154" s="8" t="s">
        <v>3460</v>
      </c>
      <c r="D1154" s="8" t="s">
        <v>10042</v>
      </c>
      <c r="E1154" s="8" t="s">
        <v>11301</v>
      </c>
    </row>
    <row r="1155" spans="1:5" x14ac:dyDescent="0.25">
      <c r="A1155" s="5" t="s">
        <v>3461</v>
      </c>
      <c r="B1155" s="9" t="str">
        <f>HYPERLINK("http://biobank.ctsu.ox.ac.uk/crystal/field.cgi?id=27273", "27273")</f>
        <v>27273</v>
      </c>
      <c r="C1155" s="8" t="s">
        <v>3463</v>
      </c>
      <c r="D1155" s="8" t="s">
        <v>10042</v>
      </c>
      <c r="E1155" s="8" t="s">
        <v>11302</v>
      </c>
    </row>
    <row r="1156" spans="1:5" x14ac:dyDescent="0.25">
      <c r="A1156" s="5" t="s">
        <v>3464</v>
      </c>
      <c r="B1156" s="9" t="str">
        <f>HYPERLINK("http://biobank.ctsu.ox.ac.uk/crystal/field.cgi?id=27274", "27274")</f>
        <v>27274</v>
      </c>
      <c r="C1156" s="8" t="s">
        <v>3466</v>
      </c>
      <c r="D1156" s="8" t="s">
        <v>10042</v>
      </c>
      <c r="E1156" s="8" t="s">
        <v>11303</v>
      </c>
    </row>
    <row r="1157" spans="1:5" x14ac:dyDescent="0.25">
      <c r="A1157" s="5" t="s">
        <v>3467</v>
      </c>
      <c r="B1157" s="9" t="str">
        <f>HYPERLINK("http://biobank.ctsu.ox.ac.uk/crystal/field.cgi?id=27275", "27275")</f>
        <v>27275</v>
      </c>
      <c r="C1157" s="8" t="s">
        <v>3469</v>
      </c>
      <c r="D1157" s="8" t="s">
        <v>10042</v>
      </c>
      <c r="E1157" s="8" t="s">
        <v>11304</v>
      </c>
    </row>
    <row r="1158" spans="1:5" x14ac:dyDescent="0.25">
      <c r="A1158" s="5" t="s">
        <v>3470</v>
      </c>
      <c r="B1158" s="9" t="str">
        <f>HYPERLINK("http://biobank.ctsu.ox.ac.uk/crystal/field.cgi?id=27276", "27276")</f>
        <v>27276</v>
      </c>
      <c r="C1158" s="8" t="s">
        <v>3472</v>
      </c>
      <c r="D1158" s="8" t="s">
        <v>10042</v>
      </c>
      <c r="E1158" s="8" t="s">
        <v>11305</v>
      </c>
    </row>
    <row r="1159" spans="1:5" x14ac:dyDescent="0.25">
      <c r="A1159" s="5" t="s">
        <v>3473</v>
      </c>
      <c r="B1159" s="9" t="str">
        <f>HYPERLINK("http://biobank.ctsu.ox.ac.uk/crystal/field.cgi?id=27277", "27277")</f>
        <v>27277</v>
      </c>
      <c r="C1159" s="8" t="s">
        <v>3475</v>
      </c>
      <c r="D1159" s="8" t="s">
        <v>10042</v>
      </c>
      <c r="E1159" s="8" t="s">
        <v>11306</v>
      </c>
    </row>
    <row r="1160" spans="1:5" x14ac:dyDescent="0.25">
      <c r="A1160" s="5" t="s">
        <v>3476</v>
      </c>
      <c r="B1160" s="9" t="str">
        <f>HYPERLINK("http://biobank.ctsu.ox.ac.uk/crystal/field.cgi?id=27278", "27278")</f>
        <v>27278</v>
      </c>
      <c r="C1160" s="8" t="s">
        <v>3478</v>
      </c>
      <c r="D1160" s="8" t="s">
        <v>10042</v>
      </c>
      <c r="E1160" s="8" t="s">
        <v>11307</v>
      </c>
    </row>
    <row r="1161" spans="1:5" x14ac:dyDescent="0.25">
      <c r="A1161" s="5" t="s">
        <v>3479</v>
      </c>
      <c r="B1161" s="9" t="str">
        <f>HYPERLINK("http://biobank.ctsu.ox.ac.uk/crystal/field.cgi?id=27279", "27279")</f>
        <v>27279</v>
      </c>
      <c r="C1161" s="8" t="s">
        <v>3481</v>
      </c>
      <c r="D1161" s="8" t="s">
        <v>10042</v>
      </c>
      <c r="E1161" s="8" t="s">
        <v>11308</v>
      </c>
    </row>
    <row r="1162" spans="1:5" x14ac:dyDescent="0.25">
      <c r="A1162" s="5" t="s">
        <v>3482</v>
      </c>
      <c r="B1162" s="9" t="str">
        <f>HYPERLINK("http://biobank.ctsu.ox.ac.uk/crystal/field.cgi?id=27280", "27280")</f>
        <v>27280</v>
      </c>
      <c r="C1162" s="8" t="s">
        <v>3484</v>
      </c>
      <c r="D1162" s="8" t="s">
        <v>10042</v>
      </c>
      <c r="E1162" s="8" t="s">
        <v>11309</v>
      </c>
    </row>
    <row r="1163" spans="1:5" x14ac:dyDescent="0.25">
      <c r="A1163" s="5" t="s">
        <v>3485</v>
      </c>
      <c r="B1163" s="9" t="str">
        <f>HYPERLINK("http://biobank.ctsu.ox.ac.uk/crystal/field.cgi?id=27281", "27281")</f>
        <v>27281</v>
      </c>
      <c r="C1163" s="8" t="s">
        <v>3487</v>
      </c>
      <c r="D1163" s="8" t="s">
        <v>10042</v>
      </c>
      <c r="E1163" s="8" t="s">
        <v>11310</v>
      </c>
    </row>
    <row r="1164" spans="1:5" x14ac:dyDescent="0.25">
      <c r="A1164" s="5" t="s">
        <v>3488</v>
      </c>
      <c r="B1164" s="9" t="str">
        <f>HYPERLINK("http://biobank.ctsu.ox.ac.uk/crystal/field.cgi?id=27282", "27282")</f>
        <v>27282</v>
      </c>
      <c r="C1164" s="8" t="s">
        <v>3490</v>
      </c>
      <c r="D1164" s="8" t="s">
        <v>10042</v>
      </c>
      <c r="E1164" s="8" t="s">
        <v>11311</v>
      </c>
    </row>
    <row r="1165" spans="1:5" x14ac:dyDescent="0.25">
      <c r="A1165" s="5" t="s">
        <v>3491</v>
      </c>
      <c r="B1165" s="9" t="str">
        <f>HYPERLINK("http://biobank.ctsu.ox.ac.uk/crystal/field.cgi?id=27283", "27283")</f>
        <v>27283</v>
      </c>
      <c r="C1165" s="8" t="s">
        <v>3493</v>
      </c>
      <c r="D1165" s="8" t="s">
        <v>10042</v>
      </c>
      <c r="E1165" s="8" t="s">
        <v>11312</v>
      </c>
    </row>
    <row r="1166" spans="1:5" x14ac:dyDescent="0.25">
      <c r="A1166" s="5" t="s">
        <v>3494</v>
      </c>
      <c r="B1166" s="9" t="str">
        <f>HYPERLINK("http://biobank.ctsu.ox.ac.uk/crystal/field.cgi?id=27284", "27284")</f>
        <v>27284</v>
      </c>
      <c r="C1166" s="8" t="s">
        <v>3496</v>
      </c>
      <c r="D1166" s="8" t="s">
        <v>10042</v>
      </c>
      <c r="E1166" s="8" t="s">
        <v>11313</v>
      </c>
    </row>
    <row r="1167" spans="1:5" x14ac:dyDescent="0.25">
      <c r="A1167" s="5" t="s">
        <v>3497</v>
      </c>
      <c r="B1167" s="9" t="str">
        <f>HYPERLINK("http://biobank.ctsu.ox.ac.uk/crystal/field.cgi?id=27285", "27285")</f>
        <v>27285</v>
      </c>
      <c r="C1167" s="8" t="s">
        <v>3499</v>
      </c>
      <c r="D1167" s="8" t="s">
        <v>10042</v>
      </c>
      <c r="E1167" s="8" t="s">
        <v>11314</v>
      </c>
    </row>
    <row r="1168" spans="1:5" x14ac:dyDescent="0.25">
      <c r="A1168" s="5" t="s">
        <v>3500</v>
      </c>
      <c r="B1168" s="9" t="str">
        <f>HYPERLINK("http://biobank.ctsu.ox.ac.uk/crystal/field.cgi?id=27286", "27286")</f>
        <v>27286</v>
      </c>
      <c r="C1168" s="8" t="s">
        <v>3502</v>
      </c>
      <c r="D1168" s="8" t="s">
        <v>10042</v>
      </c>
      <c r="E1168" s="8" t="s">
        <v>11315</v>
      </c>
    </row>
    <row r="1169" spans="1:5" x14ac:dyDescent="0.25">
      <c r="A1169" s="5" t="s">
        <v>3503</v>
      </c>
      <c r="B1169" s="9" t="str">
        <f>HYPERLINK("http://biobank.ctsu.ox.ac.uk/crystal/field.cgi?id=27287", "27287")</f>
        <v>27287</v>
      </c>
      <c r="C1169" s="8" t="s">
        <v>3505</v>
      </c>
      <c r="D1169" s="8" t="s">
        <v>10042</v>
      </c>
      <c r="E1169" s="8" t="s">
        <v>11316</v>
      </c>
    </row>
    <row r="1170" spans="1:5" x14ac:dyDescent="0.25">
      <c r="A1170" s="5" t="s">
        <v>3506</v>
      </c>
      <c r="B1170" s="9" t="str">
        <f>HYPERLINK("http://biobank.ctsu.ox.ac.uk/crystal/field.cgi?id=27288", "27288")</f>
        <v>27288</v>
      </c>
      <c r="C1170" s="8" t="s">
        <v>3508</v>
      </c>
      <c r="D1170" s="8" t="s">
        <v>10042</v>
      </c>
      <c r="E1170" s="8" t="s">
        <v>11317</v>
      </c>
    </row>
    <row r="1171" spans="1:5" x14ac:dyDescent="0.25">
      <c r="A1171" s="5" t="s">
        <v>3509</v>
      </c>
      <c r="B1171" s="9" t="str">
        <f>HYPERLINK("http://biobank.ctsu.ox.ac.uk/crystal/field.cgi?id=27289", "27289")</f>
        <v>27289</v>
      </c>
      <c r="C1171" s="8" t="s">
        <v>3511</v>
      </c>
      <c r="D1171" s="8" t="s">
        <v>10042</v>
      </c>
      <c r="E1171" s="8" t="s">
        <v>11318</v>
      </c>
    </row>
    <row r="1172" spans="1:5" x14ac:dyDescent="0.25">
      <c r="A1172" s="5" t="s">
        <v>3512</v>
      </c>
      <c r="B1172" s="9" t="str">
        <f>HYPERLINK("http://biobank.ctsu.ox.ac.uk/crystal/field.cgi?id=27290", "27290")</f>
        <v>27290</v>
      </c>
      <c r="C1172" s="8" t="s">
        <v>3514</v>
      </c>
      <c r="D1172" s="8" t="s">
        <v>10042</v>
      </c>
      <c r="E1172" s="8" t="s">
        <v>11319</v>
      </c>
    </row>
    <row r="1173" spans="1:5" x14ac:dyDescent="0.25">
      <c r="A1173" s="5" t="s">
        <v>3515</v>
      </c>
      <c r="B1173" s="9" t="str">
        <f>HYPERLINK("http://biobank.ctsu.ox.ac.uk/crystal/field.cgi?id=27291", "27291")</f>
        <v>27291</v>
      </c>
      <c r="C1173" s="8" t="s">
        <v>3517</v>
      </c>
      <c r="D1173" s="8" t="s">
        <v>10042</v>
      </c>
      <c r="E1173" s="8" t="s">
        <v>11320</v>
      </c>
    </row>
    <row r="1174" spans="1:5" x14ac:dyDescent="0.25">
      <c r="A1174" s="5" t="s">
        <v>3518</v>
      </c>
      <c r="B1174" s="9" t="str">
        <f>HYPERLINK("http://biobank.ctsu.ox.ac.uk/crystal/field.cgi?id=27292", "27292")</f>
        <v>27292</v>
      </c>
      <c r="C1174" s="8" t="s">
        <v>3520</v>
      </c>
      <c r="D1174" s="8" t="s">
        <v>10042</v>
      </c>
      <c r="E1174" s="8" t="s">
        <v>11321</v>
      </c>
    </row>
    <row r="1175" spans="1:5" x14ac:dyDescent="0.25">
      <c r="A1175" s="5" t="s">
        <v>3521</v>
      </c>
      <c r="B1175" s="9" t="str">
        <f>HYPERLINK("http://biobank.ctsu.ox.ac.uk/crystal/field.cgi?id=27293", "27293")</f>
        <v>27293</v>
      </c>
      <c r="C1175" s="8" t="s">
        <v>3523</v>
      </c>
      <c r="D1175" s="8" t="s">
        <v>10042</v>
      </c>
      <c r="E1175" s="8" t="s">
        <v>11322</v>
      </c>
    </row>
    <row r="1176" spans="1:5" x14ac:dyDescent="0.25">
      <c r="A1176" s="5" t="s">
        <v>3524</v>
      </c>
      <c r="B1176" s="9" t="str">
        <f>HYPERLINK("http://biobank.ctsu.ox.ac.uk/crystal/field.cgi?id=27294", "27294")</f>
        <v>27294</v>
      </c>
      <c r="C1176" s="8" t="s">
        <v>3526</v>
      </c>
      <c r="D1176" s="8" t="s">
        <v>10042</v>
      </c>
      <c r="E1176" s="8" t="s">
        <v>11323</v>
      </c>
    </row>
    <row r="1177" spans="1:5" x14ac:dyDescent="0.25">
      <c r="A1177" s="5" t="s">
        <v>3527</v>
      </c>
      <c r="B1177" s="9" t="str">
        <f>HYPERLINK("http://biobank.ctsu.ox.ac.uk/crystal/field.cgi?id=27295", "27295")</f>
        <v>27295</v>
      </c>
      <c r="C1177" s="8" t="s">
        <v>3529</v>
      </c>
      <c r="D1177" s="8" t="s">
        <v>10042</v>
      </c>
      <c r="E1177" s="8" t="s">
        <v>11324</v>
      </c>
    </row>
    <row r="1178" spans="1:5" x14ac:dyDescent="0.25">
      <c r="A1178" s="5" t="s">
        <v>3530</v>
      </c>
      <c r="B1178" s="9" t="str">
        <f>HYPERLINK("http://biobank.ctsu.ox.ac.uk/crystal/field.cgi?id=27296", "27296")</f>
        <v>27296</v>
      </c>
      <c r="C1178" s="8" t="s">
        <v>3532</v>
      </c>
      <c r="D1178" s="8" t="s">
        <v>10042</v>
      </c>
      <c r="E1178" s="8" t="s">
        <v>11325</v>
      </c>
    </row>
    <row r="1179" spans="1:5" x14ac:dyDescent="0.25">
      <c r="A1179" s="5" t="s">
        <v>3533</v>
      </c>
      <c r="B1179" s="9" t="str">
        <f>HYPERLINK("http://biobank.ctsu.ox.ac.uk/crystal/field.cgi?id=27297", "27297")</f>
        <v>27297</v>
      </c>
      <c r="C1179" s="8" t="s">
        <v>3535</v>
      </c>
      <c r="D1179" s="8" t="s">
        <v>10042</v>
      </c>
      <c r="E1179" s="8" t="s">
        <v>11326</v>
      </c>
    </row>
    <row r="1180" spans="1:5" x14ac:dyDescent="0.25">
      <c r="A1180" s="5" t="s">
        <v>3536</v>
      </c>
      <c r="B1180" s="9" t="str">
        <f>HYPERLINK("http://biobank.ctsu.ox.ac.uk/crystal/field.cgi?id=27403", "27403")</f>
        <v>27403</v>
      </c>
      <c r="C1180" s="8" t="s">
        <v>3538</v>
      </c>
      <c r="D1180" s="8" t="s">
        <v>10042</v>
      </c>
      <c r="E1180" s="8" t="s">
        <v>11327</v>
      </c>
    </row>
    <row r="1181" spans="1:5" x14ac:dyDescent="0.25">
      <c r="A1181" s="5" t="s">
        <v>3539</v>
      </c>
      <c r="B1181" s="9" t="str">
        <f>HYPERLINK("http://biobank.ctsu.ox.ac.uk/crystal/field.cgi?id=27404", "27404")</f>
        <v>27404</v>
      </c>
      <c r="C1181" s="8" t="s">
        <v>3541</v>
      </c>
      <c r="D1181" s="8" t="s">
        <v>10042</v>
      </c>
      <c r="E1181" s="8" t="s">
        <v>11328</v>
      </c>
    </row>
    <row r="1182" spans="1:5" x14ac:dyDescent="0.25">
      <c r="A1182" s="5" t="s">
        <v>3542</v>
      </c>
      <c r="B1182" s="9" t="str">
        <f>HYPERLINK("http://biobank.ctsu.ox.ac.uk/crystal/field.cgi?id=27405", "27405")</f>
        <v>27405</v>
      </c>
      <c r="C1182" s="8" t="s">
        <v>3544</v>
      </c>
      <c r="D1182" s="8" t="s">
        <v>10042</v>
      </c>
      <c r="E1182" s="8" t="s">
        <v>11329</v>
      </c>
    </row>
    <row r="1183" spans="1:5" x14ac:dyDescent="0.25">
      <c r="A1183" s="5" t="s">
        <v>3545</v>
      </c>
      <c r="B1183" s="9" t="str">
        <f>HYPERLINK("http://biobank.ctsu.ox.ac.uk/crystal/field.cgi?id=27406", "27406")</f>
        <v>27406</v>
      </c>
      <c r="C1183" s="8" t="s">
        <v>3547</v>
      </c>
      <c r="D1183" s="8" t="s">
        <v>10042</v>
      </c>
      <c r="E1183" s="8" t="s">
        <v>11330</v>
      </c>
    </row>
    <row r="1184" spans="1:5" x14ac:dyDescent="0.25">
      <c r="A1184" s="5" t="s">
        <v>3548</v>
      </c>
      <c r="B1184" s="9" t="str">
        <f>HYPERLINK("http://biobank.ctsu.ox.ac.uk/crystal/field.cgi?id=27407", "27407")</f>
        <v>27407</v>
      </c>
      <c r="C1184" s="8" t="s">
        <v>3550</v>
      </c>
      <c r="D1184" s="8" t="s">
        <v>10042</v>
      </c>
      <c r="E1184" s="8" t="s">
        <v>11331</v>
      </c>
    </row>
    <row r="1185" spans="1:5" x14ac:dyDescent="0.25">
      <c r="A1185" s="5" t="s">
        <v>3551</v>
      </c>
      <c r="B1185" s="9" t="str">
        <f>HYPERLINK("http://biobank.ctsu.ox.ac.uk/crystal/field.cgi?id=27408", "27408")</f>
        <v>27408</v>
      </c>
      <c r="C1185" s="8" t="s">
        <v>3553</v>
      </c>
      <c r="D1185" s="8" t="s">
        <v>10042</v>
      </c>
      <c r="E1185" s="8" t="s">
        <v>11332</v>
      </c>
    </row>
    <row r="1186" spans="1:5" x14ac:dyDescent="0.25">
      <c r="A1186" s="5" t="s">
        <v>3554</v>
      </c>
      <c r="B1186" s="9" t="str">
        <f>HYPERLINK("http://biobank.ctsu.ox.ac.uk/crystal/field.cgi?id=27409", "27409")</f>
        <v>27409</v>
      </c>
      <c r="C1186" s="8" t="s">
        <v>3556</v>
      </c>
      <c r="D1186" s="8" t="s">
        <v>10042</v>
      </c>
      <c r="E1186" s="8" t="s">
        <v>11333</v>
      </c>
    </row>
    <row r="1187" spans="1:5" x14ac:dyDescent="0.25">
      <c r="A1187" s="5" t="s">
        <v>3557</v>
      </c>
      <c r="B1187" s="9" t="str">
        <f>HYPERLINK("http://biobank.ctsu.ox.ac.uk/crystal/field.cgi?id=27410", "27410")</f>
        <v>27410</v>
      </c>
      <c r="C1187" s="8" t="s">
        <v>3559</v>
      </c>
      <c r="D1187" s="8" t="s">
        <v>10042</v>
      </c>
      <c r="E1187" s="8" t="s">
        <v>11334</v>
      </c>
    </row>
    <row r="1188" spans="1:5" x14ac:dyDescent="0.25">
      <c r="A1188" s="5" t="s">
        <v>3560</v>
      </c>
      <c r="B1188" s="9" t="str">
        <f>HYPERLINK("http://biobank.ctsu.ox.ac.uk/crystal/field.cgi?id=27411", "27411")</f>
        <v>27411</v>
      </c>
      <c r="C1188" s="8" t="s">
        <v>3562</v>
      </c>
      <c r="D1188" s="8" t="s">
        <v>10042</v>
      </c>
      <c r="E1188" s="8" t="s">
        <v>11335</v>
      </c>
    </row>
    <row r="1189" spans="1:5" x14ac:dyDescent="0.25">
      <c r="A1189" s="5" t="s">
        <v>3563</v>
      </c>
      <c r="B1189" s="9" t="str">
        <f>HYPERLINK("http://biobank.ctsu.ox.ac.uk/crystal/field.cgi?id=27412", "27412")</f>
        <v>27412</v>
      </c>
      <c r="C1189" s="8" t="s">
        <v>3565</v>
      </c>
      <c r="D1189" s="8" t="s">
        <v>10042</v>
      </c>
      <c r="E1189" s="8" t="s">
        <v>11336</v>
      </c>
    </row>
    <row r="1190" spans="1:5" x14ac:dyDescent="0.25">
      <c r="A1190" s="5" t="s">
        <v>3566</v>
      </c>
      <c r="B1190" s="9" t="str">
        <f>HYPERLINK("http://biobank.ctsu.ox.ac.uk/crystal/field.cgi?id=27413", "27413")</f>
        <v>27413</v>
      </c>
      <c r="C1190" s="8" t="s">
        <v>3568</v>
      </c>
      <c r="D1190" s="8" t="s">
        <v>10042</v>
      </c>
      <c r="E1190" s="8" t="s">
        <v>11337</v>
      </c>
    </row>
    <row r="1191" spans="1:5" x14ac:dyDescent="0.25">
      <c r="A1191" s="5" t="s">
        <v>3569</v>
      </c>
      <c r="B1191" s="9" t="str">
        <f>HYPERLINK("http://biobank.ctsu.ox.ac.uk/crystal/field.cgi?id=27414", "27414")</f>
        <v>27414</v>
      </c>
      <c r="C1191" s="8" t="s">
        <v>3571</v>
      </c>
      <c r="D1191" s="8" t="s">
        <v>10042</v>
      </c>
      <c r="E1191" s="8" t="s">
        <v>11338</v>
      </c>
    </row>
    <row r="1192" spans="1:5" x14ac:dyDescent="0.25">
      <c r="A1192" s="5" t="s">
        <v>3572</v>
      </c>
      <c r="B1192" s="9" t="str">
        <f>HYPERLINK("http://biobank.ctsu.ox.ac.uk/crystal/field.cgi?id=27415", "27415")</f>
        <v>27415</v>
      </c>
      <c r="C1192" s="8" t="s">
        <v>3574</v>
      </c>
      <c r="D1192" s="8" t="s">
        <v>10042</v>
      </c>
      <c r="E1192" s="8" t="s">
        <v>11339</v>
      </c>
    </row>
    <row r="1193" spans="1:5" x14ac:dyDescent="0.25">
      <c r="A1193" s="5" t="s">
        <v>3575</v>
      </c>
      <c r="B1193" s="9" t="str">
        <f>HYPERLINK("http://biobank.ctsu.ox.ac.uk/crystal/field.cgi?id=27416", "27416")</f>
        <v>27416</v>
      </c>
      <c r="C1193" s="8" t="s">
        <v>3577</v>
      </c>
      <c r="D1193" s="8" t="s">
        <v>10042</v>
      </c>
      <c r="E1193" s="8" t="s">
        <v>11340</v>
      </c>
    </row>
    <row r="1194" spans="1:5" x14ac:dyDescent="0.25">
      <c r="A1194" s="5" t="s">
        <v>3578</v>
      </c>
      <c r="B1194" s="9" t="str">
        <f>HYPERLINK("http://biobank.ctsu.ox.ac.uk/crystal/field.cgi?id=27417", "27417")</f>
        <v>27417</v>
      </c>
      <c r="C1194" s="8" t="s">
        <v>3580</v>
      </c>
      <c r="D1194" s="8" t="s">
        <v>10042</v>
      </c>
      <c r="E1194" s="8" t="s">
        <v>11341</v>
      </c>
    </row>
    <row r="1195" spans="1:5" x14ac:dyDescent="0.25">
      <c r="A1195" s="5" t="s">
        <v>3581</v>
      </c>
      <c r="B1195" s="9" t="str">
        <f>HYPERLINK("http://biobank.ctsu.ox.ac.uk/crystal/field.cgi?id=27418", "27418")</f>
        <v>27418</v>
      </c>
      <c r="C1195" s="8" t="s">
        <v>3583</v>
      </c>
      <c r="D1195" s="8" t="s">
        <v>10042</v>
      </c>
      <c r="E1195" s="8" t="s">
        <v>11342</v>
      </c>
    </row>
    <row r="1196" spans="1:5" x14ac:dyDescent="0.25">
      <c r="A1196" s="5" t="s">
        <v>3584</v>
      </c>
      <c r="B1196" s="9" t="str">
        <f>HYPERLINK("http://biobank.ctsu.ox.ac.uk/crystal/field.cgi?id=27419", "27419")</f>
        <v>27419</v>
      </c>
      <c r="C1196" s="8" t="s">
        <v>3586</v>
      </c>
      <c r="D1196" s="8" t="s">
        <v>10042</v>
      </c>
      <c r="E1196" s="8" t="s">
        <v>11343</v>
      </c>
    </row>
    <row r="1197" spans="1:5" x14ac:dyDescent="0.25">
      <c r="A1197" s="5" t="s">
        <v>3587</v>
      </c>
      <c r="B1197" s="9" t="str">
        <f>HYPERLINK("http://biobank.ctsu.ox.ac.uk/crystal/field.cgi?id=27420", "27420")</f>
        <v>27420</v>
      </c>
      <c r="C1197" s="8" t="s">
        <v>3589</v>
      </c>
      <c r="D1197" s="8" t="s">
        <v>10042</v>
      </c>
      <c r="E1197" s="8" t="s">
        <v>11344</v>
      </c>
    </row>
    <row r="1198" spans="1:5" x14ac:dyDescent="0.25">
      <c r="A1198" s="5" t="s">
        <v>3590</v>
      </c>
      <c r="B1198" s="9" t="str">
        <f>HYPERLINK("http://biobank.ctsu.ox.ac.uk/crystal/field.cgi?id=27421", "27421")</f>
        <v>27421</v>
      </c>
      <c r="C1198" s="8" t="s">
        <v>3592</v>
      </c>
      <c r="D1198" s="8" t="s">
        <v>10042</v>
      </c>
      <c r="E1198" s="8" t="s">
        <v>11345</v>
      </c>
    </row>
    <row r="1199" spans="1:5" x14ac:dyDescent="0.25">
      <c r="A1199" s="5" t="s">
        <v>3593</v>
      </c>
      <c r="B1199" s="9" t="str">
        <f>HYPERLINK("http://biobank.ctsu.ox.ac.uk/crystal/field.cgi?id=27422", "27422")</f>
        <v>27422</v>
      </c>
      <c r="C1199" s="8" t="s">
        <v>3595</v>
      </c>
      <c r="D1199" s="8" t="s">
        <v>10042</v>
      </c>
      <c r="E1199" s="8" t="s">
        <v>11346</v>
      </c>
    </row>
    <row r="1200" spans="1:5" x14ac:dyDescent="0.25">
      <c r="A1200" s="5" t="s">
        <v>3596</v>
      </c>
      <c r="B1200" s="9" t="str">
        <f>HYPERLINK("http://biobank.ctsu.ox.ac.uk/crystal/field.cgi?id=27423", "27423")</f>
        <v>27423</v>
      </c>
      <c r="C1200" s="8" t="s">
        <v>3598</v>
      </c>
      <c r="D1200" s="8" t="s">
        <v>10042</v>
      </c>
      <c r="E1200" s="8" t="s">
        <v>11347</v>
      </c>
    </row>
    <row r="1201" spans="1:5" x14ac:dyDescent="0.25">
      <c r="A1201" s="5" t="s">
        <v>3599</v>
      </c>
      <c r="B1201" s="9" t="str">
        <f>HYPERLINK("http://biobank.ctsu.ox.ac.uk/crystal/field.cgi?id=27424", "27424")</f>
        <v>27424</v>
      </c>
      <c r="C1201" s="8" t="s">
        <v>3601</v>
      </c>
      <c r="D1201" s="8" t="s">
        <v>10042</v>
      </c>
      <c r="E1201" s="8" t="s">
        <v>11348</v>
      </c>
    </row>
    <row r="1202" spans="1:5" x14ac:dyDescent="0.25">
      <c r="A1202" s="5" t="s">
        <v>3602</v>
      </c>
      <c r="B1202" s="9" t="str">
        <f>HYPERLINK("http://biobank.ctsu.ox.ac.uk/crystal/field.cgi?id=27425", "27425")</f>
        <v>27425</v>
      </c>
      <c r="C1202" s="8" t="s">
        <v>3604</v>
      </c>
      <c r="D1202" s="8" t="s">
        <v>10042</v>
      </c>
      <c r="E1202" s="8" t="s">
        <v>11349</v>
      </c>
    </row>
    <row r="1203" spans="1:5" x14ac:dyDescent="0.25">
      <c r="A1203" s="5" t="s">
        <v>3605</v>
      </c>
      <c r="B1203" s="9" t="str">
        <f>HYPERLINK("http://biobank.ctsu.ox.ac.uk/crystal/field.cgi?id=27426", "27426")</f>
        <v>27426</v>
      </c>
      <c r="C1203" s="8" t="s">
        <v>3607</v>
      </c>
      <c r="D1203" s="8" t="s">
        <v>10042</v>
      </c>
      <c r="E1203" s="8" t="s">
        <v>11350</v>
      </c>
    </row>
    <row r="1204" spans="1:5" x14ac:dyDescent="0.25">
      <c r="A1204" s="5" t="s">
        <v>3608</v>
      </c>
      <c r="B1204" s="9" t="str">
        <f>HYPERLINK("http://biobank.ctsu.ox.ac.uk/crystal/field.cgi?id=27427", "27427")</f>
        <v>27427</v>
      </c>
      <c r="C1204" s="8" t="s">
        <v>3610</v>
      </c>
      <c r="D1204" s="8" t="s">
        <v>10042</v>
      </c>
      <c r="E1204" s="8" t="s">
        <v>11351</v>
      </c>
    </row>
    <row r="1205" spans="1:5" x14ac:dyDescent="0.25">
      <c r="A1205" s="5" t="s">
        <v>3611</v>
      </c>
      <c r="B1205" s="9" t="str">
        <f>HYPERLINK("http://biobank.ctsu.ox.ac.uk/crystal/field.cgi?id=27428", "27428")</f>
        <v>27428</v>
      </c>
      <c r="C1205" s="8" t="s">
        <v>3613</v>
      </c>
      <c r="D1205" s="8" t="s">
        <v>10042</v>
      </c>
      <c r="E1205" s="8" t="s">
        <v>11352</v>
      </c>
    </row>
    <row r="1206" spans="1:5" x14ac:dyDescent="0.25">
      <c r="A1206" s="5" t="s">
        <v>3614</v>
      </c>
      <c r="B1206" s="9" t="str">
        <f>HYPERLINK("http://biobank.ctsu.ox.ac.uk/crystal/field.cgi?id=27429", "27429")</f>
        <v>27429</v>
      </c>
      <c r="C1206" s="8" t="s">
        <v>3616</v>
      </c>
      <c r="D1206" s="8" t="s">
        <v>10042</v>
      </c>
      <c r="E1206" s="8" t="s">
        <v>11353</v>
      </c>
    </row>
    <row r="1207" spans="1:5" x14ac:dyDescent="0.25">
      <c r="A1207" s="5" t="s">
        <v>3617</v>
      </c>
      <c r="B1207" s="9" t="str">
        <f>HYPERLINK("http://biobank.ctsu.ox.ac.uk/crystal/field.cgi?id=27430", "27430")</f>
        <v>27430</v>
      </c>
      <c r="C1207" s="8" t="s">
        <v>3619</v>
      </c>
      <c r="D1207" s="8" t="s">
        <v>10042</v>
      </c>
      <c r="E1207" s="8" t="s">
        <v>11354</v>
      </c>
    </row>
    <row r="1208" spans="1:5" x14ac:dyDescent="0.25">
      <c r="A1208" s="5" t="s">
        <v>3620</v>
      </c>
      <c r="B1208" s="9" t="str">
        <f>HYPERLINK("http://biobank.ctsu.ox.ac.uk/crystal/field.cgi?id=27431", "27431")</f>
        <v>27431</v>
      </c>
      <c r="C1208" s="8" t="s">
        <v>3622</v>
      </c>
      <c r="D1208" s="8" t="s">
        <v>10042</v>
      </c>
      <c r="E1208" s="8" t="s">
        <v>11355</v>
      </c>
    </row>
    <row r="1209" spans="1:5" x14ac:dyDescent="0.25">
      <c r="A1209" s="5" t="s">
        <v>3623</v>
      </c>
      <c r="B1209" s="9" t="str">
        <f>HYPERLINK("http://biobank.ctsu.ox.ac.uk/crystal/field.cgi?id=27432", "27432")</f>
        <v>27432</v>
      </c>
      <c r="C1209" s="8" t="s">
        <v>3625</v>
      </c>
      <c r="D1209" s="8" t="s">
        <v>10042</v>
      </c>
      <c r="E1209" s="8" t="s">
        <v>11356</v>
      </c>
    </row>
    <row r="1210" spans="1:5" x14ac:dyDescent="0.25">
      <c r="A1210" s="5" t="s">
        <v>3626</v>
      </c>
      <c r="B1210" s="9" t="str">
        <f>HYPERLINK("http://biobank.ctsu.ox.ac.uk/crystal/field.cgi?id=27433", "27433")</f>
        <v>27433</v>
      </c>
      <c r="C1210" s="8" t="s">
        <v>3628</v>
      </c>
      <c r="D1210" s="8" t="s">
        <v>10042</v>
      </c>
      <c r="E1210" s="8" t="s">
        <v>11357</v>
      </c>
    </row>
    <row r="1211" spans="1:5" x14ac:dyDescent="0.25">
      <c r="A1211" s="5" t="s">
        <v>3629</v>
      </c>
      <c r="B1211" s="9" t="str">
        <f>HYPERLINK("http://biobank.ctsu.ox.ac.uk/crystal/field.cgi?id=27434", "27434")</f>
        <v>27434</v>
      </c>
      <c r="C1211" s="8" t="s">
        <v>3631</v>
      </c>
      <c r="D1211" s="8" t="s">
        <v>10042</v>
      </c>
      <c r="E1211" s="8" t="s">
        <v>11358</v>
      </c>
    </row>
    <row r="1212" spans="1:5" x14ac:dyDescent="0.25">
      <c r="A1212" s="5" t="s">
        <v>3632</v>
      </c>
      <c r="B1212" s="9" t="str">
        <f>HYPERLINK("http://biobank.ctsu.ox.ac.uk/crystal/field.cgi?id=27435", "27435")</f>
        <v>27435</v>
      </c>
      <c r="C1212" s="8" t="s">
        <v>3634</v>
      </c>
      <c r="D1212" s="8" t="s">
        <v>10042</v>
      </c>
      <c r="E1212" s="8" t="s">
        <v>11359</v>
      </c>
    </row>
    <row r="1213" spans="1:5" x14ac:dyDescent="0.25">
      <c r="A1213" s="5" t="s">
        <v>3635</v>
      </c>
      <c r="B1213" s="9" t="str">
        <f>HYPERLINK("http://biobank.ctsu.ox.ac.uk/crystal/field.cgi?id=27436", "27436")</f>
        <v>27436</v>
      </c>
      <c r="C1213" s="8" t="s">
        <v>3637</v>
      </c>
      <c r="D1213" s="8" t="s">
        <v>10042</v>
      </c>
      <c r="E1213" s="8" t="s">
        <v>11360</v>
      </c>
    </row>
    <row r="1214" spans="1:5" x14ac:dyDescent="0.25">
      <c r="A1214" s="5" t="s">
        <v>3638</v>
      </c>
      <c r="B1214" s="9" t="str">
        <f>HYPERLINK("http://biobank.ctsu.ox.ac.uk/crystal/field.cgi?id=27437", "27437")</f>
        <v>27437</v>
      </c>
      <c r="C1214" s="8" t="s">
        <v>3640</v>
      </c>
      <c r="D1214" s="8" t="s">
        <v>10042</v>
      </c>
      <c r="E1214" s="8" t="s">
        <v>11361</v>
      </c>
    </row>
    <row r="1215" spans="1:5" x14ac:dyDescent="0.25">
      <c r="A1215" s="5" t="s">
        <v>3641</v>
      </c>
      <c r="B1215" s="9" t="str">
        <f>HYPERLINK("http://biobank.ctsu.ox.ac.uk/crystal/field.cgi?id=27438", "27438")</f>
        <v>27438</v>
      </c>
      <c r="C1215" s="8" t="s">
        <v>3643</v>
      </c>
      <c r="D1215" s="8" t="s">
        <v>10042</v>
      </c>
      <c r="E1215" s="8" t="s">
        <v>11362</v>
      </c>
    </row>
    <row r="1216" spans="1:5" x14ac:dyDescent="0.25">
      <c r="A1216" s="5" t="s">
        <v>3644</v>
      </c>
      <c r="B1216" s="9" t="str">
        <f>HYPERLINK("http://biobank.ctsu.ox.ac.uk/crystal/field.cgi?id=27439", "27439")</f>
        <v>27439</v>
      </c>
      <c r="C1216" s="8" t="s">
        <v>3646</v>
      </c>
      <c r="D1216" s="8" t="s">
        <v>10042</v>
      </c>
      <c r="E1216" s="8" t="s">
        <v>11363</v>
      </c>
    </row>
    <row r="1217" spans="1:5" x14ac:dyDescent="0.25">
      <c r="A1217" s="5" t="s">
        <v>3647</v>
      </c>
      <c r="B1217" s="9" t="str">
        <f>HYPERLINK("http://biobank.ctsu.ox.ac.uk/crystal/field.cgi?id=27440", "27440")</f>
        <v>27440</v>
      </c>
      <c r="C1217" s="8" t="s">
        <v>3649</v>
      </c>
      <c r="D1217" s="8" t="s">
        <v>10042</v>
      </c>
      <c r="E1217" s="8" t="s">
        <v>11364</v>
      </c>
    </row>
    <row r="1218" spans="1:5" x14ac:dyDescent="0.25">
      <c r="A1218" s="5" t="s">
        <v>3650</v>
      </c>
      <c r="B1218" s="9" t="str">
        <f>HYPERLINK("http://biobank.ctsu.ox.ac.uk/crystal/field.cgi?id=27441", "27441")</f>
        <v>27441</v>
      </c>
      <c r="C1218" s="8" t="s">
        <v>3652</v>
      </c>
      <c r="D1218" s="8" t="s">
        <v>10042</v>
      </c>
      <c r="E1218" s="8" t="s">
        <v>11365</v>
      </c>
    </row>
    <row r="1219" spans="1:5" x14ac:dyDescent="0.25">
      <c r="A1219" s="5" t="s">
        <v>3653</v>
      </c>
      <c r="B1219" s="9" t="str">
        <f>HYPERLINK("http://biobank.ctsu.ox.ac.uk/crystal/field.cgi?id=27442", "27442")</f>
        <v>27442</v>
      </c>
      <c r="C1219" s="8" t="s">
        <v>3655</v>
      </c>
      <c r="D1219" s="8" t="s">
        <v>10042</v>
      </c>
      <c r="E1219" s="8" t="s">
        <v>11366</v>
      </c>
    </row>
    <row r="1220" spans="1:5" x14ac:dyDescent="0.25">
      <c r="A1220" s="5" t="s">
        <v>3656</v>
      </c>
      <c r="B1220" s="9" t="str">
        <f>HYPERLINK("http://biobank.ctsu.ox.ac.uk/crystal/field.cgi?id=27443", "27443")</f>
        <v>27443</v>
      </c>
      <c r="C1220" s="8" t="s">
        <v>3658</v>
      </c>
      <c r="D1220" s="8" t="s">
        <v>10042</v>
      </c>
      <c r="E1220" s="8" t="s">
        <v>11367</v>
      </c>
    </row>
    <row r="1221" spans="1:5" x14ac:dyDescent="0.25">
      <c r="A1221" s="5" t="s">
        <v>3659</v>
      </c>
      <c r="B1221" s="9" t="str">
        <f>HYPERLINK("http://biobank.ctsu.ox.ac.uk/crystal/field.cgi?id=27444", "27444")</f>
        <v>27444</v>
      </c>
      <c r="C1221" s="8" t="s">
        <v>3661</v>
      </c>
      <c r="D1221" s="8" t="s">
        <v>10042</v>
      </c>
      <c r="E1221" s="8" t="s">
        <v>11368</v>
      </c>
    </row>
    <row r="1222" spans="1:5" x14ac:dyDescent="0.25">
      <c r="A1222" s="5" t="s">
        <v>3662</v>
      </c>
      <c r="B1222" s="9" t="str">
        <f>HYPERLINK("http://biobank.ctsu.ox.ac.uk/crystal/field.cgi?id=27445", "27445")</f>
        <v>27445</v>
      </c>
      <c r="C1222" s="8" t="s">
        <v>3664</v>
      </c>
      <c r="D1222" s="8" t="s">
        <v>10042</v>
      </c>
      <c r="E1222" s="8" t="s">
        <v>11369</v>
      </c>
    </row>
    <row r="1223" spans="1:5" x14ac:dyDescent="0.25">
      <c r="A1223" s="5" t="s">
        <v>3665</v>
      </c>
      <c r="B1223" s="9" t="str">
        <f>HYPERLINK("http://biobank.ctsu.ox.ac.uk/crystal/field.cgi?id=27446", "27446")</f>
        <v>27446</v>
      </c>
      <c r="C1223" s="8" t="s">
        <v>3667</v>
      </c>
      <c r="D1223" s="8" t="s">
        <v>10042</v>
      </c>
      <c r="E1223" s="8" t="s">
        <v>11370</v>
      </c>
    </row>
    <row r="1224" spans="1:5" x14ac:dyDescent="0.25">
      <c r="A1224" s="5" t="s">
        <v>3668</v>
      </c>
      <c r="B1224" s="9" t="str">
        <f>HYPERLINK("http://biobank.ctsu.ox.ac.uk/crystal/field.cgi?id=27447", "27447")</f>
        <v>27447</v>
      </c>
      <c r="C1224" s="8" t="s">
        <v>3670</v>
      </c>
      <c r="D1224" s="8" t="s">
        <v>10042</v>
      </c>
      <c r="E1224" s="8" t="s">
        <v>11371</v>
      </c>
    </row>
    <row r="1225" spans="1:5" x14ac:dyDescent="0.25">
      <c r="A1225" s="5" t="s">
        <v>3671</v>
      </c>
      <c r="B1225" s="9" t="str">
        <f>HYPERLINK("http://biobank.ctsu.ox.ac.uk/crystal/field.cgi?id=27448", "27448")</f>
        <v>27448</v>
      </c>
      <c r="C1225" s="8" t="s">
        <v>3673</v>
      </c>
      <c r="D1225" s="8" t="s">
        <v>10042</v>
      </c>
      <c r="E1225" s="8" t="s">
        <v>11372</v>
      </c>
    </row>
    <row r="1226" spans="1:5" x14ac:dyDescent="0.25">
      <c r="A1226" s="5" t="s">
        <v>3674</v>
      </c>
      <c r="B1226" s="9" t="str">
        <f>HYPERLINK("http://biobank.ctsu.ox.ac.uk/crystal/field.cgi?id=27449", "27449")</f>
        <v>27449</v>
      </c>
      <c r="C1226" s="8" t="s">
        <v>3676</v>
      </c>
      <c r="D1226" s="8" t="s">
        <v>10042</v>
      </c>
      <c r="E1226" s="8" t="s">
        <v>11373</v>
      </c>
    </row>
    <row r="1227" spans="1:5" x14ac:dyDescent="0.25">
      <c r="A1227" s="5" t="s">
        <v>3677</v>
      </c>
      <c r="B1227" s="9" t="str">
        <f>HYPERLINK("http://biobank.ctsu.ox.ac.uk/crystal/field.cgi?id=27450", "27450")</f>
        <v>27450</v>
      </c>
      <c r="C1227" s="8" t="s">
        <v>3679</v>
      </c>
      <c r="D1227" s="8" t="s">
        <v>10042</v>
      </c>
      <c r="E1227" s="8" t="s">
        <v>11374</v>
      </c>
    </row>
    <row r="1228" spans="1:5" x14ac:dyDescent="0.25">
      <c r="A1228" s="5" t="s">
        <v>3680</v>
      </c>
      <c r="B1228" s="9" t="str">
        <f>HYPERLINK("http://biobank.ctsu.ox.ac.uk/crystal/field.cgi?id=27451", "27451")</f>
        <v>27451</v>
      </c>
      <c r="C1228" s="8" t="s">
        <v>3682</v>
      </c>
      <c r="D1228" s="8" t="s">
        <v>10042</v>
      </c>
      <c r="E1228" s="8" t="s">
        <v>11375</v>
      </c>
    </row>
    <row r="1229" spans="1:5" x14ac:dyDescent="0.25">
      <c r="A1229" s="5" t="s">
        <v>3683</v>
      </c>
      <c r="B1229" s="9" t="str">
        <f>HYPERLINK("http://biobank.ctsu.ox.ac.uk/crystal/field.cgi?id=27452", "27452")</f>
        <v>27452</v>
      </c>
      <c r="C1229" s="8" t="s">
        <v>3685</v>
      </c>
      <c r="D1229" s="8" t="s">
        <v>10042</v>
      </c>
      <c r="E1229" s="8" t="s">
        <v>11376</v>
      </c>
    </row>
    <row r="1230" spans="1:5" x14ac:dyDescent="0.25">
      <c r="A1230" s="5" t="s">
        <v>3686</v>
      </c>
      <c r="B1230" s="9" t="str">
        <f>HYPERLINK("http://biobank.ctsu.ox.ac.uk/crystal/field.cgi?id=27453", "27453")</f>
        <v>27453</v>
      </c>
      <c r="C1230" s="8" t="s">
        <v>3688</v>
      </c>
      <c r="D1230" s="8" t="s">
        <v>10042</v>
      </c>
      <c r="E1230" s="8" t="s">
        <v>11377</v>
      </c>
    </row>
    <row r="1231" spans="1:5" x14ac:dyDescent="0.25">
      <c r="A1231" s="5" t="s">
        <v>3689</v>
      </c>
      <c r="B1231" s="9" t="str">
        <f>HYPERLINK("http://biobank.ctsu.ox.ac.uk/crystal/field.cgi?id=27454", "27454")</f>
        <v>27454</v>
      </c>
      <c r="C1231" s="8" t="s">
        <v>3691</v>
      </c>
      <c r="D1231" s="8" t="s">
        <v>10042</v>
      </c>
      <c r="E1231" s="8" t="s">
        <v>11378</v>
      </c>
    </row>
    <row r="1232" spans="1:5" x14ac:dyDescent="0.25">
      <c r="A1232" s="5" t="s">
        <v>3692</v>
      </c>
      <c r="B1232" s="9" t="str">
        <f>HYPERLINK("http://biobank.ctsu.ox.ac.uk/crystal/field.cgi?id=27455", "27455")</f>
        <v>27455</v>
      </c>
      <c r="C1232" s="8" t="s">
        <v>3694</v>
      </c>
      <c r="D1232" s="8" t="s">
        <v>10042</v>
      </c>
      <c r="E1232" s="8" t="s">
        <v>11379</v>
      </c>
    </row>
    <row r="1233" spans="1:5" x14ac:dyDescent="0.25">
      <c r="A1233" s="5" t="s">
        <v>3695</v>
      </c>
      <c r="B1233" s="9" t="str">
        <f>HYPERLINK("http://biobank.ctsu.ox.ac.uk/crystal/field.cgi?id=27456", "27456")</f>
        <v>27456</v>
      </c>
      <c r="C1233" s="8" t="s">
        <v>3697</v>
      </c>
      <c r="D1233" s="8" t="s">
        <v>10042</v>
      </c>
      <c r="E1233" s="8" t="s">
        <v>11380</v>
      </c>
    </row>
    <row r="1234" spans="1:5" x14ac:dyDescent="0.25">
      <c r="A1234" s="5" t="s">
        <v>3698</v>
      </c>
      <c r="B1234" s="9" t="str">
        <f>HYPERLINK("http://biobank.ctsu.ox.ac.uk/crystal/field.cgi?id=27457", "27457")</f>
        <v>27457</v>
      </c>
      <c r="C1234" s="8" t="s">
        <v>3700</v>
      </c>
      <c r="D1234" s="8" t="s">
        <v>10042</v>
      </c>
      <c r="E1234" s="8" t="s">
        <v>11381</v>
      </c>
    </row>
    <row r="1235" spans="1:5" x14ac:dyDescent="0.25">
      <c r="A1235" s="5" t="s">
        <v>3701</v>
      </c>
      <c r="B1235" s="9" t="str">
        <f>HYPERLINK("http://biobank.ctsu.ox.ac.uk/crystal/field.cgi?id=27458", "27458")</f>
        <v>27458</v>
      </c>
      <c r="C1235" s="8" t="s">
        <v>3703</v>
      </c>
      <c r="D1235" s="8" t="s">
        <v>10042</v>
      </c>
      <c r="E1235" s="8" t="s">
        <v>11382</v>
      </c>
    </row>
    <row r="1236" spans="1:5" x14ac:dyDescent="0.25">
      <c r="A1236" s="5" t="s">
        <v>3704</v>
      </c>
      <c r="B1236" s="9" t="str">
        <f>HYPERLINK("http://biobank.ctsu.ox.ac.uk/crystal/field.cgi?id=27459", "27459")</f>
        <v>27459</v>
      </c>
      <c r="C1236" s="8" t="s">
        <v>3706</v>
      </c>
      <c r="D1236" s="8" t="s">
        <v>10042</v>
      </c>
      <c r="E1236" s="8" t="s">
        <v>11383</v>
      </c>
    </row>
    <row r="1237" spans="1:5" x14ac:dyDescent="0.25">
      <c r="A1237" s="5" t="s">
        <v>3707</v>
      </c>
      <c r="B1237" s="9" t="str">
        <f>HYPERLINK("http://biobank.ctsu.ox.ac.uk/crystal/field.cgi?id=27460", "27460")</f>
        <v>27460</v>
      </c>
      <c r="C1237" s="8" t="s">
        <v>3709</v>
      </c>
      <c r="D1237" s="8" t="s">
        <v>10042</v>
      </c>
      <c r="E1237" s="8" t="s">
        <v>11384</v>
      </c>
    </row>
    <row r="1238" spans="1:5" x14ac:dyDescent="0.25">
      <c r="A1238" s="5" t="s">
        <v>3710</v>
      </c>
      <c r="B1238" s="9" t="str">
        <f>HYPERLINK("http://biobank.ctsu.ox.ac.uk/crystal/field.cgi?id=27461", "27461")</f>
        <v>27461</v>
      </c>
      <c r="C1238" s="8" t="s">
        <v>3712</v>
      </c>
      <c r="D1238" s="8" t="s">
        <v>10042</v>
      </c>
      <c r="E1238" s="8" t="s">
        <v>11385</v>
      </c>
    </row>
    <row r="1239" spans="1:5" x14ac:dyDescent="0.25">
      <c r="A1239" s="5" t="s">
        <v>3713</v>
      </c>
      <c r="B1239" s="9" t="str">
        <f>HYPERLINK("http://biobank.ctsu.ox.ac.uk/crystal/field.cgi?id=27462", "27462")</f>
        <v>27462</v>
      </c>
      <c r="C1239" s="8" t="s">
        <v>3715</v>
      </c>
      <c r="D1239" s="8" t="s">
        <v>10042</v>
      </c>
      <c r="E1239" s="8" t="s">
        <v>11386</v>
      </c>
    </row>
    <row r="1240" spans="1:5" x14ac:dyDescent="0.25">
      <c r="A1240" s="5" t="s">
        <v>3716</v>
      </c>
      <c r="B1240" s="9" t="str">
        <f>HYPERLINK("http://biobank.ctsu.ox.ac.uk/crystal/field.cgi?id=27463", "27463")</f>
        <v>27463</v>
      </c>
      <c r="C1240" s="8" t="s">
        <v>3718</v>
      </c>
      <c r="D1240" s="8" t="s">
        <v>10042</v>
      </c>
      <c r="E1240" s="8" t="s">
        <v>11387</v>
      </c>
    </row>
    <row r="1241" spans="1:5" x14ac:dyDescent="0.25">
      <c r="A1241" s="5" t="s">
        <v>3719</v>
      </c>
      <c r="B1241" s="9" t="str">
        <f>HYPERLINK("http://biobank.ctsu.ox.ac.uk/crystal/field.cgi?id=27464", "27464")</f>
        <v>27464</v>
      </c>
      <c r="C1241" s="8" t="s">
        <v>3721</v>
      </c>
      <c r="D1241" s="8" t="s">
        <v>10042</v>
      </c>
      <c r="E1241" s="8" t="s">
        <v>11388</v>
      </c>
    </row>
    <row r="1242" spans="1:5" x14ac:dyDescent="0.25">
      <c r="A1242" s="5" t="s">
        <v>3722</v>
      </c>
      <c r="B1242" s="9" t="str">
        <f>HYPERLINK("http://biobank.ctsu.ox.ac.uk/crystal/field.cgi?id=27465", "27465")</f>
        <v>27465</v>
      </c>
      <c r="C1242" s="8" t="s">
        <v>3724</v>
      </c>
      <c r="D1242" s="8" t="s">
        <v>10042</v>
      </c>
      <c r="E1242" s="8" t="s">
        <v>11389</v>
      </c>
    </row>
    <row r="1243" spans="1:5" x14ac:dyDescent="0.25">
      <c r="A1243" s="5" t="s">
        <v>3725</v>
      </c>
      <c r="B1243" s="9" t="str">
        <f>HYPERLINK("http://biobank.ctsu.ox.ac.uk/crystal/field.cgi?id=27466", "27466")</f>
        <v>27466</v>
      </c>
      <c r="C1243" s="8" t="s">
        <v>3727</v>
      </c>
      <c r="D1243" s="8" t="s">
        <v>10042</v>
      </c>
      <c r="E1243" s="8" t="s">
        <v>11390</v>
      </c>
    </row>
    <row r="1244" spans="1:5" x14ac:dyDescent="0.25">
      <c r="A1244" s="5" t="s">
        <v>3728</v>
      </c>
      <c r="B1244" s="9" t="str">
        <f>HYPERLINK("http://biobank.ctsu.ox.ac.uk/crystal/field.cgi?id=27467", "27467")</f>
        <v>27467</v>
      </c>
      <c r="C1244" s="8" t="s">
        <v>3730</v>
      </c>
      <c r="D1244" s="8" t="s">
        <v>10042</v>
      </c>
      <c r="E1244" s="8" t="s">
        <v>11391</v>
      </c>
    </row>
    <row r="1245" spans="1:5" x14ac:dyDescent="0.25">
      <c r="A1245" s="5" t="s">
        <v>3731</v>
      </c>
      <c r="B1245" s="9" t="str">
        <f>HYPERLINK("http://biobank.ctsu.ox.ac.uk/crystal/field.cgi?id=27468", "27468")</f>
        <v>27468</v>
      </c>
      <c r="C1245" s="8" t="s">
        <v>3733</v>
      </c>
      <c r="D1245" s="8" t="s">
        <v>10042</v>
      </c>
      <c r="E1245" s="8" t="s">
        <v>11392</v>
      </c>
    </row>
    <row r="1246" spans="1:5" x14ac:dyDescent="0.25">
      <c r="A1246" s="5" t="s">
        <v>3734</v>
      </c>
      <c r="B1246" s="9" t="str">
        <f>HYPERLINK("http://biobank.ctsu.ox.ac.uk/crystal/field.cgi?id=27469", "27469")</f>
        <v>27469</v>
      </c>
      <c r="C1246" s="8" t="s">
        <v>3736</v>
      </c>
      <c r="D1246" s="8" t="s">
        <v>10042</v>
      </c>
      <c r="E1246" s="8" t="s">
        <v>11393</v>
      </c>
    </row>
    <row r="1247" spans="1:5" x14ac:dyDescent="0.25">
      <c r="A1247" s="5" t="s">
        <v>3737</v>
      </c>
      <c r="B1247" s="9" t="str">
        <f>HYPERLINK("http://biobank.ctsu.ox.ac.uk/crystal/field.cgi?id=27470", "27470")</f>
        <v>27470</v>
      </c>
      <c r="C1247" s="8" t="s">
        <v>3739</v>
      </c>
      <c r="D1247" s="8" t="s">
        <v>10042</v>
      </c>
      <c r="E1247" s="8" t="s">
        <v>11394</v>
      </c>
    </row>
    <row r="1248" spans="1:5" x14ac:dyDescent="0.25">
      <c r="A1248" s="5" t="s">
        <v>3740</v>
      </c>
      <c r="B1248" s="9" t="str">
        <f>HYPERLINK("http://biobank.ctsu.ox.ac.uk/crystal/field.cgi?id=27471", "27471")</f>
        <v>27471</v>
      </c>
      <c r="C1248" s="8" t="s">
        <v>3742</v>
      </c>
      <c r="D1248" s="8" t="s">
        <v>10042</v>
      </c>
      <c r="E1248" s="8" t="s">
        <v>11395</v>
      </c>
    </row>
    <row r="1249" spans="1:5" x14ac:dyDescent="0.25">
      <c r="A1249" s="5" t="s">
        <v>3743</v>
      </c>
      <c r="B1249" s="9" t="str">
        <f>HYPERLINK("http://biobank.ctsu.ox.ac.uk/crystal/field.cgi?id=27472", "27472")</f>
        <v>27472</v>
      </c>
      <c r="C1249" s="8" t="s">
        <v>3745</v>
      </c>
      <c r="D1249" s="8" t="s">
        <v>10042</v>
      </c>
      <c r="E1249" s="8" t="s">
        <v>11396</v>
      </c>
    </row>
    <row r="1250" spans="1:5" x14ac:dyDescent="0.25">
      <c r="A1250" s="5" t="s">
        <v>3746</v>
      </c>
      <c r="B1250" s="9" t="str">
        <f>HYPERLINK("http://biobank.ctsu.ox.ac.uk/crystal/field.cgi?id=27473", "27473")</f>
        <v>27473</v>
      </c>
      <c r="C1250" s="8" t="s">
        <v>3748</v>
      </c>
      <c r="D1250" s="8" t="s">
        <v>10042</v>
      </c>
      <c r="E1250" s="8" t="s">
        <v>11397</v>
      </c>
    </row>
    <row r="1251" spans="1:5" x14ac:dyDescent="0.25">
      <c r="A1251" s="5" t="s">
        <v>3749</v>
      </c>
      <c r="B1251" s="9" t="str">
        <f>HYPERLINK("http://biobank.ctsu.ox.ac.uk/crystal/field.cgi?id=27474", "27474")</f>
        <v>27474</v>
      </c>
      <c r="C1251" s="8" t="s">
        <v>3751</v>
      </c>
      <c r="D1251" s="8" t="s">
        <v>10042</v>
      </c>
      <c r="E1251" s="8" t="s">
        <v>11398</v>
      </c>
    </row>
    <row r="1252" spans="1:5" x14ac:dyDescent="0.25">
      <c r="A1252" s="5" t="s">
        <v>3752</v>
      </c>
      <c r="B1252" s="9" t="str">
        <f>HYPERLINK("http://biobank.ctsu.ox.ac.uk/crystal/field.cgi?id=27475", "27475")</f>
        <v>27475</v>
      </c>
      <c r="C1252" s="8" t="s">
        <v>3754</v>
      </c>
      <c r="D1252" s="8" t="s">
        <v>10042</v>
      </c>
      <c r="E1252" s="8" t="s">
        <v>11399</v>
      </c>
    </row>
    <row r="1253" spans="1:5" x14ac:dyDescent="0.25">
      <c r="A1253" s="5" t="s">
        <v>3755</v>
      </c>
      <c r="B1253" s="9" t="str">
        <f>HYPERLINK("http://biobank.ctsu.ox.ac.uk/crystal/field.cgi?id=27476", "27476")</f>
        <v>27476</v>
      </c>
      <c r="C1253" s="8" t="s">
        <v>3757</v>
      </c>
      <c r="D1253" s="8" t="s">
        <v>10042</v>
      </c>
      <c r="E1253" s="8" t="s">
        <v>11400</v>
      </c>
    </row>
    <row r="1254" spans="1:5" x14ac:dyDescent="0.25">
      <c r="A1254" s="5" t="s">
        <v>3758</v>
      </c>
      <c r="B1254" s="9" t="str">
        <f>HYPERLINK("http://biobank.ctsu.ox.ac.uk/crystal/field.cgi?id=27625", "27625")</f>
        <v>27625</v>
      </c>
      <c r="C1254" s="8" t="s">
        <v>3760</v>
      </c>
      <c r="D1254" s="8" t="s">
        <v>10042</v>
      </c>
      <c r="E1254" s="8" t="s">
        <v>11401</v>
      </c>
    </row>
    <row r="1255" spans="1:5" x14ac:dyDescent="0.25">
      <c r="A1255" s="5" t="s">
        <v>3761</v>
      </c>
      <c r="B1255" s="9" t="str">
        <f>HYPERLINK("http://biobank.ctsu.ox.ac.uk/crystal/field.cgi?id=27626", "27626")</f>
        <v>27626</v>
      </c>
      <c r="C1255" s="8" t="s">
        <v>3763</v>
      </c>
      <c r="D1255" s="8" t="s">
        <v>10042</v>
      </c>
      <c r="E1255" s="8" t="s">
        <v>11402</v>
      </c>
    </row>
    <row r="1256" spans="1:5" x14ac:dyDescent="0.25">
      <c r="A1256" s="5" t="s">
        <v>3764</v>
      </c>
      <c r="B1256" s="9" t="str">
        <f>HYPERLINK("http://biobank.ctsu.ox.ac.uk/crystal/field.cgi?id=27627", "27627")</f>
        <v>27627</v>
      </c>
      <c r="C1256" s="8" t="s">
        <v>3766</v>
      </c>
      <c r="D1256" s="8" t="s">
        <v>10042</v>
      </c>
      <c r="E1256" s="8" t="s">
        <v>11403</v>
      </c>
    </row>
    <row r="1257" spans="1:5" x14ac:dyDescent="0.25">
      <c r="A1257" s="5" t="s">
        <v>3767</v>
      </c>
      <c r="B1257" s="9" t="str">
        <f>HYPERLINK("http://biobank.ctsu.ox.ac.uk/crystal/field.cgi?id=27628", "27628")</f>
        <v>27628</v>
      </c>
      <c r="C1257" s="8" t="s">
        <v>3769</v>
      </c>
      <c r="D1257" s="8" t="s">
        <v>10042</v>
      </c>
      <c r="E1257" s="8" t="s">
        <v>11404</v>
      </c>
    </row>
    <row r="1258" spans="1:5" x14ac:dyDescent="0.25">
      <c r="A1258" s="5" t="s">
        <v>3770</v>
      </c>
      <c r="B1258" s="9" t="str">
        <f>HYPERLINK("http://biobank.ctsu.ox.ac.uk/crystal/field.cgi?id=27629", "27629")</f>
        <v>27629</v>
      </c>
      <c r="C1258" s="8" t="s">
        <v>3772</v>
      </c>
      <c r="D1258" s="8" t="s">
        <v>10042</v>
      </c>
      <c r="E1258" s="8" t="s">
        <v>11405</v>
      </c>
    </row>
    <row r="1259" spans="1:5" x14ac:dyDescent="0.25">
      <c r="A1259" s="5" t="s">
        <v>3773</v>
      </c>
      <c r="B1259" s="9" t="str">
        <f>HYPERLINK("http://biobank.ctsu.ox.ac.uk/crystal/field.cgi?id=27630", "27630")</f>
        <v>27630</v>
      </c>
      <c r="C1259" s="8" t="s">
        <v>3775</v>
      </c>
      <c r="D1259" s="8" t="s">
        <v>10042</v>
      </c>
      <c r="E1259" s="8" t="s">
        <v>11406</v>
      </c>
    </row>
    <row r="1260" spans="1:5" x14ac:dyDescent="0.25">
      <c r="A1260" s="5" t="s">
        <v>3776</v>
      </c>
      <c r="B1260" s="9" t="str">
        <f>HYPERLINK("http://biobank.ctsu.ox.ac.uk/crystal/field.cgi?id=27631", "27631")</f>
        <v>27631</v>
      </c>
      <c r="C1260" s="8" t="s">
        <v>3778</v>
      </c>
      <c r="D1260" s="8" t="s">
        <v>10042</v>
      </c>
      <c r="E1260" s="8" t="s">
        <v>11407</v>
      </c>
    </row>
    <row r="1261" spans="1:5" x14ac:dyDescent="0.25">
      <c r="A1261" s="5" t="s">
        <v>3779</v>
      </c>
      <c r="B1261" s="9" t="str">
        <f>HYPERLINK("http://biobank.ctsu.ox.ac.uk/crystal/field.cgi?id=27632", "27632")</f>
        <v>27632</v>
      </c>
      <c r="C1261" s="8" t="s">
        <v>3781</v>
      </c>
      <c r="D1261" s="8" t="s">
        <v>10042</v>
      </c>
      <c r="E1261" s="8" t="s">
        <v>11408</v>
      </c>
    </row>
    <row r="1262" spans="1:5" x14ac:dyDescent="0.25">
      <c r="A1262" s="5" t="s">
        <v>3782</v>
      </c>
      <c r="B1262" s="9" t="str">
        <f>HYPERLINK("http://biobank.ctsu.ox.ac.uk/crystal/field.cgi?id=27633", "27633")</f>
        <v>27633</v>
      </c>
      <c r="C1262" s="8" t="s">
        <v>3784</v>
      </c>
      <c r="D1262" s="8" t="s">
        <v>10042</v>
      </c>
      <c r="E1262" s="8" t="s">
        <v>11409</v>
      </c>
    </row>
    <row r="1263" spans="1:5" x14ac:dyDescent="0.25">
      <c r="A1263" s="5" t="s">
        <v>3785</v>
      </c>
      <c r="B1263" s="9" t="str">
        <f>HYPERLINK("http://biobank.ctsu.ox.ac.uk/crystal/field.cgi?id=27634", "27634")</f>
        <v>27634</v>
      </c>
      <c r="C1263" s="8" t="s">
        <v>3787</v>
      </c>
      <c r="D1263" s="8" t="s">
        <v>10042</v>
      </c>
      <c r="E1263" s="8" t="s">
        <v>11410</v>
      </c>
    </row>
    <row r="1264" spans="1:5" x14ac:dyDescent="0.25">
      <c r="A1264" s="5" t="s">
        <v>3788</v>
      </c>
      <c r="B1264" s="9" t="str">
        <f>HYPERLINK("http://biobank.ctsu.ox.ac.uk/crystal/field.cgi?id=27635", "27635")</f>
        <v>27635</v>
      </c>
      <c r="C1264" s="8" t="s">
        <v>3790</v>
      </c>
      <c r="D1264" s="8" t="s">
        <v>10042</v>
      </c>
      <c r="E1264" s="8" t="s">
        <v>11411</v>
      </c>
    </row>
    <row r="1265" spans="1:5" x14ac:dyDescent="0.25">
      <c r="A1265" s="5" t="s">
        <v>3791</v>
      </c>
      <c r="B1265" s="9" t="str">
        <f>HYPERLINK("http://biobank.ctsu.ox.ac.uk/crystal/field.cgi?id=27636", "27636")</f>
        <v>27636</v>
      </c>
      <c r="C1265" s="8" t="s">
        <v>3793</v>
      </c>
      <c r="D1265" s="8" t="s">
        <v>10042</v>
      </c>
      <c r="E1265" s="8" t="s">
        <v>11412</v>
      </c>
    </row>
    <row r="1266" spans="1:5" x14ac:dyDescent="0.25">
      <c r="A1266" s="5" t="s">
        <v>3794</v>
      </c>
      <c r="B1266" s="9" t="str">
        <f>HYPERLINK("http://biobank.ctsu.ox.ac.uk/crystal/field.cgi?id=27637", "27637")</f>
        <v>27637</v>
      </c>
      <c r="C1266" s="8" t="s">
        <v>3796</v>
      </c>
      <c r="D1266" s="8" t="s">
        <v>10042</v>
      </c>
      <c r="E1266" s="8" t="s">
        <v>11413</v>
      </c>
    </row>
    <row r="1267" spans="1:5" x14ac:dyDescent="0.25">
      <c r="A1267" s="5" t="s">
        <v>3797</v>
      </c>
      <c r="B1267" s="9" t="str">
        <f>HYPERLINK("http://biobank.ctsu.ox.ac.uk/crystal/field.cgi?id=27638", "27638")</f>
        <v>27638</v>
      </c>
      <c r="C1267" s="8" t="s">
        <v>3799</v>
      </c>
      <c r="D1267" s="8" t="s">
        <v>10042</v>
      </c>
      <c r="E1267" s="8" t="s">
        <v>11414</v>
      </c>
    </row>
    <row r="1268" spans="1:5" x14ac:dyDescent="0.25">
      <c r="A1268" s="5" t="s">
        <v>3800</v>
      </c>
      <c r="B1268" s="9" t="str">
        <f>HYPERLINK("http://biobank.ctsu.ox.ac.uk/crystal/field.cgi?id=27639", "27639")</f>
        <v>27639</v>
      </c>
      <c r="C1268" s="8" t="s">
        <v>3802</v>
      </c>
      <c r="D1268" s="8" t="s">
        <v>10042</v>
      </c>
      <c r="E1268" s="8" t="s">
        <v>11415</v>
      </c>
    </row>
    <row r="1269" spans="1:5" x14ac:dyDescent="0.25">
      <c r="A1269" s="5" t="s">
        <v>3803</v>
      </c>
      <c r="B1269" s="9" t="str">
        <f>HYPERLINK("http://biobank.ctsu.ox.ac.uk/crystal/field.cgi?id=27640", "27640")</f>
        <v>27640</v>
      </c>
      <c r="C1269" s="8" t="s">
        <v>3805</v>
      </c>
      <c r="D1269" s="8" t="s">
        <v>10042</v>
      </c>
      <c r="E1269" s="8" t="s">
        <v>11416</v>
      </c>
    </row>
    <row r="1270" spans="1:5" x14ac:dyDescent="0.25">
      <c r="A1270" s="5" t="s">
        <v>3806</v>
      </c>
      <c r="B1270" s="9" t="str">
        <f>HYPERLINK("http://biobank.ctsu.ox.ac.uk/crystal/field.cgi?id=27641", "27641")</f>
        <v>27641</v>
      </c>
      <c r="C1270" s="8" t="s">
        <v>3808</v>
      </c>
      <c r="D1270" s="8" t="s">
        <v>10042</v>
      </c>
      <c r="E1270" s="8" t="s">
        <v>11417</v>
      </c>
    </row>
    <row r="1271" spans="1:5" x14ac:dyDescent="0.25">
      <c r="A1271" s="5" t="s">
        <v>3809</v>
      </c>
      <c r="B1271" s="9" t="str">
        <f>HYPERLINK("http://biobank.ctsu.ox.ac.uk/crystal/field.cgi?id=27642", "27642")</f>
        <v>27642</v>
      </c>
      <c r="C1271" s="8" t="s">
        <v>3811</v>
      </c>
      <c r="D1271" s="8" t="s">
        <v>10042</v>
      </c>
      <c r="E1271" s="8" t="s">
        <v>11418</v>
      </c>
    </row>
    <row r="1272" spans="1:5" x14ac:dyDescent="0.25">
      <c r="A1272" s="5" t="s">
        <v>3812</v>
      </c>
      <c r="B1272" s="9" t="str">
        <f>HYPERLINK("http://biobank.ctsu.ox.ac.uk/crystal/field.cgi?id=27643", "27643")</f>
        <v>27643</v>
      </c>
      <c r="C1272" s="8" t="s">
        <v>3814</v>
      </c>
      <c r="D1272" s="8" t="s">
        <v>10042</v>
      </c>
      <c r="E1272" s="8" t="s">
        <v>11419</v>
      </c>
    </row>
    <row r="1273" spans="1:5" x14ac:dyDescent="0.25">
      <c r="A1273" s="5" t="s">
        <v>3815</v>
      </c>
      <c r="B1273" s="9" t="str">
        <f>HYPERLINK("http://biobank.ctsu.ox.ac.uk/crystal/field.cgi?id=27644", "27644")</f>
        <v>27644</v>
      </c>
      <c r="C1273" s="8" t="s">
        <v>3817</v>
      </c>
      <c r="D1273" s="8" t="s">
        <v>10042</v>
      </c>
      <c r="E1273" s="8" t="s">
        <v>11420</v>
      </c>
    </row>
    <row r="1274" spans="1:5" x14ac:dyDescent="0.25">
      <c r="A1274" s="5" t="s">
        <v>3818</v>
      </c>
      <c r="B1274" s="9" t="str">
        <f>HYPERLINK("http://biobank.ctsu.ox.ac.uk/crystal/field.cgi?id=27645", "27645")</f>
        <v>27645</v>
      </c>
      <c r="C1274" s="8" t="s">
        <v>3820</v>
      </c>
      <c r="D1274" s="8" t="s">
        <v>10042</v>
      </c>
      <c r="E1274" s="8" t="s">
        <v>11421</v>
      </c>
    </row>
    <row r="1275" spans="1:5" x14ac:dyDescent="0.25">
      <c r="A1275" s="5" t="s">
        <v>3821</v>
      </c>
      <c r="B1275" s="9" t="str">
        <f>HYPERLINK("http://biobank.ctsu.ox.ac.uk/crystal/field.cgi?id=27646", "27646")</f>
        <v>27646</v>
      </c>
      <c r="C1275" s="8" t="s">
        <v>3823</v>
      </c>
      <c r="D1275" s="8" t="s">
        <v>10042</v>
      </c>
      <c r="E1275" s="8" t="s">
        <v>11422</v>
      </c>
    </row>
    <row r="1276" spans="1:5" x14ac:dyDescent="0.25">
      <c r="A1276" s="5" t="s">
        <v>3824</v>
      </c>
      <c r="B1276" s="9" t="str">
        <f>HYPERLINK("http://biobank.ctsu.ox.ac.uk/crystal/field.cgi?id=27647", "27647")</f>
        <v>27647</v>
      </c>
      <c r="C1276" s="8" t="s">
        <v>3826</v>
      </c>
      <c r="D1276" s="8" t="s">
        <v>10042</v>
      </c>
      <c r="E1276" s="8" t="s">
        <v>11423</v>
      </c>
    </row>
    <row r="1277" spans="1:5" x14ac:dyDescent="0.25">
      <c r="A1277" s="5" t="s">
        <v>3827</v>
      </c>
      <c r="B1277" s="9" t="str">
        <f>HYPERLINK("http://biobank.ctsu.ox.ac.uk/crystal/field.cgi?id=27648", "27648")</f>
        <v>27648</v>
      </c>
      <c r="C1277" s="8" t="s">
        <v>3829</v>
      </c>
      <c r="D1277" s="8" t="s">
        <v>10042</v>
      </c>
      <c r="E1277" s="8" t="s">
        <v>11424</v>
      </c>
    </row>
    <row r="1278" spans="1:5" x14ac:dyDescent="0.25">
      <c r="A1278" s="5" t="s">
        <v>3830</v>
      </c>
      <c r="B1278" s="9" t="str">
        <f>HYPERLINK("http://biobank.ctsu.ox.ac.uk/crystal/field.cgi?id=27649", "27649")</f>
        <v>27649</v>
      </c>
      <c r="C1278" s="8" t="s">
        <v>3832</v>
      </c>
      <c r="D1278" s="8" t="s">
        <v>10042</v>
      </c>
      <c r="E1278" s="8" t="s">
        <v>11425</v>
      </c>
    </row>
    <row r="1279" spans="1:5" x14ac:dyDescent="0.25">
      <c r="A1279" s="5" t="s">
        <v>3833</v>
      </c>
      <c r="B1279" s="9" t="str">
        <f>HYPERLINK("http://biobank.ctsu.ox.ac.uk/crystal/field.cgi?id=27650", "27650")</f>
        <v>27650</v>
      </c>
      <c r="C1279" s="8" t="s">
        <v>3835</v>
      </c>
      <c r="D1279" s="8" t="s">
        <v>10042</v>
      </c>
      <c r="E1279" s="8" t="s">
        <v>11426</v>
      </c>
    </row>
    <row r="1280" spans="1:5" x14ac:dyDescent="0.25">
      <c r="A1280" s="5" t="s">
        <v>3836</v>
      </c>
      <c r="B1280" s="9" t="str">
        <f>HYPERLINK("http://biobank.ctsu.ox.ac.uk/crystal/field.cgi?id=27651", "27651")</f>
        <v>27651</v>
      </c>
      <c r="C1280" s="8" t="s">
        <v>3838</v>
      </c>
      <c r="D1280" s="8" t="s">
        <v>10042</v>
      </c>
      <c r="E1280" s="8" t="s">
        <v>11427</v>
      </c>
    </row>
    <row r="1281" spans="1:5" x14ac:dyDescent="0.25">
      <c r="A1281" s="5" t="s">
        <v>3839</v>
      </c>
      <c r="B1281" s="9" t="str">
        <f>HYPERLINK("http://biobank.ctsu.ox.ac.uk/crystal/field.cgi?id=27652", "27652")</f>
        <v>27652</v>
      </c>
      <c r="C1281" s="8" t="s">
        <v>3841</v>
      </c>
      <c r="D1281" s="8" t="s">
        <v>10042</v>
      </c>
      <c r="E1281" s="8" t="s">
        <v>11428</v>
      </c>
    </row>
    <row r="1282" spans="1:5" x14ac:dyDescent="0.25">
      <c r="A1282" s="5" t="s">
        <v>3842</v>
      </c>
      <c r="B1282" s="9" t="str">
        <f>HYPERLINK("http://biobank.ctsu.ox.ac.uk/crystal/field.cgi?id=27653", "27653")</f>
        <v>27653</v>
      </c>
      <c r="C1282" s="8" t="s">
        <v>3844</v>
      </c>
      <c r="D1282" s="8" t="s">
        <v>10042</v>
      </c>
      <c r="E1282" s="8" t="s">
        <v>11429</v>
      </c>
    </row>
    <row r="1283" spans="1:5" x14ac:dyDescent="0.25">
      <c r="A1283" s="5" t="s">
        <v>3845</v>
      </c>
      <c r="B1283" s="9" t="str">
        <f>HYPERLINK("http://biobank.ctsu.ox.ac.uk/crystal/field.cgi?id=27654", "27654")</f>
        <v>27654</v>
      </c>
      <c r="C1283" s="8" t="s">
        <v>3847</v>
      </c>
      <c r="D1283" s="8" t="s">
        <v>10042</v>
      </c>
      <c r="E1283" s="8" t="s">
        <v>11430</v>
      </c>
    </row>
    <row r="1284" spans="1:5" x14ac:dyDescent="0.25">
      <c r="A1284" s="5" t="s">
        <v>3848</v>
      </c>
      <c r="B1284" s="9" t="str">
        <f>HYPERLINK("http://biobank.ctsu.ox.ac.uk/crystal/field.cgi?id=27655", "27655")</f>
        <v>27655</v>
      </c>
      <c r="C1284" s="8" t="s">
        <v>3850</v>
      </c>
      <c r="D1284" s="8" t="s">
        <v>10042</v>
      </c>
      <c r="E1284" s="8" t="s">
        <v>11431</v>
      </c>
    </row>
    <row r="1285" spans="1:5" x14ac:dyDescent="0.25">
      <c r="A1285" s="5" t="s">
        <v>3851</v>
      </c>
      <c r="B1285" s="9" t="str">
        <f>HYPERLINK("http://biobank.ctsu.ox.ac.uk/crystal/field.cgi?id=27656", "27656")</f>
        <v>27656</v>
      </c>
      <c r="C1285" s="8" t="s">
        <v>3853</v>
      </c>
      <c r="D1285" s="8" t="s">
        <v>10042</v>
      </c>
      <c r="E1285" s="8" t="s">
        <v>11432</v>
      </c>
    </row>
    <row r="1286" spans="1:5" x14ac:dyDescent="0.25">
      <c r="A1286" s="5" t="s">
        <v>3854</v>
      </c>
      <c r="B1286" s="9" t="str">
        <f>HYPERLINK("http://biobank.ctsu.ox.ac.uk/crystal/field.cgi?id=27657", "27657")</f>
        <v>27657</v>
      </c>
      <c r="C1286" s="8" t="s">
        <v>3856</v>
      </c>
      <c r="D1286" s="8" t="s">
        <v>10042</v>
      </c>
      <c r="E1286" s="8" t="s">
        <v>11433</v>
      </c>
    </row>
    <row r="1287" spans="1:5" x14ac:dyDescent="0.25">
      <c r="A1287" s="5" t="s">
        <v>3857</v>
      </c>
      <c r="B1287" s="9" t="str">
        <f>HYPERLINK("http://biobank.ctsu.ox.ac.uk/crystal/field.cgi?id=27658", "27658")</f>
        <v>27658</v>
      </c>
      <c r="C1287" s="8" t="s">
        <v>3859</v>
      </c>
      <c r="D1287" s="8" t="s">
        <v>10042</v>
      </c>
      <c r="E1287" s="8" t="s">
        <v>11434</v>
      </c>
    </row>
    <row r="1288" spans="1:5" x14ac:dyDescent="0.25">
      <c r="A1288" s="5" t="s">
        <v>3860</v>
      </c>
      <c r="B1288" s="9" t="str">
        <f>HYPERLINK("http://biobank.ctsu.ox.ac.uk/crystal/field.cgi?id=27659", "27659")</f>
        <v>27659</v>
      </c>
      <c r="C1288" s="8" t="s">
        <v>3862</v>
      </c>
      <c r="D1288" s="8" t="s">
        <v>10042</v>
      </c>
      <c r="E1288" s="8" t="s">
        <v>11435</v>
      </c>
    </row>
    <row r="1289" spans="1:5" x14ac:dyDescent="0.25">
      <c r="A1289" s="5" t="s">
        <v>3863</v>
      </c>
      <c r="B1289" s="9" t="str">
        <f>HYPERLINK("http://biobank.ctsu.ox.ac.uk/crystal/field.cgi?id=27660", "27660")</f>
        <v>27660</v>
      </c>
      <c r="C1289" s="8" t="s">
        <v>3865</v>
      </c>
      <c r="D1289" s="8" t="s">
        <v>10042</v>
      </c>
      <c r="E1289" s="8" t="s">
        <v>11436</v>
      </c>
    </row>
    <row r="1290" spans="1:5" x14ac:dyDescent="0.25">
      <c r="A1290" s="5" t="s">
        <v>3866</v>
      </c>
      <c r="B1290" s="9" t="str">
        <f>HYPERLINK("http://biobank.ctsu.ox.ac.uk/crystal/field.cgi?id=27661", "27661")</f>
        <v>27661</v>
      </c>
      <c r="C1290" s="8" t="s">
        <v>3868</v>
      </c>
      <c r="D1290" s="8" t="s">
        <v>10042</v>
      </c>
      <c r="E1290" s="8" t="s">
        <v>11437</v>
      </c>
    </row>
    <row r="1291" spans="1:5" x14ac:dyDescent="0.25">
      <c r="A1291" s="5" t="s">
        <v>3869</v>
      </c>
      <c r="B1291" s="9" t="str">
        <f>HYPERLINK("http://biobank.ctsu.ox.ac.uk/crystal/field.cgi?id=27662", "27662")</f>
        <v>27662</v>
      </c>
      <c r="C1291" s="8" t="s">
        <v>3871</v>
      </c>
      <c r="D1291" s="8" t="s">
        <v>10042</v>
      </c>
      <c r="E1291" s="8" t="s">
        <v>11438</v>
      </c>
    </row>
    <row r="1292" spans="1:5" x14ac:dyDescent="0.25">
      <c r="A1292" s="5" t="s">
        <v>3872</v>
      </c>
      <c r="B1292" s="9" t="str">
        <f>HYPERLINK("http://biobank.ctsu.ox.ac.uk/crystal/field.cgi?id=27663", "27663")</f>
        <v>27663</v>
      </c>
      <c r="C1292" s="8" t="s">
        <v>3874</v>
      </c>
      <c r="D1292" s="8" t="s">
        <v>10042</v>
      </c>
      <c r="E1292" s="8" t="s">
        <v>11439</v>
      </c>
    </row>
    <row r="1293" spans="1:5" x14ac:dyDescent="0.25">
      <c r="A1293" s="5" t="s">
        <v>3875</v>
      </c>
      <c r="B1293" s="9" t="str">
        <f>HYPERLINK("http://biobank.ctsu.ox.ac.uk/crystal/field.cgi?id=27664", "27664")</f>
        <v>27664</v>
      </c>
      <c r="C1293" s="8" t="s">
        <v>3877</v>
      </c>
      <c r="D1293" s="8" t="s">
        <v>10042</v>
      </c>
      <c r="E1293" s="8" t="s">
        <v>11440</v>
      </c>
    </row>
    <row r="1294" spans="1:5" x14ac:dyDescent="0.25">
      <c r="A1294" s="5" t="s">
        <v>3878</v>
      </c>
      <c r="B1294" s="9" t="str">
        <f>HYPERLINK("http://biobank.ctsu.ox.ac.uk/crystal/field.cgi?id=27665", "27665")</f>
        <v>27665</v>
      </c>
      <c r="C1294" s="8" t="s">
        <v>3880</v>
      </c>
      <c r="D1294" s="8" t="s">
        <v>10042</v>
      </c>
      <c r="E1294" s="8" t="s">
        <v>11441</v>
      </c>
    </row>
    <row r="1295" spans="1:5" x14ac:dyDescent="0.25">
      <c r="A1295" s="5" t="s">
        <v>3881</v>
      </c>
      <c r="B1295" s="9" t="str">
        <f>HYPERLINK("http://biobank.ctsu.ox.ac.uk/crystal/field.cgi?id=27666", "27666")</f>
        <v>27666</v>
      </c>
      <c r="C1295" s="8" t="s">
        <v>3883</v>
      </c>
      <c r="D1295" s="8" t="s">
        <v>10042</v>
      </c>
      <c r="E1295" s="8" t="s">
        <v>11442</v>
      </c>
    </row>
    <row r="1296" spans="1:5" x14ac:dyDescent="0.25">
      <c r="A1296" s="5" t="s">
        <v>3884</v>
      </c>
      <c r="B1296" s="9" t="str">
        <f>HYPERLINK("http://biobank.ctsu.ox.ac.uk/crystal/field.cgi?id=27667", "27667")</f>
        <v>27667</v>
      </c>
      <c r="C1296" s="8" t="s">
        <v>3886</v>
      </c>
      <c r="D1296" s="8" t="s">
        <v>10042</v>
      </c>
      <c r="E1296" s="8" t="s">
        <v>11443</v>
      </c>
    </row>
    <row r="1297" spans="1:5" x14ac:dyDescent="0.25">
      <c r="A1297" s="5" t="s">
        <v>3887</v>
      </c>
      <c r="B1297" s="9" t="str">
        <f>HYPERLINK("http://biobank.ctsu.ox.ac.uk/crystal/field.cgi?id=27668", "27668")</f>
        <v>27668</v>
      </c>
      <c r="C1297" s="8" t="s">
        <v>3889</v>
      </c>
      <c r="D1297" s="8" t="s">
        <v>10042</v>
      </c>
      <c r="E1297" s="8" t="s">
        <v>11444</v>
      </c>
    </row>
    <row r="1298" spans="1:5" x14ac:dyDescent="0.25">
      <c r="A1298" s="5" t="s">
        <v>3890</v>
      </c>
      <c r="B1298" s="9" t="str">
        <f>HYPERLINK("http://biobank.ctsu.ox.ac.uk/crystal/field.cgi?id=27669", "27669")</f>
        <v>27669</v>
      </c>
      <c r="C1298" s="8" t="s">
        <v>3892</v>
      </c>
      <c r="D1298" s="8" t="s">
        <v>10042</v>
      </c>
      <c r="E1298" s="8" t="s">
        <v>11445</v>
      </c>
    </row>
    <row r="1299" spans="1:5" x14ac:dyDescent="0.25">
      <c r="A1299" s="5" t="s">
        <v>3893</v>
      </c>
      <c r="B1299" s="9" t="str">
        <f>HYPERLINK("http://biobank.ctsu.ox.ac.uk/crystal/field.cgi?id=27670", "27670")</f>
        <v>27670</v>
      </c>
      <c r="C1299" s="8" t="s">
        <v>3895</v>
      </c>
      <c r="D1299" s="8" t="s">
        <v>10042</v>
      </c>
      <c r="E1299" s="8" t="s">
        <v>11446</v>
      </c>
    </row>
    <row r="1300" spans="1:5" x14ac:dyDescent="0.25">
      <c r="A1300" s="5" t="s">
        <v>3896</v>
      </c>
      <c r="B1300" s="9" t="str">
        <f>HYPERLINK("http://biobank.ctsu.ox.ac.uk/crystal/field.cgi?id=27671", "27671")</f>
        <v>27671</v>
      </c>
      <c r="C1300" s="8" t="s">
        <v>3898</v>
      </c>
      <c r="D1300" s="8" t="s">
        <v>10042</v>
      </c>
      <c r="E1300" s="8" t="s">
        <v>11447</v>
      </c>
    </row>
    <row r="1301" spans="1:5" x14ac:dyDescent="0.25">
      <c r="A1301" s="5" t="s">
        <v>3899</v>
      </c>
      <c r="B1301" s="9" t="str">
        <f>HYPERLINK("http://biobank.ctsu.ox.ac.uk/crystal/field.cgi?id=27672", "27672")</f>
        <v>27672</v>
      </c>
      <c r="C1301" s="8" t="s">
        <v>3901</v>
      </c>
      <c r="D1301" s="8" t="s">
        <v>10042</v>
      </c>
      <c r="E1301" s="8" t="s">
        <v>11448</v>
      </c>
    </row>
    <row r="1302" spans="1:5" x14ac:dyDescent="0.25">
      <c r="A1302" s="5" t="s">
        <v>3902</v>
      </c>
      <c r="B1302" s="9" t="str">
        <f>HYPERLINK("http://biobank.ctsu.ox.ac.uk/crystal/field.cgi?id=27673", "27673")</f>
        <v>27673</v>
      </c>
      <c r="C1302" s="8" t="s">
        <v>3904</v>
      </c>
      <c r="D1302" s="8" t="s">
        <v>10042</v>
      </c>
      <c r="E1302" s="8" t="s">
        <v>11449</v>
      </c>
    </row>
    <row r="1303" spans="1:5" x14ac:dyDescent="0.25">
      <c r="A1303" s="5" t="s">
        <v>3905</v>
      </c>
      <c r="B1303" s="9" t="str">
        <f>HYPERLINK("http://biobank.ctsu.ox.ac.uk/crystal/field.cgi?id=27674", "27674")</f>
        <v>27674</v>
      </c>
      <c r="C1303" s="8" t="s">
        <v>3907</v>
      </c>
      <c r="D1303" s="8" t="s">
        <v>10042</v>
      </c>
      <c r="E1303" s="8" t="s">
        <v>11450</v>
      </c>
    </row>
    <row r="1304" spans="1:5" x14ac:dyDescent="0.25">
      <c r="A1304" s="5" t="s">
        <v>3908</v>
      </c>
      <c r="B1304" s="9" t="str">
        <f>HYPERLINK("http://biobank.ctsu.ox.ac.uk/crystal/field.cgi?id=27675", "27675")</f>
        <v>27675</v>
      </c>
      <c r="C1304" s="8" t="s">
        <v>3910</v>
      </c>
      <c r="D1304" s="8" t="s">
        <v>10042</v>
      </c>
      <c r="E1304" s="8" t="s">
        <v>11451</v>
      </c>
    </row>
    <row r="1305" spans="1:5" x14ac:dyDescent="0.25">
      <c r="A1305" s="5" t="s">
        <v>3911</v>
      </c>
      <c r="B1305" s="9" t="str">
        <f>HYPERLINK("http://biobank.ctsu.ox.ac.uk/crystal/field.cgi?id=27676", "27676")</f>
        <v>27676</v>
      </c>
      <c r="C1305" s="8" t="s">
        <v>3913</v>
      </c>
      <c r="D1305" s="8" t="s">
        <v>10042</v>
      </c>
      <c r="E1305" s="8" t="s">
        <v>11452</v>
      </c>
    </row>
    <row r="1306" spans="1:5" x14ac:dyDescent="0.25">
      <c r="A1306" s="5" t="s">
        <v>3914</v>
      </c>
      <c r="B1306" s="9" t="str">
        <f>HYPERLINK("http://biobank.ctsu.ox.ac.uk/crystal/field.cgi?id=27677", "27677")</f>
        <v>27677</v>
      </c>
      <c r="C1306" s="8" t="s">
        <v>3916</v>
      </c>
      <c r="D1306" s="8" t="s">
        <v>10042</v>
      </c>
      <c r="E1306" s="8" t="s">
        <v>11453</v>
      </c>
    </row>
    <row r="1307" spans="1:5" x14ac:dyDescent="0.25">
      <c r="A1307" s="5" t="s">
        <v>3917</v>
      </c>
      <c r="B1307" s="9" t="str">
        <f>HYPERLINK("http://biobank.ctsu.ox.ac.uk/crystal/field.cgi?id=27678", "27678")</f>
        <v>27678</v>
      </c>
      <c r="C1307" s="8" t="s">
        <v>3919</v>
      </c>
      <c r="D1307" s="8" t="s">
        <v>10042</v>
      </c>
      <c r="E1307" s="8" t="s">
        <v>11454</v>
      </c>
    </row>
    <row r="1308" spans="1:5" x14ac:dyDescent="0.25">
      <c r="A1308" s="5" t="s">
        <v>3920</v>
      </c>
      <c r="B1308" s="9" t="str">
        <f>HYPERLINK("http://biobank.ctsu.ox.ac.uk/crystal/field.cgi?id=27679", "27679")</f>
        <v>27679</v>
      </c>
      <c r="C1308" s="8" t="s">
        <v>3922</v>
      </c>
      <c r="D1308" s="8" t="s">
        <v>10042</v>
      </c>
      <c r="E1308" s="8" t="s">
        <v>11455</v>
      </c>
    </row>
    <row r="1309" spans="1:5" x14ac:dyDescent="0.25">
      <c r="A1309" s="5" t="s">
        <v>3923</v>
      </c>
      <c r="B1309" s="9" t="str">
        <f>HYPERLINK("http://biobank.ctsu.ox.ac.uk/crystal/field.cgi?id=27680", "27680")</f>
        <v>27680</v>
      </c>
      <c r="C1309" s="8" t="s">
        <v>3925</v>
      </c>
      <c r="D1309" s="8" t="s">
        <v>10042</v>
      </c>
      <c r="E1309" s="8" t="s">
        <v>11456</v>
      </c>
    </row>
    <row r="1310" spans="1:5" x14ac:dyDescent="0.25">
      <c r="A1310" s="5" t="s">
        <v>3926</v>
      </c>
      <c r="B1310" s="9" t="str">
        <f>HYPERLINK("http://biobank.ctsu.ox.ac.uk/crystal/field.cgi?id=27681", "27681")</f>
        <v>27681</v>
      </c>
      <c r="C1310" s="8" t="s">
        <v>3928</v>
      </c>
      <c r="D1310" s="8" t="s">
        <v>10042</v>
      </c>
      <c r="E1310" s="8" t="s">
        <v>11457</v>
      </c>
    </row>
    <row r="1311" spans="1:5" x14ac:dyDescent="0.25">
      <c r="A1311" s="5" t="s">
        <v>3929</v>
      </c>
      <c r="B1311" s="9" t="str">
        <f>HYPERLINK("http://biobank.ctsu.ox.ac.uk/crystal/field.cgi?id=27682", "27682")</f>
        <v>27682</v>
      </c>
      <c r="C1311" s="8" t="s">
        <v>3931</v>
      </c>
      <c r="D1311" s="8" t="s">
        <v>10042</v>
      </c>
      <c r="E1311" s="8" t="s">
        <v>11458</v>
      </c>
    </row>
    <row r="1312" spans="1:5" x14ac:dyDescent="0.25">
      <c r="A1312" s="5" t="s">
        <v>3932</v>
      </c>
      <c r="B1312" s="9" t="str">
        <f>HYPERLINK("http://biobank.ctsu.ox.ac.uk/crystal/field.cgi?id=27683", "27683")</f>
        <v>27683</v>
      </c>
      <c r="C1312" s="8" t="s">
        <v>3934</v>
      </c>
      <c r="D1312" s="8" t="s">
        <v>10042</v>
      </c>
      <c r="E1312" s="8" t="s">
        <v>11459</v>
      </c>
    </row>
    <row r="1313" spans="1:5" x14ac:dyDescent="0.25">
      <c r="A1313" s="5" t="s">
        <v>3935</v>
      </c>
      <c r="B1313" s="9" t="str">
        <f>HYPERLINK("http://biobank.ctsu.ox.ac.uk/crystal/field.cgi?id=27684", "27684")</f>
        <v>27684</v>
      </c>
      <c r="C1313" s="8" t="s">
        <v>3937</v>
      </c>
      <c r="D1313" s="8" t="s">
        <v>10042</v>
      </c>
      <c r="E1313" s="8" t="s">
        <v>11460</v>
      </c>
    </row>
    <row r="1314" spans="1:5" x14ac:dyDescent="0.25">
      <c r="A1314" s="5" t="s">
        <v>3938</v>
      </c>
      <c r="B1314" s="9" t="str">
        <f>HYPERLINK("http://biobank.ctsu.ox.ac.uk/crystal/field.cgi?id=27685", "27685")</f>
        <v>27685</v>
      </c>
      <c r="C1314" s="8" t="s">
        <v>3940</v>
      </c>
      <c r="D1314" s="8" t="s">
        <v>10042</v>
      </c>
      <c r="E1314" s="8" t="s">
        <v>11461</v>
      </c>
    </row>
    <row r="1315" spans="1:5" x14ac:dyDescent="0.25">
      <c r="A1315" s="5" t="s">
        <v>3941</v>
      </c>
      <c r="B1315" s="9" t="str">
        <f>HYPERLINK("http://biobank.ctsu.ox.ac.uk/crystal/field.cgi?id=27686", "27686")</f>
        <v>27686</v>
      </c>
      <c r="C1315" s="8" t="s">
        <v>3943</v>
      </c>
      <c r="D1315" s="8" t="s">
        <v>10042</v>
      </c>
      <c r="E1315" s="8" t="s">
        <v>11462</v>
      </c>
    </row>
    <row r="1316" spans="1:5" x14ac:dyDescent="0.25">
      <c r="A1316" s="5" t="s">
        <v>3944</v>
      </c>
      <c r="B1316" s="9" t="str">
        <f>HYPERLINK("http://biobank.ctsu.ox.ac.uk/crystal/field.cgi?id=27687", "27687")</f>
        <v>27687</v>
      </c>
      <c r="C1316" s="8" t="s">
        <v>3946</v>
      </c>
      <c r="D1316" s="8" t="s">
        <v>10042</v>
      </c>
      <c r="E1316" s="8" t="s">
        <v>11463</v>
      </c>
    </row>
    <row r="1317" spans="1:5" x14ac:dyDescent="0.25">
      <c r="A1317" s="5" t="s">
        <v>3947</v>
      </c>
      <c r="B1317" s="9" t="str">
        <f>HYPERLINK("http://biobank.ctsu.ox.ac.uk/crystal/field.cgi?id=27688", "27688")</f>
        <v>27688</v>
      </c>
      <c r="C1317" s="8" t="s">
        <v>3949</v>
      </c>
      <c r="D1317" s="8" t="s">
        <v>10042</v>
      </c>
      <c r="E1317" s="8" t="s">
        <v>11464</v>
      </c>
    </row>
    <row r="1318" spans="1:5" x14ac:dyDescent="0.25">
      <c r="A1318" s="5" t="s">
        <v>3950</v>
      </c>
      <c r="B1318" s="9" t="str">
        <f>HYPERLINK("http://biobank.ctsu.ox.ac.uk/crystal/field.cgi?id=27689", "27689")</f>
        <v>27689</v>
      </c>
      <c r="C1318" s="8" t="s">
        <v>3952</v>
      </c>
      <c r="D1318" s="8" t="s">
        <v>10042</v>
      </c>
      <c r="E1318" s="8" t="s">
        <v>11465</v>
      </c>
    </row>
    <row r="1319" spans="1:5" x14ac:dyDescent="0.25">
      <c r="A1319" s="5" t="s">
        <v>3953</v>
      </c>
      <c r="B1319" s="9" t="str">
        <f>HYPERLINK("http://biobank.ctsu.ox.ac.uk/crystal/field.cgi?id=27690", "27690")</f>
        <v>27690</v>
      </c>
      <c r="C1319" s="8" t="s">
        <v>3955</v>
      </c>
      <c r="D1319" s="8" t="s">
        <v>10042</v>
      </c>
      <c r="E1319" s="8" t="s">
        <v>11466</v>
      </c>
    </row>
    <row r="1320" spans="1:5" x14ac:dyDescent="0.25">
      <c r="A1320" s="5" t="s">
        <v>3956</v>
      </c>
      <c r="B1320" s="9" t="str">
        <f>HYPERLINK("http://biobank.ctsu.ox.ac.uk/crystal/field.cgi?id=27691", "27691")</f>
        <v>27691</v>
      </c>
      <c r="C1320" s="8" t="s">
        <v>3958</v>
      </c>
      <c r="D1320" s="8" t="s">
        <v>10042</v>
      </c>
      <c r="E1320" s="8" t="s">
        <v>11467</v>
      </c>
    </row>
    <row r="1321" spans="1:5" x14ac:dyDescent="0.25">
      <c r="A1321" s="5" t="s">
        <v>3959</v>
      </c>
      <c r="B1321" s="9" t="str">
        <f>HYPERLINK("http://biobank.ctsu.ox.ac.uk/crystal/field.cgi?id=27692", "27692")</f>
        <v>27692</v>
      </c>
      <c r="C1321" s="8" t="s">
        <v>3961</v>
      </c>
      <c r="D1321" s="8" t="s">
        <v>10042</v>
      </c>
      <c r="E1321" s="8" t="s">
        <v>11468</v>
      </c>
    </row>
    <row r="1322" spans="1:5" x14ac:dyDescent="0.25">
      <c r="A1322" s="5" t="s">
        <v>3962</v>
      </c>
      <c r="B1322" s="9" t="str">
        <f>HYPERLINK("http://biobank.ctsu.ox.ac.uk/crystal/field.cgi?id=27693", "27693")</f>
        <v>27693</v>
      </c>
      <c r="C1322" s="8" t="s">
        <v>3964</v>
      </c>
      <c r="D1322" s="8" t="s">
        <v>10042</v>
      </c>
      <c r="E1322" s="8" t="s">
        <v>11469</v>
      </c>
    </row>
    <row r="1323" spans="1:5" x14ac:dyDescent="0.25">
      <c r="A1323" s="5" t="s">
        <v>3965</v>
      </c>
      <c r="B1323" s="9" t="str">
        <f>HYPERLINK("http://biobank.ctsu.ox.ac.uk/crystal/field.cgi?id=27694", "27694")</f>
        <v>27694</v>
      </c>
      <c r="C1323" s="8" t="s">
        <v>3967</v>
      </c>
      <c r="D1323" s="8" t="s">
        <v>10042</v>
      </c>
      <c r="E1323" s="8" t="s">
        <v>11470</v>
      </c>
    </row>
    <row r="1324" spans="1:5" x14ac:dyDescent="0.25">
      <c r="A1324" s="5" t="s">
        <v>3968</v>
      </c>
      <c r="B1324" s="9" t="str">
        <f>HYPERLINK("http://biobank.ctsu.ox.ac.uk/crystal/field.cgi?id=27695", "27695")</f>
        <v>27695</v>
      </c>
      <c r="C1324" s="8" t="s">
        <v>3970</v>
      </c>
      <c r="D1324" s="8" t="s">
        <v>10042</v>
      </c>
      <c r="E1324" s="8" t="s">
        <v>11471</v>
      </c>
    </row>
    <row r="1325" spans="1:5" x14ac:dyDescent="0.25">
      <c r="A1325" s="5" t="s">
        <v>3971</v>
      </c>
      <c r="B1325" s="9" t="str">
        <f>HYPERLINK("http://biobank.ctsu.ox.ac.uk/crystal/field.cgi?id=27696", "27696")</f>
        <v>27696</v>
      </c>
      <c r="C1325" s="8" t="s">
        <v>3973</v>
      </c>
      <c r="D1325" s="8" t="s">
        <v>10042</v>
      </c>
      <c r="E1325" s="8" t="s">
        <v>11472</v>
      </c>
    </row>
    <row r="1326" spans="1:5" x14ac:dyDescent="0.25">
      <c r="A1326" s="5" t="s">
        <v>3974</v>
      </c>
      <c r="B1326" s="9" t="str">
        <f>HYPERLINK("http://biobank.ctsu.ox.ac.uk/crystal/field.cgi?id=27697", "27697")</f>
        <v>27697</v>
      </c>
      <c r="C1326" s="8" t="s">
        <v>3976</v>
      </c>
      <c r="D1326" s="8" t="s">
        <v>10042</v>
      </c>
      <c r="E1326" s="8" t="s">
        <v>11473</v>
      </c>
    </row>
    <row r="1327" spans="1:5" x14ac:dyDescent="0.25">
      <c r="A1327" s="5" t="s">
        <v>3977</v>
      </c>
      <c r="B1327" s="9" t="str">
        <f>HYPERLINK("http://biobank.ctsu.ox.ac.uk/crystal/field.cgi?id=27698", "27698")</f>
        <v>27698</v>
      </c>
      <c r="C1327" s="8" t="s">
        <v>3979</v>
      </c>
      <c r="D1327" s="8" t="s">
        <v>10042</v>
      </c>
      <c r="E1327" s="8" t="s">
        <v>11474</v>
      </c>
    </row>
    <row r="1328" spans="1:5" x14ac:dyDescent="0.25">
      <c r="A1328" s="5" t="s">
        <v>3980</v>
      </c>
      <c r="B1328" s="9" t="str">
        <f>HYPERLINK("http://biobank.ctsu.ox.ac.uk/crystal/field.cgi?id=26501", "26501")</f>
        <v>26501</v>
      </c>
      <c r="C1328" s="8" t="s">
        <v>3982</v>
      </c>
      <c r="D1328" s="8" t="s">
        <v>10043</v>
      </c>
      <c r="E1328" s="8" t="s">
        <v>11475</v>
      </c>
    </row>
    <row r="1329" spans="1:5" x14ac:dyDescent="0.25">
      <c r="A1329" s="5" t="s">
        <v>3983</v>
      </c>
      <c r="B1329" s="9" t="str">
        <f>HYPERLINK("http://biobank.ctsu.ox.ac.uk/crystal/field.cgi?id=26502", "26502")</f>
        <v>26502</v>
      </c>
      <c r="C1329" s="8" t="s">
        <v>3985</v>
      </c>
      <c r="D1329" s="8" t="s">
        <v>10043</v>
      </c>
      <c r="E1329" s="8" t="s">
        <v>11476</v>
      </c>
    </row>
    <row r="1330" spans="1:5" x14ac:dyDescent="0.25">
      <c r="A1330" s="5" t="s">
        <v>3986</v>
      </c>
      <c r="B1330" s="9" t="str">
        <f>HYPERLINK("http://biobank.ctsu.ox.ac.uk/crystal/field.cgi?id=26503", "26503")</f>
        <v>26503</v>
      </c>
      <c r="C1330" s="8" t="s">
        <v>3988</v>
      </c>
      <c r="D1330" s="8" t="s">
        <v>10043</v>
      </c>
      <c r="E1330" s="8" t="s">
        <v>11477</v>
      </c>
    </row>
    <row r="1331" spans="1:5" x14ac:dyDescent="0.25">
      <c r="A1331" s="5" t="s">
        <v>3989</v>
      </c>
      <c r="B1331" s="9" t="str">
        <f>HYPERLINK("http://biobank.ctsu.ox.ac.uk/crystal/field.cgi?id=26504", "26504")</f>
        <v>26504</v>
      </c>
      <c r="C1331" s="8" t="s">
        <v>3991</v>
      </c>
      <c r="D1331" s="8" t="s">
        <v>10043</v>
      </c>
      <c r="E1331" s="8" t="s">
        <v>11478</v>
      </c>
    </row>
    <row r="1332" spans="1:5" x14ac:dyDescent="0.25">
      <c r="A1332" s="5" t="s">
        <v>3992</v>
      </c>
      <c r="B1332" s="9" t="str">
        <f>HYPERLINK("http://biobank.ctsu.ox.ac.uk/crystal/field.cgi?id=26505", "26505")</f>
        <v>26505</v>
      </c>
      <c r="C1332" s="8" t="s">
        <v>3994</v>
      </c>
      <c r="D1332" s="8" t="s">
        <v>10043</v>
      </c>
      <c r="E1332" s="8" t="s">
        <v>11479</v>
      </c>
    </row>
    <row r="1333" spans="1:5" x14ac:dyDescent="0.25">
      <c r="A1333" s="5" t="s">
        <v>3995</v>
      </c>
      <c r="B1333" s="9" t="str">
        <f>HYPERLINK("http://biobank.ctsu.ox.ac.uk/crystal/field.cgi?id=26506", "26506")</f>
        <v>26506</v>
      </c>
      <c r="C1333" s="8" t="s">
        <v>3997</v>
      </c>
      <c r="D1333" s="8" t="s">
        <v>10043</v>
      </c>
      <c r="E1333" s="8" t="s">
        <v>11480</v>
      </c>
    </row>
    <row r="1334" spans="1:5" x14ac:dyDescent="0.25">
      <c r="A1334" s="5" t="s">
        <v>3998</v>
      </c>
      <c r="B1334" s="9" t="str">
        <f>HYPERLINK("http://biobank.ctsu.ox.ac.uk/crystal/field.cgi?id=26507", "26507")</f>
        <v>26507</v>
      </c>
      <c r="C1334" s="8" t="s">
        <v>4000</v>
      </c>
      <c r="D1334" s="8" t="s">
        <v>10043</v>
      </c>
      <c r="E1334" s="8" t="s">
        <v>11481</v>
      </c>
    </row>
    <row r="1335" spans="1:5" x14ac:dyDescent="0.25">
      <c r="A1335" s="5" t="s">
        <v>4001</v>
      </c>
      <c r="B1335" s="9" t="str">
        <f>HYPERLINK("http://biobank.ctsu.ox.ac.uk/crystal/field.cgi?id=26508", "26508")</f>
        <v>26508</v>
      </c>
      <c r="C1335" s="8" t="s">
        <v>4003</v>
      </c>
      <c r="D1335" s="8" t="s">
        <v>10043</v>
      </c>
      <c r="E1335" s="8" t="s">
        <v>11482</v>
      </c>
    </row>
    <row r="1336" spans="1:5" x14ac:dyDescent="0.25">
      <c r="A1336" s="5" t="s">
        <v>4004</v>
      </c>
      <c r="B1336" s="9" t="str">
        <f>HYPERLINK("http://biobank.ctsu.ox.ac.uk/crystal/field.cgi?id=26509", "26509")</f>
        <v>26509</v>
      </c>
      <c r="C1336" s="8" t="s">
        <v>4006</v>
      </c>
      <c r="D1336" s="8" t="s">
        <v>10043</v>
      </c>
      <c r="E1336" s="8" t="s">
        <v>11483</v>
      </c>
    </row>
    <row r="1337" spans="1:5" x14ac:dyDescent="0.25">
      <c r="A1337" s="5" t="s">
        <v>4007</v>
      </c>
      <c r="B1337" s="9" t="str">
        <f>HYPERLINK("http://biobank.ctsu.ox.ac.uk/crystal/field.cgi?id=26510", "26510")</f>
        <v>26510</v>
      </c>
      <c r="C1337" s="8" t="s">
        <v>4009</v>
      </c>
      <c r="D1337" s="8" t="s">
        <v>10043</v>
      </c>
      <c r="E1337" s="8" t="s">
        <v>11484</v>
      </c>
    </row>
    <row r="1338" spans="1:5" x14ac:dyDescent="0.25">
      <c r="A1338" s="5" t="s">
        <v>4010</v>
      </c>
      <c r="B1338" s="9" t="str">
        <f>HYPERLINK("http://biobank.ctsu.ox.ac.uk/crystal/field.cgi?id=26511", "26511")</f>
        <v>26511</v>
      </c>
      <c r="C1338" s="8" t="s">
        <v>4012</v>
      </c>
      <c r="D1338" s="8" t="s">
        <v>10043</v>
      </c>
      <c r="E1338" s="8" t="s">
        <v>11485</v>
      </c>
    </row>
    <row r="1339" spans="1:5" x14ac:dyDescent="0.25">
      <c r="A1339" s="5" t="s">
        <v>4013</v>
      </c>
      <c r="B1339" s="9" t="str">
        <f>HYPERLINK("http://biobank.ctsu.ox.ac.uk/crystal/field.cgi?id=26512", "26512")</f>
        <v>26512</v>
      </c>
      <c r="C1339" s="8" t="s">
        <v>4015</v>
      </c>
      <c r="D1339" s="8" t="s">
        <v>10043</v>
      </c>
      <c r="E1339" s="8" t="s">
        <v>11486</v>
      </c>
    </row>
    <row r="1340" spans="1:5" x14ac:dyDescent="0.25">
      <c r="A1340" s="5" t="s">
        <v>4016</v>
      </c>
      <c r="B1340" s="9" t="str">
        <f>HYPERLINK("http://biobank.ctsu.ox.ac.uk/crystal/field.cgi?id=26513", "26513")</f>
        <v>26513</v>
      </c>
      <c r="C1340" s="8" t="s">
        <v>4018</v>
      </c>
      <c r="D1340" s="8" t="s">
        <v>10043</v>
      </c>
      <c r="E1340" s="8" t="s">
        <v>11487</v>
      </c>
    </row>
    <row r="1341" spans="1:5" x14ac:dyDescent="0.25">
      <c r="A1341" s="5" t="s">
        <v>4019</v>
      </c>
      <c r="B1341" s="9" t="str">
        <f>HYPERLINK("http://biobank.ctsu.ox.ac.uk/crystal/field.cgi?id=26538", "26538")</f>
        <v>26538</v>
      </c>
      <c r="C1341" s="8" t="s">
        <v>4021</v>
      </c>
      <c r="D1341" s="8" t="s">
        <v>10043</v>
      </c>
      <c r="E1341" s="8" t="s">
        <v>11488</v>
      </c>
    </row>
    <row r="1342" spans="1:5" x14ac:dyDescent="0.25">
      <c r="A1342" s="5" t="s">
        <v>4022</v>
      </c>
      <c r="B1342" s="9" t="str">
        <f>HYPERLINK("http://biobank.ctsu.ox.ac.uk/crystal/field.cgi?id=26539", "26539")</f>
        <v>26539</v>
      </c>
      <c r="C1342" s="8" t="s">
        <v>4024</v>
      </c>
      <c r="D1342" s="8" t="s">
        <v>10043</v>
      </c>
      <c r="E1342" s="8" t="s">
        <v>11489</v>
      </c>
    </row>
    <row r="1343" spans="1:5" x14ac:dyDescent="0.25">
      <c r="A1343" s="5" t="s">
        <v>4025</v>
      </c>
      <c r="B1343" s="9" t="str">
        <f>HYPERLINK("http://biobank.ctsu.ox.ac.uk/crystal/field.cgi?id=26540", "26540")</f>
        <v>26540</v>
      </c>
      <c r="C1343" s="8" t="s">
        <v>4027</v>
      </c>
      <c r="D1343" s="8" t="s">
        <v>10043</v>
      </c>
      <c r="E1343" s="8" t="s">
        <v>11490</v>
      </c>
    </row>
    <row r="1344" spans="1:5" x14ac:dyDescent="0.25">
      <c r="A1344" s="5" t="s">
        <v>4028</v>
      </c>
      <c r="B1344" s="9" t="str">
        <f>HYPERLINK("http://biobank.ctsu.ox.ac.uk/crystal/field.cgi?id=26541", "26541")</f>
        <v>26541</v>
      </c>
      <c r="C1344" s="8" t="s">
        <v>4030</v>
      </c>
      <c r="D1344" s="8" t="s">
        <v>10043</v>
      </c>
      <c r="E1344" s="8" t="s">
        <v>11491</v>
      </c>
    </row>
    <row r="1345" spans="1:5" x14ac:dyDescent="0.25">
      <c r="A1345" s="5" t="s">
        <v>4031</v>
      </c>
      <c r="B1345" s="9" t="str">
        <f>HYPERLINK("http://biobank.ctsu.ox.ac.uk/crystal/field.cgi?id=26542", "26542")</f>
        <v>26542</v>
      </c>
      <c r="C1345" s="8" t="s">
        <v>4033</v>
      </c>
      <c r="D1345" s="8" t="s">
        <v>10043</v>
      </c>
      <c r="E1345" s="8" t="s">
        <v>11492</v>
      </c>
    </row>
    <row r="1346" spans="1:5" x14ac:dyDescent="0.25">
      <c r="A1346" s="5" t="s">
        <v>4034</v>
      </c>
      <c r="B1346" s="9" t="str">
        <f>HYPERLINK("http://biobank.ctsu.ox.ac.uk/crystal/field.cgi?id=26543", "26543")</f>
        <v>26543</v>
      </c>
      <c r="C1346" s="8" t="s">
        <v>4036</v>
      </c>
      <c r="D1346" s="8" t="s">
        <v>10043</v>
      </c>
      <c r="E1346" s="8" t="s">
        <v>11493</v>
      </c>
    </row>
    <row r="1347" spans="1:5" x14ac:dyDescent="0.25">
      <c r="A1347" s="5" t="s">
        <v>4037</v>
      </c>
      <c r="B1347" s="9" t="str">
        <f>HYPERLINK("http://biobank.ctsu.ox.ac.uk/crystal/field.cgi?id=26544", "26544")</f>
        <v>26544</v>
      </c>
      <c r="C1347" s="8" t="s">
        <v>4039</v>
      </c>
      <c r="D1347" s="8" t="s">
        <v>10043</v>
      </c>
      <c r="E1347" s="8" t="s">
        <v>11494</v>
      </c>
    </row>
    <row r="1348" spans="1:5" x14ac:dyDescent="0.25">
      <c r="A1348" s="5" t="s">
        <v>4040</v>
      </c>
      <c r="B1348" s="9" t="str">
        <f>HYPERLINK("http://biobank.ctsu.ox.ac.uk/crystal/field.cgi?id=26545", "26545")</f>
        <v>26545</v>
      </c>
      <c r="C1348" s="8" t="s">
        <v>4042</v>
      </c>
      <c r="D1348" s="8" t="s">
        <v>10043</v>
      </c>
      <c r="E1348" s="8" t="s">
        <v>11495</v>
      </c>
    </row>
    <row r="1349" spans="1:5" x14ac:dyDescent="0.25">
      <c r="A1349" s="5" t="s">
        <v>4043</v>
      </c>
      <c r="B1349" s="9" t="str">
        <f>HYPERLINK("http://biobank.ctsu.ox.ac.uk/crystal/field.cgi?id=26546", "26546")</f>
        <v>26546</v>
      </c>
      <c r="C1349" s="8" t="s">
        <v>4045</v>
      </c>
      <c r="D1349" s="8" t="s">
        <v>10043</v>
      </c>
      <c r="E1349" s="8" t="s">
        <v>11496</v>
      </c>
    </row>
    <row r="1350" spans="1:5" x14ac:dyDescent="0.25">
      <c r="A1350" s="5" t="s">
        <v>4046</v>
      </c>
      <c r="B1350" s="9" t="str">
        <f>HYPERLINK("http://biobank.ctsu.ox.ac.uk/crystal/field.cgi?id=26547", "26547")</f>
        <v>26547</v>
      </c>
      <c r="C1350" s="8" t="s">
        <v>4048</v>
      </c>
      <c r="D1350" s="8" t="s">
        <v>10043</v>
      </c>
      <c r="E1350" s="8" t="s">
        <v>11497</v>
      </c>
    </row>
    <row r="1351" spans="1:5" x14ac:dyDescent="0.25">
      <c r="A1351" s="5" t="s">
        <v>4049</v>
      </c>
      <c r="B1351" s="9" t="str">
        <f>HYPERLINK("http://biobank.ctsu.ox.ac.uk/crystal/field.cgi?id=26548", "26548")</f>
        <v>26548</v>
      </c>
      <c r="C1351" s="8" t="s">
        <v>4051</v>
      </c>
      <c r="D1351" s="8" t="s">
        <v>10043</v>
      </c>
      <c r="E1351" s="8" t="s">
        <v>11498</v>
      </c>
    </row>
    <row r="1352" spans="1:5" x14ac:dyDescent="0.25">
      <c r="A1352" s="5" t="s">
        <v>4052</v>
      </c>
      <c r="B1352" s="9" t="str">
        <f>HYPERLINK("http://biobank.ctsu.ox.ac.uk/crystal/field.cgi?id=26549", "26549")</f>
        <v>26549</v>
      </c>
      <c r="C1352" s="8" t="s">
        <v>4054</v>
      </c>
      <c r="D1352" s="8" t="s">
        <v>10043</v>
      </c>
      <c r="E1352" s="8" t="s">
        <v>11499</v>
      </c>
    </row>
    <row r="1353" spans="1:5" x14ac:dyDescent="0.25">
      <c r="A1353" s="5" t="s">
        <v>4055</v>
      </c>
      <c r="B1353" s="9" t="str">
        <f>HYPERLINK("http://biobank.ctsu.ox.ac.uk/crystal/field.cgi?id=26550", "26550")</f>
        <v>26550</v>
      </c>
      <c r="C1353" s="8" t="s">
        <v>4057</v>
      </c>
      <c r="D1353" s="8" t="s">
        <v>10043</v>
      </c>
      <c r="E1353" s="8" t="s">
        <v>11500</v>
      </c>
    </row>
    <row r="1354" spans="1:5" x14ac:dyDescent="0.25">
      <c r="A1354" s="5" t="s">
        <v>4058</v>
      </c>
      <c r="B1354" s="9" t="str">
        <f>HYPERLINK("http://biobank.ctsu.ox.ac.uk/crystal/field.cgi?id=26551", "26551")</f>
        <v>26551</v>
      </c>
      <c r="C1354" s="8" t="s">
        <v>4060</v>
      </c>
      <c r="D1354" s="8" t="s">
        <v>10043</v>
      </c>
      <c r="E1354" s="8" t="s">
        <v>11501</v>
      </c>
    </row>
    <row r="1355" spans="1:5" x14ac:dyDescent="0.25">
      <c r="A1355" s="5" t="s">
        <v>4061</v>
      </c>
      <c r="B1355" s="9" t="str">
        <f>HYPERLINK("http://biobank.ctsu.ox.ac.uk/crystal/field.cgi?id=26569", "26569")</f>
        <v>26569</v>
      </c>
      <c r="C1355" s="8" t="s">
        <v>4063</v>
      </c>
      <c r="D1355" s="8" t="s">
        <v>10043</v>
      </c>
      <c r="E1355" s="8" t="s">
        <v>11502</v>
      </c>
    </row>
    <row r="1356" spans="1:5" x14ac:dyDescent="0.25">
      <c r="A1356" s="5" t="s">
        <v>4064</v>
      </c>
      <c r="B1356" s="9" t="str">
        <f>HYPERLINK("http://biobank.ctsu.ox.ac.uk/crystal/field.cgi?id=26570", "26570")</f>
        <v>26570</v>
      </c>
      <c r="C1356" s="8" t="s">
        <v>4066</v>
      </c>
      <c r="D1356" s="8" t="s">
        <v>10043</v>
      </c>
      <c r="E1356" s="8" t="s">
        <v>11503</v>
      </c>
    </row>
    <row r="1357" spans="1:5" x14ac:dyDescent="0.25">
      <c r="A1357" s="5" t="s">
        <v>4067</v>
      </c>
      <c r="B1357" s="9" t="str">
        <f>HYPERLINK("http://biobank.ctsu.ox.ac.uk/crystal/field.cgi?id=26571", "26571")</f>
        <v>26571</v>
      </c>
      <c r="C1357" s="8" t="s">
        <v>4069</v>
      </c>
      <c r="D1357" s="8" t="s">
        <v>10043</v>
      </c>
      <c r="E1357" s="8" t="s">
        <v>11504</v>
      </c>
    </row>
    <row r="1358" spans="1:5" x14ac:dyDescent="0.25">
      <c r="A1358" s="5" t="s">
        <v>4070</v>
      </c>
      <c r="B1358" s="9" t="str">
        <f>HYPERLINK("http://biobank.ctsu.ox.ac.uk/crystal/field.cgi?id=26572", "26572")</f>
        <v>26572</v>
      </c>
      <c r="C1358" s="8" t="s">
        <v>4072</v>
      </c>
      <c r="D1358" s="8" t="s">
        <v>10043</v>
      </c>
      <c r="E1358" s="8" t="s">
        <v>11505</v>
      </c>
    </row>
    <row r="1359" spans="1:5" x14ac:dyDescent="0.25">
      <c r="A1359" s="5" t="s">
        <v>4073</v>
      </c>
      <c r="B1359" s="9" t="str">
        <f>HYPERLINK("http://biobank.ctsu.ox.ac.uk/crystal/field.cgi?id=26573", "26573")</f>
        <v>26573</v>
      </c>
      <c r="C1359" s="8" t="s">
        <v>4075</v>
      </c>
      <c r="D1359" s="8" t="s">
        <v>10043</v>
      </c>
      <c r="E1359" s="8" t="s">
        <v>11506</v>
      </c>
    </row>
    <row r="1360" spans="1:5" x14ac:dyDescent="0.25">
      <c r="A1360" s="5" t="s">
        <v>4076</v>
      </c>
      <c r="B1360" s="9" t="str">
        <f>HYPERLINK("http://biobank.ctsu.ox.ac.uk/crystal/field.cgi?id=26574", "26574")</f>
        <v>26574</v>
      </c>
      <c r="C1360" s="8" t="s">
        <v>4078</v>
      </c>
      <c r="D1360" s="8" t="s">
        <v>10043</v>
      </c>
      <c r="E1360" s="8" t="s">
        <v>11507</v>
      </c>
    </row>
    <row r="1361" spans="1:5" x14ac:dyDescent="0.25">
      <c r="A1361" s="5" t="s">
        <v>4079</v>
      </c>
      <c r="B1361" s="9" t="str">
        <f>HYPERLINK("http://biobank.ctsu.ox.ac.uk/crystal/field.cgi?id=26575", "26575")</f>
        <v>26575</v>
      </c>
      <c r="C1361" s="8" t="s">
        <v>4081</v>
      </c>
      <c r="D1361" s="8" t="s">
        <v>10043</v>
      </c>
      <c r="E1361" s="8" t="s">
        <v>11508</v>
      </c>
    </row>
    <row r="1362" spans="1:5" x14ac:dyDescent="0.25">
      <c r="A1362" s="5" t="s">
        <v>4082</v>
      </c>
      <c r="B1362" s="9" t="str">
        <f>HYPERLINK("http://biobank.ctsu.ox.ac.uk/crystal/field.cgi?id=26576", "26576")</f>
        <v>26576</v>
      </c>
      <c r="C1362" s="8" t="s">
        <v>4084</v>
      </c>
      <c r="D1362" s="8" t="s">
        <v>10043</v>
      </c>
      <c r="E1362" s="8" t="s">
        <v>11509</v>
      </c>
    </row>
    <row r="1363" spans="1:5" x14ac:dyDescent="0.25">
      <c r="A1363" s="5" t="s">
        <v>4085</v>
      </c>
      <c r="B1363" s="9" t="str">
        <f>HYPERLINK("http://biobank.ctsu.ox.ac.uk/crystal/field.cgi?id=26577", "26577")</f>
        <v>26577</v>
      </c>
      <c r="C1363" s="8" t="s">
        <v>4087</v>
      </c>
      <c r="D1363" s="8" t="s">
        <v>10043</v>
      </c>
      <c r="E1363" s="8" t="s">
        <v>11510</v>
      </c>
    </row>
    <row r="1364" spans="1:5" x14ac:dyDescent="0.25">
      <c r="A1364" s="5" t="s">
        <v>4088</v>
      </c>
      <c r="B1364" s="9" t="str">
        <f>HYPERLINK("http://biobank.ctsu.ox.ac.uk/crystal/field.cgi?id=26578", "26578")</f>
        <v>26578</v>
      </c>
      <c r="C1364" s="8" t="s">
        <v>4090</v>
      </c>
      <c r="D1364" s="8" t="s">
        <v>10043</v>
      </c>
      <c r="E1364" s="8" t="s">
        <v>11511</v>
      </c>
    </row>
    <row r="1365" spans="1:5" x14ac:dyDescent="0.25">
      <c r="A1365" s="5" t="s">
        <v>4091</v>
      </c>
      <c r="B1365" s="9" t="str">
        <f>HYPERLINK("http://biobank.ctsu.ox.ac.uk/crystal/field.cgi?id=26579", "26579")</f>
        <v>26579</v>
      </c>
      <c r="C1365" s="8" t="s">
        <v>4093</v>
      </c>
      <c r="D1365" s="8" t="s">
        <v>10043</v>
      </c>
      <c r="E1365" s="8" t="s">
        <v>11512</v>
      </c>
    </row>
    <row r="1366" spans="1:5" x14ac:dyDescent="0.25">
      <c r="A1366" s="5" t="s">
        <v>4094</v>
      </c>
      <c r="B1366" s="9" t="str">
        <f>HYPERLINK("http://biobank.ctsu.ox.ac.uk/crystal/field.cgi?id=26580", "26580")</f>
        <v>26580</v>
      </c>
      <c r="C1366" s="8" t="s">
        <v>4096</v>
      </c>
      <c r="D1366" s="8" t="s">
        <v>10043</v>
      </c>
      <c r="E1366" s="8" t="s">
        <v>11513</v>
      </c>
    </row>
    <row r="1367" spans="1:5" x14ac:dyDescent="0.25">
      <c r="A1367" s="5" t="s">
        <v>4097</v>
      </c>
      <c r="B1367" s="9" t="str">
        <f>HYPERLINK("http://biobank.ctsu.ox.ac.uk/crystal/field.cgi?id=26581", "26581")</f>
        <v>26581</v>
      </c>
      <c r="C1367" s="8" t="s">
        <v>4099</v>
      </c>
      <c r="D1367" s="8" t="s">
        <v>10043</v>
      </c>
      <c r="E1367" s="8" t="s">
        <v>11514</v>
      </c>
    </row>
    <row r="1368" spans="1:5" x14ac:dyDescent="0.25">
      <c r="A1368" s="5" t="s">
        <v>4100</v>
      </c>
      <c r="B1368" s="9" t="str">
        <f>HYPERLINK("http://biobank.ctsu.ox.ac.uk/crystal/field.cgi?id=26582", "26582")</f>
        <v>26582</v>
      </c>
      <c r="C1368" s="8" t="s">
        <v>4102</v>
      </c>
      <c r="D1368" s="8" t="s">
        <v>10043</v>
      </c>
      <c r="E1368" s="8" t="s">
        <v>11515</v>
      </c>
    </row>
    <row r="1369" spans="1:5" x14ac:dyDescent="0.25">
      <c r="A1369" s="5" t="s">
        <v>4103</v>
      </c>
      <c r="B1369" s="9" t="str">
        <f>HYPERLINK("http://biobank.ctsu.ox.ac.uk/crystal/field.cgi?id=26989", "26989")</f>
        <v>26989</v>
      </c>
      <c r="C1369" s="8" t="s">
        <v>4105</v>
      </c>
      <c r="D1369" s="8" t="s">
        <v>10044</v>
      </c>
      <c r="E1369" s="8" t="s">
        <v>11516</v>
      </c>
    </row>
    <row r="1370" spans="1:5" x14ac:dyDescent="0.25">
      <c r="A1370" s="5" t="s">
        <v>4106</v>
      </c>
      <c r="B1370" s="9" t="str">
        <f>HYPERLINK("http://biobank.ctsu.ox.ac.uk/crystal/field.cgi?id=26990", "26990")</f>
        <v>26990</v>
      </c>
      <c r="C1370" s="8" t="s">
        <v>4108</v>
      </c>
      <c r="D1370" s="8" t="s">
        <v>10044</v>
      </c>
      <c r="E1370" s="8" t="s">
        <v>11517</v>
      </c>
    </row>
    <row r="1371" spans="1:5" x14ac:dyDescent="0.25">
      <c r="A1371" s="5" t="s">
        <v>4109</v>
      </c>
      <c r="B1371" s="9" t="str">
        <f>HYPERLINK("http://biobank.ctsu.ox.ac.uk/crystal/field.cgi?id=26991", "26991")</f>
        <v>26991</v>
      </c>
      <c r="C1371" s="8" t="s">
        <v>4111</v>
      </c>
      <c r="D1371" s="8" t="s">
        <v>10044</v>
      </c>
      <c r="E1371" s="8" t="s">
        <v>11518</v>
      </c>
    </row>
    <row r="1372" spans="1:5" x14ac:dyDescent="0.25">
      <c r="A1372" s="5" t="s">
        <v>4112</v>
      </c>
      <c r="B1372" s="9" t="str">
        <f>HYPERLINK("http://biobank.ctsu.ox.ac.uk/crystal/field.cgi?id=26992", "26992")</f>
        <v>26992</v>
      </c>
      <c r="C1372" s="8" t="s">
        <v>4114</v>
      </c>
      <c r="D1372" s="8" t="s">
        <v>10044</v>
      </c>
      <c r="E1372" s="8" t="s">
        <v>11519</v>
      </c>
    </row>
    <row r="1373" spans="1:5" x14ac:dyDescent="0.25">
      <c r="A1373" s="5" t="s">
        <v>4115</v>
      </c>
      <c r="B1373" s="9" t="str">
        <f>HYPERLINK("http://biobank.ctsu.ox.ac.uk/crystal/field.cgi?id=26993", "26993")</f>
        <v>26993</v>
      </c>
      <c r="C1373" s="8" t="s">
        <v>4117</v>
      </c>
      <c r="D1373" s="8" t="s">
        <v>10044</v>
      </c>
      <c r="E1373" s="8" t="s">
        <v>11520</v>
      </c>
    </row>
    <row r="1374" spans="1:5" x14ac:dyDescent="0.25">
      <c r="A1374" s="5" t="s">
        <v>4118</v>
      </c>
      <c r="B1374" s="9" t="str">
        <f>HYPERLINK("http://biobank.ctsu.ox.ac.uk/crystal/field.cgi?id=26994", "26994")</f>
        <v>26994</v>
      </c>
      <c r="C1374" s="8" t="s">
        <v>4120</v>
      </c>
      <c r="D1374" s="8" t="s">
        <v>10044</v>
      </c>
      <c r="E1374" s="8" t="s">
        <v>11521</v>
      </c>
    </row>
    <row r="1375" spans="1:5" x14ac:dyDescent="0.25">
      <c r="A1375" s="5" t="s">
        <v>4121</v>
      </c>
      <c r="B1375" s="9" t="str">
        <f>HYPERLINK("http://biobank.ctsu.ox.ac.uk/crystal/field.cgi?id=26995", "26995")</f>
        <v>26995</v>
      </c>
      <c r="C1375" s="8" t="s">
        <v>4123</v>
      </c>
      <c r="D1375" s="8" t="s">
        <v>10044</v>
      </c>
      <c r="E1375" s="8" t="s">
        <v>11522</v>
      </c>
    </row>
    <row r="1376" spans="1:5" x14ac:dyDescent="0.25">
      <c r="A1376" s="5" t="s">
        <v>4124</v>
      </c>
      <c r="B1376" s="9" t="str">
        <f>HYPERLINK("http://biobank.ctsu.ox.ac.uk/crystal/field.cgi?id=26996", "26996")</f>
        <v>26996</v>
      </c>
      <c r="C1376" s="8" t="s">
        <v>4126</v>
      </c>
      <c r="D1376" s="8" t="s">
        <v>10044</v>
      </c>
      <c r="E1376" s="8" t="s">
        <v>11523</v>
      </c>
    </row>
    <row r="1377" spans="1:5" x14ac:dyDescent="0.25">
      <c r="A1377" s="5" t="s">
        <v>4127</v>
      </c>
      <c r="B1377" s="9" t="str">
        <f>HYPERLINK("http://biobank.ctsu.ox.ac.uk/crystal/field.cgi?id=26997", "26997")</f>
        <v>26997</v>
      </c>
      <c r="C1377" s="8" t="s">
        <v>4129</v>
      </c>
      <c r="D1377" s="8" t="s">
        <v>10044</v>
      </c>
      <c r="E1377" s="8" t="s">
        <v>11524</v>
      </c>
    </row>
    <row r="1378" spans="1:5" x14ac:dyDescent="0.25">
      <c r="A1378" s="5" t="s">
        <v>4130</v>
      </c>
      <c r="B1378" s="9" t="str">
        <f>HYPERLINK("http://biobank.ctsu.ox.ac.uk/crystal/field.cgi?id=26998", "26998")</f>
        <v>26998</v>
      </c>
      <c r="C1378" s="8" t="s">
        <v>4132</v>
      </c>
      <c r="D1378" s="8" t="s">
        <v>10044</v>
      </c>
      <c r="E1378" s="8" t="s">
        <v>11525</v>
      </c>
    </row>
    <row r="1379" spans="1:5" x14ac:dyDescent="0.25">
      <c r="A1379" s="5" t="s">
        <v>4133</v>
      </c>
      <c r="B1379" s="9" t="str">
        <f>HYPERLINK("http://biobank.ctsu.ox.ac.uk/crystal/field.cgi?id=26999", "26999")</f>
        <v>26999</v>
      </c>
      <c r="C1379" s="8" t="s">
        <v>4135</v>
      </c>
      <c r="D1379" s="8" t="s">
        <v>10044</v>
      </c>
      <c r="E1379" s="8" t="s">
        <v>11526</v>
      </c>
    </row>
    <row r="1380" spans="1:5" x14ac:dyDescent="0.25">
      <c r="A1380" s="5" t="s">
        <v>4136</v>
      </c>
      <c r="B1380" s="9" t="str">
        <f>HYPERLINK("http://biobank.ctsu.ox.ac.uk/crystal/field.cgi?id=27000", "27000")</f>
        <v>27000</v>
      </c>
      <c r="C1380" s="8" t="s">
        <v>4138</v>
      </c>
      <c r="D1380" s="8" t="s">
        <v>10044</v>
      </c>
      <c r="E1380" s="8" t="s">
        <v>11527</v>
      </c>
    </row>
    <row r="1381" spans="1:5" x14ac:dyDescent="0.25">
      <c r="A1381" s="5" t="s">
        <v>4139</v>
      </c>
      <c r="B1381" s="9" t="str">
        <f>HYPERLINK("http://biobank.ctsu.ox.ac.uk/crystal/field.cgi?id=27001", "27001")</f>
        <v>27001</v>
      </c>
      <c r="C1381" s="8" t="s">
        <v>4141</v>
      </c>
      <c r="D1381" s="8" t="s">
        <v>10044</v>
      </c>
      <c r="E1381" s="8" t="s">
        <v>11528</v>
      </c>
    </row>
    <row r="1382" spans="1:5" x14ac:dyDescent="0.25">
      <c r="A1382" s="5" t="s">
        <v>4142</v>
      </c>
      <c r="B1382" s="9" t="str">
        <f>HYPERLINK("http://biobank.ctsu.ox.ac.uk/crystal/field.cgi?id=27002", "27002")</f>
        <v>27002</v>
      </c>
      <c r="C1382" s="8" t="s">
        <v>4144</v>
      </c>
      <c r="D1382" s="8" t="s">
        <v>10044</v>
      </c>
      <c r="E1382" s="8" t="s">
        <v>11529</v>
      </c>
    </row>
    <row r="1383" spans="1:5" x14ac:dyDescent="0.25">
      <c r="A1383" s="5" t="s">
        <v>4145</v>
      </c>
      <c r="B1383" s="9" t="str">
        <f>HYPERLINK("http://biobank.ctsu.ox.ac.uk/crystal/field.cgi?id=27003", "27003")</f>
        <v>27003</v>
      </c>
      <c r="C1383" s="8" t="s">
        <v>4147</v>
      </c>
      <c r="D1383" s="8" t="s">
        <v>10044</v>
      </c>
      <c r="E1383" s="8" t="s">
        <v>11530</v>
      </c>
    </row>
    <row r="1384" spans="1:5" x14ac:dyDescent="0.25">
      <c r="A1384" s="5" t="s">
        <v>4148</v>
      </c>
      <c r="B1384" s="9" t="str">
        <f>HYPERLINK("http://biobank.ctsu.ox.ac.uk/crystal/field.cgi?id=27004", "27004")</f>
        <v>27004</v>
      </c>
      <c r="C1384" s="8" t="s">
        <v>4150</v>
      </c>
      <c r="D1384" s="8" t="s">
        <v>10044</v>
      </c>
      <c r="E1384" s="8" t="s">
        <v>11531</v>
      </c>
    </row>
    <row r="1385" spans="1:5" x14ac:dyDescent="0.25">
      <c r="A1385" s="5" t="s">
        <v>4151</v>
      </c>
      <c r="B1385" s="9" t="str">
        <f>HYPERLINK("http://biobank.ctsu.ox.ac.uk/crystal/field.cgi?id=27005", "27005")</f>
        <v>27005</v>
      </c>
      <c r="C1385" s="8" t="s">
        <v>4153</v>
      </c>
      <c r="D1385" s="8" t="s">
        <v>10044</v>
      </c>
      <c r="E1385" s="8" t="s">
        <v>11532</v>
      </c>
    </row>
    <row r="1386" spans="1:5" x14ac:dyDescent="0.25">
      <c r="A1386" s="5" t="s">
        <v>4154</v>
      </c>
      <c r="B1386" s="9" t="str">
        <f>HYPERLINK("http://biobank.ctsu.ox.ac.uk/crystal/field.cgi?id=27006", "27006")</f>
        <v>27006</v>
      </c>
      <c r="C1386" s="8" t="s">
        <v>4156</v>
      </c>
      <c r="D1386" s="8" t="s">
        <v>10044</v>
      </c>
      <c r="E1386" s="8" t="s">
        <v>11533</v>
      </c>
    </row>
    <row r="1387" spans="1:5" x14ac:dyDescent="0.25">
      <c r="A1387" s="5" t="s">
        <v>4157</v>
      </c>
      <c r="B1387" s="9" t="str">
        <f>HYPERLINK("http://biobank.ctsu.ox.ac.uk/crystal/field.cgi?id=27007", "27007")</f>
        <v>27007</v>
      </c>
      <c r="C1387" s="8" t="s">
        <v>4159</v>
      </c>
      <c r="D1387" s="8" t="s">
        <v>10044</v>
      </c>
      <c r="E1387" s="8" t="s">
        <v>11534</v>
      </c>
    </row>
    <row r="1388" spans="1:5" x14ac:dyDescent="0.25">
      <c r="A1388" s="5" t="s">
        <v>4160</v>
      </c>
      <c r="B1388" s="9" t="str">
        <f>HYPERLINK("http://biobank.ctsu.ox.ac.uk/crystal/field.cgi?id=27008", "27008")</f>
        <v>27008</v>
      </c>
      <c r="C1388" s="8" t="s">
        <v>4162</v>
      </c>
      <c r="D1388" s="8" t="s">
        <v>10044</v>
      </c>
      <c r="E1388" s="8" t="s">
        <v>11535</v>
      </c>
    </row>
    <row r="1389" spans="1:5" x14ac:dyDescent="0.25">
      <c r="A1389" s="5" t="s">
        <v>4163</v>
      </c>
      <c r="B1389" s="9" t="str">
        <f>HYPERLINK("http://biobank.ctsu.ox.ac.uk/crystal/field.cgi?id=27009", "27009")</f>
        <v>27009</v>
      </c>
      <c r="C1389" s="8" t="s">
        <v>4165</v>
      </c>
      <c r="D1389" s="8" t="s">
        <v>10044</v>
      </c>
      <c r="E1389" s="8" t="s">
        <v>11536</v>
      </c>
    </row>
    <row r="1390" spans="1:5" x14ac:dyDescent="0.25">
      <c r="A1390" s="5" t="s">
        <v>4166</v>
      </c>
      <c r="B1390" s="9" t="str">
        <f>HYPERLINK("http://biobank.ctsu.ox.ac.uk/crystal/field.cgi?id=27010", "27010")</f>
        <v>27010</v>
      </c>
      <c r="C1390" s="8" t="s">
        <v>4168</v>
      </c>
      <c r="D1390" s="8" t="s">
        <v>10044</v>
      </c>
      <c r="E1390" s="8" t="s">
        <v>11537</v>
      </c>
    </row>
    <row r="1391" spans="1:5" x14ac:dyDescent="0.25">
      <c r="A1391" s="5" t="s">
        <v>4169</v>
      </c>
      <c r="B1391" s="9" t="str">
        <f>HYPERLINK("http://biobank.ctsu.ox.ac.uk/crystal/field.cgi?id=27011", "27011")</f>
        <v>27011</v>
      </c>
      <c r="C1391" s="8" t="s">
        <v>4171</v>
      </c>
      <c r="D1391" s="8" t="s">
        <v>10044</v>
      </c>
      <c r="E1391" s="8" t="s">
        <v>11538</v>
      </c>
    </row>
    <row r="1392" spans="1:5" x14ac:dyDescent="0.25">
      <c r="A1392" s="5" t="s">
        <v>4172</v>
      </c>
      <c r="B1392" s="9" t="str">
        <f>HYPERLINK("http://biobank.ctsu.ox.ac.uk/crystal/field.cgi?id=27012", "27012")</f>
        <v>27012</v>
      </c>
      <c r="C1392" s="8" t="s">
        <v>4174</v>
      </c>
      <c r="D1392" s="8" t="s">
        <v>10044</v>
      </c>
      <c r="E1392" s="8" t="s">
        <v>11539</v>
      </c>
    </row>
    <row r="1393" spans="1:5" x14ac:dyDescent="0.25">
      <c r="A1393" s="5" t="s">
        <v>4175</v>
      </c>
      <c r="B1393" s="9" t="str">
        <f>HYPERLINK("http://biobank.ctsu.ox.ac.uk/crystal/field.cgi?id=27013", "27013")</f>
        <v>27013</v>
      </c>
      <c r="C1393" s="8" t="s">
        <v>4177</v>
      </c>
      <c r="D1393" s="8" t="s">
        <v>10044</v>
      </c>
      <c r="E1393" s="8" t="s">
        <v>11540</v>
      </c>
    </row>
    <row r="1394" spans="1:5" x14ac:dyDescent="0.25">
      <c r="A1394" s="5" t="s">
        <v>4178</v>
      </c>
      <c r="B1394" s="9" t="str">
        <f>HYPERLINK("http://biobank.ctsu.ox.ac.uk/crystal/field.cgi?id=27014", "27014")</f>
        <v>27014</v>
      </c>
      <c r="C1394" s="8" t="s">
        <v>4180</v>
      </c>
      <c r="D1394" s="8" t="s">
        <v>10044</v>
      </c>
      <c r="E1394" s="8" t="s">
        <v>11541</v>
      </c>
    </row>
    <row r="1395" spans="1:5" x14ac:dyDescent="0.25">
      <c r="A1395" s="5" t="s">
        <v>4181</v>
      </c>
      <c r="B1395" s="9" t="str">
        <f>HYPERLINK("http://biobank.ctsu.ox.ac.uk/crystal/field.cgi?id=27015", "27015")</f>
        <v>27015</v>
      </c>
      <c r="C1395" s="8" t="s">
        <v>4183</v>
      </c>
      <c r="D1395" s="8" t="s">
        <v>10044</v>
      </c>
      <c r="E1395" s="8" t="s">
        <v>11542</v>
      </c>
    </row>
    <row r="1396" spans="1:5" x14ac:dyDescent="0.25">
      <c r="A1396" s="5" t="s">
        <v>4184</v>
      </c>
      <c r="B1396" s="9" t="str">
        <f>HYPERLINK("http://biobank.ctsu.ox.ac.uk/crystal/field.cgi?id=27016", "27016")</f>
        <v>27016</v>
      </c>
      <c r="C1396" s="8" t="s">
        <v>4186</v>
      </c>
      <c r="D1396" s="8" t="s">
        <v>10044</v>
      </c>
      <c r="E1396" s="8" t="s">
        <v>11543</v>
      </c>
    </row>
    <row r="1397" spans="1:5" x14ac:dyDescent="0.25">
      <c r="A1397" s="5" t="s">
        <v>4187</v>
      </c>
      <c r="B1397" s="9" t="str">
        <f>HYPERLINK("http://biobank.ctsu.ox.ac.uk/crystal/field.cgi?id=27017", "27017")</f>
        <v>27017</v>
      </c>
      <c r="C1397" s="8" t="s">
        <v>4189</v>
      </c>
      <c r="D1397" s="8" t="s">
        <v>10044</v>
      </c>
      <c r="E1397" s="8" t="s">
        <v>11544</v>
      </c>
    </row>
    <row r="1398" spans="1:5" x14ac:dyDescent="0.25">
      <c r="A1398" s="5" t="s">
        <v>4190</v>
      </c>
      <c r="B1398" s="9" t="str">
        <f>HYPERLINK("http://biobank.ctsu.ox.ac.uk/crystal/field.cgi?id=27018", "27018")</f>
        <v>27018</v>
      </c>
      <c r="C1398" s="8" t="s">
        <v>4192</v>
      </c>
      <c r="D1398" s="8" t="s">
        <v>10044</v>
      </c>
      <c r="E1398" s="8" t="s">
        <v>11545</v>
      </c>
    </row>
    <row r="1399" spans="1:5" x14ac:dyDescent="0.25">
      <c r="A1399" s="5" t="s">
        <v>4193</v>
      </c>
      <c r="B1399" s="9" t="str">
        <f>HYPERLINK("http://biobank.ctsu.ox.ac.uk/crystal/field.cgi?id=27019", "27019")</f>
        <v>27019</v>
      </c>
      <c r="C1399" s="8" t="s">
        <v>4195</v>
      </c>
      <c r="D1399" s="8" t="s">
        <v>10044</v>
      </c>
      <c r="E1399" s="8" t="s">
        <v>11546</v>
      </c>
    </row>
    <row r="1400" spans="1:5" x14ac:dyDescent="0.25">
      <c r="A1400" s="5" t="s">
        <v>4196</v>
      </c>
      <c r="B1400" s="9" t="str">
        <f>HYPERLINK("http://biobank.ctsu.ox.ac.uk/crystal/field.cgi?id=27020", "27020")</f>
        <v>27020</v>
      </c>
      <c r="C1400" s="8" t="s">
        <v>4198</v>
      </c>
      <c r="D1400" s="8" t="s">
        <v>10044</v>
      </c>
      <c r="E1400" s="8" t="s">
        <v>11547</v>
      </c>
    </row>
    <row r="1401" spans="1:5" x14ac:dyDescent="0.25">
      <c r="A1401" s="5" t="s">
        <v>4199</v>
      </c>
      <c r="B1401" s="9" t="str">
        <f>HYPERLINK("http://biobank.ctsu.ox.ac.uk/crystal/field.cgi?id=27021", "27021")</f>
        <v>27021</v>
      </c>
      <c r="C1401" s="8" t="s">
        <v>4201</v>
      </c>
      <c r="D1401" s="8" t="s">
        <v>10044</v>
      </c>
      <c r="E1401" s="8" t="s">
        <v>11548</v>
      </c>
    </row>
    <row r="1402" spans="1:5" x14ac:dyDescent="0.25">
      <c r="A1402" s="5" t="s">
        <v>4202</v>
      </c>
      <c r="B1402" s="9" t="str">
        <f>HYPERLINK("http://biobank.ctsu.ox.ac.uk/crystal/field.cgi?id=27022", "27022")</f>
        <v>27022</v>
      </c>
      <c r="C1402" s="8" t="s">
        <v>4204</v>
      </c>
      <c r="D1402" s="8" t="s">
        <v>10044</v>
      </c>
      <c r="E1402" s="8" t="s">
        <v>11549</v>
      </c>
    </row>
    <row r="1403" spans="1:5" x14ac:dyDescent="0.25">
      <c r="A1403" s="5" t="s">
        <v>4205</v>
      </c>
      <c r="B1403" s="9" t="str">
        <f>HYPERLINK("http://biobank.ctsu.ox.ac.uk/crystal/field.cgi?id=27023", "27023")</f>
        <v>27023</v>
      </c>
      <c r="C1403" s="8" t="s">
        <v>4207</v>
      </c>
      <c r="D1403" s="8" t="s">
        <v>10044</v>
      </c>
      <c r="E1403" s="8" t="s">
        <v>11550</v>
      </c>
    </row>
    <row r="1404" spans="1:5" x14ac:dyDescent="0.25">
      <c r="A1404" s="5" t="s">
        <v>4208</v>
      </c>
      <c r="B1404" s="9" t="str">
        <f>HYPERLINK("http://biobank.ctsu.ox.ac.uk/crystal/field.cgi?id=27024", "27024")</f>
        <v>27024</v>
      </c>
      <c r="C1404" s="8" t="s">
        <v>4210</v>
      </c>
      <c r="D1404" s="8" t="s">
        <v>10044</v>
      </c>
      <c r="E1404" s="8" t="s">
        <v>11551</v>
      </c>
    </row>
    <row r="1405" spans="1:5" x14ac:dyDescent="0.25">
      <c r="A1405" s="5" t="s">
        <v>4211</v>
      </c>
      <c r="B1405" s="9" t="str">
        <f>HYPERLINK("http://biobank.ctsu.ox.ac.uk/crystal/field.cgi?id=27025", "27025")</f>
        <v>27025</v>
      </c>
      <c r="C1405" s="8" t="s">
        <v>4213</v>
      </c>
      <c r="D1405" s="8" t="s">
        <v>10044</v>
      </c>
      <c r="E1405" s="8" t="s">
        <v>11552</v>
      </c>
    </row>
    <row r="1406" spans="1:5" x14ac:dyDescent="0.25">
      <c r="A1406" s="5" t="s">
        <v>4214</v>
      </c>
      <c r="B1406" s="9" t="str">
        <f>HYPERLINK("http://biobank.ctsu.ox.ac.uk/crystal/field.cgi?id=27026", "27026")</f>
        <v>27026</v>
      </c>
      <c r="C1406" s="8" t="s">
        <v>4216</v>
      </c>
      <c r="D1406" s="8" t="s">
        <v>10044</v>
      </c>
      <c r="E1406" s="8" t="s">
        <v>11553</v>
      </c>
    </row>
    <row r="1407" spans="1:5" x14ac:dyDescent="0.25">
      <c r="A1407" s="5" t="s">
        <v>4217</v>
      </c>
      <c r="B1407" s="9" t="str">
        <f>HYPERLINK("http://biobank.ctsu.ox.ac.uk/crystal/field.cgi?id=27027", "27027")</f>
        <v>27027</v>
      </c>
      <c r="C1407" s="8" t="s">
        <v>4219</v>
      </c>
      <c r="D1407" s="8" t="s">
        <v>10044</v>
      </c>
      <c r="E1407" s="8" t="s">
        <v>11554</v>
      </c>
    </row>
    <row r="1408" spans="1:5" x14ac:dyDescent="0.25">
      <c r="A1408" s="5" t="s">
        <v>4220</v>
      </c>
      <c r="B1408" s="9" t="str">
        <f>HYPERLINK("http://biobank.ctsu.ox.ac.uk/crystal/field.cgi?id=27028", "27028")</f>
        <v>27028</v>
      </c>
      <c r="C1408" s="8" t="s">
        <v>4222</v>
      </c>
      <c r="D1408" s="8" t="s">
        <v>10044</v>
      </c>
      <c r="E1408" s="8" t="s">
        <v>11555</v>
      </c>
    </row>
    <row r="1409" spans="1:5" x14ac:dyDescent="0.25">
      <c r="A1409" s="5" t="s">
        <v>4223</v>
      </c>
      <c r="B1409" s="9" t="str">
        <f>HYPERLINK("http://biobank.ctsu.ox.ac.uk/crystal/field.cgi?id=27029", "27029")</f>
        <v>27029</v>
      </c>
      <c r="C1409" s="8" t="s">
        <v>4225</v>
      </c>
      <c r="D1409" s="8" t="s">
        <v>10044</v>
      </c>
      <c r="E1409" s="8" t="s">
        <v>11556</v>
      </c>
    </row>
    <row r="1410" spans="1:5" x14ac:dyDescent="0.25">
      <c r="A1410" s="5" t="s">
        <v>4226</v>
      </c>
      <c r="B1410" s="9" t="str">
        <f>HYPERLINK("http://biobank.ctsu.ox.ac.uk/crystal/field.cgi?id=27030", "27030")</f>
        <v>27030</v>
      </c>
      <c r="C1410" s="8" t="s">
        <v>4228</v>
      </c>
      <c r="D1410" s="8" t="s">
        <v>10044</v>
      </c>
      <c r="E1410" s="8" t="s">
        <v>11557</v>
      </c>
    </row>
    <row r="1411" spans="1:5" x14ac:dyDescent="0.25">
      <c r="A1411" s="5" t="s">
        <v>4229</v>
      </c>
      <c r="B1411" s="9" t="str">
        <f>HYPERLINK("http://biobank.ctsu.ox.ac.uk/crystal/field.cgi?id=27031", "27031")</f>
        <v>27031</v>
      </c>
      <c r="C1411" s="8" t="s">
        <v>4231</v>
      </c>
      <c r="D1411" s="8" t="s">
        <v>10044</v>
      </c>
      <c r="E1411" s="8" t="s">
        <v>11558</v>
      </c>
    </row>
    <row r="1412" spans="1:5" x14ac:dyDescent="0.25">
      <c r="A1412" s="5" t="s">
        <v>4232</v>
      </c>
      <c r="B1412" s="9" t="str">
        <f>HYPERLINK("http://biobank.ctsu.ox.ac.uk/crystal/field.cgi?id=27032", "27032")</f>
        <v>27032</v>
      </c>
      <c r="C1412" s="8" t="s">
        <v>4234</v>
      </c>
      <c r="D1412" s="8" t="s">
        <v>10044</v>
      </c>
      <c r="E1412" s="8" t="s">
        <v>11559</v>
      </c>
    </row>
    <row r="1413" spans="1:5" x14ac:dyDescent="0.25">
      <c r="A1413" s="5" t="s">
        <v>4235</v>
      </c>
      <c r="B1413" s="9" t="str">
        <f>HYPERLINK("http://biobank.ctsu.ox.ac.uk/crystal/field.cgi?id=27033", "27033")</f>
        <v>27033</v>
      </c>
      <c r="C1413" s="8" t="s">
        <v>4237</v>
      </c>
      <c r="D1413" s="8" t="s">
        <v>10044</v>
      </c>
      <c r="E1413" s="8" t="s">
        <v>11560</v>
      </c>
    </row>
    <row r="1414" spans="1:5" x14ac:dyDescent="0.25">
      <c r="A1414" s="5" t="s">
        <v>4238</v>
      </c>
      <c r="B1414" s="9" t="str">
        <f>HYPERLINK("http://biobank.ctsu.ox.ac.uk/crystal/field.cgi?id=27034", "27034")</f>
        <v>27034</v>
      </c>
      <c r="C1414" s="8" t="s">
        <v>4240</v>
      </c>
      <c r="D1414" s="8" t="s">
        <v>10044</v>
      </c>
      <c r="E1414" s="8" t="s">
        <v>11561</v>
      </c>
    </row>
    <row r="1415" spans="1:5" x14ac:dyDescent="0.25">
      <c r="A1415" s="5" t="s">
        <v>4241</v>
      </c>
      <c r="B1415" s="9" t="str">
        <f>HYPERLINK("http://biobank.ctsu.ox.ac.uk/crystal/field.cgi?id=27035", "27035")</f>
        <v>27035</v>
      </c>
      <c r="C1415" s="8" t="s">
        <v>4243</v>
      </c>
      <c r="D1415" s="8" t="s">
        <v>10044</v>
      </c>
      <c r="E1415" s="8" t="s">
        <v>11562</v>
      </c>
    </row>
    <row r="1416" spans="1:5" x14ac:dyDescent="0.25">
      <c r="A1416" s="5" t="s">
        <v>4244</v>
      </c>
      <c r="B1416" s="9" t="str">
        <f>HYPERLINK("http://biobank.ctsu.ox.ac.uk/crystal/field.cgi?id=27036", "27036")</f>
        <v>27036</v>
      </c>
      <c r="C1416" s="8" t="s">
        <v>4246</v>
      </c>
      <c r="D1416" s="8" t="s">
        <v>10044</v>
      </c>
      <c r="E1416" s="8" t="s">
        <v>11563</v>
      </c>
    </row>
    <row r="1417" spans="1:5" x14ac:dyDescent="0.25">
      <c r="A1417" s="5" t="s">
        <v>4247</v>
      </c>
      <c r="B1417" s="9" t="str">
        <f>HYPERLINK("http://biobank.ctsu.ox.ac.uk/crystal/field.cgi?id=27037", "27037")</f>
        <v>27037</v>
      </c>
      <c r="C1417" s="8" t="s">
        <v>4249</v>
      </c>
      <c r="D1417" s="8" t="s">
        <v>10044</v>
      </c>
      <c r="E1417" s="8" t="s">
        <v>11564</v>
      </c>
    </row>
    <row r="1418" spans="1:5" x14ac:dyDescent="0.25">
      <c r="A1418" s="5" t="s">
        <v>4250</v>
      </c>
      <c r="B1418" s="9" t="str">
        <f>HYPERLINK("http://biobank.ctsu.ox.ac.uk/crystal/field.cgi?id=27038", "27038")</f>
        <v>27038</v>
      </c>
      <c r="C1418" s="8" t="s">
        <v>4252</v>
      </c>
      <c r="D1418" s="8" t="s">
        <v>10044</v>
      </c>
      <c r="E1418" s="8" t="s">
        <v>11565</v>
      </c>
    </row>
    <row r="1419" spans="1:5" x14ac:dyDescent="0.25">
      <c r="A1419" s="5" t="s">
        <v>4253</v>
      </c>
      <c r="B1419" s="9" t="str">
        <f>HYPERLINK("http://biobank.ctsu.ox.ac.uk/crystal/field.cgi?id=27039", "27039")</f>
        <v>27039</v>
      </c>
      <c r="C1419" s="8" t="s">
        <v>4255</v>
      </c>
      <c r="D1419" s="8" t="s">
        <v>10044</v>
      </c>
      <c r="E1419" s="8" t="s">
        <v>11566</v>
      </c>
    </row>
    <row r="1420" spans="1:5" x14ac:dyDescent="0.25">
      <c r="A1420" s="5" t="s">
        <v>4256</v>
      </c>
      <c r="B1420" s="9" t="str">
        <f>HYPERLINK("http://biobank.ctsu.ox.ac.uk/crystal/field.cgi?id=27040", "27040")</f>
        <v>27040</v>
      </c>
      <c r="C1420" s="8" t="s">
        <v>4258</v>
      </c>
      <c r="D1420" s="8" t="s">
        <v>10044</v>
      </c>
      <c r="E1420" s="8" t="s">
        <v>11567</v>
      </c>
    </row>
    <row r="1421" spans="1:5" x14ac:dyDescent="0.25">
      <c r="A1421" s="5" t="s">
        <v>4259</v>
      </c>
      <c r="B1421" s="9" t="str">
        <f>HYPERLINK("http://biobank.ctsu.ox.ac.uk/crystal/field.cgi?id=27041", "27041")</f>
        <v>27041</v>
      </c>
      <c r="C1421" s="8" t="s">
        <v>4261</v>
      </c>
      <c r="D1421" s="8" t="s">
        <v>10044</v>
      </c>
      <c r="E1421" s="8" t="s">
        <v>11568</v>
      </c>
    </row>
    <row r="1422" spans="1:5" x14ac:dyDescent="0.25">
      <c r="A1422" s="5" t="s">
        <v>4262</v>
      </c>
      <c r="B1422" s="9" t="str">
        <f>HYPERLINK("http://biobank.ctsu.ox.ac.uk/crystal/field.cgi?id=27042", "27042")</f>
        <v>27042</v>
      </c>
      <c r="C1422" s="8" t="s">
        <v>4264</v>
      </c>
      <c r="D1422" s="8" t="s">
        <v>10044</v>
      </c>
      <c r="E1422" s="8" t="s">
        <v>11569</v>
      </c>
    </row>
    <row r="1423" spans="1:5" x14ac:dyDescent="0.25">
      <c r="A1423" s="5" t="s">
        <v>4265</v>
      </c>
      <c r="B1423" s="9" t="str">
        <f>HYPERLINK("http://biobank.ctsu.ox.ac.uk/crystal/field.cgi?id=27043", "27043")</f>
        <v>27043</v>
      </c>
      <c r="C1423" s="8" t="s">
        <v>4267</v>
      </c>
      <c r="D1423" s="8" t="s">
        <v>10044</v>
      </c>
      <c r="E1423" s="8" t="s">
        <v>11570</v>
      </c>
    </row>
    <row r="1424" spans="1:5" x14ac:dyDescent="0.25">
      <c r="A1424" s="5" t="s">
        <v>4268</v>
      </c>
      <c r="B1424" s="9" t="str">
        <f>HYPERLINK("http://biobank.ctsu.ox.ac.uk/crystal/field.cgi?id=27044", "27044")</f>
        <v>27044</v>
      </c>
      <c r="C1424" s="8" t="s">
        <v>4270</v>
      </c>
      <c r="D1424" s="8" t="s">
        <v>10044</v>
      </c>
      <c r="E1424" s="8" t="s">
        <v>11571</v>
      </c>
    </row>
    <row r="1425" spans="1:5" x14ac:dyDescent="0.25">
      <c r="A1425" s="5" t="s">
        <v>4271</v>
      </c>
      <c r="B1425" s="9" t="str">
        <f>HYPERLINK("http://biobank.ctsu.ox.ac.uk/crystal/field.cgi?id=27045", "27045")</f>
        <v>27045</v>
      </c>
      <c r="C1425" s="8" t="s">
        <v>4273</v>
      </c>
      <c r="D1425" s="8" t="s">
        <v>10044</v>
      </c>
      <c r="E1425" s="8" t="s">
        <v>11572</v>
      </c>
    </row>
    <row r="1426" spans="1:5" x14ac:dyDescent="0.25">
      <c r="A1426" s="5" t="s">
        <v>4274</v>
      </c>
      <c r="B1426" s="9" t="str">
        <f>HYPERLINK("http://biobank.ctsu.ox.ac.uk/crystal/field.cgi?id=27046", "27046")</f>
        <v>27046</v>
      </c>
      <c r="C1426" s="8" t="s">
        <v>4276</v>
      </c>
      <c r="D1426" s="8" t="s">
        <v>10044</v>
      </c>
      <c r="E1426" s="8" t="s">
        <v>11573</v>
      </c>
    </row>
    <row r="1427" spans="1:5" x14ac:dyDescent="0.25">
      <c r="A1427" s="5" t="s">
        <v>4277</v>
      </c>
      <c r="B1427" s="9" t="str">
        <f>HYPERLINK("http://biobank.ctsu.ox.ac.uk/crystal/field.cgi?id=27047", "27047")</f>
        <v>27047</v>
      </c>
      <c r="C1427" s="8" t="s">
        <v>4279</v>
      </c>
      <c r="D1427" s="8" t="s">
        <v>10044</v>
      </c>
      <c r="E1427" s="8" t="s">
        <v>11574</v>
      </c>
    </row>
    <row r="1428" spans="1:5" x14ac:dyDescent="0.25">
      <c r="A1428" s="5" t="s">
        <v>4280</v>
      </c>
      <c r="B1428" s="9" t="str">
        <f>HYPERLINK("http://biobank.ctsu.ox.ac.uk/crystal/field.cgi?id=27048", "27048")</f>
        <v>27048</v>
      </c>
      <c r="C1428" s="8" t="s">
        <v>4282</v>
      </c>
      <c r="D1428" s="8" t="s">
        <v>10044</v>
      </c>
      <c r="E1428" s="8" t="s">
        <v>11575</v>
      </c>
    </row>
    <row r="1429" spans="1:5" x14ac:dyDescent="0.25">
      <c r="A1429" s="5" t="s">
        <v>4283</v>
      </c>
      <c r="B1429" s="9" t="str">
        <f>HYPERLINK("http://biobank.ctsu.ox.ac.uk/crystal/field.cgi?id=27049", "27049")</f>
        <v>27049</v>
      </c>
      <c r="C1429" s="8" t="s">
        <v>4285</v>
      </c>
      <c r="D1429" s="8" t="s">
        <v>10044</v>
      </c>
      <c r="E1429" s="8" t="s">
        <v>11576</v>
      </c>
    </row>
    <row r="1430" spans="1:5" x14ac:dyDescent="0.25">
      <c r="A1430" s="5" t="s">
        <v>4286</v>
      </c>
      <c r="B1430" s="9" t="str">
        <f>HYPERLINK("http://biobank.ctsu.ox.ac.uk/crystal/field.cgi?id=27050", "27050")</f>
        <v>27050</v>
      </c>
      <c r="C1430" s="8" t="s">
        <v>4288</v>
      </c>
      <c r="D1430" s="8" t="s">
        <v>10044</v>
      </c>
      <c r="E1430" s="8" t="s">
        <v>11577</v>
      </c>
    </row>
    <row r="1431" spans="1:5" x14ac:dyDescent="0.25">
      <c r="A1431" s="5" t="s">
        <v>4289</v>
      </c>
      <c r="B1431" s="9" t="str">
        <f>HYPERLINK("http://biobank.ctsu.ox.ac.uk/crystal/field.cgi?id=27051", "27051")</f>
        <v>27051</v>
      </c>
      <c r="C1431" s="8" t="s">
        <v>4291</v>
      </c>
      <c r="D1431" s="8" t="s">
        <v>10044</v>
      </c>
      <c r="E1431" s="8" t="s">
        <v>11578</v>
      </c>
    </row>
    <row r="1432" spans="1:5" x14ac:dyDescent="0.25">
      <c r="A1432" s="5" t="s">
        <v>4292</v>
      </c>
      <c r="B1432" s="9" t="str">
        <f>HYPERLINK("http://biobank.ctsu.ox.ac.uk/crystal/field.cgi?id=27052", "27052")</f>
        <v>27052</v>
      </c>
      <c r="C1432" s="8" t="s">
        <v>4294</v>
      </c>
      <c r="D1432" s="8" t="s">
        <v>10044</v>
      </c>
      <c r="E1432" s="8" t="s">
        <v>11579</v>
      </c>
    </row>
    <row r="1433" spans="1:5" x14ac:dyDescent="0.25">
      <c r="A1433" s="5" t="s">
        <v>4295</v>
      </c>
      <c r="B1433" s="9" t="str">
        <f>HYPERLINK("http://biobank.ctsu.ox.ac.uk/crystal/field.cgi?id=27053", "27053")</f>
        <v>27053</v>
      </c>
      <c r="C1433" s="8" t="s">
        <v>4297</v>
      </c>
      <c r="D1433" s="8" t="s">
        <v>10044</v>
      </c>
      <c r="E1433" s="8" t="s">
        <v>11580</v>
      </c>
    </row>
    <row r="1434" spans="1:5" x14ac:dyDescent="0.25">
      <c r="A1434" s="5" t="s">
        <v>4298</v>
      </c>
      <c r="B1434" s="9" t="str">
        <f>HYPERLINK("http://biobank.ctsu.ox.ac.uk/crystal/field.cgi?id=27054", "27054")</f>
        <v>27054</v>
      </c>
      <c r="C1434" s="8" t="s">
        <v>4300</v>
      </c>
      <c r="D1434" s="8" t="s">
        <v>10044</v>
      </c>
      <c r="E1434" s="8" t="s">
        <v>11581</v>
      </c>
    </row>
    <row r="1435" spans="1:5" x14ac:dyDescent="0.25">
      <c r="A1435" s="5" t="s">
        <v>4301</v>
      </c>
      <c r="B1435" s="9" t="str">
        <f>HYPERLINK("http://biobank.ctsu.ox.ac.uk/crystal/field.cgi?id=27055", "27055")</f>
        <v>27055</v>
      </c>
      <c r="C1435" s="8" t="s">
        <v>4303</v>
      </c>
      <c r="D1435" s="8" t="s">
        <v>10044</v>
      </c>
      <c r="E1435" s="8" t="s">
        <v>11582</v>
      </c>
    </row>
    <row r="1436" spans="1:5" x14ac:dyDescent="0.25">
      <c r="A1436" s="5" t="s">
        <v>4304</v>
      </c>
      <c r="B1436" s="9" t="str">
        <f>HYPERLINK("http://biobank.ctsu.ox.ac.uk/crystal/field.cgi?id=27056", "27056")</f>
        <v>27056</v>
      </c>
      <c r="C1436" s="8" t="s">
        <v>4306</v>
      </c>
      <c r="D1436" s="8" t="s">
        <v>10044</v>
      </c>
      <c r="E1436" s="8" t="s">
        <v>11583</v>
      </c>
    </row>
    <row r="1437" spans="1:5" x14ac:dyDescent="0.25">
      <c r="A1437" s="5" t="s">
        <v>4307</v>
      </c>
      <c r="B1437" s="9" t="str">
        <f>HYPERLINK("http://biobank.ctsu.ox.ac.uk/crystal/field.cgi?id=27057", "27057")</f>
        <v>27057</v>
      </c>
      <c r="C1437" s="8" t="s">
        <v>4309</v>
      </c>
      <c r="D1437" s="8" t="s">
        <v>10044</v>
      </c>
      <c r="E1437" s="8" t="s">
        <v>11584</v>
      </c>
    </row>
    <row r="1438" spans="1:5" x14ac:dyDescent="0.25">
      <c r="A1438" s="5" t="s">
        <v>4310</v>
      </c>
      <c r="B1438" s="9" t="str">
        <f>HYPERLINK("http://biobank.ctsu.ox.ac.uk/crystal/field.cgi?id=27058", "27058")</f>
        <v>27058</v>
      </c>
      <c r="C1438" s="8" t="s">
        <v>4312</v>
      </c>
      <c r="D1438" s="8" t="s">
        <v>10044</v>
      </c>
      <c r="E1438" s="8" t="s">
        <v>11585</v>
      </c>
    </row>
    <row r="1439" spans="1:5" x14ac:dyDescent="0.25">
      <c r="A1439" s="5" t="s">
        <v>4313</v>
      </c>
      <c r="B1439" s="9" t="str">
        <f>HYPERLINK("http://biobank.ctsu.ox.ac.uk/crystal/field.cgi?id=25781", "25781")</f>
        <v>25781</v>
      </c>
      <c r="C1439" s="8" t="s">
        <v>4315</v>
      </c>
      <c r="D1439" s="8" t="s">
        <v>10045</v>
      </c>
      <c r="E1439" s="8" t="s">
        <v>11586</v>
      </c>
    </row>
    <row r="1440" spans="1:5" x14ac:dyDescent="0.25">
      <c r="A1440" s="5" t="s">
        <v>4316</v>
      </c>
      <c r="B1440" s="9" t="str">
        <f>HYPERLINK("http://biobank.ctsu.ox.ac.uk/crystal/field.cgi?id=25026", "25026")</f>
        <v>25026</v>
      </c>
      <c r="C1440" s="8" t="s">
        <v>4318</v>
      </c>
      <c r="D1440" s="8" t="s">
        <v>10046</v>
      </c>
      <c r="E1440" s="8" t="s">
        <v>11587</v>
      </c>
    </row>
    <row r="1441" spans="1:5" x14ac:dyDescent="0.25">
      <c r="A1441" s="5" t="s">
        <v>4319</v>
      </c>
      <c r="B1441" s="9" t="str">
        <f>HYPERLINK("http://biobank.ctsu.ox.ac.uk/crystal/field.cgi?id=25027", "25027")</f>
        <v>25027</v>
      </c>
      <c r="C1441" s="8" t="s">
        <v>4321</v>
      </c>
      <c r="D1441" s="8" t="s">
        <v>10046</v>
      </c>
      <c r="E1441" s="8" t="s">
        <v>11588</v>
      </c>
    </row>
    <row r="1442" spans="1:5" x14ac:dyDescent="0.25">
      <c r="A1442" s="5" t="s">
        <v>4322</v>
      </c>
      <c r="B1442" s="9" t="str">
        <f>HYPERLINK("http://biobank.ctsu.ox.ac.uk/crystal/field.cgi?id=25028", "25028")</f>
        <v>25028</v>
      </c>
      <c r="C1442" s="8" t="s">
        <v>4324</v>
      </c>
      <c r="D1442" s="8" t="s">
        <v>10046</v>
      </c>
      <c r="E1442" s="8" t="s">
        <v>11589</v>
      </c>
    </row>
    <row r="1443" spans="1:5" x14ac:dyDescent="0.25">
      <c r="A1443" s="5" t="s">
        <v>4325</v>
      </c>
      <c r="B1443" s="9" t="str">
        <f>HYPERLINK("http://biobank.ctsu.ox.ac.uk/crystal/field.cgi?id=25029", "25029")</f>
        <v>25029</v>
      </c>
      <c r="C1443" s="8" t="s">
        <v>4327</v>
      </c>
      <c r="D1443" s="8" t="s">
        <v>10046</v>
      </c>
      <c r="E1443" s="8" t="s">
        <v>11590</v>
      </c>
    </row>
    <row r="1444" spans="1:5" x14ac:dyDescent="0.25">
      <c r="A1444" s="5" t="s">
        <v>4328</v>
      </c>
      <c r="B1444" s="9" t="str">
        <f>HYPERLINK("http://biobank.ctsu.ox.ac.uk/crystal/field.cgi?id=25030", "25030")</f>
        <v>25030</v>
      </c>
      <c r="C1444" s="8" t="s">
        <v>4330</v>
      </c>
      <c r="D1444" s="8" t="s">
        <v>10046</v>
      </c>
      <c r="E1444" s="8" t="s">
        <v>11591</v>
      </c>
    </row>
    <row r="1445" spans="1:5" x14ac:dyDescent="0.25">
      <c r="A1445" s="5" t="s">
        <v>4331</v>
      </c>
      <c r="B1445" s="9" t="str">
        <f>HYPERLINK("http://biobank.ctsu.ox.ac.uk/crystal/field.cgi?id=25031", "25031")</f>
        <v>25031</v>
      </c>
      <c r="C1445" s="8" t="s">
        <v>4333</v>
      </c>
      <c r="D1445" s="8" t="s">
        <v>10046</v>
      </c>
      <c r="E1445" s="8" t="s">
        <v>11592</v>
      </c>
    </row>
    <row r="1446" spans="1:5" x14ac:dyDescent="0.25">
      <c r="A1446" s="5" t="s">
        <v>4334</v>
      </c>
      <c r="B1446" s="9" t="str">
        <f>HYPERLINK("http://biobank.ctsu.ox.ac.uk/crystal/field.cgi?id=25032", "25032")</f>
        <v>25032</v>
      </c>
      <c r="C1446" s="8" t="s">
        <v>4336</v>
      </c>
      <c r="D1446" s="8" t="s">
        <v>10046</v>
      </c>
      <c r="E1446" s="8" t="s">
        <v>11593</v>
      </c>
    </row>
    <row r="1447" spans="1:5" x14ac:dyDescent="0.25">
      <c r="A1447" s="5" t="s">
        <v>4337</v>
      </c>
      <c r="B1447" s="9" t="str">
        <f>HYPERLINK("http://biobank.ctsu.ox.ac.uk/crystal/field.cgi?id=25033", "25033")</f>
        <v>25033</v>
      </c>
      <c r="C1447" s="8" t="s">
        <v>4339</v>
      </c>
      <c r="D1447" s="8" t="s">
        <v>10046</v>
      </c>
      <c r="E1447" s="8" t="s">
        <v>11594</v>
      </c>
    </row>
    <row r="1448" spans="1:5" x14ac:dyDescent="0.25">
      <c r="A1448" s="5" t="s">
        <v>4340</v>
      </c>
      <c r="B1448" s="9" t="str">
        <f>HYPERLINK("http://biobank.ctsu.ox.ac.uk/crystal/field.cgi?id=25034", "25034")</f>
        <v>25034</v>
      </c>
      <c r="C1448" s="8" t="s">
        <v>4342</v>
      </c>
      <c r="D1448" s="8" t="s">
        <v>10046</v>
      </c>
      <c r="E1448" s="8" t="s">
        <v>11595</v>
      </c>
    </row>
    <row r="1449" spans="1:5" x14ac:dyDescent="0.25">
      <c r="A1449" s="5" t="s">
        <v>4343</v>
      </c>
      <c r="B1449" s="9" t="str">
        <f>HYPERLINK("http://biobank.ctsu.ox.ac.uk/crystal/field.cgi?id=25035", "25035")</f>
        <v>25035</v>
      </c>
      <c r="C1449" s="8" t="s">
        <v>4345</v>
      </c>
      <c r="D1449" s="8" t="s">
        <v>10046</v>
      </c>
      <c r="E1449" s="8" t="s">
        <v>11596</v>
      </c>
    </row>
    <row r="1450" spans="1:5" x14ac:dyDescent="0.25">
      <c r="A1450" s="5" t="s">
        <v>4346</v>
      </c>
      <c r="B1450" s="9" t="str">
        <f>HYPERLINK("http://biobank.ctsu.ox.ac.uk/crystal/field.cgi?id=25036", "25036")</f>
        <v>25036</v>
      </c>
      <c r="C1450" s="8" t="s">
        <v>4348</v>
      </c>
      <c r="D1450" s="8" t="s">
        <v>10046</v>
      </c>
      <c r="E1450" s="8" t="s">
        <v>11597</v>
      </c>
    </row>
    <row r="1451" spans="1:5" x14ac:dyDescent="0.25">
      <c r="A1451" s="5" t="s">
        <v>4349</v>
      </c>
      <c r="B1451" s="9" t="str">
        <f>HYPERLINK("http://biobank.ctsu.ox.ac.uk/crystal/field.cgi?id=25037", "25037")</f>
        <v>25037</v>
      </c>
      <c r="C1451" s="8" t="s">
        <v>4351</v>
      </c>
      <c r="D1451" s="8" t="s">
        <v>10046</v>
      </c>
      <c r="E1451" s="8" t="s">
        <v>11598</v>
      </c>
    </row>
    <row r="1452" spans="1:5" x14ac:dyDescent="0.25">
      <c r="A1452" s="5" t="s">
        <v>4352</v>
      </c>
      <c r="B1452" s="9" t="str">
        <f>HYPERLINK("http://biobank.ctsu.ox.ac.uk/crystal/field.cgi?id=25038", "25038")</f>
        <v>25038</v>
      </c>
      <c r="C1452" s="8" t="s">
        <v>4354</v>
      </c>
      <c r="D1452" s="8" t="s">
        <v>10046</v>
      </c>
      <c r="E1452" s="8" t="s">
        <v>11599</v>
      </c>
    </row>
    <row r="1453" spans="1:5" x14ac:dyDescent="0.25">
      <c r="A1453" s="5" t="s">
        <v>4355</v>
      </c>
      <c r="B1453" s="9" t="str">
        <f>HYPERLINK("http://biobank.ctsu.ox.ac.uk/crystal/field.cgi?id=25039", "25039")</f>
        <v>25039</v>
      </c>
      <c r="C1453" s="8" t="s">
        <v>4357</v>
      </c>
      <c r="D1453" s="8" t="s">
        <v>10046</v>
      </c>
      <c r="E1453" s="8" t="s">
        <v>11600</v>
      </c>
    </row>
    <row r="1454" spans="1:5" x14ac:dyDescent="0.25">
      <c r="A1454" s="5" t="s">
        <v>4358</v>
      </c>
      <c r="B1454" s="9" t="str">
        <f>HYPERLINK("http://biobank.ctsu.ox.ac.uk/crystal/field.cgi?id=25056", "25056")</f>
        <v>25056</v>
      </c>
      <c r="C1454" s="8" t="s">
        <v>4360</v>
      </c>
      <c r="D1454" s="8" t="s">
        <v>10047</v>
      </c>
      <c r="E1454" s="8" t="s">
        <v>11601</v>
      </c>
    </row>
    <row r="1455" spans="1:5" x14ac:dyDescent="0.25">
      <c r="A1455" s="5" t="s">
        <v>4361</v>
      </c>
      <c r="B1455" s="9" t="str">
        <f>HYPERLINK("http://biobank.ctsu.ox.ac.uk/crystal/field.cgi?id=25057", "25057")</f>
        <v>25057</v>
      </c>
      <c r="C1455" s="8" t="s">
        <v>4363</v>
      </c>
      <c r="D1455" s="8" t="s">
        <v>10047</v>
      </c>
      <c r="E1455" s="8" t="s">
        <v>11602</v>
      </c>
    </row>
    <row r="1456" spans="1:5" x14ac:dyDescent="0.25">
      <c r="A1456" s="5" t="s">
        <v>4364</v>
      </c>
      <c r="B1456" s="9" t="str">
        <f>HYPERLINK("http://biobank.ctsu.ox.ac.uk/crystal/field.cgi?id=25058", "25058")</f>
        <v>25058</v>
      </c>
      <c r="C1456" s="8" t="s">
        <v>4366</v>
      </c>
      <c r="D1456" s="8" t="s">
        <v>10047</v>
      </c>
      <c r="E1456" s="8" t="s">
        <v>11603</v>
      </c>
    </row>
    <row r="1457" spans="1:5" x14ac:dyDescent="0.25">
      <c r="A1457" s="5" t="s">
        <v>4367</v>
      </c>
      <c r="B1457" s="9" t="str">
        <f>HYPERLINK("http://biobank.ctsu.ox.ac.uk/crystal/field.cgi?id=25059", "25059")</f>
        <v>25059</v>
      </c>
      <c r="C1457" s="8" t="s">
        <v>4369</v>
      </c>
      <c r="D1457" s="8" t="s">
        <v>10047</v>
      </c>
      <c r="E1457" s="8" t="s">
        <v>11604</v>
      </c>
    </row>
    <row r="1458" spans="1:5" x14ac:dyDescent="0.25">
      <c r="A1458" s="5" t="s">
        <v>4370</v>
      </c>
      <c r="B1458" s="9" t="str">
        <f>HYPERLINK("http://biobank.ctsu.ox.ac.uk/crystal/field.cgi?id=25060", "25060")</f>
        <v>25060</v>
      </c>
      <c r="C1458" s="8" t="s">
        <v>4372</v>
      </c>
      <c r="D1458" s="8" t="s">
        <v>10047</v>
      </c>
      <c r="E1458" s="8" t="s">
        <v>11605</v>
      </c>
    </row>
    <row r="1459" spans="1:5" x14ac:dyDescent="0.25">
      <c r="A1459" s="5" t="s">
        <v>4373</v>
      </c>
      <c r="B1459" s="9" t="str">
        <f>HYPERLINK("http://biobank.ctsu.ox.ac.uk/crystal/field.cgi?id=25061", "25061")</f>
        <v>25061</v>
      </c>
      <c r="C1459" s="8" t="s">
        <v>4375</v>
      </c>
      <c r="D1459" s="8" t="s">
        <v>10047</v>
      </c>
      <c r="E1459" s="8" t="s">
        <v>11606</v>
      </c>
    </row>
    <row r="1460" spans="1:5" x14ac:dyDescent="0.25">
      <c r="A1460" s="5" t="s">
        <v>4376</v>
      </c>
      <c r="B1460" s="9" t="str">
        <f>HYPERLINK("http://biobank.ctsu.ox.ac.uk/crystal/field.cgi?id=25062", "25062")</f>
        <v>25062</v>
      </c>
      <c r="C1460" s="8" t="s">
        <v>4378</v>
      </c>
      <c r="D1460" s="8" t="s">
        <v>10047</v>
      </c>
      <c r="E1460" s="8" t="s">
        <v>11607</v>
      </c>
    </row>
    <row r="1461" spans="1:5" x14ac:dyDescent="0.25">
      <c r="A1461" s="5" t="s">
        <v>4379</v>
      </c>
      <c r="B1461" s="9" t="str">
        <f>HYPERLINK("http://biobank.ctsu.ox.ac.uk/crystal/field.cgi?id=25063", "25063")</f>
        <v>25063</v>
      </c>
      <c r="C1461" s="8" t="s">
        <v>4381</v>
      </c>
      <c r="D1461" s="8" t="s">
        <v>10047</v>
      </c>
      <c r="E1461" s="8" t="s">
        <v>11608</v>
      </c>
    </row>
    <row r="1462" spans="1:5" x14ac:dyDescent="0.25">
      <c r="A1462" s="5" t="s">
        <v>4382</v>
      </c>
      <c r="B1462" s="9" t="str">
        <f>HYPERLINK("http://biobank.ctsu.ox.ac.uk/crystal/field.cgi?id=25064", "25064")</f>
        <v>25064</v>
      </c>
      <c r="C1462" s="8" t="s">
        <v>4384</v>
      </c>
      <c r="D1462" s="8" t="s">
        <v>10047</v>
      </c>
      <c r="E1462" s="8" t="s">
        <v>11609</v>
      </c>
    </row>
    <row r="1463" spans="1:5" x14ac:dyDescent="0.25">
      <c r="A1463" s="5" t="s">
        <v>4385</v>
      </c>
      <c r="B1463" s="9" t="str">
        <f>HYPERLINK("http://biobank.ctsu.ox.ac.uk/crystal/field.cgi?id=25065", "25065")</f>
        <v>25065</v>
      </c>
      <c r="C1463" s="8" t="s">
        <v>4387</v>
      </c>
      <c r="D1463" s="8" t="s">
        <v>10047</v>
      </c>
      <c r="E1463" s="8" t="s">
        <v>11610</v>
      </c>
    </row>
    <row r="1464" spans="1:5" x14ac:dyDescent="0.25">
      <c r="A1464" s="5" t="s">
        <v>4388</v>
      </c>
      <c r="B1464" s="9" t="str">
        <f>HYPERLINK("http://biobank.ctsu.ox.ac.uk/crystal/field.cgi?id=25066", "25066")</f>
        <v>25066</v>
      </c>
      <c r="C1464" s="8" t="s">
        <v>4390</v>
      </c>
      <c r="D1464" s="8" t="s">
        <v>10047</v>
      </c>
      <c r="E1464" s="8" t="s">
        <v>11611</v>
      </c>
    </row>
    <row r="1465" spans="1:5" x14ac:dyDescent="0.25">
      <c r="A1465" s="5" t="s">
        <v>4391</v>
      </c>
      <c r="B1465" s="9" t="str">
        <f>HYPERLINK("http://biobank.ctsu.ox.ac.uk/crystal/field.cgi?id=25067", "25067")</f>
        <v>25067</v>
      </c>
      <c r="C1465" s="8" t="s">
        <v>4393</v>
      </c>
      <c r="D1465" s="8" t="s">
        <v>10047</v>
      </c>
      <c r="E1465" s="8" t="s">
        <v>11612</v>
      </c>
    </row>
    <row r="1466" spans="1:5" x14ac:dyDescent="0.25">
      <c r="A1466" s="5" t="s">
        <v>4394</v>
      </c>
      <c r="B1466" s="9" t="str">
        <f>HYPERLINK("http://biobank.ctsu.ox.ac.uk/crystal/field.cgi?id=25068", "25068")</f>
        <v>25068</v>
      </c>
      <c r="C1466" s="8" t="s">
        <v>4396</v>
      </c>
      <c r="D1466" s="8" t="s">
        <v>10047</v>
      </c>
      <c r="E1466" s="8" t="s">
        <v>11613</v>
      </c>
    </row>
    <row r="1467" spans="1:5" x14ac:dyDescent="0.25">
      <c r="A1467" s="5" t="s">
        <v>4397</v>
      </c>
      <c r="B1467" s="9" t="str">
        <f>HYPERLINK("http://biobank.ctsu.ox.ac.uk/crystal/field.cgi?id=25069", "25069")</f>
        <v>25069</v>
      </c>
      <c r="C1467" s="8" t="s">
        <v>4399</v>
      </c>
      <c r="D1467" s="8" t="s">
        <v>10047</v>
      </c>
      <c r="E1467" s="8" t="s">
        <v>11614</v>
      </c>
    </row>
    <row r="1468" spans="1:5" x14ac:dyDescent="0.25">
      <c r="A1468" s="5" t="s">
        <v>4400</v>
      </c>
      <c r="B1468" s="9" t="str">
        <f>HYPERLINK("http://biobank.ctsu.ox.ac.uk/crystal/field.cgi?id=25070", "25070")</f>
        <v>25070</v>
      </c>
      <c r="C1468" s="8" t="s">
        <v>4402</v>
      </c>
      <c r="D1468" s="8" t="s">
        <v>10047</v>
      </c>
      <c r="E1468" s="8" t="s">
        <v>11615</v>
      </c>
    </row>
    <row r="1469" spans="1:5" x14ac:dyDescent="0.25">
      <c r="A1469" s="5" t="s">
        <v>4403</v>
      </c>
      <c r="B1469" s="9" t="str">
        <f>HYPERLINK("http://biobank.ctsu.ox.ac.uk/crystal/field.cgi?id=25071", "25071")</f>
        <v>25071</v>
      </c>
      <c r="C1469" s="8" t="s">
        <v>4405</v>
      </c>
      <c r="D1469" s="8" t="s">
        <v>10047</v>
      </c>
      <c r="E1469" s="8" t="s">
        <v>11616</v>
      </c>
    </row>
    <row r="1470" spans="1:5" x14ac:dyDescent="0.25">
      <c r="A1470" s="5" t="s">
        <v>4406</v>
      </c>
      <c r="B1470" s="9" t="str">
        <f>HYPERLINK("http://biobank.ctsu.ox.ac.uk/crystal/field.cgi?id=25072", "25072")</f>
        <v>25072</v>
      </c>
      <c r="C1470" s="8" t="s">
        <v>4408</v>
      </c>
      <c r="D1470" s="8" t="s">
        <v>10047</v>
      </c>
      <c r="E1470" s="8" t="s">
        <v>11617</v>
      </c>
    </row>
    <row r="1471" spans="1:5" x14ac:dyDescent="0.25">
      <c r="A1471" s="5" t="s">
        <v>4409</v>
      </c>
      <c r="B1471" s="9" t="str">
        <f>HYPERLINK("http://biobank.ctsu.ox.ac.uk/crystal/field.cgi?id=25073", "25073")</f>
        <v>25073</v>
      </c>
      <c r="C1471" s="8" t="s">
        <v>4411</v>
      </c>
      <c r="D1471" s="8" t="s">
        <v>10047</v>
      </c>
      <c r="E1471" s="8" t="s">
        <v>11618</v>
      </c>
    </row>
    <row r="1472" spans="1:5" x14ac:dyDescent="0.25">
      <c r="A1472" s="5" t="s">
        <v>4412</v>
      </c>
      <c r="B1472" s="9" t="str">
        <f>HYPERLINK("http://biobank.ctsu.ox.ac.uk/crystal/field.cgi?id=25074", "25074")</f>
        <v>25074</v>
      </c>
      <c r="C1472" s="8" t="s">
        <v>4414</v>
      </c>
      <c r="D1472" s="8" t="s">
        <v>10047</v>
      </c>
      <c r="E1472" s="8" t="s">
        <v>11619</v>
      </c>
    </row>
    <row r="1473" spans="1:5" x14ac:dyDescent="0.25">
      <c r="A1473" s="5" t="s">
        <v>4415</v>
      </c>
      <c r="B1473" s="9" t="str">
        <f>HYPERLINK("http://biobank.ctsu.ox.ac.uk/crystal/field.cgi?id=25075", "25075")</f>
        <v>25075</v>
      </c>
      <c r="C1473" s="8" t="s">
        <v>4417</v>
      </c>
      <c r="D1473" s="8" t="s">
        <v>10047</v>
      </c>
      <c r="E1473" s="8" t="s">
        <v>11620</v>
      </c>
    </row>
    <row r="1474" spans="1:5" x14ac:dyDescent="0.25">
      <c r="A1474" s="5" t="s">
        <v>4418</v>
      </c>
      <c r="B1474" s="9" t="str">
        <f>HYPERLINK("http://biobank.ctsu.ox.ac.uk/crystal/field.cgi?id=25076", "25076")</f>
        <v>25076</v>
      </c>
      <c r="C1474" s="8" t="s">
        <v>4420</v>
      </c>
      <c r="D1474" s="8" t="s">
        <v>10047</v>
      </c>
      <c r="E1474" s="8" t="s">
        <v>11621</v>
      </c>
    </row>
    <row r="1475" spans="1:5" x14ac:dyDescent="0.25">
      <c r="A1475" s="5" t="s">
        <v>4421</v>
      </c>
      <c r="B1475" s="9" t="str">
        <f>HYPERLINK("http://biobank.ctsu.ox.ac.uk/crystal/field.cgi?id=25077", "25077")</f>
        <v>25077</v>
      </c>
      <c r="C1475" s="8" t="s">
        <v>4423</v>
      </c>
      <c r="D1475" s="8" t="s">
        <v>10047</v>
      </c>
      <c r="E1475" s="8" t="s">
        <v>11622</v>
      </c>
    </row>
    <row r="1476" spans="1:5" x14ac:dyDescent="0.25">
      <c r="A1476" s="5" t="s">
        <v>4424</v>
      </c>
      <c r="B1476" s="9" t="str">
        <f>HYPERLINK("http://biobank.ctsu.ox.ac.uk/crystal/field.cgi?id=25078", "25078")</f>
        <v>25078</v>
      </c>
      <c r="C1476" s="8" t="s">
        <v>4426</v>
      </c>
      <c r="D1476" s="8" t="s">
        <v>10047</v>
      </c>
      <c r="E1476" s="8" t="s">
        <v>11623</v>
      </c>
    </row>
    <row r="1477" spans="1:5" x14ac:dyDescent="0.25">
      <c r="A1477" s="5" t="s">
        <v>4427</v>
      </c>
      <c r="B1477" s="9" t="str">
        <f>HYPERLINK("http://biobank.ctsu.ox.ac.uk/crystal/field.cgi?id=25079", "25079")</f>
        <v>25079</v>
      </c>
      <c r="C1477" s="8" t="s">
        <v>4429</v>
      </c>
      <c r="D1477" s="8" t="s">
        <v>10047</v>
      </c>
      <c r="E1477" s="8" t="s">
        <v>11624</v>
      </c>
    </row>
    <row r="1478" spans="1:5" x14ac:dyDescent="0.25">
      <c r="A1478" s="5" t="s">
        <v>4430</v>
      </c>
      <c r="B1478" s="9" t="str">
        <f>HYPERLINK("http://biobank.ctsu.ox.ac.uk/crystal/field.cgi?id=25080", "25080")</f>
        <v>25080</v>
      </c>
      <c r="C1478" s="8" t="s">
        <v>4432</v>
      </c>
      <c r="D1478" s="8" t="s">
        <v>10047</v>
      </c>
      <c r="E1478" s="8" t="s">
        <v>11625</v>
      </c>
    </row>
    <row r="1479" spans="1:5" x14ac:dyDescent="0.25">
      <c r="A1479" s="5" t="s">
        <v>4433</v>
      </c>
      <c r="B1479" s="9" t="str">
        <f>HYPERLINK("http://biobank.ctsu.ox.ac.uk/crystal/field.cgi?id=25081", "25081")</f>
        <v>25081</v>
      </c>
      <c r="C1479" s="8" t="s">
        <v>4435</v>
      </c>
      <c r="D1479" s="8" t="s">
        <v>10047</v>
      </c>
      <c r="E1479" s="8" t="s">
        <v>11626</v>
      </c>
    </row>
    <row r="1480" spans="1:5" x14ac:dyDescent="0.25">
      <c r="A1480" s="5" t="s">
        <v>4436</v>
      </c>
      <c r="B1480" s="9" t="str">
        <f>HYPERLINK("http://biobank.ctsu.ox.ac.uk/crystal/field.cgi?id=25082", "25082")</f>
        <v>25082</v>
      </c>
      <c r="C1480" s="8" t="s">
        <v>4438</v>
      </c>
      <c r="D1480" s="8" t="s">
        <v>10047</v>
      </c>
      <c r="E1480" s="8" t="s">
        <v>11627</v>
      </c>
    </row>
    <row r="1481" spans="1:5" x14ac:dyDescent="0.25">
      <c r="A1481" s="5" t="s">
        <v>4439</v>
      </c>
      <c r="B1481" s="9" t="str">
        <f>HYPERLINK("http://biobank.ctsu.ox.ac.uk/crystal/field.cgi?id=25083", "25083")</f>
        <v>25083</v>
      </c>
      <c r="C1481" s="8" t="s">
        <v>4441</v>
      </c>
      <c r="D1481" s="8" t="s">
        <v>10047</v>
      </c>
      <c r="E1481" s="8" t="s">
        <v>11628</v>
      </c>
    </row>
    <row r="1482" spans="1:5" x14ac:dyDescent="0.25">
      <c r="A1482" s="5" t="s">
        <v>4442</v>
      </c>
      <c r="B1482" s="9" t="str">
        <f>HYPERLINK("http://biobank.ctsu.ox.ac.uk/crystal/field.cgi?id=25084", "25084")</f>
        <v>25084</v>
      </c>
      <c r="C1482" s="8" t="s">
        <v>4444</v>
      </c>
      <c r="D1482" s="8" t="s">
        <v>10047</v>
      </c>
      <c r="E1482" s="8" t="s">
        <v>11629</v>
      </c>
    </row>
    <row r="1483" spans="1:5" x14ac:dyDescent="0.25">
      <c r="A1483" s="5" t="s">
        <v>4445</v>
      </c>
      <c r="B1483" s="9" t="str">
        <f>HYPERLINK("http://biobank.ctsu.ox.ac.uk/crystal/field.cgi?id=25085", "25085")</f>
        <v>25085</v>
      </c>
      <c r="C1483" s="8" t="s">
        <v>4447</v>
      </c>
      <c r="D1483" s="8" t="s">
        <v>10047</v>
      </c>
      <c r="E1483" s="8" t="s">
        <v>11630</v>
      </c>
    </row>
    <row r="1484" spans="1:5" x14ac:dyDescent="0.25">
      <c r="A1484" s="5" t="s">
        <v>4448</v>
      </c>
      <c r="B1484" s="9" t="str">
        <f>HYPERLINK("http://biobank.ctsu.ox.ac.uk/crystal/field.cgi?id=25086", "25086")</f>
        <v>25086</v>
      </c>
      <c r="C1484" s="8" t="s">
        <v>4450</v>
      </c>
      <c r="D1484" s="8" t="s">
        <v>10047</v>
      </c>
      <c r="E1484" s="8" t="s">
        <v>11631</v>
      </c>
    </row>
    <row r="1485" spans="1:5" x14ac:dyDescent="0.25">
      <c r="A1485" s="5" t="s">
        <v>4451</v>
      </c>
      <c r="B1485" s="9" t="str">
        <f>HYPERLINK("http://biobank.ctsu.ox.ac.uk/crystal/field.cgi?id=25087", "25087")</f>
        <v>25087</v>
      </c>
      <c r="C1485" s="8" t="s">
        <v>4453</v>
      </c>
      <c r="D1485" s="8" t="s">
        <v>10047</v>
      </c>
      <c r="E1485" s="8" t="s">
        <v>11632</v>
      </c>
    </row>
    <row r="1486" spans="1:5" x14ac:dyDescent="0.25">
      <c r="A1486" s="5" t="s">
        <v>4454</v>
      </c>
      <c r="B1486" s="9" t="str">
        <f>HYPERLINK("http://biobank.ctsu.ox.ac.uk/crystal/field.cgi?id=25088", "25088")</f>
        <v>25088</v>
      </c>
      <c r="C1486" s="8" t="s">
        <v>4456</v>
      </c>
      <c r="D1486" s="8" t="s">
        <v>10047</v>
      </c>
      <c r="E1486" s="8" t="s">
        <v>11633</v>
      </c>
    </row>
    <row r="1487" spans="1:5" x14ac:dyDescent="0.25">
      <c r="A1487" s="5" t="s">
        <v>4457</v>
      </c>
      <c r="B1487" s="9" t="str">
        <f>HYPERLINK("http://biobank.ctsu.ox.ac.uk/crystal/field.cgi?id=25089", "25089")</f>
        <v>25089</v>
      </c>
      <c r="C1487" s="8" t="s">
        <v>4459</v>
      </c>
      <c r="D1487" s="8" t="s">
        <v>10047</v>
      </c>
      <c r="E1487" s="8" t="s">
        <v>11634</v>
      </c>
    </row>
    <row r="1488" spans="1:5" x14ac:dyDescent="0.25">
      <c r="A1488" s="5" t="s">
        <v>4460</v>
      </c>
      <c r="B1488" s="9" t="str">
        <f>HYPERLINK("http://biobank.ctsu.ox.ac.uk/crystal/field.cgi?id=25090", "25090")</f>
        <v>25090</v>
      </c>
      <c r="C1488" s="8" t="s">
        <v>4462</v>
      </c>
      <c r="D1488" s="8" t="s">
        <v>10047</v>
      </c>
      <c r="E1488" s="8" t="s">
        <v>11635</v>
      </c>
    </row>
    <row r="1489" spans="1:5" x14ac:dyDescent="0.25">
      <c r="A1489" s="5" t="s">
        <v>4463</v>
      </c>
      <c r="B1489" s="9" t="str">
        <f>HYPERLINK("http://biobank.ctsu.ox.ac.uk/crystal/field.cgi?id=25091", "25091")</f>
        <v>25091</v>
      </c>
      <c r="C1489" s="8" t="s">
        <v>4465</v>
      </c>
      <c r="D1489" s="8" t="s">
        <v>10047</v>
      </c>
      <c r="E1489" s="8" t="s">
        <v>11636</v>
      </c>
    </row>
    <row r="1490" spans="1:5" x14ac:dyDescent="0.25">
      <c r="A1490" s="5" t="s">
        <v>4466</v>
      </c>
      <c r="B1490" s="9" t="str">
        <f>HYPERLINK("http://biobank.ctsu.ox.ac.uk/crystal/field.cgi?id=25092", "25092")</f>
        <v>25092</v>
      </c>
      <c r="C1490" s="8" t="s">
        <v>4468</v>
      </c>
      <c r="D1490" s="8" t="s">
        <v>10047</v>
      </c>
      <c r="E1490" s="8" t="s">
        <v>11637</v>
      </c>
    </row>
    <row r="1491" spans="1:5" x14ac:dyDescent="0.25">
      <c r="A1491" s="5" t="s">
        <v>4469</v>
      </c>
      <c r="B1491" s="9" t="str">
        <f>HYPERLINK("http://biobank.ctsu.ox.ac.uk/crystal/field.cgi?id=25093", "25093")</f>
        <v>25093</v>
      </c>
      <c r="C1491" s="8" t="s">
        <v>4471</v>
      </c>
      <c r="D1491" s="8" t="s">
        <v>10047</v>
      </c>
      <c r="E1491" s="8" t="s">
        <v>11638</v>
      </c>
    </row>
    <row r="1492" spans="1:5" x14ac:dyDescent="0.25">
      <c r="A1492" s="5" t="s">
        <v>4472</v>
      </c>
      <c r="B1492" s="9" t="str">
        <f>HYPERLINK("http://biobank.ctsu.ox.ac.uk/crystal/field.cgi?id=25094", "25094")</f>
        <v>25094</v>
      </c>
      <c r="C1492" s="8" t="s">
        <v>4474</v>
      </c>
      <c r="D1492" s="8" t="s">
        <v>10047</v>
      </c>
      <c r="E1492" s="8" t="s">
        <v>11639</v>
      </c>
    </row>
    <row r="1493" spans="1:5" x14ac:dyDescent="0.25">
      <c r="A1493" s="5" t="s">
        <v>4475</v>
      </c>
      <c r="B1493" s="9" t="str">
        <f>HYPERLINK("http://biobank.ctsu.ox.ac.uk/crystal/field.cgi?id=25095", "25095")</f>
        <v>25095</v>
      </c>
      <c r="C1493" s="8" t="s">
        <v>4477</v>
      </c>
      <c r="D1493" s="8" t="s">
        <v>10047</v>
      </c>
      <c r="E1493" s="8" t="s">
        <v>11640</v>
      </c>
    </row>
    <row r="1494" spans="1:5" x14ac:dyDescent="0.25">
      <c r="A1494" s="5" t="s">
        <v>4478</v>
      </c>
      <c r="B1494" s="9" t="str">
        <f>HYPERLINK("http://biobank.ctsu.ox.ac.uk/crystal/field.cgi?id=25096", "25096")</f>
        <v>25096</v>
      </c>
      <c r="C1494" s="8" t="s">
        <v>4480</v>
      </c>
      <c r="D1494" s="8" t="s">
        <v>10047</v>
      </c>
      <c r="E1494" s="8" t="s">
        <v>11641</v>
      </c>
    </row>
    <row r="1495" spans="1:5" x14ac:dyDescent="0.25">
      <c r="A1495" s="5" t="s">
        <v>4481</v>
      </c>
      <c r="B1495" s="9" t="str">
        <f>HYPERLINK("http://biobank.ctsu.ox.ac.uk/crystal/field.cgi?id=25097", "25097")</f>
        <v>25097</v>
      </c>
      <c r="C1495" s="8" t="s">
        <v>4483</v>
      </c>
      <c r="D1495" s="8" t="s">
        <v>10047</v>
      </c>
      <c r="E1495" s="8" t="s">
        <v>11642</v>
      </c>
    </row>
    <row r="1496" spans="1:5" x14ac:dyDescent="0.25">
      <c r="A1496" s="5" t="s">
        <v>4484</v>
      </c>
      <c r="B1496" s="9" t="str">
        <f>HYPERLINK("http://biobank.ctsu.ox.ac.uk/crystal/field.cgi?id=25098", "25098")</f>
        <v>25098</v>
      </c>
      <c r="C1496" s="8" t="s">
        <v>4486</v>
      </c>
      <c r="D1496" s="8" t="s">
        <v>10047</v>
      </c>
      <c r="E1496" s="8" t="s">
        <v>11643</v>
      </c>
    </row>
    <row r="1497" spans="1:5" x14ac:dyDescent="0.25">
      <c r="A1497" s="5" t="s">
        <v>4487</v>
      </c>
      <c r="B1497" s="9" t="str">
        <f>HYPERLINK("http://biobank.ctsu.ox.ac.uk/crystal/field.cgi?id=25099", "25099")</f>
        <v>25099</v>
      </c>
      <c r="C1497" s="8" t="s">
        <v>4489</v>
      </c>
      <c r="D1497" s="8" t="s">
        <v>10047</v>
      </c>
      <c r="E1497" s="8" t="s">
        <v>11644</v>
      </c>
    </row>
    <row r="1498" spans="1:5" x14ac:dyDescent="0.25">
      <c r="A1498" s="5" t="s">
        <v>4490</v>
      </c>
      <c r="B1498" s="9" t="str">
        <f>HYPERLINK("http://biobank.ctsu.ox.ac.uk/crystal/field.cgi?id=25100", "25100")</f>
        <v>25100</v>
      </c>
      <c r="C1498" s="8" t="s">
        <v>4492</v>
      </c>
      <c r="D1498" s="8" t="s">
        <v>10047</v>
      </c>
      <c r="E1498" s="8" t="s">
        <v>11645</v>
      </c>
    </row>
    <row r="1499" spans="1:5" x14ac:dyDescent="0.25">
      <c r="A1499" s="5" t="s">
        <v>4493</v>
      </c>
      <c r="B1499" s="9" t="str">
        <f>HYPERLINK("http://biobank.ctsu.ox.ac.uk/crystal/field.cgi?id=25101", "25101")</f>
        <v>25101</v>
      </c>
      <c r="C1499" s="8" t="s">
        <v>4495</v>
      </c>
      <c r="D1499" s="8" t="s">
        <v>10047</v>
      </c>
      <c r="E1499" s="8" t="s">
        <v>11646</v>
      </c>
    </row>
    <row r="1500" spans="1:5" x14ac:dyDescent="0.25">
      <c r="A1500" s="5" t="s">
        <v>4496</v>
      </c>
      <c r="B1500" s="9" t="str">
        <f>HYPERLINK("http://biobank.ctsu.ox.ac.uk/crystal/field.cgi?id=25102", "25102")</f>
        <v>25102</v>
      </c>
      <c r="C1500" s="8" t="s">
        <v>4498</v>
      </c>
      <c r="D1500" s="8" t="s">
        <v>10047</v>
      </c>
      <c r="E1500" s="8" t="s">
        <v>11647</v>
      </c>
    </row>
    <row r="1501" spans="1:5" x14ac:dyDescent="0.25">
      <c r="A1501" s="5" t="s">
        <v>4499</v>
      </c>
      <c r="B1501" s="9" t="str">
        <f>HYPERLINK("http://biobank.ctsu.ox.ac.uk/crystal/field.cgi?id=25103", "25103")</f>
        <v>25103</v>
      </c>
      <c r="C1501" s="8" t="s">
        <v>4501</v>
      </c>
      <c r="D1501" s="8" t="s">
        <v>10047</v>
      </c>
      <c r="E1501" s="8" t="s">
        <v>11648</v>
      </c>
    </row>
    <row r="1502" spans="1:5" x14ac:dyDescent="0.25">
      <c r="A1502" s="5" t="s">
        <v>4502</v>
      </c>
      <c r="B1502" s="9" t="str">
        <f>HYPERLINK("http://biobank.ctsu.ox.ac.uk/crystal/field.cgi?id=25488", "25488")</f>
        <v>25488</v>
      </c>
      <c r="C1502" s="8" t="s">
        <v>4504</v>
      </c>
      <c r="D1502" s="8" t="s">
        <v>10047</v>
      </c>
      <c r="E1502" s="8" t="s">
        <v>11649</v>
      </c>
    </row>
    <row r="1503" spans="1:5" x14ac:dyDescent="0.25">
      <c r="A1503" s="5" t="s">
        <v>4505</v>
      </c>
      <c r="B1503" s="9" t="str">
        <f>HYPERLINK("http://biobank.ctsu.ox.ac.uk/crystal/field.cgi?id=25489", "25489")</f>
        <v>25489</v>
      </c>
      <c r="C1503" s="8" t="s">
        <v>4507</v>
      </c>
      <c r="D1503" s="8" t="s">
        <v>10047</v>
      </c>
      <c r="E1503" s="8" t="s">
        <v>11650</v>
      </c>
    </row>
    <row r="1504" spans="1:5" x14ac:dyDescent="0.25">
      <c r="A1504" s="5" t="s">
        <v>4508</v>
      </c>
      <c r="B1504" s="9" t="str">
        <f>HYPERLINK("http://biobank.ctsu.ox.ac.uk/crystal/field.cgi?id=25490", "25490")</f>
        <v>25490</v>
      </c>
      <c r="C1504" s="8" t="s">
        <v>4510</v>
      </c>
      <c r="D1504" s="8" t="s">
        <v>10047</v>
      </c>
      <c r="E1504" s="8" t="s">
        <v>11651</v>
      </c>
    </row>
    <row r="1505" spans="1:5" x14ac:dyDescent="0.25">
      <c r="A1505" s="5" t="s">
        <v>4511</v>
      </c>
      <c r="B1505" s="9" t="str">
        <f>HYPERLINK("http://biobank.ctsu.ox.ac.uk/crystal/field.cgi?id=25491", "25491")</f>
        <v>25491</v>
      </c>
      <c r="C1505" s="8" t="s">
        <v>4513</v>
      </c>
      <c r="D1505" s="8" t="s">
        <v>10047</v>
      </c>
      <c r="E1505" s="8" t="s">
        <v>11652</v>
      </c>
    </row>
    <row r="1506" spans="1:5" x14ac:dyDescent="0.25">
      <c r="A1506" s="5" t="s">
        <v>4514</v>
      </c>
      <c r="B1506" s="9" t="str">
        <f>HYPERLINK("http://biobank.ctsu.ox.ac.uk/crystal/field.cgi?id=25492", "25492")</f>
        <v>25492</v>
      </c>
      <c r="C1506" s="8" t="s">
        <v>4516</v>
      </c>
      <c r="D1506" s="8" t="s">
        <v>10047</v>
      </c>
      <c r="E1506" s="8" t="s">
        <v>11653</v>
      </c>
    </row>
    <row r="1507" spans="1:5" x14ac:dyDescent="0.25">
      <c r="A1507" s="5" t="s">
        <v>4517</v>
      </c>
      <c r="B1507" s="9" t="str">
        <f>HYPERLINK("http://biobank.ctsu.ox.ac.uk/crystal/field.cgi?id=25493", "25493")</f>
        <v>25493</v>
      </c>
      <c r="C1507" s="8" t="s">
        <v>4519</v>
      </c>
      <c r="D1507" s="8" t="s">
        <v>10047</v>
      </c>
      <c r="E1507" s="8" t="s">
        <v>11654</v>
      </c>
    </row>
    <row r="1508" spans="1:5" x14ac:dyDescent="0.25">
      <c r="A1508" s="5" t="s">
        <v>4520</v>
      </c>
      <c r="B1508" s="9" t="str">
        <f>HYPERLINK("http://biobank.ctsu.ox.ac.uk/crystal/field.cgi?id=25494", "25494")</f>
        <v>25494</v>
      </c>
      <c r="C1508" s="8" t="s">
        <v>4522</v>
      </c>
      <c r="D1508" s="8" t="s">
        <v>10047</v>
      </c>
      <c r="E1508" s="8" t="s">
        <v>11655</v>
      </c>
    </row>
    <row r="1509" spans="1:5" x14ac:dyDescent="0.25">
      <c r="A1509" s="5" t="s">
        <v>4523</v>
      </c>
      <c r="B1509" s="9" t="str">
        <f>HYPERLINK("http://biobank.ctsu.ox.ac.uk/crystal/field.cgi?id=25495", "25495")</f>
        <v>25495</v>
      </c>
      <c r="C1509" s="8" t="s">
        <v>4525</v>
      </c>
      <c r="D1509" s="8" t="s">
        <v>10047</v>
      </c>
      <c r="E1509" s="8" t="s">
        <v>11656</v>
      </c>
    </row>
    <row r="1510" spans="1:5" x14ac:dyDescent="0.25">
      <c r="A1510" s="5" t="s">
        <v>4526</v>
      </c>
      <c r="B1510" s="9" t="str">
        <f>HYPERLINK("http://biobank.ctsu.ox.ac.uk/crystal/field.cgi?id=25496", "25496")</f>
        <v>25496</v>
      </c>
      <c r="C1510" s="8" t="s">
        <v>4528</v>
      </c>
      <c r="D1510" s="8" t="s">
        <v>10047</v>
      </c>
      <c r="E1510" s="8" t="s">
        <v>11657</v>
      </c>
    </row>
    <row r="1511" spans="1:5" x14ac:dyDescent="0.25">
      <c r="A1511" s="5" t="s">
        <v>4529</v>
      </c>
      <c r="B1511" s="9" t="str">
        <f>HYPERLINK("http://biobank.ctsu.ox.ac.uk/crystal/field.cgi?id=25497", "25497")</f>
        <v>25497</v>
      </c>
      <c r="C1511" s="8" t="s">
        <v>4531</v>
      </c>
      <c r="D1511" s="8" t="s">
        <v>10047</v>
      </c>
      <c r="E1511" s="8" t="s">
        <v>11658</v>
      </c>
    </row>
    <row r="1512" spans="1:5" x14ac:dyDescent="0.25">
      <c r="A1512" s="5" t="s">
        <v>4532</v>
      </c>
      <c r="B1512" s="9" t="str">
        <f>HYPERLINK("http://biobank.ctsu.ox.ac.uk/crystal/field.cgi?id=25498", "25498")</f>
        <v>25498</v>
      </c>
      <c r="C1512" s="8" t="s">
        <v>4534</v>
      </c>
      <c r="D1512" s="8" t="s">
        <v>10047</v>
      </c>
      <c r="E1512" s="8" t="s">
        <v>11659</v>
      </c>
    </row>
    <row r="1513" spans="1:5" x14ac:dyDescent="0.25">
      <c r="A1513" s="5" t="s">
        <v>4535</v>
      </c>
      <c r="B1513" s="9" t="str">
        <f>HYPERLINK("http://biobank.ctsu.ox.ac.uk/crystal/field.cgi?id=25499", "25499")</f>
        <v>25499</v>
      </c>
      <c r="C1513" s="8" t="s">
        <v>4537</v>
      </c>
      <c r="D1513" s="8" t="s">
        <v>10047</v>
      </c>
      <c r="E1513" s="8" t="s">
        <v>11660</v>
      </c>
    </row>
    <row r="1514" spans="1:5" x14ac:dyDescent="0.25">
      <c r="A1514" s="5" t="s">
        <v>4538</v>
      </c>
      <c r="B1514" s="9" t="str">
        <f>HYPERLINK("http://biobank.ctsu.ox.ac.uk/crystal/field.cgi?id=25500", "25500")</f>
        <v>25500</v>
      </c>
      <c r="C1514" s="8" t="s">
        <v>4540</v>
      </c>
      <c r="D1514" s="8" t="s">
        <v>10047</v>
      </c>
      <c r="E1514" s="8" t="s">
        <v>11661</v>
      </c>
    </row>
    <row r="1515" spans="1:5" x14ac:dyDescent="0.25">
      <c r="A1515" s="5" t="s">
        <v>4541</v>
      </c>
      <c r="B1515" s="9" t="str">
        <f>HYPERLINK("http://biobank.ctsu.ox.ac.uk/crystal/field.cgi?id=25501", "25501")</f>
        <v>25501</v>
      </c>
      <c r="C1515" s="8" t="s">
        <v>4543</v>
      </c>
      <c r="D1515" s="8" t="s">
        <v>10047</v>
      </c>
      <c r="E1515" s="8" t="s">
        <v>11662</v>
      </c>
    </row>
    <row r="1516" spans="1:5" x14ac:dyDescent="0.25">
      <c r="A1516" s="5" t="s">
        <v>4544</v>
      </c>
      <c r="B1516" s="9" t="str">
        <f>HYPERLINK("http://biobank.ctsu.ox.ac.uk/crystal/field.cgi?id=25502", "25502")</f>
        <v>25502</v>
      </c>
      <c r="C1516" s="8" t="s">
        <v>4546</v>
      </c>
      <c r="D1516" s="8" t="s">
        <v>10047</v>
      </c>
      <c r="E1516" s="8" t="s">
        <v>11663</v>
      </c>
    </row>
    <row r="1517" spans="1:5" x14ac:dyDescent="0.25">
      <c r="A1517" s="5" t="s">
        <v>4547</v>
      </c>
      <c r="B1517" s="9" t="str">
        <f>HYPERLINK("http://biobank.ctsu.ox.ac.uk/crystal/field.cgi?id=25503", "25503")</f>
        <v>25503</v>
      </c>
      <c r="C1517" s="8" t="s">
        <v>4549</v>
      </c>
      <c r="D1517" s="8" t="s">
        <v>10047</v>
      </c>
      <c r="E1517" s="8" t="s">
        <v>11664</v>
      </c>
    </row>
    <row r="1518" spans="1:5" x14ac:dyDescent="0.25">
      <c r="A1518" s="5" t="s">
        <v>4550</v>
      </c>
      <c r="B1518" s="9" t="str">
        <f>HYPERLINK("http://biobank.ctsu.ox.ac.uk/crystal/field.cgi?id=25504", "25504")</f>
        <v>25504</v>
      </c>
      <c r="C1518" s="8" t="s">
        <v>4552</v>
      </c>
      <c r="D1518" s="8" t="s">
        <v>10047</v>
      </c>
      <c r="E1518" s="8" t="s">
        <v>11665</v>
      </c>
    </row>
    <row r="1519" spans="1:5" x14ac:dyDescent="0.25">
      <c r="A1519" s="5" t="s">
        <v>4553</v>
      </c>
      <c r="B1519" s="9" t="str">
        <f>HYPERLINK("http://biobank.ctsu.ox.ac.uk/crystal/field.cgi?id=25505", "25505")</f>
        <v>25505</v>
      </c>
      <c r="C1519" s="8" t="s">
        <v>4555</v>
      </c>
      <c r="D1519" s="8" t="s">
        <v>10047</v>
      </c>
      <c r="E1519" s="8" t="s">
        <v>11666</v>
      </c>
    </row>
    <row r="1520" spans="1:5" x14ac:dyDescent="0.25">
      <c r="A1520" s="5" t="s">
        <v>4556</v>
      </c>
      <c r="B1520" s="9" t="str">
        <f>HYPERLINK("http://biobank.ctsu.ox.ac.uk/crystal/field.cgi?id=25506", "25506")</f>
        <v>25506</v>
      </c>
      <c r="C1520" s="8" t="s">
        <v>4558</v>
      </c>
      <c r="D1520" s="8" t="s">
        <v>10047</v>
      </c>
      <c r="E1520" s="8" t="s">
        <v>11667</v>
      </c>
    </row>
    <row r="1521" spans="1:5" x14ac:dyDescent="0.25">
      <c r="A1521" s="5" t="s">
        <v>4559</v>
      </c>
      <c r="B1521" s="9" t="str">
        <f>HYPERLINK("http://biobank.ctsu.ox.ac.uk/crystal/field.cgi?id=25507", "25507")</f>
        <v>25507</v>
      </c>
      <c r="C1521" s="8" t="s">
        <v>4561</v>
      </c>
      <c r="D1521" s="8" t="s">
        <v>10047</v>
      </c>
      <c r="E1521" s="8" t="s">
        <v>11668</v>
      </c>
    </row>
    <row r="1522" spans="1:5" x14ac:dyDescent="0.25">
      <c r="A1522" s="5" t="s">
        <v>4562</v>
      </c>
      <c r="B1522" s="9" t="str">
        <f>HYPERLINK("http://biobank.ctsu.ox.ac.uk/crystal/field.cgi?id=25508", "25508")</f>
        <v>25508</v>
      </c>
      <c r="C1522" s="8" t="s">
        <v>4564</v>
      </c>
      <c r="D1522" s="8" t="s">
        <v>10047</v>
      </c>
      <c r="E1522" s="8" t="s">
        <v>11669</v>
      </c>
    </row>
    <row r="1523" spans="1:5" x14ac:dyDescent="0.25">
      <c r="A1523" s="5" t="s">
        <v>4565</v>
      </c>
      <c r="B1523" s="9" t="str">
        <f>HYPERLINK("http://biobank.ctsu.ox.ac.uk/crystal/field.cgi?id=25509", "25509")</f>
        <v>25509</v>
      </c>
      <c r="C1523" s="8" t="s">
        <v>4567</v>
      </c>
      <c r="D1523" s="8" t="s">
        <v>10047</v>
      </c>
      <c r="E1523" s="8" t="s">
        <v>11670</v>
      </c>
    </row>
    <row r="1524" spans="1:5" x14ac:dyDescent="0.25">
      <c r="A1524" s="5" t="s">
        <v>4568</v>
      </c>
      <c r="B1524" s="9" t="str">
        <f>HYPERLINK("http://biobank.ctsu.ox.ac.uk/crystal/field.cgi?id=25510", "25510")</f>
        <v>25510</v>
      </c>
      <c r="C1524" s="8" t="s">
        <v>4570</v>
      </c>
      <c r="D1524" s="8" t="s">
        <v>10047</v>
      </c>
      <c r="E1524" s="8" t="s">
        <v>11671</v>
      </c>
    </row>
    <row r="1525" spans="1:5" x14ac:dyDescent="0.25">
      <c r="A1525" s="5" t="s">
        <v>4571</v>
      </c>
      <c r="B1525" s="9" t="str">
        <f>HYPERLINK("http://biobank.ctsu.ox.ac.uk/crystal/field.cgi?id=25511", "25511")</f>
        <v>25511</v>
      </c>
      <c r="C1525" s="8" t="s">
        <v>4573</v>
      </c>
      <c r="D1525" s="8" t="s">
        <v>10047</v>
      </c>
      <c r="E1525" s="8" t="s">
        <v>11672</v>
      </c>
    </row>
    <row r="1526" spans="1:5" x14ac:dyDescent="0.25">
      <c r="A1526" s="5" t="s">
        <v>4574</v>
      </c>
      <c r="B1526" s="9" t="str">
        <f>HYPERLINK("http://biobank.ctsu.ox.ac.uk/crystal/field.cgi?id=25512", "25512")</f>
        <v>25512</v>
      </c>
      <c r="C1526" s="8" t="s">
        <v>4576</v>
      </c>
      <c r="D1526" s="8" t="s">
        <v>10047</v>
      </c>
      <c r="E1526" s="8" t="s">
        <v>11673</v>
      </c>
    </row>
    <row r="1527" spans="1:5" x14ac:dyDescent="0.25">
      <c r="A1527" s="5" t="s">
        <v>4577</v>
      </c>
      <c r="B1527" s="9" t="str">
        <f>HYPERLINK("http://biobank.ctsu.ox.ac.uk/crystal/field.cgi?id=25513", "25513")</f>
        <v>25513</v>
      </c>
      <c r="C1527" s="8" t="s">
        <v>4579</v>
      </c>
      <c r="D1527" s="8" t="s">
        <v>10047</v>
      </c>
      <c r="E1527" s="8" t="s">
        <v>11674</v>
      </c>
    </row>
    <row r="1528" spans="1:5" x14ac:dyDescent="0.25">
      <c r="A1528" s="5" t="s">
        <v>4580</v>
      </c>
      <c r="B1528" s="9" t="str">
        <f>HYPERLINK("http://biobank.ctsu.ox.ac.uk/crystal/field.cgi?id=25514", "25514")</f>
        <v>25514</v>
      </c>
      <c r="C1528" s="8" t="s">
        <v>4582</v>
      </c>
      <c r="D1528" s="8" t="s">
        <v>10047</v>
      </c>
      <c r="E1528" s="8" t="s">
        <v>11675</v>
      </c>
    </row>
    <row r="1529" spans="1:5" x14ac:dyDescent="0.25">
      <c r="A1529" s="5" t="s">
        <v>4583</v>
      </c>
      <c r="B1529" s="9" t="str">
        <f>HYPERLINK("http://biobank.ctsu.ox.ac.uk/crystal/field.cgi?id=25152", "25152")</f>
        <v>25152</v>
      </c>
      <c r="C1529" s="8" t="s">
        <v>4585</v>
      </c>
      <c r="D1529" s="8" t="s">
        <v>10048</v>
      </c>
      <c r="E1529" s="8" t="s">
        <v>11676</v>
      </c>
    </row>
    <row r="1530" spans="1:5" x14ac:dyDescent="0.25">
      <c r="A1530" s="5" t="s">
        <v>4586</v>
      </c>
      <c r="B1530" s="9" t="str">
        <f>HYPERLINK("http://biobank.ctsu.ox.ac.uk/crystal/field.cgi?id=25153", "25153")</f>
        <v>25153</v>
      </c>
      <c r="C1530" s="8" t="s">
        <v>4588</v>
      </c>
      <c r="D1530" s="8" t="s">
        <v>10048</v>
      </c>
      <c r="E1530" s="8" t="s">
        <v>11677</v>
      </c>
    </row>
    <row r="1531" spans="1:5" x14ac:dyDescent="0.25">
      <c r="A1531" s="5" t="s">
        <v>4589</v>
      </c>
      <c r="B1531" s="9" t="str">
        <f>HYPERLINK("http://biobank.ctsu.ox.ac.uk/crystal/field.cgi?id=25154", "25154")</f>
        <v>25154</v>
      </c>
      <c r="C1531" s="8" t="s">
        <v>4591</v>
      </c>
      <c r="D1531" s="8" t="s">
        <v>10048</v>
      </c>
      <c r="E1531" s="8" t="s">
        <v>11678</v>
      </c>
    </row>
    <row r="1532" spans="1:5" x14ac:dyDescent="0.25">
      <c r="A1532" s="5" t="s">
        <v>4592</v>
      </c>
      <c r="B1532" s="9" t="str">
        <f>HYPERLINK("http://biobank.ctsu.ox.ac.uk/crystal/field.cgi?id=25155", "25155")</f>
        <v>25155</v>
      </c>
      <c r="C1532" s="8" t="s">
        <v>4594</v>
      </c>
      <c r="D1532" s="8" t="s">
        <v>10048</v>
      </c>
      <c r="E1532" s="8" t="s">
        <v>11679</v>
      </c>
    </row>
    <row r="1533" spans="1:5" x14ac:dyDescent="0.25">
      <c r="A1533" s="5" t="s">
        <v>4595</v>
      </c>
      <c r="B1533" s="9" t="str">
        <f>HYPERLINK("http://biobank.ctsu.ox.ac.uk/crystal/field.cgi?id=25156", "25156")</f>
        <v>25156</v>
      </c>
      <c r="C1533" s="8" t="s">
        <v>4597</v>
      </c>
      <c r="D1533" s="8" t="s">
        <v>10048</v>
      </c>
      <c r="E1533" s="8" t="s">
        <v>11680</v>
      </c>
    </row>
    <row r="1534" spans="1:5" x14ac:dyDescent="0.25">
      <c r="A1534" s="5" t="s">
        <v>4598</v>
      </c>
      <c r="B1534" s="9" t="str">
        <f>HYPERLINK("http://biobank.ctsu.ox.ac.uk/crystal/field.cgi?id=25157", "25157")</f>
        <v>25157</v>
      </c>
      <c r="C1534" s="8" t="s">
        <v>4600</v>
      </c>
      <c r="D1534" s="8" t="s">
        <v>10048</v>
      </c>
      <c r="E1534" s="8" t="s">
        <v>11681</v>
      </c>
    </row>
    <row r="1535" spans="1:5" x14ac:dyDescent="0.25">
      <c r="A1535" s="5" t="s">
        <v>4601</v>
      </c>
      <c r="B1535" s="9" t="str">
        <f>HYPERLINK("http://biobank.ctsu.ox.ac.uk/crystal/field.cgi?id=25158", "25158")</f>
        <v>25158</v>
      </c>
      <c r="C1535" s="8" t="s">
        <v>4603</v>
      </c>
      <c r="D1535" s="8" t="s">
        <v>10048</v>
      </c>
      <c r="E1535" s="8" t="s">
        <v>11682</v>
      </c>
    </row>
    <row r="1536" spans="1:5" x14ac:dyDescent="0.25">
      <c r="A1536" s="5" t="s">
        <v>4604</v>
      </c>
      <c r="B1536" s="9" t="str">
        <f>HYPERLINK("http://biobank.ctsu.ox.ac.uk/crystal/field.cgi?id=25159", "25159")</f>
        <v>25159</v>
      </c>
      <c r="C1536" s="8" t="s">
        <v>4606</v>
      </c>
      <c r="D1536" s="8" t="s">
        <v>10048</v>
      </c>
      <c r="E1536" s="8" t="s">
        <v>11683</v>
      </c>
    </row>
    <row r="1537" spans="1:5" x14ac:dyDescent="0.25">
      <c r="A1537" s="5" t="s">
        <v>4607</v>
      </c>
      <c r="B1537" s="9" t="str">
        <f>HYPERLINK("http://biobank.ctsu.ox.ac.uk/crystal/field.cgi?id=25160", "25160")</f>
        <v>25160</v>
      </c>
      <c r="C1537" s="8" t="s">
        <v>4609</v>
      </c>
      <c r="D1537" s="8" t="s">
        <v>10048</v>
      </c>
      <c r="E1537" s="8" t="s">
        <v>11684</v>
      </c>
    </row>
    <row r="1538" spans="1:5" x14ac:dyDescent="0.25">
      <c r="A1538" s="5" t="s">
        <v>4610</v>
      </c>
      <c r="B1538" s="9" t="str">
        <f>HYPERLINK("http://biobank.ctsu.ox.ac.uk/crystal/field.cgi?id=25161", "25161")</f>
        <v>25161</v>
      </c>
      <c r="C1538" s="8" t="s">
        <v>4612</v>
      </c>
      <c r="D1538" s="8" t="s">
        <v>10048</v>
      </c>
      <c r="E1538" s="8" t="s">
        <v>11685</v>
      </c>
    </row>
    <row r="1539" spans="1:5" x14ac:dyDescent="0.25">
      <c r="A1539" s="5" t="s">
        <v>4613</v>
      </c>
      <c r="B1539" s="9" t="str">
        <f>HYPERLINK("http://biobank.ctsu.ox.ac.uk/crystal/field.cgi?id=25162", "25162")</f>
        <v>25162</v>
      </c>
      <c r="C1539" s="8" t="s">
        <v>4615</v>
      </c>
      <c r="D1539" s="8" t="s">
        <v>10048</v>
      </c>
      <c r="E1539" s="8" t="s">
        <v>11686</v>
      </c>
    </row>
    <row r="1540" spans="1:5" x14ac:dyDescent="0.25">
      <c r="A1540" s="5" t="s">
        <v>4616</v>
      </c>
      <c r="B1540" s="9" t="str">
        <f>HYPERLINK("http://biobank.ctsu.ox.ac.uk/crystal/field.cgi?id=25163", "25163")</f>
        <v>25163</v>
      </c>
      <c r="C1540" s="8" t="s">
        <v>4618</v>
      </c>
      <c r="D1540" s="8" t="s">
        <v>10048</v>
      </c>
      <c r="E1540" s="8" t="s">
        <v>11687</v>
      </c>
    </row>
    <row r="1541" spans="1:5" x14ac:dyDescent="0.25">
      <c r="A1541" s="5" t="s">
        <v>4619</v>
      </c>
      <c r="B1541" s="9" t="str">
        <f>HYPERLINK("http://biobank.ctsu.ox.ac.uk/crystal/field.cgi?id=25164", "25164")</f>
        <v>25164</v>
      </c>
      <c r="C1541" s="8" t="s">
        <v>4621</v>
      </c>
      <c r="D1541" s="8" t="s">
        <v>10048</v>
      </c>
      <c r="E1541" s="8" t="s">
        <v>11688</v>
      </c>
    </row>
    <row r="1542" spans="1:5" x14ac:dyDescent="0.25">
      <c r="A1542" s="5" t="s">
        <v>4622</v>
      </c>
      <c r="B1542" s="9" t="str">
        <f>HYPERLINK("http://biobank.ctsu.ox.ac.uk/crystal/field.cgi?id=25165", "25165")</f>
        <v>25165</v>
      </c>
      <c r="C1542" s="8" t="s">
        <v>4624</v>
      </c>
      <c r="D1542" s="8" t="s">
        <v>10048</v>
      </c>
      <c r="E1542" s="8" t="s">
        <v>11689</v>
      </c>
    </row>
    <row r="1543" spans="1:5" x14ac:dyDescent="0.25">
      <c r="A1543" s="5" t="s">
        <v>4625</v>
      </c>
      <c r="B1543" s="9" t="str">
        <f>HYPERLINK("http://biobank.ctsu.ox.ac.uk/crystal/field.cgi?id=25166", "25166")</f>
        <v>25166</v>
      </c>
      <c r="C1543" s="8" t="s">
        <v>4627</v>
      </c>
      <c r="D1543" s="8" t="s">
        <v>10048</v>
      </c>
      <c r="E1543" s="8" t="s">
        <v>11690</v>
      </c>
    </row>
    <row r="1544" spans="1:5" x14ac:dyDescent="0.25">
      <c r="A1544" s="5" t="s">
        <v>4628</v>
      </c>
      <c r="B1544" s="9" t="str">
        <f>HYPERLINK("http://biobank.ctsu.ox.ac.uk/crystal/field.cgi?id=25167", "25167")</f>
        <v>25167</v>
      </c>
      <c r="C1544" s="8" t="s">
        <v>4630</v>
      </c>
      <c r="D1544" s="8" t="s">
        <v>10048</v>
      </c>
      <c r="E1544" s="8" t="s">
        <v>11691</v>
      </c>
    </row>
    <row r="1545" spans="1:5" x14ac:dyDescent="0.25">
      <c r="A1545" s="5" t="s">
        <v>4631</v>
      </c>
      <c r="B1545" s="9" t="str">
        <f>HYPERLINK("http://biobank.ctsu.ox.ac.uk/crystal/field.cgi?id=25168", "25168")</f>
        <v>25168</v>
      </c>
      <c r="C1545" s="8" t="s">
        <v>4633</v>
      </c>
      <c r="D1545" s="8" t="s">
        <v>10048</v>
      </c>
      <c r="E1545" s="8" t="s">
        <v>11692</v>
      </c>
    </row>
    <row r="1546" spans="1:5" x14ac:dyDescent="0.25">
      <c r="A1546" s="5" t="s">
        <v>4634</v>
      </c>
      <c r="B1546" s="9" t="str">
        <f>HYPERLINK("http://biobank.ctsu.ox.ac.uk/crystal/field.cgi?id=25169", "25169")</f>
        <v>25169</v>
      </c>
      <c r="C1546" s="8" t="s">
        <v>4636</v>
      </c>
      <c r="D1546" s="8" t="s">
        <v>10048</v>
      </c>
      <c r="E1546" s="8" t="s">
        <v>11693</v>
      </c>
    </row>
    <row r="1547" spans="1:5" x14ac:dyDescent="0.25">
      <c r="A1547" s="5" t="s">
        <v>4637</v>
      </c>
      <c r="B1547" s="9" t="str">
        <f>HYPERLINK("http://biobank.ctsu.ox.ac.uk/crystal/field.cgi?id=25170", "25170")</f>
        <v>25170</v>
      </c>
      <c r="C1547" s="8" t="s">
        <v>4639</v>
      </c>
      <c r="D1547" s="8" t="s">
        <v>10048</v>
      </c>
      <c r="E1547" s="8" t="s">
        <v>11694</v>
      </c>
    </row>
    <row r="1548" spans="1:5" x14ac:dyDescent="0.25">
      <c r="A1548" s="5" t="s">
        <v>4640</v>
      </c>
      <c r="B1548" s="9" t="str">
        <f>HYPERLINK("http://biobank.ctsu.ox.ac.uk/crystal/field.cgi?id=25171", "25171")</f>
        <v>25171</v>
      </c>
      <c r="C1548" s="8" t="s">
        <v>4642</v>
      </c>
      <c r="D1548" s="8" t="s">
        <v>10048</v>
      </c>
      <c r="E1548" s="8" t="s">
        <v>11695</v>
      </c>
    </row>
    <row r="1549" spans="1:5" x14ac:dyDescent="0.25">
      <c r="A1549" s="5" t="s">
        <v>4643</v>
      </c>
      <c r="B1549" s="9" t="str">
        <f>HYPERLINK("http://biobank.ctsu.ox.ac.uk/crystal/field.cgi?id=25172", "25172")</f>
        <v>25172</v>
      </c>
      <c r="C1549" s="8" t="s">
        <v>4645</v>
      </c>
      <c r="D1549" s="8" t="s">
        <v>10048</v>
      </c>
      <c r="E1549" s="8" t="s">
        <v>11696</v>
      </c>
    </row>
    <row r="1550" spans="1:5" x14ac:dyDescent="0.25">
      <c r="A1550" s="5" t="s">
        <v>4646</v>
      </c>
      <c r="B1550" s="9" t="str">
        <f>HYPERLINK("http://biobank.ctsu.ox.ac.uk/crystal/field.cgi?id=25173", "25173")</f>
        <v>25173</v>
      </c>
      <c r="C1550" s="8" t="s">
        <v>4648</v>
      </c>
      <c r="D1550" s="8" t="s">
        <v>10048</v>
      </c>
      <c r="E1550" s="8" t="s">
        <v>11697</v>
      </c>
    </row>
    <row r="1551" spans="1:5" x14ac:dyDescent="0.25">
      <c r="A1551" s="5" t="s">
        <v>4649</v>
      </c>
      <c r="B1551" s="9" t="str">
        <f>HYPERLINK("http://biobank.ctsu.ox.ac.uk/crystal/field.cgi?id=25174", "25174")</f>
        <v>25174</v>
      </c>
      <c r="C1551" s="8" t="s">
        <v>4651</v>
      </c>
      <c r="D1551" s="8" t="s">
        <v>10048</v>
      </c>
      <c r="E1551" s="8" t="s">
        <v>11698</v>
      </c>
    </row>
    <row r="1552" spans="1:5" x14ac:dyDescent="0.25">
      <c r="A1552" s="5" t="s">
        <v>4652</v>
      </c>
      <c r="B1552" s="9" t="str">
        <f>HYPERLINK("http://biobank.ctsu.ox.ac.uk/crystal/field.cgi?id=25175", "25175")</f>
        <v>25175</v>
      </c>
      <c r="C1552" s="8" t="s">
        <v>4654</v>
      </c>
      <c r="D1552" s="8" t="s">
        <v>10048</v>
      </c>
      <c r="E1552" s="8" t="s">
        <v>11699</v>
      </c>
    </row>
    <row r="1553" spans="1:5" x14ac:dyDescent="0.25">
      <c r="A1553" s="5" t="s">
        <v>4655</v>
      </c>
      <c r="B1553" s="9" t="str">
        <f>HYPERLINK("http://biobank.ctsu.ox.ac.uk/crystal/field.cgi?id=25176", "25176")</f>
        <v>25176</v>
      </c>
      <c r="C1553" s="8" t="s">
        <v>4657</v>
      </c>
      <c r="D1553" s="8" t="s">
        <v>10048</v>
      </c>
      <c r="E1553" s="8" t="s">
        <v>11700</v>
      </c>
    </row>
    <row r="1554" spans="1:5" x14ac:dyDescent="0.25">
      <c r="A1554" s="5" t="s">
        <v>4658</v>
      </c>
      <c r="B1554" s="9" t="str">
        <f>HYPERLINK("http://biobank.ctsu.ox.ac.uk/crystal/field.cgi?id=25177", "25177")</f>
        <v>25177</v>
      </c>
      <c r="C1554" s="8" t="s">
        <v>4660</v>
      </c>
      <c r="D1554" s="8" t="s">
        <v>10048</v>
      </c>
      <c r="E1554" s="8" t="s">
        <v>11701</v>
      </c>
    </row>
    <row r="1555" spans="1:5" x14ac:dyDescent="0.25">
      <c r="A1555" s="5" t="s">
        <v>4661</v>
      </c>
      <c r="B1555" s="9" t="str">
        <f>HYPERLINK("http://biobank.ctsu.ox.ac.uk/crystal/field.cgi?id=25178", "25178")</f>
        <v>25178</v>
      </c>
      <c r="C1555" s="8" t="s">
        <v>4663</v>
      </c>
      <c r="D1555" s="8" t="s">
        <v>10048</v>
      </c>
      <c r="E1555" s="8" t="s">
        <v>11702</v>
      </c>
    </row>
    <row r="1556" spans="1:5" x14ac:dyDescent="0.25">
      <c r="A1556" s="5" t="s">
        <v>4664</v>
      </c>
      <c r="B1556" s="9" t="str">
        <f>HYPERLINK("http://biobank.ctsu.ox.ac.uk/crystal/field.cgi?id=25179", "25179")</f>
        <v>25179</v>
      </c>
      <c r="C1556" s="8" t="s">
        <v>4666</v>
      </c>
      <c r="D1556" s="8" t="s">
        <v>10048</v>
      </c>
      <c r="E1556" s="8" t="s">
        <v>11703</v>
      </c>
    </row>
    <row r="1557" spans="1:5" x14ac:dyDescent="0.25">
      <c r="A1557" s="5" t="s">
        <v>4667</v>
      </c>
      <c r="B1557" s="9" t="str">
        <f>HYPERLINK("http://biobank.ctsu.ox.ac.uk/crystal/field.cgi?id=25180", "25180")</f>
        <v>25180</v>
      </c>
      <c r="C1557" s="8" t="s">
        <v>4669</v>
      </c>
      <c r="D1557" s="8" t="s">
        <v>10048</v>
      </c>
      <c r="E1557" s="8" t="s">
        <v>11704</v>
      </c>
    </row>
    <row r="1558" spans="1:5" x14ac:dyDescent="0.25">
      <c r="A1558" s="5" t="s">
        <v>4670</v>
      </c>
      <c r="B1558" s="9" t="str">
        <f>HYPERLINK("http://biobank.ctsu.ox.ac.uk/crystal/field.cgi?id=25181", "25181")</f>
        <v>25181</v>
      </c>
      <c r="C1558" s="8" t="s">
        <v>4672</v>
      </c>
      <c r="D1558" s="8" t="s">
        <v>10048</v>
      </c>
      <c r="E1558" s="8" t="s">
        <v>11705</v>
      </c>
    </row>
    <row r="1559" spans="1:5" x14ac:dyDescent="0.25">
      <c r="A1559" s="5" t="s">
        <v>4673</v>
      </c>
      <c r="B1559" s="9" t="str">
        <f>HYPERLINK("http://biobank.ctsu.ox.ac.uk/crystal/field.cgi?id=25182", "25182")</f>
        <v>25182</v>
      </c>
      <c r="C1559" s="8" t="s">
        <v>4675</v>
      </c>
      <c r="D1559" s="8" t="s">
        <v>10048</v>
      </c>
      <c r="E1559" s="8" t="s">
        <v>11706</v>
      </c>
    </row>
    <row r="1560" spans="1:5" x14ac:dyDescent="0.25">
      <c r="A1560" s="5" t="s">
        <v>4676</v>
      </c>
      <c r="B1560" s="9" t="str">
        <f>HYPERLINK("http://biobank.ctsu.ox.ac.uk/crystal/field.cgi?id=25183", "25183")</f>
        <v>25183</v>
      </c>
      <c r="C1560" s="8" t="s">
        <v>4678</v>
      </c>
      <c r="D1560" s="8" t="s">
        <v>10048</v>
      </c>
      <c r="E1560" s="8" t="s">
        <v>11707</v>
      </c>
    </row>
    <row r="1561" spans="1:5" x14ac:dyDescent="0.25">
      <c r="A1561" s="5" t="s">
        <v>4679</v>
      </c>
      <c r="B1561" s="9" t="str">
        <f>HYPERLINK("http://biobank.ctsu.ox.ac.uk/crystal/field.cgi?id=25184", "25184")</f>
        <v>25184</v>
      </c>
      <c r="C1561" s="8" t="s">
        <v>4681</v>
      </c>
      <c r="D1561" s="8" t="s">
        <v>10048</v>
      </c>
      <c r="E1561" s="8" t="s">
        <v>11708</v>
      </c>
    </row>
    <row r="1562" spans="1:5" x14ac:dyDescent="0.25">
      <c r="A1562" s="5" t="s">
        <v>4682</v>
      </c>
      <c r="B1562" s="9" t="str">
        <f>HYPERLINK("http://biobank.ctsu.ox.ac.uk/crystal/field.cgi?id=25185", "25185")</f>
        <v>25185</v>
      </c>
      <c r="C1562" s="8" t="s">
        <v>4684</v>
      </c>
      <c r="D1562" s="8" t="s">
        <v>10048</v>
      </c>
      <c r="E1562" s="8" t="s">
        <v>11709</v>
      </c>
    </row>
    <row r="1563" spans="1:5" x14ac:dyDescent="0.25">
      <c r="A1563" s="5" t="s">
        <v>4685</v>
      </c>
      <c r="B1563" s="9" t="str">
        <f>HYPERLINK("http://biobank.ctsu.ox.ac.uk/crystal/field.cgi?id=25186", "25186")</f>
        <v>25186</v>
      </c>
      <c r="C1563" s="8" t="s">
        <v>4687</v>
      </c>
      <c r="D1563" s="8" t="s">
        <v>10048</v>
      </c>
      <c r="E1563" s="8" t="s">
        <v>11710</v>
      </c>
    </row>
    <row r="1564" spans="1:5" x14ac:dyDescent="0.25">
      <c r="A1564" s="5" t="s">
        <v>4688</v>
      </c>
      <c r="B1564" s="9" t="str">
        <f>HYPERLINK("http://biobank.ctsu.ox.ac.uk/crystal/field.cgi?id=25187", "25187")</f>
        <v>25187</v>
      </c>
      <c r="C1564" s="8" t="s">
        <v>4690</v>
      </c>
      <c r="D1564" s="8" t="s">
        <v>10048</v>
      </c>
      <c r="E1564" s="8" t="s">
        <v>11711</v>
      </c>
    </row>
    <row r="1565" spans="1:5" x14ac:dyDescent="0.25">
      <c r="A1565" s="5" t="s">
        <v>4691</v>
      </c>
      <c r="B1565" s="9" t="str">
        <f>HYPERLINK("http://biobank.ctsu.ox.ac.uk/crystal/field.cgi?id=25188", "25188")</f>
        <v>25188</v>
      </c>
      <c r="C1565" s="8" t="s">
        <v>4693</v>
      </c>
      <c r="D1565" s="8" t="s">
        <v>10048</v>
      </c>
      <c r="E1565" s="8" t="s">
        <v>11712</v>
      </c>
    </row>
    <row r="1566" spans="1:5" x14ac:dyDescent="0.25">
      <c r="A1566" s="5" t="s">
        <v>4694</v>
      </c>
      <c r="B1566" s="9" t="str">
        <f>HYPERLINK("http://biobank.ctsu.ox.ac.uk/crystal/field.cgi?id=25189", "25189")</f>
        <v>25189</v>
      </c>
      <c r="C1566" s="8" t="s">
        <v>4696</v>
      </c>
      <c r="D1566" s="8" t="s">
        <v>10048</v>
      </c>
      <c r="E1566" s="8" t="s">
        <v>11713</v>
      </c>
    </row>
    <row r="1567" spans="1:5" x14ac:dyDescent="0.25">
      <c r="A1567" s="5" t="s">
        <v>4697</v>
      </c>
      <c r="B1567" s="9" t="str">
        <f>HYPERLINK("http://biobank.ctsu.ox.ac.uk/crystal/field.cgi?id=25190", "25190")</f>
        <v>25190</v>
      </c>
      <c r="C1567" s="8" t="s">
        <v>4699</v>
      </c>
      <c r="D1567" s="8" t="s">
        <v>10048</v>
      </c>
      <c r="E1567" s="8" t="s">
        <v>11714</v>
      </c>
    </row>
    <row r="1568" spans="1:5" x14ac:dyDescent="0.25">
      <c r="A1568" s="5" t="s">
        <v>4700</v>
      </c>
      <c r="B1568" s="9" t="str">
        <f>HYPERLINK("http://biobank.ctsu.ox.ac.uk/crystal/field.cgi?id=25191", "25191")</f>
        <v>25191</v>
      </c>
      <c r="C1568" s="8" t="s">
        <v>4702</v>
      </c>
      <c r="D1568" s="8" t="s">
        <v>10048</v>
      </c>
      <c r="E1568" s="8" t="s">
        <v>11715</v>
      </c>
    </row>
    <row r="1569" spans="1:5" x14ac:dyDescent="0.25">
      <c r="A1569" s="5" t="s">
        <v>4703</v>
      </c>
      <c r="B1569" s="9" t="str">
        <f>HYPERLINK("http://biobank.ctsu.ox.ac.uk/crystal/field.cgi?id=25192", "25192")</f>
        <v>25192</v>
      </c>
      <c r="C1569" s="8" t="s">
        <v>4705</v>
      </c>
      <c r="D1569" s="8" t="s">
        <v>10048</v>
      </c>
      <c r="E1569" s="8" t="s">
        <v>11716</v>
      </c>
    </row>
    <row r="1570" spans="1:5" x14ac:dyDescent="0.25">
      <c r="A1570" s="5" t="s">
        <v>4706</v>
      </c>
      <c r="B1570" s="9" t="str">
        <f>HYPERLINK("http://biobank.ctsu.ox.ac.uk/crystal/field.cgi?id=25193", "25193")</f>
        <v>25193</v>
      </c>
      <c r="C1570" s="8" t="s">
        <v>4708</v>
      </c>
      <c r="D1570" s="8" t="s">
        <v>10048</v>
      </c>
      <c r="E1570" s="8" t="s">
        <v>11717</v>
      </c>
    </row>
    <row r="1571" spans="1:5" x14ac:dyDescent="0.25">
      <c r="A1571" s="5" t="s">
        <v>4709</v>
      </c>
      <c r="B1571" s="9" t="str">
        <f>HYPERLINK("http://biobank.ctsu.ox.ac.uk/crystal/field.cgi?id=25194", "25194")</f>
        <v>25194</v>
      </c>
      <c r="C1571" s="8" t="s">
        <v>4711</v>
      </c>
      <c r="D1571" s="8" t="s">
        <v>10048</v>
      </c>
      <c r="E1571" s="8" t="s">
        <v>11718</v>
      </c>
    </row>
    <row r="1572" spans="1:5" x14ac:dyDescent="0.25">
      <c r="A1572" s="5" t="s">
        <v>4712</v>
      </c>
      <c r="B1572" s="9" t="str">
        <f>HYPERLINK("http://biobank.ctsu.ox.ac.uk/crystal/field.cgi?id=25195", "25195")</f>
        <v>25195</v>
      </c>
      <c r="C1572" s="8" t="s">
        <v>4714</v>
      </c>
      <c r="D1572" s="8" t="s">
        <v>10048</v>
      </c>
      <c r="E1572" s="8" t="s">
        <v>11719</v>
      </c>
    </row>
    <row r="1573" spans="1:5" x14ac:dyDescent="0.25">
      <c r="A1573" s="5" t="s">
        <v>4715</v>
      </c>
      <c r="B1573" s="9" t="str">
        <f>HYPERLINK("http://biobank.ctsu.ox.ac.uk/crystal/field.cgi?id=25196", "25196")</f>
        <v>25196</v>
      </c>
      <c r="C1573" s="8" t="s">
        <v>4717</v>
      </c>
      <c r="D1573" s="8" t="s">
        <v>10048</v>
      </c>
      <c r="E1573" s="8" t="s">
        <v>11720</v>
      </c>
    </row>
    <row r="1574" spans="1:5" x14ac:dyDescent="0.25">
      <c r="A1574" s="5" t="s">
        <v>4718</v>
      </c>
      <c r="B1574" s="9" t="str">
        <f>HYPERLINK("http://biobank.ctsu.ox.ac.uk/crystal/field.cgi?id=25197", "25197")</f>
        <v>25197</v>
      </c>
      <c r="C1574" s="8" t="s">
        <v>4720</v>
      </c>
      <c r="D1574" s="8" t="s">
        <v>10048</v>
      </c>
      <c r="E1574" s="8" t="s">
        <v>11721</v>
      </c>
    </row>
    <row r="1575" spans="1:5" x14ac:dyDescent="0.25">
      <c r="A1575" s="5" t="s">
        <v>4721</v>
      </c>
      <c r="B1575" s="9" t="str">
        <f>HYPERLINK("http://biobank.ctsu.ox.ac.uk/crystal/field.cgi?id=25198", "25198")</f>
        <v>25198</v>
      </c>
      <c r="C1575" s="8" t="s">
        <v>4723</v>
      </c>
      <c r="D1575" s="8" t="s">
        <v>10048</v>
      </c>
      <c r="E1575" s="8" t="s">
        <v>11722</v>
      </c>
    </row>
    <row r="1576" spans="1:5" x14ac:dyDescent="0.25">
      <c r="A1576" s="5" t="s">
        <v>4724</v>
      </c>
      <c r="B1576" s="9" t="str">
        <f>HYPERLINK("http://biobank.ctsu.ox.ac.uk/crystal/field.cgi?id=25199", "25199")</f>
        <v>25199</v>
      </c>
      <c r="C1576" s="8" t="s">
        <v>4726</v>
      </c>
      <c r="D1576" s="8" t="s">
        <v>10048</v>
      </c>
      <c r="E1576" s="8" t="s">
        <v>11723</v>
      </c>
    </row>
    <row r="1577" spans="1:5" x14ac:dyDescent="0.25">
      <c r="A1577" s="5" t="s">
        <v>4727</v>
      </c>
      <c r="B1577" s="9" t="str">
        <f>HYPERLINK("http://biobank.ctsu.ox.ac.uk/crystal/field.cgi?id=25542", "25542")</f>
        <v>25542</v>
      </c>
      <c r="C1577" s="8" t="s">
        <v>4729</v>
      </c>
      <c r="D1577" s="8" t="s">
        <v>10048</v>
      </c>
      <c r="E1577" s="8" t="s">
        <v>11724</v>
      </c>
    </row>
    <row r="1578" spans="1:5" x14ac:dyDescent="0.25">
      <c r="A1578" s="5" t="s">
        <v>4730</v>
      </c>
      <c r="B1578" s="9" t="str">
        <f>HYPERLINK("http://biobank.ctsu.ox.ac.uk/crystal/field.cgi?id=25543", "25543")</f>
        <v>25543</v>
      </c>
      <c r="C1578" s="8" t="s">
        <v>4732</v>
      </c>
      <c r="D1578" s="8" t="s">
        <v>10048</v>
      </c>
      <c r="E1578" s="8" t="s">
        <v>11725</v>
      </c>
    </row>
    <row r="1579" spans="1:5" x14ac:dyDescent="0.25">
      <c r="A1579" s="5" t="s">
        <v>4733</v>
      </c>
      <c r="B1579" s="9" t="str">
        <f>HYPERLINK("http://biobank.ctsu.ox.ac.uk/crystal/field.cgi?id=25544", "25544")</f>
        <v>25544</v>
      </c>
      <c r="C1579" s="8" t="s">
        <v>4735</v>
      </c>
      <c r="D1579" s="8" t="s">
        <v>10048</v>
      </c>
      <c r="E1579" s="8" t="s">
        <v>11726</v>
      </c>
    </row>
    <row r="1580" spans="1:5" x14ac:dyDescent="0.25">
      <c r="A1580" s="5" t="s">
        <v>4736</v>
      </c>
      <c r="B1580" s="9" t="str">
        <f>HYPERLINK("http://biobank.ctsu.ox.ac.uk/crystal/field.cgi?id=25545", "25545")</f>
        <v>25545</v>
      </c>
      <c r="C1580" s="8" t="s">
        <v>4738</v>
      </c>
      <c r="D1580" s="8" t="s">
        <v>10048</v>
      </c>
      <c r="E1580" s="8" t="s">
        <v>11727</v>
      </c>
    </row>
    <row r="1581" spans="1:5" x14ac:dyDescent="0.25">
      <c r="A1581" s="5" t="s">
        <v>4739</v>
      </c>
      <c r="B1581" s="9" t="str">
        <f>HYPERLINK("http://biobank.ctsu.ox.ac.uk/crystal/field.cgi?id=25546", "25546")</f>
        <v>25546</v>
      </c>
      <c r="C1581" s="8" t="s">
        <v>4741</v>
      </c>
      <c r="D1581" s="8" t="s">
        <v>10048</v>
      </c>
      <c r="E1581" s="8" t="s">
        <v>11728</v>
      </c>
    </row>
    <row r="1582" spans="1:5" x14ac:dyDescent="0.25">
      <c r="A1582" s="5" t="s">
        <v>4742</v>
      </c>
      <c r="B1582" s="9" t="str">
        <f>HYPERLINK("http://biobank.ctsu.ox.ac.uk/crystal/field.cgi?id=25547", "25547")</f>
        <v>25547</v>
      </c>
      <c r="C1582" s="8" t="s">
        <v>4744</v>
      </c>
      <c r="D1582" s="8" t="s">
        <v>10048</v>
      </c>
      <c r="E1582" s="8" t="s">
        <v>11729</v>
      </c>
    </row>
    <row r="1583" spans="1:5" x14ac:dyDescent="0.25">
      <c r="A1583" s="5" t="s">
        <v>4745</v>
      </c>
      <c r="B1583" s="9" t="str">
        <f>HYPERLINK("http://biobank.ctsu.ox.ac.uk/crystal/field.cgi?id=25548", "25548")</f>
        <v>25548</v>
      </c>
      <c r="C1583" s="8" t="s">
        <v>4747</v>
      </c>
      <c r="D1583" s="8" t="s">
        <v>10048</v>
      </c>
      <c r="E1583" s="8" t="s">
        <v>11730</v>
      </c>
    </row>
    <row r="1584" spans="1:5" x14ac:dyDescent="0.25">
      <c r="A1584" s="5" t="s">
        <v>4748</v>
      </c>
      <c r="B1584" s="9" t="str">
        <f>HYPERLINK("http://biobank.ctsu.ox.ac.uk/crystal/field.cgi?id=25549", "25549")</f>
        <v>25549</v>
      </c>
      <c r="C1584" s="8" t="s">
        <v>4750</v>
      </c>
      <c r="D1584" s="8" t="s">
        <v>10048</v>
      </c>
      <c r="E1584" s="8" t="s">
        <v>11731</v>
      </c>
    </row>
    <row r="1585" spans="1:5" x14ac:dyDescent="0.25">
      <c r="A1585" s="5" t="s">
        <v>4751</v>
      </c>
      <c r="B1585" s="9" t="str">
        <f>HYPERLINK("http://biobank.ctsu.ox.ac.uk/crystal/field.cgi?id=25550", "25550")</f>
        <v>25550</v>
      </c>
      <c r="C1585" s="8" t="s">
        <v>4753</v>
      </c>
      <c r="D1585" s="8" t="s">
        <v>10048</v>
      </c>
      <c r="E1585" s="8" t="s">
        <v>11732</v>
      </c>
    </row>
    <row r="1586" spans="1:5" x14ac:dyDescent="0.25">
      <c r="A1586" s="5" t="s">
        <v>4754</v>
      </c>
      <c r="B1586" s="9" t="str">
        <f>HYPERLINK("http://biobank.ctsu.ox.ac.uk/crystal/field.cgi?id=25551", "25551")</f>
        <v>25551</v>
      </c>
      <c r="C1586" s="8" t="s">
        <v>4756</v>
      </c>
      <c r="D1586" s="8" t="s">
        <v>10048</v>
      </c>
      <c r="E1586" s="8" t="s">
        <v>11733</v>
      </c>
    </row>
    <row r="1587" spans="1:5" x14ac:dyDescent="0.25">
      <c r="A1587" s="5" t="s">
        <v>4757</v>
      </c>
      <c r="B1587" s="9" t="str">
        <f>HYPERLINK("http://biobank.ctsu.ox.ac.uk/crystal/field.cgi?id=25552", "25552")</f>
        <v>25552</v>
      </c>
      <c r="C1587" s="8" t="s">
        <v>4759</v>
      </c>
      <c r="D1587" s="8" t="s">
        <v>10048</v>
      </c>
      <c r="E1587" s="8" t="s">
        <v>11734</v>
      </c>
    </row>
    <row r="1588" spans="1:5" x14ac:dyDescent="0.25">
      <c r="A1588" s="5" t="s">
        <v>4760</v>
      </c>
      <c r="B1588" s="9" t="str">
        <f>HYPERLINK("http://biobank.ctsu.ox.ac.uk/crystal/field.cgi?id=25553", "25553")</f>
        <v>25553</v>
      </c>
      <c r="C1588" s="8" t="s">
        <v>4762</v>
      </c>
      <c r="D1588" s="8" t="s">
        <v>10048</v>
      </c>
      <c r="E1588" s="8" t="s">
        <v>11735</v>
      </c>
    </row>
    <row r="1589" spans="1:5" x14ac:dyDescent="0.25">
      <c r="A1589" s="5" t="s">
        <v>4763</v>
      </c>
      <c r="B1589" s="9" t="str">
        <f>HYPERLINK("http://biobank.ctsu.ox.ac.uk/crystal/field.cgi?id=25554", "25554")</f>
        <v>25554</v>
      </c>
      <c r="C1589" s="8" t="s">
        <v>4765</v>
      </c>
      <c r="D1589" s="8" t="s">
        <v>10048</v>
      </c>
      <c r="E1589" s="8" t="s">
        <v>11736</v>
      </c>
    </row>
    <row r="1590" spans="1:5" x14ac:dyDescent="0.25">
      <c r="A1590" s="5" t="s">
        <v>4766</v>
      </c>
      <c r="B1590" s="9" t="str">
        <f>HYPERLINK("http://biobank.ctsu.ox.ac.uk/crystal/field.cgi?id=25555", "25555")</f>
        <v>25555</v>
      </c>
      <c r="C1590" s="8" t="s">
        <v>4768</v>
      </c>
      <c r="D1590" s="8" t="s">
        <v>10048</v>
      </c>
      <c r="E1590" s="8" t="s">
        <v>11737</v>
      </c>
    </row>
    <row r="1591" spans="1:5" x14ac:dyDescent="0.25">
      <c r="A1591" s="5" t="s">
        <v>4769</v>
      </c>
      <c r="B1591" s="9" t="str">
        <f>HYPERLINK("http://biobank.ctsu.ox.ac.uk/crystal/field.cgi?id=25556", "25556")</f>
        <v>25556</v>
      </c>
      <c r="C1591" s="8" t="s">
        <v>4771</v>
      </c>
      <c r="D1591" s="8" t="s">
        <v>10048</v>
      </c>
      <c r="E1591" s="8" t="s">
        <v>11738</v>
      </c>
    </row>
    <row r="1592" spans="1:5" x14ac:dyDescent="0.25">
      <c r="A1592" s="5" t="s">
        <v>4772</v>
      </c>
      <c r="B1592" s="9" t="str">
        <f>HYPERLINK("http://biobank.ctsu.ox.ac.uk/crystal/field.cgi?id=25557", "25557")</f>
        <v>25557</v>
      </c>
      <c r="C1592" s="8" t="s">
        <v>4774</v>
      </c>
      <c r="D1592" s="8" t="s">
        <v>10048</v>
      </c>
      <c r="E1592" s="8" t="s">
        <v>11739</v>
      </c>
    </row>
    <row r="1593" spans="1:5" x14ac:dyDescent="0.25">
      <c r="A1593" s="5" t="s">
        <v>4775</v>
      </c>
      <c r="B1593" s="9" t="str">
        <f>HYPERLINK("http://biobank.ctsu.ox.ac.uk/crystal/field.cgi?id=25558", "25558")</f>
        <v>25558</v>
      </c>
      <c r="C1593" s="8" t="s">
        <v>4777</v>
      </c>
      <c r="D1593" s="8" t="s">
        <v>10048</v>
      </c>
      <c r="E1593" s="8" t="s">
        <v>11740</v>
      </c>
    </row>
    <row r="1594" spans="1:5" x14ac:dyDescent="0.25">
      <c r="A1594" s="5" t="s">
        <v>4778</v>
      </c>
      <c r="B1594" s="9" t="str">
        <f>HYPERLINK("http://biobank.ctsu.ox.ac.uk/crystal/field.cgi?id=25559", "25559")</f>
        <v>25559</v>
      </c>
      <c r="C1594" s="8" t="s">
        <v>4780</v>
      </c>
      <c r="D1594" s="8" t="s">
        <v>10048</v>
      </c>
      <c r="E1594" s="8" t="s">
        <v>11741</v>
      </c>
    </row>
    <row r="1595" spans="1:5" x14ac:dyDescent="0.25">
      <c r="A1595" s="5" t="s">
        <v>4781</v>
      </c>
      <c r="B1595" s="9" t="str">
        <f>HYPERLINK("http://biobank.ctsu.ox.ac.uk/crystal/field.cgi?id=25560", "25560")</f>
        <v>25560</v>
      </c>
      <c r="C1595" s="8" t="s">
        <v>4783</v>
      </c>
      <c r="D1595" s="8" t="s">
        <v>10048</v>
      </c>
      <c r="E1595" s="8" t="s">
        <v>11742</v>
      </c>
    </row>
    <row r="1596" spans="1:5" x14ac:dyDescent="0.25">
      <c r="A1596" s="5" t="s">
        <v>4784</v>
      </c>
      <c r="B1596" s="9" t="str">
        <f>HYPERLINK("http://biobank.ctsu.ox.ac.uk/crystal/field.cgi?id=25561", "25561")</f>
        <v>25561</v>
      </c>
      <c r="C1596" s="8" t="s">
        <v>4786</v>
      </c>
      <c r="D1596" s="8" t="s">
        <v>10048</v>
      </c>
      <c r="E1596" s="8" t="s">
        <v>11743</v>
      </c>
    </row>
    <row r="1597" spans="1:5" x14ac:dyDescent="0.25">
      <c r="A1597" s="5" t="s">
        <v>4787</v>
      </c>
      <c r="B1597" s="9" t="str">
        <f>HYPERLINK("http://biobank.ctsu.ox.ac.uk/crystal/field.cgi?id=25562", "25562")</f>
        <v>25562</v>
      </c>
      <c r="C1597" s="8" t="s">
        <v>4789</v>
      </c>
      <c r="D1597" s="8" t="s">
        <v>10048</v>
      </c>
      <c r="E1597" s="8" t="s">
        <v>11744</v>
      </c>
    </row>
    <row r="1598" spans="1:5" x14ac:dyDescent="0.25">
      <c r="A1598" s="5" t="s">
        <v>4790</v>
      </c>
      <c r="B1598" s="9" t="str">
        <f>HYPERLINK("http://biobank.ctsu.ox.ac.uk/crystal/field.cgi?id=25563", "25563")</f>
        <v>25563</v>
      </c>
      <c r="C1598" s="8" t="s">
        <v>4792</v>
      </c>
      <c r="D1598" s="8" t="s">
        <v>10048</v>
      </c>
      <c r="E1598" s="8" t="s">
        <v>11745</v>
      </c>
    </row>
    <row r="1599" spans="1:5" x14ac:dyDescent="0.25">
      <c r="A1599" s="5" t="s">
        <v>4793</v>
      </c>
      <c r="B1599" s="9" t="str">
        <f>HYPERLINK("http://biobank.ctsu.ox.ac.uk/crystal/field.cgi?id=25564", "25564")</f>
        <v>25564</v>
      </c>
      <c r="C1599" s="8" t="s">
        <v>4795</v>
      </c>
      <c r="D1599" s="8" t="s">
        <v>10048</v>
      </c>
      <c r="E1599" s="8" t="s">
        <v>11746</v>
      </c>
    </row>
    <row r="1600" spans="1:5" x14ac:dyDescent="0.25">
      <c r="A1600" s="5" t="s">
        <v>4796</v>
      </c>
      <c r="B1600" s="9" t="str">
        <f>HYPERLINK("http://biobank.ctsu.ox.ac.uk/crystal/field.cgi?id=25565", "25565")</f>
        <v>25565</v>
      </c>
      <c r="C1600" s="8" t="s">
        <v>4798</v>
      </c>
      <c r="D1600" s="8" t="s">
        <v>10048</v>
      </c>
      <c r="E1600" s="8" t="s">
        <v>11747</v>
      </c>
    </row>
    <row r="1601" spans="1:5" x14ac:dyDescent="0.25">
      <c r="A1601" s="5" t="s">
        <v>4799</v>
      </c>
      <c r="B1601" s="9" t="str">
        <f>HYPERLINK("http://biobank.ctsu.ox.ac.uk/crystal/field.cgi?id=25566", "25566")</f>
        <v>25566</v>
      </c>
      <c r="C1601" s="8" t="s">
        <v>4801</v>
      </c>
      <c r="D1601" s="8" t="s">
        <v>10048</v>
      </c>
      <c r="E1601" s="8" t="s">
        <v>11748</v>
      </c>
    </row>
    <row r="1602" spans="1:5" x14ac:dyDescent="0.25">
      <c r="A1602" s="5" t="s">
        <v>4802</v>
      </c>
      <c r="B1602" s="9" t="str">
        <f>HYPERLINK("http://biobank.ctsu.ox.ac.uk/crystal/field.cgi?id=25567", "25567")</f>
        <v>25567</v>
      </c>
      <c r="C1602" s="8" t="s">
        <v>4804</v>
      </c>
      <c r="D1602" s="8" t="s">
        <v>10048</v>
      </c>
      <c r="E1602" s="8" t="s">
        <v>11749</v>
      </c>
    </row>
    <row r="1603" spans="1:5" x14ac:dyDescent="0.25">
      <c r="A1603" s="5" t="s">
        <v>4805</v>
      </c>
      <c r="B1603" s="9" t="str">
        <f>HYPERLINK("http://biobank.ctsu.ox.ac.uk/crystal/field.cgi?id=25568", "25568")</f>
        <v>25568</v>
      </c>
      <c r="C1603" s="8" t="s">
        <v>4807</v>
      </c>
      <c r="D1603" s="8" t="s">
        <v>10048</v>
      </c>
      <c r="E1603" s="8" t="s">
        <v>11750</v>
      </c>
    </row>
    <row r="1604" spans="1:5" x14ac:dyDescent="0.25">
      <c r="A1604" s="5" t="s">
        <v>4808</v>
      </c>
      <c r="B1604" s="9" t="str">
        <f>HYPERLINK("http://biobank.ctsu.ox.ac.uk/crystal/field.cgi?id=25104", "25104")</f>
        <v>25104</v>
      </c>
      <c r="C1604" s="8" t="s">
        <v>4810</v>
      </c>
      <c r="D1604" s="8" t="s">
        <v>10049</v>
      </c>
      <c r="E1604" s="8" t="s">
        <v>11751</v>
      </c>
    </row>
    <row r="1605" spans="1:5" x14ac:dyDescent="0.25">
      <c r="A1605" s="5" t="s">
        <v>4811</v>
      </c>
      <c r="B1605" s="9" t="str">
        <f>HYPERLINK("http://biobank.ctsu.ox.ac.uk/crystal/field.cgi?id=25105", "25105")</f>
        <v>25105</v>
      </c>
      <c r="C1605" s="8" t="s">
        <v>4813</v>
      </c>
      <c r="D1605" s="8" t="s">
        <v>10049</v>
      </c>
      <c r="E1605" s="8" t="s">
        <v>11752</v>
      </c>
    </row>
    <row r="1606" spans="1:5" x14ac:dyDescent="0.25">
      <c r="A1606" s="5" t="s">
        <v>4814</v>
      </c>
      <c r="B1606" s="9" t="str">
        <f>HYPERLINK("http://biobank.ctsu.ox.ac.uk/crystal/field.cgi?id=25106", "25106")</f>
        <v>25106</v>
      </c>
      <c r="C1606" s="8" t="s">
        <v>4816</v>
      </c>
      <c r="D1606" s="8" t="s">
        <v>10049</v>
      </c>
      <c r="E1606" s="8" t="s">
        <v>11753</v>
      </c>
    </row>
    <row r="1607" spans="1:5" x14ac:dyDescent="0.25">
      <c r="A1607" s="5" t="s">
        <v>4817</v>
      </c>
      <c r="B1607" s="9" t="str">
        <f>HYPERLINK("http://biobank.ctsu.ox.ac.uk/crystal/field.cgi?id=25107", "25107")</f>
        <v>25107</v>
      </c>
      <c r="C1607" s="8" t="s">
        <v>4819</v>
      </c>
      <c r="D1607" s="8" t="s">
        <v>10049</v>
      </c>
      <c r="E1607" s="8" t="s">
        <v>11754</v>
      </c>
    </row>
    <row r="1608" spans="1:5" x14ac:dyDescent="0.25">
      <c r="A1608" s="5" t="s">
        <v>4820</v>
      </c>
      <c r="B1608" s="9" t="str">
        <f>HYPERLINK("http://biobank.ctsu.ox.ac.uk/crystal/field.cgi?id=25108", "25108")</f>
        <v>25108</v>
      </c>
      <c r="C1608" s="8" t="s">
        <v>4822</v>
      </c>
      <c r="D1608" s="8" t="s">
        <v>10049</v>
      </c>
      <c r="E1608" s="8" t="s">
        <v>11755</v>
      </c>
    </row>
    <row r="1609" spans="1:5" x14ac:dyDescent="0.25">
      <c r="A1609" s="5" t="s">
        <v>4823</v>
      </c>
      <c r="B1609" s="9" t="str">
        <f>HYPERLINK("http://biobank.ctsu.ox.ac.uk/crystal/field.cgi?id=25109", "25109")</f>
        <v>25109</v>
      </c>
      <c r="C1609" s="8" t="s">
        <v>4825</v>
      </c>
      <c r="D1609" s="8" t="s">
        <v>10049</v>
      </c>
      <c r="E1609" s="8" t="s">
        <v>11756</v>
      </c>
    </row>
    <row r="1610" spans="1:5" x14ac:dyDescent="0.25">
      <c r="A1610" s="5" t="s">
        <v>4826</v>
      </c>
      <c r="B1610" s="9" t="str">
        <f>HYPERLINK("http://biobank.ctsu.ox.ac.uk/crystal/field.cgi?id=25110", "25110")</f>
        <v>25110</v>
      </c>
      <c r="C1610" s="8" t="s">
        <v>4828</v>
      </c>
      <c r="D1610" s="8" t="s">
        <v>10049</v>
      </c>
      <c r="E1610" s="8" t="s">
        <v>11757</v>
      </c>
    </row>
    <row r="1611" spans="1:5" x14ac:dyDescent="0.25">
      <c r="A1611" s="5" t="s">
        <v>4829</v>
      </c>
      <c r="B1611" s="9" t="str">
        <f>HYPERLINK("http://biobank.ctsu.ox.ac.uk/crystal/field.cgi?id=25111", "25111")</f>
        <v>25111</v>
      </c>
      <c r="C1611" s="8" t="s">
        <v>4831</v>
      </c>
      <c r="D1611" s="8" t="s">
        <v>10049</v>
      </c>
      <c r="E1611" s="8" t="s">
        <v>11758</v>
      </c>
    </row>
    <row r="1612" spans="1:5" x14ac:dyDescent="0.25">
      <c r="A1612" s="5" t="s">
        <v>4832</v>
      </c>
      <c r="B1612" s="9" t="str">
        <f>HYPERLINK("http://biobank.ctsu.ox.ac.uk/crystal/field.cgi?id=25112", "25112")</f>
        <v>25112</v>
      </c>
      <c r="C1612" s="8" t="s">
        <v>4834</v>
      </c>
      <c r="D1612" s="8" t="s">
        <v>10049</v>
      </c>
      <c r="E1612" s="8" t="s">
        <v>11759</v>
      </c>
    </row>
    <row r="1613" spans="1:5" x14ac:dyDescent="0.25">
      <c r="A1613" s="5" t="s">
        <v>4835</v>
      </c>
      <c r="B1613" s="9" t="str">
        <f>HYPERLINK("http://biobank.ctsu.ox.ac.uk/crystal/field.cgi?id=25113", "25113")</f>
        <v>25113</v>
      </c>
      <c r="C1613" s="8" t="s">
        <v>4837</v>
      </c>
      <c r="D1613" s="8" t="s">
        <v>10049</v>
      </c>
      <c r="E1613" s="8" t="s">
        <v>11760</v>
      </c>
    </row>
    <row r="1614" spans="1:5" x14ac:dyDescent="0.25">
      <c r="A1614" s="5" t="s">
        <v>4838</v>
      </c>
      <c r="B1614" s="9" t="str">
        <f>HYPERLINK("http://biobank.ctsu.ox.ac.uk/crystal/field.cgi?id=25114", "25114")</f>
        <v>25114</v>
      </c>
      <c r="C1614" s="8" t="s">
        <v>4840</v>
      </c>
      <c r="D1614" s="8" t="s">
        <v>10049</v>
      </c>
      <c r="E1614" s="8" t="s">
        <v>11761</v>
      </c>
    </row>
    <row r="1615" spans="1:5" x14ac:dyDescent="0.25">
      <c r="A1615" s="5" t="s">
        <v>4841</v>
      </c>
      <c r="B1615" s="9" t="str">
        <f>HYPERLINK("http://biobank.ctsu.ox.ac.uk/crystal/field.cgi?id=25115", "25115")</f>
        <v>25115</v>
      </c>
      <c r="C1615" s="8" t="s">
        <v>4843</v>
      </c>
      <c r="D1615" s="8" t="s">
        <v>10049</v>
      </c>
      <c r="E1615" s="8" t="s">
        <v>11762</v>
      </c>
    </row>
    <row r="1616" spans="1:5" x14ac:dyDescent="0.25">
      <c r="A1616" s="5" t="s">
        <v>4844</v>
      </c>
      <c r="B1616" s="9" t="str">
        <f>HYPERLINK("http://biobank.ctsu.ox.ac.uk/crystal/field.cgi?id=25116", "25116")</f>
        <v>25116</v>
      </c>
      <c r="C1616" s="8" t="s">
        <v>4846</v>
      </c>
      <c r="D1616" s="8" t="s">
        <v>10049</v>
      </c>
      <c r="E1616" s="8" t="s">
        <v>11763</v>
      </c>
    </row>
    <row r="1617" spans="1:5" x14ac:dyDescent="0.25">
      <c r="A1617" s="5" t="s">
        <v>4847</v>
      </c>
      <c r="B1617" s="9" t="str">
        <f>HYPERLINK("http://biobank.ctsu.ox.ac.uk/crystal/field.cgi?id=25117", "25117")</f>
        <v>25117</v>
      </c>
      <c r="C1617" s="8" t="s">
        <v>4849</v>
      </c>
      <c r="D1617" s="8" t="s">
        <v>10049</v>
      </c>
      <c r="E1617" s="8" t="s">
        <v>11764</v>
      </c>
    </row>
    <row r="1618" spans="1:5" x14ac:dyDescent="0.25">
      <c r="A1618" s="5" t="s">
        <v>4850</v>
      </c>
      <c r="B1618" s="9" t="str">
        <f>HYPERLINK("http://biobank.ctsu.ox.ac.uk/crystal/field.cgi?id=25118", "25118")</f>
        <v>25118</v>
      </c>
      <c r="C1618" s="8" t="s">
        <v>4852</v>
      </c>
      <c r="D1618" s="8" t="s">
        <v>10049</v>
      </c>
      <c r="E1618" s="8" t="s">
        <v>11765</v>
      </c>
    </row>
    <row r="1619" spans="1:5" x14ac:dyDescent="0.25">
      <c r="A1619" s="5" t="s">
        <v>4853</v>
      </c>
      <c r="B1619" s="9" t="str">
        <f>HYPERLINK("http://biobank.ctsu.ox.ac.uk/crystal/field.cgi?id=25119", "25119")</f>
        <v>25119</v>
      </c>
      <c r="C1619" s="8" t="s">
        <v>4855</v>
      </c>
      <c r="D1619" s="8" t="s">
        <v>10049</v>
      </c>
      <c r="E1619" s="8" t="s">
        <v>11766</v>
      </c>
    </row>
    <row r="1620" spans="1:5" x14ac:dyDescent="0.25">
      <c r="A1620" s="5" t="s">
        <v>4856</v>
      </c>
      <c r="B1620" s="9" t="str">
        <f>HYPERLINK("http://biobank.ctsu.ox.ac.uk/crystal/field.cgi?id=25120", "25120")</f>
        <v>25120</v>
      </c>
      <c r="C1620" s="8" t="s">
        <v>4858</v>
      </c>
      <c r="D1620" s="8" t="s">
        <v>10049</v>
      </c>
      <c r="E1620" s="8" t="s">
        <v>11767</v>
      </c>
    </row>
    <row r="1621" spans="1:5" x14ac:dyDescent="0.25">
      <c r="A1621" s="5" t="s">
        <v>4859</v>
      </c>
      <c r="B1621" s="9" t="str">
        <f>HYPERLINK("http://biobank.ctsu.ox.ac.uk/crystal/field.cgi?id=25121", "25121")</f>
        <v>25121</v>
      </c>
      <c r="C1621" s="8" t="s">
        <v>4861</v>
      </c>
      <c r="D1621" s="8" t="s">
        <v>10049</v>
      </c>
      <c r="E1621" s="8" t="s">
        <v>11768</v>
      </c>
    </row>
    <row r="1622" spans="1:5" x14ac:dyDescent="0.25">
      <c r="A1622" s="5" t="s">
        <v>4862</v>
      </c>
      <c r="B1622" s="9" t="str">
        <f>HYPERLINK("http://biobank.ctsu.ox.ac.uk/crystal/field.cgi?id=25122", "25122")</f>
        <v>25122</v>
      </c>
      <c r="C1622" s="8" t="s">
        <v>4864</v>
      </c>
      <c r="D1622" s="8" t="s">
        <v>10049</v>
      </c>
      <c r="E1622" s="8" t="s">
        <v>11769</v>
      </c>
    </row>
    <row r="1623" spans="1:5" x14ac:dyDescent="0.25">
      <c r="A1623" s="5" t="s">
        <v>4865</v>
      </c>
      <c r="B1623" s="9" t="str">
        <f>HYPERLINK("http://biobank.ctsu.ox.ac.uk/crystal/field.cgi?id=25123", "25123")</f>
        <v>25123</v>
      </c>
      <c r="C1623" s="8" t="s">
        <v>4867</v>
      </c>
      <c r="D1623" s="8" t="s">
        <v>10049</v>
      </c>
      <c r="E1623" s="8" t="s">
        <v>11770</v>
      </c>
    </row>
    <row r="1624" spans="1:5" x14ac:dyDescent="0.25">
      <c r="A1624" s="5" t="s">
        <v>4868</v>
      </c>
      <c r="B1624" s="9" t="str">
        <f>HYPERLINK("http://biobank.ctsu.ox.ac.uk/crystal/field.cgi?id=25124", "25124")</f>
        <v>25124</v>
      </c>
      <c r="C1624" s="8" t="s">
        <v>4870</v>
      </c>
      <c r="D1624" s="8" t="s">
        <v>10049</v>
      </c>
      <c r="E1624" s="8" t="s">
        <v>11771</v>
      </c>
    </row>
    <row r="1625" spans="1:5" x14ac:dyDescent="0.25">
      <c r="A1625" s="5" t="s">
        <v>4871</v>
      </c>
      <c r="B1625" s="9" t="str">
        <f>HYPERLINK("http://biobank.ctsu.ox.ac.uk/crystal/field.cgi?id=25125", "25125")</f>
        <v>25125</v>
      </c>
      <c r="C1625" s="8" t="s">
        <v>4873</v>
      </c>
      <c r="D1625" s="8" t="s">
        <v>10049</v>
      </c>
      <c r="E1625" s="8" t="s">
        <v>11772</v>
      </c>
    </row>
    <row r="1626" spans="1:5" x14ac:dyDescent="0.25">
      <c r="A1626" s="5" t="s">
        <v>4874</v>
      </c>
      <c r="B1626" s="9" t="str">
        <f>HYPERLINK("http://biobank.ctsu.ox.ac.uk/crystal/field.cgi?id=25126", "25126")</f>
        <v>25126</v>
      </c>
      <c r="C1626" s="8" t="s">
        <v>4876</v>
      </c>
      <c r="D1626" s="8" t="s">
        <v>10049</v>
      </c>
      <c r="E1626" s="8" t="s">
        <v>11773</v>
      </c>
    </row>
    <row r="1627" spans="1:5" x14ac:dyDescent="0.25">
      <c r="A1627" s="5" t="s">
        <v>4877</v>
      </c>
      <c r="B1627" s="9" t="str">
        <f>HYPERLINK("http://biobank.ctsu.ox.ac.uk/crystal/field.cgi?id=25127", "25127")</f>
        <v>25127</v>
      </c>
      <c r="C1627" s="8" t="s">
        <v>4879</v>
      </c>
      <c r="D1627" s="8" t="s">
        <v>10049</v>
      </c>
      <c r="E1627" s="8" t="s">
        <v>11774</v>
      </c>
    </row>
    <row r="1628" spans="1:5" x14ac:dyDescent="0.25">
      <c r="A1628" s="5" t="s">
        <v>4880</v>
      </c>
      <c r="B1628" s="9" t="str">
        <f>HYPERLINK("http://biobank.ctsu.ox.ac.uk/crystal/field.cgi?id=25128", "25128")</f>
        <v>25128</v>
      </c>
      <c r="C1628" s="8" t="s">
        <v>4882</v>
      </c>
      <c r="D1628" s="8" t="s">
        <v>10049</v>
      </c>
      <c r="E1628" s="8" t="s">
        <v>11775</v>
      </c>
    </row>
    <row r="1629" spans="1:5" x14ac:dyDescent="0.25">
      <c r="A1629" s="5" t="s">
        <v>4883</v>
      </c>
      <c r="B1629" s="9" t="str">
        <f>HYPERLINK("http://biobank.ctsu.ox.ac.uk/crystal/field.cgi?id=25129", "25129")</f>
        <v>25129</v>
      </c>
      <c r="C1629" s="8" t="s">
        <v>4885</v>
      </c>
      <c r="D1629" s="8" t="s">
        <v>10049</v>
      </c>
      <c r="E1629" s="8" t="s">
        <v>11776</v>
      </c>
    </row>
    <row r="1630" spans="1:5" x14ac:dyDescent="0.25">
      <c r="A1630" s="5" t="s">
        <v>4886</v>
      </c>
      <c r="B1630" s="9" t="str">
        <f>HYPERLINK("http://biobank.ctsu.ox.ac.uk/crystal/field.cgi?id=25130", "25130")</f>
        <v>25130</v>
      </c>
      <c r="C1630" s="8" t="s">
        <v>4888</v>
      </c>
      <c r="D1630" s="8" t="s">
        <v>10049</v>
      </c>
      <c r="E1630" s="8" t="s">
        <v>11777</v>
      </c>
    </row>
    <row r="1631" spans="1:5" x14ac:dyDescent="0.25">
      <c r="A1631" s="5" t="s">
        <v>4889</v>
      </c>
      <c r="B1631" s="9" t="str">
        <f>HYPERLINK("http://biobank.ctsu.ox.ac.uk/crystal/field.cgi?id=25131", "25131")</f>
        <v>25131</v>
      </c>
      <c r="C1631" s="8" t="s">
        <v>4891</v>
      </c>
      <c r="D1631" s="8" t="s">
        <v>10049</v>
      </c>
      <c r="E1631" s="8" t="s">
        <v>11778</v>
      </c>
    </row>
    <row r="1632" spans="1:5" x14ac:dyDescent="0.25">
      <c r="A1632" s="5" t="s">
        <v>4892</v>
      </c>
      <c r="B1632" s="9" t="str">
        <f>HYPERLINK("http://biobank.ctsu.ox.ac.uk/crystal/field.cgi?id=25132", "25132")</f>
        <v>25132</v>
      </c>
      <c r="C1632" s="8" t="s">
        <v>4894</v>
      </c>
      <c r="D1632" s="8" t="s">
        <v>10049</v>
      </c>
      <c r="E1632" s="8" t="s">
        <v>11779</v>
      </c>
    </row>
    <row r="1633" spans="1:5" x14ac:dyDescent="0.25">
      <c r="A1633" s="5" t="s">
        <v>4895</v>
      </c>
      <c r="B1633" s="9" t="str">
        <f>HYPERLINK("http://biobank.ctsu.ox.ac.uk/crystal/field.cgi?id=25133", "25133")</f>
        <v>25133</v>
      </c>
      <c r="C1633" s="8" t="s">
        <v>4897</v>
      </c>
      <c r="D1633" s="8" t="s">
        <v>10049</v>
      </c>
      <c r="E1633" s="8" t="s">
        <v>11780</v>
      </c>
    </row>
    <row r="1634" spans="1:5" x14ac:dyDescent="0.25">
      <c r="A1634" s="5" t="s">
        <v>4898</v>
      </c>
      <c r="B1634" s="9" t="str">
        <f>HYPERLINK("http://biobank.ctsu.ox.ac.uk/crystal/field.cgi?id=25134", "25134")</f>
        <v>25134</v>
      </c>
      <c r="C1634" s="8" t="s">
        <v>4900</v>
      </c>
      <c r="D1634" s="8" t="s">
        <v>10049</v>
      </c>
      <c r="E1634" s="8" t="s">
        <v>11781</v>
      </c>
    </row>
    <row r="1635" spans="1:5" x14ac:dyDescent="0.25">
      <c r="A1635" s="5" t="s">
        <v>4901</v>
      </c>
      <c r="B1635" s="9" t="str">
        <f>HYPERLINK("http://biobank.ctsu.ox.ac.uk/crystal/field.cgi?id=25135", "25135")</f>
        <v>25135</v>
      </c>
      <c r="C1635" s="8" t="s">
        <v>4903</v>
      </c>
      <c r="D1635" s="8" t="s">
        <v>10049</v>
      </c>
      <c r="E1635" s="8" t="s">
        <v>11782</v>
      </c>
    </row>
    <row r="1636" spans="1:5" x14ac:dyDescent="0.25">
      <c r="A1636" s="5" t="s">
        <v>4904</v>
      </c>
      <c r="B1636" s="9" t="str">
        <f>HYPERLINK("http://biobank.ctsu.ox.ac.uk/crystal/field.cgi?id=25136", "25136")</f>
        <v>25136</v>
      </c>
      <c r="C1636" s="8" t="s">
        <v>4906</v>
      </c>
      <c r="D1636" s="8" t="s">
        <v>10049</v>
      </c>
      <c r="E1636" s="8" t="s">
        <v>11783</v>
      </c>
    </row>
    <row r="1637" spans="1:5" x14ac:dyDescent="0.25">
      <c r="A1637" s="5" t="s">
        <v>4907</v>
      </c>
      <c r="B1637" s="9" t="str">
        <f>HYPERLINK("http://biobank.ctsu.ox.ac.uk/crystal/field.cgi?id=25137", "25137")</f>
        <v>25137</v>
      </c>
      <c r="C1637" s="8" t="s">
        <v>4909</v>
      </c>
      <c r="D1637" s="8" t="s">
        <v>10049</v>
      </c>
      <c r="E1637" s="8" t="s">
        <v>11784</v>
      </c>
    </row>
    <row r="1638" spans="1:5" x14ac:dyDescent="0.25">
      <c r="A1638" s="5" t="s">
        <v>4910</v>
      </c>
      <c r="B1638" s="9" t="str">
        <f>HYPERLINK("http://biobank.ctsu.ox.ac.uk/crystal/field.cgi?id=25138", "25138")</f>
        <v>25138</v>
      </c>
      <c r="C1638" s="8" t="s">
        <v>4912</v>
      </c>
      <c r="D1638" s="8" t="s">
        <v>10049</v>
      </c>
      <c r="E1638" s="8" t="s">
        <v>11785</v>
      </c>
    </row>
    <row r="1639" spans="1:5" x14ac:dyDescent="0.25">
      <c r="A1639" s="5" t="s">
        <v>4913</v>
      </c>
      <c r="B1639" s="9" t="str">
        <f>HYPERLINK("http://biobank.ctsu.ox.ac.uk/crystal/field.cgi?id=25139", "25139")</f>
        <v>25139</v>
      </c>
      <c r="C1639" s="8" t="s">
        <v>4915</v>
      </c>
      <c r="D1639" s="8" t="s">
        <v>10049</v>
      </c>
      <c r="E1639" s="8" t="s">
        <v>11786</v>
      </c>
    </row>
    <row r="1640" spans="1:5" x14ac:dyDescent="0.25">
      <c r="A1640" s="5" t="s">
        <v>4916</v>
      </c>
      <c r="B1640" s="9" t="str">
        <f>HYPERLINK("http://biobank.ctsu.ox.ac.uk/crystal/field.cgi?id=25140", "25140")</f>
        <v>25140</v>
      </c>
      <c r="C1640" s="8" t="s">
        <v>4918</v>
      </c>
      <c r="D1640" s="8" t="s">
        <v>10049</v>
      </c>
      <c r="E1640" s="8" t="s">
        <v>11787</v>
      </c>
    </row>
    <row r="1641" spans="1:5" x14ac:dyDescent="0.25">
      <c r="A1641" s="5" t="s">
        <v>4919</v>
      </c>
      <c r="B1641" s="9" t="str">
        <f>HYPERLINK("http://biobank.ctsu.ox.ac.uk/crystal/field.cgi?id=25141", "25141")</f>
        <v>25141</v>
      </c>
      <c r="C1641" s="8" t="s">
        <v>4921</v>
      </c>
      <c r="D1641" s="8" t="s">
        <v>10049</v>
      </c>
      <c r="E1641" s="8" t="s">
        <v>11788</v>
      </c>
    </row>
    <row r="1642" spans="1:5" x14ac:dyDescent="0.25">
      <c r="A1642" s="5" t="s">
        <v>4922</v>
      </c>
      <c r="B1642" s="9" t="str">
        <f>HYPERLINK("http://biobank.ctsu.ox.ac.uk/crystal/field.cgi?id=25142", "25142")</f>
        <v>25142</v>
      </c>
      <c r="C1642" s="8" t="s">
        <v>4924</v>
      </c>
      <c r="D1642" s="8" t="s">
        <v>10049</v>
      </c>
      <c r="E1642" s="8" t="s">
        <v>11789</v>
      </c>
    </row>
    <row r="1643" spans="1:5" x14ac:dyDescent="0.25">
      <c r="A1643" s="5" t="s">
        <v>4925</v>
      </c>
      <c r="B1643" s="9" t="str">
        <f>HYPERLINK("http://biobank.ctsu.ox.ac.uk/crystal/field.cgi?id=25143", "25143")</f>
        <v>25143</v>
      </c>
      <c r="C1643" s="8" t="s">
        <v>4927</v>
      </c>
      <c r="D1643" s="8" t="s">
        <v>10049</v>
      </c>
      <c r="E1643" s="8" t="s">
        <v>11790</v>
      </c>
    </row>
    <row r="1644" spans="1:5" x14ac:dyDescent="0.25">
      <c r="A1644" s="5" t="s">
        <v>4928</v>
      </c>
      <c r="B1644" s="9" t="str">
        <f>HYPERLINK("http://biobank.ctsu.ox.ac.uk/crystal/field.cgi?id=25144", "25144")</f>
        <v>25144</v>
      </c>
      <c r="C1644" s="8" t="s">
        <v>4930</v>
      </c>
      <c r="D1644" s="8" t="s">
        <v>10049</v>
      </c>
      <c r="E1644" s="8" t="s">
        <v>11791</v>
      </c>
    </row>
    <row r="1645" spans="1:5" x14ac:dyDescent="0.25">
      <c r="A1645" s="5" t="s">
        <v>4931</v>
      </c>
      <c r="B1645" s="9" t="str">
        <f>HYPERLINK("http://biobank.ctsu.ox.ac.uk/crystal/field.cgi?id=25145", "25145")</f>
        <v>25145</v>
      </c>
      <c r="C1645" s="8" t="s">
        <v>4933</v>
      </c>
      <c r="D1645" s="8" t="s">
        <v>10049</v>
      </c>
      <c r="E1645" s="8" t="s">
        <v>11792</v>
      </c>
    </row>
    <row r="1646" spans="1:5" x14ac:dyDescent="0.25">
      <c r="A1646" s="5" t="s">
        <v>4934</v>
      </c>
      <c r="B1646" s="9" t="str">
        <f>HYPERLINK("http://biobank.ctsu.ox.ac.uk/crystal/field.cgi?id=25146", "25146")</f>
        <v>25146</v>
      </c>
      <c r="C1646" s="8" t="s">
        <v>4936</v>
      </c>
      <c r="D1646" s="8" t="s">
        <v>10049</v>
      </c>
      <c r="E1646" s="8" t="s">
        <v>11793</v>
      </c>
    </row>
    <row r="1647" spans="1:5" x14ac:dyDescent="0.25">
      <c r="A1647" s="5" t="s">
        <v>4937</v>
      </c>
      <c r="B1647" s="9" t="str">
        <f>HYPERLINK("http://biobank.ctsu.ox.ac.uk/crystal/field.cgi?id=25147", "25147")</f>
        <v>25147</v>
      </c>
      <c r="C1647" s="8" t="s">
        <v>4939</v>
      </c>
      <c r="D1647" s="8" t="s">
        <v>10049</v>
      </c>
      <c r="E1647" s="8" t="s">
        <v>11794</v>
      </c>
    </row>
    <row r="1648" spans="1:5" x14ac:dyDescent="0.25">
      <c r="A1648" s="5" t="s">
        <v>4940</v>
      </c>
      <c r="B1648" s="9" t="str">
        <f>HYPERLINK("http://biobank.ctsu.ox.ac.uk/crystal/field.cgi?id=25148", "25148")</f>
        <v>25148</v>
      </c>
      <c r="C1648" s="8" t="s">
        <v>4942</v>
      </c>
      <c r="D1648" s="8" t="s">
        <v>10049</v>
      </c>
      <c r="E1648" s="8" t="s">
        <v>11795</v>
      </c>
    </row>
    <row r="1649" spans="1:5" x14ac:dyDescent="0.25">
      <c r="A1649" s="5" t="s">
        <v>4943</v>
      </c>
      <c r="B1649" s="9" t="str">
        <f>HYPERLINK("http://biobank.ctsu.ox.ac.uk/crystal/field.cgi?id=25149", "25149")</f>
        <v>25149</v>
      </c>
      <c r="C1649" s="8" t="s">
        <v>4945</v>
      </c>
      <c r="D1649" s="8" t="s">
        <v>10049</v>
      </c>
      <c r="E1649" s="8" t="s">
        <v>11796</v>
      </c>
    </row>
    <row r="1650" spans="1:5" x14ac:dyDescent="0.25">
      <c r="A1650" s="5" t="s">
        <v>4946</v>
      </c>
      <c r="B1650" s="9" t="str">
        <f>HYPERLINK("http://biobank.ctsu.ox.ac.uk/crystal/field.cgi?id=25150", "25150")</f>
        <v>25150</v>
      </c>
      <c r="C1650" s="8" t="s">
        <v>4948</v>
      </c>
      <c r="D1650" s="8" t="s">
        <v>10049</v>
      </c>
      <c r="E1650" s="8" t="s">
        <v>11797</v>
      </c>
    </row>
    <row r="1651" spans="1:5" x14ac:dyDescent="0.25">
      <c r="A1651" s="5" t="s">
        <v>4949</v>
      </c>
      <c r="B1651" s="9" t="str">
        <f>HYPERLINK("http://biobank.ctsu.ox.ac.uk/crystal/field.cgi?id=25151", "25151")</f>
        <v>25151</v>
      </c>
      <c r="C1651" s="8" t="s">
        <v>4951</v>
      </c>
      <c r="D1651" s="8" t="s">
        <v>10049</v>
      </c>
      <c r="E1651" s="8" t="s">
        <v>11798</v>
      </c>
    </row>
    <row r="1652" spans="1:5" x14ac:dyDescent="0.25">
      <c r="A1652" s="5" t="s">
        <v>4952</v>
      </c>
      <c r="B1652" s="9" t="str">
        <f>HYPERLINK("http://biobank.ctsu.ox.ac.uk/crystal/field.cgi?id=25200", "25200")</f>
        <v>25200</v>
      </c>
      <c r="C1652" s="8" t="s">
        <v>4954</v>
      </c>
      <c r="D1652" s="8" t="s">
        <v>10049</v>
      </c>
      <c r="E1652" s="8" t="s">
        <v>11799</v>
      </c>
    </row>
    <row r="1653" spans="1:5" x14ac:dyDescent="0.25">
      <c r="A1653" s="5" t="s">
        <v>4955</v>
      </c>
      <c r="B1653" s="9" t="str">
        <f>HYPERLINK("http://biobank.ctsu.ox.ac.uk/crystal/field.cgi?id=25201", "25201")</f>
        <v>25201</v>
      </c>
      <c r="C1653" s="8" t="s">
        <v>4957</v>
      </c>
      <c r="D1653" s="8" t="s">
        <v>10049</v>
      </c>
      <c r="E1653" s="8" t="s">
        <v>11800</v>
      </c>
    </row>
    <row r="1654" spans="1:5" x14ac:dyDescent="0.25">
      <c r="A1654" s="5" t="s">
        <v>4958</v>
      </c>
      <c r="B1654" s="9" t="str">
        <f>HYPERLINK("http://biobank.ctsu.ox.ac.uk/crystal/field.cgi?id=25202", "25202")</f>
        <v>25202</v>
      </c>
      <c r="C1654" s="8" t="s">
        <v>4960</v>
      </c>
      <c r="D1654" s="8" t="s">
        <v>10049</v>
      </c>
      <c r="E1654" s="8" t="s">
        <v>11801</v>
      </c>
    </row>
    <row r="1655" spans="1:5" x14ac:dyDescent="0.25">
      <c r="A1655" s="5" t="s">
        <v>4961</v>
      </c>
      <c r="B1655" s="9" t="str">
        <f>HYPERLINK("http://biobank.ctsu.ox.ac.uk/crystal/field.cgi?id=25203", "25203")</f>
        <v>25203</v>
      </c>
      <c r="C1655" s="8" t="s">
        <v>4963</v>
      </c>
      <c r="D1655" s="8" t="s">
        <v>10049</v>
      </c>
      <c r="E1655" s="8" t="s">
        <v>11802</v>
      </c>
    </row>
    <row r="1656" spans="1:5" x14ac:dyDescent="0.25">
      <c r="A1656" s="5" t="s">
        <v>4964</v>
      </c>
      <c r="B1656" s="9" t="str">
        <f>HYPERLINK("http://biobank.ctsu.ox.ac.uk/crystal/field.cgi?id=25204", "25204")</f>
        <v>25204</v>
      </c>
      <c r="C1656" s="8" t="s">
        <v>4966</v>
      </c>
      <c r="D1656" s="8" t="s">
        <v>10049</v>
      </c>
      <c r="E1656" s="8" t="s">
        <v>11803</v>
      </c>
    </row>
    <row r="1657" spans="1:5" x14ac:dyDescent="0.25">
      <c r="A1657" s="5" t="s">
        <v>4967</v>
      </c>
      <c r="B1657" s="9" t="str">
        <f>HYPERLINK("http://biobank.ctsu.ox.ac.uk/crystal/field.cgi?id=25205", "25205")</f>
        <v>25205</v>
      </c>
      <c r="C1657" s="8" t="s">
        <v>4969</v>
      </c>
      <c r="D1657" s="8" t="s">
        <v>10049</v>
      </c>
      <c r="E1657" s="8" t="s">
        <v>11804</v>
      </c>
    </row>
    <row r="1658" spans="1:5" x14ac:dyDescent="0.25">
      <c r="A1658" s="5" t="s">
        <v>4970</v>
      </c>
      <c r="B1658" s="9" t="str">
        <f>HYPERLINK("http://biobank.ctsu.ox.ac.uk/crystal/field.cgi?id=25206", "25206")</f>
        <v>25206</v>
      </c>
      <c r="C1658" s="8" t="s">
        <v>4972</v>
      </c>
      <c r="D1658" s="8" t="s">
        <v>10049</v>
      </c>
      <c r="E1658" s="8" t="s">
        <v>11805</v>
      </c>
    </row>
    <row r="1659" spans="1:5" x14ac:dyDescent="0.25">
      <c r="A1659" s="5" t="s">
        <v>4973</v>
      </c>
      <c r="B1659" s="9" t="str">
        <f>HYPERLINK("http://biobank.ctsu.ox.ac.uk/crystal/field.cgi?id=25207", "25207")</f>
        <v>25207</v>
      </c>
      <c r="C1659" s="8" t="s">
        <v>4975</v>
      </c>
      <c r="D1659" s="8" t="s">
        <v>10049</v>
      </c>
      <c r="E1659" s="8" t="s">
        <v>11806</v>
      </c>
    </row>
    <row r="1660" spans="1:5" x14ac:dyDescent="0.25">
      <c r="A1660" s="5" t="s">
        <v>4976</v>
      </c>
      <c r="B1660" s="9" t="str">
        <f>HYPERLINK("http://biobank.ctsu.ox.ac.uk/crystal/field.cgi?id=25208", "25208")</f>
        <v>25208</v>
      </c>
      <c r="C1660" s="8" t="s">
        <v>4978</v>
      </c>
      <c r="D1660" s="8" t="s">
        <v>10049</v>
      </c>
      <c r="E1660" s="8" t="s">
        <v>11807</v>
      </c>
    </row>
    <row r="1661" spans="1:5" x14ac:dyDescent="0.25">
      <c r="A1661" s="5" t="s">
        <v>4979</v>
      </c>
      <c r="B1661" s="9" t="str">
        <f>HYPERLINK("http://biobank.ctsu.ox.ac.uk/crystal/field.cgi?id=25209", "25209")</f>
        <v>25209</v>
      </c>
      <c r="C1661" s="8" t="s">
        <v>4981</v>
      </c>
      <c r="D1661" s="8" t="s">
        <v>10049</v>
      </c>
      <c r="E1661" s="8" t="s">
        <v>11808</v>
      </c>
    </row>
    <row r="1662" spans="1:5" x14ac:dyDescent="0.25">
      <c r="A1662" s="5" t="s">
        <v>4982</v>
      </c>
      <c r="B1662" s="9" t="str">
        <f>HYPERLINK("http://biobank.ctsu.ox.ac.uk/crystal/field.cgi?id=25210", "25210")</f>
        <v>25210</v>
      </c>
      <c r="C1662" s="8" t="s">
        <v>4984</v>
      </c>
      <c r="D1662" s="8" t="s">
        <v>10049</v>
      </c>
      <c r="E1662" s="8" t="s">
        <v>11809</v>
      </c>
    </row>
    <row r="1663" spans="1:5" x14ac:dyDescent="0.25">
      <c r="A1663" s="5" t="s">
        <v>4985</v>
      </c>
      <c r="B1663" s="9" t="str">
        <f>HYPERLINK("http://biobank.ctsu.ox.ac.uk/crystal/field.cgi?id=25211", "25211")</f>
        <v>25211</v>
      </c>
      <c r="C1663" s="8" t="s">
        <v>4987</v>
      </c>
      <c r="D1663" s="8" t="s">
        <v>10049</v>
      </c>
      <c r="E1663" s="8" t="s">
        <v>11810</v>
      </c>
    </row>
    <row r="1664" spans="1:5" x14ac:dyDescent="0.25">
      <c r="A1664" s="5" t="s">
        <v>4988</v>
      </c>
      <c r="B1664" s="9" t="str">
        <f>HYPERLINK("http://biobank.ctsu.ox.ac.uk/crystal/field.cgi?id=25212", "25212")</f>
        <v>25212</v>
      </c>
      <c r="C1664" s="8" t="s">
        <v>4990</v>
      </c>
      <c r="D1664" s="8" t="s">
        <v>10049</v>
      </c>
      <c r="E1664" s="8" t="s">
        <v>11811</v>
      </c>
    </row>
    <row r="1665" spans="1:5" x14ac:dyDescent="0.25">
      <c r="A1665" s="5" t="s">
        <v>4991</v>
      </c>
      <c r="B1665" s="9" t="str">
        <f>HYPERLINK("http://biobank.ctsu.ox.ac.uk/crystal/field.cgi?id=25213", "25213")</f>
        <v>25213</v>
      </c>
      <c r="C1665" s="8" t="s">
        <v>4993</v>
      </c>
      <c r="D1665" s="8" t="s">
        <v>10049</v>
      </c>
      <c r="E1665" s="8" t="s">
        <v>11812</v>
      </c>
    </row>
    <row r="1666" spans="1:5" x14ac:dyDescent="0.25">
      <c r="A1666" s="5" t="s">
        <v>4994</v>
      </c>
      <c r="B1666" s="9" t="str">
        <f>HYPERLINK("http://biobank.ctsu.ox.ac.uk/crystal/field.cgi?id=25214", "25214")</f>
        <v>25214</v>
      </c>
      <c r="C1666" s="8" t="s">
        <v>4996</v>
      </c>
      <c r="D1666" s="8" t="s">
        <v>10049</v>
      </c>
      <c r="E1666" s="8" t="s">
        <v>11813</v>
      </c>
    </row>
    <row r="1667" spans="1:5" x14ac:dyDescent="0.25">
      <c r="A1667" s="5" t="s">
        <v>4997</v>
      </c>
      <c r="B1667" s="9" t="str">
        <f>HYPERLINK("http://biobank.ctsu.ox.ac.uk/crystal/field.cgi?id=25215", "25215")</f>
        <v>25215</v>
      </c>
      <c r="C1667" s="8" t="s">
        <v>4999</v>
      </c>
      <c r="D1667" s="8" t="s">
        <v>10049</v>
      </c>
      <c r="E1667" s="8" t="s">
        <v>11814</v>
      </c>
    </row>
    <row r="1668" spans="1:5" x14ac:dyDescent="0.25">
      <c r="A1668" s="5" t="s">
        <v>5000</v>
      </c>
      <c r="B1668" s="9" t="str">
        <f>HYPERLINK("http://biobank.ctsu.ox.ac.uk/crystal/field.cgi?id=25216", "25216")</f>
        <v>25216</v>
      </c>
      <c r="C1668" s="8" t="s">
        <v>5002</v>
      </c>
      <c r="D1668" s="8" t="s">
        <v>10049</v>
      </c>
      <c r="E1668" s="8" t="s">
        <v>11815</v>
      </c>
    </row>
    <row r="1669" spans="1:5" x14ac:dyDescent="0.25">
      <c r="A1669" s="5" t="s">
        <v>5003</v>
      </c>
      <c r="B1669" s="9" t="str">
        <f>HYPERLINK("http://biobank.ctsu.ox.ac.uk/crystal/field.cgi?id=25217", "25217")</f>
        <v>25217</v>
      </c>
      <c r="C1669" s="8" t="s">
        <v>5005</v>
      </c>
      <c r="D1669" s="8" t="s">
        <v>10049</v>
      </c>
      <c r="E1669" s="8" t="s">
        <v>11816</v>
      </c>
    </row>
    <row r="1670" spans="1:5" x14ac:dyDescent="0.25">
      <c r="A1670" s="5" t="s">
        <v>5006</v>
      </c>
      <c r="B1670" s="9" t="str">
        <f>HYPERLINK("http://biobank.ctsu.ox.ac.uk/crystal/field.cgi?id=25218", "25218")</f>
        <v>25218</v>
      </c>
      <c r="C1670" s="8" t="s">
        <v>5008</v>
      </c>
      <c r="D1670" s="8" t="s">
        <v>10049</v>
      </c>
      <c r="E1670" s="8" t="s">
        <v>11817</v>
      </c>
    </row>
    <row r="1671" spans="1:5" x14ac:dyDescent="0.25">
      <c r="A1671" s="5" t="s">
        <v>5009</v>
      </c>
      <c r="B1671" s="9" t="str">
        <f>HYPERLINK("http://biobank.ctsu.ox.ac.uk/crystal/field.cgi?id=25219", "25219")</f>
        <v>25219</v>
      </c>
      <c r="C1671" s="8" t="s">
        <v>5011</v>
      </c>
      <c r="D1671" s="8" t="s">
        <v>10049</v>
      </c>
      <c r="E1671" s="8" t="s">
        <v>11818</v>
      </c>
    </row>
    <row r="1672" spans="1:5" x14ac:dyDescent="0.25">
      <c r="A1672" s="5" t="s">
        <v>5012</v>
      </c>
      <c r="B1672" s="9" t="str">
        <f>HYPERLINK("http://biobank.ctsu.ox.ac.uk/crystal/field.cgi?id=25220", "25220")</f>
        <v>25220</v>
      </c>
      <c r="C1672" s="8" t="s">
        <v>5014</v>
      </c>
      <c r="D1672" s="8" t="s">
        <v>10049</v>
      </c>
      <c r="E1672" s="8" t="s">
        <v>11819</v>
      </c>
    </row>
    <row r="1673" spans="1:5" x14ac:dyDescent="0.25">
      <c r="A1673" s="5" t="s">
        <v>5015</v>
      </c>
      <c r="B1673" s="9" t="str">
        <f>HYPERLINK("http://biobank.ctsu.ox.ac.uk/crystal/field.cgi?id=25221", "25221")</f>
        <v>25221</v>
      </c>
      <c r="C1673" s="8" t="s">
        <v>5017</v>
      </c>
      <c r="D1673" s="8" t="s">
        <v>10049</v>
      </c>
      <c r="E1673" s="8" t="s">
        <v>11820</v>
      </c>
    </row>
    <row r="1674" spans="1:5" x14ac:dyDescent="0.25">
      <c r="A1674" s="5" t="s">
        <v>5018</v>
      </c>
      <c r="B1674" s="9" t="str">
        <f>HYPERLINK("http://biobank.ctsu.ox.ac.uk/crystal/field.cgi?id=25222", "25222")</f>
        <v>25222</v>
      </c>
      <c r="C1674" s="8" t="s">
        <v>5020</v>
      </c>
      <c r="D1674" s="8" t="s">
        <v>10049</v>
      </c>
      <c r="E1674" s="8" t="s">
        <v>11821</v>
      </c>
    </row>
    <row r="1675" spans="1:5" x14ac:dyDescent="0.25">
      <c r="A1675" s="5" t="s">
        <v>5021</v>
      </c>
      <c r="B1675" s="9" t="str">
        <f>HYPERLINK("http://biobank.ctsu.ox.ac.uk/crystal/field.cgi?id=25223", "25223")</f>
        <v>25223</v>
      </c>
      <c r="C1675" s="8" t="s">
        <v>5023</v>
      </c>
      <c r="D1675" s="8" t="s">
        <v>10049</v>
      </c>
      <c r="E1675" s="8" t="s">
        <v>11822</v>
      </c>
    </row>
    <row r="1676" spans="1:5" x14ac:dyDescent="0.25">
      <c r="A1676" s="5" t="s">
        <v>5024</v>
      </c>
      <c r="B1676" s="9" t="str">
        <f>HYPERLINK("http://biobank.ctsu.ox.ac.uk/crystal/field.cgi?id=25224", "25224")</f>
        <v>25224</v>
      </c>
      <c r="C1676" s="8" t="s">
        <v>5026</v>
      </c>
      <c r="D1676" s="8" t="s">
        <v>10049</v>
      </c>
      <c r="E1676" s="8" t="s">
        <v>11823</v>
      </c>
    </row>
    <row r="1677" spans="1:5" x14ac:dyDescent="0.25">
      <c r="A1677" s="5" t="s">
        <v>5027</v>
      </c>
      <c r="B1677" s="9" t="str">
        <f>HYPERLINK("http://biobank.ctsu.ox.ac.uk/crystal/field.cgi?id=25225", "25225")</f>
        <v>25225</v>
      </c>
      <c r="C1677" s="8" t="s">
        <v>5029</v>
      </c>
      <c r="D1677" s="8" t="s">
        <v>10049</v>
      </c>
      <c r="E1677" s="8" t="s">
        <v>11824</v>
      </c>
    </row>
    <row r="1678" spans="1:5" x14ac:dyDescent="0.25">
      <c r="A1678" s="5" t="s">
        <v>5030</v>
      </c>
      <c r="B1678" s="9" t="str">
        <f>HYPERLINK("http://biobank.ctsu.ox.ac.uk/crystal/field.cgi?id=25226", "25226")</f>
        <v>25226</v>
      </c>
      <c r="C1678" s="8" t="s">
        <v>5032</v>
      </c>
      <c r="D1678" s="8" t="s">
        <v>10049</v>
      </c>
      <c r="E1678" s="8" t="s">
        <v>11825</v>
      </c>
    </row>
    <row r="1679" spans="1:5" x14ac:dyDescent="0.25">
      <c r="A1679" s="5" t="s">
        <v>5033</v>
      </c>
      <c r="B1679" s="9" t="str">
        <f>HYPERLINK("http://biobank.ctsu.ox.ac.uk/crystal/field.cgi?id=25227", "25227")</f>
        <v>25227</v>
      </c>
      <c r="C1679" s="8" t="s">
        <v>5035</v>
      </c>
      <c r="D1679" s="8" t="s">
        <v>10049</v>
      </c>
      <c r="E1679" s="8" t="s">
        <v>11826</v>
      </c>
    </row>
    <row r="1680" spans="1:5" x14ac:dyDescent="0.25">
      <c r="A1680" s="5" t="s">
        <v>5036</v>
      </c>
      <c r="B1680" s="9" t="str">
        <f>HYPERLINK("http://biobank.ctsu.ox.ac.uk/crystal/field.cgi?id=25228", "25228")</f>
        <v>25228</v>
      </c>
      <c r="C1680" s="8" t="s">
        <v>5038</v>
      </c>
      <c r="D1680" s="8" t="s">
        <v>10049</v>
      </c>
      <c r="E1680" s="8" t="s">
        <v>11827</v>
      </c>
    </row>
    <row r="1681" spans="1:5" x14ac:dyDescent="0.25">
      <c r="A1681" s="5" t="s">
        <v>5039</v>
      </c>
      <c r="B1681" s="9" t="str">
        <f>HYPERLINK("http://biobank.ctsu.ox.ac.uk/crystal/field.cgi?id=25229", "25229")</f>
        <v>25229</v>
      </c>
      <c r="C1681" s="8" t="s">
        <v>5041</v>
      </c>
      <c r="D1681" s="8" t="s">
        <v>10049</v>
      </c>
      <c r="E1681" s="8" t="s">
        <v>11828</v>
      </c>
    </row>
    <row r="1682" spans="1:5" x14ac:dyDescent="0.25">
      <c r="A1682" s="5" t="s">
        <v>5042</v>
      </c>
      <c r="B1682" s="9" t="str">
        <f>HYPERLINK("http://biobank.ctsu.ox.ac.uk/crystal/field.cgi?id=25230", "25230")</f>
        <v>25230</v>
      </c>
      <c r="C1682" s="8" t="s">
        <v>5044</v>
      </c>
      <c r="D1682" s="8" t="s">
        <v>10049</v>
      </c>
      <c r="E1682" s="8" t="s">
        <v>11829</v>
      </c>
    </row>
    <row r="1683" spans="1:5" x14ac:dyDescent="0.25">
      <c r="A1683" s="5" t="s">
        <v>5045</v>
      </c>
      <c r="B1683" s="9" t="str">
        <f>HYPERLINK("http://biobank.ctsu.ox.ac.uk/crystal/field.cgi?id=25231", "25231")</f>
        <v>25231</v>
      </c>
      <c r="C1683" s="8" t="s">
        <v>5047</v>
      </c>
      <c r="D1683" s="8" t="s">
        <v>10049</v>
      </c>
      <c r="E1683" s="8" t="s">
        <v>11830</v>
      </c>
    </row>
    <row r="1684" spans="1:5" x14ac:dyDescent="0.25">
      <c r="A1684" s="5" t="s">
        <v>5048</v>
      </c>
      <c r="B1684" s="9" t="str">
        <f>HYPERLINK("http://biobank.ctsu.ox.ac.uk/crystal/field.cgi?id=25232", "25232")</f>
        <v>25232</v>
      </c>
      <c r="C1684" s="8" t="s">
        <v>5050</v>
      </c>
      <c r="D1684" s="8" t="s">
        <v>10049</v>
      </c>
      <c r="E1684" s="8" t="s">
        <v>11831</v>
      </c>
    </row>
    <row r="1685" spans="1:5" x14ac:dyDescent="0.25">
      <c r="A1685" s="5" t="s">
        <v>5051</v>
      </c>
      <c r="B1685" s="9" t="str">
        <f>HYPERLINK("http://biobank.ctsu.ox.ac.uk/crystal/field.cgi?id=25233", "25233")</f>
        <v>25233</v>
      </c>
      <c r="C1685" s="8" t="s">
        <v>5053</v>
      </c>
      <c r="D1685" s="8" t="s">
        <v>10049</v>
      </c>
      <c r="E1685" s="8" t="s">
        <v>11832</v>
      </c>
    </row>
    <row r="1686" spans="1:5" x14ac:dyDescent="0.25">
      <c r="A1686" s="5" t="s">
        <v>5054</v>
      </c>
      <c r="B1686" s="9" t="str">
        <f>HYPERLINK("http://biobank.ctsu.ox.ac.uk/crystal/field.cgi?id=25234", "25234")</f>
        <v>25234</v>
      </c>
      <c r="C1686" s="8" t="s">
        <v>5056</v>
      </c>
      <c r="D1686" s="8" t="s">
        <v>10049</v>
      </c>
      <c r="E1686" s="8" t="s">
        <v>11833</v>
      </c>
    </row>
    <row r="1687" spans="1:5" x14ac:dyDescent="0.25">
      <c r="A1687" s="5" t="s">
        <v>5057</v>
      </c>
      <c r="B1687" s="9" t="str">
        <f>HYPERLINK("http://biobank.ctsu.ox.ac.uk/crystal/field.cgi?id=25235", "25235")</f>
        <v>25235</v>
      </c>
      <c r="C1687" s="8" t="s">
        <v>5059</v>
      </c>
      <c r="D1687" s="8" t="s">
        <v>10049</v>
      </c>
      <c r="E1687" s="8" t="s">
        <v>11834</v>
      </c>
    </row>
    <row r="1688" spans="1:5" x14ac:dyDescent="0.25">
      <c r="A1688" s="5" t="s">
        <v>5060</v>
      </c>
      <c r="B1688" s="9" t="str">
        <f>HYPERLINK("http://biobank.ctsu.ox.ac.uk/crystal/field.cgi?id=25236", "25236")</f>
        <v>25236</v>
      </c>
      <c r="C1688" s="8" t="s">
        <v>5062</v>
      </c>
      <c r="D1688" s="8" t="s">
        <v>10049</v>
      </c>
      <c r="E1688" s="8" t="s">
        <v>11835</v>
      </c>
    </row>
    <row r="1689" spans="1:5" x14ac:dyDescent="0.25">
      <c r="A1689" s="5" t="s">
        <v>5063</v>
      </c>
      <c r="B1689" s="9" t="str">
        <f>HYPERLINK("http://biobank.ctsu.ox.ac.uk/crystal/field.cgi?id=25237", "25237")</f>
        <v>25237</v>
      </c>
      <c r="C1689" s="8" t="s">
        <v>5065</v>
      </c>
      <c r="D1689" s="8" t="s">
        <v>10049</v>
      </c>
      <c r="E1689" s="8" t="s">
        <v>11836</v>
      </c>
    </row>
    <row r="1690" spans="1:5" x14ac:dyDescent="0.25">
      <c r="A1690" s="5" t="s">
        <v>5066</v>
      </c>
      <c r="B1690" s="9" t="str">
        <f>HYPERLINK("http://biobank.ctsu.ox.ac.uk/crystal/field.cgi?id=25238", "25238")</f>
        <v>25238</v>
      </c>
      <c r="C1690" s="8" t="s">
        <v>5068</v>
      </c>
      <c r="D1690" s="8" t="s">
        <v>10049</v>
      </c>
      <c r="E1690" s="8" t="s">
        <v>11837</v>
      </c>
    </row>
    <row r="1691" spans="1:5" x14ac:dyDescent="0.25">
      <c r="A1691" s="5" t="s">
        <v>5069</v>
      </c>
      <c r="B1691" s="9" t="str">
        <f>HYPERLINK("http://biobank.ctsu.ox.ac.uk/crystal/field.cgi?id=25239", "25239")</f>
        <v>25239</v>
      </c>
      <c r="C1691" s="8" t="s">
        <v>5071</v>
      </c>
      <c r="D1691" s="8" t="s">
        <v>10049</v>
      </c>
      <c r="E1691" s="8" t="s">
        <v>11838</v>
      </c>
    </row>
    <row r="1692" spans="1:5" x14ac:dyDescent="0.25">
      <c r="A1692" s="5" t="s">
        <v>5072</v>
      </c>
      <c r="B1692" s="9" t="str">
        <f>HYPERLINK("http://biobank.ctsu.ox.ac.uk/crystal/field.cgi?id=25240", "25240")</f>
        <v>25240</v>
      </c>
      <c r="C1692" s="8" t="s">
        <v>5074</v>
      </c>
      <c r="D1692" s="8" t="s">
        <v>10049</v>
      </c>
      <c r="E1692" s="8" t="s">
        <v>11839</v>
      </c>
    </row>
    <row r="1693" spans="1:5" x14ac:dyDescent="0.25">
      <c r="A1693" s="5" t="s">
        <v>5075</v>
      </c>
      <c r="B1693" s="9" t="str">
        <f>HYPERLINK("http://biobank.ctsu.ox.ac.uk/crystal/field.cgi?id=25241", "25241")</f>
        <v>25241</v>
      </c>
      <c r="C1693" s="8" t="s">
        <v>5077</v>
      </c>
      <c r="D1693" s="8" t="s">
        <v>10049</v>
      </c>
      <c r="E1693" s="8" t="s">
        <v>11840</v>
      </c>
    </row>
    <row r="1694" spans="1:5" x14ac:dyDescent="0.25">
      <c r="A1694" s="5" t="s">
        <v>5078</v>
      </c>
      <c r="B1694" s="9" t="str">
        <f>HYPERLINK("http://biobank.ctsu.ox.ac.uk/crystal/field.cgi?id=25242", "25242")</f>
        <v>25242</v>
      </c>
      <c r="C1694" s="8" t="s">
        <v>5080</v>
      </c>
      <c r="D1694" s="8" t="s">
        <v>10049</v>
      </c>
      <c r="E1694" s="8" t="s">
        <v>11841</v>
      </c>
    </row>
    <row r="1695" spans="1:5" x14ac:dyDescent="0.25">
      <c r="A1695" s="5" t="s">
        <v>5081</v>
      </c>
      <c r="B1695" s="9" t="str">
        <f>HYPERLINK("http://biobank.ctsu.ox.ac.uk/crystal/field.cgi?id=25243", "25243")</f>
        <v>25243</v>
      </c>
      <c r="C1695" s="8" t="s">
        <v>5083</v>
      </c>
      <c r="D1695" s="8" t="s">
        <v>10049</v>
      </c>
      <c r="E1695" s="8" t="s">
        <v>11842</v>
      </c>
    </row>
    <row r="1696" spans="1:5" x14ac:dyDescent="0.25">
      <c r="A1696" s="5" t="s">
        <v>5084</v>
      </c>
      <c r="B1696" s="9" t="str">
        <f>HYPERLINK("http://biobank.ctsu.ox.ac.uk/crystal/field.cgi?id=25244", "25244")</f>
        <v>25244</v>
      </c>
      <c r="C1696" s="8" t="s">
        <v>5086</v>
      </c>
      <c r="D1696" s="8" t="s">
        <v>10049</v>
      </c>
      <c r="E1696" s="8" t="s">
        <v>11843</v>
      </c>
    </row>
    <row r="1697" spans="1:5" x14ac:dyDescent="0.25">
      <c r="A1697" s="5" t="s">
        <v>5087</v>
      </c>
      <c r="B1697" s="9" t="str">
        <f>HYPERLINK("http://biobank.ctsu.ox.ac.uk/crystal/field.cgi?id=25245", "25245")</f>
        <v>25245</v>
      </c>
      <c r="C1697" s="8" t="s">
        <v>5089</v>
      </c>
      <c r="D1697" s="8" t="s">
        <v>10049</v>
      </c>
      <c r="E1697" s="8" t="s">
        <v>11844</v>
      </c>
    </row>
    <row r="1698" spans="1:5" x14ac:dyDescent="0.25">
      <c r="A1698" s="5" t="s">
        <v>5090</v>
      </c>
      <c r="B1698" s="9" t="str">
        <f>HYPERLINK("http://biobank.ctsu.ox.ac.uk/crystal/field.cgi?id=25246", "25246")</f>
        <v>25246</v>
      </c>
      <c r="C1698" s="8" t="s">
        <v>5092</v>
      </c>
      <c r="D1698" s="8" t="s">
        <v>10049</v>
      </c>
      <c r="E1698" s="8" t="s">
        <v>11845</v>
      </c>
    </row>
    <row r="1699" spans="1:5" x14ac:dyDescent="0.25">
      <c r="A1699" s="5" t="s">
        <v>5093</v>
      </c>
      <c r="B1699" s="9" t="str">
        <f>HYPERLINK("http://biobank.ctsu.ox.ac.uk/crystal/field.cgi?id=25247", "25247")</f>
        <v>25247</v>
      </c>
      <c r="C1699" s="8" t="s">
        <v>5095</v>
      </c>
      <c r="D1699" s="8" t="s">
        <v>10049</v>
      </c>
      <c r="E1699" s="8" t="s">
        <v>11846</v>
      </c>
    </row>
    <row r="1700" spans="1:5" x14ac:dyDescent="0.25">
      <c r="A1700" s="5" t="s">
        <v>5096</v>
      </c>
      <c r="B1700" s="9" t="str">
        <f>HYPERLINK("http://biobank.ctsu.ox.ac.uk/crystal/field.cgi?id=25248", "25248")</f>
        <v>25248</v>
      </c>
      <c r="C1700" s="8" t="s">
        <v>5098</v>
      </c>
      <c r="D1700" s="8" t="s">
        <v>10049</v>
      </c>
      <c r="E1700" s="8" t="s">
        <v>11847</v>
      </c>
    </row>
    <row r="1701" spans="1:5" x14ac:dyDescent="0.25">
      <c r="A1701" s="5" t="s">
        <v>5099</v>
      </c>
      <c r="B1701" s="9" t="str">
        <f>HYPERLINK("http://biobank.ctsu.ox.ac.uk/crystal/field.cgi?id=25249", "25249")</f>
        <v>25249</v>
      </c>
      <c r="C1701" s="8" t="s">
        <v>5101</v>
      </c>
      <c r="D1701" s="8" t="s">
        <v>10049</v>
      </c>
      <c r="E1701" s="8" t="s">
        <v>11848</v>
      </c>
    </row>
    <row r="1702" spans="1:5" x14ac:dyDescent="0.25">
      <c r="A1702" s="5" t="s">
        <v>5102</v>
      </c>
      <c r="B1702" s="9" t="str">
        <f>HYPERLINK("http://biobank.ctsu.ox.ac.uk/crystal/field.cgi?id=25250", "25250")</f>
        <v>25250</v>
      </c>
      <c r="C1702" s="8" t="s">
        <v>5104</v>
      </c>
      <c r="D1702" s="8" t="s">
        <v>10049</v>
      </c>
      <c r="E1702" s="8" t="s">
        <v>11849</v>
      </c>
    </row>
    <row r="1703" spans="1:5" x14ac:dyDescent="0.25">
      <c r="A1703" s="5" t="s">
        <v>5105</v>
      </c>
      <c r="B1703" s="9" t="str">
        <f>HYPERLINK("http://biobank.ctsu.ox.ac.uk/crystal/field.cgi?id=25251", "25251")</f>
        <v>25251</v>
      </c>
      <c r="C1703" s="8" t="s">
        <v>5107</v>
      </c>
      <c r="D1703" s="8" t="s">
        <v>10049</v>
      </c>
      <c r="E1703" s="8" t="s">
        <v>11850</v>
      </c>
    </row>
    <row r="1704" spans="1:5" x14ac:dyDescent="0.25">
      <c r="A1704" s="5" t="s">
        <v>5108</v>
      </c>
      <c r="B1704" s="9" t="str">
        <f>HYPERLINK("http://biobank.ctsu.ox.ac.uk/crystal/field.cgi?id=25252", "25252")</f>
        <v>25252</v>
      </c>
      <c r="C1704" s="8" t="s">
        <v>5110</v>
      </c>
      <c r="D1704" s="8" t="s">
        <v>10049</v>
      </c>
      <c r="E1704" s="8" t="s">
        <v>11851</v>
      </c>
    </row>
    <row r="1705" spans="1:5" x14ac:dyDescent="0.25">
      <c r="A1705" s="5" t="s">
        <v>5111</v>
      </c>
      <c r="B1705" s="9" t="str">
        <f>HYPERLINK("http://biobank.ctsu.ox.ac.uk/crystal/field.cgi?id=25253", "25253")</f>
        <v>25253</v>
      </c>
      <c r="C1705" s="8" t="s">
        <v>5113</v>
      </c>
      <c r="D1705" s="8" t="s">
        <v>10049</v>
      </c>
      <c r="E1705" s="8" t="s">
        <v>11852</v>
      </c>
    </row>
    <row r="1706" spans="1:5" x14ac:dyDescent="0.25">
      <c r="A1706" s="5" t="s">
        <v>5114</v>
      </c>
      <c r="B1706" s="9" t="str">
        <f>HYPERLINK("http://biobank.ctsu.ox.ac.uk/crystal/field.cgi?id=25254", "25254")</f>
        <v>25254</v>
      </c>
      <c r="C1706" s="8" t="s">
        <v>5116</v>
      </c>
      <c r="D1706" s="8" t="s">
        <v>10049</v>
      </c>
      <c r="E1706" s="8" t="s">
        <v>11853</v>
      </c>
    </row>
    <row r="1707" spans="1:5" x14ac:dyDescent="0.25">
      <c r="A1707" s="5" t="s">
        <v>5117</v>
      </c>
      <c r="B1707" s="9" t="str">
        <f>HYPERLINK("http://biobank.ctsu.ox.ac.uk/crystal/field.cgi?id=25255", "25255")</f>
        <v>25255</v>
      </c>
      <c r="C1707" s="8" t="s">
        <v>5119</v>
      </c>
      <c r="D1707" s="8" t="s">
        <v>10049</v>
      </c>
      <c r="E1707" s="8" t="s">
        <v>11854</v>
      </c>
    </row>
    <row r="1708" spans="1:5" x14ac:dyDescent="0.25">
      <c r="A1708" s="5" t="s">
        <v>5120</v>
      </c>
      <c r="B1708" s="9" t="str">
        <f>HYPERLINK("http://biobank.ctsu.ox.ac.uk/crystal/field.cgi?id=25256", "25256")</f>
        <v>25256</v>
      </c>
      <c r="C1708" s="8" t="s">
        <v>5122</v>
      </c>
      <c r="D1708" s="8" t="s">
        <v>10049</v>
      </c>
      <c r="E1708" s="8" t="s">
        <v>11855</v>
      </c>
    </row>
    <row r="1709" spans="1:5" x14ac:dyDescent="0.25">
      <c r="A1709" s="5" t="s">
        <v>5123</v>
      </c>
      <c r="B1709" s="9" t="str">
        <f>HYPERLINK("http://biobank.ctsu.ox.ac.uk/crystal/field.cgi?id=25257", "25257")</f>
        <v>25257</v>
      </c>
      <c r="C1709" s="8" t="s">
        <v>5125</v>
      </c>
      <c r="D1709" s="8" t="s">
        <v>10049</v>
      </c>
      <c r="E1709" s="8" t="s">
        <v>11856</v>
      </c>
    </row>
    <row r="1710" spans="1:5" x14ac:dyDescent="0.25">
      <c r="A1710" s="5" t="s">
        <v>5126</v>
      </c>
      <c r="B1710" s="9" t="str">
        <f>HYPERLINK("http://biobank.ctsu.ox.ac.uk/crystal/field.cgi?id=25258", "25258")</f>
        <v>25258</v>
      </c>
      <c r="C1710" s="8" t="s">
        <v>5128</v>
      </c>
      <c r="D1710" s="8" t="s">
        <v>10049</v>
      </c>
      <c r="E1710" s="8" t="s">
        <v>11857</v>
      </c>
    </row>
    <row r="1711" spans="1:5" x14ac:dyDescent="0.25">
      <c r="A1711" s="5" t="s">
        <v>5129</v>
      </c>
      <c r="B1711" s="9" t="str">
        <f>HYPERLINK("http://biobank.ctsu.ox.ac.uk/crystal/field.cgi?id=25259", "25259")</f>
        <v>25259</v>
      </c>
      <c r="C1711" s="8" t="s">
        <v>5131</v>
      </c>
      <c r="D1711" s="8" t="s">
        <v>10049</v>
      </c>
      <c r="E1711" s="8" t="s">
        <v>11858</v>
      </c>
    </row>
    <row r="1712" spans="1:5" x14ac:dyDescent="0.25">
      <c r="A1712" s="5" t="s">
        <v>5132</v>
      </c>
      <c r="B1712" s="9" t="str">
        <f>HYPERLINK("http://biobank.ctsu.ox.ac.uk/crystal/field.cgi?id=25260", "25260")</f>
        <v>25260</v>
      </c>
      <c r="C1712" s="8" t="s">
        <v>5134</v>
      </c>
      <c r="D1712" s="8" t="s">
        <v>10049</v>
      </c>
      <c r="E1712" s="8" t="s">
        <v>11859</v>
      </c>
    </row>
    <row r="1713" spans="1:5" x14ac:dyDescent="0.25">
      <c r="A1713" s="5" t="s">
        <v>5135</v>
      </c>
      <c r="B1713" s="9" t="str">
        <f>HYPERLINK("http://biobank.ctsu.ox.ac.uk/crystal/field.cgi?id=25261", "25261")</f>
        <v>25261</v>
      </c>
      <c r="C1713" s="8" t="s">
        <v>5137</v>
      </c>
      <c r="D1713" s="8" t="s">
        <v>10049</v>
      </c>
      <c r="E1713" s="8" t="s">
        <v>11860</v>
      </c>
    </row>
    <row r="1714" spans="1:5" x14ac:dyDescent="0.25">
      <c r="A1714" s="5" t="s">
        <v>5138</v>
      </c>
      <c r="B1714" s="9" t="str">
        <f>HYPERLINK("http://biobank.ctsu.ox.ac.uk/crystal/field.cgi?id=25262", "25262")</f>
        <v>25262</v>
      </c>
      <c r="C1714" s="8" t="s">
        <v>5140</v>
      </c>
      <c r="D1714" s="8" t="s">
        <v>10049</v>
      </c>
      <c r="E1714" s="8" t="s">
        <v>11861</v>
      </c>
    </row>
    <row r="1715" spans="1:5" x14ac:dyDescent="0.25">
      <c r="A1715" s="5" t="s">
        <v>5141</v>
      </c>
      <c r="B1715" s="9" t="str">
        <f>HYPERLINK("http://biobank.ctsu.ox.ac.uk/crystal/field.cgi?id=25263", "25263")</f>
        <v>25263</v>
      </c>
      <c r="C1715" s="8" t="s">
        <v>5143</v>
      </c>
      <c r="D1715" s="8" t="s">
        <v>10049</v>
      </c>
      <c r="E1715" s="8" t="s">
        <v>11862</v>
      </c>
    </row>
    <row r="1716" spans="1:5" x14ac:dyDescent="0.25">
      <c r="A1716" s="5" t="s">
        <v>5144</v>
      </c>
      <c r="B1716" s="9" t="str">
        <f>HYPERLINK("http://biobank.ctsu.ox.ac.uk/crystal/field.cgi?id=25264", "25264")</f>
        <v>25264</v>
      </c>
      <c r="C1716" s="8" t="s">
        <v>5146</v>
      </c>
      <c r="D1716" s="8" t="s">
        <v>10049</v>
      </c>
      <c r="E1716" s="8" t="s">
        <v>11863</v>
      </c>
    </row>
    <row r="1717" spans="1:5" x14ac:dyDescent="0.25">
      <c r="A1717" s="5" t="s">
        <v>5147</v>
      </c>
      <c r="B1717" s="9" t="str">
        <f>HYPERLINK("http://biobank.ctsu.ox.ac.uk/crystal/field.cgi?id=25265", "25265")</f>
        <v>25265</v>
      </c>
      <c r="C1717" s="8" t="s">
        <v>5149</v>
      </c>
      <c r="D1717" s="8" t="s">
        <v>10049</v>
      </c>
      <c r="E1717" s="8" t="s">
        <v>11864</v>
      </c>
    </row>
    <row r="1718" spans="1:5" x14ac:dyDescent="0.25">
      <c r="A1718" s="5" t="s">
        <v>5150</v>
      </c>
      <c r="B1718" s="9" t="str">
        <f>HYPERLINK("http://biobank.ctsu.ox.ac.uk/crystal/field.cgi?id=25266", "25266")</f>
        <v>25266</v>
      </c>
      <c r="C1718" s="8" t="s">
        <v>5152</v>
      </c>
      <c r="D1718" s="8" t="s">
        <v>10049</v>
      </c>
      <c r="E1718" s="8" t="s">
        <v>11865</v>
      </c>
    </row>
    <row r="1719" spans="1:5" x14ac:dyDescent="0.25">
      <c r="A1719" s="5" t="s">
        <v>5153</v>
      </c>
      <c r="B1719" s="9" t="str">
        <f>HYPERLINK("http://biobank.ctsu.ox.ac.uk/crystal/field.cgi?id=25267", "25267")</f>
        <v>25267</v>
      </c>
      <c r="C1719" s="8" t="s">
        <v>5155</v>
      </c>
      <c r="D1719" s="8" t="s">
        <v>10049</v>
      </c>
      <c r="E1719" s="8" t="s">
        <v>11866</v>
      </c>
    </row>
    <row r="1720" spans="1:5" x14ac:dyDescent="0.25">
      <c r="A1720" s="5" t="s">
        <v>5156</v>
      </c>
      <c r="B1720" s="9" t="str">
        <f>HYPERLINK("http://biobank.ctsu.ox.ac.uk/crystal/field.cgi?id=25268", "25268")</f>
        <v>25268</v>
      </c>
      <c r="C1720" s="8" t="s">
        <v>5158</v>
      </c>
      <c r="D1720" s="8" t="s">
        <v>10049</v>
      </c>
      <c r="E1720" s="8" t="s">
        <v>11867</v>
      </c>
    </row>
    <row r="1721" spans="1:5" x14ac:dyDescent="0.25">
      <c r="A1721" s="5" t="s">
        <v>5159</v>
      </c>
      <c r="B1721" s="9" t="str">
        <f>HYPERLINK("http://biobank.ctsu.ox.ac.uk/crystal/field.cgi?id=25269", "25269")</f>
        <v>25269</v>
      </c>
      <c r="C1721" s="8" t="s">
        <v>5161</v>
      </c>
      <c r="D1721" s="8" t="s">
        <v>10049</v>
      </c>
      <c r="E1721" s="8" t="s">
        <v>11868</v>
      </c>
    </row>
    <row r="1722" spans="1:5" x14ac:dyDescent="0.25">
      <c r="A1722" s="5" t="s">
        <v>5162</v>
      </c>
      <c r="B1722" s="9" t="str">
        <f>HYPERLINK("http://biobank.ctsu.ox.ac.uk/crystal/field.cgi?id=25270", "25270")</f>
        <v>25270</v>
      </c>
      <c r="C1722" s="8" t="s">
        <v>5164</v>
      </c>
      <c r="D1722" s="8" t="s">
        <v>10049</v>
      </c>
      <c r="E1722" s="8" t="s">
        <v>11869</v>
      </c>
    </row>
    <row r="1723" spans="1:5" x14ac:dyDescent="0.25">
      <c r="A1723" s="5" t="s">
        <v>5165</v>
      </c>
      <c r="B1723" s="9" t="str">
        <f>HYPERLINK("http://biobank.ctsu.ox.ac.uk/crystal/field.cgi?id=25271", "25271")</f>
        <v>25271</v>
      </c>
      <c r="C1723" s="8" t="s">
        <v>5167</v>
      </c>
      <c r="D1723" s="8" t="s">
        <v>10049</v>
      </c>
      <c r="E1723" s="8" t="s">
        <v>11870</v>
      </c>
    </row>
    <row r="1724" spans="1:5" x14ac:dyDescent="0.25">
      <c r="A1724" s="5" t="s">
        <v>5168</v>
      </c>
      <c r="B1724" s="9" t="str">
        <f>HYPERLINK("http://biobank.ctsu.ox.ac.uk/crystal/field.cgi?id=25272", "25272")</f>
        <v>25272</v>
      </c>
      <c r="C1724" s="8" t="s">
        <v>5170</v>
      </c>
      <c r="D1724" s="8" t="s">
        <v>10049</v>
      </c>
      <c r="E1724" s="8" t="s">
        <v>11871</v>
      </c>
    </row>
    <row r="1725" spans="1:5" x14ac:dyDescent="0.25">
      <c r="A1725" s="5" t="s">
        <v>5171</v>
      </c>
      <c r="B1725" s="9" t="str">
        <f>HYPERLINK("http://biobank.ctsu.ox.ac.uk/crystal/field.cgi?id=25273", "25273")</f>
        <v>25273</v>
      </c>
      <c r="C1725" s="8" t="s">
        <v>5173</v>
      </c>
      <c r="D1725" s="8" t="s">
        <v>10049</v>
      </c>
      <c r="E1725" s="8" t="s">
        <v>11872</v>
      </c>
    </row>
    <row r="1726" spans="1:5" x14ac:dyDescent="0.25">
      <c r="A1726" s="5" t="s">
        <v>5174</v>
      </c>
      <c r="B1726" s="9" t="str">
        <f>HYPERLINK("http://biobank.ctsu.ox.ac.uk/crystal/field.cgi?id=25274", "25274")</f>
        <v>25274</v>
      </c>
      <c r="C1726" s="8" t="s">
        <v>5176</v>
      </c>
      <c r="D1726" s="8" t="s">
        <v>10049</v>
      </c>
      <c r="E1726" s="8" t="s">
        <v>11873</v>
      </c>
    </row>
    <row r="1727" spans="1:5" x14ac:dyDescent="0.25">
      <c r="A1727" s="5" t="s">
        <v>5177</v>
      </c>
      <c r="B1727" s="9" t="str">
        <f>HYPERLINK("http://biobank.ctsu.ox.ac.uk/crystal/field.cgi?id=25275", "25275")</f>
        <v>25275</v>
      </c>
      <c r="C1727" s="8" t="s">
        <v>5179</v>
      </c>
      <c r="D1727" s="8" t="s">
        <v>10049</v>
      </c>
      <c r="E1727" s="8" t="s">
        <v>11874</v>
      </c>
    </row>
    <row r="1728" spans="1:5" x14ac:dyDescent="0.25">
      <c r="A1728" s="5" t="s">
        <v>5180</v>
      </c>
      <c r="B1728" s="9" t="str">
        <f>HYPERLINK("http://biobank.ctsu.ox.ac.uk/crystal/field.cgi?id=25276", "25276")</f>
        <v>25276</v>
      </c>
      <c r="C1728" s="8" t="s">
        <v>5182</v>
      </c>
      <c r="D1728" s="8" t="s">
        <v>10049</v>
      </c>
      <c r="E1728" s="8" t="s">
        <v>11875</v>
      </c>
    </row>
    <row r="1729" spans="1:5" x14ac:dyDescent="0.25">
      <c r="A1729" s="5" t="s">
        <v>5183</v>
      </c>
      <c r="B1729" s="9" t="str">
        <f>HYPERLINK("http://biobank.ctsu.ox.ac.uk/crystal/field.cgi?id=25277", "25277")</f>
        <v>25277</v>
      </c>
      <c r="C1729" s="8" t="s">
        <v>5185</v>
      </c>
      <c r="D1729" s="8" t="s">
        <v>10049</v>
      </c>
      <c r="E1729" s="8" t="s">
        <v>11876</v>
      </c>
    </row>
    <row r="1730" spans="1:5" x14ac:dyDescent="0.25">
      <c r="A1730" s="5" t="s">
        <v>5186</v>
      </c>
      <c r="B1730" s="9" t="str">
        <f>HYPERLINK("http://biobank.ctsu.ox.ac.uk/crystal/field.cgi?id=25278", "25278")</f>
        <v>25278</v>
      </c>
      <c r="C1730" s="8" t="s">
        <v>5188</v>
      </c>
      <c r="D1730" s="8" t="s">
        <v>10049</v>
      </c>
      <c r="E1730" s="8" t="s">
        <v>11877</v>
      </c>
    </row>
    <row r="1731" spans="1:5" x14ac:dyDescent="0.25">
      <c r="A1731" s="5" t="s">
        <v>5189</v>
      </c>
      <c r="B1731" s="9" t="str">
        <f>HYPERLINK("http://biobank.ctsu.ox.ac.uk/crystal/field.cgi?id=25279", "25279")</f>
        <v>25279</v>
      </c>
      <c r="C1731" s="8" t="s">
        <v>5191</v>
      </c>
      <c r="D1731" s="8" t="s">
        <v>10049</v>
      </c>
      <c r="E1731" s="8" t="s">
        <v>11878</v>
      </c>
    </row>
    <row r="1732" spans="1:5" x14ac:dyDescent="0.25">
      <c r="A1732" s="5" t="s">
        <v>5192</v>
      </c>
      <c r="B1732" s="9" t="str">
        <f>HYPERLINK("http://biobank.ctsu.ox.ac.uk/crystal/field.cgi?id=25280", "25280")</f>
        <v>25280</v>
      </c>
      <c r="C1732" s="8" t="s">
        <v>5194</v>
      </c>
      <c r="D1732" s="8" t="s">
        <v>10049</v>
      </c>
      <c r="E1732" s="8" t="s">
        <v>11879</v>
      </c>
    </row>
    <row r="1733" spans="1:5" x14ac:dyDescent="0.25">
      <c r="A1733" s="5" t="s">
        <v>5195</v>
      </c>
      <c r="B1733" s="9" t="str">
        <f>HYPERLINK("http://biobank.ctsu.ox.ac.uk/crystal/field.cgi?id=25281", "25281")</f>
        <v>25281</v>
      </c>
      <c r="C1733" s="8" t="s">
        <v>5197</v>
      </c>
      <c r="D1733" s="8" t="s">
        <v>10049</v>
      </c>
      <c r="E1733" s="8" t="s">
        <v>11880</v>
      </c>
    </row>
    <row r="1734" spans="1:5" x14ac:dyDescent="0.25">
      <c r="A1734" s="5" t="s">
        <v>5198</v>
      </c>
      <c r="B1734" s="9" t="str">
        <f>HYPERLINK("http://biobank.ctsu.ox.ac.uk/crystal/field.cgi?id=25282", "25282")</f>
        <v>25282</v>
      </c>
      <c r="C1734" s="8" t="s">
        <v>5200</v>
      </c>
      <c r="D1734" s="8" t="s">
        <v>10049</v>
      </c>
      <c r="E1734" s="8" t="s">
        <v>11881</v>
      </c>
    </row>
    <row r="1735" spans="1:5" x14ac:dyDescent="0.25">
      <c r="A1735" s="5" t="s">
        <v>5201</v>
      </c>
      <c r="B1735" s="9" t="str">
        <f>HYPERLINK("http://biobank.ctsu.ox.ac.uk/crystal/field.cgi?id=25283", "25283")</f>
        <v>25283</v>
      </c>
      <c r="C1735" s="8" t="s">
        <v>5203</v>
      </c>
      <c r="D1735" s="8" t="s">
        <v>10049</v>
      </c>
      <c r="E1735" s="8" t="s">
        <v>11882</v>
      </c>
    </row>
    <row r="1736" spans="1:5" x14ac:dyDescent="0.25">
      <c r="A1736" s="5" t="s">
        <v>5204</v>
      </c>
      <c r="B1736" s="9" t="str">
        <f>HYPERLINK("http://biobank.ctsu.ox.ac.uk/crystal/field.cgi?id=25284", "25284")</f>
        <v>25284</v>
      </c>
      <c r="C1736" s="8" t="s">
        <v>5206</v>
      </c>
      <c r="D1736" s="8" t="s">
        <v>10049</v>
      </c>
      <c r="E1736" s="8" t="s">
        <v>11883</v>
      </c>
    </row>
    <row r="1737" spans="1:5" x14ac:dyDescent="0.25">
      <c r="A1737" s="5" t="s">
        <v>5207</v>
      </c>
      <c r="B1737" s="9" t="str">
        <f>HYPERLINK("http://biobank.ctsu.ox.ac.uk/crystal/field.cgi?id=25285", "25285")</f>
        <v>25285</v>
      </c>
      <c r="C1737" s="8" t="s">
        <v>5209</v>
      </c>
      <c r="D1737" s="8" t="s">
        <v>10049</v>
      </c>
      <c r="E1737" s="8" t="s">
        <v>11884</v>
      </c>
    </row>
    <row r="1738" spans="1:5" x14ac:dyDescent="0.25">
      <c r="A1738" s="5" t="s">
        <v>5210</v>
      </c>
      <c r="B1738" s="9" t="str">
        <f>HYPERLINK("http://biobank.ctsu.ox.ac.uk/crystal/field.cgi?id=25286", "25286")</f>
        <v>25286</v>
      </c>
      <c r="C1738" s="8" t="s">
        <v>5212</v>
      </c>
      <c r="D1738" s="8" t="s">
        <v>10049</v>
      </c>
      <c r="E1738" s="8" t="s">
        <v>11885</v>
      </c>
    </row>
    <row r="1739" spans="1:5" x14ac:dyDescent="0.25">
      <c r="A1739" s="5" t="s">
        <v>5213</v>
      </c>
      <c r="B1739" s="9" t="str">
        <f>HYPERLINK("http://biobank.ctsu.ox.ac.uk/crystal/field.cgi?id=25287", "25287")</f>
        <v>25287</v>
      </c>
      <c r="C1739" s="8" t="s">
        <v>5215</v>
      </c>
      <c r="D1739" s="8" t="s">
        <v>10049</v>
      </c>
      <c r="E1739" s="8" t="s">
        <v>11886</v>
      </c>
    </row>
    <row r="1740" spans="1:5" x14ac:dyDescent="0.25">
      <c r="A1740" s="5" t="s">
        <v>5216</v>
      </c>
      <c r="B1740" s="9" t="str">
        <f>HYPERLINK("http://biobank.ctsu.ox.ac.uk/crystal/field.cgi?id=25288", "25288")</f>
        <v>25288</v>
      </c>
      <c r="C1740" s="8" t="s">
        <v>5218</v>
      </c>
      <c r="D1740" s="8" t="s">
        <v>10049</v>
      </c>
      <c r="E1740" s="8" t="s">
        <v>11887</v>
      </c>
    </row>
    <row r="1741" spans="1:5" x14ac:dyDescent="0.25">
      <c r="A1741" s="5" t="s">
        <v>5219</v>
      </c>
      <c r="B1741" s="9" t="str">
        <f>HYPERLINK("http://biobank.ctsu.ox.ac.uk/crystal/field.cgi?id=25289", "25289")</f>
        <v>25289</v>
      </c>
      <c r="C1741" s="8" t="s">
        <v>5221</v>
      </c>
      <c r="D1741" s="8" t="s">
        <v>10049</v>
      </c>
      <c r="E1741" s="8" t="s">
        <v>11888</v>
      </c>
    </row>
    <row r="1742" spans="1:5" x14ac:dyDescent="0.25">
      <c r="A1742" s="5" t="s">
        <v>5222</v>
      </c>
      <c r="B1742" s="9" t="str">
        <f>HYPERLINK("http://biobank.ctsu.ox.ac.uk/crystal/field.cgi?id=25290", "25290")</f>
        <v>25290</v>
      </c>
      <c r="C1742" s="8" t="s">
        <v>5224</v>
      </c>
      <c r="D1742" s="8" t="s">
        <v>10049</v>
      </c>
      <c r="E1742" s="8" t="s">
        <v>11889</v>
      </c>
    </row>
    <row r="1743" spans="1:5" x14ac:dyDescent="0.25">
      <c r="A1743" s="5" t="s">
        <v>5225</v>
      </c>
      <c r="B1743" s="9" t="str">
        <f>HYPERLINK("http://biobank.ctsu.ox.ac.uk/crystal/field.cgi?id=25291", "25291")</f>
        <v>25291</v>
      </c>
      <c r="C1743" s="8" t="s">
        <v>5227</v>
      </c>
      <c r="D1743" s="8" t="s">
        <v>10049</v>
      </c>
      <c r="E1743" s="8" t="s">
        <v>11890</v>
      </c>
    </row>
    <row r="1744" spans="1:5" x14ac:dyDescent="0.25">
      <c r="A1744" s="5" t="s">
        <v>5228</v>
      </c>
      <c r="B1744" s="9" t="str">
        <f>HYPERLINK("http://biobank.ctsu.ox.ac.uk/crystal/field.cgi?id=25292", "25292")</f>
        <v>25292</v>
      </c>
      <c r="C1744" s="8" t="s">
        <v>5230</v>
      </c>
      <c r="D1744" s="8" t="s">
        <v>10049</v>
      </c>
      <c r="E1744" s="8" t="s">
        <v>11891</v>
      </c>
    </row>
    <row r="1745" spans="1:5" x14ac:dyDescent="0.25">
      <c r="A1745" s="5" t="s">
        <v>5231</v>
      </c>
      <c r="B1745" s="9" t="str">
        <f>HYPERLINK("http://biobank.ctsu.ox.ac.uk/crystal/field.cgi?id=25293", "25293")</f>
        <v>25293</v>
      </c>
      <c r="C1745" s="8" t="s">
        <v>5233</v>
      </c>
      <c r="D1745" s="8" t="s">
        <v>10049</v>
      </c>
      <c r="E1745" s="8" t="s">
        <v>11892</v>
      </c>
    </row>
    <row r="1746" spans="1:5" x14ac:dyDescent="0.25">
      <c r="A1746" s="5" t="s">
        <v>5234</v>
      </c>
      <c r="B1746" s="9" t="str">
        <f>HYPERLINK("http://biobank.ctsu.ox.ac.uk/crystal/field.cgi?id=25294", "25294")</f>
        <v>25294</v>
      </c>
      <c r="C1746" s="8" t="s">
        <v>5236</v>
      </c>
      <c r="D1746" s="8" t="s">
        <v>10049</v>
      </c>
      <c r="E1746" s="8" t="s">
        <v>11893</v>
      </c>
    </row>
    <row r="1747" spans="1:5" x14ac:dyDescent="0.25">
      <c r="A1747" s="5" t="s">
        <v>5237</v>
      </c>
      <c r="B1747" s="9" t="str">
        <f>HYPERLINK("http://biobank.ctsu.ox.ac.uk/crystal/field.cgi?id=25295", "25295")</f>
        <v>25295</v>
      </c>
      <c r="C1747" s="8" t="s">
        <v>5239</v>
      </c>
      <c r="D1747" s="8" t="s">
        <v>10049</v>
      </c>
      <c r="E1747" s="8" t="s">
        <v>11894</v>
      </c>
    </row>
    <row r="1748" spans="1:5" x14ac:dyDescent="0.25">
      <c r="A1748" s="5" t="s">
        <v>5240</v>
      </c>
      <c r="B1748" s="9" t="str">
        <f>HYPERLINK("http://biobank.ctsu.ox.ac.uk/crystal/field.cgi?id=25296", "25296")</f>
        <v>25296</v>
      </c>
      <c r="C1748" s="8" t="s">
        <v>5242</v>
      </c>
      <c r="D1748" s="8" t="s">
        <v>10049</v>
      </c>
      <c r="E1748" s="8" t="s">
        <v>11895</v>
      </c>
    </row>
    <row r="1749" spans="1:5" x14ac:dyDescent="0.25">
      <c r="A1749" s="5" t="s">
        <v>5243</v>
      </c>
      <c r="B1749" s="9" t="str">
        <f>HYPERLINK("http://biobank.ctsu.ox.ac.uk/crystal/field.cgi?id=25297", "25297")</f>
        <v>25297</v>
      </c>
      <c r="C1749" s="8" t="s">
        <v>5245</v>
      </c>
      <c r="D1749" s="8" t="s">
        <v>10049</v>
      </c>
      <c r="E1749" s="8" t="s">
        <v>11896</v>
      </c>
    </row>
    <row r="1750" spans="1:5" x14ac:dyDescent="0.25">
      <c r="A1750" s="5" t="s">
        <v>5246</v>
      </c>
      <c r="B1750" s="9" t="str">
        <f>HYPERLINK("http://biobank.ctsu.ox.ac.uk/crystal/field.cgi?id=25298", "25298")</f>
        <v>25298</v>
      </c>
      <c r="C1750" s="8" t="s">
        <v>5248</v>
      </c>
      <c r="D1750" s="8" t="s">
        <v>10049</v>
      </c>
      <c r="E1750" s="8" t="s">
        <v>11897</v>
      </c>
    </row>
    <row r="1751" spans="1:5" x14ac:dyDescent="0.25">
      <c r="A1751" s="5" t="s">
        <v>5249</v>
      </c>
      <c r="B1751" s="9" t="str">
        <f>HYPERLINK("http://biobank.ctsu.ox.ac.uk/crystal/field.cgi?id=25299", "25299")</f>
        <v>25299</v>
      </c>
      <c r="C1751" s="8" t="s">
        <v>5251</v>
      </c>
      <c r="D1751" s="8" t="s">
        <v>10049</v>
      </c>
      <c r="E1751" s="8" t="s">
        <v>11898</v>
      </c>
    </row>
    <row r="1752" spans="1:5" x14ac:dyDescent="0.25">
      <c r="A1752" s="5" t="s">
        <v>5252</v>
      </c>
      <c r="B1752" s="9" t="str">
        <f>HYPERLINK("http://biobank.ctsu.ox.ac.uk/crystal/field.cgi?id=25300", "25300")</f>
        <v>25300</v>
      </c>
      <c r="C1752" s="8" t="s">
        <v>5254</v>
      </c>
      <c r="D1752" s="8" t="s">
        <v>10049</v>
      </c>
      <c r="E1752" s="8" t="s">
        <v>11899</v>
      </c>
    </row>
    <row r="1753" spans="1:5" x14ac:dyDescent="0.25">
      <c r="A1753" s="5" t="s">
        <v>5255</v>
      </c>
      <c r="B1753" s="9" t="str">
        <f>HYPERLINK("http://biobank.ctsu.ox.ac.uk/crystal/field.cgi?id=25301", "25301")</f>
        <v>25301</v>
      </c>
      <c r="C1753" s="8" t="s">
        <v>5257</v>
      </c>
      <c r="D1753" s="8" t="s">
        <v>10049</v>
      </c>
      <c r="E1753" s="8" t="s">
        <v>11900</v>
      </c>
    </row>
    <row r="1754" spans="1:5" x14ac:dyDescent="0.25">
      <c r="A1754" s="5" t="s">
        <v>5258</v>
      </c>
      <c r="B1754" s="9" t="str">
        <f>HYPERLINK("http://biobank.ctsu.ox.ac.uk/crystal/field.cgi?id=25302", "25302")</f>
        <v>25302</v>
      </c>
      <c r="C1754" s="8" t="s">
        <v>5260</v>
      </c>
      <c r="D1754" s="8" t="s">
        <v>10049</v>
      </c>
      <c r="E1754" s="8" t="s">
        <v>11901</v>
      </c>
    </row>
    <row r="1755" spans="1:5" x14ac:dyDescent="0.25">
      <c r="A1755" s="5" t="s">
        <v>5261</v>
      </c>
      <c r="B1755" s="9" t="str">
        <f>HYPERLINK("http://biobank.ctsu.ox.ac.uk/crystal/field.cgi?id=25303", "25303")</f>
        <v>25303</v>
      </c>
      <c r="C1755" s="8" t="s">
        <v>5263</v>
      </c>
      <c r="D1755" s="8" t="s">
        <v>10049</v>
      </c>
      <c r="E1755" s="8" t="s">
        <v>11902</v>
      </c>
    </row>
    <row r="1756" spans="1:5" x14ac:dyDescent="0.25">
      <c r="A1756" s="5" t="s">
        <v>5264</v>
      </c>
      <c r="B1756" s="9" t="str">
        <f>HYPERLINK("http://biobank.ctsu.ox.ac.uk/crystal/field.cgi?id=25304", "25304")</f>
        <v>25304</v>
      </c>
      <c r="C1756" s="8" t="s">
        <v>5266</v>
      </c>
      <c r="D1756" s="8" t="s">
        <v>10049</v>
      </c>
      <c r="E1756" s="8" t="s">
        <v>11903</v>
      </c>
    </row>
    <row r="1757" spans="1:5" x14ac:dyDescent="0.25">
      <c r="A1757" s="5" t="s">
        <v>5267</v>
      </c>
      <c r="B1757" s="9" t="str">
        <f>HYPERLINK("http://biobank.ctsu.ox.ac.uk/crystal/field.cgi?id=25305", "25305")</f>
        <v>25305</v>
      </c>
      <c r="C1757" s="8" t="s">
        <v>5269</v>
      </c>
      <c r="D1757" s="8" t="s">
        <v>10049</v>
      </c>
      <c r="E1757" s="8" t="s">
        <v>11904</v>
      </c>
    </row>
    <row r="1758" spans="1:5" x14ac:dyDescent="0.25">
      <c r="A1758" s="5" t="s">
        <v>5270</v>
      </c>
      <c r="B1758" s="9" t="str">
        <f>HYPERLINK("http://biobank.ctsu.ox.ac.uk/crystal/field.cgi?id=25306", "25306")</f>
        <v>25306</v>
      </c>
      <c r="C1758" s="8" t="s">
        <v>5272</v>
      </c>
      <c r="D1758" s="8" t="s">
        <v>10049</v>
      </c>
      <c r="E1758" s="8" t="s">
        <v>11905</v>
      </c>
    </row>
    <row r="1759" spans="1:5" x14ac:dyDescent="0.25">
      <c r="A1759" s="5" t="s">
        <v>5273</v>
      </c>
      <c r="B1759" s="9" t="str">
        <f>HYPERLINK("http://biobank.ctsu.ox.ac.uk/crystal/field.cgi?id=25307", "25307")</f>
        <v>25307</v>
      </c>
      <c r="C1759" s="8" t="s">
        <v>5275</v>
      </c>
      <c r="D1759" s="8" t="s">
        <v>10049</v>
      </c>
      <c r="E1759" s="8" t="s">
        <v>11906</v>
      </c>
    </row>
    <row r="1760" spans="1:5" x14ac:dyDescent="0.25">
      <c r="A1760" s="5" t="s">
        <v>5276</v>
      </c>
      <c r="B1760" s="9" t="str">
        <f>HYPERLINK("http://biobank.ctsu.ox.ac.uk/crystal/field.cgi?id=25308", "25308")</f>
        <v>25308</v>
      </c>
      <c r="C1760" s="8" t="s">
        <v>5278</v>
      </c>
      <c r="D1760" s="8" t="s">
        <v>10049</v>
      </c>
      <c r="E1760" s="8" t="s">
        <v>11907</v>
      </c>
    </row>
    <row r="1761" spans="1:5" x14ac:dyDescent="0.25">
      <c r="A1761" s="5" t="s">
        <v>5279</v>
      </c>
      <c r="B1761" s="9" t="str">
        <f>HYPERLINK("http://biobank.ctsu.ox.ac.uk/crystal/field.cgi?id=25309", "25309")</f>
        <v>25309</v>
      </c>
      <c r="C1761" s="8" t="s">
        <v>5281</v>
      </c>
      <c r="D1761" s="8" t="s">
        <v>10049</v>
      </c>
      <c r="E1761" s="8" t="s">
        <v>11908</v>
      </c>
    </row>
    <row r="1762" spans="1:5" x14ac:dyDescent="0.25">
      <c r="A1762" s="5" t="s">
        <v>5282</v>
      </c>
      <c r="B1762" s="9" t="str">
        <f>HYPERLINK("http://biobank.ctsu.ox.ac.uk/crystal/field.cgi?id=25310", "25310")</f>
        <v>25310</v>
      </c>
      <c r="C1762" s="8" t="s">
        <v>5284</v>
      </c>
      <c r="D1762" s="8" t="s">
        <v>10049</v>
      </c>
      <c r="E1762" s="8" t="s">
        <v>11909</v>
      </c>
    </row>
    <row r="1763" spans="1:5" x14ac:dyDescent="0.25">
      <c r="A1763" s="5" t="s">
        <v>5285</v>
      </c>
      <c r="B1763" s="9" t="str">
        <f>HYPERLINK("http://biobank.ctsu.ox.ac.uk/crystal/field.cgi?id=25311", "25311")</f>
        <v>25311</v>
      </c>
      <c r="C1763" s="8" t="s">
        <v>5287</v>
      </c>
      <c r="D1763" s="8" t="s">
        <v>10049</v>
      </c>
      <c r="E1763" s="8" t="s">
        <v>11910</v>
      </c>
    </row>
    <row r="1764" spans="1:5" x14ac:dyDescent="0.25">
      <c r="A1764" s="5" t="s">
        <v>5288</v>
      </c>
      <c r="B1764" s="9" t="str">
        <f>HYPERLINK("http://biobank.ctsu.ox.ac.uk/crystal/field.cgi?id=25312", "25312")</f>
        <v>25312</v>
      </c>
      <c r="C1764" s="8" t="s">
        <v>5290</v>
      </c>
      <c r="D1764" s="8" t="s">
        <v>10049</v>
      </c>
      <c r="E1764" s="8" t="s">
        <v>11911</v>
      </c>
    </row>
    <row r="1765" spans="1:5" x14ac:dyDescent="0.25">
      <c r="A1765" s="5" t="s">
        <v>5291</v>
      </c>
      <c r="B1765" s="9" t="str">
        <f>HYPERLINK("http://biobank.ctsu.ox.ac.uk/crystal/field.cgi?id=25313", "25313")</f>
        <v>25313</v>
      </c>
      <c r="C1765" s="8" t="s">
        <v>5293</v>
      </c>
      <c r="D1765" s="8" t="s">
        <v>10049</v>
      </c>
      <c r="E1765" s="8" t="s">
        <v>11912</v>
      </c>
    </row>
    <row r="1766" spans="1:5" x14ac:dyDescent="0.25">
      <c r="A1766" s="5" t="s">
        <v>5294</v>
      </c>
      <c r="B1766" s="9" t="str">
        <f>HYPERLINK("http://biobank.ctsu.ox.ac.uk/crystal/field.cgi?id=25314", "25314")</f>
        <v>25314</v>
      </c>
      <c r="C1766" s="8" t="s">
        <v>5296</v>
      </c>
      <c r="D1766" s="8" t="s">
        <v>10049</v>
      </c>
      <c r="E1766" s="8" t="s">
        <v>11913</v>
      </c>
    </row>
    <row r="1767" spans="1:5" x14ac:dyDescent="0.25">
      <c r="A1767" s="5" t="s">
        <v>5297</v>
      </c>
      <c r="B1767" s="9" t="str">
        <f>HYPERLINK("http://biobank.ctsu.ox.ac.uk/crystal/field.cgi?id=25315", "25315")</f>
        <v>25315</v>
      </c>
      <c r="C1767" s="8" t="s">
        <v>5299</v>
      </c>
      <c r="D1767" s="8" t="s">
        <v>10049</v>
      </c>
      <c r="E1767" s="8" t="s">
        <v>11914</v>
      </c>
    </row>
    <row r="1768" spans="1:5" x14ac:dyDescent="0.25">
      <c r="A1768" s="5" t="s">
        <v>5300</v>
      </c>
      <c r="B1768" s="9" t="str">
        <f>HYPERLINK("http://biobank.ctsu.ox.ac.uk/crystal/field.cgi?id=25316", "25316")</f>
        <v>25316</v>
      </c>
      <c r="C1768" s="8" t="s">
        <v>5302</v>
      </c>
      <c r="D1768" s="8" t="s">
        <v>10049</v>
      </c>
      <c r="E1768" s="8" t="s">
        <v>11915</v>
      </c>
    </row>
    <row r="1769" spans="1:5" x14ac:dyDescent="0.25">
      <c r="A1769" s="5" t="s">
        <v>5303</v>
      </c>
      <c r="B1769" s="9" t="str">
        <f>HYPERLINK("http://biobank.ctsu.ox.ac.uk/crystal/field.cgi?id=25317", "25317")</f>
        <v>25317</v>
      </c>
      <c r="C1769" s="8" t="s">
        <v>5305</v>
      </c>
      <c r="D1769" s="8" t="s">
        <v>10049</v>
      </c>
      <c r="E1769" s="8" t="s">
        <v>11916</v>
      </c>
    </row>
    <row r="1770" spans="1:5" x14ac:dyDescent="0.25">
      <c r="A1770" s="5" t="s">
        <v>5306</v>
      </c>
      <c r="B1770" s="9" t="str">
        <f>HYPERLINK("http://biobank.ctsu.ox.ac.uk/crystal/field.cgi?id=25318", "25318")</f>
        <v>25318</v>
      </c>
      <c r="C1770" s="8" t="s">
        <v>5308</v>
      </c>
      <c r="D1770" s="8" t="s">
        <v>10049</v>
      </c>
      <c r="E1770" s="8" t="s">
        <v>11917</v>
      </c>
    </row>
    <row r="1771" spans="1:5" x14ac:dyDescent="0.25">
      <c r="A1771" s="5" t="s">
        <v>5309</v>
      </c>
      <c r="B1771" s="9" t="str">
        <f>HYPERLINK("http://biobank.ctsu.ox.ac.uk/crystal/field.cgi?id=25319", "25319")</f>
        <v>25319</v>
      </c>
      <c r="C1771" s="8" t="s">
        <v>5311</v>
      </c>
      <c r="D1771" s="8" t="s">
        <v>10049</v>
      </c>
      <c r="E1771" s="8" t="s">
        <v>11918</v>
      </c>
    </row>
    <row r="1772" spans="1:5" x14ac:dyDescent="0.25">
      <c r="A1772" s="5" t="s">
        <v>5312</v>
      </c>
      <c r="B1772" s="9" t="str">
        <f>HYPERLINK("http://biobank.ctsu.ox.ac.uk/crystal/field.cgi?id=25320", "25320")</f>
        <v>25320</v>
      </c>
      <c r="C1772" s="8" t="s">
        <v>5314</v>
      </c>
      <c r="D1772" s="8" t="s">
        <v>10049</v>
      </c>
      <c r="E1772" s="8" t="s">
        <v>11919</v>
      </c>
    </row>
    <row r="1773" spans="1:5" x14ac:dyDescent="0.25">
      <c r="A1773" s="5" t="s">
        <v>5315</v>
      </c>
      <c r="B1773" s="9" t="str">
        <f>HYPERLINK("http://biobank.ctsu.ox.ac.uk/crystal/field.cgi?id=25321", "25321")</f>
        <v>25321</v>
      </c>
      <c r="C1773" s="8" t="s">
        <v>5317</v>
      </c>
      <c r="D1773" s="8" t="s">
        <v>10049</v>
      </c>
      <c r="E1773" s="8" t="s">
        <v>11920</v>
      </c>
    </row>
    <row r="1774" spans="1:5" x14ac:dyDescent="0.25">
      <c r="A1774" s="5" t="s">
        <v>5318</v>
      </c>
      <c r="B1774" s="9" t="str">
        <f>HYPERLINK("http://biobank.ctsu.ox.ac.uk/crystal/field.cgi?id=25322", "25322")</f>
        <v>25322</v>
      </c>
      <c r="C1774" s="8" t="s">
        <v>5320</v>
      </c>
      <c r="D1774" s="8" t="s">
        <v>10049</v>
      </c>
      <c r="E1774" s="8" t="s">
        <v>11921</v>
      </c>
    </row>
    <row r="1775" spans="1:5" x14ac:dyDescent="0.25">
      <c r="A1775" s="5" t="s">
        <v>5321</v>
      </c>
      <c r="B1775" s="9" t="str">
        <f>HYPERLINK("http://biobank.ctsu.ox.ac.uk/crystal/field.cgi?id=25323", "25323")</f>
        <v>25323</v>
      </c>
      <c r="C1775" s="8" t="s">
        <v>5323</v>
      </c>
      <c r="D1775" s="8" t="s">
        <v>10049</v>
      </c>
      <c r="E1775" s="8" t="s">
        <v>11922</v>
      </c>
    </row>
    <row r="1776" spans="1:5" x14ac:dyDescent="0.25">
      <c r="A1776" s="5" t="s">
        <v>5324</v>
      </c>
      <c r="B1776" s="9" t="str">
        <f>HYPERLINK("http://biobank.ctsu.ox.ac.uk/crystal/field.cgi?id=25324", "25324")</f>
        <v>25324</v>
      </c>
      <c r="C1776" s="8" t="s">
        <v>5326</v>
      </c>
      <c r="D1776" s="8" t="s">
        <v>10049</v>
      </c>
      <c r="E1776" s="8" t="s">
        <v>11923</v>
      </c>
    </row>
    <row r="1777" spans="1:5" x14ac:dyDescent="0.25">
      <c r="A1777" s="5" t="s">
        <v>5327</v>
      </c>
      <c r="B1777" s="9" t="str">
        <f>HYPERLINK("http://biobank.ctsu.ox.ac.uk/crystal/field.cgi?id=25325", "25325")</f>
        <v>25325</v>
      </c>
      <c r="C1777" s="8" t="s">
        <v>5329</v>
      </c>
      <c r="D1777" s="8" t="s">
        <v>10049</v>
      </c>
      <c r="E1777" s="8" t="s">
        <v>11924</v>
      </c>
    </row>
    <row r="1778" spans="1:5" x14ac:dyDescent="0.25">
      <c r="A1778" s="5" t="s">
        <v>5330</v>
      </c>
      <c r="B1778" s="9" t="str">
        <f>HYPERLINK("http://biobank.ctsu.ox.ac.uk/crystal/field.cgi?id=25326", "25326")</f>
        <v>25326</v>
      </c>
      <c r="C1778" s="8" t="s">
        <v>5332</v>
      </c>
      <c r="D1778" s="8" t="s">
        <v>10049</v>
      </c>
      <c r="E1778" s="8" t="s">
        <v>11925</v>
      </c>
    </row>
    <row r="1779" spans="1:5" x14ac:dyDescent="0.25">
      <c r="A1779" s="5" t="s">
        <v>5333</v>
      </c>
      <c r="B1779" s="9" t="str">
        <f>HYPERLINK("http://biobank.ctsu.ox.ac.uk/crystal/field.cgi?id=25327", "25327")</f>
        <v>25327</v>
      </c>
      <c r="C1779" s="8" t="s">
        <v>5335</v>
      </c>
      <c r="D1779" s="8" t="s">
        <v>10049</v>
      </c>
      <c r="E1779" s="8" t="s">
        <v>11926</v>
      </c>
    </row>
    <row r="1780" spans="1:5" x14ac:dyDescent="0.25">
      <c r="A1780" s="5" t="s">
        <v>5336</v>
      </c>
      <c r="B1780" s="9" t="str">
        <f>HYPERLINK("http://biobank.ctsu.ox.ac.uk/crystal/field.cgi?id=25328", "25328")</f>
        <v>25328</v>
      </c>
      <c r="C1780" s="8" t="s">
        <v>5338</v>
      </c>
      <c r="D1780" s="8" t="s">
        <v>10049</v>
      </c>
      <c r="E1780" s="8" t="s">
        <v>11927</v>
      </c>
    </row>
    <row r="1781" spans="1:5" x14ac:dyDescent="0.25">
      <c r="A1781" s="5" t="s">
        <v>5339</v>
      </c>
      <c r="B1781" s="9" t="str">
        <f>HYPERLINK("http://biobank.ctsu.ox.ac.uk/crystal/field.cgi?id=25329", "25329")</f>
        <v>25329</v>
      </c>
      <c r="C1781" s="8" t="s">
        <v>5341</v>
      </c>
      <c r="D1781" s="8" t="s">
        <v>10049</v>
      </c>
      <c r="E1781" s="8" t="s">
        <v>11928</v>
      </c>
    </row>
    <row r="1782" spans="1:5" x14ac:dyDescent="0.25">
      <c r="A1782" s="5" t="s">
        <v>5342</v>
      </c>
      <c r="B1782" s="9" t="str">
        <f>HYPERLINK("http://biobank.ctsu.ox.ac.uk/crystal/field.cgi?id=25330", "25330")</f>
        <v>25330</v>
      </c>
      <c r="C1782" s="8" t="s">
        <v>5344</v>
      </c>
      <c r="D1782" s="8" t="s">
        <v>10049</v>
      </c>
      <c r="E1782" s="8" t="s">
        <v>11929</v>
      </c>
    </row>
    <row r="1783" spans="1:5" x14ac:dyDescent="0.25">
      <c r="A1783" s="5" t="s">
        <v>5345</v>
      </c>
      <c r="B1783" s="9" t="str">
        <f>HYPERLINK("http://biobank.ctsu.ox.ac.uk/crystal/field.cgi?id=25331", "25331")</f>
        <v>25331</v>
      </c>
      <c r="C1783" s="8" t="s">
        <v>5347</v>
      </c>
      <c r="D1783" s="8" t="s">
        <v>10049</v>
      </c>
      <c r="E1783" s="8" t="s">
        <v>11930</v>
      </c>
    </row>
    <row r="1784" spans="1:5" x14ac:dyDescent="0.25">
      <c r="A1784" s="5" t="s">
        <v>5348</v>
      </c>
      <c r="B1784" s="9" t="str">
        <f>HYPERLINK("http://biobank.ctsu.ox.ac.uk/crystal/field.cgi?id=25332", "25332")</f>
        <v>25332</v>
      </c>
      <c r="C1784" s="8" t="s">
        <v>5350</v>
      </c>
      <c r="D1784" s="8" t="s">
        <v>10049</v>
      </c>
      <c r="E1784" s="8" t="s">
        <v>11931</v>
      </c>
    </row>
    <row r="1785" spans="1:5" x14ac:dyDescent="0.25">
      <c r="A1785" s="5" t="s">
        <v>5351</v>
      </c>
      <c r="B1785" s="9" t="str">
        <f>HYPERLINK("http://biobank.ctsu.ox.ac.uk/crystal/field.cgi?id=25333", "25333")</f>
        <v>25333</v>
      </c>
      <c r="C1785" s="8" t="s">
        <v>5353</v>
      </c>
      <c r="D1785" s="8" t="s">
        <v>10049</v>
      </c>
      <c r="E1785" s="8" t="s">
        <v>11932</v>
      </c>
    </row>
    <row r="1786" spans="1:5" x14ac:dyDescent="0.25">
      <c r="A1786" s="5" t="s">
        <v>5354</v>
      </c>
      <c r="B1786" s="9" t="str">
        <f>HYPERLINK("http://biobank.ctsu.ox.ac.uk/crystal/field.cgi?id=25334", "25334")</f>
        <v>25334</v>
      </c>
      <c r="C1786" s="8" t="s">
        <v>5356</v>
      </c>
      <c r="D1786" s="8" t="s">
        <v>10049</v>
      </c>
      <c r="E1786" s="8" t="s">
        <v>11933</v>
      </c>
    </row>
    <row r="1787" spans="1:5" x14ac:dyDescent="0.25">
      <c r="A1787" s="5" t="s">
        <v>5357</v>
      </c>
      <c r="B1787" s="9" t="str">
        <f>HYPERLINK("http://biobank.ctsu.ox.ac.uk/crystal/field.cgi?id=25335", "25335")</f>
        <v>25335</v>
      </c>
      <c r="C1787" s="8" t="s">
        <v>5359</v>
      </c>
      <c r="D1787" s="8" t="s">
        <v>10049</v>
      </c>
      <c r="E1787" s="8" t="s">
        <v>11934</v>
      </c>
    </row>
    <row r="1788" spans="1:5" x14ac:dyDescent="0.25">
      <c r="A1788" s="5" t="s">
        <v>5360</v>
      </c>
      <c r="B1788" s="9" t="str">
        <f>HYPERLINK("http://biobank.ctsu.ox.ac.uk/crystal/field.cgi?id=25336", "25336")</f>
        <v>25336</v>
      </c>
      <c r="C1788" s="8" t="s">
        <v>5362</v>
      </c>
      <c r="D1788" s="8" t="s">
        <v>10049</v>
      </c>
      <c r="E1788" s="8" t="s">
        <v>11935</v>
      </c>
    </row>
    <row r="1789" spans="1:5" x14ac:dyDescent="0.25">
      <c r="A1789" s="5" t="s">
        <v>5363</v>
      </c>
      <c r="B1789" s="9" t="str">
        <f>HYPERLINK("http://biobank.ctsu.ox.ac.uk/crystal/field.cgi?id=25337", "25337")</f>
        <v>25337</v>
      </c>
      <c r="C1789" s="8" t="s">
        <v>5365</v>
      </c>
      <c r="D1789" s="8" t="s">
        <v>10049</v>
      </c>
      <c r="E1789" s="8" t="s">
        <v>11936</v>
      </c>
    </row>
    <row r="1790" spans="1:5" x14ac:dyDescent="0.25">
      <c r="A1790" s="5" t="s">
        <v>5366</v>
      </c>
      <c r="B1790" s="9" t="str">
        <f>HYPERLINK("http://biobank.ctsu.ox.ac.uk/crystal/field.cgi?id=25338", "25338")</f>
        <v>25338</v>
      </c>
      <c r="C1790" s="8" t="s">
        <v>5368</v>
      </c>
      <c r="D1790" s="8" t="s">
        <v>10049</v>
      </c>
      <c r="E1790" s="8" t="s">
        <v>11937</v>
      </c>
    </row>
    <row r="1791" spans="1:5" x14ac:dyDescent="0.25">
      <c r="A1791" s="5" t="s">
        <v>5369</v>
      </c>
      <c r="B1791" s="9" t="str">
        <f>HYPERLINK("http://biobank.ctsu.ox.ac.uk/crystal/field.cgi?id=25339", "25339")</f>
        <v>25339</v>
      </c>
      <c r="C1791" s="8" t="s">
        <v>5371</v>
      </c>
      <c r="D1791" s="8" t="s">
        <v>10049</v>
      </c>
      <c r="E1791" s="8" t="s">
        <v>11938</v>
      </c>
    </row>
    <row r="1792" spans="1:5" x14ac:dyDescent="0.25">
      <c r="A1792" s="5" t="s">
        <v>5372</v>
      </c>
      <c r="B1792" s="9" t="str">
        <f>HYPERLINK("http://biobank.ctsu.ox.ac.uk/crystal/field.cgi?id=25340", "25340")</f>
        <v>25340</v>
      </c>
      <c r="C1792" s="8" t="s">
        <v>5374</v>
      </c>
      <c r="D1792" s="8" t="s">
        <v>10049</v>
      </c>
      <c r="E1792" s="8" t="s">
        <v>11939</v>
      </c>
    </row>
    <row r="1793" spans="1:5" x14ac:dyDescent="0.25">
      <c r="A1793" s="5" t="s">
        <v>5375</v>
      </c>
      <c r="B1793" s="9" t="str">
        <f>HYPERLINK("http://biobank.ctsu.ox.ac.uk/crystal/field.cgi?id=25341", "25341")</f>
        <v>25341</v>
      </c>
      <c r="C1793" s="8" t="s">
        <v>5377</v>
      </c>
      <c r="D1793" s="8" t="s">
        <v>10049</v>
      </c>
      <c r="E1793" s="8" t="s">
        <v>11940</v>
      </c>
    </row>
    <row r="1794" spans="1:5" x14ac:dyDescent="0.25">
      <c r="A1794" s="5" t="s">
        <v>5378</v>
      </c>
      <c r="B1794" s="9" t="str">
        <f>HYPERLINK("http://biobank.ctsu.ox.ac.uk/crystal/field.cgi?id=25342", "25342")</f>
        <v>25342</v>
      </c>
      <c r="C1794" s="8" t="s">
        <v>5380</v>
      </c>
      <c r="D1794" s="8" t="s">
        <v>10049</v>
      </c>
      <c r="E1794" s="8" t="s">
        <v>11941</v>
      </c>
    </row>
    <row r="1795" spans="1:5" x14ac:dyDescent="0.25">
      <c r="A1795" s="5" t="s">
        <v>5381</v>
      </c>
      <c r="B1795" s="9" t="str">
        <f>HYPERLINK("http://biobank.ctsu.ox.ac.uk/crystal/field.cgi?id=25343", "25343")</f>
        <v>25343</v>
      </c>
      <c r="C1795" s="8" t="s">
        <v>5383</v>
      </c>
      <c r="D1795" s="8" t="s">
        <v>10049</v>
      </c>
      <c r="E1795" s="8" t="s">
        <v>11942</v>
      </c>
    </row>
    <row r="1796" spans="1:5" x14ac:dyDescent="0.25">
      <c r="A1796" s="5" t="s">
        <v>5384</v>
      </c>
      <c r="B1796" s="9" t="str">
        <f>HYPERLINK("http://biobank.ctsu.ox.ac.uk/crystal/field.cgi?id=25515", "25515")</f>
        <v>25515</v>
      </c>
      <c r="C1796" s="8" t="s">
        <v>5386</v>
      </c>
      <c r="D1796" s="8" t="s">
        <v>10049</v>
      </c>
      <c r="E1796" s="8" t="s">
        <v>11943</v>
      </c>
    </row>
    <row r="1797" spans="1:5" x14ac:dyDescent="0.25">
      <c r="A1797" s="5" t="s">
        <v>5387</v>
      </c>
      <c r="B1797" s="9" t="str">
        <f>HYPERLINK("http://biobank.ctsu.ox.ac.uk/crystal/field.cgi?id=25516", "25516")</f>
        <v>25516</v>
      </c>
      <c r="C1797" s="8" t="s">
        <v>5389</v>
      </c>
      <c r="D1797" s="8" t="s">
        <v>10049</v>
      </c>
      <c r="E1797" s="8" t="s">
        <v>11944</v>
      </c>
    </row>
    <row r="1798" spans="1:5" x14ac:dyDescent="0.25">
      <c r="A1798" s="5" t="s">
        <v>5390</v>
      </c>
      <c r="B1798" s="9" t="str">
        <f>HYPERLINK("http://biobank.ctsu.ox.ac.uk/crystal/field.cgi?id=25517", "25517")</f>
        <v>25517</v>
      </c>
      <c r="C1798" s="8" t="s">
        <v>5392</v>
      </c>
      <c r="D1798" s="8" t="s">
        <v>10049</v>
      </c>
      <c r="E1798" s="8" t="s">
        <v>11945</v>
      </c>
    </row>
    <row r="1799" spans="1:5" x14ac:dyDescent="0.25">
      <c r="A1799" s="5" t="s">
        <v>5393</v>
      </c>
      <c r="B1799" s="9" t="str">
        <f>HYPERLINK("http://biobank.ctsu.ox.ac.uk/crystal/field.cgi?id=25518", "25518")</f>
        <v>25518</v>
      </c>
      <c r="C1799" s="8" t="s">
        <v>5395</v>
      </c>
      <c r="D1799" s="8" t="s">
        <v>10049</v>
      </c>
      <c r="E1799" s="8" t="s">
        <v>11946</v>
      </c>
    </row>
    <row r="1800" spans="1:5" x14ac:dyDescent="0.25">
      <c r="A1800" s="5" t="s">
        <v>5396</v>
      </c>
      <c r="B1800" s="9" t="str">
        <f>HYPERLINK("http://biobank.ctsu.ox.ac.uk/crystal/field.cgi?id=25519", "25519")</f>
        <v>25519</v>
      </c>
      <c r="C1800" s="8" t="s">
        <v>5398</v>
      </c>
      <c r="D1800" s="8" t="s">
        <v>10049</v>
      </c>
      <c r="E1800" s="8" t="s">
        <v>11947</v>
      </c>
    </row>
    <row r="1801" spans="1:5" x14ac:dyDescent="0.25">
      <c r="A1801" s="5" t="s">
        <v>5399</v>
      </c>
      <c r="B1801" s="9" t="str">
        <f>HYPERLINK("http://biobank.ctsu.ox.ac.uk/crystal/field.cgi?id=25520", "25520")</f>
        <v>25520</v>
      </c>
      <c r="C1801" s="8" t="s">
        <v>5401</v>
      </c>
      <c r="D1801" s="8" t="s">
        <v>10049</v>
      </c>
      <c r="E1801" s="8" t="s">
        <v>11948</v>
      </c>
    </row>
    <row r="1802" spans="1:5" x14ac:dyDescent="0.25">
      <c r="A1802" s="5" t="s">
        <v>5402</v>
      </c>
      <c r="B1802" s="9" t="str">
        <f>HYPERLINK("http://biobank.ctsu.ox.ac.uk/crystal/field.cgi?id=25521", "25521")</f>
        <v>25521</v>
      </c>
      <c r="C1802" s="8" t="s">
        <v>5404</v>
      </c>
      <c r="D1802" s="8" t="s">
        <v>10049</v>
      </c>
      <c r="E1802" s="8" t="s">
        <v>11949</v>
      </c>
    </row>
    <row r="1803" spans="1:5" x14ac:dyDescent="0.25">
      <c r="A1803" s="5" t="s">
        <v>5405</v>
      </c>
      <c r="B1803" s="9" t="str">
        <f>HYPERLINK("http://biobank.ctsu.ox.ac.uk/crystal/field.cgi?id=25522", "25522")</f>
        <v>25522</v>
      </c>
      <c r="C1803" s="8" t="s">
        <v>5407</v>
      </c>
      <c r="D1803" s="8" t="s">
        <v>10049</v>
      </c>
      <c r="E1803" s="8" t="s">
        <v>11950</v>
      </c>
    </row>
    <row r="1804" spans="1:5" x14ac:dyDescent="0.25">
      <c r="A1804" s="5" t="s">
        <v>5408</v>
      </c>
      <c r="B1804" s="9" t="str">
        <f>HYPERLINK("http://biobank.ctsu.ox.ac.uk/crystal/field.cgi?id=25523", "25523")</f>
        <v>25523</v>
      </c>
      <c r="C1804" s="8" t="s">
        <v>5410</v>
      </c>
      <c r="D1804" s="8" t="s">
        <v>10049</v>
      </c>
      <c r="E1804" s="8" t="s">
        <v>11951</v>
      </c>
    </row>
    <row r="1805" spans="1:5" x14ac:dyDescent="0.25">
      <c r="A1805" s="5" t="s">
        <v>5411</v>
      </c>
      <c r="B1805" s="9" t="str">
        <f>HYPERLINK("http://biobank.ctsu.ox.ac.uk/crystal/field.cgi?id=25524", "25524")</f>
        <v>25524</v>
      </c>
      <c r="C1805" s="8" t="s">
        <v>5413</v>
      </c>
      <c r="D1805" s="8" t="s">
        <v>10049</v>
      </c>
      <c r="E1805" s="8" t="s">
        <v>11952</v>
      </c>
    </row>
    <row r="1806" spans="1:5" x14ac:dyDescent="0.25">
      <c r="A1806" s="5" t="s">
        <v>5414</v>
      </c>
      <c r="B1806" s="9" t="str">
        <f>HYPERLINK("http://biobank.ctsu.ox.ac.uk/crystal/field.cgi?id=25525", "25525")</f>
        <v>25525</v>
      </c>
      <c r="C1806" s="8" t="s">
        <v>5416</v>
      </c>
      <c r="D1806" s="8" t="s">
        <v>10049</v>
      </c>
      <c r="E1806" s="8" t="s">
        <v>11953</v>
      </c>
    </row>
    <row r="1807" spans="1:5" x14ac:dyDescent="0.25">
      <c r="A1807" s="5" t="s">
        <v>5417</v>
      </c>
      <c r="B1807" s="9" t="str">
        <f>HYPERLINK("http://biobank.ctsu.ox.ac.uk/crystal/field.cgi?id=25526", "25526")</f>
        <v>25526</v>
      </c>
      <c r="C1807" s="8" t="s">
        <v>5419</v>
      </c>
      <c r="D1807" s="8" t="s">
        <v>10049</v>
      </c>
      <c r="E1807" s="8" t="s">
        <v>11954</v>
      </c>
    </row>
    <row r="1808" spans="1:5" x14ac:dyDescent="0.25">
      <c r="A1808" s="5" t="s">
        <v>5420</v>
      </c>
      <c r="B1808" s="9" t="str">
        <f>HYPERLINK("http://biobank.ctsu.ox.ac.uk/crystal/field.cgi?id=25527", "25527")</f>
        <v>25527</v>
      </c>
      <c r="C1808" s="8" t="s">
        <v>5422</v>
      </c>
      <c r="D1808" s="8" t="s">
        <v>10049</v>
      </c>
      <c r="E1808" s="8" t="s">
        <v>11955</v>
      </c>
    </row>
    <row r="1809" spans="1:5" x14ac:dyDescent="0.25">
      <c r="A1809" s="5" t="s">
        <v>5423</v>
      </c>
      <c r="B1809" s="9" t="str">
        <f>HYPERLINK("http://biobank.ctsu.ox.ac.uk/crystal/field.cgi?id=25528", "25528")</f>
        <v>25528</v>
      </c>
      <c r="C1809" s="8" t="s">
        <v>5425</v>
      </c>
      <c r="D1809" s="8" t="s">
        <v>10049</v>
      </c>
      <c r="E1809" s="8" t="s">
        <v>11956</v>
      </c>
    </row>
    <row r="1810" spans="1:5" x14ac:dyDescent="0.25">
      <c r="A1810" s="5" t="s">
        <v>5426</v>
      </c>
      <c r="B1810" s="9" t="str">
        <f>HYPERLINK("http://biobank.ctsu.ox.ac.uk/crystal/field.cgi?id=25529", "25529")</f>
        <v>25529</v>
      </c>
      <c r="C1810" s="8" t="s">
        <v>5428</v>
      </c>
      <c r="D1810" s="8" t="s">
        <v>10049</v>
      </c>
      <c r="E1810" s="8" t="s">
        <v>11957</v>
      </c>
    </row>
    <row r="1811" spans="1:5" x14ac:dyDescent="0.25">
      <c r="A1811" s="5" t="s">
        <v>5429</v>
      </c>
      <c r="B1811" s="9" t="str">
        <f>HYPERLINK("http://biobank.ctsu.ox.ac.uk/crystal/field.cgi?id=25530", "25530")</f>
        <v>25530</v>
      </c>
      <c r="C1811" s="8" t="s">
        <v>5431</v>
      </c>
      <c r="D1811" s="8" t="s">
        <v>10049</v>
      </c>
      <c r="E1811" s="8" t="s">
        <v>11958</v>
      </c>
    </row>
    <row r="1812" spans="1:5" x14ac:dyDescent="0.25">
      <c r="A1812" s="5" t="s">
        <v>5432</v>
      </c>
      <c r="B1812" s="9" t="str">
        <f>HYPERLINK("http://biobank.ctsu.ox.ac.uk/crystal/field.cgi?id=25531", "25531")</f>
        <v>25531</v>
      </c>
      <c r="C1812" s="8" t="s">
        <v>5434</v>
      </c>
      <c r="D1812" s="8" t="s">
        <v>10049</v>
      </c>
      <c r="E1812" s="8" t="s">
        <v>11959</v>
      </c>
    </row>
    <row r="1813" spans="1:5" x14ac:dyDescent="0.25">
      <c r="A1813" s="5" t="s">
        <v>5435</v>
      </c>
      <c r="B1813" s="9" t="str">
        <f>HYPERLINK("http://biobank.ctsu.ox.ac.uk/crystal/field.cgi?id=25532", "25532")</f>
        <v>25532</v>
      </c>
      <c r="C1813" s="8" t="s">
        <v>5437</v>
      </c>
      <c r="D1813" s="8" t="s">
        <v>10049</v>
      </c>
      <c r="E1813" s="8" t="s">
        <v>11960</v>
      </c>
    </row>
    <row r="1814" spans="1:5" x14ac:dyDescent="0.25">
      <c r="A1814" s="5" t="s">
        <v>5438</v>
      </c>
      <c r="B1814" s="9" t="str">
        <f>HYPERLINK("http://biobank.ctsu.ox.ac.uk/crystal/field.cgi?id=25533", "25533")</f>
        <v>25533</v>
      </c>
      <c r="C1814" s="8" t="s">
        <v>5440</v>
      </c>
      <c r="D1814" s="8" t="s">
        <v>10049</v>
      </c>
      <c r="E1814" s="8" t="s">
        <v>11961</v>
      </c>
    </row>
    <row r="1815" spans="1:5" x14ac:dyDescent="0.25">
      <c r="A1815" s="5" t="s">
        <v>5441</v>
      </c>
      <c r="B1815" s="9" t="str">
        <f>HYPERLINK("http://biobank.ctsu.ox.ac.uk/crystal/field.cgi?id=25534", "25534")</f>
        <v>25534</v>
      </c>
      <c r="C1815" s="8" t="s">
        <v>5443</v>
      </c>
      <c r="D1815" s="8" t="s">
        <v>10049</v>
      </c>
      <c r="E1815" s="8" t="s">
        <v>11962</v>
      </c>
    </row>
    <row r="1816" spans="1:5" x14ac:dyDescent="0.25">
      <c r="A1816" s="5" t="s">
        <v>5444</v>
      </c>
      <c r="B1816" s="9" t="str">
        <f>HYPERLINK("http://biobank.ctsu.ox.ac.uk/crystal/field.cgi?id=25535", "25535")</f>
        <v>25535</v>
      </c>
      <c r="C1816" s="8" t="s">
        <v>5446</v>
      </c>
      <c r="D1816" s="8" t="s">
        <v>10049</v>
      </c>
      <c r="E1816" s="8" t="s">
        <v>11963</v>
      </c>
    </row>
    <row r="1817" spans="1:5" x14ac:dyDescent="0.25">
      <c r="A1817" s="5" t="s">
        <v>5447</v>
      </c>
      <c r="B1817" s="9" t="str">
        <f>HYPERLINK("http://biobank.ctsu.ox.ac.uk/crystal/field.cgi?id=25536", "25536")</f>
        <v>25536</v>
      </c>
      <c r="C1817" s="8" t="s">
        <v>5449</v>
      </c>
      <c r="D1817" s="8" t="s">
        <v>10049</v>
      </c>
      <c r="E1817" s="8" t="s">
        <v>11964</v>
      </c>
    </row>
    <row r="1818" spans="1:5" x14ac:dyDescent="0.25">
      <c r="A1818" s="5" t="s">
        <v>5450</v>
      </c>
      <c r="B1818" s="9" t="str">
        <f>HYPERLINK("http://biobank.ctsu.ox.ac.uk/crystal/field.cgi?id=25537", "25537")</f>
        <v>25537</v>
      </c>
      <c r="C1818" s="8" t="s">
        <v>5452</v>
      </c>
      <c r="D1818" s="8" t="s">
        <v>10049</v>
      </c>
      <c r="E1818" s="8" t="s">
        <v>11965</v>
      </c>
    </row>
    <row r="1819" spans="1:5" x14ac:dyDescent="0.25">
      <c r="A1819" s="5" t="s">
        <v>5453</v>
      </c>
      <c r="B1819" s="9" t="str">
        <f>HYPERLINK("http://biobank.ctsu.ox.ac.uk/crystal/field.cgi?id=25538", "25538")</f>
        <v>25538</v>
      </c>
      <c r="C1819" s="8" t="s">
        <v>5455</v>
      </c>
      <c r="D1819" s="8" t="s">
        <v>10049</v>
      </c>
      <c r="E1819" s="8" t="s">
        <v>11966</v>
      </c>
    </row>
    <row r="1820" spans="1:5" x14ac:dyDescent="0.25">
      <c r="A1820" s="5" t="s">
        <v>5456</v>
      </c>
      <c r="B1820" s="9" t="str">
        <f>HYPERLINK("http://biobank.ctsu.ox.ac.uk/crystal/field.cgi?id=25539", "25539")</f>
        <v>25539</v>
      </c>
      <c r="C1820" s="8" t="s">
        <v>5458</v>
      </c>
      <c r="D1820" s="8" t="s">
        <v>10049</v>
      </c>
      <c r="E1820" s="8" t="s">
        <v>11967</v>
      </c>
    </row>
    <row r="1821" spans="1:5" x14ac:dyDescent="0.25">
      <c r="A1821" s="5" t="s">
        <v>5459</v>
      </c>
      <c r="B1821" s="9" t="str">
        <f>HYPERLINK("http://biobank.ctsu.ox.ac.uk/crystal/field.cgi?id=25540", "25540")</f>
        <v>25540</v>
      </c>
      <c r="C1821" s="8" t="s">
        <v>5461</v>
      </c>
      <c r="D1821" s="8" t="s">
        <v>10049</v>
      </c>
      <c r="E1821" s="8" t="s">
        <v>11968</v>
      </c>
    </row>
    <row r="1822" spans="1:5" x14ac:dyDescent="0.25">
      <c r="A1822" s="5" t="s">
        <v>5462</v>
      </c>
      <c r="B1822" s="9" t="str">
        <f>HYPERLINK("http://biobank.ctsu.ox.ac.uk/crystal/field.cgi?id=25541", "25541")</f>
        <v>25541</v>
      </c>
      <c r="C1822" s="8" t="s">
        <v>5464</v>
      </c>
      <c r="D1822" s="8" t="s">
        <v>10049</v>
      </c>
      <c r="E1822" s="8" t="s">
        <v>11969</v>
      </c>
    </row>
    <row r="1823" spans="1:5" x14ac:dyDescent="0.25">
      <c r="A1823" s="5" t="s">
        <v>5465</v>
      </c>
      <c r="B1823" s="9" t="str">
        <f>HYPERLINK("http://biobank.ctsu.ox.ac.uk/crystal/field.cgi?id=25569", "25569")</f>
        <v>25569</v>
      </c>
      <c r="C1823" s="8" t="s">
        <v>5467</v>
      </c>
      <c r="D1823" s="8" t="s">
        <v>10049</v>
      </c>
      <c r="E1823" s="8" t="s">
        <v>11970</v>
      </c>
    </row>
    <row r="1824" spans="1:5" x14ac:dyDescent="0.25">
      <c r="A1824" s="5" t="s">
        <v>5468</v>
      </c>
      <c r="B1824" s="9" t="str">
        <f>HYPERLINK("http://biobank.ctsu.ox.ac.uk/crystal/field.cgi?id=25570", "25570")</f>
        <v>25570</v>
      </c>
      <c r="C1824" s="8" t="s">
        <v>5470</v>
      </c>
      <c r="D1824" s="8" t="s">
        <v>10049</v>
      </c>
      <c r="E1824" s="8" t="s">
        <v>11971</v>
      </c>
    </row>
    <row r="1825" spans="1:5" x14ac:dyDescent="0.25">
      <c r="A1825" s="5" t="s">
        <v>5471</v>
      </c>
      <c r="B1825" s="9" t="str">
        <f>HYPERLINK("http://biobank.ctsu.ox.ac.uk/crystal/field.cgi?id=25571", "25571")</f>
        <v>25571</v>
      </c>
      <c r="C1825" s="8" t="s">
        <v>5473</v>
      </c>
      <c r="D1825" s="8" t="s">
        <v>10049</v>
      </c>
      <c r="E1825" s="8" t="s">
        <v>11972</v>
      </c>
    </row>
    <row r="1826" spans="1:5" x14ac:dyDescent="0.25">
      <c r="A1826" s="5" t="s">
        <v>5474</v>
      </c>
      <c r="B1826" s="9" t="str">
        <f>HYPERLINK("http://biobank.ctsu.ox.ac.uk/crystal/field.cgi?id=25572", "25572")</f>
        <v>25572</v>
      </c>
      <c r="C1826" s="8" t="s">
        <v>5476</v>
      </c>
      <c r="D1826" s="8" t="s">
        <v>10049</v>
      </c>
      <c r="E1826" s="8" t="s">
        <v>11973</v>
      </c>
    </row>
    <row r="1827" spans="1:5" x14ac:dyDescent="0.25">
      <c r="A1827" s="5" t="s">
        <v>5477</v>
      </c>
      <c r="B1827" s="9" t="str">
        <f>HYPERLINK("http://biobank.ctsu.ox.ac.uk/crystal/field.cgi?id=25573", "25573")</f>
        <v>25573</v>
      </c>
      <c r="C1827" s="8" t="s">
        <v>5479</v>
      </c>
      <c r="D1827" s="8" t="s">
        <v>10049</v>
      </c>
      <c r="E1827" s="8" t="s">
        <v>11974</v>
      </c>
    </row>
    <row r="1828" spans="1:5" x14ac:dyDescent="0.25">
      <c r="A1828" s="5" t="s">
        <v>5480</v>
      </c>
      <c r="B1828" s="9" t="str">
        <f>HYPERLINK("http://biobank.ctsu.ox.ac.uk/crystal/field.cgi?id=25574", "25574")</f>
        <v>25574</v>
      </c>
      <c r="C1828" s="8" t="s">
        <v>5482</v>
      </c>
      <c r="D1828" s="8" t="s">
        <v>10049</v>
      </c>
      <c r="E1828" s="8" t="s">
        <v>11975</v>
      </c>
    </row>
    <row r="1829" spans="1:5" x14ac:dyDescent="0.25">
      <c r="A1829" s="5" t="s">
        <v>5483</v>
      </c>
      <c r="B1829" s="9" t="str">
        <f>HYPERLINK("http://biobank.ctsu.ox.ac.uk/crystal/field.cgi?id=25575", "25575")</f>
        <v>25575</v>
      </c>
      <c r="C1829" s="8" t="s">
        <v>5485</v>
      </c>
      <c r="D1829" s="8" t="s">
        <v>10049</v>
      </c>
      <c r="E1829" s="8" t="s">
        <v>11976</v>
      </c>
    </row>
    <row r="1830" spans="1:5" x14ac:dyDescent="0.25">
      <c r="A1830" s="5" t="s">
        <v>5486</v>
      </c>
      <c r="B1830" s="9" t="str">
        <f>HYPERLINK("http://biobank.ctsu.ox.ac.uk/crystal/field.cgi?id=25576", "25576")</f>
        <v>25576</v>
      </c>
      <c r="C1830" s="8" t="s">
        <v>5488</v>
      </c>
      <c r="D1830" s="8" t="s">
        <v>10049</v>
      </c>
      <c r="E1830" s="8" t="s">
        <v>11977</v>
      </c>
    </row>
    <row r="1831" spans="1:5" x14ac:dyDescent="0.25">
      <c r="A1831" s="5" t="s">
        <v>5489</v>
      </c>
      <c r="B1831" s="9" t="str">
        <f>HYPERLINK("http://biobank.ctsu.ox.ac.uk/crystal/field.cgi?id=25577", "25577")</f>
        <v>25577</v>
      </c>
      <c r="C1831" s="8" t="s">
        <v>5491</v>
      </c>
      <c r="D1831" s="8" t="s">
        <v>10049</v>
      </c>
      <c r="E1831" s="8" t="s">
        <v>11978</v>
      </c>
    </row>
    <row r="1832" spans="1:5" x14ac:dyDescent="0.25">
      <c r="A1832" s="5" t="s">
        <v>5492</v>
      </c>
      <c r="B1832" s="9" t="str">
        <f>HYPERLINK("http://biobank.ctsu.ox.ac.uk/crystal/field.cgi?id=25578", "25578")</f>
        <v>25578</v>
      </c>
      <c r="C1832" s="8" t="s">
        <v>5494</v>
      </c>
      <c r="D1832" s="8" t="s">
        <v>10049</v>
      </c>
      <c r="E1832" s="8" t="s">
        <v>11979</v>
      </c>
    </row>
    <row r="1833" spans="1:5" x14ac:dyDescent="0.25">
      <c r="A1833" s="5" t="s">
        <v>5495</v>
      </c>
      <c r="B1833" s="9" t="str">
        <f>HYPERLINK("http://biobank.ctsu.ox.ac.uk/crystal/field.cgi?id=25579", "25579")</f>
        <v>25579</v>
      </c>
      <c r="C1833" s="8" t="s">
        <v>5497</v>
      </c>
      <c r="D1833" s="8" t="s">
        <v>10049</v>
      </c>
      <c r="E1833" s="8" t="s">
        <v>11980</v>
      </c>
    </row>
    <row r="1834" spans="1:5" x14ac:dyDescent="0.25">
      <c r="A1834" s="5" t="s">
        <v>5498</v>
      </c>
      <c r="B1834" s="9" t="str">
        <f>HYPERLINK("http://biobank.ctsu.ox.ac.uk/crystal/field.cgi?id=25580", "25580")</f>
        <v>25580</v>
      </c>
      <c r="C1834" s="8" t="s">
        <v>5500</v>
      </c>
      <c r="D1834" s="8" t="s">
        <v>10049</v>
      </c>
      <c r="E1834" s="8" t="s">
        <v>11981</v>
      </c>
    </row>
    <row r="1835" spans="1:5" x14ac:dyDescent="0.25">
      <c r="A1835" s="5" t="s">
        <v>5501</v>
      </c>
      <c r="B1835" s="9" t="str">
        <f>HYPERLINK("http://biobank.ctsu.ox.ac.uk/crystal/field.cgi?id=25581", "25581")</f>
        <v>25581</v>
      </c>
      <c r="C1835" s="8" t="s">
        <v>5503</v>
      </c>
      <c r="D1835" s="8" t="s">
        <v>10049</v>
      </c>
      <c r="E1835" s="8" t="s">
        <v>11982</v>
      </c>
    </row>
    <row r="1836" spans="1:5" x14ac:dyDescent="0.25">
      <c r="A1836" s="5" t="s">
        <v>5504</v>
      </c>
      <c r="B1836" s="9" t="str">
        <f>HYPERLINK("http://biobank.ctsu.ox.ac.uk/crystal/field.cgi?id=25582", "25582")</f>
        <v>25582</v>
      </c>
      <c r="C1836" s="8" t="s">
        <v>5506</v>
      </c>
      <c r="D1836" s="8" t="s">
        <v>10049</v>
      </c>
      <c r="E1836" s="8" t="s">
        <v>11983</v>
      </c>
    </row>
    <row r="1837" spans="1:5" x14ac:dyDescent="0.25">
      <c r="A1837" s="5" t="s">
        <v>5507</v>
      </c>
      <c r="B1837" s="9" t="str">
        <f>HYPERLINK("http://biobank.ctsu.ox.ac.uk/crystal/field.cgi?id=25583", "25583")</f>
        <v>25583</v>
      </c>
      <c r="C1837" s="8" t="s">
        <v>5509</v>
      </c>
      <c r="D1837" s="8" t="s">
        <v>10049</v>
      </c>
      <c r="E1837" s="8" t="s">
        <v>11984</v>
      </c>
    </row>
    <row r="1838" spans="1:5" x14ac:dyDescent="0.25">
      <c r="A1838" s="5" t="s">
        <v>5510</v>
      </c>
      <c r="B1838" s="9" t="str">
        <f>HYPERLINK("http://biobank.ctsu.ox.ac.uk/crystal/field.cgi?id=25584", "25584")</f>
        <v>25584</v>
      </c>
      <c r="C1838" s="8" t="s">
        <v>5512</v>
      </c>
      <c r="D1838" s="8" t="s">
        <v>10049</v>
      </c>
      <c r="E1838" s="8" t="s">
        <v>11985</v>
      </c>
    </row>
    <row r="1839" spans="1:5" x14ac:dyDescent="0.25">
      <c r="A1839" s="5" t="s">
        <v>5513</v>
      </c>
      <c r="B1839" s="9" t="str">
        <f>HYPERLINK("http://biobank.ctsu.ox.ac.uk/crystal/field.cgi?id=25585", "25585")</f>
        <v>25585</v>
      </c>
      <c r="C1839" s="8" t="s">
        <v>5515</v>
      </c>
      <c r="D1839" s="8" t="s">
        <v>10049</v>
      </c>
      <c r="E1839" s="8" t="s">
        <v>11986</v>
      </c>
    </row>
    <row r="1840" spans="1:5" x14ac:dyDescent="0.25">
      <c r="A1840" s="5" t="s">
        <v>5516</v>
      </c>
      <c r="B1840" s="9" t="str">
        <f>HYPERLINK("http://biobank.ctsu.ox.ac.uk/crystal/field.cgi?id=25586", "25586")</f>
        <v>25586</v>
      </c>
      <c r="C1840" s="8" t="s">
        <v>5518</v>
      </c>
      <c r="D1840" s="8" t="s">
        <v>10049</v>
      </c>
      <c r="E1840" s="8" t="s">
        <v>11987</v>
      </c>
    </row>
    <row r="1841" spans="1:5" x14ac:dyDescent="0.25">
      <c r="A1841" s="5" t="s">
        <v>5519</v>
      </c>
      <c r="B1841" s="9" t="str">
        <f>HYPERLINK("http://biobank.ctsu.ox.ac.uk/crystal/field.cgi?id=25587", "25587")</f>
        <v>25587</v>
      </c>
      <c r="C1841" s="8" t="s">
        <v>5521</v>
      </c>
      <c r="D1841" s="8" t="s">
        <v>10049</v>
      </c>
      <c r="E1841" s="8" t="s">
        <v>11988</v>
      </c>
    </row>
    <row r="1842" spans="1:5" x14ac:dyDescent="0.25">
      <c r="A1842" s="5" t="s">
        <v>5522</v>
      </c>
      <c r="B1842" s="9" t="str">
        <f>HYPERLINK("http://biobank.ctsu.ox.ac.uk/crystal/field.cgi?id=25588", "25588")</f>
        <v>25588</v>
      </c>
      <c r="C1842" s="8" t="s">
        <v>5524</v>
      </c>
      <c r="D1842" s="8" t="s">
        <v>10049</v>
      </c>
      <c r="E1842" s="8" t="s">
        <v>11989</v>
      </c>
    </row>
    <row r="1843" spans="1:5" x14ac:dyDescent="0.25">
      <c r="A1843" s="5" t="s">
        <v>5525</v>
      </c>
      <c r="B1843" s="9" t="str">
        <f>HYPERLINK("http://biobank.ctsu.ox.ac.uk/crystal/field.cgi?id=25589", "25589")</f>
        <v>25589</v>
      </c>
      <c r="C1843" s="8" t="s">
        <v>5527</v>
      </c>
      <c r="D1843" s="8" t="s">
        <v>10049</v>
      </c>
      <c r="E1843" s="8" t="s">
        <v>11990</v>
      </c>
    </row>
    <row r="1844" spans="1:5" x14ac:dyDescent="0.25">
      <c r="A1844" s="5" t="s">
        <v>5528</v>
      </c>
      <c r="B1844" s="9" t="str">
        <f>HYPERLINK("http://biobank.ctsu.ox.ac.uk/crystal/field.cgi?id=25590", "25590")</f>
        <v>25590</v>
      </c>
      <c r="C1844" s="8" t="s">
        <v>5530</v>
      </c>
      <c r="D1844" s="8" t="s">
        <v>10049</v>
      </c>
      <c r="E1844" s="8" t="s">
        <v>11991</v>
      </c>
    </row>
    <row r="1845" spans="1:5" x14ac:dyDescent="0.25">
      <c r="A1845" s="5" t="s">
        <v>5531</v>
      </c>
      <c r="B1845" s="9" t="str">
        <f>HYPERLINK("http://biobank.ctsu.ox.ac.uk/crystal/field.cgi?id=25591", "25591")</f>
        <v>25591</v>
      </c>
      <c r="C1845" s="8" t="s">
        <v>5533</v>
      </c>
      <c r="D1845" s="8" t="s">
        <v>10049</v>
      </c>
      <c r="E1845" s="8" t="s">
        <v>11992</v>
      </c>
    </row>
    <row r="1846" spans="1:5" x14ac:dyDescent="0.25">
      <c r="A1846" s="5" t="s">
        <v>5534</v>
      </c>
      <c r="B1846" s="9" t="str">
        <f>HYPERLINK("http://biobank.ctsu.ox.ac.uk/crystal/field.cgi?id=25592", "25592")</f>
        <v>25592</v>
      </c>
      <c r="C1846" s="8" t="s">
        <v>5536</v>
      </c>
      <c r="D1846" s="8" t="s">
        <v>10049</v>
      </c>
      <c r="E1846" s="8" t="s">
        <v>11993</v>
      </c>
    </row>
    <row r="1847" spans="1:5" x14ac:dyDescent="0.25">
      <c r="A1847" s="5" t="s">
        <v>5537</v>
      </c>
      <c r="B1847" s="9" t="str">
        <f>HYPERLINK("http://biobank.ctsu.ox.ac.uk/crystal/field.cgi?id=25593", "25593")</f>
        <v>25593</v>
      </c>
      <c r="C1847" s="8" t="s">
        <v>5539</v>
      </c>
      <c r="D1847" s="8" t="s">
        <v>10049</v>
      </c>
      <c r="E1847" s="8" t="s">
        <v>11994</v>
      </c>
    </row>
    <row r="1848" spans="1:5" x14ac:dyDescent="0.25">
      <c r="A1848" s="5" t="s">
        <v>5540</v>
      </c>
      <c r="B1848" s="9" t="str">
        <f>HYPERLINK("http://biobank.ctsu.ox.ac.uk/crystal/field.cgi?id=25594", "25594")</f>
        <v>25594</v>
      </c>
      <c r="C1848" s="8" t="s">
        <v>5542</v>
      </c>
      <c r="D1848" s="8" t="s">
        <v>10049</v>
      </c>
      <c r="E1848" s="8" t="s">
        <v>11995</v>
      </c>
    </row>
    <row r="1849" spans="1:5" x14ac:dyDescent="0.25">
      <c r="A1849" s="5" t="s">
        <v>5543</v>
      </c>
      <c r="B1849" s="9" t="str">
        <f>HYPERLINK("http://biobank.ctsu.ox.ac.uk/crystal/field.cgi?id=25595", "25595")</f>
        <v>25595</v>
      </c>
      <c r="C1849" s="8" t="s">
        <v>5545</v>
      </c>
      <c r="D1849" s="8" t="s">
        <v>10049</v>
      </c>
      <c r="E1849" s="8" t="s">
        <v>11996</v>
      </c>
    </row>
    <row r="1850" spans="1:5" x14ac:dyDescent="0.25">
      <c r="A1850" s="5" t="s">
        <v>5546</v>
      </c>
      <c r="B1850" s="9" t="str">
        <f>HYPERLINK("http://biobank.ctsu.ox.ac.uk/crystal/field.cgi?id=25596", "25596")</f>
        <v>25596</v>
      </c>
      <c r="C1850" s="8" t="s">
        <v>5548</v>
      </c>
      <c r="D1850" s="8" t="s">
        <v>10049</v>
      </c>
      <c r="E1850" s="8" t="s">
        <v>11997</v>
      </c>
    </row>
    <row r="1851" spans="1:5" x14ac:dyDescent="0.25">
      <c r="A1851" s="5" t="s">
        <v>5549</v>
      </c>
      <c r="B1851" s="9" t="str">
        <f>HYPERLINK("http://biobank.ctsu.ox.ac.uk/crystal/field.cgi?id=25597", "25597")</f>
        <v>25597</v>
      </c>
      <c r="C1851" s="8" t="s">
        <v>5551</v>
      </c>
      <c r="D1851" s="8" t="s">
        <v>10049</v>
      </c>
      <c r="E1851" s="8" t="s">
        <v>11998</v>
      </c>
    </row>
    <row r="1852" spans="1:5" x14ac:dyDescent="0.25">
      <c r="A1852" s="5" t="s">
        <v>5552</v>
      </c>
      <c r="B1852" s="9" t="str">
        <f>HYPERLINK("http://biobank.ctsu.ox.ac.uk/crystal/field.cgi?id=25598", "25598")</f>
        <v>25598</v>
      </c>
      <c r="C1852" s="8" t="s">
        <v>5554</v>
      </c>
      <c r="D1852" s="8" t="s">
        <v>10049</v>
      </c>
      <c r="E1852" s="8" t="s">
        <v>11999</v>
      </c>
    </row>
    <row r="1853" spans="1:5" x14ac:dyDescent="0.25">
      <c r="A1853" s="5" t="s">
        <v>5555</v>
      </c>
      <c r="B1853" s="9" t="str">
        <f>HYPERLINK("http://biobank.ctsu.ox.ac.uk/crystal/field.cgi?id=25599", "25599")</f>
        <v>25599</v>
      </c>
      <c r="C1853" s="8" t="s">
        <v>5557</v>
      </c>
      <c r="D1853" s="8" t="s">
        <v>10049</v>
      </c>
      <c r="E1853" s="8" t="s">
        <v>12000</v>
      </c>
    </row>
    <row r="1854" spans="1:5" x14ac:dyDescent="0.25">
      <c r="A1854" s="5" t="s">
        <v>5558</v>
      </c>
      <c r="B1854" s="9" t="str">
        <f>HYPERLINK("http://biobank.ctsu.ox.ac.uk/crystal/field.cgi?id=25600", "25600")</f>
        <v>25600</v>
      </c>
      <c r="C1854" s="8" t="s">
        <v>5560</v>
      </c>
      <c r="D1854" s="8" t="s">
        <v>10049</v>
      </c>
      <c r="E1854" s="8" t="s">
        <v>12001</v>
      </c>
    </row>
    <row r="1855" spans="1:5" x14ac:dyDescent="0.25">
      <c r="A1855" s="5" t="s">
        <v>5561</v>
      </c>
      <c r="B1855" s="9" t="str">
        <f>HYPERLINK("http://biobank.ctsu.ox.ac.uk/crystal/field.cgi?id=25601", "25601")</f>
        <v>25601</v>
      </c>
      <c r="C1855" s="8" t="s">
        <v>5563</v>
      </c>
      <c r="D1855" s="8" t="s">
        <v>10049</v>
      </c>
      <c r="E1855" s="8" t="s">
        <v>12002</v>
      </c>
    </row>
    <row r="1856" spans="1:5" x14ac:dyDescent="0.25">
      <c r="A1856" s="5" t="s">
        <v>5564</v>
      </c>
      <c r="B1856" s="9" t="str">
        <f>HYPERLINK("http://biobank.ctsu.ox.ac.uk/crystal/field.cgi?id=25602", "25602")</f>
        <v>25602</v>
      </c>
      <c r="C1856" s="8" t="s">
        <v>5566</v>
      </c>
      <c r="D1856" s="8" t="s">
        <v>10049</v>
      </c>
      <c r="E1856" s="8" t="s">
        <v>12003</v>
      </c>
    </row>
    <row r="1857" spans="1:5" x14ac:dyDescent="0.25">
      <c r="A1857" s="5" t="s">
        <v>5567</v>
      </c>
      <c r="B1857" s="9" t="str">
        <f>HYPERLINK("http://biobank.ctsu.ox.ac.uk/crystal/field.cgi?id=25603", "25603")</f>
        <v>25603</v>
      </c>
      <c r="C1857" s="8" t="s">
        <v>5569</v>
      </c>
      <c r="D1857" s="8" t="s">
        <v>10049</v>
      </c>
      <c r="E1857" s="8" t="s">
        <v>12004</v>
      </c>
    </row>
    <row r="1858" spans="1:5" x14ac:dyDescent="0.25">
      <c r="A1858" s="5" t="s">
        <v>5570</v>
      </c>
      <c r="B1858" s="9" t="str">
        <f>HYPERLINK("http://biobank.ctsu.ox.ac.uk/crystal/field.cgi?id=25604", "25604")</f>
        <v>25604</v>
      </c>
      <c r="C1858" s="8" t="s">
        <v>5572</v>
      </c>
      <c r="D1858" s="8" t="s">
        <v>10049</v>
      </c>
      <c r="E1858" s="8" t="s">
        <v>12005</v>
      </c>
    </row>
    <row r="1859" spans="1:5" x14ac:dyDescent="0.25">
      <c r="A1859" s="5" t="s">
        <v>5573</v>
      </c>
      <c r="B1859" s="9" t="str">
        <f>HYPERLINK("http://biobank.ctsu.ox.ac.uk/crystal/field.cgi?id=25605", "25605")</f>
        <v>25605</v>
      </c>
      <c r="C1859" s="8" t="s">
        <v>5575</v>
      </c>
      <c r="D1859" s="8" t="s">
        <v>10049</v>
      </c>
      <c r="E1859" s="8" t="s">
        <v>12006</v>
      </c>
    </row>
    <row r="1860" spans="1:5" x14ac:dyDescent="0.25">
      <c r="A1860" s="5" t="s">
        <v>5576</v>
      </c>
      <c r="B1860" s="9" t="str">
        <f>HYPERLINK("http://biobank.ctsu.ox.ac.uk/crystal/field.cgi?id=25606", "25606")</f>
        <v>25606</v>
      </c>
      <c r="C1860" s="8" t="s">
        <v>5578</v>
      </c>
      <c r="D1860" s="8" t="s">
        <v>10049</v>
      </c>
      <c r="E1860" s="8" t="s">
        <v>12007</v>
      </c>
    </row>
    <row r="1861" spans="1:5" x14ac:dyDescent="0.25">
      <c r="A1861" s="5" t="s">
        <v>5579</v>
      </c>
      <c r="B1861" s="9" t="str">
        <f>HYPERLINK("http://biobank.ctsu.ox.ac.uk/crystal/field.cgi?id=25607", "25607")</f>
        <v>25607</v>
      </c>
      <c r="C1861" s="8" t="s">
        <v>5581</v>
      </c>
      <c r="D1861" s="8" t="s">
        <v>10049</v>
      </c>
      <c r="E1861" s="8" t="s">
        <v>12008</v>
      </c>
    </row>
    <row r="1862" spans="1:5" x14ac:dyDescent="0.25">
      <c r="A1862" s="5" t="s">
        <v>5582</v>
      </c>
      <c r="B1862" s="9" t="str">
        <f>HYPERLINK("http://biobank.ctsu.ox.ac.uk/crystal/field.cgi?id=25608", "25608")</f>
        <v>25608</v>
      </c>
      <c r="C1862" s="8" t="s">
        <v>5584</v>
      </c>
      <c r="D1862" s="8" t="s">
        <v>10049</v>
      </c>
      <c r="E1862" s="8" t="s">
        <v>12009</v>
      </c>
    </row>
    <row r="1863" spans="1:5" x14ac:dyDescent="0.25">
      <c r="A1863" s="5" t="s">
        <v>5585</v>
      </c>
      <c r="B1863" s="9" t="str">
        <f>HYPERLINK("http://biobank.ctsu.ox.ac.uk/crystal/field.cgi?id=25609", "25609")</f>
        <v>25609</v>
      </c>
      <c r="C1863" s="8" t="s">
        <v>5587</v>
      </c>
      <c r="D1863" s="8" t="s">
        <v>10049</v>
      </c>
      <c r="E1863" s="8" t="s">
        <v>12010</v>
      </c>
    </row>
    <row r="1864" spans="1:5" x14ac:dyDescent="0.25">
      <c r="A1864" s="5" t="s">
        <v>5588</v>
      </c>
      <c r="B1864" s="9" t="str">
        <f>HYPERLINK("http://biobank.ctsu.ox.ac.uk/crystal/field.cgi?id=25610", "25610")</f>
        <v>25610</v>
      </c>
      <c r="C1864" s="8" t="s">
        <v>5590</v>
      </c>
      <c r="D1864" s="8" t="s">
        <v>10049</v>
      </c>
      <c r="E1864" s="8" t="s">
        <v>12011</v>
      </c>
    </row>
    <row r="1865" spans="1:5" x14ac:dyDescent="0.25">
      <c r="A1865" s="5" t="s">
        <v>5591</v>
      </c>
      <c r="B1865" s="9" t="str">
        <f>HYPERLINK("http://biobank.ctsu.ox.ac.uk/crystal/field.cgi?id=25611", "25611")</f>
        <v>25611</v>
      </c>
      <c r="C1865" s="8" t="s">
        <v>5593</v>
      </c>
      <c r="D1865" s="8" t="s">
        <v>10049</v>
      </c>
      <c r="E1865" s="8" t="s">
        <v>12012</v>
      </c>
    </row>
    <row r="1866" spans="1:5" x14ac:dyDescent="0.25">
      <c r="A1866" s="5" t="s">
        <v>5594</v>
      </c>
      <c r="B1866" s="9" t="str">
        <f>HYPERLINK("http://biobank.ctsu.ox.ac.uk/crystal/field.cgi?id=25612", "25612")</f>
        <v>25612</v>
      </c>
      <c r="C1866" s="8" t="s">
        <v>5596</v>
      </c>
      <c r="D1866" s="8" t="s">
        <v>10049</v>
      </c>
      <c r="E1866" s="8" t="s">
        <v>12013</v>
      </c>
    </row>
    <row r="1867" spans="1:5" x14ac:dyDescent="0.25">
      <c r="A1867" s="5" t="s">
        <v>5597</v>
      </c>
      <c r="B1867" s="9" t="str">
        <f>HYPERLINK("http://biobank.ctsu.ox.ac.uk/crystal/field.cgi?id=25613", "25613")</f>
        <v>25613</v>
      </c>
      <c r="C1867" s="8" t="s">
        <v>5599</v>
      </c>
      <c r="D1867" s="8" t="s">
        <v>10049</v>
      </c>
      <c r="E1867" s="8" t="s">
        <v>12014</v>
      </c>
    </row>
    <row r="1868" spans="1:5" x14ac:dyDescent="0.25">
      <c r="A1868" s="5" t="s">
        <v>5600</v>
      </c>
      <c r="B1868" s="9" t="str">
        <f>HYPERLINK("http://biobank.ctsu.ox.ac.uk/crystal/field.cgi?id=25614", "25614")</f>
        <v>25614</v>
      </c>
      <c r="C1868" s="8" t="s">
        <v>5602</v>
      </c>
      <c r="D1868" s="8" t="s">
        <v>10049</v>
      </c>
      <c r="E1868" s="8" t="s">
        <v>12015</v>
      </c>
    </row>
    <row r="1869" spans="1:5" x14ac:dyDescent="0.25">
      <c r="A1869" s="5" t="s">
        <v>5603</v>
      </c>
      <c r="B1869" s="9" t="str">
        <f>HYPERLINK("http://biobank.ctsu.ox.ac.uk/crystal/field.cgi?id=25615", "25615")</f>
        <v>25615</v>
      </c>
      <c r="C1869" s="8" t="s">
        <v>5605</v>
      </c>
      <c r="D1869" s="8" t="s">
        <v>10049</v>
      </c>
      <c r="E1869" s="8" t="s">
        <v>12016</v>
      </c>
    </row>
    <row r="1870" spans="1:5" x14ac:dyDescent="0.25">
      <c r="A1870" s="5" t="s">
        <v>5606</v>
      </c>
      <c r="B1870" s="9" t="str">
        <f>HYPERLINK("http://biobank.ctsu.ox.ac.uk/crystal/field.cgi?id=25616", "25616")</f>
        <v>25616</v>
      </c>
      <c r="C1870" s="8" t="s">
        <v>5608</v>
      </c>
      <c r="D1870" s="8" t="s">
        <v>10049</v>
      </c>
      <c r="E1870" s="8" t="s">
        <v>12017</v>
      </c>
    </row>
    <row r="1871" spans="1:5" x14ac:dyDescent="0.25">
      <c r="A1871" s="5" t="s">
        <v>5609</v>
      </c>
      <c r="B1871" s="9" t="str">
        <f>HYPERLINK("http://biobank.ctsu.ox.ac.uk/crystal/field.cgi?id=25617", "25617")</f>
        <v>25617</v>
      </c>
      <c r="C1871" s="8" t="s">
        <v>5611</v>
      </c>
      <c r="D1871" s="8" t="s">
        <v>10049</v>
      </c>
      <c r="E1871" s="8" t="s">
        <v>12018</v>
      </c>
    </row>
    <row r="1872" spans="1:5" x14ac:dyDescent="0.25">
      <c r="A1872" s="5" t="s">
        <v>5612</v>
      </c>
      <c r="B1872" s="9" t="str">
        <f>HYPERLINK("http://biobank.ctsu.ox.ac.uk/crystal/field.cgi?id=25618", "25618")</f>
        <v>25618</v>
      </c>
      <c r="C1872" s="8" t="s">
        <v>5614</v>
      </c>
      <c r="D1872" s="8" t="s">
        <v>10049</v>
      </c>
      <c r="E1872" s="8" t="s">
        <v>12019</v>
      </c>
    </row>
    <row r="1873" spans="1:5" x14ac:dyDescent="0.25">
      <c r="A1873" s="5" t="s">
        <v>5615</v>
      </c>
      <c r="B1873" s="9" t="str">
        <f>HYPERLINK("http://biobank.ctsu.ox.ac.uk/crystal/field.cgi?id=25619", "25619")</f>
        <v>25619</v>
      </c>
      <c r="C1873" s="8" t="s">
        <v>5617</v>
      </c>
      <c r="D1873" s="8" t="s">
        <v>10049</v>
      </c>
      <c r="E1873" s="8" t="s">
        <v>12020</v>
      </c>
    </row>
    <row r="1874" spans="1:5" x14ac:dyDescent="0.25">
      <c r="A1874" s="5" t="s">
        <v>5618</v>
      </c>
      <c r="B1874" s="9" t="str">
        <f>HYPERLINK("http://biobank.ctsu.ox.ac.uk/crystal/field.cgi?id=25620", "25620")</f>
        <v>25620</v>
      </c>
      <c r="C1874" s="8" t="s">
        <v>5620</v>
      </c>
      <c r="D1874" s="8" t="s">
        <v>10049</v>
      </c>
      <c r="E1874" s="8" t="s">
        <v>12021</v>
      </c>
    </row>
    <row r="1875" spans="1:5" x14ac:dyDescent="0.25">
      <c r="A1875" s="5" t="s">
        <v>5621</v>
      </c>
      <c r="B1875" s="9" t="str">
        <f>HYPERLINK("http://biobank.ctsu.ox.ac.uk/crystal/field.cgi?id=25621", "25621")</f>
        <v>25621</v>
      </c>
      <c r="C1875" s="8" t="s">
        <v>5623</v>
      </c>
      <c r="D1875" s="8" t="s">
        <v>10049</v>
      </c>
      <c r="E1875" s="8" t="s">
        <v>12022</v>
      </c>
    </row>
    <row r="1876" spans="1:5" x14ac:dyDescent="0.25">
      <c r="A1876" s="5" t="s">
        <v>5624</v>
      </c>
      <c r="B1876" s="9" t="str">
        <f>HYPERLINK("http://biobank.ctsu.ox.ac.uk/crystal/field.cgi?id=25622", "25622")</f>
        <v>25622</v>
      </c>
      <c r="C1876" s="8" t="s">
        <v>5626</v>
      </c>
      <c r="D1876" s="8" t="s">
        <v>10049</v>
      </c>
      <c r="E1876" s="8" t="s">
        <v>12023</v>
      </c>
    </row>
    <row r="1877" spans="1:5" x14ac:dyDescent="0.25">
      <c r="A1877" s="5" t="s">
        <v>5627</v>
      </c>
      <c r="B1877" s="9" t="str">
        <f>HYPERLINK("http://biobank.ctsu.ox.ac.uk/crystal/field.cgi?id=25623", "25623")</f>
        <v>25623</v>
      </c>
      <c r="C1877" s="8" t="s">
        <v>5629</v>
      </c>
      <c r="D1877" s="8" t="s">
        <v>10049</v>
      </c>
      <c r="E1877" s="8" t="s">
        <v>12024</v>
      </c>
    </row>
    <row r="1878" spans="1:5" x14ac:dyDescent="0.25">
      <c r="A1878" s="5" t="s">
        <v>5630</v>
      </c>
      <c r="B1878" s="9" t="str">
        <f>HYPERLINK("http://biobank.ctsu.ox.ac.uk/crystal/field.cgi?id=25624", "25624")</f>
        <v>25624</v>
      </c>
      <c r="C1878" s="8" t="s">
        <v>5632</v>
      </c>
      <c r="D1878" s="8" t="s">
        <v>10049</v>
      </c>
      <c r="E1878" s="8" t="s">
        <v>12025</v>
      </c>
    </row>
    <row r="1879" spans="1:5" x14ac:dyDescent="0.25">
      <c r="A1879" s="5" t="s">
        <v>5633</v>
      </c>
      <c r="B1879" s="9" t="str">
        <f>HYPERLINK("http://biobank.ctsu.ox.ac.uk/crystal/field.cgi?id=25625", "25625")</f>
        <v>25625</v>
      </c>
      <c r="C1879" s="8" t="s">
        <v>5635</v>
      </c>
      <c r="D1879" s="8" t="s">
        <v>10049</v>
      </c>
      <c r="E1879" s="8" t="s">
        <v>12026</v>
      </c>
    </row>
    <row r="1880" spans="1:5" x14ac:dyDescent="0.25">
      <c r="A1880" s="5" t="s">
        <v>5636</v>
      </c>
      <c r="B1880" s="9" t="str">
        <f>HYPERLINK("http://biobank.ctsu.ox.ac.uk/crystal/field.cgi?id=25626", "25626")</f>
        <v>25626</v>
      </c>
      <c r="C1880" s="8" t="s">
        <v>5638</v>
      </c>
      <c r="D1880" s="8" t="s">
        <v>10049</v>
      </c>
      <c r="E1880" s="8" t="s">
        <v>12027</v>
      </c>
    </row>
    <row r="1881" spans="1:5" x14ac:dyDescent="0.25">
      <c r="A1881" s="5" t="s">
        <v>5639</v>
      </c>
      <c r="B1881" s="9" t="str">
        <f>HYPERLINK("http://biobank.ctsu.ox.ac.uk/crystal/field.cgi?id=25627", "25627")</f>
        <v>25627</v>
      </c>
      <c r="C1881" s="8" t="s">
        <v>5641</v>
      </c>
      <c r="D1881" s="8" t="s">
        <v>10049</v>
      </c>
      <c r="E1881" s="8" t="s">
        <v>12028</v>
      </c>
    </row>
    <row r="1882" spans="1:5" x14ac:dyDescent="0.25">
      <c r="A1882" s="5" t="s">
        <v>5642</v>
      </c>
      <c r="B1882" s="9" t="str">
        <f>HYPERLINK("http://biobank.ctsu.ox.ac.uk/crystal/field.cgi?id=25628", "25628")</f>
        <v>25628</v>
      </c>
      <c r="C1882" s="8" t="s">
        <v>5644</v>
      </c>
      <c r="D1882" s="8" t="s">
        <v>10049</v>
      </c>
      <c r="E1882" s="8" t="s">
        <v>12029</v>
      </c>
    </row>
    <row r="1883" spans="1:5" x14ac:dyDescent="0.25">
      <c r="A1883" s="5" t="s">
        <v>5645</v>
      </c>
      <c r="B1883" s="9" t="str">
        <f>HYPERLINK("http://biobank.ctsu.ox.ac.uk/crystal/field.cgi?id=25629", "25629")</f>
        <v>25629</v>
      </c>
      <c r="C1883" s="8" t="s">
        <v>5647</v>
      </c>
      <c r="D1883" s="8" t="s">
        <v>10049</v>
      </c>
      <c r="E1883" s="8" t="s">
        <v>12030</v>
      </c>
    </row>
    <row r="1884" spans="1:5" x14ac:dyDescent="0.25">
      <c r="A1884" s="5" t="s">
        <v>5648</v>
      </c>
      <c r="B1884" s="9" t="str">
        <f>HYPERLINK("http://biobank.ctsu.ox.ac.uk/crystal/field.cgi?id=25630", "25630")</f>
        <v>25630</v>
      </c>
      <c r="C1884" s="8" t="s">
        <v>5650</v>
      </c>
      <c r="D1884" s="8" t="s">
        <v>10049</v>
      </c>
      <c r="E1884" s="8" t="s">
        <v>12031</v>
      </c>
    </row>
    <row r="1885" spans="1:5" x14ac:dyDescent="0.25">
      <c r="A1885" s="5" t="s">
        <v>5651</v>
      </c>
      <c r="B1885" s="9" t="str">
        <f>HYPERLINK("http://biobank.ctsu.ox.ac.uk/crystal/field.cgi?id=25631", "25631")</f>
        <v>25631</v>
      </c>
      <c r="C1885" s="8" t="s">
        <v>5653</v>
      </c>
      <c r="D1885" s="8" t="s">
        <v>10049</v>
      </c>
      <c r="E1885" s="8" t="s">
        <v>12032</v>
      </c>
    </row>
    <row r="1886" spans="1:5" x14ac:dyDescent="0.25">
      <c r="A1886" s="5" t="s">
        <v>5654</v>
      </c>
      <c r="B1886" s="9" t="str">
        <f>HYPERLINK("http://biobank.ctsu.ox.ac.uk/crystal/field.cgi?id=25632", "25632")</f>
        <v>25632</v>
      </c>
      <c r="C1886" s="8" t="s">
        <v>5656</v>
      </c>
      <c r="D1886" s="8" t="s">
        <v>10049</v>
      </c>
      <c r="E1886" s="8" t="s">
        <v>12033</v>
      </c>
    </row>
    <row r="1887" spans="1:5" x14ac:dyDescent="0.25">
      <c r="A1887" s="5" t="s">
        <v>5657</v>
      </c>
      <c r="B1887" s="9" t="str">
        <f>HYPERLINK("http://biobank.ctsu.ox.ac.uk/crystal/field.cgi?id=25633", "25633")</f>
        <v>25633</v>
      </c>
      <c r="C1887" s="8" t="s">
        <v>5659</v>
      </c>
      <c r="D1887" s="8" t="s">
        <v>10049</v>
      </c>
      <c r="E1887" s="8" t="s">
        <v>12034</v>
      </c>
    </row>
    <row r="1888" spans="1:5" x14ac:dyDescent="0.25">
      <c r="A1888" s="5" t="s">
        <v>5660</v>
      </c>
      <c r="B1888" s="9" t="str">
        <f>HYPERLINK("http://biobank.ctsu.ox.ac.uk/crystal/field.cgi?id=25634", "25634")</f>
        <v>25634</v>
      </c>
      <c r="C1888" s="8" t="s">
        <v>5662</v>
      </c>
      <c r="D1888" s="8" t="s">
        <v>10049</v>
      </c>
      <c r="E1888" s="8" t="s">
        <v>12035</v>
      </c>
    </row>
    <row r="1889" spans="1:5" x14ac:dyDescent="0.25">
      <c r="A1889" s="5" t="s">
        <v>5663</v>
      </c>
      <c r="B1889" s="9" t="str">
        <f>HYPERLINK("http://biobank.ctsu.ox.ac.uk/crystal/field.cgi?id=25635", "25635")</f>
        <v>25635</v>
      </c>
      <c r="C1889" s="8" t="s">
        <v>5665</v>
      </c>
      <c r="D1889" s="8" t="s">
        <v>10049</v>
      </c>
      <c r="E1889" s="8" t="s">
        <v>12036</v>
      </c>
    </row>
    <row r="1890" spans="1:5" x14ac:dyDescent="0.25">
      <c r="A1890" s="5" t="s">
        <v>5666</v>
      </c>
      <c r="B1890" s="9" t="str">
        <f>HYPERLINK("http://biobank.ctsu.ox.ac.uk/crystal/field.cgi?id=25636", "25636")</f>
        <v>25636</v>
      </c>
      <c r="C1890" s="8" t="s">
        <v>5668</v>
      </c>
      <c r="D1890" s="8" t="s">
        <v>10049</v>
      </c>
      <c r="E1890" s="8" t="s">
        <v>12037</v>
      </c>
    </row>
    <row r="1891" spans="1:5" x14ac:dyDescent="0.25">
      <c r="A1891" s="5" t="s">
        <v>5669</v>
      </c>
      <c r="B1891" s="9" t="str">
        <f>HYPERLINK("http://biobank.ctsu.ox.ac.uk/crystal/field.cgi?id=25637", "25637")</f>
        <v>25637</v>
      </c>
      <c r="C1891" s="8" t="s">
        <v>5671</v>
      </c>
      <c r="D1891" s="8" t="s">
        <v>10049</v>
      </c>
      <c r="E1891" s="8" t="s">
        <v>12038</v>
      </c>
    </row>
    <row r="1892" spans="1:5" x14ac:dyDescent="0.25">
      <c r="A1892" s="5" t="s">
        <v>5672</v>
      </c>
      <c r="B1892" s="9" t="str">
        <f>HYPERLINK("http://biobank.ctsu.ox.ac.uk/crystal/field.cgi?id=25638", "25638")</f>
        <v>25638</v>
      </c>
      <c r="C1892" s="8" t="s">
        <v>5674</v>
      </c>
      <c r="D1892" s="8" t="s">
        <v>10049</v>
      </c>
      <c r="E1892" s="8" t="s">
        <v>12039</v>
      </c>
    </row>
    <row r="1893" spans="1:5" x14ac:dyDescent="0.25">
      <c r="A1893" s="5" t="s">
        <v>5675</v>
      </c>
      <c r="B1893" s="9" t="str">
        <f>HYPERLINK("http://biobank.ctsu.ox.ac.uk/crystal/field.cgi?id=25639", "25639")</f>
        <v>25639</v>
      </c>
      <c r="C1893" s="8" t="s">
        <v>5677</v>
      </c>
      <c r="D1893" s="8" t="s">
        <v>10049</v>
      </c>
      <c r="E1893" s="8" t="s">
        <v>12040</v>
      </c>
    </row>
    <row r="1894" spans="1:5" x14ac:dyDescent="0.25">
      <c r="A1894" s="5" t="s">
        <v>5678</v>
      </c>
      <c r="B1894" s="9" t="str">
        <f>HYPERLINK("http://biobank.ctsu.ox.ac.uk/crystal/field.cgi?id=25640", "25640")</f>
        <v>25640</v>
      </c>
      <c r="C1894" s="8" t="s">
        <v>5680</v>
      </c>
      <c r="D1894" s="8" t="s">
        <v>10049</v>
      </c>
      <c r="E1894" s="8" t="s">
        <v>12041</v>
      </c>
    </row>
    <row r="1895" spans="1:5" x14ac:dyDescent="0.25">
      <c r="A1895" s="5" t="s">
        <v>5681</v>
      </c>
      <c r="B1895" s="9" t="str">
        <f>HYPERLINK("http://biobank.ctsu.ox.ac.uk/crystal/field.cgi?id=25641", "25641")</f>
        <v>25641</v>
      </c>
      <c r="C1895" s="8" t="s">
        <v>5683</v>
      </c>
      <c r="D1895" s="8" t="s">
        <v>10049</v>
      </c>
      <c r="E1895" s="8" t="s">
        <v>12042</v>
      </c>
    </row>
    <row r="1896" spans="1:5" x14ac:dyDescent="0.25">
      <c r="A1896" s="5" t="s">
        <v>5684</v>
      </c>
      <c r="B1896" s="9" t="str">
        <f>HYPERLINK("http://biobank.ctsu.ox.ac.uk/crystal/field.cgi?id=25642", "25642")</f>
        <v>25642</v>
      </c>
      <c r="C1896" s="8" t="s">
        <v>5686</v>
      </c>
      <c r="D1896" s="8" t="s">
        <v>10049</v>
      </c>
      <c r="E1896" s="8" t="s">
        <v>12043</v>
      </c>
    </row>
    <row r="1897" spans="1:5" x14ac:dyDescent="0.25">
      <c r="A1897" s="5" t="s">
        <v>5687</v>
      </c>
      <c r="B1897" s="9" t="str">
        <f>HYPERLINK("http://biobank.ctsu.ox.ac.uk/crystal/field.cgi?id=25643", "25643")</f>
        <v>25643</v>
      </c>
      <c r="C1897" s="8" t="s">
        <v>5689</v>
      </c>
      <c r="D1897" s="8" t="s">
        <v>10049</v>
      </c>
      <c r="E1897" s="8" t="s">
        <v>12044</v>
      </c>
    </row>
    <row r="1898" spans="1:5" x14ac:dyDescent="0.25">
      <c r="A1898" s="5" t="s">
        <v>5690</v>
      </c>
      <c r="B1898" s="9" t="str">
        <f>HYPERLINK("http://biobank.ctsu.ox.ac.uk/crystal/field.cgi?id=25644", "25644")</f>
        <v>25644</v>
      </c>
      <c r="C1898" s="8" t="s">
        <v>5692</v>
      </c>
      <c r="D1898" s="8" t="s">
        <v>10049</v>
      </c>
      <c r="E1898" s="8" t="s">
        <v>12045</v>
      </c>
    </row>
    <row r="1899" spans="1:5" x14ac:dyDescent="0.25">
      <c r="A1899" s="5" t="s">
        <v>5693</v>
      </c>
      <c r="B1899" s="9" t="str">
        <f>HYPERLINK("http://biobank.ctsu.ox.ac.uk/crystal/field.cgi?id=25645", "25645")</f>
        <v>25645</v>
      </c>
      <c r="C1899" s="8" t="s">
        <v>5695</v>
      </c>
      <c r="D1899" s="8" t="s">
        <v>10049</v>
      </c>
      <c r="E1899" s="8" t="s">
        <v>12046</v>
      </c>
    </row>
    <row r="1900" spans="1:5" x14ac:dyDescent="0.25">
      <c r="A1900" s="5" t="s">
        <v>5696</v>
      </c>
      <c r="B1900" s="9" t="str">
        <f>HYPERLINK("http://biobank.ctsu.ox.ac.uk/crystal/field.cgi?id=25646", "25646")</f>
        <v>25646</v>
      </c>
      <c r="C1900" s="8" t="s">
        <v>5698</v>
      </c>
      <c r="D1900" s="8" t="s">
        <v>10049</v>
      </c>
      <c r="E1900" s="8" t="s">
        <v>12047</v>
      </c>
    </row>
    <row r="1901" spans="1:5" x14ac:dyDescent="0.25">
      <c r="A1901" s="5" t="s">
        <v>5699</v>
      </c>
      <c r="B1901" s="9" t="str">
        <f>HYPERLINK("http://biobank.ctsu.ox.ac.uk/crystal/field.cgi?id=25647", "25647")</f>
        <v>25647</v>
      </c>
      <c r="C1901" s="8" t="s">
        <v>5701</v>
      </c>
      <c r="D1901" s="8" t="s">
        <v>10049</v>
      </c>
      <c r="E1901" s="8" t="s">
        <v>12048</v>
      </c>
    </row>
    <row r="1902" spans="1:5" x14ac:dyDescent="0.25">
      <c r="A1902" s="5" t="s">
        <v>5702</v>
      </c>
      <c r="B1902" s="9" t="str">
        <f>HYPERLINK("http://biobank.ctsu.ox.ac.uk/crystal/field.cgi?id=25648", "25648")</f>
        <v>25648</v>
      </c>
      <c r="C1902" s="8" t="s">
        <v>5704</v>
      </c>
      <c r="D1902" s="8" t="s">
        <v>10049</v>
      </c>
      <c r="E1902" s="8" t="s">
        <v>12049</v>
      </c>
    </row>
    <row r="1903" spans="1:5" x14ac:dyDescent="0.25">
      <c r="A1903" s="5" t="s">
        <v>5705</v>
      </c>
      <c r="B1903" s="9" t="str">
        <f>HYPERLINK("http://biobank.ctsu.ox.ac.uk/crystal/field.cgi?id=25649", "25649")</f>
        <v>25649</v>
      </c>
      <c r="C1903" s="8" t="s">
        <v>5707</v>
      </c>
      <c r="D1903" s="8" t="s">
        <v>10049</v>
      </c>
      <c r="E1903" s="8" t="s">
        <v>12050</v>
      </c>
    </row>
    <row r="1904" spans="1:5" x14ac:dyDescent="0.25">
      <c r="A1904" s="5" t="s">
        <v>5708</v>
      </c>
      <c r="B1904" s="9" t="str">
        <f>HYPERLINK("http://biobank.ctsu.ox.ac.uk/crystal/field.cgi?id=25344", "25344")</f>
        <v>25344</v>
      </c>
      <c r="C1904" s="8" t="s">
        <v>5710</v>
      </c>
      <c r="D1904" s="8" t="s">
        <v>10050</v>
      </c>
      <c r="E1904" s="8" t="s">
        <v>12051</v>
      </c>
    </row>
    <row r="1905" spans="1:5" x14ac:dyDescent="0.25">
      <c r="A1905" s="5" t="s">
        <v>5711</v>
      </c>
      <c r="B1905" s="9" t="str">
        <f>HYPERLINK("http://biobank.ctsu.ox.ac.uk/crystal/field.cgi?id=25345", "25345")</f>
        <v>25345</v>
      </c>
      <c r="C1905" s="8" t="s">
        <v>5713</v>
      </c>
      <c r="D1905" s="8" t="s">
        <v>10050</v>
      </c>
      <c r="E1905" s="8" t="s">
        <v>12052</v>
      </c>
    </row>
    <row r="1906" spans="1:5" x14ac:dyDescent="0.25">
      <c r="A1906" s="5" t="s">
        <v>5714</v>
      </c>
      <c r="B1906" s="9" t="str">
        <f>HYPERLINK("http://biobank.ctsu.ox.ac.uk/crystal/field.cgi?id=25346", "25346")</f>
        <v>25346</v>
      </c>
      <c r="C1906" s="8" t="s">
        <v>5716</v>
      </c>
      <c r="D1906" s="8" t="s">
        <v>10050</v>
      </c>
      <c r="E1906" s="8" t="s">
        <v>12053</v>
      </c>
    </row>
    <row r="1907" spans="1:5" x14ac:dyDescent="0.25">
      <c r="A1907" s="5" t="s">
        <v>5717</v>
      </c>
      <c r="B1907" s="9" t="str">
        <f>HYPERLINK("http://biobank.ctsu.ox.ac.uk/crystal/field.cgi?id=25347", "25347")</f>
        <v>25347</v>
      </c>
      <c r="C1907" s="8" t="s">
        <v>5719</v>
      </c>
      <c r="D1907" s="8" t="s">
        <v>10050</v>
      </c>
      <c r="E1907" s="8" t="s">
        <v>12054</v>
      </c>
    </row>
    <row r="1908" spans="1:5" x14ac:dyDescent="0.25">
      <c r="A1908" s="5" t="s">
        <v>5720</v>
      </c>
      <c r="B1908" s="9" t="str">
        <f>HYPERLINK("http://biobank.ctsu.ox.ac.uk/crystal/field.cgi?id=25348", "25348")</f>
        <v>25348</v>
      </c>
      <c r="C1908" s="8" t="s">
        <v>5722</v>
      </c>
      <c r="D1908" s="8" t="s">
        <v>10050</v>
      </c>
      <c r="E1908" s="8" t="s">
        <v>12055</v>
      </c>
    </row>
    <row r="1909" spans="1:5" x14ac:dyDescent="0.25">
      <c r="A1909" s="5" t="s">
        <v>5723</v>
      </c>
      <c r="B1909" s="9" t="str">
        <f>HYPERLINK("http://biobank.ctsu.ox.ac.uk/crystal/field.cgi?id=25349", "25349")</f>
        <v>25349</v>
      </c>
      <c r="C1909" s="8" t="s">
        <v>5725</v>
      </c>
      <c r="D1909" s="8" t="s">
        <v>10050</v>
      </c>
      <c r="E1909" s="8" t="s">
        <v>12056</v>
      </c>
    </row>
    <row r="1910" spans="1:5" x14ac:dyDescent="0.25">
      <c r="A1910" s="5" t="s">
        <v>5726</v>
      </c>
      <c r="B1910" s="9" t="str">
        <f>HYPERLINK("http://biobank.ctsu.ox.ac.uk/crystal/field.cgi?id=25350", "25350")</f>
        <v>25350</v>
      </c>
      <c r="C1910" s="8" t="s">
        <v>5728</v>
      </c>
      <c r="D1910" s="8" t="s">
        <v>10050</v>
      </c>
      <c r="E1910" s="8" t="s">
        <v>12057</v>
      </c>
    </row>
    <row r="1911" spans="1:5" x14ac:dyDescent="0.25">
      <c r="A1911" s="5" t="s">
        <v>5729</v>
      </c>
      <c r="B1911" s="9" t="str">
        <f>HYPERLINK("http://biobank.ctsu.ox.ac.uk/crystal/field.cgi?id=25351", "25351")</f>
        <v>25351</v>
      </c>
      <c r="C1911" s="8" t="s">
        <v>5731</v>
      </c>
      <c r="D1911" s="8" t="s">
        <v>10050</v>
      </c>
      <c r="E1911" s="8" t="s">
        <v>12058</v>
      </c>
    </row>
    <row r="1912" spans="1:5" x14ac:dyDescent="0.25">
      <c r="A1912" s="5" t="s">
        <v>5732</v>
      </c>
      <c r="B1912" s="9" t="str">
        <f>HYPERLINK("http://biobank.ctsu.ox.ac.uk/crystal/field.cgi?id=25352", "25352")</f>
        <v>25352</v>
      </c>
      <c r="C1912" s="8" t="s">
        <v>5734</v>
      </c>
      <c r="D1912" s="8" t="s">
        <v>10050</v>
      </c>
      <c r="E1912" s="8" t="s">
        <v>12059</v>
      </c>
    </row>
    <row r="1913" spans="1:5" x14ac:dyDescent="0.25">
      <c r="A1913" s="5" t="s">
        <v>5735</v>
      </c>
      <c r="B1913" s="9" t="str">
        <f>HYPERLINK("http://biobank.ctsu.ox.ac.uk/crystal/field.cgi?id=25353", "25353")</f>
        <v>25353</v>
      </c>
      <c r="C1913" s="8" t="s">
        <v>5737</v>
      </c>
      <c r="D1913" s="8" t="s">
        <v>10050</v>
      </c>
      <c r="E1913" s="8" t="s">
        <v>12060</v>
      </c>
    </row>
    <row r="1914" spans="1:5" x14ac:dyDescent="0.25">
      <c r="A1914" s="5" t="s">
        <v>5738</v>
      </c>
      <c r="B1914" s="9" t="str">
        <f>HYPERLINK("http://biobank.ctsu.ox.ac.uk/crystal/field.cgi?id=25354", "25354")</f>
        <v>25354</v>
      </c>
      <c r="C1914" s="8" t="s">
        <v>5740</v>
      </c>
      <c r="D1914" s="8" t="s">
        <v>10050</v>
      </c>
      <c r="E1914" s="8" t="s">
        <v>12061</v>
      </c>
    </row>
    <row r="1915" spans="1:5" x14ac:dyDescent="0.25">
      <c r="A1915" s="5" t="s">
        <v>5741</v>
      </c>
      <c r="B1915" s="9" t="str">
        <f>HYPERLINK("http://biobank.ctsu.ox.ac.uk/crystal/field.cgi?id=25355", "25355")</f>
        <v>25355</v>
      </c>
      <c r="C1915" s="8" t="s">
        <v>5743</v>
      </c>
      <c r="D1915" s="8" t="s">
        <v>10050</v>
      </c>
      <c r="E1915" s="8" t="s">
        <v>12062</v>
      </c>
    </row>
    <row r="1916" spans="1:5" x14ac:dyDescent="0.25">
      <c r="A1916" s="5" t="s">
        <v>5744</v>
      </c>
      <c r="B1916" s="9" t="str">
        <f>HYPERLINK("http://biobank.ctsu.ox.ac.uk/crystal/field.cgi?id=25356", "25356")</f>
        <v>25356</v>
      </c>
      <c r="C1916" s="8" t="s">
        <v>5746</v>
      </c>
      <c r="D1916" s="8" t="s">
        <v>10050</v>
      </c>
      <c r="E1916" s="8" t="s">
        <v>12063</v>
      </c>
    </row>
    <row r="1917" spans="1:5" x14ac:dyDescent="0.25">
      <c r="A1917" s="5" t="s">
        <v>5747</v>
      </c>
      <c r="B1917" s="9" t="str">
        <f>HYPERLINK("http://biobank.ctsu.ox.ac.uk/crystal/field.cgi?id=25357", "25357")</f>
        <v>25357</v>
      </c>
      <c r="C1917" s="8" t="s">
        <v>5749</v>
      </c>
      <c r="D1917" s="8" t="s">
        <v>10050</v>
      </c>
      <c r="E1917" s="8" t="s">
        <v>12064</v>
      </c>
    </row>
    <row r="1918" spans="1:5" x14ac:dyDescent="0.25">
      <c r="A1918" s="5" t="s">
        <v>5750</v>
      </c>
      <c r="B1918" s="9" t="str">
        <f>HYPERLINK("http://biobank.ctsu.ox.ac.uk/crystal/field.cgi?id=25358", "25358")</f>
        <v>25358</v>
      </c>
      <c r="C1918" s="8" t="s">
        <v>5752</v>
      </c>
      <c r="D1918" s="8" t="s">
        <v>10050</v>
      </c>
      <c r="E1918" s="8" t="s">
        <v>12065</v>
      </c>
    </row>
    <row r="1919" spans="1:5" x14ac:dyDescent="0.25">
      <c r="A1919" s="5" t="s">
        <v>5753</v>
      </c>
      <c r="B1919" s="9" t="str">
        <f>HYPERLINK("http://biobank.ctsu.ox.ac.uk/crystal/field.cgi?id=25359", "25359")</f>
        <v>25359</v>
      </c>
      <c r="C1919" s="8" t="s">
        <v>5755</v>
      </c>
      <c r="D1919" s="8" t="s">
        <v>10050</v>
      </c>
      <c r="E1919" s="8" t="s">
        <v>12066</v>
      </c>
    </row>
    <row r="1920" spans="1:5" x14ac:dyDescent="0.25">
      <c r="A1920" s="5" t="s">
        <v>5756</v>
      </c>
      <c r="B1920" s="9" t="str">
        <f>HYPERLINK("http://biobank.ctsu.ox.ac.uk/crystal/field.cgi?id=25360", "25360")</f>
        <v>25360</v>
      </c>
      <c r="C1920" s="8" t="s">
        <v>5758</v>
      </c>
      <c r="D1920" s="8" t="s">
        <v>10050</v>
      </c>
      <c r="E1920" s="8" t="s">
        <v>12067</v>
      </c>
    </row>
    <row r="1921" spans="1:5" x14ac:dyDescent="0.25">
      <c r="A1921" s="5" t="s">
        <v>5759</v>
      </c>
      <c r="B1921" s="9" t="str">
        <f>HYPERLINK("http://biobank.ctsu.ox.ac.uk/crystal/field.cgi?id=25361", "25361")</f>
        <v>25361</v>
      </c>
      <c r="C1921" s="8" t="s">
        <v>5761</v>
      </c>
      <c r="D1921" s="8" t="s">
        <v>10050</v>
      </c>
      <c r="E1921" s="8" t="s">
        <v>12068</v>
      </c>
    </row>
    <row r="1922" spans="1:5" x14ac:dyDescent="0.25">
      <c r="A1922" s="5" t="s">
        <v>5762</v>
      </c>
      <c r="B1922" s="9" t="str">
        <f>HYPERLINK("http://biobank.ctsu.ox.ac.uk/crystal/field.cgi?id=25362", "25362")</f>
        <v>25362</v>
      </c>
      <c r="C1922" s="8" t="s">
        <v>5764</v>
      </c>
      <c r="D1922" s="8" t="s">
        <v>10050</v>
      </c>
      <c r="E1922" s="8" t="s">
        <v>12069</v>
      </c>
    </row>
    <row r="1923" spans="1:5" x14ac:dyDescent="0.25">
      <c r="A1923" s="5" t="s">
        <v>5765</v>
      </c>
      <c r="B1923" s="9" t="str">
        <f>HYPERLINK("http://biobank.ctsu.ox.ac.uk/crystal/field.cgi?id=25363", "25363")</f>
        <v>25363</v>
      </c>
      <c r="C1923" s="8" t="s">
        <v>5767</v>
      </c>
      <c r="D1923" s="8" t="s">
        <v>10050</v>
      </c>
      <c r="E1923" s="8" t="s">
        <v>12070</v>
      </c>
    </row>
    <row r="1924" spans="1:5" x14ac:dyDescent="0.25">
      <c r="A1924" s="5" t="s">
        <v>5768</v>
      </c>
      <c r="B1924" s="9" t="str">
        <f>HYPERLINK("http://biobank.ctsu.ox.ac.uk/crystal/field.cgi?id=25364", "25364")</f>
        <v>25364</v>
      </c>
      <c r="C1924" s="8" t="s">
        <v>5770</v>
      </c>
      <c r="D1924" s="8" t="s">
        <v>10050</v>
      </c>
      <c r="E1924" s="8" t="s">
        <v>12071</v>
      </c>
    </row>
    <row r="1925" spans="1:5" x14ac:dyDescent="0.25">
      <c r="A1925" s="5" t="s">
        <v>5771</v>
      </c>
      <c r="B1925" s="9" t="str">
        <f>HYPERLINK("http://biobank.ctsu.ox.ac.uk/crystal/field.cgi?id=25365", "25365")</f>
        <v>25365</v>
      </c>
      <c r="C1925" s="8" t="s">
        <v>5773</v>
      </c>
      <c r="D1925" s="8" t="s">
        <v>10050</v>
      </c>
      <c r="E1925" s="8" t="s">
        <v>12072</v>
      </c>
    </row>
    <row r="1926" spans="1:5" x14ac:dyDescent="0.25">
      <c r="A1926" s="5" t="s">
        <v>5774</v>
      </c>
      <c r="B1926" s="9" t="str">
        <f>HYPERLINK("http://biobank.ctsu.ox.ac.uk/crystal/field.cgi?id=25366", "25366")</f>
        <v>25366</v>
      </c>
      <c r="C1926" s="8" t="s">
        <v>5776</v>
      </c>
      <c r="D1926" s="8" t="s">
        <v>10050</v>
      </c>
      <c r="E1926" s="8" t="s">
        <v>12073</v>
      </c>
    </row>
    <row r="1927" spans="1:5" x14ac:dyDescent="0.25">
      <c r="A1927" s="5" t="s">
        <v>5777</v>
      </c>
      <c r="B1927" s="9" t="str">
        <f>HYPERLINK("http://biobank.ctsu.ox.ac.uk/crystal/field.cgi?id=25367", "25367")</f>
        <v>25367</v>
      </c>
      <c r="C1927" s="8" t="s">
        <v>5779</v>
      </c>
      <c r="D1927" s="8" t="s">
        <v>10050</v>
      </c>
      <c r="E1927" s="8" t="s">
        <v>12074</v>
      </c>
    </row>
    <row r="1928" spans="1:5" x14ac:dyDescent="0.25">
      <c r="A1928" s="5" t="s">
        <v>5780</v>
      </c>
      <c r="B1928" s="9" t="str">
        <f>HYPERLINK("http://biobank.ctsu.ox.ac.uk/crystal/field.cgi?id=25368", "25368")</f>
        <v>25368</v>
      </c>
      <c r="C1928" s="8" t="s">
        <v>5782</v>
      </c>
      <c r="D1928" s="8" t="s">
        <v>10050</v>
      </c>
      <c r="E1928" s="8" t="s">
        <v>12075</v>
      </c>
    </row>
    <row r="1929" spans="1:5" x14ac:dyDescent="0.25">
      <c r="A1929" s="5" t="s">
        <v>5783</v>
      </c>
      <c r="B1929" s="9" t="str">
        <f>HYPERLINK("http://biobank.ctsu.ox.ac.uk/crystal/field.cgi?id=25369", "25369")</f>
        <v>25369</v>
      </c>
      <c r="C1929" s="8" t="s">
        <v>5785</v>
      </c>
      <c r="D1929" s="8" t="s">
        <v>10050</v>
      </c>
      <c r="E1929" s="8" t="s">
        <v>12076</v>
      </c>
    </row>
    <row r="1930" spans="1:5" x14ac:dyDescent="0.25">
      <c r="A1930" s="5" t="s">
        <v>5786</v>
      </c>
      <c r="B1930" s="9" t="str">
        <f>HYPERLINK("http://biobank.ctsu.ox.ac.uk/crystal/field.cgi?id=25370", "25370")</f>
        <v>25370</v>
      </c>
      <c r="C1930" s="8" t="s">
        <v>5788</v>
      </c>
      <c r="D1930" s="8" t="s">
        <v>10050</v>
      </c>
      <c r="E1930" s="8" t="s">
        <v>12077</v>
      </c>
    </row>
    <row r="1931" spans="1:5" x14ac:dyDescent="0.25">
      <c r="A1931" s="5" t="s">
        <v>5789</v>
      </c>
      <c r="B1931" s="9" t="str">
        <f>HYPERLINK("http://biobank.ctsu.ox.ac.uk/crystal/field.cgi?id=25371", "25371")</f>
        <v>25371</v>
      </c>
      <c r="C1931" s="8" t="s">
        <v>5791</v>
      </c>
      <c r="D1931" s="8" t="s">
        <v>10050</v>
      </c>
      <c r="E1931" s="8" t="s">
        <v>12078</v>
      </c>
    </row>
    <row r="1932" spans="1:5" x14ac:dyDescent="0.25">
      <c r="A1932" s="5" t="s">
        <v>5792</v>
      </c>
      <c r="B1932" s="9" t="str">
        <f>HYPERLINK("http://biobank.ctsu.ox.ac.uk/crystal/field.cgi?id=25372", "25372")</f>
        <v>25372</v>
      </c>
      <c r="C1932" s="8" t="s">
        <v>5794</v>
      </c>
      <c r="D1932" s="8" t="s">
        <v>10050</v>
      </c>
      <c r="E1932" s="8" t="s">
        <v>12079</v>
      </c>
    </row>
    <row r="1933" spans="1:5" x14ac:dyDescent="0.25">
      <c r="A1933" s="5" t="s">
        <v>5795</v>
      </c>
      <c r="B1933" s="9" t="str">
        <f>HYPERLINK("http://biobank.ctsu.ox.ac.uk/crystal/field.cgi?id=25373", "25373")</f>
        <v>25373</v>
      </c>
      <c r="C1933" s="8" t="s">
        <v>5797</v>
      </c>
      <c r="D1933" s="8" t="s">
        <v>10050</v>
      </c>
      <c r="E1933" s="8" t="s">
        <v>12080</v>
      </c>
    </row>
    <row r="1934" spans="1:5" x14ac:dyDescent="0.25">
      <c r="A1934" s="5" t="s">
        <v>5798</v>
      </c>
      <c r="B1934" s="9" t="str">
        <f>HYPERLINK("http://biobank.ctsu.ox.ac.uk/crystal/field.cgi?id=25374", "25374")</f>
        <v>25374</v>
      </c>
      <c r="C1934" s="8" t="s">
        <v>5800</v>
      </c>
      <c r="D1934" s="8" t="s">
        <v>10050</v>
      </c>
      <c r="E1934" s="8" t="s">
        <v>12081</v>
      </c>
    </row>
    <row r="1935" spans="1:5" x14ac:dyDescent="0.25">
      <c r="A1935" s="5" t="s">
        <v>5801</v>
      </c>
      <c r="B1935" s="9" t="str">
        <f>HYPERLINK("http://biobank.ctsu.ox.ac.uk/crystal/field.cgi?id=25375", "25375")</f>
        <v>25375</v>
      </c>
      <c r="C1935" s="8" t="s">
        <v>5803</v>
      </c>
      <c r="D1935" s="8" t="s">
        <v>10050</v>
      </c>
      <c r="E1935" s="8" t="s">
        <v>12082</v>
      </c>
    </row>
    <row r="1936" spans="1:5" x14ac:dyDescent="0.25">
      <c r="A1936" s="5" t="s">
        <v>5804</v>
      </c>
      <c r="B1936" s="9" t="str">
        <f>HYPERLINK("http://biobank.ctsu.ox.ac.uk/crystal/field.cgi?id=25376", "25376")</f>
        <v>25376</v>
      </c>
      <c r="C1936" s="8" t="s">
        <v>5806</v>
      </c>
      <c r="D1936" s="8" t="s">
        <v>10050</v>
      </c>
      <c r="E1936" s="8" t="s">
        <v>12083</v>
      </c>
    </row>
    <row r="1937" spans="1:5" x14ac:dyDescent="0.25">
      <c r="A1937" s="5" t="s">
        <v>5807</v>
      </c>
      <c r="B1937" s="9" t="str">
        <f>HYPERLINK("http://biobank.ctsu.ox.ac.uk/crystal/field.cgi?id=25377", "25377")</f>
        <v>25377</v>
      </c>
      <c r="C1937" s="8" t="s">
        <v>5809</v>
      </c>
      <c r="D1937" s="8" t="s">
        <v>10050</v>
      </c>
      <c r="E1937" s="8" t="s">
        <v>12084</v>
      </c>
    </row>
    <row r="1938" spans="1:5" x14ac:dyDescent="0.25">
      <c r="A1938" s="5" t="s">
        <v>5810</v>
      </c>
      <c r="B1938" s="9" t="str">
        <f>HYPERLINK("http://biobank.ctsu.ox.ac.uk/crystal/field.cgi?id=25378", "25378")</f>
        <v>25378</v>
      </c>
      <c r="C1938" s="8" t="s">
        <v>5812</v>
      </c>
      <c r="D1938" s="8" t="s">
        <v>10050</v>
      </c>
      <c r="E1938" s="8" t="s">
        <v>12085</v>
      </c>
    </row>
    <row r="1939" spans="1:5" x14ac:dyDescent="0.25">
      <c r="A1939" s="5" t="s">
        <v>5813</v>
      </c>
      <c r="B1939" s="9" t="str">
        <f>HYPERLINK("http://biobank.ctsu.ox.ac.uk/crystal/field.cgi?id=25379", "25379")</f>
        <v>25379</v>
      </c>
      <c r="C1939" s="8" t="s">
        <v>5815</v>
      </c>
      <c r="D1939" s="8" t="s">
        <v>10050</v>
      </c>
      <c r="E1939" s="8" t="s">
        <v>12086</v>
      </c>
    </row>
    <row r="1940" spans="1:5" x14ac:dyDescent="0.25">
      <c r="A1940" s="5" t="s">
        <v>5816</v>
      </c>
      <c r="B1940" s="9" t="str">
        <f>HYPERLINK("http://biobank.ctsu.ox.ac.uk/crystal/field.cgi?id=25380", "25380")</f>
        <v>25380</v>
      </c>
      <c r="C1940" s="8" t="s">
        <v>5818</v>
      </c>
      <c r="D1940" s="8" t="s">
        <v>10050</v>
      </c>
      <c r="E1940" s="8" t="s">
        <v>12087</v>
      </c>
    </row>
    <row r="1941" spans="1:5" x14ac:dyDescent="0.25">
      <c r="A1941" s="5" t="s">
        <v>5819</v>
      </c>
      <c r="B1941" s="9" t="str">
        <f>HYPERLINK("http://biobank.ctsu.ox.ac.uk/crystal/field.cgi?id=25381", "25381")</f>
        <v>25381</v>
      </c>
      <c r="C1941" s="8" t="s">
        <v>5821</v>
      </c>
      <c r="D1941" s="8" t="s">
        <v>10050</v>
      </c>
      <c r="E1941" s="8" t="s">
        <v>12088</v>
      </c>
    </row>
    <row r="1942" spans="1:5" x14ac:dyDescent="0.25">
      <c r="A1942" s="5" t="s">
        <v>5822</v>
      </c>
      <c r="B1942" s="9" t="str">
        <f>HYPERLINK("http://biobank.ctsu.ox.ac.uk/crystal/field.cgi?id=25382", "25382")</f>
        <v>25382</v>
      </c>
      <c r="C1942" s="8" t="s">
        <v>5824</v>
      </c>
      <c r="D1942" s="8" t="s">
        <v>10050</v>
      </c>
      <c r="E1942" s="8" t="s">
        <v>12089</v>
      </c>
    </row>
    <row r="1943" spans="1:5" x14ac:dyDescent="0.25">
      <c r="A1943" s="5" t="s">
        <v>5825</v>
      </c>
      <c r="B1943" s="9" t="str">
        <f>HYPERLINK("http://biobank.ctsu.ox.ac.uk/crystal/field.cgi?id=25383", "25383")</f>
        <v>25383</v>
      </c>
      <c r="C1943" s="8" t="s">
        <v>5827</v>
      </c>
      <c r="D1943" s="8" t="s">
        <v>10050</v>
      </c>
      <c r="E1943" s="8" t="s">
        <v>12090</v>
      </c>
    </row>
    <row r="1944" spans="1:5" x14ac:dyDescent="0.25">
      <c r="A1944" s="5" t="s">
        <v>5828</v>
      </c>
      <c r="B1944" s="9" t="str">
        <f>HYPERLINK("http://biobank.ctsu.ox.ac.uk/crystal/field.cgi?id=25384", "25384")</f>
        <v>25384</v>
      </c>
      <c r="C1944" s="8" t="s">
        <v>5830</v>
      </c>
      <c r="D1944" s="8" t="s">
        <v>10050</v>
      </c>
      <c r="E1944" s="8" t="s">
        <v>12091</v>
      </c>
    </row>
    <row r="1945" spans="1:5" x14ac:dyDescent="0.25">
      <c r="A1945" s="5" t="s">
        <v>5831</v>
      </c>
      <c r="B1945" s="9" t="str">
        <f>HYPERLINK("http://biobank.ctsu.ox.ac.uk/crystal/field.cgi?id=25385", "25385")</f>
        <v>25385</v>
      </c>
      <c r="C1945" s="8" t="s">
        <v>5833</v>
      </c>
      <c r="D1945" s="8" t="s">
        <v>10050</v>
      </c>
      <c r="E1945" s="8" t="s">
        <v>12092</v>
      </c>
    </row>
    <row r="1946" spans="1:5" x14ac:dyDescent="0.25">
      <c r="A1946" s="5" t="s">
        <v>5834</v>
      </c>
      <c r="B1946" s="9" t="str">
        <f>HYPERLINK("http://biobank.ctsu.ox.ac.uk/crystal/field.cgi?id=25386", "25386")</f>
        <v>25386</v>
      </c>
      <c r="C1946" s="8" t="s">
        <v>5836</v>
      </c>
      <c r="D1946" s="8" t="s">
        <v>10050</v>
      </c>
      <c r="E1946" s="8" t="s">
        <v>12093</v>
      </c>
    </row>
    <row r="1947" spans="1:5" x14ac:dyDescent="0.25">
      <c r="A1947" s="5" t="s">
        <v>5837</v>
      </c>
      <c r="B1947" s="9" t="str">
        <f>HYPERLINK("http://biobank.ctsu.ox.ac.uk/crystal/field.cgi?id=25387", "25387")</f>
        <v>25387</v>
      </c>
      <c r="C1947" s="8" t="s">
        <v>5839</v>
      </c>
      <c r="D1947" s="8" t="s">
        <v>10050</v>
      </c>
      <c r="E1947" s="8" t="s">
        <v>12094</v>
      </c>
    </row>
    <row r="1948" spans="1:5" x14ac:dyDescent="0.25">
      <c r="A1948" s="5" t="s">
        <v>5840</v>
      </c>
      <c r="B1948" s="9" t="str">
        <f>HYPERLINK("http://biobank.ctsu.ox.ac.uk/crystal/field.cgi?id=25388", "25388")</f>
        <v>25388</v>
      </c>
      <c r="C1948" s="8" t="s">
        <v>5842</v>
      </c>
      <c r="D1948" s="8" t="s">
        <v>10050</v>
      </c>
      <c r="E1948" s="8" t="s">
        <v>12095</v>
      </c>
    </row>
    <row r="1949" spans="1:5" x14ac:dyDescent="0.25">
      <c r="A1949" s="5" t="s">
        <v>5843</v>
      </c>
      <c r="B1949" s="9" t="str">
        <f>HYPERLINK("http://biobank.ctsu.ox.ac.uk/crystal/field.cgi?id=25389", "25389")</f>
        <v>25389</v>
      </c>
      <c r="C1949" s="8" t="s">
        <v>5845</v>
      </c>
      <c r="D1949" s="8" t="s">
        <v>10050</v>
      </c>
      <c r="E1949" s="8" t="s">
        <v>12096</v>
      </c>
    </row>
    <row r="1950" spans="1:5" x14ac:dyDescent="0.25">
      <c r="A1950" s="5" t="s">
        <v>5846</v>
      </c>
      <c r="B1950" s="9" t="str">
        <f>HYPERLINK("http://biobank.ctsu.ox.ac.uk/crystal/field.cgi?id=25390", "25390")</f>
        <v>25390</v>
      </c>
      <c r="C1950" s="8" t="s">
        <v>5848</v>
      </c>
      <c r="D1950" s="8" t="s">
        <v>10050</v>
      </c>
      <c r="E1950" s="8" t="s">
        <v>12097</v>
      </c>
    </row>
    <row r="1951" spans="1:5" x14ac:dyDescent="0.25">
      <c r="A1951" s="5" t="s">
        <v>5849</v>
      </c>
      <c r="B1951" s="9" t="str">
        <f>HYPERLINK("http://biobank.ctsu.ox.ac.uk/crystal/field.cgi?id=25391", "25391")</f>
        <v>25391</v>
      </c>
      <c r="C1951" s="8" t="s">
        <v>5851</v>
      </c>
      <c r="D1951" s="8" t="s">
        <v>10050</v>
      </c>
      <c r="E1951" s="8" t="s">
        <v>12098</v>
      </c>
    </row>
    <row r="1952" spans="1:5" x14ac:dyDescent="0.25">
      <c r="A1952" s="5" t="s">
        <v>5852</v>
      </c>
      <c r="B1952" s="9" t="str">
        <f>HYPERLINK("http://biobank.ctsu.ox.ac.uk/crystal/field.cgi?id=25650", "25650")</f>
        <v>25650</v>
      </c>
      <c r="C1952" s="8" t="s">
        <v>5854</v>
      </c>
      <c r="D1952" s="8" t="s">
        <v>10050</v>
      </c>
      <c r="E1952" s="8" t="s">
        <v>12099</v>
      </c>
    </row>
    <row r="1953" spans="1:5" x14ac:dyDescent="0.25">
      <c r="A1953" s="5" t="s">
        <v>5855</v>
      </c>
      <c r="B1953" s="9" t="str">
        <f>HYPERLINK("http://biobank.ctsu.ox.ac.uk/crystal/field.cgi?id=25651", "25651")</f>
        <v>25651</v>
      </c>
      <c r="C1953" s="8" t="s">
        <v>5857</v>
      </c>
      <c r="D1953" s="8" t="s">
        <v>10050</v>
      </c>
      <c r="E1953" s="8" t="s">
        <v>12100</v>
      </c>
    </row>
    <row r="1954" spans="1:5" x14ac:dyDescent="0.25">
      <c r="A1954" s="5" t="s">
        <v>5858</v>
      </c>
      <c r="B1954" s="9" t="str">
        <f>HYPERLINK("http://biobank.ctsu.ox.ac.uk/crystal/field.cgi?id=25652", "25652")</f>
        <v>25652</v>
      </c>
      <c r="C1954" s="8" t="s">
        <v>5860</v>
      </c>
      <c r="D1954" s="8" t="s">
        <v>10050</v>
      </c>
      <c r="E1954" s="8" t="s">
        <v>12101</v>
      </c>
    </row>
    <row r="1955" spans="1:5" x14ac:dyDescent="0.25">
      <c r="A1955" s="5" t="s">
        <v>5861</v>
      </c>
      <c r="B1955" s="9" t="str">
        <f>HYPERLINK("http://biobank.ctsu.ox.ac.uk/crystal/field.cgi?id=25653", "25653")</f>
        <v>25653</v>
      </c>
      <c r="C1955" s="8" t="s">
        <v>5863</v>
      </c>
      <c r="D1955" s="8" t="s">
        <v>10050</v>
      </c>
      <c r="E1955" s="8" t="s">
        <v>12102</v>
      </c>
    </row>
    <row r="1956" spans="1:5" x14ac:dyDescent="0.25">
      <c r="A1956" s="5" t="s">
        <v>5864</v>
      </c>
      <c r="B1956" s="9" t="str">
        <f>HYPERLINK("http://biobank.ctsu.ox.ac.uk/crystal/field.cgi?id=25654", "25654")</f>
        <v>25654</v>
      </c>
      <c r="C1956" s="8" t="s">
        <v>5866</v>
      </c>
      <c r="D1956" s="8" t="s">
        <v>10050</v>
      </c>
      <c r="E1956" s="8" t="s">
        <v>12103</v>
      </c>
    </row>
    <row r="1957" spans="1:5" x14ac:dyDescent="0.25">
      <c r="A1957" s="5" t="s">
        <v>5867</v>
      </c>
      <c r="B1957" s="9" t="str">
        <f>HYPERLINK("http://biobank.ctsu.ox.ac.uk/crystal/field.cgi?id=25655", "25655")</f>
        <v>25655</v>
      </c>
      <c r="C1957" s="8" t="s">
        <v>5869</v>
      </c>
      <c r="D1957" s="8" t="s">
        <v>10050</v>
      </c>
      <c r="E1957" s="8" t="s">
        <v>12104</v>
      </c>
    </row>
    <row r="1958" spans="1:5" x14ac:dyDescent="0.25">
      <c r="A1958" s="5" t="s">
        <v>5870</v>
      </c>
      <c r="B1958" s="9" t="str">
        <f>HYPERLINK("http://biobank.ctsu.ox.ac.uk/crystal/field.cgi?id=25656", "25656")</f>
        <v>25656</v>
      </c>
      <c r="C1958" s="8" t="s">
        <v>5872</v>
      </c>
      <c r="D1958" s="8" t="s">
        <v>10050</v>
      </c>
      <c r="E1958" s="8" t="s">
        <v>12105</v>
      </c>
    </row>
    <row r="1959" spans="1:5" x14ac:dyDescent="0.25">
      <c r="A1959" s="5" t="s">
        <v>5873</v>
      </c>
      <c r="B1959" s="9" t="str">
        <f>HYPERLINK("http://biobank.ctsu.ox.ac.uk/crystal/field.cgi?id=25657", "25657")</f>
        <v>25657</v>
      </c>
      <c r="C1959" s="8" t="s">
        <v>5875</v>
      </c>
      <c r="D1959" s="8" t="s">
        <v>10050</v>
      </c>
      <c r="E1959" s="8" t="s">
        <v>12106</v>
      </c>
    </row>
    <row r="1960" spans="1:5" x14ac:dyDescent="0.25">
      <c r="A1960" s="5" t="s">
        <v>5876</v>
      </c>
      <c r="B1960" s="9" t="str">
        <f>HYPERLINK("http://biobank.ctsu.ox.ac.uk/crystal/field.cgi?id=25658", "25658")</f>
        <v>25658</v>
      </c>
      <c r="C1960" s="8" t="s">
        <v>5878</v>
      </c>
      <c r="D1960" s="8" t="s">
        <v>10050</v>
      </c>
      <c r="E1960" s="8" t="s">
        <v>12107</v>
      </c>
    </row>
    <row r="1961" spans="1:5" x14ac:dyDescent="0.25">
      <c r="A1961" s="5" t="s">
        <v>5879</v>
      </c>
      <c r="B1961" s="9" t="str">
        <f>HYPERLINK("http://biobank.ctsu.ox.ac.uk/crystal/field.cgi?id=25659", "25659")</f>
        <v>25659</v>
      </c>
      <c r="C1961" s="8" t="s">
        <v>5881</v>
      </c>
      <c r="D1961" s="8" t="s">
        <v>10050</v>
      </c>
      <c r="E1961" s="8" t="s">
        <v>12108</v>
      </c>
    </row>
    <row r="1962" spans="1:5" x14ac:dyDescent="0.25">
      <c r="A1962" s="5" t="s">
        <v>5882</v>
      </c>
      <c r="B1962" s="9" t="str">
        <f>HYPERLINK("http://biobank.ctsu.ox.ac.uk/crystal/field.cgi?id=25660", "25660")</f>
        <v>25660</v>
      </c>
      <c r="C1962" s="8" t="s">
        <v>5884</v>
      </c>
      <c r="D1962" s="8" t="s">
        <v>10050</v>
      </c>
      <c r="E1962" s="8" t="s">
        <v>12109</v>
      </c>
    </row>
    <row r="1963" spans="1:5" x14ac:dyDescent="0.25">
      <c r="A1963" s="5" t="s">
        <v>5885</v>
      </c>
      <c r="B1963" s="9" t="str">
        <f>HYPERLINK("http://biobank.ctsu.ox.ac.uk/crystal/field.cgi?id=25661", "25661")</f>
        <v>25661</v>
      </c>
      <c r="C1963" s="8" t="s">
        <v>5887</v>
      </c>
      <c r="D1963" s="8" t="s">
        <v>10050</v>
      </c>
      <c r="E1963" s="8" t="s">
        <v>12110</v>
      </c>
    </row>
    <row r="1964" spans="1:5" x14ac:dyDescent="0.25">
      <c r="A1964" s="5" t="s">
        <v>5888</v>
      </c>
      <c r="B1964" s="9" t="str">
        <f>HYPERLINK("http://biobank.ctsu.ox.ac.uk/crystal/field.cgi?id=25662", "25662")</f>
        <v>25662</v>
      </c>
      <c r="C1964" s="8" t="s">
        <v>5890</v>
      </c>
      <c r="D1964" s="8" t="s">
        <v>10050</v>
      </c>
      <c r="E1964" s="8" t="s">
        <v>12111</v>
      </c>
    </row>
    <row r="1965" spans="1:5" x14ac:dyDescent="0.25">
      <c r="A1965" s="5" t="s">
        <v>5891</v>
      </c>
      <c r="B1965" s="9" t="str">
        <f>HYPERLINK("http://biobank.ctsu.ox.ac.uk/crystal/field.cgi?id=25663", "25663")</f>
        <v>25663</v>
      </c>
      <c r="C1965" s="8" t="s">
        <v>5893</v>
      </c>
      <c r="D1965" s="8" t="s">
        <v>10050</v>
      </c>
      <c r="E1965" s="8" t="s">
        <v>12112</v>
      </c>
    </row>
    <row r="1966" spans="1:5" x14ac:dyDescent="0.25">
      <c r="A1966" s="5" t="s">
        <v>5894</v>
      </c>
      <c r="B1966" s="9" t="str">
        <f>HYPERLINK("http://biobank.ctsu.ox.ac.uk/crystal/field.cgi?id=25664", "25664")</f>
        <v>25664</v>
      </c>
      <c r="C1966" s="8" t="s">
        <v>5896</v>
      </c>
      <c r="D1966" s="8" t="s">
        <v>10050</v>
      </c>
      <c r="E1966" s="8" t="s">
        <v>12113</v>
      </c>
    </row>
    <row r="1967" spans="1:5" x14ac:dyDescent="0.25">
      <c r="A1967" s="5" t="s">
        <v>5897</v>
      </c>
      <c r="B1967" s="9" t="str">
        <f>HYPERLINK("http://biobank.ctsu.ox.ac.uk/crystal/field.cgi?id=25665", "25665")</f>
        <v>25665</v>
      </c>
      <c r="C1967" s="8" t="s">
        <v>5899</v>
      </c>
      <c r="D1967" s="8" t="s">
        <v>10050</v>
      </c>
      <c r="E1967" s="8" t="s">
        <v>12114</v>
      </c>
    </row>
    <row r="1968" spans="1:5" x14ac:dyDescent="0.25">
      <c r="A1968" s="5" t="s">
        <v>5900</v>
      </c>
      <c r="B1968" s="9" t="str">
        <f>HYPERLINK("http://biobank.ctsu.ox.ac.uk/crystal/field.cgi?id=25666", "25666")</f>
        <v>25666</v>
      </c>
      <c r="C1968" s="8" t="s">
        <v>5902</v>
      </c>
      <c r="D1968" s="8" t="s">
        <v>10050</v>
      </c>
      <c r="E1968" s="8" t="s">
        <v>12115</v>
      </c>
    </row>
    <row r="1969" spans="1:5" x14ac:dyDescent="0.25">
      <c r="A1969" s="5" t="s">
        <v>5903</v>
      </c>
      <c r="B1969" s="9" t="str">
        <f>HYPERLINK("http://biobank.ctsu.ox.ac.uk/crystal/field.cgi?id=25667", "25667")</f>
        <v>25667</v>
      </c>
      <c r="C1969" s="8" t="s">
        <v>5905</v>
      </c>
      <c r="D1969" s="8" t="s">
        <v>10050</v>
      </c>
      <c r="E1969" s="8" t="s">
        <v>12116</v>
      </c>
    </row>
    <row r="1970" spans="1:5" x14ac:dyDescent="0.25">
      <c r="A1970" s="5" t="s">
        <v>5906</v>
      </c>
      <c r="B1970" s="9" t="str">
        <f>HYPERLINK("http://biobank.ctsu.ox.ac.uk/crystal/field.cgi?id=25668", "25668")</f>
        <v>25668</v>
      </c>
      <c r="C1970" s="8" t="s">
        <v>5908</v>
      </c>
      <c r="D1970" s="8" t="s">
        <v>10050</v>
      </c>
      <c r="E1970" s="8" t="s">
        <v>12117</v>
      </c>
    </row>
    <row r="1971" spans="1:5" x14ac:dyDescent="0.25">
      <c r="A1971" s="5" t="s">
        <v>5909</v>
      </c>
      <c r="B1971" s="9" t="str">
        <f>HYPERLINK("http://biobank.ctsu.ox.ac.uk/crystal/field.cgi?id=25669", "25669")</f>
        <v>25669</v>
      </c>
      <c r="C1971" s="8" t="s">
        <v>5911</v>
      </c>
      <c r="D1971" s="8" t="s">
        <v>10050</v>
      </c>
      <c r="E1971" s="8" t="s">
        <v>12118</v>
      </c>
    </row>
    <row r="1972" spans="1:5" x14ac:dyDescent="0.25">
      <c r="A1972" s="5" t="s">
        <v>5912</v>
      </c>
      <c r="B1972" s="9" t="str">
        <f>HYPERLINK("http://biobank.ctsu.ox.ac.uk/crystal/field.cgi?id=25670", "25670")</f>
        <v>25670</v>
      </c>
      <c r="C1972" s="8" t="s">
        <v>5914</v>
      </c>
      <c r="D1972" s="8" t="s">
        <v>10050</v>
      </c>
      <c r="E1972" s="8" t="s">
        <v>12119</v>
      </c>
    </row>
    <row r="1973" spans="1:5" x14ac:dyDescent="0.25">
      <c r="A1973" s="5" t="s">
        <v>5915</v>
      </c>
      <c r="B1973" s="9" t="str">
        <f>HYPERLINK("http://biobank.ctsu.ox.ac.uk/crystal/field.cgi?id=25671", "25671")</f>
        <v>25671</v>
      </c>
      <c r="C1973" s="8" t="s">
        <v>5917</v>
      </c>
      <c r="D1973" s="8" t="s">
        <v>10050</v>
      </c>
      <c r="E1973" s="8" t="s">
        <v>12120</v>
      </c>
    </row>
    <row r="1974" spans="1:5" x14ac:dyDescent="0.25">
      <c r="A1974" s="5" t="s">
        <v>5918</v>
      </c>
      <c r="B1974" s="9" t="str">
        <f>HYPERLINK("http://biobank.ctsu.ox.ac.uk/crystal/field.cgi?id=25672", "25672")</f>
        <v>25672</v>
      </c>
      <c r="C1974" s="8" t="s">
        <v>5920</v>
      </c>
      <c r="D1974" s="8" t="s">
        <v>10050</v>
      </c>
      <c r="E1974" s="8" t="s">
        <v>12121</v>
      </c>
    </row>
    <row r="1975" spans="1:5" x14ac:dyDescent="0.25">
      <c r="A1975" s="5" t="s">
        <v>5921</v>
      </c>
      <c r="B1975" s="9" t="str">
        <f>HYPERLINK("http://biobank.ctsu.ox.ac.uk/crystal/field.cgi?id=25673", "25673")</f>
        <v>25673</v>
      </c>
      <c r="C1975" s="8" t="s">
        <v>5923</v>
      </c>
      <c r="D1975" s="8" t="s">
        <v>10050</v>
      </c>
      <c r="E1975" s="8" t="s">
        <v>12122</v>
      </c>
    </row>
    <row r="1976" spans="1:5" x14ac:dyDescent="0.25">
      <c r="A1976" s="5" t="s">
        <v>5924</v>
      </c>
      <c r="B1976" s="9" t="str">
        <f>HYPERLINK("http://biobank.ctsu.ox.ac.uk/crystal/field.cgi?id=25674", "25674")</f>
        <v>25674</v>
      </c>
      <c r="C1976" s="8" t="s">
        <v>5926</v>
      </c>
      <c r="D1976" s="8" t="s">
        <v>10050</v>
      </c>
      <c r="E1976" s="8" t="s">
        <v>12123</v>
      </c>
    </row>
    <row r="1977" spans="1:5" x14ac:dyDescent="0.25">
      <c r="A1977" s="5" t="s">
        <v>5927</v>
      </c>
      <c r="B1977" s="9" t="str">
        <f>HYPERLINK("http://biobank.ctsu.ox.ac.uk/crystal/field.cgi?id=25675", "25675")</f>
        <v>25675</v>
      </c>
      <c r="C1977" s="8" t="s">
        <v>5929</v>
      </c>
      <c r="D1977" s="8" t="s">
        <v>10050</v>
      </c>
      <c r="E1977" s="8" t="s">
        <v>12124</v>
      </c>
    </row>
    <row r="1978" spans="1:5" x14ac:dyDescent="0.25">
      <c r="A1978" s="5" t="s">
        <v>5930</v>
      </c>
      <c r="B1978" s="9" t="str">
        <f>HYPERLINK("http://biobank.ctsu.ox.ac.uk/crystal/field.cgi?id=25676", "25676")</f>
        <v>25676</v>
      </c>
      <c r="C1978" s="8" t="s">
        <v>5932</v>
      </c>
      <c r="D1978" s="8" t="s">
        <v>10050</v>
      </c>
      <c r="E1978" s="8" t="s">
        <v>12125</v>
      </c>
    </row>
    <row r="1979" spans="1:5" x14ac:dyDescent="0.25">
      <c r="A1979" s="5" t="s">
        <v>5933</v>
      </c>
      <c r="B1979" s="9" t="str">
        <f>HYPERLINK("http://biobank.ctsu.ox.ac.uk/crystal/field.cgi?id=25392", "25392")</f>
        <v>25392</v>
      </c>
      <c r="C1979" s="8" t="s">
        <v>5935</v>
      </c>
      <c r="D1979" s="8" t="s">
        <v>10051</v>
      </c>
      <c r="E1979" s="8" t="s">
        <v>12126</v>
      </c>
    </row>
    <row r="1980" spans="1:5" x14ac:dyDescent="0.25">
      <c r="A1980" s="5" t="s">
        <v>5936</v>
      </c>
      <c r="B1980" s="9" t="str">
        <f>HYPERLINK("http://biobank.ctsu.ox.ac.uk/crystal/field.cgi?id=25393", "25393")</f>
        <v>25393</v>
      </c>
      <c r="C1980" s="8" t="s">
        <v>5938</v>
      </c>
      <c r="D1980" s="8" t="s">
        <v>10051</v>
      </c>
      <c r="E1980" s="8" t="s">
        <v>12127</v>
      </c>
    </row>
    <row r="1981" spans="1:5" x14ac:dyDescent="0.25">
      <c r="A1981" s="5" t="s">
        <v>5939</v>
      </c>
      <c r="B1981" s="9" t="str">
        <f>HYPERLINK("http://biobank.ctsu.ox.ac.uk/crystal/field.cgi?id=25394", "25394")</f>
        <v>25394</v>
      </c>
      <c r="C1981" s="8" t="s">
        <v>5941</v>
      </c>
      <c r="D1981" s="8" t="s">
        <v>10051</v>
      </c>
      <c r="E1981" s="8" t="s">
        <v>12128</v>
      </c>
    </row>
    <row r="1982" spans="1:5" x14ac:dyDescent="0.25">
      <c r="A1982" s="5" t="s">
        <v>5942</v>
      </c>
      <c r="B1982" s="9" t="str">
        <f>HYPERLINK("http://biobank.ctsu.ox.ac.uk/crystal/field.cgi?id=25395", "25395")</f>
        <v>25395</v>
      </c>
      <c r="C1982" s="8" t="s">
        <v>5944</v>
      </c>
      <c r="D1982" s="8" t="s">
        <v>10051</v>
      </c>
      <c r="E1982" s="8" t="s">
        <v>12129</v>
      </c>
    </row>
    <row r="1983" spans="1:5" x14ac:dyDescent="0.25">
      <c r="A1983" s="5" t="s">
        <v>5945</v>
      </c>
      <c r="B1983" s="9" t="str">
        <f>HYPERLINK("http://biobank.ctsu.ox.ac.uk/crystal/field.cgi?id=25396", "25396")</f>
        <v>25396</v>
      </c>
      <c r="C1983" s="8" t="s">
        <v>5947</v>
      </c>
      <c r="D1983" s="8" t="s">
        <v>10051</v>
      </c>
      <c r="E1983" s="8" t="s">
        <v>12130</v>
      </c>
    </row>
    <row r="1984" spans="1:5" x14ac:dyDescent="0.25">
      <c r="A1984" s="5" t="s">
        <v>5948</v>
      </c>
      <c r="B1984" s="9" t="str">
        <f>HYPERLINK("http://biobank.ctsu.ox.ac.uk/crystal/field.cgi?id=25397", "25397")</f>
        <v>25397</v>
      </c>
      <c r="C1984" s="8" t="s">
        <v>5950</v>
      </c>
      <c r="D1984" s="8" t="s">
        <v>10051</v>
      </c>
      <c r="E1984" s="8" t="s">
        <v>12131</v>
      </c>
    </row>
    <row r="1985" spans="1:5" x14ac:dyDescent="0.25">
      <c r="A1985" s="5" t="s">
        <v>5951</v>
      </c>
      <c r="B1985" s="9" t="str">
        <f>HYPERLINK("http://biobank.ctsu.ox.ac.uk/crystal/field.cgi?id=25398", "25398")</f>
        <v>25398</v>
      </c>
      <c r="C1985" s="8" t="s">
        <v>5953</v>
      </c>
      <c r="D1985" s="8" t="s">
        <v>10051</v>
      </c>
      <c r="E1985" s="8" t="s">
        <v>12132</v>
      </c>
    </row>
    <row r="1986" spans="1:5" x14ac:dyDescent="0.25">
      <c r="A1986" s="5" t="s">
        <v>5954</v>
      </c>
      <c r="B1986" s="9" t="str">
        <f>HYPERLINK("http://biobank.ctsu.ox.ac.uk/crystal/field.cgi?id=25399", "25399")</f>
        <v>25399</v>
      </c>
      <c r="C1986" s="8" t="s">
        <v>5956</v>
      </c>
      <c r="D1986" s="8" t="s">
        <v>10051</v>
      </c>
      <c r="E1986" s="8" t="s">
        <v>12133</v>
      </c>
    </row>
    <row r="1987" spans="1:5" x14ac:dyDescent="0.25">
      <c r="A1987" s="5" t="s">
        <v>5957</v>
      </c>
      <c r="B1987" s="9" t="str">
        <f>HYPERLINK("http://biobank.ctsu.ox.ac.uk/crystal/field.cgi?id=25400", "25400")</f>
        <v>25400</v>
      </c>
      <c r="C1987" s="8" t="s">
        <v>5959</v>
      </c>
      <c r="D1987" s="8" t="s">
        <v>10051</v>
      </c>
      <c r="E1987" s="8" t="s">
        <v>12134</v>
      </c>
    </row>
    <row r="1988" spans="1:5" x14ac:dyDescent="0.25">
      <c r="A1988" s="5" t="s">
        <v>5960</v>
      </c>
      <c r="B1988" s="9" t="str">
        <f>HYPERLINK("http://biobank.ctsu.ox.ac.uk/crystal/field.cgi?id=25401", "25401")</f>
        <v>25401</v>
      </c>
      <c r="C1988" s="8" t="s">
        <v>5962</v>
      </c>
      <c r="D1988" s="8" t="s">
        <v>10051</v>
      </c>
      <c r="E1988" s="8" t="s">
        <v>12135</v>
      </c>
    </row>
    <row r="1989" spans="1:5" x14ac:dyDescent="0.25">
      <c r="A1989" s="5" t="s">
        <v>5963</v>
      </c>
      <c r="B1989" s="9" t="str">
        <f>HYPERLINK("http://biobank.ctsu.ox.ac.uk/crystal/field.cgi?id=25402", "25402")</f>
        <v>25402</v>
      </c>
      <c r="C1989" s="8" t="s">
        <v>5965</v>
      </c>
      <c r="D1989" s="8" t="s">
        <v>10051</v>
      </c>
      <c r="E1989" s="8" t="s">
        <v>12136</v>
      </c>
    </row>
    <row r="1990" spans="1:5" x14ac:dyDescent="0.25">
      <c r="A1990" s="5" t="s">
        <v>5966</v>
      </c>
      <c r="B1990" s="9" t="str">
        <f>HYPERLINK("http://biobank.ctsu.ox.ac.uk/crystal/field.cgi?id=25403", "25403")</f>
        <v>25403</v>
      </c>
      <c r="C1990" s="8" t="s">
        <v>5968</v>
      </c>
      <c r="D1990" s="8" t="s">
        <v>10051</v>
      </c>
      <c r="E1990" s="8" t="s">
        <v>12137</v>
      </c>
    </row>
    <row r="1991" spans="1:5" x14ac:dyDescent="0.25">
      <c r="A1991" s="5" t="s">
        <v>5969</v>
      </c>
      <c r="B1991" s="9" t="str">
        <f>HYPERLINK("http://biobank.ctsu.ox.ac.uk/crystal/field.cgi?id=25404", "25404")</f>
        <v>25404</v>
      </c>
      <c r="C1991" s="8" t="s">
        <v>5971</v>
      </c>
      <c r="D1991" s="8" t="s">
        <v>10051</v>
      </c>
      <c r="E1991" s="8" t="s">
        <v>12138</v>
      </c>
    </row>
    <row r="1992" spans="1:5" x14ac:dyDescent="0.25">
      <c r="A1992" s="5" t="s">
        <v>5972</v>
      </c>
      <c r="B1992" s="9" t="str">
        <f>HYPERLINK("http://biobank.ctsu.ox.ac.uk/crystal/field.cgi?id=25405", "25405")</f>
        <v>25405</v>
      </c>
      <c r="C1992" s="8" t="s">
        <v>5974</v>
      </c>
      <c r="D1992" s="8" t="s">
        <v>10051</v>
      </c>
      <c r="E1992" s="8" t="s">
        <v>12139</v>
      </c>
    </row>
    <row r="1993" spans="1:5" x14ac:dyDescent="0.25">
      <c r="A1993" s="5" t="s">
        <v>5975</v>
      </c>
      <c r="B1993" s="9" t="str">
        <f>HYPERLINK("http://biobank.ctsu.ox.ac.uk/crystal/field.cgi?id=25406", "25406")</f>
        <v>25406</v>
      </c>
      <c r="C1993" s="8" t="s">
        <v>5977</v>
      </c>
      <c r="D1993" s="8" t="s">
        <v>10051</v>
      </c>
      <c r="E1993" s="8" t="s">
        <v>12140</v>
      </c>
    </row>
    <row r="1994" spans="1:5" x14ac:dyDescent="0.25">
      <c r="A1994" s="5" t="s">
        <v>5978</v>
      </c>
      <c r="B1994" s="9" t="str">
        <f>HYPERLINK("http://biobank.ctsu.ox.ac.uk/crystal/field.cgi?id=25407", "25407")</f>
        <v>25407</v>
      </c>
      <c r="C1994" s="8" t="s">
        <v>5980</v>
      </c>
      <c r="D1994" s="8" t="s">
        <v>10051</v>
      </c>
      <c r="E1994" s="8" t="s">
        <v>12141</v>
      </c>
    </row>
    <row r="1995" spans="1:5" x14ac:dyDescent="0.25">
      <c r="A1995" s="5" t="s">
        <v>5981</v>
      </c>
      <c r="B1995" s="9" t="str">
        <f>HYPERLINK("http://biobank.ctsu.ox.ac.uk/crystal/field.cgi?id=25408", "25408")</f>
        <v>25408</v>
      </c>
      <c r="C1995" s="8" t="s">
        <v>5983</v>
      </c>
      <c r="D1995" s="8" t="s">
        <v>10051</v>
      </c>
      <c r="E1995" s="8" t="s">
        <v>12142</v>
      </c>
    </row>
    <row r="1996" spans="1:5" x14ac:dyDescent="0.25">
      <c r="A1996" s="5" t="s">
        <v>5984</v>
      </c>
      <c r="B1996" s="9" t="str">
        <f>HYPERLINK("http://biobank.ctsu.ox.ac.uk/crystal/field.cgi?id=25409", "25409")</f>
        <v>25409</v>
      </c>
      <c r="C1996" s="8" t="s">
        <v>5986</v>
      </c>
      <c r="D1996" s="8" t="s">
        <v>10051</v>
      </c>
      <c r="E1996" s="8" t="s">
        <v>12143</v>
      </c>
    </row>
    <row r="1997" spans="1:5" x14ac:dyDescent="0.25">
      <c r="A1997" s="5" t="s">
        <v>5987</v>
      </c>
      <c r="B1997" s="9" t="str">
        <f>HYPERLINK("http://biobank.ctsu.ox.ac.uk/crystal/field.cgi?id=25410", "25410")</f>
        <v>25410</v>
      </c>
      <c r="C1997" s="8" t="s">
        <v>5989</v>
      </c>
      <c r="D1997" s="8" t="s">
        <v>10051</v>
      </c>
      <c r="E1997" s="8" t="s">
        <v>12144</v>
      </c>
    </row>
    <row r="1998" spans="1:5" x14ac:dyDescent="0.25">
      <c r="A1998" s="5" t="s">
        <v>5990</v>
      </c>
      <c r="B1998" s="9" t="str">
        <f>HYPERLINK("http://biobank.ctsu.ox.ac.uk/crystal/field.cgi?id=25411", "25411")</f>
        <v>25411</v>
      </c>
      <c r="C1998" s="8" t="s">
        <v>5992</v>
      </c>
      <c r="D1998" s="8" t="s">
        <v>10051</v>
      </c>
      <c r="E1998" s="8" t="s">
        <v>12145</v>
      </c>
    </row>
    <row r="1999" spans="1:5" x14ac:dyDescent="0.25">
      <c r="A1999" s="5" t="s">
        <v>5993</v>
      </c>
      <c r="B1999" s="9" t="str">
        <f>HYPERLINK("http://biobank.ctsu.ox.ac.uk/crystal/field.cgi?id=25412", "25412")</f>
        <v>25412</v>
      </c>
      <c r="C1999" s="8" t="s">
        <v>5995</v>
      </c>
      <c r="D1999" s="8" t="s">
        <v>10051</v>
      </c>
      <c r="E1999" s="8" t="s">
        <v>12146</v>
      </c>
    </row>
    <row r="2000" spans="1:5" x14ac:dyDescent="0.25">
      <c r="A2000" s="5" t="s">
        <v>5996</v>
      </c>
      <c r="B2000" s="9" t="str">
        <f>HYPERLINK("http://biobank.ctsu.ox.ac.uk/crystal/field.cgi?id=25413", "25413")</f>
        <v>25413</v>
      </c>
      <c r="C2000" s="8" t="s">
        <v>5998</v>
      </c>
      <c r="D2000" s="8" t="s">
        <v>10051</v>
      </c>
      <c r="E2000" s="8" t="s">
        <v>12147</v>
      </c>
    </row>
    <row r="2001" spans="1:5" x14ac:dyDescent="0.25">
      <c r="A2001" s="5" t="s">
        <v>5999</v>
      </c>
      <c r="B2001" s="9" t="str">
        <f>HYPERLINK("http://biobank.ctsu.ox.ac.uk/crystal/field.cgi?id=25414", "25414")</f>
        <v>25414</v>
      </c>
      <c r="C2001" s="8" t="s">
        <v>6001</v>
      </c>
      <c r="D2001" s="8" t="s">
        <v>10051</v>
      </c>
      <c r="E2001" s="8" t="s">
        <v>12148</v>
      </c>
    </row>
    <row r="2002" spans="1:5" x14ac:dyDescent="0.25">
      <c r="A2002" s="5" t="s">
        <v>6002</v>
      </c>
      <c r="B2002" s="9" t="str">
        <f>HYPERLINK("http://biobank.ctsu.ox.ac.uk/crystal/field.cgi?id=25415", "25415")</f>
        <v>25415</v>
      </c>
      <c r="C2002" s="8" t="s">
        <v>6004</v>
      </c>
      <c r="D2002" s="8" t="s">
        <v>10051</v>
      </c>
      <c r="E2002" s="8" t="s">
        <v>12149</v>
      </c>
    </row>
    <row r="2003" spans="1:5" x14ac:dyDescent="0.25">
      <c r="A2003" s="5" t="s">
        <v>6005</v>
      </c>
      <c r="B2003" s="9" t="str">
        <f>HYPERLINK("http://biobank.ctsu.ox.ac.uk/crystal/field.cgi?id=25416", "25416")</f>
        <v>25416</v>
      </c>
      <c r="C2003" s="8" t="s">
        <v>6007</v>
      </c>
      <c r="D2003" s="8" t="s">
        <v>10051</v>
      </c>
      <c r="E2003" s="8" t="s">
        <v>12150</v>
      </c>
    </row>
    <row r="2004" spans="1:5" x14ac:dyDescent="0.25">
      <c r="A2004" s="5" t="s">
        <v>6008</v>
      </c>
      <c r="B2004" s="9" t="str">
        <f>HYPERLINK("http://biobank.ctsu.ox.ac.uk/crystal/field.cgi?id=25417", "25417")</f>
        <v>25417</v>
      </c>
      <c r="C2004" s="8" t="s">
        <v>6010</v>
      </c>
      <c r="D2004" s="8" t="s">
        <v>10051</v>
      </c>
      <c r="E2004" s="8" t="s">
        <v>12151</v>
      </c>
    </row>
    <row r="2005" spans="1:5" x14ac:dyDescent="0.25">
      <c r="A2005" s="5" t="s">
        <v>6011</v>
      </c>
      <c r="B2005" s="9" t="str">
        <f>HYPERLINK("http://biobank.ctsu.ox.ac.uk/crystal/field.cgi?id=25418", "25418")</f>
        <v>25418</v>
      </c>
      <c r="C2005" s="8" t="s">
        <v>6013</v>
      </c>
      <c r="D2005" s="8" t="s">
        <v>10051</v>
      </c>
      <c r="E2005" s="8" t="s">
        <v>12152</v>
      </c>
    </row>
    <row r="2006" spans="1:5" x14ac:dyDescent="0.25">
      <c r="A2006" s="5" t="s">
        <v>6014</v>
      </c>
      <c r="B2006" s="9" t="str">
        <f>HYPERLINK("http://biobank.ctsu.ox.ac.uk/crystal/field.cgi?id=25419", "25419")</f>
        <v>25419</v>
      </c>
      <c r="C2006" s="8" t="s">
        <v>6016</v>
      </c>
      <c r="D2006" s="8" t="s">
        <v>10051</v>
      </c>
      <c r="E2006" s="8" t="s">
        <v>12153</v>
      </c>
    </row>
    <row r="2007" spans="1:5" x14ac:dyDescent="0.25">
      <c r="A2007" s="5" t="s">
        <v>6017</v>
      </c>
      <c r="B2007" s="9" t="str">
        <f>HYPERLINK("http://biobank.ctsu.ox.ac.uk/crystal/field.cgi?id=25420", "25420")</f>
        <v>25420</v>
      </c>
      <c r="C2007" s="8" t="s">
        <v>6019</v>
      </c>
      <c r="D2007" s="8" t="s">
        <v>10051</v>
      </c>
      <c r="E2007" s="8" t="s">
        <v>12154</v>
      </c>
    </row>
    <row r="2008" spans="1:5" x14ac:dyDescent="0.25">
      <c r="A2008" s="5" t="s">
        <v>6020</v>
      </c>
      <c r="B2008" s="9" t="str">
        <f>HYPERLINK("http://biobank.ctsu.ox.ac.uk/crystal/field.cgi?id=25421", "25421")</f>
        <v>25421</v>
      </c>
      <c r="C2008" s="8" t="s">
        <v>6022</v>
      </c>
      <c r="D2008" s="8" t="s">
        <v>10051</v>
      </c>
      <c r="E2008" s="8" t="s">
        <v>12155</v>
      </c>
    </row>
    <row r="2009" spans="1:5" x14ac:dyDescent="0.25">
      <c r="A2009" s="5" t="s">
        <v>6023</v>
      </c>
      <c r="B2009" s="9" t="str">
        <f>HYPERLINK("http://biobank.ctsu.ox.ac.uk/crystal/field.cgi?id=25422", "25422")</f>
        <v>25422</v>
      </c>
      <c r="C2009" s="8" t="s">
        <v>6025</v>
      </c>
      <c r="D2009" s="8" t="s">
        <v>10051</v>
      </c>
      <c r="E2009" s="8" t="s">
        <v>12156</v>
      </c>
    </row>
    <row r="2010" spans="1:5" x14ac:dyDescent="0.25">
      <c r="A2010" s="5" t="s">
        <v>6026</v>
      </c>
      <c r="B2010" s="9" t="str">
        <f>HYPERLINK("http://biobank.ctsu.ox.ac.uk/crystal/field.cgi?id=25423", "25423")</f>
        <v>25423</v>
      </c>
      <c r="C2010" s="8" t="s">
        <v>6028</v>
      </c>
      <c r="D2010" s="8" t="s">
        <v>10051</v>
      </c>
      <c r="E2010" s="8" t="s">
        <v>12157</v>
      </c>
    </row>
    <row r="2011" spans="1:5" x14ac:dyDescent="0.25">
      <c r="A2011" s="5" t="s">
        <v>6029</v>
      </c>
      <c r="B2011" s="9" t="str">
        <f>HYPERLINK("http://biobank.ctsu.ox.ac.uk/crystal/field.cgi?id=25424", "25424")</f>
        <v>25424</v>
      </c>
      <c r="C2011" s="8" t="s">
        <v>6031</v>
      </c>
      <c r="D2011" s="8" t="s">
        <v>10051</v>
      </c>
      <c r="E2011" s="8" t="s">
        <v>12158</v>
      </c>
    </row>
    <row r="2012" spans="1:5" x14ac:dyDescent="0.25">
      <c r="A2012" s="5" t="s">
        <v>6032</v>
      </c>
      <c r="B2012" s="9" t="str">
        <f>HYPERLINK("http://biobank.ctsu.ox.ac.uk/crystal/field.cgi?id=25425", "25425")</f>
        <v>25425</v>
      </c>
      <c r="C2012" s="8" t="s">
        <v>6034</v>
      </c>
      <c r="D2012" s="8" t="s">
        <v>10051</v>
      </c>
      <c r="E2012" s="8" t="s">
        <v>12159</v>
      </c>
    </row>
    <row r="2013" spans="1:5" x14ac:dyDescent="0.25">
      <c r="A2013" s="5" t="s">
        <v>6035</v>
      </c>
      <c r="B2013" s="9" t="str">
        <f>HYPERLINK("http://biobank.ctsu.ox.ac.uk/crystal/field.cgi?id=25426", "25426")</f>
        <v>25426</v>
      </c>
      <c r="C2013" s="8" t="s">
        <v>6037</v>
      </c>
      <c r="D2013" s="8" t="s">
        <v>10051</v>
      </c>
      <c r="E2013" s="8" t="s">
        <v>12160</v>
      </c>
    </row>
    <row r="2014" spans="1:5" x14ac:dyDescent="0.25">
      <c r="A2014" s="5" t="s">
        <v>6038</v>
      </c>
      <c r="B2014" s="9" t="str">
        <f>HYPERLINK("http://biobank.ctsu.ox.ac.uk/crystal/field.cgi?id=25427", "25427")</f>
        <v>25427</v>
      </c>
      <c r="C2014" s="8" t="s">
        <v>6040</v>
      </c>
      <c r="D2014" s="8" t="s">
        <v>10051</v>
      </c>
      <c r="E2014" s="8" t="s">
        <v>12161</v>
      </c>
    </row>
    <row r="2015" spans="1:5" x14ac:dyDescent="0.25">
      <c r="A2015" s="5" t="s">
        <v>6041</v>
      </c>
      <c r="B2015" s="9" t="str">
        <f>HYPERLINK("http://biobank.ctsu.ox.ac.uk/crystal/field.cgi?id=25428", "25428")</f>
        <v>25428</v>
      </c>
      <c r="C2015" s="8" t="s">
        <v>6043</v>
      </c>
      <c r="D2015" s="8" t="s">
        <v>10051</v>
      </c>
      <c r="E2015" s="8" t="s">
        <v>12162</v>
      </c>
    </row>
    <row r="2016" spans="1:5" x14ac:dyDescent="0.25">
      <c r="A2016" s="5" t="s">
        <v>6044</v>
      </c>
      <c r="B2016" s="9" t="str">
        <f>HYPERLINK("http://biobank.ctsu.ox.ac.uk/crystal/field.cgi?id=25429", "25429")</f>
        <v>25429</v>
      </c>
      <c r="C2016" s="8" t="s">
        <v>6046</v>
      </c>
      <c r="D2016" s="8" t="s">
        <v>10051</v>
      </c>
      <c r="E2016" s="8" t="s">
        <v>12163</v>
      </c>
    </row>
    <row r="2017" spans="1:5" x14ac:dyDescent="0.25">
      <c r="A2017" s="5" t="s">
        <v>6047</v>
      </c>
      <c r="B2017" s="9" t="str">
        <f>HYPERLINK("http://biobank.ctsu.ox.ac.uk/crystal/field.cgi?id=25430", "25430")</f>
        <v>25430</v>
      </c>
      <c r="C2017" s="8" t="s">
        <v>6049</v>
      </c>
      <c r="D2017" s="8" t="s">
        <v>10051</v>
      </c>
      <c r="E2017" s="8" t="s">
        <v>12164</v>
      </c>
    </row>
    <row r="2018" spans="1:5" x14ac:dyDescent="0.25">
      <c r="A2018" s="5" t="s">
        <v>6050</v>
      </c>
      <c r="B2018" s="9" t="str">
        <f>HYPERLINK("http://biobank.ctsu.ox.ac.uk/crystal/field.cgi?id=25431", "25431")</f>
        <v>25431</v>
      </c>
      <c r="C2018" s="8" t="s">
        <v>6052</v>
      </c>
      <c r="D2018" s="8" t="s">
        <v>10051</v>
      </c>
      <c r="E2018" s="8" t="s">
        <v>12165</v>
      </c>
    </row>
    <row r="2019" spans="1:5" x14ac:dyDescent="0.25">
      <c r="A2019" s="5" t="s">
        <v>6053</v>
      </c>
      <c r="B2019" s="9" t="str">
        <f>HYPERLINK("http://biobank.ctsu.ox.ac.uk/crystal/field.cgi?id=25432", "25432")</f>
        <v>25432</v>
      </c>
      <c r="C2019" s="8" t="s">
        <v>6055</v>
      </c>
      <c r="D2019" s="8" t="s">
        <v>10051</v>
      </c>
      <c r="E2019" s="8" t="s">
        <v>12166</v>
      </c>
    </row>
    <row r="2020" spans="1:5" x14ac:dyDescent="0.25">
      <c r="A2020" s="5" t="s">
        <v>6056</v>
      </c>
      <c r="B2020" s="9" t="str">
        <f>HYPERLINK("http://biobank.ctsu.ox.ac.uk/crystal/field.cgi?id=25433", "25433")</f>
        <v>25433</v>
      </c>
      <c r="C2020" s="8" t="s">
        <v>6058</v>
      </c>
      <c r="D2020" s="8" t="s">
        <v>10051</v>
      </c>
      <c r="E2020" s="8" t="s">
        <v>12167</v>
      </c>
    </row>
    <row r="2021" spans="1:5" x14ac:dyDescent="0.25">
      <c r="A2021" s="5" t="s">
        <v>6059</v>
      </c>
      <c r="B2021" s="9" t="str">
        <f>HYPERLINK("http://biobank.ctsu.ox.ac.uk/crystal/field.cgi?id=25434", "25434")</f>
        <v>25434</v>
      </c>
      <c r="C2021" s="8" t="s">
        <v>6061</v>
      </c>
      <c r="D2021" s="8" t="s">
        <v>10051</v>
      </c>
      <c r="E2021" s="8" t="s">
        <v>12168</v>
      </c>
    </row>
    <row r="2022" spans="1:5" x14ac:dyDescent="0.25">
      <c r="A2022" s="5" t="s">
        <v>6062</v>
      </c>
      <c r="B2022" s="9" t="str">
        <f>HYPERLINK("http://biobank.ctsu.ox.ac.uk/crystal/field.cgi?id=25435", "25435")</f>
        <v>25435</v>
      </c>
      <c r="C2022" s="8" t="s">
        <v>6064</v>
      </c>
      <c r="D2022" s="8" t="s">
        <v>10051</v>
      </c>
      <c r="E2022" s="8" t="s">
        <v>12169</v>
      </c>
    </row>
    <row r="2023" spans="1:5" x14ac:dyDescent="0.25">
      <c r="A2023" s="5" t="s">
        <v>6065</v>
      </c>
      <c r="B2023" s="9" t="str">
        <f>HYPERLINK("http://biobank.ctsu.ox.ac.uk/crystal/field.cgi?id=25436", "25436")</f>
        <v>25436</v>
      </c>
      <c r="C2023" s="8" t="s">
        <v>6067</v>
      </c>
      <c r="D2023" s="8" t="s">
        <v>10051</v>
      </c>
      <c r="E2023" s="8" t="s">
        <v>12170</v>
      </c>
    </row>
    <row r="2024" spans="1:5" x14ac:dyDescent="0.25">
      <c r="A2024" s="5" t="s">
        <v>6068</v>
      </c>
      <c r="B2024" s="9" t="str">
        <f>HYPERLINK("http://biobank.ctsu.ox.ac.uk/crystal/field.cgi?id=25437", "25437")</f>
        <v>25437</v>
      </c>
      <c r="C2024" s="8" t="s">
        <v>6070</v>
      </c>
      <c r="D2024" s="8" t="s">
        <v>10051</v>
      </c>
      <c r="E2024" s="8" t="s">
        <v>12171</v>
      </c>
    </row>
    <row r="2025" spans="1:5" x14ac:dyDescent="0.25">
      <c r="A2025" s="5" t="s">
        <v>6071</v>
      </c>
      <c r="B2025" s="9" t="str">
        <f>HYPERLINK("http://biobank.ctsu.ox.ac.uk/crystal/field.cgi?id=25438", "25438")</f>
        <v>25438</v>
      </c>
      <c r="C2025" s="8" t="s">
        <v>6073</v>
      </c>
      <c r="D2025" s="8" t="s">
        <v>10051</v>
      </c>
      <c r="E2025" s="8" t="s">
        <v>12172</v>
      </c>
    </row>
    <row r="2026" spans="1:5" x14ac:dyDescent="0.25">
      <c r="A2026" s="5" t="s">
        <v>6074</v>
      </c>
      <c r="B2026" s="9" t="str">
        <f>HYPERLINK("http://biobank.ctsu.ox.ac.uk/crystal/field.cgi?id=25439", "25439")</f>
        <v>25439</v>
      </c>
      <c r="C2026" s="8" t="s">
        <v>6076</v>
      </c>
      <c r="D2026" s="8" t="s">
        <v>10051</v>
      </c>
      <c r="E2026" s="8" t="s">
        <v>12173</v>
      </c>
    </row>
    <row r="2027" spans="1:5" x14ac:dyDescent="0.25">
      <c r="A2027" s="5" t="s">
        <v>6077</v>
      </c>
      <c r="B2027" s="9" t="str">
        <f>HYPERLINK("http://biobank.ctsu.ox.ac.uk/crystal/field.cgi?id=25677", "25677")</f>
        <v>25677</v>
      </c>
      <c r="C2027" s="8" t="s">
        <v>6079</v>
      </c>
      <c r="D2027" s="8" t="s">
        <v>10051</v>
      </c>
      <c r="E2027" s="8" t="s">
        <v>12174</v>
      </c>
    </row>
    <row r="2028" spans="1:5" x14ac:dyDescent="0.25">
      <c r="A2028" s="5" t="s">
        <v>6080</v>
      </c>
      <c r="B2028" s="9" t="str">
        <f>HYPERLINK("http://biobank.ctsu.ox.ac.uk/crystal/field.cgi?id=25678", "25678")</f>
        <v>25678</v>
      </c>
      <c r="C2028" s="8" t="s">
        <v>6082</v>
      </c>
      <c r="D2028" s="8" t="s">
        <v>10051</v>
      </c>
      <c r="E2028" s="8" t="s">
        <v>12175</v>
      </c>
    </row>
    <row r="2029" spans="1:5" x14ac:dyDescent="0.25">
      <c r="A2029" s="5" t="s">
        <v>6083</v>
      </c>
      <c r="B2029" s="9" t="str">
        <f>HYPERLINK("http://biobank.ctsu.ox.ac.uk/crystal/field.cgi?id=25679", "25679")</f>
        <v>25679</v>
      </c>
      <c r="C2029" s="8" t="s">
        <v>6085</v>
      </c>
      <c r="D2029" s="8" t="s">
        <v>10051</v>
      </c>
      <c r="E2029" s="8" t="s">
        <v>12176</v>
      </c>
    </row>
    <row r="2030" spans="1:5" x14ac:dyDescent="0.25">
      <c r="A2030" s="5" t="s">
        <v>6086</v>
      </c>
      <c r="B2030" s="9" t="str">
        <f>HYPERLINK("http://biobank.ctsu.ox.ac.uk/crystal/field.cgi?id=25680", "25680")</f>
        <v>25680</v>
      </c>
      <c r="C2030" s="8" t="s">
        <v>6088</v>
      </c>
      <c r="D2030" s="8" t="s">
        <v>10051</v>
      </c>
      <c r="E2030" s="8" t="s">
        <v>12177</v>
      </c>
    </row>
    <row r="2031" spans="1:5" x14ac:dyDescent="0.25">
      <c r="A2031" s="5" t="s">
        <v>6089</v>
      </c>
      <c r="B2031" s="9" t="str">
        <f>HYPERLINK("http://biobank.ctsu.ox.ac.uk/crystal/field.cgi?id=25681", "25681")</f>
        <v>25681</v>
      </c>
      <c r="C2031" s="8" t="s">
        <v>6091</v>
      </c>
      <c r="D2031" s="8" t="s">
        <v>10051</v>
      </c>
      <c r="E2031" s="8" t="s">
        <v>12178</v>
      </c>
    </row>
    <row r="2032" spans="1:5" x14ac:dyDescent="0.25">
      <c r="A2032" s="5" t="s">
        <v>6092</v>
      </c>
      <c r="B2032" s="9" t="str">
        <f>HYPERLINK("http://biobank.ctsu.ox.ac.uk/crystal/field.cgi?id=25682", "25682")</f>
        <v>25682</v>
      </c>
      <c r="C2032" s="8" t="s">
        <v>6094</v>
      </c>
      <c r="D2032" s="8" t="s">
        <v>10051</v>
      </c>
      <c r="E2032" s="8" t="s">
        <v>12179</v>
      </c>
    </row>
    <row r="2033" spans="1:5" x14ac:dyDescent="0.25">
      <c r="A2033" s="5" t="s">
        <v>6095</v>
      </c>
      <c r="B2033" s="9" t="str">
        <f>HYPERLINK("http://biobank.ctsu.ox.ac.uk/crystal/field.cgi?id=25683", "25683")</f>
        <v>25683</v>
      </c>
      <c r="C2033" s="8" t="s">
        <v>6097</v>
      </c>
      <c r="D2033" s="8" t="s">
        <v>10051</v>
      </c>
      <c r="E2033" s="8" t="s">
        <v>12180</v>
      </c>
    </row>
    <row r="2034" spans="1:5" x14ac:dyDescent="0.25">
      <c r="A2034" s="5" t="s">
        <v>6098</v>
      </c>
      <c r="B2034" s="9" t="str">
        <f>HYPERLINK("http://biobank.ctsu.ox.ac.uk/crystal/field.cgi?id=25684", "25684")</f>
        <v>25684</v>
      </c>
      <c r="C2034" s="8" t="s">
        <v>6100</v>
      </c>
      <c r="D2034" s="8" t="s">
        <v>10051</v>
      </c>
      <c r="E2034" s="8" t="s">
        <v>12181</v>
      </c>
    </row>
    <row r="2035" spans="1:5" x14ac:dyDescent="0.25">
      <c r="A2035" s="5" t="s">
        <v>6101</v>
      </c>
      <c r="B2035" s="9" t="str">
        <f>HYPERLINK("http://biobank.ctsu.ox.ac.uk/crystal/field.cgi?id=25685", "25685")</f>
        <v>25685</v>
      </c>
      <c r="C2035" s="8" t="s">
        <v>6103</v>
      </c>
      <c r="D2035" s="8" t="s">
        <v>10051</v>
      </c>
      <c r="E2035" s="8" t="s">
        <v>12182</v>
      </c>
    </row>
    <row r="2036" spans="1:5" x14ac:dyDescent="0.25">
      <c r="A2036" s="5" t="s">
        <v>6104</v>
      </c>
      <c r="B2036" s="9" t="str">
        <f>HYPERLINK("http://biobank.ctsu.ox.ac.uk/crystal/field.cgi?id=25686", "25686")</f>
        <v>25686</v>
      </c>
      <c r="C2036" s="8" t="s">
        <v>6106</v>
      </c>
      <c r="D2036" s="8" t="s">
        <v>10051</v>
      </c>
      <c r="E2036" s="8" t="s">
        <v>12183</v>
      </c>
    </row>
    <row r="2037" spans="1:5" x14ac:dyDescent="0.25">
      <c r="A2037" s="5" t="s">
        <v>6107</v>
      </c>
      <c r="B2037" s="9" t="str">
        <f>HYPERLINK("http://biobank.ctsu.ox.ac.uk/crystal/field.cgi?id=25687", "25687")</f>
        <v>25687</v>
      </c>
      <c r="C2037" s="8" t="s">
        <v>6109</v>
      </c>
      <c r="D2037" s="8" t="s">
        <v>10051</v>
      </c>
      <c r="E2037" s="8" t="s">
        <v>12184</v>
      </c>
    </row>
    <row r="2038" spans="1:5" x14ac:dyDescent="0.25">
      <c r="A2038" s="5" t="s">
        <v>6110</v>
      </c>
      <c r="B2038" s="9" t="str">
        <f>HYPERLINK("http://biobank.ctsu.ox.ac.uk/crystal/field.cgi?id=25688", "25688")</f>
        <v>25688</v>
      </c>
      <c r="C2038" s="8" t="s">
        <v>6112</v>
      </c>
      <c r="D2038" s="8" t="s">
        <v>10051</v>
      </c>
      <c r="E2038" s="8" t="s">
        <v>12185</v>
      </c>
    </row>
    <row r="2039" spans="1:5" x14ac:dyDescent="0.25">
      <c r="A2039" s="5" t="s">
        <v>6113</v>
      </c>
      <c r="B2039" s="9" t="str">
        <f>HYPERLINK("http://biobank.ctsu.ox.ac.uk/crystal/field.cgi?id=25689", "25689")</f>
        <v>25689</v>
      </c>
      <c r="C2039" s="8" t="s">
        <v>6115</v>
      </c>
      <c r="D2039" s="8" t="s">
        <v>10051</v>
      </c>
      <c r="E2039" s="8" t="s">
        <v>12186</v>
      </c>
    </row>
    <row r="2040" spans="1:5" x14ac:dyDescent="0.25">
      <c r="A2040" s="5" t="s">
        <v>6116</v>
      </c>
      <c r="B2040" s="9" t="str">
        <f>HYPERLINK("http://biobank.ctsu.ox.ac.uk/crystal/field.cgi?id=25690", "25690")</f>
        <v>25690</v>
      </c>
      <c r="C2040" s="8" t="s">
        <v>6118</v>
      </c>
      <c r="D2040" s="8" t="s">
        <v>10051</v>
      </c>
      <c r="E2040" s="8" t="s">
        <v>12187</v>
      </c>
    </row>
    <row r="2041" spans="1:5" x14ac:dyDescent="0.25">
      <c r="A2041" s="5" t="s">
        <v>6119</v>
      </c>
      <c r="B2041" s="9" t="str">
        <f>HYPERLINK("http://biobank.ctsu.ox.ac.uk/crystal/field.cgi?id=25691", "25691")</f>
        <v>25691</v>
      </c>
      <c r="C2041" s="8" t="s">
        <v>6121</v>
      </c>
      <c r="D2041" s="8" t="s">
        <v>10051</v>
      </c>
      <c r="E2041" s="8" t="s">
        <v>12188</v>
      </c>
    </row>
    <row r="2042" spans="1:5" x14ac:dyDescent="0.25">
      <c r="A2042" s="5" t="s">
        <v>6122</v>
      </c>
      <c r="B2042" s="9" t="str">
        <f>HYPERLINK("http://biobank.ctsu.ox.ac.uk/crystal/field.cgi?id=25692", "25692")</f>
        <v>25692</v>
      </c>
      <c r="C2042" s="8" t="s">
        <v>6124</v>
      </c>
      <c r="D2042" s="8" t="s">
        <v>10051</v>
      </c>
      <c r="E2042" s="8" t="s">
        <v>12189</v>
      </c>
    </row>
    <row r="2043" spans="1:5" x14ac:dyDescent="0.25">
      <c r="A2043" s="5" t="s">
        <v>6125</v>
      </c>
      <c r="B2043" s="9" t="str">
        <f>HYPERLINK("http://biobank.ctsu.ox.ac.uk/crystal/field.cgi?id=25693", "25693")</f>
        <v>25693</v>
      </c>
      <c r="C2043" s="8" t="s">
        <v>6127</v>
      </c>
      <c r="D2043" s="8" t="s">
        <v>10051</v>
      </c>
      <c r="E2043" s="8" t="s">
        <v>12190</v>
      </c>
    </row>
    <row r="2044" spans="1:5" x14ac:dyDescent="0.25">
      <c r="A2044" s="5" t="s">
        <v>6128</v>
      </c>
      <c r="B2044" s="9" t="str">
        <f>HYPERLINK("http://biobank.ctsu.ox.ac.uk/crystal/field.cgi?id=25694", "25694")</f>
        <v>25694</v>
      </c>
      <c r="C2044" s="8" t="s">
        <v>6130</v>
      </c>
      <c r="D2044" s="8" t="s">
        <v>10051</v>
      </c>
      <c r="E2044" s="8" t="s">
        <v>12191</v>
      </c>
    </row>
    <row r="2045" spans="1:5" x14ac:dyDescent="0.25">
      <c r="A2045" s="5" t="s">
        <v>6131</v>
      </c>
      <c r="B2045" s="9" t="str">
        <f>HYPERLINK("http://biobank.ctsu.ox.ac.uk/crystal/field.cgi?id=25695", "25695")</f>
        <v>25695</v>
      </c>
      <c r="C2045" s="8" t="s">
        <v>6133</v>
      </c>
      <c r="D2045" s="8" t="s">
        <v>10051</v>
      </c>
      <c r="E2045" s="8" t="s">
        <v>12192</v>
      </c>
    </row>
    <row r="2046" spans="1:5" x14ac:dyDescent="0.25">
      <c r="A2046" s="5" t="s">
        <v>6134</v>
      </c>
      <c r="B2046" s="9" t="str">
        <f>HYPERLINK("http://biobank.ctsu.ox.ac.uk/crystal/field.cgi?id=25696", "25696")</f>
        <v>25696</v>
      </c>
      <c r="C2046" s="8" t="s">
        <v>6136</v>
      </c>
      <c r="D2046" s="8" t="s">
        <v>10051</v>
      </c>
      <c r="E2046" s="8" t="s">
        <v>12193</v>
      </c>
    </row>
    <row r="2047" spans="1:5" x14ac:dyDescent="0.25">
      <c r="A2047" s="5" t="s">
        <v>6137</v>
      </c>
      <c r="B2047" s="9" t="str">
        <f>HYPERLINK("http://biobank.ctsu.ox.ac.uk/crystal/field.cgi?id=25697", "25697")</f>
        <v>25697</v>
      </c>
      <c r="C2047" s="8" t="s">
        <v>6139</v>
      </c>
      <c r="D2047" s="8" t="s">
        <v>10051</v>
      </c>
      <c r="E2047" s="8" t="s">
        <v>12194</v>
      </c>
    </row>
    <row r="2048" spans="1:5" x14ac:dyDescent="0.25">
      <c r="A2048" s="5" t="s">
        <v>6140</v>
      </c>
      <c r="B2048" s="9" t="str">
        <f>HYPERLINK("http://biobank.ctsu.ox.ac.uk/crystal/field.cgi?id=25698", "25698")</f>
        <v>25698</v>
      </c>
      <c r="C2048" s="8" t="s">
        <v>6142</v>
      </c>
      <c r="D2048" s="8" t="s">
        <v>10051</v>
      </c>
      <c r="E2048" s="8" t="s">
        <v>12195</v>
      </c>
    </row>
    <row r="2049" spans="1:5" x14ac:dyDescent="0.25">
      <c r="A2049" s="5" t="s">
        <v>6143</v>
      </c>
      <c r="B2049" s="9" t="str">
        <f>HYPERLINK("http://biobank.ctsu.ox.ac.uk/crystal/field.cgi?id=25699", "25699")</f>
        <v>25699</v>
      </c>
      <c r="C2049" s="8" t="s">
        <v>6145</v>
      </c>
      <c r="D2049" s="8" t="s">
        <v>10051</v>
      </c>
      <c r="E2049" s="8" t="s">
        <v>12196</v>
      </c>
    </row>
    <row r="2050" spans="1:5" x14ac:dyDescent="0.25">
      <c r="A2050" s="5" t="s">
        <v>6146</v>
      </c>
      <c r="B2050" s="9" t="str">
        <f>HYPERLINK("http://biobank.ctsu.ox.ac.uk/crystal/field.cgi?id=25700", "25700")</f>
        <v>25700</v>
      </c>
      <c r="C2050" s="8" t="s">
        <v>6148</v>
      </c>
      <c r="D2050" s="8" t="s">
        <v>10051</v>
      </c>
      <c r="E2050" s="8" t="s">
        <v>12197</v>
      </c>
    </row>
    <row r="2051" spans="1:5" x14ac:dyDescent="0.25">
      <c r="A2051" s="5" t="s">
        <v>6149</v>
      </c>
      <c r="B2051" s="9" t="str">
        <f>HYPERLINK("http://biobank.ctsu.ox.ac.uk/crystal/field.cgi?id=25701", "25701")</f>
        <v>25701</v>
      </c>
      <c r="C2051" s="8" t="s">
        <v>6151</v>
      </c>
      <c r="D2051" s="8" t="s">
        <v>10051</v>
      </c>
      <c r="E2051" s="8" t="s">
        <v>12198</v>
      </c>
    </row>
    <row r="2052" spans="1:5" x14ac:dyDescent="0.25">
      <c r="A2052" s="5" t="s">
        <v>6152</v>
      </c>
      <c r="B2052" s="9" t="str">
        <f>HYPERLINK("http://biobank.ctsu.ox.ac.uk/crystal/field.cgi?id=25702", "25702")</f>
        <v>25702</v>
      </c>
      <c r="C2052" s="8" t="s">
        <v>6154</v>
      </c>
      <c r="D2052" s="8" t="s">
        <v>10051</v>
      </c>
      <c r="E2052" s="8" t="s">
        <v>12199</v>
      </c>
    </row>
    <row r="2053" spans="1:5" x14ac:dyDescent="0.25">
      <c r="A2053" s="5" t="s">
        <v>6155</v>
      </c>
      <c r="B2053" s="9" t="str">
        <f>HYPERLINK("http://biobank.ctsu.ox.ac.uk/crystal/field.cgi?id=25703", "25703")</f>
        <v>25703</v>
      </c>
      <c r="C2053" s="8" t="s">
        <v>6157</v>
      </c>
      <c r="D2053" s="8" t="s">
        <v>10051</v>
      </c>
      <c r="E2053" s="8" t="s">
        <v>12200</v>
      </c>
    </row>
    <row r="2054" spans="1:5" x14ac:dyDescent="0.25">
      <c r="A2054" s="5" t="s">
        <v>6158</v>
      </c>
      <c r="B2054" s="9" t="str">
        <f>HYPERLINK("http://biobank.ctsu.ox.ac.uk/crystal/field.cgi?id=25440", "25440")</f>
        <v>25440</v>
      </c>
      <c r="C2054" s="8" t="s">
        <v>6160</v>
      </c>
      <c r="D2054" s="8" t="s">
        <v>10052</v>
      </c>
      <c r="E2054" s="8" t="s">
        <v>12201</v>
      </c>
    </row>
    <row r="2055" spans="1:5" x14ac:dyDescent="0.25">
      <c r="A2055" s="5" t="s">
        <v>6161</v>
      </c>
      <c r="B2055" s="9" t="str">
        <f>HYPERLINK("http://biobank.ctsu.ox.ac.uk/crystal/field.cgi?id=25441", "25441")</f>
        <v>25441</v>
      </c>
      <c r="C2055" s="8" t="s">
        <v>6163</v>
      </c>
      <c r="D2055" s="8" t="s">
        <v>10052</v>
      </c>
      <c r="E2055" s="8" t="s">
        <v>12202</v>
      </c>
    </row>
    <row r="2056" spans="1:5" x14ac:dyDescent="0.25">
      <c r="A2056" s="5" t="s">
        <v>6164</v>
      </c>
      <c r="B2056" s="9" t="str">
        <f>HYPERLINK("http://biobank.ctsu.ox.ac.uk/crystal/field.cgi?id=25442", "25442")</f>
        <v>25442</v>
      </c>
      <c r="C2056" s="8" t="s">
        <v>6166</v>
      </c>
      <c r="D2056" s="8" t="s">
        <v>10052</v>
      </c>
      <c r="E2056" s="8" t="s">
        <v>12203</v>
      </c>
    </row>
    <row r="2057" spans="1:5" x14ac:dyDescent="0.25">
      <c r="A2057" s="5" t="s">
        <v>6167</v>
      </c>
      <c r="B2057" s="9" t="str">
        <f>HYPERLINK("http://biobank.ctsu.ox.ac.uk/crystal/field.cgi?id=25443", "25443")</f>
        <v>25443</v>
      </c>
      <c r="C2057" s="8" t="s">
        <v>6169</v>
      </c>
      <c r="D2057" s="8" t="s">
        <v>10052</v>
      </c>
      <c r="E2057" s="8" t="s">
        <v>12204</v>
      </c>
    </row>
    <row r="2058" spans="1:5" x14ac:dyDescent="0.25">
      <c r="A2058" s="5" t="s">
        <v>6170</v>
      </c>
      <c r="B2058" s="9" t="str">
        <f>HYPERLINK("http://biobank.ctsu.ox.ac.uk/crystal/field.cgi?id=25444", "25444")</f>
        <v>25444</v>
      </c>
      <c r="C2058" s="8" t="s">
        <v>6172</v>
      </c>
      <c r="D2058" s="8" t="s">
        <v>10052</v>
      </c>
      <c r="E2058" s="8" t="s">
        <v>12205</v>
      </c>
    </row>
    <row r="2059" spans="1:5" x14ac:dyDescent="0.25">
      <c r="A2059" s="5" t="s">
        <v>6173</v>
      </c>
      <c r="B2059" s="9" t="str">
        <f>HYPERLINK("http://biobank.ctsu.ox.ac.uk/crystal/field.cgi?id=25445", "25445")</f>
        <v>25445</v>
      </c>
      <c r="C2059" s="8" t="s">
        <v>6175</v>
      </c>
      <c r="D2059" s="8" t="s">
        <v>10052</v>
      </c>
      <c r="E2059" s="8" t="s">
        <v>12206</v>
      </c>
    </row>
    <row r="2060" spans="1:5" x14ac:dyDescent="0.25">
      <c r="A2060" s="5" t="s">
        <v>6176</v>
      </c>
      <c r="B2060" s="9" t="str">
        <f>HYPERLINK("http://biobank.ctsu.ox.ac.uk/crystal/field.cgi?id=25446", "25446")</f>
        <v>25446</v>
      </c>
      <c r="C2060" s="8" t="s">
        <v>6178</v>
      </c>
      <c r="D2060" s="8" t="s">
        <v>10052</v>
      </c>
      <c r="E2060" s="8" t="s">
        <v>12207</v>
      </c>
    </row>
    <row r="2061" spans="1:5" x14ac:dyDescent="0.25">
      <c r="A2061" s="5" t="s">
        <v>6179</v>
      </c>
      <c r="B2061" s="9" t="str">
        <f>HYPERLINK("http://biobank.ctsu.ox.ac.uk/crystal/field.cgi?id=25447", "25447")</f>
        <v>25447</v>
      </c>
      <c r="C2061" s="8" t="s">
        <v>6181</v>
      </c>
      <c r="D2061" s="8" t="s">
        <v>10052</v>
      </c>
      <c r="E2061" s="8" t="s">
        <v>12208</v>
      </c>
    </row>
    <row r="2062" spans="1:5" x14ac:dyDescent="0.25">
      <c r="A2062" s="5" t="s">
        <v>6182</v>
      </c>
      <c r="B2062" s="9" t="str">
        <f>HYPERLINK("http://biobank.ctsu.ox.ac.uk/crystal/field.cgi?id=25448", "25448")</f>
        <v>25448</v>
      </c>
      <c r="C2062" s="8" t="s">
        <v>6184</v>
      </c>
      <c r="D2062" s="8" t="s">
        <v>10052</v>
      </c>
      <c r="E2062" s="8" t="s">
        <v>12209</v>
      </c>
    </row>
    <row r="2063" spans="1:5" x14ac:dyDescent="0.25">
      <c r="A2063" s="5" t="s">
        <v>6185</v>
      </c>
      <c r="B2063" s="9" t="str">
        <f>HYPERLINK("http://biobank.ctsu.ox.ac.uk/crystal/field.cgi?id=25449", "25449")</f>
        <v>25449</v>
      </c>
      <c r="C2063" s="8" t="s">
        <v>6187</v>
      </c>
      <c r="D2063" s="8" t="s">
        <v>10052</v>
      </c>
      <c r="E2063" s="8" t="s">
        <v>12210</v>
      </c>
    </row>
    <row r="2064" spans="1:5" x14ac:dyDescent="0.25">
      <c r="A2064" s="5" t="s">
        <v>6188</v>
      </c>
      <c r="B2064" s="9" t="str">
        <f>HYPERLINK("http://biobank.ctsu.ox.ac.uk/crystal/field.cgi?id=25450", "25450")</f>
        <v>25450</v>
      </c>
      <c r="C2064" s="8" t="s">
        <v>6190</v>
      </c>
      <c r="D2064" s="8" t="s">
        <v>10052</v>
      </c>
      <c r="E2064" s="8" t="s">
        <v>12211</v>
      </c>
    </row>
    <row r="2065" spans="1:5" x14ac:dyDescent="0.25">
      <c r="A2065" s="5" t="s">
        <v>6191</v>
      </c>
      <c r="B2065" s="9" t="str">
        <f>HYPERLINK("http://biobank.ctsu.ox.ac.uk/crystal/field.cgi?id=25451", "25451")</f>
        <v>25451</v>
      </c>
      <c r="C2065" s="8" t="s">
        <v>6193</v>
      </c>
      <c r="D2065" s="8" t="s">
        <v>10052</v>
      </c>
      <c r="E2065" s="8" t="s">
        <v>12212</v>
      </c>
    </row>
    <row r="2066" spans="1:5" x14ac:dyDescent="0.25">
      <c r="A2066" s="5" t="s">
        <v>6194</v>
      </c>
      <c r="B2066" s="9" t="str">
        <f>HYPERLINK("http://biobank.ctsu.ox.ac.uk/crystal/field.cgi?id=25452", "25452")</f>
        <v>25452</v>
      </c>
      <c r="C2066" s="8" t="s">
        <v>6196</v>
      </c>
      <c r="D2066" s="8" t="s">
        <v>10052</v>
      </c>
      <c r="E2066" s="8" t="s">
        <v>12213</v>
      </c>
    </row>
    <row r="2067" spans="1:5" x14ac:dyDescent="0.25">
      <c r="A2067" s="5" t="s">
        <v>6197</v>
      </c>
      <c r="B2067" s="9" t="str">
        <f>HYPERLINK("http://biobank.ctsu.ox.ac.uk/crystal/field.cgi?id=25453", "25453")</f>
        <v>25453</v>
      </c>
      <c r="C2067" s="8" t="s">
        <v>6199</v>
      </c>
      <c r="D2067" s="8" t="s">
        <v>10052</v>
      </c>
      <c r="E2067" s="8" t="s">
        <v>12214</v>
      </c>
    </row>
    <row r="2068" spans="1:5" x14ac:dyDescent="0.25">
      <c r="A2068" s="5" t="s">
        <v>6200</v>
      </c>
      <c r="B2068" s="9" t="str">
        <f>HYPERLINK("http://biobank.ctsu.ox.ac.uk/crystal/field.cgi?id=25454", "25454")</f>
        <v>25454</v>
      </c>
      <c r="C2068" s="8" t="s">
        <v>6202</v>
      </c>
      <c r="D2068" s="8" t="s">
        <v>10052</v>
      </c>
      <c r="E2068" s="8" t="s">
        <v>12215</v>
      </c>
    </row>
    <row r="2069" spans="1:5" x14ac:dyDescent="0.25">
      <c r="A2069" s="5" t="s">
        <v>6203</v>
      </c>
      <c r="B2069" s="9" t="str">
        <f>HYPERLINK("http://biobank.ctsu.ox.ac.uk/crystal/field.cgi?id=25455", "25455")</f>
        <v>25455</v>
      </c>
      <c r="C2069" s="8" t="s">
        <v>6205</v>
      </c>
      <c r="D2069" s="8" t="s">
        <v>10052</v>
      </c>
      <c r="E2069" s="8" t="s">
        <v>12216</v>
      </c>
    </row>
    <row r="2070" spans="1:5" x14ac:dyDescent="0.25">
      <c r="A2070" s="5" t="s">
        <v>6206</v>
      </c>
      <c r="B2070" s="9" t="str">
        <f>HYPERLINK("http://biobank.ctsu.ox.ac.uk/crystal/field.cgi?id=25456", "25456")</f>
        <v>25456</v>
      </c>
      <c r="C2070" s="8" t="s">
        <v>6208</v>
      </c>
      <c r="D2070" s="8" t="s">
        <v>10052</v>
      </c>
      <c r="E2070" s="8" t="s">
        <v>12217</v>
      </c>
    </row>
    <row r="2071" spans="1:5" x14ac:dyDescent="0.25">
      <c r="A2071" s="5" t="s">
        <v>6209</v>
      </c>
      <c r="B2071" s="9" t="str">
        <f>HYPERLINK("http://biobank.ctsu.ox.ac.uk/crystal/field.cgi?id=25457", "25457")</f>
        <v>25457</v>
      </c>
      <c r="C2071" s="8" t="s">
        <v>6211</v>
      </c>
      <c r="D2071" s="8" t="s">
        <v>10052</v>
      </c>
      <c r="E2071" s="8" t="s">
        <v>12218</v>
      </c>
    </row>
    <row r="2072" spans="1:5" x14ac:dyDescent="0.25">
      <c r="A2072" s="5" t="s">
        <v>6212</v>
      </c>
      <c r="B2072" s="9" t="str">
        <f>HYPERLINK("http://biobank.ctsu.ox.ac.uk/crystal/field.cgi?id=25458", "25458")</f>
        <v>25458</v>
      </c>
      <c r="C2072" s="8" t="s">
        <v>6214</v>
      </c>
      <c r="D2072" s="8" t="s">
        <v>10052</v>
      </c>
      <c r="E2072" s="8" t="s">
        <v>12219</v>
      </c>
    </row>
    <row r="2073" spans="1:5" x14ac:dyDescent="0.25">
      <c r="A2073" s="5" t="s">
        <v>6215</v>
      </c>
      <c r="B2073" s="9" t="str">
        <f>HYPERLINK("http://biobank.ctsu.ox.ac.uk/crystal/field.cgi?id=25459", "25459")</f>
        <v>25459</v>
      </c>
      <c r="C2073" s="8" t="s">
        <v>6217</v>
      </c>
      <c r="D2073" s="8" t="s">
        <v>10052</v>
      </c>
      <c r="E2073" s="8" t="s">
        <v>12220</v>
      </c>
    </row>
    <row r="2074" spans="1:5" x14ac:dyDescent="0.25">
      <c r="A2074" s="5" t="s">
        <v>6218</v>
      </c>
      <c r="B2074" s="9" t="str">
        <f>HYPERLINK("http://biobank.ctsu.ox.ac.uk/crystal/field.cgi?id=25460", "25460")</f>
        <v>25460</v>
      </c>
      <c r="C2074" s="8" t="s">
        <v>6220</v>
      </c>
      <c r="D2074" s="8" t="s">
        <v>10052</v>
      </c>
      <c r="E2074" s="8" t="s">
        <v>12221</v>
      </c>
    </row>
    <row r="2075" spans="1:5" x14ac:dyDescent="0.25">
      <c r="A2075" s="5" t="s">
        <v>6221</v>
      </c>
      <c r="B2075" s="9" t="str">
        <f>HYPERLINK("http://biobank.ctsu.ox.ac.uk/crystal/field.cgi?id=25461", "25461")</f>
        <v>25461</v>
      </c>
      <c r="C2075" s="8" t="s">
        <v>6223</v>
      </c>
      <c r="D2075" s="8" t="s">
        <v>10052</v>
      </c>
      <c r="E2075" s="8" t="s">
        <v>12222</v>
      </c>
    </row>
    <row r="2076" spans="1:5" x14ac:dyDescent="0.25">
      <c r="A2076" s="5" t="s">
        <v>6224</v>
      </c>
      <c r="B2076" s="9" t="str">
        <f>HYPERLINK("http://biobank.ctsu.ox.ac.uk/crystal/field.cgi?id=25462", "25462")</f>
        <v>25462</v>
      </c>
      <c r="C2076" s="8" t="s">
        <v>6226</v>
      </c>
      <c r="D2076" s="8" t="s">
        <v>10052</v>
      </c>
      <c r="E2076" s="8" t="s">
        <v>12223</v>
      </c>
    </row>
    <row r="2077" spans="1:5" x14ac:dyDescent="0.25">
      <c r="A2077" s="5" t="s">
        <v>6227</v>
      </c>
      <c r="B2077" s="9" t="str">
        <f>HYPERLINK("http://biobank.ctsu.ox.ac.uk/crystal/field.cgi?id=25463", "25463")</f>
        <v>25463</v>
      </c>
      <c r="C2077" s="8" t="s">
        <v>6229</v>
      </c>
      <c r="D2077" s="8" t="s">
        <v>10052</v>
      </c>
      <c r="E2077" s="8" t="s">
        <v>12224</v>
      </c>
    </row>
    <row r="2078" spans="1:5" x14ac:dyDescent="0.25">
      <c r="A2078" s="5" t="s">
        <v>6230</v>
      </c>
      <c r="B2078" s="9" t="str">
        <f>HYPERLINK("http://biobank.ctsu.ox.ac.uk/crystal/field.cgi?id=25464", "25464")</f>
        <v>25464</v>
      </c>
      <c r="C2078" s="8" t="s">
        <v>6232</v>
      </c>
      <c r="D2078" s="8" t="s">
        <v>10052</v>
      </c>
      <c r="E2078" s="8" t="s">
        <v>12225</v>
      </c>
    </row>
    <row r="2079" spans="1:5" x14ac:dyDescent="0.25">
      <c r="A2079" s="5" t="s">
        <v>6233</v>
      </c>
      <c r="B2079" s="9" t="str">
        <f>HYPERLINK("http://biobank.ctsu.ox.ac.uk/crystal/field.cgi?id=25465", "25465")</f>
        <v>25465</v>
      </c>
      <c r="C2079" s="8" t="s">
        <v>6235</v>
      </c>
      <c r="D2079" s="8" t="s">
        <v>10052</v>
      </c>
      <c r="E2079" s="8" t="s">
        <v>12226</v>
      </c>
    </row>
    <row r="2080" spans="1:5" x14ac:dyDescent="0.25">
      <c r="A2080" s="5" t="s">
        <v>6236</v>
      </c>
      <c r="B2080" s="9" t="str">
        <f>HYPERLINK("http://biobank.ctsu.ox.ac.uk/crystal/field.cgi?id=25466", "25466")</f>
        <v>25466</v>
      </c>
      <c r="C2080" s="8" t="s">
        <v>6238</v>
      </c>
      <c r="D2080" s="8" t="s">
        <v>10052</v>
      </c>
      <c r="E2080" s="8" t="s">
        <v>12227</v>
      </c>
    </row>
    <row r="2081" spans="1:5" x14ac:dyDescent="0.25">
      <c r="A2081" s="5" t="s">
        <v>6239</v>
      </c>
      <c r="B2081" s="9" t="str">
        <f>HYPERLINK("http://biobank.ctsu.ox.ac.uk/crystal/field.cgi?id=25467", "25467")</f>
        <v>25467</v>
      </c>
      <c r="C2081" s="8" t="s">
        <v>6241</v>
      </c>
      <c r="D2081" s="8" t="s">
        <v>10052</v>
      </c>
      <c r="E2081" s="8" t="s">
        <v>12228</v>
      </c>
    </row>
    <row r="2082" spans="1:5" x14ac:dyDescent="0.25">
      <c r="A2082" s="5" t="s">
        <v>6242</v>
      </c>
      <c r="B2082" s="9" t="str">
        <f>HYPERLINK("http://biobank.ctsu.ox.ac.uk/crystal/field.cgi?id=25468", "25468")</f>
        <v>25468</v>
      </c>
      <c r="C2082" s="8" t="s">
        <v>6244</v>
      </c>
      <c r="D2082" s="8" t="s">
        <v>10052</v>
      </c>
      <c r="E2082" s="8" t="s">
        <v>12229</v>
      </c>
    </row>
    <row r="2083" spans="1:5" x14ac:dyDescent="0.25">
      <c r="A2083" s="5" t="s">
        <v>6245</v>
      </c>
      <c r="B2083" s="9" t="str">
        <f>HYPERLINK("http://biobank.ctsu.ox.ac.uk/crystal/field.cgi?id=25469", "25469")</f>
        <v>25469</v>
      </c>
      <c r="C2083" s="8" t="s">
        <v>6247</v>
      </c>
      <c r="D2083" s="8" t="s">
        <v>10052</v>
      </c>
      <c r="E2083" s="8" t="s">
        <v>12230</v>
      </c>
    </row>
    <row r="2084" spans="1:5" x14ac:dyDescent="0.25">
      <c r="A2084" s="5" t="s">
        <v>6248</v>
      </c>
      <c r="B2084" s="9" t="str">
        <f>HYPERLINK("http://biobank.ctsu.ox.ac.uk/crystal/field.cgi?id=25470", "25470")</f>
        <v>25470</v>
      </c>
      <c r="C2084" s="8" t="s">
        <v>6250</v>
      </c>
      <c r="D2084" s="8" t="s">
        <v>10052</v>
      </c>
      <c r="E2084" s="8" t="s">
        <v>12231</v>
      </c>
    </row>
    <row r="2085" spans="1:5" x14ac:dyDescent="0.25">
      <c r="A2085" s="5" t="s">
        <v>6251</v>
      </c>
      <c r="B2085" s="9" t="str">
        <f>HYPERLINK("http://biobank.ctsu.ox.ac.uk/crystal/field.cgi?id=25471", "25471")</f>
        <v>25471</v>
      </c>
      <c r="C2085" s="8" t="s">
        <v>6253</v>
      </c>
      <c r="D2085" s="8" t="s">
        <v>10052</v>
      </c>
      <c r="E2085" s="8" t="s">
        <v>12232</v>
      </c>
    </row>
    <row r="2086" spans="1:5" x14ac:dyDescent="0.25">
      <c r="A2086" s="5" t="s">
        <v>6254</v>
      </c>
      <c r="B2086" s="9" t="str">
        <f>HYPERLINK("http://biobank.ctsu.ox.ac.uk/crystal/field.cgi?id=25472", "25472")</f>
        <v>25472</v>
      </c>
      <c r="C2086" s="8" t="s">
        <v>6256</v>
      </c>
      <c r="D2086" s="8" t="s">
        <v>10052</v>
      </c>
      <c r="E2086" s="8" t="s">
        <v>12233</v>
      </c>
    </row>
    <row r="2087" spans="1:5" x14ac:dyDescent="0.25">
      <c r="A2087" s="5" t="s">
        <v>6257</v>
      </c>
      <c r="B2087" s="9" t="str">
        <f>HYPERLINK("http://biobank.ctsu.ox.ac.uk/crystal/field.cgi?id=25473", "25473")</f>
        <v>25473</v>
      </c>
      <c r="C2087" s="8" t="s">
        <v>6259</v>
      </c>
      <c r="D2087" s="8" t="s">
        <v>10052</v>
      </c>
      <c r="E2087" s="8" t="s">
        <v>12234</v>
      </c>
    </row>
    <row r="2088" spans="1:5" x14ac:dyDescent="0.25">
      <c r="A2088" s="5" t="s">
        <v>6260</v>
      </c>
      <c r="B2088" s="9" t="str">
        <f>HYPERLINK("http://biobank.ctsu.ox.ac.uk/crystal/field.cgi?id=25474", "25474")</f>
        <v>25474</v>
      </c>
      <c r="C2088" s="8" t="s">
        <v>6262</v>
      </c>
      <c r="D2088" s="8" t="s">
        <v>10052</v>
      </c>
      <c r="E2088" s="8" t="s">
        <v>12235</v>
      </c>
    </row>
    <row r="2089" spans="1:5" x14ac:dyDescent="0.25">
      <c r="A2089" s="5" t="s">
        <v>6263</v>
      </c>
      <c r="B2089" s="9" t="str">
        <f>HYPERLINK("http://biobank.ctsu.ox.ac.uk/crystal/field.cgi?id=25475", "25475")</f>
        <v>25475</v>
      </c>
      <c r="C2089" s="8" t="s">
        <v>6265</v>
      </c>
      <c r="D2089" s="8" t="s">
        <v>10052</v>
      </c>
      <c r="E2089" s="8" t="s">
        <v>12236</v>
      </c>
    </row>
    <row r="2090" spans="1:5" x14ac:dyDescent="0.25">
      <c r="A2090" s="5" t="s">
        <v>6266</v>
      </c>
      <c r="B2090" s="9" t="str">
        <f>HYPERLINK("http://biobank.ctsu.ox.ac.uk/crystal/field.cgi?id=25476", "25476")</f>
        <v>25476</v>
      </c>
      <c r="C2090" s="8" t="s">
        <v>6268</v>
      </c>
      <c r="D2090" s="8" t="s">
        <v>10052</v>
      </c>
      <c r="E2090" s="8" t="s">
        <v>12237</v>
      </c>
    </row>
    <row r="2091" spans="1:5" x14ac:dyDescent="0.25">
      <c r="A2091" s="5" t="s">
        <v>6269</v>
      </c>
      <c r="B2091" s="9" t="str">
        <f>HYPERLINK("http://biobank.ctsu.ox.ac.uk/crystal/field.cgi?id=25477", "25477")</f>
        <v>25477</v>
      </c>
      <c r="C2091" s="8" t="s">
        <v>6271</v>
      </c>
      <c r="D2091" s="8" t="s">
        <v>10052</v>
      </c>
      <c r="E2091" s="8" t="s">
        <v>12238</v>
      </c>
    </row>
    <row r="2092" spans="1:5" x14ac:dyDescent="0.25">
      <c r="A2092" s="5" t="s">
        <v>6272</v>
      </c>
      <c r="B2092" s="9" t="str">
        <f>HYPERLINK("http://biobank.ctsu.ox.ac.uk/crystal/field.cgi?id=25478", "25478")</f>
        <v>25478</v>
      </c>
      <c r="C2092" s="8" t="s">
        <v>6274</v>
      </c>
      <c r="D2092" s="8" t="s">
        <v>10052</v>
      </c>
      <c r="E2092" s="8" t="s">
        <v>12239</v>
      </c>
    </row>
    <row r="2093" spans="1:5" x14ac:dyDescent="0.25">
      <c r="A2093" s="5" t="s">
        <v>6275</v>
      </c>
      <c r="B2093" s="9" t="str">
        <f>HYPERLINK("http://biobank.ctsu.ox.ac.uk/crystal/field.cgi?id=25479", "25479")</f>
        <v>25479</v>
      </c>
      <c r="C2093" s="8" t="s">
        <v>6277</v>
      </c>
      <c r="D2093" s="8" t="s">
        <v>10052</v>
      </c>
      <c r="E2093" s="8" t="s">
        <v>12240</v>
      </c>
    </row>
    <row r="2094" spans="1:5" x14ac:dyDescent="0.25">
      <c r="A2094" s="5" t="s">
        <v>6278</v>
      </c>
      <c r="B2094" s="9" t="str">
        <f>HYPERLINK("http://biobank.ctsu.ox.ac.uk/crystal/field.cgi?id=25480", "25480")</f>
        <v>25480</v>
      </c>
      <c r="C2094" s="8" t="s">
        <v>6280</v>
      </c>
      <c r="D2094" s="8" t="s">
        <v>10052</v>
      </c>
      <c r="E2094" s="8" t="s">
        <v>12241</v>
      </c>
    </row>
    <row r="2095" spans="1:5" x14ac:dyDescent="0.25">
      <c r="A2095" s="5" t="s">
        <v>6281</v>
      </c>
      <c r="B2095" s="9" t="str">
        <f>HYPERLINK("http://biobank.ctsu.ox.ac.uk/crystal/field.cgi?id=25481", "25481")</f>
        <v>25481</v>
      </c>
      <c r="C2095" s="8" t="s">
        <v>6283</v>
      </c>
      <c r="D2095" s="8" t="s">
        <v>10052</v>
      </c>
      <c r="E2095" s="8" t="s">
        <v>12242</v>
      </c>
    </row>
    <row r="2096" spans="1:5" x14ac:dyDescent="0.25">
      <c r="A2096" s="5" t="s">
        <v>6284</v>
      </c>
      <c r="B2096" s="9" t="str">
        <f>HYPERLINK("http://biobank.ctsu.ox.ac.uk/crystal/field.cgi?id=25482", "25482")</f>
        <v>25482</v>
      </c>
      <c r="C2096" s="8" t="s">
        <v>6286</v>
      </c>
      <c r="D2096" s="8" t="s">
        <v>10052</v>
      </c>
      <c r="E2096" s="8" t="s">
        <v>12243</v>
      </c>
    </row>
    <row r="2097" spans="1:5" x14ac:dyDescent="0.25">
      <c r="A2097" s="5" t="s">
        <v>6287</v>
      </c>
      <c r="B2097" s="9" t="str">
        <f>HYPERLINK("http://biobank.ctsu.ox.ac.uk/crystal/field.cgi?id=25483", "25483")</f>
        <v>25483</v>
      </c>
      <c r="C2097" s="8" t="s">
        <v>6289</v>
      </c>
      <c r="D2097" s="8" t="s">
        <v>10052</v>
      </c>
      <c r="E2097" s="8" t="s">
        <v>12244</v>
      </c>
    </row>
    <row r="2098" spans="1:5" x14ac:dyDescent="0.25">
      <c r="A2098" s="5" t="s">
        <v>6290</v>
      </c>
      <c r="B2098" s="9" t="str">
        <f>HYPERLINK("http://biobank.ctsu.ox.ac.uk/crystal/field.cgi?id=25484", "25484")</f>
        <v>25484</v>
      </c>
      <c r="C2098" s="8" t="s">
        <v>6292</v>
      </c>
      <c r="D2098" s="8" t="s">
        <v>10052</v>
      </c>
      <c r="E2098" s="8" t="s">
        <v>12245</v>
      </c>
    </row>
    <row r="2099" spans="1:5" x14ac:dyDescent="0.25">
      <c r="A2099" s="5" t="s">
        <v>6293</v>
      </c>
      <c r="B2099" s="9" t="str">
        <f>HYPERLINK("http://biobank.ctsu.ox.ac.uk/crystal/field.cgi?id=25485", "25485")</f>
        <v>25485</v>
      </c>
      <c r="C2099" s="8" t="s">
        <v>6295</v>
      </c>
      <c r="D2099" s="8" t="s">
        <v>10052</v>
      </c>
      <c r="E2099" s="8" t="s">
        <v>12246</v>
      </c>
    </row>
    <row r="2100" spans="1:5" x14ac:dyDescent="0.25">
      <c r="A2100" s="5" t="s">
        <v>6296</v>
      </c>
      <c r="B2100" s="9" t="str">
        <f>HYPERLINK("http://biobank.ctsu.ox.ac.uk/crystal/field.cgi?id=25486", "25486")</f>
        <v>25486</v>
      </c>
      <c r="C2100" s="8" t="s">
        <v>6298</v>
      </c>
      <c r="D2100" s="8" t="s">
        <v>10052</v>
      </c>
      <c r="E2100" s="8" t="s">
        <v>12247</v>
      </c>
    </row>
    <row r="2101" spans="1:5" x14ac:dyDescent="0.25">
      <c r="A2101" s="5" t="s">
        <v>6299</v>
      </c>
      <c r="B2101" s="9" t="str">
        <f>HYPERLINK("http://biobank.ctsu.ox.ac.uk/crystal/field.cgi?id=25487", "25487")</f>
        <v>25487</v>
      </c>
      <c r="C2101" s="8" t="s">
        <v>6301</v>
      </c>
      <c r="D2101" s="8" t="s">
        <v>10052</v>
      </c>
      <c r="E2101" s="8" t="s">
        <v>12248</v>
      </c>
    </row>
    <row r="2102" spans="1:5" x14ac:dyDescent="0.25">
      <c r="A2102" s="5" t="s">
        <v>6302</v>
      </c>
      <c r="B2102" s="9" t="str">
        <f>HYPERLINK("http://biobank.ctsu.ox.ac.uk/crystal/field.cgi?id=25704", "25704")</f>
        <v>25704</v>
      </c>
      <c r="C2102" s="8" t="s">
        <v>6304</v>
      </c>
      <c r="D2102" s="8" t="s">
        <v>10052</v>
      </c>
      <c r="E2102" s="8" t="s">
        <v>12249</v>
      </c>
    </row>
    <row r="2103" spans="1:5" x14ac:dyDescent="0.25">
      <c r="A2103" s="5" t="s">
        <v>6305</v>
      </c>
      <c r="B2103" s="9" t="str">
        <f>HYPERLINK("http://biobank.ctsu.ox.ac.uk/crystal/field.cgi?id=25705", "25705")</f>
        <v>25705</v>
      </c>
      <c r="C2103" s="8" t="s">
        <v>6307</v>
      </c>
      <c r="D2103" s="8" t="s">
        <v>10052</v>
      </c>
      <c r="E2103" s="8" t="s">
        <v>12250</v>
      </c>
    </row>
    <row r="2104" spans="1:5" x14ac:dyDescent="0.25">
      <c r="A2104" s="5" t="s">
        <v>6308</v>
      </c>
      <c r="B2104" s="9" t="str">
        <f>HYPERLINK("http://biobank.ctsu.ox.ac.uk/crystal/field.cgi?id=25706", "25706")</f>
        <v>25706</v>
      </c>
      <c r="C2104" s="8" t="s">
        <v>6310</v>
      </c>
      <c r="D2104" s="8" t="s">
        <v>10052</v>
      </c>
      <c r="E2104" s="8" t="s">
        <v>12251</v>
      </c>
    </row>
    <row r="2105" spans="1:5" x14ac:dyDescent="0.25">
      <c r="A2105" s="5" t="s">
        <v>6311</v>
      </c>
      <c r="B2105" s="9" t="str">
        <f>HYPERLINK("http://biobank.ctsu.ox.ac.uk/crystal/field.cgi?id=25707", "25707")</f>
        <v>25707</v>
      </c>
      <c r="C2105" s="8" t="s">
        <v>6313</v>
      </c>
      <c r="D2105" s="8" t="s">
        <v>10052</v>
      </c>
      <c r="E2105" s="8" t="s">
        <v>12252</v>
      </c>
    </row>
    <row r="2106" spans="1:5" x14ac:dyDescent="0.25">
      <c r="A2106" s="5" t="s">
        <v>6314</v>
      </c>
      <c r="B2106" s="9" t="str">
        <f>HYPERLINK("http://biobank.ctsu.ox.ac.uk/crystal/field.cgi?id=25708", "25708")</f>
        <v>25708</v>
      </c>
      <c r="C2106" s="8" t="s">
        <v>6316</v>
      </c>
      <c r="D2106" s="8" t="s">
        <v>10052</v>
      </c>
      <c r="E2106" s="8" t="s">
        <v>12253</v>
      </c>
    </row>
    <row r="2107" spans="1:5" x14ac:dyDescent="0.25">
      <c r="A2107" s="5" t="s">
        <v>6317</v>
      </c>
      <c r="B2107" s="9" t="str">
        <f>HYPERLINK("http://biobank.ctsu.ox.ac.uk/crystal/field.cgi?id=25709", "25709")</f>
        <v>25709</v>
      </c>
      <c r="C2107" s="8" t="s">
        <v>6319</v>
      </c>
      <c r="D2107" s="8" t="s">
        <v>10052</v>
      </c>
      <c r="E2107" s="8" t="s">
        <v>12254</v>
      </c>
    </row>
    <row r="2108" spans="1:5" x14ac:dyDescent="0.25">
      <c r="A2108" s="5" t="s">
        <v>6320</v>
      </c>
      <c r="B2108" s="9" t="str">
        <f>HYPERLINK("http://biobank.ctsu.ox.ac.uk/crystal/field.cgi?id=25710", "25710")</f>
        <v>25710</v>
      </c>
      <c r="C2108" s="8" t="s">
        <v>6322</v>
      </c>
      <c r="D2108" s="8" t="s">
        <v>10052</v>
      </c>
      <c r="E2108" s="8" t="s">
        <v>12255</v>
      </c>
    </row>
    <row r="2109" spans="1:5" x14ac:dyDescent="0.25">
      <c r="A2109" s="5" t="s">
        <v>6323</v>
      </c>
      <c r="B2109" s="9" t="str">
        <f>HYPERLINK("http://biobank.ctsu.ox.ac.uk/crystal/field.cgi?id=25711", "25711")</f>
        <v>25711</v>
      </c>
      <c r="C2109" s="8" t="s">
        <v>6325</v>
      </c>
      <c r="D2109" s="8" t="s">
        <v>10052</v>
      </c>
      <c r="E2109" s="8" t="s">
        <v>12256</v>
      </c>
    </row>
    <row r="2110" spans="1:5" x14ac:dyDescent="0.25">
      <c r="A2110" s="5" t="s">
        <v>6326</v>
      </c>
      <c r="B2110" s="9" t="str">
        <f>HYPERLINK("http://biobank.ctsu.ox.ac.uk/crystal/field.cgi?id=25712", "25712")</f>
        <v>25712</v>
      </c>
      <c r="C2110" s="8" t="s">
        <v>6328</v>
      </c>
      <c r="D2110" s="8" t="s">
        <v>10052</v>
      </c>
      <c r="E2110" s="8" t="s">
        <v>12257</v>
      </c>
    </row>
    <row r="2111" spans="1:5" x14ac:dyDescent="0.25">
      <c r="A2111" s="5" t="s">
        <v>6329</v>
      </c>
      <c r="B2111" s="9" t="str">
        <f>HYPERLINK("http://biobank.ctsu.ox.ac.uk/crystal/field.cgi?id=25713", "25713")</f>
        <v>25713</v>
      </c>
      <c r="C2111" s="8" t="s">
        <v>6331</v>
      </c>
      <c r="D2111" s="8" t="s">
        <v>10052</v>
      </c>
      <c r="E2111" s="8" t="s">
        <v>12258</v>
      </c>
    </row>
    <row r="2112" spans="1:5" x14ac:dyDescent="0.25">
      <c r="A2112" s="5" t="s">
        <v>6332</v>
      </c>
      <c r="B2112" s="9" t="str">
        <f>HYPERLINK("http://biobank.ctsu.ox.ac.uk/crystal/field.cgi?id=25714", "25714")</f>
        <v>25714</v>
      </c>
      <c r="C2112" s="8" t="s">
        <v>6334</v>
      </c>
      <c r="D2112" s="8" t="s">
        <v>10052</v>
      </c>
      <c r="E2112" s="8" t="s">
        <v>12259</v>
      </c>
    </row>
    <row r="2113" spans="1:5" x14ac:dyDescent="0.25">
      <c r="A2113" s="5" t="s">
        <v>6335</v>
      </c>
      <c r="B2113" s="9" t="str">
        <f>HYPERLINK("http://biobank.ctsu.ox.ac.uk/crystal/field.cgi?id=25715", "25715")</f>
        <v>25715</v>
      </c>
      <c r="C2113" s="8" t="s">
        <v>6337</v>
      </c>
      <c r="D2113" s="8" t="s">
        <v>10052</v>
      </c>
      <c r="E2113" s="8" t="s">
        <v>12260</v>
      </c>
    </row>
    <row r="2114" spans="1:5" x14ac:dyDescent="0.25">
      <c r="A2114" s="5" t="s">
        <v>6338</v>
      </c>
      <c r="B2114" s="9" t="str">
        <f>HYPERLINK("http://biobank.ctsu.ox.ac.uk/crystal/field.cgi?id=25716", "25716")</f>
        <v>25716</v>
      </c>
      <c r="C2114" s="8" t="s">
        <v>6340</v>
      </c>
      <c r="D2114" s="8" t="s">
        <v>10052</v>
      </c>
      <c r="E2114" s="8" t="s">
        <v>12261</v>
      </c>
    </row>
    <row r="2115" spans="1:5" x14ac:dyDescent="0.25">
      <c r="A2115" s="5" t="s">
        <v>6341</v>
      </c>
      <c r="B2115" s="9" t="str">
        <f>HYPERLINK("http://biobank.ctsu.ox.ac.uk/crystal/field.cgi?id=25717", "25717")</f>
        <v>25717</v>
      </c>
      <c r="C2115" s="8" t="s">
        <v>6343</v>
      </c>
      <c r="D2115" s="8" t="s">
        <v>10052</v>
      </c>
      <c r="E2115" s="8" t="s">
        <v>12262</v>
      </c>
    </row>
    <row r="2116" spans="1:5" x14ac:dyDescent="0.25">
      <c r="A2116" s="5" t="s">
        <v>6344</v>
      </c>
      <c r="B2116" s="9" t="str">
        <f>HYPERLINK("http://biobank.ctsu.ox.ac.uk/crystal/field.cgi?id=25718", "25718")</f>
        <v>25718</v>
      </c>
      <c r="C2116" s="8" t="s">
        <v>6346</v>
      </c>
      <c r="D2116" s="8" t="s">
        <v>10052</v>
      </c>
      <c r="E2116" s="8" t="s">
        <v>12263</v>
      </c>
    </row>
    <row r="2117" spans="1:5" x14ac:dyDescent="0.25">
      <c r="A2117" s="5" t="s">
        <v>6347</v>
      </c>
      <c r="B2117" s="9" t="str">
        <f>HYPERLINK("http://biobank.ctsu.ox.ac.uk/crystal/field.cgi?id=25719", "25719")</f>
        <v>25719</v>
      </c>
      <c r="C2117" s="8" t="s">
        <v>6349</v>
      </c>
      <c r="D2117" s="8" t="s">
        <v>10052</v>
      </c>
      <c r="E2117" s="8" t="s">
        <v>12264</v>
      </c>
    </row>
    <row r="2118" spans="1:5" x14ac:dyDescent="0.25">
      <c r="A2118" s="5" t="s">
        <v>6350</v>
      </c>
      <c r="B2118" s="9" t="str">
        <f>HYPERLINK("http://biobank.ctsu.ox.ac.uk/crystal/field.cgi?id=25720", "25720")</f>
        <v>25720</v>
      </c>
      <c r="C2118" s="8" t="s">
        <v>6352</v>
      </c>
      <c r="D2118" s="8" t="s">
        <v>10052</v>
      </c>
      <c r="E2118" s="8" t="s">
        <v>12265</v>
      </c>
    </row>
    <row r="2119" spans="1:5" x14ac:dyDescent="0.25">
      <c r="A2119" s="5" t="s">
        <v>6353</v>
      </c>
      <c r="B2119" s="9" t="str">
        <f>HYPERLINK("http://biobank.ctsu.ox.ac.uk/crystal/field.cgi?id=25721", "25721")</f>
        <v>25721</v>
      </c>
      <c r="C2119" s="8" t="s">
        <v>6355</v>
      </c>
      <c r="D2119" s="8" t="s">
        <v>10052</v>
      </c>
      <c r="E2119" s="8" t="s">
        <v>12266</v>
      </c>
    </row>
    <row r="2120" spans="1:5" x14ac:dyDescent="0.25">
      <c r="A2120" s="5" t="s">
        <v>6356</v>
      </c>
      <c r="B2120" s="9" t="str">
        <f>HYPERLINK("http://biobank.ctsu.ox.ac.uk/crystal/field.cgi?id=25722", "25722")</f>
        <v>25722</v>
      </c>
      <c r="C2120" s="8" t="s">
        <v>6358</v>
      </c>
      <c r="D2120" s="8" t="s">
        <v>10052</v>
      </c>
      <c r="E2120" s="8" t="s">
        <v>12267</v>
      </c>
    </row>
    <row r="2121" spans="1:5" x14ac:dyDescent="0.25">
      <c r="A2121" s="5" t="s">
        <v>6359</v>
      </c>
      <c r="B2121" s="9" t="str">
        <f>HYPERLINK("http://biobank.ctsu.ox.ac.uk/crystal/field.cgi?id=25723", "25723")</f>
        <v>25723</v>
      </c>
      <c r="C2121" s="8" t="s">
        <v>6361</v>
      </c>
      <c r="D2121" s="8" t="s">
        <v>10052</v>
      </c>
      <c r="E2121" s="8" t="s">
        <v>12268</v>
      </c>
    </row>
    <row r="2122" spans="1:5" x14ac:dyDescent="0.25">
      <c r="A2122" s="5" t="s">
        <v>6362</v>
      </c>
      <c r="B2122" s="9" t="str">
        <f>HYPERLINK("http://biobank.ctsu.ox.ac.uk/crystal/field.cgi?id=25724", "25724")</f>
        <v>25724</v>
      </c>
      <c r="C2122" s="8" t="s">
        <v>6364</v>
      </c>
      <c r="D2122" s="8" t="s">
        <v>10052</v>
      </c>
      <c r="E2122" s="8" t="s">
        <v>12269</v>
      </c>
    </row>
    <row r="2123" spans="1:5" x14ac:dyDescent="0.25">
      <c r="A2123" s="5" t="s">
        <v>6365</v>
      </c>
      <c r="B2123" s="9" t="str">
        <f>HYPERLINK("http://biobank.ctsu.ox.ac.uk/crystal/field.cgi?id=25725", "25725")</f>
        <v>25725</v>
      </c>
      <c r="C2123" s="8" t="s">
        <v>6367</v>
      </c>
      <c r="D2123" s="8" t="s">
        <v>10052</v>
      </c>
      <c r="E2123" s="8" t="s">
        <v>12270</v>
      </c>
    </row>
    <row r="2124" spans="1:5" x14ac:dyDescent="0.25">
      <c r="A2124" s="5" t="s">
        <v>6368</v>
      </c>
      <c r="B2124" s="9" t="str">
        <f>HYPERLINK("http://biobank.ctsu.ox.ac.uk/crystal/field.cgi?id=25726", "25726")</f>
        <v>25726</v>
      </c>
      <c r="C2124" s="8" t="s">
        <v>6370</v>
      </c>
      <c r="D2124" s="8" t="s">
        <v>10052</v>
      </c>
      <c r="E2124" s="8" t="s">
        <v>12271</v>
      </c>
    </row>
    <row r="2125" spans="1:5" x14ac:dyDescent="0.25">
      <c r="A2125" s="5" t="s">
        <v>6371</v>
      </c>
      <c r="B2125" s="9" t="str">
        <f>HYPERLINK("http://biobank.ctsu.ox.ac.uk/crystal/field.cgi?id=25727", "25727")</f>
        <v>25727</v>
      </c>
      <c r="C2125" s="8" t="s">
        <v>6373</v>
      </c>
      <c r="D2125" s="8" t="s">
        <v>10052</v>
      </c>
      <c r="E2125" s="8" t="s">
        <v>12272</v>
      </c>
    </row>
    <row r="2126" spans="1:5" x14ac:dyDescent="0.25">
      <c r="A2126" s="5" t="s">
        <v>6374</v>
      </c>
      <c r="B2126" s="9" t="str">
        <f>HYPERLINK("http://biobank.ctsu.ox.ac.uk/crystal/field.cgi?id=25728", "25728")</f>
        <v>25728</v>
      </c>
      <c r="C2126" s="8" t="s">
        <v>6376</v>
      </c>
      <c r="D2126" s="8" t="s">
        <v>10052</v>
      </c>
      <c r="E2126" s="8" t="s">
        <v>12273</v>
      </c>
    </row>
    <row r="2127" spans="1:5" x14ac:dyDescent="0.25">
      <c r="A2127" s="5" t="s">
        <v>6377</v>
      </c>
      <c r="B2127" s="9" t="str">
        <f>HYPERLINK("http://biobank.ctsu.ox.ac.uk/crystal/field.cgi?id=25729", "25729")</f>
        <v>25729</v>
      </c>
      <c r="C2127" s="8" t="s">
        <v>6379</v>
      </c>
      <c r="D2127" s="8" t="s">
        <v>10052</v>
      </c>
      <c r="E2127" s="8" t="s">
        <v>12274</v>
      </c>
    </row>
    <row r="2128" spans="1:5" x14ac:dyDescent="0.25">
      <c r="A2128" s="5" t="s">
        <v>6380</v>
      </c>
      <c r="B2128" s="9" t="str">
        <f>HYPERLINK("http://biobank.ctsu.ox.ac.uk/crystal/field.cgi?id=25730", "25730")</f>
        <v>25730</v>
      </c>
      <c r="C2128" s="8" t="s">
        <v>6382</v>
      </c>
      <c r="D2128" s="8" t="s">
        <v>10052</v>
      </c>
      <c r="E2128" s="8" t="s">
        <v>12275</v>
      </c>
    </row>
    <row r="2129" spans="1:5" x14ac:dyDescent="0.25">
      <c r="A2129" s="5" t="s">
        <v>6383</v>
      </c>
      <c r="B2129" s="9" t="str">
        <f>HYPERLINK("http://biobank.ctsu.ox.ac.uk/crystal/field.cgi?id=25040", "25040")</f>
        <v>25040</v>
      </c>
      <c r="C2129" s="8" t="s">
        <v>6385</v>
      </c>
      <c r="D2129" s="8" t="s">
        <v>10053</v>
      </c>
      <c r="E2129" s="8" t="s">
        <v>12276</v>
      </c>
    </row>
    <row r="2130" spans="1:5" x14ac:dyDescent="0.25">
      <c r="A2130" s="5" t="s">
        <v>6386</v>
      </c>
      <c r="B2130" s="9" t="str">
        <f>HYPERLINK("http://biobank.ctsu.ox.ac.uk/crystal/field.cgi?id=25761", "25761")</f>
        <v>25761</v>
      </c>
      <c r="C2130" s="8" t="s">
        <v>6388</v>
      </c>
      <c r="D2130" s="8" t="s">
        <v>10053</v>
      </c>
      <c r="E2130" s="8" t="s">
        <v>12277</v>
      </c>
    </row>
    <row r="2131" spans="1:5" x14ac:dyDescent="0.25">
      <c r="A2131" s="5" t="s">
        <v>6389</v>
      </c>
      <c r="B2131" s="9" t="str">
        <f>HYPERLINK("http://biobank.ctsu.ox.ac.uk/crystal/field.cgi?id=25042", "25042")</f>
        <v>25042</v>
      </c>
      <c r="C2131" s="8" t="s">
        <v>6391</v>
      </c>
      <c r="D2131" s="8" t="s">
        <v>10053</v>
      </c>
      <c r="E2131" s="8" t="s">
        <v>12278</v>
      </c>
    </row>
    <row r="2132" spans="1:5" x14ac:dyDescent="0.25">
      <c r="A2132" s="5" t="s">
        <v>6392</v>
      </c>
      <c r="B2132" s="9" t="str">
        <f>HYPERLINK("http://biobank.ctsu.ox.ac.uk/crystal/field.cgi?id=25762", "25762")</f>
        <v>25762</v>
      </c>
      <c r="C2132" s="8" t="s">
        <v>6394</v>
      </c>
      <c r="D2132" s="8" t="s">
        <v>10053</v>
      </c>
      <c r="E2132" s="8" t="s">
        <v>12279</v>
      </c>
    </row>
    <row r="2133" spans="1:5" x14ac:dyDescent="0.25">
      <c r="A2133" s="5" t="s">
        <v>6395</v>
      </c>
      <c r="B2133" s="9" t="str">
        <f>HYPERLINK("http://biobank.ctsu.ox.ac.uk/crystal/field.cgi?id=25044", "25044")</f>
        <v>25044</v>
      </c>
      <c r="C2133" s="8" t="s">
        <v>6397</v>
      </c>
      <c r="D2133" s="8" t="s">
        <v>10053</v>
      </c>
      <c r="E2133" s="8" t="s">
        <v>12280</v>
      </c>
    </row>
    <row r="2134" spans="1:5" x14ac:dyDescent="0.25">
      <c r="A2134" s="5" t="s">
        <v>6398</v>
      </c>
      <c r="B2134" s="9" t="str">
        <f>HYPERLINK("http://biobank.ctsu.ox.ac.uk/crystal/field.cgi?id=25763", "25763")</f>
        <v>25763</v>
      </c>
      <c r="C2134" s="8" t="s">
        <v>6400</v>
      </c>
      <c r="D2134" s="8" t="s">
        <v>10053</v>
      </c>
      <c r="E2134" s="8" t="s">
        <v>12281</v>
      </c>
    </row>
    <row r="2135" spans="1:5" x14ac:dyDescent="0.25">
      <c r="A2135" s="5" t="s">
        <v>6401</v>
      </c>
      <c r="B2135" s="9" t="str">
        <f>HYPERLINK("http://biobank.ctsu.ox.ac.uk/crystal/field.cgi?id=25046", "25046")</f>
        <v>25046</v>
      </c>
      <c r="C2135" s="8" t="s">
        <v>6403</v>
      </c>
      <c r="D2135" s="8" t="s">
        <v>10053</v>
      </c>
      <c r="E2135" s="8" t="s">
        <v>12282</v>
      </c>
    </row>
    <row r="2136" spans="1:5" x14ac:dyDescent="0.25">
      <c r="A2136" s="5" t="s">
        <v>6404</v>
      </c>
      <c r="B2136" s="9" t="str">
        <f>HYPERLINK("http://biobank.ctsu.ox.ac.uk/crystal/field.cgi?id=25764", "25764")</f>
        <v>25764</v>
      </c>
      <c r="C2136" s="8" t="s">
        <v>6406</v>
      </c>
      <c r="D2136" s="8" t="s">
        <v>10053</v>
      </c>
      <c r="E2136" s="8" t="s">
        <v>12283</v>
      </c>
    </row>
    <row r="2137" spans="1:5" x14ac:dyDescent="0.25">
      <c r="A2137" s="5" t="s">
        <v>6407</v>
      </c>
      <c r="B2137" s="9" t="str">
        <f>HYPERLINK("http://biobank.ctsu.ox.ac.uk/crystal/field.cgi?id=25048", "25048")</f>
        <v>25048</v>
      </c>
      <c r="C2137" s="8" t="s">
        <v>6409</v>
      </c>
      <c r="D2137" s="8" t="s">
        <v>10053</v>
      </c>
      <c r="E2137" s="8" t="s">
        <v>12284</v>
      </c>
    </row>
    <row r="2138" spans="1:5" x14ac:dyDescent="0.25">
      <c r="A2138" s="5" t="s">
        <v>6410</v>
      </c>
      <c r="B2138" s="9" t="str">
        <f>HYPERLINK("http://biobank.ctsu.ox.ac.uk/crystal/field.cgi?id=25765", "25765")</f>
        <v>25765</v>
      </c>
      <c r="C2138" s="8" t="s">
        <v>6412</v>
      </c>
      <c r="D2138" s="8" t="s">
        <v>10053</v>
      </c>
      <c r="E2138" s="8" t="s">
        <v>12285</v>
      </c>
    </row>
    <row r="2139" spans="1:5" x14ac:dyDescent="0.25">
      <c r="A2139" s="5" t="s">
        <v>6413</v>
      </c>
      <c r="B2139" s="9" t="str">
        <f>HYPERLINK("http://biobank.ctsu.ox.ac.uk/crystal/field.cgi?id=25050", "25050")</f>
        <v>25050</v>
      </c>
      <c r="C2139" s="8" t="s">
        <v>6415</v>
      </c>
      <c r="D2139" s="8" t="s">
        <v>10053</v>
      </c>
      <c r="E2139" s="8" t="s">
        <v>12286</v>
      </c>
    </row>
    <row r="2140" spans="1:5" x14ac:dyDescent="0.25">
      <c r="A2140" s="5" t="s">
        <v>6416</v>
      </c>
      <c r="B2140" s="9" t="str">
        <f>HYPERLINK("http://biobank.ctsu.ox.ac.uk/crystal/field.cgi?id=25766", "25766")</f>
        <v>25766</v>
      </c>
      <c r="C2140" s="8" t="s">
        <v>6418</v>
      </c>
      <c r="D2140" s="8" t="s">
        <v>10053</v>
      </c>
      <c r="E2140" s="8" t="s">
        <v>12287</v>
      </c>
    </row>
    <row r="2141" spans="1:5" x14ac:dyDescent="0.25">
      <c r="A2141" s="5" t="s">
        <v>6419</v>
      </c>
      <c r="B2141" s="9" t="str">
        <f>HYPERLINK("http://biobank.ctsu.ox.ac.uk/crystal/field.cgi?id=25052", "25052")</f>
        <v>25052</v>
      </c>
      <c r="C2141" s="8" t="s">
        <v>6421</v>
      </c>
      <c r="D2141" s="8" t="s">
        <v>10053</v>
      </c>
      <c r="E2141" s="8" t="s">
        <v>12288</v>
      </c>
    </row>
    <row r="2142" spans="1:5" x14ac:dyDescent="0.25">
      <c r="A2142" s="5" t="s">
        <v>6422</v>
      </c>
      <c r="B2142" s="9" t="str">
        <f>HYPERLINK("http://biobank.ctsu.ox.ac.uk/crystal/field.cgi?id=25767", "25767")</f>
        <v>25767</v>
      </c>
      <c r="C2142" s="8" t="s">
        <v>6424</v>
      </c>
      <c r="D2142" s="8" t="s">
        <v>10053</v>
      </c>
      <c r="E2142" s="8" t="s">
        <v>12289</v>
      </c>
    </row>
    <row r="2143" spans="1:5" x14ac:dyDescent="0.25">
      <c r="A2143" s="5" t="s">
        <v>6425</v>
      </c>
      <c r="B2143" s="9" t="str">
        <f>HYPERLINK("http://biobank.ctsu.ox.ac.uk/crystal/field.cgi?id=25054", "25054")</f>
        <v>25054</v>
      </c>
      <c r="C2143" s="8" t="s">
        <v>6427</v>
      </c>
      <c r="D2143" s="8" t="s">
        <v>10053</v>
      </c>
      <c r="E2143" s="8" t="s">
        <v>12290</v>
      </c>
    </row>
    <row r="2144" spans="1:5" x14ac:dyDescent="0.25">
      <c r="A2144" s="5" t="s">
        <v>6428</v>
      </c>
      <c r="B2144" s="9" t="str">
        <f>HYPERLINK("http://biobank.ctsu.ox.ac.uk/crystal/field.cgi?id=25768", "25768")</f>
        <v>25768</v>
      </c>
      <c r="C2144" s="8" t="s">
        <v>6430</v>
      </c>
      <c r="D2144" s="8" t="s">
        <v>10053</v>
      </c>
      <c r="E2144" s="8" t="s">
        <v>12291</v>
      </c>
    </row>
    <row r="2145" spans="1:5" x14ac:dyDescent="0.25">
      <c r="A2145" s="5" t="s">
        <v>6431</v>
      </c>
      <c r="B2145" s="9" t="str">
        <f t="shared" ref="B2145:B2165" si="0">HYPERLINK("http://biobank.ctsu.ox.ac.uk/crystal/field.cgi?id=25754", "25754")</f>
        <v>25754</v>
      </c>
      <c r="C2145" s="8" t="s">
        <v>6433</v>
      </c>
      <c r="D2145" s="8" t="s">
        <v>10054</v>
      </c>
      <c r="E2145" s="8"/>
    </row>
    <row r="2146" spans="1:5" x14ac:dyDescent="0.25">
      <c r="A2146" s="5" t="s">
        <v>6434</v>
      </c>
      <c r="B2146" s="9" t="str">
        <f t="shared" si="0"/>
        <v>25754</v>
      </c>
      <c r="C2146" s="8" t="s">
        <v>6435</v>
      </c>
      <c r="D2146" s="8" t="s">
        <v>10054</v>
      </c>
      <c r="E2146" s="8"/>
    </row>
    <row r="2147" spans="1:5" x14ac:dyDescent="0.25">
      <c r="A2147" s="5" t="s">
        <v>6436</v>
      </c>
      <c r="B2147" s="9" t="str">
        <f t="shared" si="0"/>
        <v>25754</v>
      </c>
      <c r="C2147" s="8" t="s">
        <v>6437</v>
      </c>
      <c r="D2147" s="8" t="s">
        <v>10054</v>
      </c>
      <c r="E2147" s="8"/>
    </row>
    <row r="2148" spans="1:5" x14ac:dyDescent="0.25">
      <c r="A2148" s="5" t="s">
        <v>6438</v>
      </c>
      <c r="B2148" s="9" t="str">
        <f t="shared" si="0"/>
        <v>25754</v>
      </c>
      <c r="C2148" s="8" t="s">
        <v>6439</v>
      </c>
      <c r="D2148" s="8" t="s">
        <v>10054</v>
      </c>
      <c r="E2148" s="8"/>
    </row>
    <row r="2149" spans="1:5" x14ac:dyDescent="0.25">
      <c r="A2149" s="5" t="s">
        <v>6440</v>
      </c>
      <c r="B2149" s="9" t="str">
        <f t="shared" si="0"/>
        <v>25754</v>
      </c>
      <c r="C2149" s="8" t="s">
        <v>6441</v>
      </c>
      <c r="D2149" s="8" t="s">
        <v>10054</v>
      </c>
      <c r="E2149" s="8"/>
    </row>
    <row r="2150" spans="1:5" x14ac:dyDescent="0.25">
      <c r="A2150" s="5" t="s">
        <v>6442</v>
      </c>
      <c r="B2150" s="9" t="str">
        <f t="shared" si="0"/>
        <v>25754</v>
      </c>
      <c r="C2150" s="8" t="s">
        <v>6443</v>
      </c>
      <c r="D2150" s="8" t="s">
        <v>10054</v>
      </c>
      <c r="E2150" s="8"/>
    </row>
    <row r="2151" spans="1:5" x14ac:dyDescent="0.25">
      <c r="A2151" s="5" t="s">
        <v>6444</v>
      </c>
      <c r="B2151" s="9" t="str">
        <f t="shared" si="0"/>
        <v>25754</v>
      </c>
      <c r="C2151" s="8" t="s">
        <v>6445</v>
      </c>
      <c r="D2151" s="8" t="s">
        <v>10054</v>
      </c>
      <c r="E2151" s="8"/>
    </row>
    <row r="2152" spans="1:5" x14ac:dyDescent="0.25">
      <c r="A2152" s="5" t="s">
        <v>6446</v>
      </c>
      <c r="B2152" s="9" t="str">
        <f t="shared" si="0"/>
        <v>25754</v>
      </c>
      <c r="C2152" s="8" t="s">
        <v>6447</v>
      </c>
      <c r="D2152" s="8" t="s">
        <v>10054</v>
      </c>
      <c r="E2152" s="8"/>
    </row>
    <row r="2153" spans="1:5" x14ac:dyDescent="0.25">
      <c r="A2153" s="5" t="s">
        <v>6448</v>
      </c>
      <c r="B2153" s="9" t="str">
        <f t="shared" si="0"/>
        <v>25754</v>
      </c>
      <c r="C2153" s="8" t="s">
        <v>6449</v>
      </c>
      <c r="D2153" s="8" t="s">
        <v>10054</v>
      </c>
      <c r="E2153" s="8"/>
    </row>
    <row r="2154" spans="1:5" x14ac:dyDescent="0.25">
      <c r="A2154" s="5" t="s">
        <v>6450</v>
      </c>
      <c r="B2154" s="9" t="str">
        <f t="shared" si="0"/>
        <v>25754</v>
      </c>
      <c r="C2154" s="8" t="s">
        <v>6451</v>
      </c>
      <c r="D2154" s="8" t="s">
        <v>10054</v>
      </c>
      <c r="E2154" s="8"/>
    </row>
    <row r="2155" spans="1:5" x14ac:dyDescent="0.25">
      <c r="A2155" s="5" t="s">
        <v>6452</v>
      </c>
      <c r="B2155" s="9" t="str">
        <f t="shared" si="0"/>
        <v>25754</v>
      </c>
      <c r="C2155" s="8" t="s">
        <v>6453</v>
      </c>
      <c r="D2155" s="8" t="s">
        <v>10054</v>
      </c>
      <c r="E2155" s="8"/>
    </row>
    <row r="2156" spans="1:5" x14ac:dyDescent="0.25">
      <c r="A2156" s="5" t="s">
        <v>6454</v>
      </c>
      <c r="B2156" s="9" t="str">
        <f t="shared" si="0"/>
        <v>25754</v>
      </c>
      <c r="C2156" s="8" t="s">
        <v>6455</v>
      </c>
      <c r="D2156" s="8" t="s">
        <v>10054</v>
      </c>
      <c r="E2156" s="8"/>
    </row>
    <row r="2157" spans="1:5" x14ac:dyDescent="0.25">
      <c r="A2157" s="5" t="s">
        <v>6456</v>
      </c>
      <c r="B2157" s="9" t="str">
        <f t="shared" si="0"/>
        <v>25754</v>
      </c>
      <c r="C2157" s="8" t="s">
        <v>6457</v>
      </c>
      <c r="D2157" s="8" t="s">
        <v>10054</v>
      </c>
      <c r="E2157" s="8"/>
    </row>
    <row r="2158" spans="1:5" x14ac:dyDescent="0.25">
      <c r="A2158" s="5" t="s">
        <v>6458</v>
      </c>
      <c r="B2158" s="9" t="str">
        <f t="shared" si="0"/>
        <v>25754</v>
      </c>
      <c r="C2158" s="8" t="s">
        <v>6459</v>
      </c>
      <c r="D2158" s="8" t="s">
        <v>10054</v>
      </c>
      <c r="E2158" s="8"/>
    </row>
    <row r="2159" spans="1:5" x14ac:dyDescent="0.25">
      <c r="A2159" s="5" t="s">
        <v>6460</v>
      </c>
      <c r="B2159" s="9" t="str">
        <f t="shared" si="0"/>
        <v>25754</v>
      </c>
      <c r="C2159" s="8" t="s">
        <v>6461</v>
      </c>
      <c r="D2159" s="8" t="s">
        <v>10054</v>
      </c>
      <c r="E2159" s="8"/>
    </row>
    <row r="2160" spans="1:5" x14ac:dyDescent="0.25">
      <c r="A2160" s="5" t="s">
        <v>6462</v>
      </c>
      <c r="B2160" s="9" t="str">
        <f t="shared" si="0"/>
        <v>25754</v>
      </c>
      <c r="C2160" s="8" t="s">
        <v>6463</v>
      </c>
      <c r="D2160" s="8" t="s">
        <v>10054</v>
      </c>
      <c r="E2160" s="8"/>
    </row>
    <row r="2161" spans="1:5" x14ac:dyDescent="0.25">
      <c r="A2161" s="5" t="s">
        <v>6464</v>
      </c>
      <c r="B2161" s="9" t="str">
        <f t="shared" si="0"/>
        <v>25754</v>
      </c>
      <c r="C2161" s="8" t="s">
        <v>6465</v>
      </c>
      <c r="D2161" s="8" t="s">
        <v>10054</v>
      </c>
      <c r="E2161" s="8"/>
    </row>
    <row r="2162" spans="1:5" x14ac:dyDescent="0.25">
      <c r="A2162" s="5" t="s">
        <v>6466</v>
      </c>
      <c r="B2162" s="9" t="str">
        <f t="shared" si="0"/>
        <v>25754</v>
      </c>
      <c r="C2162" s="8" t="s">
        <v>6467</v>
      </c>
      <c r="D2162" s="8" t="s">
        <v>10054</v>
      </c>
      <c r="E2162" s="8"/>
    </row>
    <row r="2163" spans="1:5" x14ac:dyDescent="0.25">
      <c r="A2163" s="5" t="s">
        <v>6468</v>
      </c>
      <c r="B2163" s="9" t="str">
        <f t="shared" si="0"/>
        <v>25754</v>
      </c>
      <c r="C2163" s="8" t="s">
        <v>6469</v>
      </c>
      <c r="D2163" s="8" t="s">
        <v>10054</v>
      </c>
      <c r="E2163" s="8"/>
    </row>
    <row r="2164" spans="1:5" x14ac:dyDescent="0.25">
      <c r="A2164" s="5" t="s">
        <v>6470</v>
      </c>
      <c r="B2164" s="9" t="str">
        <f t="shared" si="0"/>
        <v>25754</v>
      </c>
      <c r="C2164" s="8" t="s">
        <v>6471</v>
      </c>
      <c r="D2164" s="8" t="s">
        <v>10054</v>
      </c>
      <c r="E2164" s="8"/>
    </row>
    <row r="2165" spans="1:5" x14ac:dyDescent="0.25">
      <c r="A2165" s="5" t="s">
        <v>6472</v>
      </c>
      <c r="B2165" s="9" t="str">
        <f t="shared" si="0"/>
        <v>25754</v>
      </c>
      <c r="C2165" s="8" t="s">
        <v>6473</v>
      </c>
      <c r="D2165" s="8" t="s">
        <v>10054</v>
      </c>
      <c r="E2165" s="8"/>
    </row>
    <row r="2166" spans="1:5" x14ac:dyDescent="0.25">
      <c r="A2166" s="5" t="s">
        <v>6474</v>
      </c>
      <c r="B2166" s="9" t="str">
        <f t="shared" ref="B2166:B2220" si="1">HYPERLINK("http://biobank.ctsu.ox.ac.uk/crystal/field.cgi?id=25755", "25755")</f>
        <v>25755</v>
      </c>
      <c r="C2166" s="8" t="s">
        <v>6476</v>
      </c>
      <c r="D2166" s="8" t="s">
        <v>10054</v>
      </c>
      <c r="E2166" s="8"/>
    </row>
    <row r="2167" spans="1:5" x14ac:dyDescent="0.25">
      <c r="A2167" s="5" t="s">
        <v>6477</v>
      </c>
      <c r="B2167" s="9" t="str">
        <f t="shared" si="1"/>
        <v>25755</v>
      </c>
      <c r="C2167" s="8" t="s">
        <v>6478</v>
      </c>
      <c r="D2167" s="8" t="s">
        <v>10054</v>
      </c>
      <c r="E2167" s="8"/>
    </row>
    <row r="2168" spans="1:5" x14ac:dyDescent="0.25">
      <c r="A2168" s="5" t="s">
        <v>6479</v>
      </c>
      <c r="B2168" s="9" t="str">
        <f t="shared" si="1"/>
        <v>25755</v>
      </c>
      <c r="C2168" s="8" t="s">
        <v>6480</v>
      </c>
      <c r="D2168" s="8" t="s">
        <v>10054</v>
      </c>
      <c r="E2168" s="8"/>
    </row>
    <row r="2169" spans="1:5" x14ac:dyDescent="0.25">
      <c r="A2169" s="5" t="s">
        <v>6481</v>
      </c>
      <c r="B2169" s="9" t="str">
        <f t="shared" si="1"/>
        <v>25755</v>
      </c>
      <c r="C2169" s="8" t="s">
        <v>6482</v>
      </c>
      <c r="D2169" s="8" t="s">
        <v>10054</v>
      </c>
      <c r="E2169" s="8"/>
    </row>
    <row r="2170" spans="1:5" x14ac:dyDescent="0.25">
      <c r="A2170" s="5" t="s">
        <v>6483</v>
      </c>
      <c r="B2170" s="9" t="str">
        <f t="shared" si="1"/>
        <v>25755</v>
      </c>
      <c r="C2170" s="8" t="s">
        <v>6484</v>
      </c>
      <c r="D2170" s="8" t="s">
        <v>10054</v>
      </c>
      <c r="E2170" s="8"/>
    </row>
    <row r="2171" spans="1:5" x14ac:dyDescent="0.25">
      <c r="A2171" s="5" t="s">
        <v>6485</v>
      </c>
      <c r="B2171" s="9" t="str">
        <f t="shared" si="1"/>
        <v>25755</v>
      </c>
      <c r="C2171" s="8" t="s">
        <v>6486</v>
      </c>
      <c r="D2171" s="8" t="s">
        <v>10054</v>
      </c>
      <c r="E2171" s="8"/>
    </row>
    <row r="2172" spans="1:5" x14ac:dyDescent="0.25">
      <c r="A2172" s="5" t="s">
        <v>6487</v>
      </c>
      <c r="B2172" s="9" t="str">
        <f t="shared" si="1"/>
        <v>25755</v>
      </c>
      <c r="C2172" s="8" t="s">
        <v>6488</v>
      </c>
      <c r="D2172" s="8" t="s">
        <v>10054</v>
      </c>
      <c r="E2172" s="8"/>
    </row>
    <row r="2173" spans="1:5" x14ac:dyDescent="0.25">
      <c r="A2173" s="5" t="s">
        <v>6489</v>
      </c>
      <c r="B2173" s="9" t="str">
        <f t="shared" si="1"/>
        <v>25755</v>
      </c>
      <c r="C2173" s="8" t="s">
        <v>6490</v>
      </c>
      <c r="D2173" s="8" t="s">
        <v>10054</v>
      </c>
      <c r="E2173" s="8"/>
    </row>
    <row r="2174" spans="1:5" x14ac:dyDescent="0.25">
      <c r="A2174" s="5" t="s">
        <v>6491</v>
      </c>
      <c r="B2174" s="9" t="str">
        <f t="shared" si="1"/>
        <v>25755</v>
      </c>
      <c r="C2174" s="8" t="s">
        <v>6492</v>
      </c>
      <c r="D2174" s="8" t="s">
        <v>10054</v>
      </c>
      <c r="E2174" s="8"/>
    </row>
    <row r="2175" spans="1:5" x14ac:dyDescent="0.25">
      <c r="A2175" s="5" t="s">
        <v>6493</v>
      </c>
      <c r="B2175" s="9" t="str">
        <f t="shared" si="1"/>
        <v>25755</v>
      </c>
      <c r="C2175" s="8" t="s">
        <v>6494</v>
      </c>
      <c r="D2175" s="8" t="s">
        <v>10054</v>
      </c>
      <c r="E2175" s="8"/>
    </row>
    <row r="2176" spans="1:5" x14ac:dyDescent="0.25">
      <c r="A2176" s="5" t="s">
        <v>6495</v>
      </c>
      <c r="B2176" s="9" t="str">
        <f t="shared" si="1"/>
        <v>25755</v>
      </c>
      <c r="C2176" s="8" t="s">
        <v>6496</v>
      </c>
      <c r="D2176" s="8" t="s">
        <v>10054</v>
      </c>
      <c r="E2176" s="8"/>
    </row>
    <row r="2177" spans="1:5" x14ac:dyDescent="0.25">
      <c r="A2177" s="5" t="s">
        <v>6497</v>
      </c>
      <c r="B2177" s="9" t="str">
        <f t="shared" si="1"/>
        <v>25755</v>
      </c>
      <c r="C2177" s="8" t="s">
        <v>6498</v>
      </c>
      <c r="D2177" s="8" t="s">
        <v>10054</v>
      </c>
      <c r="E2177" s="8"/>
    </row>
    <row r="2178" spans="1:5" x14ac:dyDescent="0.25">
      <c r="A2178" s="5" t="s">
        <v>6499</v>
      </c>
      <c r="B2178" s="9" t="str">
        <f t="shared" si="1"/>
        <v>25755</v>
      </c>
      <c r="C2178" s="8" t="s">
        <v>6500</v>
      </c>
      <c r="D2178" s="8" t="s">
        <v>10054</v>
      </c>
      <c r="E2178" s="8"/>
    </row>
    <row r="2179" spans="1:5" x14ac:dyDescent="0.25">
      <c r="A2179" s="5" t="s">
        <v>6501</v>
      </c>
      <c r="B2179" s="9" t="str">
        <f t="shared" si="1"/>
        <v>25755</v>
      </c>
      <c r="C2179" s="8" t="s">
        <v>6502</v>
      </c>
      <c r="D2179" s="8" t="s">
        <v>10054</v>
      </c>
      <c r="E2179" s="8"/>
    </row>
    <row r="2180" spans="1:5" x14ac:dyDescent="0.25">
      <c r="A2180" s="5" t="s">
        <v>6503</v>
      </c>
      <c r="B2180" s="9" t="str">
        <f t="shared" si="1"/>
        <v>25755</v>
      </c>
      <c r="C2180" s="8" t="s">
        <v>6504</v>
      </c>
      <c r="D2180" s="8" t="s">
        <v>10054</v>
      </c>
      <c r="E2180" s="8"/>
    </row>
    <row r="2181" spans="1:5" x14ac:dyDescent="0.25">
      <c r="A2181" s="5" t="s">
        <v>6505</v>
      </c>
      <c r="B2181" s="9" t="str">
        <f t="shared" si="1"/>
        <v>25755</v>
      </c>
      <c r="C2181" s="8" t="s">
        <v>6506</v>
      </c>
      <c r="D2181" s="8" t="s">
        <v>10054</v>
      </c>
      <c r="E2181" s="8"/>
    </row>
    <row r="2182" spans="1:5" x14ac:dyDescent="0.25">
      <c r="A2182" s="5" t="s">
        <v>6507</v>
      </c>
      <c r="B2182" s="9" t="str">
        <f t="shared" si="1"/>
        <v>25755</v>
      </c>
      <c r="C2182" s="8" t="s">
        <v>6508</v>
      </c>
      <c r="D2182" s="8" t="s">
        <v>10054</v>
      </c>
      <c r="E2182" s="8"/>
    </row>
    <row r="2183" spans="1:5" x14ac:dyDescent="0.25">
      <c r="A2183" s="5" t="s">
        <v>6509</v>
      </c>
      <c r="B2183" s="9" t="str">
        <f t="shared" si="1"/>
        <v>25755</v>
      </c>
      <c r="C2183" s="8" t="s">
        <v>6510</v>
      </c>
      <c r="D2183" s="8" t="s">
        <v>10054</v>
      </c>
      <c r="E2183" s="8"/>
    </row>
    <row r="2184" spans="1:5" x14ac:dyDescent="0.25">
      <c r="A2184" s="5" t="s">
        <v>6511</v>
      </c>
      <c r="B2184" s="9" t="str">
        <f t="shared" si="1"/>
        <v>25755</v>
      </c>
      <c r="C2184" s="8" t="s">
        <v>6512</v>
      </c>
      <c r="D2184" s="8" t="s">
        <v>10054</v>
      </c>
      <c r="E2184" s="8"/>
    </row>
    <row r="2185" spans="1:5" x14ac:dyDescent="0.25">
      <c r="A2185" s="5" t="s">
        <v>6513</v>
      </c>
      <c r="B2185" s="9" t="str">
        <f t="shared" si="1"/>
        <v>25755</v>
      </c>
      <c r="C2185" s="8" t="s">
        <v>6514</v>
      </c>
      <c r="D2185" s="8" t="s">
        <v>10054</v>
      </c>
      <c r="E2185" s="8"/>
    </row>
    <row r="2186" spans="1:5" x14ac:dyDescent="0.25">
      <c r="A2186" s="5" t="s">
        <v>6515</v>
      </c>
      <c r="B2186" s="9" t="str">
        <f t="shared" si="1"/>
        <v>25755</v>
      </c>
      <c r="C2186" s="8" t="s">
        <v>6516</v>
      </c>
      <c r="D2186" s="8" t="s">
        <v>10054</v>
      </c>
      <c r="E2186" s="8"/>
    </row>
    <row r="2187" spans="1:5" x14ac:dyDescent="0.25">
      <c r="A2187" s="5" t="s">
        <v>6517</v>
      </c>
      <c r="B2187" s="9" t="str">
        <f t="shared" si="1"/>
        <v>25755</v>
      </c>
      <c r="C2187" s="8" t="s">
        <v>6518</v>
      </c>
      <c r="D2187" s="8" t="s">
        <v>10054</v>
      </c>
      <c r="E2187" s="8"/>
    </row>
    <row r="2188" spans="1:5" x14ac:dyDescent="0.25">
      <c r="A2188" s="5" t="s">
        <v>6519</v>
      </c>
      <c r="B2188" s="9" t="str">
        <f t="shared" si="1"/>
        <v>25755</v>
      </c>
      <c r="C2188" s="8" t="s">
        <v>6520</v>
      </c>
      <c r="D2188" s="8" t="s">
        <v>10054</v>
      </c>
      <c r="E2188" s="8"/>
    </row>
    <row r="2189" spans="1:5" x14ac:dyDescent="0.25">
      <c r="A2189" s="5" t="s">
        <v>6521</v>
      </c>
      <c r="B2189" s="9" t="str">
        <f t="shared" si="1"/>
        <v>25755</v>
      </c>
      <c r="C2189" s="8" t="s">
        <v>6522</v>
      </c>
      <c r="D2189" s="8" t="s">
        <v>10054</v>
      </c>
      <c r="E2189" s="8"/>
    </row>
    <row r="2190" spans="1:5" x14ac:dyDescent="0.25">
      <c r="A2190" s="5" t="s">
        <v>6523</v>
      </c>
      <c r="B2190" s="9" t="str">
        <f t="shared" si="1"/>
        <v>25755</v>
      </c>
      <c r="C2190" s="8" t="s">
        <v>6524</v>
      </c>
      <c r="D2190" s="8" t="s">
        <v>10054</v>
      </c>
      <c r="E2190" s="8"/>
    </row>
    <row r="2191" spans="1:5" x14ac:dyDescent="0.25">
      <c r="A2191" s="5" t="s">
        <v>6525</v>
      </c>
      <c r="B2191" s="9" t="str">
        <f t="shared" si="1"/>
        <v>25755</v>
      </c>
      <c r="C2191" s="8" t="s">
        <v>6526</v>
      </c>
      <c r="D2191" s="8" t="s">
        <v>10054</v>
      </c>
      <c r="E2191" s="8"/>
    </row>
    <row r="2192" spans="1:5" x14ac:dyDescent="0.25">
      <c r="A2192" s="5" t="s">
        <v>6527</v>
      </c>
      <c r="B2192" s="9" t="str">
        <f t="shared" si="1"/>
        <v>25755</v>
      </c>
      <c r="C2192" s="8" t="s">
        <v>6528</v>
      </c>
      <c r="D2192" s="8" t="s">
        <v>10054</v>
      </c>
      <c r="E2192" s="8"/>
    </row>
    <row r="2193" spans="1:5" x14ac:dyDescent="0.25">
      <c r="A2193" s="5" t="s">
        <v>6529</v>
      </c>
      <c r="B2193" s="9" t="str">
        <f t="shared" si="1"/>
        <v>25755</v>
      </c>
      <c r="C2193" s="8" t="s">
        <v>6530</v>
      </c>
      <c r="D2193" s="8" t="s">
        <v>10054</v>
      </c>
      <c r="E2193" s="8"/>
    </row>
    <row r="2194" spans="1:5" x14ac:dyDescent="0.25">
      <c r="A2194" s="5" t="s">
        <v>6531</v>
      </c>
      <c r="B2194" s="9" t="str">
        <f t="shared" si="1"/>
        <v>25755</v>
      </c>
      <c r="C2194" s="8" t="s">
        <v>6532</v>
      </c>
      <c r="D2194" s="8" t="s">
        <v>10054</v>
      </c>
      <c r="E2194" s="8"/>
    </row>
    <row r="2195" spans="1:5" x14ac:dyDescent="0.25">
      <c r="A2195" s="5" t="s">
        <v>6533</v>
      </c>
      <c r="B2195" s="9" t="str">
        <f t="shared" si="1"/>
        <v>25755</v>
      </c>
      <c r="C2195" s="8" t="s">
        <v>6534</v>
      </c>
      <c r="D2195" s="8" t="s">
        <v>10054</v>
      </c>
      <c r="E2195" s="8"/>
    </row>
    <row r="2196" spans="1:5" x14ac:dyDescent="0.25">
      <c r="A2196" s="5" t="s">
        <v>6535</v>
      </c>
      <c r="B2196" s="9" t="str">
        <f t="shared" si="1"/>
        <v>25755</v>
      </c>
      <c r="C2196" s="8" t="s">
        <v>6536</v>
      </c>
      <c r="D2196" s="8" t="s">
        <v>10054</v>
      </c>
      <c r="E2196" s="8"/>
    </row>
    <row r="2197" spans="1:5" x14ac:dyDescent="0.25">
      <c r="A2197" s="5" t="s">
        <v>6537</v>
      </c>
      <c r="B2197" s="9" t="str">
        <f t="shared" si="1"/>
        <v>25755</v>
      </c>
      <c r="C2197" s="8" t="s">
        <v>6538</v>
      </c>
      <c r="D2197" s="8" t="s">
        <v>10054</v>
      </c>
      <c r="E2197" s="8"/>
    </row>
    <row r="2198" spans="1:5" x14ac:dyDescent="0.25">
      <c r="A2198" s="5" t="s">
        <v>6539</v>
      </c>
      <c r="B2198" s="9" t="str">
        <f t="shared" si="1"/>
        <v>25755</v>
      </c>
      <c r="C2198" s="8" t="s">
        <v>6540</v>
      </c>
      <c r="D2198" s="8" t="s">
        <v>10054</v>
      </c>
      <c r="E2198" s="8"/>
    </row>
    <row r="2199" spans="1:5" x14ac:dyDescent="0.25">
      <c r="A2199" s="5" t="s">
        <v>6541</v>
      </c>
      <c r="B2199" s="9" t="str">
        <f t="shared" si="1"/>
        <v>25755</v>
      </c>
      <c r="C2199" s="8" t="s">
        <v>6542</v>
      </c>
      <c r="D2199" s="8" t="s">
        <v>10054</v>
      </c>
      <c r="E2199" s="8"/>
    </row>
    <row r="2200" spans="1:5" x14ac:dyDescent="0.25">
      <c r="A2200" s="5" t="s">
        <v>6543</v>
      </c>
      <c r="B2200" s="9" t="str">
        <f t="shared" si="1"/>
        <v>25755</v>
      </c>
      <c r="C2200" s="8" t="s">
        <v>6544</v>
      </c>
      <c r="D2200" s="8" t="s">
        <v>10054</v>
      </c>
      <c r="E2200" s="8"/>
    </row>
    <row r="2201" spans="1:5" x14ac:dyDescent="0.25">
      <c r="A2201" s="5" t="s">
        <v>6545</v>
      </c>
      <c r="B2201" s="9" t="str">
        <f t="shared" si="1"/>
        <v>25755</v>
      </c>
      <c r="C2201" s="8" t="s">
        <v>6546</v>
      </c>
      <c r="D2201" s="8" t="s">
        <v>10054</v>
      </c>
      <c r="E2201" s="8"/>
    </row>
    <row r="2202" spans="1:5" x14ac:dyDescent="0.25">
      <c r="A2202" s="5" t="s">
        <v>6547</v>
      </c>
      <c r="B2202" s="9" t="str">
        <f t="shared" si="1"/>
        <v>25755</v>
      </c>
      <c r="C2202" s="8" t="s">
        <v>6548</v>
      </c>
      <c r="D2202" s="8" t="s">
        <v>10054</v>
      </c>
      <c r="E2202" s="8"/>
    </row>
    <row r="2203" spans="1:5" x14ac:dyDescent="0.25">
      <c r="A2203" s="5" t="s">
        <v>6549</v>
      </c>
      <c r="B2203" s="9" t="str">
        <f t="shared" si="1"/>
        <v>25755</v>
      </c>
      <c r="C2203" s="8" t="s">
        <v>6550</v>
      </c>
      <c r="D2203" s="8" t="s">
        <v>10054</v>
      </c>
      <c r="E2203" s="8"/>
    </row>
    <row r="2204" spans="1:5" x14ac:dyDescent="0.25">
      <c r="A2204" s="5" t="s">
        <v>6551</v>
      </c>
      <c r="B2204" s="9" t="str">
        <f t="shared" si="1"/>
        <v>25755</v>
      </c>
      <c r="C2204" s="8" t="s">
        <v>6552</v>
      </c>
      <c r="D2204" s="8" t="s">
        <v>10054</v>
      </c>
      <c r="E2204" s="8"/>
    </row>
    <row r="2205" spans="1:5" x14ac:dyDescent="0.25">
      <c r="A2205" s="5" t="s">
        <v>6553</v>
      </c>
      <c r="B2205" s="9" t="str">
        <f t="shared" si="1"/>
        <v>25755</v>
      </c>
      <c r="C2205" s="8" t="s">
        <v>6554</v>
      </c>
      <c r="D2205" s="8" t="s">
        <v>10054</v>
      </c>
      <c r="E2205" s="8"/>
    </row>
    <row r="2206" spans="1:5" x14ac:dyDescent="0.25">
      <c r="A2206" s="5" t="s">
        <v>6555</v>
      </c>
      <c r="B2206" s="9" t="str">
        <f t="shared" si="1"/>
        <v>25755</v>
      </c>
      <c r="C2206" s="8" t="s">
        <v>6556</v>
      </c>
      <c r="D2206" s="8" t="s">
        <v>10054</v>
      </c>
      <c r="E2206" s="8"/>
    </row>
    <row r="2207" spans="1:5" x14ac:dyDescent="0.25">
      <c r="A2207" s="5" t="s">
        <v>6557</v>
      </c>
      <c r="B2207" s="9" t="str">
        <f t="shared" si="1"/>
        <v>25755</v>
      </c>
      <c r="C2207" s="8" t="s">
        <v>6558</v>
      </c>
      <c r="D2207" s="8" t="s">
        <v>10054</v>
      </c>
      <c r="E2207" s="8"/>
    </row>
    <row r="2208" spans="1:5" x14ac:dyDescent="0.25">
      <c r="A2208" s="5" t="s">
        <v>6559</v>
      </c>
      <c r="B2208" s="9" t="str">
        <f t="shared" si="1"/>
        <v>25755</v>
      </c>
      <c r="C2208" s="8" t="s">
        <v>6560</v>
      </c>
      <c r="D2208" s="8" t="s">
        <v>10054</v>
      </c>
      <c r="E2208" s="8"/>
    </row>
    <row r="2209" spans="1:5" x14ac:dyDescent="0.25">
      <c r="A2209" s="5" t="s">
        <v>6561</v>
      </c>
      <c r="B2209" s="9" t="str">
        <f t="shared" si="1"/>
        <v>25755</v>
      </c>
      <c r="C2209" s="8" t="s">
        <v>6562</v>
      </c>
      <c r="D2209" s="8" t="s">
        <v>10054</v>
      </c>
      <c r="E2209" s="8"/>
    </row>
    <row r="2210" spans="1:5" x14ac:dyDescent="0.25">
      <c r="A2210" s="5" t="s">
        <v>6563</v>
      </c>
      <c r="B2210" s="9" t="str">
        <f t="shared" si="1"/>
        <v>25755</v>
      </c>
      <c r="C2210" s="8" t="s">
        <v>6564</v>
      </c>
      <c r="D2210" s="8" t="s">
        <v>10054</v>
      </c>
      <c r="E2210" s="8"/>
    </row>
    <row r="2211" spans="1:5" x14ac:dyDescent="0.25">
      <c r="A2211" s="5" t="s">
        <v>6565</v>
      </c>
      <c r="B2211" s="9" t="str">
        <f t="shared" si="1"/>
        <v>25755</v>
      </c>
      <c r="C2211" s="8" t="s">
        <v>6566</v>
      </c>
      <c r="D2211" s="8" t="s">
        <v>10054</v>
      </c>
      <c r="E2211" s="8"/>
    </row>
    <row r="2212" spans="1:5" x14ac:dyDescent="0.25">
      <c r="A2212" s="5" t="s">
        <v>6567</v>
      </c>
      <c r="B2212" s="9" t="str">
        <f t="shared" si="1"/>
        <v>25755</v>
      </c>
      <c r="C2212" s="8" t="s">
        <v>6568</v>
      </c>
      <c r="D2212" s="8" t="s">
        <v>10054</v>
      </c>
      <c r="E2212" s="8"/>
    </row>
    <row r="2213" spans="1:5" x14ac:dyDescent="0.25">
      <c r="A2213" s="5" t="s">
        <v>6569</v>
      </c>
      <c r="B2213" s="9" t="str">
        <f t="shared" si="1"/>
        <v>25755</v>
      </c>
      <c r="C2213" s="8" t="s">
        <v>6570</v>
      </c>
      <c r="D2213" s="8" t="s">
        <v>10054</v>
      </c>
      <c r="E2213" s="8"/>
    </row>
    <row r="2214" spans="1:5" x14ac:dyDescent="0.25">
      <c r="A2214" s="5" t="s">
        <v>6571</v>
      </c>
      <c r="B2214" s="9" t="str">
        <f t="shared" si="1"/>
        <v>25755</v>
      </c>
      <c r="C2214" s="8" t="s">
        <v>6572</v>
      </c>
      <c r="D2214" s="8" t="s">
        <v>10054</v>
      </c>
      <c r="E2214" s="8"/>
    </row>
    <row r="2215" spans="1:5" x14ac:dyDescent="0.25">
      <c r="A2215" s="5" t="s">
        <v>6573</v>
      </c>
      <c r="B2215" s="9" t="str">
        <f t="shared" si="1"/>
        <v>25755</v>
      </c>
      <c r="C2215" s="8" t="s">
        <v>6574</v>
      </c>
      <c r="D2215" s="8" t="s">
        <v>10054</v>
      </c>
      <c r="E2215" s="8"/>
    </row>
    <row r="2216" spans="1:5" x14ac:dyDescent="0.25">
      <c r="A2216" s="5" t="s">
        <v>6575</v>
      </c>
      <c r="B2216" s="9" t="str">
        <f t="shared" si="1"/>
        <v>25755</v>
      </c>
      <c r="C2216" s="8" t="s">
        <v>6576</v>
      </c>
      <c r="D2216" s="8" t="s">
        <v>10054</v>
      </c>
      <c r="E2216" s="8"/>
    </row>
    <row r="2217" spans="1:5" x14ac:dyDescent="0.25">
      <c r="A2217" s="5" t="s">
        <v>6577</v>
      </c>
      <c r="B2217" s="9" t="str">
        <f t="shared" si="1"/>
        <v>25755</v>
      </c>
      <c r="C2217" s="8" t="s">
        <v>6578</v>
      </c>
      <c r="D2217" s="8" t="s">
        <v>10054</v>
      </c>
      <c r="E2217" s="8"/>
    </row>
    <row r="2218" spans="1:5" x14ac:dyDescent="0.25">
      <c r="A2218" s="5" t="s">
        <v>6579</v>
      </c>
      <c r="B2218" s="9" t="str">
        <f t="shared" si="1"/>
        <v>25755</v>
      </c>
      <c r="C2218" s="8" t="s">
        <v>6580</v>
      </c>
      <c r="D2218" s="8" t="s">
        <v>10054</v>
      </c>
      <c r="E2218" s="8"/>
    </row>
    <row r="2219" spans="1:5" x14ac:dyDescent="0.25">
      <c r="A2219" s="5" t="s">
        <v>6581</v>
      </c>
      <c r="B2219" s="9" t="str">
        <f t="shared" si="1"/>
        <v>25755</v>
      </c>
      <c r="C2219" s="8" t="s">
        <v>6582</v>
      </c>
      <c r="D2219" s="8" t="s">
        <v>10054</v>
      </c>
      <c r="E2219" s="8"/>
    </row>
    <row r="2220" spans="1:5" x14ac:dyDescent="0.25">
      <c r="A2220" s="5" t="s">
        <v>6583</v>
      </c>
      <c r="B2220" s="9" t="str">
        <f t="shared" si="1"/>
        <v>25755</v>
      </c>
      <c r="C2220" s="8" t="s">
        <v>6584</v>
      </c>
      <c r="D2220" s="8" t="s">
        <v>10054</v>
      </c>
      <c r="E2220" s="8"/>
    </row>
    <row r="2221" spans="1:5" x14ac:dyDescent="0.25">
      <c r="A2221" s="5" t="s">
        <v>6585</v>
      </c>
      <c r="B2221" s="9" t="str">
        <f t="shared" ref="B2221:B2430" si="2">HYPERLINK("http://biobank.ctsu.ox.ac.uk/crystal/field.cgi?id=25752", "25752")</f>
        <v>25752</v>
      </c>
      <c r="C2221" s="8" t="s">
        <v>6587</v>
      </c>
      <c r="D2221" s="8" t="s">
        <v>10055</v>
      </c>
      <c r="E2221" s="8"/>
    </row>
    <row r="2222" spans="1:5" x14ac:dyDescent="0.25">
      <c r="A2222" s="5" t="s">
        <v>6588</v>
      </c>
      <c r="B2222" s="9" t="str">
        <f t="shared" si="2"/>
        <v>25752</v>
      </c>
      <c r="C2222" s="8" t="s">
        <v>6589</v>
      </c>
      <c r="D2222" s="8" t="s">
        <v>10055</v>
      </c>
      <c r="E2222" s="8"/>
    </row>
    <row r="2223" spans="1:5" x14ac:dyDescent="0.25">
      <c r="A2223" s="5" t="s">
        <v>6590</v>
      </c>
      <c r="B2223" s="9" t="str">
        <f t="shared" si="2"/>
        <v>25752</v>
      </c>
      <c r="C2223" s="8" t="s">
        <v>6591</v>
      </c>
      <c r="D2223" s="8" t="s">
        <v>10055</v>
      </c>
      <c r="E2223" s="8"/>
    </row>
    <row r="2224" spans="1:5" x14ac:dyDescent="0.25">
      <c r="A2224" s="5" t="s">
        <v>6592</v>
      </c>
      <c r="B2224" s="9" t="str">
        <f t="shared" si="2"/>
        <v>25752</v>
      </c>
      <c r="C2224" s="8" t="s">
        <v>6593</v>
      </c>
      <c r="D2224" s="8" t="s">
        <v>10055</v>
      </c>
      <c r="E2224" s="8"/>
    </row>
    <row r="2225" spans="1:5" x14ac:dyDescent="0.25">
      <c r="A2225" s="5" t="s">
        <v>6594</v>
      </c>
      <c r="B2225" s="9" t="str">
        <f t="shared" si="2"/>
        <v>25752</v>
      </c>
      <c r="C2225" s="8" t="s">
        <v>6595</v>
      </c>
      <c r="D2225" s="8" t="s">
        <v>10055</v>
      </c>
      <c r="E2225" s="8"/>
    </row>
    <row r="2226" spans="1:5" x14ac:dyDescent="0.25">
      <c r="A2226" s="5" t="s">
        <v>6596</v>
      </c>
      <c r="B2226" s="9" t="str">
        <f t="shared" si="2"/>
        <v>25752</v>
      </c>
      <c r="C2226" s="8" t="s">
        <v>6597</v>
      </c>
      <c r="D2226" s="8" t="s">
        <v>10055</v>
      </c>
      <c r="E2226" s="8"/>
    </row>
    <row r="2227" spans="1:5" x14ac:dyDescent="0.25">
      <c r="A2227" s="5" t="s">
        <v>6598</v>
      </c>
      <c r="B2227" s="9" t="str">
        <f t="shared" si="2"/>
        <v>25752</v>
      </c>
      <c r="C2227" s="8" t="s">
        <v>6599</v>
      </c>
      <c r="D2227" s="8" t="s">
        <v>10055</v>
      </c>
      <c r="E2227" s="8"/>
    </row>
    <row r="2228" spans="1:5" x14ac:dyDescent="0.25">
      <c r="A2228" s="5" t="s">
        <v>6600</v>
      </c>
      <c r="B2228" s="9" t="str">
        <f t="shared" si="2"/>
        <v>25752</v>
      </c>
      <c r="C2228" s="8" t="s">
        <v>6601</v>
      </c>
      <c r="D2228" s="8" t="s">
        <v>10055</v>
      </c>
      <c r="E2228" s="8"/>
    </row>
    <row r="2229" spans="1:5" x14ac:dyDescent="0.25">
      <c r="A2229" s="5" t="s">
        <v>6602</v>
      </c>
      <c r="B2229" s="9" t="str">
        <f t="shared" si="2"/>
        <v>25752</v>
      </c>
      <c r="C2229" s="8" t="s">
        <v>6603</v>
      </c>
      <c r="D2229" s="8" t="s">
        <v>10055</v>
      </c>
      <c r="E2229" s="8"/>
    </row>
    <row r="2230" spans="1:5" x14ac:dyDescent="0.25">
      <c r="A2230" s="5" t="s">
        <v>6604</v>
      </c>
      <c r="B2230" s="9" t="str">
        <f t="shared" si="2"/>
        <v>25752</v>
      </c>
      <c r="C2230" s="8" t="s">
        <v>6605</v>
      </c>
      <c r="D2230" s="8" t="s">
        <v>10055</v>
      </c>
      <c r="E2230" s="8"/>
    </row>
    <row r="2231" spans="1:5" x14ac:dyDescent="0.25">
      <c r="A2231" s="5" t="s">
        <v>6606</v>
      </c>
      <c r="B2231" s="9" t="str">
        <f t="shared" si="2"/>
        <v>25752</v>
      </c>
      <c r="C2231" s="8" t="s">
        <v>6607</v>
      </c>
      <c r="D2231" s="8" t="s">
        <v>10055</v>
      </c>
      <c r="E2231" s="8"/>
    </row>
    <row r="2232" spans="1:5" x14ac:dyDescent="0.25">
      <c r="A2232" s="5" t="s">
        <v>6608</v>
      </c>
      <c r="B2232" s="9" t="str">
        <f t="shared" si="2"/>
        <v>25752</v>
      </c>
      <c r="C2232" s="8" t="s">
        <v>6609</v>
      </c>
      <c r="D2232" s="8" t="s">
        <v>10055</v>
      </c>
      <c r="E2232" s="8"/>
    </row>
    <row r="2233" spans="1:5" x14ac:dyDescent="0.25">
      <c r="A2233" s="5" t="s">
        <v>6610</v>
      </c>
      <c r="B2233" s="9" t="str">
        <f t="shared" si="2"/>
        <v>25752</v>
      </c>
      <c r="C2233" s="8" t="s">
        <v>6611</v>
      </c>
      <c r="D2233" s="8" t="s">
        <v>10055</v>
      </c>
      <c r="E2233" s="8"/>
    </row>
    <row r="2234" spans="1:5" x14ac:dyDescent="0.25">
      <c r="A2234" s="5" t="s">
        <v>6612</v>
      </c>
      <c r="B2234" s="9" t="str">
        <f t="shared" si="2"/>
        <v>25752</v>
      </c>
      <c r="C2234" s="8" t="s">
        <v>6613</v>
      </c>
      <c r="D2234" s="8" t="s">
        <v>10055</v>
      </c>
      <c r="E2234" s="8"/>
    </row>
    <row r="2235" spans="1:5" x14ac:dyDescent="0.25">
      <c r="A2235" s="5" t="s">
        <v>6614</v>
      </c>
      <c r="B2235" s="9" t="str">
        <f t="shared" si="2"/>
        <v>25752</v>
      </c>
      <c r="C2235" s="8" t="s">
        <v>6615</v>
      </c>
      <c r="D2235" s="8" t="s">
        <v>10055</v>
      </c>
      <c r="E2235" s="8"/>
    </row>
    <row r="2236" spans="1:5" x14ac:dyDescent="0.25">
      <c r="A2236" s="5" t="s">
        <v>6616</v>
      </c>
      <c r="B2236" s="9" t="str">
        <f t="shared" si="2"/>
        <v>25752</v>
      </c>
      <c r="C2236" s="8" t="s">
        <v>6617</v>
      </c>
      <c r="D2236" s="8" t="s">
        <v>10055</v>
      </c>
      <c r="E2236" s="8"/>
    </row>
    <row r="2237" spans="1:5" x14ac:dyDescent="0.25">
      <c r="A2237" s="5" t="s">
        <v>6618</v>
      </c>
      <c r="B2237" s="9" t="str">
        <f t="shared" si="2"/>
        <v>25752</v>
      </c>
      <c r="C2237" s="8" t="s">
        <v>6619</v>
      </c>
      <c r="D2237" s="8" t="s">
        <v>10055</v>
      </c>
      <c r="E2237" s="8"/>
    </row>
    <row r="2238" spans="1:5" x14ac:dyDescent="0.25">
      <c r="A2238" s="5" t="s">
        <v>6620</v>
      </c>
      <c r="B2238" s="9" t="str">
        <f t="shared" si="2"/>
        <v>25752</v>
      </c>
      <c r="C2238" s="8" t="s">
        <v>6621</v>
      </c>
      <c r="D2238" s="8" t="s">
        <v>10055</v>
      </c>
      <c r="E2238" s="8"/>
    </row>
    <row r="2239" spans="1:5" x14ac:dyDescent="0.25">
      <c r="A2239" s="5" t="s">
        <v>6622</v>
      </c>
      <c r="B2239" s="9" t="str">
        <f t="shared" si="2"/>
        <v>25752</v>
      </c>
      <c r="C2239" s="8" t="s">
        <v>6623</v>
      </c>
      <c r="D2239" s="8" t="s">
        <v>10055</v>
      </c>
      <c r="E2239" s="8"/>
    </row>
    <row r="2240" spans="1:5" x14ac:dyDescent="0.25">
      <c r="A2240" s="5" t="s">
        <v>6624</v>
      </c>
      <c r="B2240" s="9" t="str">
        <f t="shared" si="2"/>
        <v>25752</v>
      </c>
      <c r="C2240" s="8" t="s">
        <v>6625</v>
      </c>
      <c r="D2240" s="8" t="s">
        <v>10055</v>
      </c>
      <c r="E2240" s="8"/>
    </row>
    <row r="2241" spans="1:5" x14ac:dyDescent="0.25">
      <c r="A2241" s="5" t="s">
        <v>6626</v>
      </c>
      <c r="B2241" s="9" t="str">
        <f t="shared" si="2"/>
        <v>25752</v>
      </c>
      <c r="C2241" s="8" t="s">
        <v>6627</v>
      </c>
      <c r="D2241" s="8" t="s">
        <v>10055</v>
      </c>
      <c r="E2241" s="8"/>
    </row>
    <row r="2242" spans="1:5" x14ac:dyDescent="0.25">
      <c r="A2242" s="5" t="s">
        <v>6628</v>
      </c>
      <c r="B2242" s="9" t="str">
        <f t="shared" si="2"/>
        <v>25752</v>
      </c>
      <c r="C2242" s="8" t="s">
        <v>6629</v>
      </c>
      <c r="D2242" s="8" t="s">
        <v>10055</v>
      </c>
      <c r="E2242" s="8"/>
    </row>
    <row r="2243" spans="1:5" x14ac:dyDescent="0.25">
      <c r="A2243" s="5" t="s">
        <v>6630</v>
      </c>
      <c r="B2243" s="9" t="str">
        <f t="shared" si="2"/>
        <v>25752</v>
      </c>
      <c r="C2243" s="8" t="s">
        <v>6631</v>
      </c>
      <c r="D2243" s="8" t="s">
        <v>10055</v>
      </c>
      <c r="E2243" s="8"/>
    </row>
    <row r="2244" spans="1:5" x14ac:dyDescent="0.25">
      <c r="A2244" s="5" t="s">
        <v>6632</v>
      </c>
      <c r="B2244" s="9" t="str">
        <f t="shared" si="2"/>
        <v>25752</v>
      </c>
      <c r="C2244" s="8" t="s">
        <v>6633</v>
      </c>
      <c r="D2244" s="8" t="s">
        <v>10055</v>
      </c>
      <c r="E2244" s="8"/>
    </row>
    <row r="2245" spans="1:5" x14ac:dyDescent="0.25">
      <c r="A2245" s="5" t="s">
        <v>6634</v>
      </c>
      <c r="B2245" s="9" t="str">
        <f t="shared" si="2"/>
        <v>25752</v>
      </c>
      <c r="C2245" s="8" t="s">
        <v>6635</v>
      </c>
      <c r="D2245" s="8" t="s">
        <v>10055</v>
      </c>
      <c r="E2245" s="8"/>
    </row>
    <row r="2246" spans="1:5" x14ac:dyDescent="0.25">
      <c r="A2246" s="5" t="s">
        <v>6636</v>
      </c>
      <c r="B2246" s="9" t="str">
        <f t="shared" si="2"/>
        <v>25752</v>
      </c>
      <c r="C2246" s="8" t="s">
        <v>6637</v>
      </c>
      <c r="D2246" s="8" t="s">
        <v>10055</v>
      </c>
      <c r="E2246" s="8"/>
    </row>
    <row r="2247" spans="1:5" x14ac:dyDescent="0.25">
      <c r="A2247" s="5" t="s">
        <v>6638</v>
      </c>
      <c r="B2247" s="9" t="str">
        <f t="shared" si="2"/>
        <v>25752</v>
      </c>
      <c r="C2247" s="8" t="s">
        <v>6639</v>
      </c>
      <c r="D2247" s="8" t="s">
        <v>10055</v>
      </c>
      <c r="E2247" s="8"/>
    </row>
    <row r="2248" spans="1:5" x14ac:dyDescent="0.25">
      <c r="A2248" s="5" t="s">
        <v>6640</v>
      </c>
      <c r="B2248" s="9" t="str">
        <f t="shared" si="2"/>
        <v>25752</v>
      </c>
      <c r="C2248" s="8" t="s">
        <v>6641</v>
      </c>
      <c r="D2248" s="8" t="s">
        <v>10055</v>
      </c>
      <c r="E2248" s="8"/>
    </row>
    <row r="2249" spans="1:5" x14ac:dyDescent="0.25">
      <c r="A2249" s="5" t="s">
        <v>6642</v>
      </c>
      <c r="B2249" s="9" t="str">
        <f t="shared" si="2"/>
        <v>25752</v>
      </c>
      <c r="C2249" s="8" t="s">
        <v>6643</v>
      </c>
      <c r="D2249" s="8" t="s">
        <v>10055</v>
      </c>
      <c r="E2249" s="8"/>
    </row>
    <row r="2250" spans="1:5" x14ac:dyDescent="0.25">
      <c r="A2250" s="5" t="s">
        <v>6644</v>
      </c>
      <c r="B2250" s="9" t="str">
        <f t="shared" si="2"/>
        <v>25752</v>
      </c>
      <c r="C2250" s="8" t="s">
        <v>6645</v>
      </c>
      <c r="D2250" s="8" t="s">
        <v>10055</v>
      </c>
      <c r="E2250" s="8"/>
    </row>
    <row r="2251" spans="1:5" x14ac:dyDescent="0.25">
      <c r="A2251" s="5" t="s">
        <v>6646</v>
      </c>
      <c r="B2251" s="9" t="str">
        <f t="shared" si="2"/>
        <v>25752</v>
      </c>
      <c r="C2251" s="8" t="s">
        <v>6647</v>
      </c>
      <c r="D2251" s="8" t="s">
        <v>10055</v>
      </c>
      <c r="E2251" s="8"/>
    </row>
    <row r="2252" spans="1:5" x14ac:dyDescent="0.25">
      <c r="A2252" s="5" t="s">
        <v>6648</v>
      </c>
      <c r="B2252" s="9" t="str">
        <f t="shared" si="2"/>
        <v>25752</v>
      </c>
      <c r="C2252" s="8" t="s">
        <v>6649</v>
      </c>
      <c r="D2252" s="8" t="s">
        <v>10055</v>
      </c>
      <c r="E2252" s="8"/>
    </row>
    <row r="2253" spans="1:5" x14ac:dyDescent="0.25">
      <c r="A2253" s="5" t="s">
        <v>6650</v>
      </c>
      <c r="B2253" s="9" t="str">
        <f t="shared" si="2"/>
        <v>25752</v>
      </c>
      <c r="C2253" s="8" t="s">
        <v>6651</v>
      </c>
      <c r="D2253" s="8" t="s">
        <v>10055</v>
      </c>
      <c r="E2253" s="8"/>
    </row>
    <row r="2254" spans="1:5" x14ac:dyDescent="0.25">
      <c r="A2254" s="5" t="s">
        <v>6652</v>
      </c>
      <c r="B2254" s="9" t="str">
        <f t="shared" si="2"/>
        <v>25752</v>
      </c>
      <c r="C2254" s="8" t="s">
        <v>6653</v>
      </c>
      <c r="D2254" s="8" t="s">
        <v>10055</v>
      </c>
      <c r="E2254" s="8"/>
    </row>
    <row r="2255" spans="1:5" x14ac:dyDescent="0.25">
      <c r="A2255" s="5" t="s">
        <v>6654</v>
      </c>
      <c r="B2255" s="9" t="str">
        <f t="shared" si="2"/>
        <v>25752</v>
      </c>
      <c r="C2255" s="8" t="s">
        <v>6655</v>
      </c>
      <c r="D2255" s="8" t="s">
        <v>10055</v>
      </c>
      <c r="E2255" s="8"/>
    </row>
    <row r="2256" spans="1:5" x14ac:dyDescent="0.25">
      <c r="A2256" s="5" t="s">
        <v>6656</v>
      </c>
      <c r="B2256" s="9" t="str">
        <f t="shared" si="2"/>
        <v>25752</v>
      </c>
      <c r="C2256" s="8" t="s">
        <v>6657</v>
      </c>
      <c r="D2256" s="8" t="s">
        <v>10055</v>
      </c>
      <c r="E2256" s="8"/>
    </row>
    <row r="2257" spans="1:5" x14ac:dyDescent="0.25">
      <c r="A2257" s="5" t="s">
        <v>6658</v>
      </c>
      <c r="B2257" s="9" t="str">
        <f t="shared" si="2"/>
        <v>25752</v>
      </c>
      <c r="C2257" s="8" t="s">
        <v>6659</v>
      </c>
      <c r="D2257" s="8" t="s">
        <v>10055</v>
      </c>
      <c r="E2257" s="8"/>
    </row>
    <row r="2258" spans="1:5" x14ac:dyDescent="0.25">
      <c r="A2258" s="5" t="s">
        <v>6660</v>
      </c>
      <c r="B2258" s="9" t="str">
        <f t="shared" si="2"/>
        <v>25752</v>
      </c>
      <c r="C2258" s="8" t="s">
        <v>6661</v>
      </c>
      <c r="D2258" s="8" t="s">
        <v>10055</v>
      </c>
      <c r="E2258" s="8"/>
    </row>
    <row r="2259" spans="1:5" x14ac:dyDescent="0.25">
      <c r="A2259" s="5" t="s">
        <v>6662</v>
      </c>
      <c r="B2259" s="9" t="str">
        <f t="shared" si="2"/>
        <v>25752</v>
      </c>
      <c r="C2259" s="8" t="s">
        <v>6663</v>
      </c>
      <c r="D2259" s="8" t="s">
        <v>10055</v>
      </c>
      <c r="E2259" s="8"/>
    </row>
    <row r="2260" spans="1:5" x14ac:dyDescent="0.25">
      <c r="A2260" s="5" t="s">
        <v>6664</v>
      </c>
      <c r="B2260" s="9" t="str">
        <f t="shared" si="2"/>
        <v>25752</v>
      </c>
      <c r="C2260" s="8" t="s">
        <v>6665</v>
      </c>
      <c r="D2260" s="8" t="s">
        <v>10055</v>
      </c>
      <c r="E2260" s="8"/>
    </row>
    <row r="2261" spans="1:5" x14ac:dyDescent="0.25">
      <c r="A2261" s="5" t="s">
        <v>6666</v>
      </c>
      <c r="B2261" s="9" t="str">
        <f t="shared" si="2"/>
        <v>25752</v>
      </c>
      <c r="C2261" s="8" t="s">
        <v>6667</v>
      </c>
      <c r="D2261" s="8" t="s">
        <v>10055</v>
      </c>
      <c r="E2261" s="8"/>
    </row>
    <row r="2262" spans="1:5" x14ac:dyDescent="0.25">
      <c r="A2262" s="5" t="s">
        <v>6668</v>
      </c>
      <c r="B2262" s="9" t="str">
        <f t="shared" si="2"/>
        <v>25752</v>
      </c>
      <c r="C2262" s="8" t="s">
        <v>6669</v>
      </c>
      <c r="D2262" s="8" t="s">
        <v>10055</v>
      </c>
      <c r="E2262" s="8"/>
    </row>
    <row r="2263" spans="1:5" x14ac:dyDescent="0.25">
      <c r="A2263" s="5" t="s">
        <v>6670</v>
      </c>
      <c r="B2263" s="9" t="str">
        <f t="shared" si="2"/>
        <v>25752</v>
      </c>
      <c r="C2263" s="8" t="s">
        <v>6671</v>
      </c>
      <c r="D2263" s="8" t="s">
        <v>10055</v>
      </c>
      <c r="E2263" s="8"/>
    </row>
    <row r="2264" spans="1:5" x14ac:dyDescent="0.25">
      <c r="A2264" s="5" t="s">
        <v>6672</v>
      </c>
      <c r="B2264" s="9" t="str">
        <f t="shared" si="2"/>
        <v>25752</v>
      </c>
      <c r="C2264" s="8" t="s">
        <v>6673</v>
      </c>
      <c r="D2264" s="8" t="s">
        <v>10055</v>
      </c>
      <c r="E2264" s="8"/>
    </row>
    <row r="2265" spans="1:5" x14ac:dyDescent="0.25">
      <c r="A2265" s="5" t="s">
        <v>6674</v>
      </c>
      <c r="B2265" s="9" t="str">
        <f t="shared" si="2"/>
        <v>25752</v>
      </c>
      <c r="C2265" s="8" t="s">
        <v>6675</v>
      </c>
      <c r="D2265" s="8" t="s">
        <v>10055</v>
      </c>
      <c r="E2265" s="8"/>
    </row>
    <row r="2266" spans="1:5" x14ac:dyDescent="0.25">
      <c r="A2266" s="5" t="s">
        <v>6676</v>
      </c>
      <c r="B2266" s="9" t="str">
        <f t="shared" si="2"/>
        <v>25752</v>
      </c>
      <c r="C2266" s="8" t="s">
        <v>6677</v>
      </c>
      <c r="D2266" s="8" t="s">
        <v>10055</v>
      </c>
      <c r="E2266" s="8"/>
    </row>
    <row r="2267" spans="1:5" x14ac:dyDescent="0.25">
      <c r="A2267" s="5" t="s">
        <v>6678</v>
      </c>
      <c r="B2267" s="9" t="str">
        <f t="shared" si="2"/>
        <v>25752</v>
      </c>
      <c r="C2267" s="8" t="s">
        <v>6679</v>
      </c>
      <c r="D2267" s="8" t="s">
        <v>10055</v>
      </c>
      <c r="E2267" s="8"/>
    </row>
    <row r="2268" spans="1:5" x14ac:dyDescent="0.25">
      <c r="A2268" s="5" t="s">
        <v>6680</v>
      </c>
      <c r="B2268" s="9" t="str">
        <f t="shared" si="2"/>
        <v>25752</v>
      </c>
      <c r="C2268" s="8" t="s">
        <v>6681</v>
      </c>
      <c r="D2268" s="8" t="s">
        <v>10055</v>
      </c>
      <c r="E2268" s="8"/>
    </row>
    <row r="2269" spans="1:5" x14ac:dyDescent="0.25">
      <c r="A2269" s="5" t="s">
        <v>6682</v>
      </c>
      <c r="B2269" s="9" t="str">
        <f t="shared" si="2"/>
        <v>25752</v>
      </c>
      <c r="C2269" s="8" t="s">
        <v>6683</v>
      </c>
      <c r="D2269" s="8" t="s">
        <v>10055</v>
      </c>
      <c r="E2269" s="8"/>
    </row>
    <row r="2270" spans="1:5" x14ac:dyDescent="0.25">
      <c r="A2270" s="5" t="s">
        <v>6684</v>
      </c>
      <c r="B2270" s="9" t="str">
        <f t="shared" si="2"/>
        <v>25752</v>
      </c>
      <c r="C2270" s="8" t="s">
        <v>6685</v>
      </c>
      <c r="D2270" s="8" t="s">
        <v>10055</v>
      </c>
      <c r="E2270" s="8"/>
    </row>
    <row r="2271" spans="1:5" x14ac:dyDescent="0.25">
      <c r="A2271" s="5" t="s">
        <v>6686</v>
      </c>
      <c r="B2271" s="9" t="str">
        <f t="shared" si="2"/>
        <v>25752</v>
      </c>
      <c r="C2271" s="8" t="s">
        <v>6687</v>
      </c>
      <c r="D2271" s="8" t="s">
        <v>10055</v>
      </c>
      <c r="E2271" s="8"/>
    </row>
    <row r="2272" spans="1:5" x14ac:dyDescent="0.25">
      <c r="A2272" s="5" t="s">
        <v>6688</v>
      </c>
      <c r="B2272" s="9" t="str">
        <f t="shared" si="2"/>
        <v>25752</v>
      </c>
      <c r="C2272" s="8" t="s">
        <v>6689</v>
      </c>
      <c r="D2272" s="8" t="s">
        <v>10055</v>
      </c>
      <c r="E2272" s="8"/>
    </row>
    <row r="2273" spans="1:5" x14ac:dyDescent="0.25">
      <c r="A2273" s="5" t="s">
        <v>6690</v>
      </c>
      <c r="B2273" s="9" t="str">
        <f t="shared" si="2"/>
        <v>25752</v>
      </c>
      <c r="C2273" s="8" t="s">
        <v>6691</v>
      </c>
      <c r="D2273" s="8" t="s">
        <v>10055</v>
      </c>
      <c r="E2273" s="8"/>
    </row>
    <row r="2274" spans="1:5" x14ac:dyDescent="0.25">
      <c r="A2274" s="5" t="s">
        <v>6692</v>
      </c>
      <c r="B2274" s="9" t="str">
        <f t="shared" si="2"/>
        <v>25752</v>
      </c>
      <c r="C2274" s="8" t="s">
        <v>6693</v>
      </c>
      <c r="D2274" s="8" t="s">
        <v>10055</v>
      </c>
      <c r="E2274" s="8"/>
    </row>
    <row r="2275" spans="1:5" x14ac:dyDescent="0.25">
      <c r="A2275" s="5" t="s">
        <v>6694</v>
      </c>
      <c r="B2275" s="9" t="str">
        <f t="shared" si="2"/>
        <v>25752</v>
      </c>
      <c r="C2275" s="8" t="s">
        <v>6695</v>
      </c>
      <c r="D2275" s="8" t="s">
        <v>10055</v>
      </c>
      <c r="E2275" s="8"/>
    </row>
    <row r="2276" spans="1:5" x14ac:dyDescent="0.25">
      <c r="A2276" s="5" t="s">
        <v>6696</v>
      </c>
      <c r="B2276" s="9" t="str">
        <f t="shared" si="2"/>
        <v>25752</v>
      </c>
      <c r="C2276" s="8" t="s">
        <v>6697</v>
      </c>
      <c r="D2276" s="8" t="s">
        <v>10055</v>
      </c>
      <c r="E2276" s="8"/>
    </row>
    <row r="2277" spans="1:5" x14ac:dyDescent="0.25">
      <c r="A2277" s="5" t="s">
        <v>6698</v>
      </c>
      <c r="B2277" s="9" t="str">
        <f t="shared" si="2"/>
        <v>25752</v>
      </c>
      <c r="C2277" s="8" t="s">
        <v>6699</v>
      </c>
      <c r="D2277" s="8" t="s">
        <v>10055</v>
      </c>
      <c r="E2277" s="8"/>
    </row>
    <row r="2278" spans="1:5" x14ac:dyDescent="0.25">
      <c r="A2278" s="5" t="s">
        <v>6700</v>
      </c>
      <c r="B2278" s="9" t="str">
        <f t="shared" si="2"/>
        <v>25752</v>
      </c>
      <c r="C2278" s="8" t="s">
        <v>6701</v>
      </c>
      <c r="D2278" s="8" t="s">
        <v>10055</v>
      </c>
      <c r="E2278" s="8"/>
    </row>
    <row r="2279" spans="1:5" x14ac:dyDescent="0.25">
      <c r="A2279" s="5" t="s">
        <v>6702</v>
      </c>
      <c r="B2279" s="9" t="str">
        <f t="shared" si="2"/>
        <v>25752</v>
      </c>
      <c r="C2279" s="8" t="s">
        <v>6703</v>
      </c>
      <c r="D2279" s="8" t="s">
        <v>10055</v>
      </c>
      <c r="E2279" s="8"/>
    </row>
    <row r="2280" spans="1:5" x14ac:dyDescent="0.25">
      <c r="A2280" s="5" t="s">
        <v>6704</v>
      </c>
      <c r="B2280" s="9" t="str">
        <f t="shared" si="2"/>
        <v>25752</v>
      </c>
      <c r="C2280" s="8" t="s">
        <v>6705</v>
      </c>
      <c r="D2280" s="8" t="s">
        <v>10055</v>
      </c>
      <c r="E2280" s="8"/>
    </row>
    <row r="2281" spans="1:5" x14ac:dyDescent="0.25">
      <c r="A2281" s="5" t="s">
        <v>6706</v>
      </c>
      <c r="B2281" s="9" t="str">
        <f t="shared" si="2"/>
        <v>25752</v>
      </c>
      <c r="C2281" s="8" t="s">
        <v>6707</v>
      </c>
      <c r="D2281" s="8" t="s">
        <v>10055</v>
      </c>
      <c r="E2281" s="8"/>
    </row>
    <row r="2282" spans="1:5" x14ac:dyDescent="0.25">
      <c r="A2282" s="5" t="s">
        <v>6708</v>
      </c>
      <c r="B2282" s="9" t="str">
        <f t="shared" si="2"/>
        <v>25752</v>
      </c>
      <c r="C2282" s="8" t="s">
        <v>6709</v>
      </c>
      <c r="D2282" s="8" t="s">
        <v>10055</v>
      </c>
      <c r="E2282" s="8"/>
    </row>
    <row r="2283" spans="1:5" x14ac:dyDescent="0.25">
      <c r="A2283" s="5" t="s">
        <v>6710</v>
      </c>
      <c r="B2283" s="9" t="str">
        <f t="shared" si="2"/>
        <v>25752</v>
      </c>
      <c r="C2283" s="8" t="s">
        <v>6711</v>
      </c>
      <c r="D2283" s="8" t="s">
        <v>10055</v>
      </c>
      <c r="E2283" s="8"/>
    </row>
    <row r="2284" spans="1:5" x14ac:dyDescent="0.25">
      <c r="A2284" s="5" t="s">
        <v>6712</v>
      </c>
      <c r="B2284" s="9" t="str">
        <f t="shared" si="2"/>
        <v>25752</v>
      </c>
      <c r="C2284" s="8" t="s">
        <v>6713</v>
      </c>
      <c r="D2284" s="8" t="s">
        <v>10055</v>
      </c>
      <c r="E2284" s="8"/>
    </row>
    <row r="2285" spans="1:5" x14ac:dyDescent="0.25">
      <c r="A2285" s="5" t="s">
        <v>6714</v>
      </c>
      <c r="B2285" s="9" t="str">
        <f t="shared" si="2"/>
        <v>25752</v>
      </c>
      <c r="C2285" s="8" t="s">
        <v>6715</v>
      </c>
      <c r="D2285" s="8" t="s">
        <v>10055</v>
      </c>
      <c r="E2285" s="8"/>
    </row>
    <row r="2286" spans="1:5" x14ac:dyDescent="0.25">
      <c r="A2286" s="5" t="s">
        <v>6716</v>
      </c>
      <c r="B2286" s="9" t="str">
        <f t="shared" si="2"/>
        <v>25752</v>
      </c>
      <c r="C2286" s="8" t="s">
        <v>6717</v>
      </c>
      <c r="D2286" s="8" t="s">
        <v>10055</v>
      </c>
      <c r="E2286" s="8"/>
    </row>
    <row r="2287" spans="1:5" x14ac:dyDescent="0.25">
      <c r="A2287" s="5" t="s">
        <v>6718</v>
      </c>
      <c r="B2287" s="9" t="str">
        <f t="shared" si="2"/>
        <v>25752</v>
      </c>
      <c r="C2287" s="8" t="s">
        <v>6719</v>
      </c>
      <c r="D2287" s="8" t="s">
        <v>10055</v>
      </c>
      <c r="E2287" s="8"/>
    </row>
    <row r="2288" spans="1:5" x14ac:dyDescent="0.25">
      <c r="A2288" s="5" t="s">
        <v>6720</v>
      </c>
      <c r="B2288" s="9" t="str">
        <f t="shared" si="2"/>
        <v>25752</v>
      </c>
      <c r="C2288" s="8" t="s">
        <v>6721</v>
      </c>
      <c r="D2288" s="8" t="s">
        <v>10055</v>
      </c>
      <c r="E2288" s="8"/>
    </row>
    <row r="2289" spans="1:5" x14ac:dyDescent="0.25">
      <c r="A2289" s="5" t="s">
        <v>6722</v>
      </c>
      <c r="B2289" s="9" t="str">
        <f t="shared" si="2"/>
        <v>25752</v>
      </c>
      <c r="C2289" s="8" t="s">
        <v>6723</v>
      </c>
      <c r="D2289" s="8" t="s">
        <v>10055</v>
      </c>
      <c r="E2289" s="8"/>
    </row>
    <row r="2290" spans="1:5" x14ac:dyDescent="0.25">
      <c r="A2290" s="5" t="s">
        <v>6724</v>
      </c>
      <c r="B2290" s="9" t="str">
        <f t="shared" si="2"/>
        <v>25752</v>
      </c>
      <c r="C2290" s="8" t="s">
        <v>6725</v>
      </c>
      <c r="D2290" s="8" t="s">
        <v>10055</v>
      </c>
      <c r="E2290" s="8"/>
    </row>
    <row r="2291" spans="1:5" x14ac:dyDescent="0.25">
      <c r="A2291" s="5" t="s">
        <v>6726</v>
      </c>
      <c r="B2291" s="9" t="str">
        <f t="shared" si="2"/>
        <v>25752</v>
      </c>
      <c r="C2291" s="8" t="s">
        <v>6727</v>
      </c>
      <c r="D2291" s="8" t="s">
        <v>10055</v>
      </c>
      <c r="E2291" s="8"/>
    </row>
    <row r="2292" spans="1:5" x14ac:dyDescent="0.25">
      <c r="A2292" s="5" t="s">
        <v>6728</v>
      </c>
      <c r="B2292" s="9" t="str">
        <f t="shared" si="2"/>
        <v>25752</v>
      </c>
      <c r="C2292" s="8" t="s">
        <v>6729</v>
      </c>
      <c r="D2292" s="8" t="s">
        <v>10055</v>
      </c>
      <c r="E2292" s="8"/>
    </row>
    <row r="2293" spans="1:5" x14ac:dyDescent="0.25">
      <c r="A2293" s="5" t="s">
        <v>6730</v>
      </c>
      <c r="B2293" s="9" t="str">
        <f t="shared" si="2"/>
        <v>25752</v>
      </c>
      <c r="C2293" s="8" t="s">
        <v>6731</v>
      </c>
      <c r="D2293" s="8" t="s">
        <v>10055</v>
      </c>
      <c r="E2293" s="8"/>
    </row>
    <row r="2294" spans="1:5" x14ac:dyDescent="0.25">
      <c r="A2294" s="5" t="s">
        <v>6732</v>
      </c>
      <c r="B2294" s="9" t="str">
        <f t="shared" si="2"/>
        <v>25752</v>
      </c>
      <c r="C2294" s="8" t="s">
        <v>6733</v>
      </c>
      <c r="D2294" s="8" t="s">
        <v>10055</v>
      </c>
      <c r="E2294" s="8"/>
    </row>
    <row r="2295" spans="1:5" x14ac:dyDescent="0.25">
      <c r="A2295" s="5" t="s">
        <v>6734</v>
      </c>
      <c r="B2295" s="9" t="str">
        <f t="shared" si="2"/>
        <v>25752</v>
      </c>
      <c r="C2295" s="8" t="s">
        <v>6735</v>
      </c>
      <c r="D2295" s="8" t="s">
        <v>10055</v>
      </c>
      <c r="E2295" s="8"/>
    </row>
    <row r="2296" spans="1:5" x14ac:dyDescent="0.25">
      <c r="A2296" s="5" t="s">
        <v>6736</v>
      </c>
      <c r="B2296" s="9" t="str">
        <f t="shared" si="2"/>
        <v>25752</v>
      </c>
      <c r="C2296" s="8" t="s">
        <v>6737</v>
      </c>
      <c r="D2296" s="8" t="s">
        <v>10055</v>
      </c>
      <c r="E2296" s="8"/>
    </row>
    <row r="2297" spans="1:5" x14ac:dyDescent="0.25">
      <c r="A2297" s="5" t="s">
        <v>6738</v>
      </c>
      <c r="B2297" s="9" t="str">
        <f t="shared" si="2"/>
        <v>25752</v>
      </c>
      <c r="C2297" s="8" t="s">
        <v>6739</v>
      </c>
      <c r="D2297" s="8" t="s">
        <v>10055</v>
      </c>
      <c r="E2297" s="8"/>
    </row>
    <row r="2298" spans="1:5" x14ac:dyDescent="0.25">
      <c r="A2298" s="5" t="s">
        <v>6740</v>
      </c>
      <c r="B2298" s="9" t="str">
        <f t="shared" si="2"/>
        <v>25752</v>
      </c>
      <c r="C2298" s="8" t="s">
        <v>6741</v>
      </c>
      <c r="D2298" s="8" t="s">
        <v>10055</v>
      </c>
      <c r="E2298" s="8"/>
    </row>
    <row r="2299" spans="1:5" x14ac:dyDescent="0.25">
      <c r="A2299" s="5" t="s">
        <v>6742</v>
      </c>
      <c r="B2299" s="9" t="str">
        <f t="shared" si="2"/>
        <v>25752</v>
      </c>
      <c r="C2299" s="8" t="s">
        <v>6743</v>
      </c>
      <c r="D2299" s="8" t="s">
        <v>10055</v>
      </c>
      <c r="E2299" s="8"/>
    </row>
    <row r="2300" spans="1:5" x14ac:dyDescent="0.25">
      <c r="A2300" s="5" t="s">
        <v>6744</v>
      </c>
      <c r="B2300" s="9" t="str">
        <f t="shared" si="2"/>
        <v>25752</v>
      </c>
      <c r="C2300" s="8" t="s">
        <v>6745</v>
      </c>
      <c r="D2300" s="8" t="s">
        <v>10055</v>
      </c>
      <c r="E2300" s="8"/>
    </row>
    <row r="2301" spans="1:5" x14ac:dyDescent="0.25">
      <c r="A2301" s="5" t="s">
        <v>6746</v>
      </c>
      <c r="B2301" s="9" t="str">
        <f t="shared" si="2"/>
        <v>25752</v>
      </c>
      <c r="C2301" s="8" t="s">
        <v>6747</v>
      </c>
      <c r="D2301" s="8" t="s">
        <v>10055</v>
      </c>
      <c r="E2301" s="8"/>
    </row>
    <row r="2302" spans="1:5" x14ac:dyDescent="0.25">
      <c r="A2302" s="5" t="s">
        <v>6748</v>
      </c>
      <c r="B2302" s="9" t="str">
        <f t="shared" si="2"/>
        <v>25752</v>
      </c>
      <c r="C2302" s="8" t="s">
        <v>6749</v>
      </c>
      <c r="D2302" s="8" t="s">
        <v>10055</v>
      </c>
      <c r="E2302" s="8"/>
    </row>
    <row r="2303" spans="1:5" x14ac:dyDescent="0.25">
      <c r="A2303" s="5" t="s">
        <v>6750</v>
      </c>
      <c r="B2303" s="9" t="str">
        <f t="shared" si="2"/>
        <v>25752</v>
      </c>
      <c r="C2303" s="8" t="s">
        <v>6751</v>
      </c>
      <c r="D2303" s="8" t="s">
        <v>10055</v>
      </c>
      <c r="E2303" s="8"/>
    </row>
    <row r="2304" spans="1:5" x14ac:dyDescent="0.25">
      <c r="A2304" s="5" t="s">
        <v>6752</v>
      </c>
      <c r="B2304" s="9" t="str">
        <f t="shared" si="2"/>
        <v>25752</v>
      </c>
      <c r="C2304" s="8" t="s">
        <v>6753</v>
      </c>
      <c r="D2304" s="8" t="s">
        <v>10055</v>
      </c>
      <c r="E2304" s="8"/>
    </row>
    <row r="2305" spans="1:5" x14ac:dyDescent="0.25">
      <c r="A2305" s="5" t="s">
        <v>6754</v>
      </c>
      <c r="B2305" s="9" t="str">
        <f t="shared" si="2"/>
        <v>25752</v>
      </c>
      <c r="C2305" s="8" t="s">
        <v>6755</v>
      </c>
      <c r="D2305" s="8" t="s">
        <v>10055</v>
      </c>
      <c r="E2305" s="8"/>
    </row>
    <row r="2306" spans="1:5" x14ac:dyDescent="0.25">
      <c r="A2306" s="5" t="s">
        <v>6756</v>
      </c>
      <c r="B2306" s="9" t="str">
        <f t="shared" si="2"/>
        <v>25752</v>
      </c>
      <c r="C2306" s="8" t="s">
        <v>6757</v>
      </c>
      <c r="D2306" s="8" t="s">
        <v>10055</v>
      </c>
      <c r="E2306" s="8"/>
    </row>
    <row r="2307" spans="1:5" x14ac:dyDescent="0.25">
      <c r="A2307" s="5" t="s">
        <v>6758</v>
      </c>
      <c r="B2307" s="9" t="str">
        <f t="shared" si="2"/>
        <v>25752</v>
      </c>
      <c r="C2307" s="8" t="s">
        <v>6759</v>
      </c>
      <c r="D2307" s="8" t="s">
        <v>10055</v>
      </c>
      <c r="E2307" s="8"/>
    </row>
    <row r="2308" spans="1:5" x14ac:dyDescent="0.25">
      <c r="A2308" s="5" t="s">
        <v>6760</v>
      </c>
      <c r="B2308" s="9" t="str">
        <f t="shared" si="2"/>
        <v>25752</v>
      </c>
      <c r="C2308" s="8" t="s">
        <v>6761</v>
      </c>
      <c r="D2308" s="8" t="s">
        <v>10055</v>
      </c>
      <c r="E2308" s="8"/>
    </row>
    <row r="2309" spans="1:5" x14ac:dyDescent="0.25">
      <c r="A2309" s="5" t="s">
        <v>6762</v>
      </c>
      <c r="B2309" s="9" t="str">
        <f t="shared" si="2"/>
        <v>25752</v>
      </c>
      <c r="C2309" s="8" t="s">
        <v>6763</v>
      </c>
      <c r="D2309" s="8" t="s">
        <v>10055</v>
      </c>
      <c r="E2309" s="8"/>
    </row>
    <row r="2310" spans="1:5" x14ac:dyDescent="0.25">
      <c r="A2310" s="5" t="s">
        <v>6764</v>
      </c>
      <c r="B2310" s="9" t="str">
        <f t="shared" si="2"/>
        <v>25752</v>
      </c>
      <c r="C2310" s="8" t="s">
        <v>6765</v>
      </c>
      <c r="D2310" s="8" t="s">
        <v>10055</v>
      </c>
      <c r="E2310" s="8"/>
    </row>
    <row r="2311" spans="1:5" x14ac:dyDescent="0.25">
      <c r="A2311" s="5" t="s">
        <v>6766</v>
      </c>
      <c r="B2311" s="9" t="str">
        <f t="shared" si="2"/>
        <v>25752</v>
      </c>
      <c r="C2311" s="8" t="s">
        <v>6767</v>
      </c>
      <c r="D2311" s="8" t="s">
        <v>10055</v>
      </c>
      <c r="E2311" s="8"/>
    </row>
    <row r="2312" spans="1:5" x14ac:dyDescent="0.25">
      <c r="A2312" s="5" t="s">
        <v>6768</v>
      </c>
      <c r="B2312" s="9" t="str">
        <f t="shared" si="2"/>
        <v>25752</v>
      </c>
      <c r="C2312" s="8" t="s">
        <v>6769</v>
      </c>
      <c r="D2312" s="8" t="s">
        <v>10055</v>
      </c>
      <c r="E2312" s="8"/>
    </row>
    <row r="2313" spans="1:5" x14ac:dyDescent="0.25">
      <c r="A2313" s="5" t="s">
        <v>6770</v>
      </c>
      <c r="B2313" s="9" t="str">
        <f t="shared" si="2"/>
        <v>25752</v>
      </c>
      <c r="C2313" s="8" t="s">
        <v>6771</v>
      </c>
      <c r="D2313" s="8" t="s">
        <v>10055</v>
      </c>
      <c r="E2313" s="8"/>
    </row>
    <row r="2314" spans="1:5" x14ac:dyDescent="0.25">
      <c r="A2314" s="5" t="s">
        <v>6772</v>
      </c>
      <c r="B2314" s="9" t="str">
        <f t="shared" si="2"/>
        <v>25752</v>
      </c>
      <c r="C2314" s="8" t="s">
        <v>6773</v>
      </c>
      <c r="D2314" s="8" t="s">
        <v>10055</v>
      </c>
      <c r="E2314" s="8"/>
    </row>
    <row r="2315" spans="1:5" x14ac:dyDescent="0.25">
      <c r="A2315" s="5" t="s">
        <v>6774</v>
      </c>
      <c r="B2315" s="9" t="str">
        <f t="shared" si="2"/>
        <v>25752</v>
      </c>
      <c r="C2315" s="8" t="s">
        <v>6775</v>
      </c>
      <c r="D2315" s="8" t="s">
        <v>10055</v>
      </c>
      <c r="E2315" s="8"/>
    </row>
    <row r="2316" spans="1:5" x14ac:dyDescent="0.25">
      <c r="A2316" s="5" t="s">
        <v>6776</v>
      </c>
      <c r="B2316" s="9" t="str">
        <f t="shared" si="2"/>
        <v>25752</v>
      </c>
      <c r="C2316" s="8" t="s">
        <v>6777</v>
      </c>
      <c r="D2316" s="8" t="s">
        <v>10055</v>
      </c>
      <c r="E2316" s="8"/>
    </row>
    <row r="2317" spans="1:5" x14ac:dyDescent="0.25">
      <c r="A2317" s="5" t="s">
        <v>6778</v>
      </c>
      <c r="B2317" s="9" t="str">
        <f t="shared" si="2"/>
        <v>25752</v>
      </c>
      <c r="C2317" s="8" t="s">
        <v>6779</v>
      </c>
      <c r="D2317" s="8" t="s">
        <v>10055</v>
      </c>
      <c r="E2317" s="8"/>
    </row>
    <row r="2318" spans="1:5" x14ac:dyDescent="0.25">
      <c r="A2318" s="5" t="s">
        <v>6780</v>
      </c>
      <c r="B2318" s="9" t="str">
        <f t="shared" si="2"/>
        <v>25752</v>
      </c>
      <c r="C2318" s="8" t="s">
        <v>6781</v>
      </c>
      <c r="D2318" s="8" t="s">
        <v>10055</v>
      </c>
      <c r="E2318" s="8"/>
    </row>
    <row r="2319" spans="1:5" x14ac:dyDescent="0.25">
      <c r="A2319" s="5" t="s">
        <v>6782</v>
      </c>
      <c r="B2319" s="9" t="str">
        <f t="shared" si="2"/>
        <v>25752</v>
      </c>
      <c r="C2319" s="8" t="s">
        <v>6783</v>
      </c>
      <c r="D2319" s="8" t="s">
        <v>10055</v>
      </c>
      <c r="E2319" s="8"/>
    </row>
    <row r="2320" spans="1:5" x14ac:dyDescent="0.25">
      <c r="A2320" s="5" t="s">
        <v>6784</v>
      </c>
      <c r="B2320" s="9" t="str">
        <f t="shared" si="2"/>
        <v>25752</v>
      </c>
      <c r="C2320" s="8" t="s">
        <v>6785</v>
      </c>
      <c r="D2320" s="8" t="s">
        <v>10055</v>
      </c>
      <c r="E2320" s="8"/>
    </row>
    <row r="2321" spans="1:5" x14ac:dyDescent="0.25">
      <c r="A2321" s="5" t="s">
        <v>6786</v>
      </c>
      <c r="B2321" s="9" t="str">
        <f t="shared" si="2"/>
        <v>25752</v>
      </c>
      <c r="C2321" s="8" t="s">
        <v>6787</v>
      </c>
      <c r="D2321" s="8" t="s">
        <v>10055</v>
      </c>
      <c r="E2321" s="8"/>
    </row>
    <row r="2322" spans="1:5" x14ac:dyDescent="0.25">
      <c r="A2322" s="5" t="s">
        <v>6788</v>
      </c>
      <c r="B2322" s="9" t="str">
        <f t="shared" si="2"/>
        <v>25752</v>
      </c>
      <c r="C2322" s="8" t="s">
        <v>6789</v>
      </c>
      <c r="D2322" s="8" t="s">
        <v>10055</v>
      </c>
      <c r="E2322" s="8"/>
    </row>
    <row r="2323" spans="1:5" x14ac:dyDescent="0.25">
      <c r="A2323" s="5" t="s">
        <v>6790</v>
      </c>
      <c r="B2323" s="9" t="str">
        <f t="shared" si="2"/>
        <v>25752</v>
      </c>
      <c r="C2323" s="8" t="s">
        <v>6791</v>
      </c>
      <c r="D2323" s="8" t="s">
        <v>10055</v>
      </c>
      <c r="E2323" s="8"/>
    </row>
    <row r="2324" spans="1:5" x14ac:dyDescent="0.25">
      <c r="A2324" s="5" t="s">
        <v>6792</v>
      </c>
      <c r="B2324" s="9" t="str">
        <f t="shared" si="2"/>
        <v>25752</v>
      </c>
      <c r="C2324" s="8" t="s">
        <v>6793</v>
      </c>
      <c r="D2324" s="8" t="s">
        <v>10055</v>
      </c>
      <c r="E2324" s="8"/>
    </row>
    <row r="2325" spans="1:5" x14ac:dyDescent="0.25">
      <c r="A2325" s="5" t="s">
        <v>6794</v>
      </c>
      <c r="B2325" s="9" t="str">
        <f t="shared" si="2"/>
        <v>25752</v>
      </c>
      <c r="C2325" s="8" t="s">
        <v>6795</v>
      </c>
      <c r="D2325" s="8" t="s">
        <v>10055</v>
      </c>
      <c r="E2325" s="8"/>
    </row>
    <row r="2326" spans="1:5" x14ac:dyDescent="0.25">
      <c r="A2326" s="5" t="s">
        <v>6796</v>
      </c>
      <c r="B2326" s="9" t="str">
        <f t="shared" si="2"/>
        <v>25752</v>
      </c>
      <c r="C2326" s="8" t="s">
        <v>6797</v>
      </c>
      <c r="D2326" s="8" t="s">
        <v>10055</v>
      </c>
      <c r="E2326" s="8"/>
    </row>
    <row r="2327" spans="1:5" x14ac:dyDescent="0.25">
      <c r="A2327" s="5" t="s">
        <v>6798</v>
      </c>
      <c r="B2327" s="9" t="str">
        <f t="shared" si="2"/>
        <v>25752</v>
      </c>
      <c r="C2327" s="8" t="s">
        <v>6799</v>
      </c>
      <c r="D2327" s="8" t="s">
        <v>10055</v>
      </c>
      <c r="E2327" s="8"/>
    </row>
    <row r="2328" spans="1:5" x14ac:dyDescent="0.25">
      <c r="A2328" s="5" t="s">
        <v>6800</v>
      </c>
      <c r="B2328" s="9" t="str">
        <f t="shared" si="2"/>
        <v>25752</v>
      </c>
      <c r="C2328" s="8" t="s">
        <v>6801</v>
      </c>
      <c r="D2328" s="8" t="s">
        <v>10055</v>
      </c>
      <c r="E2328" s="8"/>
    </row>
    <row r="2329" spans="1:5" x14ac:dyDescent="0.25">
      <c r="A2329" s="5" t="s">
        <v>6802</v>
      </c>
      <c r="B2329" s="9" t="str">
        <f t="shared" si="2"/>
        <v>25752</v>
      </c>
      <c r="C2329" s="8" t="s">
        <v>6803</v>
      </c>
      <c r="D2329" s="8" t="s">
        <v>10055</v>
      </c>
      <c r="E2329" s="8"/>
    </row>
    <row r="2330" spans="1:5" x14ac:dyDescent="0.25">
      <c r="A2330" s="5" t="s">
        <v>6804</v>
      </c>
      <c r="B2330" s="9" t="str">
        <f t="shared" si="2"/>
        <v>25752</v>
      </c>
      <c r="C2330" s="8" t="s">
        <v>6805</v>
      </c>
      <c r="D2330" s="8" t="s">
        <v>10055</v>
      </c>
      <c r="E2330" s="8"/>
    </row>
    <row r="2331" spans="1:5" x14ac:dyDescent="0.25">
      <c r="A2331" s="5" t="s">
        <v>6806</v>
      </c>
      <c r="B2331" s="9" t="str">
        <f t="shared" si="2"/>
        <v>25752</v>
      </c>
      <c r="C2331" s="8" t="s">
        <v>6807</v>
      </c>
      <c r="D2331" s="8" t="s">
        <v>10055</v>
      </c>
      <c r="E2331" s="8"/>
    </row>
    <row r="2332" spans="1:5" x14ac:dyDescent="0.25">
      <c r="A2332" s="5" t="s">
        <v>6808</v>
      </c>
      <c r="B2332" s="9" t="str">
        <f t="shared" si="2"/>
        <v>25752</v>
      </c>
      <c r="C2332" s="8" t="s">
        <v>6809</v>
      </c>
      <c r="D2332" s="8" t="s">
        <v>10055</v>
      </c>
      <c r="E2332" s="8"/>
    </row>
    <row r="2333" spans="1:5" x14ac:dyDescent="0.25">
      <c r="A2333" s="5" t="s">
        <v>6810</v>
      </c>
      <c r="B2333" s="9" t="str">
        <f t="shared" si="2"/>
        <v>25752</v>
      </c>
      <c r="C2333" s="8" t="s">
        <v>6811</v>
      </c>
      <c r="D2333" s="8" t="s">
        <v>10055</v>
      </c>
      <c r="E2333" s="8"/>
    </row>
    <row r="2334" spans="1:5" x14ac:dyDescent="0.25">
      <c r="A2334" s="5" t="s">
        <v>6812</v>
      </c>
      <c r="B2334" s="9" t="str">
        <f t="shared" si="2"/>
        <v>25752</v>
      </c>
      <c r="C2334" s="8" t="s">
        <v>6813</v>
      </c>
      <c r="D2334" s="8" t="s">
        <v>10055</v>
      </c>
      <c r="E2334" s="8"/>
    </row>
    <row r="2335" spans="1:5" x14ac:dyDescent="0.25">
      <c r="A2335" s="5" t="s">
        <v>6814</v>
      </c>
      <c r="B2335" s="9" t="str">
        <f t="shared" si="2"/>
        <v>25752</v>
      </c>
      <c r="C2335" s="8" t="s">
        <v>6815</v>
      </c>
      <c r="D2335" s="8" t="s">
        <v>10055</v>
      </c>
      <c r="E2335" s="8"/>
    </row>
    <row r="2336" spans="1:5" x14ac:dyDescent="0.25">
      <c r="A2336" s="5" t="s">
        <v>6816</v>
      </c>
      <c r="B2336" s="9" t="str">
        <f t="shared" si="2"/>
        <v>25752</v>
      </c>
      <c r="C2336" s="8" t="s">
        <v>6817</v>
      </c>
      <c r="D2336" s="8" t="s">
        <v>10055</v>
      </c>
      <c r="E2336" s="8"/>
    </row>
    <row r="2337" spans="1:5" x14ac:dyDescent="0.25">
      <c r="A2337" s="5" t="s">
        <v>6818</v>
      </c>
      <c r="B2337" s="9" t="str">
        <f t="shared" si="2"/>
        <v>25752</v>
      </c>
      <c r="C2337" s="8" t="s">
        <v>6819</v>
      </c>
      <c r="D2337" s="8" t="s">
        <v>10055</v>
      </c>
      <c r="E2337" s="8"/>
    </row>
    <row r="2338" spans="1:5" x14ac:dyDescent="0.25">
      <c r="A2338" s="5" t="s">
        <v>6820</v>
      </c>
      <c r="B2338" s="9" t="str">
        <f t="shared" si="2"/>
        <v>25752</v>
      </c>
      <c r="C2338" s="8" t="s">
        <v>6821</v>
      </c>
      <c r="D2338" s="8" t="s">
        <v>10055</v>
      </c>
      <c r="E2338" s="8"/>
    </row>
    <row r="2339" spans="1:5" x14ac:dyDescent="0.25">
      <c r="A2339" s="5" t="s">
        <v>6822</v>
      </c>
      <c r="B2339" s="9" t="str">
        <f t="shared" si="2"/>
        <v>25752</v>
      </c>
      <c r="C2339" s="8" t="s">
        <v>6823</v>
      </c>
      <c r="D2339" s="8" t="s">
        <v>10055</v>
      </c>
      <c r="E2339" s="8"/>
    </row>
    <row r="2340" spans="1:5" x14ac:dyDescent="0.25">
      <c r="A2340" s="5" t="s">
        <v>6824</v>
      </c>
      <c r="B2340" s="9" t="str">
        <f t="shared" si="2"/>
        <v>25752</v>
      </c>
      <c r="C2340" s="8" t="s">
        <v>6825</v>
      </c>
      <c r="D2340" s="8" t="s">
        <v>10055</v>
      </c>
      <c r="E2340" s="8"/>
    </row>
    <row r="2341" spans="1:5" x14ac:dyDescent="0.25">
      <c r="A2341" s="5" t="s">
        <v>6826</v>
      </c>
      <c r="B2341" s="9" t="str">
        <f t="shared" si="2"/>
        <v>25752</v>
      </c>
      <c r="C2341" s="8" t="s">
        <v>6827</v>
      </c>
      <c r="D2341" s="8" t="s">
        <v>10055</v>
      </c>
      <c r="E2341" s="8"/>
    </row>
    <row r="2342" spans="1:5" x14ac:dyDescent="0.25">
      <c r="A2342" s="5" t="s">
        <v>6828</v>
      </c>
      <c r="B2342" s="9" t="str">
        <f t="shared" si="2"/>
        <v>25752</v>
      </c>
      <c r="C2342" s="8" t="s">
        <v>6829</v>
      </c>
      <c r="D2342" s="8" t="s">
        <v>10055</v>
      </c>
      <c r="E2342" s="8"/>
    </row>
    <row r="2343" spans="1:5" x14ac:dyDescent="0.25">
      <c r="A2343" s="5" t="s">
        <v>6830</v>
      </c>
      <c r="B2343" s="9" t="str">
        <f t="shared" si="2"/>
        <v>25752</v>
      </c>
      <c r="C2343" s="8" t="s">
        <v>6831</v>
      </c>
      <c r="D2343" s="8" t="s">
        <v>10055</v>
      </c>
      <c r="E2343" s="8"/>
    </row>
    <row r="2344" spans="1:5" x14ac:dyDescent="0.25">
      <c r="A2344" s="5" t="s">
        <v>6832</v>
      </c>
      <c r="B2344" s="9" t="str">
        <f t="shared" si="2"/>
        <v>25752</v>
      </c>
      <c r="C2344" s="8" t="s">
        <v>6833</v>
      </c>
      <c r="D2344" s="8" t="s">
        <v>10055</v>
      </c>
      <c r="E2344" s="8"/>
    </row>
    <row r="2345" spans="1:5" x14ac:dyDescent="0.25">
      <c r="A2345" s="5" t="s">
        <v>6834</v>
      </c>
      <c r="B2345" s="9" t="str">
        <f t="shared" si="2"/>
        <v>25752</v>
      </c>
      <c r="C2345" s="8" t="s">
        <v>6835</v>
      </c>
      <c r="D2345" s="8" t="s">
        <v>10055</v>
      </c>
      <c r="E2345" s="8"/>
    </row>
    <row r="2346" spans="1:5" x14ac:dyDescent="0.25">
      <c r="A2346" s="5" t="s">
        <v>6836</v>
      </c>
      <c r="B2346" s="9" t="str">
        <f t="shared" si="2"/>
        <v>25752</v>
      </c>
      <c r="C2346" s="8" t="s">
        <v>6837</v>
      </c>
      <c r="D2346" s="8" t="s">
        <v>10055</v>
      </c>
      <c r="E2346" s="8"/>
    </row>
    <row r="2347" spans="1:5" x14ac:dyDescent="0.25">
      <c r="A2347" s="5" t="s">
        <v>6838</v>
      </c>
      <c r="B2347" s="9" t="str">
        <f t="shared" si="2"/>
        <v>25752</v>
      </c>
      <c r="C2347" s="8" t="s">
        <v>6839</v>
      </c>
      <c r="D2347" s="8" t="s">
        <v>10055</v>
      </c>
      <c r="E2347" s="8"/>
    </row>
    <row r="2348" spans="1:5" x14ac:dyDescent="0.25">
      <c r="A2348" s="5" t="s">
        <v>6840</v>
      </c>
      <c r="B2348" s="9" t="str">
        <f t="shared" si="2"/>
        <v>25752</v>
      </c>
      <c r="C2348" s="8" t="s">
        <v>6841</v>
      </c>
      <c r="D2348" s="8" t="s">
        <v>10055</v>
      </c>
      <c r="E2348" s="8"/>
    </row>
    <row r="2349" spans="1:5" x14ac:dyDescent="0.25">
      <c r="A2349" s="5" t="s">
        <v>6842</v>
      </c>
      <c r="B2349" s="9" t="str">
        <f t="shared" si="2"/>
        <v>25752</v>
      </c>
      <c r="C2349" s="8" t="s">
        <v>6843</v>
      </c>
      <c r="D2349" s="8" t="s">
        <v>10055</v>
      </c>
      <c r="E2349" s="8"/>
    </row>
    <row r="2350" spans="1:5" x14ac:dyDescent="0.25">
      <c r="A2350" s="5" t="s">
        <v>6844</v>
      </c>
      <c r="B2350" s="9" t="str">
        <f t="shared" si="2"/>
        <v>25752</v>
      </c>
      <c r="C2350" s="8" t="s">
        <v>6845</v>
      </c>
      <c r="D2350" s="8" t="s">
        <v>10055</v>
      </c>
      <c r="E2350" s="8"/>
    </row>
    <row r="2351" spans="1:5" x14ac:dyDescent="0.25">
      <c r="A2351" s="5" t="s">
        <v>6846</v>
      </c>
      <c r="B2351" s="9" t="str">
        <f t="shared" si="2"/>
        <v>25752</v>
      </c>
      <c r="C2351" s="8" t="s">
        <v>6847</v>
      </c>
      <c r="D2351" s="8" t="s">
        <v>10055</v>
      </c>
      <c r="E2351" s="8"/>
    </row>
    <row r="2352" spans="1:5" x14ac:dyDescent="0.25">
      <c r="A2352" s="5" t="s">
        <v>6848</v>
      </c>
      <c r="B2352" s="9" t="str">
        <f t="shared" si="2"/>
        <v>25752</v>
      </c>
      <c r="C2352" s="8" t="s">
        <v>6849</v>
      </c>
      <c r="D2352" s="8" t="s">
        <v>10055</v>
      </c>
      <c r="E2352" s="8"/>
    </row>
    <row r="2353" spans="1:5" x14ac:dyDescent="0.25">
      <c r="A2353" s="5" t="s">
        <v>6850</v>
      </c>
      <c r="B2353" s="9" t="str">
        <f t="shared" si="2"/>
        <v>25752</v>
      </c>
      <c r="C2353" s="8" t="s">
        <v>6851</v>
      </c>
      <c r="D2353" s="8" t="s">
        <v>10055</v>
      </c>
      <c r="E2353" s="8"/>
    </row>
    <row r="2354" spans="1:5" x14ac:dyDescent="0.25">
      <c r="A2354" s="5" t="s">
        <v>6852</v>
      </c>
      <c r="B2354" s="9" t="str">
        <f t="shared" si="2"/>
        <v>25752</v>
      </c>
      <c r="C2354" s="8" t="s">
        <v>6853</v>
      </c>
      <c r="D2354" s="8" t="s">
        <v>10055</v>
      </c>
      <c r="E2354" s="8"/>
    </row>
    <row r="2355" spans="1:5" x14ac:dyDescent="0.25">
      <c r="A2355" s="5" t="s">
        <v>6854</v>
      </c>
      <c r="B2355" s="9" t="str">
        <f t="shared" si="2"/>
        <v>25752</v>
      </c>
      <c r="C2355" s="8" t="s">
        <v>6855</v>
      </c>
      <c r="D2355" s="8" t="s">
        <v>10055</v>
      </c>
      <c r="E2355" s="8"/>
    </row>
    <row r="2356" spans="1:5" x14ac:dyDescent="0.25">
      <c r="A2356" s="5" t="s">
        <v>6856</v>
      </c>
      <c r="B2356" s="9" t="str">
        <f t="shared" si="2"/>
        <v>25752</v>
      </c>
      <c r="C2356" s="8" t="s">
        <v>6857</v>
      </c>
      <c r="D2356" s="8" t="s">
        <v>10055</v>
      </c>
      <c r="E2356" s="8"/>
    </row>
    <row r="2357" spans="1:5" x14ac:dyDescent="0.25">
      <c r="A2357" s="5" t="s">
        <v>6858</v>
      </c>
      <c r="B2357" s="9" t="str">
        <f t="shared" si="2"/>
        <v>25752</v>
      </c>
      <c r="C2357" s="8" t="s">
        <v>6859</v>
      </c>
      <c r="D2357" s="8" t="s">
        <v>10055</v>
      </c>
      <c r="E2357" s="8"/>
    </row>
    <row r="2358" spans="1:5" x14ac:dyDescent="0.25">
      <c r="A2358" s="5" t="s">
        <v>6860</v>
      </c>
      <c r="B2358" s="9" t="str">
        <f t="shared" si="2"/>
        <v>25752</v>
      </c>
      <c r="C2358" s="8" t="s">
        <v>6861</v>
      </c>
      <c r="D2358" s="8" t="s">
        <v>10055</v>
      </c>
      <c r="E2358" s="8"/>
    </row>
    <row r="2359" spans="1:5" x14ac:dyDescent="0.25">
      <c r="A2359" s="5" t="s">
        <v>6862</v>
      </c>
      <c r="B2359" s="9" t="str">
        <f t="shared" si="2"/>
        <v>25752</v>
      </c>
      <c r="C2359" s="8" t="s">
        <v>6863</v>
      </c>
      <c r="D2359" s="8" t="s">
        <v>10055</v>
      </c>
      <c r="E2359" s="8"/>
    </row>
    <row r="2360" spans="1:5" x14ac:dyDescent="0.25">
      <c r="A2360" s="5" t="s">
        <v>6864</v>
      </c>
      <c r="B2360" s="9" t="str">
        <f t="shared" si="2"/>
        <v>25752</v>
      </c>
      <c r="C2360" s="8" t="s">
        <v>6865</v>
      </c>
      <c r="D2360" s="8" t="s">
        <v>10055</v>
      </c>
      <c r="E2360" s="8"/>
    </row>
    <row r="2361" spans="1:5" x14ac:dyDescent="0.25">
      <c r="A2361" s="5" t="s">
        <v>6866</v>
      </c>
      <c r="B2361" s="9" t="str">
        <f t="shared" si="2"/>
        <v>25752</v>
      </c>
      <c r="C2361" s="8" t="s">
        <v>6867</v>
      </c>
      <c r="D2361" s="8" t="s">
        <v>10055</v>
      </c>
      <c r="E2361" s="8"/>
    </row>
    <row r="2362" spans="1:5" x14ac:dyDescent="0.25">
      <c r="A2362" s="5" t="s">
        <v>6868</v>
      </c>
      <c r="B2362" s="9" t="str">
        <f t="shared" si="2"/>
        <v>25752</v>
      </c>
      <c r="C2362" s="8" t="s">
        <v>6869</v>
      </c>
      <c r="D2362" s="8" t="s">
        <v>10055</v>
      </c>
      <c r="E2362" s="8"/>
    </row>
    <row r="2363" spans="1:5" x14ac:dyDescent="0.25">
      <c r="A2363" s="5" t="s">
        <v>6870</v>
      </c>
      <c r="B2363" s="9" t="str">
        <f t="shared" si="2"/>
        <v>25752</v>
      </c>
      <c r="C2363" s="8" t="s">
        <v>6871</v>
      </c>
      <c r="D2363" s="8" t="s">
        <v>10055</v>
      </c>
      <c r="E2363" s="8"/>
    </row>
    <row r="2364" spans="1:5" x14ac:dyDescent="0.25">
      <c r="A2364" s="5" t="s">
        <v>6872</v>
      </c>
      <c r="B2364" s="9" t="str">
        <f t="shared" si="2"/>
        <v>25752</v>
      </c>
      <c r="C2364" s="8" t="s">
        <v>6873</v>
      </c>
      <c r="D2364" s="8" t="s">
        <v>10055</v>
      </c>
      <c r="E2364" s="8"/>
    </row>
    <row r="2365" spans="1:5" x14ac:dyDescent="0.25">
      <c r="A2365" s="5" t="s">
        <v>6874</v>
      </c>
      <c r="B2365" s="9" t="str">
        <f t="shared" si="2"/>
        <v>25752</v>
      </c>
      <c r="C2365" s="8" t="s">
        <v>6875</v>
      </c>
      <c r="D2365" s="8" t="s">
        <v>10055</v>
      </c>
      <c r="E2365" s="8"/>
    </row>
    <row r="2366" spans="1:5" x14ac:dyDescent="0.25">
      <c r="A2366" s="5" t="s">
        <v>6876</v>
      </c>
      <c r="B2366" s="9" t="str">
        <f t="shared" si="2"/>
        <v>25752</v>
      </c>
      <c r="C2366" s="8" t="s">
        <v>6877</v>
      </c>
      <c r="D2366" s="8" t="s">
        <v>10055</v>
      </c>
      <c r="E2366" s="8"/>
    </row>
    <row r="2367" spans="1:5" x14ac:dyDescent="0.25">
      <c r="A2367" s="5" t="s">
        <v>6878</v>
      </c>
      <c r="B2367" s="9" t="str">
        <f t="shared" si="2"/>
        <v>25752</v>
      </c>
      <c r="C2367" s="8" t="s">
        <v>6879</v>
      </c>
      <c r="D2367" s="8" t="s">
        <v>10055</v>
      </c>
      <c r="E2367" s="8"/>
    </row>
    <row r="2368" spans="1:5" x14ac:dyDescent="0.25">
      <c r="A2368" s="5" t="s">
        <v>6880</v>
      </c>
      <c r="B2368" s="9" t="str">
        <f t="shared" si="2"/>
        <v>25752</v>
      </c>
      <c r="C2368" s="8" t="s">
        <v>6881</v>
      </c>
      <c r="D2368" s="8" t="s">
        <v>10055</v>
      </c>
      <c r="E2368" s="8"/>
    </row>
    <row r="2369" spans="1:5" x14ac:dyDescent="0.25">
      <c r="A2369" s="5" t="s">
        <v>6882</v>
      </c>
      <c r="B2369" s="9" t="str">
        <f t="shared" si="2"/>
        <v>25752</v>
      </c>
      <c r="C2369" s="8" t="s">
        <v>6883</v>
      </c>
      <c r="D2369" s="8" t="s">
        <v>10055</v>
      </c>
      <c r="E2369" s="8"/>
    </row>
    <row r="2370" spans="1:5" x14ac:dyDescent="0.25">
      <c r="A2370" s="5" t="s">
        <v>6884</v>
      </c>
      <c r="B2370" s="9" t="str">
        <f t="shared" si="2"/>
        <v>25752</v>
      </c>
      <c r="C2370" s="8" t="s">
        <v>6885</v>
      </c>
      <c r="D2370" s="8" t="s">
        <v>10055</v>
      </c>
      <c r="E2370" s="8"/>
    </row>
    <row r="2371" spans="1:5" x14ac:dyDescent="0.25">
      <c r="A2371" s="5" t="s">
        <v>6886</v>
      </c>
      <c r="B2371" s="9" t="str">
        <f t="shared" si="2"/>
        <v>25752</v>
      </c>
      <c r="C2371" s="8" t="s">
        <v>6887</v>
      </c>
      <c r="D2371" s="8" t="s">
        <v>10055</v>
      </c>
      <c r="E2371" s="8"/>
    </row>
    <row r="2372" spans="1:5" x14ac:dyDescent="0.25">
      <c r="A2372" s="5" t="s">
        <v>6888</v>
      </c>
      <c r="B2372" s="9" t="str">
        <f t="shared" si="2"/>
        <v>25752</v>
      </c>
      <c r="C2372" s="8" t="s">
        <v>6889</v>
      </c>
      <c r="D2372" s="8" t="s">
        <v>10055</v>
      </c>
      <c r="E2372" s="8"/>
    </row>
    <row r="2373" spans="1:5" x14ac:dyDescent="0.25">
      <c r="A2373" s="5" t="s">
        <v>6890</v>
      </c>
      <c r="B2373" s="9" t="str">
        <f t="shared" si="2"/>
        <v>25752</v>
      </c>
      <c r="C2373" s="8" t="s">
        <v>6891</v>
      </c>
      <c r="D2373" s="8" t="s">
        <v>10055</v>
      </c>
      <c r="E2373" s="8"/>
    </row>
    <row r="2374" spans="1:5" x14ac:dyDescent="0.25">
      <c r="A2374" s="5" t="s">
        <v>6892</v>
      </c>
      <c r="B2374" s="9" t="str">
        <f t="shared" si="2"/>
        <v>25752</v>
      </c>
      <c r="C2374" s="8" t="s">
        <v>6893</v>
      </c>
      <c r="D2374" s="8" t="s">
        <v>10055</v>
      </c>
      <c r="E2374" s="8"/>
    </row>
    <row r="2375" spans="1:5" x14ac:dyDescent="0.25">
      <c r="A2375" s="5" t="s">
        <v>6894</v>
      </c>
      <c r="B2375" s="9" t="str">
        <f t="shared" si="2"/>
        <v>25752</v>
      </c>
      <c r="C2375" s="8" t="s">
        <v>6895</v>
      </c>
      <c r="D2375" s="8" t="s">
        <v>10055</v>
      </c>
      <c r="E2375" s="8"/>
    </row>
    <row r="2376" spans="1:5" x14ac:dyDescent="0.25">
      <c r="A2376" s="5" t="s">
        <v>6896</v>
      </c>
      <c r="B2376" s="9" t="str">
        <f t="shared" si="2"/>
        <v>25752</v>
      </c>
      <c r="C2376" s="8" t="s">
        <v>6897</v>
      </c>
      <c r="D2376" s="8" t="s">
        <v>10055</v>
      </c>
      <c r="E2376" s="8"/>
    </row>
    <row r="2377" spans="1:5" x14ac:dyDescent="0.25">
      <c r="A2377" s="5" t="s">
        <v>6898</v>
      </c>
      <c r="B2377" s="9" t="str">
        <f t="shared" si="2"/>
        <v>25752</v>
      </c>
      <c r="C2377" s="8" t="s">
        <v>6899</v>
      </c>
      <c r="D2377" s="8" t="s">
        <v>10055</v>
      </c>
      <c r="E2377" s="8"/>
    </row>
    <row r="2378" spans="1:5" x14ac:dyDescent="0.25">
      <c r="A2378" s="5" t="s">
        <v>6900</v>
      </c>
      <c r="B2378" s="9" t="str">
        <f t="shared" si="2"/>
        <v>25752</v>
      </c>
      <c r="C2378" s="8" t="s">
        <v>6901</v>
      </c>
      <c r="D2378" s="8" t="s">
        <v>10055</v>
      </c>
      <c r="E2378" s="8"/>
    </row>
    <row r="2379" spans="1:5" x14ac:dyDescent="0.25">
      <c r="A2379" s="5" t="s">
        <v>6902</v>
      </c>
      <c r="B2379" s="9" t="str">
        <f t="shared" si="2"/>
        <v>25752</v>
      </c>
      <c r="C2379" s="8" t="s">
        <v>6903</v>
      </c>
      <c r="D2379" s="8" t="s">
        <v>10055</v>
      </c>
      <c r="E2379" s="8"/>
    </row>
    <row r="2380" spans="1:5" x14ac:dyDescent="0.25">
      <c r="A2380" s="5" t="s">
        <v>6904</v>
      </c>
      <c r="B2380" s="9" t="str">
        <f t="shared" si="2"/>
        <v>25752</v>
      </c>
      <c r="C2380" s="8" t="s">
        <v>6905</v>
      </c>
      <c r="D2380" s="8" t="s">
        <v>10055</v>
      </c>
      <c r="E2380" s="8"/>
    </row>
    <row r="2381" spans="1:5" x14ac:dyDescent="0.25">
      <c r="A2381" s="5" t="s">
        <v>6906</v>
      </c>
      <c r="B2381" s="9" t="str">
        <f t="shared" si="2"/>
        <v>25752</v>
      </c>
      <c r="C2381" s="8" t="s">
        <v>6907</v>
      </c>
      <c r="D2381" s="8" t="s">
        <v>10055</v>
      </c>
      <c r="E2381" s="8"/>
    </row>
    <row r="2382" spans="1:5" x14ac:dyDescent="0.25">
      <c r="A2382" s="5" t="s">
        <v>6908</v>
      </c>
      <c r="B2382" s="9" t="str">
        <f t="shared" si="2"/>
        <v>25752</v>
      </c>
      <c r="C2382" s="8" t="s">
        <v>6909</v>
      </c>
      <c r="D2382" s="8" t="s">
        <v>10055</v>
      </c>
      <c r="E2382" s="8"/>
    </row>
    <row r="2383" spans="1:5" x14ac:dyDescent="0.25">
      <c r="A2383" s="5" t="s">
        <v>6910</v>
      </c>
      <c r="B2383" s="9" t="str">
        <f t="shared" si="2"/>
        <v>25752</v>
      </c>
      <c r="C2383" s="8" t="s">
        <v>6911</v>
      </c>
      <c r="D2383" s="8" t="s">
        <v>10055</v>
      </c>
      <c r="E2383" s="8"/>
    </row>
    <row r="2384" spans="1:5" x14ac:dyDescent="0.25">
      <c r="A2384" s="5" t="s">
        <v>6912</v>
      </c>
      <c r="B2384" s="9" t="str">
        <f t="shared" si="2"/>
        <v>25752</v>
      </c>
      <c r="C2384" s="8" t="s">
        <v>6913</v>
      </c>
      <c r="D2384" s="8" t="s">
        <v>10055</v>
      </c>
      <c r="E2384" s="8"/>
    </row>
    <row r="2385" spans="1:5" x14ac:dyDescent="0.25">
      <c r="A2385" s="5" t="s">
        <v>6914</v>
      </c>
      <c r="B2385" s="9" t="str">
        <f t="shared" si="2"/>
        <v>25752</v>
      </c>
      <c r="C2385" s="8" t="s">
        <v>6915</v>
      </c>
      <c r="D2385" s="8" t="s">
        <v>10055</v>
      </c>
      <c r="E2385" s="8"/>
    </row>
    <row r="2386" spans="1:5" x14ac:dyDescent="0.25">
      <c r="A2386" s="5" t="s">
        <v>6916</v>
      </c>
      <c r="B2386" s="9" t="str">
        <f t="shared" si="2"/>
        <v>25752</v>
      </c>
      <c r="C2386" s="8" t="s">
        <v>6917</v>
      </c>
      <c r="D2386" s="8" t="s">
        <v>10055</v>
      </c>
      <c r="E2386" s="8"/>
    </row>
    <row r="2387" spans="1:5" x14ac:dyDescent="0.25">
      <c r="A2387" s="5" t="s">
        <v>6918</v>
      </c>
      <c r="B2387" s="9" t="str">
        <f t="shared" si="2"/>
        <v>25752</v>
      </c>
      <c r="C2387" s="8" t="s">
        <v>6919</v>
      </c>
      <c r="D2387" s="8" t="s">
        <v>10055</v>
      </c>
      <c r="E2387" s="8"/>
    </row>
    <row r="2388" spans="1:5" x14ac:dyDescent="0.25">
      <c r="A2388" s="5" t="s">
        <v>6920</v>
      </c>
      <c r="B2388" s="9" t="str">
        <f t="shared" si="2"/>
        <v>25752</v>
      </c>
      <c r="C2388" s="8" t="s">
        <v>6921</v>
      </c>
      <c r="D2388" s="8" t="s">
        <v>10055</v>
      </c>
      <c r="E2388" s="8"/>
    </row>
    <row r="2389" spans="1:5" x14ac:dyDescent="0.25">
      <c r="A2389" s="5" t="s">
        <v>6922</v>
      </c>
      <c r="B2389" s="9" t="str">
        <f t="shared" si="2"/>
        <v>25752</v>
      </c>
      <c r="C2389" s="8" t="s">
        <v>6923</v>
      </c>
      <c r="D2389" s="8" t="s">
        <v>10055</v>
      </c>
      <c r="E2389" s="8"/>
    </row>
    <row r="2390" spans="1:5" x14ac:dyDescent="0.25">
      <c r="A2390" s="5" t="s">
        <v>6924</v>
      </c>
      <c r="B2390" s="9" t="str">
        <f t="shared" si="2"/>
        <v>25752</v>
      </c>
      <c r="C2390" s="8" t="s">
        <v>6925</v>
      </c>
      <c r="D2390" s="8" t="s">
        <v>10055</v>
      </c>
      <c r="E2390" s="8"/>
    </row>
    <row r="2391" spans="1:5" x14ac:dyDescent="0.25">
      <c r="A2391" s="5" t="s">
        <v>6926</v>
      </c>
      <c r="B2391" s="9" t="str">
        <f t="shared" si="2"/>
        <v>25752</v>
      </c>
      <c r="C2391" s="8" t="s">
        <v>6927</v>
      </c>
      <c r="D2391" s="8" t="s">
        <v>10055</v>
      </c>
      <c r="E2391" s="8"/>
    </row>
    <row r="2392" spans="1:5" x14ac:dyDescent="0.25">
      <c r="A2392" s="5" t="s">
        <v>6928</v>
      </c>
      <c r="B2392" s="9" t="str">
        <f t="shared" si="2"/>
        <v>25752</v>
      </c>
      <c r="C2392" s="8" t="s">
        <v>6929</v>
      </c>
      <c r="D2392" s="8" t="s">
        <v>10055</v>
      </c>
      <c r="E2392" s="8"/>
    </row>
    <row r="2393" spans="1:5" x14ac:dyDescent="0.25">
      <c r="A2393" s="5" t="s">
        <v>6930</v>
      </c>
      <c r="B2393" s="9" t="str">
        <f t="shared" si="2"/>
        <v>25752</v>
      </c>
      <c r="C2393" s="8" t="s">
        <v>6931</v>
      </c>
      <c r="D2393" s="8" t="s">
        <v>10055</v>
      </c>
      <c r="E2393" s="8"/>
    </row>
    <row r="2394" spans="1:5" x14ac:dyDescent="0.25">
      <c r="A2394" s="5" t="s">
        <v>6932</v>
      </c>
      <c r="B2394" s="9" t="str">
        <f t="shared" si="2"/>
        <v>25752</v>
      </c>
      <c r="C2394" s="8" t="s">
        <v>6933</v>
      </c>
      <c r="D2394" s="8" t="s">
        <v>10055</v>
      </c>
      <c r="E2394" s="8"/>
    </row>
    <row r="2395" spans="1:5" x14ac:dyDescent="0.25">
      <c r="A2395" s="5" t="s">
        <v>6934</v>
      </c>
      <c r="B2395" s="9" t="str">
        <f t="shared" si="2"/>
        <v>25752</v>
      </c>
      <c r="C2395" s="8" t="s">
        <v>6935</v>
      </c>
      <c r="D2395" s="8" t="s">
        <v>10055</v>
      </c>
      <c r="E2395" s="8"/>
    </row>
    <row r="2396" spans="1:5" x14ac:dyDescent="0.25">
      <c r="A2396" s="5" t="s">
        <v>6936</v>
      </c>
      <c r="B2396" s="9" t="str">
        <f t="shared" si="2"/>
        <v>25752</v>
      </c>
      <c r="C2396" s="8" t="s">
        <v>6937</v>
      </c>
      <c r="D2396" s="8" t="s">
        <v>10055</v>
      </c>
      <c r="E2396" s="8"/>
    </row>
    <row r="2397" spans="1:5" x14ac:dyDescent="0.25">
      <c r="A2397" s="5" t="s">
        <v>6938</v>
      </c>
      <c r="B2397" s="9" t="str">
        <f t="shared" si="2"/>
        <v>25752</v>
      </c>
      <c r="C2397" s="8" t="s">
        <v>6939</v>
      </c>
      <c r="D2397" s="8" t="s">
        <v>10055</v>
      </c>
      <c r="E2397" s="8"/>
    </row>
    <row r="2398" spans="1:5" x14ac:dyDescent="0.25">
      <c r="A2398" s="5" t="s">
        <v>6940</v>
      </c>
      <c r="B2398" s="9" t="str">
        <f t="shared" si="2"/>
        <v>25752</v>
      </c>
      <c r="C2398" s="8" t="s">
        <v>6941</v>
      </c>
      <c r="D2398" s="8" t="s">
        <v>10055</v>
      </c>
      <c r="E2398" s="8"/>
    </row>
    <row r="2399" spans="1:5" x14ac:dyDescent="0.25">
      <c r="A2399" s="5" t="s">
        <v>6942</v>
      </c>
      <c r="B2399" s="9" t="str">
        <f t="shared" si="2"/>
        <v>25752</v>
      </c>
      <c r="C2399" s="8" t="s">
        <v>6943</v>
      </c>
      <c r="D2399" s="8" t="s">
        <v>10055</v>
      </c>
      <c r="E2399" s="8"/>
    </row>
    <row r="2400" spans="1:5" x14ac:dyDescent="0.25">
      <c r="A2400" s="5" t="s">
        <v>6944</v>
      </c>
      <c r="B2400" s="9" t="str">
        <f t="shared" si="2"/>
        <v>25752</v>
      </c>
      <c r="C2400" s="8" t="s">
        <v>6945</v>
      </c>
      <c r="D2400" s="8" t="s">
        <v>10055</v>
      </c>
      <c r="E2400" s="8"/>
    </row>
    <row r="2401" spans="1:5" x14ac:dyDescent="0.25">
      <c r="A2401" s="5" t="s">
        <v>6946</v>
      </c>
      <c r="B2401" s="9" t="str">
        <f t="shared" si="2"/>
        <v>25752</v>
      </c>
      <c r="C2401" s="8" t="s">
        <v>6947</v>
      </c>
      <c r="D2401" s="8" t="s">
        <v>10055</v>
      </c>
      <c r="E2401" s="8"/>
    </row>
    <row r="2402" spans="1:5" x14ac:dyDescent="0.25">
      <c r="A2402" s="5" t="s">
        <v>6948</v>
      </c>
      <c r="B2402" s="9" t="str">
        <f t="shared" si="2"/>
        <v>25752</v>
      </c>
      <c r="C2402" s="8" t="s">
        <v>6949</v>
      </c>
      <c r="D2402" s="8" t="s">
        <v>10055</v>
      </c>
      <c r="E2402" s="8"/>
    </row>
    <row r="2403" spans="1:5" x14ac:dyDescent="0.25">
      <c r="A2403" s="5" t="s">
        <v>6950</v>
      </c>
      <c r="B2403" s="9" t="str">
        <f t="shared" si="2"/>
        <v>25752</v>
      </c>
      <c r="C2403" s="8" t="s">
        <v>6951</v>
      </c>
      <c r="D2403" s="8" t="s">
        <v>10055</v>
      </c>
      <c r="E2403" s="8"/>
    </row>
    <row r="2404" spans="1:5" x14ac:dyDescent="0.25">
      <c r="A2404" s="5" t="s">
        <v>6952</v>
      </c>
      <c r="B2404" s="9" t="str">
        <f t="shared" si="2"/>
        <v>25752</v>
      </c>
      <c r="C2404" s="8" t="s">
        <v>6953</v>
      </c>
      <c r="D2404" s="8" t="s">
        <v>10055</v>
      </c>
      <c r="E2404" s="8"/>
    </row>
    <row r="2405" spans="1:5" x14ac:dyDescent="0.25">
      <c r="A2405" s="5" t="s">
        <v>6954</v>
      </c>
      <c r="B2405" s="9" t="str">
        <f t="shared" si="2"/>
        <v>25752</v>
      </c>
      <c r="C2405" s="8" t="s">
        <v>6955</v>
      </c>
      <c r="D2405" s="8" t="s">
        <v>10055</v>
      </c>
      <c r="E2405" s="8"/>
    </row>
    <row r="2406" spans="1:5" x14ac:dyDescent="0.25">
      <c r="A2406" s="5" t="s">
        <v>6956</v>
      </c>
      <c r="B2406" s="9" t="str">
        <f t="shared" si="2"/>
        <v>25752</v>
      </c>
      <c r="C2406" s="8" t="s">
        <v>6957</v>
      </c>
      <c r="D2406" s="8" t="s">
        <v>10055</v>
      </c>
      <c r="E2406" s="8"/>
    </row>
    <row r="2407" spans="1:5" x14ac:dyDescent="0.25">
      <c r="A2407" s="5" t="s">
        <v>6958</v>
      </c>
      <c r="B2407" s="9" t="str">
        <f t="shared" si="2"/>
        <v>25752</v>
      </c>
      <c r="C2407" s="8" t="s">
        <v>6959</v>
      </c>
      <c r="D2407" s="8" t="s">
        <v>10055</v>
      </c>
      <c r="E2407" s="8"/>
    </row>
    <row r="2408" spans="1:5" x14ac:dyDescent="0.25">
      <c r="A2408" s="5" t="s">
        <v>6960</v>
      </c>
      <c r="B2408" s="9" t="str">
        <f t="shared" si="2"/>
        <v>25752</v>
      </c>
      <c r="C2408" s="8" t="s">
        <v>6961</v>
      </c>
      <c r="D2408" s="8" t="s">
        <v>10055</v>
      </c>
      <c r="E2408" s="8"/>
    </row>
    <row r="2409" spans="1:5" x14ac:dyDescent="0.25">
      <c r="A2409" s="5" t="s">
        <v>6962</v>
      </c>
      <c r="B2409" s="9" t="str">
        <f t="shared" si="2"/>
        <v>25752</v>
      </c>
      <c r="C2409" s="8" t="s">
        <v>6963</v>
      </c>
      <c r="D2409" s="8" t="s">
        <v>10055</v>
      </c>
      <c r="E2409" s="8"/>
    </row>
    <row r="2410" spans="1:5" x14ac:dyDescent="0.25">
      <c r="A2410" s="5" t="s">
        <v>6964</v>
      </c>
      <c r="B2410" s="9" t="str">
        <f t="shared" si="2"/>
        <v>25752</v>
      </c>
      <c r="C2410" s="8" t="s">
        <v>6965</v>
      </c>
      <c r="D2410" s="8" t="s">
        <v>10055</v>
      </c>
      <c r="E2410" s="8"/>
    </row>
    <row r="2411" spans="1:5" x14ac:dyDescent="0.25">
      <c r="A2411" s="5" t="s">
        <v>6966</v>
      </c>
      <c r="B2411" s="9" t="str">
        <f t="shared" si="2"/>
        <v>25752</v>
      </c>
      <c r="C2411" s="8" t="s">
        <v>6967</v>
      </c>
      <c r="D2411" s="8" t="s">
        <v>10055</v>
      </c>
      <c r="E2411" s="8"/>
    </row>
    <row r="2412" spans="1:5" x14ac:dyDescent="0.25">
      <c r="A2412" s="5" t="s">
        <v>6968</v>
      </c>
      <c r="B2412" s="9" t="str">
        <f t="shared" si="2"/>
        <v>25752</v>
      </c>
      <c r="C2412" s="8" t="s">
        <v>6969</v>
      </c>
      <c r="D2412" s="8" t="s">
        <v>10055</v>
      </c>
      <c r="E2412" s="8"/>
    </row>
    <row r="2413" spans="1:5" x14ac:dyDescent="0.25">
      <c r="A2413" s="5" t="s">
        <v>6970</v>
      </c>
      <c r="B2413" s="9" t="str">
        <f t="shared" si="2"/>
        <v>25752</v>
      </c>
      <c r="C2413" s="8" t="s">
        <v>6971</v>
      </c>
      <c r="D2413" s="8" t="s">
        <v>10055</v>
      </c>
      <c r="E2413" s="8"/>
    </row>
    <row r="2414" spans="1:5" x14ac:dyDescent="0.25">
      <c r="A2414" s="5" t="s">
        <v>6972</v>
      </c>
      <c r="B2414" s="9" t="str">
        <f t="shared" si="2"/>
        <v>25752</v>
      </c>
      <c r="C2414" s="8" t="s">
        <v>6973</v>
      </c>
      <c r="D2414" s="8" t="s">
        <v>10055</v>
      </c>
      <c r="E2414" s="8"/>
    </row>
    <row r="2415" spans="1:5" x14ac:dyDescent="0.25">
      <c r="A2415" s="5" t="s">
        <v>6974</v>
      </c>
      <c r="B2415" s="9" t="str">
        <f t="shared" si="2"/>
        <v>25752</v>
      </c>
      <c r="C2415" s="8" t="s">
        <v>6975</v>
      </c>
      <c r="D2415" s="8" t="s">
        <v>10055</v>
      </c>
      <c r="E2415" s="8"/>
    </row>
    <row r="2416" spans="1:5" x14ac:dyDescent="0.25">
      <c r="A2416" s="5" t="s">
        <v>6976</v>
      </c>
      <c r="B2416" s="9" t="str">
        <f t="shared" si="2"/>
        <v>25752</v>
      </c>
      <c r="C2416" s="8" t="s">
        <v>6977</v>
      </c>
      <c r="D2416" s="8" t="s">
        <v>10055</v>
      </c>
      <c r="E2416" s="8"/>
    </row>
    <row r="2417" spans="1:5" x14ac:dyDescent="0.25">
      <c r="A2417" s="5" t="s">
        <v>6978</v>
      </c>
      <c r="B2417" s="9" t="str">
        <f t="shared" si="2"/>
        <v>25752</v>
      </c>
      <c r="C2417" s="8" t="s">
        <v>6979</v>
      </c>
      <c r="D2417" s="8" t="s">
        <v>10055</v>
      </c>
      <c r="E2417" s="8"/>
    </row>
    <row r="2418" spans="1:5" x14ac:dyDescent="0.25">
      <c r="A2418" s="5" t="s">
        <v>6980</v>
      </c>
      <c r="B2418" s="9" t="str">
        <f t="shared" si="2"/>
        <v>25752</v>
      </c>
      <c r="C2418" s="8" t="s">
        <v>6981</v>
      </c>
      <c r="D2418" s="8" t="s">
        <v>10055</v>
      </c>
      <c r="E2418" s="8"/>
    </row>
    <row r="2419" spans="1:5" x14ac:dyDescent="0.25">
      <c r="A2419" s="5" t="s">
        <v>6982</v>
      </c>
      <c r="B2419" s="9" t="str">
        <f t="shared" si="2"/>
        <v>25752</v>
      </c>
      <c r="C2419" s="8" t="s">
        <v>6983</v>
      </c>
      <c r="D2419" s="8" t="s">
        <v>10055</v>
      </c>
      <c r="E2419" s="8"/>
    </row>
    <row r="2420" spans="1:5" x14ac:dyDescent="0.25">
      <c r="A2420" s="5" t="s">
        <v>6984</v>
      </c>
      <c r="B2420" s="9" t="str">
        <f t="shared" si="2"/>
        <v>25752</v>
      </c>
      <c r="C2420" s="8" t="s">
        <v>6985</v>
      </c>
      <c r="D2420" s="8" t="s">
        <v>10055</v>
      </c>
      <c r="E2420" s="8"/>
    </row>
    <row r="2421" spans="1:5" x14ac:dyDescent="0.25">
      <c r="A2421" s="5" t="s">
        <v>6986</v>
      </c>
      <c r="B2421" s="9" t="str">
        <f t="shared" si="2"/>
        <v>25752</v>
      </c>
      <c r="C2421" s="8" t="s">
        <v>6987</v>
      </c>
      <c r="D2421" s="8" t="s">
        <v>10055</v>
      </c>
      <c r="E2421" s="8"/>
    </row>
    <row r="2422" spans="1:5" x14ac:dyDescent="0.25">
      <c r="A2422" s="5" t="s">
        <v>6988</v>
      </c>
      <c r="B2422" s="9" t="str">
        <f t="shared" si="2"/>
        <v>25752</v>
      </c>
      <c r="C2422" s="8" t="s">
        <v>6989</v>
      </c>
      <c r="D2422" s="8" t="s">
        <v>10055</v>
      </c>
      <c r="E2422" s="8"/>
    </row>
    <row r="2423" spans="1:5" x14ac:dyDescent="0.25">
      <c r="A2423" s="5" t="s">
        <v>6990</v>
      </c>
      <c r="B2423" s="9" t="str">
        <f t="shared" si="2"/>
        <v>25752</v>
      </c>
      <c r="C2423" s="8" t="s">
        <v>6991</v>
      </c>
      <c r="D2423" s="8" t="s">
        <v>10055</v>
      </c>
      <c r="E2423" s="8"/>
    </row>
    <row r="2424" spans="1:5" x14ac:dyDescent="0.25">
      <c r="A2424" s="5" t="s">
        <v>6992</v>
      </c>
      <c r="B2424" s="9" t="str">
        <f t="shared" si="2"/>
        <v>25752</v>
      </c>
      <c r="C2424" s="8" t="s">
        <v>6993</v>
      </c>
      <c r="D2424" s="8" t="s">
        <v>10055</v>
      </c>
      <c r="E2424" s="8"/>
    </row>
    <row r="2425" spans="1:5" x14ac:dyDescent="0.25">
      <c r="A2425" s="5" t="s">
        <v>6994</v>
      </c>
      <c r="B2425" s="9" t="str">
        <f t="shared" si="2"/>
        <v>25752</v>
      </c>
      <c r="C2425" s="8" t="s">
        <v>6995</v>
      </c>
      <c r="D2425" s="8" t="s">
        <v>10055</v>
      </c>
      <c r="E2425" s="8"/>
    </row>
    <row r="2426" spans="1:5" x14ac:dyDescent="0.25">
      <c r="A2426" s="5" t="s">
        <v>6996</v>
      </c>
      <c r="B2426" s="9" t="str">
        <f t="shared" si="2"/>
        <v>25752</v>
      </c>
      <c r="C2426" s="8" t="s">
        <v>6997</v>
      </c>
      <c r="D2426" s="8" t="s">
        <v>10055</v>
      </c>
      <c r="E2426" s="8"/>
    </row>
    <row r="2427" spans="1:5" x14ac:dyDescent="0.25">
      <c r="A2427" s="5" t="s">
        <v>6998</v>
      </c>
      <c r="B2427" s="9" t="str">
        <f t="shared" si="2"/>
        <v>25752</v>
      </c>
      <c r="C2427" s="8" t="s">
        <v>6999</v>
      </c>
      <c r="D2427" s="8" t="s">
        <v>10055</v>
      </c>
      <c r="E2427" s="8"/>
    </row>
    <row r="2428" spans="1:5" x14ac:dyDescent="0.25">
      <c r="A2428" s="5" t="s">
        <v>7000</v>
      </c>
      <c r="B2428" s="9" t="str">
        <f t="shared" si="2"/>
        <v>25752</v>
      </c>
      <c r="C2428" s="8" t="s">
        <v>7001</v>
      </c>
      <c r="D2428" s="8" t="s">
        <v>10055</v>
      </c>
      <c r="E2428" s="8"/>
    </row>
    <row r="2429" spans="1:5" x14ac:dyDescent="0.25">
      <c r="A2429" s="5" t="s">
        <v>7002</v>
      </c>
      <c r="B2429" s="9" t="str">
        <f t="shared" si="2"/>
        <v>25752</v>
      </c>
      <c r="C2429" s="8" t="s">
        <v>7003</v>
      </c>
      <c r="D2429" s="8" t="s">
        <v>10055</v>
      </c>
      <c r="E2429" s="8"/>
    </row>
    <row r="2430" spans="1:5" x14ac:dyDescent="0.25">
      <c r="A2430" s="5" t="s">
        <v>7004</v>
      </c>
      <c r="B2430" s="9" t="str">
        <f t="shared" si="2"/>
        <v>25752</v>
      </c>
      <c r="C2430" s="8" t="s">
        <v>7005</v>
      </c>
      <c r="D2430" s="8" t="s">
        <v>10055</v>
      </c>
      <c r="E2430" s="8"/>
    </row>
    <row r="2431" spans="1:5" x14ac:dyDescent="0.25">
      <c r="A2431" s="5" t="s">
        <v>7006</v>
      </c>
      <c r="B2431" s="9" t="str">
        <f t="shared" ref="B2431:B2685" si="3">HYPERLINK("http://biobank.ctsu.ox.ac.uk/crystal/field.cgi?id=25753", "25753")</f>
        <v>25753</v>
      </c>
      <c r="C2431" s="8" t="s">
        <v>7008</v>
      </c>
      <c r="D2431" s="8" t="s">
        <v>10055</v>
      </c>
      <c r="E2431" s="8"/>
    </row>
    <row r="2432" spans="1:5" x14ac:dyDescent="0.25">
      <c r="A2432" s="5" t="s">
        <v>7009</v>
      </c>
      <c r="B2432" s="9" t="str">
        <f t="shared" si="3"/>
        <v>25753</v>
      </c>
      <c r="C2432" s="8" t="s">
        <v>7010</v>
      </c>
      <c r="D2432" s="8" t="s">
        <v>10055</v>
      </c>
      <c r="E2432" s="8"/>
    </row>
    <row r="2433" spans="1:5" x14ac:dyDescent="0.25">
      <c r="A2433" s="5" t="s">
        <v>7011</v>
      </c>
      <c r="B2433" s="9" t="str">
        <f t="shared" si="3"/>
        <v>25753</v>
      </c>
      <c r="C2433" s="8" t="s">
        <v>7012</v>
      </c>
      <c r="D2433" s="8" t="s">
        <v>10055</v>
      </c>
      <c r="E2433" s="8"/>
    </row>
    <row r="2434" spans="1:5" x14ac:dyDescent="0.25">
      <c r="A2434" s="5" t="s">
        <v>7013</v>
      </c>
      <c r="B2434" s="9" t="str">
        <f t="shared" si="3"/>
        <v>25753</v>
      </c>
      <c r="C2434" s="8" t="s">
        <v>7014</v>
      </c>
      <c r="D2434" s="8" t="s">
        <v>10055</v>
      </c>
      <c r="E2434" s="8"/>
    </row>
    <row r="2435" spans="1:5" x14ac:dyDescent="0.25">
      <c r="A2435" s="5" t="s">
        <v>7015</v>
      </c>
      <c r="B2435" s="9" t="str">
        <f t="shared" si="3"/>
        <v>25753</v>
      </c>
      <c r="C2435" s="8" t="s">
        <v>7016</v>
      </c>
      <c r="D2435" s="8" t="s">
        <v>10055</v>
      </c>
      <c r="E2435" s="8"/>
    </row>
    <row r="2436" spans="1:5" x14ac:dyDescent="0.25">
      <c r="A2436" s="5" t="s">
        <v>7017</v>
      </c>
      <c r="B2436" s="9" t="str">
        <f t="shared" si="3"/>
        <v>25753</v>
      </c>
      <c r="C2436" s="8" t="s">
        <v>7018</v>
      </c>
      <c r="D2436" s="8" t="s">
        <v>10055</v>
      </c>
      <c r="E2436" s="8"/>
    </row>
    <row r="2437" spans="1:5" x14ac:dyDescent="0.25">
      <c r="A2437" s="5" t="s">
        <v>7019</v>
      </c>
      <c r="B2437" s="9" t="str">
        <f t="shared" si="3"/>
        <v>25753</v>
      </c>
      <c r="C2437" s="8" t="s">
        <v>7020</v>
      </c>
      <c r="D2437" s="8" t="s">
        <v>10055</v>
      </c>
      <c r="E2437" s="8"/>
    </row>
    <row r="2438" spans="1:5" x14ac:dyDescent="0.25">
      <c r="A2438" s="5" t="s">
        <v>7021</v>
      </c>
      <c r="B2438" s="9" t="str">
        <f t="shared" si="3"/>
        <v>25753</v>
      </c>
      <c r="C2438" s="8" t="s">
        <v>7022</v>
      </c>
      <c r="D2438" s="8" t="s">
        <v>10055</v>
      </c>
      <c r="E2438" s="8"/>
    </row>
    <row r="2439" spans="1:5" x14ac:dyDescent="0.25">
      <c r="A2439" s="5" t="s">
        <v>7023</v>
      </c>
      <c r="B2439" s="9" t="str">
        <f t="shared" si="3"/>
        <v>25753</v>
      </c>
      <c r="C2439" s="8" t="s">
        <v>7024</v>
      </c>
      <c r="D2439" s="8" t="s">
        <v>10055</v>
      </c>
      <c r="E2439" s="8"/>
    </row>
    <row r="2440" spans="1:5" x14ac:dyDescent="0.25">
      <c r="A2440" s="5" t="s">
        <v>7025</v>
      </c>
      <c r="B2440" s="9" t="str">
        <f t="shared" si="3"/>
        <v>25753</v>
      </c>
      <c r="C2440" s="8" t="s">
        <v>7026</v>
      </c>
      <c r="D2440" s="8" t="s">
        <v>10055</v>
      </c>
      <c r="E2440" s="8"/>
    </row>
    <row r="2441" spans="1:5" x14ac:dyDescent="0.25">
      <c r="A2441" s="5" t="s">
        <v>7027</v>
      </c>
      <c r="B2441" s="9" t="str">
        <f t="shared" si="3"/>
        <v>25753</v>
      </c>
      <c r="C2441" s="8" t="s">
        <v>7028</v>
      </c>
      <c r="D2441" s="8" t="s">
        <v>10055</v>
      </c>
      <c r="E2441" s="8"/>
    </row>
    <row r="2442" spans="1:5" x14ac:dyDescent="0.25">
      <c r="A2442" s="5" t="s">
        <v>7029</v>
      </c>
      <c r="B2442" s="9" t="str">
        <f t="shared" si="3"/>
        <v>25753</v>
      </c>
      <c r="C2442" s="8" t="s">
        <v>7030</v>
      </c>
      <c r="D2442" s="8" t="s">
        <v>10055</v>
      </c>
      <c r="E2442" s="8"/>
    </row>
    <row r="2443" spans="1:5" x14ac:dyDescent="0.25">
      <c r="A2443" s="5" t="s">
        <v>7031</v>
      </c>
      <c r="B2443" s="9" t="str">
        <f t="shared" si="3"/>
        <v>25753</v>
      </c>
      <c r="C2443" s="8" t="s">
        <v>7032</v>
      </c>
      <c r="D2443" s="8" t="s">
        <v>10055</v>
      </c>
      <c r="E2443" s="8"/>
    </row>
    <row r="2444" spans="1:5" x14ac:dyDescent="0.25">
      <c r="A2444" s="5" t="s">
        <v>7033</v>
      </c>
      <c r="B2444" s="9" t="str">
        <f t="shared" si="3"/>
        <v>25753</v>
      </c>
      <c r="C2444" s="8" t="s">
        <v>7034</v>
      </c>
      <c r="D2444" s="8" t="s">
        <v>10055</v>
      </c>
      <c r="E2444" s="8"/>
    </row>
    <row r="2445" spans="1:5" x14ac:dyDescent="0.25">
      <c r="A2445" s="5" t="s">
        <v>7035</v>
      </c>
      <c r="B2445" s="9" t="str">
        <f t="shared" si="3"/>
        <v>25753</v>
      </c>
      <c r="C2445" s="8" t="s">
        <v>7036</v>
      </c>
      <c r="D2445" s="8" t="s">
        <v>10055</v>
      </c>
      <c r="E2445" s="8"/>
    </row>
    <row r="2446" spans="1:5" x14ac:dyDescent="0.25">
      <c r="A2446" s="5" t="s">
        <v>7037</v>
      </c>
      <c r="B2446" s="9" t="str">
        <f t="shared" si="3"/>
        <v>25753</v>
      </c>
      <c r="C2446" s="8" t="s">
        <v>7038</v>
      </c>
      <c r="D2446" s="8" t="s">
        <v>10055</v>
      </c>
      <c r="E2446" s="8"/>
    </row>
    <row r="2447" spans="1:5" x14ac:dyDescent="0.25">
      <c r="A2447" s="5" t="s">
        <v>7039</v>
      </c>
      <c r="B2447" s="9" t="str">
        <f t="shared" si="3"/>
        <v>25753</v>
      </c>
      <c r="C2447" s="8" t="s">
        <v>7040</v>
      </c>
      <c r="D2447" s="8" t="s">
        <v>10055</v>
      </c>
      <c r="E2447" s="8"/>
    </row>
    <row r="2448" spans="1:5" x14ac:dyDescent="0.25">
      <c r="A2448" s="5" t="s">
        <v>7041</v>
      </c>
      <c r="B2448" s="9" t="str">
        <f t="shared" si="3"/>
        <v>25753</v>
      </c>
      <c r="C2448" s="8" t="s">
        <v>7042</v>
      </c>
      <c r="D2448" s="8" t="s">
        <v>10055</v>
      </c>
      <c r="E2448" s="8"/>
    </row>
    <row r="2449" spans="1:5" x14ac:dyDescent="0.25">
      <c r="A2449" s="5" t="s">
        <v>7043</v>
      </c>
      <c r="B2449" s="9" t="str">
        <f t="shared" si="3"/>
        <v>25753</v>
      </c>
      <c r="C2449" s="8" t="s">
        <v>7044</v>
      </c>
      <c r="D2449" s="8" t="s">
        <v>10055</v>
      </c>
      <c r="E2449" s="8"/>
    </row>
    <row r="2450" spans="1:5" x14ac:dyDescent="0.25">
      <c r="A2450" s="5" t="s">
        <v>7045</v>
      </c>
      <c r="B2450" s="9" t="str">
        <f t="shared" si="3"/>
        <v>25753</v>
      </c>
      <c r="C2450" s="8" t="s">
        <v>7046</v>
      </c>
      <c r="D2450" s="8" t="s">
        <v>10055</v>
      </c>
      <c r="E2450" s="8"/>
    </row>
    <row r="2451" spans="1:5" x14ac:dyDescent="0.25">
      <c r="A2451" s="5" t="s">
        <v>7047</v>
      </c>
      <c r="B2451" s="9" t="str">
        <f t="shared" si="3"/>
        <v>25753</v>
      </c>
      <c r="C2451" s="8" t="s">
        <v>7048</v>
      </c>
      <c r="D2451" s="8" t="s">
        <v>10055</v>
      </c>
      <c r="E2451" s="8"/>
    </row>
    <row r="2452" spans="1:5" x14ac:dyDescent="0.25">
      <c r="A2452" s="5" t="s">
        <v>7049</v>
      </c>
      <c r="B2452" s="9" t="str">
        <f t="shared" si="3"/>
        <v>25753</v>
      </c>
      <c r="C2452" s="8" t="s">
        <v>7050</v>
      </c>
      <c r="D2452" s="8" t="s">
        <v>10055</v>
      </c>
      <c r="E2452" s="8"/>
    </row>
    <row r="2453" spans="1:5" x14ac:dyDescent="0.25">
      <c r="A2453" s="5" t="s">
        <v>7051</v>
      </c>
      <c r="B2453" s="9" t="str">
        <f t="shared" si="3"/>
        <v>25753</v>
      </c>
      <c r="C2453" s="8" t="s">
        <v>7052</v>
      </c>
      <c r="D2453" s="8" t="s">
        <v>10055</v>
      </c>
      <c r="E2453" s="8"/>
    </row>
    <row r="2454" spans="1:5" x14ac:dyDescent="0.25">
      <c r="A2454" s="5" t="s">
        <v>7053</v>
      </c>
      <c r="B2454" s="9" t="str">
        <f t="shared" si="3"/>
        <v>25753</v>
      </c>
      <c r="C2454" s="8" t="s">
        <v>7054</v>
      </c>
      <c r="D2454" s="8" t="s">
        <v>10055</v>
      </c>
      <c r="E2454" s="8"/>
    </row>
    <row r="2455" spans="1:5" x14ac:dyDescent="0.25">
      <c r="A2455" s="5" t="s">
        <v>7055</v>
      </c>
      <c r="B2455" s="9" t="str">
        <f t="shared" si="3"/>
        <v>25753</v>
      </c>
      <c r="C2455" s="8" t="s">
        <v>7056</v>
      </c>
      <c r="D2455" s="8" t="s">
        <v>10055</v>
      </c>
      <c r="E2455" s="8"/>
    </row>
    <row r="2456" spans="1:5" x14ac:dyDescent="0.25">
      <c r="A2456" s="5" t="s">
        <v>7057</v>
      </c>
      <c r="B2456" s="9" t="str">
        <f t="shared" si="3"/>
        <v>25753</v>
      </c>
      <c r="C2456" s="8" t="s">
        <v>7058</v>
      </c>
      <c r="D2456" s="8" t="s">
        <v>10055</v>
      </c>
      <c r="E2456" s="8"/>
    </row>
    <row r="2457" spans="1:5" x14ac:dyDescent="0.25">
      <c r="A2457" s="5" t="s">
        <v>7059</v>
      </c>
      <c r="B2457" s="9" t="str">
        <f t="shared" si="3"/>
        <v>25753</v>
      </c>
      <c r="C2457" s="8" t="s">
        <v>7060</v>
      </c>
      <c r="D2457" s="8" t="s">
        <v>10055</v>
      </c>
      <c r="E2457" s="8"/>
    </row>
    <row r="2458" spans="1:5" x14ac:dyDescent="0.25">
      <c r="A2458" s="5" t="s">
        <v>7061</v>
      </c>
      <c r="B2458" s="9" t="str">
        <f t="shared" si="3"/>
        <v>25753</v>
      </c>
      <c r="C2458" s="8" t="s">
        <v>7062</v>
      </c>
      <c r="D2458" s="8" t="s">
        <v>10055</v>
      </c>
      <c r="E2458" s="8"/>
    </row>
    <row r="2459" spans="1:5" x14ac:dyDescent="0.25">
      <c r="A2459" s="5" t="s">
        <v>7063</v>
      </c>
      <c r="B2459" s="9" t="str">
        <f t="shared" si="3"/>
        <v>25753</v>
      </c>
      <c r="C2459" s="8" t="s">
        <v>7064</v>
      </c>
      <c r="D2459" s="8" t="s">
        <v>10055</v>
      </c>
      <c r="E2459" s="8"/>
    </row>
    <row r="2460" spans="1:5" x14ac:dyDescent="0.25">
      <c r="A2460" s="5" t="s">
        <v>7065</v>
      </c>
      <c r="B2460" s="9" t="str">
        <f t="shared" si="3"/>
        <v>25753</v>
      </c>
      <c r="C2460" s="8" t="s">
        <v>7066</v>
      </c>
      <c r="D2460" s="8" t="s">
        <v>10055</v>
      </c>
      <c r="E2460" s="8"/>
    </row>
    <row r="2461" spans="1:5" x14ac:dyDescent="0.25">
      <c r="A2461" s="5" t="s">
        <v>7067</v>
      </c>
      <c r="B2461" s="9" t="str">
        <f t="shared" si="3"/>
        <v>25753</v>
      </c>
      <c r="C2461" s="8" t="s">
        <v>7068</v>
      </c>
      <c r="D2461" s="8" t="s">
        <v>10055</v>
      </c>
      <c r="E2461" s="8"/>
    </row>
    <row r="2462" spans="1:5" x14ac:dyDescent="0.25">
      <c r="A2462" s="5" t="s">
        <v>7069</v>
      </c>
      <c r="B2462" s="9" t="str">
        <f t="shared" si="3"/>
        <v>25753</v>
      </c>
      <c r="C2462" s="8" t="s">
        <v>7070</v>
      </c>
      <c r="D2462" s="8" t="s">
        <v>10055</v>
      </c>
      <c r="E2462" s="8"/>
    </row>
    <row r="2463" spans="1:5" x14ac:dyDescent="0.25">
      <c r="A2463" s="5" t="s">
        <v>7071</v>
      </c>
      <c r="B2463" s="9" t="str">
        <f t="shared" si="3"/>
        <v>25753</v>
      </c>
      <c r="C2463" s="8" t="s">
        <v>7072</v>
      </c>
      <c r="D2463" s="8" t="s">
        <v>10055</v>
      </c>
      <c r="E2463" s="8"/>
    </row>
    <row r="2464" spans="1:5" x14ac:dyDescent="0.25">
      <c r="A2464" s="5" t="s">
        <v>7073</v>
      </c>
      <c r="B2464" s="9" t="str">
        <f t="shared" si="3"/>
        <v>25753</v>
      </c>
      <c r="C2464" s="8" t="s">
        <v>7074</v>
      </c>
      <c r="D2464" s="8" t="s">
        <v>10055</v>
      </c>
      <c r="E2464" s="8"/>
    </row>
    <row r="2465" spans="1:5" x14ac:dyDescent="0.25">
      <c r="A2465" s="5" t="s">
        <v>7075</v>
      </c>
      <c r="B2465" s="9" t="str">
        <f t="shared" si="3"/>
        <v>25753</v>
      </c>
      <c r="C2465" s="8" t="s">
        <v>7076</v>
      </c>
      <c r="D2465" s="8" t="s">
        <v>10055</v>
      </c>
      <c r="E2465" s="8"/>
    </row>
    <row r="2466" spans="1:5" x14ac:dyDescent="0.25">
      <c r="A2466" s="5" t="s">
        <v>7077</v>
      </c>
      <c r="B2466" s="9" t="str">
        <f t="shared" si="3"/>
        <v>25753</v>
      </c>
      <c r="C2466" s="8" t="s">
        <v>7078</v>
      </c>
      <c r="D2466" s="8" t="s">
        <v>10055</v>
      </c>
      <c r="E2466" s="8"/>
    </row>
    <row r="2467" spans="1:5" x14ac:dyDescent="0.25">
      <c r="A2467" s="5" t="s">
        <v>7079</v>
      </c>
      <c r="B2467" s="9" t="str">
        <f t="shared" si="3"/>
        <v>25753</v>
      </c>
      <c r="C2467" s="8" t="s">
        <v>7080</v>
      </c>
      <c r="D2467" s="8" t="s">
        <v>10055</v>
      </c>
      <c r="E2467" s="8"/>
    </row>
    <row r="2468" spans="1:5" x14ac:dyDescent="0.25">
      <c r="A2468" s="5" t="s">
        <v>7081</v>
      </c>
      <c r="B2468" s="9" t="str">
        <f t="shared" si="3"/>
        <v>25753</v>
      </c>
      <c r="C2468" s="8" t="s">
        <v>7082</v>
      </c>
      <c r="D2468" s="8" t="s">
        <v>10055</v>
      </c>
      <c r="E2468" s="8"/>
    </row>
    <row r="2469" spans="1:5" x14ac:dyDescent="0.25">
      <c r="A2469" s="5" t="s">
        <v>7083</v>
      </c>
      <c r="B2469" s="9" t="str">
        <f t="shared" si="3"/>
        <v>25753</v>
      </c>
      <c r="C2469" s="8" t="s">
        <v>7084</v>
      </c>
      <c r="D2469" s="8" t="s">
        <v>10055</v>
      </c>
      <c r="E2469" s="8"/>
    </row>
    <row r="2470" spans="1:5" x14ac:dyDescent="0.25">
      <c r="A2470" s="5" t="s">
        <v>7085</v>
      </c>
      <c r="B2470" s="9" t="str">
        <f t="shared" si="3"/>
        <v>25753</v>
      </c>
      <c r="C2470" s="8" t="s">
        <v>7086</v>
      </c>
      <c r="D2470" s="8" t="s">
        <v>10055</v>
      </c>
      <c r="E2470" s="8"/>
    </row>
    <row r="2471" spans="1:5" x14ac:dyDescent="0.25">
      <c r="A2471" s="5" t="s">
        <v>7087</v>
      </c>
      <c r="B2471" s="9" t="str">
        <f t="shared" si="3"/>
        <v>25753</v>
      </c>
      <c r="C2471" s="8" t="s">
        <v>7088</v>
      </c>
      <c r="D2471" s="8" t="s">
        <v>10055</v>
      </c>
      <c r="E2471" s="8"/>
    </row>
    <row r="2472" spans="1:5" x14ac:dyDescent="0.25">
      <c r="A2472" s="5" t="s">
        <v>7089</v>
      </c>
      <c r="B2472" s="9" t="str">
        <f t="shared" si="3"/>
        <v>25753</v>
      </c>
      <c r="C2472" s="8" t="s">
        <v>7090</v>
      </c>
      <c r="D2472" s="8" t="s">
        <v>10055</v>
      </c>
      <c r="E2472" s="8"/>
    </row>
    <row r="2473" spans="1:5" x14ac:dyDescent="0.25">
      <c r="A2473" s="5" t="s">
        <v>7091</v>
      </c>
      <c r="B2473" s="9" t="str">
        <f t="shared" si="3"/>
        <v>25753</v>
      </c>
      <c r="C2473" s="8" t="s">
        <v>7092</v>
      </c>
      <c r="D2473" s="8" t="s">
        <v>10055</v>
      </c>
      <c r="E2473" s="8"/>
    </row>
    <row r="2474" spans="1:5" x14ac:dyDescent="0.25">
      <c r="A2474" s="5" t="s">
        <v>7093</v>
      </c>
      <c r="B2474" s="9" t="str">
        <f t="shared" si="3"/>
        <v>25753</v>
      </c>
      <c r="C2474" s="8" t="s">
        <v>7094</v>
      </c>
      <c r="D2474" s="8" t="s">
        <v>10055</v>
      </c>
      <c r="E2474" s="8"/>
    </row>
    <row r="2475" spans="1:5" x14ac:dyDescent="0.25">
      <c r="A2475" s="5" t="s">
        <v>7095</v>
      </c>
      <c r="B2475" s="9" t="str">
        <f t="shared" si="3"/>
        <v>25753</v>
      </c>
      <c r="C2475" s="8" t="s">
        <v>7096</v>
      </c>
      <c r="D2475" s="8" t="s">
        <v>10055</v>
      </c>
      <c r="E2475" s="8"/>
    </row>
    <row r="2476" spans="1:5" x14ac:dyDescent="0.25">
      <c r="A2476" s="5" t="s">
        <v>7097</v>
      </c>
      <c r="B2476" s="9" t="str">
        <f t="shared" si="3"/>
        <v>25753</v>
      </c>
      <c r="C2476" s="8" t="s">
        <v>7098</v>
      </c>
      <c r="D2476" s="8" t="s">
        <v>10055</v>
      </c>
      <c r="E2476" s="8"/>
    </row>
    <row r="2477" spans="1:5" x14ac:dyDescent="0.25">
      <c r="A2477" s="5" t="s">
        <v>7099</v>
      </c>
      <c r="B2477" s="9" t="str">
        <f t="shared" si="3"/>
        <v>25753</v>
      </c>
      <c r="C2477" s="8" t="s">
        <v>7100</v>
      </c>
      <c r="D2477" s="8" t="s">
        <v>10055</v>
      </c>
      <c r="E2477" s="8"/>
    </row>
    <row r="2478" spans="1:5" x14ac:dyDescent="0.25">
      <c r="A2478" s="5" t="s">
        <v>7101</v>
      </c>
      <c r="B2478" s="9" t="str">
        <f t="shared" si="3"/>
        <v>25753</v>
      </c>
      <c r="C2478" s="8" t="s">
        <v>7102</v>
      </c>
      <c r="D2478" s="8" t="s">
        <v>10055</v>
      </c>
      <c r="E2478" s="8"/>
    </row>
    <row r="2479" spans="1:5" x14ac:dyDescent="0.25">
      <c r="A2479" s="5" t="s">
        <v>7103</v>
      </c>
      <c r="B2479" s="9" t="str">
        <f t="shared" si="3"/>
        <v>25753</v>
      </c>
      <c r="C2479" s="8" t="s">
        <v>7104</v>
      </c>
      <c r="D2479" s="8" t="s">
        <v>10055</v>
      </c>
      <c r="E2479" s="8"/>
    </row>
    <row r="2480" spans="1:5" x14ac:dyDescent="0.25">
      <c r="A2480" s="5" t="s">
        <v>7105</v>
      </c>
      <c r="B2480" s="9" t="str">
        <f t="shared" si="3"/>
        <v>25753</v>
      </c>
      <c r="C2480" s="8" t="s">
        <v>7106</v>
      </c>
      <c r="D2480" s="8" t="s">
        <v>10055</v>
      </c>
      <c r="E2480" s="8"/>
    </row>
    <row r="2481" spans="1:5" x14ac:dyDescent="0.25">
      <c r="A2481" s="5" t="s">
        <v>7107</v>
      </c>
      <c r="B2481" s="9" t="str">
        <f t="shared" si="3"/>
        <v>25753</v>
      </c>
      <c r="C2481" s="8" t="s">
        <v>7108</v>
      </c>
      <c r="D2481" s="8" t="s">
        <v>10055</v>
      </c>
      <c r="E2481" s="8"/>
    </row>
    <row r="2482" spans="1:5" x14ac:dyDescent="0.25">
      <c r="A2482" s="5" t="s">
        <v>7109</v>
      </c>
      <c r="B2482" s="9" t="str">
        <f t="shared" si="3"/>
        <v>25753</v>
      </c>
      <c r="C2482" s="8" t="s">
        <v>7110</v>
      </c>
      <c r="D2482" s="8" t="s">
        <v>10055</v>
      </c>
      <c r="E2482" s="8"/>
    </row>
    <row r="2483" spans="1:5" x14ac:dyDescent="0.25">
      <c r="A2483" s="5" t="s">
        <v>7111</v>
      </c>
      <c r="B2483" s="9" t="str">
        <f t="shared" si="3"/>
        <v>25753</v>
      </c>
      <c r="C2483" s="8" t="s">
        <v>7112</v>
      </c>
      <c r="D2483" s="8" t="s">
        <v>10055</v>
      </c>
      <c r="E2483" s="8"/>
    </row>
    <row r="2484" spans="1:5" x14ac:dyDescent="0.25">
      <c r="A2484" s="5" t="s">
        <v>7113</v>
      </c>
      <c r="B2484" s="9" t="str">
        <f t="shared" si="3"/>
        <v>25753</v>
      </c>
      <c r="C2484" s="8" t="s">
        <v>7114</v>
      </c>
      <c r="D2484" s="8" t="s">
        <v>10055</v>
      </c>
      <c r="E2484" s="8"/>
    </row>
    <row r="2485" spans="1:5" x14ac:dyDescent="0.25">
      <c r="A2485" s="5" t="s">
        <v>7115</v>
      </c>
      <c r="B2485" s="9" t="str">
        <f t="shared" si="3"/>
        <v>25753</v>
      </c>
      <c r="C2485" s="8" t="s">
        <v>7116</v>
      </c>
      <c r="D2485" s="8" t="s">
        <v>10055</v>
      </c>
      <c r="E2485" s="8"/>
    </row>
    <row r="2486" spans="1:5" x14ac:dyDescent="0.25">
      <c r="A2486" s="5" t="s">
        <v>7117</v>
      </c>
      <c r="B2486" s="9" t="str">
        <f t="shared" si="3"/>
        <v>25753</v>
      </c>
      <c r="C2486" s="8" t="s">
        <v>7118</v>
      </c>
      <c r="D2486" s="8" t="s">
        <v>10055</v>
      </c>
      <c r="E2486" s="8"/>
    </row>
    <row r="2487" spans="1:5" x14ac:dyDescent="0.25">
      <c r="A2487" s="5" t="s">
        <v>7119</v>
      </c>
      <c r="B2487" s="9" t="str">
        <f t="shared" si="3"/>
        <v>25753</v>
      </c>
      <c r="C2487" s="8" t="s">
        <v>7120</v>
      </c>
      <c r="D2487" s="8" t="s">
        <v>10055</v>
      </c>
      <c r="E2487" s="8"/>
    </row>
    <row r="2488" spans="1:5" x14ac:dyDescent="0.25">
      <c r="A2488" s="5" t="s">
        <v>7121</v>
      </c>
      <c r="B2488" s="9" t="str">
        <f t="shared" si="3"/>
        <v>25753</v>
      </c>
      <c r="C2488" s="8" t="s">
        <v>7122</v>
      </c>
      <c r="D2488" s="8" t="s">
        <v>10055</v>
      </c>
      <c r="E2488" s="8"/>
    </row>
    <row r="2489" spans="1:5" x14ac:dyDescent="0.25">
      <c r="A2489" s="5" t="s">
        <v>7123</v>
      </c>
      <c r="B2489" s="9" t="str">
        <f t="shared" si="3"/>
        <v>25753</v>
      </c>
      <c r="C2489" s="8" t="s">
        <v>7124</v>
      </c>
      <c r="D2489" s="8" t="s">
        <v>10055</v>
      </c>
      <c r="E2489" s="8"/>
    </row>
    <row r="2490" spans="1:5" x14ac:dyDescent="0.25">
      <c r="A2490" s="5" t="s">
        <v>7125</v>
      </c>
      <c r="B2490" s="9" t="str">
        <f t="shared" si="3"/>
        <v>25753</v>
      </c>
      <c r="C2490" s="8" t="s">
        <v>7126</v>
      </c>
      <c r="D2490" s="8" t="s">
        <v>10055</v>
      </c>
      <c r="E2490" s="8"/>
    </row>
    <row r="2491" spans="1:5" x14ac:dyDescent="0.25">
      <c r="A2491" s="5" t="s">
        <v>7127</v>
      </c>
      <c r="B2491" s="9" t="str">
        <f t="shared" si="3"/>
        <v>25753</v>
      </c>
      <c r="C2491" s="8" t="s">
        <v>7128</v>
      </c>
      <c r="D2491" s="8" t="s">
        <v>10055</v>
      </c>
      <c r="E2491" s="8"/>
    </row>
    <row r="2492" spans="1:5" x14ac:dyDescent="0.25">
      <c r="A2492" s="5" t="s">
        <v>7129</v>
      </c>
      <c r="B2492" s="9" t="str">
        <f t="shared" si="3"/>
        <v>25753</v>
      </c>
      <c r="C2492" s="8" t="s">
        <v>7130</v>
      </c>
      <c r="D2492" s="8" t="s">
        <v>10055</v>
      </c>
      <c r="E2492" s="8"/>
    </row>
    <row r="2493" spans="1:5" x14ac:dyDescent="0.25">
      <c r="A2493" s="5" t="s">
        <v>7131</v>
      </c>
      <c r="B2493" s="9" t="str">
        <f t="shared" si="3"/>
        <v>25753</v>
      </c>
      <c r="C2493" s="8" t="s">
        <v>7132</v>
      </c>
      <c r="D2493" s="8" t="s">
        <v>10055</v>
      </c>
      <c r="E2493" s="8"/>
    </row>
    <row r="2494" spans="1:5" x14ac:dyDescent="0.25">
      <c r="A2494" s="5" t="s">
        <v>7133</v>
      </c>
      <c r="B2494" s="9" t="str">
        <f t="shared" si="3"/>
        <v>25753</v>
      </c>
      <c r="C2494" s="8" t="s">
        <v>7134</v>
      </c>
      <c r="D2494" s="8" t="s">
        <v>10055</v>
      </c>
      <c r="E2494" s="8"/>
    </row>
    <row r="2495" spans="1:5" x14ac:dyDescent="0.25">
      <c r="A2495" s="5" t="s">
        <v>7135</v>
      </c>
      <c r="B2495" s="9" t="str">
        <f t="shared" si="3"/>
        <v>25753</v>
      </c>
      <c r="C2495" s="8" t="s">
        <v>7136</v>
      </c>
      <c r="D2495" s="8" t="s">
        <v>10055</v>
      </c>
      <c r="E2495" s="8"/>
    </row>
    <row r="2496" spans="1:5" x14ac:dyDescent="0.25">
      <c r="A2496" s="5" t="s">
        <v>7137</v>
      </c>
      <c r="B2496" s="9" t="str">
        <f t="shared" si="3"/>
        <v>25753</v>
      </c>
      <c r="C2496" s="8" t="s">
        <v>7138</v>
      </c>
      <c r="D2496" s="8" t="s">
        <v>10055</v>
      </c>
      <c r="E2496" s="8"/>
    </row>
    <row r="2497" spans="1:5" x14ac:dyDescent="0.25">
      <c r="A2497" s="5" t="s">
        <v>7139</v>
      </c>
      <c r="B2497" s="9" t="str">
        <f t="shared" si="3"/>
        <v>25753</v>
      </c>
      <c r="C2497" s="8" t="s">
        <v>7140</v>
      </c>
      <c r="D2497" s="8" t="s">
        <v>10055</v>
      </c>
      <c r="E2497" s="8"/>
    </row>
    <row r="2498" spans="1:5" x14ac:dyDescent="0.25">
      <c r="A2498" s="5" t="s">
        <v>7141</v>
      </c>
      <c r="B2498" s="9" t="str">
        <f t="shared" si="3"/>
        <v>25753</v>
      </c>
      <c r="C2498" s="8" t="s">
        <v>7142</v>
      </c>
      <c r="D2498" s="8" t="s">
        <v>10055</v>
      </c>
      <c r="E2498" s="8"/>
    </row>
    <row r="2499" spans="1:5" x14ac:dyDescent="0.25">
      <c r="A2499" s="5" t="s">
        <v>7143</v>
      </c>
      <c r="B2499" s="9" t="str">
        <f t="shared" si="3"/>
        <v>25753</v>
      </c>
      <c r="C2499" s="8" t="s">
        <v>7144</v>
      </c>
      <c r="D2499" s="8" t="s">
        <v>10055</v>
      </c>
      <c r="E2499" s="8"/>
    </row>
    <row r="2500" spans="1:5" x14ac:dyDescent="0.25">
      <c r="A2500" s="5" t="s">
        <v>7145</v>
      </c>
      <c r="B2500" s="9" t="str">
        <f t="shared" si="3"/>
        <v>25753</v>
      </c>
      <c r="C2500" s="8" t="s">
        <v>7146</v>
      </c>
      <c r="D2500" s="8" t="s">
        <v>10055</v>
      </c>
      <c r="E2500" s="8"/>
    </row>
    <row r="2501" spans="1:5" x14ac:dyDescent="0.25">
      <c r="A2501" s="5" t="s">
        <v>7147</v>
      </c>
      <c r="B2501" s="9" t="str">
        <f t="shared" si="3"/>
        <v>25753</v>
      </c>
      <c r="C2501" s="8" t="s">
        <v>7148</v>
      </c>
      <c r="D2501" s="8" t="s">
        <v>10055</v>
      </c>
      <c r="E2501" s="8"/>
    </row>
    <row r="2502" spans="1:5" x14ac:dyDescent="0.25">
      <c r="A2502" s="5" t="s">
        <v>7149</v>
      </c>
      <c r="B2502" s="9" t="str">
        <f t="shared" si="3"/>
        <v>25753</v>
      </c>
      <c r="C2502" s="8" t="s">
        <v>7150</v>
      </c>
      <c r="D2502" s="8" t="s">
        <v>10055</v>
      </c>
      <c r="E2502" s="8"/>
    </row>
    <row r="2503" spans="1:5" x14ac:dyDescent="0.25">
      <c r="A2503" s="5" t="s">
        <v>7151</v>
      </c>
      <c r="B2503" s="9" t="str">
        <f t="shared" si="3"/>
        <v>25753</v>
      </c>
      <c r="C2503" s="8" t="s">
        <v>7152</v>
      </c>
      <c r="D2503" s="8" t="s">
        <v>10055</v>
      </c>
      <c r="E2503" s="8"/>
    </row>
    <row r="2504" spans="1:5" x14ac:dyDescent="0.25">
      <c r="A2504" s="5" t="s">
        <v>7153</v>
      </c>
      <c r="B2504" s="9" t="str">
        <f t="shared" si="3"/>
        <v>25753</v>
      </c>
      <c r="C2504" s="8" t="s">
        <v>7154</v>
      </c>
      <c r="D2504" s="8" t="s">
        <v>10055</v>
      </c>
      <c r="E2504" s="8"/>
    </row>
    <row r="2505" spans="1:5" x14ac:dyDescent="0.25">
      <c r="A2505" s="5" t="s">
        <v>7155</v>
      </c>
      <c r="B2505" s="9" t="str">
        <f t="shared" si="3"/>
        <v>25753</v>
      </c>
      <c r="C2505" s="8" t="s">
        <v>7156</v>
      </c>
      <c r="D2505" s="8" t="s">
        <v>10055</v>
      </c>
      <c r="E2505" s="8"/>
    </row>
    <row r="2506" spans="1:5" x14ac:dyDescent="0.25">
      <c r="A2506" s="5" t="s">
        <v>7157</v>
      </c>
      <c r="B2506" s="9" t="str">
        <f t="shared" si="3"/>
        <v>25753</v>
      </c>
      <c r="C2506" s="8" t="s">
        <v>7158</v>
      </c>
      <c r="D2506" s="8" t="s">
        <v>10055</v>
      </c>
      <c r="E2506" s="8"/>
    </row>
    <row r="2507" spans="1:5" x14ac:dyDescent="0.25">
      <c r="A2507" s="5" t="s">
        <v>7159</v>
      </c>
      <c r="B2507" s="9" t="str">
        <f t="shared" si="3"/>
        <v>25753</v>
      </c>
      <c r="C2507" s="8" t="s">
        <v>7160</v>
      </c>
      <c r="D2507" s="8" t="s">
        <v>10055</v>
      </c>
      <c r="E2507" s="8"/>
    </row>
    <row r="2508" spans="1:5" x14ac:dyDescent="0.25">
      <c r="A2508" s="5" t="s">
        <v>7161</v>
      </c>
      <c r="B2508" s="9" t="str">
        <f t="shared" si="3"/>
        <v>25753</v>
      </c>
      <c r="C2508" s="8" t="s">
        <v>7162</v>
      </c>
      <c r="D2508" s="8" t="s">
        <v>10055</v>
      </c>
      <c r="E2508" s="8"/>
    </row>
    <row r="2509" spans="1:5" x14ac:dyDescent="0.25">
      <c r="A2509" s="5" t="s">
        <v>7163</v>
      </c>
      <c r="B2509" s="9" t="str">
        <f t="shared" si="3"/>
        <v>25753</v>
      </c>
      <c r="C2509" s="8" t="s">
        <v>7164</v>
      </c>
      <c r="D2509" s="8" t="s">
        <v>10055</v>
      </c>
      <c r="E2509" s="8"/>
    </row>
    <row r="2510" spans="1:5" x14ac:dyDescent="0.25">
      <c r="A2510" s="5" t="s">
        <v>7165</v>
      </c>
      <c r="B2510" s="9" t="str">
        <f t="shared" si="3"/>
        <v>25753</v>
      </c>
      <c r="C2510" s="8" t="s">
        <v>7166</v>
      </c>
      <c r="D2510" s="8" t="s">
        <v>10055</v>
      </c>
      <c r="E2510" s="8"/>
    </row>
    <row r="2511" spans="1:5" x14ac:dyDescent="0.25">
      <c r="A2511" s="5" t="s">
        <v>7167</v>
      </c>
      <c r="B2511" s="9" t="str">
        <f t="shared" si="3"/>
        <v>25753</v>
      </c>
      <c r="C2511" s="8" t="s">
        <v>7168</v>
      </c>
      <c r="D2511" s="8" t="s">
        <v>10055</v>
      </c>
      <c r="E2511" s="8"/>
    </row>
    <row r="2512" spans="1:5" x14ac:dyDescent="0.25">
      <c r="A2512" s="5" t="s">
        <v>7169</v>
      </c>
      <c r="B2512" s="9" t="str">
        <f t="shared" si="3"/>
        <v>25753</v>
      </c>
      <c r="C2512" s="8" t="s">
        <v>7170</v>
      </c>
      <c r="D2512" s="8" t="s">
        <v>10055</v>
      </c>
      <c r="E2512" s="8"/>
    </row>
    <row r="2513" spans="1:5" x14ac:dyDescent="0.25">
      <c r="A2513" s="5" t="s">
        <v>7171</v>
      </c>
      <c r="B2513" s="9" t="str">
        <f t="shared" si="3"/>
        <v>25753</v>
      </c>
      <c r="C2513" s="8" t="s">
        <v>7172</v>
      </c>
      <c r="D2513" s="8" t="s">
        <v>10055</v>
      </c>
      <c r="E2513" s="8"/>
    </row>
    <row r="2514" spans="1:5" x14ac:dyDescent="0.25">
      <c r="A2514" s="5" t="s">
        <v>7173</v>
      </c>
      <c r="B2514" s="9" t="str">
        <f t="shared" si="3"/>
        <v>25753</v>
      </c>
      <c r="C2514" s="8" t="s">
        <v>7174</v>
      </c>
      <c r="D2514" s="8" t="s">
        <v>10055</v>
      </c>
      <c r="E2514" s="8"/>
    </row>
    <row r="2515" spans="1:5" x14ac:dyDescent="0.25">
      <c r="A2515" s="5" t="s">
        <v>7175</v>
      </c>
      <c r="B2515" s="9" t="str">
        <f t="shared" si="3"/>
        <v>25753</v>
      </c>
      <c r="C2515" s="8" t="s">
        <v>7176</v>
      </c>
      <c r="D2515" s="8" t="s">
        <v>10055</v>
      </c>
      <c r="E2515" s="8"/>
    </row>
    <row r="2516" spans="1:5" x14ac:dyDescent="0.25">
      <c r="A2516" s="5" t="s">
        <v>7177</v>
      </c>
      <c r="B2516" s="9" t="str">
        <f t="shared" si="3"/>
        <v>25753</v>
      </c>
      <c r="C2516" s="8" t="s">
        <v>7178</v>
      </c>
      <c r="D2516" s="8" t="s">
        <v>10055</v>
      </c>
      <c r="E2516" s="8"/>
    </row>
    <row r="2517" spans="1:5" x14ac:dyDescent="0.25">
      <c r="A2517" s="5" t="s">
        <v>7179</v>
      </c>
      <c r="B2517" s="9" t="str">
        <f t="shared" si="3"/>
        <v>25753</v>
      </c>
      <c r="C2517" s="8" t="s">
        <v>7180</v>
      </c>
      <c r="D2517" s="8" t="s">
        <v>10055</v>
      </c>
      <c r="E2517" s="8"/>
    </row>
    <row r="2518" spans="1:5" x14ac:dyDescent="0.25">
      <c r="A2518" s="5" t="s">
        <v>7181</v>
      </c>
      <c r="B2518" s="9" t="str">
        <f t="shared" si="3"/>
        <v>25753</v>
      </c>
      <c r="C2518" s="8" t="s">
        <v>7182</v>
      </c>
      <c r="D2518" s="8" t="s">
        <v>10055</v>
      </c>
      <c r="E2518" s="8"/>
    </row>
    <row r="2519" spans="1:5" x14ac:dyDescent="0.25">
      <c r="A2519" s="5" t="s">
        <v>7183</v>
      </c>
      <c r="B2519" s="9" t="str">
        <f t="shared" si="3"/>
        <v>25753</v>
      </c>
      <c r="C2519" s="8" t="s">
        <v>7184</v>
      </c>
      <c r="D2519" s="8" t="s">
        <v>10055</v>
      </c>
      <c r="E2519" s="8"/>
    </row>
    <row r="2520" spans="1:5" x14ac:dyDescent="0.25">
      <c r="A2520" s="5" t="s">
        <v>7185</v>
      </c>
      <c r="B2520" s="9" t="str">
        <f t="shared" si="3"/>
        <v>25753</v>
      </c>
      <c r="C2520" s="8" t="s">
        <v>7186</v>
      </c>
      <c r="D2520" s="8" t="s">
        <v>10055</v>
      </c>
      <c r="E2520" s="8"/>
    </row>
    <row r="2521" spans="1:5" x14ac:dyDescent="0.25">
      <c r="A2521" s="5" t="s">
        <v>7187</v>
      </c>
      <c r="B2521" s="9" t="str">
        <f t="shared" si="3"/>
        <v>25753</v>
      </c>
      <c r="C2521" s="8" t="s">
        <v>7188</v>
      </c>
      <c r="D2521" s="8" t="s">
        <v>10055</v>
      </c>
      <c r="E2521" s="8"/>
    </row>
    <row r="2522" spans="1:5" x14ac:dyDescent="0.25">
      <c r="A2522" s="5" t="s">
        <v>7189</v>
      </c>
      <c r="B2522" s="9" t="str">
        <f t="shared" si="3"/>
        <v>25753</v>
      </c>
      <c r="C2522" s="8" t="s">
        <v>7190</v>
      </c>
      <c r="D2522" s="8" t="s">
        <v>10055</v>
      </c>
      <c r="E2522" s="8"/>
    </row>
    <row r="2523" spans="1:5" x14ac:dyDescent="0.25">
      <c r="A2523" s="5" t="s">
        <v>7191</v>
      </c>
      <c r="B2523" s="9" t="str">
        <f t="shared" si="3"/>
        <v>25753</v>
      </c>
      <c r="C2523" s="8" t="s">
        <v>7192</v>
      </c>
      <c r="D2523" s="8" t="s">
        <v>10055</v>
      </c>
      <c r="E2523" s="8"/>
    </row>
    <row r="2524" spans="1:5" x14ac:dyDescent="0.25">
      <c r="A2524" s="5" t="s">
        <v>7193</v>
      </c>
      <c r="B2524" s="9" t="str">
        <f t="shared" si="3"/>
        <v>25753</v>
      </c>
      <c r="C2524" s="8" t="s">
        <v>7194</v>
      </c>
      <c r="D2524" s="8" t="s">
        <v>10055</v>
      </c>
      <c r="E2524" s="8"/>
    </row>
    <row r="2525" spans="1:5" x14ac:dyDescent="0.25">
      <c r="A2525" s="5" t="s">
        <v>7195</v>
      </c>
      <c r="B2525" s="9" t="str">
        <f t="shared" si="3"/>
        <v>25753</v>
      </c>
      <c r="C2525" s="8" t="s">
        <v>7196</v>
      </c>
      <c r="D2525" s="8" t="s">
        <v>10055</v>
      </c>
      <c r="E2525" s="8"/>
    </row>
    <row r="2526" spans="1:5" x14ac:dyDescent="0.25">
      <c r="A2526" s="5" t="s">
        <v>7197</v>
      </c>
      <c r="B2526" s="9" t="str">
        <f t="shared" si="3"/>
        <v>25753</v>
      </c>
      <c r="C2526" s="8" t="s">
        <v>7198</v>
      </c>
      <c r="D2526" s="8" t="s">
        <v>10055</v>
      </c>
      <c r="E2526" s="8"/>
    </row>
    <row r="2527" spans="1:5" x14ac:dyDescent="0.25">
      <c r="A2527" s="5" t="s">
        <v>7199</v>
      </c>
      <c r="B2527" s="9" t="str">
        <f t="shared" si="3"/>
        <v>25753</v>
      </c>
      <c r="C2527" s="8" t="s">
        <v>7200</v>
      </c>
      <c r="D2527" s="8" t="s">
        <v>10055</v>
      </c>
      <c r="E2527" s="8"/>
    </row>
    <row r="2528" spans="1:5" x14ac:dyDescent="0.25">
      <c r="A2528" s="5" t="s">
        <v>7201</v>
      </c>
      <c r="B2528" s="9" t="str">
        <f t="shared" si="3"/>
        <v>25753</v>
      </c>
      <c r="C2528" s="8" t="s">
        <v>7202</v>
      </c>
      <c r="D2528" s="8" t="s">
        <v>10055</v>
      </c>
      <c r="E2528" s="8"/>
    </row>
    <row r="2529" spans="1:5" x14ac:dyDescent="0.25">
      <c r="A2529" s="5" t="s">
        <v>7203</v>
      </c>
      <c r="B2529" s="9" t="str">
        <f t="shared" si="3"/>
        <v>25753</v>
      </c>
      <c r="C2529" s="8" t="s">
        <v>7204</v>
      </c>
      <c r="D2529" s="8" t="s">
        <v>10055</v>
      </c>
      <c r="E2529" s="8"/>
    </row>
    <row r="2530" spans="1:5" x14ac:dyDescent="0.25">
      <c r="A2530" s="5" t="s">
        <v>7205</v>
      </c>
      <c r="B2530" s="9" t="str">
        <f t="shared" si="3"/>
        <v>25753</v>
      </c>
      <c r="C2530" s="8" t="s">
        <v>7206</v>
      </c>
      <c r="D2530" s="8" t="s">
        <v>10055</v>
      </c>
      <c r="E2530" s="8"/>
    </row>
    <row r="2531" spans="1:5" x14ac:dyDescent="0.25">
      <c r="A2531" s="5" t="s">
        <v>7207</v>
      </c>
      <c r="B2531" s="9" t="str">
        <f t="shared" si="3"/>
        <v>25753</v>
      </c>
      <c r="C2531" s="8" t="s">
        <v>7208</v>
      </c>
      <c r="D2531" s="8" t="s">
        <v>10055</v>
      </c>
      <c r="E2531" s="8"/>
    </row>
    <row r="2532" spans="1:5" x14ac:dyDescent="0.25">
      <c r="A2532" s="5" t="s">
        <v>7209</v>
      </c>
      <c r="B2532" s="9" t="str">
        <f t="shared" si="3"/>
        <v>25753</v>
      </c>
      <c r="C2532" s="8" t="s">
        <v>7210</v>
      </c>
      <c r="D2532" s="8" t="s">
        <v>10055</v>
      </c>
      <c r="E2532" s="8"/>
    </row>
    <row r="2533" spans="1:5" x14ac:dyDescent="0.25">
      <c r="A2533" s="5" t="s">
        <v>7211</v>
      </c>
      <c r="B2533" s="9" t="str">
        <f t="shared" si="3"/>
        <v>25753</v>
      </c>
      <c r="C2533" s="8" t="s">
        <v>7212</v>
      </c>
      <c r="D2533" s="8" t="s">
        <v>10055</v>
      </c>
      <c r="E2533" s="8"/>
    </row>
    <row r="2534" spans="1:5" x14ac:dyDescent="0.25">
      <c r="A2534" s="5" t="s">
        <v>7213</v>
      </c>
      <c r="B2534" s="9" t="str">
        <f t="shared" si="3"/>
        <v>25753</v>
      </c>
      <c r="C2534" s="8" t="s">
        <v>7214</v>
      </c>
      <c r="D2534" s="8" t="s">
        <v>10055</v>
      </c>
      <c r="E2534" s="8"/>
    </row>
    <row r="2535" spans="1:5" x14ac:dyDescent="0.25">
      <c r="A2535" s="5" t="s">
        <v>7215</v>
      </c>
      <c r="B2535" s="9" t="str">
        <f t="shared" si="3"/>
        <v>25753</v>
      </c>
      <c r="C2535" s="8" t="s">
        <v>7216</v>
      </c>
      <c r="D2535" s="8" t="s">
        <v>10055</v>
      </c>
      <c r="E2535" s="8"/>
    </row>
    <row r="2536" spans="1:5" x14ac:dyDescent="0.25">
      <c r="A2536" s="5" t="s">
        <v>7217</v>
      </c>
      <c r="B2536" s="9" t="str">
        <f t="shared" si="3"/>
        <v>25753</v>
      </c>
      <c r="C2536" s="8" t="s">
        <v>7218</v>
      </c>
      <c r="D2536" s="8" t="s">
        <v>10055</v>
      </c>
      <c r="E2536" s="8"/>
    </row>
    <row r="2537" spans="1:5" x14ac:dyDescent="0.25">
      <c r="A2537" s="5" t="s">
        <v>7219</v>
      </c>
      <c r="B2537" s="9" t="str">
        <f t="shared" si="3"/>
        <v>25753</v>
      </c>
      <c r="C2537" s="8" t="s">
        <v>7220</v>
      </c>
      <c r="D2537" s="8" t="s">
        <v>10055</v>
      </c>
      <c r="E2537" s="8"/>
    </row>
    <row r="2538" spans="1:5" x14ac:dyDescent="0.25">
      <c r="A2538" s="5" t="s">
        <v>7221</v>
      </c>
      <c r="B2538" s="9" t="str">
        <f t="shared" si="3"/>
        <v>25753</v>
      </c>
      <c r="C2538" s="8" t="s">
        <v>7222</v>
      </c>
      <c r="D2538" s="8" t="s">
        <v>10055</v>
      </c>
      <c r="E2538" s="8"/>
    </row>
    <row r="2539" spans="1:5" x14ac:dyDescent="0.25">
      <c r="A2539" s="5" t="s">
        <v>7223</v>
      </c>
      <c r="B2539" s="9" t="str">
        <f t="shared" si="3"/>
        <v>25753</v>
      </c>
      <c r="C2539" s="8" t="s">
        <v>7224</v>
      </c>
      <c r="D2539" s="8" t="s">
        <v>10055</v>
      </c>
      <c r="E2539" s="8"/>
    </row>
    <row r="2540" spans="1:5" x14ac:dyDescent="0.25">
      <c r="A2540" s="5" t="s">
        <v>7225</v>
      </c>
      <c r="B2540" s="9" t="str">
        <f t="shared" si="3"/>
        <v>25753</v>
      </c>
      <c r="C2540" s="8" t="s">
        <v>7226</v>
      </c>
      <c r="D2540" s="8" t="s">
        <v>10055</v>
      </c>
      <c r="E2540" s="8"/>
    </row>
    <row r="2541" spans="1:5" x14ac:dyDescent="0.25">
      <c r="A2541" s="5" t="s">
        <v>7227</v>
      </c>
      <c r="B2541" s="9" t="str">
        <f t="shared" si="3"/>
        <v>25753</v>
      </c>
      <c r="C2541" s="8" t="s">
        <v>7228</v>
      </c>
      <c r="D2541" s="8" t="s">
        <v>10055</v>
      </c>
      <c r="E2541" s="8"/>
    </row>
    <row r="2542" spans="1:5" x14ac:dyDescent="0.25">
      <c r="A2542" s="5" t="s">
        <v>7229</v>
      </c>
      <c r="B2542" s="9" t="str">
        <f t="shared" si="3"/>
        <v>25753</v>
      </c>
      <c r="C2542" s="8" t="s">
        <v>7230</v>
      </c>
      <c r="D2542" s="8" t="s">
        <v>10055</v>
      </c>
      <c r="E2542" s="8"/>
    </row>
    <row r="2543" spans="1:5" x14ac:dyDescent="0.25">
      <c r="A2543" s="5" t="s">
        <v>7231</v>
      </c>
      <c r="B2543" s="9" t="str">
        <f t="shared" si="3"/>
        <v>25753</v>
      </c>
      <c r="C2543" s="8" t="s">
        <v>7232</v>
      </c>
      <c r="D2543" s="8" t="s">
        <v>10055</v>
      </c>
      <c r="E2543" s="8"/>
    </row>
    <row r="2544" spans="1:5" x14ac:dyDescent="0.25">
      <c r="A2544" s="5" t="s">
        <v>7233</v>
      </c>
      <c r="B2544" s="9" t="str">
        <f t="shared" si="3"/>
        <v>25753</v>
      </c>
      <c r="C2544" s="8" t="s">
        <v>7234</v>
      </c>
      <c r="D2544" s="8" t="s">
        <v>10055</v>
      </c>
      <c r="E2544" s="8"/>
    </row>
    <row r="2545" spans="1:5" x14ac:dyDescent="0.25">
      <c r="A2545" s="5" t="s">
        <v>7235</v>
      </c>
      <c r="B2545" s="9" t="str">
        <f t="shared" si="3"/>
        <v>25753</v>
      </c>
      <c r="C2545" s="8" t="s">
        <v>7236</v>
      </c>
      <c r="D2545" s="8" t="s">
        <v>10055</v>
      </c>
      <c r="E2545" s="8"/>
    </row>
    <row r="2546" spans="1:5" x14ac:dyDescent="0.25">
      <c r="A2546" s="5" t="s">
        <v>7237</v>
      </c>
      <c r="B2546" s="9" t="str">
        <f t="shared" si="3"/>
        <v>25753</v>
      </c>
      <c r="C2546" s="8" t="s">
        <v>7238</v>
      </c>
      <c r="D2546" s="8" t="s">
        <v>10055</v>
      </c>
      <c r="E2546" s="8"/>
    </row>
    <row r="2547" spans="1:5" x14ac:dyDescent="0.25">
      <c r="A2547" s="5" t="s">
        <v>7239</v>
      </c>
      <c r="B2547" s="9" t="str">
        <f t="shared" si="3"/>
        <v>25753</v>
      </c>
      <c r="C2547" s="8" t="s">
        <v>7240</v>
      </c>
      <c r="D2547" s="8" t="s">
        <v>10055</v>
      </c>
      <c r="E2547" s="8"/>
    </row>
    <row r="2548" spans="1:5" x14ac:dyDescent="0.25">
      <c r="A2548" s="5" t="s">
        <v>7241</v>
      </c>
      <c r="B2548" s="9" t="str">
        <f t="shared" si="3"/>
        <v>25753</v>
      </c>
      <c r="C2548" s="8" t="s">
        <v>7242</v>
      </c>
      <c r="D2548" s="8" t="s">
        <v>10055</v>
      </c>
      <c r="E2548" s="8"/>
    </row>
    <row r="2549" spans="1:5" x14ac:dyDescent="0.25">
      <c r="A2549" s="5" t="s">
        <v>7243</v>
      </c>
      <c r="B2549" s="9" t="str">
        <f t="shared" si="3"/>
        <v>25753</v>
      </c>
      <c r="C2549" s="8" t="s">
        <v>7244</v>
      </c>
      <c r="D2549" s="8" t="s">
        <v>10055</v>
      </c>
      <c r="E2549" s="8"/>
    </row>
    <row r="2550" spans="1:5" x14ac:dyDescent="0.25">
      <c r="A2550" s="5" t="s">
        <v>7245</v>
      </c>
      <c r="B2550" s="9" t="str">
        <f t="shared" si="3"/>
        <v>25753</v>
      </c>
      <c r="C2550" s="8" t="s">
        <v>7246</v>
      </c>
      <c r="D2550" s="8" t="s">
        <v>10055</v>
      </c>
      <c r="E2550" s="8"/>
    </row>
    <row r="2551" spans="1:5" x14ac:dyDescent="0.25">
      <c r="A2551" s="5" t="s">
        <v>7247</v>
      </c>
      <c r="B2551" s="9" t="str">
        <f t="shared" si="3"/>
        <v>25753</v>
      </c>
      <c r="C2551" s="8" t="s">
        <v>7248</v>
      </c>
      <c r="D2551" s="8" t="s">
        <v>10055</v>
      </c>
      <c r="E2551" s="8"/>
    </row>
    <row r="2552" spans="1:5" x14ac:dyDescent="0.25">
      <c r="A2552" s="5" t="s">
        <v>7249</v>
      </c>
      <c r="B2552" s="9" t="str">
        <f t="shared" si="3"/>
        <v>25753</v>
      </c>
      <c r="C2552" s="8" t="s">
        <v>7250</v>
      </c>
      <c r="D2552" s="8" t="s">
        <v>10055</v>
      </c>
      <c r="E2552" s="8"/>
    </row>
    <row r="2553" spans="1:5" x14ac:dyDescent="0.25">
      <c r="A2553" s="5" t="s">
        <v>7251</v>
      </c>
      <c r="B2553" s="9" t="str">
        <f t="shared" si="3"/>
        <v>25753</v>
      </c>
      <c r="C2553" s="8" t="s">
        <v>7252</v>
      </c>
      <c r="D2553" s="8" t="s">
        <v>10055</v>
      </c>
      <c r="E2553" s="8"/>
    </row>
    <row r="2554" spans="1:5" x14ac:dyDescent="0.25">
      <c r="A2554" s="5" t="s">
        <v>7253</v>
      </c>
      <c r="B2554" s="9" t="str">
        <f t="shared" si="3"/>
        <v>25753</v>
      </c>
      <c r="C2554" s="8" t="s">
        <v>7254</v>
      </c>
      <c r="D2554" s="8" t="s">
        <v>10055</v>
      </c>
      <c r="E2554" s="8"/>
    </row>
    <row r="2555" spans="1:5" x14ac:dyDescent="0.25">
      <c r="A2555" s="5" t="s">
        <v>7255</v>
      </c>
      <c r="B2555" s="9" t="str">
        <f t="shared" si="3"/>
        <v>25753</v>
      </c>
      <c r="C2555" s="8" t="s">
        <v>7256</v>
      </c>
      <c r="D2555" s="8" t="s">
        <v>10055</v>
      </c>
      <c r="E2555" s="8"/>
    </row>
    <row r="2556" spans="1:5" x14ac:dyDescent="0.25">
      <c r="A2556" s="5" t="s">
        <v>7257</v>
      </c>
      <c r="B2556" s="9" t="str">
        <f t="shared" si="3"/>
        <v>25753</v>
      </c>
      <c r="C2556" s="8" t="s">
        <v>7258</v>
      </c>
      <c r="D2556" s="8" t="s">
        <v>10055</v>
      </c>
      <c r="E2556" s="8"/>
    </row>
    <row r="2557" spans="1:5" x14ac:dyDescent="0.25">
      <c r="A2557" s="5" t="s">
        <v>7259</v>
      </c>
      <c r="B2557" s="9" t="str">
        <f t="shared" si="3"/>
        <v>25753</v>
      </c>
      <c r="C2557" s="8" t="s">
        <v>7260</v>
      </c>
      <c r="D2557" s="8" t="s">
        <v>10055</v>
      </c>
      <c r="E2557" s="8"/>
    </row>
    <row r="2558" spans="1:5" x14ac:dyDescent="0.25">
      <c r="A2558" s="5" t="s">
        <v>7261</v>
      </c>
      <c r="B2558" s="9" t="str">
        <f t="shared" si="3"/>
        <v>25753</v>
      </c>
      <c r="C2558" s="8" t="s">
        <v>7262</v>
      </c>
      <c r="D2558" s="8" t="s">
        <v>10055</v>
      </c>
      <c r="E2558" s="8"/>
    </row>
    <row r="2559" spans="1:5" x14ac:dyDescent="0.25">
      <c r="A2559" s="5" t="s">
        <v>7263</v>
      </c>
      <c r="B2559" s="9" t="str">
        <f t="shared" si="3"/>
        <v>25753</v>
      </c>
      <c r="C2559" s="8" t="s">
        <v>7264</v>
      </c>
      <c r="D2559" s="8" t="s">
        <v>10055</v>
      </c>
      <c r="E2559" s="8"/>
    </row>
    <row r="2560" spans="1:5" x14ac:dyDescent="0.25">
      <c r="A2560" s="5" t="s">
        <v>7265</v>
      </c>
      <c r="B2560" s="9" t="str">
        <f t="shared" si="3"/>
        <v>25753</v>
      </c>
      <c r="C2560" s="8" t="s">
        <v>7266</v>
      </c>
      <c r="D2560" s="8" t="s">
        <v>10055</v>
      </c>
      <c r="E2560" s="8"/>
    </row>
    <row r="2561" spans="1:5" x14ac:dyDescent="0.25">
      <c r="A2561" s="5" t="s">
        <v>7267</v>
      </c>
      <c r="B2561" s="9" t="str">
        <f t="shared" si="3"/>
        <v>25753</v>
      </c>
      <c r="C2561" s="8" t="s">
        <v>7268</v>
      </c>
      <c r="D2561" s="8" t="s">
        <v>10055</v>
      </c>
      <c r="E2561" s="8"/>
    </row>
    <row r="2562" spans="1:5" x14ac:dyDescent="0.25">
      <c r="A2562" s="5" t="s">
        <v>7269</v>
      </c>
      <c r="B2562" s="9" t="str">
        <f t="shared" si="3"/>
        <v>25753</v>
      </c>
      <c r="C2562" s="8" t="s">
        <v>7270</v>
      </c>
      <c r="D2562" s="8" t="s">
        <v>10055</v>
      </c>
      <c r="E2562" s="8"/>
    </row>
    <row r="2563" spans="1:5" x14ac:dyDescent="0.25">
      <c r="A2563" s="5" t="s">
        <v>7271</v>
      </c>
      <c r="B2563" s="9" t="str">
        <f t="shared" si="3"/>
        <v>25753</v>
      </c>
      <c r="C2563" s="8" t="s">
        <v>7272</v>
      </c>
      <c r="D2563" s="8" t="s">
        <v>10055</v>
      </c>
      <c r="E2563" s="8"/>
    </row>
    <row r="2564" spans="1:5" x14ac:dyDescent="0.25">
      <c r="A2564" s="5" t="s">
        <v>7273</v>
      </c>
      <c r="B2564" s="9" t="str">
        <f t="shared" si="3"/>
        <v>25753</v>
      </c>
      <c r="C2564" s="8" t="s">
        <v>7274</v>
      </c>
      <c r="D2564" s="8" t="s">
        <v>10055</v>
      </c>
      <c r="E2564" s="8"/>
    </row>
    <row r="2565" spans="1:5" x14ac:dyDescent="0.25">
      <c r="A2565" s="5" t="s">
        <v>7275</v>
      </c>
      <c r="B2565" s="9" t="str">
        <f t="shared" si="3"/>
        <v>25753</v>
      </c>
      <c r="C2565" s="8" t="s">
        <v>7276</v>
      </c>
      <c r="D2565" s="8" t="s">
        <v>10055</v>
      </c>
      <c r="E2565" s="8"/>
    </row>
    <row r="2566" spans="1:5" x14ac:dyDescent="0.25">
      <c r="A2566" s="5" t="s">
        <v>7277</v>
      </c>
      <c r="B2566" s="9" t="str">
        <f t="shared" si="3"/>
        <v>25753</v>
      </c>
      <c r="C2566" s="8" t="s">
        <v>7278</v>
      </c>
      <c r="D2566" s="8" t="s">
        <v>10055</v>
      </c>
      <c r="E2566" s="8"/>
    </row>
    <row r="2567" spans="1:5" x14ac:dyDescent="0.25">
      <c r="A2567" s="5" t="s">
        <v>7279</v>
      </c>
      <c r="B2567" s="9" t="str">
        <f t="shared" si="3"/>
        <v>25753</v>
      </c>
      <c r="C2567" s="8" t="s">
        <v>7280</v>
      </c>
      <c r="D2567" s="8" t="s">
        <v>10055</v>
      </c>
      <c r="E2567" s="8"/>
    </row>
    <row r="2568" spans="1:5" x14ac:dyDescent="0.25">
      <c r="A2568" s="5" t="s">
        <v>7281</v>
      </c>
      <c r="B2568" s="9" t="str">
        <f t="shared" si="3"/>
        <v>25753</v>
      </c>
      <c r="C2568" s="8" t="s">
        <v>7282</v>
      </c>
      <c r="D2568" s="8" t="s">
        <v>10055</v>
      </c>
      <c r="E2568" s="8"/>
    </row>
    <row r="2569" spans="1:5" x14ac:dyDescent="0.25">
      <c r="A2569" s="5" t="s">
        <v>7283</v>
      </c>
      <c r="B2569" s="9" t="str">
        <f t="shared" si="3"/>
        <v>25753</v>
      </c>
      <c r="C2569" s="8" t="s">
        <v>7284</v>
      </c>
      <c r="D2569" s="8" t="s">
        <v>10055</v>
      </c>
      <c r="E2569" s="8"/>
    </row>
    <row r="2570" spans="1:5" x14ac:dyDescent="0.25">
      <c r="A2570" s="5" t="s">
        <v>7285</v>
      </c>
      <c r="B2570" s="9" t="str">
        <f t="shared" si="3"/>
        <v>25753</v>
      </c>
      <c r="C2570" s="8" t="s">
        <v>7286</v>
      </c>
      <c r="D2570" s="8" t="s">
        <v>10055</v>
      </c>
      <c r="E2570" s="8"/>
    </row>
    <row r="2571" spans="1:5" x14ac:dyDescent="0.25">
      <c r="A2571" s="5" t="s">
        <v>7287</v>
      </c>
      <c r="B2571" s="9" t="str">
        <f t="shared" si="3"/>
        <v>25753</v>
      </c>
      <c r="C2571" s="8" t="s">
        <v>7288</v>
      </c>
      <c r="D2571" s="8" t="s">
        <v>10055</v>
      </c>
      <c r="E2571" s="8"/>
    </row>
    <row r="2572" spans="1:5" x14ac:dyDescent="0.25">
      <c r="A2572" s="5" t="s">
        <v>7289</v>
      </c>
      <c r="B2572" s="9" t="str">
        <f t="shared" si="3"/>
        <v>25753</v>
      </c>
      <c r="C2572" s="8" t="s">
        <v>7290</v>
      </c>
      <c r="D2572" s="8" t="s">
        <v>10055</v>
      </c>
      <c r="E2572" s="8"/>
    </row>
    <row r="2573" spans="1:5" x14ac:dyDescent="0.25">
      <c r="A2573" s="5" t="s">
        <v>7291</v>
      </c>
      <c r="B2573" s="9" t="str">
        <f t="shared" si="3"/>
        <v>25753</v>
      </c>
      <c r="C2573" s="8" t="s">
        <v>7292</v>
      </c>
      <c r="D2573" s="8" t="s">
        <v>10055</v>
      </c>
      <c r="E2573" s="8"/>
    </row>
    <row r="2574" spans="1:5" x14ac:dyDescent="0.25">
      <c r="A2574" s="5" t="s">
        <v>7293</v>
      </c>
      <c r="B2574" s="9" t="str">
        <f t="shared" si="3"/>
        <v>25753</v>
      </c>
      <c r="C2574" s="8" t="s">
        <v>7294</v>
      </c>
      <c r="D2574" s="8" t="s">
        <v>10055</v>
      </c>
      <c r="E2574" s="8"/>
    </row>
    <row r="2575" spans="1:5" x14ac:dyDescent="0.25">
      <c r="A2575" s="5" t="s">
        <v>7295</v>
      </c>
      <c r="B2575" s="9" t="str">
        <f t="shared" si="3"/>
        <v>25753</v>
      </c>
      <c r="C2575" s="8" t="s">
        <v>7296</v>
      </c>
      <c r="D2575" s="8" t="s">
        <v>10055</v>
      </c>
      <c r="E2575" s="8"/>
    </row>
    <row r="2576" spans="1:5" x14ac:dyDescent="0.25">
      <c r="A2576" s="5" t="s">
        <v>7297</v>
      </c>
      <c r="B2576" s="9" t="str">
        <f t="shared" si="3"/>
        <v>25753</v>
      </c>
      <c r="C2576" s="8" t="s">
        <v>7298</v>
      </c>
      <c r="D2576" s="8" t="s">
        <v>10055</v>
      </c>
      <c r="E2576" s="8"/>
    </row>
    <row r="2577" spans="1:5" x14ac:dyDescent="0.25">
      <c r="A2577" s="5" t="s">
        <v>7299</v>
      </c>
      <c r="B2577" s="9" t="str">
        <f t="shared" si="3"/>
        <v>25753</v>
      </c>
      <c r="C2577" s="8" t="s">
        <v>7300</v>
      </c>
      <c r="D2577" s="8" t="s">
        <v>10055</v>
      </c>
      <c r="E2577" s="8"/>
    </row>
    <row r="2578" spans="1:5" x14ac:dyDescent="0.25">
      <c r="A2578" s="5" t="s">
        <v>7301</v>
      </c>
      <c r="B2578" s="9" t="str">
        <f t="shared" si="3"/>
        <v>25753</v>
      </c>
      <c r="C2578" s="8" t="s">
        <v>7302</v>
      </c>
      <c r="D2578" s="8" t="s">
        <v>10055</v>
      </c>
      <c r="E2578" s="8"/>
    </row>
    <row r="2579" spans="1:5" x14ac:dyDescent="0.25">
      <c r="A2579" s="5" t="s">
        <v>7303</v>
      </c>
      <c r="B2579" s="9" t="str">
        <f t="shared" si="3"/>
        <v>25753</v>
      </c>
      <c r="C2579" s="8" t="s">
        <v>7304</v>
      </c>
      <c r="D2579" s="8" t="s">
        <v>10055</v>
      </c>
      <c r="E2579" s="8"/>
    </row>
    <row r="2580" spans="1:5" x14ac:dyDescent="0.25">
      <c r="A2580" s="5" t="s">
        <v>7305</v>
      </c>
      <c r="B2580" s="9" t="str">
        <f t="shared" si="3"/>
        <v>25753</v>
      </c>
      <c r="C2580" s="8" t="s">
        <v>7306</v>
      </c>
      <c r="D2580" s="8" t="s">
        <v>10055</v>
      </c>
      <c r="E2580" s="8"/>
    </row>
    <row r="2581" spans="1:5" x14ac:dyDescent="0.25">
      <c r="A2581" s="5" t="s">
        <v>7307</v>
      </c>
      <c r="B2581" s="9" t="str">
        <f t="shared" si="3"/>
        <v>25753</v>
      </c>
      <c r="C2581" s="8" t="s">
        <v>7308</v>
      </c>
      <c r="D2581" s="8" t="s">
        <v>10055</v>
      </c>
      <c r="E2581" s="8"/>
    </row>
    <row r="2582" spans="1:5" x14ac:dyDescent="0.25">
      <c r="A2582" s="5" t="s">
        <v>7309</v>
      </c>
      <c r="B2582" s="9" t="str">
        <f t="shared" si="3"/>
        <v>25753</v>
      </c>
      <c r="C2582" s="8" t="s">
        <v>7310</v>
      </c>
      <c r="D2582" s="8" t="s">
        <v>10055</v>
      </c>
      <c r="E2582" s="8"/>
    </row>
    <row r="2583" spans="1:5" x14ac:dyDescent="0.25">
      <c r="A2583" s="5" t="s">
        <v>7311</v>
      </c>
      <c r="B2583" s="9" t="str">
        <f t="shared" si="3"/>
        <v>25753</v>
      </c>
      <c r="C2583" s="8" t="s">
        <v>7312</v>
      </c>
      <c r="D2583" s="8" t="s">
        <v>10055</v>
      </c>
      <c r="E2583" s="8"/>
    </row>
    <row r="2584" spans="1:5" x14ac:dyDescent="0.25">
      <c r="A2584" s="5" t="s">
        <v>7313</v>
      </c>
      <c r="B2584" s="9" t="str">
        <f t="shared" si="3"/>
        <v>25753</v>
      </c>
      <c r="C2584" s="8" t="s">
        <v>7314</v>
      </c>
      <c r="D2584" s="8" t="s">
        <v>10055</v>
      </c>
      <c r="E2584" s="8"/>
    </row>
    <row r="2585" spans="1:5" x14ac:dyDescent="0.25">
      <c r="A2585" s="5" t="s">
        <v>7315</v>
      </c>
      <c r="B2585" s="9" t="str">
        <f t="shared" si="3"/>
        <v>25753</v>
      </c>
      <c r="C2585" s="8" t="s">
        <v>7316</v>
      </c>
      <c r="D2585" s="8" t="s">
        <v>10055</v>
      </c>
      <c r="E2585" s="8"/>
    </row>
    <row r="2586" spans="1:5" x14ac:dyDescent="0.25">
      <c r="A2586" s="5" t="s">
        <v>7317</v>
      </c>
      <c r="B2586" s="9" t="str">
        <f t="shared" si="3"/>
        <v>25753</v>
      </c>
      <c r="C2586" s="8" t="s">
        <v>7318</v>
      </c>
      <c r="D2586" s="8" t="s">
        <v>10055</v>
      </c>
      <c r="E2586" s="8"/>
    </row>
    <row r="2587" spans="1:5" x14ac:dyDescent="0.25">
      <c r="A2587" s="5" t="s">
        <v>7319</v>
      </c>
      <c r="B2587" s="9" t="str">
        <f t="shared" si="3"/>
        <v>25753</v>
      </c>
      <c r="C2587" s="8" t="s">
        <v>7320</v>
      </c>
      <c r="D2587" s="8" t="s">
        <v>10055</v>
      </c>
      <c r="E2587" s="8"/>
    </row>
    <row r="2588" spans="1:5" x14ac:dyDescent="0.25">
      <c r="A2588" s="5" t="s">
        <v>7321</v>
      </c>
      <c r="B2588" s="9" t="str">
        <f t="shared" si="3"/>
        <v>25753</v>
      </c>
      <c r="C2588" s="8" t="s">
        <v>7322</v>
      </c>
      <c r="D2588" s="8" t="s">
        <v>10055</v>
      </c>
      <c r="E2588" s="8"/>
    </row>
    <row r="2589" spans="1:5" x14ac:dyDescent="0.25">
      <c r="A2589" s="5" t="s">
        <v>7323</v>
      </c>
      <c r="B2589" s="9" t="str">
        <f t="shared" si="3"/>
        <v>25753</v>
      </c>
      <c r="C2589" s="8" t="s">
        <v>7324</v>
      </c>
      <c r="D2589" s="8" t="s">
        <v>10055</v>
      </c>
      <c r="E2589" s="8"/>
    </row>
    <row r="2590" spans="1:5" x14ac:dyDescent="0.25">
      <c r="A2590" s="5" t="s">
        <v>7325</v>
      </c>
      <c r="B2590" s="9" t="str">
        <f t="shared" si="3"/>
        <v>25753</v>
      </c>
      <c r="C2590" s="8" t="s">
        <v>7326</v>
      </c>
      <c r="D2590" s="8" t="s">
        <v>10055</v>
      </c>
      <c r="E2590" s="8"/>
    </row>
    <row r="2591" spans="1:5" x14ac:dyDescent="0.25">
      <c r="A2591" s="5" t="s">
        <v>7327</v>
      </c>
      <c r="B2591" s="9" t="str">
        <f t="shared" si="3"/>
        <v>25753</v>
      </c>
      <c r="C2591" s="8" t="s">
        <v>7328</v>
      </c>
      <c r="D2591" s="8" t="s">
        <v>10055</v>
      </c>
      <c r="E2591" s="8"/>
    </row>
    <row r="2592" spans="1:5" x14ac:dyDescent="0.25">
      <c r="A2592" s="5" t="s">
        <v>7329</v>
      </c>
      <c r="B2592" s="9" t="str">
        <f t="shared" si="3"/>
        <v>25753</v>
      </c>
      <c r="C2592" s="8" t="s">
        <v>7330</v>
      </c>
      <c r="D2592" s="8" t="s">
        <v>10055</v>
      </c>
      <c r="E2592" s="8"/>
    </row>
    <row r="2593" spans="1:5" x14ac:dyDescent="0.25">
      <c r="A2593" s="5" t="s">
        <v>7331</v>
      </c>
      <c r="B2593" s="9" t="str">
        <f t="shared" si="3"/>
        <v>25753</v>
      </c>
      <c r="C2593" s="8" t="s">
        <v>7332</v>
      </c>
      <c r="D2593" s="8" t="s">
        <v>10055</v>
      </c>
      <c r="E2593" s="8"/>
    </row>
    <row r="2594" spans="1:5" x14ac:dyDescent="0.25">
      <c r="A2594" s="5" t="s">
        <v>7333</v>
      </c>
      <c r="B2594" s="9" t="str">
        <f t="shared" si="3"/>
        <v>25753</v>
      </c>
      <c r="C2594" s="8" t="s">
        <v>7334</v>
      </c>
      <c r="D2594" s="8" t="s">
        <v>10055</v>
      </c>
      <c r="E2594" s="8"/>
    </row>
    <row r="2595" spans="1:5" x14ac:dyDescent="0.25">
      <c r="A2595" s="5" t="s">
        <v>7335</v>
      </c>
      <c r="B2595" s="9" t="str">
        <f t="shared" si="3"/>
        <v>25753</v>
      </c>
      <c r="C2595" s="8" t="s">
        <v>7336</v>
      </c>
      <c r="D2595" s="8" t="s">
        <v>10055</v>
      </c>
      <c r="E2595" s="8"/>
    </row>
    <row r="2596" spans="1:5" x14ac:dyDescent="0.25">
      <c r="A2596" s="5" t="s">
        <v>7337</v>
      </c>
      <c r="B2596" s="9" t="str">
        <f t="shared" si="3"/>
        <v>25753</v>
      </c>
      <c r="C2596" s="8" t="s">
        <v>7338</v>
      </c>
      <c r="D2596" s="8" t="s">
        <v>10055</v>
      </c>
      <c r="E2596" s="8"/>
    </row>
    <row r="2597" spans="1:5" x14ac:dyDescent="0.25">
      <c r="A2597" s="5" t="s">
        <v>7339</v>
      </c>
      <c r="B2597" s="9" t="str">
        <f t="shared" si="3"/>
        <v>25753</v>
      </c>
      <c r="C2597" s="8" t="s">
        <v>7340</v>
      </c>
      <c r="D2597" s="8" t="s">
        <v>10055</v>
      </c>
      <c r="E2597" s="8"/>
    </row>
    <row r="2598" spans="1:5" x14ac:dyDescent="0.25">
      <c r="A2598" s="5" t="s">
        <v>7341</v>
      </c>
      <c r="B2598" s="9" t="str">
        <f t="shared" si="3"/>
        <v>25753</v>
      </c>
      <c r="C2598" s="8" t="s">
        <v>7342</v>
      </c>
      <c r="D2598" s="8" t="s">
        <v>10055</v>
      </c>
      <c r="E2598" s="8"/>
    </row>
    <row r="2599" spans="1:5" x14ac:dyDescent="0.25">
      <c r="A2599" s="5" t="s">
        <v>7343</v>
      </c>
      <c r="B2599" s="9" t="str">
        <f t="shared" si="3"/>
        <v>25753</v>
      </c>
      <c r="C2599" s="8" t="s">
        <v>7344</v>
      </c>
      <c r="D2599" s="8" t="s">
        <v>10055</v>
      </c>
      <c r="E2599" s="8"/>
    </row>
    <row r="2600" spans="1:5" x14ac:dyDescent="0.25">
      <c r="A2600" s="5" t="s">
        <v>7345</v>
      </c>
      <c r="B2600" s="9" t="str">
        <f t="shared" si="3"/>
        <v>25753</v>
      </c>
      <c r="C2600" s="8" t="s">
        <v>7346</v>
      </c>
      <c r="D2600" s="8" t="s">
        <v>10055</v>
      </c>
      <c r="E2600" s="8"/>
    </row>
    <row r="2601" spans="1:5" x14ac:dyDescent="0.25">
      <c r="A2601" s="5" t="s">
        <v>7347</v>
      </c>
      <c r="B2601" s="9" t="str">
        <f t="shared" si="3"/>
        <v>25753</v>
      </c>
      <c r="C2601" s="8" t="s">
        <v>7348</v>
      </c>
      <c r="D2601" s="8" t="s">
        <v>10055</v>
      </c>
      <c r="E2601" s="8"/>
    </row>
    <row r="2602" spans="1:5" x14ac:dyDescent="0.25">
      <c r="A2602" s="5" t="s">
        <v>7349</v>
      </c>
      <c r="B2602" s="9" t="str">
        <f t="shared" si="3"/>
        <v>25753</v>
      </c>
      <c r="C2602" s="8" t="s">
        <v>7350</v>
      </c>
      <c r="D2602" s="8" t="s">
        <v>10055</v>
      </c>
      <c r="E2602" s="8"/>
    </row>
    <row r="2603" spans="1:5" x14ac:dyDescent="0.25">
      <c r="A2603" s="5" t="s">
        <v>7351</v>
      </c>
      <c r="B2603" s="9" t="str">
        <f t="shared" si="3"/>
        <v>25753</v>
      </c>
      <c r="C2603" s="8" t="s">
        <v>7352</v>
      </c>
      <c r="D2603" s="8" t="s">
        <v>10055</v>
      </c>
      <c r="E2603" s="8"/>
    </row>
    <row r="2604" spans="1:5" x14ac:dyDescent="0.25">
      <c r="A2604" s="5" t="s">
        <v>7353</v>
      </c>
      <c r="B2604" s="9" t="str">
        <f t="shared" si="3"/>
        <v>25753</v>
      </c>
      <c r="C2604" s="8" t="s">
        <v>7354</v>
      </c>
      <c r="D2604" s="8" t="s">
        <v>10055</v>
      </c>
      <c r="E2604" s="8"/>
    </row>
    <row r="2605" spans="1:5" x14ac:dyDescent="0.25">
      <c r="A2605" s="5" t="s">
        <v>7355</v>
      </c>
      <c r="B2605" s="9" t="str">
        <f t="shared" si="3"/>
        <v>25753</v>
      </c>
      <c r="C2605" s="8" t="s">
        <v>7356</v>
      </c>
      <c r="D2605" s="8" t="s">
        <v>10055</v>
      </c>
      <c r="E2605" s="8"/>
    </row>
    <row r="2606" spans="1:5" x14ac:dyDescent="0.25">
      <c r="A2606" s="5" t="s">
        <v>7357</v>
      </c>
      <c r="B2606" s="9" t="str">
        <f t="shared" si="3"/>
        <v>25753</v>
      </c>
      <c r="C2606" s="8" t="s">
        <v>7358</v>
      </c>
      <c r="D2606" s="8" t="s">
        <v>10055</v>
      </c>
      <c r="E2606" s="8"/>
    </row>
    <row r="2607" spans="1:5" x14ac:dyDescent="0.25">
      <c r="A2607" s="5" t="s">
        <v>7359</v>
      </c>
      <c r="B2607" s="9" t="str">
        <f t="shared" si="3"/>
        <v>25753</v>
      </c>
      <c r="C2607" s="8" t="s">
        <v>7360</v>
      </c>
      <c r="D2607" s="8" t="s">
        <v>10055</v>
      </c>
      <c r="E2607" s="8"/>
    </row>
    <row r="2608" spans="1:5" x14ac:dyDescent="0.25">
      <c r="A2608" s="5" t="s">
        <v>7361</v>
      </c>
      <c r="B2608" s="9" t="str">
        <f t="shared" si="3"/>
        <v>25753</v>
      </c>
      <c r="C2608" s="8" t="s">
        <v>7362</v>
      </c>
      <c r="D2608" s="8" t="s">
        <v>10055</v>
      </c>
      <c r="E2608" s="8"/>
    </row>
    <row r="2609" spans="1:5" x14ac:dyDescent="0.25">
      <c r="A2609" s="5" t="s">
        <v>7363</v>
      </c>
      <c r="B2609" s="9" t="str">
        <f t="shared" si="3"/>
        <v>25753</v>
      </c>
      <c r="C2609" s="8" t="s">
        <v>7364</v>
      </c>
      <c r="D2609" s="8" t="s">
        <v>10055</v>
      </c>
      <c r="E2609" s="8"/>
    </row>
    <row r="2610" spans="1:5" x14ac:dyDescent="0.25">
      <c r="A2610" s="5" t="s">
        <v>7365</v>
      </c>
      <c r="B2610" s="9" t="str">
        <f t="shared" si="3"/>
        <v>25753</v>
      </c>
      <c r="C2610" s="8" t="s">
        <v>7366</v>
      </c>
      <c r="D2610" s="8" t="s">
        <v>10055</v>
      </c>
      <c r="E2610" s="8"/>
    </row>
    <row r="2611" spans="1:5" x14ac:dyDescent="0.25">
      <c r="A2611" s="5" t="s">
        <v>7367</v>
      </c>
      <c r="B2611" s="9" t="str">
        <f t="shared" si="3"/>
        <v>25753</v>
      </c>
      <c r="C2611" s="8" t="s">
        <v>7368</v>
      </c>
      <c r="D2611" s="8" t="s">
        <v>10055</v>
      </c>
      <c r="E2611" s="8"/>
    </row>
    <row r="2612" spans="1:5" x14ac:dyDescent="0.25">
      <c r="A2612" s="5" t="s">
        <v>7369</v>
      </c>
      <c r="B2612" s="9" t="str">
        <f t="shared" si="3"/>
        <v>25753</v>
      </c>
      <c r="C2612" s="8" t="s">
        <v>7370</v>
      </c>
      <c r="D2612" s="8" t="s">
        <v>10055</v>
      </c>
      <c r="E2612" s="8"/>
    </row>
    <row r="2613" spans="1:5" x14ac:dyDescent="0.25">
      <c r="A2613" s="5" t="s">
        <v>7371</v>
      </c>
      <c r="B2613" s="9" t="str">
        <f t="shared" si="3"/>
        <v>25753</v>
      </c>
      <c r="C2613" s="8" t="s">
        <v>7372</v>
      </c>
      <c r="D2613" s="8" t="s">
        <v>10055</v>
      </c>
      <c r="E2613" s="8"/>
    </row>
    <row r="2614" spans="1:5" x14ac:dyDescent="0.25">
      <c r="A2614" s="5" t="s">
        <v>7373</v>
      </c>
      <c r="B2614" s="9" t="str">
        <f t="shared" si="3"/>
        <v>25753</v>
      </c>
      <c r="C2614" s="8" t="s">
        <v>7374</v>
      </c>
      <c r="D2614" s="8" t="s">
        <v>10055</v>
      </c>
      <c r="E2614" s="8"/>
    </row>
    <row r="2615" spans="1:5" x14ac:dyDescent="0.25">
      <c r="A2615" s="5" t="s">
        <v>7375</v>
      </c>
      <c r="B2615" s="9" t="str">
        <f t="shared" si="3"/>
        <v>25753</v>
      </c>
      <c r="C2615" s="8" t="s">
        <v>7376</v>
      </c>
      <c r="D2615" s="8" t="s">
        <v>10055</v>
      </c>
      <c r="E2615" s="8"/>
    </row>
    <row r="2616" spans="1:5" x14ac:dyDescent="0.25">
      <c r="A2616" s="5" t="s">
        <v>7377</v>
      </c>
      <c r="B2616" s="9" t="str">
        <f t="shared" si="3"/>
        <v>25753</v>
      </c>
      <c r="C2616" s="8" t="s">
        <v>7378</v>
      </c>
      <c r="D2616" s="8" t="s">
        <v>10055</v>
      </c>
      <c r="E2616" s="8"/>
    </row>
    <row r="2617" spans="1:5" x14ac:dyDescent="0.25">
      <c r="A2617" s="5" t="s">
        <v>7379</v>
      </c>
      <c r="B2617" s="9" t="str">
        <f t="shared" si="3"/>
        <v>25753</v>
      </c>
      <c r="C2617" s="8" t="s">
        <v>7380</v>
      </c>
      <c r="D2617" s="8" t="s">
        <v>10055</v>
      </c>
      <c r="E2617" s="8"/>
    </row>
    <row r="2618" spans="1:5" x14ac:dyDescent="0.25">
      <c r="A2618" s="5" t="s">
        <v>7381</v>
      </c>
      <c r="B2618" s="9" t="str">
        <f t="shared" si="3"/>
        <v>25753</v>
      </c>
      <c r="C2618" s="8" t="s">
        <v>7382</v>
      </c>
      <c r="D2618" s="8" t="s">
        <v>10055</v>
      </c>
      <c r="E2618" s="8"/>
    </row>
    <row r="2619" spans="1:5" x14ac:dyDescent="0.25">
      <c r="A2619" s="5" t="s">
        <v>7383</v>
      </c>
      <c r="B2619" s="9" t="str">
        <f t="shared" si="3"/>
        <v>25753</v>
      </c>
      <c r="C2619" s="8" t="s">
        <v>7384</v>
      </c>
      <c r="D2619" s="8" t="s">
        <v>10055</v>
      </c>
      <c r="E2619" s="8"/>
    </row>
    <row r="2620" spans="1:5" x14ac:dyDescent="0.25">
      <c r="A2620" s="5" t="s">
        <v>7385</v>
      </c>
      <c r="B2620" s="9" t="str">
        <f t="shared" si="3"/>
        <v>25753</v>
      </c>
      <c r="C2620" s="8" t="s">
        <v>7386</v>
      </c>
      <c r="D2620" s="8" t="s">
        <v>10055</v>
      </c>
      <c r="E2620" s="8"/>
    </row>
    <row r="2621" spans="1:5" x14ac:dyDescent="0.25">
      <c r="A2621" s="5" t="s">
        <v>7387</v>
      </c>
      <c r="B2621" s="9" t="str">
        <f t="shared" si="3"/>
        <v>25753</v>
      </c>
      <c r="C2621" s="8" t="s">
        <v>7388</v>
      </c>
      <c r="D2621" s="8" t="s">
        <v>10055</v>
      </c>
      <c r="E2621" s="8"/>
    </row>
    <row r="2622" spans="1:5" x14ac:dyDescent="0.25">
      <c r="A2622" s="5" t="s">
        <v>7389</v>
      </c>
      <c r="B2622" s="9" t="str">
        <f t="shared" si="3"/>
        <v>25753</v>
      </c>
      <c r="C2622" s="8" t="s">
        <v>7390</v>
      </c>
      <c r="D2622" s="8" t="s">
        <v>10055</v>
      </c>
      <c r="E2622" s="8"/>
    </row>
    <row r="2623" spans="1:5" x14ac:dyDescent="0.25">
      <c r="A2623" s="5" t="s">
        <v>7391</v>
      </c>
      <c r="B2623" s="9" t="str">
        <f t="shared" si="3"/>
        <v>25753</v>
      </c>
      <c r="C2623" s="8" t="s">
        <v>7392</v>
      </c>
      <c r="D2623" s="8" t="s">
        <v>10055</v>
      </c>
      <c r="E2623" s="8"/>
    </row>
    <row r="2624" spans="1:5" x14ac:dyDescent="0.25">
      <c r="A2624" s="5" t="s">
        <v>7393</v>
      </c>
      <c r="B2624" s="9" t="str">
        <f t="shared" si="3"/>
        <v>25753</v>
      </c>
      <c r="C2624" s="8" t="s">
        <v>7394</v>
      </c>
      <c r="D2624" s="8" t="s">
        <v>10055</v>
      </c>
      <c r="E2624" s="8"/>
    </row>
    <row r="2625" spans="1:5" x14ac:dyDescent="0.25">
      <c r="A2625" s="5" t="s">
        <v>7395</v>
      </c>
      <c r="B2625" s="9" t="str">
        <f t="shared" si="3"/>
        <v>25753</v>
      </c>
      <c r="C2625" s="8" t="s">
        <v>7396</v>
      </c>
      <c r="D2625" s="8" t="s">
        <v>10055</v>
      </c>
      <c r="E2625" s="8"/>
    </row>
    <row r="2626" spans="1:5" x14ac:dyDescent="0.25">
      <c r="A2626" s="5" t="s">
        <v>7397</v>
      </c>
      <c r="B2626" s="9" t="str">
        <f t="shared" si="3"/>
        <v>25753</v>
      </c>
      <c r="C2626" s="8" t="s">
        <v>7398</v>
      </c>
      <c r="D2626" s="8" t="s">
        <v>10055</v>
      </c>
      <c r="E2626" s="8"/>
    </row>
    <row r="2627" spans="1:5" x14ac:dyDescent="0.25">
      <c r="A2627" s="5" t="s">
        <v>7399</v>
      </c>
      <c r="B2627" s="9" t="str">
        <f t="shared" si="3"/>
        <v>25753</v>
      </c>
      <c r="C2627" s="8" t="s">
        <v>7400</v>
      </c>
      <c r="D2627" s="8" t="s">
        <v>10055</v>
      </c>
      <c r="E2627" s="8"/>
    </row>
    <row r="2628" spans="1:5" x14ac:dyDescent="0.25">
      <c r="A2628" s="5" t="s">
        <v>7401</v>
      </c>
      <c r="B2628" s="9" t="str">
        <f t="shared" si="3"/>
        <v>25753</v>
      </c>
      <c r="C2628" s="8" t="s">
        <v>7402</v>
      </c>
      <c r="D2628" s="8" t="s">
        <v>10055</v>
      </c>
      <c r="E2628" s="8"/>
    </row>
    <row r="2629" spans="1:5" x14ac:dyDescent="0.25">
      <c r="A2629" s="5" t="s">
        <v>7403</v>
      </c>
      <c r="B2629" s="9" t="str">
        <f t="shared" si="3"/>
        <v>25753</v>
      </c>
      <c r="C2629" s="8" t="s">
        <v>7404</v>
      </c>
      <c r="D2629" s="8" t="s">
        <v>10055</v>
      </c>
      <c r="E2629" s="8"/>
    </row>
    <row r="2630" spans="1:5" x14ac:dyDescent="0.25">
      <c r="A2630" s="5" t="s">
        <v>7405</v>
      </c>
      <c r="B2630" s="9" t="str">
        <f t="shared" si="3"/>
        <v>25753</v>
      </c>
      <c r="C2630" s="8" t="s">
        <v>7406</v>
      </c>
      <c r="D2630" s="8" t="s">
        <v>10055</v>
      </c>
      <c r="E2630" s="8"/>
    </row>
    <row r="2631" spans="1:5" x14ac:dyDescent="0.25">
      <c r="A2631" s="5" t="s">
        <v>7407</v>
      </c>
      <c r="B2631" s="9" t="str">
        <f t="shared" si="3"/>
        <v>25753</v>
      </c>
      <c r="C2631" s="8" t="s">
        <v>7408</v>
      </c>
      <c r="D2631" s="8" t="s">
        <v>10055</v>
      </c>
      <c r="E2631" s="8"/>
    </row>
    <row r="2632" spans="1:5" x14ac:dyDescent="0.25">
      <c r="A2632" s="5" t="s">
        <v>7409</v>
      </c>
      <c r="B2632" s="9" t="str">
        <f t="shared" si="3"/>
        <v>25753</v>
      </c>
      <c r="C2632" s="8" t="s">
        <v>7410</v>
      </c>
      <c r="D2632" s="8" t="s">
        <v>10055</v>
      </c>
      <c r="E2632" s="8"/>
    </row>
    <row r="2633" spans="1:5" x14ac:dyDescent="0.25">
      <c r="A2633" s="5" t="s">
        <v>7411</v>
      </c>
      <c r="B2633" s="9" t="str">
        <f t="shared" si="3"/>
        <v>25753</v>
      </c>
      <c r="C2633" s="8" t="s">
        <v>7412</v>
      </c>
      <c r="D2633" s="8" t="s">
        <v>10055</v>
      </c>
      <c r="E2633" s="8"/>
    </row>
    <row r="2634" spans="1:5" x14ac:dyDescent="0.25">
      <c r="A2634" s="5" t="s">
        <v>7413</v>
      </c>
      <c r="B2634" s="9" t="str">
        <f t="shared" si="3"/>
        <v>25753</v>
      </c>
      <c r="C2634" s="8" t="s">
        <v>7414</v>
      </c>
      <c r="D2634" s="8" t="s">
        <v>10055</v>
      </c>
      <c r="E2634" s="8"/>
    </row>
    <row r="2635" spans="1:5" x14ac:dyDescent="0.25">
      <c r="A2635" s="5" t="s">
        <v>7415</v>
      </c>
      <c r="B2635" s="9" t="str">
        <f t="shared" si="3"/>
        <v>25753</v>
      </c>
      <c r="C2635" s="8" t="s">
        <v>7416</v>
      </c>
      <c r="D2635" s="8" t="s">
        <v>10055</v>
      </c>
      <c r="E2635" s="8"/>
    </row>
    <row r="2636" spans="1:5" x14ac:dyDescent="0.25">
      <c r="A2636" s="5" t="s">
        <v>7417</v>
      </c>
      <c r="B2636" s="9" t="str">
        <f t="shared" si="3"/>
        <v>25753</v>
      </c>
      <c r="C2636" s="8" t="s">
        <v>7418</v>
      </c>
      <c r="D2636" s="8" t="s">
        <v>10055</v>
      </c>
      <c r="E2636" s="8"/>
    </row>
    <row r="2637" spans="1:5" x14ac:dyDescent="0.25">
      <c r="A2637" s="5" t="s">
        <v>7419</v>
      </c>
      <c r="B2637" s="9" t="str">
        <f t="shared" si="3"/>
        <v>25753</v>
      </c>
      <c r="C2637" s="8" t="s">
        <v>7420</v>
      </c>
      <c r="D2637" s="8" t="s">
        <v>10055</v>
      </c>
      <c r="E2637" s="8"/>
    </row>
    <row r="2638" spans="1:5" x14ac:dyDescent="0.25">
      <c r="A2638" s="5" t="s">
        <v>7421</v>
      </c>
      <c r="B2638" s="9" t="str">
        <f t="shared" si="3"/>
        <v>25753</v>
      </c>
      <c r="C2638" s="8" t="s">
        <v>7422</v>
      </c>
      <c r="D2638" s="8" t="s">
        <v>10055</v>
      </c>
      <c r="E2638" s="8"/>
    </row>
    <row r="2639" spans="1:5" x14ac:dyDescent="0.25">
      <c r="A2639" s="5" t="s">
        <v>7423</v>
      </c>
      <c r="B2639" s="9" t="str">
        <f t="shared" si="3"/>
        <v>25753</v>
      </c>
      <c r="C2639" s="8" t="s">
        <v>7424</v>
      </c>
      <c r="D2639" s="8" t="s">
        <v>10055</v>
      </c>
      <c r="E2639" s="8"/>
    </row>
    <row r="2640" spans="1:5" x14ac:dyDescent="0.25">
      <c r="A2640" s="5" t="s">
        <v>7425</v>
      </c>
      <c r="B2640" s="9" t="str">
        <f t="shared" si="3"/>
        <v>25753</v>
      </c>
      <c r="C2640" s="8" t="s">
        <v>7426</v>
      </c>
      <c r="D2640" s="8" t="s">
        <v>10055</v>
      </c>
      <c r="E2640" s="8"/>
    </row>
    <row r="2641" spans="1:5" x14ac:dyDescent="0.25">
      <c r="A2641" s="5" t="s">
        <v>7427</v>
      </c>
      <c r="B2641" s="9" t="str">
        <f t="shared" si="3"/>
        <v>25753</v>
      </c>
      <c r="C2641" s="8" t="s">
        <v>7428</v>
      </c>
      <c r="D2641" s="8" t="s">
        <v>10055</v>
      </c>
      <c r="E2641" s="8"/>
    </row>
    <row r="2642" spans="1:5" x14ac:dyDescent="0.25">
      <c r="A2642" s="5" t="s">
        <v>7429</v>
      </c>
      <c r="B2642" s="9" t="str">
        <f t="shared" si="3"/>
        <v>25753</v>
      </c>
      <c r="C2642" s="8" t="s">
        <v>7430</v>
      </c>
      <c r="D2642" s="8" t="s">
        <v>10055</v>
      </c>
      <c r="E2642" s="8"/>
    </row>
    <row r="2643" spans="1:5" x14ac:dyDescent="0.25">
      <c r="A2643" s="5" t="s">
        <v>7431</v>
      </c>
      <c r="B2643" s="9" t="str">
        <f t="shared" si="3"/>
        <v>25753</v>
      </c>
      <c r="C2643" s="8" t="s">
        <v>7432</v>
      </c>
      <c r="D2643" s="8" t="s">
        <v>10055</v>
      </c>
      <c r="E2643" s="8"/>
    </row>
    <row r="2644" spans="1:5" x14ac:dyDescent="0.25">
      <c r="A2644" s="5" t="s">
        <v>7433</v>
      </c>
      <c r="B2644" s="9" t="str">
        <f t="shared" si="3"/>
        <v>25753</v>
      </c>
      <c r="C2644" s="8" t="s">
        <v>7434</v>
      </c>
      <c r="D2644" s="8" t="s">
        <v>10055</v>
      </c>
      <c r="E2644" s="8"/>
    </row>
    <row r="2645" spans="1:5" x14ac:dyDescent="0.25">
      <c r="A2645" s="5" t="s">
        <v>7435</v>
      </c>
      <c r="B2645" s="9" t="str">
        <f t="shared" si="3"/>
        <v>25753</v>
      </c>
      <c r="C2645" s="8" t="s">
        <v>7436</v>
      </c>
      <c r="D2645" s="8" t="s">
        <v>10055</v>
      </c>
      <c r="E2645" s="8"/>
    </row>
    <row r="2646" spans="1:5" x14ac:dyDescent="0.25">
      <c r="A2646" s="5" t="s">
        <v>7437</v>
      </c>
      <c r="B2646" s="9" t="str">
        <f t="shared" si="3"/>
        <v>25753</v>
      </c>
      <c r="C2646" s="8" t="s">
        <v>7438</v>
      </c>
      <c r="D2646" s="8" t="s">
        <v>10055</v>
      </c>
      <c r="E2646" s="8"/>
    </row>
    <row r="2647" spans="1:5" x14ac:dyDescent="0.25">
      <c r="A2647" s="5" t="s">
        <v>7439</v>
      </c>
      <c r="B2647" s="9" t="str">
        <f t="shared" si="3"/>
        <v>25753</v>
      </c>
      <c r="C2647" s="8" t="s">
        <v>7440</v>
      </c>
      <c r="D2647" s="8" t="s">
        <v>10055</v>
      </c>
      <c r="E2647" s="8"/>
    </row>
    <row r="2648" spans="1:5" x14ac:dyDescent="0.25">
      <c r="A2648" s="5" t="s">
        <v>7441</v>
      </c>
      <c r="B2648" s="9" t="str">
        <f t="shared" si="3"/>
        <v>25753</v>
      </c>
      <c r="C2648" s="8" t="s">
        <v>7442</v>
      </c>
      <c r="D2648" s="8" t="s">
        <v>10055</v>
      </c>
      <c r="E2648" s="8"/>
    </row>
    <row r="2649" spans="1:5" x14ac:dyDescent="0.25">
      <c r="A2649" s="5" t="s">
        <v>7443</v>
      </c>
      <c r="B2649" s="9" t="str">
        <f t="shared" si="3"/>
        <v>25753</v>
      </c>
      <c r="C2649" s="8" t="s">
        <v>7444</v>
      </c>
      <c r="D2649" s="8" t="s">
        <v>10055</v>
      </c>
      <c r="E2649" s="8"/>
    </row>
    <row r="2650" spans="1:5" x14ac:dyDescent="0.25">
      <c r="A2650" s="5" t="s">
        <v>7445</v>
      </c>
      <c r="B2650" s="9" t="str">
        <f t="shared" si="3"/>
        <v>25753</v>
      </c>
      <c r="C2650" s="8" t="s">
        <v>7446</v>
      </c>
      <c r="D2650" s="8" t="s">
        <v>10055</v>
      </c>
      <c r="E2650" s="8"/>
    </row>
    <row r="2651" spans="1:5" x14ac:dyDescent="0.25">
      <c r="A2651" s="5" t="s">
        <v>7447</v>
      </c>
      <c r="B2651" s="9" t="str">
        <f t="shared" si="3"/>
        <v>25753</v>
      </c>
      <c r="C2651" s="8" t="s">
        <v>7448</v>
      </c>
      <c r="D2651" s="8" t="s">
        <v>10055</v>
      </c>
      <c r="E2651" s="8"/>
    </row>
    <row r="2652" spans="1:5" x14ac:dyDescent="0.25">
      <c r="A2652" s="5" t="s">
        <v>7449</v>
      </c>
      <c r="B2652" s="9" t="str">
        <f t="shared" si="3"/>
        <v>25753</v>
      </c>
      <c r="C2652" s="8" t="s">
        <v>7450</v>
      </c>
      <c r="D2652" s="8" t="s">
        <v>10055</v>
      </c>
      <c r="E2652" s="8"/>
    </row>
    <row r="2653" spans="1:5" x14ac:dyDescent="0.25">
      <c r="A2653" s="5" t="s">
        <v>7451</v>
      </c>
      <c r="B2653" s="9" t="str">
        <f t="shared" si="3"/>
        <v>25753</v>
      </c>
      <c r="C2653" s="8" t="s">
        <v>7452</v>
      </c>
      <c r="D2653" s="8" t="s">
        <v>10055</v>
      </c>
      <c r="E2653" s="8"/>
    </row>
    <row r="2654" spans="1:5" x14ac:dyDescent="0.25">
      <c r="A2654" s="5" t="s">
        <v>7453</v>
      </c>
      <c r="B2654" s="9" t="str">
        <f t="shared" si="3"/>
        <v>25753</v>
      </c>
      <c r="C2654" s="8" t="s">
        <v>7454</v>
      </c>
      <c r="D2654" s="8" t="s">
        <v>10055</v>
      </c>
      <c r="E2654" s="8"/>
    </row>
    <row r="2655" spans="1:5" x14ac:dyDescent="0.25">
      <c r="A2655" s="5" t="s">
        <v>7455</v>
      </c>
      <c r="B2655" s="9" t="str">
        <f t="shared" si="3"/>
        <v>25753</v>
      </c>
      <c r="C2655" s="8" t="s">
        <v>7456</v>
      </c>
      <c r="D2655" s="8" t="s">
        <v>10055</v>
      </c>
      <c r="E2655" s="8"/>
    </row>
    <row r="2656" spans="1:5" x14ac:dyDescent="0.25">
      <c r="A2656" s="5" t="s">
        <v>7457</v>
      </c>
      <c r="B2656" s="9" t="str">
        <f t="shared" si="3"/>
        <v>25753</v>
      </c>
      <c r="C2656" s="8" t="s">
        <v>7458</v>
      </c>
      <c r="D2656" s="8" t="s">
        <v>10055</v>
      </c>
      <c r="E2656" s="8"/>
    </row>
    <row r="2657" spans="1:5" x14ac:dyDescent="0.25">
      <c r="A2657" s="5" t="s">
        <v>7459</v>
      </c>
      <c r="B2657" s="9" t="str">
        <f t="shared" si="3"/>
        <v>25753</v>
      </c>
      <c r="C2657" s="8" t="s">
        <v>7460</v>
      </c>
      <c r="D2657" s="8" t="s">
        <v>10055</v>
      </c>
      <c r="E2657" s="8"/>
    </row>
    <row r="2658" spans="1:5" x14ac:dyDescent="0.25">
      <c r="A2658" s="5" t="s">
        <v>7461</v>
      </c>
      <c r="B2658" s="9" t="str">
        <f t="shared" si="3"/>
        <v>25753</v>
      </c>
      <c r="C2658" s="8" t="s">
        <v>7462</v>
      </c>
      <c r="D2658" s="8" t="s">
        <v>10055</v>
      </c>
      <c r="E2658" s="8"/>
    </row>
    <row r="2659" spans="1:5" x14ac:dyDescent="0.25">
      <c r="A2659" s="5" t="s">
        <v>7463</v>
      </c>
      <c r="B2659" s="9" t="str">
        <f t="shared" si="3"/>
        <v>25753</v>
      </c>
      <c r="C2659" s="8" t="s">
        <v>7464</v>
      </c>
      <c r="D2659" s="8" t="s">
        <v>10055</v>
      </c>
      <c r="E2659" s="8"/>
    </row>
    <row r="2660" spans="1:5" x14ac:dyDescent="0.25">
      <c r="A2660" s="5" t="s">
        <v>7465</v>
      </c>
      <c r="B2660" s="9" t="str">
        <f t="shared" si="3"/>
        <v>25753</v>
      </c>
      <c r="C2660" s="8" t="s">
        <v>7466</v>
      </c>
      <c r="D2660" s="8" t="s">
        <v>10055</v>
      </c>
      <c r="E2660" s="8"/>
    </row>
    <row r="2661" spans="1:5" x14ac:dyDescent="0.25">
      <c r="A2661" s="5" t="s">
        <v>7467</v>
      </c>
      <c r="B2661" s="9" t="str">
        <f t="shared" si="3"/>
        <v>25753</v>
      </c>
      <c r="C2661" s="8" t="s">
        <v>7468</v>
      </c>
      <c r="D2661" s="8" t="s">
        <v>10055</v>
      </c>
      <c r="E2661" s="8"/>
    </row>
    <row r="2662" spans="1:5" x14ac:dyDescent="0.25">
      <c r="A2662" s="5" t="s">
        <v>7469</v>
      </c>
      <c r="B2662" s="9" t="str">
        <f t="shared" si="3"/>
        <v>25753</v>
      </c>
      <c r="C2662" s="8" t="s">
        <v>7470</v>
      </c>
      <c r="D2662" s="8" t="s">
        <v>10055</v>
      </c>
      <c r="E2662" s="8"/>
    </row>
    <row r="2663" spans="1:5" x14ac:dyDescent="0.25">
      <c r="A2663" s="5" t="s">
        <v>7471</v>
      </c>
      <c r="B2663" s="9" t="str">
        <f t="shared" si="3"/>
        <v>25753</v>
      </c>
      <c r="C2663" s="8" t="s">
        <v>7472</v>
      </c>
      <c r="D2663" s="8" t="s">
        <v>10055</v>
      </c>
      <c r="E2663" s="8"/>
    </row>
    <row r="2664" spans="1:5" x14ac:dyDescent="0.25">
      <c r="A2664" s="5" t="s">
        <v>7473</v>
      </c>
      <c r="B2664" s="9" t="str">
        <f t="shared" si="3"/>
        <v>25753</v>
      </c>
      <c r="C2664" s="8" t="s">
        <v>7474</v>
      </c>
      <c r="D2664" s="8" t="s">
        <v>10055</v>
      </c>
      <c r="E2664" s="8"/>
    </row>
    <row r="2665" spans="1:5" x14ac:dyDescent="0.25">
      <c r="A2665" s="5" t="s">
        <v>7475</v>
      </c>
      <c r="B2665" s="9" t="str">
        <f t="shared" si="3"/>
        <v>25753</v>
      </c>
      <c r="C2665" s="8" t="s">
        <v>7476</v>
      </c>
      <c r="D2665" s="8" t="s">
        <v>10055</v>
      </c>
      <c r="E2665" s="8"/>
    </row>
    <row r="2666" spans="1:5" x14ac:dyDescent="0.25">
      <c r="A2666" s="5" t="s">
        <v>7477</v>
      </c>
      <c r="B2666" s="9" t="str">
        <f t="shared" si="3"/>
        <v>25753</v>
      </c>
      <c r="C2666" s="8" t="s">
        <v>7478</v>
      </c>
      <c r="D2666" s="8" t="s">
        <v>10055</v>
      </c>
      <c r="E2666" s="8"/>
    </row>
    <row r="2667" spans="1:5" x14ac:dyDescent="0.25">
      <c r="A2667" s="5" t="s">
        <v>7479</v>
      </c>
      <c r="B2667" s="9" t="str">
        <f t="shared" si="3"/>
        <v>25753</v>
      </c>
      <c r="C2667" s="8" t="s">
        <v>7480</v>
      </c>
      <c r="D2667" s="8" t="s">
        <v>10055</v>
      </c>
      <c r="E2667" s="8"/>
    </row>
    <row r="2668" spans="1:5" x14ac:dyDescent="0.25">
      <c r="A2668" s="5" t="s">
        <v>7481</v>
      </c>
      <c r="B2668" s="9" t="str">
        <f t="shared" si="3"/>
        <v>25753</v>
      </c>
      <c r="C2668" s="8" t="s">
        <v>7482</v>
      </c>
      <c r="D2668" s="8" t="s">
        <v>10055</v>
      </c>
      <c r="E2668" s="8"/>
    </row>
    <row r="2669" spans="1:5" x14ac:dyDescent="0.25">
      <c r="A2669" s="5" t="s">
        <v>7483</v>
      </c>
      <c r="B2669" s="9" t="str">
        <f t="shared" si="3"/>
        <v>25753</v>
      </c>
      <c r="C2669" s="8" t="s">
        <v>7484</v>
      </c>
      <c r="D2669" s="8" t="s">
        <v>10055</v>
      </c>
      <c r="E2669" s="8"/>
    </row>
    <row r="2670" spans="1:5" x14ac:dyDescent="0.25">
      <c r="A2670" s="5" t="s">
        <v>7485</v>
      </c>
      <c r="B2670" s="9" t="str">
        <f t="shared" si="3"/>
        <v>25753</v>
      </c>
      <c r="C2670" s="8" t="s">
        <v>7486</v>
      </c>
      <c r="D2670" s="8" t="s">
        <v>10055</v>
      </c>
      <c r="E2670" s="8"/>
    </row>
    <row r="2671" spans="1:5" x14ac:dyDescent="0.25">
      <c r="A2671" s="5" t="s">
        <v>7487</v>
      </c>
      <c r="B2671" s="9" t="str">
        <f t="shared" si="3"/>
        <v>25753</v>
      </c>
      <c r="C2671" s="8" t="s">
        <v>7488</v>
      </c>
      <c r="D2671" s="8" t="s">
        <v>10055</v>
      </c>
      <c r="E2671" s="8"/>
    </row>
    <row r="2672" spans="1:5" x14ac:dyDescent="0.25">
      <c r="A2672" s="5" t="s">
        <v>7489</v>
      </c>
      <c r="B2672" s="9" t="str">
        <f t="shared" si="3"/>
        <v>25753</v>
      </c>
      <c r="C2672" s="8" t="s">
        <v>7490</v>
      </c>
      <c r="D2672" s="8" t="s">
        <v>10055</v>
      </c>
      <c r="E2672" s="8"/>
    </row>
    <row r="2673" spans="1:5" x14ac:dyDescent="0.25">
      <c r="A2673" s="5" t="s">
        <v>7491</v>
      </c>
      <c r="B2673" s="9" t="str">
        <f t="shared" si="3"/>
        <v>25753</v>
      </c>
      <c r="C2673" s="8" t="s">
        <v>7492</v>
      </c>
      <c r="D2673" s="8" t="s">
        <v>10055</v>
      </c>
      <c r="E2673" s="8"/>
    </row>
    <row r="2674" spans="1:5" x14ac:dyDescent="0.25">
      <c r="A2674" s="5" t="s">
        <v>7493</v>
      </c>
      <c r="B2674" s="9" t="str">
        <f t="shared" si="3"/>
        <v>25753</v>
      </c>
      <c r="C2674" s="8" t="s">
        <v>7494</v>
      </c>
      <c r="D2674" s="8" t="s">
        <v>10055</v>
      </c>
      <c r="E2674" s="8"/>
    </row>
    <row r="2675" spans="1:5" x14ac:dyDescent="0.25">
      <c r="A2675" s="5" t="s">
        <v>7495</v>
      </c>
      <c r="B2675" s="9" t="str">
        <f t="shared" si="3"/>
        <v>25753</v>
      </c>
      <c r="C2675" s="8" t="s">
        <v>7496</v>
      </c>
      <c r="D2675" s="8" t="s">
        <v>10055</v>
      </c>
      <c r="E2675" s="8"/>
    </row>
    <row r="2676" spans="1:5" x14ac:dyDescent="0.25">
      <c r="A2676" s="5" t="s">
        <v>7497</v>
      </c>
      <c r="B2676" s="9" t="str">
        <f t="shared" si="3"/>
        <v>25753</v>
      </c>
      <c r="C2676" s="8" t="s">
        <v>7498</v>
      </c>
      <c r="D2676" s="8" t="s">
        <v>10055</v>
      </c>
      <c r="E2676" s="8"/>
    </row>
    <row r="2677" spans="1:5" x14ac:dyDescent="0.25">
      <c r="A2677" s="5" t="s">
        <v>7499</v>
      </c>
      <c r="B2677" s="9" t="str">
        <f t="shared" si="3"/>
        <v>25753</v>
      </c>
      <c r="C2677" s="8" t="s">
        <v>7500</v>
      </c>
      <c r="D2677" s="8" t="s">
        <v>10055</v>
      </c>
      <c r="E2677" s="8"/>
    </row>
    <row r="2678" spans="1:5" x14ac:dyDescent="0.25">
      <c r="A2678" s="5" t="s">
        <v>7501</v>
      </c>
      <c r="B2678" s="9" t="str">
        <f t="shared" si="3"/>
        <v>25753</v>
      </c>
      <c r="C2678" s="8" t="s">
        <v>7502</v>
      </c>
      <c r="D2678" s="8" t="s">
        <v>10055</v>
      </c>
      <c r="E2678" s="8"/>
    </row>
    <row r="2679" spans="1:5" x14ac:dyDescent="0.25">
      <c r="A2679" s="5" t="s">
        <v>7503</v>
      </c>
      <c r="B2679" s="9" t="str">
        <f t="shared" si="3"/>
        <v>25753</v>
      </c>
      <c r="C2679" s="8" t="s">
        <v>7504</v>
      </c>
      <c r="D2679" s="8" t="s">
        <v>10055</v>
      </c>
      <c r="E2679" s="8"/>
    </row>
    <row r="2680" spans="1:5" x14ac:dyDescent="0.25">
      <c r="A2680" s="5" t="s">
        <v>7505</v>
      </c>
      <c r="B2680" s="9" t="str">
        <f t="shared" si="3"/>
        <v>25753</v>
      </c>
      <c r="C2680" s="8" t="s">
        <v>7506</v>
      </c>
      <c r="D2680" s="8" t="s">
        <v>10055</v>
      </c>
      <c r="E2680" s="8"/>
    </row>
    <row r="2681" spans="1:5" x14ac:dyDescent="0.25">
      <c r="A2681" s="5" t="s">
        <v>7507</v>
      </c>
      <c r="B2681" s="9" t="str">
        <f t="shared" si="3"/>
        <v>25753</v>
      </c>
      <c r="C2681" s="8" t="s">
        <v>7508</v>
      </c>
      <c r="D2681" s="8" t="s">
        <v>10055</v>
      </c>
      <c r="E2681" s="8"/>
    </row>
    <row r="2682" spans="1:5" x14ac:dyDescent="0.25">
      <c r="A2682" s="5" t="s">
        <v>7509</v>
      </c>
      <c r="B2682" s="9" t="str">
        <f t="shared" si="3"/>
        <v>25753</v>
      </c>
      <c r="C2682" s="8" t="s">
        <v>7510</v>
      </c>
      <c r="D2682" s="8" t="s">
        <v>10055</v>
      </c>
      <c r="E2682" s="8"/>
    </row>
    <row r="2683" spans="1:5" x14ac:dyDescent="0.25">
      <c r="A2683" s="5" t="s">
        <v>7511</v>
      </c>
      <c r="B2683" s="9" t="str">
        <f t="shared" si="3"/>
        <v>25753</v>
      </c>
      <c r="C2683" s="8" t="s">
        <v>7512</v>
      </c>
      <c r="D2683" s="8" t="s">
        <v>10055</v>
      </c>
      <c r="E2683" s="8"/>
    </row>
    <row r="2684" spans="1:5" x14ac:dyDescent="0.25">
      <c r="A2684" s="5" t="s">
        <v>7513</v>
      </c>
      <c r="B2684" s="9" t="str">
        <f t="shared" si="3"/>
        <v>25753</v>
      </c>
      <c r="C2684" s="8" t="s">
        <v>7514</v>
      </c>
      <c r="D2684" s="8" t="s">
        <v>10055</v>
      </c>
      <c r="E2684" s="8"/>
    </row>
    <row r="2685" spans="1:5" x14ac:dyDescent="0.25">
      <c r="A2685" s="5" t="s">
        <v>7515</v>
      </c>
      <c r="B2685" s="9" t="str">
        <f t="shared" si="3"/>
        <v>25753</v>
      </c>
      <c r="C2685" s="8" t="s">
        <v>7516</v>
      </c>
      <c r="D2685" s="8" t="s">
        <v>10055</v>
      </c>
      <c r="E2685" s="8"/>
    </row>
    <row r="2686" spans="1:5" x14ac:dyDescent="0.25">
      <c r="A2686" s="5" t="s">
        <v>7517</v>
      </c>
      <c r="B2686" s="9" t="str">
        <f t="shared" ref="B2686:B2940" si="4">HYPERLINK("http://biobank.ctsu.ox.ac.uk/crystal/field.cgi?id=25753", "25753")</f>
        <v>25753</v>
      </c>
      <c r="C2686" s="8" t="s">
        <v>7518</v>
      </c>
      <c r="D2686" s="8" t="s">
        <v>10055</v>
      </c>
      <c r="E2686" s="8"/>
    </row>
    <row r="2687" spans="1:5" x14ac:dyDescent="0.25">
      <c r="A2687" s="5" t="s">
        <v>7519</v>
      </c>
      <c r="B2687" s="9" t="str">
        <f t="shared" si="4"/>
        <v>25753</v>
      </c>
      <c r="C2687" s="8" t="s">
        <v>7520</v>
      </c>
      <c r="D2687" s="8" t="s">
        <v>10055</v>
      </c>
      <c r="E2687" s="8"/>
    </row>
    <row r="2688" spans="1:5" x14ac:dyDescent="0.25">
      <c r="A2688" s="5" t="s">
        <v>7521</v>
      </c>
      <c r="B2688" s="9" t="str">
        <f t="shared" si="4"/>
        <v>25753</v>
      </c>
      <c r="C2688" s="8" t="s">
        <v>7522</v>
      </c>
      <c r="D2688" s="8" t="s">
        <v>10055</v>
      </c>
      <c r="E2688" s="8"/>
    </row>
    <row r="2689" spans="1:5" x14ac:dyDescent="0.25">
      <c r="A2689" s="5" t="s">
        <v>7523</v>
      </c>
      <c r="B2689" s="9" t="str">
        <f t="shared" si="4"/>
        <v>25753</v>
      </c>
      <c r="C2689" s="8" t="s">
        <v>7524</v>
      </c>
      <c r="D2689" s="8" t="s">
        <v>10055</v>
      </c>
      <c r="E2689" s="8"/>
    </row>
    <row r="2690" spans="1:5" x14ac:dyDescent="0.25">
      <c r="A2690" s="5" t="s">
        <v>7525</v>
      </c>
      <c r="B2690" s="9" t="str">
        <f t="shared" si="4"/>
        <v>25753</v>
      </c>
      <c r="C2690" s="8" t="s">
        <v>7526</v>
      </c>
      <c r="D2690" s="8" t="s">
        <v>10055</v>
      </c>
      <c r="E2690" s="8"/>
    </row>
    <row r="2691" spans="1:5" x14ac:dyDescent="0.25">
      <c r="A2691" s="5" t="s">
        <v>7527</v>
      </c>
      <c r="B2691" s="9" t="str">
        <f t="shared" si="4"/>
        <v>25753</v>
      </c>
      <c r="C2691" s="8" t="s">
        <v>7528</v>
      </c>
      <c r="D2691" s="8" t="s">
        <v>10055</v>
      </c>
      <c r="E2691" s="8"/>
    </row>
    <row r="2692" spans="1:5" x14ac:dyDescent="0.25">
      <c r="A2692" s="5" t="s">
        <v>7529</v>
      </c>
      <c r="B2692" s="9" t="str">
        <f t="shared" si="4"/>
        <v>25753</v>
      </c>
      <c r="C2692" s="8" t="s">
        <v>7530</v>
      </c>
      <c r="D2692" s="8" t="s">
        <v>10055</v>
      </c>
      <c r="E2692" s="8"/>
    </row>
    <row r="2693" spans="1:5" x14ac:dyDescent="0.25">
      <c r="A2693" s="5" t="s">
        <v>7531</v>
      </c>
      <c r="B2693" s="9" t="str">
        <f t="shared" si="4"/>
        <v>25753</v>
      </c>
      <c r="C2693" s="8" t="s">
        <v>7532</v>
      </c>
      <c r="D2693" s="8" t="s">
        <v>10055</v>
      </c>
      <c r="E2693" s="8"/>
    </row>
    <row r="2694" spans="1:5" x14ac:dyDescent="0.25">
      <c r="A2694" s="5" t="s">
        <v>7533</v>
      </c>
      <c r="B2694" s="9" t="str">
        <f t="shared" si="4"/>
        <v>25753</v>
      </c>
      <c r="C2694" s="8" t="s">
        <v>7534</v>
      </c>
      <c r="D2694" s="8" t="s">
        <v>10055</v>
      </c>
      <c r="E2694" s="8"/>
    </row>
    <row r="2695" spans="1:5" x14ac:dyDescent="0.25">
      <c r="A2695" s="5" t="s">
        <v>7535</v>
      </c>
      <c r="B2695" s="9" t="str">
        <f t="shared" si="4"/>
        <v>25753</v>
      </c>
      <c r="C2695" s="8" t="s">
        <v>7536</v>
      </c>
      <c r="D2695" s="8" t="s">
        <v>10055</v>
      </c>
      <c r="E2695" s="8"/>
    </row>
    <row r="2696" spans="1:5" x14ac:dyDescent="0.25">
      <c r="A2696" s="5" t="s">
        <v>7537</v>
      </c>
      <c r="B2696" s="9" t="str">
        <f t="shared" si="4"/>
        <v>25753</v>
      </c>
      <c r="C2696" s="8" t="s">
        <v>7538</v>
      </c>
      <c r="D2696" s="8" t="s">
        <v>10055</v>
      </c>
      <c r="E2696" s="8"/>
    </row>
    <row r="2697" spans="1:5" x14ac:dyDescent="0.25">
      <c r="A2697" s="5" t="s">
        <v>7539</v>
      </c>
      <c r="B2697" s="9" t="str">
        <f t="shared" si="4"/>
        <v>25753</v>
      </c>
      <c r="C2697" s="8" t="s">
        <v>7540</v>
      </c>
      <c r="D2697" s="8" t="s">
        <v>10055</v>
      </c>
      <c r="E2697" s="8"/>
    </row>
    <row r="2698" spans="1:5" x14ac:dyDescent="0.25">
      <c r="A2698" s="5" t="s">
        <v>7541</v>
      </c>
      <c r="B2698" s="9" t="str">
        <f t="shared" si="4"/>
        <v>25753</v>
      </c>
      <c r="C2698" s="8" t="s">
        <v>7542</v>
      </c>
      <c r="D2698" s="8" t="s">
        <v>10055</v>
      </c>
      <c r="E2698" s="8"/>
    </row>
    <row r="2699" spans="1:5" x14ac:dyDescent="0.25">
      <c r="A2699" s="5" t="s">
        <v>7543</v>
      </c>
      <c r="B2699" s="9" t="str">
        <f t="shared" si="4"/>
        <v>25753</v>
      </c>
      <c r="C2699" s="8" t="s">
        <v>7544</v>
      </c>
      <c r="D2699" s="8" t="s">
        <v>10055</v>
      </c>
      <c r="E2699" s="8"/>
    </row>
    <row r="2700" spans="1:5" x14ac:dyDescent="0.25">
      <c r="A2700" s="5" t="s">
        <v>7545</v>
      </c>
      <c r="B2700" s="9" t="str">
        <f t="shared" si="4"/>
        <v>25753</v>
      </c>
      <c r="C2700" s="8" t="s">
        <v>7546</v>
      </c>
      <c r="D2700" s="8" t="s">
        <v>10055</v>
      </c>
      <c r="E2700" s="8"/>
    </row>
    <row r="2701" spans="1:5" x14ac:dyDescent="0.25">
      <c r="A2701" s="5" t="s">
        <v>7547</v>
      </c>
      <c r="B2701" s="9" t="str">
        <f t="shared" si="4"/>
        <v>25753</v>
      </c>
      <c r="C2701" s="8" t="s">
        <v>7548</v>
      </c>
      <c r="D2701" s="8" t="s">
        <v>10055</v>
      </c>
      <c r="E2701" s="8"/>
    </row>
    <row r="2702" spans="1:5" x14ac:dyDescent="0.25">
      <c r="A2702" s="5" t="s">
        <v>7549</v>
      </c>
      <c r="B2702" s="9" t="str">
        <f t="shared" si="4"/>
        <v>25753</v>
      </c>
      <c r="C2702" s="8" t="s">
        <v>7550</v>
      </c>
      <c r="D2702" s="8" t="s">
        <v>10055</v>
      </c>
      <c r="E2702" s="8"/>
    </row>
    <row r="2703" spans="1:5" x14ac:dyDescent="0.25">
      <c r="A2703" s="5" t="s">
        <v>7551</v>
      </c>
      <c r="B2703" s="9" t="str">
        <f t="shared" si="4"/>
        <v>25753</v>
      </c>
      <c r="C2703" s="8" t="s">
        <v>7552</v>
      </c>
      <c r="D2703" s="8" t="s">
        <v>10055</v>
      </c>
      <c r="E2703" s="8"/>
    </row>
    <row r="2704" spans="1:5" x14ac:dyDescent="0.25">
      <c r="A2704" s="5" t="s">
        <v>7553</v>
      </c>
      <c r="B2704" s="9" t="str">
        <f t="shared" si="4"/>
        <v>25753</v>
      </c>
      <c r="C2704" s="8" t="s">
        <v>7554</v>
      </c>
      <c r="D2704" s="8" t="s">
        <v>10055</v>
      </c>
      <c r="E2704" s="8"/>
    </row>
    <row r="2705" spans="1:5" x14ac:dyDescent="0.25">
      <c r="A2705" s="5" t="s">
        <v>7555</v>
      </c>
      <c r="B2705" s="9" t="str">
        <f t="shared" si="4"/>
        <v>25753</v>
      </c>
      <c r="C2705" s="8" t="s">
        <v>7556</v>
      </c>
      <c r="D2705" s="8" t="s">
        <v>10055</v>
      </c>
      <c r="E2705" s="8"/>
    </row>
    <row r="2706" spans="1:5" x14ac:dyDescent="0.25">
      <c r="A2706" s="5" t="s">
        <v>7557</v>
      </c>
      <c r="B2706" s="9" t="str">
        <f t="shared" si="4"/>
        <v>25753</v>
      </c>
      <c r="C2706" s="8" t="s">
        <v>7558</v>
      </c>
      <c r="D2706" s="8" t="s">
        <v>10055</v>
      </c>
      <c r="E2706" s="8"/>
    </row>
    <row r="2707" spans="1:5" x14ac:dyDescent="0.25">
      <c r="A2707" s="5" t="s">
        <v>7559</v>
      </c>
      <c r="B2707" s="9" t="str">
        <f t="shared" si="4"/>
        <v>25753</v>
      </c>
      <c r="C2707" s="8" t="s">
        <v>7560</v>
      </c>
      <c r="D2707" s="8" t="s">
        <v>10055</v>
      </c>
      <c r="E2707" s="8"/>
    </row>
    <row r="2708" spans="1:5" x14ac:dyDescent="0.25">
      <c r="A2708" s="5" t="s">
        <v>7561</v>
      </c>
      <c r="B2708" s="9" t="str">
        <f t="shared" si="4"/>
        <v>25753</v>
      </c>
      <c r="C2708" s="8" t="s">
        <v>7562</v>
      </c>
      <c r="D2708" s="8" t="s">
        <v>10055</v>
      </c>
      <c r="E2708" s="8"/>
    </row>
    <row r="2709" spans="1:5" x14ac:dyDescent="0.25">
      <c r="A2709" s="5" t="s">
        <v>7563</v>
      </c>
      <c r="B2709" s="9" t="str">
        <f t="shared" si="4"/>
        <v>25753</v>
      </c>
      <c r="C2709" s="8" t="s">
        <v>7564</v>
      </c>
      <c r="D2709" s="8" t="s">
        <v>10055</v>
      </c>
      <c r="E2709" s="8"/>
    </row>
    <row r="2710" spans="1:5" x14ac:dyDescent="0.25">
      <c r="A2710" s="5" t="s">
        <v>7565</v>
      </c>
      <c r="B2710" s="9" t="str">
        <f t="shared" si="4"/>
        <v>25753</v>
      </c>
      <c r="C2710" s="8" t="s">
        <v>7566</v>
      </c>
      <c r="D2710" s="8" t="s">
        <v>10055</v>
      </c>
      <c r="E2710" s="8"/>
    </row>
    <row r="2711" spans="1:5" x14ac:dyDescent="0.25">
      <c r="A2711" s="5" t="s">
        <v>7567</v>
      </c>
      <c r="B2711" s="9" t="str">
        <f t="shared" si="4"/>
        <v>25753</v>
      </c>
      <c r="C2711" s="8" t="s">
        <v>7568</v>
      </c>
      <c r="D2711" s="8" t="s">
        <v>10055</v>
      </c>
      <c r="E2711" s="8"/>
    </row>
    <row r="2712" spans="1:5" x14ac:dyDescent="0.25">
      <c r="A2712" s="5" t="s">
        <v>7569</v>
      </c>
      <c r="B2712" s="9" t="str">
        <f t="shared" si="4"/>
        <v>25753</v>
      </c>
      <c r="C2712" s="8" t="s">
        <v>7570</v>
      </c>
      <c r="D2712" s="8" t="s">
        <v>10055</v>
      </c>
      <c r="E2712" s="8"/>
    </row>
    <row r="2713" spans="1:5" x14ac:dyDescent="0.25">
      <c r="A2713" s="5" t="s">
        <v>7571</v>
      </c>
      <c r="B2713" s="9" t="str">
        <f t="shared" si="4"/>
        <v>25753</v>
      </c>
      <c r="C2713" s="8" t="s">
        <v>7572</v>
      </c>
      <c r="D2713" s="8" t="s">
        <v>10055</v>
      </c>
      <c r="E2713" s="8"/>
    </row>
    <row r="2714" spans="1:5" x14ac:dyDescent="0.25">
      <c r="A2714" s="5" t="s">
        <v>7573</v>
      </c>
      <c r="B2714" s="9" t="str">
        <f t="shared" si="4"/>
        <v>25753</v>
      </c>
      <c r="C2714" s="8" t="s">
        <v>7574</v>
      </c>
      <c r="D2714" s="8" t="s">
        <v>10055</v>
      </c>
      <c r="E2714" s="8"/>
    </row>
    <row r="2715" spans="1:5" x14ac:dyDescent="0.25">
      <c r="A2715" s="5" t="s">
        <v>7575</v>
      </c>
      <c r="B2715" s="9" t="str">
        <f t="shared" si="4"/>
        <v>25753</v>
      </c>
      <c r="C2715" s="8" t="s">
        <v>7576</v>
      </c>
      <c r="D2715" s="8" t="s">
        <v>10055</v>
      </c>
      <c r="E2715" s="8"/>
    </row>
    <row r="2716" spans="1:5" x14ac:dyDescent="0.25">
      <c r="A2716" s="5" t="s">
        <v>7577</v>
      </c>
      <c r="B2716" s="9" t="str">
        <f t="shared" si="4"/>
        <v>25753</v>
      </c>
      <c r="C2716" s="8" t="s">
        <v>7578</v>
      </c>
      <c r="D2716" s="8" t="s">
        <v>10055</v>
      </c>
      <c r="E2716" s="8"/>
    </row>
    <row r="2717" spans="1:5" x14ac:dyDescent="0.25">
      <c r="A2717" s="5" t="s">
        <v>7579</v>
      </c>
      <c r="B2717" s="9" t="str">
        <f t="shared" si="4"/>
        <v>25753</v>
      </c>
      <c r="C2717" s="8" t="s">
        <v>7580</v>
      </c>
      <c r="D2717" s="8" t="s">
        <v>10055</v>
      </c>
      <c r="E2717" s="8"/>
    </row>
    <row r="2718" spans="1:5" x14ac:dyDescent="0.25">
      <c r="A2718" s="5" t="s">
        <v>7581</v>
      </c>
      <c r="B2718" s="9" t="str">
        <f t="shared" si="4"/>
        <v>25753</v>
      </c>
      <c r="C2718" s="8" t="s">
        <v>7582</v>
      </c>
      <c r="D2718" s="8" t="s">
        <v>10055</v>
      </c>
      <c r="E2718" s="8"/>
    </row>
    <row r="2719" spans="1:5" x14ac:dyDescent="0.25">
      <c r="A2719" s="5" t="s">
        <v>7583</v>
      </c>
      <c r="B2719" s="9" t="str">
        <f t="shared" si="4"/>
        <v>25753</v>
      </c>
      <c r="C2719" s="8" t="s">
        <v>7584</v>
      </c>
      <c r="D2719" s="8" t="s">
        <v>10055</v>
      </c>
      <c r="E2719" s="8"/>
    </row>
    <row r="2720" spans="1:5" x14ac:dyDescent="0.25">
      <c r="A2720" s="5" t="s">
        <v>7585</v>
      </c>
      <c r="B2720" s="9" t="str">
        <f t="shared" si="4"/>
        <v>25753</v>
      </c>
      <c r="C2720" s="8" t="s">
        <v>7586</v>
      </c>
      <c r="D2720" s="8" t="s">
        <v>10055</v>
      </c>
      <c r="E2720" s="8"/>
    </row>
    <row r="2721" spans="1:5" x14ac:dyDescent="0.25">
      <c r="A2721" s="5" t="s">
        <v>7587</v>
      </c>
      <c r="B2721" s="9" t="str">
        <f t="shared" si="4"/>
        <v>25753</v>
      </c>
      <c r="C2721" s="8" t="s">
        <v>7588</v>
      </c>
      <c r="D2721" s="8" t="s">
        <v>10055</v>
      </c>
      <c r="E2721" s="8"/>
    </row>
    <row r="2722" spans="1:5" x14ac:dyDescent="0.25">
      <c r="A2722" s="5" t="s">
        <v>7589</v>
      </c>
      <c r="B2722" s="9" t="str">
        <f t="shared" si="4"/>
        <v>25753</v>
      </c>
      <c r="C2722" s="8" t="s">
        <v>7590</v>
      </c>
      <c r="D2722" s="8" t="s">
        <v>10055</v>
      </c>
      <c r="E2722" s="8"/>
    </row>
    <row r="2723" spans="1:5" x14ac:dyDescent="0.25">
      <c r="A2723" s="5" t="s">
        <v>7591</v>
      </c>
      <c r="B2723" s="9" t="str">
        <f t="shared" si="4"/>
        <v>25753</v>
      </c>
      <c r="C2723" s="8" t="s">
        <v>7592</v>
      </c>
      <c r="D2723" s="8" t="s">
        <v>10055</v>
      </c>
      <c r="E2723" s="8"/>
    </row>
    <row r="2724" spans="1:5" x14ac:dyDescent="0.25">
      <c r="A2724" s="5" t="s">
        <v>7593</v>
      </c>
      <c r="B2724" s="9" t="str">
        <f t="shared" si="4"/>
        <v>25753</v>
      </c>
      <c r="C2724" s="8" t="s">
        <v>7594</v>
      </c>
      <c r="D2724" s="8" t="s">
        <v>10055</v>
      </c>
      <c r="E2724" s="8"/>
    </row>
    <row r="2725" spans="1:5" x14ac:dyDescent="0.25">
      <c r="A2725" s="5" t="s">
        <v>7595</v>
      </c>
      <c r="B2725" s="9" t="str">
        <f t="shared" si="4"/>
        <v>25753</v>
      </c>
      <c r="C2725" s="8" t="s">
        <v>7596</v>
      </c>
      <c r="D2725" s="8" t="s">
        <v>10055</v>
      </c>
      <c r="E2725" s="8"/>
    </row>
    <row r="2726" spans="1:5" x14ac:dyDescent="0.25">
      <c r="A2726" s="5" t="s">
        <v>7597</v>
      </c>
      <c r="B2726" s="9" t="str">
        <f t="shared" si="4"/>
        <v>25753</v>
      </c>
      <c r="C2726" s="8" t="s">
        <v>7598</v>
      </c>
      <c r="D2726" s="8" t="s">
        <v>10055</v>
      </c>
      <c r="E2726" s="8"/>
    </row>
    <row r="2727" spans="1:5" x14ac:dyDescent="0.25">
      <c r="A2727" s="5" t="s">
        <v>7599</v>
      </c>
      <c r="B2727" s="9" t="str">
        <f t="shared" si="4"/>
        <v>25753</v>
      </c>
      <c r="C2727" s="8" t="s">
        <v>7600</v>
      </c>
      <c r="D2727" s="8" t="s">
        <v>10055</v>
      </c>
      <c r="E2727" s="8"/>
    </row>
    <row r="2728" spans="1:5" x14ac:dyDescent="0.25">
      <c r="A2728" s="5" t="s">
        <v>7601</v>
      </c>
      <c r="B2728" s="9" t="str">
        <f t="shared" si="4"/>
        <v>25753</v>
      </c>
      <c r="C2728" s="8" t="s">
        <v>7602</v>
      </c>
      <c r="D2728" s="8" t="s">
        <v>10055</v>
      </c>
      <c r="E2728" s="8"/>
    </row>
    <row r="2729" spans="1:5" x14ac:dyDescent="0.25">
      <c r="A2729" s="5" t="s">
        <v>7603</v>
      </c>
      <c r="B2729" s="9" t="str">
        <f t="shared" si="4"/>
        <v>25753</v>
      </c>
      <c r="C2729" s="8" t="s">
        <v>7604</v>
      </c>
      <c r="D2729" s="8" t="s">
        <v>10055</v>
      </c>
      <c r="E2729" s="8"/>
    </row>
    <row r="2730" spans="1:5" x14ac:dyDescent="0.25">
      <c r="A2730" s="5" t="s">
        <v>7605</v>
      </c>
      <c r="B2730" s="9" t="str">
        <f t="shared" si="4"/>
        <v>25753</v>
      </c>
      <c r="C2730" s="8" t="s">
        <v>7606</v>
      </c>
      <c r="D2730" s="8" t="s">
        <v>10055</v>
      </c>
      <c r="E2730" s="8"/>
    </row>
    <row r="2731" spans="1:5" x14ac:dyDescent="0.25">
      <c r="A2731" s="5" t="s">
        <v>7607</v>
      </c>
      <c r="B2731" s="9" t="str">
        <f t="shared" si="4"/>
        <v>25753</v>
      </c>
      <c r="C2731" s="8" t="s">
        <v>7608</v>
      </c>
      <c r="D2731" s="8" t="s">
        <v>10055</v>
      </c>
      <c r="E2731" s="8"/>
    </row>
    <row r="2732" spans="1:5" x14ac:dyDescent="0.25">
      <c r="A2732" s="5" t="s">
        <v>7609</v>
      </c>
      <c r="B2732" s="9" t="str">
        <f t="shared" si="4"/>
        <v>25753</v>
      </c>
      <c r="C2732" s="8" t="s">
        <v>7610</v>
      </c>
      <c r="D2732" s="8" t="s">
        <v>10055</v>
      </c>
      <c r="E2732" s="8"/>
    </row>
    <row r="2733" spans="1:5" x14ac:dyDescent="0.25">
      <c r="A2733" s="5" t="s">
        <v>7611</v>
      </c>
      <c r="B2733" s="9" t="str">
        <f t="shared" si="4"/>
        <v>25753</v>
      </c>
      <c r="C2733" s="8" t="s">
        <v>7612</v>
      </c>
      <c r="D2733" s="8" t="s">
        <v>10055</v>
      </c>
      <c r="E2733" s="8"/>
    </row>
    <row r="2734" spans="1:5" x14ac:dyDescent="0.25">
      <c r="A2734" s="5" t="s">
        <v>7613</v>
      </c>
      <c r="B2734" s="9" t="str">
        <f t="shared" si="4"/>
        <v>25753</v>
      </c>
      <c r="C2734" s="8" t="s">
        <v>7614</v>
      </c>
      <c r="D2734" s="8" t="s">
        <v>10055</v>
      </c>
      <c r="E2734" s="8"/>
    </row>
    <row r="2735" spans="1:5" x14ac:dyDescent="0.25">
      <c r="A2735" s="5" t="s">
        <v>7615</v>
      </c>
      <c r="B2735" s="9" t="str">
        <f t="shared" si="4"/>
        <v>25753</v>
      </c>
      <c r="C2735" s="8" t="s">
        <v>7616</v>
      </c>
      <c r="D2735" s="8" t="s">
        <v>10055</v>
      </c>
      <c r="E2735" s="8"/>
    </row>
    <row r="2736" spans="1:5" x14ac:dyDescent="0.25">
      <c r="A2736" s="5" t="s">
        <v>7617</v>
      </c>
      <c r="B2736" s="9" t="str">
        <f t="shared" si="4"/>
        <v>25753</v>
      </c>
      <c r="C2736" s="8" t="s">
        <v>7618</v>
      </c>
      <c r="D2736" s="8" t="s">
        <v>10055</v>
      </c>
      <c r="E2736" s="8"/>
    </row>
    <row r="2737" spans="1:5" x14ac:dyDescent="0.25">
      <c r="A2737" s="5" t="s">
        <v>7619</v>
      </c>
      <c r="B2737" s="9" t="str">
        <f t="shared" si="4"/>
        <v>25753</v>
      </c>
      <c r="C2737" s="8" t="s">
        <v>7620</v>
      </c>
      <c r="D2737" s="8" t="s">
        <v>10055</v>
      </c>
      <c r="E2737" s="8"/>
    </row>
    <row r="2738" spans="1:5" x14ac:dyDescent="0.25">
      <c r="A2738" s="5" t="s">
        <v>7621</v>
      </c>
      <c r="B2738" s="9" t="str">
        <f t="shared" si="4"/>
        <v>25753</v>
      </c>
      <c r="C2738" s="8" t="s">
        <v>7622</v>
      </c>
      <c r="D2738" s="8" t="s">
        <v>10055</v>
      </c>
      <c r="E2738" s="8"/>
    </row>
    <row r="2739" spans="1:5" x14ac:dyDescent="0.25">
      <c r="A2739" s="5" t="s">
        <v>7623</v>
      </c>
      <c r="B2739" s="9" t="str">
        <f t="shared" si="4"/>
        <v>25753</v>
      </c>
      <c r="C2739" s="8" t="s">
        <v>7624</v>
      </c>
      <c r="D2739" s="8" t="s">
        <v>10055</v>
      </c>
      <c r="E2739" s="8"/>
    </row>
    <row r="2740" spans="1:5" x14ac:dyDescent="0.25">
      <c r="A2740" s="5" t="s">
        <v>7625</v>
      </c>
      <c r="B2740" s="9" t="str">
        <f t="shared" si="4"/>
        <v>25753</v>
      </c>
      <c r="C2740" s="8" t="s">
        <v>7626</v>
      </c>
      <c r="D2740" s="8" t="s">
        <v>10055</v>
      </c>
      <c r="E2740" s="8"/>
    </row>
    <row r="2741" spans="1:5" x14ac:dyDescent="0.25">
      <c r="A2741" s="5" t="s">
        <v>7627</v>
      </c>
      <c r="B2741" s="9" t="str">
        <f t="shared" si="4"/>
        <v>25753</v>
      </c>
      <c r="C2741" s="8" t="s">
        <v>7628</v>
      </c>
      <c r="D2741" s="8" t="s">
        <v>10055</v>
      </c>
      <c r="E2741" s="8"/>
    </row>
    <row r="2742" spans="1:5" x14ac:dyDescent="0.25">
      <c r="A2742" s="5" t="s">
        <v>7629</v>
      </c>
      <c r="B2742" s="9" t="str">
        <f t="shared" si="4"/>
        <v>25753</v>
      </c>
      <c r="C2742" s="8" t="s">
        <v>7630</v>
      </c>
      <c r="D2742" s="8" t="s">
        <v>10055</v>
      </c>
      <c r="E2742" s="8"/>
    </row>
    <row r="2743" spans="1:5" x14ac:dyDescent="0.25">
      <c r="A2743" s="5" t="s">
        <v>7631</v>
      </c>
      <c r="B2743" s="9" t="str">
        <f t="shared" si="4"/>
        <v>25753</v>
      </c>
      <c r="C2743" s="8" t="s">
        <v>7632</v>
      </c>
      <c r="D2743" s="8" t="s">
        <v>10055</v>
      </c>
      <c r="E2743" s="8"/>
    </row>
    <row r="2744" spans="1:5" x14ac:dyDescent="0.25">
      <c r="A2744" s="5" t="s">
        <v>7633</v>
      </c>
      <c r="B2744" s="9" t="str">
        <f t="shared" si="4"/>
        <v>25753</v>
      </c>
      <c r="C2744" s="8" t="s">
        <v>7634</v>
      </c>
      <c r="D2744" s="8" t="s">
        <v>10055</v>
      </c>
      <c r="E2744" s="8"/>
    </row>
    <row r="2745" spans="1:5" x14ac:dyDescent="0.25">
      <c r="A2745" s="5" t="s">
        <v>7635</v>
      </c>
      <c r="B2745" s="9" t="str">
        <f t="shared" si="4"/>
        <v>25753</v>
      </c>
      <c r="C2745" s="8" t="s">
        <v>7636</v>
      </c>
      <c r="D2745" s="8" t="s">
        <v>10055</v>
      </c>
      <c r="E2745" s="8"/>
    </row>
    <row r="2746" spans="1:5" x14ac:dyDescent="0.25">
      <c r="A2746" s="5" t="s">
        <v>7637</v>
      </c>
      <c r="B2746" s="9" t="str">
        <f t="shared" si="4"/>
        <v>25753</v>
      </c>
      <c r="C2746" s="8" t="s">
        <v>7638</v>
      </c>
      <c r="D2746" s="8" t="s">
        <v>10055</v>
      </c>
      <c r="E2746" s="8"/>
    </row>
    <row r="2747" spans="1:5" x14ac:dyDescent="0.25">
      <c r="A2747" s="5" t="s">
        <v>7639</v>
      </c>
      <c r="B2747" s="9" t="str">
        <f t="shared" si="4"/>
        <v>25753</v>
      </c>
      <c r="C2747" s="8" t="s">
        <v>7640</v>
      </c>
      <c r="D2747" s="8" t="s">
        <v>10055</v>
      </c>
      <c r="E2747" s="8"/>
    </row>
    <row r="2748" spans="1:5" x14ac:dyDescent="0.25">
      <c r="A2748" s="5" t="s">
        <v>7641</v>
      </c>
      <c r="B2748" s="9" t="str">
        <f t="shared" si="4"/>
        <v>25753</v>
      </c>
      <c r="C2748" s="8" t="s">
        <v>7642</v>
      </c>
      <c r="D2748" s="8" t="s">
        <v>10055</v>
      </c>
      <c r="E2748" s="8"/>
    </row>
    <row r="2749" spans="1:5" x14ac:dyDescent="0.25">
      <c r="A2749" s="5" t="s">
        <v>7643</v>
      </c>
      <c r="B2749" s="9" t="str">
        <f t="shared" si="4"/>
        <v>25753</v>
      </c>
      <c r="C2749" s="8" t="s">
        <v>7644</v>
      </c>
      <c r="D2749" s="8" t="s">
        <v>10055</v>
      </c>
      <c r="E2749" s="8"/>
    </row>
    <row r="2750" spans="1:5" x14ac:dyDescent="0.25">
      <c r="A2750" s="5" t="s">
        <v>7645</v>
      </c>
      <c r="B2750" s="9" t="str">
        <f t="shared" si="4"/>
        <v>25753</v>
      </c>
      <c r="C2750" s="8" t="s">
        <v>7646</v>
      </c>
      <c r="D2750" s="8" t="s">
        <v>10055</v>
      </c>
      <c r="E2750" s="8"/>
    </row>
    <row r="2751" spans="1:5" x14ac:dyDescent="0.25">
      <c r="A2751" s="5" t="s">
        <v>7647</v>
      </c>
      <c r="B2751" s="9" t="str">
        <f t="shared" si="4"/>
        <v>25753</v>
      </c>
      <c r="C2751" s="8" t="s">
        <v>7648</v>
      </c>
      <c r="D2751" s="8" t="s">
        <v>10055</v>
      </c>
      <c r="E2751" s="8"/>
    </row>
    <row r="2752" spans="1:5" x14ac:dyDescent="0.25">
      <c r="A2752" s="5" t="s">
        <v>7649</v>
      </c>
      <c r="B2752" s="9" t="str">
        <f t="shared" si="4"/>
        <v>25753</v>
      </c>
      <c r="C2752" s="8" t="s">
        <v>7650</v>
      </c>
      <c r="D2752" s="8" t="s">
        <v>10055</v>
      </c>
      <c r="E2752" s="8"/>
    </row>
    <row r="2753" spans="1:5" x14ac:dyDescent="0.25">
      <c r="A2753" s="5" t="s">
        <v>7651</v>
      </c>
      <c r="B2753" s="9" t="str">
        <f t="shared" si="4"/>
        <v>25753</v>
      </c>
      <c r="C2753" s="8" t="s">
        <v>7652</v>
      </c>
      <c r="D2753" s="8" t="s">
        <v>10055</v>
      </c>
      <c r="E2753" s="8"/>
    </row>
    <row r="2754" spans="1:5" x14ac:dyDescent="0.25">
      <c r="A2754" s="5" t="s">
        <v>7653</v>
      </c>
      <c r="B2754" s="9" t="str">
        <f t="shared" si="4"/>
        <v>25753</v>
      </c>
      <c r="C2754" s="8" t="s">
        <v>7654</v>
      </c>
      <c r="D2754" s="8" t="s">
        <v>10055</v>
      </c>
      <c r="E2754" s="8"/>
    </row>
    <row r="2755" spans="1:5" x14ac:dyDescent="0.25">
      <c r="A2755" s="5" t="s">
        <v>7655</v>
      </c>
      <c r="B2755" s="9" t="str">
        <f t="shared" si="4"/>
        <v>25753</v>
      </c>
      <c r="C2755" s="8" t="s">
        <v>7656</v>
      </c>
      <c r="D2755" s="8" t="s">
        <v>10055</v>
      </c>
      <c r="E2755" s="8"/>
    </row>
    <row r="2756" spans="1:5" x14ac:dyDescent="0.25">
      <c r="A2756" s="5" t="s">
        <v>7657</v>
      </c>
      <c r="B2756" s="9" t="str">
        <f t="shared" si="4"/>
        <v>25753</v>
      </c>
      <c r="C2756" s="8" t="s">
        <v>7658</v>
      </c>
      <c r="D2756" s="8" t="s">
        <v>10055</v>
      </c>
      <c r="E2756" s="8"/>
    </row>
    <row r="2757" spans="1:5" x14ac:dyDescent="0.25">
      <c r="A2757" s="5" t="s">
        <v>7659</v>
      </c>
      <c r="B2757" s="9" t="str">
        <f t="shared" si="4"/>
        <v>25753</v>
      </c>
      <c r="C2757" s="8" t="s">
        <v>7660</v>
      </c>
      <c r="D2757" s="8" t="s">
        <v>10055</v>
      </c>
      <c r="E2757" s="8"/>
    </row>
    <row r="2758" spans="1:5" x14ac:dyDescent="0.25">
      <c r="A2758" s="5" t="s">
        <v>7661</v>
      </c>
      <c r="B2758" s="9" t="str">
        <f t="shared" si="4"/>
        <v>25753</v>
      </c>
      <c r="C2758" s="8" t="s">
        <v>7662</v>
      </c>
      <c r="D2758" s="8" t="s">
        <v>10055</v>
      </c>
      <c r="E2758" s="8"/>
    </row>
    <row r="2759" spans="1:5" x14ac:dyDescent="0.25">
      <c r="A2759" s="5" t="s">
        <v>7663</v>
      </c>
      <c r="B2759" s="9" t="str">
        <f t="shared" si="4"/>
        <v>25753</v>
      </c>
      <c r="C2759" s="8" t="s">
        <v>7664</v>
      </c>
      <c r="D2759" s="8" t="s">
        <v>10055</v>
      </c>
      <c r="E2759" s="8"/>
    </row>
    <row r="2760" spans="1:5" x14ac:dyDescent="0.25">
      <c r="A2760" s="5" t="s">
        <v>7665</v>
      </c>
      <c r="B2760" s="9" t="str">
        <f t="shared" si="4"/>
        <v>25753</v>
      </c>
      <c r="C2760" s="8" t="s">
        <v>7666</v>
      </c>
      <c r="D2760" s="8" t="s">
        <v>10055</v>
      </c>
      <c r="E2760" s="8"/>
    </row>
    <row r="2761" spans="1:5" x14ac:dyDescent="0.25">
      <c r="A2761" s="5" t="s">
        <v>7667</v>
      </c>
      <c r="B2761" s="9" t="str">
        <f t="shared" si="4"/>
        <v>25753</v>
      </c>
      <c r="C2761" s="8" t="s">
        <v>7668</v>
      </c>
      <c r="D2761" s="8" t="s">
        <v>10055</v>
      </c>
      <c r="E2761" s="8"/>
    </row>
    <row r="2762" spans="1:5" x14ac:dyDescent="0.25">
      <c r="A2762" s="5" t="s">
        <v>7669</v>
      </c>
      <c r="B2762" s="9" t="str">
        <f t="shared" si="4"/>
        <v>25753</v>
      </c>
      <c r="C2762" s="8" t="s">
        <v>7670</v>
      </c>
      <c r="D2762" s="8" t="s">
        <v>10055</v>
      </c>
      <c r="E2762" s="8"/>
    </row>
    <row r="2763" spans="1:5" x14ac:dyDescent="0.25">
      <c r="A2763" s="5" t="s">
        <v>7671</v>
      </c>
      <c r="B2763" s="9" t="str">
        <f t="shared" si="4"/>
        <v>25753</v>
      </c>
      <c r="C2763" s="8" t="s">
        <v>7672</v>
      </c>
      <c r="D2763" s="8" t="s">
        <v>10055</v>
      </c>
      <c r="E2763" s="8"/>
    </row>
    <row r="2764" spans="1:5" x14ac:dyDescent="0.25">
      <c r="A2764" s="5" t="s">
        <v>7673</v>
      </c>
      <c r="B2764" s="9" t="str">
        <f t="shared" si="4"/>
        <v>25753</v>
      </c>
      <c r="C2764" s="8" t="s">
        <v>7674</v>
      </c>
      <c r="D2764" s="8" t="s">
        <v>10055</v>
      </c>
      <c r="E2764" s="8"/>
    </row>
    <row r="2765" spans="1:5" x14ac:dyDescent="0.25">
      <c r="A2765" s="5" t="s">
        <v>7675</v>
      </c>
      <c r="B2765" s="9" t="str">
        <f t="shared" si="4"/>
        <v>25753</v>
      </c>
      <c r="C2765" s="8" t="s">
        <v>7676</v>
      </c>
      <c r="D2765" s="8" t="s">
        <v>10055</v>
      </c>
      <c r="E2765" s="8"/>
    </row>
    <row r="2766" spans="1:5" x14ac:dyDescent="0.25">
      <c r="A2766" s="5" t="s">
        <v>7677</v>
      </c>
      <c r="B2766" s="9" t="str">
        <f t="shared" si="4"/>
        <v>25753</v>
      </c>
      <c r="C2766" s="8" t="s">
        <v>7678</v>
      </c>
      <c r="D2766" s="8" t="s">
        <v>10055</v>
      </c>
      <c r="E2766" s="8"/>
    </row>
    <row r="2767" spans="1:5" x14ac:dyDescent="0.25">
      <c r="A2767" s="5" t="s">
        <v>7679</v>
      </c>
      <c r="B2767" s="9" t="str">
        <f t="shared" si="4"/>
        <v>25753</v>
      </c>
      <c r="C2767" s="8" t="s">
        <v>7680</v>
      </c>
      <c r="D2767" s="8" t="s">
        <v>10055</v>
      </c>
      <c r="E2767" s="8"/>
    </row>
    <row r="2768" spans="1:5" x14ac:dyDescent="0.25">
      <c r="A2768" s="5" t="s">
        <v>7681</v>
      </c>
      <c r="B2768" s="9" t="str">
        <f t="shared" si="4"/>
        <v>25753</v>
      </c>
      <c r="C2768" s="8" t="s">
        <v>7682</v>
      </c>
      <c r="D2768" s="8" t="s">
        <v>10055</v>
      </c>
      <c r="E2768" s="8"/>
    </row>
    <row r="2769" spans="1:5" x14ac:dyDescent="0.25">
      <c r="A2769" s="5" t="s">
        <v>7683</v>
      </c>
      <c r="B2769" s="9" t="str">
        <f t="shared" si="4"/>
        <v>25753</v>
      </c>
      <c r="C2769" s="8" t="s">
        <v>7684</v>
      </c>
      <c r="D2769" s="8" t="s">
        <v>10055</v>
      </c>
      <c r="E2769" s="8"/>
    </row>
    <row r="2770" spans="1:5" x14ac:dyDescent="0.25">
      <c r="A2770" s="5" t="s">
        <v>7685</v>
      </c>
      <c r="B2770" s="9" t="str">
        <f t="shared" si="4"/>
        <v>25753</v>
      </c>
      <c r="C2770" s="8" t="s">
        <v>7686</v>
      </c>
      <c r="D2770" s="8" t="s">
        <v>10055</v>
      </c>
      <c r="E2770" s="8"/>
    </row>
    <row r="2771" spans="1:5" x14ac:dyDescent="0.25">
      <c r="A2771" s="5" t="s">
        <v>7687</v>
      </c>
      <c r="B2771" s="9" t="str">
        <f t="shared" si="4"/>
        <v>25753</v>
      </c>
      <c r="C2771" s="8" t="s">
        <v>7688</v>
      </c>
      <c r="D2771" s="8" t="s">
        <v>10055</v>
      </c>
      <c r="E2771" s="8"/>
    </row>
    <row r="2772" spans="1:5" x14ac:dyDescent="0.25">
      <c r="A2772" s="5" t="s">
        <v>7689</v>
      </c>
      <c r="B2772" s="9" t="str">
        <f t="shared" si="4"/>
        <v>25753</v>
      </c>
      <c r="C2772" s="8" t="s">
        <v>7690</v>
      </c>
      <c r="D2772" s="8" t="s">
        <v>10055</v>
      </c>
      <c r="E2772" s="8"/>
    </row>
    <row r="2773" spans="1:5" x14ac:dyDescent="0.25">
      <c r="A2773" s="5" t="s">
        <v>7691</v>
      </c>
      <c r="B2773" s="9" t="str">
        <f t="shared" si="4"/>
        <v>25753</v>
      </c>
      <c r="C2773" s="8" t="s">
        <v>7692</v>
      </c>
      <c r="D2773" s="8" t="s">
        <v>10055</v>
      </c>
      <c r="E2773" s="8"/>
    </row>
    <row r="2774" spans="1:5" x14ac:dyDescent="0.25">
      <c r="A2774" s="5" t="s">
        <v>7693</v>
      </c>
      <c r="B2774" s="9" t="str">
        <f t="shared" si="4"/>
        <v>25753</v>
      </c>
      <c r="C2774" s="8" t="s">
        <v>7694</v>
      </c>
      <c r="D2774" s="8" t="s">
        <v>10055</v>
      </c>
      <c r="E2774" s="8"/>
    </row>
    <row r="2775" spans="1:5" x14ac:dyDescent="0.25">
      <c r="A2775" s="5" t="s">
        <v>7695</v>
      </c>
      <c r="B2775" s="9" t="str">
        <f t="shared" si="4"/>
        <v>25753</v>
      </c>
      <c r="C2775" s="8" t="s">
        <v>7696</v>
      </c>
      <c r="D2775" s="8" t="s">
        <v>10055</v>
      </c>
      <c r="E2775" s="8"/>
    </row>
    <row r="2776" spans="1:5" x14ac:dyDescent="0.25">
      <c r="A2776" s="5" t="s">
        <v>7697</v>
      </c>
      <c r="B2776" s="9" t="str">
        <f t="shared" si="4"/>
        <v>25753</v>
      </c>
      <c r="C2776" s="8" t="s">
        <v>7698</v>
      </c>
      <c r="D2776" s="8" t="s">
        <v>10055</v>
      </c>
      <c r="E2776" s="8"/>
    </row>
    <row r="2777" spans="1:5" x14ac:dyDescent="0.25">
      <c r="A2777" s="5" t="s">
        <v>7699</v>
      </c>
      <c r="B2777" s="9" t="str">
        <f t="shared" si="4"/>
        <v>25753</v>
      </c>
      <c r="C2777" s="8" t="s">
        <v>7700</v>
      </c>
      <c r="D2777" s="8" t="s">
        <v>10055</v>
      </c>
      <c r="E2777" s="8"/>
    </row>
    <row r="2778" spans="1:5" x14ac:dyDescent="0.25">
      <c r="A2778" s="5" t="s">
        <v>7701</v>
      </c>
      <c r="B2778" s="9" t="str">
        <f t="shared" si="4"/>
        <v>25753</v>
      </c>
      <c r="C2778" s="8" t="s">
        <v>7702</v>
      </c>
      <c r="D2778" s="8" t="s">
        <v>10055</v>
      </c>
      <c r="E2778" s="8"/>
    </row>
    <row r="2779" spans="1:5" x14ac:dyDescent="0.25">
      <c r="A2779" s="5" t="s">
        <v>7703</v>
      </c>
      <c r="B2779" s="9" t="str">
        <f t="shared" si="4"/>
        <v>25753</v>
      </c>
      <c r="C2779" s="8" t="s">
        <v>7704</v>
      </c>
      <c r="D2779" s="8" t="s">
        <v>10055</v>
      </c>
      <c r="E2779" s="8"/>
    </row>
    <row r="2780" spans="1:5" x14ac:dyDescent="0.25">
      <c r="A2780" s="5" t="s">
        <v>7705</v>
      </c>
      <c r="B2780" s="9" t="str">
        <f t="shared" si="4"/>
        <v>25753</v>
      </c>
      <c r="C2780" s="8" t="s">
        <v>7706</v>
      </c>
      <c r="D2780" s="8" t="s">
        <v>10055</v>
      </c>
      <c r="E2780" s="8"/>
    </row>
    <row r="2781" spans="1:5" x14ac:dyDescent="0.25">
      <c r="A2781" s="5" t="s">
        <v>7707</v>
      </c>
      <c r="B2781" s="9" t="str">
        <f t="shared" si="4"/>
        <v>25753</v>
      </c>
      <c r="C2781" s="8" t="s">
        <v>7708</v>
      </c>
      <c r="D2781" s="8" t="s">
        <v>10055</v>
      </c>
      <c r="E2781" s="8"/>
    </row>
    <row r="2782" spans="1:5" x14ac:dyDescent="0.25">
      <c r="A2782" s="5" t="s">
        <v>7709</v>
      </c>
      <c r="B2782" s="9" t="str">
        <f t="shared" si="4"/>
        <v>25753</v>
      </c>
      <c r="C2782" s="8" t="s">
        <v>7710</v>
      </c>
      <c r="D2782" s="8" t="s">
        <v>10055</v>
      </c>
      <c r="E2782" s="8"/>
    </row>
    <row r="2783" spans="1:5" x14ac:dyDescent="0.25">
      <c r="A2783" s="5" t="s">
        <v>7711</v>
      </c>
      <c r="B2783" s="9" t="str">
        <f t="shared" si="4"/>
        <v>25753</v>
      </c>
      <c r="C2783" s="8" t="s">
        <v>7712</v>
      </c>
      <c r="D2783" s="8" t="s">
        <v>10055</v>
      </c>
      <c r="E2783" s="8"/>
    </row>
    <row r="2784" spans="1:5" x14ac:dyDescent="0.25">
      <c r="A2784" s="5" t="s">
        <v>7713</v>
      </c>
      <c r="B2784" s="9" t="str">
        <f t="shared" si="4"/>
        <v>25753</v>
      </c>
      <c r="C2784" s="8" t="s">
        <v>7714</v>
      </c>
      <c r="D2784" s="8" t="s">
        <v>10055</v>
      </c>
      <c r="E2784" s="8"/>
    </row>
    <row r="2785" spans="1:5" x14ac:dyDescent="0.25">
      <c r="A2785" s="5" t="s">
        <v>7715</v>
      </c>
      <c r="B2785" s="9" t="str">
        <f t="shared" si="4"/>
        <v>25753</v>
      </c>
      <c r="C2785" s="8" t="s">
        <v>7716</v>
      </c>
      <c r="D2785" s="8" t="s">
        <v>10055</v>
      </c>
      <c r="E2785" s="8"/>
    </row>
    <row r="2786" spans="1:5" x14ac:dyDescent="0.25">
      <c r="A2786" s="5" t="s">
        <v>7717</v>
      </c>
      <c r="B2786" s="9" t="str">
        <f t="shared" si="4"/>
        <v>25753</v>
      </c>
      <c r="C2786" s="8" t="s">
        <v>7718</v>
      </c>
      <c r="D2786" s="8" t="s">
        <v>10055</v>
      </c>
      <c r="E2786" s="8"/>
    </row>
    <row r="2787" spans="1:5" x14ac:dyDescent="0.25">
      <c r="A2787" s="5" t="s">
        <v>7719</v>
      </c>
      <c r="B2787" s="9" t="str">
        <f t="shared" si="4"/>
        <v>25753</v>
      </c>
      <c r="C2787" s="8" t="s">
        <v>7720</v>
      </c>
      <c r="D2787" s="8" t="s">
        <v>10055</v>
      </c>
      <c r="E2787" s="8"/>
    </row>
    <row r="2788" spans="1:5" x14ac:dyDescent="0.25">
      <c r="A2788" s="5" t="s">
        <v>7721</v>
      </c>
      <c r="B2788" s="9" t="str">
        <f t="shared" si="4"/>
        <v>25753</v>
      </c>
      <c r="C2788" s="8" t="s">
        <v>7722</v>
      </c>
      <c r="D2788" s="8" t="s">
        <v>10055</v>
      </c>
      <c r="E2788" s="8"/>
    </row>
    <row r="2789" spans="1:5" x14ac:dyDescent="0.25">
      <c r="A2789" s="5" t="s">
        <v>7723</v>
      </c>
      <c r="B2789" s="9" t="str">
        <f t="shared" si="4"/>
        <v>25753</v>
      </c>
      <c r="C2789" s="8" t="s">
        <v>7724</v>
      </c>
      <c r="D2789" s="8" t="s">
        <v>10055</v>
      </c>
      <c r="E2789" s="8"/>
    </row>
    <row r="2790" spans="1:5" x14ac:dyDescent="0.25">
      <c r="A2790" s="5" t="s">
        <v>7725</v>
      </c>
      <c r="B2790" s="9" t="str">
        <f t="shared" si="4"/>
        <v>25753</v>
      </c>
      <c r="C2790" s="8" t="s">
        <v>7726</v>
      </c>
      <c r="D2790" s="8" t="s">
        <v>10055</v>
      </c>
      <c r="E2790" s="8"/>
    </row>
    <row r="2791" spans="1:5" x14ac:dyDescent="0.25">
      <c r="A2791" s="5" t="s">
        <v>7727</v>
      </c>
      <c r="B2791" s="9" t="str">
        <f t="shared" si="4"/>
        <v>25753</v>
      </c>
      <c r="C2791" s="8" t="s">
        <v>7728</v>
      </c>
      <c r="D2791" s="8" t="s">
        <v>10055</v>
      </c>
      <c r="E2791" s="8"/>
    </row>
    <row r="2792" spans="1:5" x14ac:dyDescent="0.25">
      <c r="A2792" s="5" t="s">
        <v>7729</v>
      </c>
      <c r="B2792" s="9" t="str">
        <f t="shared" si="4"/>
        <v>25753</v>
      </c>
      <c r="C2792" s="8" t="s">
        <v>7730</v>
      </c>
      <c r="D2792" s="8" t="s">
        <v>10055</v>
      </c>
      <c r="E2792" s="8"/>
    </row>
    <row r="2793" spans="1:5" x14ac:dyDescent="0.25">
      <c r="A2793" s="5" t="s">
        <v>7731</v>
      </c>
      <c r="B2793" s="9" t="str">
        <f t="shared" si="4"/>
        <v>25753</v>
      </c>
      <c r="C2793" s="8" t="s">
        <v>7732</v>
      </c>
      <c r="D2793" s="8" t="s">
        <v>10055</v>
      </c>
      <c r="E2793" s="8"/>
    </row>
    <row r="2794" spans="1:5" x14ac:dyDescent="0.25">
      <c r="A2794" s="5" t="s">
        <v>7733</v>
      </c>
      <c r="B2794" s="9" t="str">
        <f t="shared" si="4"/>
        <v>25753</v>
      </c>
      <c r="C2794" s="8" t="s">
        <v>7734</v>
      </c>
      <c r="D2794" s="8" t="s">
        <v>10055</v>
      </c>
      <c r="E2794" s="8"/>
    </row>
    <row r="2795" spans="1:5" x14ac:dyDescent="0.25">
      <c r="A2795" s="5" t="s">
        <v>7735</v>
      </c>
      <c r="B2795" s="9" t="str">
        <f t="shared" si="4"/>
        <v>25753</v>
      </c>
      <c r="C2795" s="8" t="s">
        <v>7736</v>
      </c>
      <c r="D2795" s="8" t="s">
        <v>10055</v>
      </c>
      <c r="E2795" s="8"/>
    </row>
    <row r="2796" spans="1:5" x14ac:dyDescent="0.25">
      <c r="A2796" s="5" t="s">
        <v>7737</v>
      </c>
      <c r="B2796" s="9" t="str">
        <f t="shared" si="4"/>
        <v>25753</v>
      </c>
      <c r="C2796" s="8" t="s">
        <v>7738</v>
      </c>
      <c r="D2796" s="8" t="s">
        <v>10055</v>
      </c>
      <c r="E2796" s="8"/>
    </row>
    <row r="2797" spans="1:5" x14ac:dyDescent="0.25">
      <c r="A2797" s="5" t="s">
        <v>7739</v>
      </c>
      <c r="B2797" s="9" t="str">
        <f t="shared" si="4"/>
        <v>25753</v>
      </c>
      <c r="C2797" s="8" t="s">
        <v>7740</v>
      </c>
      <c r="D2797" s="8" t="s">
        <v>10055</v>
      </c>
      <c r="E2797" s="8"/>
    </row>
    <row r="2798" spans="1:5" x14ac:dyDescent="0.25">
      <c r="A2798" s="5" t="s">
        <v>7741</v>
      </c>
      <c r="B2798" s="9" t="str">
        <f t="shared" si="4"/>
        <v>25753</v>
      </c>
      <c r="C2798" s="8" t="s">
        <v>7742</v>
      </c>
      <c r="D2798" s="8" t="s">
        <v>10055</v>
      </c>
      <c r="E2798" s="8"/>
    </row>
    <row r="2799" spans="1:5" x14ac:dyDescent="0.25">
      <c r="A2799" s="5" t="s">
        <v>7743</v>
      </c>
      <c r="B2799" s="9" t="str">
        <f t="shared" si="4"/>
        <v>25753</v>
      </c>
      <c r="C2799" s="8" t="s">
        <v>7744</v>
      </c>
      <c r="D2799" s="8" t="s">
        <v>10055</v>
      </c>
      <c r="E2799" s="8"/>
    </row>
    <row r="2800" spans="1:5" x14ac:dyDescent="0.25">
      <c r="A2800" s="5" t="s">
        <v>7745</v>
      </c>
      <c r="B2800" s="9" t="str">
        <f t="shared" si="4"/>
        <v>25753</v>
      </c>
      <c r="C2800" s="8" t="s">
        <v>7746</v>
      </c>
      <c r="D2800" s="8" t="s">
        <v>10055</v>
      </c>
      <c r="E2800" s="8"/>
    </row>
    <row r="2801" spans="1:5" x14ac:dyDescent="0.25">
      <c r="A2801" s="5" t="s">
        <v>7747</v>
      </c>
      <c r="B2801" s="9" t="str">
        <f t="shared" si="4"/>
        <v>25753</v>
      </c>
      <c r="C2801" s="8" t="s">
        <v>7748</v>
      </c>
      <c r="D2801" s="8" t="s">
        <v>10055</v>
      </c>
      <c r="E2801" s="8"/>
    </row>
    <row r="2802" spans="1:5" x14ac:dyDescent="0.25">
      <c r="A2802" s="5" t="s">
        <v>7749</v>
      </c>
      <c r="B2802" s="9" t="str">
        <f t="shared" si="4"/>
        <v>25753</v>
      </c>
      <c r="C2802" s="8" t="s">
        <v>7750</v>
      </c>
      <c r="D2802" s="8" t="s">
        <v>10055</v>
      </c>
      <c r="E2802" s="8"/>
    </row>
    <row r="2803" spans="1:5" x14ac:dyDescent="0.25">
      <c r="A2803" s="5" t="s">
        <v>7751</v>
      </c>
      <c r="B2803" s="9" t="str">
        <f t="shared" si="4"/>
        <v>25753</v>
      </c>
      <c r="C2803" s="8" t="s">
        <v>7752</v>
      </c>
      <c r="D2803" s="8" t="s">
        <v>10055</v>
      </c>
      <c r="E2803" s="8"/>
    </row>
    <row r="2804" spans="1:5" x14ac:dyDescent="0.25">
      <c r="A2804" s="5" t="s">
        <v>7753</v>
      </c>
      <c r="B2804" s="9" t="str">
        <f t="shared" si="4"/>
        <v>25753</v>
      </c>
      <c r="C2804" s="8" t="s">
        <v>7754</v>
      </c>
      <c r="D2804" s="8" t="s">
        <v>10055</v>
      </c>
      <c r="E2804" s="8"/>
    </row>
    <row r="2805" spans="1:5" x14ac:dyDescent="0.25">
      <c r="A2805" s="5" t="s">
        <v>7755</v>
      </c>
      <c r="B2805" s="9" t="str">
        <f t="shared" si="4"/>
        <v>25753</v>
      </c>
      <c r="C2805" s="8" t="s">
        <v>7756</v>
      </c>
      <c r="D2805" s="8" t="s">
        <v>10055</v>
      </c>
      <c r="E2805" s="8"/>
    </row>
    <row r="2806" spans="1:5" x14ac:dyDescent="0.25">
      <c r="A2806" s="5" t="s">
        <v>7757</v>
      </c>
      <c r="B2806" s="9" t="str">
        <f t="shared" si="4"/>
        <v>25753</v>
      </c>
      <c r="C2806" s="8" t="s">
        <v>7758</v>
      </c>
      <c r="D2806" s="8" t="s">
        <v>10055</v>
      </c>
      <c r="E2806" s="8"/>
    </row>
    <row r="2807" spans="1:5" x14ac:dyDescent="0.25">
      <c r="A2807" s="5" t="s">
        <v>7759</v>
      </c>
      <c r="B2807" s="9" t="str">
        <f t="shared" si="4"/>
        <v>25753</v>
      </c>
      <c r="C2807" s="8" t="s">
        <v>7760</v>
      </c>
      <c r="D2807" s="8" t="s">
        <v>10055</v>
      </c>
      <c r="E2807" s="8"/>
    </row>
    <row r="2808" spans="1:5" x14ac:dyDescent="0.25">
      <c r="A2808" s="5" t="s">
        <v>7761</v>
      </c>
      <c r="B2808" s="9" t="str">
        <f t="shared" si="4"/>
        <v>25753</v>
      </c>
      <c r="C2808" s="8" t="s">
        <v>7762</v>
      </c>
      <c r="D2808" s="8" t="s">
        <v>10055</v>
      </c>
      <c r="E2808" s="8"/>
    </row>
    <row r="2809" spans="1:5" x14ac:dyDescent="0.25">
      <c r="A2809" s="5" t="s">
        <v>7763</v>
      </c>
      <c r="B2809" s="9" t="str">
        <f t="shared" si="4"/>
        <v>25753</v>
      </c>
      <c r="C2809" s="8" t="s">
        <v>7764</v>
      </c>
      <c r="D2809" s="8" t="s">
        <v>10055</v>
      </c>
      <c r="E2809" s="8"/>
    </row>
    <row r="2810" spans="1:5" x14ac:dyDescent="0.25">
      <c r="A2810" s="5" t="s">
        <v>7765</v>
      </c>
      <c r="B2810" s="9" t="str">
        <f t="shared" si="4"/>
        <v>25753</v>
      </c>
      <c r="C2810" s="8" t="s">
        <v>7766</v>
      </c>
      <c r="D2810" s="8" t="s">
        <v>10055</v>
      </c>
      <c r="E2810" s="8"/>
    </row>
    <row r="2811" spans="1:5" x14ac:dyDescent="0.25">
      <c r="A2811" s="5" t="s">
        <v>7767</v>
      </c>
      <c r="B2811" s="9" t="str">
        <f t="shared" si="4"/>
        <v>25753</v>
      </c>
      <c r="C2811" s="8" t="s">
        <v>7768</v>
      </c>
      <c r="D2811" s="8" t="s">
        <v>10055</v>
      </c>
      <c r="E2811" s="8"/>
    </row>
    <row r="2812" spans="1:5" x14ac:dyDescent="0.25">
      <c r="A2812" s="5" t="s">
        <v>7769</v>
      </c>
      <c r="B2812" s="9" t="str">
        <f t="shared" si="4"/>
        <v>25753</v>
      </c>
      <c r="C2812" s="8" t="s">
        <v>7770</v>
      </c>
      <c r="D2812" s="8" t="s">
        <v>10055</v>
      </c>
      <c r="E2812" s="8"/>
    </row>
    <row r="2813" spans="1:5" x14ac:dyDescent="0.25">
      <c r="A2813" s="5" t="s">
        <v>7771</v>
      </c>
      <c r="B2813" s="9" t="str">
        <f t="shared" si="4"/>
        <v>25753</v>
      </c>
      <c r="C2813" s="8" t="s">
        <v>7772</v>
      </c>
      <c r="D2813" s="8" t="s">
        <v>10055</v>
      </c>
      <c r="E2813" s="8"/>
    </row>
    <row r="2814" spans="1:5" x14ac:dyDescent="0.25">
      <c r="A2814" s="5" t="s">
        <v>7773</v>
      </c>
      <c r="B2814" s="9" t="str">
        <f t="shared" si="4"/>
        <v>25753</v>
      </c>
      <c r="C2814" s="8" t="s">
        <v>7774</v>
      </c>
      <c r="D2814" s="8" t="s">
        <v>10055</v>
      </c>
      <c r="E2814" s="8"/>
    </row>
    <row r="2815" spans="1:5" x14ac:dyDescent="0.25">
      <c r="A2815" s="5" t="s">
        <v>7775</v>
      </c>
      <c r="B2815" s="9" t="str">
        <f t="shared" si="4"/>
        <v>25753</v>
      </c>
      <c r="C2815" s="8" t="s">
        <v>7776</v>
      </c>
      <c r="D2815" s="8" t="s">
        <v>10055</v>
      </c>
      <c r="E2815" s="8"/>
    </row>
    <row r="2816" spans="1:5" x14ac:dyDescent="0.25">
      <c r="A2816" s="5" t="s">
        <v>7777</v>
      </c>
      <c r="B2816" s="9" t="str">
        <f t="shared" si="4"/>
        <v>25753</v>
      </c>
      <c r="C2816" s="8" t="s">
        <v>7778</v>
      </c>
      <c r="D2816" s="8" t="s">
        <v>10055</v>
      </c>
      <c r="E2816" s="8"/>
    </row>
    <row r="2817" spans="1:5" x14ac:dyDescent="0.25">
      <c r="A2817" s="5" t="s">
        <v>7779</v>
      </c>
      <c r="B2817" s="9" t="str">
        <f t="shared" si="4"/>
        <v>25753</v>
      </c>
      <c r="C2817" s="8" t="s">
        <v>7780</v>
      </c>
      <c r="D2817" s="8" t="s">
        <v>10055</v>
      </c>
      <c r="E2817" s="8"/>
    </row>
    <row r="2818" spans="1:5" x14ac:dyDescent="0.25">
      <c r="A2818" s="5" t="s">
        <v>7781</v>
      </c>
      <c r="B2818" s="9" t="str">
        <f t="shared" si="4"/>
        <v>25753</v>
      </c>
      <c r="C2818" s="8" t="s">
        <v>7782</v>
      </c>
      <c r="D2818" s="8" t="s">
        <v>10055</v>
      </c>
      <c r="E2818" s="8"/>
    </row>
    <row r="2819" spans="1:5" x14ac:dyDescent="0.25">
      <c r="A2819" s="5" t="s">
        <v>7783</v>
      </c>
      <c r="B2819" s="9" t="str">
        <f t="shared" si="4"/>
        <v>25753</v>
      </c>
      <c r="C2819" s="8" t="s">
        <v>7784</v>
      </c>
      <c r="D2819" s="8" t="s">
        <v>10055</v>
      </c>
      <c r="E2819" s="8"/>
    </row>
    <row r="2820" spans="1:5" x14ac:dyDescent="0.25">
      <c r="A2820" s="5" t="s">
        <v>7785</v>
      </c>
      <c r="B2820" s="9" t="str">
        <f t="shared" si="4"/>
        <v>25753</v>
      </c>
      <c r="C2820" s="8" t="s">
        <v>7786</v>
      </c>
      <c r="D2820" s="8" t="s">
        <v>10055</v>
      </c>
      <c r="E2820" s="8"/>
    </row>
    <row r="2821" spans="1:5" x14ac:dyDescent="0.25">
      <c r="A2821" s="5" t="s">
        <v>7787</v>
      </c>
      <c r="B2821" s="9" t="str">
        <f t="shared" si="4"/>
        <v>25753</v>
      </c>
      <c r="C2821" s="8" t="s">
        <v>7788</v>
      </c>
      <c r="D2821" s="8" t="s">
        <v>10055</v>
      </c>
      <c r="E2821" s="8"/>
    </row>
    <row r="2822" spans="1:5" x14ac:dyDescent="0.25">
      <c r="A2822" s="5" t="s">
        <v>7789</v>
      </c>
      <c r="B2822" s="9" t="str">
        <f t="shared" si="4"/>
        <v>25753</v>
      </c>
      <c r="C2822" s="8" t="s">
        <v>7790</v>
      </c>
      <c r="D2822" s="8" t="s">
        <v>10055</v>
      </c>
      <c r="E2822" s="8"/>
    </row>
    <row r="2823" spans="1:5" x14ac:dyDescent="0.25">
      <c r="A2823" s="5" t="s">
        <v>7791</v>
      </c>
      <c r="B2823" s="9" t="str">
        <f t="shared" si="4"/>
        <v>25753</v>
      </c>
      <c r="C2823" s="8" t="s">
        <v>7792</v>
      </c>
      <c r="D2823" s="8" t="s">
        <v>10055</v>
      </c>
      <c r="E2823" s="8"/>
    </row>
    <row r="2824" spans="1:5" x14ac:dyDescent="0.25">
      <c r="A2824" s="5" t="s">
        <v>7793</v>
      </c>
      <c r="B2824" s="9" t="str">
        <f t="shared" si="4"/>
        <v>25753</v>
      </c>
      <c r="C2824" s="8" t="s">
        <v>7794</v>
      </c>
      <c r="D2824" s="8" t="s">
        <v>10055</v>
      </c>
      <c r="E2824" s="8"/>
    </row>
    <row r="2825" spans="1:5" x14ac:dyDescent="0.25">
      <c r="A2825" s="5" t="s">
        <v>7795</v>
      </c>
      <c r="B2825" s="9" t="str">
        <f t="shared" si="4"/>
        <v>25753</v>
      </c>
      <c r="C2825" s="8" t="s">
        <v>7796</v>
      </c>
      <c r="D2825" s="8" t="s">
        <v>10055</v>
      </c>
      <c r="E2825" s="8"/>
    </row>
    <row r="2826" spans="1:5" x14ac:dyDescent="0.25">
      <c r="A2826" s="5" t="s">
        <v>7797</v>
      </c>
      <c r="B2826" s="9" t="str">
        <f t="shared" si="4"/>
        <v>25753</v>
      </c>
      <c r="C2826" s="8" t="s">
        <v>7798</v>
      </c>
      <c r="D2826" s="8" t="s">
        <v>10055</v>
      </c>
      <c r="E2826" s="8"/>
    </row>
    <row r="2827" spans="1:5" x14ac:dyDescent="0.25">
      <c r="A2827" s="5" t="s">
        <v>7799</v>
      </c>
      <c r="B2827" s="9" t="str">
        <f t="shared" si="4"/>
        <v>25753</v>
      </c>
      <c r="C2827" s="8" t="s">
        <v>7800</v>
      </c>
      <c r="D2827" s="8" t="s">
        <v>10055</v>
      </c>
      <c r="E2827" s="8"/>
    </row>
    <row r="2828" spans="1:5" x14ac:dyDescent="0.25">
      <c r="A2828" s="5" t="s">
        <v>7801</v>
      </c>
      <c r="B2828" s="9" t="str">
        <f t="shared" si="4"/>
        <v>25753</v>
      </c>
      <c r="C2828" s="8" t="s">
        <v>7802</v>
      </c>
      <c r="D2828" s="8" t="s">
        <v>10055</v>
      </c>
      <c r="E2828" s="8"/>
    </row>
    <row r="2829" spans="1:5" x14ac:dyDescent="0.25">
      <c r="A2829" s="5" t="s">
        <v>7803</v>
      </c>
      <c r="B2829" s="9" t="str">
        <f t="shared" si="4"/>
        <v>25753</v>
      </c>
      <c r="C2829" s="8" t="s">
        <v>7804</v>
      </c>
      <c r="D2829" s="8" t="s">
        <v>10055</v>
      </c>
      <c r="E2829" s="8"/>
    </row>
    <row r="2830" spans="1:5" x14ac:dyDescent="0.25">
      <c r="A2830" s="5" t="s">
        <v>7805</v>
      </c>
      <c r="B2830" s="9" t="str">
        <f t="shared" si="4"/>
        <v>25753</v>
      </c>
      <c r="C2830" s="8" t="s">
        <v>7806</v>
      </c>
      <c r="D2830" s="8" t="s">
        <v>10055</v>
      </c>
      <c r="E2830" s="8"/>
    </row>
    <row r="2831" spans="1:5" x14ac:dyDescent="0.25">
      <c r="A2831" s="5" t="s">
        <v>7807</v>
      </c>
      <c r="B2831" s="9" t="str">
        <f t="shared" si="4"/>
        <v>25753</v>
      </c>
      <c r="C2831" s="8" t="s">
        <v>7808</v>
      </c>
      <c r="D2831" s="8" t="s">
        <v>10055</v>
      </c>
      <c r="E2831" s="8"/>
    </row>
    <row r="2832" spans="1:5" x14ac:dyDescent="0.25">
      <c r="A2832" s="5" t="s">
        <v>7809</v>
      </c>
      <c r="B2832" s="9" t="str">
        <f t="shared" si="4"/>
        <v>25753</v>
      </c>
      <c r="C2832" s="8" t="s">
        <v>7810</v>
      </c>
      <c r="D2832" s="8" t="s">
        <v>10055</v>
      </c>
      <c r="E2832" s="8"/>
    </row>
    <row r="2833" spans="1:5" x14ac:dyDescent="0.25">
      <c r="A2833" s="5" t="s">
        <v>7811</v>
      </c>
      <c r="B2833" s="9" t="str">
        <f t="shared" si="4"/>
        <v>25753</v>
      </c>
      <c r="C2833" s="8" t="s">
        <v>7812</v>
      </c>
      <c r="D2833" s="8" t="s">
        <v>10055</v>
      </c>
      <c r="E2833" s="8"/>
    </row>
    <row r="2834" spans="1:5" x14ac:dyDescent="0.25">
      <c r="A2834" s="5" t="s">
        <v>7813</v>
      </c>
      <c r="B2834" s="9" t="str">
        <f t="shared" si="4"/>
        <v>25753</v>
      </c>
      <c r="C2834" s="8" t="s">
        <v>7814</v>
      </c>
      <c r="D2834" s="8" t="s">
        <v>10055</v>
      </c>
      <c r="E2834" s="8"/>
    </row>
    <row r="2835" spans="1:5" x14ac:dyDescent="0.25">
      <c r="A2835" s="5" t="s">
        <v>7815</v>
      </c>
      <c r="B2835" s="9" t="str">
        <f t="shared" si="4"/>
        <v>25753</v>
      </c>
      <c r="C2835" s="8" t="s">
        <v>7816</v>
      </c>
      <c r="D2835" s="8" t="s">
        <v>10055</v>
      </c>
      <c r="E2835" s="8"/>
    </row>
    <row r="2836" spans="1:5" x14ac:dyDescent="0.25">
      <c r="A2836" s="5" t="s">
        <v>7817</v>
      </c>
      <c r="B2836" s="9" t="str">
        <f t="shared" si="4"/>
        <v>25753</v>
      </c>
      <c r="C2836" s="8" t="s">
        <v>7818</v>
      </c>
      <c r="D2836" s="8" t="s">
        <v>10055</v>
      </c>
      <c r="E2836" s="8"/>
    </row>
    <row r="2837" spans="1:5" x14ac:dyDescent="0.25">
      <c r="A2837" s="5" t="s">
        <v>7819</v>
      </c>
      <c r="B2837" s="9" t="str">
        <f t="shared" si="4"/>
        <v>25753</v>
      </c>
      <c r="C2837" s="8" t="s">
        <v>7820</v>
      </c>
      <c r="D2837" s="8" t="s">
        <v>10055</v>
      </c>
      <c r="E2837" s="8"/>
    </row>
    <row r="2838" spans="1:5" x14ac:dyDescent="0.25">
      <c r="A2838" s="5" t="s">
        <v>7821</v>
      </c>
      <c r="B2838" s="9" t="str">
        <f t="shared" si="4"/>
        <v>25753</v>
      </c>
      <c r="C2838" s="8" t="s">
        <v>7822</v>
      </c>
      <c r="D2838" s="8" t="s">
        <v>10055</v>
      </c>
      <c r="E2838" s="8"/>
    </row>
    <row r="2839" spans="1:5" x14ac:dyDescent="0.25">
      <c r="A2839" s="5" t="s">
        <v>7823</v>
      </c>
      <c r="B2839" s="9" t="str">
        <f t="shared" si="4"/>
        <v>25753</v>
      </c>
      <c r="C2839" s="8" t="s">
        <v>7824</v>
      </c>
      <c r="D2839" s="8" t="s">
        <v>10055</v>
      </c>
      <c r="E2839" s="8"/>
    </row>
    <row r="2840" spans="1:5" x14ac:dyDescent="0.25">
      <c r="A2840" s="5" t="s">
        <v>7825</v>
      </c>
      <c r="B2840" s="9" t="str">
        <f t="shared" si="4"/>
        <v>25753</v>
      </c>
      <c r="C2840" s="8" t="s">
        <v>7826</v>
      </c>
      <c r="D2840" s="8" t="s">
        <v>10055</v>
      </c>
      <c r="E2840" s="8"/>
    </row>
    <row r="2841" spans="1:5" x14ac:dyDescent="0.25">
      <c r="A2841" s="5" t="s">
        <v>7827</v>
      </c>
      <c r="B2841" s="9" t="str">
        <f t="shared" si="4"/>
        <v>25753</v>
      </c>
      <c r="C2841" s="8" t="s">
        <v>7828</v>
      </c>
      <c r="D2841" s="8" t="s">
        <v>10055</v>
      </c>
      <c r="E2841" s="8"/>
    </row>
    <row r="2842" spans="1:5" x14ac:dyDescent="0.25">
      <c r="A2842" s="5" t="s">
        <v>7829</v>
      </c>
      <c r="B2842" s="9" t="str">
        <f t="shared" si="4"/>
        <v>25753</v>
      </c>
      <c r="C2842" s="8" t="s">
        <v>7830</v>
      </c>
      <c r="D2842" s="8" t="s">
        <v>10055</v>
      </c>
      <c r="E2842" s="8"/>
    </row>
    <row r="2843" spans="1:5" x14ac:dyDescent="0.25">
      <c r="A2843" s="5" t="s">
        <v>7831</v>
      </c>
      <c r="B2843" s="9" t="str">
        <f t="shared" si="4"/>
        <v>25753</v>
      </c>
      <c r="C2843" s="8" t="s">
        <v>7832</v>
      </c>
      <c r="D2843" s="8" t="s">
        <v>10055</v>
      </c>
      <c r="E2843" s="8"/>
    </row>
    <row r="2844" spans="1:5" x14ac:dyDescent="0.25">
      <c r="A2844" s="5" t="s">
        <v>7833</v>
      </c>
      <c r="B2844" s="9" t="str">
        <f t="shared" si="4"/>
        <v>25753</v>
      </c>
      <c r="C2844" s="8" t="s">
        <v>7834</v>
      </c>
      <c r="D2844" s="8" t="s">
        <v>10055</v>
      </c>
      <c r="E2844" s="8"/>
    </row>
    <row r="2845" spans="1:5" x14ac:dyDescent="0.25">
      <c r="A2845" s="5" t="s">
        <v>7835</v>
      </c>
      <c r="B2845" s="9" t="str">
        <f t="shared" si="4"/>
        <v>25753</v>
      </c>
      <c r="C2845" s="8" t="s">
        <v>7836</v>
      </c>
      <c r="D2845" s="8" t="s">
        <v>10055</v>
      </c>
      <c r="E2845" s="8"/>
    </row>
    <row r="2846" spans="1:5" x14ac:dyDescent="0.25">
      <c r="A2846" s="5" t="s">
        <v>7837</v>
      </c>
      <c r="B2846" s="9" t="str">
        <f t="shared" si="4"/>
        <v>25753</v>
      </c>
      <c r="C2846" s="8" t="s">
        <v>7838</v>
      </c>
      <c r="D2846" s="8" t="s">
        <v>10055</v>
      </c>
      <c r="E2846" s="8"/>
    </row>
    <row r="2847" spans="1:5" x14ac:dyDescent="0.25">
      <c r="A2847" s="5" t="s">
        <v>7839</v>
      </c>
      <c r="B2847" s="9" t="str">
        <f t="shared" si="4"/>
        <v>25753</v>
      </c>
      <c r="C2847" s="8" t="s">
        <v>7840</v>
      </c>
      <c r="D2847" s="8" t="s">
        <v>10055</v>
      </c>
      <c r="E2847" s="8"/>
    </row>
    <row r="2848" spans="1:5" x14ac:dyDescent="0.25">
      <c r="A2848" s="5" t="s">
        <v>7841</v>
      </c>
      <c r="B2848" s="9" t="str">
        <f t="shared" si="4"/>
        <v>25753</v>
      </c>
      <c r="C2848" s="8" t="s">
        <v>7842</v>
      </c>
      <c r="D2848" s="8" t="s">
        <v>10055</v>
      </c>
      <c r="E2848" s="8"/>
    </row>
    <row r="2849" spans="1:5" x14ac:dyDescent="0.25">
      <c r="A2849" s="5" t="s">
        <v>7843</v>
      </c>
      <c r="B2849" s="9" t="str">
        <f t="shared" si="4"/>
        <v>25753</v>
      </c>
      <c r="C2849" s="8" t="s">
        <v>7844</v>
      </c>
      <c r="D2849" s="8" t="s">
        <v>10055</v>
      </c>
      <c r="E2849" s="8"/>
    </row>
    <row r="2850" spans="1:5" x14ac:dyDescent="0.25">
      <c r="A2850" s="5" t="s">
        <v>7845</v>
      </c>
      <c r="B2850" s="9" t="str">
        <f t="shared" si="4"/>
        <v>25753</v>
      </c>
      <c r="C2850" s="8" t="s">
        <v>7846</v>
      </c>
      <c r="D2850" s="8" t="s">
        <v>10055</v>
      </c>
      <c r="E2850" s="8"/>
    </row>
    <row r="2851" spans="1:5" x14ac:dyDescent="0.25">
      <c r="A2851" s="5" t="s">
        <v>7847</v>
      </c>
      <c r="B2851" s="9" t="str">
        <f t="shared" si="4"/>
        <v>25753</v>
      </c>
      <c r="C2851" s="8" t="s">
        <v>7848</v>
      </c>
      <c r="D2851" s="8" t="s">
        <v>10055</v>
      </c>
      <c r="E2851" s="8"/>
    </row>
    <row r="2852" spans="1:5" x14ac:dyDescent="0.25">
      <c r="A2852" s="5" t="s">
        <v>7849</v>
      </c>
      <c r="B2852" s="9" t="str">
        <f t="shared" si="4"/>
        <v>25753</v>
      </c>
      <c r="C2852" s="8" t="s">
        <v>7850</v>
      </c>
      <c r="D2852" s="8" t="s">
        <v>10055</v>
      </c>
      <c r="E2852" s="8"/>
    </row>
    <row r="2853" spans="1:5" x14ac:dyDescent="0.25">
      <c r="A2853" s="5" t="s">
        <v>7851</v>
      </c>
      <c r="B2853" s="9" t="str">
        <f t="shared" si="4"/>
        <v>25753</v>
      </c>
      <c r="C2853" s="8" t="s">
        <v>7852</v>
      </c>
      <c r="D2853" s="8" t="s">
        <v>10055</v>
      </c>
      <c r="E2853" s="8"/>
    </row>
    <row r="2854" spans="1:5" x14ac:dyDescent="0.25">
      <c r="A2854" s="5" t="s">
        <v>7853</v>
      </c>
      <c r="B2854" s="9" t="str">
        <f t="shared" si="4"/>
        <v>25753</v>
      </c>
      <c r="C2854" s="8" t="s">
        <v>7854</v>
      </c>
      <c r="D2854" s="8" t="s">
        <v>10055</v>
      </c>
      <c r="E2854" s="8"/>
    </row>
    <row r="2855" spans="1:5" x14ac:dyDescent="0.25">
      <c r="A2855" s="5" t="s">
        <v>7855</v>
      </c>
      <c r="B2855" s="9" t="str">
        <f t="shared" si="4"/>
        <v>25753</v>
      </c>
      <c r="C2855" s="8" t="s">
        <v>7856</v>
      </c>
      <c r="D2855" s="8" t="s">
        <v>10055</v>
      </c>
      <c r="E2855" s="8"/>
    </row>
    <row r="2856" spans="1:5" x14ac:dyDescent="0.25">
      <c r="A2856" s="5" t="s">
        <v>7857</v>
      </c>
      <c r="B2856" s="9" t="str">
        <f t="shared" si="4"/>
        <v>25753</v>
      </c>
      <c r="C2856" s="8" t="s">
        <v>7858</v>
      </c>
      <c r="D2856" s="8" t="s">
        <v>10055</v>
      </c>
      <c r="E2856" s="8"/>
    </row>
    <row r="2857" spans="1:5" x14ac:dyDescent="0.25">
      <c r="A2857" s="5" t="s">
        <v>7859</v>
      </c>
      <c r="B2857" s="9" t="str">
        <f t="shared" si="4"/>
        <v>25753</v>
      </c>
      <c r="C2857" s="8" t="s">
        <v>7860</v>
      </c>
      <c r="D2857" s="8" t="s">
        <v>10055</v>
      </c>
      <c r="E2857" s="8"/>
    </row>
    <row r="2858" spans="1:5" x14ac:dyDescent="0.25">
      <c r="A2858" s="5" t="s">
        <v>7861</v>
      </c>
      <c r="B2858" s="9" t="str">
        <f t="shared" si="4"/>
        <v>25753</v>
      </c>
      <c r="C2858" s="8" t="s">
        <v>7862</v>
      </c>
      <c r="D2858" s="8" t="s">
        <v>10055</v>
      </c>
      <c r="E2858" s="8"/>
    </row>
    <row r="2859" spans="1:5" x14ac:dyDescent="0.25">
      <c r="A2859" s="5" t="s">
        <v>7863</v>
      </c>
      <c r="B2859" s="9" t="str">
        <f t="shared" si="4"/>
        <v>25753</v>
      </c>
      <c r="C2859" s="8" t="s">
        <v>7864</v>
      </c>
      <c r="D2859" s="8" t="s">
        <v>10055</v>
      </c>
      <c r="E2859" s="8"/>
    </row>
    <row r="2860" spans="1:5" x14ac:dyDescent="0.25">
      <c r="A2860" s="5" t="s">
        <v>7865</v>
      </c>
      <c r="B2860" s="9" t="str">
        <f t="shared" si="4"/>
        <v>25753</v>
      </c>
      <c r="C2860" s="8" t="s">
        <v>7866</v>
      </c>
      <c r="D2860" s="8" t="s">
        <v>10055</v>
      </c>
      <c r="E2860" s="8"/>
    </row>
    <row r="2861" spans="1:5" x14ac:dyDescent="0.25">
      <c r="A2861" s="5" t="s">
        <v>7867</v>
      </c>
      <c r="B2861" s="9" t="str">
        <f t="shared" si="4"/>
        <v>25753</v>
      </c>
      <c r="C2861" s="8" t="s">
        <v>7868</v>
      </c>
      <c r="D2861" s="8" t="s">
        <v>10055</v>
      </c>
      <c r="E2861" s="8"/>
    </row>
    <row r="2862" spans="1:5" x14ac:dyDescent="0.25">
      <c r="A2862" s="5" t="s">
        <v>7869</v>
      </c>
      <c r="B2862" s="9" t="str">
        <f t="shared" si="4"/>
        <v>25753</v>
      </c>
      <c r="C2862" s="8" t="s">
        <v>7870</v>
      </c>
      <c r="D2862" s="8" t="s">
        <v>10055</v>
      </c>
      <c r="E2862" s="8"/>
    </row>
    <row r="2863" spans="1:5" x14ac:dyDescent="0.25">
      <c r="A2863" s="5" t="s">
        <v>7871</v>
      </c>
      <c r="B2863" s="9" t="str">
        <f t="shared" si="4"/>
        <v>25753</v>
      </c>
      <c r="C2863" s="8" t="s">
        <v>7872</v>
      </c>
      <c r="D2863" s="8" t="s">
        <v>10055</v>
      </c>
      <c r="E2863" s="8"/>
    </row>
    <row r="2864" spans="1:5" x14ac:dyDescent="0.25">
      <c r="A2864" s="5" t="s">
        <v>7873</v>
      </c>
      <c r="B2864" s="9" t="str">
        <f t="shared" si="4"/>
        <v>25753</v>
      </c>
      <c r="C2864" s="8" t="s">
        <v>7874</v>
      </c>
      <c r="D2864" s="8" t="s">
        <v>10055</v>
      </c>
      <c r="E2864" s="8"/>
    </row>
    <row r="2865" spans="1:5" x14ac:dyDescent="0.25">
      <c r="A2865" s="5" t="s">
        <v>7875</v>
      </c>
      <c r="B2865" s="9" t="str">
        <f t="shared" si="4"/>
        <v>25753</v>
      </c>
      <c r="C2865" s="8" t="s">
        <v>7876</v>
      </c>
      <c r="D2865" s="8" t="s">
        <v>10055</v>
      </c>
      <c r="E2865" s="8"/>
    </row>
    <row r="2866" spans="1:5" x14ac:dyDescent="0.25">
      <c r="A2866" s="5" t="s">
        <v>7877</v>
      </c>
      <c r="B2866" s="9" t="str">
        <f t="shared" si="4"/>
        <v>25753</v>
      </c>
      <c r="C2866" s="8" t="s">
        <v>7878</v>
      </c>
      <c r="D2866" s="8" t="s">
        <v>10055</v>
      </c>
      <c r="E2866" s="8"/>
    </row>
    <row r="2867" spans="1:5" x14ac:dyDescent="0.25">
      <c r="A2867" s="5" t="s">
        <v>7879</v>
      </c>
      <c r="B2867" s="9" t="str">
        <f t="shared" si="4"/>
        <v>25753</v>
      </c>
      <c r="C2867" s="8" t="s">
        <v>7880</v>
      </c>
      <c r="D2867" s="8" t="s">
        <v>10055</v>
      </c>
      <c r="E2867" s="8"/>
    </row>
    <row r="2868" spans="1:5" x14ac:dyDescent="0.25">
      <c r="A2868" s="5" t="s">
        <v>7881</v>
      </c>
      <c r="B2868" s="9" t="str">
        <f t="shared" si="4"/>
        <v>25753</v>
      </c>
      <c r="C2868" s="8" t="s">
        <v>7882</v>
      </c>
      <c r="D2868" s="8" t="s">
        <v>10055</v>
      </c>
      <c r="E2868" s="8"/>
    </row>
    <row r="2869" spans="1:5" x14ac:dyDescent="0.25">
      <c r="A2869" s="5" t="s">
        <v>7883</v>
      </c>
      <c r="B2869" s="9" t="str">
        <f t="shared" si="4"/>
        <v>25753</v>
      </c>
      <c r="C2869" s="8" t="s">
        <v>7884</v>
      </c>
      <c r="D2869" s="8" t="s">
        <v>10055</v>
      </c>
      <c r="E2869" s="8"/>
    </row>
    <row r="2870" spans="1:5" x14ac:dyDescent="0.25">
      <c r="A2870" s="5" t="s">
        <v>7885</v>
      </c>
      <c r="B2870" s="9" t="str">
        <f t="shared" si="4"/>
        <v>25753</v>
      </c>
      <c r="C2870" s="8" t="s">
        <v>7886</v>
      </c>
      <c r="D2870" s="8" t="s">
        <v>10055</v>
      </c>
      <c r="E2870" s="8"/>
    </row>
    <row r="2871" spans="1:5" x14ac:dyDescent="0.25">
      <c r="A2871" s="5" t="s">
        <v>7887</v>
      </c>
      <c r="B2871" s="9" t="str">
        <f t="shared" si="4"/>
        <v>25753</v>
      </c>
      <c r="C2871" s="8" t="s">
        <v>7888</v>
      </c>
      <c r="D2871" s="8" t="s">
        <v>10055</v>
      </c>
      <c r="E2871" s="8"/>
    </row>
    <row r="2872" spans="1:5" x14ac:dyDescent="0.25">
      <c r="A2872" s="5" t="s">
        <v>7889</v>
      </c>
      <c r="B2872" s="9" t="str">
        <f t="shared" si="4"/>
        <v>25753</v>
      </c>
      <c r="C2872" s="8" t="s">
        <v>7890</v>
      </c>
      <c r="D2872" s="8" t="s">
        <v>10055</v>
      </c>
      <c r="E2872" s="8"/>
    </row>
    <row r="2873" spans="1:5" x14ac:dyDescent="0.25">
      <c r="A2873" s="5" t="s">
        <v>7891</v>
      </c>
      <c r="B2873" s="9" t="str">
        <f t="shared" si="4"/>
        <v>25753</v>
      </c>
      <c r="C2873" s="8" t="s">
        <v>7892</v>
      </c>
      <c r="D2873" s="8" t="s">
        <v>10055</v>
      </c>
      <c r="E2873" s="8"/>
    </row>
    <row r="2874" spans="1:5" x14ac:dyDescent="0.25">
      <c r="A2874" s="5" t="s">
        <v>7893</v>
      </c>
      <c r="B2874" s="9" t="str">
        <f t="shared" si="4"/>
        <v>25753</v>
      </c>
      <c r="C2874" s="8" t="s">
        <v>7894</v>
      </c>
      <c r="D2874" s="8" t="s">
        <v>10055</v>
      </c>
      <c r="E2874" s="8"/>
    </row>
    <row r="2875" spans="1:5" x14ac:dyDescent="0.25">
      <c r="A2875" s="5" t="s">
        <v>7895</v>
      </c>
      <c r="B2875" s="9" t="str">
        <f t="shared" si="4"/>
        <v>25753</v>
      </c>
      <c r="C2875" s="8" t="s">
        <v>7896</v>
      </c>
      <c r="D2875" s="8" t="s">
        <v>10055</v>
      </c>
      <c r="E2875" s="8"/>
    </row>
    <row r="2876" spans="1:5" x14ac:dyDescent="0.25">
      <c r="A2876" s="5" t="s">
        <v>7897</v>
      </c>
      <c r="B2876" s="9" t="str">
        <f t="shared" si="4"/>
        <v>25753</v>
      </c>
      <c r="C2876" s="8" t="s">
        <v>7898</v>
      </c>
      <c r="D2876" s="8" t="s">
        <v>10055</v>
      </c>
      <c r="E2876" s="8"/>
    </row>
    <row r="2877" spans="1:5" x14ac:dyDescent="0.25">
      <c r="A2877" s="5" t="s">
        <v>7899</v>
      </c>
      <c r="B2877" s="9" t="str">
        <f t="shared" si="4"/>
        <v>25753</v>
      </c>
      <c r="C2877" s="8" t="s">
        <v>7900</v>
      </c>
      <c r="D2877" s="8" t="s">
        <v>10055</v>
      </c>
      <c r="E2877" s="8"/>
    </row>
    <row r="2878" spans="1:5" x14ac:dyDescent="0.25">
      <c r="A2878" s="5" t="s">
        <v>7901</v>
      </c>
      <c r="B2878" s="9" t="str">
        <f t="shared" si="4"/>
        <v>25753</v>
      </c>
      <c r="C2878" s="8" t="s">
        <v>7902</v>
      </c>
      <c r="D2878" s="8" t="s">
        <v>10055</v>
      </c>
      <c r="E2878" s="8"/>
    </row>
    <row r="2879" spans="1:5" x14ac:dyDescent="0.25">
      <c r="A2879" s="5" t="s">
        <v>7903</v>
      </c>
      <c r="B2879" s="9" t="str">
        <f t="shared" si="4"/>
        <v>25753</v>
      </c>
      <c r="C2879" s="8" t="s">
        <v>7904</v>
      </c>
      <c r="D2879" s="8" t="s">
        <v>10055</v>
      </c>
      <c r="E2879" s="8"/>
    </row>
    <row r="2880" spans="1:5" x14ac:dyDescent="0.25">
      <c r="A2880" s="5" t="s">
        <v>7905</v>
      </c>
      <c r="B2880" s="9" t="str">
        <f t="shared" si="4"/>
        <v>25753</v>
      </c>
      <c r="C2880" s="8" t="s">
        <v>7906</v>
      </c>
      <c r="D2880" s="8" t="s">
        <v>10055</v>
      </c>
      <c r="E2880" s="8"/>
    </row>
    <row r="2881" spans="1:5" x14ac:dyDescent="0.25">
      <c r="A2881" s="5" t="s">
        <v>7907</v>
      </c>
      <c r="B2881" s="9" t="str">
        <f t="shared" si="4"/>
        <v>25753</v>
      </c>
      <c r="C2881" s="8" t="s">
        <v>7908</v>
      </c>
      <c r="D2881" s="8" t="s">
        <v>10055</v>
      </c>
      <c r="E2881" s="8"/>
    </row>
    <row r="2882" spans="1:5" x14ac:dyDescent="0.25">
      <c r="A2882" s="5" t="s">
        <v>7909</v>
      </c>
      <c r="B2882" s="9" t="str">
        <f t="shared" si="4"/>
        <v>25753</v>
      </c>
      <c r="C2882" s="8" t="s">
        <v>7910</v>
      </c>
      <c r="D2882" s="8" t="s">
        <v>10055</v>
      </c>
      <c r="E2882" s="8"/>
    </row>
    <row r="2883" spans="1:5" x14ac:dyDescent="0.25">
      <c r="A2883" s="5" t="s">
        <v>7911</v>
      </c>
      <c r="B2883" s="9" t="str">
        <f t="shared" si="4"/>
        <v>25753</v>
      </c>
      <c r="C2883" s="8" t="s">
        <v>7912</v>
      </c>
      <c r="D2883" s="8" t="s">
        <v>10055</v>
      </c>
      <c r="E2883" s="8"/>
    </row>
    <row r="2884" spans="1:5" x14ac:dyDescent="0.25">
      <c r="A2884" s="5" t="s">
        <v>7913</v>
      </c>
      <c r="B2884" s="9" t="str">
        <f t="shared" si="4"/>
        <v>25753</v>
      </c>
      <c r="C2884" s="8" t="s">
        <v>7914</v>
      </c>
      <c r="D2884" s="8" t="s">
        <v>10055</v>
      </c>
      <c r="E2884" s="8"/>
    </row>
    <row r="2885" spans="1:5" x14ac:dyDescent="0.25">
      <c r="A2885" s="5" t="s">
        <v>7915</v>
      </c>
      <c r="B2885" s="9" t="str">
        <f t="shared" si="4"/>
        <v>25753</v>
      </c>
      <c r="C2885" s="8" t="s">
        <v>7916</v>
      </c>
      <c r="D2885" s="8" t="s">
        <v>10055</v>
      </c>
      <c r="E2885" s="8"/>
    </row>
    <row r="2886" spans="1:5" x14ac:dyDescent="0.25">
      <c r="A2886" s="5" t="s">
        <v>7917</v>
      </c>
      <c r="B2886" s="9" t="str">
        <f t="shared" si="4"/>
        <v>25753</v>
      </c>
      <c r="C2886" s="8" t="s">
        <v>7918</v>
      </c>
      <c r="D2886" s="8" t="s">
        <v>10055</v>
      </c>
      <c r="E2886" s="8"/>
    </row>
    <row r="2887" spans="1:5" x14ac:dyDescent="0.25">
      <c r="A2887" s="5" t="s">
        <v>7919</v>
      </c>
      <c r="B2887" s="9" t="str">
        <f t="shared" si="4"/>
        <v>25753</v>
      </c>
      <c r="C2887" s="8" t="s">
        <v>7920</v>
      </c>
      <c r="D2887" s="8" t="s">
        <v>10055</v>
      </c>
      <c r="E2887" s="8"/>
    </row>
    <row r="2888" spans="1:5" x14ac:dyDescent="0.25">
      <c r="A2888" s="5" t="s">
        <v>7921</v>
      </c>
      <c r="B2888" s="9" t="str">
        <f t="shared" si="4"/>
        <v>25753</v>
      </c>
      <c r="C2888" s="8" t="s">
        <v>7922</v>
      </c>
      <c r="D2888" s="8" t="s">
        <v>10055</v>
      </c>
      <c r="E2888" s="8"/>
    </row>
    <row r="2889" spans="1:5" x14ac:dyDescent="0.25">
      <c r="A2889" s="5" t="s">
        <v>7923</v>
      </c>
      <c r="B2889" s="9" t="str">
        <f t="shared" si="4"/>
        <v>25753</v>
      </c>
      <c r="C2889" s="8" t="s">
        <v>7924</v>
      </c>
      <c r="D2889" s="8" t="s">
        <v>10055</v>
      </c>
      <c r="E2889" s="8"/>
    </row>
    <row r="2890" spans="1:5" x14ac:dyDescent="0.25">
      <c r="A2890" s="5" t="s">
        <v>7925</v>
      </c>
      <c r="B2890" s="9" t="str">
        <f t="shared" si="4"/>
        <v>25753</v>
      </c>
      <c r="C2890" s="8" t="s">
        <v>7926</v>
      </c>
      <c r="D2890" s="8" t="s">
        <v>10055</v>
      </c>
      <c r="E2890" s="8"/>
    </row>
    <row r="2891" spans="1:5" x14ac:dyDescent="0.25">
      <c r="A2891" s="5" t="s">
        <v>7927</v>
      </c>
      <c r="B2891" s="9" t="str">
        <f t="shared" si="4"/>
        <v>25753</v>
      </c>
      <c r="C2891" s="8" t="s">
        <v>7928</v>
      </c>
      <c r="D2891" s="8" t="s">
        <v>10055</v>
      </c>
      <c r="E2891" s="8"/>
    </row>
    <row r="2892" spans="1:5" x14ac:dyDescent="0.25">
      <c r="A2892" s="5" t="s">
        <v>7929</v>
      </c>
      <c r="B2892" s="9" t="str">
        <f t="shared" si="4"/>
        <v>25753</v>
      </c>
      <c r="C2892" s="8" t="s">
        <v>7930</v>
      </c>
      <c r="D2892" s="8" t="s">
        <v>10055</v>
      </c>
      <c r="E2892" s="8"/>
    </row>
    <row r="2893" spans="1:5" x14ac:dyDescent="0.25">
      <c r="A2893" s="5" t="s">
        <v>7931</v>
      </c>
      <c r="B2893" s="9" t="str">
        <f t="shared" si="4"/>
        <v>25753</v>
      </c>
      <c r="C2893" s="8" t="s">
        <v>7932</v>
      </c>
      <c r="D2893" s="8" t="s">
        <v>10055</v>
      </c>
      <c r="E2893" s="8"/>
    </row>
    <row r="2894" spans="1:5" x14ac:dyDescent="0.25">
      <c r="A2894" s="5" t="s">
        <v>7933</v>
      </c>
      <c r="B2894" s="9" t="str">
        <f t="shared" si="4"/>
        <v>25753</v>
      </c>
      <c r="C2894" s="8" t="s">
        <v>7934</v>
      </c>
      <c r="D2894" s="8" t="s">
        <v>10055</v>
      </c>
      <c r="E2894" s="8"/>
    </row>
    <row r="2895" spans="1:5" x14ac:dyDescent="0.25">
      <c r="A2895" s="5" t="s">
        <v>7935</v>
      </c>
      <c r="B2895" s="9" t="str">
        <f t="shared" si="4"/>
        <v>25753</v>
      </c>
      <c r="C2895" s="8" t="s">
        <v>7936</v>
      </c>
      <c r="D2895" s="8" t="s">
        <v>10055</v>
      </c>
      <c r="E2895" s="8"/>
    </row>
    <row r="2896" spans="1:5" x14ac:dyDescent="0.25">
      <c r="A2896" s="5" t="s">
        <v>7937</v>
      </c>
      <c r="B2896" s="9" t="str">
        <f t="shared" si="4"/>
        <v>25753</v>
      </c>
      <c r="C2896" s="8" t="s">
        <v>7938</v>
      </c>
      <c r="D2896" s="8" t="s">
        <v>10055</v>
      </c>
      <c r="E2896" s="8"/>
    </row>
    <row r="2897" spans="1:5" x14ac:dyDescent="0.25">
      <c r="A2897" s="5" t="s">
        <v>7939</v>
      </c>
      <c r="B2897" s="9" t="str">
        <f t="shared" si="4"/>
        <v>25753</v>
      </c>
      <c r="C2897" s="8" t="s">
        <v>7940</v>
      </c>
      <c r="D2897" s="8" t="s">
        <v>10055</v>
      </c>
      <c r="E2897" s="8"/>
    </row>
    <row r="2898" spans="1:5" x14ac:dyDescent="0.25">
      <c r="A2898" s="5" t="s">
        <v>7941</v>
      </c>
      <c r="B2898" s="9" t="str">
        <f t="shared" si="4"/>
        <v>25753</v>
      </c>
      <c r="C2898" s="8" t="s">
        <v>7942</v>
      </c>
      <c r="D2898" s="8" t="s">
        <v>10055</v>
      </c>
      <c r="E2898" s="8"/>
    </row>
    <row r="2899" spans="1:5" x14ac:dyDescent="0.25">
      <c r="A2899" s="5" t="s">
        <v>7943</v>
      </c>
      <c r="B2899" s="9" t="str">
        <f t="shared" si="4"/>
        <v>25753</v>
      </c>
      <c r="C2899" s="8" t="s">
        <v>7944</v>
      </c>
      <c r="D2899" s="8" t="s">
        <v>10055</v>
      </c>
      <c r="E2899" s="8"/>
    </row>
    <row r="2900" spans="1:5" x14ac:dyDescent="0.25">
      <c r="A2900" s="5" t="s">
        <v>7945</v>
      </c>
      <c r="B2900" s="9" t="str">
        <f t="shared" si="4"/>
        <v>25753</v>
      </c>
      <c r="C2900" s="8" t="s">
        <v>7946</v>
      </c>
      <c r="D2900" s="8" t="s">
        <v>10055</v>
      </c>
      <c r="E2900" s="8"/>
    </row>
    <row r="2901" spans="1:5" x14ac:dyDescent="0.25">
      <c r="A2901" s="5" t="s">
        <v>7947</v>
      </c>
      <c r="B2901" s="9" t="str">
        <f t="shared" si="4"/>
        <v>25753</v>
      </c>
      <c r="C2901" s="8" t="s">
        <v>7948</v>
      </c>
      <c r="D2901" s="8" t="s">
        <v>10055</v>
      </c>
      <c r="E2901" s="8"/>
    </row>
    <row r="2902" spans="1:5" x14ac:dyDescent="0.25">
      <c r="A2902" s="5" t="s">
        <v>7949</v>
      </c>
      <c r="B2902" s="9" t="str">
        <f t="shared" si="4"/>
        <v>25753</v>
      </c>
      <c r="C2902" s="8" t="s">
        <v>7950</v>
      </c>
      <c r="D2902" s="8" t="s">
        <v>10055</v>
      </c>
      <c r="E2902" s="8"/>
    </row>
    <row r="2903" spans="1:5" x14ac:dyDescent="0.25">
      <c r="A2903" s="5" t="s">
        <v>7951</v>
      </c>
      <c r="B2903" s="9" t="str">
        <f t="shared" si="4"/>
        <v>25753</v>
      </c>
      <c r="C2903" s="8" t="s">
        <v>7952</v>
      </c>
      <c r="D2903" s="8" t="s">
        <v>10055</v>
      </c>
      <c r="E2903" s="8"/>
    </row>
    <row r="2904" spans="1:5" x14ac:dyDescent="0.25">
      <c r="A2904" s="5" t="s">
        <v>7953</v>
      </c>
      <c r="B2904" s="9" t="str">
        <f t="shared" si="4"/>
        <v>25753</v>
      </c>
      <c r="C2904" s="8" t="s">
        <v>7954</v>
      </c>
      <c r="D2904" s="8" t="s">
        <v>10055</v>
      </c>
      <c r="E2904" s="8"/>
    </row>
    <row r="2905" spans="1:5" x14ac:dyDescent="0.25">
      <c r="A2905" s="5" t="s">
        <v>7955</v>
      </c>
      <c r="B2905" s="9" t="str">
        <f t="shared" si="4"/>
        <v>25753</v>
      </c>
      <c r="C2905" s="8" t="s">
        <v>7956</v>
      </c>
      <c r="D2905" s="8" t="s">
        <v>10055</v>
      </c>
      <c r="E2905" s="8"/>
    </row>
    <row r="2906" spans="1:5" x14ac:dyDescent="0.25">
      <c r="A2906" s="5" t="s">
        <v>7957</v>
      </c>
      <c r="B2906" s="9" t="str">
        <f t="shared" si="4"/>
        <v>25753</v>
      </c>
      <c r="C2906" s="8" t="s">
        <v>7958</v>
      </c>
      <c r="D2906" s="8" t="s">
        <v>10055</v>
      </c>
      <c r="E2906" s="8"/>
    </row>
    <row r="2907" spans="1:5" x14ac:dyDescent="0.25">
      <c r="A2907" s="5" t="s">
        <v>7959</v>
      </c>
      <c r="B2907" s="9" t="str">
        <f t="shared" si="4"/>
        <v>25753</v>
      </c>
      <c r="C2907" s="8" t="s">
        <v>7960</v>
      </c>
      <c r="D2907" s="8" t="s">
        <v>10055</v>
      </c>
      <c r="E2907" s="8"/>
    </row>
    <row r="2908" spans="1:5" x14ac:dyDescent="0.25">
      <c r="A2908" s="5" t="s">
        <v>7961</v>
      </c>
      <c r="B2908" s="9" t="str">
        <f t="shared" si="4"/>
        <v>25753</v>
      </c>
      <c r="C2908" s="8" t="s">
        <v>7962</v>
      </c>
      <c r="D2908" s="8" t="s">
        <v>10055</v>
      </c>
      <c r="E2908" s="8"/>
    </row>
    <row r="2909" spans="1:5" x14ac:dyDescent="0.25">
      <c r="A2909" s="5" t="s">
        <v>7963</v>
      </c>
      <c r="B2909" s="9" t="str">
        <f t="shared" si="4"/>
        <v>25753</v>
      </c>
      <c r="C2909" s="8" t="s">
        <v>7964</v>
      </c>
      <c r="D2909" s="8" t="s">
        <v>10055</v>
      </c>
      <c r="E2909" s="8"/>
    </row>
    <row r="2910" spans="1:5" x14ac:dyDescent="0.25">
      <c r="A2910" s="5" t="s">
        <v>7965</v>
      </c>
      <c r="B2910" s="9" t="str">
        <f t="shared" si="4"/>
        <v>25753</v>
      </c>
      <c r="C2910" s="8" t="s">
        <v>7966</v>
      </c>
      <c r="D2910" s="8" t="s">
        <v>10055</v>
      </c>
      <c r="E2910" s="8"/>
    </row>
    <row r="2911" spans="1:5" x14ac:dyDescent="0.25">
      <c r="A2911" s="5" t="s">
        <v>7967</v>
      </c>
      <c r="B2911" s="9" t="str">
        <f t="shared" si="4"/>
        <v>25753</v>
      </c>
      <c r="C2911" s="8" t="s">
        <v>7968</v>
      </c>
      <c r="D2911" s="8" t="s">
        <v>10055</v>
      </c>
      <c r="E2911" s="8"/>
    </row>
    <row r="2912" spans="1:5" x14ac:dyDescent="0.25">
      <c r="A2912" s="5" t="s">
        <v>7969</v>
      </c>
      <c r="B2912" s="9" t="str">
        <f t="shared" si="4"/>
        <v>25753</v>
      </c>
      <c r="C2912" s="8" t="s">
        <v>7970</v>
      </c>
      <c r="D2912" s="8" t="s">
        <v>10055</v>
      </c>
      <c r="E2912" s="8"/>
    </row>
    <row r="2913" spans="1:5" x14ac:dyDescent="0.25">
      <c r="A2913" s="5" t="s">
        <v>7971</v>
      </c>
      <c r="B2913" s="9" t="str">
        <f t="shared" si="4"/>
        <v>25753</v>
      </c>
      <c r="C2913" s="8" t="s">
        <v>7972</v>
      </c>
      <c r="D2913" s="8" t="s">
        <v>10055</v>
      </c>
      <c r="E2913" s="8"/>
    </row>
    <row r="2914" spans="1:5" x14ac:dyDescent="0.25">
      <c r="A2914" s="5" t="s">
        <v>7973</v>
      </c>
      <c r="B2914" s="9" t="str">
        <f t="shared" si="4"/>
        <v>25753</v>
      </c>
      <c r="C2914" s="8" t="s">
        <v>7974</v>
      </c>
      <c r="D2914" s="8" t="s">
        <v>10055</v>
      </c>
      <c r="E2914" s="8"/>
    </row>
    <row r="2915" spans="1:5" x14ac:dyDescent="0.25">
      <c r="A2915" s="5" t="s">
        <v>7975</v>
      </c>
      <c r="B2915" s="9" t="str">
        <f t="shared" si="4"/>
        <v>25753</v>
      </c>
      <c r="C2915" s="8" t="s">
        <v>7976</v>
      </c>
      <c r="D2915" s="8" t="s">
        <v>10055</v>
      </c>
      <c r="E2915" s="8"/>
    </row>
    <row r="2916" spans="1:5" x14ac:dyDescent="0.25">
      <c r="A2916" s="5" t="s">
        <v>7977</v>
      </c>
      <c r="B2916" s="9" t="str">
        <f t="shared" si="4"/>
        <v>25753</v>
      </c>
      <c r="C2916" s="8" t="s">
        <v>7978</v>
      </c>
      <c r="D2916" s="8" t="s">
        <v>10055</v>
      </c>
      <c r="E2916" s="8"/>
    </row>
    <row r="2917" spans="1:5" x14ac:dyDescent="0.25">
      <c r="A2917" s="5" t="s">
        <v>7979</v>
      </c>
      <c r="B2917" s="9" t="str">
        <f t="shared" si="4"/>
        <v>25753</v>
      </c>
      <c r="C2917" s="8" t="s">
        <v>7980</v>
      </c>
      <c r="D2917" s="8" t="s">
        <v>10055</v>
      </c>
      <c r="E2917" s="8"/>
    </row>
    <row r="2918" spans="1:5" x14ac:dyDescent="0.25">
      <c r="A2918" s="5" t="s">
        <v>7981</v>
      </c>
      <c r="B2918" s="9" t="str">
        <f t="shared" si="4"/>
        <v>25753</v>
      </c>
      <c r="C2918" s="8" t="s">
        <v>7982</v>
      </c>
      <c r="D2918" s="8" t="s">
        <v>10055</v>
      </c>
      <c r="E2918" s="8"/>
    </row>
    <row r="2919" spans="1:5" x14ac:dyDescent="0.25">
      <c r="A2919" s="5" t="s">
        <v>7983</v>
      </c>
      <c r="B2919" s="9" t="str">
        <f t="shared" si="4"/>
        <v>25753</v>
      </c>
      <c r="C2919" s="8" t="s">
        <v>7984</v>
      </c>
      <c r="D2919" s="8" t="s">
        <v>10055</v>
      </c>
      <c r="E2919" s="8"/>
    </row>
    <row r="2920" spans="1:5" x14ac:dyDescent="0.25">
      <c r="A2920" s="5" t="s">
        <v>7985</v>
      </c>
      <c r="B2920" s="9" t="str">
        <f t="shared" si="4"/>
        <v>25753</v>
      </c>
      <c r="C2920" s="8" t="s">
        <v>7986</v>
      </c>
      <c r="D2920" s="8" t="s">
        <v>10055</v>
      </c>
      <c r="E2920" s="8"/>
    </row>
    <row r="2921" spans="1:5" x14ac:dyDescent="0.25">
      <c r="A2921" s="5" t="s">
        <v>7987</v>
      </c>
      <c r="B2921" s="9" t="str">
        <f t="shared" si="4"/>
        <v>25753</v>
      </c>
      <c r="C2921" s="8" t="s">
        <v>7988</v>
      </c>
      <c r="D2921" s="8" t="s">
        <v>10055</v>
      </c>
      <c r="E2921" s="8"/>
    </row>
    <row r="2922" spans="1:5" x14ac:dyDescent="0.25">
      <c r="A2922" s="5" t="s">
        <v>7989</v>
      </c>
      <c r="B2922" s="9" t="str">
        <f t="shared" si="4"/>
        <v>25753</v>
      </c>
      <c r="C2922" s="8" t="s">
        <v>7990</v>
      </c>
      <c r="D2922" s="8" t="s">
        <v>10055</v>
      </c>
      <c r="E2922" s="8"/>
    </row>
    <row r="2923" spans="1:5" x14ac:dyDescent="0.25">
      <c r="A2923" s="5" t="s">
        <v>7991</v>
      </c>
      <c r="B2923" s="9" t="str">
        <f t="shared" si="4"/>
        <v>25753</v>
      </c>
      <c r="C2923" s="8" t="s">
        <v>7992</v>
      </c>
      <c r="D2923" s="8" t="s">
        <v>10055</v>
      </c>
      <c r="E2923" s="8"/>
    </row>
    <row r="2924" spans="1:5" x14ac:dyDescent="0.25">
      <c r="A2924" s="5" t="s">
        <v>7993</v>
      </c>
      <c r="B2924" s="9" t="str">
        <f t="shared" si="4"/>
        <v>25753</v>
      </c>
      <c r="C2924" s="8" t="s">
        <v>7994</v>
      </c>
      <c r="D2924" s="8" t="s">
        <v>10055</v>
      </c>
      <c r="E2924" s="8"/>
    </row>
    <row r="2925" spans="1:5" x14ac:dyDescent="0.25">
      <c r="A2925" s="5" t="s">
        <v>7995</v>
      </c>
      <c r="B2925" s="9" t="str">
        <f t="shared" si="4"/>
        <v>25753</v>
      </c>
      <c r="C2925" s="8" t="s">
        <v>7996</v>
      </c>
      <c r="D2925" s="8" t="s">
        <v>10055</v>
      </c>
      <c r="E2925" s="8"/>
    </row>
    <row r="2926" spans="1:5" x14ac:dyDescent="0.25">
      <c r="A2926" s="5" t="s">
        <v>7997</v>
      </c>
      <c r="B2926" s="9" t="str">
        <f t="shared" si="4"/>
        <v>25753</v>
      </c>
      <c r="C2926" s="8" t="s">
        <v>7998</v>
      </c>
      <c r="D2926" s="8" t="s">
        <v>10055</v>
      </c>
      <c r="E2926" s="8"/>
    </row>
    <row r="2927" spans="1:5" x14ac:dyDescent="0.25">
      <c r="A2927" s="5" t="s">
        <v>7999</v>
      </c>
      <c r="B2927" s="9" t="str">
        <f t="shared" si="4"/>
        <v>25753</v>
      </c>
      <c r="C2927" s="8" t="s">
        <v>8000</v>
      </c>
      <c r="D2927" s="8" t="s">
        <v>10055</v>
      </c>
      <c r="E2927" s="8"/>
    </row>
    <row r="2928" spans="1:5" x14ac:dyDescent="0.25">
      <c r="A2928" s="5" t="s">
        <v>8001</v>
      </c>
      <c r="B2928" s="9" t="str">
        <f t="shared" si="4"/>
        <v>25753</v>
      </c>
      <c r="C2928" s="8" t="s">
        <v>8002</v>
      </c>
      <c r="D2928" s="8" t="s">
        <v>10055</v>
      </c>
      <c r="E2928" s="8"/>
    </row>
    <row r="2929" spans="1:5" x14ac:dyDescent="0.25">
      <c r="A2929" s="5" t="s">
        <v>8003</v>
      </c>
      <c r="B2929" s="9" t="str">
        <f t="shared" si="4"/>
        <v>25753</v>
      </c>
      <c r="C2929" s="8" t="s">
        <v>8004</v>
      </c>
      <c r="D2929" s="8" t="s">
        <v>10055</v>
      </c>
      <c r="E2929" s="8"/>
    </row>
    <row r="2930" spans="1:5" x14ac:dyDescent="0.25">
      <c r="A2930" s="5" t="s">
        <v>8005</v>
      </c>
      <c r="B2930" s="9" t="str">
        <f t="shared" si="4"/>
        <v>25753</v>
      </c>
      <c r="C2930" s="8" t="s">
        <v>8006</v>
      </c>
      <c r="D2930" s="8" t="s">
        <v>10055</v>
      </c>
      <c r="E2930" s="8"/>
    </row>
    <row r="2931" spans="1:5" x14ac:dyDescent="0.25">
      <c r="A2931" s="5" t="s">
        <v>8007</v>
      </c>
      <c r="B2931" s="9" t="str">
        <f t="shared" si="4"/>
        <v>25753</v>
      </c>
      <c r="C2931" s="8" t="s">
        <v>8008</v>
      </c>
      <c r="D2931" s="8" t="s">
        <v>10055</v>
      </c>
      <c r="E2931" s="8"/>
    </row>
    <row r="2932" spans="1:5" x14ac:dyDescent="0.25">
      <c r="A2932" s="5" t="s">
        <v>8009</v>
      </c>
      <c r="B2932" s="9" t="str">
        <f t="shared" si="4"/>
        <v>25753</v>
      </c>
      <c r="C2932" s="8" t="s">
        <v>8010</v>
      </c>
      <c r="D2932" s="8" t="s">
        <v>10055</v>
      </c>
      <c r="E2932" s="8"/>
    </row>
    <row r="2933" spans="1:5" x14ac:dyDescent="0.25">
      <c r="A2933" s="5" t="s">
        <v>8011</v>
      </c>
      <c r="B2933" s="9" t="str">
        <f t="shared" si="4"/>
        <v>25753</v>
      </c>
      <c r="C2933" s="8" t="s">
        <v>8012</v>
      </c>
      <c r="D2933" s="8" t="s">
        <v>10055</v>
      </c>
      <c r="E2933" s="8"/>
    </row>
    <row r="2934" spans="1:5" x14ac:dyDescent="0.25">
      <c r="A2934" s="5" t="s">
        <v>8013</v>
      </c>
      <c r="B2934" s="9" t="str">
        <f t="shared" si="4"/>
        <v>25753</v>
      </c>
      <c r="C2934" s="8" t="s">
        <v>8014</v>
      </c>
      <c r="D2934" s="8" t="s">
        <v>10055</v>
      </c>
      <c r="E2934" s="8"/>
    </row>
    <row r="2935" spans="1:5" x14ac:dyDescent="0.25">
      <c r="A2935" s="5" t="s">
        <v>8015</v>
      </c>
      <c r="B2935" s="9" t="str">
        <f t="shared" si="4"/>
        <v>25753</v>
      </c>
      <c r="C2935" s="8" t="s">
        <v>8016</v>
      </c>
      <c r="D2935" s="8" t="s">
        <v>10055</v>
      </c>
      <c r="E2935" s="8"/>
    </row>
    <row r="2936" spans="1:5" x14ac:dyDescent="0.25">
      <c r="A2936" s="5" t="s">
        <v>8017</v>
      </c>
      <c r="B2936" s="9" t="str">
        <f t="shared" si="4"/>
        <v>25753</v>
      </c>
      <c r="C2936" s="8" t="s">
        <v>8018</v>
      </c>
      <c r="D2936" s="8" t="s">
        <v>10055</v>
      </c>
      <c r="E2936" s="8"/>
    </row>
    <row r="2937" spans="1:5" x14ac:dyDescent="0.25">
      <c r="A2937" s="5" t="s">
        <v>8019</v>
      </c>
      <c r="B2937" s="9" t="str">
        <f t="shared" si="4"/>
        <v>25753</v>
      </c>
      <c r="C2937" s="8" t="s">
        <v>8020</v>
      </c>
      <c r="D2937" s="8" t="s">
        <v>10055</v>
      </c>
      <c r="E2937" s="8"/>
    </row>
    <row r="2938" spans="1:5" x14ac:dyDescent="0.25">
      <c r="A2938" s="5" t="s">
        <v>8021</v>
      </c>
      <c r="B2938" s="9" t="str">
        <f t="shared" si="4"/>
        <v>25753</v>
      </c>
      <c r="C2938" s="8" t="s">
        <v>8022</v>
      </c>
      <c r="D2938" s="8" t="s">
        <v>10055</v>
      </c>
      <c r="E2938" s="8"/>
    </row>
    <row r="2939" spans="1:5" x14ac:dyDescent="0.25">
      <c r="A2939" s="5" t="s">
        <v>8023</v>
      </c>
      <c r="B2939" s="9" t="str">
        <f t="shared" si="4"/>
        <v>25753</v>
      </c>
      <c r="C2939" s="8" t="s">
        <v>8024</v>
      </c>
      <c r="D2939" s="8" t="s">
        <v>10055</v>
      </c>
      <c r="E2939" s="8"/>
    </row>
    <row r="2940" spans="1:5" x14ac:dyDescent="0.25">
      <c r="A2940" s="5" t="s">
        <v>8025</v>
      </c>
      <c r="B2940" s="9" t="str">
        <f t="shared" si="4"/>
        <v>25753</v>
      </c>
      <c r="C2940" s="8" t="s">
        <v>8026</v>
      </c>
      <c r="D2940" s="8" t="s">
        <v>10055</v>
      </c>
      <c r="E2940" s="8"/>
    </row>
    <row r="2941" spans="1:5" x14ac:dyDescent="0.25">
      <c r="A2941" s="5" t="s">
        <v>8027</v>
      </c>
      <c r="B2941" s="9" t="str">
        <f t="shared" ref="B2941:B3195" si="5">HYPERLINK("http://biobank.ctsu.ox.ac.uk/crystal/field.cgi?id=25753", "25753")</f>
        <v>25753</v>
      </c>
      <c r="C2941" s="8" t="s">
        <v>8028</v>
      </c>
      <c r="D2941" s="8" t="s">
        <v>10055</v>
      </c>
      <c r="E2941" s="8"/>
    </row>
    <row r="2942" spans="1:5" x14ac:dyDescent="0.25">
      <c r="A2942" s="5" t="s">
        <v>8029</v>
      </c>
      <c r="B2942" s="9" t="str">
        <f t="shared" si="5"/>
        <v>25753</v>
      </c>
      <c r="C2942" s="8" t="s">
        <v>8030</v>
      </c>
      <c r="D2942" s="8" t="s">
        <v>10055</v>
      </c>
      <c r="E2942" s="8"/>
    </row>
    <row r="2943" spans="1:5" x14ac:dyDescent="0.25">
      <c r="A2943" s="5" t="s">
        <v>8031</v>
      </c>
      <c r="B2943" s="9" t="str">
        <f t="shared" si="5"/>
        <v>25753</v>
      </c>
      <c r="C2943" s="8" t="s">
        <v>8032</v>
      </c>
      <c r="D2943" s="8" t="s">
        <v>10055</v>
      </c>
      <c r="E2943" s="8"/>
    </row>
    <row r="2944" spans="1:5" x14ac:dyDescent="0.25">
      <c r="A2944" s="5" t="s">
        <v>8033</v>
      </c>
      <c r="B2944" s="9" t="str">
        <f t="shared" si="5"/>
        <v>25753</v>
      </c>
      <c r="C2944" s="8" t="s">
        <v>8034</v>
      </c>
      <c r="D2944" s="8" t="s">
        <v>10055</v>
      </c>
      <c r="E2944" s="8"/>
    </row>
    <row r="2945" spans="1:5" x14ac:dyDescent="0.25">
      <c r="A2945" s="5" t="s">
        <v>8035</v>
      </c>
      <c r="B2945" s="9" t="str">
        <f t="shared" si="5"/>
        <v>25753</v>
      </c>
      <c r="C2945" s="8" t="s">
        <v>8036</v>
      </c>
      <c r="D2945" s="8" t="s">
        <v>10055</v>
      </c>
      <c r="E2945" s="8"/>
    </row>
    <row r="2946" spans="1:5" x14ac:dyDescent="0.25">
      <c r="A2946" s="5" t="s">
        <v>8037</v>
      </c>
      <c r="B2946" s="9" t="str">
        <f t="shared" si="5"/>
        <v>25753</v>
      </c>
      <c r="C2946" s="8" t="s">
        <v>8038</v>
      </c>
      <c r="D2946" s="8" t="s">
        <v>10055</v>
      </c>
      <c r="E2946" s="8"/>
    </row>
    <row r="2947" spans="1:5" x14ac:dyDescent="0.25">
      <c r="A2947" s="5" t="s">
        <v>8039</v>
      </c>
      <c r="B2947" s="9" t="str">
        <f t="shared" si="5"/>
        <v>25753</v>
      </c>
      <c r="C2947" s="8" t="s">
        <v>8040</v>
      </c>
      <c r="D2947" s="8" t="s">
        <v>10055</v>
      </c>
      <c r="E2947" s="8"/>
    </row>
    <row r="2948" spans="1:5" x14ac:dyDescent="0.25">
      <c r="A2948" s="5" t="s">
        <v>8041</v>
      </c>
      <c r="B2948" s="9" t="str">
        <f t="shared" si="5"/>
        <v>25753</v>
      </c>
      <c r="C2948" s="8" t="s">
        <v>8042</v>
      </c>
      <c r="D2948" s="8" t="s">
        <v>10055</v>
      </c>
      <c r="E2948" s="8"/>
    </row>
    <row r="2949" spans="1:5" x14ac:dyDescent="0.25">
      <c r="A2949" s="5" t="s">
        <v>8043</v>
      </c>
      <c r="B2949" s="9" t="str">
        <f t="shared" si="5"/>
        <v>25753</v>
      </c>
      <c r="C2949" s="8" t="s">
        <v>8044</v>
      </c>
      <c r="D2949" s="8" t="s">
        <v>10055</v>
      </c>
      <c r="E2949" s="8"/>
    </row>
    <row r="2950" spans="1:5" x14ac:dyDescent="0.25">
      <c r="A2950" s="5" t="s">
        <v>8045</v>
      </c>
      <c r="B2950" s="9" t="str">
        <f t="shared" si="5"/>
        <v>25753</v>
      </c>
      <c r="C2950" s="8" t="s">
        <v>8046</v>
      </c>
      <c r="D2950" s="8" t="s">
        <v>10055</v>
      </c>
      <c r="E2950" s="8"/>
    </row>
    <row r="2951" spans="1:5" x14ac:dyDescent="0.25">
      <c r="A2951" s="5" t="s">
        <v>8047</v>
      </c>
      <c r="B2951" s="9" t="str">
        <f t="shared" si="5"/>
        <v>25753</v>
      </c>
      <c r="C2951" s="8" t="s">
        <v>8048</v>
      </c>
      <c r="D2951" s="8" t="s">
        <v>10055</v>
      </c>
      <c r="E2951" s="8"/>
    </row>
    <row r="2952" spans="1:5" x14ac:dyDescent="0.25">
      <c r="A2952" s="5" t="s">
        <v>8049</v>
      </c>
      <c r="B2952" s="9" t="str">
        <f t="shared" si="5"/>
        <v>25753</v>
      </c>
      <c r="C2952" s="8" t="s">
        <v>8050</v>
      </c>
      <c r="D2952" s="8" t="s">
        <v>10055</v>
      </c>
      <c r="E2952" s="8"/>
    </row>
    <row r="2953" spans="1:5" x14ac:dyDescent="0.25">
      <c r="A2953" s="5" t="s">
        <v>8051</v>
      </c>
      <c r="B2953" s="9" t="str">
        <f t="shared" si="5"/>
        <v>25753</v>
      </c>
      <c r="C2953" s="8" t="s">
        <v>8052</v>
      </c>
      <c r="D2953" s="8" t="s">
        <v>10055</v>
      </c>
      <c r="E2953" s="8"/>
    </row>
    <row r="2954" spans="1:5" x14ac:dyDescent="0.25">
      <c r="A2954" s="5" t="s">
        <v>8053</v>
      </c>
      <c r="B2954" s="9" t="str">
        <f t="shared" si="5"/>
        <v>25753</v>
      </c>
      <c r="C2954" s="8" t="s">
        <v>8054</v>
      </c>
      <c r="D2954" s="8" t="s">
        <v>10055</v>
      </c>
      <c r="E2954" s="8"/>
    </row>
    <row r="2955" spans="1:5" x14ac:dyDescent="0.25">
      <c r="A2955" s="5" t="s">
        <v>8055</v>
      </c>
      <c r="B2955" s="9" t="str">
        <f t="shared" si="5"/>
        <v>25753</v>
      </c>
      <c r="C2955" s="8" t="s">
        <v>8056</v>
      </c>
      <c r="D2955" s="8" t="s">
        <v>10055</v>
      </c>
      <c r="E2955" s="8"/>
    </row>
    <row r="2956" spans="1:5" x14ac:dyDescent="0.25">
      <c r="A2956" s="5" t="s">
        <v>8057</v>
      </c>
      <c r="B2956" s="9" t="str">
        <f t="shared" si="5"/>
        <v>25753</v>
      </c>
      <c r="C2956" s="8" t="s">
        <v>8058</v>
      </c>
      <c r="D2956" s="8" t="s">
        <v>10055</v>
      </c>
      <c r="E2956" s="8"/>
    </row>
    <row r="2957" spans="1:5" x14ac:dyDescent="0.25">
      <c r="A2957" s="5" t="s">
        <v>8059</v>
      </c>
      <c r="B2957" s="9" t="str">
        <f t="shared" si="5"/>
        <v>25753</v>
      </c>
      <c r="C2957" s="8" t="s">
        <v>8060</v>
      </c>
      <c r="D2957" s="8" t="s">
        <v>10055</v>
      </c>
      <c r="E2957" s="8"/>
    </row>
    <row r="2958" spans="1:5" x14ac:dyDescent="0.25">
      <c r="A2958" s="5" t="s">
        <v>8061</v>
      </c>
      <c r="B2958" s="9" t="str">
        <f t="shared" si="5"/>
        <v>25753</v>
      </c>
      <c r="C2958" s="8" t="s">
        <v>8062</v>
      </c>
      <c r="D2958" s="8" t="s">
        <v>10055</v>
      </c>
      <c r="E2958" s="8"/>
    </row>
    <row r="2959" spans="1:5" x14ac:dyDescent="0.25">
      <c r="A2959" s="5" t="s">
        <v>8063</v>
      </c>
      <c r="B2959" s="9" t="str">
        <f t="shared" si="5"/>
        <v>25753</v>
      </c>
      <c r="C2959" s="8" t="s">
        <v>8064</v>
      </c>
      <c r="D2959" s="8" t="s">
        <v>10055</v>
      </c>
      <c r="E2959" s="8"/>
    </row>
    <row r="2960" spans="1:5" x14ac:dyDescent="0.25">
      <c r="A2960" s="5" t="s">
        <v>8065</v>
      </c>
      <c r="B2960" s="9" t="str">
        <f t="shared" si="5"/>
        <v>25753</v>
      </c>
      <c r="C2960" s="8" t="s">
        <v>8066</v>
      </c>
      <c r="D2960" s="8" t="s">
        <v>10055</v>
      </c>
      <c r="E2960" s="8"/>
    </row>
    <row r="2961" spans="1:5" x14ac:dyDescent="0.25">
      <c r="A2961" s="5" t="s">
        <v>8067</v>
      </c>
      <c r="B2961" s="9" t="str">
        <f t="shared" si="5"/>
        <v>25753</v>
      </c>
      <c r="C2961" s="8" t="s">
        <v>8068</v>
      </c>
      <c r="D2961" s="8" t="s">
        <v>10055</v>
      </c>
      <c r="E2961" s="8"/>
    </row>
    <row r="2962" spans="1:5" x14ac:dyDescent="0.25">
      <c r="A2962" s="5" t="s">
        <v>8069</v>
      </c>
      <c r="B2962" s="9" t="str">
        <f t="shared" si="5"/>
        <v>25753</v>
      </c>
      <c r="C2962" s="8" t="s">
        <v>8070</v>
      </c>
      <c r="D2962" s="8" t="s">
        <v>10055</v>
      </c>
      <c r="E2962" s="8"/>
    </row>
    <row r="2963" spans="1:5" x14ac:dyDescent="0.25">
      <c r="A2963" s="5" t="s">
        <v>8071</v>
      </c>
      <c r="B2963" s="9" t="str">
        <f t="shared" si="5"/>
        <v>25753</v>
      </c>
      <c r="C2963" s="8" t="s">
        <v>8072</v>
      </c>
      <c r="D2963" s="8" t="s">
        <v>10055</v>
      </c>
      <c r="E2963" s="8"/>
    </row>
    <row r="2964" spans="1:5" x14ac:dyDescent="0.25">
      <c r="A2964" s="5" t="s">
        <v>8073</v>
      </c>
      <c r="B2964" s="9" t="str">
        <f t="shared" si="5"/>
        <v>25753</v>
      </c>
      <c r="C2964" s="8" t="s">
        <v>8074</v>
      </c>
      <c r="D2964" s="8" t="s">
        <v>10055</v>
      </c>
      <c r="E2964" s="8"/>
    </row>
    <row r="2965" spans="1:5" x14ac:dyDescent="0.25">
      <c r="A2965" s="5" t="s">
        <v>8075</v>
      </c>
      <c r="B2965" s="9" t="str">
        <f t="shared" si="5"/>
        <v>25753</v>
      </c>
      <c r="C2965" s="8" t="s">
        <v>8076</v>
      </c>
      <c r="D2965" s="8" t="s">
        <v>10055</v>
      </c>
      <c r="E2965" s="8"/>
    </row>
    <row r="2966" spans="1:5" x14ac:dyDescent="0.25">
      <c r="A2966" s="5" t="s">
        <v>8077</v>
      </c>
      <c r="B2966" s="9" t="str">
        <f t="shared" si="5"/>
        <v>25753</v>
      </c>
      <c r="C2966" s="8" t="s">
        <v>8078</v>
      </c>
      <c r="D2966" s="8" t="s">
        <v>10055</v>
      </c>
      <c r="E2966" s="8"/>
    </row>
    <row r="2967" spans="1:5" x14ac:dyDescent="0.25">
      <c r="A2967" s="5" t="s">
        <v>8079</v>
      </c>
      <c r="B2967" s="9" t="str">
        <f t="shared" si="5"/>
        <v>25753</v>
      </c>
      <c r="C2967" s="8" t="s">
        <v>8080</v>
      </c>
      <c r="D2967" s="8" t="s">
        <v>10055</v>
      </c>
      <c r="E2967" s="8"/>
    </row>
    <row r="2968" spans="1:5" x14ac:dyDescent="0.25">
      <c r="A2968" s="5" t="s">
        <v>8081</v>
      </c>
      <c r="B2968" s="9" t="str">
        <f t="shared" si="5"/>
        <v>25753</v>
      </c>
      <c r="C2968" s="8" t="s">
        <v>8082</v>
      </c>
      <c r="D2968" s="8" t="s">
        <v>10055</v>
      </c>
      <c r="E2968" s="8"/>
    </row>
    <row r="2969" spans="1:5" x14ac:dyDescent="0.25">
      <c r="A2969" s="5" t="s">
        <v>8083</v>
      </c>
      <c r="B2969" s="9" t="str">
        <f t="shared" si="5"/>
        <v>25753</v>
      </c>
      <c r="C2969" s="8" t="s">
        <v>8084</v>
      </c>
      <c r="D2969" s="8" t="s">
        <v>10055</v>
      </c>
      <c r="E2969" s="8"/>
    </row>
    <row r="2970" spans="1:5" x14ac:dyDescent="0.25">
      <c r="A2970" s="5" t="s">
        <v>8085</v>
      </c>
      <c r="B2970" s="9" t="str">
        <f t="shared" si="5"/>
        <v>25753</v>
      </c>
      <c r="C2970" s="8" t="s">
        <v>8086</v>
      </c>
      <c r="D2970" s="8" t="s">
        <v>10055</v>
      </c>
      <c r="E2970" s="8"/>
    </row>
    <row r="2971" spans="1:5" x14ac:dyDescent="0.25">
      <c r="A2971" s="5" t="s">
        <v>8087</v>
      </c>
      <c r="B2971" s="9" t="str">
        <f t="shared" si="5"/>
        <v>25753</v>
      </c>
      <c r="C2971" s="8" t="s">
        <v>8088</v>
      </c>
      <c r="D2971" s="8" t="s">
        <v>10055</v>
      </c>
      <c r="E2971" s="8"/>
    </row>
    <row r="2972" spans="1:5" x14ac:dyDescent="0.25">
      <c r="A2972" s="5" t="s">
        <v>8089</v>
      </c>
      <c r="B2972" s="9" t="str">
        <f t="shared" si="5"/>
        <v>25753</v>
      </c>
      <c r="C2972" s="8" t="s">
        <v>8090</v>
      </c>
      <c r="D2972" s="8" t="s">
        <v>10055</v>
      </c>
      <c r="E2972" s="8"/>
    </row>
    <row r="2973" spans="1:5" x14ac:dyDescent="0.25">
      <c r="A2973" s="5" t="s">
        <v>8091</v>
      </c>
      <c r="B2973" s="9" t="str">
        <f t="shared" si="5"/>
        <v>25753</v>
      </c>
      <c r="C2973" s="8" t="s">
        <v>8092</v>
      </c>
      <c r="D2973" s="8" t="s">
        <v>10055</v>
      </c>
      <c r="E2973" s="8"/>
    </row>
    <row r="2974" spans="1:5" x14ac:dyDescent="0.25">
      <c r="A2974" s="5" t="s">
        <v>8093</v>
      </c>
      <c r="B2974" s="9" t="str">
        <f t="shared" si="5"/>
        <v>25753</v>
      </c>
      <c r="C2974" s="8" t="s">
        <v>8094</v>
      </c>
      <c r="D2974" s="8" t="s">
        <v>10055</v>
      </c>
      <c r="E2974" s="8"/>
    </row>
    <row r="2975" spans="1:5" x14ac:dyDescent="0.25">
      <c r="A2975" s="5" t="s">
        <v>8095</v>
      </c>
      <c r="B2975" s="9" t="str">
        <f t="shared" si="5"/>
        <v>25753</v>
      </c>
      <c r="C2975" s="8" t="s">
        <v>8096</v>
      </c>
      <c r="D2975" s="8" t="s">
        <v>10055</v>
      </c>
      <c r="E2975" s="8"/>
    </row>
    <row r="2976" spans="1:5" x14ac:dyDescent="0.25">
      <c r="A2976" s="5" t="s">
        <v>8097</v>
      </c>
      <c r="B2976" s="9" t="str">
        <f t="shared" si="5"/>
        <v>25753</v>
      </c>
      <c r="C2976" s="8" t="s">
        <v>8098</v>
      </c>
      <c r="D2976" s="8" t="s">
        <v>10055</v>
      </c>
      <c r="E2976" s="8"/>
    </row>
    <row r="2977" spans="1:5" x14ac:dyDescent="0.25">
      <c r="A2977" s="5" t="s">
        <v>8099</v>
      </c>
      <c r="B2977" s="9" t="str">
        <f t="shared" si="5"/>
        <v>25753</v>
      </c>
      <c r="C2977" s="8" t="s">
        <v>8100</v>
      </c>
      <c r="D2977" s="8" t="s">
        <v>10055</v>
      </c>
      <c r="E2977" s="8"/>
    </row>
    <row r="2978" spans="1:5" x14ac:dyDescent="0.25">
      <c r="A2978" s="5" t="s">
        <v>8101</v>
      </c>
      <c r="B2978" s="9" t="str">
        <f t="shared" si="5"/>
        <v>25753</v>
      </c>
      <c r="C2978" s="8" t="s">
        <v>8102</v>
      </c>
      <c r="D2978" s="8" t="s">
        <v>10055</v>
      </c>
      <c r="E2978" s="8"/>
    </row>
    <row r="2979" spans="1:5" x14ac:dyDescent="0.25">
      <c r="A2979" s="5" t="s">
        <v>8103</v>
      </c>
      <c r="B2979" s="9" t="str">
        <f t="shared" si="5"/>
        <v>25753</v>
      </c>
      <c r="C2979" s="8" t="s">
        <v>8104</v>
      </c>
      <c r="D2979" s="8" t="s">
        <v>10055</v>
      </c>
      <c r="E2979" s="8"/>
    </row>
    <row r="2980" spans="1:5" x14ac:dyDescent="0.25">
      <c r="A2980" s="5" t="s">
        <v>8105</v>
      </c>
      <c r="B2980" s="9" t="str">
        <f t="shared" si="5"/>
        <v>25753</v>
      </c>
      <c r="C2980" s="8" t="s">
        <v>8106</v>
      </c>
      <c r="D2980" s="8" t="s">
        <v>10055</v>
      </c>
      <c r="E2980" s="8"/>
    </row>
    <row r="2981" spans="1:5" x14ac:dyDescent="0.25">
      <c r="A2981" s="5" t="s">
        <v>8107</v>
      </c>
      <c r="B2981" s="9" t="str">
        <f t="shared" si="5"/>
        <v>25753</v>
      </c>
      <c r="C2981" s="8" t="s">
        <v>8108</v>
      </c>
      <c r="D2981" s="8" t="s">
        <v>10055</v>
      </c>
      <c r="E2981" s="8"/>
    </row>
    <row r="2982" spans="1:5" x14ac:dyDescent="0.25">
      <c r="A2982" s="5" t="s">
        <v>8109</v>
      </c>
      <c r="B2982" s="9" t="str">
        <f t="shared" si="5"/>
        <v>25753</v>
      </c>
      <c r="C2982" s="8" t="s">
        <v>8110</v>
      </c>
      <c r="D2982" s="8" t="s">
        <v>10055</v>
      </c>
      <c r="E2982" s="8"/>
    </row>
    <row r="2983" spans="1:5" x14ac:dyDescent="0.25">
      <c r="A2983" s="5" t="s">
        <v>8111</v>
      </c>
      <c r="B2983" s="9" t="str">
        <f t="shared" si="5"/>
        <v>25753</v>
      </c>
      <c r="C2983" s="8" t="s">
        <v>8112</v>
      </c>
      <c r="D2983" s="8" t="s">
        <v>10055</v>
      </c>
      <c r="E2983" s="8"/>
    </row>
    <row r="2984" spans="1:5" x14ac:dyDescent="0.25">
      <c r="A2984" s="5" t="s">
        <v>8113</v>
      </c>
      <c r="B2984" s="9" t="str">
        <f t="shared" si="5"/>
        <v>25753</v>
      </c>
      <c r="C2984" s="8" t="s">
        <v>8114</v>
      </c>
      <c r="D2984" s="8" t="s">
        <v>10055</v>
      </c>
      <c r="E2984" s="8"/>
    </row>
    <row r="2985" spans="1:5" x14ac:dyDescent="0.25">
      <c r="A2985" s="5" t="s">
        <v>8115</v>
      </c>
      <c r="B2985" s="9" t="str">
        <f t="shared" si="5"/>
        <v>25753</v>
      </c>
      <c r="C2985" s="8" t="s">
        <v>8116</v>
      </c>
      <c r="D2985" s="8" t="s">
        <v>10055</v>
      </c>
      <c r="E2985" s="8"/>
    </row>
    <row r="2986" spans="1:5" x14ac:dyDescent="0.25">
      <c r="A2986" s="5" t="s">
        <v>8117</v>
      </c>
      <c r="B2986" s="9" t="str">
        <f t="shared" si="5"/>
        <v>25753</v>
      </c>
      <c r="C2986" s="8" t="s">
        <v>8118</v>
      </c>
      <c r="D2986" s="8" t="s">
        <v>10055</v>
      </c>
      <c r="E2986" s="8"/>
    </row>
    <row r="2987" spans="1:5" x14ac:dyDescent="0.25">
      <c r="A2987" s="5" t="s">
        <v>8119</v>
      </c>
      <c r="B2987" s="9" t="str">
        <f t="shared" si="5"/>
        <v>25753</v>
      </c>
      <c r="C2987" s="8" t="s">
        <v>8120</v>
      </c>
      <c r="D2987" s="8" t="s">
        <v>10055</v>
      </c>
      <c r="E2987" s="8"/>
    </row>
    <row r="2988" spans="1:5" x14ac:dyDescent="0.25">
      <c r="A2988" s="5" t="s">
        <v>8121</v>
      </c>
      <c r="B2988" s="9" t="str">
        <f t="shared" si="5"/>
        <v>25753</v>
      </c>
      <c r="C2988" s="8" t="s">
        <v>8122</v>
      </c>
      <c r="D2988" s="8" t="s">
        <v>10055</v>
      </c>
      <c r="E2988" s="8"/>
    </row>
    <row r="2989" spans="1:5" x14ac:dyDescent="0.25">
      <c r="A2989" s="5" t="s">
        <v>8123</v>
      </c>
      <c r="B2989" s="9" t="str">
        <f t="shared" si="5"/>
        <v>25753</v>
      </c>
      <c r="C2989" s="8" t="s">
        <v>8124</v>
      </c>
      <c r="D2989" s="8" t="s">
        <v>10055</v>
      </c>
      <c r="E2989" s="8"/>
    </row>
    <row r="2990" spans="1:5" x14ac:dyDescent="0.25">
      <c r="A2990" s="5" t="s">
        <v>8125</v>
      </c>
      <c r="B2990" s="9" t="str">
        <f t="shared" si="5"/>
        <v>25753</v>
      </c>
      <c r="C2990" s="8" t="s">
        <v>8126</v>
      </c>
      <c r="D2990" s="8" t="s">
        <v>10055</v>
      </c>
      <c r="E2990" s="8"/>
    </row>
    <row r="2991" spans="1:5" x14ac:dyDescent="0.25">
      <c r="A2991" s="5" t="s">
        <v>8127</v>
      </c>
      <c r="B2991" s="9" t="str">
        <f t="shared" si="5"/>
        <v>25753</v>
      </c>
      <c r="C2991" s="8" t="s">
        <v>8128</v>
      </c>
      <c r="D2991" s="8" t="s">
        <v>10055</v>
      </c>
      <c r="E2991" s="8"/>
    </row>
    <row r="2992" spans="1:5" x14ac:dyDescent="0.25">
      <c r="A2992" s="5" t="s">
        <v>8129</v>
      </c>
      <c r="B2992" s="9" t="str">
        <f t="shared" si="5"/>
        <v>25753</v>
      </c>
      <c r="C2992" s="8" t="s">
        <v>8130</v>
      </c>
      <c r="D2992" s="8" t="s">
        <v>10055</v>
      </c>
      <c r="E2992" s="8"/>
    </row>
    <row r="2993" spans="1:5" x14ac:dyDescent="0.25">
      <c r="A2993" s="5" t="s">
        <v>8131</v>
      </c>
      <c r="B2993" s="9" t="str">
        <f t="shared" si="5"/>
        <v>25753</v>
      </c>
      <c r="C2993" s="8" t="s">
        <v>8132</v>
      </c>
      <c r="D2993" s="8" t="s">
        <v>10055</v>
      </c>
      <c r="E2993" s="8"/>
    </row>
    <row r="2994" spans="1:5" x14ac:dyDescent="0.25">
      <c r="A2994" s="5" t="s">
        <v>8133</v>
      </c>
      <c r="B2994" s="9" t="str">
        <f t="shared" si="5"/>
        <v>25753</v>
      </c>
      <c r="C2994" s="8" t="s">
        <v>8134</v>
      </c>
      <c r="D2994" s="8" t="s">
        <v>10055</v>
      </c>
      <c r="E2994" s="8"/>
    </row>
    <row r="2995" spans="1:5" x14ac:dyDescent="0.25">
      <c r="A2995" s="5" t="s">
        <v>8135</v>
      </c>
      <c r="B2995" s="9" t="str">
        <f t="shared" si="5"/>
        <v>25753</v>
      </c>
      <c r="C2995" s="8" t="s">
        <v>8136</v>
      </c>
      <c r="D2995" s="8" t="s">
        <v>10055</v>
      </c>
      <c r="E2995" s="8"/>
    </row>
    <row r="2996" spans="1:5" x14ac:dyDescent="0.25">
      <c r="A2996" s="5" t="s">
        <v>8137</v>
      </c>
      <c r="B2996" s="9" t="str">
        <f t="shared" si="5"/>
        <v>25753</v>
      </c>
      <c r="C2996" s="8" t="s">
        <v>8138</v>
      </c>
      <c r="D2996" s="8" t="s">
        <v>10055</v>
      </c>
      <c r="E2996" s="8"/>
    </row>
    <row r="2997" spans="1:5" x14ac:dyDescent="0.25">
      <c r="A2997" s="5" t="s">
        <v>8139</v>
      </c>
      <c r="B2997" s="9" t="str">
        <f t="shared" si="5"/>
        <v>25753</v>
      </c>
      <c r="C2997" s="8" t="s">
        <v>8140</v>
      </c>
      <c r="D2997" s="8" t="s">
        <v>10055</v>
      </c>
      <c r="E2997" s="8"/>
    </row>
    <row r="2998" spans="1:5" x14ac:dyDescent="0.25">
      <c r="A2998" s="5" t="s">
        <v>8141</v>
      </c>
      <c r="B2998" s="9" t="str">
        <f t="shared" si="5"/>
        <v>25753</v>
      </c>
      <c r="C2998" s="8" t="s">
        <v>8142</v>
      </c>
      <c r="D2998" s="8" t="s">
        <v>10055</v>
      </c>
      <c r="E2998" s="8"/>
    </row>
    <row r="2999" spans="1:5" x14ac:dyDescent="0.25">
      <c r="A2999" s="5" t="s">
        <v>8143</v>
      </c>
      <c r="B2999" s="9" t="str">
        <f t="shared" si="5"/>
        <v>25753</v>
      </c>
      <c r="C2999" s="8" t="s">
        <v>8144</v>
      </c>
      <c r="D2999" s="8" t="s">
        <v>10055</v>
      </c>
      <c r="E2999" s="8"/>
    </row>
    <row r="3000" spans="1:5" x14ac:dyDescent="0.25">
      <c r="A3000" s="5" t="s">
        <v>8145</v>
      </c>
      <c r="B3000" s="9" t="str">
        <f t="shared" si="5"/>
        <v>25753</v>
      </c>
      <c r="C3000" s="8" t="s">
        <v>8146</v>
      </c>
      <c r="D3000" s="8" t="s">
        <v>10055</v>
      </c>
      <c r="E3000" s="8"/>
    </row>
    <row r="3001" spans="1:5" x14ac:dyDescent="0.25">
      <c r="A3001" s="5" t="s">
        <v>8147</v>
      </c>
      <c r="B3001" s="9" t="str">
        <f t="shared" si="5"/>
        <v>25753</v>
      </c>
      <c r="C3001" s="8" t="s">
        <v>8148</v>
      </c>
      <c r="D3001" s="8" t="s">
        <v>10055</v>
      </c>
      <c r="E3001" s="8"/>
    </row>
    <row r="3002" spans="1:5" x14ac:dyDescent="0.25">
      <c r="A3002" s="5" t="s">
        <v>8149</v>
      </c>
      <c r="B3002" s="9" t="str">
        <f t="shared" si="5"/>
        <v>25753</v>
      </c>
      <c r="C3002" s="8" t="s">
        <v>8150</v>
      </c>
      <c r="D3002" s="8" t="s">
        <v>10055</v>
      </c>
      <c r="E3002" s="8"/>
    </row>
    <row r="3003" spans="1:5" x14ac:dyDescent="0.25">
      <c r="A3003" s="5" t="s">
        <v>8151</v>
      </c>
      <c r="B3003" s="9" t="str">
        <f t="shared" si="5"/>
        <v>25753</v>
      </c>
      <c r="C3003" s="8" t="s">
        <v>8152</v>
      </c>
      <c r="D3003" s="8" t="s">
        <v>10055</v>
      </c>
      <c r="E3003" s="8"/>
    </row>
    <row r="3004" spans="1:5" x14ac:dyDescent="0.25">
      <c r="A3004" s="5" t="s">
        <v>8153</v>
      </c>
      <c r="B3004" s="9" t="str">
        <f t="shared" si="5"/>
        <v>25753</v>
      </c>
      <c r="C3004" s="8" t="s">
        <v>8154</v>
      </c>
      <c r="D3004" s="8" t="s">
        <v>10055</v>
      </c>
      <c r="E3004" s="8"/>
    </row>
    <row r="3005" spans="1:5" x14ac:dyDescent="0.25">
      <c r="A3005" s="5" t="s">
        <v>8155</v>
      </c>
      <c r="B3005" s="9" t="str">
        <f t="shared" si="5"/>
        <v>25753</v>
      </c>
      <c r="C3005" s="8" t="s">
        <v>8156</v>
      </c>
      <c r="D3005" s="8" t="s">
        <v>10055</v>
      </c>
      <c r="E3005" s="8"/>
    </row>
    <row r="3006" spans="1:5" x14ac:dyDescent="0.25">
      <c r="A3006" s="5" t="s">
        <v>8157</v>
      </c>
      <c r="B3006" s="9" t="str">
        <f t="shared" si="5"/>
        <v>25753</v>
      </c>
      <c r="C3006" s="8" t="s">
        <v>8158</v>
      </c>
      <c r="D3006" s="8" t="s">
        <v>10055</v>
      </c>
      <c r="E3006" s="8"/>
    </row>
    <row r="3007" spans="1:5" x14ac:dyDescent="0.25">
      <c r="A3007" s="5" t="s">
        <v>8159</v>
      </c>
      <c r="B3007" s="9" t="str">
        <f t="shared" si="5"/>
        <v>25753</v>
      </c>
      <c r="C3007" s="8" t="s">
        <v>8160</v>
      </c>
      <c r="D3007" s="8" t="s">
        <v>10055</v>
      </c>
      <c r="E3007" s="8"/>
    </row>
    <row r="3008" spans="1:5" x14ac:dyDescent="0.25">
      <c r="A3008" s="5" t="s">
        <v>8161</v>
      </c>
      <c r="B3008" s="9" t="str">
        <f t="shared" si="5"/>
        <v>25753</v>
      </c>
      <c r="C3008" s="8" t="s">
        <v>8162</v>
      </c>
      <c r="D3008" s="8" t="s">
        <v>10055</v>
      </c>
      <c r="E3008" s="8"/>
    </row>
    <row r="3009" spans="1:5" x14ac:dyDescent="0.25">
      <c r="A3009" s="5" t="s">
        <v>8163</v>
      </c>
      <c r="B3009" s="9" t="str">
        <f t="shared" si="5"/>
        <v>25753</v>
      </c>
      <c r="C3009" s="8" t="s">
        <v>8164</v>
      </c>
      <c r="D3009" s="8" t="s">
        <v>10055</v>
      </c>
      <c r="E3009" s="8"/>
    </row>
    <row r="3010" spans="1:5" x14ac:dyDescent="0.25">
      <c r="A3010" s="5" t="s">
        <v>8165</v>
      </c>
      <c r="B3010" s="9" t="str">
        <f t="shared" si="5"/>
        <v>25753</v>
      </c>
      <c r="C3010" s="8" t="s">
        <v>8166</v>
      </c>
      <c r="D3010" s="8" t="s">
        <v>10055</v>
      </c>
      <c r="E3010" s="8"/>
    </row>
    <row r="3011" spans="1:5" x14ac:dyDescent="0.25">
      <c r="A3011" s="5" t="s">
        <v>8167</v>
      </c>
      <c r="B3011" s="9" t="str">
        <f t="shared" si="5"/>
        <v>25753</v>
      </c>
      <c r="C3011" s="8" t="s">
        <v>8168</v>
      </c>
      <c r="D3011" s="8" t="s">
        <v>10055</v>
      </c>
      <c r="E3011" s="8"/>
    </row>
    <row r="3012" spans="1:5" x14ac:dyDescent="0.25">
      <c r="A3012" s="5" t="s">
        <v>8169</v>
      </c>
      <c r="B3012" s="9" t="str">
        <f t="shared" si="5"/>
        <v>25753</v>
      </c>
      <c r="C3012" s="8" t="s">
        <v>8170</v>
      </c>
      <c r="D3012" s="8" t="s">
        <v>10055</v>
      </c>
      <c r="E3012" s="8"/>
    </row>
    <row r="3013" spans="1:5" x14ac:dyDescent="0.25">
      <c r="A3013" s="5" t="s">
        <v>8171</v>
      </c>
      <c r="B3013" s="9" t="str">
        <f t="shared" si="5"/>
        <v>25753</v>
      </c>
      <c r="C3013" s="8" t="s">
        <v>8172</v>
      </c>
      <c r="D3013" s="8" t="s">
        <v>10055</v>
      </c>
      <c r="E3013" s="8"/>
    </row>
    <row r="3014" spans="1:5" x14ac:dyDescent="0.25">
      <c r="A3014" s="5" t="s">
        <v>8173</v>
      </c>
      <c r="B3014" s="9" t="str">
        <f t="shared" si="5"/>
        <v>25753</v>
      </c>
      <c r="C3014" s="8" t="s">
        <v>8174</v>
      </c>
      <c r="D3014" s="8" t="s">
        <v>10055</v>
      </c>
      <c r="E3014" s="8"/>
    </row>
    <row r="3015" spans="1:5" x14ac:dyDescent="0.25">
      <c r="A3015" s="5" t="s">
        <v>8175</v>
      </c>
      <c r="B3015" s="9" t="str">
        <f t="shared" si="5"/>
        <v>25753</v>
      </c>
      <c r="C3015" s="8" t="s">
        <v>8176</v>
      </c>
      <c r="D3015" s="8" t="s">
        <v>10055</v>
      </c>
      <c r="E3015" s="8"/>
    </row>
    <row r="3016" spans="1:5" x14ac:dyDescent="0.25">
      <c r="A3016" s="5" t="s">
        <v>8177</v>
      </c>
      <c r="B3016" s="9" t="str">
        <f t="shared" si="5"/>
        <v>25753</v>
      </c>
      <c r="C3016" s="8" t="s">
        <v>8178</v>
      </c>
      <c r="D3016" s="8" t="s">
        <v>10055</v>
      </c>
      <c r="E3016" s="8"/>
    </row>
    <row r="3017" spans="1:5" x14ac:dyDescent="0.25">
      <c r="A3017" s="5" t="s">
        <v>8179</v>
      </c>
      <c r="B3017" s="9" t="str">
        <f t="shared" si="5"/>
        <v>25753</v>
      </c>
      <c r="C3017" s="8" t="s">
        <v>8180</v>
      </c>
      <c r="D3017" s="8" t="s">
        <v>10055</v>
      </c>
      <c r="E3017" s="8"/>
    </row>
    <row r="3018" spans="1:5" x14ac:dyDescent="0.25">
      <c r="A3018" s="5" t="s">
        <v>8181</v>
      </c>
      <c r="B3018" s="9" t="str">
        <f t="shared" si="5"/>
        <v>25753</v>
      </c>
      <c r="C3018" s="8" t="s">
        <v>8182</v>
      </c>
      <c r="D3018" s="8" t="s">
        <v>10055</v>
      </c>
      <c r="E3018" s="8"/>
    </row>
    <row r="3019" spans="1:5" x14ac:dyDescent="0.25">
      <c r="A3019" s="5" t="s">
        <v>8183</v>
      </c>
      <c r="B3019" s="9" t="str">
        <f t="shared" si="5"/>
        <v>25753</v>
      </c>
      <c r="C3019" s="8" t="s">
        <v>8184</v>
      </c>
      <c r="D3019" s="8" t="s">
        <v>10055</v>
      </c>
      <c r="E3019" s="8"/>
    </row>
    <row r="3020" spans="1:5" x14ac:dyDescent="0.25">
      <c r="A3020" s="5" t="s">
        <v>8185</v>
      </c>
      <c r="B3020" s="9" t="str">
        <f t="shared" si="5"/>
        <v>25753</v>
      </c>
      <c r="C3020" s="8" t="s">
        <v>8186</v>
      </c>
      <c r="D3020" s="8" t="s">
        <v>10055</v>
      </c>
      <c r="E3020" s="8"/>
    </row>
    <row r="3021" spans="1:5" x14ac:dyDescent="0.25">
      <c r="A3021" s="5" t="s">
        <v>8187</v>
      </c>
      <c r="B3021" s="9" t="str">
        <f t="shared" si="5"/>
        <v>25753</v>
      </c>
      <c r="C3021" s="8" t="s">
        <v>8188</v>
      </c>
      <c r="D3021" s="8" t="s">
        <v>10055</v>
      </c>
      <c r="E3021" s="8"/>
    </row>
    <row r="3022" spans="1:5" x14ac:dyDescent="0.25">
      <c r="A3022" s="5" t="s">
        <v>8189</v>
      </c>
      <c r="B3022" s="9" t="str">
        <f t="shared" si="5"/>
        <v>25753</v>
      </c>
      <c r="C3022" s="8" t="s">
        <v>8190</v>
      </c>
      <c r="D3022" s="8" t="s">
        <v>10055</v>
      </c>
      <c r="E3022" s="8"/>
    </row>
    <row r="3023" spans="1:5" x14ac:dyDescent="0.25">
      <c r="A3023" s="5" t="s">
        <v>8191</v>
      </c>
      <c r="B3023" s="9" t="str">
        <f t="shared" si="5"/>
        <v>25753</v>
      </c>
      <c r="C3023" s="8" t="s">
        <v>8192</v>
      </c>
      <c r="D3023" s="8" t="s">
        <v>10055</v>
      </c>
      <c r="E3023" s="8"/>
    </row>
    <row r="3024" spans="1:5" x14ac:dyDescent="0.25">
      <c r="A3024" s="5" t="s">
        <v>8193</v>
      </c>
      <c r="B3024" s="9" t="str">
        <f t="shared" si="5"/>
        <v>25753</v>
      </c>
      <c r="C3024" s="8" t="s">
        <v>8194</v>
      </c>
      <c r="D3024" s="8" t="s">
        <v>10055</v>
      </c>
      <c r="E3024" s="8"/>
    </row>
    <row r="3025" spans="1:5" x14ac:dyDescent="0.25">
      <c r="A3025" s="5" t="s">
        <v>8195</v>
      </c>
      <c r="B3025" s="9" t="str">
        <f t="shared" si="5"/>
        <v>25753</v>
      </c>
      <c r="C3025" s="8" t="s">
        <v>8196</v>
      </c>
      <c r="D3025" s="8" t="s">
        <v>10055</v>
      </c>
      <c r="E3025" s="8"/>
    </row>
    <row r="3026" spans="1:5" x14ac:dyDescent="0.25">
      <c r="A3026" s="5" t="s">
        <v>8197</v>
      </c>
      <c r="B3026" s="9" t="str">
        <f t="shared" si="5"/>
        <v>25753</v>
      </c>
      <c r="C3026" s="8" t="s">
        <v>8198</v>
      </c>
      <c r="D3026" s="8" t="s">
        <v>10055</v>
      </c>
      <c r="E3026" s="8"/>
    </row>
    <row r="3027" spans="1:5" x14ac:dyDescent="0.25">
      <c r="A3027" s="5" t="s">
        <v>8199</v>
      </c>
      <c r="B3027" s="9" t="str">
        <f t="shared" si="5"/>
        <v>25753</v>
      </c>
      <c r="C3027" s="8" t="s">
        <v>8200</v>
      </c>
      <c r="D3027" s="8" t="s">
        <v>10055</v>
      </c>
      <c r="E3027" s="8"/>
    </row>
    <row r="3028" spans="1:5" x14ac:dyDescent="0.25">
      <c r="A3028" s="5" t="s">
        <v>8201</v>
      </c>
      <c r="B3028" s="9" t="str">
        <f t="shared" si="5"/>
        <v>25753</v>
      </c>
      <c r="C3028" s="8" t="s">
        <v>8202</v>
      </c>
      <c r="D3028" s="8" t="s">
        <v>10055</v>
      </c>
      <c r="E3028" s="8"/>
    </row>
    <row r="3029" spans="1:5" x14ac:dyDescent="0.25">
      <c r="A3029" s="5" t="s">
        <v>8203</v>
      </c>
      <c r="B3029" s="9" t="str">
        <f t="shared" si="5"/>
        <v>25753</v>
      </c>
      <c r="C3029" s="8" t="s">
        <v>8204</v>
      </c>
      <c r="D3029" s="8" t="s">
        <v>10055</v>
      </c>
      <c r="E3029" s="8"/>
    </row>
    <row r="3030" spans="1:5" x14ac:dyDescent="0.25">
      <c r="A3030" s="5" t="s">
        <v>8205</v>
      </c>
      <c r="B3030" s="9" t="str">
        <f t="shared" si="5"/>
        <v>25753</v>
      </c>
      <c r="C3030" s="8" t="s">
        <v>8206</v>
      </c>
      <c r="D3030" s="8" t="s">
        <v>10055</v>
      </c>
      <c r="E3030" s="8"/>
    </row>
    <row r="3031" spans="1:5" x14ac:dyDescent="0.25">
      <c r="A3031" s="5" t="s">
        <v>8207</v>
      </c>
      <c r="B3031" s="9" t="str">
        <f t="shared" si="5"/>
        <v>25753</v>
      </c>
      <c r="C3031" s="8" t="s">
        <v>8208</v>
      </c>
      <c r="D3031" s="8" t="s">
        <v>10055</v>
      </c>
      <c r="E3031" s="8"/>
    </row>
    <row r="3032" spans="1:5" x14ac:dyDescent="0.25">
      <c r="A3032" s="5" t="s">
        <v>8209</v>
      </c>
      <c r="B3032" s="9" t="str">
        <f t="shared" si="5"/>
        <v>25753</v>
      </c>
      <c r="C3032" s="8" t="s">
        <v>8210</v>
      </c>
      <c r="D3032" s="8" t="s">
        <v>10055</v>
      </c>
      <c r="E3032" s="8"/>
    </row>
    <row r="3033" spans="1:5" x14ac:dyDescent="0.25">
      <c r="A3033" s="5" t="s">
        <v>8211</v>
      </c>
      <c r="B3033" s="9" t="str">
        <f t="shared" si="5"/>
        <v>25753</v>
      </c>
      <c r="C3033" s="8" t="s">
        <v>8212</v>
      </c>
      <c r="D3033" s="8" t="s">
        <v>10055</v>
      </c>
      <c r="E3033" s="8"/>
    </row>
    <row r="3034" spans="1:5" x14ac:dyDescent="0.25">
      <c r="A3034" s="5" t="s">
        <v>8213</v>
      </c>
      <c r="B3034" s="9" t="str">
        <f t="shared" si="5"/>
        <v>25753</v>
      </c>
      <c r="C3034" s="8" t="s">
        <v>8214</v>
      </c>
      <c r="D3034" s="8" t="s">
        <v>10055</v>
      </c>
      <c r="E3034" s="8"/>
    </row>
    <row r="3035" spans="1:5" x14ac:dyDescent="0.25">
      <c r="A3035" s="5" t="s">
        <v>8215</v>
      </c>
      <c r="B3035" s="9" t="str">
        <f t="shared" si="5"/>
        <v>25753</v>
      </c>
      <c r="C3035" s="8" t="s">
        <v>8216</v>
      </c>
      <c r="D3035" s="8" t="s">
        <v>10055</v>
      </c>
      <c r="E3035" s="8"/>
    </row>
    <row r="3036" spans="1:5" x14ac:dyDescent="0.25">
      <c r="A3036" s="5" t="s">
        <v>8217</v>
      </c>
      <c r="B3036" s="9" t="str">
        <f t="shared" si="5"/>
        <v>25753</v>
      </c>
      <c r="C3036" s="8" t="s">
        <v>8218</v>
      </c>
      <c r="D3036" s="8" t="s">
        <v>10055</v>
      </c>
      <c r="E3036" s="8"/>
    </row>
    <row r="3037" spans="1:5" x14ac:dyDescent="0.25">
      <c r="A3037" s="5" t="s">
        <v>8219</v>
      </c>
      <c r="B3037" s="9" t="str">
        <f t="shared" si="5"/>
        <v>25753</v>
      </c>
      <c r="C3037" s="8" t="s">
        <v>8220</v>
      </c>
      <c r="D3037" s="8" t="s">
        <v>10055</v>
      </c>
      <c r="E3037" s="8"/>
    </row>
    <row r="3038" spans="1:5" x14ac:dyDescent="0.25">
      <c r="A3038" s="5" t="s">
        <v>8221</v>
      </c>
      <c r="B3038" s="9" t="str">
        <f t="shared" si="5"/>
        <v>25753</v>
      </c>
      <c r="C3038" s="8" t="s">
        <v>8222</v>
      </c>
      <c r="D3038" s="8" t="s">
        <v>10055</v>
      </c>
      <c r="E3038" s="8"/>
    </row>
    <row r="3039" spans="1:5" x14ac:dyDescent="0.25">
      <c r="A3039" s="5" t="s">
        <v>8223</v>
      </c>
      <c r="B3039" s="9" t="str">
        <f t="shared" si="5"/>
        <v>25753</v>
      </c>
      <c r="C3039" s="8" t="s">
        <v>8224</v>
      </c>
      <c r="D3039" s="8" t="s">
        <v>10055</v>
      </c>
      <c r="E3039" s="8"/>
    </row>
    <row r="3040" spans="1:5" x14ac:dyDescent="0.25">
      <c r="A3040" s="5" t="s">
        <v>8225</v>
      </c>
      <c r="B3040" s="9" t="str">
        <f t="shared" si="5"/>
        <v>25753</v>
      </c>
      <c r="C3040" s="8" t="s">
        <v>8226</v>
      </c>
      <c r="D3040" s="8" t="s">
        <v>10055</v>
      </c>
      <c r="E3040" s="8"/>
    </row>
    <row r="3041" spans="1:5" x14ac:dyDescent="0.25">
      <c r="A3041" s="5" t="s">
        <v>8227</v>
      </c>
      <c r="B3041" s="9" t="str">
        <f t="shared" si="5"/>
        <v>25753</v>
      </c>
      <c r="C3041" s="8" t="s">
        <v>8228</v>
      </c>
      <c r="D3041" s="8" t="s">
        <v>10055</v>
      </c>
      <c r="E3041" s="8"/>
    </row>
    <row r="3042" spans="1:5" x14ac:dyDescent="0.25">
      <c r="A3042" s="5" t="s">
        <v>8229</v>
      </c>
      <c r="B3042" s="9" t="str">
        <f t="shared" si="5"/>
        <v>25753</v>
      </c>
      <c r="C3042" s="8" t="s">
        <v>8230</v>
      </c>
      <c r="D3042" s="8" t="s">
        <v>10055</v>
      </c>
      <c r="E3042" s="8"/>
    </row>
    <row r="3043" spans="1:5" x14ac:dyDescent="0.25">
      <c r="A3043" s="5" t="s">
        <v>8231</v>
      </c>
      <c r="B3043" s="9" t="str">
        <f t="shared" si="5"/>
        <v>25753</v>
      </c>
      <c r="C3043" s="8" t="s">
        <v>8232</v>
      </c>
      <c r="D3043" s="8" t="s">
        <v>10055</v>
      </c>
      <c r="E3043" s="8"/>
    </row>
    <row r="3044" spans="1:5" x14ac:dyDescent="0.25">
      <c r="A3044" s="5" t="s">
        <v>8233</v>
      </c>
      <c r="B3044" s="9" t="str">
        <f t="shared" si="5"/>
        <v>25753</v>
      </c>
      <c r="C3044" s="8" t="s">
        <v>8234</v>
      </c>
      <c r="D3044" s="8" t="s">
        <v>10055</v>
      </c>
      <c r="E3044" s="8"/>
    </row>
    <row r="3045" spans="1:5" x14ac:dyDescent="0.25">
      <c r="A3045" s="5" t="s">
        <v>8235</v>
      </c>
      <c r="B3045" s="9" t="str">
        <f t="shared" si="5"/>
        <v>25753</v>
      </c>
      <c r="C3045" s="8" t="s">
        <v>8236</v>
      </c>
      <c r="D3045" s="8" t="s">
        <v>10055</v>
      </c>
      <c r="E3045" s="8"/>
    </row>
    <row r="3046" spans="1:5" x14ac:dyDescent="0.25">
      <c r="A3046" s="5" t="s">
        <v>8237</v>
      </c>
      <c r="B3046" s="9" t="str">
        <f t="shared" si="5"/>
        <v>25753</v>
      </c>
      <c r="C3046" s="8" t="s">
        <v>8238</v>
      </c>
      <c r="D3046" s="8" t="s">
        <v>10055</v>
      </c>
      <c r="E3046" s="8"/>
    </row>
    <row r="3047" spans="1:5" x14ac:dyDescent="0.25">
      <c r="A3047" s="5" t="s">
        <v>8239</v>
      </c>
      <c r="B3047" s="9" t="str">
        <f t="shared" si="5"/>
        <v>25753</v>
      </c>
      <c r="C3047" s="8" t="s">
        <v>8240</v>
      </c>
      <c r="D3047" s="8" t="s">
        <v>10055</v>
      </c>
      <c r="E3047" s="8"/>
    </row>
    <row r="3048" spans="1:5" x14ac:dyDescent="0.25">
      <c r="A3048" s="5" t="s">
        <v>8241</v>
      </c>
      <c r="B3048" s="9" t="str">
        <f t="shared" si="5"/>
        <v>25753</v>
      </c>
      <c r="C3048" s="8" t="s">
        <v>8242</v>
      </c>
      <c r="D3048" s="8" t="s">
        <v>10055</v>
      </c>
      <c r="E3048" s="8"/>
    </row>
    <row r="3049" spans="1:5" x14ac:dyDescent="0.25">
      <c r="A3049" s="5" t="s">
        <v>8243</v>
      </c>
      <c r="B3049" s="9" t="str">
        <f t="shared" si="5"/>
        <v>25753</v>
      </c>
      <c r="C3049" s="8" t="s">
        <v>8244</v>
      </c>
      <c r="D3049" s="8" t="s">
        <v>10055</v>
      </c>
      <c r="E3049" s="8"/>
    </row>
    <row r="3050" spans="1:5" x14ac:dyDescent="0.25">
      <c r="A3050" s="5" t="s">
        <v>8245</v>
      </c>
      <c r="B3050" s="9" t="str">
        <f t="shared" si="5"/>
        <v>25753</v>
      </c>
      <c r="C3050" s="8" t="s">
        <v>8246</v>
      </c>
      <c r="D3050" s="8" t="s">
        <v>10055</v>
      </c>
      <c r="E3050" s="8"/>
    </row>
    <row r="3051" spans="1:5" x14ac:dyDescent="0.25">
      <c r="A3051" s="5" t="s">
        <v>8247</v>
      </c>
      <c r="B3051" s="9" t="str">
        <f t="shared" si="5"/>
        <v>25753</v>
      </c>
      <c r="C3051" s="8" t="s">
        <v>8248</v>
      </c>
      <c r="D3051" s="8" t="s">
        <v>10055</v>
      </c>
      <c r="E3051" s="8"/>
    </row>
    <row r="3052" spans="1:5" x14ac:dyDescent="0.25">
      <c r="A3052" s="5" t="s">
        <v>8249</v>
      </c>
      <c r="B3052" s="9" t="str">
        <f t="shared" si="5"/>
        <v>25753</v>
      </c>
      <c r="C3052" s="8" t="s">
        <v>8250</v>
      </c>
      <c r="D3052" s="8" t="s">
        <v>10055</v>
      </c>
      <c r="E3052" s="8"/>
    </row>
    <row r="3053" spans="1:5" x14ac:dyDescent="0.25">
      <c r="A3053" s="5" t="s">
        <v>8251</v>
      </c>
      <c r="B3053" s="9" t="str">
        <f t="shared" si="5"/>
        <v>25753</v>
      </c>
      <c r="C3053" s="8" t="s">
        <v>8252</v>
      </c>
      <c r="D3053" s="8" t="s">
        <v>10055</v>
      </c>
      <c r="E3053" s="8"/>
    </row>
    <row r="3054" spans="1:5" x14ac:dyDescent="0.25">
      <c r="A3054" s="5" t="s">
        <v>8253</v>
      </c>
      <c r="B3054" s="9" t="str">
        <f t="shared" si="5"/>
        <v>25753</v>
      </c>
      <c r="C3054" s="8" t="s">
        <v>8254</v>
      </c>
      <c r="D3054" s="8" t="s">
        <v>10055</v>
      </c>
      <c r="E3054" s="8"/>
    </row>
    <row r="3055" spans="1:5" x14ac:dyDescent="0.25">
      <c r="A3055" s="5" t="s">
        <v>8255</v>
      </c>
      <c r="B3055" s="9" t="str">
        <f t="shared" si="5"/>
        <v>25753</v>
      </c>
      <c r="C3055" s="8" t="s">
        <v>8256</v>
      </c>
      <c r="D3055" s="8" t="s">
        <v>10055</v>
      </c>
      <c r="E3055" s="8"/>
    </row>
    <row r="3056" spans="1:5" x14ac:dyDescent="0.25">
      <c r="A3056" s="5" t="s">
        <v>8257</v>
      </c>
      <c r="B3056" s="9" t="str">
        <f t="shared" si="5"/>
        <v>25753</v>
      </c>
      <c r="C3056" s="8" t="s">
        <v>8258</v>
      </c>
      <c r="D3056" s="8" t="s">
        <v>10055</v>
      </c>
      <c r="E3056" s="8"/>
    </row>
    <row r="3057" spans="1:5" x14ac:dyDescent="0.25">
      <c r="A3057" s="5" t="s">
        <v>8259</v>
      </c>
      <c r="B3057" s="9" t="str">
        <f t="shared" si="5"/>
        <v>25753</v>
      </c>
      <c r="C3057" s="8" t="s">
        <v>8260</v>
      </c>
      <c r="D3057" s="8" t="s">
        <v>10055</v>
      </c>
      <c r="E3057" s="8"/>
    </row>
    <row r="3058" spans="1:5" x14ac:dyDescent="0.25">
      <c r="A3058" s="5" t="s">
        <v>8261</v>
      </c>
      <c r="B3058" s="9" t="str">
        <f t="shared" si="5"/>
        <v>25753</v>
      </c>
      <c r="C3058" s="8" t="s">
        <v>8262</v>
      </c>
      <c r="D3058" s="8" t="s">
        <v>10055</v>
      </c>
      <c r="E3058" s="8"/>
    </row>
    <row r="3059" spans="1:5" x14ac:dyDescent="0.25">
      <c r="A3059" s="5" t="s">
        <v>8263</v>
      </c>
      <c r="B3059" s="9" t="str">
        <f t="shared" si="5"/>
        <v>25753</v>
      </c>
      <c r="C3059" s="8" t="s">
        <v>8264</v>
      </c>
      <c r="D3059" s="8" t="s">
        <v>10055</v>
      </c>
      <c r="E3059" s="8"/>
    </row>
    <row r="3060" spans="1:5" x14ac:dyDescent="0.25">
      <c r="A3060" s="5" t="s">
        <v>8265</v>
      </c>
      <c r="B3060" s="9" t="str">
        <f t="shared" si="5"/>
        <v>25753</v>
      </c>
      <c r="C3060" s="8" t="s">
        <v>8266</v>
      </c>
      <c r="D3060" s="8" t="s">
        <v>10055</v>
      </c>
      <c r="E3060" s="8"/>
    </row>
    <row r="3061" spans="1:5" x14ac:dyDescent="0.25">
      <c r="A3061" s="5" t="s">
        <v>8267</v>
      </c>
      <c r="B3061" s="9" t="str">
        <f t="shared" si="5"/>
        <v>25753</v>
      </c>
      <c r="C3061" s="8" t="s">
        <v>8268</v>
      </c>
      <c r="D3061" s="8" t="s">
        <v>10055</v>
      </c>
      <c r="E3061" s="8"/>
    </row>
    <row r="3062" spans="1:5" x14ac:dyDescent="0.25">
      <c r="A3062" s="5" t="s">
        <v>8269</v>
      </c>
      <c r="B3062" s="9" t="str">
        <f t="shared" si="5"/>
        <v>25753</v>
      </c>
      <c r="C3062" s="8" t="s">
        <v>8270</v>
      </c>
      <c r="D3062" s="8" t="s">
        <v>10055</v>
      </c>
      <c r="E3062" s="8"/>
    </row>
    <row r="3063" spans="1:5" x14ac:dyDescent="0.25">
      <c r="A3063" s="5" t="s">
        <v>8271</v>
      </c>
      <c r="B3063" s="9" t="str">
        <f t="shared" si="5"/>
        <v>25753</v>
      </c>
      <c r="C3063" s="8" t="s">
        <v>8272</v>
      </c>
      <c r="D3063" s="8" t="s">
        <v>10055</v>
      </c>
      <c r="E3063" s="8"/>
    </row>
    <row r="3064" spans="1:5" x14ac:dyDescent="0.25">
      <c r="A3064" s="5" t="s">
        <v>8273</v>
      </c>
      <c r="B3064" s="9" t="str">
        <f t="shared" si="5"/>
        <v>25753</v>
      </c>
      <c r="C3064" s="8" t="s">
        <v>8274</v>
      </c>
      <c r="D3064" s="8" t="s">
        <v>10055</v>
      </c>
      <c r="E3064" s="8"/>
    </row>
    <row r="3065" spans="1:5" x14ac:dyDescent="0.25">
      <c r="A3065" s="5" t="s">
        <v>8275</v>
      </c>
      <c r="B3065" s="9" t="str">
        <f t="shared" si="5"/>
        <v>25753</v>
      </c>
      <c r="C3065" s="8" t="s">
        <v>8276</v>
      </c>
      <c r="D3065" s="8" t="s">
        <v>10055</v>
      </c>
      <c r="E3065" s="8"/>
    </row>
    <row r="3066" spans="1:5" x14ac:dyDescent="0.25">
      <c r="A3066" s="5" t="s">
        <v>8277</v>
      </c>
      <c r="B3066" s="9" t="str">
        <f t="shared" si="5"/>
        <v>25753</v>
      </c>
      <c r="C3066" s="8" t="s">
        <v>8278</v>
      </c>
      <c r="D3066" s="8" t="s">
        <v>10055</v>
      </c>
      <c r="E3066" s="8"/>
    </row>
    <row r="3067" spans="1:5" x14ac:dyDescent="0.25">
      <c r="A3067" s="5" t="s">
        <v>8279</v>
      </c>
      <c r="B3067" s="9" t="str">
        <f t="shared" si="5"/>
        <v>25753</v>
      </c>
      <c r="C3067" s="8" t="s">
        <v>8280</v>
      </c>
      <c r="D3067" s="8" t="s">
        <v>10055</v>
      </c>
      <c r="E3067" s="8"/>
    </row>
    <row r="3068" spans="1:5" x14ac:dyDescent="0.25">
      <c r="A3068" s="5" t="s">
        <v>8281</v>
      </c>
      <c r="B3068" s="9" t="str">
        <f t="shared" si="5"/>
        <v>25753</v>
      </c>
      <c r="C3068" s="8" t="s">
        <v>8282</v>
      </c>
      <c r="D3068" s="8" t="s">
        <v>10055</v>
      </c>
      <c r="E3068" s="8"/>
    </row>
    <row r="3069" spans="1:5" x14ac:dyDescent="0.25">
      <c r="A3069" s="5" t="s">
        <v>8283</v>
      </c>
      <c r="B3069" s="9" t="str">
        <f t="shared" si="5"/>
        <v>25753</v>
      </c>
      <c r="C3069" s="8" t="s">
        <v>8284</v>
      </c>
      <c r="D3069" s="8" t="s">
        <v>10055</v>
      </c>
      <c r="E3069" s="8"/>
    </row>
    <row r="3070" spans="1:5" x14ac:dyDescent="0.25">
      <c r="A3070" s="5" t="s">
        <v>8285</v>
      </c>
      <c r="B3070" s="9" t="str">
        <f t="shared" si="5"/>
        <v>25753</v>
      </c>
      <c r="C3070" s="8" t="s">
        <v>8286</v>
      </c>
      <c r="D3070" s="8" t="s">
        <v>10055</v>
      </c>
      <c r="E3070" s="8"/>
    </row>
    <row r="3071" spans="1:5" x14ac:dyDescent="0.25">
      <c r="A3071" s="5" t="s">
        <v>8287</v>
      </c>
      <c r="B3071" s="9" t="str">
        <f t="shared" si="5"/>
        <v>25753</v>
      </c>
      <c r="C3071" s="8" t="s">
        <v>8288</v>
      </c>
      <c r="D3071" s="8" t="s">
        <v>10055</v>
      </c>
      <c r="E3071" s="8"/>
    </row>
    <row r="3072" spans="1:5" x14ac:dyDescent="0.25">
      <c r="A3072" s="5" t="s">
        <v>8289</v>
      </c>
      <c r="B3072" s="9" t="str">
        <f t="shared" si="5"/>
        <v>25753</v>
      </c>
      <c r="C3072" s="8" t="s">
        <v>8290</v>
      </c>
      <c r="D3072" s="8" t="s">
        <v>10055</v>
      </c>
      <c r="E3072" s="8"/>
    </row>
    <row r="3073" spans="1:5" x14ac:dyDescent="0.25">
      <c r="A3073" s="5" t="s">
        <v>8291</v>
      </c>
      <c r="B3073" s="9" t="str">
        <f t="shared" si="5"/>
        <v>25753</v>
      </c>
      <c r="C3073" s="8" t="s">
        <v>8292</v>
      </c>
      <c r="D3073" s="8" t="s">
        <v>10055</v>
      </c>
      <c r="E3073" s="8"/>
    </row>
    <row r="3074" spans="1:5" x14ac:dyDescent="0.25">
      <c r="A3074" s="5" t="s">
        <v>8293</v>
      </c>
      <c r="B3074" s="9" t="str">
        <f t="shared" si="5"/>
        <v>25753</v>
      </c>
      <c r="C3074" s="8" t="s">
        <v>8294</v>
      </c>
      <c r="D3074" s="8" t="s">
        <v>10055</v>
      </c>
      <c r="E3074" s="8"/>
    </row>
    <row r="3075" spans="1:5" x14ac:dyDescent="0.25">
      <c r="A3075" s="5" t="s">
        <v>8295</v>
      </c>
      <c r="B3075" s="9" t="str">
        <f t="shared" si="5"/>
        <v>25753</v>
      </c>
      <c r="C3075" s="8" t="s">
        <v>8296</v>
      </c>
      <c r="D3075" s="8" t="s">
        <v>10055</v>
      </c>
      <c r="E3075" s="8"/>
    </row>
    <row r="3076" spans="1:5" x14ac:dyDescent="0.25">
      <c r="A3076" s="5" t="s">
        <v>8297</v>
      </c>
      <c r="B3076" s="9" t="str">
        <f t="shared" si="5"/>
        <v>25753</v>
      </c>
      <c r="C3076" s="8" t="s">
        <v>8298</v>
      </c>
      <c r="D3076" s="8" t="s">
        <v>10055</v>
      </c>
      <c r="E3076" s="8"/>
    </row>
    <row r="3077" spans="1:5" x14ac:dyDescent="0.25">
      <c r="A3077" s="5" t="s">
        <v>8299</v>
      </c>
      <c r="B3077" s="9" t="str">
        <f t="shared" si="5"/>
        <v>25753</v>
      </c>
      <c r="C3077" s="8" t="s">
        <v>8300</v>
      </c>
      <c r="D3077" s="8" t="s">
        <v>10055</v>
      </c>
      <c r="E3077" s="8"/>
    </row>
    <row r="3078" spans="1:5" x14ac:dyDescent="0.25">
      <c r="A3078" s="5" t="s">
        <v>8301</v>
      </c>
      <c r="B3078" s="9" t="str">
        <f t="shared" si="5"/>
        <v>25753</v>
      </c>
      <c r="C3078" s="8" t="s">
        <v>8302</v>
      </c>
      <c r="D3078" s="8" t="s">
        <v>10055</v>
      </c>
      <c r="E3078" s="8"/>
    </row>
    <row r="3079" spans="1:5" x14ac:dyDescent="0.25">
      <c r="A3079" s="5" t="s">
        <v>8303</v>
      </c>
      <c r="B3079" s="9" t="str">
        <f t="shared" si="5"/>
        <v>25753</v>
      </c>
      <c r="C3079" s="8" t="s">
        <v>8304</v>
      </c>
      <c r="D3079" s="8" t="s">
        <v>10055</v>
      </c>
      <c r="E3079" s="8"/>
    </row>
    <row r="3080" spans="1:5" x14ac:dyDescent="0.25">
      <c r="A3080" s="5" t="s">
        <v>8305</v>
      </c>
      <c r="B3080" s="9" t="str">
        <f t="shared" si="5"/>
        <v>25753</v>
      </c>
      <c r="C3080" s="8" t="s">
        <v>8306</v>
      </c>
      <c r="D3080" s="8" t="s">
        <v>10055</v>
      </c>
      <c r="E3080" s="8"/>
    </row>
    <row r="3081" spans="1:5" x14ac:dyDescent="0.25">
      <c r="A3081" s="5" t="s">
        <v>8307</v>
      </c>
      <c r="B3081" s="9" t="str">
        <f t="shared" si="5"/>
        <v>25753</v>
      </c>
      <c r="C3081" s="8" t="s">
        <v>8308</v>
      </c>
      <c r="D3081" s="8" t="s">
        <v>10055</v>
      </c>
      <c r="E3081" s="8"/>
    </row>
    <row r="3082" spans="1:5" x14ac:dyDescent="0.25">
      <c r="A3082" s="5" t="s">
        <v>8309</v>
      </c>
      <c r="B3082" s="9" t="str">
        <f t="shared" si="5"/>
        <v>25753</v>
      </c>
      <c r="C3082" s="8" t="s">
        <v>8310</v>
      </c>
      <c r="D3082" s="8" t="s">
        <v>10055</v>
      </c>
      <c r="E3082" s="8"/>
    </row>
    <row r="3083" spans="1:5" x14ac:dyDescent="0.25">
      <c r="A3083" s="5" t="s">
        <v>8311</v>
      </c>
      <c r="B3083" s="9" t="str">
        <f t="shared" si="5"/>
        <v>25753</v>
      </c>
      <c r="C3083" s="8" t="s">
        <v>8312</v>
      </c>
      <c r="D3083" s="8" t="s">
        <v>10055</v>
      </c>
      <c r="E3083" s="8"/>
    </row>
    <row r="3084" spans="1:5" x14ac:dyDescent="0.25">
      <c r="A3084" s="5" t="s">
        <v>8313</v>
      </c>
      <c r="B3084" s="9" t="str">
        <f t="shared" si="5"/>
        <v>25753</v>
      </c>
      <c r="C3084" s="8" t="s">
        <v>8314</v>
      </c>
      <c r="D3084" s="8" t="s">
        <v>10055</v>
      </c>
      <c r="E3084" s="8"/>
    </row>
    <row r="3085" spans="1:5" x14ac:dyDescent="0.25">
      <c r="A3085" s="5" t="s">
        <v>8315</v>
      </c>
      <c r="B3085" s="9" t="str">
        <f t="shared" si="5"/>
        <v>25753</v>
      </c>
      <c r="C3085" s="8" t="s">
        <v>8316</v>
      </c>
      <c r="D3085" s="8" t="s">
        <v>10055</v>
      </c>
      <c r="E3085" s="8"/>
    </row>
    <row r="3086" spans="1:5" x14ac:dyDescent="0.25">
      <c r="A3086" s="5" t="s">
        <v>8317</v>
      </c>
      <c r="B3086" s="9" t="str">
        <f t="shared" si="5"/>
        <v>25753</v>
      </c>
      <c r="C3086" s="8" t="s">
        <v>8318</v>
      </c>
      <c r="D3086" s="8" t="s">
        <v>10055</v>
      </c>
      <c r="E3086" s="8"/>
    </row>
    <row r="3087" spans="1:5" x14ac:dyDescent="0.25">
      <c r="A3087" s="5" t="s">
        <v>8319</v>
      </c>
      <c r="B3087" s="9" t="str">
        <f t="shared" si="5"/>
        <v>25753</v>
      </c>
      <c r="C3087" s="8" t="s">
        <v>8320</v>
      </c>
      <c r="D3087" s="8" t="s">
        <v>10055</v>
      </c>
      <c r="E3087" s="8"/>
    </row>
    <row r="3088" spans="1:5" x14ac:dyDescent="0.25">
      <c r="A3088" s="5" t="s">
        <v>8321</v>
      </c>
      <c r="B3088" s="9" t="str">
        <f t="shared" si="5"/>
        <v>25753</v>
      </c>
      <c r="C3088" s="8" t="s">
        <v>8322</v>
      </c>
      <c r="D3088" s="8" t="s">
        <v>10055</v>
      </c>
      <c r="E3088" s="8"/>
    </row>
    <row r="3089" spans="1:5" x14ac:dyDescent="0.25">
      <c r="A3089" s="5" t="s">
        <v>8323</v>
      </c>
      <c r="B3089" s="9" t="str">
        <f t="shared" si="5"/>
        <v>25753</v>
      </c>
      <c r="C3089" s="8" t="s">
        <v>8324</v>
      </c>
      <c r="D3089" s="8" t="s">
        <v>10055</v>
      </c>
      <c r="E3089" s="8"/>
    </row>
    <row r="3090" spans="1:5" x14ac:dyDescent="0.25">
      <c r="A3090" s="5" t="s">
        <v>8325</v>
      </c>
      <c r="B3090" s="9" t="str">
        <f t="shared" si="5"/>
        <v>25753</v>
      </c>
      <c r="C3090" s="8" t="s">
        <v>8326</v>
      </c>
      <c r="D3090" s="8" t="s">
        <v>10055</v>
      </c>
      <c r="E3090" s="8"/>
    </row>
    <row r="3091" spans="1:5" x14ac:dyDescent="0.25">
      <c r="A3091" s="5" t="s">
        <v>8327</v>
      </c>
      <c r="B3091" s="9" t="str">
        <f t="shared" si="5"/>
        <v>25753</v>
      </c>
      <c r="C3091" s="8" t="s">
        <v>8328</v>
      </c>
      <c r="D3091" s="8" t="s">
        <v>10055</v>
      </c>
      <c r="E3091" s="8"/>
    </row>
    <row r="3092" spans="1:5" x14ac:dyDescent="0.25">
      <c r="A3092" s="5" t="s">
        <v>8329</v>
      </c>
      <c r="B3092" s="9" t="str">
        <f t="shared" si="5"/>
        <v>25753</v>
      </c>
      <c r="C3092" s="8" t="s">
        <v>8330</v>
      </c>
      <c r="D3092" s="8" t="s">
        <v>10055</v>
      </c>
      <c r="E3092" s="8"/>
    </row>
    <row r="3093" spans="1:5" x14ac:dyDescent="0.25">
      <c r="A3093" s="5" t="s">
        <v>8331</v>
      </c>
      <c r="B3093" s="9" t="str">
        <f t="shared" si="5"/>
        <v>25753</v>
      </c>
      <c r="C3093" s="8" t="s">
        <v>8332</v>
      </c>
      <c r="D3093" s="8" t="s">
        <v>10055</v>
      </c>
      <c r="E3093" s="8"/>
    </row>
    <row r="3094" spans="1:5" x14ac:dyDescent="0.25">
      <c r="A3094" s="5" t="s">
        <v>8333</v>
      </c>
      <c r="B3094" s="9" t="str">
        <f t="shared" si="5"/>
        <v>25753</v>
      </c>
      <c r="C3094" s="8" t="s">
        <v>8334</v>
      </c>
      <c r="D3094" s="8" t="s">
        <v>10055</v>
      </c>
      <c r="E3094" s="8"/>
    </row>
    <row r="3095" spans="1:5" x14ac:dyDescent="0.25">
      <c r="A3095" s="5" t="s">
        <v>8335</v>
      </c>
      <c r="B3095" s="9" t="str">
        <f t="shared" si="5"/>
        <v>25753</v>
      </c>
      <c r="C3095" s="8" t="s">
        <v>8336</v>
      </c>
      <c r="D3095" s="8" t="s">
        <v>10055</v>
      </c>
      <c r="E3095" s="8"/>
    </row>
    <row r="3096" spans="1:5" x14ac:dyDescent="0.25">
      <c r="A3096" s="5" t="s">
        <v>8337</v>
      </c>
      <c r="B3096" s="9" t="str">
        <f t="shared" si="5"/>
        <v>25753</v>
      </c>
      <c r="C3096" s="8" t="s">
        <v>8338</v>
      </c>
      <c r="D3096" s="8" t="s">
        <v>10055</v>
      </c>
      <c r="E3096" s="8"/>
    </row>
    <row r="3097" spans="1:5" x14ac:dyDescent="0.25">
      <c r="A3097" s="5" t="s">
        <v>8339</v>
      </c>
      <c r="B3097" s="9" t="str">
        <f t="shared" si="5"/>
        <v>25753</v>
      </c>
      <c r="C3097" s="8" t="s">
        <v>8340</v>
      </c>
      <c r="D3097" s="8" t="s">
        <v>10055</v>
      </c>
      <c r="E3097" s="8"/>
    </row>
    <row r="3098" spans="1:5" x14ac:dyDescent="0.25">
      <c r="A3098" s="5" t="s">
        <v>8341</v>
      </c>
      <c r="B3098" s="9" t="str">
        <f t="shared" si="5"/>
        <v>25753</v>
      </c>
      <c r="C3098" s="8" t="s">
        <v>8342</v>
      </c>
      <c r="D3098" s="8" t="s">
        <v>10055</v>
      </c>
      <c r="E3098" s="8"/>
    </row>
    <row r="3099" spans="1:5" x14ac:dyDescent="0.25">
      <c r="A3099" s="5" t="s">
        <v>8343</v>
      </c>
      <c r="B3099" s="9" t="str">
        <f t="shared" si="5"/>
        <v>25753</v>
      </c>
      <c r="C3099" s="8" t="s">
        <v>8344</v>
      </c>
      <c r="D3099" s="8" t="s">
        <v>10055</v>
      </c>
      <c r="E3099" s="8"/>
    </row>
    <row r="3100" spans="1:5" x14ac:dyDescent="0.25">
      <c r="A3100" s="5" t="s">
        <v>8345</v>
      </c>
      <c r="B3100" s="9" t="str">
        <f t="shared" si="5"/>
        <v>25753</v>
      </c>
      <c r="C3100" s="8" t="s">
        <v>8346</v>
      </c>
      <c r="D3100" s="8" t="s">
        <v>10055</v>
      </c>
      <c r="E3100" s="8"/>
    </row>
    <row r="3101" spans="1:5" x14ac:dyDescent="0.25">
      <c r="A3101" s="5" t="s">
        <v>8347</v>
      </c>
      <c r="B3101" s="9" t="str">
        <f t="shared" si="5"/>
        <v>25753</v>
      </c>
      <c r="C3101" s="8" t="s">
        <v>8348</v>
      </c>
      <c r="D3101" s="8" t="s">
        <v>10055</v>
      </c>
      <c r="E3101" s="8"/>
    </row>
    <row r="3102" spans="1:5" x14ac:dyDescent="0.25">
      <c r="A3102" s="5" t="s">
        <v>8349</v>
      </c>
      <c r="B3102" s="9" t="str">
        <f t="shared" si="5"/>
        <v>25753</v>
      </c>
      <c r="C3102" s="8" t="s">
        <v>8350</v>
      </c>
      <c r="D3102" s="8" t="s">
        <v>10055</v>
      </c>
      <c r="E3102" s="8"/>
    </row>
    <row r="3103" spans="1:5" x14ac:dyDescent="0.25">
      <c r="A3103" s="5" t="s">
        <v>8351</v>
      </c>
      <c r="B3103" s="9" t="str">
        <f t="shared" si="5"/>
        <v>25753</v>
      </c>
      <c r="C3103" s="8" t="s">
        <v>8352</v>
      </c>
      <c r="D3103" s="8" t="s">
        <v>10055</v>
      </c>
      <c r="E3103" s="8"/>
    </row>
    <row r="3104" spans="1:5" x14ac:dyDescent="0.25">
      <c r="A3104" s="5" t="s">
        <v>8353</v>
      </c>
      <c r="B3104" s="9" t="str">
        <f t="shared" si="5"/>
        <v>25753</v>
      </c>
      <c r="C3104" s="8" t="s">
        <v>8354</v>
      </c>
      <c r="D3104" s="8" t="s">
        <v>10055</v>
      </c>
      <c r="E3104" s="8"/>
    </row>
    <row r="3105" spans="1:5" x14ac:dyDescent="0.25">
      <c r="A3105" s="5" t="s">
        <v>8355</v>
      </c>
      <c r="B3105" s="9" t="str">
        <f t="shared" si="5"/>
        <v>25753</v>
      </c>
      <c r="C3105" s="8" t="s">
        <v>8356</v>
      </c>
      <c r="D3105" s="8" t="s">
        <v>10055</v>
      </c>
      <c r="E3105" s="8"/>
    </row>
    <row r="3106" spans="1:5" x14ac:dyDescent="0.25">
      <c r="A3106" s="5" t="s">
        <v>8357</v>
      </c>
      <c r="B3106" s="9" t="str">
        <f t="shared" si="5"/>
        <v>25753</v>
      </c>
      <c r="C3106" s="8" t="s">
        <v>8358</v>
      </c>
      <c r="D3106" s="8" t="s">
        <v>10055</v>
      </c>
      <c r="E3106" s="8"/>
    </row>
    <row r="3107" spans="1:5" x14ac:dyDescent="0.25">
      <c r="A3107" s="5" t="s">
        <v>8359</v>
      </c>
      <c r="B3107" s="9" t="str">
        <f t="shared" si="5"/>
        <v>25753</v>
      </c>
      <c r="C3107" s="8" t="s">
        <v>8360</v>
      </c>
      <c r="D3107" s="8" t="s">
        <v>10055</v>
      </c>
      <c r="E3107" s="8"/>
    </row>
    <row r="3108" spans="1:5" x14ac:dyDescent="0.25">
      <c r="A3108" s="5" t="s">
        <v>8361</v>
      </c>
      <c r="B3108" s="9" t="str">
        <f t="shared" si="5"/>
        <v>25753</v>
      </c>
      <c r="C3108" s="8" t="s">
        <v>8362</v>
      </c>
      <c r="D3108" s="8" t="s">
        <v>10055</v>
      </c>
      <c r="E3108" s="8"/>
    </row>
    <row r="3109" spans="1:5" x14ac:dyDescent="0.25">
      <c r="A3109" s="5" t="s">
        <v>8363</v>
      </c>
      <c r="B3109" s="9" t="str">
        <f t="shared" si="5"/>
        <v>25753</v>
      </c>
      <c r="C3109" s="8" t="s">
        <v>8364</v>
      </c>
      <c r="D3109" s="8" t="s">
        <v>10055</v>
      </c>
      <c r="E3109" s="8"/>
    </row>
    <row r="3110" spans="1:5" x14ac:dyDescent="0.25">
      <c r="A3110" s="5" t="s">
        <v>8365</v>
      </c>
      <c r="B3110" s="9" t="str">
        <f t="shared" si="5"/>
        <v>25753</v>
      </c>
      <c r="C3110" s="8" t="s">
        <v>8366</v>
      </c>
      <c r="D3110" s="8" t="s">
        <v>10055</v>
      </c>
      <c r="E3110" s="8"/>
    </row>
    <row r="3111" spans="1:5" x14ac:dyDescent="0.25">
      <c r="A3111" s="5" t="s">
        <v>8367</v>
      </c>
      <c r="B3111" s="9" t="str">
        <f t="shared" si="5"/>
        <v>25753</v>
      </c>
      <c r="C3111" s="8" t="s">
        <v>8368</v>
      </c>
      <c r="D3111" s="8" t="s">
        <v>10055</v>
      </c>
      <c r="E3111" s="8"/>
    </row>
    <row r="3112" spans="1:5" x14ac:dyDescent="0.25">
      <c r="A3112" s="5" t="s">
        <v>8369</v>
      </c>
      <c r="B3112" s="9" t="str">
        <f t="shared" si="5"/>
        <v>25753</v>
      </c>
      <c r="C3112" s="8" t="s">
        <v>8370</v>
      </c>
      <c r="D3112" s="8" t="s">
        <v>10055</v>
      </c>
      <c r="E3112" s="8"/>
    </row>
    <row r="3113" spans="1:5" x14ac:dyDescent="0.25">
      <c r="A3113" s="5" t="s">
        <v>8371</v>
      </c>
      <c r="B3113" s="9" t="str">
        <f t="shared" si="5"/>
        <v>25753</v>
      </c>
      <c r="C3113" s="8" t="s">
        <v>8372</v>
      </c>
      <c r="D3113" s="8" t="s">
        <v>10055</v>
      </c>
      <c r="E3113" s="8"/>
    </row>
    <row r="3114" spans="1:5" x14ac:dyDescent="0.25">
      <c r="A3114" s="5" t="s">
        <v>8373</v>
      </c>
      <c r="B3114" s="9" t="str">
        <f t="shared" si="5"/>
        <v>25753</v>
      </c>
      <c r="C3114" s="8" t="s">
        <v>8374</v>
      </c>
      <c r="D3114" s="8" t="s">
        <v>10055</v>
      </c>
      <c r="E3114" s="8"/>
    </row>
    <row r="3115" spans="1:5" x14ac:dyDescent="0.25">
      <c r="A3115" s="5" t="s">
        <v>8375</v>
      </c>
      <c r="B3115" s="9" t="str">
        <f t="shared" si="5"/>
        <v>25753</v>
      </c>
      <c r="C3115" s="8" t="s">
        <v>8376</v>
      </c>
      <c r="D3115" s="8" t="s">
        <v>10055</v>
      </c>
      <c r="E3115" s="8"/>
    </row>
    <row r="3116" spans="1:5" x14ac:dyDescent="0.25">
      <c r="A3116" s="5" t="s">
        <v>8377</v>
      </c>
      <c r="B3116" s="9" t="str">
        <f t="shared" si="5"/>
        <v>25753</v>
      </c>
      <c r="C3116" s="8" t="s">
        <v>8378</v>
      </c>
      <c r="D3116" s="8" t="s">
        <v>10055</v>
      </c>
      <c r="E3116" s="8"/>
    </row>
    <row r="3117" spans="1:5" x14ac:dyDescent="0.25">
      <c r="A3117" s="5" t="s">
        <v>8379</v>
      </c>
      <c r="B3117" s="9" t="str">
        <f t="shared" si="5"/>
        <v>25753</v>
      </c>
      <c r="C3117" s="8" t="s">
        <v>8380</v>
      </c>
      <c r="D3117" s="8" t="s">
        <v>10055</v>
      </c>
      <c r="E3117" s="8"/>
    </row>
    <row r="3118" spans="1:5" x14ac:dyDescent="0.25">
      <c r="A3118" s="5" t="s">
        <v>8381</v>
      </c>
      <c r="B3118" s="9" t="str">
        <f t="shared" si="5"/>
        <v>25753</v>
      </c>
      <c r="C3118" s="8" t="s">
        <v>8382</v>
      </c>
      <c r="D3118" s="8" t="s">
        <v>10055</v>
      </c>
      <c r="E3118" s="8"/>
    </row>
    <row r="3119" spans="1:5" x14ac:dyDescent="0.25">
      <c r="A3119" s="5" t="s">
        <v>8383</v>
      </c>
      <c r="B3119" s="9" t="str">
        <f t="shared" si="5"/>
        <v>25753</v>
      </c>
      <c r="C3119" s="8" t="s">
        <v>8384</v>
      </c>
      <c r="D3119" s="8" t="s">
        <v>10055</v>
      </c>
      <c r="E3119" s="8"/>
    </row>
    <row r="3120" spans="1:5" x14ac:dyDescent="0.25">
      <c r="A3120" s="5" t="s">
        <v>8385</v>
      </c>
      <c r="B3120" s="9" t="str">
        <f t="shared" si="5"/>
        <v>25753</v>
      </c>
      <c r="C3120" s="8" t="s">
        <v>8386</v>
      </c>
      <c r="D3120" s="8" t="s">
        <v>10055</v>
      </c>
      <c r="E3120" s="8"/>
    </row>
    <row r="3121" spans="1:5" x14ac:dyDescent="0.25">
      <c r="A3121" s="5" t="s">
        <v>8387</v>
      </c>
      <c r="B3121" s="9" t="str">
        <f t="shared" si="5"/>
        <v>25753</v>
      </c>
      <c r="C3121" s="8" t="s">
        <v>8388</v>
      </c>
      <c r="D3121" s="8" t="s">
        <v>10055</v>
      </c>
      <c r="E3121" s="8"/>
    </row>
    <row r="3122" spans="1:5" x14ac:dyDescent="0.25">
      <c r="A3122" s="5" t="s">
        <v>8389</v>
      </c>
      <c r="B3122" s="9" t="str">
        <f t="shared" si="5"/>
        <v>25753</v>
      </c>
      <c r="C3122" s="8" t="s">
        <v>8390</v>
      </c>
      <c r="D3122" s="8" t="s">
        <v>10055</v>
      </c>
      <c r="E3122" s="8"/>
    </row>
    <row r="3123" spans="1:5" x14ac:dyDescent="0.25">
      <c r="A3123" s="5" t="s">
        <v>8391</v>
      </c>
      <c r="B3123" s="9" t="str">
        <f t="shared" si="5"/>
        <v>25753</v>
      </c>
      <c r="C3123" s="8" t="s">
        <v>8392</v>
      </c>
      <c r="D3123" s="8" t="s">
        <v>10055</v>
      </c>
      <c r="E3123" s="8"/>
    </row>
    <row r="3124" spans="1:5" x14ac:dyDescent="0.25">
      <c r="A3124" s="5" t="s">
        <v>8393</v>
      </c>
      <c r="B3124" s="9" t="str">
        <f t="shared" si="5"/>
        <v>25753</v>
      </c>
      <c r="C3124" s="8" t="s">
        <v>8394</v>
      </c>
      <c r="D3124" s="8" t="s">
        <v>10055</v>
      </c>
      <c r="E3124" s="8"/>
    </row>
    <row r="3125" spans="1:5" x14ac:dyDescent="0.25">
      <c r="A3125" s="5" t="s">
        <v>8395</v>
      </c>
      <c r="B3125" s="9" t="str">
        <f t="shared" si="5"/>
        <v>25753</v>
      </c>
      <c r="C3125" s="8" t="s">
        <v>8396</v>
      </c>
      <c r="D3125" s="8" t="s">
        <v>10055</v>
      </c>
      <c r="E3125" s="8"/>
    </row>
    <row r="3126" spans="1:5" x14ac:dyDescent="0.25">
      <c r="A3126" s="5" t="s">
        <v>8397</v>
      </c>
      <c r="B3126" s="9" t="str">
        <f t="shared" si="5"/>
        <v>25753</v>
      </c>
      <c r="C3126" s="8" t="s">
        <v>8398</v>
      </c>
      <c r="D3126" s="8" t="s">
        <v>10055</v>
      </c>
      <c r="E3126" s="8"/>
    </row>
    <row r="3127" spans="1:5" x14ac:dyDescent="0.25">
      <c r="A3127" s="5" t="s">
        <v>8399</v>
      </c>
      <c r="B3127" s="9" t="str">
        <f t="shared" si="5"/>
        <v>25753</v>
      </c>
      <c r="C3127" s="8" t="s">
        <v>8400</v>
      </c>
      <c r="D3127" s="8" t="s">
        <v>10055</v>
      </c>
      <c r="E3127" s="8"/>
    </row>
    <row r="3128" spans="1:5" x14ac:dyDescent="0.25">
      <c r="A3128" s="5" t="s">
        <v>8401</v>
      </c>
      <c r="B3128" s="9" t="str">
        <f t="shared" si="5"/>
        <v>25753</v>
      </c>
      <c r="C3128" s="8" t="s">
        <v>8402</v>
      </c>
      <c r="D3128" s="8" t="s">
        <v>10055</v>
      </c>
      <c r="E3128" s="8"/>
    </row>
    <row r="3129" spans="1:5" x14ac:dyDescent="0.25">
      <c r="A3129" s="5" t="s">
        <v>8403</v>
      </c>
      <c r="B3129" s="9" t="str">
        <f t="shared" si="5"/>
        <v>25753</v>
      </c>
      <c r="C3129" s="8" t="s">
        <v>8404</v>
      </c>
      <c r="D3129" s="8" t="s">
        <v>10055</v>
      </c>
      <c r="E3129" s="8"/>
    </row>
    <row r="3130" spans="1:5" x14ac:dyDescent="0.25">
      <c r="A3130" s="5" t="s">
        <v>8405</v>
      </c>
      <c r="B3130" s="9" t="str">
        <f t="shared" si="5"/>
        <v>25753</v>
      </c>
      <c r="C3130" s="8" t="s">
        <v>8406</v>
      </c>
      <c r="D3130" s="8" t="s">
        <v>10055</v>
      </c>
      <c r="E3130" s="8"/>
    </row>
    <row r="3131" spans="1:5" x14ac:dyDescent="0.25">
      <c r="A3131" s="5" t="s">
        <v>8407</v>
      </c>
      <c r="B3131" s="9" t="str">
        <f t="shared" si="5"/>
        <v>25753</v>
      </c>
      <c r="C3131" s="8" t="s">
        <v>8408</v>
      </c>
      <c r="D3131" s="8" t="s">
        <v>10055</v>
      </c>
      <c r="E3131" s="8"/>
    </row>
    <row r="3132" spans="1:5" x14ac:dyDescent="0.25">
      <c r="A3132" s="5" t="s">
        <v>8409</v>
      </c>
      <c r="B3132" s="9" t="str">
        <f t="shared" si="5"/>
        <v>25753</v>
      </c>
      <c r="C3132" s="8" t="s">
        <v>8410</v>
      </c>
      <c r="D3132" s="8" t="s">
        <v>10055</v>
      </c>
      <c r="E3132" s="8"/>
    </row>
    <row r="3133" spans="1:5" x14ac:dyDescent="0.25">
      <c r="A3133" s="5" t="s">
        <v>8411</v>
      </c>
      <c r="B3133" s="9" t="str">
        <f t="shared" si="5"/>
        <v>25753</v>
      </c>
      <c r="C3133" s="8" t="s">
        <v>8412</v>
      </c>
      <c r="D3133" s="8" t="s">
        <v>10055</v>
      </c>
      <c r="E3133" s="8"/>
    </row>
    <row r="3134" spans="1:5" x14ac:dyDescent="0.25">
      <c r="A3134" s="5" t="s">
        <v>8413</v>
      </c>
      <c r="B3134" s="9" t="str">
        <f t="shared" si="5"/>
        <v>25753</v>
      </c>
      <c r="C3134" s="8" t="s">
        <v>8414</v>
      </c>
      <c r="D3134" s="8" t="s">
        <v>10055</v>
      </c>
      <c r="E3134" s="8"/>
    </row>
    <row r="3135" spans="1:5" x14ac:dyDescent="0.25">
      <c r="A3135" s="5" t="s">
        <v>8415</v>
      </c>
      <c r="B3135" s="9" t="str">
        <f t="shared" si="5"/>
        <v>25753</v>
      </c>
      <c r="C3135" s="8" t="s">
        <v>8416</v>
      </c>
      <c r="D3135" s="8" t="s">
        <v>10055</v>
      </c>
      <c r="E3135" s="8"/>
    </row>
    <row r="3136" spans="1:5" x14ac:dyDescent="0.25">
      <c r="A3136" s="5" t="s">
        <v>8417</v>
      </c>
      <c r="B3136" s="9" t="str">
        <f t="shared" si="5"/>
        <v>25753</v>
      </c>
      <c r="C3136" s="8" t="s">
        <v>8418</v>
      </c>
      <c r="D3136" s="8" t="s">
        <v>10055</v>
      </c>
      <c r="E3136" s="8"/>
    </row>
    <row r="3137" spans="1:5" x14ac:dyDescent="0.25">
      <c r="A3137" s="5" t="s">
        <v>8419</v>
      </c>
      <c r="B3137" s="9" t="str">
        <f t="shared" si="5"/>
        <v>25753</v>
      </c>
      <c r="C3137" s="8" t="s">
        <v>8420</v>
      </c>
      <c r="D3137" s="8" t="s">
        <v>10055</v>
      </c>
      <c r="E3137" s="8"/>
    </row>
    <row r="3138" spans="1:5" x14ac:dyDescent="0.25">
      <c r="A3138" s="5" t="s">
        <v>8421</v>
      </c>
      <c r="B3138" s="9" t="str">
        <f t="shared" si="5"/>
        <v>25753</v>
      </c>
      <c r="C3138" s="8" t="s">
        <v>8422</v>
      </c>
      <c r="D3138" s="8" t="s">
        <v>10055</v>
      </c>
      <c r="E3138" s="8"/>
    </row>
    <row r="3139" spans="1:5" x14ac:dyDescent="0.25">
      <c r="A3139" s="5" t="s">
        <v>8423</v>
      </c>
      <c r="B3139" s="9" t="str">
        <f t="shared" si="5"/>
        <v>25753</v>
      </c>
      <c r="C3139" s="8" t="s">
        <v>8424</v>
      </c>
      <c r="D3139" s="8" t="s">
        <v>10055</v>
      </c>
      <c r="E3139" s="8"/>
    </row>
    <row r="3140" spans="1:5" x14ac:dyDescent="0.25">
      <c r="A3140" s="5" t="s">
        <v>8425</v>
      </c>
      <c r="B3140" s="9" t="str">
        <f t="shared" si="5"/>
        <v>25753</v>
      </c>
      <c r="C3140" s="8" t="s">
        <v>8426</v>
      </c>
      <c r="D3140" s="8" t="s">
        <v>10055</v>
      </c>
      <c r="E3140" s="8"/>
    </row>
    <row r="3141" spans="1:5" x14ac:dyDescent="0.25">
      <c r="A3141" s="5" t="s">
        <v>8427</v>
      </c>
      <c r="B3141" s="9" t="str">
        <f t="shared" si="5"/>
        <v>25753</v>
      </c>
      <c r="C3141" s="8" t="s">
        <v>8428</v>
      </c>
      <c r="D3141" s="8" t="s">
        <v>10055</v>
      </c>
      <c r="E3141" s="8"/>
    </row>
    <row r="3142" spans="1:5" x14ac:dyDescent="0.25">
      <c r="A3142" s="5" t="s">
        <v>8429</v>
      </c>
      <c r="B3142" s="9" t="str">
        <f t="shared" si="5"/>
        <v>25753</v>
      </c>
      <c r="C3142" s="8" t="s">
        <v>8430</v>
      </c>
      <c r="D3142" s="8" t="s">
        <v>10055</v>
      </c>
      <c r="E3142" s="8"/>
    </row>
    <row r="3143" spans="1:5" x14ac:dyDescent="0.25">
      <c r="A3143" s="5" t="s">
        <v>8431</v>
      </c>
      <c r="B3143" s="9" t="str">
        <f t="shared" si="5"/>
        <v>25753</v>
      </c>
      <c r="C3143" s="8" t="s">
        <v>8432</v>
      </c>
      <c r="D3143" s="8" t="s">
        <v>10055</v>
      </c>
      <c r="E3143" s="8"/>
    </row>
    <row r="3144" spans="1:5" x14ac:dyDescent="0.25">
      <c r="A3144" s="5" t="s">
        <v>8433</v>
      </c>
      <c r="B3144" s="9" t="str">
        <f t="shared" si="5"/>
        <v>25753</v>
      </c>
      <c r="C3144" s="8" t="s">
        <v>8434</v>
      </c>
      <c r="D3144" s="8" t="s">
        <v>10055</v>
      </c>
      <c r="E3144" s="8"/>
    </row>
    <row r="3145" spans="1:5" x14ac:dyDescent="0.25">
      <c r="A3145" s="5" t="s">
        <v>8435</v>
      </c>
      <c r="B3145" s="9" t="str">
        <f t="shared" si="5"/>
        <v>25753</v>
      </c>
      <c r="C3145" s="8" t="s">
        <v>8436</v>
      </c>
      <c r="D3145" s="8" t="s">
        <v>10055</v>
      </c>
      <c r="E3145" s="8"/>
    </row>
    <row r="3146" spans="1:5" x14ac:dyDescent="0.25">
      <c r="A3146" s="5" t="s">
        <v>8437</v>
      </c>
      <c r="B3146" s="9" t="str">
        <f t="shared" si="5"/>
        <v>25753</v>
      </c>
      <c r="C3146" s="8" t="s">
        <v>8438</v>
      </c>
      <c r="D3146" s="8" t="s">
        <v>10055</v>
      </c>
      <c r="E3146" s="8"/>
    </row>
    <row r="3147" spans="1:5" x14ac:dyDescent="0.25">
      <c r="A3147" s="5" t="s">
        <v>8439</v>
      </c>
      <c r="B3147" s="9" t="str">
        <f t="shared" si="5"/>
        <v>25753</v>
      </c>
      <c r="C3147" s="8" t="s">
        <v>8440</v>
      </c>
      <c r="D3147" s="8" t="s">
        <v>10055</v>
      </c>
      <c r="E3147" s="8"/>
    </row>
    <row r="3148" spans="1:5" x14ac:dyDescent="0.25">
      <c r="A3148" s="5" t="s">
        <v>8441</v>
      </c>
      <c r="B3148" s="9" t="str">
        <f t="shared" si="5"/>
        <v>25753</v>
      </c>
      <c r="C3148" s="8" t="s">
        <v>8442</v>
      </c>
      <c r="D3148" s="8" t="s">
        <v>10055</v>
      </c>
      <c r="E3148" s="8"/>
    </row>
    <row r="3149" spans="1:5" x14ac:dyDescent="0.25">
      <c r="A3149" s="5" t="s">
        <v>8443</v>
      </c>
      <c r="B3149" s="9" t="str">
        <f t="shared" si="5"/>
        <v>25753</v>
      </c>
      <c r="C3149" s="8" t="s">
        <v>8444</v>
      </c>
      <c r="D3149" s="8" t="s">
        <v>10055</v>
      </c>
      <c r="E3149" s="8"/>
    </row>
    <row r="3150" spans="1:5" x14ac:dyDescent="0.25">
      <c r="A3150" s="5" t="s">
        <v>8445</v>
      </c>
      <c r="B3150" s="9" t="str">
        <f t="shared" si="5"/>
        <v>25753</v>
      </c>
      <c r="C3150" s="8" t="s">
        <v>8446</v>
      </c>
      <c r="D3150" s="8" t="s">
        <v>10055</v>
      </c>
      <c r="E3150" s="8"/>
    </row>
    <row r="3151" spans="1:5" x14ac:dyDescent="0.25">
      <c r="A3151" s="5" t="s">
        <v>8447</v>
      </c>
      <c r="B3151" s="9" t="str">
        <f t="shared" si="5"/>
        <v>25753</v>
      </c>
      <c r="C3151" s="8" t="s">
        <v>8448</v>
      </c>
      <c r="D3151" s="8" t="s">
        <v>10055</v>
      </c>
      <c r="E3151" s="8"/>
    </row>
    <row r="3152" spans="1:5" x14ac:dyDescent="0.25">
      <c r="A3152" s="5" t="s">
        <v>8449</v>
      </c>
      <c r="B3152" s="9" t="str">
        <f t="shared" si="5"/>
        <v>25753</v>
      </c>
      <c r="C3152" s="8" t="s">
        <v>8450</v>
      </c>
      <c r="D3152" s="8" t="s">
        <v>10055</v>
      </c>
      <c r="E3152" s="8"/>
    </row>
    <row r="3153" spans="1:5" x14ac:dyDescent="0.25">
      <c r="A3153" s="5" t="s">
        <v>8451</v>
      </c>
      <c r="B3153" s="9" t="str">
        <f t="shared" si="5"/>
        <v>25753</v>
      </c>
      <c r="C3153" s="8" t="s">
        <v>8452</v>
      </c>
      <c r="D3153" s="8" t="s">
        <v>10055</v>
      </c>
      <c r="E3153" s="8"/>
    </row>
    <row r="3154" spans="1:5" x14ac:dyDescent="0.25">
      <c r="A3154" s="5" t="s">
        <v>8453</v>
      </c>
      <c r="B3154" s="9" t="str">
        <f t="shared" si="5"/>
        <v>25753</v>
      </c>
      <c r="C3154" s="8" t="s">
        <v>8454</v>
      </c>
      <c r="D3154" s="8" t="s">
        <v>10055</v>
      </c>
      <c r="E3154" s="8"/>
    </row>
    <row r="3155" spans="1:5" x14ac:dyDescent="0.25">
      <c r="A3155" s="5" t="s">
        <v>8455</v>
      </c>
      <c r="B3155" s="9" t="str">
        <f t="shared" si="5"/>
        <v>25753</v>
      </c>
      <c r="C3155" s="8" t="s">
        <v>8456</v>
      </c>
      <c r="D3155" s="8" t="s">
        <v>10055</v>
      </c>
      <c r="E3155" s="8"/>
    </row>
    <row r="3156" spans="1:5" x14ac:dyDescent="0.25">
      <c r="A3156" s="5" t="s">
        <v>8457</v>
      </c>
      <c r="B3156" s="9" t="str">
        <f t="shared" si="5"/>
        <v>25753</v>
      </c>
      <c r="C3156" s="8" t="s">
        <v>8458</v>
      </c>
      <c r="D3156" s="8" t="s">
        <v>10055</v>
      </c>
      <c r="E3156" s="8"/>
    </row>
    <row r="3157" spans="1:5" x14ac:dyDescent="0.25">
      <c r="A3157" s="5" t="s">
        <v>8459</v>
      </c>
      <c r="B3157" s="9" t="str">
        <f t="shared" si="5"/>
        <v>25753</v>
      </c>
      <c r="C3157" s="8" t="s">
        <v>8460</v>
      </c>
      <c r="D3157" s="8" t="s">
        <v>10055</v>
      </c>
      <c r="E3157" s="8"/>
    </row>
    <row r="3158" spans="1:5" x14ac:dyDescent="0.25">
      <c r="A3158" s="5" t="s">
        <v>8461</v>
      </c>
      <c r="B3158" s="9" t="str">
        <f t="shared" si="5"/>
        <v>25753</v>
      </c>
      <c r="C3158" s="8" t="s">
        <v>8462</v>
      </c>
      <c r="D3158" s="8" t="s">
        <v>10055</v>
      </c>
      <c r="E3158" s="8"/>
    </row>
    <row r="3159" spans="1:5" x14ac:dyDescent="0.25">
      <c r="A3159" s="5" t="s">
        <v>8463</v>
      </c>
      <c r="B3159" s="9" t="str">
        <f t="shared" si="5"/>
        <v>25753</v>
      </c>
      <c r="C3159" s="8" t="s">
        <v>8464</v>
      </c>
      <c r="D3159" s="8" t="s">
        <v>10055</v>
      </c>
      <c r="E3159" s="8"/>
    </row>
    <row r="3160" spans="1:5" x14ac:dyDescent="0.25">
      <c r="A3160" s="5" t="s">
        <v>8465</v>
      </c>
      <c r="B3160" s="9" t="str">
        <f t="shared" si="5"/>
        <v>25753</v>
      </c>
      <c r="C3160" s="8" t="s">
        <v>8466</v>
      </c>
      <c r="D3160" s="8" t="s">
        <v>10055</v>
      </c>
      <c r="E3160" s="8"/>
    </row>
    <row r="3161" spans="1:5" x14ac:dyDescent="0.25">
      <c r="A3161" s="5" t="s">
        <v>8467</v>
      </c>
      <c r="B3161" s="9" t="str">
        <f t="shared" si="5"/>
        <v>25753</v>
      </c>
      <c r="C3161" s="8" t="s">
        <v>8468</v>
      </c>
      <c r="D3161" s="8" t="s">
        <v>10055</v>
      </c>
      <c r="E3161" s="8"/>
    </row>
    <row r="3162" spans="1:5" x14ac:dyDescent="0.25">
      <c r="A3162" s="5" t="s">
        <v>8469</v>
      </c>
      <c r="B3162" s="9" t="str">
        <f t="shared" si="5"/>
        <v>25753</v>
      </c>
      <c r="C3162" s="8" t="s">
        <v>8470</v>
      </c>
      <c r="D3162" s="8" t="s">
        <v>10055</v>
      </c>
      <c r="E3162" s="8"/>
    </row>
    <row r="3163" spans="1:5" x14ac:dyDescent="0.25">
      <c r="A3163" s="5" t="s">
        <v>8471</v>
      </c>
      <c r="B3163" s="9" t="str">
        <f t="shared" si="5"/>
        <v>25753</v>
      </c>
      <c r="C3163" s="8" t="s">
        <v>8472</v>
      </c>
      <c r="D3163" s="8" t="s">
        <v>10055</v>
      </c>
      <c r="E3163" s="8"/>
    </row>
    <row r="3164" spans="1:5" x14ac:dyDescent="0.25">
      <c r="A3164" s="5" t="s">
        <v>8473</v>
      </c>
      <c r="B3164" s="9" t="str">
        <f t="shared" si="5"/>
        <v>25753</v>
      </c>
      <c r="C3164" s="8" t="s">
        <v>8474</v>
      </c>
      <c r="D3164" s="8" t="s">
        <v>10055</v>
      </c>
      <c r="E3164" s="8"/>
    </row>
    <row r="3165" spans="1:5" x14ac:dyDescent="0.25">
      <c r="A3165" s="5" t="s">
        <v>8475</v>
      </c>
      <c r="B3165" s="9" t="str">
        <f t="shared" si="5"/>
        <v>25753</v>
      </c>
      <c r="C3165" s="8" t="s">
        <v>8476</v>
      </c>
      <c r="D3165" s="8" t="s">
        <v>10055</v>
      </c>
      <c r="E3165" s="8"/>
    </row>
    <row r="3166" spans="1:5" x14ac:dyDescent="0.25">
      <c r="A3166" s="5" t="s">
        <v>8477</v>
      </c>
      <c r="B3166" s="9" t="str">
        <f t="shared" si="5"/>
        <v>25753</v>
      </c>
      <c r="C3166" s="8" t="s">
        <v>8478</v>
      </c>
      <c r="D3166" s="8" t="s">
        <v>10055</v>
      </c>
      <c r="E3166" s="8"/>
    </row>
    <row r="3167" spans="1:5" x14ac:dyDescent="0.25">
      <c r="A3167" s="5" t="s">
        <v>8479</v>
      </c>
      <c r="B3167" s="9" t="str">
        <f t="shared" si="5"/>
        <v>25753</v>
      </c>
      <c r="C3167" s="8" t="s">
        <v>8480</v>
      </c>
      <c r="D3167" s="8" t="s">
        <v>10055</v>
      </c>
      <c r="E3167" s="8"/>
    </row>
    <row r="3168" spans="1:5" x14ac:dyDescent="0.25">
      <c r="A3168" s="5" t="s">
        <v>8481</v>
      </c>
      <c r="B3168" s="9" t="str">
        <f t="shared" si="5"/>
        <v>25753</v>
      </c>
      <c r="C3168" s="8" t="s">
        <v>8482</v>
      </c>
      <c r="D3168" s="8" t="s">
        <v>10055</v>
      </c>
      <c r="E3168" s="8"/>
    </row>
    <row r="3169" spans="1:5" x14ac:dyDescent="0.25">
      <c r="A3169" s="5" t="s">
        <v>8483</v>
      </c>
      <c r="B3169" s="9" t="str">
        <f t="shared" si="5"/>
        <v>25753</v>
      </c>
      <c r="C3169" s="8" t="s">
        <v>8484</v>
      </c>
      <c r="D3169" s="8" t="s">
        <v>10055</v>
      </c>
      <c r="E3169" s="8"/>
    </row>
    <row r="3170" spans="1:5" x14ac:dyDescent="0.25">
      <c r="A3170" s="5" t="s">
        <v>8485</v>
      </c>
      <c r="B3170" s="9" t="str">
        <f t="shared" si="5"/>
        <v>25753</v>
      </c>
      <c r="C3170" s="8" t="s">
        <v>8486</v>
      </c>
      <c r="D3170" s="8" t="s">
        <v>10055</v>
      </c>
      <c r="E3170" s="8"/>
    </row>
    <row r="3171" spans="1:5" x14ac:dyDescent="0.25">
      <c r="A3171" s="5" t="s">
        <v>8487</v>
      </c>
      <c r="B3171" s="9" t="str">
        <f t="shared" si="5"/>
        <v>25753</v>
      </c>
      <c r="C3171" s="8" t="s">
        <v>8488</v>
      </c>
      <c r="D3171" s="8" t="s">
        <v>10055</v>
      </c>
      <c r="E3171" s="8"/>
    </row>
    <row r="3172" spans="1:5" x14ac:dyDescent="0.25">
      <c r="A3172" s="5" t="s">
        <v>8489</v>
      </c>
      <c r="B3172" s="9" t="str">
        <f t="shared" si="5"/>
        <v>25753</v>
      </c>
      <c r="C3172" s="8" t="s">
        <v>8490</v>
      </c>
      <c r="D3172" s="8" t="s">
        <v>10055</v>
      </c>
      <c r="E3172" s="8"/>
    </row>
    <row r="3173" spans="1:5" x14ac:dyDescent="0.25">
      <c r="A3173" s="5" t="s">
        <v>8491</v>
      </c>
      <c r="B3173" s="9" t="str">
        <f t="shared" si="5"/>
        <v>25753</v>
      </c>
      <c r="C3173" s="8" t="s">
        <v>8492</v>
      </c>
      <c r="D3173" s="8" t="s">
        <v>10055</v>
      </c>
      <c r="E3173" s="8"/>
    </row>
    <row r="3174" spans="1:5" x14ac:dyDescent="0.25">
      <c r="A3174" s="5" t="s">
        <v>8493</v>
      </c>
      <c r="B3174" s="9" t="str">
        <f t="shared" si="5"/>
        <v>25753</v>
      </c>
      <c r="C3174" s="8" t="s">
        <v>8494</v>
      </c>
      <c r="D3174" s="8" t="s">
        <v>10055</v>
      </c>
      <c r="E3174" s="8"/>
    </row>
    <row r="3175" spans="1:5" x14ac:dyDescent="0.25">
      <c r="A3175" s="5" t="s">
        <v>8495</v>
      </c>
      <c r="B3175" s="9" t="str">
        <f t="shared" si="5"/>
        <v>25753</v>
      </c>
      <c r="C3175" s="8" t="s">
        <v>8496</v>
      </c>
      <c r="D3175" s="8" t="s">
        <v>10055</v>
      </c>
      <c r="E3175" s="8"/>
    </row>
    <row r="3176" spans="1:5" x14ac:dyDescent="0.25">
      <c r="A3176" s="5" t="s">
        <v>8497</v>
      </c>
      <c r="B3176" s="9" t="str">
        <f t="shared" si="5"/>
        <v>25753</v>
      </c>
      <c r="C3176" s="8" t="s">
        <v>8498</v>
      </c>
      <c r="D3176" s="8" t="s">
        <v>10055</v>
      </c>
      <c r="E3176" s="8"/>
    </row>
    <row r="3177" spans="1:5" x14ac:dyDescent="0.25">
      <c r="A3177" s="5" t="s">
        <v>8499</v>
      </c>
      <c r="B3177" s="9" t="str">
        <f t="shared" si="5"/>
        <v>25753</v>
      </c>
      <c r="C3177" s="8" t="s">
        <v>8500</v>
      </c>
      <c r="D3177" s="8" t="s">
        <v>10055</v>
      </c>
      <c r="E3177" s="8"/>
    </row>
    <row r="3178" spans="1:5" x14ac:dyDescent="0.25">
      <c r="A3178" s="5" t="s">
        <v>8501</v>
      </c>
      <c r="B3178" s="9" t="str">
        <f t="shared" si="5"/>
        <v>25753</v>
      </c>
      <c r="C3178" s="8" t="s">
        <v>8502</v>
      </c>
      <c r="D3178" s="8" t="s">
        <v>10055</v>
      </c>
      <c r="E3178" s="8"/>
    </row>
    <row r="3179" spans="1:5" x14ac:dyDescent="0.25">
      <c r="A3179" s="5" t="s">
        <v>8503</v>
      </c>
      <c r="B3179" s="9" t="str">
        <f t="shared" si="5"/>
        <v>25753</v>
      </c>
      <c r="C3179" s="8" t="s">
        <v>8504</v>
      </c>
      <c r="D3179" s="8" t="s">
        <v>10055</v>
      </c>
      <c r="E3179" s="8"/>
    </row>
    <row r="3180" spans="1:5" x14ac:dyDescent="0.25">
      <c r="A3180" s="5" t="s">
        <v>8505</v>
      </c>
      <c r="B3180" s="9" t="str">
        <f t="shared" si="5"/>
        <v>25753</v>
      </c>
      <c r="C3180" s="8" t="s">
        <v>8506</v>
      </c>
      <c r="D3180" s="8" t="s">
        <v>10055</v>
      </c>
      <c r="E3180" s="8"/>
    </row>
    <row r="3181" spans="1:5" x14ac:dyDescent="0.25">
      <c r="A3181" s="5" t="s">
        <v>8507</v>
      </c>
      <c r="B3181" s="9" t="str">
        <f t="shared" si="5"/>
        <v>25753</v>
      </c>
      <c r="C3181" s="8" t="s">
        <v>8508</v>
      </c>
      <c r="D3181" s="8" t="s">
        <v>10055</v>
      </c>
      <c r="E3181" s="8"/>
    </row>
    <row r="3182" spans="1:5" x14ac:dyDescent="0.25">
      <c r="A3182" s="5" t="s">
        <v>8509</v>
      </c>
      <c r="B3182" s="9" t="str">
        <f t="shared" si="5"/>
        <v>25753</v>
      </c>
      <c r="C3182" s="8" t="s">
        <v>8510</v>
      </c>
      <c r="D3182" s="8" t="s">
        <v>10055</v>
      </c>
      <c r="E3182" s="8"/>
    </row>
    <row r="3183" spans="1:5" x14ac:dyDescent="0.25">
      <c r="A3183" s="5" t="s">
        <v>8511</v>
      </c>
      <c r="B3183" s="9" t="str">
        <f t="shared" si="5"/>
        <v>25753</v>
      </c>
      <c r="C3183" s="8" t="s">
        <v>8512</v>
      </c>
      <c r="D3183" s="8" t="s">
        <v>10055</v>
      </c>
      <c r="E3183" s="8"/>
    </row>
    <row r="3184" spans="1:5" x14ac:dyDescent="0.25">
      <c r="A3184" s="5" t="s">
        <v>8513</v>
      </c>
      <c r="B3184" s="9" t="str">
        <f t="shared" si="5"/>
        <v>25753</v>
      </c>
      <c r="C3184" s="8" t="s">
        <v>8514</v>
      </c>
      <c r="D3184" s="8" t="s">
        <v>10055</v>
      </c>
      <c r="E3184" s="8"/>
    </row>
    <row r="3185" spans="1:5" x14ac:dyDescent="0.25">
      <c r="A3185" s="5" t="s">
        <v>8515</v>
      </c>
      <c r="B3185" s="9" t="str">
        <f t="shared" si="5"/>
        <v>25753</v>
      </c>
      <c r="C3185" s="8" t="s">
        <v>8516</v>
      </c>
      <c r="D3185" s="8" t="s">
        <v>10055</v>
      </c>
      <c r="E3185" s="8"/>
    </row>
    <row r="3186" spans="1:5" x14ac:dyDescent="0.25">
      <c r="A3186" s="5" t="s">
        <v>8517</v>
      </c>
      <c r="B3186" s="9" t="str">
        <f t="shared" si="5"/>
        <v>25753</v>
      </c>
      <c r="C3186" s="8" t="s">
        <v>8518</v>
      </c>
      <c r="D3186" s="8" t="s">
        <v>10055</v>
      </c>
      <c r="E3186" s="8"/>
    </row>
    <row r="3187" spans="1:5" x14ac:dyDescent="0.25">
      <c r="A3187" s="5" t="s">
        <v>8519</v>
      </c>
      <c r="B3187" s="9" t="str">
        <f t="shared" si="5"/>
        <v>25753</v>
      </c>
      <c r="C3187" s="8" t="s">
        <v>8520</v>
      </c>
      <c r="D3187" s="8" t="s">
        <v>10055</v>
      </c>
      <c r="E3187" s="8"/>
    </row>
    <row r="3188" spans="1:5" x14ac:dyDescent="0.25">
      <c r="A3188" s="5" t="s">
        <v>8521</v>
      </c>
      <c r="B3188" s="9" t="str">
        <f t="shared" si="5"/>
        <v>25753</v>
      </c>
      <c r="C3188" s="8" t="s">
        <v>8522</v>
      </c>
      <c r="D3188" s="8" t="s">
        <v>10055</v>
      </c>
      <c r="E3188" s="8"/>
    </row>
    <row r="3189" spans="1:5" x14ac:dyDescent="0.25">
      <c r="A3189" s="5" t="s">
        <v>8523</v>
      </c>
      <c r="B3189" s="9" t="str">
        <f t="shared" si="5"/>
        <v>25753</v>
      </c>
      <c r="C3189" s="8" t="s">
        <v>8524</v>
      </c>
      <c r="D3189" s="8" t="s">
        <v>10055</v>
      </c>
      <c r="E3189" s="8"/>
    </row>
    <row r="3190" spans="1:5" x14ac:dyDescent="0.25">
      <c r="A3190" s="5" t="s">
        <v>8525</v>
      </c>
      <c r="B3190" s="9" t="str">
        <f t="shared" si="5"/>
        <v>25753</v>
      </c>
      <c r="C3190" s="8" t="s">
        <v>8526</v>
      </c>
      <c r="D3190" s="8" t="s">
        <v>10055</v>
      </c>
      <c r="E3190" s="8"/>
    </row>
    <row r="3191" spans="1:5" x14ac:dyDescent="0.25">
      <c r="A3191" s="5" t="s">
        <v>8527</v>
      </c>
      <c r="B3191" s="9" t="str">
        <f t="shared" si="5"/>
        <v>25753</v>
      </c>
      <c r="C3191" s="8" t="s">
        <v>8528</v>
      </c>
      <c r="D3191" s="8" t="s">
        <v>10055</v>
      </c>
      <c r="E3191" s="8"/>
    </row>
    <row r="3192" spans="1:5" x14ac:dyDescent="0.25">
      <c r="A3192" s="5" t="s">
        <v>8529</v>
      </c>
      <c r="B3192" s="9" t="str">
        <f t="shared" si="5"/>
        <v>25753</v>
      </c>
      <c r="C3192" s="8" t="s">
        <v>8530</v>
      </c>
      <c r="D3192" s="8" t="s">
        <v>10055</v>
      </c>
      <c r="E3192" s="8"/>
    </row>
    <row r="3193" spans="1:5" x14ac:dyDescent="0.25">
      <c r="A3193" s="5" t="s">
        <v>8531</v>
      </c>
      <c r="B3193" s="9" t="str">
        <f t="shared" si="5"/>
        <v>25753</v>
      </c>
      <c r="C3193" s="8" t="s">
        <v>8532</v>
      </c>
      <c r="D3193" s="8" t="s">
        <v>10055</v>
      </c>
      <c r="E3193" s="8"/>
    </row>
    <row r="3194" spans="1:5" x14ac:dyDescent="0.25">
      <c r="A3194" s="5" t="s">
        <v>8533</v>
      </c>
      <c r="B3194" s="9" t="str">
        <f t="shared" si="5"/>
        <v>25753</v>
      </c>
      <c r="C3194" s="8" t="s">
        <v>8534</v>
      </c>
      <c r="D3194" s="8" t="s">
        <v>10055</v>
      </c>
      <c r="E3194" s="8"/>
    </row>
    <row r="3195" spans="1:5" x14ac:dyDescent="0.25">
      <c r="A3195" s="5" t="s">
        <v>8535</v>
      </c>
      <c r="B3195" s="9" t="str">
        <f t="shared" si="5"/>
        <v>25753</v>
      </c>
      <c r="C3195" s="8" t="s">
        <v>8536</v>
      </c>
      <c r="D3195" s="8" t="s">
        <v>10055</v>
      </c>
      <c r="E3195" s="8"/>
    </row>
    <row r="3196" spans="1:5" x14ac:dyDescent="0.25">
      <c r="A3196" s="5" t="s">
        <v>8537</v>
      </c>
      <c r="B3196" s="9" t="str">
        <f t="shared" ref="B3196:B3450" si="6">HYPERLINK("http://biobank.ctsu.ox.ac.uk/crystal/field.cgi?id=25753", "25753")</f>
        <v>25753</v>
      </c>
      <c r="C3196" s="8" t="s">
        <v>8538</v>
      </c>
      <c r="D3196" s="8" t="s">
        <v>10055</v>
      </c>
      <c r="E3196" s="8"/>
    </row>
    <row r="3197" spans="1:5" x14ac:dyDescent="0.25">
      <c r="A3197" s="5" t="s">
        <v>8539</v>
      </c>
      <c r="B3197" s="9" t="str">
        <f t="shared" si="6"/>
        <v>25753</v>
      </c>
      <c r="C3197" s="8" t="s">
        <v>8540</v>
      </c>
      <c r="D3197" s="8" t="s">
        <v>10055</v>
      </c>
      <c r="E3197" s="8"/>
    </row>
    <row r="3198" spans="1:5" x14ac:dyDescent="0.25">
      <c r="A3198" s="5" t="s">
        <v>8541</v>
      </c>
      <c r="B3198" s="9" t="str">
        <f t="shared" si="6"/>
        <v>25753</v>
      </c>
      <c r="C3198" s="8" t="s">
        <v>8542</v>
      </c>
      <c r="D3198" s="8" t="s">
        <v>10055</v>
      </c>
      <c r="E3198" s="8"/>
    </row>
    <row r="3199" spans="1:5" x14ac:dyDescent="0.25">
      <c r="A3199" s="5" t="s">
        <v>8543</v>
      </c>
      <c r="B3199" s="9" t="str">
        <f t="shared" si="6"/>
        <v>25753</v>
      </c>
      <c r="C3199" s="8" t="s">
        <v>8544</v>
      </c>
      <c r="D3199" s="8" t="s">
        <v>10055</v>
      </c>
      <c r="E3199" s="8"/>
    </row>
    <row r="3200" spans="1:5" x14ac:dyDescent="0.25">
      <c r="A3200" s="5" t="s">
        <v>8545</v>
      </c>
      <c r="B3200" s="9" t="str">
        <f t="shared" si="6"/>
        <v>25753</v>
      </c>
      <c r="C3200" s="8" t="s">
        <v>8546</v>
      </c>
      <c r="D3200" s="8" t="s">
        <v>10055</v>
      </c>
      <c r="E3200" s="8"/>
    </row>
    <row r="3201" spans="1:5" x14ac:dyDescent="0.25">
      <c r="A3201" s="5" t="s">
        <v>8547</v>
      </c>
      <c r="B3201" s="9" t="str">
        <f t="shared" si="6"/>
        <v>25753</v>
      </c>
      <c r="C3201" s="8" t="s">
        <v>8548</v>
      </c>
      <c r="D3201" s="8" t="s">
        <v>10055</v>
      </c>
      <c r="E3201" s="8"/>
    </row>
    <row r="3202" spans="1:5" x14ac:dyDescent="0.25">
      <c r="A3202" s="5" t="s">
        <v>8549</v>
      </c>
      <c r="B3202" s="9" t="str">
        <f t="shared" si="6"/>
        <v>25753</v>
      </c>
      <c r="C3202" s="8" t="s">
        <v>8550</v>
      </c>
      <c r="D3202" s="8" t="s">
        <v>10055</v>
      </c>
      <c r="E3202" s="8"/>
    </row>
    <row r="3203" spans="1:5" x14ac:dyDescent="0.25">
      <c r="A3203" s="5" t="s">
        <v>8551</v>
      </c>
      <c r="B3203" s="9" t="str">
        <f t="shared" si="6"/>
        <v>25753</v>
      </c>
      <c r="C3203" s="8" t="s">
        <v>8552</v>
      </c>
      <c r="D3203" s="8" t="s">
        <v>10055</v>
      </c>
      <c r="E3203" s="8"/>
    </row>
    <row r="3204" spans="1:5" x14ac:dyDescent="0.25">
      <c r="A3204" s="5" t="s">
        <v>8553</v>
      </c>
      <c r="B3204" s="9" t="str">
        <f t="shared" si="6"/>
        <v>25753</v>
      </c>
      <c r="C3204" s="8" t="s">
        <v>8554</v>
      </c>
      <c r="D3204" s="8" t="s">
        <v>10055</v>
      </c>
      <c r="E3204" s="8"/>
    </row>
    <row r="3205" spans="1:5" x14ac:dyDescent="0.25">
      <c r="A3205" s="5" t="s">
        <v>8555</v>
      </c>
      <c r="B3205" s="9" t="str">
        <f t="shared" si="6"/>
        <v>25753</v>
      </c>
      <c r="C3205" s="8" t="s">
        <v>8556</v>
      </c>
      <c r="D3205" s="8" t="s">
        <v>10055</v>
      </c>
      <c r="E3205" s="8"/>
    </row>
    <row r="3206" spans="1:5" x14ac:dyDescent="0.25">
      <c r="A3206" s="5" t="s">
        <v>8557</v>
      </c>
      <c r="B3206" s="9" t="str">
        <f t="shared" si="6"/>
        <v>25753</v>
      </c>
      <c r="C3206" s="8" t="s">
        <v>8558</v>
      </c>
      <c r="D3206" s="8" t="s">
        <v>10055</v>
      </c>
      <c r="E3206" s="8"/>
    </row>
    <row r="3207" spans="1:5" x14ac:dyDescent="0.25">
      <c r="A3207" s="5" t="s">
        <v>8559</v>
      </c>
      <c r="B3207" s="9" t="str">
        <f t="shared" si="6"/>
        <v>25753</v>
      </c>
      <c r="C3207" s="8" t="s">
        <v>8560</v>
      </c>
      <c r="D3207" s="8" t="s">
        <v>10055</v>
      </c>
      <c r="E3207" s="8"/>
    </row>
    <row r="3208" spans="1:5" x14ac:dyDescent="0.25">
      <c r="A3208" s="5" t="s">
        <v>8561</v>
      </c>
      <c r="B3208" s="9" t="str">
        <f t="shared" si="6"/>
        <v>25753</v>
      </c>
      <c r="C3208" s="8" t="s">
        <v>8562</v>
      </c>
      <c r="D3208" s="8" t="s">
        <v>10055</v>
      </c>
      <c r="E3208" s="8"/>
    </row>
    <row r="3209" spans="1:5" x14ac:dyDescent="0.25">
      <c r="A3209" s="5" t="s">
        <v>8563</v>
      </c>
      <c r="B3209" s="9" t="str">
        <f t="shared" si="6"/>
        <v>25753</v>
      </c>
      <c r="C3209" s="8" t="s">
        <v>8564</v>
      </c>
      <c r="D3209" s="8" t="s">
        <v>10055</v>
      </c>
      <c r="E3209" s="8"/>
    </row>
    <row r="3210" spans="1:5" x14ac:dyDescent="0.25">
      <c r="A3210" s="5" t="s">
        <v>8565</v>
      </c>
      <c r="B3210" s="9" t="str">
        <f t="shared" si="6"/>
        <v>25753</v>
      </c>
      <c r="C3210" s="8" t="s">
        <v>8566</v>
      </c>
      <c r="D3210" s="8" t="s">
        <v>10055</v>
      </c>
      <c r="E3210" s="8"/>
    </row>
    <row r="3211" spans="1:5" x14ac:dyDescent="0.25">
      <c r="A3211" s="5" t="s">
        <v>8567</v>
      </c>
      <c r="B3211" s="9" t="str">
        <f t="shared" si="6"/>
        <v>25753</v>
      </c>
      <c r="C3211" s="8" t="s">
        <v>8568</v>
      </c>
      <c r="D3211" s="8" t="s">
        <v>10055</v>
      </c>
      <c r="E3211" s="8"/>
    </row>
    <row r="3212" spans="1:5" x14ac:dyDescent="0.25">
      <c r="A3212" s="5" t="s">
        <v>8569</v>
      </c>
      <c r="B3212" s="9" t="str">
        <f t="shared" si="6"/>
        <v>25753</v>
      </c>
      <c r="C3212" s="8" t="s">
        <v>8570</v>
      </c>
      <c r="D3212" s="8" t="s">
        <v>10055</v>
      </c>
      <c r="E3212" s="8"/>
    </row>
    <row r="3213" spans="1:5" x14ac:dyDescent="0.25">
      <c r="A3213" s="5" t="s">
        <v>8571</v>
      </c>
      <c r="B3213" s="9" t="str">
        <f t="shared" si="6"/>
        <v>25753</v>
      </c>
      <c r="C3213" s="8" t="s">
        <v>8572</v>
      </c>
      <c r="D3213" s="8" t="s">
        <v>10055</v>
      </c>
      <c r="E3213" s="8"/>
    </row>
    <row r="3214" spans="1:5" x14ac:dyDescent="0.25">
      <c r="A3214" s="5" t="s">
        <v>8573</v>
      </c>
      <c r="B3214" s="9" t="str">
        <f t="shared" si="6"/>
        <v>25753</v>
      </c>
      <c r="C3214" s="8" t="s">
        <v>8574</v>
      </c>
      <c r="D3214" s="8" t="s">
        <v>10055</v>
      </c>
      <c r="E3214" s="8"/>
    </row>
    <row r="3215" spans="1:5" x14ac:dyDescent="0.25">
      <c r="A3215" s="5" t="s">
        <v>8575</v>
      </c>
      <c r="B3215" s="9" t="str">
        <f t="shared" si="6"/>
        <v>25753</v>
      </c>
      <c r="C3215" s="8" t="s">
        <v>8576</v>
      </c>
      <c r="D3215" s="8" t="s">
        <v>10055</v>
      </c>
      <c r="E3215" s="8"/>
    </row>
    <row r="3216" spans="1:5" x14ac:dyDescent="0.25">
      <c r="A3216" s="5" t="s">
        <v>8577</v>
      </c>
      <c r="B3216" s="9" t="str">
        <f t="shared" si="6"/>
        <v>25753</v>
      </c>
      <c r="C3216" s="8" t="s">
        <v>8578</v>
      </c>
      <c r="D3216" s="8" t="s">
        <v>10055</v>
      </c>
      <c r="E3216" s="8"/>
    </row>
    <row r="3217" spans="1:5" x14ac:dyDescent="0.25">
      <c r="A3217" s="5" t="s">
        <v>8579</v>
      </c>
      <c r="B3217" s="9" t="str">
        <f t="shared" si="6"/>
        <v>25753</v>
      </c>
      <c r="C3217" s="8" t="s">
        <v>8580</v>
      </c>
      <c r="D3217" s="8" t="s">
        <v>10055</v>
      </c>
      <c r="E3217" s="8"/>
    </row>
    <row r="3218" spans="1:5" x14ac:dyDescent="0.25">
      <c r="A3218" s="5" t="s">
        <v>8581</v>
      </c>
      <c r="B3218" s="9" t="str">
        <f t="shared" si="6"/>
        <v>25753</v>
      </c>
      <c r="C3218" s="8" t="s">
        <v>8582</v>
      </c>
      <c r="D3218" s="8" t="s">
        <v>10055</v>
      </c>
      <c r="E3218" s="8"/>
    </row>
    <row r="3219" spans="1:5" x14ac:dyDescent="0.25">
      <c r="A3219" s="5" t="s">
        <v>8583</v>
      </c>
      <c r="B3219" s="9" t="str">
        <f t="shared" si="6"/>
        <v>25753</v>
      </c>
      <c r="C3219" s="8" t="s">
        <v>8584</v>
      </c>
      <c r="D3219" s="8" t="s">
        <v>10055</v>
      </c>
      <c r="E3219" s="8"/>
    </row>
    <row r="3220" spans="1:5" x14ac:dyDescent="0.25">
      <c r="A3220" s="5" t="s">
        <v>8585</v>
      </c>
      <c r="B3220" s="9" t="str">
        <f t="shared" si="6"/>
        <v>25753</v>
      </c>
      <c r="C3220" s="8" t="s">
        <v>8586</v>
      </c>
      <c r="D3220" s="8" t="s">
        <v>10055</v>
      </c>
      <c r="E3220" s="8"/>
    </row>
    <row r="3221" spans="1:5" x14ac:dyDescent="0.25">
      <c r="A3221" s="5" t="s">
        <v>8587</v>
      </c>
      <c r="B3221" s="9" t="str">
        <f t="shared" si="6"/>
        <v>25753</v>
      </c>
      <c r="C3221" s="8" t="s">
        <v>8588</v>
      </c>
      <c r="D3221" s="8" t="s">
        <v>10055</v>
      </c>
      <c r="E3221" s="8"/>
    </row>
    <row r="3222" spans="1:5" x14ac:dyDescent="0.25">
      <c r="A3222" s="5" t="s">
        <v>8589</v>
      </c>
      <c r="B3222" s="9" t="str">
        <f t="shared" si="6"/>
        <v>25753</v>
      </c>
      <c r="C3222" s="8" t="s">
        <v>8590</v>
      </c>
      <c r="D3222" s="8" t="s">
        <v>10055</v>
      </c>
      <c r="E3222" s="8"/>
    </row>
    <row r="3223" spans="1:5" x14ac:dyDescent="0.25">
      <c r="A3223" s="5" t="s">
        <v>8591</v>
      </c>
      <c r="B3223" s="9" t="str">
        <f t="shared" si="6"/>
        <v>25753</v>
      </c>
      <c r="C3223" s="8" t="s">
        <v>8592</v>
      </c>
      <c r="D3223" s="8" t="s">
        <v>10055</v>
      </c>
      <c r="E3223" s="8"/>
    </row>
    <row r="3224" spans="1:5" x14ac:dyDescent="0.25">
      <c r="A3224" s="5" t="s">
        <v>8593</v>
      </c>
      <c r="B3224" s="9" t="str">
        <f t="shared" si="6"/>
        <v>25753</v>
      </c>
      <c r="C3224" s="8" t="s">
        <v>8594</v>
      </c>
      <c r="D3224" s="8" t="s">
        <v>10055</v>
      </c>
      <c r="E3224" s="8"/>
    </row>
    <row r="3225" spans="1:5" x14ac:dyDescent="0.25">
      <c r="A3225" s="5" t="s">
        <v>8595</v>
      </c>
      <c r="B3225" s="9" t="str">
        <f t="shared" si="6"/>
        <v>25753</v>
      </c>
      <c r="C3225" s="8" t="s">
        <v>8596</v>
      </c>
      <c r="D3225" s="8" t="s">
        <v>10055</v>
      </c>
      <c r="E3225" s="8"/>
    </row>
    <row r="3226" spans="1:5" x14ac:dyDescent="0.25">
      <c r="A3226" s="5" t="s">
        <v>8597</v>
      </c>
      <c r="B3226" s="9" t="str">
        <f t="shared" si="6"/>
        <v>25753</v>
      </c>
      <c r="C3226" s="8" t="s">
        <v>8598</v>
      </c>
      <c r="D3226" s="8" t="s">
        <v>10055</v>
      </c>
      <c r="E3226" s="8"/>
    </row>
    <row r="3227" spans="1:5" x14ac:dyDescent="0.25">
      <c r="A3227" s="5" t="s">
        <v>8599</v>
      </c>
      <c r="B3227" s="9" t="str">
        <f t="shared" si="6"/>
        <v>25753</v>
      </c>
      <c r="C3227" s="8" t="s">
        <v>8600</v>
      </c>
      <c r="D3227" s="8" t="s">
        <v>10055</v>
      </c>
      <c r="E3227" s="8"/>
    </row>
    <row r="3228" spans="1:5" x14ac:dyDescent="0.25">
      <c r="A3228" s="5" t="s">
        <v>8601</v>
      </c>
      <c r="B3228" s="9" t="str">
        <f t="shared" si="6"/>
        <v>25753</v>
      </c>
      <c r="C3228" s="8" t="s">
        <v>8602</v>
      </c>
      <c r="D3228" s="8" t="s">
        <v>10055</v>
      </c>
      <c r="E3228" s="8"/>
    </row>
    <row r="3229" spans="1:5" x14ac:dyDescent="0.25">
      <c r="A3229" s="5" t="s">
        <v>8603</v>
      </c>
      <c r="B3229" s="9" t="str">
        <f t="shared" si="6"/>
        <v>25753</v>
      </c>
      <c r="C3229" s="8" t="s">
        <v>8604</v>
      </c>
      <c r="D3229" s="8" t="s">
        <v>10055</v>
      </c>
      <c r="E3229" s="8"/>
    </row>
    <row r="3230" spans="1:5" x14ac:dyDescent="0.25">
      <c r="A3230" s="5" t="s">
        <v>8605</v>
      </c>
      <c r="B3230" s="9" t="str">
        <f t="shared" si="6"/>
        <v>25753</v>
      </c>
      <c r="C3230" s="8" t="s">
        <v>8606</v>
      </c>
      <c r="D3230" s="8" t="s">
        <v>10055</v>
      </c>
      <c r="E3230" s="8"/>
    </row>
    <row r="3231" spans="1:5" x14ac:dyDescent="0.25">
      <c r="A3231" s="5" t="s">
        <v>8607</v>
      </c>
      <c r="B3231" s="9" t="str">
        <f t="shared" si="6"/>
        <v>25753</v>
      </c>
      <c r="C3231" s="8" t="s">
        <v>8608</v>
      </c>
      <c r="D3231" s="8" t="s">
        <v>10055</v>
      </c>
      <c r="E3231" s="8"/>
    </row>
    <row r="3232" spans="1:5" x14ac:dyDescent="0.25">
      <c r="A3232" s="5" t="s">
        <v>8609</v>
      </c>
      <c r="B3232" s="9" t="str">
        <f t="shared" si="6"/>
        <v>25753</v>
      </c>
      <c r="C3232" s="8" t="s">
        <v>8610</v>
      </c>
      <c r="D3232" s="8" t="s">
        <v>10055</v>
      </c>
      <c r="E3232" s="8"/>
    </row>
    <row r="3233" spans="1:5" x14ac:dyDescent="0.25">
      <c r="A3233" s="5" t="s">
        <v>8611</v>
      </c>
      <c r="B3233" s="9" t="str">
        <f t="shared" si="6"/>
        <v>25753</v>
      </c>
      <c r="C3233" s="8" t="s">
        <v>8612</v>
      </c>
      <c r="D3233" s="8" t="s">
        <v>10055</v>
      </c>
      <c r="E3233" s="8"/>
    </row>
    <row r="3234" spans="1:5" x14ac:dyDescent="0.25">
      <c r="A3234" s="5" t="s">
        <v>8613</v>
      </c>
      <c r="B3234" s="9" t="str">
        <f t="shared" si="6"/>
        <v>25753</v>
      </c>
      <c r="C3234" s="8" t="s">
        <v>8614</v>
      </c>
      <c r="D3234" s="8" t="s">
        <v>10055</v>
      </c>
      <c r="E3234" s="8"/>
    </row>
    <row r="3235" spans="1:5" x14ac:dyDescent="0.25">
      <c r="A3235" s="5" t="s">
        <v>8615</v>
      </c>
      <c r="B3235" s="9" t="str">
        <f t="shared" si="6"/>
        <v>25753</v>
      </c>
      <c r="C3235" s="8" t="s">
        <v>8616</v>
      </c>
      <c r="D3235" s="8" t="s">
        <v>10055</v>
      </c>
      <c r="E3235" s="8"/>
    </row>
    <row r="3236" spans="1:5" x14ac:dyDescent="0.25">
      <c r="A3236" s="5" t="s">
        <v>8617</v>
      </c>
      <c r="B3236" s="9" t="str">
        <f t="shared" si="6"/>
        <v>25753</v>
      </c>
      <c r="C3236" s="8" t="s">
        <v>8618</v>
      </c>
      <c r="D3236" s="8" t="s">
        <v>10055</v>
      </c>
      <c r="E3236" s="8"/>
    </row>
    <row r="3237" spans="1:5" x14ac:dyDescent="0.25">
      <c r="A3237" s="5" t="s">
        <v>8619</v>
      </c>
      <c r="B3237" s="9" t="str">
        <f t="shared" si="6"/>
        <v>25753</v>
      </c>
      <c r="C3237" s="8" t="s">
        <v>8620</v>
      </c>
      <c r="D3237" s="8" t="s">
        <v>10055</v>
      </c>
      <c r="E3237" s="8"/>
    </row>
    <row r="3238" spans="1:5" x14ac:dyDescent="0.25">
      <c r="A3238" s="5" t="s">
        <v>8621</v>
      </c>
      <c r="B3238" s="9" t="str">
        <f t="shared" si="6"/>
        <v>25753</v>
      </c>
      <c r="C3238" s="8" t="s">
        <v>8622</v>
      </c>
      <c r="D3238" s="8" t="s">
        <v>10055</v>
      </c>
      <c r="E3238" s="8"/>
    </row>
    <row r="3239" spans="1:5" x14ac:dyDescent="0.25">
      <c r="A3239" s="5" t="s">
        <v>8623</v>
      </c>
      <c r="B3239" s="9" t="str">
        <f t="shared" si="6"/>
        <v>25753</v>
      </c>
      <c r="C3239" s="8" t="s">
        <v>8624</v>
      </c>
      <c r="D3239" s="8" t="s">
        <v>10055</v>
      </c>
      <c r="E3239" s="8"/>
    </row>
    <row r="3240" spans="1:5" x14ac:dyDescent="0.25">
      <c r="A3240" s="5" t="s">
        <v>8625</v>
      </c>
      <c r="B3240" s="9" t="str">
        <f t="shared" si="6"/>
        <v>25753</v>
      </c>
      <c r="C3240" s="8" t="s">
        <v>8626</v>
      </c>
      <c r="D3240" s="8" t="s">
        <v>10055</v>
      </c>
      <c r="E3240" s="8"/>
    </row>
    <row r="3241" spans="1:5" x14ac:dyDescent="0.25">
      <c r="A3241" s="5" t="s">
        <v>8627</v>
      </c>
      <c r="B3241" s="9" t="str">
        <f t="shared" si="6"/>
        <v>25753</v>
      </c>
      <c r="C3241" s="8" t="s">
        <v>8628</v>
      </c>
      <c r="D3241" s="8" t="s">
        <v>10055</v>
      </c>
      <c r="E3241" s="8"/>
    </row>
    <row r="3242" spans="1:5" x14ac:dyDescent="0.25">
      <c r="A3242" s="5" t="s">
        <v>8629</v>
      </c>
      <c r="B3242" s="9" t="str">
        <f t="shared" si="6"/>
        <v>25753</v>
      </c>
      <c r="C3242" s="8" t="s">
        <v>8630</v>
      </c>
      <c r="D3242" s="8" t="s">
        <v>10055</v>
      </c>
      <c r="E3242" s="8"/>
    </row>
    <row r="3243" spans="1:5" x14ac:dyDescent="0.25">
      <c r="A3243" s="5" t="s">
        <v>8631</v>
      </c>
      <c r="B3243" s="9" t="str">
        <f t="shared" si="6"/>
        <v>25753</v>
      </c>
      <c r="C3243" s="8" t="s">
        <v>8632</v>
      </c>
      <c r="D3243" s="8" t="s">
        <v>10055</v>
      </c>
      <c r="E3243" s="8"/>
    </row>
    <row r="3244" spans="1:5" x14ac:dyDescent="0.25">
      <c r="A3244" s="5" t="s">
        <v>8633</v>
      </c>
      <c r="B3244" s="9" t="str">
        <f t="shared" si="6"/>
        <v>25753</v>
      </c>
      <c r="C3244" s="8" t="s">
        <v>8634</v>
      </c>
      <c r="D3244" s="8" t="s">
        <v>10055</v>
      </c>
      <c r="E3244" s="8"/>
    </row>
    <row r="3245" spans="1:5" x14ac:dyDescent="0.25">
      <c r="A3245" s="5" t="s">
        <v>8635</v>
      </c>
      <c r="B3245" s="9" t="str">
        <f t="shared" si="6"/>
        <v>25753</v>
      </c>
      <c r="C3245" s="8" t="s">
        <v>8636</v>
      </c>
      <c r="D3245" s="8" t="s">
        <v>10055</v>
      </c>
      <c r="E3245" s="8"/>
    </row>
    <row r="3246" spans="1:5" x14ac:dyDescent="0.25">
      <c r="A3246" s="5" t="s">
        <v>8637</v>
      </c>
      <c r="B3246" s="9" t="str">
        <f t="shared" si="6"/>
        <v>25753</v>
      </c>
      <c r="C3246" s="8" t="s">
        <v>8638</v>
      </c>
      <c r="D3246" s="8" t="s">
        <v>10055</v>
      </c>
      <c r="E3246" s="8"/>
    </row>
    <row r="3247" spans="1:5" x14ac:dyDescent="0.25">
      <c r="A3247" s="5" t="s">
        <v>8639</v>
      </c>
      <c r="B3247" s="9" t="str">
        <f t="shared" si="6"/>
        <v>25753</v>
      </c>
      <c r="C3247" s="8" t="s">
        <v>8640</v>
      </c>
      <c r="D3247" s="8" t="s">
        <v>10055</v>
      </c>
      <c r="E3247" s="8"/>
    </row>
    <row r="3248" spans="1:5" x14ac:dyDescent="0.25">
      <c r="A3248" s="5" t="s">
        <v>8641</v>
      </c>
      <c r="B3248" s="9" t="str">
        <f t="shared" si="6"/>
        <v>25753</v>
      </c>
      <c r="C3248" s="8" t="s">
        <v>8642</v>
      </c>
      <c r="D3248" s="8" t="s">
        <v>10055</v>
      </c>
      <c r="E3248" s="8"/>
    </row>
    <row r="3249" spans="1:5" x14ac:dyDescent="0.25">
      <c r="A3249" s="5" t="s">
        <v>8643</v>
      </c>
      <c r="B3249" s="9" t="str">
        <f t="shared" si="6"/>
        <v>25753</v>
      </c>
      <c r="C3249" s="8" t="s">
        <v>8644</v>
      </c>
      <c r="D3249" s="8" t="s">
        <v>10055</v>
      </c>
      <c r="E3249" s="8"/>
    </row>
    <row r="3250" spans="1:5" x14ac:dyDescent="0.25">
      <c r="A3250" s="5" t="s">
        <v>8645</v>
      </c>
      <c r="B3250" s="9" t="str">
        <f t="shared" si="6"/>
        <v>25753</v>
      </c>
      <c r="C3250" s="8" t="s">
        <v>8646</v>
      </c>
      <c r="D3250" s="8" t="s">
        <v>10055</v>
      </c>
      <c r="E3250" s="8"/>
    </row>
    <row r="3251" spans="1:5" x14ac:dyDescent="0.25">
      <c r="A3251" s="5" t="s">
        <v>8647</v>
      </c>
      <c r="B3251" s="9" t="str">
        <f t="shared" si="6"/>
        <v>25753</v>
      </c>
      <c r="C3251" s="8" t="s">
        <v>8648</v>
      </c>
      <c r="D3251" s="8" t="s">
        <v>10055</v>
      </c>
      <c r="E3251" s="8"/>
    </row>
    <row r="3252" spans="1:5" x14ac:dyDescent="0.25">
      <c r="A3252" s="5" t="s">
        <v>8649</v>
      </c>
      <c r="B3252" s="9" t="str">
        <f t="shared" si="6"/>
        <v>25753</v>
      </c>
      <c r="C3252" s="8" t="s">
        <v>8650</v>
      </c>
      <c r="D3252" s="8" t="s">
        <v>10055</v>
      </c>
      <c r="E3252" s="8"/>
    </row>
    <row r="3253" spans="1:5" x14ac:dyDescent="0.25">
      <c r="A3253" s="5" t="s">
        <v>8651</v>
      </c>
      <c r="B3253" s="9" t="str">
        <f t="shared" si="6"/>
        <v>25753</v>
      </c>
      <c r="C3253" s="8" t="s">
        <v>8652</v>
      </c>
      <c r="D3253" s="8" t="s">
        <v>10055</v>
      </c>
      <c r="E3253" s="8"/>
    </row>
    <row r="3254" spans="1:5" x14ac:dyDescent="0.25">
      <c r="A3254" s="5" t="s">
        <v>8653</v>
      </c>
      <c r="B3254" s="9" t="str">
        <f t="shared" si="6"/>
        <v>25753</v>
      </c>
      <c r="C3254" s="8" t="s">
        <v>8654</v>
      </c>
      <c r="D3254" s="8" t="s">
        <v>10055</v>
      </c>
      <c r="E3254" s="8"/>
    </row>
    <row r="3255" spans="1:5" x14ac:dyDescent="0.25">
      <c r="A3255" s="5" t="s">
        <v>8655</v>
      </c>
      <c r="B3255" s="9" t="str">
        <f t="shared" si="6"/>
        <v>25753</v>
      </c>
      <c r="C3255" s="8" t="s">
        <v>8656</v>
      </c>
      <c r="D3255" s="8" t="s">
        <v>10055</v>
      </c>
      <c r="E3255" s="8"/>
    </row>
    <row r="3256" spans="1:5" x14ac:dyDescent="0.25">
      <c r="A3256" s="5" t="s">
        <v>8657</v>
      </c>
      <c r="B3256" s="9" t="str">
        <f t="shared" si="6"/>
        <v>25753</v>
      </c>
      <c r="C3256" s="8" t="s">
        <v>8658</v>
      </c>
      <c r="D3256" s="8" t="s">
        <v>10055</v>
      </c>
      <c r="E3256" s="8"/>
    </row>
    <row r="3257" spans="1:5" x14ac:dyDescent="0.25">
      <c r="A3257" s="5" t="s">
        <v>8659</v>
      </c>
      <c r="B3257" s="9" t="str">
        <f t="shared" si="6"/>
        <v>25753</v>
      </c>
      <c r="C3257" s="8" t="s">
        <v>8660</v>
      </c>
      <c r="D3257" s="8" t="s">
        <v>10055</v>
      </c>
      <c r="E3257" s="8"/>
    </row>
    <row r="3258" spans="1:5" x14ac:dyDescent="0.25">
      <c r="A3258" s="5" t="s">
        <v>8661</v>
      </c>
      <c r="B3258" s="9" t="str">
        <f t="shared" si="6"/>
        <v>25753</v>
      </c>
      <c r="C3258" s="8" t="s">
        <v>8662</v>
      </c>
      <c r="D3258" s="8" t="s">
        <v>10055</v>
      </c>
      <c r="E3258" s="8"/>
    </row>
    <row r="3259" spans="1:5" x14ac:dyDescent="0.25">
      <c r="A3259" s="5" t="s">
        <v>8663</v>
      </c>
      <c r="B3259" s="9" t="str">
        <f t="shared" si="6"/>
        <v>25753</v>
      </c>
      <c r="C3259" s="8" t="s">
        <v>8664</v>
      </c>
      <c r="D3259" s="8" t="s">
        <v>10055</v>
      </c>
      <c r="E3259" s="8"/>
    </row>
    <row r="3260" spans="1:5" x14ac:dyDescent="0.25">
      <c r="A3260" s="5" t="s">
        <v>8665</v>
      </c>
      <c r="B3260" s="9" t="str">
        <f t="shared" si="6"/>
        <v>25753</v>
      </c>
      <c r="C3260" s="8" t="s">
        <v>8666</v>
      </c>
      <c r="D3260" s="8" t="s">
        <v>10055</v>
      </c>
      <c r="E3260" s="8"/>
    </row>
    <row r="3261" spans="1:5" x14ac:dyDescent="0.25">
      <c r="A3261" s="5" t="s">
        <v>8667</v>
      </c>
      <c r="B3261" s="9" t="str">
        <f t="shared" si="6"/>
        <v>25753</v>
      </c>
      <c r="C3261" s="8" t="s">
        <v>8668</v>
      </c>
      <c r="D3261" s="8" t="s">
        <v>10055</v>
      </c>
      <c r="E3261" s="8"/>
    </row>
    <row r="3262" spans="1:5" x14ac:dyDescent="0.25">
      <c r="A3262" s="5" t="s">
        <v>8669</v>
      </c>
      <c r="B3262" s="9" t="str">
        <f t="shared" si="6"/>
        <v>25753</v>
      </c>
      <c r="C3262" s="8" t="s">
        <v>8670</v>
      </c>
      <c r="D3262" s="8" t="s">
        <v>10055</v>
      </c>
      <c r="E3262" s="8"/>
    </row>
    <row r="3263" spans="1:5" x14ac:dyDescent="0.25">
      <c r="A3263" s="5" t="s">
        <v>8671</v>
      </c>
      <c r="B3263" s="9" t="str">
        <f t="shared" si="6"/>
        <v>25753</v>
      </c>
      <c r="C3263" s="8" t="s">
        <v>8672</v>
      </c>
      <c r="D3263" s="8" t="s">
        <v>10055</v>
      </c>
      <c r="E3263" s="8"/>
    </row>
    <row r="3264" spans="1:5" x14ac:dyDescent="0.25">
      <c r="A3264" s="5" t="s">
        <v>8673</v>
      </c>
      <c r="B3264" s="9" t="str">
        <f t="shared" si="6"/>
        <v>25753</v>
      </c>
      <c r="C3264" s="8" t="s">
        <v>8674</v>
      </c>
      <c r="D3264" s="8" t="s">
        <v>10055</v>
      </c>
      <c r="E3264" s="8"/>
    </row>
    <row r="3265" spans="1:5" x14ac:dyDescent="0.25">
      <c r="A3265" s="5" t="s">
        <v>8675</v>
      </c>
      <c r="B3265" s="9" t="str">
        <f t="shared" si="6"/>
        <v>25753</v>
      </c>
      <c r="C3265" s="8" t="s">
        <v>8676</v>
      </c>
      <c r="D3265" s="8" t="s">
        <v>10055</v>
      </c>
      <c r="E3265" s="8"/>
    </row>
    <row r="3266" spans="1:5" x14ac:dyDescent="0.25">
      <c r="A3266" s="5" t="s">
        <v>8677</v>
      </c>
      <c r="B3266" s="9" t="str">
        <f t="shared" si="6"/>
        <v>25753</v>
      </c>
      <c r="C3266" s="8" t="s">
        <v>8678</v>
      </c>
      <c r="D3266" s="8" t="s">
        <v>10055</v>
      </c>
      <c r="E3266" s="8"/>
    </row>
    <row r="3267" spans="1:5" x14ac:dyDescent="0.25">
      <c r="A3267" s="5" t="s">
        <v>8679</v>
      </c>
      <c r="B3267" s="9" t="str">
        <f t="shared" si="6"/>
        <v>25753</v>
      </c>
      <c r="C3267" s="8" t="s">
        <v>8680</v>
      </c>
      <c r="D3267" s="8" t="s">
        <v>10055</v>
      </c>
      <c r="E3267" s="8"/>
    </row>
    <row r="3268" spans="1:5" x14ac:dyDescent="0.25">
      <c r="A3268" s="5" t="s">
        <v>8681</v>
      </c>
      <c r="B3268" s="9" t="str">
        <f t="shared" si="6"/>
        <v>25753</v>
      </c>
      <c r="C3268" s="8" t="s">
        <v>8682</v>
      </c>
      <c r="D3268" s="8" t="s">
        <v>10055</v>
      </c>
      <c r="E3268" s="8"/>
    </row>
    <row r="3269" spans="1:5" x14ac:dyDescent="0.25">
      <c r="A3269" s="5" t="s">
        <v>8683</v>
      </c>
      <c r="B3269" s="9" t="str">
        <f t="shared" si="6"/>
        <v>25753</v>
      </c>
      <c r="C3269" s="8" t="s">
        <v>8684</v>
      </c>
      <c r="D3269" s="8" t="s">
        <v>10055</v>
      </c>
      <c r="E3269" s="8"/>
    </row>
    <row r="3270" spans="1:5" x14ac:dyDescent="0.25">
      <c r="A3270" s="5" t="s">
        <v>8685</v>
      </c>
      <c r="B3270" s="9" t="str">
        <f t="shared" si="6"/>
        <v>25753</v>
      </c>
      <c r="C3270" s="8" t="s">
        <v>8686</v>
      </c>
      <c r="D3270" s="8" t="s">
        <v>10055</v>
      </c>
      <c r="E3270" s="8"/>
    </row>
    <row r="3271" spans="1:5" x14ac:dyDescent="0.25">
      <c r="A3271" s="5" t="s">
        <v>8687</v>
      </c>
      <c r="B3271" s="9" t="str">
        <f t="shared" si="6"/>
        <v>25753</v>
      </c>
      <c r="C3271" s="8" t="s">
        <v>8688</v>
      </c>
      <c r="D3271" s="8" t="s">
        <v>10055</v>
      </c>
      <c r="E3271" s="8"/>
    </row>
    <row r="3272" spans="1:5" x14ac:dyDescent="0.25">
      <c r="A3272" s="5" t="s">
        <v>8689</v>
      </c>
      <c r="B3272" s="9" t="str">
        <f t="shared" si="6"/>
        <v>25753</v>
      </c>
      <c r="C3272" s="8" t="s">
        <v>8690</v>
      </c>
      <c r="D3272" s="8" t="s">
        <v>10055</v>
      </c>
      <c r="E3272" s="8"/>
    </row>
    <row r="3273" spans="1:5" x14ac:dyDescent="0.25">
      <c r="A3273" s="5" t="s">
        <v>8691</v>
      </c>
      <c r="B3273" s="9" t="str">
        <f t="shared" si="6"/>
        <v>25753</v>
      </c>
      <c r="C3273" s="8" t="s">
        <v>8692</v>
      </c>
      <c r="D3273" s="8" t="s">
        <v>10055</v>
      </c>
      <c r="E3273" s="8"/>
    </row>
    <row r="3274" spans="1:5" x14ac:dyDescent="0.25">
      <c r="A3274" s="5" t="s">
        <v>8693</v>
      </c>
      <c r="B3274" s="9" t="str">
        <f t="shared" si="6"/>
        <v>25753</v>
      </c>
      <c r="C3274" s="8" t="s">
        <v>8694</v>
      </c>
      <c r="D3274" s="8" t="s">
        <v>10055</v>
      </c>
      <c r="E3274" s="8"/>
    </row>
    <row r="3275" spans="1:5" x14ac:dyDescent="0.25">
      <c r="A3275" s="5" t="s">
        <v>8695</v>
      </c>
      <c r="B3275" s="9" t="str">
        <f t="shared" si="6"/>
        <v>25753</v>
      </c>
      <c r="C3275" s="8" t="s">
        <v>8696</v>
      </c>
      <c r="D3275" s="8" t="s">
        <v>10055</v>
      </c>
      <c r="E3275" s="8"/>
    </row>
    <row r="3276" spans="1:5" x14ac:dyDescent="0.25">
      <c r="A3276" s="5" t="s">
        <v>8697</v>
      </c>
      <c r="B3276" s="9" t="str">
        <f t="shared" si="6"/>
        <v>25753</v>
      </c>
      <c r="C3276" s="8" t="s">
        <v>8698</v>
      </c>
      <c r="D3276" s="8" t="s">
        <v>10055</v>
      </c>
      <c r="E3276" s="8"/>
    </row>
    <row r="3277" spans="1:5" x14ac:dyDescent="0.25">
      <c r="A3277" s="5" t="s">
        <v>8699</v>
      </c>
      <c r="B3277" s="9" t="str">
        <f t="shared" si="6"/>
        <v>25753</v>
      </c>
      <c r="C3277" s="8" t="s">
        <v>8700</v>
      </c>
      <c r="D3277" s="8" t="s">
        <v>10055</v>
      </c>
      <c r="E3277" s="8"/>
    </row>
    <row r="3278" spans="1:5" x14ac:dyDescent="0.25">
      <c r="A3278" s="5" t="s">
        <v>8701</v>
      </c>
      <c r="B3278" s="9" t="str">
        <f t="shared" si="6"/>
        <v>25753</v>
      </c>
      <c r="C3278" s="8" t="s">
        <v>8702</v>
      </c>
      <c r="D3278" s="8" t="s">
        <v>10055</v>
      </c>
      <c r="E3278" s="8"/>
    </row>
    <row r="3279" spans="1:5" x14ac:dyDescent="0.25">
      <c r="A3279" s="5" t="s">
        <v>8703</v>
      </c>
      <c r="B3279" s="9" t="str">
        <f t="shared" si="6"/>
        <v>25753</v>
      </c>
      <c r="C3279" s="8" t="s">
        <v>8704</v>
      </c>
      <c r="D3279" s="8" t="s">
        <v>10055</v>
      </c>
      <c r="E3279" s="8"/>
    </row>
    <row r="3280" spans="1:5" x14ac:dyDescent="0.25">
      <c r="A3280" s="5" t="s">
        <v>8705</v>
      </c>
      <c r="B3280" s="9" t="str">
        <f t="shared" si="6"/>
        <v>25753</v>
      </c>
      <c r="C3280" s="8" t="s">
        <v>8706</v>
      </c>
      <c r="D3280" s="8" t="s">
        <v>10055</v>
      </c>
      <c r="E3280" s="8"/>
    </row>
    <row r="3281" spans="1:5" x14ac:dyDescent="0.25">
      <c r="A3281" s="5" t="s">
        <v>8707</v>
      </c>
      <c r="B3281" s="9" t="str">
        <f t="shared" si="6"/>
        <v>25753</v>
      </c>
      <c r="C3281" s="8" t="s">
        <v>8708</v>
      </c>
      <c r="D3281" s="8" t="s">
        <v>10055</v>
      </c>
      <c r="E3281" s="8"/>
    </row>
    <row r="3282" spans="1:5" x14ac:dyDescent="0.25">
      <c r="A3282" s="5" t="s">
        <v>8709</v>
      </c>
      <c r="B3282" s="9" t="str">
        <f t="shared" si="6"/>
        <v>25753</v>
      </c>
      <c r="C3282" s="8" t="s">
        <v>8710</v>
      </c>
      <c r="D3282" s="8" t="s">
        <v>10055</v>
      </c>
      <c r="E3282" s="8"/>
    </row>
    <row r="3283" spans="1:5" x14ac:dyDescent="0.25">
      <c r="A3283" s="5" t="s">
        <v>8711</v>
      </c>
      <c r="B3283" s="9" t="str">
        <f t="shared" si="6"/>
        <v>25753</v>
      </c>
      <c r="C3283" s="8" t="s">
        <v>8712</v>
      </c>
      <c r="D3283" s="8" t="s">
        <v>10055</v>
      </c>
      <c r="E3283" s="8"/>
    </row>
    <row r="3284" spans="1:5" x14ac:dyDescent="0.25">
      <c r="A3284" s="5" t="s">
        <v>8713</v>
      </c>
      <c r="B3284" s="9" t="str">
        <f t="shared" si="6"/>
        <v>25753</v>
      </c>
      <c r="C3284" s="8" t="s">
        <v>8714</v>
      </c>
      <c r="D3284" s="8" t="s">
        <v>10055</v>
      </c>
      <c r="E3284" s="8"/>
    </row>
    <row r="3285" spans="1:5" x14ac:dyDescent="0.25">
      <c r="A3285" s="5" t="s">
        <v>8715</v>
      </c>
      <c r="B3285" s="9" t="str">
        <f t="shared" si="6"/>
        <v>25753</v>
      </c>
      <c r="C3285" s="8" t="s">
        <v>8716</v>
      </c>
      <c r="D3285" s="8" t="s">
        <v>10055</v>
      </c>
      <c r="E3285" s="8"/>
    </row>
    <row r="3286" spans="1:5" x14ac:dyDescent="0.25">
      <c r="A3286" s="5" t="s">
        <v>8717</v>
      </c>
      <c r="B3286" s="9" t="str">
        <f t="shared" si="6"/>
        <v>25753</v>
      </c>
      <c r="C3286" s="8" t="s">
        <v>8718</v>
      </c>
      <c r="D3286" s="8" t="s">
        <v>10055</v>
      </c>
      <c r="E3286" s="8"/>
    </row>
    <row r="3287" spans="1:5" x14ac:dyDescent="0.25">
      <c r="A3287" s="5" t="s">
        <v>8719</v>
      </c>
      <c r="B3287" s="9" t="str">
        <f t="shared" si="6"/>
        <v>25753</v>
      </c>
      <c r="C3287" s="8" t="s">
        <v>8720</v>
      </c>
      <c r="D3287" s="8" t="s">
        <v>10055</v>
      </c>
      <c r="E3287" s="8"/>
    </row>
    <row r="3288" spans="1:5" x14ac:dyDescent="0.25">
      <c r="A3288" s="5" t="s">
        <v>8721</v>
      </c>
      <c r="B3288" s="9" t="str">
        <f t="shared" si="6"/>
        <v>25753</v>
      </c>
      <c r="C3288" s="8" t="s">
        <v>8722</v>
      </c>
      <c r="D3288" s="8" t="s">
        <v>10055</v>
      </c>
      <c r="E3288" s="8"/>
    </row>
    <row r="3289" spans="1:5" x14ac:dyDescent="0.25">
      <c r="A3289" s="5" t="s">
        <v>8723</v>
      </c>
      <c r="B3289" s="9" t="str">
        <f t="shared" si="6"/>
        <v>25753</v>
      </c>
      <c r="C3289" s="8" t="s">
        <v>8724</v>
      </c>
      <c r="D3289" s="8" t="s">
        <v>10055</v>
      </c>
      <c r="E3289" s="8"/>
    </row>
    <row r="3290" spans="1:5" x14ac:dyDescent="0.25">
      <c r="A3290" s="5" t="s">
        <v>8725</v>
      </c>
      <c r="B3290" s="9" t="str">
        <f t="shared" si="6"/>
        <v>25753</v>
      </c>
      <c r="C3290" s="8" t="s">
        <v>8726</v>
      </c>
      <c r="D3290" s="8" t="s">
        <v>10055</v>
      </c>
      <c r="E3290" s="8"/>
    </row>
    <row r="3291" spans="1:5" x14ac:dyDescent="0.25">
      <c r="A3291" s="5" t="s">
        <v>8727</v>
      </c>
      <c r="B3291" s="9" t="str">
        <f t="shared" si="6"/>
        <v>25753</v>
      </c>
      <c r="C3291" s="8" t="s">
        <v>8728</v>
      </c>
      <c r="D3291" s="8" t="s">
        <v>10055</v>
      </c>
      <c r="E3291" s="8"/>
    </row>
    <row r="3292" spans="1:5" x14ac:dyDescent="0.25">
      <c r="A3292" s="5" t="s">
        <v>8729</v>
      </c>
      <c r="B3292" s="9" t="str">
        <f t="shared" si="6"/>
        <v>25753</v>
      </c>
      <c r="C3292" s="8" t="s">
        <v>8730</v>
      </c>
      <c r="D3292" s="8" t="s">
        <v>10055</v>
      </c>
      <c r="E3292" s="8"/>
    </row>
    <row r="3293" spans="1:5" x14ac:dyDescent="0.25">
      <c r="A3293" s="5" t="s">
        <v>8731</v>
      </c>
      <c r="B3293" s="9" t="str">
        <f t="shared" si="6"/>
        <v>25753</v>
      </c>
      <c r="C3293" s="8" t="s">
        <v>8732</v>
      </c>
      <c r="D3293" s="8" t="s">
        <v>10055</v>
      </c>
      <c r="E3293" s="8"/>
    </row>
    <row r="3294" spans="1:5" x14ac:dyDescent="0.25">
      <c r="A3294" s="5" t="s">
        <v>8733</v>
      </c>
      <c r="B3294" s="9" t="str">
        <f t="shared" si="6"/>
        <v>25753</v>
      </c>
      <c r="C3294" s="8" t="s">
        <v>8734</v>
      </c>
      <c r="D3294" s="8" t="s">
        <v>10055</v>
      </c>
      <c r="E3294" s="8"/>
    </row>
    <row r="3295" spans="1:5" x14ac:dyDescent="0.25">
      <c r="A3295" s="5" t="s">
        <v>8735</v>
      </c>
      <c r="B3295" s="9" t="str">
        <f t="shared" si="6"/>
        <v>25753</v>
      </c>
      <c r="C3295" s="8" t="s">
        <v>8736</v>
      </c>
      <c r="D3295" s="8" t="s">
        <v>10055</v>
      </c>
      <c r="E3295" s="8"/>
    </row>
    <row r="3296" spans="1:5" x14ac:dyDescent="0.25">
      <c r="A3296" s="5" t="s">
        <v>8737</v>
      </c>
      <c r="B3296" s="9" t="str">
        <f t="shared" si="6"/>
        <v>25753</v>
      </c>
      <c r="C3296" s="8" t="s">
        <v>8738</v>
      </c>
      <c r="D3296" s="8" t="s">
        <v>10055</v>
      </c>
      <c r="E3296" s="8"/>
    </row>
    <row r="3297" spans="1:5" x14ac:dyDescent="0.25">
      <c r="A3297" s="5" t="s">
        <v>8739</v>
      </c>
      <c r="B3297" s="9" t="str">
        <f t="shared" si="6"/>
        <v>25753</v>
      </c>
      <c r="C3297" s="8" t="s">
        <v>8740</v>
      </c>
      <c r="D3297" s="8" t="s">
        <v>10055</v>
      </c>
      <c r="E3297" s="8"/>
    </row>
    <row r="3298" spans="1:5" x14ac:dyDescent="0.25">
      <c r="A3298" s="5" t="s">
        <v>8741</v>
      </c>
      <c r="B3298" s="9" t="str">
        <f t="shared" si="6"/>
        <v>25753</v>
      </c>
      <c r="C3298" s="8" t="s">
        <v>8742</v>
      </c>
      <c r="D3298" s="8" t="s">
        <v>10055</v>
      </c>
      <c r="E3298" s="8"/>
    </row>
    <row r="3299" spans="1:5" x14ac:dyDescent="0.25">
      <c r="A3299" s="5" t="s">
        <v>8743</v>
      </c>
      <c r="B3299" s="9" t="str">
        <f t="shared" si="6"/>
        <v>25753</v>
      </c>
      <c r="C3299" s="8" t="s">
        <v>8744</v>
      </c>
      <c r="D3299" s="8" t="s">
        <v>10055</v>
      </c>
      <c r="E3299" s="8"/>
    </row>
    <row r="3300" spans="1:5" x14ac:dyDescent="0.25">
      <c r="A3300" s="5" t="s">
        <v>8745</v>
      </c>
      <c r="B3300" s="9" t="str">
        <f t="shared" si="6"/>
        <v>25753</v>
      </c>
      <c r="C3300" s="8" t="s">
        <v>8746</v>
      </c>
      <c r="D3300" s="8" t="s">
        <v>10055</v>
      </c>
      <c r="E3300" s="8"/>
    </row>
    <row r="3301" spans="1:5" x14ac:dyDescent="0.25">
      <c r="A3301" s="5" t="s">
        <v>8747</v>
      </c>
      <c r="B3301" s="9" t="str">
        <f t="shared" si="6"/>
        <v>25753</v>
      </c>
      <c r="C3301" s="8" t="s">
        <v>8748</v>
      </c>
      <c r="D3301" s="8" t="s">
        <v>10055</v>
      </c>
      <c r="E3301" s="8"/>
    </row>
    <row r="3302" spans="1:5" x14ac:dyDescent="0.25">
      <c r="A3302" s="5" t="s">
        <v>8749</v>
      </c>
      <c r="B3302" s="9" t="str">
        <f t="shared" si="6"/>
        <v>25753</v>
      </c>
      <c r="C3302" s="8" t="s">
        <v>8750</v>
      </c>
      <c r="D3302" s="8" t="s">
        <v>10055</v>
      </c>
      <c r="E3302" s="8"/>
    </row>
    <row r="3303" spans="1:5" x14ac:dyDescent="0.25">
      <c r="A3303" s="5" t="s">
        <v>8751</v>
      </c>
      <c r="B3303" s="9" t="str">
        <f t="shared" si="6"/>
        <v>25753</v>
      </c>
      <c r="C3303" s="8" t="s">
        <v>8752</v>
      </c>
      <c r="D3303" s="8" t="s">
        <v>10055</v>
      </c>
      <c r="E3303" s="8"/>
    </row>
    <row r="3304" spans="1:5" x14ac:dyDescent="0.25">
      <c r="A3304" s="5" t="s">
        <v>8753</v>
      </c>
      <c r="B3304" s="9" t="str">
        <f t="shared" si="6"/>
        <v>25753</v>
      </c>
      <c r="C3304" s="8" t="s">
        <v>8754</v>
      </c>
      <c r="D3304" s="8" t="s">
        <v>10055</v>
      </c>
      <c r="E3304" s="8"/>
    </row>
    <row r="3305" spans="1:5" x14ac:dyDescent="0.25">
      <c r="A3305" s="5" t="s">
        <v>8755</v>
      </c>
      <c r="B3305" s="9" t="str">
        <f t="shared" si="6"/>
        <v>25753</v>
      </c>
      <c r="C3305" s="8" t="s">
        <v>8756</v>
      </c>
      <c r="D3305" s="8" t="s">
        <v>10055</v>
      </c>
      <c r="E3305" s="8"/>
    </row>
    <row r="3306" spans="1:5" x14ac:dyDescent="0.25">
      <c r="A3306" s="5" t="s">
        <v>8757</v>
      </c>
      <c r="B3306" s="9" t="str">
        <f t="shared" si="6"/>
        <v>25753</v>
      </c>
      <c r="C3306" s="8" t="s">
        <v>8758</v>
      </c>
      <c r="D3306" s="8" t="s">
        <v>10055</v>
      </c>
      <c r="E3306" s="8"/>
    </row>
    <row r="3307" spans="1:5" x14ac:dyDescent="0.25">
      <c r="A3307" s="5" t="s">
        <v>8759</v>
      </c>
      <c r="B3307" s="9" t="str">
        <f t="shared" si="6"/>
        <v>25753</v>
      </c>
      <c r="C3307" s="8" t="s">
        <v>8760</v>
      </c>
      <c r="D3307" s="8" t="s">
        <v>10055</v>
      </c>
      <c r="E3307" s="8"/>
    </row>
    <row r="3308" spans="1:5" x14ac:dyDescent="0.25">
      <c r="A3308" s="5" t="s">
        <v>8761</v>
      </c>
      <c r="B3308" s="9" t="str">
        <f t="shared" si="6"/>
        <v>25753</v>
      </c>
      <c r="C3308" s="8" t="s">
        <v>8762</v>
      </c>
      <c r="D3308" s="8" t="s">
        <v>10055</v>
      </c>
      <c r="E3308" s="8"/>
    </row>
    <row r="3309" spans="1:5" x14ac:dyDescent="0.25">
      <c r="A3309" s="5" t="s">
        <v>8763</v>
      </c>
      <c r="B3309" s="9" t="str">
        <f t="shared" si="6"/>
        <v>25753</v>
      </c>
      <c r="C3309" s="8" t="s">
        <v>8764</v>
      </c>
      <c r="D3309" s="8" t="s">
        <v>10055</v>
      </c>
      <c r="E3309" s="8"/>
    </row>
    <row r="3310" spans="1:5" x14ac:dyDescent="0.25">
      <c r="A3310" s="5" t="s">
        <v>8765</v>
      </c>
      <c r="B3310" s="9" t="str">
        <f t="shared" si="6"/>
        <v>25753</v>
      </c>
      <c r="C3310" s="8" t="s">
        <v>8766</v>
      </c>
      <c r="D3310" s="8" t="s">
        <v>10055</v>
      </c>
      <c r="E3310" s="8"/>
    </row>
    <row r="3311" spans="1:5" x14ac:dyDescent="0.25">
      <c r="A3311" s="5" t="s">
        <v>8767</v>
      </c>
      <c r="B3311" s="9" t="str">
        <f t="shared" si="6"/>
        <v>25753</v>
      </c>
      <c r="C3311" s="8" t="s">
        <v>8768</v>
      </c>
      <c r="D3311" s="8" t="s">
        <v>10055</v>
      </c>
      <c r="E3311" s="8"/>
    </row>
    <row r="3312" spans="1:5" x14ac:dyDescent="0.25">
      <c r="A3312" s="5" t="s">
        <v>8769</v>
      </c>
      <c r="B3312" s="9" t="str">
        <f t="shared" si="6"/>
        <v>25753</v>
      </c>
      <c r="C3312" s="8" t="s">
        <v>8770</v>
      </c>
      <c r="D3312" s="8" t="s">
        <v>10055</v>
      </c>
      <c r="E3312" s="8"/>
    </row>
    <row r="3313" spans="1:5" x14ac:dyDescent="0.25">
      <c r="A3313" s="5" t="s">
        <v>8771</v>
      </c>
      <c r="B3313" s="9" t="str">
        <f t="shared" si="6"/>
        <v>25753</v>
      </c>
      <c r="C3313" s="8" t="s">
        <v>8772</v>
      </c>
      <c r="D3313" s="8" t="s">
        <v>10055</v>
      </c>
      <c r="E3313" s="8"/>
    </row>
    <row r="3314" spans="1:5" x14ac:dyDescent="0.25">
      <c r="A3314" s="5" t="s">
        <v>8773</v>
      </c>
      <c r="B3314" s="9" t="str">
        <f t="shared" si="6"/>
        <v>25753</v>
      </c>
      <c r="C3314" s="8" t="s">
        <v>8774</v>
      </c>
      <c r="D3314" s="8" t="s">
        <v>10055</v>
      </c>
      <c r="E3314" s="8"/>
    </row>
    <row r="3315" spans="1:5" x14ac:dyDescent="0.25">
      <c r="A3315" s="5" t="s">
        <v>8775</v>
      </c>
      <c r="B3315" s="9" t="str">
        <f t="shared" si="6"/>
        <v>25753</v>
      </c>
      <c r="C3315" s="8" t="s">
        <v>8776</v>
      </c>
      <c r="D3315" s="8" t="s">
        <v>10055</v>
      </c>
      <c r="E3315" s="8"/>
    </row>
    <row r="3316" spans="1:5" x14ac:dyDescent="0.25">
      <c r="A3316" s="5" t="s">
        <v>8777</v>
      </c>
      <c r="B3316" s="9" t="str">
        <f t="shared" si="6"/>
        <v>25753</v>
      </c>
      <c r="C3316" s="8" t="s">
        <v>8778</v>
      </c>
      <c r="D3316" s="8" t="s">
        <v>10055</v>
      </c>
      <c r="E3316" s="8"/>
    </row>
    <row r="3317" spans="1:5" x14ac:dyDescent="0.25">
      <c r="A3317" s="5" t="s">
        <v>8779</v>
      </c>
      <c r="B3317" s="9" t="str">
        <f t="shared" si="6"/>
        <v>25753</v>
      </c>
      <c r="C3317" s="8" t="s">
        <v>8780</v>
      </c>
      <c r="D3317" s="8" t="s">
        <v>10055</v>
      </c>
      <c r="E3317" s="8"/>
    </row>
    <row r="3318" spans="1:5" x14ac:dyDescent="0.25">
      <c r="A3318" s="5" t="s">
        <v>8781</v>
      </c>
      <c r="B3318" s="9" t="str">
        <f t="shared" si="6"/>
        <v>25753</v>
      </c>
      <c r="C3318" s="8" t="s">
        <v>8782</v>
      </c>
      <c r="D3318" s="8" t="s">
        <v>10055</v>
      </c>
      <c r="E3318" s="8"/>
    </row>
    <row r="3319" spans="1:5" x14ac:dyDescent="0.25">
      <c r="A3319" s="5" t="s">
        <v>8783</v>
      </c>
      <c r="B3319" s="9" t="str">
        <f t="shared" si="6"/>
        <v>25753</v>
      </c>
      <c r="C3319" s="8" t="s">
        <v>8784</v>
      </c>
      <c r="D3319" s="8" t="s">
        <v>10055</v>
      </c>
      <c r="E3319" s="8"/>
    </row>
    <row r="3320" spans="1:5" x14ac:dyDescent="0.25">
      <c r="A3320" s="5" t="s">
        <v>8785</v>
      </c>
      <c r="B3320" s="9" t="str">
        <f t="shared" si="6"/>
        <v>25753</v>
      </c>
      <c r="C3320" s="8" t="s">
        <v>8786</v>
      </c>
      <c r="D3320" s="8" t="s">
        <v>10055</v>
      </c>
      <c r="E3320" s="8"/>
    </row>
    <row r="3321" spans="1:5" x14ac:dyDescent="0.25">
      <c r="A3321" s="5" t="s">
        <v>8787</v>
      </c>
      <c r="B3321" s="9" t="str">
        <f t="shared" si="6"/>
        <v>25753</v>
      </c>
      <c r="C3321" s="8" t="s">
        <v>8788</v>
      </c>
      <c r="D3321" s="8" t="s">
        <v>10055</v>
      </c>
      <c r="E3321" s="8"/>
    </row>
    <row r="3322" spans="1:5" x14ac:dyDescent="0.25">
      <c r="A3322" s="5" t="s">
        <v>8789</v>
      </c>
      <c r="B3322" s="9" t="str">
        <f t="shared" si="6"/>
        <v>25753</v>
      </c>
      <c r="C3322" s="8" t="s">
        <v>8790</v>
      </c>
      <c r="D3322" s="8" t="s">
        <v>10055</v>
      </c>
      <c r="E3322" s="8"/>
    </row>
    <row r="3323" spans="1:5" x14ac:dyDescent="0.25">
      <c r="A3323" s="5" t="s">
        <v>8791</v>
      </c>
      <c r="B3323" s="9" t="str">
        <f t="shared" si="6"/>
        <v>25753</v>
      </c>
      <c r="C3323" s="8" t="s">
        <v>8792</v>
      </c>
      <c r="D3323" s="8" t="s">
        <v>10055</v>
      </c>
      <c r="E3323" s="8"/>
    </row>
    <row r="3324" spans="1:5" x14ac:dyDescent="0.25">
      <c r="A3324" s="5" t="s">
        <v>8793</v>
      </c>
      <c r="B3324" s="9" t="str">
        <f t="shared" si="6"/>
        <v>25753</v>
      </c>
      <c r="C3324" s="8" t="s">
        <v>8794</v>
      </c>
      <c r="D3324" s="8" t="s">
        <v>10055</v>
      </c>
      <c r="E3324" s="8"/>
    </row>
    <row r="3325" spans="1:5" x14ac:dyDescent="0.25">
      <c r="A3325" s="5" t="s">
        <v>8795</v>
      </c>
      <c r="B3325" s="9" t="str">
        <f t="shared" si="6"/>
        <v>25753</v>
      </c>
      <c r="C3325" s="8" t="s">
        <v>8796</v>
      </c>
      <c r="D3325" s="8" t="s">
        <v>10055</v>
      </c>
      <c r="E3325" s="8"/>
    </row>
    <row r="3326" spans="1:5" x14ac:dyDescent="0.25">
      <c r="A3326" s="5" t="s">
        <v>8797</v>
      </c>
      <c r="B3326" s="9" t="str">
        <f t="shared" si="6"/>
        <v>25753</v>
      </c>
      <c r="C3326" s="8" t="s">
        <v>8798</v>
      </c>
      <c r="D3326" s="8" t="s">
        <v>10055</v>
      </c>
      <c r="E3326" s="8"/>
    </row>
    <row r="3327" spans="1:5" x14ac:dyDescent="0.25">
      <c r="A3327" s="5" t="s">
        <v>8799</v>
      </c>
      <c r="B3327" s="9" t="str">
        <f t="shared" si="6"/>
        <v>25753</v>
      </c>
      <c r="C3327" s="8" t="s">
        <v>8800</v>
      </c>
      <c r="D3327" s="8" t="s">
        <v>10055</v>
      </c>
      <c r="E3327" s="8"/>
    </row>
    <row r="3328" spans="1:5" x14ac:dyDescent="0.25">
      <c r="A3328" s="5" t="s">
        <v>8801</v>
      </c>
      <c r="B3328" s="9" t="str">
        <f t="shared" si="6"/>
        <v>25753</v>
      </c>
      <c r="C3328" s="8" t="s">
        <v>8802</v>
      </c>
      <c r="D3328" s="8" t="s">
        <v>10055</v>
      </c>
      <c r="E3328" s="8"/>
    </row>
    <row r="3329" spans="1:5" x14ac:dyDescent="0.25">
      <c r="A3329" s="5" t="s">
        <v>8803</v>
      </c>
      <c r="B3329" s="9" t="str">
        <f t="shared" si="6"/>
        <v>25753</v>
      </c>
      <c r="C3329" s="8" t="s">
        <v>8804</v>
      </c>
      <c r="D3329" s="8" t="s">
        <v>10055</v>
      </c>
      <c r="E3329" s="8"/>
    </row>
    <row r="3330" spans="1:5" x14ac:dyDescent="0.25">
      <c r="A3330" s="5" t="s">
        <v>8805</v>
      </c>
      <c r="B3330" s="9" t="str">
        <f t="shared" si="6"/>
        <v>25753</v>
      </c>
      <c r="C3330" s="8" t="s">
        <v>8806</v>
      </c>
      <c r="D3330" s="8" t="s">
        <v>10055</v>
      </c>
      <c r="E3330" s="8"/>
    </row>
    <row r="3331" spans="1:5" x14ac:dyDescent="0.25">
      <c r="A3331" s="5" t="s">
        <v>8807</v>
      </c>
      <c r="B3331" s="9" t="str">
        <f t="shared" si="6"/>
        <v>25753</v>
      </c>
      <c r="C3331" s="8" t="s">
        <v>8808</v>
      </c>
      <c r="D3331" s="8" t="s">
        <v>10055</v>
      </c>
      <c r="E3331" s="8"/>
    </row>
    <row r="3332" spans="1:5" x14ac:dyDescent="0.25">
      <c r="A3332" s="5" t="s">
        <v>8809</v>
      </c>
      <c r="B3332" s="9" t="str">
        <f t="shared" si="6"/>
        <v>25753</v>
      </c>
      <c r="C3332" s="8" t="s">
        <v>8810</v>
      </c>
      <c r="D3332" s="8" t="s">
        <v>10055</v>
      </c>
      <c r="E3332" s="8"/>
    </row>
    <row r="3333" spans="1:5" x14ac:dyDescent="0.25">
      <c r="A3333" s="5" t="s">
        <v>8811</v>
      </c>
      <c r="B3333" s="9" t="str">
        <f t="shared" si="6"/>
        <v>25753</v>
      </c>
      <c r="C3333" s="8" t="s">
        <v>8812</v>
      </c>
      <c r="D3333" s="8" t="s">
        <v>10055</v>
      </c>
      <c r="E3333" s="8"/>
    </row>
    <row r="3334" spans="1:5" x14ac:dyDescent="0.25">
      <c r="A3334" s="5" t="s">
        <v>8813</v>
      </c>
      <c r="B3334" s="9" t="str">
        <f t="shared" si="6"/>
        <v>25753</v>
      </c>
      <c r="C3334" s="8" t="s">
        <v>8814</v>
      </c>
      <c r="D3334" s="8" t="s">
        <v>10055</v>
      </c>
      <c r="E3334" s="8"/>
    </row>
    <row r="3335" spans="1:5" x14ac:dyDescent="0.25">
      <c r="A3335" s="5" t="s">
        <v>8815</v>
      </c>
      <c r="B3335" s="9" t="str">
        <f t="shared" si="6"/>
        <v>25753</v>
      </c>
      <c r="C3335" s="8" t="s">
        <v>8816</v>
      </c>
      <c r="D3335" s="8" t="s">
        <v>10055</v>
      </c>
      <c r="E3335" s="8"/>
    </row>
    <row r="3336" spans="1:5" x14ac:dyDescent="0.25">
      <c r="A3336" s="5" t="s">
        <v>8817</v>
      </c>
      <c r="B3336" s="9" t="str">
        <f t="shared" si="6"/>
        <v>25753</v>
      </c>
      <c r="C3336" s="8" t="s">
        <v>8818</v>
      </c>
      <c r="D3336" s="8" t="s">
        <v>10055</v>
      </c>
      <c r="E3336" s="8"/>
    </row>
    <row r="3337" spans="1:5" x14ac:dyDescent="0.25">
      <c r="A3337" s="5" t="s">
        <v>8819</v>
      </c>
      <c r="B3337" s="9" t="str">
        <f t="shared" si="6"/>
        <v>25753</v>
      </c>
      <c r="C3337" s="8" t="s">
        <v>8820</v>
      </c>
      <c r="D3337" s="8" t="s">
        <v>10055</v>
      </c>
      <c r="E3337" s="8"/>
    </row>
    <row r="3338" spans="1:5" x14ac:dyDescent="0.25">
      <c r="A3338" s="5" t="s">
        <v>8821</v>
      </c>
      <c r="B3338" s="9" t="str">
        <f t="shared" si="6"/>
        <v>25753</v>
      </c>
      <c r="C3338" s="8" t="s">
        <v>8822</v>
      </c>
      <c r="D3338" s="8" t="s">
        <v>10055</v>
      </c>
      <c r="E3338" s="8"/>
    </row>
    <row r="3339" spans="1:5" x14ac:dyDescent="0.25">
      <c r="A3339" s="5" t="s">
        <v>8823</v>
      </c>
      <c r="B3339" s="9" t="str">
        <f t="shared" si="6"/>
        <v>25753</v>
      </c>
      <c r="C3339" s="8" t="s">
        <v>8824</v>
      </c>
      <c r="D3339" s="8" t="s">
        <v>10055</v>
      </c>
      <c r="E3339" s="8"/>
    </row>
    <row r="3340" spans="1:5" x14ac:dyDescent="0.25">
      <c r="A3340" s="5" t="s">
        <v>8825</v>
      </c>
      <c r="B3340" s="9" t="str">
        <f t="shared" si="6"/>
        <v>25753</v>
      </c>
      <c r="C3340" s="8" t="s">
        <v>8826</v>
      </c>
      <c r="D3340" s="8" t="s">
        <v>10055</v>
      </c>
      <c r="E3340" s="8"/>
    </row>
    <row r="3341" spans="1:5" x14ac:dyDescent="0.25">
      <c r="A3341" s="5" t="s">
        <v>8827</v>
      </c>
      <c r="B3341" s="9" t="str">
        <f t="shared" si="6"/>
        <v>25753</v>
      </c>
      <c r="C3341" s="8" t="s">
        <v>8828</v>
      </c>
      <c r="D3341" s="8" t="s">
        <v>10055</v>
      </c>
      <c r="E3341" s="8"/>
    </row>
    <row r="3342" spans="1:5" x14ac:dyDescent="0.25">
      <c r="A3342" s="5" t="s">
        <v>8829</v>
      </c>
      <c r="B3342" s="9" t="str">
        <f t="shared" si="6"/>
        <v>25753</v>
      </c>
      <c r="C3342" s="8" t="s">
        <v>8830</v>
      </c>
      <c r="D3342" s="8" t="s">
        <v>10055</v>
      </c>
      <c r="E3342" s="8"/>
    </row>
    <row r="3343" spans="1:5" x14ac:dyDescent="0.25">
      <c r="A3343" s="5" t="s">
        <v>8831</v>
      </c>
      <c r="B3343" s="9" t="str">
        <f t="shared" si="6"/>
        <v>25753</v>
      </c>
      <c r="C3343" s="8" t="s">
        <v>8832</v>
      </c>
      <c r="D3343" s="8" t="s">
        <v>10055</v>
      </c>
      <c r="E3343" s="8"/>
    </row>
    <row r="3344" spans="1:5" x14ac:dyDescent="0.25">
      <c r="A3344" s="5" t="s">
        <v>8833</v>
      </c>
      <c r="B3344" s="9" t="str">
        <f t="shared" si="6"/>
        <v>25753</v>
      </c>
      <c r="C3344" s="8" t="s">
        <v>8834</v>
      </c>
      <c r="D3344" s="8" t="s">
        <v>10055</v>
      </c>
      <c r="E3344" s="8"/>
    </row>
    <row r="3345" spans="1:5" x14ac:dyDescent="0.25">
      <c r="A3345" s="5" t="s">
        <v>8835</v>
      </c>
      <c r="B3345" s="9" t="str">
        <f t="shared" si="6"/>
        <v>25753</v>
      </c>
      <c r="C3345" s="8" t="s">
        <v>8836</v>
      </c>
      <c r="D3345" s="8" t="s">
        <v>10055</v>
      </c>
      <c r="E3345" s="8"/>
    </row>
    <row r="3346" spans="1:5" x14ac:dyDescent="0.25">
      <c r="A3346" s="5" t="s">
        <v>8837</v>
      </c>
      <c r="B3346" s="9" t="str">
        <f t="shared" si="6"/>
        <v>25753</v>
      </c>
      <c r="C3346" s="8" t="s">
        <v>8838</v>
      </c>
      <c r="D3346" s="8" t="s">
        <v>10055</v>
      </c>
      <c r="E3346" s="8"/>
    </row>
    <row r="3347" spans="1:5" x14ac:dyDescent="0.25">
      <c r="A3347" s="5" t="s">
        <v>8839</v>
      </c>
      <c r="B3347" s="9" t="str">
        <f t="shared" si="6"/>
        <v>25753</v>
      </c>
      <c r="C3347" s="8" t="s">
        <v>8840</v>
      </c>
      <c r="D3347" s="8" t="s">
        <v>10055</v>
      </c>
      <c r="E3347" s="8"/>
    </row>
    <row r="3348" spans="1:5" x14ac:dyDescent="0.25">
      <c r="A3348" s="5" t="s">
        <v>8841</v>
      </c>
      <c r="B3348" s="9" t="str">
        <f t="shared" si="6"/>
        <v>25753</v>
      </c>
      <c r="C3348" s="8" t="s">
        <v>8842</v>
      </c>
      <c r="D3348" s="8" t="s">
        <v>10055</v>
      </c>
      <c r="E3348" s="8"/>
    </row>
    <row r="3349" spans="1:5" x14ac:dyDescent="0.25">
      <c r="A3349" s="5" t="s">
        <v>8843</v>
      </c>
      <c r="B3349" s="9" t="str">
        <f t="shared" si="6"/>
        <v>25753</v>
      </c>
      <c r="C3349" s="8" t="s">
        <v>8844</v>
      </c>
      <c r="D3349" s="8" t="s">
        <v>10055</v>
      </c>
      <c r="E3349" s="8"/>
    </row>
    <row r="3350" spans="1:5" x14ac:dyDescent="0.25">
      <c r="A3350" s="5" t="s">
        <v>8845</v>
      </c>
      <c r="B3350" s="9" t="str">
        <f t="shared" si="6"/>
        <v>25753</v>
      </c>
      <c r="C3350" s="8" t="s">
        <v>8846</v>
      </c>
      <c r="D3350" s="8" t="s">
        <v>10055</v>
      </c>
      <c r="E3350" s="8"/>
    </row>
    <row r="3351" spans="1:5" x14ac:dyDescent="0.25">
      <c r="A3351" s="5" t="s">
        <v>8847</v>
      </c>
      <c r="B3351" s="9" t="str">
        <f t="shared" si="6"/>
        <v>25753</v>
      </c>
      <c r="C3351" s="8" t="s">
        <v>8848</v>
      </c>
      <c r="D3351" s="8" t="s">
        <v>10055</v>
      </c>
      <c r="E3351" s="8"/>
    </row>
    <row r="3352" spans="1:5" x14ac:dyDescent="0.25">
      <c r="A3352" s="5" t="s">
        <v>8849</v>
      </c>
      <c r="B3352" s="9" t="str">
        <f t="shared" si="6"/>
        <v>25753</v>
      </c>
      <c r="C3352" s="8" t="s">
        <v>8850</v>
      </c>
      <c r="D3352" s="8" t="s">
        <v>10055</v>
      </c>
      <c r="E3352" s="8"/>
    </row>
    <row r="3353" spans="1:5" x14ac:dyDescent="0.25">
      <c r="A3353" s="5" t="s">
        <v>8851</v>
      </c>
      <c r="B3353" s="9" t="str">
        <f t="shared" si="6"/>
        <v>25753</v>
      </c>
      <c r="C3353" s="8" t="s">
        <v>8852</v>
      </c>
      <c r="D3353" s="8" t="s">
        <v>10055</v>
      </c>
      <c r="E3353" s="8"/>
    </row>
    <row r="3354" spans="1:5" x14ac:dyDescent="0.25">
      <c r="A3354" s="5" t="s">
        <v>8853</v>
      </c>
      <c r="B3354" s="9" t="str">
        <f t="shared" si="6"/>
        <v>25753</v>
      </c>
      <c r="C3354" s="8" t="s">
        <v>8854</v>
      </c>
      <c r="D3354" s="8" t="s">
        <v>10055</v>
      </c>
      <c r="E3354" s="8"/>
    </row>
    <row r="3355" spans="1:5" x14ac:dyDescent="0.25">
      <c r="A3355" s="5" t="s">
        <v>8855</v>
      </c>
      <c r="B3355" s="9" t="str">
        <f t="shared" si="6"/>
        <v>25753</v>
      </c>
      <c r="C3355" s="8" t="s">
        <v>8856</v>
      </c>
      <c r="D3355" s="8" t="s">
        <v>10055</v>
      </c>
      <c r="E3355" s="8"/>
    </row>
    <row r="3356" spans="1:5" x14ac:dyDescent="0.25">
      <c r="A3356" s="5" t="s">
        <v>8857</v>
      </c>
      <c r="B3356" s="9" t="str">
        <f t="shared" si="6"/>
        <v>25753</v>
      </c>
      <c r="C3356" s="8" t="s">
        <v>8858</v>
      </c>
      <c r="D3356" s="8" t="s">
        <v>10055</v>
      </c>
      <c r="E3356" s="8"/>
    </row>
    <row r="3357" spans="1:5" x14ac:dyDescent="0.25">
      <c r="A3357" s="5" t="s">
        <v>8859</v>
      </c>
      <c r="B3357" s="9" t="str">
        <f t="shared" si="6"/>
        <v>25753</v>
      </c>
      <c r="C3357" s="8" t="s">
        <v>8860</v>
      </c>
      <c r="D3357" s="8" t="s">
        <v>10055</v>
      </c>
      <c r="E3357" s="8"/>
    </row>
    <row r="3358" spans="1:5" x14ac:dyDescent="0.25">
      <c r="A3358" s="5" t="s">
        <v>8861</v>
      </c>
      <c r="B3358" s="9" t="str">
        <f t="shared" si="6"/>
        <v>25753</v>
      </c>
      <c r="C3358" s="8" t="s">
        <v>8862</v>
      </c>
      <c r="D3358" s="8" t="s">
        <v>10055</v>
      </c>
      <c r="E3358" s="8"/>
    </row>
    <row r="3359" spans="1:5" x14ac:dyDescent="0.25">
      <c r="A3359" s="5" t="s">
        <v>8863</v>
      </c>
      <c r="B3359" s="9" t="str">
        <f t="shared" si="6"/>
        <v>25753</v>
      </c>
      <c r="C3359" s="8" t="s">
        <v>8864</v>
      </c>
      <c r="D3359" s="8" t="s">
        <v>10055</v>
      </c>
      <c r="E3359" s="8"/>
    </row>
    <row r="3360" spans="1:5" x14ac:dyDescent="0.25">
      <c r="A3360" s="5" t="s">
        <v>8865</v>
      </c>
      <c r="B3360" s="9" t="str">
        <f t="shared" si="6"/>
        <v>25753</v>
      </c>
      <c r="C3360" s="8" t="s">
        <v>8866</v>
      </c>
      <c r="D3360" s="8" t="s">
        <v>10055</v>
      </c>
      <c r="E3360" s="8"/>
    </row>
    <row r="3361" spans="1:5" x14ac:dyDescent="0.25">
      <c r="A3361" s="5" t="s">
        <v>8867</v>
      </c>
      <c r="B3361" s="9" t="str">
        <f t="shared" si="6"/>
        <v>25753</v>
      </c>
      <c r="C3361" s="8" t="s">
        <v>8868</v>
      </c>
      <c r="D3361" s="8" t="s">
        <v>10055</v>
      </c>
      <c r="E3361" s="8"/>
    </row>
    <row r="3362" spans="1:5" x14ac:dyDescent="0.25">
      <c r="A3362" s="5" t="s">
        <v>8869</v>
      </c>
      <c r="B3362" s="9" t="str">
        <f t="shared" si="6"/>
        <v>25753</v>
      </c>
      <c r="C3362" s="8" t="s">
        <v>8870</v>
      </c>
      <c r="D3362" s="8" t="s">
        <v>10055</v>
      </c>
      <c r="E3362" s="8"/>
    </row>
    <row r="3363" spans="1:5" x14ac:dyDescent="0.25">
      <c r="A3363" s="5" t="s">
        <v>8871</v>
      </c>
      <c r="B3363" s="9" t="str">
        <f t="shared" si="6"/>
        <v>25753</v>
      </c>
      <c r="C3363" s="8" t="s">
        <v>8872</v>
      </c>
      <c r="D3363" s="8" t="s">
        <v>10055</v>
      </c>
      <c r="E3363" s="8"/>
    </row>
    <row r="3364" spans="1:5" x14ac:dyDescent="0.25">
      <c r="A3364" s="5" t="s">
        <v>8873</v>
      </c>
      <c r="B3364" s="9" t="str">
        <f t="shared" si="6"/>
        <v>25753</v>
      </c>
      <c r="C3364" s="8" t="s">
        <v>8874</v>
      </c>
      <c r="D3364" s="8" t="s">
        <v>10055</v>
      </c>
      <c r="E3364" s="8"/>
    </row>
    <row r="3365" spans="1:5" x14ac:dyDescent="0.25">
      <c r="A3365" s="5" t="s">
        <v>8875</v>
      </c>
      <c r="B3365" s="9" t="str">
        <f t="shared" si="6"/>
        <v>25753</v>
      </c>
      <c r="C3365" s="8" t="s">
        <v>8876</v>
      </c>
      <c r="D3365" s="8" t="s">
        <v>10055</v>
      </c>
      <c r="E3365" s="8"/>
    </row>
    <row r="3366" spans="1:5" x14ac:dyDescent="0.25">
      <c r="A3366" s="5" t="s">
        <v>8877</v>
      </c>
      <c r="B3366" s="9" t="str">
        <f t="shared" si="6"/>
        <v>25753</v>
      </c>
      <c r="C3366" s="8" t="s">
        <v>8878</v>
      </c>
      <c r="D3366" s="8" t="s">
        <v>10055</v>
      </c>
      <c r="E3366" s="8"/>
    </row>
    <row r="3367" spans="1:5" x14ac:dyDescent="0.25">
      <c r="A3367" s="5" t="s">
        <v>8879</v>
      </c>
      <c r="B3367" s="9" t="str">
        <f t="shared" si="6"/>
        <v>25753</v>
      </c>
      <c r="C3367" s="8" t="s">
        <v>8880</v>
      </c>
      <c r="D3367" s="8" t="s">
        <v>10055</v>
      </c>
      <c r="E3367" s="8"/>
    </row>
    <row r="3368" spans="1:5" x14ac:dyDescent="0.25">
      <c r="A3368" s="5" t="s">
        <v>8881</v>
      </c>
      <c r="B3368" s="9" t="str">
        <f t="shared" si="6"/>
        <v>25753</v>
      </c>
      <c r="C3368" s="8" t="s">
        <v>8882</v>
      </c>
      <c r="D3368" s="8" t="s">
        <v>10055</v>
      </c>
      <c r="E3368" s="8"/>
    </row>
    <row r="3369" spans="1:5" x14ac:dyDescent="0.25">
      <c r="A3369" s="5" t="s">
        <v>8883</v>
      </c>
      <c r="B3369" s="9" t="str">
        <f t="shared" si="6"/>
        <v>25753</v>
      </c>
      <c r="C3369" s="8" t="s">
        <v>8884</v>
      </c>
      <c r="D3369" s="8" t="s">
        <v>10055</v>
      </c>
      <c r="E3369" s="8"/>
    </row>
    <row r="3370" spans="1:5" x14ac:dyDescent="0.25">
      <c r="A3370" s="5" t="s">
        <v>8885</v>
      </c>
      <c r="B3370" s="9" t="str">
        <f t="shared" si="6"/>
        <v>25753</v>
      </c>
      <c r="C3370" s="8" t="s">
        <v>8886</v>
      </c>
      <c r="D3370" s="8" t="s">
        <v>10055</v>
      </c>
      <c r="E3370" s="8"/>
    </row>
    <row r="3371" spans="1:5" x14ac:dyDescent="0.25">
      <c r="A3371" s="5" t="s">
        <v>8887</v>
      </c>
      <c r="B3371" s="9" t="str">
        <f t="shared" si="6"/>
        <v>25753</v>
      </c>
      <c r="C3371" s="8" t="s">
        <v>8888</v>
      </c>
      <c r="D3371" s="8" t="s">
        <v>10055</v>
      </c>
      <c r="E3371" s="8"/>
    </row>
    <row r="3372" spans="1:5" x14ac:dyDescent="0.25">
      <c r="A3372" s="5" t="s">
        <v>8889</v>
      </c>
      <c r="B3372" s="9" t="str">
        <f t="shared" si="6"/>
        <v>25753</v>
      </c>
      <c r="C3372" s="8" t="s">
        <v>8890</v>
      </c>
      <c r="D3372" s="8" t="s">
        <v>10055</v>
      </c>
      <c r="E3372" s="8"/>
    </row>
    <row r="3373" spans="1:5" x14ac:dyDescent="0.25">
      <c r="A3373" s="5" t="s">
        <v>8891</v>
      </c>
      <c r="B3373" s="9" t="str">
        <f t="shared" si="6"/>
        <v>25753</v>
      </c>
      <c r="C3373" s="8" t="s">
        <v>8892</v>
      </c>
      <c r="D3373" s="8" t="s">
        <v>10055</v>
      </c>
      <c r="E3373" s="8"/>
    </row>
    <row r="3374" spans="1:5" x14ac:dyDescent="0.25">
      <c r="A3374" s="5" t="s">
        <v>8893</v>
      </c>
      <c r="B3374" s="9" t="str">
        <f t="shared" si="6"/>
        <v>25753</v>
      </c>
      <c r="C3374" s="8" t="s">
        <v>8894</v>
      </c>
      <c r="D3374" s="8" t="s">
        <v>10055</v>
      </c>
      <c r="E3374" s="8"/>
    </row>
    <row r="3375" spans="1:5" x14ac:dyDescent="0.25">
      <c r="A3375" s="5" t="s">
        <v>8895</v>
      </c>
      <c r="B3375" s="9" t="str">
        <f t="shared" si="6"/>
        <v>25753</v>
      </c>
      <c r="C3375" s="8" t="s">
        <v>8896</v>
      </c>
      <c r="D3375" s="8" t="s">
        <v>10055</v>
      </c>
      <c r="E3375" s="8"/>
    </row>
    <row r="3376" spans="1:5" x14ac:dyDescent="0.25">
      <c r="A3376" s="5" t="s">
        <v>8897</v>
      </c>
      <c r="B3376" s="9" t="str">
        <f t="shared" si="6"/>
        <v>25753</v>
      </c>
      <c r="C3376" s="8" t="s">
        <v>8898</v>
      </c>
      <c r="D3376" s="8" t="s">
        <v>10055</v>
      </c>
      <c r="E3376" s="8"/>
    </row>
    <row r="3377" spans="1:5" x14ac:dyDescent="0.25">
      <c r="A3377" s="5" t="s">
        <v>8899</v>
      </c>
      <c r="B3377" s="9" t="str">
        <f t="shared" si="6"/>
        <v>25753</v>
      </c>
      <c r="C3377" s="8" t="s">
        <v>8900</v>
      </c>
      <c r="D3377" s="8" t="s">
        <v>10055</v>
      </c>
      <c r="E3377" s="8"/>
    </row>
    <row r="3378" spans="1:5" x14ac:dyDescent="0.25">
      <c r="A3378" s="5" t="s">
        <v>8901</v>
      </c>
      <c r="B3378" s="9" t="str">
        <f t="shared" si="6"/>
        <v>25753</v>
      </c>
      <c r="C3378" s="8" t="s">
        <v>8902</v>
      </c>
      <c r="D3378" s="8" t="s">
        <v>10055</v>
      </c>
      <c r="E3378" s="8"/>
    </row>
    <row r="3379" spans="1:5" x14ac:dyDescent="0.25">
      <c r="A3379" s="5" t="s">
        <v>8903</v>
      </c>
      <c r="B3379" s="9" t="str">
        <f t="shared" si="6"/>
        <v>25753</v>
      </c>
      <c r="C3379" s="8" t="s">
        <v>8904</v>
      </c>
      <c r="D3379" s="8" t="s">
        <v>10055</v>
      </c>
      <c r="E3379" s="8"/>
    </row>
    <row r="3380" spans="1:5" x14ac:dyDescent="0.25">
      <c r="A3380" s="5" t="s">
        <v>8905</v>
      </c>
      <c r="B3380" s="9" t="str">
        <f t="shared" si="6"/>
        <v>25753</v>
      </c>
      <c r="C3380" s="8" t="s">
        <v>8906</v>
      </c>
      <c r="D3380" s="8" t="s">
        <v>10055</v>
      </c>
      <c r="E3380" s="8"/>
    </row>
    <row r="3381" spans="1:5" x14ac:dyDescent="0.25">
      <c r="A3381" s="5" t="s">
        <v>8907</v>
      </c>
      <c r="B3381" s="9" t="str">
        <f t="shared" si="6"/>
        <v>25753</v>
      </c>
      <c r="C3381" s="8" t="s">
        <v>8908</v>
      </c>
      <c r="D3381" s="8" t="s">
        <v>10055</v>
      </c>
      <c r="E3381" s="8"/>
    </row>
    <row r="3382" spans="1:5" x14ac:dyDescent="0.25">
      <c r="A3382" s="5" t="s">
        <v>8909</v>
      </c>
      <c r="B3382" s="9" t="str">
        <f t="shared" si="6"/>
        <v>25753</v>
      </c>
      <c r="C3382" s="8" t="s">
        <v>8910</v>
      </c>
      <c r="D3382" s="8" t="s">
        <v>10055</v>
      </c>
      <c r="E3382" s="8"/>
    </row>
    <row r="3383" spans="1:5" x14ac:dyDescent="0.25">
      <c r="A3383" s="5" t="s">
        <v>8911</v>
      </c>
      <c r="B3383" s="9" t="str">
        <f t="shared" si="6"/>
        <v>25753</v>
      </c>
      <c r="C3383" s="8" t="s">
        <v>8912</v>
      </c>
      <c r="D3383" s="8" t="s">
        <v>10055</v>
      </c>
      <c r="E3383" s="8"/>
    </row>
    <row r="3384" spans="1:5" x14ac:dyDescent="0.25">
      <c r="A3384" s="5" t="s">
        <v>8913</v>
      </c>
      <c r="B3384" s="9" t="str">
        <f t="shared" si="6"/>
        <v>25753</v>
      </c>
      <c r="C3384" s="8" t="s">
        <v>8914</v>
      </c>
      <c r="D3384" s="8" t="s">
        <v>10055</v>
      </c>
      <c r="E3384" s="8"/>
    </row>
    <row r="3385" spans="1:5" x14ac:dyDescent="0.25">
      <c r="A3385" s="5" t="s">
        <v>8915</v>
      </c>
      <c r="B3385" s="9" t="str">
        <f t="shared" si="6"/>
        <v>25753</v>
      </c>
      <c r="C3385" s="8" t="s">
        <v>8916</v>
      </c>
      <c r="D3385" s="8" t="s">
        <v>10055</v>
      </c>
      <c r="E3385" s="8"/>
    </row>
    <row r="3386" spans="1:5" x14ac:dyDescent="0.25">
      <c r="A3386" s="5" t="s">
        <v>8917</v>
      </c>
      <c r="B3386" s="9" t="str">
        <f t="shared" si="6"/>
        <v>25753</v>
      </c>
      <c r="C3386" s="8" t="s">
        <v>8918</v>
      </c>
      <c r="D3386" s="8" t="s">
        <v>10055</v>
      </c>
      <c r="E3386" s="8"/>
    </row>
    <row r="3387" spans="1:5" x14ac:dyDescent="0.25">
      <c r="A3387" s="5" t="s">
        <v>8919</v>
      </c>
      <c r="B3387" s="9" t="str">
        <f t="shared" si="6"/>
        <v>25753</v>
      </c>
      <c r="C3387" s="8" t="s">
        <v>8920</v>
      </c>
      <c r="D3387" s="8" t="s">
        <v>10055</v>
      </c>
      <c r="E3387" s="8"/>
    </row>
    <row r="3388" spans="1:5" x14ac:dyDescent="0.25">
      <c r="A3388" s="5" t="s">
        <v>8921</v>
      </c>
      <c r="B3388" s="9" t="str">
        <f t="shared" si="6"/>
        <v>25753</v>
      </c>
      <c r="C3388" s="8" t="s">
        <v>8922</v>
      </c>
      <c r="D3388" s="8" t="s">
        <v>10055</v>
      </c>
      <c r="E3388" s="8"/>
    </row>
    <row r="3389" spans="1:5" x14ac:dyDescent="0.25">
      <c r="A3389" s="5" t="s">
        <v>8923</v>
      </c>
      <c r="B3389" s="9" t="str">
        <f t="shared" si="6"/>
        <v>25753</v>
      </c>
      <c r="C3389" s="8" t="s">
        <v>8924</v>
      </c>
      <c r="D3389" s="8" t="s">
        <v>10055</v>
      </c>
      <c r="E3389" s="8"/>
    </row>
    <row r="3390" spans="1:5" x14ac:dyDescent="0.25">
      <c r="A3390" s="5" t="s">
        <v>8925</v>
      </c>
      <c r="B3390" s="9" t="str">
        <f t="shared" si="6"/>
        <v>25753</v>
      </c>
      <c r="C3390" s="8" t="s">
        <v>8926</v>
      </c>
      <c r="D3390" s="8" t="s">
        <v>10055</v>
      </c>
      <c r="E3390" s="8"/>
    </row>
    <row r="3391" spans="1:5" x14ac:dyDescent="0.25">
      <c r="A3391" s="5" t="s">
        <v>8927</v>
      </c>
      <c r="B3391" s="9" t="str">
        <f t="shared" si="6"/>
        <v>25753</v>
      </c>
      <c r="C3391" s="8" t="s">
        <v>8928</v>
      </c>
      <c r="D3391" s="8" t="s">
        <v>10055</v>
      </c>
      <c r="E3391" s="8"/>
    </row>
    <row r="3392" spans="1:5" x14ac:dyDescent="0.25">
      <c r="A3392" s="5" t="s">
        <v>8929</v>
      </c>
      <c r="B3392" s="9" t="str">
        <f t="shared" si="6"/>
        <v>25753</v>
      </c>
      <c r="C3392" s="8" t="s">
        <v>8930</v>
      </c>
      <c r="D3392" s="8" t="s">
        <v>10055</v>
      </c>
      <c r="E3392" s="8"/>
    </row>
    <row r="3393" spans="1:5" x14ac:dyDescent="0.25">
      <c r="A3393" s="5" t="s">
        <v>8931</v>
      </c>
      <c r="B3393" s="9" t="str">
        <f t="shared" si="6"/>
        <v>25753</v>
      </c>
      <c r="C3393" s="8" t="s">
        <v>8932</v>
      </c>
      <c r="D3393" s="8" t="s">
        <v>10055</v>
      </c>
      <c r="E3393" s="8"/>
    </row>
    <row r="3394" spans="1:5" x14ac:dyDescent="0.25">
      <c r="A3394" s="5" t="s">
        <v>8933</v>
      </c>
      <c r="B3394" s="9" t="str">
        <f t="shared" si="6"/>
        <v>25753</v>
      </c>
      <c r="C3394" s="8" t="s">
        <v>8934</v>
      </c>
      <c r="D3394" s="8" t="s">
        <v>10055</v>
      </c>
      <c r="E3394" s="8"/>
    </row>
    <row r="3395" spans="1:5" x14ac:dyDescent="0.25">
      <c r="A3395" s="5" t="s">
        <v>8935</v>
      </c>
      <c r="B3395" s="9" t="str">
        <f t="shared" si="6"/>
        <v>25753</v>
      </c>
      <c r="C3395" s="8" t="s">
        <v>8936</v>
      </c>
      <c r="D3395" s="8" t="s">
        <v>10055</v>
      </c>
      <c r="E3395" s="8"/>
    </row>
    <row r="3396" spans="1:5" x14ac:dyDescent="0.25">
      <c r="A3396" s="5" t="s">
        <v>8937</v>
      </c>
      <c r="B3396" s="9" t="str">
        <f t="shared" si="6"/>
        <v>25753</v>
      </c>
      <c r="C3396" s="8" t="s">
        <v>8938</v>
      </c>
      <c r="D3396" s="8" t="s">
        <v>10055</v>
      </c>
      <c r="E3396" s="8"/>
    </row>
    <row r="3397" spans="1:5" x14ac:dyDescent="0.25">
      <c r="A3397" s="5" t="s">
        <v>8939</v>
      </c>
      <c r="B3397" s="9" t="str">
        <f t="shared" si="6"/>
        <v>25753</v>
      </c>
      <c r="C3397" s="8" t="s">
        <v>8940</v>
      </c>
      <c r="D3397" s="8" t="s">
        <v>10055</v>
      </c>
      <c r="E3397" s="8"/>
    </row>
    <row r="3398" spans="1:5" x14ac:dyDescent="0.25">
      <c r="A3398" s="5" t="s">
        <v>8941</v>
      </c>
      <c r="B3398" s="9" t="str">
        <f t="shared" si="6"/>
        <v>25753</v>
      </c>
      <c r="C3398" s="8" t="s">
        <v>8942</v>
      </c>
      <c r="D3398" s="8" t="s">
        <v>10055</v>
      </c>
      <c r="E3398" s="8"/>
    </row>
    <row r="3399" spans="1:5" x14ac:dyDescent="0.25">
      <c r="A3399" s="5" t="s">
        <v>8943</v>
      </c>
      <c r="B3399" s="9" t="str">
        <f t="shared" si="6"/>
        <v>25753</v>
      </c>
      <c r="C3399" s="8" t="s">
        <v>8944</v>
      </c>
      <c r="D3399" s="8" t="s">
        <v>10055</v>
      </c>
      <c r="E3399" s="8"/>
    </row>
    <row r="3400" spans="1:5" x14ac:dyDescent="0.25">
      <c r="A3400" s="5" t="s">
        <v>8945</v>
      </c>
      <c r="B3400" s="9" t="str">
        <f t="shared" si="6"/>
        <v>25753</v>
      </c>
      <c r="C3400" s="8" t="s">
        <v>8946</v>
      </c>
      <c r="D3400" s="8" t="s">
        <v>10055</v>
      </c>
      <c r="E3400" s="8"/>
    </row>
    <row r="3401" spans="1:5" x14ac:dyDescent="0.25">
      <c r="A3401" s="5" t="s">
        <v>8947</v>
      </c>
      <c r="B3401" s="9" t="str">
        <f t="shared" si="6"/>
        <v>25753</v>
      </c>
      <c r="C3401" s="8" t="s">
        <v>8948</v>
      </c>
      <c r="D3401" s="8" t="s">
        <v>10055</v>
      </c>
      <c r="E3401" s="8"/>
    </row>
    <row r="3402" spans="1:5" x14ac:dyDescent="0.25">
      <c r="A3402" s="5" t="s">
        <v>8949</v>
      </c>
      <c r="B3402" s="9" t="str">
        <f t="shared" si="6"/>
        <v>25753</v>
      </c>
      <c r="C3402" s="8" t="s">
        <v>8950</v>
      </c>
      <c r="D3402" s="8" t="s">
        <v>10055</v>
      </c>
      <c r="E3402" s="8"/>
    </row>
    <row r="3403" spans="1:5" x14ac:dyDescent="0.25">
      <c r="A3403" s="5" t="s">
        <v>8951</v>
      </c>
      <c r="B3403" s="9" t="str">
        <f t="shared" si="6"/>
        <v>25753</v>
      </c>
      <c r="C3403" s="8" t="s">
        <v>8952</v>
      </c>
      <c r="D3403" s="8" t="s">
        <v>10055</v>
      </c>
      <c r="E3403" s="8"/>
    </row>
    <row r="3404" spans="1:5" x14ac:dyDescent="0.25">
      <c r="A3404" s="5" t="s">
        <v>8953</v>
      </c>
      <c r="B3404" s="9" t="str">
        <f t="shared" si="6"/>
        <v>25753</v>
      </c>
      <c r="C3404" s="8" t="s">
        <v>8954</v>
      </c>
      <c r="D3404" s="8" t="s">
        <v>10055</v>
      </c>
      <c r="E3404" s="8"/>
    </row>
    <row r="3405" spans="1:5" x14ac:dyDescent="0.25">
      <c r="A3405" s="5" t="s">
        <v>8955</v>
      </c>
      <c r="B3405" s="9" t="str">
        <f t="shared" si="6"/>
        <v>25753</v>
      </c>
      <c r="C3405" s="8" t="s">
        <v>8956</v>
      </c>
      <c r="D3405" s="8" t="s">
        <v>10055</v>
      </c>
      <c r="E3405" s="8"/>
    </row>
    <row r="3406" spans="1:5" x14ac:dyDescent="0.25">
      <c r="A3406" s="5" t="s">
        <v>8957</v>
      </c>
      <c r="B3406" s="9" t="str">
        <f t="shared" si="6"/>
        <v>25753</v>
      </c>
      <c r="C3406" s="8" t="s">
        <v>8958</v>
      </c>
      <c r="D3406" s="8" t="s">
        <v>10055</v>
      </c>
      <c r="E3406" s="8"/>
    </row>
    <row r="3407" spans="1:5" x14ac:dyDescent="0.25">
      <c r="A3407" s="5" t="s">
        <v>8959</v>
      </c>
      <c r="B3407" s="9" t="str">
        <f t="shared" si="6"/>
        <v>25753</v>
      </c>
      <c r="C3407" s="8" t="s">
        <v>8960</v>
      </c>
      <c r="D3407" s="8" t="s">
        <v>10055</v>
      </c>
      <c r="E3407" s="8"/>
    </row>
    <row r="3408" spans="1:5" x14ac:dyDescent="0.25">
      <c r="A3408" s="5" t="s">
        <v>8961</v>
      </c>
      <c r="B3408" s="9" t="str">
        <f t="shared" si="6"/>
        <v>25753</v>
      </c>
      <c r="C3408" s="8" t="s">
        <v>8962</v>
      </c>
      <c r="D3408" s="8" t="s">
        <v>10055</v>
      </c>
      <c r="E3408" s="8"/>
    </row>
    <row r="3409" spans="1:5" x14ac:dyDescent="0.25">
      <c r="A3409" s="5" t="s">
        <v>8963</v>
      </c>
      <c r="B3409" s="9" t="str">
        <f t="shared" si="6"/>
        <v>25753</v>
      </c>
      <c r="C3409" s="8" t="s">
        <v>8964</v>
      </c>
      <c r="D3409" s="8" t="s">
        <v>10055</v>
      </c>
      <c r="E3409" s="8"/>
    </row>
    <row r="3410" spans="1:5" x14ac:dyDescent="0.25">
      <c r="A3410" s="5" t="s">
        <v>8965</v>
      </c>
      <c r="B3410" s="9" t="str">
        <f t="shared" si="6"/>
        <v>25753</v>
      </c>
      <c r="C3410" s="8" t="s">
        <v>8966</v>
      </c>
      <c r="D3410" s="8" t="s">
        <v>10055</v>
      </c>
      <c r="E3410" s="8"/>
    </row>
    <row r="3411" spans="1:5" x14ac:dyDescent="0.25">
      <c r="A3411" s="5" t="s">
        <v>8967</v>
      </c>
      <c r="B3411" s="9" t="str">
        <f t="shared" si="6"/>
        <v>25753</v>
      </c>
      <c r="C3411" s="8" t="s">
        <v>8968</v>
      </c>
      <c r="D3411" s="8" t="s">
        <v>10055</v>
      </c>
      <c r="E3411" s="8"/>
    </row>
    <row r="3412" spans="1:5" x14ac:dyDescent="0.25">
      <c r="A3412" s="5" t="s">
        <v>8969</v>
      </c>
      <c r="B3412" s="9" t="str">
        <f t="shared" si="6"/>
        <v>25753</v>
      </c>
      <c r="C3412" s="8" t="s">
        <v>8970</v>
      </c>
      <c r="D3412" s="8" t="s">
        <v>10055</v>
      </c>
      <c r="E3412" s="8"/>
    </row>
    <row r="3413" spans="1:5" x14ac:dyDescent="0.25">
      <c r="A3413" s="5" t="s">
        <v>8971</v>
      </c>
      <c r="B3413" s="9" t="str">
        <f t="shared" si="6"/>
        <v>25753</v>
      </c>
      <c r="C3413" s="8" t="s">
        <v>8972</v>
      </c>
      <c r="D3413" s="8" t="s">
        <v>10055</v>
      </c>
      <c r="E3413" s="8"/>
    </row>
    <row r="3414" spans="1:5" x14ac:dyDescent="0.25">
      <c r="A3414" s="5" t="s">
        <v>8973</v>
      </c>
      <c r="B3414" s="9" t="str">
        <f t="shared" si="6"/>
        <v>25753</v>
      </c>
      <c r="C3414" s="8" t="s">
        <v>8974</v>
      </c>
      <c r="D3414" s="8" t="s">
        <v>10055</v>
      </c>
      <c r="E3414" s="8"/>
    </row>
    <row r="3415" spans="1:5" x14ac:dyDescent="0.25">
      <c r="A3415" s="5" t="s">
        <v>8975</v>
      </c>
      <c r="B3415" s="9" t="str">
        <f t="shared" si="6"/>
        <v>25753</v>
      </c>
      <c r="C3415" s="8" t="s">
        <v>8976</v>
      </c>
      <c r="D3415" s="8" t="s">
        <v>10055</v>
      </c>
      <c r="E3415" s="8"/>
    </row>
    <row r="3416" spans="1:5" x14ac:dyDescent="0.25">
      <c r="A3416" s="5" t="s">
        <v>8977</v>
      </c>
      <c r="B3416" s="9" t="str">
        <f t="shared" si="6"/>
        <v>25753</v>
      </c>
      <c r="C3416" s="8" t="s">
        <v>8978</v>
      </c>
      <c r="D3416" s="8" t="s">
        <v>10055</v>
      </c>
      <c r="E3416" s="8"/>
    </row>
    <row r="3417" spans="1:5" x14ac:dyDescent="0.25">
      <c r="A3417" s="5" t="s">
        <v>8979</v>
      </c>
      <c r="B3417" s="9" t="str">
        <f t="shared" si="6"/>
        <v>25753</v>
      </c>
      <c r="C3417" s="8" t="s">
        <v>8980</v>
      </c>
      <c r="D3417" s="8" t="s">
        <v>10055</v>
      </c>
      <c r="E3417" s="8"/>
    </row>
    <row r="3418" spans="1:5" x14ac:dyDescent="0.25">
      <c r="A3418" s="5" t="s">
        <v>8981</v>
      </c>
      <c r="B3418" s="9" t="str">
        <f t="shared" si="6"/>
        <v>25753</v>
      </c>
      <c r="C3418" s="8" t="s">
        <v>8982</v>
      </c>
      <c r="D3418" s="8" t="s">
        <v>10055</v>
      </c>
      <c r="E3418" s="8"/>
    </row>
    <row r="3419" spans="1:5" x14ac:dyDescent="0.25">
      <c r="A3419" s="5" t="s">
        <v>8983</v>
      </c>
      <c r="B3419" s="9" t="str">
        <f t="shared" si="6"/>
        <v>25753</v>
      </c>
      <c r="C3419" s="8" t="s">
        <v>8984</v>
      </c>
      <c r="D3419" s="8" t="s">
        <v>10055</v>
      </c>
      <c r="E3419" s="8"/>
    </row>
    <row r="3420" spans="1:5" x14ac:dyDescent="0.25">
      <c r="A3420" s="5" t="s">
        <v>8985</v>
      </c>
      <c r="B3420" s="9" t="str">
        <f t="shared" si="6"/>
        <v>25753</v>
      </c>
      <c r="C3420" s="8" t="s">
        <v>8986</v>
      </c>
      <c r="D3420" s="8" t="s">
        <v>10055</v>
      </c>
      <c r="E3420" s="8"/>
    </row>
    <row r="3421" spans="1:5" x14ac:dyDescent="0.25">
      <c r="A3421" s="5" t="s">
        <v>8987</v>
      </c>
      <c r="B3421" s="9" t="str">
        <f t="shared" si="6"/>
        <v>25753</v>
      </c>
      <c r="C3421" s="8" t="s">
        <v>8988</v>
      </c>
      <c r="D3421" s="8" t="s">
        <v>10055</v>
      </c>
      <c r="E3421" s="8"/>
    </row>
    <row r="3422" spans="1:5" x14ac:dyDescent="0.25">
      <c r="A3422" s="5" t="s">
        <v>8989</v>
      </c>
      <c r="B3422" s="9" t="str">
        <f t="shared" si="6"/>
        <v>25753</v>
      </c>
      <c r="C3422" s="8" t="s">
        <v>8990</v>
      </c>
      <c r="D3422" s="8" t="s">
        <v>10055</v>
      </c>
      <c r="E3422" s="8"/>
    </row>
    <row r="3423" spans="1:5" x14ac:dyDescent="0.25">
      <c r="A3423" s="5" t="s">
        <v>8991</v>
      </c>
      <c r="B3423" s="9" t="str">
        <f t="shared" si="6"/>
        <v>25753</v>
      </c>
      <c r="C3423" s="8" t="s">
        <v>8992</v>
      </c>
      <c r="D3423" s="8" t="s">
        <v>10055</v>
      </c>
      <c r="E3423" s="8"/>
    </row>
    <row r="3424" spans="1:5" x14ac:dyDescent="0.25">
      <c r="A3424" s="5" t="s">
        <v>8993</v>
      </c>
      <c r="B3424" s="9" t="str">
        <f t="shared" si="6"/>
        <v>25753</v>
      </c>
      <c r="C3424" s="8" t="s">
        <v>8994</v>
      </c>
      <c r="D3424" s="8" t="s">
        <v>10055</v>
      </c>
      <c r="E3424" s="8"/>
    </row>
    <row r="3425" spans="1:5" x14ac:dyDescent="0.25">
      <c r="A3425" s="5" t="s">
        <v>8995</v>
      </c>
      <c r="B3425" s="9" t="str">
        <f t="shared" si="6"/>
        <v>25753</v>
      </c>
      <c r="C3425" s="8" t="s">
        <v>8996</v>
      </c>
      <c r="D3425" s="8" t="s">
        <v>10055</v>
      </c>
      <c r="E3425" s="8"/>
    </row>
    <row r="3426" spans="1:5" x14ac:dyDescent="0.25">
      <c r="A3426" s="5" t="s">
        <v>8997</v>
      </c>
      <c r="B3426" s="9" t="str">
        <f t="shared" si="6"/>
        <v>25753</v>
      </c>
      <c r="C3426" s="8" t="s">
        <v>8998</v>
      </c>
      <c r="D3426" s="8" t="s">
        <v>10055</v>
      </c>
      <c r="E3426" s="8"/>
    </row>
    <row r="3427" spans="1:5" x14ac:dyDescent="0.25">
      <c r="A3427" s="5" t="s">
        <v>8999</v>
      </c>
      <c r="B3427" s="9" t="str">
        <f t="shared" si="6"/>
        <v>25753</v>
      </c>
      <c r="C3427" s="8" t="s">
        <v>9000</v>
      </c>
      <c r="D3427" s="8" t="s">
        <v>10055</v>
      </c>
      <c r="E3427" s="8"/>
    </row>
    <row r="3428" spans="1:5" x14ac:dyDescent="0.25">
      <c r="A3428" s="5" t="s">
        <v>9001</v>
      </c>
      <c r="B3428" s="9" t="str">
        <f t="shared" si="6"/>
        <v>25753</v>
      </c>
      <c r="C3428" s="8" t="s">
        <v>9002</v>
      </c>
      <c r="D3428" s="8" t="s">
        <v>10055</v>
      </c>
      <c r="E3428" s="8"/>
    </row>
    <row r="3429" spans="1:5" x14ac:dyDescent="0.25">
      <c r="A3429" s="5" t="s">
        <v>9003</v>
      </c>
      <c r="B3429" s="9" t="str">
        <f t="shared" si="6"/>
        <v>25753</v>
      </c>
      <c r="C3429" s="8" t="s">
        <v>9004</v>
      </c>
      <c r="D3429" s="8" t="s">
        <v>10055</v>
      </c>
      <c r="E3429" s="8"/>
    </row>
    <row r="3430" spans="1:5" x14ac:dyDescent="0.25">
      <c r="A3430" s="5" t="s">
        <v>9005</v>
      </c>
      <c r="B3430" s="9" t="str">
        <f t="shared" si="6"/>
        <v>25753</v>
      </c>
      <c r="C3430" s="8" t="s">
        <v>9006</v>
      </c>
      <c r="D3430" s="8" t="s">
        <v>10055</v>
      </c>
      <c r="E3430" s="8"/>
    </row>
    <row r="3431" spans="1:5" x14ac:dyDescent="0.25">
      <c r="A3431" s="5" t="s">
        <v>9007</v>
      </c>
      <c r="B3431" s="9" t="str">
        <f t="shared" si="6"/>
        <v>25753</v>
      </c>
      <c r="C3431" s="8" t="s">
        <v>9008</v>
      </c>
      <c r="D3431" s="8" t="s">
        <v>10055</v>
      </c>
      <c r="E3431" s="8"/>
    </row>
    <row r="3432" spans="1:5" x14ac:dyDescent="0.25">
      <c r="A3432" s="5" t="s">
        <v>9009</v>
      </c>
      <c r="B3432" s="9" t="str">
        <f t="shared" si="6"/>
        <v>25753</v>
      </c>
      <c r="C3432" s="8" t="s">
        <v>9010</v>
      </c>
      <c r="D3432" s="8" t="s">
        <v>10055</v>
      </c>
      <c r="E3432" s="8"/>
    </row>
    <row r="3433" spans="1:5" x14ac:dyDescent="0.25">
      <c r="A3433" s="5" t="s">
        <v>9011</v>
      </c>
      <c r="B3433" s="9" t="str">
        <f t="shared" si="6"/>
        <v>25753</v>
      </c>
      <c r="C3433" s="8" t="s">
        <v>9012</v>
      </c>
      <c r="D3433" s="8" t="s">
        <v>10055</v>
      </c>
      <c r="E3433" s="8"/>
    </row>
    <row r="3434" spans="1:5" x14ac:dyDescent="0.25">
      <c r="A3434" s="5" t="s">
        <v>9013</v>
      </c>
      <c r="B3434" s="9" t="str">
        <f t="shared" si="6"/>
        <v>25753</v>
      </c>
      <c r="C3434" s="8" t="s">
        <v>9014</v>
      </c>
      <c r="D3434" s="8" t="s">
        <v>10055</v>
      </c>
      <c r="E3434" s="8"/>
    </row>
    <row r="3435" spans="1:5" x14ac:dyDescent="0.25">
      <c r="A3435" s="5" t="s">
        <v>9015</v>
      </c>
      <c r="B3435" s="9" t="str">
        <f t="shared" si="6"/>
        <v>25753</v>
      </c>
      <c r="C3435" s="8" t="s">
        <v>9016</v>
      </c>
      <c r="D3435" s="8" t="s">
        <v>10055</v>
      </c>
      <c r="E3435" s="8"/>
    </row>
    <row r="3436" spans="1:5" x14ac:dyDescent="0.25">
      <c r="A3436" s="5" t="s">
        <v>9017</v>
      </c>
      <c r="B3436" s="9" t="str">
        <f t="shared" si="6"/>
        <v>25753</v>
      </c>
      <c r="C3436" s="8" t="s">
        <v>9018</v>
      </c>
      <c r="D3436" s="8" t="s">
        <v>10055</v>
      </c>
      <c r="E3436" s="8"/>
    </row>
    <row r="3437" spans="1:5" x14ac:dyDescent="0.25">
      <c r="A3437" s="5" t="s">
        <v>9019</v>
      </c>
      <c r="B3437" s="9" t="str">
        <f t="shared" si="6"/>
        <v>25753</v>
      </c>
      <c r="C3437" s="8" t="s">
        <v>9020</v>
      </c>
      <c r="D3437" s="8" t="s">
        <v>10055</v>
      </c>
      <c r="E3437" s="8"/>
    </row>
    <row r="3438" spans="1:5" x14ac:dyDescent="0.25">
      <c r="A3438" s="5" t="s">
        <v>9021</v>
      </c>
      <c r="B3438" s="9" t="str">
        <f t="shared" si="6"/>
        <v>25753</v>
      </c>
      <c r="C3438" s="8" t="s">
        <v>9022</v>
      </c>
      <c r="D3438" s="8" t="s">
        <v>10055</v>
      </c>
      <c r="E3438" s="8"/>
    </row>
    <row r="3439" spans="1:5" x14ac:dyDescent="0.25">
      <c r="A3439" s="5" t="s">
        <v>9023</v>
      </c>
      <c r="B3439" s="9" t="str">
        <f t="shared" si="6"/>
        <v>25753</v>
      </c>
      <c r="C3439" s="8" t="s">
        <v>9024</v>
      </c>
      <c r="D3439" s="8" t="s">
        <v>10055</v>
      </c>
      <c r="E3439" s="8"/>
    </row>
    <row r="3440" spans="1:5" x14ac:dyDescent="0.25">
      <c r="A3440" s="5" t="s">
        <v>9025</v>
      </c>
      <c r="B3440" s="9" t="str">
        <f t="shared" si="6"/>
        <v>25753</v>
      </c>
      <c r="C3440" s="8" t="s">
        <v>9026</v>
      </c>
      <c r="D3440" s="8" t="s">
        <v>10055</v>
      </c>
      <c r="E3440" s="8"/>
    </row>
    <row r="3441" spans="1:5" x14ac:dyDescent="0.25">
      <c r="A3441" s="5" t="s">
        <v>9027</v>
      </c>
      <c r="B3441" s="9" t="str">
        <f t="shared" si="6"/>
        <v>25753</v>
      </c>
      <c r="C3441" s="8" t="s">
        <v>9028</v>
      </c>
      <c r="D3441" s="8" t="s">
        <v>10055</v>
      </c>
      <c r="E3441" s="8"/>
    </row>
    <row r="3442" spans="1:5" x14ac:dyDescent="0.25">
      <c r="A3442" s="5" t="s">
        <v>9029</v>
      </c>
      <c r="B3442" s="9" t="str">
        <f t="shared" si="6"/>
        <v>25753</v>
      </c>
      <c r="C3442" s="8" t="s">
        <v>9030</v>
      </c>
      <c r="D3442" s="8" t="s">
        <v>10055</v>
      </c>
      <c r="E3442" s="8"/>
    </row>
    <row r="3443" spans="1:5" x14ac:dyDescent="0.25">
      <c r="A3443" s="5" t="s">
        <v>9031</v>
      </c>
      <c r="B3443" s="9" t="str">
        <f t="shared" si="6"/>
        <v>25753</v>
      </c>
      <c r="C3443" s="8" t="s">
        <v>9032</v>
      </c>
      <c r="D3443" s="8" t="s">
        <v>10055</v>
      </c>
      <c r="E3443" s="8"/>
    </row>
    <row r="3444" spans="1:5" x14ac:dyDescent="0.25">
      <c r="A3444" s="5" t="s">
        <v>9033</v>
      </c>
      <c r="B3444" s="9" t="str">
        <f t="shared" si="6"/>
        <v>25753</v>
      </c>
      <c r="C3444" s="8" t="s">
        <v>9034</v>
      </c>
      <c r="D3444" s="8" t="s">
        <v>10055</v>
      </c>
      <c r="E3444" s="8"/>
    </row>
    <row r="3445" spans="1:5" x14ac:dyDescent="0.25">
      <c r="A3445" s="5" t="s">
        <v>9035</v>
      </c>
      <c r="B3445" s="9" t="str">
        <f t="shared" si="6"/>
        <v>25753</v>
      </c>
      <c r="C3445" s="8" t="s">
        <v>9036</v>
      </c>
      <c r="D3445" s="8" t="s">
        <v>10055</v>
      </c>
      <c r="E3445" s="8"/>
    </row>
    <row r="3446" spans="1:5" x14ac:dyDescent="0.25">
      <c r="A3446" s="5" t="s">
        <v>9037</v>
      </c>
      <c r="B3446" s="9" t="str">
        <f t="shared" si="6"/>
        <v>25753</v>
      </c>
      <c r="C3446" s="8" t="s">
        <v>9038</v>
      </c>
      <c r="D3446" s="8" t="s">
        <v>10055</v>
      </c>
      <c r="E3446" s="8"/>
    </row>
    <row r="3447" spans="1:5" x14ac:dyDescent="0.25">
      <c r="A3447" s="5" t="s">
        <v>9039</v>
      </c>
      <c r="B3447" s="9" t="str">
        <f t="shared" si="6"/>
        <v>25753</v>
      </c>
      <c r="C3447" s="8" t="s">
        <v>9040</v>
      </c>
      <c r="D3447" s="8" t="s">
        <v>10055</v>
      </c>
      <c r="E3447" s="8"/>
    </row>
    <row r="3448" spans="1:5" x14ac:dyDescent="0.25">
      <c r="A3448" s="5" t="s">
        <v>9041</v>
      </c>
      <c r="B3448" s="9" t="str">
        <f t="shared" si="6"/>
        <v>25753</v>
      </c>
      <c r="C3448" s="8" t="s">
        <v>9042</v>
      </c>
      <c r="D3448" s="8" t="s">
        <v>10055</v>
      </c>
      <c r="E3448" s="8"/>
    </row>
    <row r="3449" spans="1:5" x14ac:dyDescent="0.25">
      <c r="A3449" s="5" t="s">
        <v>9043</v>
      </c>
      <c r="B3449" s="9" t="str">
        <f t="shared" si="6"/>
        <v>25753</v>
      </c>
      <c r="C3449" s="8" t="s">
        <v>9044</v>
      </c>
      <c r="D3449" s="8" t="s">
        <v>10055</v>
      </c>
      <c r="E3449" s="8"/>
    </row>
    <row r="3450" spans="1:5" x14ac:dyDescent="0.25">
      <c r="A3450" s="5" t="s">
        <v>9045</v>
      </c>
      <c r="B3450" s="9" t="str">
        <f t="shared" si="6"/>
        <v>25753</v>
      </c>
      <c r="C3450" s="8" t="s">
        <v>9046</v>
      </c>
      <c r="D3450" s="8" t="s">
        <v>10055</v>
      </c>
      <c r="E3450" s="8"/>
    </row>
    <row r="3451" spans="1:5" x14ac:dyDescent="0.25">
      <c r="A3451" s="5" t="s">
        <v>9047</v>
      </c>
      <c r="B3451" s="9" t="str">
        <f t="shared" ref="B3451:B3705" si="7">HYPERLINK("http://biobank.ctsu.ox.ac.uk/crystal/field.cgi?id=25753", "25753")</f>
        <v>25753</v>
      </c>
      <c r="C3451" s="8" t="s">
        <v>9048</v>
      </c>
      <c r="D3451" s="8" t="s">
        <v>10055</v>
      </c>
      <c r="E3451" s="8"/>
    </row>
    <row r="3452" spans="1:5" x14ac:dyDescent="0.25">
      <c r="A3452" s="5" t="s">
        <v>9049</v>
      </c>
      <c r="B3452" s="9" t="str">
        <f t="shared" si="7"/>
        <v>25753</v>
      </c>
      <c r="C3452" s="8" t="s">
        <v>9050</v>
      </c>
      <c r="D3452" s="8" t="s">
        <v>10055</v>
      </c>
      <c r="E3452" s="8"/>
    </row>
    <row r="3453" spans="1:5" x14ac:dyDescent="0.25">
      <c r="A3453" s="5" t="s">
        <v>9051</v>
      </c>
      <c r="B3453" s="9" t="str">
        <f t="shared" si="7"/>
        <v>25753</v>
      </c>
      <c r="C3453" s="8" t="s">
        <v>9052</v>
      </c>
      <c r="D3453" s="8" t="s">
        <v>10055</v>
      </c>
      <c r="E3453" s="8"/>
    </row>
    <row r="3454" spans="1:5" x14ac:dyDescent="0.25">
      <c r="A3454" s="5" t="s">
        <v>9053</v>
      </c>
      <c r="B3454" s="9" t="str">
        <f t="shared" si="7"/>
        <v>25753</v>
      </c>
      <c r="C3454" s="8" t="s">
        <v>9054</v>
      </c>
      <c r="D3454" s="8" t="s">
        <v>10055</v>
      </c>
      <c r="E3454" s="8"/>
    </row>
    <row r="3455" spans="1:5" x14ac:dyDescent="0.25">
      <c r="A3455" s="5" t="s">
        <v>9055</v>
      </c>
      <c r="B3455" s="9" t="str">
        <f t="shared" si="7"/>
        <v>25753</v>
      </c>
      <c r="C3455" s="8" t="s">
        <v>9056</v>
      </c>
      <c r="D3455" s="8" t="s">
        <v>10055</v>
      </c>
      <c r="E3455" s="8"/>
    </row>
    <row r="3456" spans="1:5" x14ac:dyDescent="0.25">
      <c r="A3456" s="5" t="s">
        <v>9057</v>
      </c>
      <c r="B3456" s="9" t="str">
        <f t="shared" si="7"/>
        <v>25753</v>
      </c>
      <c r="C3456" s="8" t="s">
        <v>9058</v>
      </c>
      <c r="D3456" s="8" t="s">
        <v>10055</v>
      </c>
      <c r="E3456" s="8"/>
    </row>
    <row r="3457" spans="1:5" x14ac:dyDescent="0.25">
      <c r="A3457" s="5" t="s">
        <v>9059</v>
      </c>
      <c r="B3457" s="9" t="str">
        <f t="shared" si="7"/>
        <v>25753</v>
      </c>
      <c r="C3457" s="8" t="s">
        <v>9060</v>
      </c>
      <c r="D3457" s="8" t="s">
        <v>10055</v>
      </c>
      <c r="E3457" s="8"/>
    </row>
    <row r="3458" spans="1:5" x14ac:dyDescent="0.25">
      <c r="A3458" s="5" t="s">
        <v>9061</v>
      </c>
      <c r="B3458" s="9" t="str">
        <f t="shared" si="7"/>
        <v>25753</v>
      </c>
      <c r="C3458" s="8" t="s">
        <v>9062</v>
      </c>
      <c r="D3458" s="8" t="s">
        <v>10055</v>
      </c>
      <c r="E3458" s="8"/>
    </row>
    <row r="3459" spans="1:5" x14ac:dyDescent="0.25">
      <c r="A3459" s="5" t="s">
        <v>9063</v>
      </c>
      <c r="B3459" s="9" t="str">
        <f t="shared" si="7"/>
        <v>25753</v>
      </c>
      <c r="C3459" s="8" t="s">
        <v>9064</v>
      </c>
      <c r="D3459" s="8" t="s">
        <v>10055</v>
      </c>
      <c r="E3459" s="8"/>
    </row>
    <row r="3460" spans="1:5" x14ac:dyDescent="0.25">
      <c r="A3460" s="5" t="s">
        <v>9065</v>
      </c>
      <c r="B3460" s="9" t="str">
        <f t="shared" si="7"/>
        <v>25753</v>
      </c>
      <c r="C3460" s="8" t="s">
        <v>9066</v>
      </c>
      <c r="D3460" s="8" t="s">
        <v>10055</v>
      </c>
      <c r="E3460" s="8"/>
    </row>
    <row r="3461" spans="1:5" x14ac:dyDescent="0.25">
      <c r="A3461" s="5" t="s">
        <v>9067</v>
      </c>
      <c r="B3461" s="9" t="str">
        <f t="shared" si="7"/>
        <v>25753</v>
      </c>
      <c r="C3461" s="8" t="s">
        <v>9068</v>
      </c>
      <c r="D3461" s="8" t="s">
        <v>10055</v>
      </c>
      <c r="E3461" s="8"/>
    </row>
    <row r="3462" spans="1:5" x14ac:dyDescent="0.25">
      <c r="A3462" s="5" t="s">
        <v>9069</v>
      </c>
      <c r="B3462" s="9" t="str">
        <f t="shared" si="7"/>
        <v>25753</v>
      </c>
      <c r="C3462" s="8" t="s">
        <v>9070</v>
      </c>
      <c r="D3462" s="8" t="s">
        <v>10055</v>
      </c>
      <c r="E3462" s="8"/>
    </row>
    <row r="3463" spans="1:5" x14ac:dyDescent="0.25">
      <c r="A3463" s="5" t="s">
        <v>9071</v>
      </c>
      <c r="B3463" s="9" t="str">
        <f t="shared" si="7"/>
        <v>25753</v>
      </c>
      <c r="C3463" s="8" t="s">
        <v>9072</v>
      </c>
      <c r="D3463" s="8" t="s">
        <v>10055</v>
      </c>
      <c r="E3463" s="8"/>
    </row>
    <row r="3464" spans="1:5" x14ac:dyDescent="0.25">
      <c r="A3464" s="5" t="s">
        <v>9073</v>
      </c>
      <c r="B3464" s="9" t="str">
        <f t="shared" si="7"/>
        <v>25753</v>
      </c>
      <c r="C3464" s="8" t="s">
        <v>9074</v>
      </c>
      <c r="D3464" s="8" t="s">
        <v>10055</v>
      </c>
      <c r="E3464" s="8"/>
    </row>
    <row r="3465" spans="1:5" x14ac:dyDescent="0.25">
      <c r="A3465" s="5" t="s">
        <v>9075</v>
      </c>
      <c r="B3465" s="9" t="str">
        <f t="shared" si="7"/>
        <v>25753</v>
      </c>
      <c r="C3465" s="8" t="s">
        <v>9076</v>
      </c>
      <c r="D3465" s="8" t="s">
        <v>10055</v>
      </c>
      <c r="E3465" s="8"/>
    </row>
    <row r="3466" spans="1:5" x14ac:dyDescent="0.25">
      <c r="A3466" s="5" t="s">
        <v>9077</v>
      </c>
      <c r="B3466" s="9" t="str">
        <f t="shared" si="7"/>
        <v>25753</v>
      </c>
      <c r="C3466" s="8" t="s">
        <v>9078</v>
      </c>
      <c r="D3466" s="8" t="s">
        <v>10055</v>
      </c>
      <c r="E3466" s="8"/>
    </row>
    <row r="3467" spans="1:5" x14ac:dyDescent="0.25">
      <c r="A3467" s="5" t="s">
        <v>9079</v>
      </c>
      <c r="B3467" s="9" t="str">
        <f t="shared" si="7"/>
        <v>25753</v>
      </c>
      <c r="C3467" s="8" t="s">
        <v>9080</v>
      </c>
      <c r="D3467" s="8" t="s">
        <v>10055</v>
      </c>
      <c r="E3467" s="8"/>
    </row>
    <row r="3468" spans="1:5" x14ac:dyDescent="0.25">
      <c r="A3468" s="5" t="s">
        <v>9081</v>
      </c>
      <c r="B3468" s="9" t="str">
        <f t="shared" si="7"/>
        <v>25753</v>
      </c>
      <c r="C3468" s="8" t="s">
        <v>9082</v>
      </c>
      <c r="D3468" s="8" t="s">
        <v>10055</v>
      </c>
      <c r="E3468" s="8"/>
    </row>
    <row r="3469" spans="1:5" x14ac:dyDescent="0.25">
      <c r="A3469" s="5" t="s">
        <v>9083</v>
      </c>
      <c r="B3469" s="9" t="str">
        <f t="shared" si="7"/>
        <v>25753</v>
      </c>
      <c r="C3469" s="8" t="s">
        <v>9084</v>
      </c>
      <c r="D3469" s="8" t="s">
        <v>10055</v>
      </c>
      <c r="E3469" s="8"/>
    </row>
    <row r="3470" spans="1:5" x14ac:dyDescent="0.25">
      <c r="A3470" s="5" t="s">
        <v>9085</v>
      </c>
      <c r="B3470" s="9" t="str">
        <f t="shared" si="7"/>
        <v>25753</v>
      </c>
      <c r="C3470" s="8" t="s">
        <v>9086</v>
      </c>
      <c r="D3470" s="8" t="s">
        <v>10055</v>
      </c>
      <c r="E3470" s="8"/>
    </row>
    <row r="3471" spans="1:5" x14ac:dyDescent="0.25">
      <c r="A3471" s="5" t="s">
        <v>9087</v>
      </c>
      <c r="B3471" s="9" t="str">
        <f t="shared" si="7"/>
        <v>25753</v>
      </c>
      <c r="C3471" s="8" t="s">
        <v>9088</v>
      </c>
      <c r="D3471" s="8" t="s">
        <v>10055</v>
      </c>
      <c r="E3471" s="8"/>
    </row>
    <row r="3472" spans="1:5" x14ac:dyDescent="0.25">
      <c r="A3472" s="5" t="s">
        <v>9089</v>
      </c>
      <c r="B3472" s="9" t="str">
        <f t="shared" si="7"/>
        <v>25753</v>
      </c>
      <c r="C3472" s="8" t="s">
        <v>9090</v>
      </c>
      <c r="D3472" s="8" t="s">
        <v>10055</v>
      </c>
      <c r="E3472" s="8"/>
    </row>
    <row r="3473" spans="1:5" x14ac:dyDescent="0.25">
      <c r="A3473" s="5" t="s">
        <v>9091</v>
      </c>
      <c r="B3473" s="9" t="str">
        <f t="shared" si="7"/>
        <v>25753</v>
      </c>
      <c r="C3473" s="8" t="s">
        <v>9092</v>
      </c>
      <c r="D3473" s="8" t="s">
        <v>10055</v>
      </c>
      <c r="E3473" s="8"/>
    </row>
    <row r="3474" spans="1:5" x14ac:dyDescent="0.25">
      <c r="A3474" s="5" t="s">
        <v>9093</v>
      </c>
      <c r="B3474" s="9" t="str">
        <f t="shared" si="7"/>
        <v>25753</v>
      </c>
      <c r="C3474" s="8" t="s">
        <v>9094</v>
      </c>
      <c r="D3474" s="8" t="s">
        <v>10055</v>
      </c>
      <c r="E3474" s="8"/>
    </row>
    <row r="3475" spans="1:5" x14ac:dyDescent="0.25">
      <c r="A3475" s="5" t="s">
        <v>9095</v>
      </c>
      <c r="B3475" s="9" t="str">
        <f t="shared" si="7"/>
        <v>25753</v>
      </c>
      <c r="C3475" s="8" t="s">
        <v>9096</v>
      </c>
      <c r="D3475" s="8" t="s">
        <v>10055</v>
      </c>
      <c r="E3475" s="8"/>
    </row>
    <row r="3476" spans="1:5" x14ac:dyDescent="0.25">
      <c r="A3476" s="5" t="s">
        <v>9097</v>
      </c>
      <c r="B3476" s="9" t="str">
        <f t="shared" si="7"/>
        <v>25753</v>
      </c>
      <c r="C3476" s="8" t="s">
        <v>9098</v>
      </c>
      <c r="D3476" s="8" t="s">
        <v>10055</v>
      </c>
      <c r="E3476" s="8"/>
    </row>
    <row r="3477" spans="1:5" x14ac:dyDescent="0.25">
      <c r="A3477" s="5" t="s">
        <v>9099</v>
      </c>
      <c r="B3477" s="9" t="str">
        <f t="shared" si="7"/>
        <v>25753</v>
      </c>
      <c r="C3477" s="8" t="s">
        <v>9100</v>
      </c>
      <c r="D3477" s="8" t="s">
        <v>10055</v>
      </c>
      <c r="E3477" s="8"/>
    </row>
    <row r="3478" spans="1:5" x14ac:dyDescent="0.25">
      <c r="A3478" s="5" t="s">
        <v>9101</v>
      </c>
      <c r="B3478" s="9" t="str">
        <f t="shared" si="7"/>
        <v>25753</v>
      </c>
      <c r="C3478" s="8" t="s">
        <v>9102</v>
      </c>
      <c r="D3478" s="8" t="s">
        <v>10055</v>
      </c>
      <c r="E3478" s="8"/>
    </row>
    <row r="3479" spans="1:5" x14ac:dyDescent="0.25">
      <c r="A3479" s="5" t="s">
        <v>9103</v>
      </c>
      <c r="B3479" s="9" t="str">
        <f t="shared" si="7"/>
        <v>25753</v>
      </c>
      <c r="C3479" s="8" t="s">
        <v>9104</v>
      </c>
      <c r="D3479" s="8" t="s">
        <v>10055</v>
      </c>
      <c r="E3479" s="8"/>
    </row>
    <row r="3480" spans="1:5" x14ac:dyDescent="0.25">
      <c r="A3480" s="5" t="s">
        <v>9105</v>
      </c>
      <c r="B3480" s="9" t="str">
        <f t="shared" si="7"/>
        <v>25753</v>
      </c>
      <c r="C3480" s="8" t="s">
        <v>9106</v>
      </c>
      <c r="D3480" s="8" t="s">
        <v>10055</v>
      </c>
      <c r="E3480" s="8"/>
    </row>
    <row r="3481" spans="1:5" x14ac:dyDescent="0.25">
      <c r="A3481" s="5" t="s">
        <v>9107</v>
      </c>
      <c r="B3481" s="9" t="str">
        <f t="shared" si="7"/>
        <v>25753</v>
      </c>
      <c r="C3481" s="8" t="s">
        <v>9108</v>
      </c>
      <c r="D3481" s="8" t="s">
        <v>10055</v>
      </c>
      <c r="E3481" s="8"/>
    </row>
    <row r="3482" spans="1:5" x14ac:dyDescent="0.25">
      <c r="A3482" s="5" t="s">
        <v>9109</v>
      </c>
      <c r="B3482" s="9" t="str">
        <f t="shared" si="7"/>
        <v>25753</v>
      </c>
      <c r="C3482" s="8" t="s">
        <v>9110</v>
      </c>
      <c r="D3482" s="8" t="s">
        <v>10055</v>
      </c>
      <c r="E3482" s="8"/>
    </row>
    <row r="3483" spans="1:5" x14ac:dyDescent="0.25">
      <c r="A3483" s="5" t="s">
        <v>9111</v>
      </c>
      <c r="B3483" s="9" t="str">
        <f t="shared" si="7"/>
        <v>25753</v>
      </c>
      <c r="C3483" s="8" t="s">
        <v>9112</v>
      </c>
      <c r="D3483" s="8" t="s">
        <v>10055</v>
      </c>
      <c r="E3483" s="8"/>
    </row>
    <row r="3484" spans="1:5" x14ac:dyDescent="0.25">
      <c r="A3484" s="5" t="s">
        <v>9113</v>
      </c>
      <c r="B3484" s="9" t="str">
        <f t="shared" si="7"/>
        <v>25753</v>
      </c>
      <c r="C3484" s="8" t="s">
        <v>9114</v>
      </c>
      <c r="D3484" s="8" t="s">
        <v>10055</v>
      </c>
      <c r="E3484" s="8"/>
    </row>
    <row r="3485" spans="1:5" x14ac:dyDescent="0.25">
      <c r="A3485" s="5" t="s">
        <v>9115</v>
      </c>
      <c r="B3485" s="9" t="str">
        <f t="shared" si="7"/>
        <v>25753</v>
      </c>
      <c r="C3485" s="8" t="s">
        <v>9116</v>
      </c>
      <c r="D3485" s="8" t="s">
        <v>10055</v>
      </c>
      <c r="E3485" s="8"/>
    </row>
    <row r="3486" spans="1:5" x14ac:dyDescent="0.25">
      <c r="A3486" s="5" t="s">
        <v>9117</v>
      </c>
      <c r="B3486" s="9" t="str">
        <f t="shared" si="7"/>
        <v>25753</v>
      </c>
      <c r="C3486" s="8" t="s">
        <v>9118</v>
      </c>
      <c r="D3486" s="8" t="s">
        <v>10055</v>
      </c>
      <c r="E3486" s="8"/>
    </row>
    <row r="3487" spans="1:5" x14ac:dyDescent="0.25">
      <c r="A3487" s="5" t="s">
        <v>9119</v>
      </c>
      <c r="B3487" s="9" t="str">
        <f t="shared" si="7"/>
        <v>25753</v>
      </c>
      <c r="C3487" s="8" t="s">
        <v>9120</v>
      </c>
      <c r="D3487" s="8" t="s">
        <v>10055</v>
      </c>
      <c r="E3487" s="8"/>
    </row>
    <row r="3488" spans="1:5" x14ac:dyDescent="0.25">
      <c r="A3488" s="5" t="s">
        <v>9121</v>
      </c>
      <c r="B3488" s="9" t="str">
        <f t="shared" si="7"/>
        <v>25753</v>
      </c>
      <c r="C3488" s="8" t="s">
        <v>9122</v>
      </c>
      <c r="D3488" s="8" t="s">
        <v>10055</v>
      </c>
      <c r="E3488" s="8"/>
    </row>
    <row r="3489" spans="1:5" x14ac:dyDescent="0.25">
      <c r="A3489" s="5" t="s">
        <v>9123</v>
      </c>
      <c r="B3489" s="9" t="str">
        <f t="shared" si="7"/>
        <v>25753</v>
      </c>
      <c r="C3489" s="8" t="s">
        <v>9124</v>
      </c>
      <c r="D3489" s="8" t="s">
        <v>10055</v>
      </c>
      <c r="E3489" s="8"/>
    </row>
    <row r="3490" spans="1:5" x14ac:dyDescent="0.25">
      <c r="A3490" s="5" t="s">
        <v>9125</v>
      </c>
      <c r="B3490" s="9" t="str">
        <f t="shared" si="7"/>
        <v>25753</v>
      </c>
      <c r="C3490" s="8" t="s">
        <v>9126</v>
      </c>
      <c r="D3490" s="8" t="s">
        <v>10055</v>
      </c>
      <c r="E3490" s="8"/>
    </row>
    <row r="3491" spans="1:5" x14ac:dyDescent="0.25">
      <c r="A3491" s="5" t="s">
        <v>9127</v>
      </c>
      <c r="B3491" s="9" t="str">
        <f t="shared" si="7"/>
        <v>25753</v>
      </c>
      <c r="C3491" s="8" t="s">
        <v>9128</v>
      </c>
      <c r="D3491" s="8" t="s">
        <v>10055</v>
      </c>
      <c r="E3491" s="8"/>
    </row>
    <row r="3492" spans="1:5" x14ac:dyDescent="0.25">
      <c r="A3492" s="5" t="s">
        <v>9129</v>
      </c>
      <c r="B3492" s="9" t="str">
        <f t="shared" si="7"/>
        <v>25753</v>
      </c>
      <c r="C3492" s="8" t="s">
        <v>9130</v>
      </c>
      <c r="D3492" s="8" t="s">
        <v>10055</v>
      </c>
      <c r="E3492" s="8"/>
    </row>
    <row r="3493" spans="1:5" x14ac:dyDescent="0.25">
      <c r="A3493" s="5" t="s">
        <v>9131</v>
      </c>
      <c r="B3493" s="9" t="str">
        <f t="shared" si="7"/>
        <v>25753</v>
      </c>
      <c r="C3493" s="8" t="s">
        <v>9132</v>
      </c>
      <c r="D3493" s="8" t="s">
        <v>10055</v>
      </c>
      <c r="E3493" s="8"/>
    </row>
    <row r="3494" spans="1:5" x14ac:dyDescent="0.25">
      <c r="A3494" s="5" t="s">
        <v>9133</v>
      </c>
      <c r="B3494" s="9" t="str">
        <f t="shared" si="7"/>
        <v>25753</v>
      </c>
      <c r="C3494" s="8" t="s">
        <v>9134</v>
      </c>
      <c r="D3494" s="8" t="s">
        <v>10055</v>
      </c>
      <c r="E3494" s="8"/>
    </row>
    <row r="3495" spans="1:5" x14ac:dyDescent="0.25">
      <c r="A3495" s="5" t="s">
        <v>9135</v>
      </c>
      <c r="B3495" s="9" t="str">
        <f t="shared" si="7"/>
        <v>25753</v>
      </c>
      <c r="C3495" s="8" t="s">
        <v>9136</v>
      </c>
      <c r="D3495" s="8" t="s">
        <v>10055</v>
      </c>
      <c r="E3495" s="8"/>
    </row>
    <row r="3496" spans="1:5" x14ac:dyDescent="0.25">
      <c r="A3496" s="5" t="s">
        <v>9137</v>
      </c>
      <c r="B3496" s="9" t="str">
        <f t="shared" si="7"/>
        <v>25753</v>
      </c>
      <c r="C3496" s="8" t="s">
        <v>9138</v>
      </c>
      <c r="D3496" s="8" t="s">
        <v>10055</v>
      </c>
      <c r="E3496" s="8"/>
    </row>
    <row r="3497" spans="1:5" x14ac:dyDescent="0.25">
      <c r="A3497" s="5" t="s">
        <v>9139</v>
      </c>
      <c r="B3497" s="9" t="str">
        <f t="shared" si="7"/>
        <v>25753</v>
      </c>
      <c r="C3497" s="8" t="s">
        <v>9140</v>
      </c>
      <c r="D3497" s="8" t="s">
        <v>10055</v>
      </c>
      <c r="E3497" s="8"/>
    </row>
    <row r="3498" spans="1:5" x14ac:dyDescent="0.25">
      <c r="A3498" s="5" t="s">
        <v>9141</v>
      </c>
      <c r="B3498" s="9" t="str">
        <f t="shared" si="7"/>
        <v>25753</v>
      </c>
      <c r="C3498" s="8" t="s">
        <v>9142</v>
      </c>
      <c r="D3498" s="8" t="s">
        <v>10055</v>
      </c>
      <c r="E3498" s="8"/>
    </row>
    <row r="3499" spans="1:5" x14ac:dyDescent="0.25">
      <c r="A3499" s="5" t="s">
        <v>9143</v>
      </c>
      <c r="B3499" s="9" t="str">
        <f t="shared" si="7"/>
        <v>25753</v>
      </c>
      <c r="C3499" s="8" t="s">
        <v>9144</v>
      </c>
      <c r="D3499" s="8" t="s">
        <v>10055</v>
      </c>
      <c r="E3499" s="8"/>
    </row>
    <row r="3500" spans="1:5" x14ac:dyDescent="0.25">
      <c r="A3500" s="5" t="s">
        <v>9145</v>
      </c>
      <c r="B3500" s="9" t="str">
        <f t="shared" si="7"/>
        <v>25753</v>
      </c>
      <c r="C3500" s="8" t="s">
        <v>9146</v>
      </c>
      <c r="D3500" s="8" t="s">
        <v>10055</v>
      </c>
      <c r="E3500" s="8"/>
    </row>
    <row r="3501" spans="1:5" x14ac:dyDescent="0.25">
      <c r="A3501" s="5" t="s">
        <v>9147</v>
      </c>
      <c r="B3501" s="9" t="str">
        <f t="shared" si="7"/>
        <v>25753</v>
      </c>
      <c r="C3501" s="8" t="s">
        <v>9148</v>
      </c>
      <c r="D3501" s="8" t="s">
        <v>10055</v>
      </c>
      <c r="E3501" s="8"/>
    </row>
    <row r="3502" spans="1:5" x14ac:dyDescent="0.25">
      <c r="A3502" s="5" t="s">
        <v>9149</v>
      </c>
      <c r="B3502" s="9" t="str">
        <f t="shared" si="7"/>
        <v>25753</v>
      </c>
      <c r="C3502" s="8" t="s">
        <v>9150</v>
      </c>
      <c r="D3502" s="8" t="s">
        <v>10055</v>
      </c>
      <c r="E3502" s="8"/>
    </row>
    <row r="3503" spans="1:5" x14ac:dyDescent="0.25">
      <c r="A3503" s="5" t="s">
        <v>9151</v>
      </c>
      <c r="B3503" s="9" t="str">
        <f t="shared" si="7"/>
        <v>25753</v>
      </c>
      <c r="C3503" s="8" t="s">
        <v>9152</v>
      </c>
      <c r="D3503" s="8" t="s">
        <v>10055</v>
      </c>
      <c r="E3503" s="8"/>
    </row>
    <row r="3504" spans="1:5" x14ac:dyDescent="0.25">
      <c r="A3504" s="5" t="s">
        <v>9153</v>
      </c>
      <c r="B3504" s="9" t="str">
        <f t="shared" si="7"/>
        <v>25753</v>
      </c>
      <c r="C3504" s="8" t="s">
        <v>9154</v>
      </c>
      <c r="D3504" s="8" t="s">
        <v>10055</v>
      </c>
      <c r="E3504" s="8"/>
    </row>
    <row r="3505" spans="1:5" x14ac:dyDescent="0.25">
      <c r="A3505" s="5" t="s">
        <v>9155</v>
      </c>
      <c r="B3505" s="9" t="str">
        <f t="shared" si="7"/>
        <v>25753</v>
      </c>
      <c r="C3505" s="8" t="s">
        <v>9156</v>
      </c>
      <c r="D3505" s="8" t="s">
        <v>10055</v>
      </c>
      <c r="E3505" s="8"/>
    </row>
    <row r="3506" spans="1:5" x14ac:dyDescent="0.25">
      <c r="A3506" s="5" t="s">
        <v>9157</v>
      </c>
      <c r="B3506" s="9" t="str">
        <f t="shared" si="7"/>
        <v>25753</v>
      </c>
      <c r="C3506" s="8" t="s">
        <v>9158</v>
      </c>
      <c r="D3506" s="8" t="s">
        <v>10055</v>
      </c>
      <c r="E3506" s="8"/>
    </row>
    <row r="3507" spans="1:5" x14ac:dyDescent="0.25">
      <c r="A3507" s="5" t="s">
        <v>9159</v>
      </c>
      <c r="B3507" s="9" t="str">
        <f t="shared" si="7"/>
        <v>25753</v>
      </c>
      <c r="C3507" s="8" t="s">
        <v>9160</v>
      </c>
      <c r="D3507" s="8" t="s">
        <v>10055</v>
      </c>
      <c r="E3507" s="8"/>
    </row>
    <row r="3508" spans="1:5" x14ac:dyDescent="0.25">
      <c r="A3508" s="5" t="s">
        <v>9161</v>
      </c>
      <c r="B3508" s="9" t="str">
        <f t="shared" si="7"/>
        <v>25753</v>
      </c>
      <c r="C3508" s="8" t="s">
        <v>9162</v>
      </c>
      <c r="D3508" s="8" t="s">
        <v>10055</v>
      </c>
      <c r="E3508" s="8"/>
    </row>
    <row r="3509" spans="1:5" x14ac:dyDescent="0.25">
      <c r="A3509" s="5" t="s">
        <v>9163</v>
      </c>
      <c r="B3509" s="9" t="str">
        <f t="shared" si="7"/>
        <v>25753</v>
      </c>
      <c r="C3509" s="8" t="s">
        <v>9164</v>
      </c>
      <c r="D3509" s="8" t="s">
        <v>10055</v>
      </c>
      <c r="E3509" s="8"/>
    </row>
    <row r="3510" spans="1:5" x14ac:dyDescent="0.25">
      <c r="A3510" s="5" t="s">
        <v>9165</v>
      </c>
      <c r="B3510" s="9" t="str">
        <f t="shared" si="7"/>
        <v>25753</v>
      </c>
      <c r="C3510" s="8" t="s">
        <v>9166</v>
      </c>
      <c r="D3510" s="8" t="s">
        <v>10055</v>
      </c>
      <c r="E3510" s="8"/>
    </row>
    <row r="3511" spans="1:5" x14ac:dyDescent="0.25">
      <c r="A3511" s="5" t="s">
        <v>9167</v>
      </c>
      <c r="B3511" s="9" t="str">
        <f t="shared" si="7"/>
        <v>25753</v>
      </c>
      <c r="C3511" s="8" t="s">
        <v>9168</v>
      </c>
      <c r="D3511" s="8" t="s">
        <v>10055</v>
      </c>
      <c r="E3511" s="8"/>
    </row>
    <row r="3512" spans="1:5" x14ac:dyDescent="0.25">
      <c r="A3512" s="5" t="s">
        <v>9169</v>
      </c>
      <c r="B3512" s="9" t="str">
        <f t="shared" si="7"/>
        <v>25753</v>
      </c>
      <c r="C3512" s="8" t="s">
        <v>9170</v>
      </c>
      <c r="D3512" s="8" t="s">
        <v>10055</v>
      </c>
      <c r="E3512" s="8"/>
    </row>
    <row r="3513" spans="1:5" x14ac:dyDescent="0.25">
      <c r="A3513" s="5" t="s">
        <v>9171</v>
      </c>
      <c r="B3513" s="9" t="str">
        <f t="shared" si="7"/>
        <v>25753</v>
      </c>
      <c r="C3513" s="8" t="s">
        <v>9172</v>
      </c>
      <c r="D3513" s="8" t="s">
        <v>10055</v>
      </c>
      <c r="E3513" s="8"/>
    </row>
    <row r="3514" spans="1:5" x14ac:dyDescent="0.25">
      <c r="A3514" s="5" t="s">
        <v>9173</v>
      </c>
      <c r="B3514" s="9" t="str">
        <f t="shared" si="7"/>
        <v>25753</v>
      </c>
      <c r="C3514" s="8" t="s">
        <v>9174</v>
      </c>
      <c r="D3514" s="8" t="s">
        <v>10055</v>
      </c>
      <c r="E3514" s="8"/>
    </row>
    <row r="3515" spans="1:5" x14ac:dyDescent="0.25">
      <c r="A3515" s="5" t="s">
        <v>9175</v>
      </c>
      <c r="B3515" s="9" t="str">
        <f t="shared" si="7"/>
        <v>25753</v>
      </c>
      <c r="C3515" s="8" t="s">
        <v>9176</v>
      </c>
      <c r="D3515" s="8" t="s">
        <v>10055</v>
      </c>
      <c r="E3515" s="8"/>
    </row>
    <row r="3516" spans="1:5" x14ac:dyDescent="0.25">
      <c r="A3516" s="5" t="s">
        <v>9177</v>
      </c>
      <c r="B3516" s="9" t="str">
        <f t="shared" si="7"/>
        <v>25753</v>
      </c>
      <c r="C3516" s="8" t="s">
        <v>9178</v>
      </c>
      <c r="D3516" s="8" t="s">
        <v>10055</v>
      </c>
      <c r="E3516" s="8"/>
    </row>
    <row r="3517" spans="1:5" x14ac:dyDescent="0.25">
      <c r="A3517" s="5" t="s">
        <v>9179</v>
      </c>
      <c r="B3517" s="9" t="str">
        <f t="shared" si="7"/>
        <v>25753</v>
      </c>
      <c r="C3517" s="8" t="s">
        <v>9180</v>
      </c>
      <c r="D3517" s="8" t="s">
        <v>10055</v>
      </c>
      <c r="E3517" s="8"/>
    </row>
    <row r="3518" spans="1:5" x14ac:dyDescent="0.25">
      <c r="A3518" s="5" t="s">
        <v>9181</v>
      </c>
      <c r="B3518" s="9" t="str">
        <f t="shared" si="7"/>
        <v>25753</v>
      </c>
      <c r="C3518" s="8" t="s">
        <v>9182</v>
      </c>
      <c r="D3518" s="8" t="s">
        <v>10055</v>
      </c>
      <c r="E3518" s="8"/>
    </row>
    <row r="3519" spans="1:5" x14ac:dyDescent="0.25">
      <c r="A3519" s="5" t="s">
        <v>9183</v>
      </c>
      <c r="B3519" s="9" t="str">
        <f t="shared" si="7"/>
        <v>25753</v>
      </c>
      <c r="C3519" s="8" t="s">
        <v>9184</v>
      </c>
      <c r="D3519" s="8" t="s">
        <v>10055</v>
      </c>
      <c r="E3519" s="8"/>
    </row>
    <row r="3520" spans="1:5" x14ac:dyDescent="0.25">
      <c r="A3520" s="5" t="s">
        <v>9185</v>
      </c>
      <c r="B3520" s="9" t="str">
        <f t="shared" si="7"/>
        <v>25753</v>
      </c>
      <c r="C3520" s="8" t="s">
        <v>9186</v>
      </c>
      <c r="D3520" s="8" t="s">
        <v>10055</v>
      </c>
      <c r="E3520" s="8"/>
    </row>
    <row r="3521" spans="1:5" x14ac:dyDescent="0.25">
      <c r="A3521" s="5" t="s">
        <v>9187</v>
      </c>
      <c r="B3521" s="9" t="str">
        <f t="shared" si="7"/>
        <v>25753</v>
      </c>
      <c r="C3521" s="8" t="s">
        <v>9188</v>
      </c>
      <c r="D3521" s="8" t="s">
        <v>10055</v>
      </c>
      <c r="E3521" s="8"/>
    </row>
    <row r="3522" spans="1:5" x14ac:dyDescent="0.25">
      <c r="A3522" s="5" t="s">
        <v>9189</v>
      </c>
      <c r="B3522" s="9" t="str">
        <f t="shared" si="7"/>
        <v>25753</v>
      </c>
      <c r="C3522" s="8" t="s">
        <v>9190</v>
      </c>
      <c r="D3522" s="8" t="s">
        <v>10055</v>
      </c>
      <c r="E3522" s="8"/>
    </row>
    <row r="3523" spans="1:5" x14ac:dyDescent="0.25">
      <c r="A3523" s="5" t="s">
        <v>9191</v>
      </c>
      <c r="B3523" s="9" t="str">
        <f t="shared" si="7"/>
        <v>25753</v>
      </c>
      <c r="C3523" s="8" t="s">
        <v>9192</v>
      </c>
      <c r="D3523" s="8" t="s">
        <v>10055</v>
      </c>
      <c r="E3523" s="8"/>
    </row>
    <row r="3524" spans="1:5" x14ac:dyDescent="0.25">
      <c r="A3524" s="5" t="s">
        <v>9193</v>
      </c>
      <c r="B3524" s="9" t="str">
        <f t="shared" si="7"/>
        <v>25753</v>
      </c>
      <c r="C3524" s="8" t="s">
        <v>9194</v>
      </c>
      <c r="D3524" s="8" t="s">
        <v>10055</v>
      </c>
      <c r="E3524" s="8"/>
    </row>
    <row r="3525" spans="1:5" x14ac:dyDescent="0.25">
      <c r="A3525" s="5" t="s">
        <v>9195</v>
      </c>
      <c r="B3525" s="9" t="str">
        <f t="shared" si="7"/>
        <v>25753</v>
      </c>
      <c r="C3525" s="8" t="s">
        <v>9196</v>
      </c>
      <c r="D3525" s="8" t="s">
        <v>10055</v>
      </c>
      <c r="E3525" s="8"/>
    </row>
    <row r="3526" spans="1:5" x14ac:dyDescent="0.25">
      <c r="A3526" s="5" t="s">
        <v>9197</v>
      </c>
      <c r="B3526" s="9" t="str">
        <f t="shared" si="7"/>
        <v>25753</v>
      </c>
      <c r="C3526" s="8" t="s">
        <v>9198</v>
      </c>
      <c r="D3526" s="8" t="s">
        <v>10055</v>
      </c>
      <c r="E3526" s="8"/>
    </row>
    <row r="3527" spans="1:5" x14ac:dyDescent="0.25">
      <c r="A3527" s="5" t="s">
        <v>9199</v>
      </c>
      <c r="B3527" s="9" t="str">
        <f t="shared" si="7"/>
        <v>25753</v>
      </c>
      <c r="C3527" s="8" t="s">
        <v>9200</v>
      </c>
      <c r="D3527" s="8" t="s">
        <v>10055</v>
      </c>
      <c r="E3527" s="8"/>
    </row>
    <row r="3528" spans="1:5" x14ac:dyDescent="0.25">
      <c r="A3528" s="5" t="s">
        <v>9201</v>
      </c>
      <c r="B3528" s="9" t="str">
        <f t="shared" si="7"/>
        <v>25753</v>
      </c>
      <c r="C3528" s="8" t="s">
        <v>9202</v>
      </c>
      <c r="D3528" s="8" t="s">
        <v>10055</v>
      </c>
      <c r="E3528" s="8"/>
    </row>
    <row r="3529" spans="1:5" x14ac:dyDescent="0.25">
      <c r="A3529" s="5" t="s">
        <v>9203</v>
      </c>
      <c r="B3529" s="9" t="str">
        <f t="shared" si="7"/>
        <v>25753</v>
      </c>
      <c r="C3529" s="8" t="s">
        <v>9204</v>
      </c>
      <c r="D3529" s="8" t="s">
        <v>10055</v>
      </c>
      <c r="E3529" s="8"/>
    </row>
    <row r="3530" spans="1:5" x14ac:dyDescent="0.25">
      <c r="A3530" s="5" t="s">
        <v>9205</v>
      </c>
      <c r="B3530" s="9" t="str">
        <f t="shared" si="7"/>
        <v>25753</v>
      </c>
      <c r="C3530" s="8" t="s">
        <v>9206</v>
      </c>
      <c r="D3530" s="8" t="s">
        <v>10055</v>
      </c>
      <c r="E3530" s="8"/>
    </row>
    <row r="3531" spans="1:5" x14ac:dyDescent="0.25">
      <c r="A3531" s="5" t="s">
        <v>9207</v>
      </c>
      <c r="B3531" s="9" t="str">
        <f t="shared" si="7"/>
        <v>25753</v>
      </c>
      <c r="C3531" s="8" t="s">
        <v>9208</v>
      </c>
      <c r="D3531" s="8" t="s">
        <v>10055</v>
      </c>
      <c r="E3531" s="8"/>
    </row>
    <row r="3532" spans="1:5" x14ac:dyDescent="0.25">
      <c r="A3532" s="5" t="s">
        <v>9209</v>
      </c>
      <c r="B3532" s="9" t="str">
        <f t="shared" si="7"/>
        <v>25753</v>
      </c>
      <c r="C3532" s="8" t="s">
        <v>9210</v>
      </c>
      <c r="D3532" s="8" t="s">
        <v>10055</v>
      </c>
      <c r="E3532" s="8"/>
    </row>
    <row r="3533" spans="1:5" x14ac:dyDescent="0.25">
      <c r="A3533" s="5" t="s">
        <v>9211</v>
      </c>
      <c r="B3533" s="9" t="str">
        <f t="shared" si="7"/>
        <v>25753</v>
      </c>
      <c r="C3533" s="8" t="s">
        <v>9212</v>
      </c>
      <c r="D3533" s="8" t="s">
        <v>10055</v>
      </c>
      <c r="E3533" s="8"/>
    </row>
    <row r="3534" spans="1:5" x14ac:dyDescent="0.25">
      <c r="A3534" s="5" t="s">
        <v>9213</v>
      </c>
      <c r="B3534" s="9" t="str">
        <f t="shared" si="7"/>
        <v>25753</v>
      </c>
      <c r="C3534" s="8" t="s">
        <v>9214</v>
      </c>
      <c r="D3534" s="8" t="s">
        <v>10055</v>
      </c>
      <c r="E3534" s="8"/>
    </row>
    <row r="3535" spans="1:5" x14ac:dyDescent="0.25">
      <c r="A3535" s="5" t="s">
        <v>9215</v>
      </c>
      <c r="B3535" s="9" t="str">
        <f t="shared" si="7"/>
        <v>25753</v>
      </c>
      <c r="C3535" s="8" t="s">
        <v>9216</v>
      </c>
      <c r="D3535" s="8" t="s">
        <v>10055</v>
      </c>
      <c r="E3535" s="8"/>
    </row>
    <row r="3536" spans="1:5" x14ac:dyDescent="0.25">
      <c r="A3536" s="5" t="s">
        <v>9217</v>
      </c>
      <c r="B3536" s="9" t="str">
        <f t="shared" si="7"/>
        <v>25753</v>
      </c>
      <c r="C3536" s="8" t="s">
        <v>9218</v>
      </c>
      <c r="D3536" s="8" t="s">
        <v>10055</v>
      </c>
      <c r="E3536" s="8"/>
    </row>
    <row r="3537" spans="1:5" x14ac:dyDescent="0.25">
      <c r="A3537" s="5" t="s">
        <v>9219</v>
      </c>
      <c r="B3537" s="9" t="str">
        <f t="shared" si="7"/>
        <v>25753</v>
      </c>
      <c r="C3537" s="8" t="s">
        <v>9220</v>
      </c>
      <c r="D3537" s="8" t="s">
        <v>10055</v>
      </c>
      <c r="E3537" s="8"/>
    </row>
    <row r="3538" spans="1:5" x14ac:dyDescent="0.25">
      <c r="A3538" s="5" t="s">
        <v>9221</v>
      </c>
      <c r="B3538" s="9" t="str">
        <f t="shared" si="7"/>
        <v>25753</v>
      </c>
      <c r="C3538" s="8" t="s">
        <v>9222</v>
      </c>
      <c r="D3538" s="8" t="s">
        <v>10055</v>
      </c>
      <c r="E3538" s="8"/>
    </row>
    <row r="3539" spans="1:5" x14ac:dyDescent="0.25">
      <c r="A3539" s="5" t="s">
        <v>9223</v>
      </c>
      <c r="B3539" s="9" t="str">
        <f t="shared" si="7"/>
        <v>25753</v>
      </c>
      <c r="C3539" s="8" t="s">
        <v>9224</v>
      </c>
      <c r="D3539" s="8" t="s">
        <v>10055</v>
      </c>
      <c r="E3539" s="8"/>
    </row>
    <row r="3540" spans="1:5" x14ac:dyDescent="0.25">
      <c r="A3540" s="5" t="s">
        <v>9225</v>
      </c>
      <c r="B3540" s="9" t="str">
        <f t="shared" si="7"/>
        <v>25753</v>
      </c>
      <c r="C3540" s="8" t="s">
        <v>9226</v>
      </c>
      <c r="D3540" s="8" t="s">
        <v>10055</v>
      </c>
      <c r="E3540" s="8"/>
    </row>
    <row r="3541" spans="1:5" x14ac:dyDescent="0.25">
      <c r="A3541" s="5" t="s">
        <v>9227</v>
      </c>
      <c r="B3541" s="9" t="str">
        <f t="shared" si="7"/>
        <v>25753</v>
      </c>
      <c r="C3541" s="8" t="s">
        <v>9228</v>
      </c>
      <c r="D3541" s="8" t="s">
        <v>10055</v>
      </c>
      <c r="E3541" s="8"/>
    </row>
    <row r="3542" spans="1:5" x14ac:dyDescent="0.25">
      <c r="A3542" s="5" t="s">
        <v>9229</v>
      </c>
      <c r="B3542" s="9" t="str">
        <f t="shared" si="7"/>
        <v>25753</v>
      </c>
      <c r="C3542" s="8" t="s">
        <v>9230</v>
      </c>
      <c r="D3542" s="8" t="s">
        <v>10055</v>
      </c>
      <c r="E3542" s="8"/>
    </row>
    <row r="3543" spans="1:5" x14ac:dyDescent="0.25">
      <c r="A3543" s="5" t="s">
        <v>9231</v>
      </c>
      <c r="B3543" s="9" t="str">
        <f t="shared" si="7"/>
        <v>25753</v>
      </c>
      <c r="C3543" s="8" t="s">
        <v>9232</v>
      </c>
      <c r="D3543" s="8" t="s">
        <v>10055</v>
      </c>
      <c r="E3543" s="8"/>
    </row>
    <row r="3544" spans="1:5" x14ac:dyDescent="0.25">
      <c r="A3544" s="5" t="s">
        <v>9233</v>
      </c>
      <c r="B3544" s="9" t="str">
        <f t="shared" si="7"/>
        <v>25753</v>
      </c>
      <c r="C3544" s="8" t="s">
        <v>9234</v>
      </c>
      <c r="D3544" s="8" t="s">
        <v>10055</v>
      </c>
      <c r="E3544" s="8"/>
    </row>
    <row r="3545" spans="1:5" x14ac:dyDescent="0.25">
      <c r="A3545" s="5" t="s">
        <v>9235</v>
      </c>
      <c r="B3545" s="9" t="str">
        <f t="shared" si="7"/>
        <v>25753</v>
      </c>
      <c r="C3545" s="8" t="s">
        <v>9236</v>
      </c>
      <c r="D3545" s="8" t="s">
        <v>10055</v>
      </c>
      <c r="E3545" s="8"/>
    </row>
    <row r="3546" spans="1:5" x14ac:dyDescent="0.25">
      <c r="A3546" s="5" t="s">
        <v>9237</v>
      </c>
      <c r="B3546" s="9" t="str">
        <f t="shared" si="7"/>
        <v>25753</v>
      </c>
      <c r="C3546" s="8" t="s">
        <v>9238</v>
      </c>
      <c r="D3546" s="8" t="s">
        <v>10055</v>
      </c>
      <c r="E3546" s="8"/>
    </row>
    <row r="3547" spans="1:5" x14ac:dyDescent="0.25">
      <c r="A3547" s="5" t="s">
        <v>9239</v>
      </c>
      <c r="B3547" s="9" t="str">
        <f t="shared" si="7"/>
        <v>25753</v>
      </c>
      <c r="C3547" s="8" t="s">
        <v>9240</v>
      </c>
      <c r="D3547" s="8" t="s">
        <v>10055</v>
      </c>
      <c r="E3547" s="8"/>
    </row>
    <row r="3548" spans="1:5" x14ac:dyDescent="0.25">
      <c r="A3548" s="5" t="s">
        <v>9241</v>
      </c>
      <c r="B3548" s="9" t="str">
        <f t="shared" si="7"/>
        <v>25753</v>
      </c>
      <c r="C3548" s="8" t="s">
        <v>9242</v>
      </c>
      <c r="D3548" s="8" t="s">
        <v>10055</v>
      </c>
      <c r="E3548" s="8"/>
    </row>
    <row r="3549" spans="1:5" x14ac:dyDescent="0.25">
      <c r="A3549" s="5" t="s">
        <v>9243</v>
      </c>
      <c r="B3549" s="9" t="str">
        <f t="shared" si="7"/>
        <v>25753</v>
      </c>
      <c r="C3549" s="8" t="s">
        <v>9244</v>
      </c>
      <c r="D3549" s="8" t="s">
        <v>10055</v>
      </c>
      <c r="E3549" s="8"/>
    </row>
    <row r="3550" spans="1:5" x14ac:dyDescent="0.25">
      <c r="A3550" s="5" t="s">
        <v>9245</v>
      </c>
      <c r="B3550" s="9" t="str">
        <f t="shared" si="7"/>
        <v>25753</v>
      </c>
      <c r="C3550" s="8" t="s">
        <v>9246</v>
      </c>
      <c r="D3550" s="8" t="s">
        <v>10055</v>
      </c>
      <c r="E3550" s="8"/>
    </row>
    <row r="3551" spans="1:5" x14ac:dyDescent="0.25">
      <c r="A3551" s="5" t="s">
        <v>9247</v>
      </c>
      <c r="B3551" s="9" t="str">
        <f t="shared" si="7"/>
        <v>25753</v>
      </c>
      <c r="C3551" s="8" t="s">
        <v>9248</v>
      </c>
      <c r="D3551" s="8" t="s">
        <v>10055</v>
      </c>
      <c r="E3551" s="8"/>
    </row>
    <row r="3552" spans="1:5" x14ac:dyDescent="0.25">
      <c r="A3552" s="5" t="s">
        <v>9249</v>
      </c>
      <c r="B3552" s="9" t="str">
        <f t="shared" si="7"/>
        <v>25753</v>
      </c>
      <c r="C3552" s="8" t="s">
        <v>9250</v>
      </c>
      <c r="D3552" s="8" t="s">
        <v>10055</v>
      </c>
      <c r="E3552" s="8"/>
    </row>
    <row r="3553" spans="1:5" x14ac:dyDescent="0.25">
      <c r="A3553" s="5" t="s">
        <v>9251</v>
      </c>
      <c r="B3553" s="9" t="str">
        <f t="shared" si="7"/>
        <v>25753</v>
      </c>
      <c r="C3553" s="8" t="s">
        <v>9252</v>
      </c>
      <c r="D3553" s="8" t="s">
        <v>10055</v>
      </c>
      <c r="E3553" s="8"/>
    </row>
    <row r="3554" spans="1:5" x14ac:dyDescent="0.25">
      <c r="A3554" s="5" t="s">
        <v>9253</v>
      </c>
      <c r="B3554" s="9" t="str">
        <f t="shared" si="7"/>
        <v>25753</v>
      </c>
      <c r="C3554" s="8" t="s">
        <v>9254</v>
      </c>
      <c r="D3554" s="8" t="s">
        <v>10055</v>
      </c>
      <c r="E3554" s="8"/>
    </row>
    <row r="3555" spans="1:5" x14ac:dyDescent="0.25">
      <c r="A3555" s="5" t="s">
        <v>9255</v>
      </c>
      <c r="B3555" s="9" t="str">
        <f t="shared" si="7"/>
        <v>25753</v>
      </c>
      <c r="C3555" s="8" t="s">
        <v>9256</v>
      </c>
      <c r="D3555" s="8" t="s">
        <v>10055</v>
      </c>
      <c r="E3555" s="8"/>
    </row>
    <row r="3556" spans="1:5" x14ac:dyDescent="0.25">
      <c r="A3556" s="5" t="s">
        <v>9257</v>
      </c>
      <c r="B3556" s="9" t="str">
        <f t="shared" si="7"/>
        <v>25753</v>
      </c>
      <c r="C3556" s="8" t="s">
        <v>9258</v>
      </c>
      <c r="D3556" s="8" t="s">
        <v>10055</v>
      </c>
      <c r="E3556" s="8"/>
    </row>
    <row r="3557" spans="1:5" x14ac:dyDescent="0.25">
      <c r="A3557" s="5" t="s">
        <v>9259</v>
      </c>
      <c r="B3557" s="9" t="str">
        <f t="shared" si="7"/>
        <v>25753</v>
      </c>
      <c r="C3557" s="8" t="s">
        <v>9260</v>
      </c>
      <c r="D3557" s="8" t="s">
        <v>10055</v>
      </c>
      <c r="E3557" s="8"/>
    </row>
    <row r="3558" spans="1:5" x14ac:dyDescent="0.25">
      <c r="A3558" s="5" t="s">
        <v>9261</v>
      </c>
      <c r="B3558" s="9" t="str">
        <f t="shared" si="7"/>
        <v>25753</v>
      </c>
      <c r="C3558" s="8" t="s">
        <v>9262</v>
      </c>
      <c r="D3558" s="8" t="s">
        <v>10055</v>
      </c>
      <c r="E3558" s="8"/>
    </row>
    <row r="3559" spans="1:5" x14ac:dyDescent="0.25">
      <c r="A3559" s="5" t="s">
        <v>9263</v>
      </c>
      <c r="B3559" s="9" t="str">
        <f t="shared" si="7"/>
        <v>25753</v>
      </c>
      <c r="C3559" s="8" t="s">
        <v>9264</v>
      </c>
      <c r="D3559" s="8" t="s">
        <v>10055</v>
      </c>
      <c r="E3559" s="8"/>
    </row>
    <row r="3560" spans="1:5" x14ac:dyDescent="0.25">
      <c r="A3560" s="5" t="s">
        <v>9265</v>
      </c>
      <c r="B3560" s="9" t="str">
        <f t="shared" si="7"/>
        <v>25753</v>
      </c>
      <c r="C3560" s="8" t="s">
        <v>9266</v>
      </c>
      <c r="D3560" s="8" t="s">
        <v>10055</v>
      </c>
      <c r="E3560" s="8"/>
    </row>
    <row r="3561" spans="1:5" x14ac:dyDescent="0.25">
      <c r="A3561" s="5" t="s">
        <v>9267</v>
      </c>
      <c r="B3561" s="9" t="str">
        <f t="shared" si="7"/>
        <v>25753</v>
      </c>
      <c r="C3561" s="8" t="s">
        <v>9268</v>
      </c>
      <c r="D3561" s="8" t="s">
        <v>10055</v>
      </c>
      <c r="E3561" s="8"/>
    </row>
    <row r="3562" spans="1:5" x14ac:dyDescent="0.25">
      <c r="A3562" s="5" t="s">
        <v>9269</v>
      </c>
      <c r="B3562" s="9" t="str">
        <f t="shared" si="7"/>
        <v>25753</v>
      </c>
      <c r="C3562" s="8" t="s">
        <v>9270</v>
      </c>
      <c r="D3562" s="8" t="s">
        <v>10055</v>
      </c>
      <c r="E3562" s="8"/>
    </row>
    <row r="3563" spans="1:5" x14ac:dyDescent="0.25">
      <c r="A3563" s="5" t="s">
        <v>9271</v>
      </c>
      <c r="B3563" s="9" t="str">
        <f t="shared" si="7"/>
        <v>25753</v>
      </c>
      <c r="C3563" s="8" t="s">
        <v>9272</v>
      </c>
      <c r="D3563" s="8" t="s">
        <v>10055</v>
      </c>
      <c r="E3563" s="8"/>
    </row>
    <row r="3564" spans="1:5" x14ac:dyDescent="0.25">
      <c r="A3564" s="5" t="s">
        <v>9273</v>
      </c>
      <c r="B3564" s="9" t="str">
        <f t="shared" si="7"/>
        <v>25753</v>
      </c>
      <c r="C3564" s="8" t="s">
        <v>9274</v>
      </c>
      <c r="D3564" s="8" t="s">
        <v>10055</v>
      </c>
      <c r="E3564" s="8"/>
    </row>
    <row r="3565" spans="1:5" x14ac:dyDescent="0.25">
      <c r="A3565" s="5" t="s">
        <v>9275</v>
      </c>
      <c r="B3565" s="9" t="str">
        <f t="shared" si="7"/>
        <v>25753</v>
      </c>
      <c r="C3565" s="8" t="s">
        <v>9276</v>
      </c>
      <c r="D3565" s="8" t="s">
        <v>10055</v>
      </c>
      <c r="E3565" s="8"/>
    </row>
    <row r="3566" spans="1:5" x14ac:dyDescent="0.25">
      <c r="A3566" s="5" t="s">
        <v>9277</v>
      </c>
      <c r="B3566" s="9" t="str">
        <f t="shared" si="7"/>
        <v>25753</v>
      </c>
      <c r="C3566" s="8" t="s">
        <v>9278</v>
      </c>
      <c r="D3566" s="8" t="s">
        <v>10055</v>
      </c>
      <c r="E3566" s="8"/>
    </row>
    <row r="3567" spans="1:5" x14ac:dyDescent="0.25">
      <c r="A3567" s="5" t="s">
        <v>9279</v>
      </c>
      <c r="B3567" s="9" t="str">
        <f t="shared" si="7"/>
        <v>25753</v>
      </c>
      <c r="C3567" s="8" t="s">
        <v>9280</v>
      </c>
      <c r="D3567" s="8" t="s">
        <v>10055</v>
      </c>
      <c r="E3567" s="8"/>
    </row>
    <row r="3568" spans="1:5" x14ac:dyDescent="0.25">
      <c r="A3568" s="5" t="s">
        <v>9281</v>
      </c>
      <c r="B3568" s="9" t="str">
        <f t="shared" si="7"/>
        <v>25753</v>
      </c>
      <c r="C3568" s="8" t="s">
        <v>9282</v>
      </c>
      <c r="D3568" s="8" t="s">
        <v>10055</v>
      </c>
      <c r="E3568" s="8"/>
    </row>
    <row r="3569" spans="1:5" x14ac:dyDescent="0.25">
      <c r="A3569" s="5" t="s">
        <v>9283</v>
      </c>
      <c r="B3569" s="9" t="str">
        <f t="shared" si="7"/>
        <v>25753</v>
      </c>
      <c r="C3569" s="8" t="s">
        <v>9284</v>
      </c>
      <c r="D3569" s="8" t="s">
        <v>10055</v>
      </c>
      <c r="E3569" s="8"/>
    </row>
    <row r="3570" spans="1:5" x14ac:dyDescent="0.25">
      <c r="A3570" s="5" t="s">
        <v>9285</v>
      </c>
      <c r="B3570" s="9" t="str">
        <f t="shared" si="7"/>
        <v>25753</v>
      </c>
      <c r="C3570" s="8" t="s">
        <v>9286</v>
      </c>
      <c r="D3570" s="8" t="s">
        <v>10055</v>
      </c>
      <c r="E3570" s="8"/>
    </row>
    <row r="3571" spans="1:5" x14ac:dyDescent="0.25">
      <c r="A3571" s="5" t="s">
        <v>9287</v>
      </c>
      <c r="B3571" s="9" t="str">
        <f t="shared" si="7"/>
        <v>25753</v>
      </c>
      <c r="C3571" s="8" t="s">
        <v>9288</v>
      </c>
      <c r="D3571" s="8" t="s">
        <v>10055</v>
      </c>
      <c r="E3571" s="8"/>
    </row>
    <row r="3572" spans="1:5" x14ac:dyDescent="0.25">
      <c r="A3572" s="5" t="s">
        <v>9289</v>
      </c>
      <c r="B3572" s="9" t="str">
        <f t="shared" si="7"/>
        <v>25753</v>
      </c>
      <c r="C3572" s="8" t="s">
        <v>9290</v>
      </c>
      <c r="D3572" s="8" t="s">
        <v>10055</v>
      </c>
      <c r="E3572" s="8"/>
    </row>
    <row r="3573" spans="1:5" x14ac:dyDescent="0.25">
      <c r="A3573" s="5" t="s">
        <v>9291</v>
      </c>
      <c r="B3573" s="9" t="str">
        <f t="shared" si="7"/>
        <v>25753</v>
      </c>
      <c r="C3573" s="8" t="s">
        <v>9292</v>
      </c>
      <c r="D3573" s="8" t="s">
        <v>10055</v>
      </c>
      <c r="E3573" s="8"/>
    </row>
    <row r="3574" spans="1:5" x14ac:dyDescent="0.25">
      <c r="A3574" s="5" t="s">
        <v>9293</v>
      </c>
      <c r="B3574" s="9" t="str">
        <f t="shared" si="7"/>
        <v>25753</v>
      </c>
      <c r="C3574" s="8" t="s">
        <v>9294</v>
      </c>
      <c r="D3574" s="8" t="s">
        <v>10055</v>
      </c>
      <c r="E3574" s="8"/>
    </row>
    <row r="3575" spans="1:5" x14ac:dyDescent="0.25">
      <c r="A3575" s="5" t="s">
        <v>9295</v>
      </c>
      <c r="B3575" s="9" t="str">
        <f t="shared" si="7"/>
        <v>25753</v>
      </c>
      <c r="C3575" s="8" t="s">
        <v>9296</v>
      </c>
      <c r="D3575" s="8" t="s">
        <v>10055</v>
      </c>
      <c r="E3575" s="8"/>
    </row>
    <row r="3576" spans="1:5" x14ac:dyDescent="0.25">
      <c r="A3576" s="5" t="s">
        <v>9297</v>
      </c>
      <c r="B3576" s="9" t="str">
        <f t="shared" si="7"/>
        <v>25753</v>
      </c>
      <c r="C3576" s="8" t="s">
        <v>9298</v>
      </c>
      <c r="D3576" s="8" t="s">
        <v>10055</v>
      </c>
      <c r="E3576" s="8"/>
    </row>
    <row r="3577" spans="1:5" x14ac:dyDescent="0.25">
      <c r="A3577" s="5" t="s">
        <v>9299</v>
      </c>
      <c r="B3577" s="9" t="str">
        <f t="shared" si="7"/>
        <v>25753</v>
      </c>
      <c r="C3577" s="8" t="s">
        <v>9300</v>
      </c>
      <c r="D3577" s="8" t="s">
        <v>10055</v>
      </c>
      <c r="E3577" s="8"/>
    </row>
    <row r="3578" spans="1:5" x14ac:dyDescent="0.25">
      <c r="A3578" s="5" t="s">
        <v>9301</v>
      </c>
      <c r="B3578" s="9" t="str">
        <f t="shared" si="7"/>
        <v>25753</v>
      </c>
      <c r="C3578" s="8" t="s">
        <v>9302</v>
      </c>
      <c r="D3578" s="8" t="s">
        <v>10055</v>
      </c>
      <c r="E3578" s="8"/>
    </row>
    <row r="3579" spans="1:5" x14ac:dyDescent="0.25">
      <c r="A3579" s="5" t="s">
        <v>9303</v>
      </c>
      <c r="B3579" s="9" t="str">
        <f t="shared" si="7"/>
        <v>25753</v>
      </c>
      <c r="C3579" s="8" t="s">
        <v>9304</v>
      </c>
      <c r="D3579" s="8" t="s">
        <v>10055</v>
      </c>
      <c r="E3579" s="8"/>
    </row>
    <row r="3580" spans="1:5" x14ac:dyDescent="0.25">
      <c r="A3580" s="5" t="s">
        <v>9305</v>
      </c>
      <c r="B3580" s="9" t="str">
        <f t="shared" si="7"/>
        <v>25753</v>
      </c>
      <c r="C3580" s="8" t="s">
        <v>9306</v>
      </c>
      <c r="D3580" s="8" t="s">
        <v>10055</v>
      </c>
      <c r="E3580" s="8"/>
    </row>
    <row r="3581" spans="1:5" x14ac:dyDescent="0.25">
      <c r="A3581" s="5" t="s">
        <v>9307</v>
      </c>
      <c r="B3581" s="9" t="str">
        <f t="shared" si="7"/>
        <v>25753</v>
      </c>
      <c r="C3581" s="8" t="s">
        <v>9308</v>
      </c>
      <c r="D3581" s="8" t="s">
        <v>10055</v>
      </c>
      <c r="E3581" s="8"/>
    </row>
    <row r="3582" spans="1:5" x14ac:dyDescent="0.25">
      <c r="A3582" s="5" t="s">
        <v>9309</v>
      </c>
      <c r="B3582" s="9" t="str">
        <f t="shared" si="7"/>
        <v>25753</v>
      </c>
      <c r="C3582" s="8" t="s">
        <v>9310</v>
      </c>
      <c r="D3582" s="8" t="s">
        <v>10055</v>
      </c>
      <c r="E3582" s="8"/>
    </row>
    <row r="3583" spans="1:5" x14ac:dyDescent="0.25">
      <c r="A3583" s="5" t="s">
        <v>9311</v>
      </c>
      <c r="B3583" s="9" t="str">
        <f t="shared" si="7"/>
        <v>25753</v>
      </c>
      <c r="C3583" s="8" t="s">
        <v>9312</v>
      </c>
      <c r="D3583" s="8" t="s">
        <v>10055</v>
      </c>
      <c r="E3583" s="8"/>
    </row>
    <row r="3584" spans="1:5" x14ac:dyDescent="0.25">
      <c r="A3584" s="5" t="s">
        <v>9313</v>
      </c>
      <c r="B3584" s="9" t="str">
        <f t="shared" si="7"/>
        <v>25753</v>
      </c>
      <c r="C3584" s="8" t="s">
        <v>9314</v>
      </c>
      <c r="D3584" s="8" t="s">
        <v>10055</v>
      </c>
      <c r="E3584" s="8"/>
    </row>
    <row r="3585" spans="1:5" x14ac:dyDescent="0.25">
      <c r="A3585" s="5" t="s">
        <v>9315</v>
      </c>
      <c r="B3585" s="9" t="str">
        <f t="shared" si="7"/>
        <v>25753</v>
      </c>
      <c r="C3585" s="8" t="s">
        <v>9316</v>
      </c>
      <c r="D3585" s="8" t="s">
        <v>10055</v>
      </c>
      <c r="E3585" s="8"/>
    </row>
    <row r="3586" spans="1:5" x14ac:dyDescent="0.25">
      <c r="A3586" s="5" t="s">
        <v>9317</v>
      </c>
      <c r="B3586" s="9" t="str">
        <f t="shared" si="7"/>
        <v>25753</v>
      </c>
      <c r="C3586" s="8" t="s">
        <v>9318</v>
      </c>
      <c r="D3586" s="8" t="s">
        <v>10055</v>
      </c>
      <c r="E3586" s="8"/>
    </row>
    <row r="3587" spans="1:5" x14ac:dyDescent="0.25">
      <c r="A3587" s="5" t="s">
        <v>9319</v>
      </c>
      <c r="B3587" s="9" t="str">
        <f t="shared" si="7"/>
        <v>25753</v>
      </c>
      <c r="C3587" s="8" t="s">
        <v>9320</v>
      </c>
      <c r="D3587" s="8" t="s">
        <v>10055</v>
      </c>
      <c r="E3587" s="8"/>
    </row>
    <row r="3588" spans="1:5" x14ac:dyDescent="0.25">
      <c r="A3588" s="5" t="s">
        <v>9321</v>
      </c>
      <c r="B3588" s="9" t="str">
        <f t="shared" si="7"/>
        <v>25753</v>
      </c>
      <c r="C3588" s="8" t="s">
        <v>9322</v>
      </c>
      <c r="D3588" s="8" t="s">
        <v>10055</v>
      </c>
      <c r="E3588" s="8"/>
    </row>
    <row r="3589" spans="1:5" x14ac:dyDescent="0.25">
      <c r="A3589" s="5" t="s">
        <v>9323</v>
      </c>
      <c r="B3589" s="9" t="str">
        <f t="shared" si="7"/>
        <v>25753</v>
      </c>
      <c r="C3589" s="8" t="s">
        <v>9324</v>
      </c>
      <c r="D3589" s="8" t="s">
        <v>10055</v>
      </c>
      <c r="E3589" s="8"/>
    </row>
    <row r="3590" spans="1:5" x14ac:dyDescent="0.25">
      <c r="A3590" s="5" t="s">
        <v>9325</v>
      </c>
      <c r="B3590" s="9" t="str">
        <f t="shared" si="7"/>
        <v>25753</v>
      </c>
      <c r="C3590" s="8" t="s">
        <v>9326</v>
      </c>
      <c r="D3590" s="8" t="s">
        <v>10055</v>
      </c>
      <c r="E3590" s="8"/>
    </row>
    <row r="3591" spans="1:5" x14ac:dyDescent="0.25">
      <c r="A3591" s="5" t="s">
        <v>9327</v>
      </c>
      <c r="B3591" s="9" t="str">
        <f t="shared" si="7"/>
        <v>25753</v>
      </c>
      <c r="C3591" s="8" t="s">
        <v>9328</v>
      </c>
      <c r="D3591" s="8" t="s">
        <v>10055</v>
      </c>
      <c r="E3591" s="8"/>
    </row>
    <row r="3592" spans="1:5" x14ac:dyDescent="0.25">
      <c r="A3592" s="5" t="s">
        <v>9329</v>
      </c>
      <c r="B3592" s="9" t="str">
        <f t="shared" si="7"/>
        <v>25753</v>
      </c>
      <c r="C3592" s="8" t="s">
        <v>9330</v>
      </c>
      <c r="D3592" s="8" t="s">
        <v>10055</v>
      </c>
      <c r="E3592" s="8"/>
    </row>
    <row r="3593" spans="1:5" x14ac:dyDescent="0.25">
      <c r="A3593" s="5" t="s">
        <v>9331</v>
      </c>
      <c r="B3593" s="9" t="str">
        <f t="shared" si="7"/>
        <v>25753</v>
      </c>
      <c r="C3593" s="8" t="s">
        <v>9332</v>
      </c>
      <c r="D3593" s="8" t="s">
        <v>10055</v>
      </c>
      <c r="E3593" s="8"/>
    </row>
    <row r="3594" spans="1:5" x14ac:dyDescent="0.25">
      <c r="A3594" s="5" t="s">
        <v>9333</v>
      </c>
      <c r="B3594" s="9" t="str">
        <f t="shared" si="7"/>
        <v>25753</v>
      </c>
      <c r="C3594" s="8" t="s">
        <v>9334</v>
      </c>
      <c r="D3594" s="8" t="s">
        <v>10055</v>
      </c>
      <c r="E3594" s="8"/>
    </row>
    <row r="3595" spans="1:5" x14ac:dyDescent="0.25">
      <c r="A3595" s="5" t="s">
        <v>9335</v>
      </c>
      <c r="B3595" s="9" t="str">
        <f t="shared" si="7"/>
        <v>25753</v>
      </c>
      <c r="C3595" s="8" t="s">
        <v>9336</v>
      </c>
      <c r="D3595" s="8" t="s">
        <v>10055</v>
      </c>
      <c r="E3595" s="8"/>
    </row>
    <row r="3596" spans="1:5" x14ac:dyDescent="0.25">
      <c r="A3596" s="5" t="s">
        <v>9337</v>
      </c>
      <c r="B3596" s="9" t="str">
        <f t="shared" si="7"/>
        <v>25753</v>
      </c>
      <c r="C3596" s="8" t="s">
        <v>9338</v>
      </c>
      <c r="D3596" s="8" t="s">
        <v>10055</v>
      </c>
      <c r="E3596" s="8"/>
    </row>
    <row r="3597" spans="1:5" x14ac:dyDescent="0.25">
      <c r="A3597" s="5" t="s">
        <v>9339</v>
      </c>
      <c r="B3597" s="9" t="str">
        <f t="shared" si="7"/>
        <v>25753</v>
      </c>
      <c r="C3597" s="8" t="s">
        <v>9340</v>
      </c>
      <c r="D3597" s="8" t="s">
        <v>10055</v>
      </c>
      <c r="E3597" s="8"/>
    </row>
    <row r="3598" spans="1:5" x14ac:dyDescent="0.25">
      <c r="A3598" s="5" t="s">
        <v>9341</v>
      </c>
      <c r="B3598" s="9" t="str">
        <f t="shared" si="7"/>
        <v>25753</v>
      </c>
      <c r="C3598" s="8" t="s">
        <v>9342</v>
      </c>
      <c r="D3598" s="8" t="s">
        <v>10055</v>
      </c>
      <c r="E3598" s="8"/>
    </row>
    <row r="3599" spans="1:5" x14ac:dyDescent="0.25">
      <c r="A3599" s="5" t="s">
        <v>9343</v>
      </c>
      <c r="B3599" s="9" t="str">
        <f t="shared" si="7"/>
        <v>25753</v>
      </c>
      <c r="C3599" s="8" t="s">
        <v>9344</v>
      </c>
      <c r="D3599" s="8" t="s">
        <v>10055</v>
      </c>
      <c r="E3599" s="8"/>
    </row>
    <row r="3600" spans="1:5" x14ac:dyDescent="0.25">
      <c r="A3600" s="5" t="s">
        <v>9345</v>
      </c>
      <c r="B3600" s="9" t="str">
        <f t="shared" si="7"/>
        <v>25753</v>
      </c>
      <c r="C3600" s="8" t="s">
        <v>9346</v>
      </c>
      <c r="D3600" s="8" t="s">
        <v>10055</v>
      </c>
      <c r="E3600" s="8"/>
    </row>
    <row r="3601" spans="1:5" x14ac:dyDescent="0.25">
      <c r="A3601" s="5" t="s">
        <v>9347</v>
      </c>
      <c r="B3601" s="9" t="str">
        <f t="shared" si="7"/>
        <v>25753</v>
      </c>
      <c r="C3601" s="8" t="s">
        <v>9348</v>
      </c>
      <c r="D3601" s="8" t="s">
        <v>10055</v>
      </c>
      <c r="E3601" s="8"/>
    </row>
    <row r="3602" spans="1:5" x14ac:dyDescent="0.25">
      <c r="A3602" s="5" t="s">
        <v>9349</v>
      </c>
      <c r="B3602" s="9" t="str">
        <f t="shared" si="7"/>
        <v>25753</v>
      </c>
      <c r="C3602" s="8" t="s">
        <v>9350</v>
      </c>
      <c r="D3602" s="8" t="s">
        <v>10055</v>
      </c>
      <c r="E3602" s="8"/>
    </row>
    <row r="3603" spans="1:5" x14ac:dyDescent="0.25">
      <c r="A3603" s="5" t="s">
        <v>9351</v>
      </c>
      <c r="B3603" s="9" t="str">
        <f t="shared" si="7"/>
        <v>25753</v>
      </c>
      <c r="C3603" s="8" t="s">
        <v>9352</v>
      </c>
      <c r="D3603" s="8" t="s">
        <v>10055</v>
      </c>
      <c r="E3603" s="8"/>
    </row>
    <row r="3604" spans="1:5" x14ac:dyDescent="0.25">
      <c r="A3604" s="5" t="s">
        <v>9353</v>
      </c>
      <c r="B3604" s="9" t="str">
        <f t="shared" si="7"/>
        <v>25753</v>
      </c>
      <c r="C3604" s="8" t="s">
        <v>9354</v>
      </c>
      <c r="D3604" s="8" t="s">
        <v>10055</v>
      </c>
      <c r="E3604" s="8"/>
    </row>
    <row r="3605" spans="1:5" x14ac:dyDescent="0.25">
      <c r="A3605" s="5" t="s">
        <v>9355</v>
      </c>
      <c r="B3605" s="9" t="str">
        <f t="shared" si="7"/>
        <v>25753</v>
      </c>
      <c r="C3605" s="8" t="s">
        <v>9356</v>
      </c>
      <c r="D3605" s="8" t="s">
        <v>10055</v>
      </c>
      <c r="E3605" s="8"/>
    </row>
    <row r="3606" spans="1:5" x14ac:dyDescent="0.25">
      <c r="A3606" s="5" t="s">
        <v>9357</v>
      </c>
      <c r="B3606" s="9" t="str">
        <f t="shared" si="7"/>
        <v>25753</v>
      </c>
      <c r="C3606" s="8" t="s">
        <v>9358</v>
      </c>
      <c r="D3606" s="8" t="s">
        <v>10055</v>
      </c>
      <c r="E3606" s="8"/>
    </row>
    <row r="3607" spans="1:5" x14ac:dyDescent="0.25">
      <c r="A3607" s="5" t="s">
        <v>9359</v>
      </c>
      <c r="B3607" s="9" t="str">
        <f t="shared" si="7"/>
        <v>25753</v>
      </c>
      <c r="C3607" s="8" t="s">
        <v>9360</v>
      </c>
      <c r="D3607" s="8" t="s">
        <v>10055</v>
      </c>
      <c r="E3607" s="8"/>
    </row>
    <row r="3608" spans="1:5" x14ac:dyDescent="0.25">
      <c r="A3608" s="5" t="s">
        <v>9361</v>
      </c>
      <c r="B3608" s="9" t="str">
        <f t="shared" si="7"/>
        <v>25753</v>
      </c>
      <c r="C3608" s="8" t="s">
        <v>9362</v>
      </c>
      <c r="D3608" s="8" t="s">
        <v>10055</v>
      </c>
      <c r="E3608" s="8"/>
    </row>
    <row r="3609" spans="1:5" x14ac:dyDescent="0.25">
      <c r="A3609" s="5" t="s">
        <v>9363</v>
      </c>
      <c r="B3609" s="9" t="str">
        <f t="shared" si="7"/>
        <v>25753</v>
      </c>
      <c r="C3609" s="8" t="s">
        <v>9364</v>
      </c>
      <c r="D3609" s="8" t="s">
        <v>10055</v>
      </c>
      <c r="E3609" s="8"/>
    </row>
    <row r="3610" spans="1:5" x14ac:dyDescent="0.25">
      <c r="A3610" s="5" t="s">
        <v>9365</v>
      </c>
      <c r="B3610" s="9" t="str">
        <f t="shared" si="7"/>
        <v>25753</v>
      </c>
      <c r="C3610" s="8" t="s">
        <v>9366</v>
      </c>
      <c r="D3610" s="8" t="s">
        <v>10055</v>
      </c>
      <c r="E3610" s="8"/>
    </row>
    <row r="3611" spans="1:5" x14ac:dyDescent="0.25">
      <c r="A3611" s="5" t="s">
        <v>9367</v>
      </c>
      <c r="B3611" s="9" t="str">
        <f t="shared" si="7"/>
        <v>25753</v>
      </c>
      <c r="C3611" s="8" t="s">
        <v>9368</v>
      </c>
      <c r="D3611" s="8" t="s">
        <v>10055</v>
      </c>
      <c r="E3611" s="8"/>
    </row>
    <row r="3612" spans="1:5" x14ac:dyDescent="0.25">
      <c r="A3612" s="5" t="s">
        <v>9369</v>
      </c>
      <c r="B3612" s="9" t="str">
        <f t="shared" si="7"/>
        <v>25753</v>
      </c>
      <c r="C3612" s="8" t="s">
        <v>9370</v>
      </c>
      <c r="D3612" s="8" t="s">
        <v>10055</v>
      </c>
      <c r="E3612" s="8"/>
    </row>
    <row r="3613" spans="1:5" x14ac:dyDescent="0.25">
      <c r="A3613" s="5" t="s">
        <v>9371</v>
      </c>
      <c r="B3613" s="9" t="str">
        <f t="shared" si="7"/>
        <v>25753</v>
      </c>
      <c r="C3613" s="8" t="s">
        <v>9372</v>
      </c>
      <c r="D3613" s="8" t="s">
        <v>10055</v>
      </c>
      <c r="E3613" s="8"/>
    </row>
    <row r="3614" spans="1:5" x14ac:dyDescent="0.25">
      <c r="A3614" s="5" t="s">
        <v>9373</v>
      </c>
      <c r="B3614" s="9" t="str">
        <f t="shared" si="7"/>
        <v>25753</v>
      </c>
      <c r="C3614" s="8" t="s">
        <v>9374</v>
      </c>
      <c r="D3614" s="8" t="s">
        <v>10055</v>
      </c>
      <c r="E3614" s="8"/>
    </row>
    <row r="3615" spans="1:5" x14ac:dyDescent="0.25">
      <c r="A3615" s="5" t="s">
        <v>9375</v>
      </c>
      <c r="B3615" s="9" t="str">
        <f t="shared" si="7"/>
        <v>25753</v>
      </c>
      <c r="C3615" s="8" t="s">
        <v>9376</v>
      </c>
      <c r="D3615" s="8" t="s">
        <v>10055</v>
      </c>
      <c r="E3615" s="8"/>
    </row>
    <row r="3616" spans="1:5" x14ac:dyDescent="0.25">
      <c r="A3616" s="5" t="s">
        <v>9377</v>
      </c>
      <c r="B3616" s="9" t="str">
        <f t="shared" si="7"/>
        <v>25753</v>
      </c>
      <c r="C3616" s="8" t="s">
        <v>9378</v>
      </c>
      <c r="D3616" s="8" t="s">
        <v>10055</v>
      </c>
      <c r="E3616" s="8"/>
    </row>
    <row r="3617" spans="1:5" x14ac:dyDescent="0.25">
      <c r="A3617" s="5" t="s">
        <v>9379</v>
      </c>
      <c r="B3617" s="9" t="str">
        <f t="shared" si="7"/>
        <v>25753</v>
      </c>
      <c r="C3617" s="8" t="s">
        <v>9380</v>
      </c>
      <c r="D3617" s="8" t="s">
        <v>10055</v>
      </c>
      <c r="E3617" s="8"/>
    </row>
    <row r="3618" spans="1:5" x14ac:dyDescent="0.25">
      <c r="A3618" s="5" t="s">
        <v>9381</v>
      </c>
      <c r="B3618" s="9" t="str">
        <f t="shared" si="7"/>
        <v>25753</v>
      </c>
      <c r="C3618" s="8" t="s">
        <v>9382</v>
      </c>
      <c r="D3618" s="8" t="s">
        <v>10055</v>
      </c>
      <c r="E3618" s="8"/>
    </row>
    <row r="3619" spans="1:5" x14ac:dyDescent="0.25">
      <c r="A3619" s="5" t="s">
        <v>9383</v>
      </c>
      <c r="B3619" s="9" t="str">
        <f t="shared" si="7"/>
        <v>25753</v>
      </c>
      <c r="C3619" s="8" t="s">
        <v>9384</v>
      </c>
      <c r="D3619" s="8" t="s">
        <v>10055</v>
      </c>
      <c r="E3619" s="8"/>
    </row>
    <row r="3620" spans="1:5" x14ac:dyDescent="0.25">
      <c r="A3620" s="5" t="s">
        <v>9385</v>
      </c>
      <c r="B3620" s="9" t="str">
        <f t="shared" si="7"/>
        <v>25753</v>
      </c>
      <c r="C3620" s="8" t="s">
        <v>9386</v>
      </c>
      <c r="D3620" s="8" t="s">
        <v>10055</v>
      </c>
      <c r="E3620" s="8"/>
    </row>
    <row r="3621" spans="1:5" x14ac:dyDescent="0.25">
      <c r="A3621" s="5" t="s">
        <v>9387</v>
      </c>
      <c r="B3621" s="9" t="str">
        <f t="shared" si="7"/>
        <v>25753</v>
      </c>
      <c r="C3621" s="8" t="s">
        <v>9388</v>
      </c>
      <c r="D3621" s="8" t="s">
        <v>10055</v>
      </c>
      <c r="E3621" s="8"/>
    </row>
    <row r="3622" spans="1:5" x14ac:dyDescent="0.25">
      <c r="A3622" s="5" t="s">
        <v>9389</v>
      </c>
      <c r="B3622" s="9" t="str">
        <f t="shared" si="7"/>
        <v>25753</v>
      </c>
      <c r="C3622" s="8" t="s">
        <v>9390</v>
      </c>
      <c r="D3622" s="8" t="s">
        <v>10055</v>
      </c>
      <c r="E3622" s="8"/>
    </row>
    <row r="3623" spans="1:5" x14ac:dyDescent="0.25">
      <c r="A3623" s="5" t="s">
        <v>9391</v>
      </c>
      <c r="B3623" s="9" t="str">
        <f t="shared" si="7"/>
        <v>25753</v>
      </c>
      <c r="C3623" s="8" t="s">
        <v>9392</v>
      </c>
      <c r="D3623" s="8" t="s">
        <v>10055</v>
      </c>
      <c r="E3623" s="8"/>
    </row>
    <row r="3624" spans="1:5" x14ac:dyDescent="0.25">
      <c r="A3624" s="5" t="s">
        <v>9393</v>
      </c>
      <c r="B3624" s="9" t="str">
        <f t="shared" si="7"/>
        <v>25753</v>
      </c>
      <c r="C3624" s="8" t="s">
        <v>9394</v>
      </c>
      <c r="D3624" s="8" t="s">
        <v>10055</v>
      </c>
      <c r="E3624" s="8"/>
    </row>
    <row r="3625" spans="1:5" x14ac:dyDescent="0.25">
      <c r="A3625" s="5" t="s">
        <v>9395</v>
      </c>
      <c r="B3625" s="9" t="str">
        <f t="shared" si="7"/>
        <v>25753</v>
      </c>
      <c r="C3625" s="8" t="s">
        <v>9396</v>
      </c>
      <c r="D3625" s="8" t="s">
        <v>10055</v>
      </c>
      <c r="E3625" s="8"/>
    </row>
    <row r="3626" spans="1:5" x14ac:dyDescent="0.25">
      <c r="A3626" s="5" t="s">
        <v>9397</v>
      </c>
      <c r="B3626" s="9" t="str">
        <f t="shared" si="7"/>
        <v>25753</v>
      </c>
      <c r="C3626" s="8" t="s">
        <v>9398</v>
      </c>
      <c r="D3626" s="8" t="s">
        <v>10055</v>
      </c>
      <c r="E3626" s="8"/>
    </row>
    <row r="3627" spans="1:5" x14ac:dyDescent="0.25">
      <c r="A3627" s="5" t="s">
        <v>9399</v>
      </c>
      <c r="B3627" s="9" t="str">
        <f t="shared" si="7"/>
        <v>25753</v>
      </c>
      <c r="C3627" s="8" t="s">
        <v>9400</v>
      </c>
      <c r="D3627" s="8" t="s">
        <v>10055</v>
      </c>
      <c r="E3627" s="8"/>
    </row>
    <row r="3628" spans="1:5" x14ac:dyDescent="0.25">
      <c r="A3628" s="5" t="s">
        <v>9401</v>
      </c>
      <c r="B3628" s="9" t="str">
        <f t="shared" si="7"/>
        <v>25753</v>
      </c>
      <c r="C3628" s="8" t="s">
        <v>9402</v>
      </c>
      <c r="D3628" s="8" t="s">
        <v>10055</v>
      </c>
      <c r="E3628" s="8"/>
    </row>
    <row r="3629" spans="1:5" x14ac:dyDescent="0.25">
      <c r="A3629" s="5" t="s">
        <v>9403</v>
      </c>
      <c r="B3629" s="9" t="str">
        <f t="shared" si="7"/>
        <v>25753</v>
      </c>
      <c r="C3629" s="8" t="s">
        <v>9404</v>
      </c>
      <c r="D3629" s="8" t="s">
        <v>10055</v>
      </c>
      <c r="E3629" s="8"/>
    </row>
    <row r="3630" spans="1:5" x14ac:dyDescent="0.25">
      <c r="A3630" s="5" t="s">
        <v>9405</v>
      </c>
      <c r="B3630" s="9" t="str">
        <f t="shared" si="7"/>
        <v>25753</v>
      </c>
      <c r="C3630" s="8" t="s">
        <v>9406</v>
      </c>
      <c r="D3630" s="8" t="s">
        <v>10055</v>
      </c>
      <c r="E3630" s="8"/>
    </row>
    <row r="3631" spans="1:5" x14ac:dyDescent="0.25">
      <c r="A3631" s="5" t="s">
        <v>9407</v>
      </c>
      <c r="B3631" s="9" t="str">
        <f t="shared" si="7"/>
        <v>25753</v>
      </c>
      <c r="C3631" s="8" t="s">
        <v>9408</v>
      </c>
      <c r="D3631" s="8" t="s">
        <v>10055</v>
      </c>
      <c r="E3631" s="8"/>
    </row>
    <row r="3632" spans="1:5" x14ac:dyDescent="0.25">
      <c r="A3632" s="5" t="s">
        <v>9409</v>
      </c>
      <c r="B3632" s="9" t="str">
        <f t="shared" si="7"/>
        <v>25753</v>
      </c>
      <c r="C3632" s="8" t="s">
        <v>9410</v>
      </c>
      <c r="D3632" s="8" t="s">
        <v>10055</v>
      </c>
      <c r="E3632" s="8"/>
    </row>
    <row r="3633" spans="1:5" x14ac:dyDescent="0.25">
      <c r="A3633" s="5" t="s">
        <v>9411</v>
      </c>
      <c r="B3633" s="9" t="str">
        <f t="shared" si="7"/>
        <v>25753</v>
      </c>
      <c r="C3633" s="8" t="s">
        <v>9412</v>
      </c>
      <c r="D3633" s="8" t="s">
        <v>10055</v>
      </c>
      <c r="E3633" s="8"/>
    </row>
    <row r="3634" spans="1:5" x14ac:dyDescent="0.25">
      <c r="A3634" s="5" t="s">
        <v>9413</v>
      </c>
      <c r="B3634" s="9" t="str">
        <f t="shared" si="7"/>
        <v>25753</v>
      </c>
      <c r="C3634" s="8" t="s">
        <v>9414</v>
      </c>
      <c r="D3634" s="8" t="s">
        <v>10055</v>
      </c>
      <c r="E3634" s="8"/>
    </row>
    <row r="3635" spans="1:5" x14ac:dyDescent="0.25">
      <c r="A3635" s="5" t="s">
        <v>9415</v>
      </c>
      <c r="B3635" s="9" t="str">
        <f t="shared" si="7"/>
        <v>25753</v>
      </c>
      <c r="C3635" s="8" t="s">
        <v>9416</v>
      </c>
      <c r="D3635" s="8" t="s">
        <v>10055</v>
      </c>
      <c r="E3635" s="8"/>
    </row>
    <row r="3636" spans="1:5" x14ac:dyDescent="0.25">
      <c r="A3636" s="5" t="s">
        <v>9417</v>
      </c>
      <c r="B3636" s="9" t="str">
        <f t="shared" si="7"/>
        <v>25753</v>
      </c>
      <c r="C3636" s="8" t="s">
        <v>9418</v>
      </c>
      <c r="D3636" s="8" t="s">
        <v>10055</v>
      </c>
      <c r="E3636" s="8"/>
    </row>
    <row r="3637" spans="1:5" x14ac:dyDescent="0.25">
      <c r="A3637" s="5" t="s">
        <v>9419</v>
      </c>
      <c r="B3637" s="9" t="str">
        <f t="shared" si="7"/>
        <v>25753</v>
      </c>
      <c r="C3637" s="8" t="s">
        <v>9420</v>
      </c>
      <c r="D3637" s="8" t="s">
        <v>10055</v>
      </c>
      <c r="E3637" s="8"/>
    </row>
    <row r="3638" spans="1:5" x14ac:dyDescent="0.25">
      <c r="A3638" s="5" t="s">
        <v>9421</v>
      </c>
      <c r="B3638" s="9" t="str">
        <f t="shared" si="7"/>
        <v>25753</v>
      </c>
      <c r="C3638" s="8" t="s">
        <v>9422</v>
      </c>
      <c r="D3638" s="8" t="s">
        <v>10055</v>
      </c>
      <c r="E3638" s="8"/>
    </row>
    <row r="3639" spans="1:5" x14ac:dyDescent="0.25">
      <c r="A3639" s="5" t="s">
        <v>9423</v>
      </c>
      <c r="B3639" s="9" t="str">
        <f t="shared" si="7"/>
        <v>25753</v>
      </c>
      <c r="C3639" s="8" t="s">
        <v>9424</v>
      </c>
      <c r="D3639" s="8" t="s">
        <v>10055</v>
      </c>
      <c r="E3639" s="8"/>
    </row>
    <row r="3640" spans="1:5" x14ac:dyDescent="0.25">
      <c r="A3640" s="5" t="s">
        <v>9425</v>
      </c>
      <c r="B3640" s="9" t="str">
        <f t="shared" si="7"/>
        <v>25753</v>
      </c>
      <c r="C3640" s="8" t="s">
        <v>9426</v>
      </c>
      <c r="D3640" s="8" t="s">
        <v>10055</v>
      </c>
      <c r="E3640" s="8"/>
    </row>
    <row r="3641" spans="1:5" x14ac:dyDescent="0.25">
      <c r="A3641" s="5" t="s">
        <v>9427</v>
      </c>
      <c r="B3641" s="9" t="str">
        <f t="shared" si="7"/>
        <v>25753</v>
      </c>
      <c r="C3641" s="8" t="s">
        <v>9428</v>
      </c>
      <c r="D3641" s="8" t="s">
        <v>10055</v>
      </c>
      <c r="E3641" s="8"/>
    </row>
    <row r="3642" spans="1:5" x14ac:dyDescent="0.25">
      <c r="A3642" s="5" t="s">
        <v>9429</v>
      </c>
      <c r="B3642" s="9" t="str">
        <f t="shared" si="7"/>
        <v>25753</v>
      </c>
      <c r="C3642" s="8" t="s">
        <v>9430</v>
      </c>
      <c r="D3642" s="8" t="s">
        <v>10055</v>
      </c>
      <c r="E3642" s="8"/>
    </row>
    <row r="3643" spans="1:5" x14ac:dyDescent="0.25">
      <c r="A3643" s="5" t="s">
        <v>9431</v>
      </c>
      <c r="B3643" s="9" t="str">
        <f t="shared" si="7"/>
        <v>25753</v>
      </c>
      <c r="C3643" s="8" t="s">
        <v>9432</v>
      </c>
      <c r="D3643" s="8" t="s">
        <v>10055</v>
      </c>
      <c r="E3643" s="8"/>
    </row>
    <row r="3644" spans="1:5" x14ac:dyDescent="0.25">
      <c r="A3644" s="5" t="s">
        <v>9433</v>
      </c>
      <c r="B3644" s="9" t="str">
        <f t="shared" si="7"/>
        <v>25753</v>
      </c>
      <c r="C3644" s="8" t="s">
        <v>9434</v>
      </c>
      <c r="D3644" s="8" t="s">
        <v>10055</v>
      </c>
      <c r="E3644" s="8"/>
    </row>
    <row r="3645" spans="1:5" x14ac:dyDescent="0.25">
      <c r="A3645" s="5" t="s">
        <v>9435</v>
      </c>
      <c r="B3645" s="9" t="str">
        <f t="shared" si="7"/>
        <v>25753</v>
      </c>
      <c r="C3645" s="8" t="s">
        <v>9436</v>
      </c>
      <c r="D3645" s="8" t="s">
        <v>10055</v>
      </c>
      <c r="E3645" s="8"/>
    </row>
    <row r="3646" spans="1:5" x14ac:dyDescent="0.25">
      <c r="A3646" s="5" t="s">
        <v>9437</v>
      </c>
      <c r="B3646" s="9" t="str">
        <f t="shared" si="7"/>
        <v>25753</v>
      </c>
      <c r="C3646" s="8" t="s">
        <v>9438</v>
      </c>
      <c r="D3646" s="8" t="s">
        <v>10055</v>
      </c>
      <c r="E3646" s="8"/>
    </row>
    <row r="3647" spans="1:5" x14ac:dyDescent="0.25">
      <c r="A3647" s="5" t="s">
        <v>9439</v>
      </c>
      <c r="B3647" s="9" t="str">
        <f t="shared" si="7"/>
        <v>25753</v>
      </c>
      <c r="C3647" s="8" t="s">
        <v>9440</v>
      </c>
      <c r="D3647" s="8" t="s">
        <v>10055</v>
      </c>
      <c r="E3647" s="8"/>
    </row>
    <row r="3648" spans="1:5" x14ac:dyDescent="0.25">
      <c r="A3648" s="5" t="s">
        <v>9441</v>
      </c>
      <c r="B3648" s="9" t="str">
        <f t="shared" si="7"/>
        <v>25753</v>
      </c>
      <c r="C3648" s="8" t="s">
        <v>9442</v>
      </c>
      <c r="D3648" s="8" t="s">
        <v>10055</v>
      </c>
      <c r="E3648" s="8"/>
    </row>
    <row r="3649" spans="1:5" x14ac:dyDescent="0.25">
      <c r="A3649" s="5" t="s">
        <v>9443</v>
      </c>
      <c r="B3649" s="9" t="str">
        <f t="shared" si="7"/>
        <v>25753</v>
      </c>
      <c r="C3649" s="8" t="s">
        <v>9444</v>
      </c>
      <c r="D3649" s="8" t="s">
        <v>10055</v>
      </c>
      <c r="E3649" s="8"/>
    </row>
    <row r="3650" spans="1:5" x14ac:dyDescent="0.25">
      <c r="A3650" s="5" t="s">
        <v>9445</v>
      </c>
      <c r="B3650" s="9" t="str">
        <f t="shared" si="7"/>
        <v>25753</v>
      </c>
      <c r="C3650" s="8" t="s">
        <v>9446</v>
      </c>
      <c r="D3650" s="8" t="s">
        <v>10055</v>
      </c>
      <c r="E3650" s="8"/>
    </row>
    <row r="3651" spans="1:5" x14ac:dyDescent="0.25">
      <c r="A3651" s="5" t="s">
        <v>9447</v>
      </c>
      <c r="B3651" s="9" t="str">
        <f t="shared" si="7"/>
        <v>25753</v>
      </c>
      <c r="C3651" s="8" t="s">
        <v>9448</v>
      </c>
      <c r="D3651" s="8" t="s">
        <v>10055</v>
      </c>
      <c r="E3651" s="8"/>
    </row>
    <row r="3652" spans="1:5" x14ac:dyDescent="0.25">
      <c r="A3652" s="5" t="s">
        <v>9449</v>
      </c>
      <c r="B3652" s="9" t="str">
        <f t="shared" si="7"/>
        <v>25753</v>
      </c>
      <c r="C3652" s="8" t="s">
        <v>9450</v>
      </c>
      <c r="D3652" s="8" t="s">
        <v>10055</v>
      </c>
      <c r="E3652" s="8"/>
    </row>
    <row r="3653" spans="1:5" x14ac:dyDescent="0.25">
      <c r="A3653" s="5" t="s">
        <v>9451</v>
      </c>
      <c r="B3653" s="9" t="str">
        <f t="shared" si="7"/>
        <v>25753</v>
      </c>
      <c r="C3653" s="8" t="s">
        <v>9452</v>
      </c>
      <c r="D3653" s="8" t="s">
        <v>10055</v>
      </c>
      <c r="E3653" s="8"/>
    </row>
    <row r="3654" spans="1:5" x14ac:dyDescent="0.25">
      <c r="A3654" s="5" t="s">
        <v>9453</v>
      </c>
      <c r="B3654" s="9" t="str">
        <f t="shared" si="7"/>
        <v>25753</v>
      </c>
      <c r="C3654" s="8" t="s">
        <v>9454</v>
      </c>
      <c r="D3654" s="8" t="s">
        <v>10055</v>
      </c>
      <c r="E3654" s="8"/>
    </row>
    <row r="3655" spans="1:5" x14ac:dyDescent="0.25">
      <c r="A3655" s="5" t="s">
        <v>9455</v>
      </c>
      <c r="B3655" s="9" t="str">
        <f t="shared" si="7"/>
        <v>25753</v>
      </c>
      <c r="C3655" s="8" t="s">
        <v>9456</v>
      </c>
      <c r="D3655" s="8" t="s">
        <v>10055</v>
      </c>
      <c r="E3655" s="8"/>
    </row>
    <row r="3656" spans="1:5" x14ac:dyDescent="0.25">
      <c r="A3656" s="5" t="s">
        <v>9457</v>
      </c>
      <c r="B3656" s="9" t="str">
        <f t="shared" si="7"/>
        <v>25753</v>
      </c>
      <c r="C3656" s="8" t="s">
        <v>9458</v>
      </c>
      <c r="D3656" s="8" t="s">
        <v>10055</v>
      </c>
      <c r="E3656" s="8"/>
    </row>
    <row r="3657" spans="1:5" x14ac:dyDescent="0.25">
      <c r="A3657" s="5" t="s">
        <v>9459</v>
      </c>
      <c r="B3657" s="9" t="str">
        <f t="shared" si="7"/>
        <v>25753</v>
      </c>
      <c r="C3657" s="8" t="s">
        <v>9460</v>
      </c>
      <c r="D3657" s="8" t="s">
        <v>10055</v>
      </c>
      <c r="E3657" s="8"/>
    </row>
    <row r="3658" spans="1:5" x14ac:dyDescent="0.25">
      <c r="A3658" s="5" t="s">
        <v>9461</v>
      </c>
      <c r="B3658" s="9" t="str">
        <f t="shared" si="7"/>
        <v>25753</v>
      </c>
      <c r="C3658" s="8" t="s">
        <v>9462</v>
      </c>
      <c r="D3658" s="8" t="s">
        <v>10055</v>
      </c>
      <c r="E3658" s="8"/>
    </row>
    <row r="3659" spans="1:5" x14ac:dyDescent="0.25">
      <c r="A3659" s="5" t="s">
        <v>9463</v>
      </c>
      <c r="B3659" s="9" t="str">
        <f t="shared" si="7"/>
        <v>25753</v>
      </c>
      <c r="C3659" s="8" t="s">
        <v>9464</v>
      </c>
      <c r="D3659" s="8" t="s">
        <v>10055</v>
      </c>
      <c r="E3659" s="8"/>
    </row>
    <row r="3660" spans="1:5" x14ac:dyDescent="0.25">
      <c r="A3660" s="5" t="s">
        <v>9465</v>
      </c>
      <c r="B3660" s="9" t="str">
        <f t="shared" si="7"/>
        <v>25753</v>
      </c>
      <c r="C3660" s="8" t="s">
        <v>9466</v>
      </c>
      <c r="D3660" s="8" t="s">
        <v>10055</v>
      </c>
      <c r="E3660" s="8"/>
    </row>
    <row r="3661" spans="1:5" x14ac:dyDescent="0.25">
      <c r="A3661" s="5" t="s">
        <v>9467</v>
      </c>
      <c r="B3661" s="9" t="str">
        <f t="shared" si="7"/>
        <v>25753</v>
      </c>
      <c r="C3661" s="8" t="s">
        <v>9468</v>
      </c>
      <c r="D3661" s="8" t="s">
        <v>10055</v>
      </c>
      <c r="E3661" s="8"/>
    </row>
    <row r="3662" spans="1:5" x14ac:dyDescent="0.25">
      <c r="A3662" s="5" t="s">
        <v>9469</v>
      </c>
      <c r="B3662" s="9" t="str">
        <f t="shared" si="7"/>
        <v>25753</v>
      </c>
      <c r="C3662" s="8" t="s">
        <v>9470</v>
      </c>
      <c r="D3662" s="8" t="s">
        <v>10055</v>
      </c>
      <c r="E3662" s="8"/>
    </row>
    <row r="3663" spans="1:5" x14ac:dyDescent="0.25">
      <c r="A3663" s="5" t="s">
        <v>9471</v>
      </c>
      <c r="B3663" s="9" t="str">
        <f t="shared" si="7"/>
        <v>25753</v>
      </c>
      <c r="C3663" s="8" t="s">
        <v>9472</v>
      </c>
      <c r="D3663" s="8" t="s">
        <v>10055</v>
      </c>
      <c r="E3663" s="8"/>
    </row>
    <row r="3664" spans="1:5" x14ac:dyDescent="0.25">
      <c r="A3664" s="5" t="s">
        <v>9473</v>
      </c>
      <c r="B3664" s="9" t="str">
        <f t="shared" si="7"/>
        <v>25753</v>
      </c>
      <c r="C3664" s="8" t="s">
        <v>9474</v>
      </c>
      <c r="D3664" s="8" t="s">
        <v>10055</v>
      </c>
      <c r="E3664" s="8"/>
    </row>
    <row r="3665" spans="1:5" x14ac:dyDescent="0.25">
      <c r="A3665" s="5" t="s">
        <v>9475</v>
      </c>
      <c r="B3665" s="9" t="str">
        <f t="shared" si="7"/>
        <v>25753</v>
      </c>
      <c r="C3665" s="8" t="s">
        <v>9476</v>
      </c>
      <c r="D3665" s="8" t="s">
        <v>10055</v>
      </c>
      <c r="E3665" s="8"/>
    </row>
    <row r="3666" spans="1:5" x14ac:dyDescent="0.25">
      <c r="A3666" s="5" t="s">
        <v>9477</v>
      </c>
      <c r="B3666" s="9" t="str">
        <f t="shared" si="7"/>
        <v>25753</v>
      </c>
      <c r="C3666" s="8" t="s">
        <v>9478</v>
      </c>
      <c r="D3666" s="8" t="s">
        <v>10055</v>
      </c>
      <c r="E3666" s="8"/>
    </row>
    <row r="3667" spans="1:5" x14ac:dyDescent="0.25">
      <c r="A3667" s="5" t="s">
        <v>9479</v>
      </c>
      <c r="B3667" s="9" t="str">
        <f t="shared" si="7"/>
        <v>25753</v>
      </c>
      <c r="C3667" s="8" t="s">
        <v>9480</v>
      </c>
      <c r="D3667" s="8" t="s">
        <v>10055</v>
      </c>
      <c r="E3667" s="8"/>
    </row>
    <row r="3668" spans="1:5" x14ac:dyDescent="0.25">
      <c r="A3668" s="5" t="s">
        <v>9481</v>
      </c>
      <c r="B3668" s="9" t="str">
        <f t="shared" si="7"/>
        <v>25753</v>
      </c>
      <c r="C3668" s="8" t="s">
        <v>9482</v>
      </c>
      <c r="D3668" s="8" t="s">
        <v>10055</v>
      </c>
      <c r="E3668" s="8"/>
    </row>
    <row r="3669" spans="1:5" x14ac:dyDescent="0.25">
      <c r="A3669" s="5" t="s">
        <v>9483</v>
      </c>
      <c r="B3669" s="9" t="str">
        <f t="shared" si="7"/>
        <v>25753</v>
      </c>
      <c r="C3669" s="8" t="s">
        <v>9484</v>
      </c>
      <c r="D3669" s="8" t="s">
        <v>10055</v>
      </c>
      <c r="E3669" s="8"/>
    </row>
    <row r="3670" spans="1:5" x14ac:dyDescent="0.25">
      <c r="A3670" s="5" t="s">
        <v>9485</v>
      </c>
      <c r="B3670" s="9" t="str">
        <f t="shared" si="7"/>
        <v>25753</v>
      </c>
      <c r="C3670" s="8" t="s">
        <v>9486</v>
      </c>
      <c r="D3670" s="8" t="s">
        <v>10055</v>
      </c>
      <c r="E3670" s="8"/>
    </row>
    <row r="3671" spans="1:5" x14ac:dyDescent="0.25">
      <c r="A3671" s="5" t="s">
        <v>9487</v>
      </c>
      <c r="B3671" s="9" t="str">
        <f t="shared" si="7"/>
        <v>25753</v>
      </c>
      <c r="C3671" s="8" t="s">
        <v>9488</v>
      </c>
      <c r="D3671" s="8" t="s">
        <v>10055</v>
      </c>
      <c r="E3671" s="8"/>
    </row>
    <row r="3672" spans="1:5" x14ac:dyDescent="0.25">
      <c r="A3672" s="5" t="s">
        <v>9489</v>
      </c>
      <c r="B3672" s="9" t="str">
        <f t="shared" si="7"/>
        <v>25753</v>
      </c>
      <c r="C3672" s="8" t="s">
        <v>9490</v>
      </c>
      <c r="D3672" s="8" t="s">
        <v>10055</v>
      </c>
      <c r="E3672" s="8"/>
    </row>
    <row r="3673" spans="1:5" x14ac:dyDescent="0.25">
      <c r="A3673" s="5" t="s">
        <v>9491</v>
      </c>
      <c r="B3673" s="9" t="str">
        <f t="shared" si="7"/>
        <v>25753</v>
      </c>
      <c r="C3673" s="8" t="s">
        <v>9492</v>
      </c>
      <c r="D3673" s="8" t="s">
        <v>10055</v>
      </c>
      <c r="E3673" s="8"/>
    </row>
    <row r="3674" spans="1:5" x14ac:dyDescent="0.25">
      <c r="A3674" s="5" t="s">
        <v>9493</v>
      </c>
      <c r="B3674" s="9" t="str">
        <f t="shared" si="7"/>
        <v>25753</v>
      </c>
      <c r="C3674" s="8" t="s">
        <v>9494</v>
      </c>
      <c r="D3674" s="8" t="s">
        <v>10055</v>
      </c>
      <c r="E3674" s="8"/>
    </row>
    <row r="3675" spans="1:5" x14ac:dyDescent="0.25">
      <c r="A3675" s="5" t="s">
        <v>9495</v>
      </c>
      <c r="B3675" s="9" t="str">
        <f t="shared" si="7"/>
        <v>25753</v>
      </c>
      <c r="C3675" s="8" t="s">
        <v>9496</v>
      </c>
      <c r="D3675" s="8" t="s">
        <v>10055</v>
      </c>
      <c r="E3675" s="8"/>
    </row>
    <row r="3676" spans="1:5" x14ac:dyDescent="0.25">
      <c r="A3676" s="5" t="s">
        <v>9497</v>
      </c>
      <c r="B3676" s="9" t="str">
        <f t="shared" si="7"/>
        <v>25753</v>
      </c>
      <c r="C3676" s="8" t="s">
        <v>9498</v>
      </c>
      <c r="D3676" s="8" t="s">
        <v>10055</v>
      </c>
      <c r="E3676" s="8"/>
    </row>
    <row r="3677" spans="1:5" x14ac:dyDescent="0.25">
      <c r="A3677" s="5" t="s">
        <v>9499</v>
      </c>
      <c r="B3677" s="9" t="str">
        <f t="shared" si="7"/>
        <v>25753</v>
      </c>
      <c r="C3677" s="8" t="s">
        <v>9500</v>
      </c>
      <c r="D3677" s="8" t="s">
        <v>10055</v>
      </c>
      <c r="E3677" s="8"/>
    </row>
    <row r="3678" spans="1:5" x14ac:dyDescent="0.25">
      <c r="A3678" s="5" t="s">
        <v>9501</v>
      </c>
      <c r="B3678" s="9" t="str">
        <f t="shared" si="7"/>
        <v>25753</v>
      </c>
      <c r="C3678" s="8" t="s">
        <v>9502</v>
      </c>
      <c r="D3678" s="8" t="s">
        <v>10055</v>
      </c>
      <c r="E3678" s="8"/>
    </row>
    <row r="3679" spans="1:5" x14ac:dyDescent="0.25">
      <c r="A3679" s="5" t="s">
        <v>9503</v>
      </c>
      <c r="B3679" s="9" t="str">
        <f t="shared" si="7"/>
        <v>25753</v>
      </c>
      <c r="C3679" s="8" t="s">
        <v>9504</v>
      </c>
      <c r="D3679" s="8" t="s">
        <v>10055</v>
      </c>
      <c r="E3679" s="8"/>
    </row>
    <row r="3680" spans="1:5" x14ac:dyDescent="0.25">
      <c r="A3680" s="5" t="s">
        <v>9505</v>
      </c>
      <c r="B3680" s="9" t="str">
        <f t="shared" si="7"/>
        <v>25753</v>
      </c>
      <c r="C3680" s="8" t="s">
        <v>9506</v>
      </c>
      <c r="D3680" s="8" t="s">
        <v>10055</v>
      </c>
      <c r="E3680" s="8"/>
    </row>
    <row r="3681" spans="1:5" x14ac:dyDescent="0.25">
      <c r="A3681" s="5" t="s">
        <v>9507</v>
      </c>
      <c r="B3681" s="9" t="str">
        <f t="shared" si="7"/>
        <v>25753</v>
      </c>
      <c r="C3681" s="8" t="s">
        <v>9508</v>
      </c>
      <c r="D3681" s="8" t="s">
        <v>10055</v>
      </c>
      <c r="E3681" s="8"/>
    </row>
    <row r="3682" spans="1:5" x14ac:dyDescent="0.25">
      <c r="A3682" s="5" t="s">
        <v>9509</v>
      </c>
      <c r="B3682" s="9" t="str">
        <f t="shared" si="7"/>
        <v>25753</v>
      </c>
      <c r="C3682" s="8" t="s">
        <v>9510</v>
      </c>
      <c r="D3682" s="8" t="s">
        <v>10055</v>
      </c>
      <c r="E3682" s="8"/>
    </row>
    <row r="3683" spans="1:5" x14ac:dyDescent="0.25">
      <c r="A3683" s="5" t="s">
        <v>9511</v>
      </c>
      <c r="B3683" s="9" t="str">
        <f t="shared" si="7"/>
        <v>25753</v>
      </c>
      <c r="C3683" s="8" t="s">
        <v>9512</v>
      </c>
      <c r="D3683" s="8" t="s">
        <v>10055</v>
      </c>
      <c r="E3683" s="8"/>
    </row>
    <row r="3684" spans="1:5" x14ac:dyDescent="0.25">
      <c r="A3684" s="5" t="s">
        <v>9513</v>
      </c>
      <c r="B3684" s="9" t="str">
        <f t="shared" si="7"/>
        <v>25753</v>
      </c>
      <c r="C3684" s="8" t="s">
        <v>9514</v>
      </c>
      <c r="D3684" s="8" t="s">
        <v>10055</v>
      </c>
      <c r="E3684" s="8"/>
    </row>
    <row r="3685" spans="1:5" x14ac:dyDescent="0.25">
      <c r="A3685" s="5" t="s">
        <v>9515</v>
      </c>
      <c r="B3685" s="9" t="str">
        <f t="shared" si="7"/>
        <v>25753</v>
      </c>
      <c r="C3685" s="8" t="s">
        <v>9516</v>
      </c>
      <c r="D3685" s="8" t="s">
        <v>10055</v>
      </c>
      <c r="E3685" s="8"/>
    </row>
    <row r="3686" spans="1:5" x14ac:dyDescent="0.25">
      <c r="A3686" s="5" t="s">
        <v>9517</v>
      </c>
      <c r="B3686" s="9" t="str">
        <f t="shared" si="7"/>
        <v>25753</v>
      </c>
      <c r="C3686" s="8" t="s">
        <v>9518</v>
      </c>
      <c r="D3686" s="8" t="s">
        <v>10055</v>
      </c>
      <c r="E3686" s="8"/>
    </row>
    <row r="3687" spans="1:5" x14ac:dyDescent="0.25">
      <c r="A3687" s="5" t="s">
        <v>9519</v>
      </c>
      <c r="B3687" s="9" t="str">
        <f t="shared" si="7"/>
        <v>25753</v>
      </c>
      <c r="C3687" s="8" t="s">
        <v>9520</v>
      </c>
      <c r="D3687" s="8" t="s">
        <v>10055</v>
      </c>
      <c r="E3687" s="8"/>
    </row>
    <row r="3688" spans="1:5" x14ac:dyDescent="0.25">
      <c r="A3688" s="5" t="s">
        <v>9521</v>
      </c>
      <c r="B3688" s="9" t="str">
        <f t="shared" si="7"/>
        <v>25753</v>
      </c>
      <c r="C3688" s="8" t="s">
        <v>9522</v>
      </c>
      <c r="D3688" s="8" t="s">
        <v>10055</v>
      </c>
      <c r="E3688" s="8"/>
    </row>
    <row r="3689" spans="1:5" x14ac:dyDescent="0.25">
      <c r="A3689" s="5" t="s">
        <v>9523</v>
      </c>
      <c r="B3689" s="9" t="str">
        <f t="shared" si="7"/>
        <v>25753</v>
      </c>
      <c r="C3689" s="8" t="s">
        <v>9524</v>
      </c>
      <c r="D3689" s="8" t="s">
        <v>10055</v>
      </c>
      <c r="E3689" s="8"/>
    </row>
    <row r="3690" spans="1:5" x14ac:dyDescent="0.25">
      <c r="A3690" s="5" t="s">
        <v>9525</v>
      </c>
      <c r="B3690" s="9" t="str">
        <f t="shared" si="7"/>
        <v>25753</v>
      </c>
      <c r="C3690" s="8" t="s">
        <v>9526</v>
      </c>
      <c r="D3690" s="8" t="s">
        <v>10055</v>
      </c>
      <c r="E3690" s="8"/>
    </row>
    <row r="3691" spans="1:5" x14ac:dyDescent="0.25">
      <c r="A3691" s="5" t="s">
        <v>9527</v>
      </c>
      <c r="B3691" s="9" t="str">
        <f t="shared" si="7"/>
        <v>25753</v>
      </c>
      <c r="C3691" s="8" t="s">
        <v>9528</v>
      </c>
      <c r="D3691" s="8" t="s">
        <v>10055</v>
      </c>
      <c r="E3691" s="8"/>
    </row>
    <row r="3692" spans="1:5" x14ac:dyDescent="0.25">
      <c r="A3692" s="5" t="s">
        <v>9529</v>
      </c>
      <c r="B3692" s="9" t="str">
        <f t="shared" si="7"/>
        <v>25753</v>
      </c>
      <c r="C3692" s="8" t="s">
        <v>9530</v>
      </c>
      <c r="D3692" s="8" t="s">
        <v>10055</v>
      </c>
      <c r="E3692" s="8"/>
    </row>
    <row r="3693" spans="1:5" x14ac:dyDescent="0.25">
      <c r="A3693" s="5" t="s">
        <v>9531</v>
      </c>
      <c r="B3693" s="9" t="str">
        <f t="shared" si="7"/>
        <v>25753</v>
      </c>
      <c r="C3693" s="8" t="s">
        <v>9532</v>
      </c>
      <c r="D3693" s="8" t="s">
        <v>10055</v>
      </c>
      <c r="E3693" s="8"/>
    </row>
    <row r="3694" spans="1:5" x14ac:dyDescent="0.25">
      <c r="A3694" s="5" t="s">
        <v>9533</v>
      </c>
      <c r="B3694" s="9" t="str">
        <f t="shared" si="7"/>
        <v>25753</v>
      </c>
      <c r="C3694" s="8" t="s">
        <v>9534</v>
      </c>
      <c r="D3694" s="8" t="s">
        <v>10055</v>
      </c>
      <c r="E3694" s="8"/>
    </row>
    <row r="3695" spans="1:5" x14ac:dyDescent="0.25">
      <c r="A3695" s="5" t="s">
        <v>9535</v>
      </c>
      <c r="B3695" s="9" t="str">
        <f t="shared" si="7"/>
        <v>25753</v>
      </c>
      <c r="C3695" s="8" t="s">
        <v>9536</v>
      </c>
      <c r="D3695" s="8" t="s">
        <v>10055</v>
      </c>
      <c r="E3695" s="8"/>
    </row>
    <row r="3696" spans="1:5" x14ac:dyDescent="0.25">
      <c r="A3696" s="5" t="s">
        <v>9537</v>
      </c>
      <c r="B3696" s="9" t="str">
        <f t="shared" si="7"/>
        <v>25753</v>
      </c>
      <c r="C3696" s="8" t="s">
        <v>9538</v>
      </c>
      <c r="D3696" s="8" t="s">
        <v>10055</v>
      </c>
      <c r="E3696" s="8"/>
    </row>
    <row r="3697" spans="1:5" x14ac:dyDescent="0.25">
      <c r="A3697" s="5" t="s">
        <v>9539</v>
      </c>
      <c r="B3697" s="9" t="str">
        <f t="shared" si="7"/>
        <v>25753</v>
      </c>
      <c r="C3697" s="8" t="s">
        <v>9540</v>
      </c>
      <c r="D3697" s="8" t="s">
        <v>10055</v>
      </c>
      <c r="E3697" s="8"/>
    </row>
    <row r="3698" spans="1:5" x14ac:dyDescent="0.25">
      <c r="A3698" s="5" t="s">
        <v>9541</v>
      </c>
      <c r="B3698" s="9" t="str">
        <f t="shared" si="7"/>
        <v>25753</v>
      </c>
      <c r="C3698" s="8" t="s">
        <v>9542</v>
      </c>
      <c r="D3698" s="8" t="s">
        <v>10055</v>
      </c>
      <c r="E3698" s="8"/>
    </row>
    <row r="3699" spans="1:5" x14ac:dyDescent="0.25">
      <c r="A3699" s="5" t="s">
        <v>9543</v>
      </c>
      <c r="B3699" s="9" t="str">
        <f t="shared" si="7"/>
        <v>25753</v>
      </c>
      <c r="C3699" s="8" t="s">
        <v>9544</v>
      </c>
      <c r="D3699" s="8" t="s">
        <v>10055</v>
      </c>
      <c r="E3699" s="8"/>
    </row>
    <row r="3700" spans="1:5" x14ac:dyDescent="0.25">
      <c r="A3700" s="5" t="s">
        <v>9545</v>
      </c>
      <c r="B3700" s="9" t="str">
        <f t="shared" si="7"/>
        <v>25753</v>
      </c>
      <c r="C3700" s="8" t="s">
        <v>9546</v>
      </c>
      <c r="D3700" s="8" t="s">
        <v>10055</v>
      </c>
      <c r="E3700" s="8"/>
    </row>
    <row r="3701" spans="1:5" x14ac:dyDescent="0.25">
      <c r="A3701" s="5" t="s">
        <v>9547</v>
      </c>
      <c r="B3701" s="9" t="str">
        <f t="shared" si="7"/>
        <v>25753</v>
      </c>
      <c r="C3701" s="8" t="s">
        <v>9548</v>
      </c>
      <c r="D3701" s="8" t="s">
        <v>10055</v>
      </c>
      <c r="E3701" s="8"/>
    </row>
    <row r="3702" spans="1:5" x14ac:dyDescent="0.25">
      <c r="A3702" s="5" t="s">
        <v>9549</v>
      </c>
      <c r="B3702" s="9" t="str">
        <f t="shared" si="7"/>
        <v>25753</v>
      </c>
      <c r="C3702" s="8" t="s">
        <v>9550</v>
      </c>
      <c r="D3702" s="8" t="s">
        <v>10055</v>
      </c>
      <c r="E3702" s="8"/>
    </row>
    <row r="3703" spans="1:5" x14ac:dyDescent="0.25">
      <c r="A3703" s="5" t="s">
        <v>9551</v>
      </c>
      <c r="B3703" s="9" t="str">
        <f t="shared" si="7"/>
        <v>25753</v>
      </c>
      <c r="C3703" s="8" t="s">
        <v>9552</v>
      </c>
      <c r="D3703" s="8" t="s">
        <v>10055</v>
      </c>
      <c r="E3703" s="8"/>
    </row>
    <row r="3704" spans="1:5" x14ac:dyDescent="0.25">
      <c r="A3704" s="5" t="s">
        <v>9553</v>
      </c>
      <c r="B3704" s="9" t="str">
        <f t="shared" si="7"/>
        <v>25753</v>
      </c>
      <c r="C3704" s="8" t="s">
        <v>9554</v>
      </c>
      <c r="D3704" s="8" t="s">
        <v>10055</v>
      </c>
      <c r="E3704" s="8"/>
    </row>
    <row r="3705" spans="1:5" x14ac:dyDescent="0.25">
      <c r="A3705" s="5" t="s">
        <v>9555</v>
      </c>
      <c r="B3705" s="9" t="str">
        <f t="shared" si="7"/>
        <v>25753</v>
      </c>
      <c r="C3705" s="8" t="s">
        <v>9556</v>
      </c>
      <c r="D3705" s="8" t="s">
        <v>10055</v>
      </c>
      <c r="E3705" s="8"/>
    </row>
    <row r="3706" spans="1:5" x14ac:dyDescent="0.25">
      <c r="A3706" s="5" t="s">
        <v>9557</v>
      </c>
      <c r="B3706" s="9" t="str">
        <f t="shared" ref="B3706:B3915" si="8">HYPERLINK("http://biobank.ctsu.ox.ac.uk/crystal/field.cgi?id=25753", "25753")</f>
        <v>25753</v>
      </c>
      <c r="C3706" s="8" t="s">
        <v>9558</v>
      </c>
      <c r="D3706" s="8" t="s">
        <v>10055</v>
      </c>
      <c r="E3706" s="8"/>
    </row>
    <row r="3707" spans="1:5" x14ac:dyDescent="0.25">
      <c r="A3707" s="5" t="s">
        <v>9559</v>
      </c>
      <c r="B3707" s="9" t="str">
        <f t="shared" si="8"/>
        <v>25753</v>
      </c>
      <c r="C3707" s="8" t="s">
        <v>9560</v>
      </c>
      <c r="D3707" s="8" t="s">
        <v>10055</v>
      </c>
      <c r="E3707" s="8"/>
    </row>
    <row r="3708" spans="1:5" x14ac:dyDescent="0.25">
      <c r="A3708" s="5" t="s">
        <v>9561</v>
      </c>
      <c r="B3708" s="9" t="str">
        <f t="shared" si="8"/>
        <v>25753</v>
      </c>
      <c r="C3708" s="8" t="s">
        <v>9562</v>
      </c>
      <c r="D3708" s="8" t="s">
        <v>10055</v>
      </c>
      <c r="E3708" s="8"/>
    </row>
    <row r="3709" spans="1:5" x14ac:dyDescent="0.25">
      <c r="A3709" s="5" t="s">
        <v>9563</v>
      </c>
      <c r="B3709" s="9" t="str">
        <f t="shared" si="8"/>
        <v>25753</v>
      </c>
      <c r="C3709" s="8" t="s">
        <v>9564</v>
      </c>
      <c r="D3709" s="8" t="s">
        <v>10055</v>
      </c>
      <c r="E3709" s="8"/>
    </row>
    <row r="3710" spans="1:5" x14ac:dyDescent="0.25">
      <c r="A3710" s="5" t="s">
        <v>9565</v>
      </c>
      <c r="B3710" s="9" t="str">
        <f t="shared" si="8"/>
        <v>25753</v>
      </c>
      <c r="C3710" s="8" t="s">
        <v>9566</v>
      </c>
      <c r="D3710" s="8" t="s">
        <v>10055</v>
      </c>
      <c r="E3710" s="8"/>
    </row>
    <row r="3711" spans="1:5" x14ac:dyDescent="0.25">
      <c r="A3711" s="5" t="s">
        <v>9567</v>
      </c>
      <c r="B3711" s="9" t="str">
        <f t="shared" si="8"/>
        <v>25753</v>
      </c>
      <c r="C3711" s="8" t="s">
        <v>9568</v>
      </c>
      <c r="D3711" s="8" t="s">
        <v>10055</v>
      </c>
      <c r="E3711" s="8"/>
    </row>
    <row r="3712" spans="1:5" x14ac:dyDescent="0.25">
      <c r="A3712" s="5" t="s">
        <v>9569</v>
      </c>
      <c r="B3712" s="9" t="str">
        <f t="shared" si="8"/>
        <v>25753</v>
      </c>
      <c r="C3712" s="8" t="s">
        <v>9570</v>
      </c>
      <c r="D3712" s="8" t="s">
        <v>10055</v>
      </c>
      <c r="E3712" s="8"/>
    </row>
    <row r="3713" spans="1:5" x14ac:dyDescent="0.25">
      <c r="A3713" s="5" t="s">
        <v>9571</v>
      </c>
      <c r="B3713" s="9" t="str">
        <f t="shared" si="8"/>
        <v>25753</v>
      </c>
      <c r="C3713" s="8" t="s">
        <v>9572</v>
      </c>
      <c r="D3713" s="8" t="s">
        <v>10055</v>
      </c>
      <c r="E3713" s="8"/>
    </row>
    <row r="3714" spans="1:5" x14ac:dyDescent="0.25">
      <c r="A3714" s="5" t="s">
        <v>9573</v>
      </c>
      <c r="B3714" s="9" t="str">
        <f t="shared" si="8"/>
        <v>25753</v>
      </c>
      <c r="C3714" s="8" t="s">
        <v>9574</v>
      </c>
      <c r="D3714" s="8" t="s">
        <v>10055</v>
      </c>
      <c r="E3714" s="8"/>
    </row>
    <row r="3715" spans="1:5" x14ac:dyDescent="0.25">
      <c r="A3715" s="5" t="s">
        <v>9575</v>
      </c>
      <c r="B3715" s="9" t="str">
        <f t="shared" si="8"/>
        <v>25753</v>
      </c>
      <c r="C3715" s="8" t="s">
        <v>9576</v>
      </c>
      <c r="D3715" s="8" t="s">
        <v>10055</v>
      </c>
      <c r="E3715" s="8"/>
    </row>
    <row r="3716" spans="1:5" x14ac:dyDescent="0.25">
      <c r="A3716" s="5" t="s">
        <v>9577</v>
      </c>
      <c r="B3716" s="9" t="str">
        <f t="shared" si="8"/>
        <v>25753</v>
      </c>
      <c r="C3716" s="8" t="s">
        <v>9578</v>
      </c>
      <c r="D3716" s="8" t="s">
        <v>10055</v>
      </c>
      <c r="E3716" s="8"/>
    </row>
    <row r="3717" spans="1:5" x14ac:dyDescent="0.25">
      <c r="A3717" s="5" t="s">
        <v>9579</v>
      </c>
      <c r="B3717" s="9" t="str">
        <f t="shared" si="8"/>
        <v>25753</v>
      </c>
      <c r="C3717" s="8" t="s">
        <v>9580</v>
      </c>
      <c r="D3717" s="8" t="s">
        <v>10055</v>
      </c>
      <c r="E3717" s="8"/>
    </row>
    <row r="3718" spans="1:5" x14ac:dyDescent="0.25">
      <c r="A3718" s="5" t="s">
        <v>9581</v>
      </c>
      <c r="B3718" s="9" t="str">
        <f t="shared" si="8"/>
        <v>25753</v>
      </c>
      <c r="C3718" s="8" t="s">
        <v>9582</v>
      </c>
      <c r="D3718" s="8" t="s">
        <v>10055</v>
      </c>
      <c r="E3718" s="8"/>
    </row>
    <row r="3719" spans="1:5" x14ac:dyDescent="0.25">
      <c r="A3719" s="5" t="s">
        <v>9583</v>
      </c>
      <c r="B3719" s="9" t="str">
        <f t="shared" si="8"/>
        <v>25753</v>
      </c>
      <c r="C3719" s="8" t="s">
        <v>9584</v>
      </c>
      <c r="D3719" s="8" t="s">
        <v>10055</v>
      </c>
      <c r="E3719" s="8"/>
    </row>
    <row r="3720" spans="1:5" x14ac:dyDescent="0.25">
      <c r="A3720" s="5" t="s">
        <v>9585</v>
      </c>
      <c r="B3720" s="9" t="str">
        <f t="shared" si="8"/>
        <v>25753</v>
      </c>
      <c r="C3720" s="8" t="s">
        <v>9586</v>
      </c>
      <c r="D3720" s="8" t="s">
        <v>10055</v>
      </c>
      <c r="E3720" s="8"/>
    </row>
    <row r="3721" spans="1:5" x14ac:dyDescent="0.25">
      <c r="A3721" s="5" t="s">
        <v>9587</v>
      </c>
      <c r="B3721" s="9" t="str">
        <f t="shared" si="8"/>
        <v>25753</v>
      </c>
      <c r="C3721" s="8" t="s">
        <v>9588</v>
      </c>
      <c r="D3721" s="8" t="s">
        <v>10055</v>
      </c>
      <c r="E3721" s="8"/>
    </row>
    <row r="3722" spans="1:5" x14ac:dyDescent="0.25">
      <c r="A3722" s="5" t="s">
        <v>9589</v>
      </c>
      <c r="B3722" s="9" t="str">
        <f t="shared" si="8"/>
        <v>25753</v>
      </c>
      <c r="C3722" s="8" t="s">
        <v>9590</v>
      </c>
      <c r="D3722" s="8" t="s">
        <v>10055</v>
      </c>
      <c r="E3722" s="8"/>
    </row>
    <row r="3723" spans="1:5" x14ac:dyDescent="0.25">
      <c r="A3723" s="5" t="s">
        <v>9591</v>
      </c>
      <c r="B3723" s="9" t="str">
        <f t="shared" si="8"/>
        <v>25753</v>
      </c>
      <c r="C3723" s="8" t="s">
        <v>9592</v>
      </c>
      <c r="D3723" s="8" t="s">
        <v>10055</v>
      </c>
      <c r="E3723" s="8"/>
    </row>
    <row r="3724" spans="1:5" x14ac:dyDescent="0.25">
      <c r="A3724" s="5" t="s">
        <v>9593</v>
      </c>
      <c r="B3724" s="9" t="str">
        <f t="shared" si="8"/>
        <v>25753</v>
      </c>
      <c r="C3724" s="8" t="s">
        <v>9594</v>
      </c>
      <c r="D3724" s="8" t="s">
        <v>10055</v>
      </c>
      <c r="E3724" s="8"/>
    </row>
    <row r="3725" spans="1:5" x14ac:dyDescent="0.25">
      <c r="A3725" s="5" t="s">
        <v>9595</v>
      </c>
      <c r="B3725" s="9" t="str">
        <f t="shared" si="8"/>
        <v>25753</v>
      </c>
      <c r="C3725" s="8" t="s">
        <v>9596</v>
      </c>
      <c r="D3725" s="8" t="s">
        <v>10055</v>
      </c>
      <c r="E3725" s="8"/>
    </row>
    <row r="3726" spans="1:5" x14ac:dyDescent="0.25">
      <c r="A3726" s="5" t="s">
        <v>9597</v>
      </c>
      <c r="B3726" s="9" t="str">
        <f t="shared" si="8"/>
        <v>25753</v>
      </c>
      <c r="C3726" s="8" t="s">
        <v>9598</v>
      </c>
      <c r="D3726" s="8" t="s">
        <v>10055</v>
      </c>
      <c r="E3726" s="8"/>
    </row>
    <row r="3727" spans="1:5" x14ac:dyDescent="0.25">
      <c r="A3727" s="5" t="s">
        <v>9599</v>
      </c>
      <c r="B3727" s="9" t="str">
        <f t="shared" si="8"/>
        <v>25753</v>
      </c>
      <c r="C3727" s="8" t="s">
        <v>9600</v>
      </c>
      <c r="D3727" s="8" t="s">
        <v>10055</v>
      </c>
      <c r="E3727" s="8"/>
    </row>
    <row r="3728" spans="1:5" x14ac:dyDescent="0.25">
      <c r="A3728" s="5" t="s">
        <v>9601</v>
      </c>
      <c r="B3728" s="9" t="str">
        <f t="shared" si="8"/>
        <v>25753</v>
      </c>
      <c r="C3728" s="8" t="s">
        <v>9602</v>
      </c>
      <c r="D3728" s="8" t="s">
        <v>10055</v>
      </c>
      <c r="E3728" s="8"/>
    </row>
    <row r="3729" spans="1:5" x14ac:dyDescent="0.25">
      <c r="A3729" s="5" t="s">
        <v>9603</v>
      </c>
      <c r="B3729" s="9" t="str">
        <f t="shared" si="8"/>
        <v>25753</v>
      </c>
      <c r="C3729" s="8" t="s">
        <v>9604</v>
      </c>
      <c r="D3729" s="8" t="s">
        <v>10055</v>
      </c>
      <c r="E3729" s="8"/>
    </row>
    <row r="3730" spans="1:5" x14ac:dyDescent="0.25">
      <c r="A3730" s="5" t="s">
        <v>9605</v>
      </c>
      <c r="B3730" s="9" t="str">
        <f t="shared" si="8"/>
        <v>25753</v>
      </c>
      <c r="C3730" s="8" t="s">
        <v>9606</v>
      </c>
      <c r="D3730" s="8" t="s">
        <v>10055</v>
      </c>
      <c r="E3730" s="8"/>
    </row>
    <row r="3731" spans="1:5" x14ac:dyDescent="0.25">
      <c r="A3731" s="5" t="s">
        <v>9607</v>
      </c>
      <c r="B3731" s="9" t="str">
        <f t="shared" si="8"/>
        <v>25753</v>
      </c>
      <c r="C3731" s="8" t="s">
        <v>9608</v>
      </c>
      <c r="D3731" s="8" t="s">
        <v>10055</v>
      </c>
      <c r="E3731" s="8"/>
    </row>
    <row r="3732" spans="1:5" x14ac:dyDescent="0.25">
      <c r="A3732" s="5" t="s">
        <v>9609</v>
      </c>
      <c r="B3732" s="9" t="str">
        <f t="shared" si="8"/>
        <v>25753</v>
      </c>
      <c r="C3732" s="8" t="s">
        <v>9610</v>
      </c>
      <c r="D3732" s="8" t="s">
        <v>10055</v>
      </c>
      <c r="E3732" s="8"/>
    </row>
    <row r="3733" spans="1:5" x14ac:dyDescent="0.25">
      <c r="A3733" s="5" t="s">
        <v>9611</v>
      </c>
      <c r="B3733" s="9" t="str">
        <f t="shared" si="8"/>
        <v>25753</v>
      </c>
      <c r="C3733" s="8" t="s">
        <v>9612</v>
      </c>
      <c r="D3733" s="8" t="s">
        <v>10055</v>
      </c>
      <c r="E3733" s="8"/>
    </row>
    <row r="3734" spans="1:5" x14ac:dyDescent="0.25">
      <c r="A3734" s="5" t="s">
        <v>9613</v>
      </c>
      <c r="B3734" s="9" t="str">
        <f t="shared" si="8"/>
        <v>25753</v>
      </c>
      <c r="C3734" s="8" t="s">
        <v>9614</v>
      </c>
      <c r="D3734" s="8" t="s">
        <v>10055</v>
      </c>
      <c r="E3734" s="8"/>
    </row>
    <row r="3735" spans="1:5" x14ac:dyDescent="0.25">
      <c r="A3735" s="5" t="s">
        <v>9615</v>
      </c>
      <c r="B3735" s="9" t="str">
        <f t="shared" si="8"/>
        <v>25753</v>
      </c>
      <c r="C3735" s="8" t="s">
        <v>9616</v>
      </c>
      <c r="D3735" s="8" t="s">
        <v>10055</v>
      </c>
      <c r="E3735" s="8"/>
    </row>
    <row r="3736" spans="1:5" x14ac:dyDescent="0.25">
      <c r="A3736" s="5" t="s">
        <v>9617</v>
      </c>
      <c r="B3736" s="9" t="str">
        <f t="shared" si="8"/>
        <v>25753</v>
      </c>
      <c r="C3736" s="8" t="s">
        <v>9618</v>
      </c>
      <c r="D3736" s="8" t="s">
        <v>10055</v>
      </c>
      <c r="E3736" s="8"/>
    </row>
    <row r="3737" spans="1:5" x14ac:dyDescent="0.25">
      <c r="A3737" s="5" t="s">
        <v>9619</v>
      </c>
      <c r="B3737" s="9" t="str">
        <f t="shared" si="8"/>
        <v>25753</v>
      </c>
      <c r="C3737" s="8" t="s">
        <v>9620</v>
      </c>
      <c r="D3737" s="8" t="s">
        <v>10055</v>
      </c>
      <c r="E3737" s="8"/>
    </row>
    <row r="3738" spans="1:5" x14ac:dyDescent="0.25">
      <c r="A3738" s="5" t="s">
        <v>9621</v>
      </c>
      <c r="B3738" s="9" t="str">
        <f t="shared" si="8"/>
        <v>25753</v>
      </c>
      <c r="C3738" s="8" t="s">
        <v>9622</v>
      </c>
      <c r="D3738" s="8" t="s">
        <v>10055</v>
      </c>
      <c r="E3738" s="8"/>
    </row>
    <row r="3739" spans="1:5" x14ac:dyDescent="0.25">
      <c r="A3739" s="5" t="s">
        <v>9623</v>
      </c>
      <c r="B3739" s="9" t="str">
        <f t="shared" si="8"/>
        <v>25753</v>
      </c>
      <c r="C3739" s="8" t="s">
        <v>9624</v>
      </c>
      <c r="D3739" s="8" t="s">
        <v>10055</v>
      </c>
      <c r="E3739" s="8"/>
    </row>
    <row r="3740" spans="1:5" x14ac:dyDescent="0.25">
      <c r="A3740" s="5" t="s">
        <v>9625</v>
      </c>
      <c r="B3740" s="9" t="str">
        <f t="shared" si="8"/>
        <v>25753</v>
      </c>
      <c r="C3740" s="8" t="s">
        <v>9626</v>
      </c>
      <c r="D3740" s="8" t="s">
        <v>10055</v>
      </c>
      <c r="E3740" s="8"/>
    </row>
    <row r="3741" spans="1:5" x14ac:dyDescent="0.25">
      <c r="A3741" s="5" t="s">
        <v>9627</v>
      </c>
      <c r="B3741" s="9" t="str">
        <f t="shared" si="8"/>
        <v>25753</v>
      </c>
      <c r="C3741" s="8" t="s">
        <v>9628</v>
      </c>
      <c r="D3741" s="8" t="s">
        <v>10055</v>
      </c>
      <c r="E3741" s="8"/>
    </row>
    <row r="3742" spans="1:5" x14ac:dyDescent="0.25">
      <c r="A3742" s="5" t="s">
        <v>9629</v>
      </c>
      <c r="B3742" s="9" t="str">
        <f t="shared" si="8"/>
        <v>25753</v>
      </c>
      <c r="C3742" s="8" t="s">
        <v>9630</v>
      </c>
      <c r="D3742" s="8" t="s">
        <v>10055</v>
      </c>
      <c r="E3742" s="8"/>
    </row>
    <row r="3743" spans="1:5" x14ac:dyDescent="0.25">
      <c r="A3743" s="5" t="s">
        <v>9631</v>
      </c>
      <c r="B3743" s="9" t="str">
        <f t="shared" si="8"/>
        <v>25753</v>
      </c>
      <c r="C3743" s="8" t="s">
        <v>9632</v>
      </c>
      <c r="D3743" s="8" t="s">
        <v>10055</v>
      </c>
      <c r="E3743" s="8"/>
    </row>
    <row r="3744" spans="1:5" x14ac:dyDescent="0.25">
      <c r="A3744" s="5" t="s">
        <v>9633</v>
      </c>
      <c r="B3744" s="9" t="str">
        <f t="shared" si="8"/>
        <v>25753</v>
      </c>
      <c r="C3744" s="8" t="s">
        <v>9634</v>
      </c>
      <c r="D3744" s="8" t="s">
        <v>10055</v>
      </c>
      <c r="E3744" s="8"/>
    </row>
    <row r="3745" spans="1:5" x14ac:dyDescent="0.25">
      <c r="A3745" s="5" t="s">
        <v>9635</v>
      </c>
      <c r="B3745" s="9" t="str">
        <f t="shared" si="8"/>
        <v>25753</v>
      </c>
      <c r="C3745" s="8" t="s">
        <v>9636</v>
      </c>
      <c r="D3745" s="8" t="s">
        <v>10055</v>
      </c>
      <c r="E3745" s="8"/>
    </row>
    <row r="3746" spans="1:5" x14ac:dyDescent="0.25">
      <c r="A3746" s="5" t="s">
        <v>9637</v>
      </c>
      <c r="B3746" s="9" t="str">
        <f t="shared" si="8"/>
        <v>25753</v>
      </c>
      <c r="C3746" s="8" t="s">
        <v>9638</v>
      </c>
      <c r="D3746" s="8" t="s">
        <v>10055</v>
      </c>
      <c r="E3746" s="8"/>
    </row>
    <row r="3747" spans="1:5" x14ac:dyDescent="0.25">
      <c r="A3747" s="5" t="s">
        <v>9639</v>
      </c>
      <c r="B3747" s="9" t="str">
        <f t="shared" si="8"/>
        <v>25753</v>
      </c>
      <c r="C3747" s="8" t="s">
        <v>9640</v>
      </c>
      <c r="D3747" s="8" t="s">
        <v>10055</v>
      </c>
      <c r="E3747" s="8"/>
    </row>
    <row r="3748" spans="1:5" x14ac:dyDescent="0.25">
      <c r="A3748" s="5" t="s">
        <v>9641</v>
      </c>
      <c r="B3748" s="9" t="str">
        <f t="shared" si="8"/>
        <v>25753</v>
      </c>
      <c r="C3748" s="8" t="s">
        <v>9642</v>
      </c>
      <c r="D3748" s="8" t="s">
        <v>10055</v>
      </c>
      <c r="E3748" s="8"/>
    </row>
    <row r="3749" spans="1:5" x14ac:dyDescent="0.25">
      <c r="A3749" s="5" t="s">
        <v>9643</v>
      </c>
      <c r="B3749" s="9" t="str">
        <f t="shared" si="8"/>
        <v>25753</v>
      </c>
      <c r="C3749" s="8" t="s">
        <v>9644</v>
      </c>
      <c r="D3749" s="8" t="s">
        <v>10055</v>
      </c>
      <c r="E3749" s="8"/>
    </row>
    <row r="3750" spans="1:5" x14ac:dyDescent="0.25">
      <c r="A3750" s="5" t="s">
        <v>9645</v>
      </c>
      <c r="B3750" s="9" t="str">
        <f t="shared" si="8"/>
        <v>25753</v>
      </c>
      <c r="C3750" s="8" t="s">
        <v>9646</v>
      </c>
      <c r="D3750" s="8" t="s">
        <v>10055</v>
      </c>
      <c r="E3750" s="8"/>
    </row>
    <row r="3751" spans="1:5" x14ac:dyDescent="0.25">
      <c r="A3751" s="5" t="s">
        <v>9647</v>
      </c>
      <c r="B3751" s="9" t="str">
        <f t="shared" si="8"/>
        <v>25753</v>
      </c>
      <c r="C3751" s="8" t="s">
        <v>9648</v>
      </c>
      <c r="D3751" s="8" t="s">
        <v>10055</v>
      </c>
      <c r="E3751" s="8"/>
    </row>
    <row r="3752" spans="1:5" x14ac:dyDescent="0.25">
      <c r="A3752" s="5" t="s">
        <v>9649</v>
      </c>
      <c r="B3752" s="9" t="str">
        <f t="shared" si="8"/>
        <v>25753</v>
      </c>
      <c r="C3752" s="8" t="s">
        <v>9650</v>
      </c>
      <c r="D3752" s="8" t="s">
        <v>10055</v>
      </c>
      <c r="E3752" s="8"/>
    </row>
    <row r="3753" spans="1:5" x14ac:dyDescent="0.25">
      <c r="A3753" s="5" t="s">
        <v>9651</v>
      </c>
      <c r="B3753" s="9" t="str">
        <f t="shared" si="8"/>
        <v>25753</v>
      </c>
      <c r="C3753" s="8" t="s">
        <v>9652</v>
      </c>
      <c r="D3753" s="8" t="s">
        <v>10055</v>
      </c>
      <c r="E3753" s="8"/>
    </row>
    <row r="3754" spans="1:5" x14ac:dyDescent="0.25">
      <c r="A3754" s="5" t="s">
        <v>9653</v>
      </c>
      <c r="B3754" s="9" t="str">
        <f t="shared" si="8"/>
        <v>25753</v>
      </c>
      <c r="C3754" s="8" t="s">
        <v>9654</v>
      </c>
      <c r="D3754" s="8" t="s">
        <v>10055</v>
      </c>
      <c r="E3754" s="8"/>
    </row>
    <row r="3755" spans="1:5" x14ac:dyDescent="0.25">
      <c r="A3755" s="5" t="s">
        <v>9655</v>
      </c>
      <c r="B3755" s="9" t="str">
        <f t="shared" si="8"/>
        <v>25753</v>
      </c>
      <c r="C3755" s="8" t="s">
        <v>9656</v>
      </c>
      <c r="D3755" s="8" t="s">
        <v>10055</v>
      </c>
      <c r="E3755" s="8"/>
    </row>
    <row r="3756" spans="1:5" x14ac:dyDescent="0.25">
      <c r="A3756" s="5" t="s">
        <v>9657</v>
      </c>
      <c r="B3756" s="9" t="str">
        <f t="shared" si="8"/>
        <v>25753</v>
      </c>
      <c r="C3756" s="8" t="s">
        <v>9658</v>
      </c>
      <c r="D3756" s="8" t="s">
        <v>10055</v>
      </c>
      <c r="E3756" s="8"/>
    </row>
    <row r="3757" spans="1:5" x14ac:dyDescent="0.25">
      <c r="A3757" s="5" t="s">
        <v>9659</v>
      </c>
      <c r="B3757" s="9" t="str">
        <f t="shared" si="8"/>
        <v>25753</v>
      </c>
      <c r="C3757" s="8" t="s">
        <v>9660</v>
      </c>
      <c r="D3757" s="8" t="s">
        <v>10055</v>
      </c>
      <c r="E3757" s="8"/>
    </row>
    <row r="3758" spans="1:5" x14ac:dyDescent="0.25">
      <c r="A3758" s="5" t="s">
        <v>9661</v>
      </c>
      <c r="B3758" s="9" t="str">
        <f t="shared" si="8"/>
        <v>25753</v>
      </c>
      <c r="C3758" s="8" t="s">
        <v>9662</v>
      </c>
      <c r="D3758" s="8" t="s">
        <v>10055</v>
      </c>
      <c r="E3758" s="8"/>
    </row>
    <row r="3759" spans="1:5" x14ac:dyDescent="0.25">
      <c r="A3759" s="5" t="s">
        <v>9663</v>
      </c>
      <c r="B3759" s="9" t="str">
        <f t="shared" si="8"/>
        <v>25753</v>
      </c>
      <c r="C3759" s="8" t="s">
        <v>9664</v>
      </c>
      <c r="D3759" s="8" t="s">
        <v>10055</v>
      </c>
      <c r="E3759" s="8"/>
    </row>
    <row r="3760" spans="1:5" x14ac:dyDescent="0.25">
      <c r="A3760" s="5" t="s">
        <v>9665</v>
      </c>
      <c r="B3760" s="9" t="str">
        <f t="shared" si="8"/>
        <v>25753</v>
      </c>
      <c r="C3760" s="8" t="s">
        <v>9666</v>
      </c>
      <c r="D3760" s="8" t="s">
        <v>10055</v>
      </c>
      <c r="E3760" s="8"/>
    </row>
    <row r="3761" spans="1:5" x14ac:dyDescent="0.25">
      <c r="A3761" s="5" t="s">
        <v>9667</v>
      </c>
      <c r="B3761" s="9" t="str">
        <f t="shared" si="8"/>
        <v>25753</v>
      </c>
      <c r="C3761" s="8" t="s">
        <v>9668</v>
      </c>
      <c r="D3761" s="8" t="s">
        <v>10055</v>
      </c>
      <c r="E3761" s="8"/>
    </row>
    <row r="3762" spans="1:5" x14ac:dyDescent="0.25">
      <c r="A3762" s="5" t="s">
        <v>9669</v>
      </c>
      <c r="B3762" s="9" t="str">
        <f t="shared" si="8"/>
        <v>25753</v>
      </c>
      <c r="C3762" s="8" t="s">
        <v>9670</v>
      </c>
      <c r="D3762" s="8" t="s">
        <v>10055</v>
      </c>
      <c r="E3762" s="8"/>
    </row>
    <row r="3763" spans="1:5" x14ac:dyDescent="0.25">
      <c r="A3763" s="5" t="s">
        <v>9671</v>
      </c>
      <c r="B3763" s="9" t="str">
        <f t="shared" si="8"/>
        <v>25753</v>
      </c>
      <c r="C3763" s="8" t="s">
        <v>9672</v>
      </c>
      <c r="D3763" s="8" t="s">
        <v>10055</v>
      </c>
      <c r="E3763" s="8"/>
    </row>
    <row r="3764" spans="1:5" x14ac:dyDescent="0.25">
      <c r="A3764" s="5" t="s">
        <v>9673</v>
      </c>
      <c r="B3764" s="9" t="str">
        <f t="shared" si="8"/>
        <v>25753</v>
      </c>
      <c r="C3764" s="8" t="s">
        <v>9674</v>
      </c>
      <c r="D3764" s="8" t="s">
        <v>10055</v>
      </c>
      <c r="E3764" s="8"/>
    </row>
    <row r="3765" spans="1:5" x14ac:dyDescent="0.25">
      <c r="A3765" s="5" t="s">
        <v>9675</v>
      </c>
      <c r="B3765" s="9" t="str">
        <f t="shared" si="8"/>
        <v>25753</v>
      </c>
      <c r="C3765" s="8" t="s">
        <v>9676</v>
      </c>
      <c r="D3765" s="8" t="s">
        <v>10055</v>
      </c>
      <c r="E3765" s="8"/>
    </row>
    <row r="3766" spans="1:5" x14ac:dyDescent="0.25">
      <c r="A3766" s="5" t="s">
        <v>9677</v>
      </c>
      <c r="B3766" s="9" t="str">
        <f t="shared" si="8"/>
        <v>25753</v>
      </c>
      <c r="C3766" s="8" t="s">
        <v>9678</v>
      </c>
      <c r="D3766" s="8" t="s">
        <v>10055</v>
      </c>
      <c r="E3766" s="8"/>
    </row>
    <row r="3767" spans="1:5" x14ac:dyDescent="0.25">
      <c r="A3767" s="5" t="s">
        <v>9679</v>
      </c>
      <c r="B3767" s="9" t="str">
        <f t="shared" si="8"/>
        <v>25753</v>
      </c>
      <c r="C3767" s="8" t="s">
        <v>9680</v>
      </c>
      <c r="D3767" s="8" t="s">
        <v>10055</v>
      </c>
      <c r="E3767" s="8"/>
    </row>
    <row r="3768" spans="1:5" x14ac:dyDescent="0.25">
      <c r="A3768" s="5" t="s">
        <v>9681</v>
      </c>
      <c r="B3768" s="9" t="str">
        <f t="shared" si="8"/>
        <v>25753</v>
      </c>
      <c r="C3768" s="8" t="s">
        <v>9682</v>
      </c>
      <c r="D3768" s="8" t="s">
        <v>10055</v>
      </c>
      <c r="E3768" s="8"/>
    </row>
    <row r="3769" spans="1:5" x14ac:dyDescent="0.25">
      <c r="A3769" s="5" t="s">
        <v>9683</v>
      </c>
      <c r="B3769" s="9" t="str">
        <f t="shared" si="8"/>
        <v>25753</v>
      </c>
      <c r="C3769" s="8" t="s">
        <v>9684</v>
      </c>
      <c r="D3769" s="8" t="s">
        <v>10055</v>
      </c>
      <c r="E3769" s="8"/>
    </row>
    <row r="3770" spans="1:5" x14ac:dyDescent="0.25">
      <c r="A3770" s="5" t="s">
        <v>9685</v>
      </c>
      <c r="B3770" s="9" t="str">
        <f t="shared" si="8"/>
        <v>25753</v>
      </c>
      <c r="C3770" s="8" t="s">
        <v>9686</v>
      </c>
      <c r="D3770" s="8" t="s">
        <v>10055</v>
      </c>
      <c r="E3770" s="8"/>
    </row>
    <row r="3771" spans="1:5" x14ac:dyDescent="0.25">
      <c r="A3771" s="5" t="s">
        <v>9687</v>
      </c>
      <c r="B3771" s="9" t="str">
        <f t="shared" si="8"/>
        <v>25753</v>
      </c>
      <c r="C3771" s="8" t="s">
        <v>9688</v>
      </c>
      <c r="D3771" s="8" t="s">
        <v>10055</v>
      </c>
      <c r="E3771" s="8"/>
    </row>
    <row r="3772" spans="1:5" x14ac:dyDescent="0.25">
      <c r="A3772" s="5" t="s">
        <v>9689</v>
      </c>
      <c r="B3772" s="9" t="str">
        <f t="shared" si="8"/>
        <v>25753</v>
      </c>
      <c r="C3772" s="8" t="s">
        <v>9690</v>
      </c>
      <c r="D3772" s="8" t="s">
        <v>10055</v>
      </c>
      <c r="E3772" s="8"/>
    </row>
    <row r="3773" spans="1:5" x14ac:dyDescent="0.25">
      <c r="A3773" s="5" t="s">
        <v>9691</v>
      </c>
      <c r="B3773" s="9" t="str">
        <f t="shared" si="8"/>
        <v>25753</v>
      </c>
      <c r="C3773" s="8" t="s">
        <v>9692</v>
      </c>
      <c r="D3773" s="8" t="s">
        <v>10055</v>
      </c>
      <c r="E3773" s="8"/>
    </row>
    <row r="3774" spans="1:5" x14ac:dyDescent="0.25">
      <c r="A3774" s="5" t="s">
        <v>9693</v>
      </c>
      <c r="B3774" s="9" t="str">
        <f t="shared" si="8"/>
        <v>25753</v>
      </c>
      <c r="C3774" s="8" t="s">
        <v>9694</v>
      </c>
      <c r="D3774" s="8" t="s">
        <v>10055</v>
      </c>
      <c r="E3774" s="8"/>
    </row>
    <row r="3775" spans="1:5" x14ac:dyDescent="0.25">
      <c r="A3775" s="5" t="s">
        <v>9695</v>
      </c>
      <c r="B3775" s="9" t="str">
        <f t="shared" si="8"/>
        <v>25753</v>
      </c>
      <c r="C3775" s="8" t="s">
        <v>9696</v>
      </c>
      <c r="D3775" s="8" t="s">
        <v>10055</v>
      </c>
      <c r="E3775" s="8"/>
    </row>
    <row r="3776" spans="1:5" x14ac:dyDescent="0.25">
      <c r="A3776" s="5" t="s">
        <v>9697</v>
      </c>
      <c r="B3776" s="9" t="str">
        <f t="shared" si="8"/>
        <v>25753</v>
      </c>
      <c r="C3776" s="8" t="s">
        <v>9698</v>
      </c>
      <c r="D3776" s="8" t="s">
        <v>10055</v>
      </c>
      <c r="E3776" s="8"/>
    </row>
    <row r="3777" spans="1:5" x14ac:dyDescent="0.25">
      <c r="A3777" s="5" t="s">
        <v>9699</v>
      </c>
      <c r="B3777" s="9" t="str">
        <f t="shared" si="8"/>
        <v>25753</v>
      </c>
      <c r="C3777" s="8" t="s">
        <v>9700</v>
      </c>
      <c r="D3777" s="8" t="s">
        <v>10055</v>
      </c>
      <c r="E3777" s="8"/>
    </row>
    <row r="3778" spans="1:5" x14ac:dyDescent="0.25">
      <c r="A3778" s="5" t="s">
        <v>9701</v>
      </c>
      <c r="B3778" s="9" t="str">
        <f t="shared" si="8"/>
        <v>25753</v>
      </c>
      <c r="C3778" s="8" t="s">
        <v>9702</v>
      </c>
      <c r="D3778" s="8" t="s">
        <v>10055</v>
      </c>
      <c r="E3778" s="8"/>
    </row>
    <row r="3779" spans="1:5" x14ac:dyDescent="0.25">
      <c r="A3779" s="5" t="s">
        <v>9703</v>
      </c>
      <c r="B3779" s="9" t="str">
        <f t="shared" si="8"/>
        <v>25753</v>
      </c>
      <c r="C3779" s="8" t="s">
        <v>9704</v>
      </c>
      <c r="D3779" s="8" t="s">
        <v>10055</v>
      </c>
      <c r="E3779" s="8"/>
    </row>
    <row r="3780" spans="1:5" x14ac:dyDescent="0.25">
      <c r="A3780" s="5" t="s">
        <v>9705</v>
      </c>
      <c r="B3780" s="9" t="str">
        <f t="shared" si="8"/>
        <v>25753</v>
      </c>
      <c r="C3780" s="8" t="s">
        <v>9706</v>
      </c>
      <c r="D3780" s="8" t="s">
        <v>10055</v>
      </c>
      <c r="E3780" s="8"/>
    </row>
    <row r="3781" spans="1:5" x14ac:dyDescent="0.25">
      <c r="A3781" s="5" t="s">
        <v>9707</v>
      </c>
      <c r="B3781" s="9" t="str">
        <f t="shared" si="8"/>
        <v>25753</v>
      </c>
      <c r="C3781" s="8" t="s">
        <v>9708</v>
      </c>
      <c r="D3781" s="8" t="s">
        <v>10055</v>
      </c>
      <c r="E3781" s="8"/>
    </row>
    <row r="3782" spans="1:5" x14ac:dyDescent="0.25">
      <c r="A3782" s="5" t="s">
        <v>9709</v>
      </c>
      <c r="B3782" s="9" t="str">
        <f t="shared" si="8"/>
        <v>25753</v>
      </c>
      <c r="C3782" s="8" t="s">
        <v>9710</v>
      </c>
      <c r="D3782" s="8" t="s">
        <v>10055</v>
      </c>
      <c r="E3782" s="8"/>
    </row>
    <row r="3783" spans="1:5" x14ac:dyDescent="0.25">
      <c r="A3783" s="5" t="s">
        <v>9711</v>
      </c>
      <c r="B3783" s="9" t="str">
        <f t="shared" si="8"/>
        <v>25753</v>
      </c>
      <c r="C3783" s="8" t="s">
        <v>9712</v>
      </c>
      <c r="D3783" s="8" t="s">
        <v>10055</v>
      </c>
      <c r="E3783" s="8"/>
    </row>
    <row r="3784" spans="1:5" x14ac:dyDescent="0.25">
      <c r="A3784" s="5" t="s">
        <v>9713</v>
      </c>
      <c r="B3784" s="9" t="str">
        <f t="shared" si="8"/>
        <v>25753</v>
      </c>
      <c r="C3784" s="8" t="s">
        <v>9714</v>
      </c>
      <c r="D3784" s="8" t="s">
        <v>10055</v>
      </c>
      <c r="E3784" s="8"/>
    </row>
    <row r="3785" spans="1:5" x14ac:dyDescent="0.25">
      <c r="A3785" s="5" t="s">
        <v>9715</v>
      </c>
      <c r="B3785" s="9" t="str">
        <f t="shared" si="8"/>
        <v>25753</v>
      </c>
      <c r="C3785" s="8" t="s">
        <v>9716</v>
      </c>
      <c r="D3785" s="8" t="s">
        <v>10055</v>
      </c>
      <c r="E3785" s="8"/>
    </row>
    <row r="3786" spans="1:5" x14ac:dyDescent="0.25">
      <c r="A3786" s="5" t="s">
        <v>9717</v>
      </c>
      <c r="B3786" s="9" t="str">
        <f t="shared" si="8"/>
        <v>25753</v>
      </c>
      <c r="C3786" s="8" t="s">
        <v>9718</v>
      </c>
      <c r="D3786" s="8" t="s">
        <v>10055</v>
      </c>
      <c r="E3786" s="8"/>
    </row>
    <row r="3787" spans="1:5" x14ac:dyDescent="0.25">
      <c r="A3787" s="5" t="s">
        <v>9719</v>
      </c>
      <c r="B3787" s="9" t="str">
        <f t="shared" si="8"/>
        <v>25753</v>
      </c>
      <c r="C3787" s="8" t="s">
        <v>9720</v>
      </c>
      <c r="D3787" s="8" t="s">
        <v>10055</v>
      </c>
      <c r="E3787" s="8"/>
    </row>
    <row r="3788" spans="1:5" x14ac:dyDescent="0.25">
      <c r="A3788" s="5" t="s">
        <v>9721</v>
      </c>
      <c r="B3788" s="9" t="str">
        <f t="shared" si="8"/>
        <v>25753</v>
      </c>
      <c r="C3788" s="8" t="s">
        <v>9722</v>
      </c>
      <c r="D3788" s="8" t="s">
        <v>10055</v>
      </c>
      <c r="E3788" s="8"/>
    </row>
    <row r="3789" spans="1:5" x14ac:dyDescent="0.25">
      <c r="A3789" s="5" t="s">
        <v>9723</v>
      </c>
      <c r="B3789" s="9" t="str">
        <f t="shared" si="8"/>
        <v>25753</v>
      </c>
      <c r="C3789" s="8" t="s">
        <v>9724</v>
      </c>
      <c r="D3789" s="8" t="s">
        <v>10055</v>
      </c>
      <c r="E3789" s="8"/>
    </row>
    <row r="3790" spans="1:5" x14ac:dyDescent="0.25">
      <c r="A3790" s="5" t="s">
        <v>9725</v>
      </c>
      <c r="B3790" s="9" t="str">
        <f t="shared" si="8"/>
        <v>25753</v>
      </c>
      <c r="C3790" s="8" t="s">
        <v>9726</v>
      </c>
      <c r="D3790" s="8" t="s">
        <v>10055</v>
      </c>
      <c r="E3790" s="8"/>
    </row>
    <row r="3791" spans="1:5" x14ac:dyDescent="0.25">
      <c r="A3791" s="5" t="s">
        <v>9727</v>
      </c>
      <c r="B3791" s="9" t="str">
        <f t="shared" si="8"/>
        <v>25753</v>
      </c>
      <c r="C3791" s="8" t="s">
        <v>9728</v>
      </c>
      <c r="D3791" s="8" t="s">
        <v>10055</v>
      </c>
      <c r="E3791" s="8"/>
    </row>
    <row r="3792" spans="1:5" x14ac:dyDescent="0.25">
      <c r="A3792" s="5" t="s">
        <v>9729</v>
      </c>
      <c r="B3792" s="9" t="str">
        <f t="shared" si="8"/>
        <v>25753</v>
      </c>
      <c r="C3792" s="8" t="s">
        <v>9730</v>
      </c>
      <c r="D3792" s="8" t="s">
        <v>10055</v>
      </c>
      <c r="E3792" s="8"/>
    </row>
    <row r="3793" spans="1:5" x14ac:dyDescent="0.25">
      <c r="A3793" s="5" t="s">
        <v>9731</v>
      </c>
      <c r="B3793" s="9" t="str">
        <f t="shared" si="8"/>
        <v>25753</v>
      </c>
      <c r="C3793" s="8" t="s">
        <v>9732</v>
      </c>
      <c r="D3793" s="8" t="s">
        <v>10055</v>
      </c>
      <c r="E3793" s="8"/>
    </row>
    <row r="3794" spans="1:5" x14ac:dyDescent="0.25">
      <c r="A3794" s="5" t="s">
        <v>9733</v>
      </c>
      <c r="B3794" s="9" t="str">
        <f t="shared" si="8"/>
        <v>25753</v>
      </c>
      <c r="C3794" s="8" t="s">
        <v>9734</v>
      </c>
      <c r="D3794" s="8" t="s">
        <v>10055</v>
      </c>
      <c r="E3794" s="8"/>
    </row>
    <row r="3795" spans="1:5" x14ac:dyDescent="0.25">
      <c r="A3795" s="5" t="s">
        <v>9735</v>
      </c>
      <c r="B3795" s="9" t="str">
        <f t="shared" si="8"/>
        <v>25753</v>
      </c>
      <c r="C3795" s="8" t="s">
        <v>9736</v>
      </c>
      <c r="D3795" s="8" t="s">
        <v>10055</v>
      </c>
      <c r="E3795" s="8"/>
    </row>
    <row r="3796" spans="1:5" x14ac:dyDescent="0.25">
      <c r="A3796" s="5" t="s">
        <v>9737</v>
      </c>
      <c r="B3796" s="9" t="str">
        <f t="shared" si="8"/>
        <v>25753</v>
      </c>
      <c r="C3796" s="8" t="s">
        <v>9738</v>
      </c>
      <c r="D3796" s="8" t="s">
        <v>10055</v>
      </c>
      <c r="E3796" s="8"/>
    </row>
    <row r="3797" spans="1:5" x14ac:dyDescent="0.25">
      <c r="A3797" s="5" t="s">
        <v>9739</v>
      </c>
      <c r="B3797" s="9" t="str">
        <f t="shared" si="8"/>
        <v>25753</v>
      </c>
      <c r="C3797" s="8" t="s">
        <v>9740</v>
      </c>
      <c r="D3797" s="8" t="s">
        <v>10055</v>
      </c>
      <c r="E3797" s="8"/>
    </row>
    <row r="3798" spans="1:5" x14ac:dyDescent="0.25">
      <c r="A3798" s="5" t="s">
        <v>9741</v>
      </c>
      <c r="B3798" s="9" t="str">
        <f t="shared" si="8"/>
        <v>25753</v>
      </c>
      <c r="C3798" s="8" t="s">
        <v>9742</v>
      </c>
      <c r="D3798" s="8" t="s">
        <v>10055</v>
      </c>
      <c r="E3798" s="8"/>
    </row>
    <row r="3799" spans="1:5" x14ac:dyDescent="0.25">
      <c r="A3799" s="5" t="s">
        <v>9743</v>
      </c>
      <c r="B3799" s="9" t="str">
        <f t="shared" si="8"/>
        <v>25753</v>
      </c>
      <c r="C3799" s="8" t="s">
        <v>9744</v>
      </c>
      <c r="D3799" s="8" t="s">
        <v>10055</v>
      </c>
      <c r="E3799" s="8"/>
    </row>
    <row r="3800" spans="1:5" x14ac:dyDescent="0.25">
      <c r="A3800" s="5" t="s">
        <v>9745</v>
      </c>
      <c r="B3800" s="9" t="str">
        <f t="shared" si="8"/>
        <v>25753</v>
      </c>
      <c r="C3800" s="8" t="s">
        <v>9746</v>
      </c>
      <c r="D3800" s="8" t="s">
        <v>10055</v>
      </c>
      <c r="E3800" s="8"/>
    </row>
    <row r="3801" spans="1:5" x14ac:dyDescent="0.25">
      <c r="A3801" s="5" t="s">
        <v>9747</v>
      </c>
      <c r="B3801" s="9" t="str">
        <f t="shared" si="8"/>
        <v>25753</v>
      </c>
      <c r="C3801" s="8" t="s">
        <v>9748</v>
      </c>
      <c r="D3801" s="8" t="s">
        <v>10055</v>
      </c>
      <c r="E3801" s="8"/>
    </row>
    <row r="3802" spans="1:5" x14ac:dyDescent="0.25">
      <c r="A3802" s="5" t="s">
        <v>9749</v>
      </c>
      <c r="B3802" s="9" t="str">
        <f t="shared" si="8"/>
        <v>25753</v>
      </c>
      <c r="C3802" s="8" t="s">
        <v>9750</v>
      </c>
      <c r="D3802" s="8" t="s">
        <v>10055</v>
      </c>
      <c r="E3802" s="8"/>
    </row>
    <row r="3803" spans="1:5" x14ac:dyDescent="0.25">
      <c r="A3803" s="5" t="s">
        <v>9751</v>
      </c>
      <c r="B3803" s="9" t="str">
        <f t="shared" si="8"/>
        <v>25753</v>
      </c>
      <c r="C3803" s="8" t="s">
        <v>9752</v>
      </c>
      <c r="D3803" s="8" t="s">
        <v>10055</v>
      </c>
      <c r="E3803" s="8"/>
    </row>
    <row r="3804" spans="1:5" x14ac:dyDescent="0.25">
      <c r="A3804" s="5" t="s">
        <v>9753</v>
      </c>
      <c r="B3804" s="9" t="str">
        <f t="shared" si="8"/>
        <v>25753</v>
      </c>
      <c r="C3804" s="8" t="s">
        <v>9754</v>
      </c>
      <c r="D3804" s="8" t="s">
        <v>10055</v>
      </c>
      <c r="E3804" s="8"/>
    </row>
    <row r="3805" spans="1:5" x14ac:dyDescent="0.25">
      <c r="A3805" s="5" t="s">
        <v>9755</v>
      </c>
      <c r="B3805" s="9" t="str">
        <f t="shared" si="8"/>
        <v>25753</v>
      </c>
      <c r="C3805" s="8" t="s">
        <v>9756</v>
      </c>
      <c r="D3805" s="8" t="s">
        <v>10055</v>
      </c>
      <c r="E3805" s="8"/>
    </row>
    <row r="3806" spans="1:5" x14ac:dyDescent="0.25">
      <c r="A3806" s="5" t="s">
        <v>9757</v>
      </c>
      <c r="B3806" s="9" t="str">
        <f t="shared" si="8"/>
        <v>25753</v>
      </c>
      <c r="C3806" s="8" t="s">
        <v>9758</v>
      </c>
      <c r="D3806" s="8" t="s">
        <v>10055</v>
      </c>
      <c r="E3806" s="8"/>
    </row>
    <row r="3807" spans="1:5" x14ac:dyDescent="0.25">
      <c r="A3807" s="5" t="s">
        <v>9759</v>
      </c>
      <c r="B3807" s="9" t="str">
        <f t="shared" si="8"/>
        <v>25753</v>
      </c>
      <c r="C3807" s="8" t="s">
        <v>9760</v>
      </c>
      <c r="D3807" s="8" t="s">
        <v>10055</v>
      </c>
      <c r="E3807" s="8"/>
    </row>
    <row r="3808" spans="1:5" x14ac:dyDescent="0.25">
      <c r="A3808" s="5" t="s">
        <v>9761</v>
      </c>
      <c r="B3808" s="9" t="str">
        <f t="shared" si="8"/>
        <v>25753</v>
      </c>
      <c r="C3808" s="8" t="s">
        <v>9762</v>
      </c>
      <c r="D3808" s="8" t="s">
        <v>10055</v>
      </c>
      <c r="E3808" s="8"/>
    </row>
    <row r="3809" spans="1:5" x14ac:dyDescent="0.25">
      <c r="A3809" s="5" t="s">
        <v>9763</v>
      </c>
      <c r="B3809" s="9" t="str">
        <f t="shared" si="8"/>
        <v>25753</v>
      </c>
      <c r="C3809" s="8" t="s">
        <v>9764</v>
      </c>
      <c r="D3809" s="8" t="s">
        <v>10055</v>
      </c>
      <c r="E3809" s="8"/>
    </row>
    <row r="3810" spans="1:5" x14ac:dyDescent="0.25">
      <c r="A3810" s="5" t="s">
        <v>9765</v>
      </c>
      <c r="B3810" s="9" t="str">
        <f t="shared" si="8"/>
        <v>25753</v>
      </c>
      <c r="C3810" s="8" t="s">
        <v>9766</v>
      </c>
      <c r="D3810" s="8" t="s">
        <v>10055</v>
      </c>
      <c r="E3810" s="8"/>
    </row>
    <row r="3811" spans="1:5" x14ac:dyDescent="0.25">
      <c r="A3811" s="5" t="s">
        <v>9767</v>
      </c>
      <c r="B3811" s="9" t="str">
        <f t="shared" si="8"/>
        <v>25753</v>
      </c>
      <c r="C3811" s="8" t="s">
        <v>9768</v>
      </c>
      <c r="D3811" s="8" t="s">
        <v>10055</v>
      </c>
      <c r="E3811" s="8"/>
    </row>
    <row r="3812" spans="1:5" x14ac:dyDescent="0.25">
      <c r="A3812" s="5" t="s">
        <v>9769</v>
      </c>
      <c r="B3812" s="9" t="str">
        <f t="shared" si="8"/>
        <v>25753</v>
      </c>
      <c r="C3812" s="8" t="s">
        <v>9770</v>
      </c>
      <c r="D3812" s="8" t="s">
        <v>10055</v>
      </c>
      <c r="E3812" s="8"/>
    </row>
    <row r="3813" spans="1:5" x14ac:dyDescent="0.25">
      <c r="A3813" s="5" t="s">
        <v>9771</v>
      </c>
      <c r="B3813" s="9" t="str">
        <f t="shared" si="8"/>
        <v>25753</v>
      </c>
      <c r="C3813" s="8" t="s">
        <v>9772</v>
      </c>
      <c r="D3813" s="8" t="s">
        <v>10055</v>
      </c>
      <c r="E3813" s="8"/>
    </row>
    <row r="3814" spans="1:5" x14ac:dyDescent="0.25">
      <c r="A3814" s="5" t="s">
        <v>9773</v>
      </c>
      <c r="B3814" s="9" t="str">
        <f t="shared" si="8"/>
        <v>25753</v>
      </c>
      <c r="C3814" s="8" t="s">
        <v>9774</v>
      </c>
      <c r="D3814" s="8" t="s">
        <v>10055</v>
      </c>
      <c r="E3814" s="8"/>
    </row>
    <row r="3815" spans="1:5" x14ac:dyDescent="0.25">
      <c r="A3815" s="5" t="s">
        <v>9775</v>
      </c>
      <c r="B3815" s="9" t="str">
        <f t="shared" si="8"/>
        <v>25753</v>
      </c>
      <c r="C3815" s="8" t="s">
        <v>9776</v>
      </c>
      <c r="D3815" s="8" t="s">
        <v>10055</v>
      </c>
      <c r="E3815" s="8"/>
    </row>
    <row r="3816" spans="1:5" x14ac:dyDescent="0.25">
      <c r="A3816" s="5" t="s">
        <v>9777</v>
      </c>
      <c r="B3816" s="9" t="str">
        <f t="shared" si="8"/>
        <v>25753</v>
      </c>
      <c r="C3816" s="8" t="s">
        <v>9778</v>
      </c>
      <c r="D3816" s="8" t="s">
        <v>10055</v>
      </c>
      <c r="E3816" s="8"/>
    </row>
    <row r="3817" spans="1:5" x14ac:dyDescent="0.25">
      <c r="A3817" s="5" t="s">
        <v>9779</v>
      </c>
      <c r="B3817" s="9" t="str">
        <f t="shared" si="8"/>
        <v>25753</v>
      </c>
      <c r="C3817" s="8" t="s">
        <v>9780</v>
      </c>
      <c r="D3817" s="8" t="s">
        <v>10055</v>
      </c>
      <c r="E3817" s="8"/>
    </row>
    <row r="3818" spans="1:5" x14ac:dyDescent="0.25">
      <c r="A3818" s="5" t="s">
        <v>9781</v>
      </c>
      <c r="B3818" s="9" t="str">
        <f t="shared" si="8"/>
        <v>25753</v>
      </c>
      <c r="C3818" s="8" t="s">
        <v>9782</v>
      </c>
      <c r="D3818" s="8" t="s">
        <v>10055</v>
      </c>
      <c r="E3818" s="8"/>
    </row>
    <row r="3819" spans="1:5" x14ac:dyDescent="0.25">
      <c r="A3819" s="5" t="s">
        <v>9783</v>
      </c>
      <c r="B3819" s="9" t="str">
        <f t="shared" si="8"/>
        <v>25753</v>
      </c>
      <c r="C3819" s="8" t="s">
        <v>9784</v>
      </c>
      <c r="D3819" s="8" t="s">
        <v>10055</v>
      </c>
      <c r="E3819" s="8"/>
    </row>
    <row r="3820" spans="1:5" x14ac:dyDescent="0.25">
      <c r="A3820" s="5" t="s">
        <v>9785</v>
      </c>
      <c r="B3820" s="9" t="str">
        <f t="shared" si="8"/>
        <v>25753</v>
      </c>
      <c r="C3820" s="8" t="s">
        <v>9786</v>
      </c>
      <c r="D3820" s="8" t="s">
        <v>10055</v>
      </c>
      <c r="E3820" s="8"/>
    </row>
    <row r="3821" spans="1:5" x14ac:dyDescent="0.25">
      <c r="A3821" s="5" t="s">
        <v>9787</v>
      </c>
      <c r="B3821" s="9" t="str">
        <f t="shared" si="8"/>
        <v>25753</v>
      </c>
      <c r="C3821" s="8" t="s">
        <v>9788</v>
      </c>
      <c r="D3821" s="8" t="s">
        <v>10055</v>
      </c>
      <c r="E3821" s="8"/>
    </row>
    <row r="3822" spans="1:5" x14ac:dyDescent="0.25">
      <c r="A3822" s="5" t="s">
        <v>9789</v>
      </c>
      <c r="B3822" s="9" t="str">
        <f t="shared" si="8"/>
        <v>25753</v>
      </c>
      <c r="C3822" s="8" t="s">
        <v>9790</v>
      </c>
      <c r="D3822" s="8" t="s">
        <v>10055</v>
      </c>
      <c r="E3822" s="8"/>
    </row>
    <row r="3823" spans="1:5" x14ac:dyDescent="0.25">
      <c r="A3823" s="5" t="s">
        <v>9791</v>
      </c>
      <c r="B3823" s="9" t="str">
        <f t="shared" si="8"/>
        <v>25753</v>
      </c>
      <c r="C3823" s="8" t="s">
        <v>9792</v>
      </c>
      <c r="D3823" s="8" t="s">
        <v>10055</v>
      </c>
      <c r="E3823" s="8"/>
    </row>
    <row r="3824" spans="1:5" x14ac:dyDescent="0.25">
      <c r="A3824" s="5" t="s">
        <v>9793</v>
      </c>
      <c r="B3824" s="9" t="str">
        <f t="shared" si="8"/>
        <v>25753</v>
      </c>
      <c r="C3824" s="8" t="s">
        <v>9794</v>
      </c>
      <c r="D3824" s="8" t="s">
        <v>10055</v>
      </c>
      <c r="E3824" s="8"/>
    </row>
    <row r="3825" spans="1:5" x14ac:dyDescent="0.25">
      <c r="A3825" s="5" t="s">
        <v>9795</v>
      </c>
      <c r="B3825" s="9" t="str">
        <f t="shared" si="8"/>
        <v>25753</v>
      </c>
      <c r="C3825" s="8" t="s">
        <v>9796</v>
      </c>
      <c r="D3825" s="8" t="s">
        <v>10055</v>
      </c>
      <c r="E3825" s="8"/>
    </row>
    <row r="3826" spans="1:5" x14ac:dyDescent="0.25">
      <c r="A3826" s="5" t="s">
        <v>9797</v>
      </c>
      <c r="B3826" s="9" t="str">
        <f t="shared" si="8"/>
        <v>25753</v>
      </c>
      <c r="C3826" s="8" t="s">
        <v>9798</v>
      </c>
      <c r="D3826" s="8" t="s">
        <v>10055</v>
      </c>
      <c r="E3826" s="8"/>
    </row>
    <row r="3827" spans="1:5" x14ac:dyDescent="0.25">
      <c r="A3827" s="5" t="s">
        <v>9799</v>
      </c>
      <c r="B3827" s="9" t="str">
        <f t="shared" si="8"/>
        <v>25753</v>
      </c>
      <c r="C3827" s="8" t="s">
        <v>9800</v>
      </c>
      <c r="D3827" s="8" t="s">
        <v>10055</v>
      </c>
      <c r="E3827" s="8"/>
    </row>
    <row r="3828" spans="1:5" x14ac:dyDescent="0.25">
      <c r="A3828" s="5" t="s">
        <v>9801</v>
      </c>
      <c r="B3828" s="9" t="str">
        <f t="shared" si="8"/>
        <v>25753</v>
      </c>
      <c r="C3828" s="8" t="s">
        <v>9802</v>
      </c>
      <c r="D3828" s="8" t="s">
        <v>10055</v>
      </c>
      <c r="E3828" s="8"/>
    </row>
    <row r="3829" spans="1:5" x14ac:dyDescent="0.25">
      <c r="A3829" s="5" t="s">
        <v>9803</v>
      </c>
      <c r="B3829" s="9" t="str">
        <f t="shared" si="8"/>
        <v>25753</v>
      </c>
      <c r="C3829" s="8" t="s">
        <v>9804</v>
      </c>
      <c r="D3829" s="8" t="s">
        <v>10055</v>
      </c>
      <c r="E3829" s="8"/>
    </row>
    <row r="3830" spans="1:5" x14ac:dyDescent="0.25">
      <c r="A3830" s="5" t="s">
        <v>9805</v>
      </c>
      <c r="B3830" s="9" t="str">
        <f t="shared" si="8"/>
        <v>25753</v>
      </c>
      <c r="C3830" s="8" t="s">
        <v>9806</v>
      </c>
      <c r="D3830" s="8" t="s">
        <v>10055</v>
      </c>
      <c r="E3830" s="8"/>
    </row>
    <row r="3831" spans="1:5" x14ac:dyDescent="0.25">
      <c r="A3831" s="5" t="s">
        <v>9807</v>
      </c>
      <c r="B3831" s="9" t="str">
        <f t="shared" si="8"/>
        <v>25753</v>
      </c>
      <c r="C3831" s="8" t="s">
        <v>9808</v>
      </c>
      <c r="D3831" s="8" t="s">
        <v>10055</v>
      </c>
      <c r="E3831" s="8"/>
    </row>
    <row r="3832" spans="1:5" x14ac:dyDescent="0.25">
      <c r="A3832" s="5" t="s">
        <v>9809</v>
      </c>
      <c r="B3832" s="9" t="str">
        <f t="shared" si="8"/>
        <v>25753</v>
      </c>
      <c r="C3832" s="8" t="s">
        <v>9810</v>
      </c>
      <c r="D3832" s="8" t="s">
        <v>10055</v>
      </c>
      <c r="E3832" s="8"/>
    </row>
    <row r="3833" spans="1:5" x14ac:dyDescent="0.25">
      <c r="A3833" s="5" t="s">
        <v>9811</v>
      </c>
      <c r="B3833" s="9" t="str">
        <f t="shared" si="8"/>
        <v>25753</v>
      </c>
      <c r="C3833" s="8" t="s">
        <v>9812</v>
      </c>
      <c r="D3833" s="8" t="s">
        <v>10055</v>
      </c>
      <c r="E3833" s="8"/>
    </row>
    <row r="3834" spans="1:5" x14ac:dyDescent="0.25">
      <c r="A3834" s="5" t="s">
        <v>9813</v>
      </c>
      <c r="B3834" s="9" t="str">
        <f t="shared" si="8"/>
        <v>25753</v>
      </c>
      <c r="C3834" s="8" t="s">
        <v>9814</v>
      </c>
      <c r="D3834" s="8" t="s">
        <v>10055</v>
      </c>
      <c r="E3834" s="8"/>
    </row>
    <row r="3835" spans="1:5" x14ac:dyDescent="0.25">
      <c r="A3835" s="5" t="s">
        <v>9815</v>
      </c>
      <c r="B3835" s="9" t="str">
        <f t="shared" si="8"/>
        <v>25753</v>
      </c>
      <c r="C3835" s="8" t="s">
        <v>9816</v>
      </c>
      <c r="D3835" s="8" t="s">
        <v>10055</v>
      </c>
      <c r="E3835" s="8"/>
    </row>
    <row r="3836" spans="1:5" x14ac:dyDescent="0.25">
      <c r="A3836" s="5" t="s">
        <v>9817</v>
      </c>
      <c r="B3836" s="9" t="str">
        <f t="shared" si="8"/>
        <v>25753</v>
      </c>
      <c r="C3836" s="8" t="s">
        <v>9818</v>
      </c>
      <c r="D3836" s="8" t="s">
        <v>10055</v>
      </c>
      <c r="E3836" s="8"/>
    </row>
    <row r="3837" spans="1:5" x14ac:dyDescent="0.25">
      <c r="A3837" s="5" t="s">
        <v>9819</v>
      </c>
      <c r="B3837" s="9" t="str">
        <f t="shared" si="8"/>
        <v>25753</v>
      </c>
      <c r="C3837" s="8" t="s">
        <v>9820</v>
      </c>
      <c r="D3837" s="8" t="s">
        <v>10055</v>
      </c>
      <c r="E3837" s="8"/>
    </row>
    <row r="3838" spans="1:5" x14ac:dyDescent="0.25">
      <c r="A3838" s="5" t="s">
        <v>9821</v>
      </c>
      <c r="B3838" s="9" t="str">
        <f t="shared" si="8"/>
        <v>25753</v>
      </c>
      <c r="C3838" s="8" t="s">
        <v>9822</v>
      </c>
      <c r="D3838" s="8" t="s">
        <v>10055</v>
      </c>
      <c r="E3838" s="8"/>
    </row>
    <row r="3839" spans="1:5" x14ac:dyDescent="0.25">
      <c r="A3839" s="5" t="s">
        <v>9823</v>
      </c>
      <c r="B3839" s="9" t="str">
        <f t="shared" si="8"/>
        <v>25753</v>
      </c>
      <c r="C3839" s="8" t="s">
        <v>9824</v>
      </c>
      <c r="D3839" s="8" t="s">
        <v>10055</v>
      </c>
      <c r="E3839" s="8"/>
    </row>
    <row r="3840" spans="1:5" x14ac:dyDescent="0.25">
      <c r="A3840" s="5" t="s">
        <v>9825</v>
      </c>
      <c r="B3840" s="9" t="str">
        <f t="shared" si="8"/>
        <v>25753</v>
      </c>
      <c r="C3840" s="8" t="s">
        <v>9826</v>
      </c>
      <c r="D3840" s="8" t="s">
        <v>10055</v>
      </c>
      <c r="E3840" s="8"/>
    </row>
    <row r="3841" spans="1:5" x14ac:dyDescent="0.25">
      <c r="A3841" s="5" t="s">
        <v>9827</v>
      </c>
      <c r="B3841" s="9" t="str">
        <f t="shared" si="8"/>
        <v>25753</v>
      </c>
      <c r="C3841" s="8" t="s">
        <v>9828</v>
      </c>
      <c r="D3841" s="8" t="s">
        <v>10055</v>
      </c>
      <c r="E3841" s="8"/>
    </row>
    <row r="3842" spans="1:5" x14ac:dyDescent="0.25">
      <c r="A3842" s="5" t="s">
        <v>9829</v>
      </c>
      <c r="B3842" s="9" t="str">
        <f t="shared" si="8"/>
        <v>25753</v>
      </c>
      <c r="C3842" s="8" t="s">
        <v>9830</v>
      </c>
      <c r="D3842" s="8" t="s">
        <v>10055</v>
      </c>
      <c r="E3842" s="8"/>
    </row>
    <row r="3843" spans="1:5" x14ac:dyDescent="0.25">
      <c r="A3843" s="5" t="s">
        <v>9831</v>
      </c>
      <c r="B3843" s="9" t="str">
        <f t="shared" si="8"/>
        <v>25753</v>
      </c>
      <c r="C3843" s="8" t="s">
        <v>9832</v>
      </c>
      <c r="D3843" s="8" t="s">
        <v>10055</v>
      </c>
      <c r="E3843" s="8"/>
    </row>
    <row r="3844" spans="1:5" x14ac:dyDescent="0.25">
      <c r="A3844" s="5" t="s">
        <v>9833</v>
      </c>
      <c r="B3844" s="9" t="str">
        <f t="shared" si="8"/>
        <v>25753</v>
      </c>
      <c r="C3844" s="8" t="s">
        <v>9834</v>
      </c>
      <c r="D3844" s="8" t="s">
        <v>10055</v>
      </c>
      <c r="E3844" s="8"/>
    </row>
    <row r="3845" spans="1:5" x14ac:dyDescent="0.25">
      <c r="A3845" s="5" t="s">
        <v>9835</v>
      </c>
      <c r="B3845" s="9" t="str">
        <f t="shared" si="8"/>
        <v>25753</v>
      </c>
      <c r="C3845" s="8" t="s">
        <v>9836</v>
      </c>
      <c r="D3845" s="8" t="s">
        <v>10055</v>
      </c>
      <c r="E3845" s="8"/>
    </row>
    <row r="3846" spans="1:5" x14ac:dyDescent="0.25">
      <c r="A3846" s="5" t="s">
        <v>9837</v>
      </c>
      <c r="B3846" s="9" t="str">
        <f t="shared" si="8"/>
        <v>25753</v>
      </c>
      <c r="C3846" s="8" t="s">
        <v>9838</v>
      </c>
      <c r="D3846" s="8" t="s">
        <v>10055</v>
      </c>
      <c r="E3846" s="8"/>
    </row>
    <row r="3847" spans="1:5" x14ac:dyDescent="0.25">
      <c r="A3847" s="5" t="s">
        <v>9839</v>
      </c>
      <c r="B3847" s="9" t="str">
        <f t="shared" si="8"/>
        <v>25753</v>
      </c>
      <c r="C3847" s="8" t="s">
        <v>9840</v>
      </c>
      <c r="D3847" s="8" t="s">
        <v>10055</v>
      </c>
      <c r="E3847" s="8"/>
    </row>
    <row r="3848" spans="1:5" x14ac:dyDescent="0.25">
      <c r="A3848" s="5" t="s">
        <v>9841</v>
      </c>
      <c r="B3848" s="9" t="str">
        <f t="shared" si="8"/>
        <v>25753</v>
      </c>
      <c r="C3848" s="8" t="s">
        <v>9842</v>
      </c>
      <c r="D3848" s="8" t="s">
        <v>10055</v>
      </c>
      <c r="E3848" s="8"/>
    </row>
    <row r="3849" spans="1:5" x14ac:dyDescent="0.25">
      <c r="A3849" s="5" t="s">
        <v>9843</v>
      </c>
      <c r="B3849" s="9" t="str">
        <f t="shared" si="8"/>
        <v>25753</v>
      </c>
      <c r="C3849" s="8" t="s">
        <v>9844</v>
      </c>
      <c r="D3849" s="8" t="s">
        <v>10055</v>
      </c>
      <c r="E3849" s="8"/>
    </row>
    <row r="3850" spans="1:5" x14ac:dyDescent="0.25">
      <c r="A3850" s="5" t="s">
        <v>9845</v>
      </c>
      <c r="B3850" s="9" t="str">
        <f t="shared" si="8"/>
        <v>25753</v>
      </c>
      <c r="C3850" s="8" t="s">
        <v>9846</v>
      </c>
      <c r="D3850" s="8" t="s">
        <v>10055</v>
      </c>
      <c r="E3850" s="8"/>
    </row>
    <row r="3851" spans="1:5" x14ac:dyDescent="0.25">
      <c r="A3851" s="5" t="s">
        <v>9847</v>
      </c>
      <c r="B3851" s="9" t="str">
        <f t="shared" si="8"/>
        <v>25753</v>
      </c>
      <c r="C3851" s="8" t="s">
        <v>9848</v>
      </c>
      <c r="D3851" s="8" t="s">
        <v>10055</v>
      </c>
      <c r="E3851" s="8"/>
    </row>
    <row r="3852" spans="1:5" x14ac:dyDescent="0.25">
      <c r="A3852" s="5" t="s">
        <v>9849</v>
      </c>
      <c r="B3852" s="9" t="str">
        <f t="shared" si="8"/>
        <v>25753</v>
      </c>
      <c r="C3852" s="8" t="s">
        <v>9850</v>
      </c>
      <c r="D3852" s="8" t="s">
        <v>10055</v>
      </c>
      <c r="E3852" s="8"/>
    </row>
    <row r="3853" spans="1:5" x14ac:dyDescent="0.25">
      <c r="A3853" s="5" t="s">
        <v>9851</v>
      </c>
      <c r="B3853" s="9" t="str">
        <f t="shared" si="8"/>
        <v>25753</v>
      </c>
      <c r="C3853" s="8" t="s">
        <v>9852</v>
      </c>
      <c r="D3853" s="8" t="s">
        <v>10055</v>
      </c>
      <c r="E3853" s="8"/>
    </row>
    <row r="3854" spans="1:5" x14ac:dyDescent="0.25">
      <c r="A3854" s="5" t="s">
        <v>9853</v>
      </c>
      <c r="B3854" s="9" t="str">
        <f t="shared" si="8"/>
        <v>25753</v>
      </c>
      <c r="C3854" s="8" t="s">
        <v>9854</v>
      </c>
      <c r="D3854" s="8" t="s">
        <v>10055</v>
      </c>
      <c r="E3854" s="8"/>
    </row>
    <row r="3855" spans="1:5" x14ac:dyDescent="0.25">
      <c r="A3855" s="5" t="s">
        <v>9855</v>
      </c>
      <c r="B3855" s="9" t="str">
        <f t="shared" si="8"/>
        <v>25753</v>
      </c>
      <c r="C3855" s="8" t="s">
        <v>9856</v>
      </c>
      <c r="D3855" s="8" t="s">
        <v>10055</v>
      </c>
      <c r="E3855" s="8"/>
    </row>
    <row r="3856" spans="1:5" x14ac:dyDescent="0.25">
      <c r="A3856" s="5" t="s">
        <v>9857</v>
      </c>
      <c r="B3856" s="9" t="str">
        <f t="shared" si="8"/>
        <v>25753</v>
      </c>
      <c r="C3856" s="8" t="s">
        <v>9858</v>
      </c>
      <c r="D3856" s="8" t="s">
        <v>10055</v>
      </c>
      <c r="E3856" s="8"/>
    </row>
    <row r="3857" spans="1:5" x14ac:dyDescent="0.25">
      <c r="A3857" s="5" t="s">
        <v>9859</v>
      </c>
      <c r="B3857" s="9" t="str">
        <f t="shared" si="8"/>
        <v>25753</v>
      </c>
      <c r="C3857" s="8" t="s">
        <v>9860</v>
      </c>
      <c r="D3857" s="8" t="s">
        <v>10055</v>
      </c>
      <c r="E3857" s="8"/>
    </row>
    <row r="3858" spans="1:5" x14ac:dyDescent="0.25">
      <c r="A3858" s="5" t="s">
        <v>9861</v>
      </c>
      <c r="B3858" s="9" t="str">
        <f t="shared" si="8"/>
        <v>25753</v>
      </c>
      <c r="C3858" s="8" t="s">
        <v>9862</v>
      </c>
      <c r="D3858" s="8" t="s">
        <v>10055</v>
      </c>
      <c r="E3858" s="8"/>
    </row>
    <row r="3859" spans="1:5" x14ac:dyDescent="0.25">
      <c r="A3859" s="5" t="s">
        <v>9863</v>
      </c>
      <c r="B3859" s="9" t="str">
        <f t="shared" si="8"/>
        <v>25753</v>
      </c>
      <c r="C3859" s="8" t="s">
        <v>9864</v>
      </c>
      <c r="D3859" s="8" t="s">
        <v>10055</v>
      </c>
      <c r="E3859" s="8"/>
    </row>
    <row r="3860" spans="1:5" x14ac:dyDescent="0.25">
      <c r="A3860" s="5" t="s">
        <v>9865</v>
      </c>
      <c r="B3860" s="9" t="str">
        <f t="shared" si="8"/>
        <v>25753</v>
      </c>
      <c r="C3860" s="8" t="s">
        <v>9866</v>
      </c>
      <c r="D3860" s="8" t="s">
        <v>10055</v>
      </c>
      <c r="E3860" s="8"/>
    </row>
    <row r="3861" spans="1:5" x14ac:dyDescent="0.25">
      <c r="A3861" s="5" t="s">
        <v>9867</v>
      </c>
      <c r="B3861" s="9" t="str">
        <f t="shared" si="8"/>
        <v>25753</v>
      </c>
      <c r="C3861" s="8" t="s">
        <v>9868</v>
      </c>
      <c r="D3861" s="8" t="s">
        <v>10055</v>
      </c>
      <c r="E3861" s="8"/>
    </row>
    <row r="3862" spans="1:5" x14ac:dyDescent="0.25">
      <c r="A3862" s="5" t="s">
        <v>9869</v>
      </c>
      <c r="B3862" s="9" t="str">
        <f t="shared" si="8"/>
        <v>25753</v>
      </c>
      <c r="C3862" s="8" t="s">
        <v>9870</v>
      </c>
      <c r="D3862" s="8" t="s">
        <v>10055</v>
      </c>
      <c r="E3862" s="8"/>
    </row>
    <row r="3863" spans="1:5" x14ac:dyDescent="0.25">
      <c r="A3863" s="5" t="s">
        <v>9871</v>
      </c>
      <c r="B3863" s="9" t="str">
        <f t="shared" si="8"/>
        <v>25753</v>
      </c>
      <c r="C3863" s="8" t="s">
        <v>9872</v>
      </c>
      <c r="D3863" s="8" t="s">
        <v>10055</v>
      </c>
      <c r="E3863" s="8"/>
    </row>
    <row r="3864" spans="1:5" x14ac:dyDescent="0.25">
      <c r="A3864" s="5" t="s">
        <v>9873</v>
      </c>
      <c r="B3864" s="9" t="str">
        <f t="shared" si="8"/>
        <v>25753</v>
      </c>
      <c r="C3864" s="8" t="s">
        <v>9874</v>
      </c>
      <c r="D3864" s="8" t="s">
        <v>10055</v>
      </c>
      <c r="E3864" s="8"/>
    </row>
    <row r="3865" spans="1:5" x14ac:dyDescent="0.25">
      <c r="A3865" s="5" t="s">
        <v>9875</v>
      </c>
      <c r="B3865" s="9" t="str">
        <f t="shared" si="8"/>
        <v>25753</v>
      </c>
      <c r="C3865" s="8" t="s">
        <v>9876</v>
      </c>
      <c r="D3865" s="8" t="s">
        <v>10055</v>
      </c>
      <c r="E3865" s="8"/>
    </row>
    <row r="3866" spans="1:5" x14ac:dyDescent="0.25">
      <c r="A3866" s="5" t="s">
        <v>9877</v>
      </c>
      <c r="B3866" s="9" t="str">
        <f t="shared" si="8"/>
        <v>25753</v>
      </c>
      <c r="C3866" s="8" t="s">
        <v>9878</v>
      </c>
      <c r="D3866" s="8" t="s">
        <v>10055</v>
      </c>
      <c r="E3866" s="8"/>
    </row>
    <row r="3867" spans="1:5" x14ac:dyDescent="0.25">
      <c r="A3867" s="5" t="s">
        <v>9879</v>
      </c>
      <c r="B3867" s="9" t="str">
        <f t="shared" si="8"/>
        <v>25753</v>
      </c>
      <c r="C3867" s="8" t="s">
        <v>9880</v>
      </c>
      <c r="D3867" s="8" t="s">
        <v>10055</v>
      </c>
      <c r="E3867" s="8"/>
    </row>
    <row r="3868" spans="1:5" x14ac:dyDescent="0.25">
      <c r="A3868" s="5" t="s">
        <v>9881</v>
      </c>
      <c r="B3868" s="9" t="str">
        <f t="shared" si="8"/>
        <v>25753</v>
      </c>
      <c r="C3868" s="8" t="s">
        <v>9882</v>
      </c>
      <c r="D3868" s="8" t="s">
        <v>10055</v>
      </c>
      <c r="E3868" s="8"/>
    </row>
    <row r="3869" spans="1:5" x14ac:dyDescent="0.25">
      <c r="A3869" s="5" t="s">
        <v>9883</v>
      </c>
      <c r="B3869" s="9" t="str">
        <f t="shared" si="8"/>
        <v>25753</v>
      </c>
      <c r="C3869" s="8" t="s">
        <v>9884</v>
      </c>
      <c r="D3869" s="8" t="s">
        <v>10055</v>
      </c>
      <c r="E3869" s="8"/>
    </row>
    <row r="3870" spans="1:5" x14ac:dyDescent="0.25">
      <c r="A3870" s="5" t="s">
        <v>9885</v>
      </c>
      <c r="B3870" s="9" t="str">
        <f t="shared" si="8"/>
        <v>25753</v>
      </c>
      <c r="C3870" s="8" t="s">
        <v>9886</v>
      </c>
      <c r="D3870" s="8" t="s">
        <v>10055</v>
      </c>
      <c r="E3870" s="8"/>
    </row>
    <row r="3871" spans="1:5" x14ac:dyDescent="0.25">
      <c r="A3871" s="5" t="s">
        <v>9887</v>
      </c>
      <c r="B3871" s="9" t="str">
        <f t="shared" si="8"/>
        <v>25753</v>
      </c>
      <c r="C3871" s="8" t="s">
        <v>9888</v>
      </c>
      <c r="D3871" s="8" t="s">
        <v>10055</v>
      </c>
      <c r="E3871" s="8"/>
    </row>
    <row r="3872" spans="1:5" x14ac:dyDescent="0.25">
      <c r="A3872" s="5" t="s">
        <v>9889</v>
      </c>
      <c r="B3872" s="9" t="str">
        <f t="shared" si="8"/>
        <v>25753</v>
      </c>
      <c r="C3872" s="8" t="s">
        <v>9890</v>
      </c>
      <c r="D3872" s="8" t="s">
        <v>10055</v>
      </c>
      <c r="E3872" s="8"/>
    </row>
    <row r="3873" spans="1:5" x14ac:dyDescent="0.25">
      <c r="A3873" s="5" t="s">
        <v>9891</v>
      </c>
      <c r="B3873" s="9" t="str">
        <f t="shared" si="8"/>
        <v>25753</v>
      </c>
      <c r="C3873" s="8" t="s">
        <v>9892</v>
      </c>
      <c r="D3873" s="8" t="s">
        <v>10055</v>
      </c>
      <c r="E3873" s="8"/>
    </row>
    <row r="3874" spans="1:5" x14ac:dyDescent="0.25">
      <c r="A3874" s="5" t="s">
        <v>9893</v>
      </c>
      <c r="B3874" s="9" t="str">
        <f t="shared" si="8"/>
        <v>25753</v>
      </c>
      <c r="C3874" s="8" t="s">
        <v>9894</v>
      </c>
      <c r="D3874" s="8" t="s">
        <v>10055</v>
      </c>
      <c r="E3874" s="8"/>
    </row>
    <row r="3875" spans="1:5" x14ac:dyDescent="0.25">
      <c r="A3875" s="5" t="s">
        <v>9895</v>
      </c>
      <c r="B3875" s="9" t="str">
        <f t="shared" si="8"/>
        <v>25753</v>
      </c>
      <c r="C3875" s="8" t="s">
        <v>9896</v>
      </c>
      <c r="D3875" s="8" t="s">
        <v>10055</v>
      </c>
      <c r="E3875" s="8"/>
    </row>
    <row r="3876" spans="1:5" x14ac:dyDescent="0.25">
      <c r="A3876" s="5" t="s">
        <v>9897</v>
      </c>
      <c r="B3876" s="9" t="str">
        <f t="shared" si="8"/>
        <v>25753</v>
      </c>
      <c r="C3876" s="8" t="s">
        <v>9898</v>
      </c>
      <c r="D3876" s="8" t="s">
        <v>10055</v>
      </c>
      <c r="E3876" s="8"/>
    </row>
    <row r="3877" spans="1:5" x14ac:dyDescent="0.25">
      <c r="A3877" s="5" t="s">
        <v>9899</v>
      </c>
      <c r="B3877" s="9" t="str">
        <f t="shared" si="8"/>
        <v>25753</v>
      </c>
      <c r="C3877" s="8" t="s">
        <v>9900</v>
      </c>
      <c r="D3877" s="8" t="s">
        <v>10055</v>
      </c>
      <c r="E3877" s="8"/>
    </row>
    <row r="3878" spans="1:5" x14ac:dyDescent="0.25">
      <c r="A3878" s="5" t="s">
        <v>9901</v>
      </c>
      <c r="B3878" s="9" t="str">
        <f t="shared" si="8"/>
        <v>25753</v>
      </c>
      <c r="C3878" s="8" t="s">
        <v>9902</v>
      </c>
      <c r="D3878" s="8" t="s">
        <v>10055</v>
      </c>
      <c r="E3878" s="8"/>
    </row>
    <row r="3879" spans="1:5" x14ac:dyDescent="0.25">
      <c r="A3879" s="5" t="s">
        <v>9903</v>
      </c>
      <c r="B3879" s="9" t="str">
        <f t="shared" si="8"/>
        <v>25753</v>
      </c>
      <c r="C3879" s="8" t="s">
        <v>9904</v>
      </c>
      <c r="D3879" s="8" t="s">
        <v>10055</v>
      </c>
      <c r="E3879" s="8"/>
    </row>
    <row r="3880" spans="1:5" x14ac:dyDescent="0.25">
      <c r="A3880" s="5" t="s">
        <v>9905</v>
      </c>
      <c r="B3880" s="9" t="str">
        <f t="shared" si="8"/>
        <v>25753</v>
      </c>
      <c r="C3880" s="8" t="s">
        <v>9906</v>
      </c>
      <c r="D3880" s="8" t="s">
        <v>10055</v>
      </c>
      <c r="E3880" s="8"/>
    </row>
    <row r="3881" spans="1:5" x14ac:dyDescent="0.25">
      <c r="A3881" s="5" t="s">
        <v>9907</v>
      </c>
      <c r="B3881" s="9" t="str">
        <f t="shared" si="8"/>
        <v>25753</v>
      </c>
      <c r="C3881" s="8" t="s">
        <v>9908</v>
      </c>
      <c r="D3881" s="8" t="s">
        <v>10055</v>
      </c>
      <c r="E3881" s="8"/>
    </row>
    <row r="3882" spans="1:5" x14ac:dyDescent="0.25">
      <c r="A3882" s="5" t="s">
        <v>9909</v>
      </c>
      <c r="B3882" s="9" t="str">
        <f t="shared" si="8"/>
        <v>25753</v>
      </c>
      <c r="C3882" s="8" t="s">
        <v>9910</v>
      </c>
      <c r="D3882" s="8" t="s">
        <v>10055</v>
      </c>
      <c r="E3882" s="8"/>
    </row>
    <row r="3883" spans="1:5" x14ac:dyDescent="0.25">
      <c r="A3883" s="5" t="s">
        <v>9911</v>
      </c>
      <c r="B3883" s="9" t="str">
        <f t="shared" si="8"/>
        <v>25753</v>
      </c>
      <c r="C3883" s="8" t="s">
        <v>9912</v>
      </c>
      <c r="D3883" s="8" t="s">
        <v>10055</v>
      </c>
      <c r="E3883" s="8"/>
    </row>
    <row r="3884" spans="1:5" x14ac:dyDescent="0.25">
      <c r="A3884" s="5" t="s">
        <v>9913</v>
      </c>
      <c r="B3884" s="9" t="str">
        <f t="shared" si="8"/>
        <v>25753</v>
      </c>
      <c r="C3884" s="8" t="s">
        <v>9914</v>
      </c>
      <c r="D3884" s="8" t="s">
        <v>10055</v>
      </c>
      <c r="E3884" s="8"/>
    </row>
    <row r="3885" spans="1:5" x14ac:dyDescent="0.25">
      <c r="A3885" s="5" t="s">
        <v>9915</v>
      </c>
      <c r="B3885" s="9" t="str">
        <f t="shared" si="8"/>
        <v>25753</v>
      </c>
      <c r="C3885" s="8" t="s">
        <v>9916</v>
      </c>
      <c r="D3885" s="8" t="s">
        <v>10055</v>
      </c>
      <c r="E3885" s="8"/>
    </row>
    <row r="3886" spans="1:5" x14ac:dyDescent="0.25">
      <c r="A3886" s="5" t="s">
        <v>9917</v>
      </c>
      <c r="B3886" s="9" t="str">
        <f t="shared" si="8"/>
        <v>25753</v>
      </c>
      <c r="C3886" s="8" t="s">
        <v>9918</v>
      </c>
      <c r="D3886" s="8" t="s">
        <v>10055</v>
      </c>
      <c r="E3886" s="8"/>
    </row>
    <row r="3887" spans="1:5" x14ac:dyDescent="0.25">
      <c r="A3887" s="5" t="s">
        <v>9919</v>
      </c>
      <c r="B3887" s="9" t="str">
        <f t="shared" si="8"/>
        <v>25753</v>
      </c>
      <c r="C3887" s="8" t="s">
        <v>9920</v>
      </c>
      <c r="D3887" s="8" t="s">
        <v>10055</v>
      </c>
      <c r="E3887" s="8"/>
    </row>
    <row r="3888" spans="1:5" x14ac:dyDescent="0.25">
      <c r="A3888" s="5" t="s">
        <v>9921</v>
      </c>
      <c r="B3888" s="9" t="str">
        <f t="shared" si="8"/>
        <v>25753</v>
      </c>
      <c r="C3888" s="8" t="s">
        <v>9922</v>
      </c>
      <c r="D3888" s="8" t="s">
        <v>10055</v>
      </c>
      <c r="E3888" s="8"/>
    </row>
    <row r="3889" spans="1:5" x14ac:dyDescent="0.25">
      <c r="A3889" s="5" t="s">
        <v>9923</v>
      </c>
      <c r="B3889" s="9" t="str">
        <f t="shared" si="8"/>
        <v>25753</v>
      </c>
      <c r="C3889" s="8" t="s">
        <v>9924</v>
      </c>
      <c r="D3889" s="8" t="s">
        <v>10055</v>
      </c>
      <c r="E3889" s="8"/>
    </row>
    <row r="3890" spans="1:5" x14ac:dyDescent="0.25">
      <c r="A3890" s="5" t="s">
        <v>9925</v>
      </c>
      <c r="B3890" s="9" t="str">
        <f t="shared" si="8"/>
        <v>25753</v>
      </c>
      <c r="C3890" s="8" t="s">
        <v>9926</v>
      </c>
      <c r="D3890" s="8" t="s">
        <v>10055</v>
      </c>
      <c r="E3890" s="8"/>
    </row>
    <row r="3891" spans="1:5" x14ac:dyDescent="0.25">
      <c r="A3891" s="5" t="s">
        <v>9927</v>
      </c>
      <c r="B3891" s="9" t="str">
        <f t="shared" si="8"/>
        <v>25753</v>
      </c>
      <c r="C3891" s="8" t="s">
        <v>9928</v>
      </c>
      <c r="D3891" s="8" t="s">
        <v>10055</v>
      </c>
      <c r="E3891" s="8"/>
    </row>
    <row r="3892" spans="1:5" x14ac:dyDescent="0.25">
      <c r="A3892" s="5" t="s">
        <v>9929</v>
      </c>
      <c r="B3892" s="9" t="str">
        <f t="shared" si="8"/>
        <v>25753</v>
      </c>
      <c r="C3892" s="8" t="s">
        <v>9930</v>
      </c>
      <c r="D3892" s="8" t="s">
        <v>10055</v>
      </c>
      <c r="E3892" s="8"/>
    </row>
    <row r="3893" spans="1:5" x14ac:dyDescent="0.25">
      <c r="A3893" s="5" t="s">
        <v>9931</v>
      </c>
      <c r="B3893" s="9" t="str">
        <f t="shared" si="8"/>
        <v>25753</v>
      </c>
      <c r="C3893" s="8" t="s">
        <v>9932</v>
      </c>
      <c r="D3893" s="8" t="s">
        <v>10055</v>
      </c>
      <c r="E3893" s="8"/>
    </row>
    <row r="3894" spans="1:5" x14ac:dyDescent="0.25">
      <c r="A3894" s="5" t="s">
        <v>9933</v>
      </c>
      <c r="B3894" s="9" t="str">
        <f t="shared" si="8"/>
        <v>25753</v>
      </c>
      <c r="C3894" s="8" t="s">
        <v>9934</v>
      </c>
      <c r="D3894" s="8" t="s">
        <v>10055</v>
      </c>
      <c r="E3894" s="8"/>
    </row>
    <row r="3895" spans="1:5" x14ac:dyDescent="0.25">
      <c r="A3895" s="5" t="s">
        <v>9935</v>
      </c>
      <c r="B3895" s="9" t="str">
        <f t="shared" si="8"/>
        <v>25753</v>
      </c>
      <c r="C3895" s="8" t="s">
        <v>9936</v>
      </c>
      <c r="D3895" s="8" t="s">
        <v>10055</v>
      </c>
      <c r="E3895" s="8"/>
    </row>
    <row r="3896" spans="1:5" x14ac:dyDescent="0.25">
      <c r="A3896" s="5" t="s">
        <v>9937</v>
      </c>
      <c r="B3896" s="9" t="str">
        <f t="shared" si="8"/>
        <v>25753</v>
      </c>
      <c r="C3896" s="8" t="s">
        <v>9938</v>
      </c>
      <c r="D3896" s="8" t="s">
        <v>10055</v>
      </c>
      <c r="E3896" s="8"/>
    </row>
    <row r="3897" spans="1:5" x14ac:dyDescent="0.25">
      <c r="A3897" s="5" t="s">
        <v>9939</v>
      </c>
      <c r="B3897" s="9" t="str">
        <f t="shared" si="8"/>
        <v>25753</v>
      </c>
      <c r="C3897" s="8" t="s">
        <v>9940</v>
      </c>
      <c r="D3897" s="8" t="s">
        <v>10055</v>
      </c>
      <c r="E3897" s="8"/>
    </row>
    <row r="3898" spans="1:5" x14ac:dyDescent="0.25">
      <c r="A3898" s="5" t="s">
        <v>9941</v>
      </c>
      <c r="B3898" s="9" t="str">
        <f t="shared" si="8"/>
        <v>25753</v>
      </c>
      <c r="C3898" s="8" t="s">
        <v>9942</v>
      </c>
      <c r="D3898" s="8" t="s">
        <v>10055</v>
      </c>
      <c r="E3898" s="8"/>
    </row>
    <row r="3899" spans="1:5" x14ac:dyDescent="0.25">
      <c r="A3899" s="5" t="s">
        <v>9943</v>
      </c>
      <c r="B3899" s="9" t="str">
        <f t="shared" si="8"/>
        <v>25753</v>
      </c>
      <c r="C3899" s="8" t="s">
        <v>9944</v>
      </c>
      <c r="D3899" s="8" t="s">
        <v>10055</v>
      </c>
      <c r="E3899" s="8"/>
    </row>
    <row r="3900" spans="1:5" x14ac:dyDescent="0.25">
      <c r="A3900" s="5" t="s">
        <v>9945</v>
      </c>
      <c r="B3900" s="9" t="str">
        <f t="shared" si="8"/>
        <v>25753</v>
      </c>
      <c r="C3900" s="8" t="s">
        <v>9946</v>
      </c>
      <c r="D3900" s="8" t="s">
        <v>10055</v>
      </c>
      <c r="E3900" s="8"/>
    </row>
    <row r="3901" spans="1:5" x14ac:dyDescent="0.25">
      <c r="A3901" s="5" t="s">
        <v>9947</v>
      </c>
      <c r="B3901" s="9" t="str">
        <f t="shared" si="8"/>
        <v>25753</v>
      </c>
      <c r="C3901" s="8" t="s">
        <v>9948</v>
      </c>
      <c r="D3901" s="8" t="s">
        <v>10055</v>
      </c>
      <c r="E3901" s="8"/>
    </row>
    <row r="3902" spans="1:5" x14ac:dyDescent="0.25">
      <c r="A3902" s="5" t="s">
        <v>9949</v>
      </c>
      <c r="B3902" s="9" t="str">
        <f t="shared" si="8"/>
        <v>25753</v>
      </c>
      <c r="C3902" s="8" t="s">
        <v>9950</v>
      </c>
      <c r="D3902" s="8" t="s">
        <v>10055</v>
      </c>
      <c r="E3902" s="8"/>
    </row>
    <row r="3903" spans="1:5" x14ac:dyDescent="0.25">
      <c r="A3903" s="5" t="s">
        <v>9951</v>
      </c>
      <c r="B3903" s="9" t="str">
        <f t="shared" si="8"/>
        <v>25753</v>
      </c>
      <c r="C3903" s="8" t="s">
        <v>9952</v>
      </c>
      <c r="D3903" s="8" t="s">
        <v>10055</v>
      </c>
      <c r="E3903" s="8"/>
    </row>
    <row r="3904" spans="1:5" x14ac:dyDescent="0.25">
      <c r="A3904" s="5" t="s">
        <v>9953</v>
      </c>
      <c r="B3904" s="9" t="str">
        <f t="shared" si="8"/>
        <v>25753</v>
      </c>
      <c r="C3904" s="8" t="s">
        <v>9954</v>
      </c>
      <c r="D3904" s="8" t="s">
        <v>10055</v>
      </c>
      <c r="E3904" s="8"/>
    </row>
    <row r="3905" spans="1:5" x14ac:dyDescent="0.25">
      <c r="A3905" s="5" t="s">
        <v>9955</v>
      </c>
      <c r="B3905" s="9" t="str">
        <f t="shared" si="8"/>
        <v>25753</v>
      </c>
      <c r="C3905" s="8" t="s">
        <v>9956</v>
      </c>
      <c r="D3905" s="8" t="s">
        <v>10055</v>
      </c>
      <c r="E3905" s="8"/>
    </row>
    <row r="3906" spans="1:5" x14ac:dyDescent="0.25">
      <c r="A3906" s="5" t="s">
        <v>9957</v>
      </c>
      <c r="B3906" s="9" t="str">
        <f t="shared" si="8"/>
        <v>25753</v>
      </c>
      <c r="C3906" s="8" t="s">
        <v>9958</v>
      </c>
      <c r="D3906" s="8" t="s">
        <v>10055</v>
      </c>
      <c r="E3906" s="8"/>
    </row>
    <row r="3907" spans="1:5" x14ac:dyDescent="0.25">
      <c r="A3907" s="5" t="s">
        <v>9959</v>
      </c>
      <c r="B3907" s="9" t="str">
        <f t="shared" si="8"/>
        <v>25753</v>
      </c>
      <c r="C3907" s="8" t="s">
        <v>9960</v>
      </c>
      <c r="D3907" s="8" t="s">
        <v>10055</v>
      </c>
      <c r="E3907" s="8"/>
    </row>
    <row r="3908" spans="1:5" x14ac:dyDescent="0.25">
      <c r="A3908" s="5" t="s">
        <v>9961</v>
      </c>
      <c r="B3908" s="9" t="str">
        <f t="shared" si="8"/>
        <v>25753</v>
      </c>
      <c r="C3908" s="8" t="s">
        <v>9962</v>
      </c>
      <c r="D3908" s="8" t="s">
        <v>10055</v>
      </c>
      <c r="E3908" s="8"/>
    </row>
    <row r="3909" spans="1:5" x14ac:dyDescent="0.25">
      <c r="A3909" s="5" t="s">
        <v>9963</v>
      </c>
      <c r="B3909" s="9" t="str">
        <f t="shared" si="8"/>
        <v>25753</v>
      </c>
      <c r="C3909" s="8" t="s">
        <v>9964</v>
      </c>
      <c r="D3909" s="8" t="s">
        <v>10055</v>
      </c>
      <c r="E3909" s="8"/>
    </row>
    <row r="3910" spans="1:5" x14ac:dyDescent="0.25">
      <c r="A3910" s="5" t="s">
        <v>9965</v>
      </c>
      <c r="B3910" s="9" t="str">
        <f t="shared" si="8"/>
        <v>25753</v>
      </c>
      <c r="C3910" s="8" t="s">
        <v>9966</v>
      </c>
      <c r="D3910" s="8" t="s">
        <v>10055</v>
      </c>
      <c r="E3910" s="8"/>
    </row>
    <row r="3911" spans="1:5" x14ac:dyDescent="0.25">
      <c r="A3911" s="5" t="s">
        <v>9967</v>
      </c>
      <c r="B3911" s="9" t="str">
        <f t="shared" si="8"/>
        <v>25753</v>
      </c>
      <c r="C3911" s="8" t="s">
        <v>9968</v>
      </c>
      <c r="D3911" s="8" t="s">
        <v>10055</v>
      </c>
      <c r="E3911" s="8"/>
    </row>
    <row r="3912" spans="1:5" x14ac:dyDescent="0.25">
      <c r="A3912" s="5" t="s">
        <v>9969</v>
      </c>
      <c r="B3912" s="9" t="str">
        <f t="shared" si="8"/>
        <v>25753</v>
      </c>
      <c r="C3912" s="8" t="s">
        <v>9970</v>
      </c>
      <c r="D3912" s="8" t="s">
        <v>10055</v>
      </c>
      <c r="E3912" s="8"/>
    </row>
    <row r="3913" spans="1:5" x14ac:dyDescent="0.25">
      <c r="A3913" s="5" t="s">
        <v>9971</v>
      </c>
      <c r="B3913" s="9" t="str">
        <f t="shared" si="8"/>
        <v>25753</v>
      </c>
      <c r="C3913" s="8" t="s">
        <v>9972</v>
      </c>
      <c r="D3913" s="8" t="s">
        <v>10055</v>
      </c>
      <c r="E3913" s="8"/>
    </row>
    <row r="3914" spans="1:5" x14ac:dyDescent="0.25">
      <c r="A3914" s="5" t="s">
        <v>9973</v>
      </c>
      <c r="B3914" s="9" t="str">
        <f t="shared" si="8"/>
        <v>25753</v>
      </c>
      <c r="C3914" s="8" t="s">
        <v>9974</v>
      </c>
      <c r="D3914" s="8" t="s">
        <v>10055</v>
      </c>
      <c r="E3914" s="8"/>
    </row>
    <row r="3915" spans="1:5" x14ac:dyDescent="0.25">
      <c r="A3915" s="5" t="s">
        <v>9975</v>
      </c>
      <c r="B3915" s="9" t="str">
        <f t="shared" si="8"/>
        <v>25753</v>
      </c>
      <c r="C3915" s="8" t="s">
        <v>9976</v>
      </c>
      <c r="D3915" s="8" t="s">
        <v>10055</v>
      </c>
      <c r="E3915" s="8"/>
    </row>
    <row r="3916" spans="1:5" x14ac:dyDescent="0.25">
      <c r="A3916" s="5" t="s">
        <v>9977</v>
      </c>
      <c r="B3916" s="5" t="s">
        <v>9978</v>
      </c>
      <c r="C3916" s="8" t="s">
        <v>9979</v>
      </c>
      <c r="D3916" s="8" t="s">
        <v>10055</v>
      </c>
      <c r="E3916" s="26" t="s">
        <v>12292</v>
      </c>
    </row>
    <row r="3917" spans="1:5" x14ac:dyDescent="0.25">
      <c r="A3917" s="5" t="s">
        <v>9980</v>
      </c>
      <c r="B3917" s="5" t="s">
        <v>9978</v>
      </c>
      <c r="C3917" s="8" t="s">
        <v>9981</v>
      </c>
      <c r="D3917" s="8" t="s">
        <v>10055</v>
      </c>
      <c r="E3917" s="27"/>
    </row>
    <row r="3918" spans="1:5" x14ac:dyDescent="0.25">
      <c r="A3918" s="5" t="s">
        <v>9982</v>
      </c>
      <c r="B3918" s="5" t="s">
        <v>9978</v>
      </c>
      <c r="C3918" s="8" t="s">
        <v>9983</v>
      </c>
      <c r="D3918" s="8" t="s">
        <v>10055</v>
      </c>
      <c r="E3918" s="27"/>
    </row>
    <row r="3919" spans="1:5" x14ac:dyDescent="0.25">
      <c r="A3919" s="5" t="s">
        <v>9984</v>
      </c>
      <c r="B3919" s="5" t="s">
        <v>9978</v>
      </c>
      <c r="C3919" s="8" t="s">
        <v>9985</v>
      </c>
      <c r="D3919" s="8" t="s">
        <v>10055</v>
      </c>
      <c r="E3919" s="27"/>
    </row>
    <row r="3920" spans="1:5" x14ac:dyDescent="0.25">
      <c r="A3920" s="5" t="s">
        <v>9986</v>
      </c>
      <c r="B3920" s="5" t="s">
        <v>9978</v>
      </c>
      <c r="C3920" s="8" t="s">
        <v>9987</v>
      </c>
      <c r="D3920" s="8" t="s">
        <v>10055</v>
      </c>
      <c r="E3920" s="27"/>
    </row>
    <row r="3921" spans="1:5" x14ac:dyDescent="0.25">
      <c r="A3921" s="5" t="s">
        <v>9988</v>
      </c>
      <c r="B3921" s="5" t="s">
        <v>9978</v>
      </c>
      <c r="C3921" s="8" t="s">
        <v>9989</v>
      </c>
      <c r="D3921" s="8" t="s">
        <v>10055</v>
      </c>
      <c r="E3921" s="27"/>
    </row>
    <row r="3922" spans="1:5" x14ac:dyDescent="0.25">
      <c r="A3922" s="5" t="s">
        <v>9990</v>
      </c>
      <c r="B3922" s="9" t="str">
        <f>HYPERLINK("http://biobank.ctsu.ox.ac.uk/crystal/field.cgi?id=25731", "25731")</f>
        <v>25731</v>
      </c>
      <c r="C3922" s="8" t="s">
        <v>9992</v>
      </c>
      <c r="D3922" s="8" t="s">
        <v>10056</v>
      </c>
      <c r="E3922" s="8" t="s">
        <v>12293</v>
      </c>
    </row>
    <row r="3923" spans="1:5" x14ac:dyDescent="0.25">
      <c r="A3923" s="5" t="s">
        <v>9993</v>
      </c>
      <c r="B3923" s="9" t="str">
        <f>HYPERLINK("http://biobank.ctsu.ox.ac.uk/crystal/field.cgi?id=25732", "25732")</f>
        <v>25732</v>
      </c>
      <c r="C3923" s="8" t="s">
        <v>9995</v>
      </c>
      <c r="D3923" s="8" t="s">
        <v>10056</v>
      </c>
      <c r="E3923" s="8" t="s">
        <v>12294</v>
      </c>
    </row>
    <row r="3924" spans="1:5" x14ac:dyDescent="0.25">
      <c r="A3924" s="5" t="s">
        <v>9996</v>
      </c>
      <c r="B3924" s="9" t="str">
        <f>HYPERLINK("http://biobank.ctsu.ox.ac.uk/crystal/field.cgi?id=25733", "25733")</f>
        <v>25733</v>
      </c>
      <c r="C3924" s="8" t="s">
        <v>9998</v>
      </c>
      <c r="D3924" s="8" t="s">
        <v>10056</v>
      </c>
      <c r="E3924" s="8" t="s">
        <v>12295</v>
      </c>
    </row>
    <row r="3925" spans="1:5" x14ac:dyDescent="0.25">
      <c r="A3925" s="5" t="s">
        <v>9999</v>
      </c>
      <c r="B3925" s="9" t="str">
        <f>HYPERLINK("http://biobank.ctsu.ox.ac.uk/crystal/field.cgi?id=25734", "25734")</f>
        <v>25734</v>
      </c>
      <c r="C3925" s="8" t="s">
        <v>10001</v>
      </c>
      <c r="D3925" s="8" t="s">
        <v>10056</v>
      </c>
      <c r="E3925" s="8" t="s">
        <v>12296</v>
      </c>
    </row>
    <row r="3926" spans="1:5" x14ac:dyDescent="0.25">
      <c r="A3926" s="5" t="s">
        <v>10002</v>
      </c>
      <c r="B3926" s="9" t="str">
        <f>HYPERLINK("http://biobank.ctsu.ox.ac.uk/crystal/field.cgi?id=25735", "25735")</f>
        <v>25735</v>
      </c>
      <c r="C3926" s="8" t="s">
        <v>10004</v>
      </c>
      <c r="D3926" s="8" t="s">
        <v>10056</v>
      </c>
      <c r="E3926" s="8" t="s">
        <v>12297</v>
      </c>
    </row>
    <row r="3927" spans="1:5" x14ac:dyDescent="0.25">
      <c r="A3927" s="5" t="s">
        <v>10005</v>
      </c>
      <c r="B3927" s="9" t="str">
        <f>HYPERLINK("http://biobank.ctsu.ox.ac.uk/crystal/field.cgi?id=25736", "25736")</f>
        <v>25736</v>
      </c>
      <c r="C3927" s="8" t="s">
        <v>10007</v>
      </c>
      <c r="D3927" s="8" t="s">
        <v>10056</v>
      </c>
      <c r="E3927" s="8" t="s">
        <v>12298</v>
      </c>
    </row>
    <row r="3928" spans="1:5" x14ac:dyDescent="0.25">
      <c r="A3928" s="5" t="s">
        <v>10008</v>
      </c>
      <c r="B3928" s="9" t="str">
        <f>HYPERLINK("http://biobank.ctsu.ox.ac.uk/crystal/field.cgi?id=25737", "25737")</f>
        <v>25737</v>
      </c>
      <c r="C3928" s="8" t="s">
        <v>10010</v>
      </c>
      <c r="D3928" s="8" t="s">
        <v>10056</v>
      </c>
      <c r="E3928" s="8" t="s">
        <v>12299</v>
      </c>
    </row>
    <row r="3929" spans="1:5" x14ac:dyDescent="0.25">
      <c r="A3929" s="5" t="s">
        <v>10011</v>
      </c>
      <c r="B3929" s="9" t="str">
        <f>HYPERLINK("http://biobank.ctsu.ox.ac.uk/crystal/field.cgi?id=25738", "25738")</f>
        <v>25738</v>
      </c>
      <c r="C3929" s="8" t="s">
        <v>10013</v>
      </c>
      <c r="D3929" s="8" t="s">
        <v>10056</v>
      </c>
      <c r="E3929" s="8" t="s">
        <v>12300</v>
      </c>
    </row>
    <row r="3930" spans="1:5" x14ac:dyDescent="0.25">
      <c r="A3930" s="5" t="s">
        <v>10014</v>
      </c>
      <c r="B3930" s="9" t="str">
        <f>HYPERLINK("http://biobank.ctsu.ox.ac.uk/crystal/field.cgi?id=25739", "25739")</f>
        <v>25739</v>
      </c>
      <c r="C3930" s="8" t="s">
        <v>10016</v>
      </c>
      <c r="D3930" s="8" t="s">
        <v>10056</v>
      </c>
      <c r="E3930" s="8" t="s">
        <v>12301</v>
      </c>
    </row>
    <row r="3931" spans="1:5" x14ac:dyDescent="0.25">
      <c r="A3931" s="5" t="s">
        <v>10017</v>
      </c>
      <c r="B3931" s="9" t="str">
        <f>HYPERLINK("http://biobank.ctsu.ox.ac.uk/crystal/field.cgi?id=25740", "25740")</f>
        <v>25740</v>
      </c>
      <c r="C3931" s="8" t="s">
        <v>10019</v>
      </c>
      <c r="D3931" s="8" t="s">
        <v>10056</v>
      </c>
      <c r="E3931" s="8" t="s">
        <v>12302</v>
      </c>
    </row>
    <row r="3932" spans="1:5" x14ac:dyDescent="0.25">
      <c r="A3932" s="5" t="s">
        <v>10020</v>
      </c>
      <c r="B3932" s="9" t="str">
        <f>HYPERLINK("http://biobank.ctsu.ox.ac.uk/crystal/field.cgi?id=25741", "25741")</f>
        <v>25741</v>
      </c>
      <c r="C3932" s="8" t="s">
        <v>10022</v>
      </c>
      <c r="D3932" s="8" t="s">
        <v>10056</v>
      </c>
      <c r="E3932" s="8" t="s">
        <v>12303</v>
      </c>
    </row>
    <row r="3933" spans="1:5" x14ac:dyDescent="0.25">
      <c r="A3933" s="5" t="s">
        <v>10023</v>
      </c>
      <c r="B3933" s="9" t="str">
        <f>HYPERLINK("http://biobank.ctsu.ox.ac.uk/crystal/field.cgi?id=25742", "25742")</f>
        <v>25742</v>
      </c>
      <c r="C3933" s="8" t="s">
        <v>10025</v>
      </c>
      <c r="D3933" s="8" t="s">
        <v>10056</v>
      </c>
      <c r="E3933" s="8" t="s">
        <v>12304</v>
      </c>
    </row>
    <row r="3934" spans="1:5" x14ac:dyDescent="0.25">
      <c r="A3934" s="5" t="s">
        <v>10026</v>
      </c>
      <c r="B3934" s="9" t="str">
        <f>HYPERLINK("http://biobank.ctsu.ox.ac.uk/crystal/field.cgi?id=25743", "25743")</f>
        <v>25743</v>
      </c>
      <c r="C3934" s="8" t="s">
        <v>10028</v>
      </c>
      <c r="D3934" s="8" t="s">
        <v>10056</v>
      </c>
      <c r="E3934" s="8" t="s">
        <v>12305</v>
      </c>
    </row>
    <row r="3935" spans="1:5" x14ac:dyDescent="0.25">
      <c r="A3935" s="5" t="s">
        <v>10029</v>
      </c>
      <c r="B3935" s="9" t="str">
        <f>HYPERLINK("http://biobank.ctsu.ox.ac.uk/crystal/field.cgi?id=25744", "25744")</f>
        <v>25744</v>
      </c>
      <c r="C3935" s="8" t="s">
        <v>10031</v>
      </c>
      <c r="D3935" s="8" t="s">
        <v>10056</v>
      </c>
      <c r="E3935" s="8" t="s">
        <v>12306</v>
      </c>
    </row>
    <row r="3936" spans="1:5" x14ac:dyDescent="0.25">
      <c r="A3936" s="5" t="s">
        <v>10032</v>
      </c>
      <c r="B3936" s="9" t="str">
        <f>HYPERLINK("http://biobank.ctsu.ox.ac.uk/crystal/field.cgi?id=25745", "25745")</f>
        <v>25745</v>
      </c>
      <c r="C3936" s="8" t="s">
        <v>10034</v>
      </c>
      <c r="D3936" s="8" t="s">
        <v>10056</v>
      </c>
      <c r="E3936" s="8" t="s">
        <v>12307</v>
      </c>
    </row>
    <row r="3937" spans="1:5" x14ac:dyDescent="0.25">
      <c r="A3937" s="5" t="s">
        <v>10035</v>
      </c>
      <c r="B3937" s="9" t="str">
        <f>HYPERLINK("http://biobank.ctsu.ox.ac.uk/crystal/field.cgi?id=25746", "25746")</f>
        <v>25746</v>
      </c>
      <c r="C3937" s="8" t="s">
        <v>10037</v>
      </c>
      <c r="D3937" s="8" t="s">
        <v>10056</v>
      </c>
      <c r="E3937" s="8" t="s">
        <v>12308</v>
      </c>
    </row>
  </sheetData>
  <mergeCells count="1">
    <mergeCell ref="E3916:E392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937"/>
  <sheetViews>
    <sheetView workbookViewId="0"/>
  </sheetViews>
  <sheetFormatPr defaultColWidth="9.140625" defaultRowHeight="15" x14ac:dyDescent="0.25"/>
  <cols>
    <col min="1" max="1" width="6.5703125" bestFit="1" customWidth="1"/>
    <col min="2" max="2" width="7.42578125" bestFit="1" customWidth="1"/>
    <col min="3" max="3" width="62" bestFit="1" customWidth="1"/>
    <col min="4" max="4" width="33.85546875" bestFit="1" customWidth="1"/>
    <col min="5" max="5" width="14.42578125" style="16" bestFit="1" customWidth="1"/>
    <col min="6" max="7" width="7.85546875" style="16" bestFit="1" customWidth="1"/>
    <col min="8" max="8" width="16.140625" style="16" customWidth="1"/>
    <col min="9" max="9" width="19.28515625" style="16" customWidth="1"/>
    <col min="10" max="10" width="13.28515625" style="16" customWidth="1"/>
    <col min="11" max="16384" width="9.140625" style="6"/>
  </cols>
  <sheetData>
    <row r="1" spans="1:10" s="11" customFormat="1" x14ac:dyDescent="0.25">
      <c r="A1" s="1" t="s">
        <v>12327</v>
      </c>
      <c r="B1" s="8"/>
      <c r="C1" s="8"/>
      <c r="D1" s="8"/>
      <c r="E1" s="8"/>
      <c r="F1" s="8"/>
      <c r="G1" s="8"/>
      <c r="H1" s="8"/>
      <c r="I1" s="8"/>
      <c r="J1" s="8"/>
    </row>
    <row r="2" spans="1:10" s="12" customFormat="1" x14ac:dyDescent="0.25">
      <c r="A2" s="10" t="s">
        <v>10038</v>
      </c>
      <c r="B2" s="10" t="s">
        <v>0</v>
      </c>
      <c r="C2" s="10" t="s">
        <v>1</v>
      </c>
      <c r="D2" s="10" t="s">
        <v>10039</v>
      </c>
      <c r="E2" s="10" t="s">
        <v>2</v>
      </c>
      <c r="F2" s="10" t="s">
        <v>3</v>
      </c>
      <c r="G2" s="10" t="s">
        <v>4</v>
      </c>
      <c r="H2" s="10" t="s">
        <v>12318</v>
      </c>
      <c r="I2" s="10" t="s">
        <v>12319</v>
      </c>
      <c r="J2" s="10" t="s">
        <v>12320</v>
      </c>
    </row>
    <row r="3" spans="1:10" x14ac:dyDescent="0.25">
      <c r="A3" s="2" t="s">
        <v>5</v>
      </c>
      <c r="B3" s="2" t="s">
        <v>6</v>
      </c>
      <c r="C3" s="2" t="s">
        <v>7</v>
      </c>
      <c r="D3" s="2" t="s">
        <v>10040</v>
      </c>
      <c r="E3" s="15">
        <v>-4.5199999999999997E-2</v>
      </c>
      <c r="F3" s="15">
        <v>3.8699999999999998E-2</v>
      </c>
      <c r="G3" s="15">
        <v>0.2427</v>
      </c>
      <c r="H3" s="15">
        <v>0.248</v>
      </c>
      <c r="I3" s="15">
        <v>2.4400000000000002E-2</v>
      </c>
      <c r="J3" s="15">
        <v>11.71945701357466</v>
      </c>
    </row>
    <row r="4" spans="1:10" x14ac:dyDescent="0.25">
      <c r="A4" s="2" t="s">
        <v>8</v>
      </c>
      <c r="B4" s="2" t="s">
        <v>9</v>
      </c>
      <c r="C4" s="2" t="s">
        <v>10</v>
      </c>
      <c r="D4" s="2" t="s">
        <v>10040</v>
      </c>
      <c r="E4" s="15">
        <v>-4.2099999999999999E-2</v>
      </c>
      <c r="F4" s="15">
        <v>3.8600000000000002E-2</v>
      </c>
      <c r="G4" s="15">
        <v>0.27539999999999998</v>
      </c>
      <c r="H4" s="15">
        <v>0.2452</v>
      </c>
      <c r="I4" s="15">
        <v>2.4199999999999999E-2</v>
      </c>
      <c r="J4" s="15">
        <v>11.8294930875576</v>
      </c>
    </row>
    <row r="5" spans="1:10" x14ac:dyDescent="0.25">
      <c r="A5" s="2" t="s">
        <v>11</v>
      </c>
      <c r="B5" s="2" t="s">
        <v>12</v>
      </c>
      <c r="C5" s="2" t="s">
        <v>13</v>
      </c>
      <c r="D5" s="2" t="s">
        <v>10040</v>
      </c>
      <c r="E5" s="15">
        <v>9.2200000000000004E-2</v>
      </c>
      <c r="F5" s="15">
        <v>3.9100000000000003E-2</v>
      </c>
      <c r="G5" s="15">
        <v>1.83E-2</v>
      </c>
      <c r="H5" s="15">
        <v>0.28860000000000002</v>
      </c>
      <c r="I5" s="15">
        <v>2.6499999999999999E-2</v>
      </c>
      <c r="J5" s="15">
        <v>12.10084033613445</v>
      </c>
    </row>
    <row r="6" spans="1:10" x14ac:dyDescent="0.25">
      <c r="A6" s="2" t="s">
        <v>14</v>
      </c>
      <c r="B6" s="2" t="s">
        <v>15</v>
      </c>
      <c r="C6" s="2" t="s">
        <v>16</v>
      </c>
      <c r="D6" s="2" t="s">
        <v>10040</v>
      </c>
      <c r="E6" s="15">
        <v>9.2100000000000001E-2</v>
      </c>
      <c r="F6" s="15">
        <v>3.9100000000000003E-2</v>
      </c>
      <c r="G6" s="15">
        <v>1.8499999999999999E-2</v>
      </c>
      <c r="H6" s="15">
        <v>0.28870000000000001</v>
      </c>
      <c r="I6" s="15">
        <v>2.6499999999999999E-2</v>
      </c>
      <c r="J6" s="15">
        <v>12.05020920502092</v>
      </c>
    </row>
    <row r="7" spans="1:10" x14ac:dyDescent="0.25">
      <c r="A7" s="2" t="s">
        <v>17</v>
      </c>
      <c r="B7" s="2" t="s">
        <v>18</v>
      </c>
      <c r="C7" s="2" t="s">
        <v>19</v>
      </c>
      <c r="D7" s="2" t="s">
        <v>10040</v>
      </c>
      <c r="E7" s="15">
        <v>-4.5600000000000002E-2</v>
      </c>
      <c r="F7" s="15">
        <v>4.1700000000000001E-2</v>
      </c>
      <c r="G7" s="15">
        <v>0.27479999999999999</v>
      </c>
      <c r="H7" s="15">
        <v>0.22009999999999999</v>
      </c>
      <c r="I7" s="15">
        <v>2.3800000000000002E-2</v>
      </c>
      <c r="J7" s="15">
        <v>10.543378995433789</v>
      </c>
    </row>
    <row r="8" spans="1:10" x14ac:dyDescent="0.25">
      <c r="A8" s="2" t="s">
        <v>20</v>
      </c>
      <c r="B8" s="2" t="s">
        <v>21</v>
      </c>
      <c r="C8" s="2" t="s">
        <v>22</v>
      </c>
      <c r="D8" s="2" t="s">
        <v>10040</v>
      </c>
      <c r="E8" s="15">
        <v>-4.4600000000000001E-2</v>
      </c>
      <c r="F8" s="15">
        <v>4.1399999999999999E-2</v>
      </c>
      <c r="G8" s="15">
        <v>0.28089999999999998</v>
      </c>
      <c r="H8" s="15">
        <v>0.21609999999999999</v>
      </c>
      <c r="I8" s="15">
        <v>2.3400000000000001E-2</v>
      </c>
      <c r="J8" s="15">
        <v>10.61214953271028</v>
      </c>
    </row>
    <row r="9" spans="1:10" x14ac:dyDescent="0.25">
      <c r="A9" s="2" t="s">
        <v>23</v>
      </c>
      <c r="B9" s="2" t="s">
        <v>24</v>
      </c>
      <c r="C9" s="2" t="s">
        <v>25</v>
      </c>
      <c r="D9" s="2" t="s">
        <v>10040</v>
      </c>
      <c r="E9" s="15">
        <v>-3.44E-2</v>
      </c>
      <c r="F9" s="15">
        <v>3.7199999999999997E-2</v>
      </c>
      <c r="G9" s="15">
        <v>0.35499999999999998</v>
      </c>
      <c r="H9" s="15">
        <v>0.30309999999999998</v>
      </c>
      <c r="I9" s="15">
        <v>2.86E-2</v>
      </c>
      <c r="J9" s="15">
        <v>11.48221343873518</v>
      </c>
    </row>
    <row r="10" spans="1:10" x14ac:dyDescent="0.25">
      <c r="A10" s="2" t="s">
        <v>26</v>
      </c>
      <c r="B10" s="2" t="s">
        <v>27</v>
      </c>
      <c r="C10" s="2" t="s">
        <v>28</v>
      </c>
      <c r="D10" s="2" t="s">
        <v>10040</v>
      </c>
      <c r="E10" s="15">
        <v>-3.4599999999999999E-2</v>
      </c>
      <c r="F10" s="15">
        <v>3.73E-2</v>
      </c>
      <c r="G10" s="15">
        <v>0.35339999999999999</v>
      </c>
      <c r="H10" s="15">
        <v>0.30109999999999998</v>
      </c>
      <c r="I10" s="15">
        <v>2.8799999999999999E-2</v>
      </c>
      <c r="J10" s="15">
        <v>11.321568627450979</v>
      </c>
    </row>
    <row r="11" spans="1:10" x14ac:dyDescent="0.25">
      <c r="A11" s="2" t="s">
        <v>29</v>
      </c>
      <c r="B11" s="2" t="s">
        <v>30</v>
      </c>
      <c r="C11" s="2" t="s">
        <v>31</v>
      </c>
      <c r="D11" s="2" t="s">
        <v>10040</v>
      </c>
      <c r="E11" s="15">
        <v>-4.8099999999999997E-2</v>
      </c>
      <c r="F11" s="15">
        <v>3.9600000000000003E-2</v>
      </c>
      <c r="G11" s="15">
        <v>0.2243</v>
      </c>
      <c r="H11" s="15">
        <v>0.25159999999999999</v>
      </c>
      <c r="I11" s="15">
        <v>2.6800000000000001E-2</v>
      </c>
      <c r="J11" s="15">
        <v>10.35537190082645</v>
      </c>
    </row>
    <row r="12" spans="1:10" x14ac:dyDescent="0.25">
      <c r="A12" s="2" t="s">
        <v>32</v>
      </c>
      <c r="B12" s="2" t="s">
        <v>33</v>
      </c>
      <c r="C12" s="2" t="s">
        <v>34</v>
      </c>
      <c r="D12" s="2" t="s">
        <v>10040</v>
      </c>
      <c r="E12" s="15">
        <v>-4.6800000000000001E-2</v>
      </c>
      <c r="F12" s="15">
        <v>3.95E-2</v>
      </c>
      <c r="G12" s="15">
        <v>0.23569999999999999</v>
      </c>
      <c r="H12" s="15">
        <v>0.24859999999999999</v>
      </c>
      <c r="I12" s="15">
        <v>2.6700000000000002E-2</v>
      </c>
      <c r="J12" s="15">
        <v>10.37083333333333</v>
      </c>
    </row>
    <row r="13" spans="1:10" x14ac:dyDescent="0.25">
      <c r="A13" s="2" t="s">
        <v>35</v>
      </c>
      <c r="B13" s="2" t="s">
        <v>36</v>
      </c>
      <c r="C13" s="2" t="s">
        <v>37</v>
      </c>
      <c r="D13" s="2" t="s">
        <v>10040</v>
      </c>
      <c r="E13" s="15">
        <v>-2.3900000000000001E-2</v>
      </c>
      <c r="F13" s="15">
        <v>3.8399999999999997E-2</v>
      </c>
      <c r="G13" s="15">
        <v>0.53459999999999996</v>
      </c>
      <c r="H13" s="15">
        <v>0.26050000000000001</v>
      </c>
      <c r="I13" s="15">
        <v>2.63E-2</v>
      </c>
      <c r="J13" s="15">
        <v>10.79831932773109</v>
      </c>
    </row>
    <row r="14" spans="1:10" x14ac:dyDescent="0.25">
      <c r="A14" s="2" t="s">
        <v>38</v>
      </c>
      <c r="B14" s="2" t="s">
        <v>39</v>
      </c>
      <c r="C14" s="2" t="s">
        <v>40</v>
      </c>
      <c r="D14" s="2" t="s">
        <v>10040</v>
      </c>
      <c r="E14" s="15">
        <v>1.9E-3</v>
      </c>
      <c r="F14" s="15">
        <v>3.8100000000000002E-2</v>
      </c>
      <c r="G14" s="15">
        <v>0.96040000000000003</v>
      </c>
      <c r="H14" s="15">
        <v>0.26629999999999998</v>
      </c>
      <c r="I14" s="15">
        <v>2.5700000000000001E-2</v>
      </c>
      <c r="J14" s="15">
        <v>11.141630901287551</v>
      </c>
    </row>
    <row r="15" spans="1:10" x14ac:dyDescent="0.25">
      <c r="A15" s="2" t="s">
        <v>41</v>
      </c>
      <c r="B15" s="2" t="s">
        <v>42</v>
      </c>
      <c r="C15" s="2" t="s">
        <v>43</v>
      </c>
      <c r="D15" s="2" t="s">
        <v>10040</v>
      </c>
      <c r="E15" s="15">
        <v>-1.8599999999999998E-2</v>
      </c>
      <c r="F15" s="15">
        <v>3.5200000000000002E-2</v>
      </c>
      <c r="G15" s="15">
        <v>0.59650000000000003</v>
      </c>
      <c r="H15" s="15">
        <v>0.3347</v>
      </c>
      <c r="I15" s="15">
        <v>2.8199999999999999E-2</v>
      </c>
      <c r="J15" s="15">
        <v>13.4609375</v>
      </c>
    </row>
    <row r="16" spans="1:10" x14ac:dyDescent="0.25">
      <c r="A16" s="2" t="s">
        <v>44</v>
      </c>
      <c r="B16" s="2" t="s">
        <v>45</v>
      </c>
      <c r="C16" s="2" t="s">
        <v>46</v>
      </c>
      <c r="D16" s="2" t="s">
        <v>10040</v>
      </c>
      <c r="E16" s="15">
        <v>-3.6700000000000003E-2</v>
      </c>
      <c r="F16" s="15">
        <v>3.7199999999999997E-2</v>
      </c>
      <c r="G16" s="15">
        <v>0.32340000000000002</v>
      </c>
      <c r="H16" s="15">
        <v>0.34139999999999998</v>
      </c>
      <c r="I16" s="15">
        <v>2.8799999999999999E-2</v>
      </c>
      <c r="J16" s="15">
        <v>13.338461538461541</v>
      </c>
    </row>
    <row r="17" spans="1:10" x14ac:dyDescent="0.25">
      <c r="A17" s="2" t="s">
        <v>47</v>
      </c>
      <c r="B17" s="2" t="s">
        <v>48</v>
      </c>
      <c r="C17" s="2" t="s">
        <v>49</v>
      </c>
      <c r="D17" s="2" t="s">
        <v>10040</v>
      </c>
      <c r="E17" s="15">
        <v>8.9999999999999998E-4</v>
      </c>
      <c r="F17" s="15">
        <v>4.1200000000000001E-2</v>
      </c>
      <c r="G17" s="15">
        <v>0.98219999999999996</v>
      </c>
      <c r="H17" s="15">
        <v>0.27160000000000001</v>
      </c>
      <c r="I17" s="15">
        <v>2.8799999999999999E-2</v>
      </c>
      <c r="J17" s="15">
        <v>10.31020408163265</v>
      </c>
    </row>
    <row r="18" spans="1:10" x14ac:dyDescent="0.25">
      <c r="A18" s="2" t="s">
        <v>50</v>
      </c>
      <c r="B18" s="2" t="s">
        <v>51</v>
      </c>
      <c r="C18" s="2" t="s">
        <v>52</v>
      </c>
      <c r="D18" s="2" t="s">
        <v>10040</v>
      </c>
      <c r="E18" s="15">
        <v>-1.5100000000000001E-2</v>
      </c>
      <c r="F18" s="15">
        <v>4.0800000000000003E-2</v>
      </c>
      <c r="G18" s="15">
        <v>0.71060000000000001</v>
      </c>
      <c r="H18" s="15">
        <v>0.30590000000000001</v>
      </c>
      <c r="I18" s="15">
        <v>3.04E-2</v>
      </c>
      <c r="J18" s="15">
        <v>11.088461538461541</v>
      </c>
    </row>
    <row r="19" spans="1:10" x14ac:dyDescent="0.25">
      <c r="A19" s="2" t="s">
        <v>53</v>
      </c>
      <c r="B19" s="2" t="s">
        <v>54</v>
      </c>
      <c r="C19" s="2" t="s">
        <v>55</v>
      </c>
      <c r="D19" s="2" t="s">
        <v>10040</v>
      </c>
      <c r="E19" s="15">
        <v>-1.1900000000000001E-2</v>
      </c>
      <c r="F19" s="15">
        <v>4.1399999999999999E-2</v>
      </c>
      <c r="G19" s="15">
        <v>0.77429999999999999</v>
      </c>
      <c r="H19" s="15">
        <v>0.22739999999999999</v>
      </c>
      <c r="I19" s="15">
        <v>2.6200000000000001E-2</v>
      </c>
      <c r="J19" s="15">
        <v>9.8302752293577971</v>
      </c>
    </row>
    <row r="20" spans="1:10" x14ac:dyDescent="0.25">
      <c r="A20" s="2" t="s">
        <v>56</v>
      </c>
      <c r="B20" s="2" t="s">
        <v>57</v>
      </c>
      <c r="C20" s="2" t="s">
        <v>58</v>
      </c>
      <c r="D20" s="2" t="s">
        <v>10040</v>
      </c>
      <c r="E20" s="15">
        <v>-2.4E-2</v>
      </c>
      <c r="F20" s="15">
        <v>3.8100000000000002E-2</v>
      </c>
      <c r="G20" s="15">
        <v>0.52829999999999999</v>
      </c>
      <c r="H20" s="15">
        <v>0.2422</v>
      </c>
      <c r="I20" s="15">
        <v>2.7400000000000001E-2</v>
      </c>
      <c r="J20" s="15">
        <v>10.030434782608699</v>
      </c>
    </row>
    <row r="21" spans="1:10" x14ac:dyDescent="0.25">
      <c r="A21" s="2" t="s">
        <v>59</v>
      </c>
      <c r="B21" s="2" t="s">
        <v>60</v>
      </c>
      <c r="C21" s="2" t="s">
        <v>61</v>
      </c>
      <c r="D21" s="2" t="s">
        <v>10040</v>
      </c>
      <c r="E21" s="15">
        <v>4.0000000000000001E-3</v>
      </c>
      <c r="F21" s="15">
        <v>4.8399999999999999E-2</v>
      </c>
      <c r="G21" s="15">
        <v>0.93459999999999999</v>
      </c>
      <c r="H21" s="15">
        <v>0.16719999999999999</v>
      </c>
      <c r="I21" s="15">
        <v>2.0199999999999999E-2</v>
      </c>
      <c r="J21" s="15">
        <v>9.026455026455027</v>
      </c>
    </row>
    <row r="22" spans="1:10" x14ac:dyDescent="0.25">
      <c r="A22" s="2" t="s">
        <v>62</v>
      </c>
      <c r="B22" s="2" t="s">
        <v>63</v>
      </c>
      <c r="C22" s="2" t="s">
        <v>64</v>
      </c>
      <c r="D22" s="2" t="s">
        <v>10040</v>
      </c>
      <c r="E22" s="15">
        <v>-5.4000000000000003E-3</v>
      </c>
      <c r="F22" s="15">
        <v>4.2299999999999997E-2</v>
      </c>
      <c r="G22" s="15">
        <v>0.89759999999999995</v>
      </c>
      <c r="H22" s="15">
        <v>0.17</v>
      </c>
      <c r="I22" s="15">
        <v>2.07E-2</v>
      </c>
      <c r="J22" s="15">
        <v>8.5306122448979593</v>
      </c>
    </row>
    <row r="23" spans="1:10" x14ac:dyDescent="0.25">
      <c r="A23" s="2" t="s">
        <v>65</v>
      </c>
      <c r="B23" s="2" t="s">
        <v>66</v>
      </c>
      <c r="C23" s="2" t="s">
        <v>67</v>
      </c>
      <c r="D23" s="2" t="s">
        <v>10040</v>
      </c>
      <c r="E23" s="15">
        <v>4.1200000000000001E-2</v>
      </c>
      <c r="F23" s="15">
        <v>5.2499999999999998E-2</v>
      </c>
      <c r="G23" s="15">
        <v>0.43259999999999998</v>
      </c>
      <c r="H23" s="15">
        <v>0.11459999999999999</v>
      </c>
      <c r="I23" s="15">
        <v>1.7500000000000002E-2</v>
      </c>
      <c r="J23" s="15">
        <v>6.8734177215189867</v>
      </c>
    </row>
    <row r="24" spans="1:10" x14ac:dyDescent="0.25">
      <c r="A24" s="2" t="s">
        <v>68</v>
      </c>
      <c r="B24" s="2" t="s">
        <v>69</v>
      </c>
      <c r="C24" s="2" t="s">
        <v>70</v>
      </c>
      <c r="D24" s="2" t="s">
        <v>10040</v>
      </c>
      <c r="E24" s="15">
        <v>7.3000000000000001E-3</v>
      </c>
      <c r="F24" s="15">
        <v>5.2900000000000003E-2</v>
      </c>
      <c r="G24" s="15">
        <v>0.89049999999999996</v>
      </c>
      <c r="H24" s="15">
        <v>0.1053</v>
      </c>
      <c r="I24" s="15">
        <v>1.7999999999999999E-2</v>
      </c>
      <c r="J24" s="15">
        <v>5.6529411764705877</v>
      </c>
    </row>
    <row r="25" spans="1:10" x14ac:dyDescent="0.25">
      <c r="A25" s="2" t="s">
        <v>71</v>
      </c>
      <c r="B25" s="2" t="s">
        <v>72</v>
      </c>
      <c r="C25" s="2" t="s">
        <v>73</v>
      </c>
      <c r="D25" s="2" t="s">
        <v>10040</v>
      </c>
      <c r="E25" s="15">
        <v>-4.5199999999999997E-2</v>
      </c>
      <c r="F25" s="15">
        <v>4.6100000000000002E-2</v>
      </c>
      <c r="G25" s="15">
        <v>0.32779999999999998</v>
      </c>
      <c r="H25" s="15">
        <v>0.14949999999999999</v>
      </c>
      <c r="I25" s="15">
        <v>1.78E-2</v>
      </c>
      <c r="J25" s="15">
        <v>9.2699386503067505</v>
      </c>
    </row>
    <row r="26" spans="1:10" x14ac:dyDescent="0.25">
      <c r="A26" s="2" t="s">
        <v>74</v>
      </c>
      <c r="B26" s="2" t="s">
        <v>75</v>
      </c>
      <c r="C26" s="2" t="s">
        <v>76</v>
      </c>
      <c r="D26" s="2" t="s">
        <v>10040</v>
      </c>
      <c r="E26" s="15">
        <v>-4.48E-2</v>
      </c>
      <c r="F26" s="15">
        <v>4.0899999999999999E-2</v>
      </c>
      <c r="G26" s="15">
        <v>0.27279999999999999</v>
      </c>
      <c r="H26" s="15">
        <v>0.18440000000000001</v>
      </c>
      <c r="I26" s="15">
        <v>2.1100000000000001E-2</v>
      </c>
      <c r="J26" s="15">
        <v>9.6108108108108112</v>
      </c>
    </row>
    <row r="27" spans="1:10" x14ac:dyDescent="0.25">
      <c r="A27" s="2" t="s">
        <v>77</v>
      </c>
      <c r="B27" s="2" t="s">
        <v>78</v>
      </c>
      <c r="C27" s="2" t="s">
        <v>79</v>
      </c>
      <c r="D27" s="2" t="s">
        <v>10040</v>
      </c>
      <c r="E27" s="15">
        <v>-6.1215000000000003E-5</v>
      </c>
      <c r="F27" s="15">
        <v>3.8399999999999997E-2</v>
      </c>
      <c r="G27" s="15">
        <v>0.99870000000000003</v>
      </c>
      <c r="H27" s="15">
        <v>0.29270000000000002</v>
      </c>
      <c r="I27" s="15">
        <v>2.8400000000000002E-2</v>
      </c>
      <c r="J27" s="15">
        <v>11.076000000000001</v>
      </c>
    </row>
    <row r="28" spans="1:10" x14ac:dyDescent="0.25">
      <c r="A28" s="2" t="s">
        <v>80</v>
      </c>
      <c r="B28" s="2" t="s">
        <v>81</v>
      </c>
      <c r="C28" s="2" t="s">
        <v>82</v>
      </c>
      <c r="D28" s="2" t="s">
        <v>10040</v>
      </c>
      <c r="E28" s="15">
        <v>-3.7100000000000001E-2</v>
      </c>
      <c r="F28" s="15">
        <v>4.99E-2</v>
      </c>
      <c r="G28" s="15">
        <v>0.45810000000000001</v>
      </c>
      <c r="H28" s="15">
        <v>0.13730000000000001</v>
      </c>
      <c r="I28" s="15">
        <v>1.84E-2</v>
      </c>
      <c r="J28" s="15">
        <v>9.1317365269461082</v>
      </c>
    </row>
    <row r="29" spans="1:10" x14ac:dyDescent="0.25">
      <c r="A29" s="2" t="s">
        <v>83</v>
      </c>
      <c r="B29" s="2" t="s">
        <v>84</v>
      </c>
      <c r="C29" s="2" t="s">
        <v>85</v>
      </c>
      <c r="D29" s="2" t="s">
        <v>10040</v>
      </c>
      <c r="E29" s="15">
        <v>-4.1999999999999997E-3</v>
      </c>
      <c r="F29" s="15">
        <v>4.2000000000000003E-2</v>
      </c>
      <c r="G29" s="15">
        <v>0.9194</v>
      </c>
      <c r="H29" s="15">
        <v>0.20369999999999999</v>
      </c>
      <c r="I29" s="15">
        <v>1.9599999999999999E-2</v>
      </c>
      <c r="J29" s="15">
        <v>11.28260869565217</v>
      </c>
    </row>
    <row r="30" spans="1:10" x14ac:dyDescent="0.25">
      <c r="A30" s="2" t="s">
        <v>86</v>
      </c>
      <c r="B30" s="2" t="s">
        <v>87</v>
      </c>
      <c r="C30" s="2" t="s">
        <v>88</v>
      </c>
      <c r="D30" s="2" t="s">
        <v>10040</v>
      </c>
      <c r="E30" s="15">
        <v>-4.6600000000000003E-2</v>
      </c>
      <c r="F30" s="15">
        <v>3.85E-2</v>
      </c>
      <c r="G30" s="15">
        <v>0.22559999999999999</v>
      </c>
      <c r="H30" s="15">
        <v>0.28299999999999997</v>
      </c>
      <c r="I30" s="15">
        <v>2.4199999999999999E-2</v>
      </c>
      <c r="J30" s="15">
        <v>12.91818181818182</v>
      </c>
    </row>
    <row r="31" spans="1:10" x14ac:dyDescent="0.25">
      <c r="A31" s="2" t="s">
        <v>89</v>
      </c>
      <c r="B31" s="2" t="s">
        <v>90</v>
      </c>
      <c r="C31" s="2" t="s">
        <v>91</v>
      </c>
      <c r="D31" s="2" t="s">
        <v>10040</v>
      </c>
      <c r="E31" s="15">
        <v>-3.2099999999999997E-2</v>
      </c>
      <c r="F31" s="15">
        <v>3.9100000000000003E-2</v>
      </c>
      <c r="G31" s="15">
        <v>0.41210000000000002</v>
      </c>
      <c r="H31" s="15">
        <v>0.26939999999999997</v>
      </c>
      <c r="I31" s="15">
        <v>2.3599999999999999E-2</v>
      </c>
      <c r="J31" s="15">
        <v>12.37614678899082</v>
      </c>
    </row>
    <row r="32" spans="1:10" x14ac:dyDescent="0.25">
      <c r="A32" s="2" t="s">
        <v>92</v>
      </c>
      <c r="B32" s="2" t="s">
        <v>93</v>
      </c>
      <c r="C32" s="2" t="s">
        <v>94</v>
      </c>
      <c r="D32" s="2" t="s">
        <v>10040</v>
      </c>
      <c r="E32" s="15">
        <v>-4.1000000000000003E-3</v>
      </c>
      <c r="F32" s="15">
        <v>4.5699999999999998E-2</v>
      </c>
      <c r="G32" s="15">
        <v>0.9284</v>
      </c>
      <c r="H32" s="15">
        <v>0.14280000000000001</v>
      </c>
      <c r="I32" s="15">
        <v>1.84E-2</v>
      </c>
      <c r="J32" s="15">
        <v>7.839999999999999</v>
      </c>
    </row>
    <row r="33" spans="1:10" x14ac:dyDescent="0.25">
      <c r="A33" s="2" t="s">
        <v>95</v>
      </c>
      <c r="B33" s="2" t="s">
        <v>96</v>
      </c>
      <c r="C33" s="2" t="s">
        <v>97</v>
      </c>
      <c r="D33" s="2" t="s">
        <v>10040</v>
      </c>
      <c r="E33" s="15">
        <v>6.1000000000000004E-3</v>
      </c>
      <c r="F33" s="15">
        <v>4.99E-2</v>
      </c>
      <c r="G33" s="15">
        <v>0.90200000000000002</v>
      </c>
      <c r="H33" s="15">
        <v>0.12809999999999999</v>
      </c>
      <c r="I33" s="15">
        <v>1.7100000000000001E-2</v>
      </c>
      <c r="J33" s="15">
        <v>7.6144578313253017</v>
      </c>
    </row>
    <row r="34" spans="1:10" x14ac:dyDescent="0.25">
      <c r="A34" s="2" t="s">
        <v>98</v>
      </c>
      <c r="B34" s="2" t="s">
        <v>99</v>
      </c>
      <c r="C34" s="2" t="s">
        <v>100</v>
      </c>
      <c r="D34" s="2" t="s">
        <v>10040</v>
      </c>
      <c r="E34" s="15">
        <v>6.5000000000000002E-2</v>
      </c>
      <c r="F34" s="15">
        <v>4.5900000000000003E-2</v>
      </c>
      <c r="G34" s="15">
        <v>0.15659999999999999</v>
      </c>
      <c r="H34" s="15">
        <v>0.1542</v>
      </c>
      <c r="I34" s="15">
        <v>1.8700000000000001E-2</v>
      </c>
      <c r="J34" s="15">
        <v>8.841807909604519</v>
      </c>
    </row>
    <row r="35" spans="1:10" x14ac:dyDescent="0.25">
      <c r="A35" s="2" t="s">
        <v>101</v>
      </c>
      <c r="B35" s="2" t="s">
        <v>102</v>
      </c>
      <c r="C35" s="2" t="s">
        <v>103</v>
      </c>
      <c r="D35" s="2" t="s">
        <v>10040</v>
      </c>
      <c r="E35" s="15">
        <v>4.4400000000000002E-2</v>
      </c>
      <c r="F35" s="15">
        <v>4.3099999999999999E-2</v>
      </c>
      <c r="G35" s="15">
        <v>0.30199999999999999</v>
      </c>
      <c r="H35" s="15">
        <v>0.1643</v>
      </c>
      <c r="I35" s="15">
        <v>1.8700000000000001E-2</v>
      </c>
      <c r="J35" s="15">
        <v>9.9638554216867465</v>
      </c>
    </row>
    <row r="36" spans="1:10" x14ac:dyDescent="0.25">
      <c r="A36" s="2" t="s">
        <v>104</v>
      </c>
      <c r="B36" s="2" t="s">
        <v>105</v>
      </c>
      <c r="C36" s="2" t="s">
        <v>106</v>
      </c>
      <c r="D36" s="2" t="s">
        <v>10040</v>
      </c>
      <c r="E36" s="15">
        <v>-1.9800000000000002E-2</v>
      </c>
      <c r="F36" s="15">
        <v>6.1699999999999998E-2</v>
      </c>
      <c r="G36" s="15">
        <v>0.74780000000000002</v>
      </c>
      <c r="H36" s="15">
        <v>9.3899999999999997E-2</v>
      </c>
      <c r="I36" s="15">
        <v>1.7600000000000001E-2</v>
      </c>
      <c r="J36" s="15">
        <v>6.3540372670807459</v>
      </c>
    </row>
    <row r="37" spans="1:10" x14ac:dyDescent="0.25">
      <c r="A37" s="2" t="s">
        <v>107</v>
      </c>
      <c r="B37" s="2" t="s">
        <v>108</v>
      </c>
      <c r="C37" s="2" t="s">
        <v>109</v>
      </c>
      <c r="D37" s="2" t="s">
        <v>10040</v>
      </c>
      <c r="E37" s="15">
        <v>-6.0299999999999999E-2</v>
      </c>
      <c r="F37" s="15">
        <v>9.1399999999999995E-2</v>
      </c>
      <c r="G37" s="15">
        <v>0.50890000000000002</v>
      </c>
      <c r="H37" s="15">
        <v>4.4699999999999997E-2</v>
      </c>
      <c r="I37" s="15">
        <v>1.49E-2</v>
      </c>
      <c r="J37" s="15">
        <v>3.2448979591836742</v>
      </c>
    </row>
    <row r="38" spans="1:10" x14ac:dyDescent="0.25">
      <c r="A38" s="2" t="s">
        <v>110</v>
      </c>
      <c r="B38" s="2" t="s">
        <v>111</v>
      </c>
      <c r="C38" s="2" t="s">
        <v>112</v>
      </c>
      <c r="D38" s="2" t="s">
        <v>10040</v>
      </c>
      <c r="E38" s="15">
        <v>3.5400000000000001E-2</v>
      </c>
      <c r="F38" s="15">
        <v>6.3E-2</v>
      </c>
      <c r="G38" s="15">
        <v>0.57410000000000005</v>
      </c>
      <c r="H38" s="15">
        <v>8.4900000000000003E-2</v>
      </c>
      <c r="I38" s="15">
        <v>2.4400000000000002E-2</v>
      </c>
      <c r="J38" s="15">
        <v>3.9858490566037741</v>
      </c>
    </row>
    <row r="39" spans="1:10" x14ac:dyDescent="0.25">
      <c r="A39" s="2" t="s">
        <v>113</v>
      </c>
      <c r="B39" s="2" t="s">
        <v>114</v>
      </c>
      <c r="C39" s="2" t="s">
        <v>115</v>
      </c>
      <c r="D39" s="2" t="s">
        <v>10040</v>
      </c>
      <c r="E39" s="15">
        <v>3.6200000000000003E-2</v>
      </c>
      <c r="F39" s="15">
        <v>6.2199999999999998E-2</v>
      </c>
      <c r="G39" s="15">
        <v>0.56059999999999999</v>
      </c>
      <c r="H39" s="15">
        <v>7.3999999999999996E-2</v>
      </c>
      <c r="I39" s="15">
        <v>1.5599999999999999E-2</v>
      </c>
      <c r="J39" s="15">
        <v>5.0206896551724141</v>
      </c>
    </row>
    <row r="40" spans="1:10" x14ac:dyDescent="0.25">
      <c r="A40" s="2" t="s">
        <v>116</v>
      </c>
      <c r="B40" s="2" t="s">
        <v>117</v>
      </c>
      <c r="C40" s="2" t="s">
        <v>118</v>
      </c>
      <c r="D40" s="2" t="s">
        <v>10040</v>
      </c>
      <c r="E40" s="15">
        <v>-1.55E-2</v>
      </c>
      <c r="F40" s="15">
        <v>5.2200000000000003E-2</v>
      </c>
      <c r="G40" s="15">
        <v>0.76670000000000005</v>
      </c>
      <c r="H40" s="15">
        <v>0.12959999999999999</v>
      </c>
      <c r="I40" s="15">
        <v>1.7899999999999999E-2</v>
      </c>
      <c r="J40" s="15">
        <v>8.2824858757062145</v>
      </c>
    </row>
    <row r="41" spans="1:10" x14ac:dyDescent="0.25">
      <c r="A41" s="2" t="s">
        <v>119</v>
      </c>
      <c r="B41" s="2" t="s">
        <v>120</v>
      </c>
      <c r="C41" s="2" t="s">
        <v>121</v>
      </c>
      <c r="D41" s="2" t="s">
        <v>10040</v>
      </c>
      <c r="E41" s="15">
        <v>-4.07E-2</v>
      </c>
      <c r="F41" s="15">
        <v>4.8800000000000003E-2</v>
      </c>
      <c r="G41" s="15">
        <v>0.40429999999999999</v>
      </c>
      <c r="H41" s="15">
        <v>0.13880000000000001</v>
      </c>
      <c r="I41" s="15">
        <v>1.7999999999999999E-2</v>
      </c>
      <c r="J41" s="15">
        <v>8.8406593406593394</v>
      </c>
    </row>
    <row r="42" spans="1:10" x14ac:dyDescent="0.25">
      <c r="A42" s="2" t="s">
        <v>122</v>
      </c>
      <c r="B42" s="2" t="s">
        <v>123</v>
      </c>
      <c r="C42" s="2" t="s">
        <v>124</v>
      </c>
      <c r="D42" s="2" t="s">
        <v>10040</v>
      </c>
      <c r="E42" s="15">
        <v>-3.8399999999999997E-2</v>
      </c>
      <c r="F42" s="15">
        <v>4.4699999999999997E-2</v>
      </c>
      <c r="G42" s="15">
        <v>0.39029999999999998</v>
      </c>
      <c r="H42" s="15">
        <v>0.19439999999999999</v>
      </c>
      <c r="I42" s="15">
        <v>2.1499999999999998E-2</v>
      </c>
      <c r="J42" s="15">
        <v>10.06091370558376</v>
      </c>
    </row>
    <row r="43" spans="1:10" x14ac:dyDescent="0.25">
      <c r="A43" s="2" t="s">
        <v>125</v>
      </c>
      <c r="B43" s="2" t="s">
        <v>126</v>
      </c>
      <c r="C43" s="2" t="s">
        <v>127</v>
      </c>
      <c r="D43" s="2" t="s">
        <v>10040</v>
      </c>
      <c r="E43" s="15">
        <v>-3.1899999999999998E-2</v>
      </c>
      <c r="F43" s="15">
        <v>4.8000000000000001E-2</v>
      </c>
      <c r="G43" s="15">
        <v>0.50590000000000002</v>
      </c>
      <c r="H43" s="15">
        <v>0.2021</v>
      </c>
      <c r="I43" s="15">
        <v>2.0400000000000001E-2</v>
      </c>
      <c r="J43" s="15">
        <v>10.50267379679144</v>
      </c>
    </row>
    <row r="44" spans="1:10" x14ac:dyDescent="0.25">
      <c r="A44" s="2" t="s">
        <v>128</v>
      </c>
      <c r="B44" s="2" t="s">
        <v>129</v>
      </c>
      <c r="C44" s="2" t="s">
        <v>130</v>
      </c>
      <c r="D44" s="2" t="s">
        <v>10040</v>
      </c>
      <c r="E44" s="15">
        <v>-6.0900000000000003E-2</v>
      </c>
      <c r="F44" s="15">
        <v>4.8899999999999999E-2</v>
      </c>
      <c r="G44" s="15">
        <v>0.2137</v>
      </c>
      <c r="H44" s="15">
        <v>0.14180000000000001</v>
      </c>
      <c r="I44" s="15">
        <v>2.5700000000000001E-2</v>
      </c>
      <c r="J44" s="15">
        <v>5.7957446808510644</v>
      </c>
    </row>
    <row r="45" spans="1:10" x14ac:dyDescent="0.25">
      <c r="A45" s="2" t="s">
        <v>131</v>
      </c>
      <c r="B45" s="2" t="s">
        <v>132</v>
      </c>
      <c r="C45" s="2" t="s">
        <v>133</v>
      </c>
      <c r="D45" s="2" t="s">
        <v>10040</v>
      </c>
      <c r="E45" s="15">
        <v>2.5000000000000001E-3</v>
      </c>
      <c r="F45" s="15">
        <v>5.2999999999999999E-2</v>
      </c>
      <c r="G45" s="15">
        <v>0.96260000000000001</v>
      </c>
      <c r="H45" s="15">
        <v>0.126</v>
      </c>
      <c r="I45" s="15">
        <v>1.8200000000000001E-2</v>
      </c>
      <c r="J45" s="15">
        <v>7.3212121212121213</v>
      </c>
    </row>
    <row r="46" spans="1:10" x14ac:dyDescent="0.25">
      <c r="A46" s="2" t="s">
        <v>134</v>
      </c>
      <c r="B46" s="2" t="s">
        <v>135</v>
      </c>
      <c r="C46" s="2" t="s">
        <v>136</v>
      </c>
      <c r="D46" s="2" t="s">
        <v>10040</v>
      </c>
      <c r="E46" s="15">
        <v>-5.1000000000000004E-3</v>
      </c>
      <c r="F46" s="15">
        <v>4.8399999999999999E-2</v>
      </c>
      <c r="G46" s="15">
        <v>0.91559999999999997</v>
      </c>
      <c r="H46" s="15">
        <v>0.1177</v>
      </c>
      <c r="I46" s="15">
        <v>1.6799999999999999E-2</v>
      </c>
      <c r="J46" s="15">
        <v>7.7236842105263159</v>
      </c>
    </row>
    <row r="47" spans="1:10" x14ac:dyDescent="0.25">
      <c r="A47" s="2" t="s">
        <v>137</v>
      </c>
      <c r="B47" s="2" t="s">
        <v>138</v>
      </c>
      <c r="C47" s="2" t="s">
        <v>139</v>
      </c>
      <c r="D47" s="2" t="s">
        <v>10040</v>
      </c>
      <c r="E47" s="15">
        <v>9.2999999999999992E-3</v>
      </c>
      <c r="F47" s="15">
        <v>4.65E-2</v>
      </c>
      <c r="G47" s="15">
        <v>0.84119999999999995</v>
      </c>
      <c r="H47" s="15">
        <v>0.15790000000000001</v>
      </c>
      <c r="I47" s="15">
        <v>1.8499999999999999E-2</v>
      </c>
      <c r="J47" s="15">
        <v>9.5747126436781613</v>
      </c>
    </row>
    <row r="48" spans="1:10" x14ac:dyDescent="0.25">
      <c r="A48" s="2" t="s">
        <v>140</v>
      </c>
      <c r="B48" s="2" t="s">
        <v>141</v>
      </c>
      <c r="C48" s="2" t="s">
        <v>142</v>
      </c>
      <c r="D48" s="2" t="s">
        <v>10040</v>
      </c>
      <c r="E48" s="15">
        <v>-1.06E-2</v>
      </c>
      <c r="F48" s="15">
        <v>4.9799999999999997E-2</v>
      </c>
      <c r="G48" s="15">
        <v>0.83209999999999995</v>
      </c>
      <c r="H48" s="15">
        <v>0.1229</v>
      </c>
      <c r="I48" s="15">
        <v>1.8800000000000001E-2</v>
      </c>
      <c r="J48" s="15">
        <v>7.2530120481927707</v>
      </c>
    </row>
    <row r="49" spans="1:10" x14ac:dyDescent="0.25">
      <c r="A49" s="2" t="s">
        <v>143</v>
      </c>
      <c r="B49" s="2" t="s">
        <v>144</v>
      </c>
      <c r="C49" s="2" t="s">
        <v>145</v>
      </c>
      <c r="D49" s="2" t="s">
        <v>10040</v>
      </c>
      <c r="E49" s="15">
        <v>-4.6699999999999998E-2</v>
      </c>
      <c r="F49" s="15">
        <v>5.04E-2</v>
      </c>
      <c r="G49" s="15">
        <v>0.35360000000000003</v>
      </c>
      <c r="H49" s="15">
        <v>0.1434</v>
      </c>
      <c r="I49" s="15">
        <v>2.5999999999999999E-2</v>
      </c>
      <c r="J49" s="15">
        <v>6.4780701754385959</v>
      </c>
    </row>
    <row r="50" spans="1:10" x14ac:dyDescent="0.25">
      <c r="A50" s="2" t="s">
        <v>146</v>
      </c>
      <c r="B50" s="2" t="s">
        <v>147</v>
      </c>
      <c r="C50" s="2" t="s">
        <v>148</v>
      </c>
      <c r="D50" s="2" t="s">
        <v>10040</v>
      </c>
      <c r="E50" s="15">
        <v>1.29E-2</v>
      </c>
      <c r="F50" s="15">
        <v>4.3499999999999997E-2</v>
      </c>
      <c r="G50" s="15">
        <v>0.76659999999999995</v>
      </c>
      <c r="H50" s="15">
        <v>0.16020000000000001</v>
      </c>
      <c r="I50" s="15">
        <v>2.18E-2</v>
      </c>
      <c r="J50" s="15">
        <v>8.5638297872340416</v>
      </c>
    </row>
    <row r="51" spans="1:10" x14ac:dyDescent="0.25">
      <c r="A51" s="2" t="s">
        <v>149</v>
      </c>
      <c r="B51" s="2" t="s">
        <v>150</v>
      </c>
      <c r="C51" s="2" t="s">
        <v>151</v>
      </c>
      <c r="D51" s="2" t="s">
        <v>10040</v>
      </c>
      <c r="E51" s="15">
        <v>-1.9900000000000001E-2</v>
      </c>
      <c r="F51" s="15">
        <v>4.5100000000000001E-2</v>
      </c>
      <c r="G51" s="15">
        <v>0.65980000000000005</v>
      </c>
      <c r="H51" s="15">
        <v>0.15079999999999999</v>
      </c>
      <c r="I51" s="15">
        <v>2.12E-2</v>
      </c>
      <c r="J51" s="15">
        <v>7.8391959798994968</v>
      </c>
    </row>
    <row r="52" spans="1:10" x14ac:dyDescent="0.25">
      <c r="A52" s="2" t="s">
        <v>152</v>
      </c>
      <c r="B52" s="2" t="s">
        <v>153</v>
      </c>
      <c r="C52" s="2" t="s">
        <v>154</v>
      </c>
      <c r="D52" s="2" t="s">
        <v>10040</v>
      </c>
      <c r="E52" s="15">
        <v>-7.2300000000000003E-2</v>
      </c>
      <c r="F52" s="15">
        <v>5.9900000000000002E-2</v>
      </c>
      <c r="G52" s="15">
        <v>0.22770000000000001</v>
      </c>
      <c r="H52" s="15">
        <v>9.1600000000000001E-2</v>
      </c>
      <c r="I52" s="15">
        <v>1.83E-2</v>
      </c>
      <c r="J52" s="15">
        <v>5</v>
      </c>
    </row>
    <row r="53" spans="1:10" x14ac:dyDescent="0.25">
      <c r="A53" s="2" t="s">
        <v>155</v>
      </c>
      <c r="B53" s="2" t="s">
        <v>156</v>
      </c>
      <c r="C53" s="2" t="s">
        <v>157</v>
      </c>
      <c r="D53" s="2" t="s">
        <v>10040</v>
      </c>
      <c r="E53" s="15">
        <v>-4.3099999999999999E-2</v>
      </c>
      <c r="F53" s="15">
        <v>5.5899999999999998E-2</v>
      </c>
      <c r="G53" s="15">
        <v>0.441</v>
      </c>
      <c r="H53" s="15">
        <v>0.1061</v>
      </c>
      <c r="I53" s="15">
        <v>1.6400000000000001E-2</v>
      </c>
      <c r="J53" s="15">
        <v>6.7763975155279503</v>
      </c>
    </row>
    <row r="54" spans="1:10" x14ac:dyDescent="0.25">
      <c r="A54" s="2" t="s">
        <v>158</v>
      </c>
      <c r="B54" s="2" t="s">
        <v>159</v>
      </c>
      <c r="C54" s="2" t="s">
        <v>160</v>
      </c>
      <c r="D54" s="2" t="s">
        <v>10040</v>
      </c>
      <c r="E54" s="15">
        <v>1.4200000000000001E-2</v>
      </c>
      <c r="F54" s="15">
        <v>4.87E-2</v>
      </c>
      <c r="G54" s="15">
        <v>0.76959999999999995</v>
      </c>
      <c r="H54" s="15">
        <v>0.1414</v>
      </c>
      <c r="I54" s="15">
        <v>1.9099999999999999E-2</v>
      </c>
      <c r="J54" s="15">
        <v>8.6627906976744189</v>
      </c>
    </row>
    <row r="55" spans="1:10" x14ac:dyDescent="0.25">
      <c r="A55" s="2" t="s">
        <v>161</v>
      </c>
      <c r="B55" s="2" t="s">
        <v>162</v>
      </c>
      <c r="C55" s="2" t="s">
        <v>163</v>
      </c>
      <c r="D55" s="2" t="s">
        <v>10040</v>
      </c>
      <c r="E55" s="15">
        <v>4.2000000000000003E-2</v>
      </c>
      <c r="F55" s="15">
        <v>4.8599999999999997E-2</v>
      </c>
      <c r="G55" s="15">
        <v>0.38729999999999998</v>
      </c>
      <c r="H55" s="15">
        <v>0.15140000000000001</v>
      </c>
      <c r="I55" s="15">
        <v>1.9E-2</v>
      </c>
      <c r="J55" s="15">
        <v>8.7267441860465116</v>
      </c>
    </row>
    <row r="56" spans="1:10" x14ac:dyDescent="0.25">
      <c r="A56" s="2" t="s">
        <v>164</v>
      </c>
      <c r="B56" s="2" t="s">
        <v>165</v>
      </c>
      <c r="C56" s="2" t="s">
        <v>166</v>
      </c>
      <c r="D56" s="2" t="s">
        <v>10040</v>
      </c>
      <c r="E56" s="15">
        <v>6.4899999999999999E-2</v>
      </c>
      <c r="F56" s="15">
        <v>5.2600000000000001E-2</v>
      </c>
      <c r="G56" s="15">
        <v>0.21740000000000001</v>
      </c>
      <c r="H56" s="15">
        <v>0.1341</v>
      </c>
      <c r="I56" s="15">
        <v>2.3800000000000002E-2</v>
      </c>
      <c r="J56" s="15">
        <v>6.8457711442786069</v>
      </c>
    </row>
    <row r="57" spans="1:10" x14ac:dyDescent="0.25">
      <c r="A57" s="2" t="s">
        <v>167</v>
      </c>
      <c r="B57" s="2" t="s">
        <v>168</v>
      </c>
      <c r="C57" s="2" t="s">
        <v>169</v>
      </c>
      <c r="D57" s="2" t="s">
        <v>10040</v>
      </c>
      <c r="E57" s="15">
        <v>-2.2800000000000001E-2</v>
      </c>
      <c r="F57" s="15">
        <v>5.3400000000000003E-2</v>
      </c>
      <c r="G57" s="15">
        <v>0.66969999999999996</v>
      </c>
      <c r="H57" s="15">
        <v>0.16500000000000001</v>
      </c>
      <c r="I57" s="15">
        <v>1.7899999999999999E-2</v>
      </c>
      <c r="J57" s="15">
        <v>9.6946107784431135</v>
      </c>
    </row>
    <row r="58" spans="1:10" x14ac:dyDescent="0.25">
      <c r="A58" s="2" t="s">
        <v>170</v>
      </c>
      <c r="B58" s="2" t="s">
        <v>171</v>
      </c>
      <c r="C58" s="2" t="s">
        <v>172</v>
      </c>
      <c r="D58" s="2" t="s">
        <v>10040</v>
      </c>
      <c r="E58" s="15">
        <v>-2.3400000000000001E-2</v>
      </c>
      <c r="F58" s="15">
        <v>5.2299999999999999E-2</v>
      </c>
      <c r="G58" s="15">
        <v>0.65449999999999997</v>
      </c>
      <c r="H58" s="15">
        <v>0.152</v>
      </c>
      <c r="I58" s="15">
        <v>2.01E-2</v>
      </c>
      <c r="J58" s="15">
        <v>8.7802197802197792</v>
      </c>
    </row>
    <row r="59" spans="1:10" x14ac:dyDescent="0.25">
      <c r="A59" s="2" t="s">
        <v>173</v>
      </c>
      <c r="B59" s="2" t="s">
        <v>174</v>
      </c>
      <c r="C59" s="2" t="s">
        <v>175</v>
      </c>
      <c r="D59" s="2" t="s">
        <v>10040</v>
      </c>
      <c r="E59" s="15">
        <v>-3.2000000000000001E-2</v>
      </c>
      <c r="F59" s="15">
        <v>5.0799999999999998E-2</v>
      </c>
      <c r="G59" s="15">
        <v>0.52869999999999995</v>
      </c>
      <c r="H59" s="15">
        <v>0.15340000000000001</v>
      </c>
      <c r="I59" s="15">
        <v>2.0199999999999999E-2</v>
      </c>
      <c r="J59" s="15">
        <v>8.882022471910112</v>
      </c>
    </row>
    <row r="60" spans="1:10" x14ac:dyDescent="0.25">
      <c r="A60" s="2" t="s">
        <v>176</v>
      </c>
      <c r="B60" s="2" t="s">
        <v>177</v>
      </c>
      <c r="C60" s="2" t="s">
        <v>178</v>
      </c>
      <c r="D60" s="2" t="s">
        <v>10040</v>
      </c>
      <c r="E60" s="15">
        <v>-3.5299999999999998E-2</v>
      </c>
      <c r="F60" s="15">
        <v>5.8700000000000002E-2</v>
      </c>
      <c r="G60" s="15">
        <v>0.54820000000000002</v>
      </c>
      <c r="H60" s="15">
        <v>0.12839999999999999</v>
      </c>
      <c r="I60" s="15">
        <v>1.6500000000000001E-2</v>
      </c>
      <c r="J60" s="15">
        <v>8.1111111111111107</v>
      </c>
    </row>
    <row r="61" spans="1:10" x14ac:dyDescent="0.25">
      <c r="A61" s="2" t="s">
        <v>179</v>
      </c>
      <c r="B61" s="2" t="s">
        <v>180</v>
      </c>
      <c r="C61" s="2" t="s">
        <v>181</v>
      </c>
      <c r="D61" s="2" t="s">
        <v>10040</v>
      </c>
      <c r="E61" s="15">
        <v>-9.6000000000000002E-2</v>
      </c>
      <c r="F61" s="15">
        <v>5.5E-2</v>
      </c>
      <c r="G61" s="15">
        <v>8.0799999999999997E-2</v>
      </c>
      <c r="H61" s="15">
        <v>0.12</v>
      </c>
      <c r="I61" s="15">
        <v>1.8599999999999998E-2</v>
      </c>
      <c r="J61" s="15">
        <v>7.5254237288135597</v>
      </c>
    </row>
    <row r="62" spans="1:10" x14ac:dyDescent="0.25">
      <c r="A62" s="2" t="s">
        <v>182</v>
      </c>
      <c r="B62" s="2" t="s">
        <v>183</v>
      </c>
      <c r="C62" s="2" t="s">
        <v>184</v>
      </c>
      <c r="D62" s="2" t="s">
        <v>10040</v>
      </c>
      <c r="E62" s="15">
        <v>-0.14960000000000001</v>
      </c>
      <c r="F62" s="15">
        <v>7.0800000000000002E-2</v>
      </c>
      <c r="G62" s="15">
        <v>3.4500000000000003E-2</v>
      </c>
      <c r="H62" s="15">
        <v>6.9900000000000004E-2</v>
      </c>
      <c r="I62" s="15">
        <v>1.46E-2</v>
      </c>
      <c r="J62" s="15">
        <v>5.528169014084507</v>
      </c>
    </row>
    <row r="63" spans="1:10" x14ac:dyDescent="0.25">
      <c r="A63" s="2" t="s">
        <v>185</v>
      </c>
      <c r="B63" s="2" t="s">
        <v>186</v>
      </c>
      <c r="C63" s="2" t="s">
        <v>187</v>
      </c>
      <c r="D63" s="2" t="s">
        <v>10040</v>
      </c>
      <c r="E63" s="15">
        <v>-0.1171</v>
      </c>
      <c r="F63" s="15">
        <v>8.0100000000000005E-2</v>
      </c>
      <c r="G63" s="15">
        <v>0.14380000000000001</v>
      </c>
      <c r="H63" s="15">
        <v>5.1999999999999998E-2</v>
      </c>
      <c r="I63" s="15">
        <v>1.5299999999999999E-2</v>
      </c>
      <c r="J63" s="15">
        <v>4.0139860139860142</v>
      </c>
    </row>
    <row r="64" spans="1:10" x14ac:dyDescent="0.25">
      <c r="A64" s="2" t="s">
        <v>188</v>
      </c>
      <c r="B64" s="2" t="s">
        <v>189</v>
      </c>
      <c r="C64" s="2" t="s">
        <v>190</v>
      </c>
      <c r="D64" s="2" t="s">
        <v>10040</v>
      </c>
      <c r="E64" s="15">
        <v>-6.0999999999999999E-2</v>
      </c>
      <c r="F64" s="15">
        <v>6.0400000000000002E-2</v>
      </c>
      <c r="G64" s="15">
        <v>0.31230000000000002</v>
      </c>
      <c r="H64" s="15">
        <v>8.6900000000000005E-2</v>
      </c>
      <c r="I64" s="15">
        <v>1.8800000000000001E-2</v>
      </c>
      <c r="J64" s="15">
        <v>5.1882352941176464</v>
      </c>
    </row>
    <row r="65" spans="1:10" x14ac:dyDescent="0.25">
      <c r="A65" s="2" t="s">
        <v>191</v>
      </c>
      <c r="B65" s="2" t="s">
        <v>192</v>
      </c>
      <c r="C65" s="2" t="s">
        <v>193</v>
      </c>
      <c r="D65" s="2" t="s">
        <v>10040</v>
      </c>
      <c r="E65" s="15">
        <v>-0.1139</v>
      </c>
      <c r="F65" s="15">
        <v>6.0600000000000001E-2</v>
      </c>
      <c r="G65" s="15">
        <v>0.06</v>
      </c>
      <c r="H65" s="15">
        <v>9.1899999999999996E-2</v>
      </c>
      <c r="I65" s="15">
        <v>1.78E-2</v>
      </c>
      <c r="J65" s="15">
        <v>5.7108433734939759</v>
      </c>
    </row>
    <row r="66" spans="1:10" x14ac:dyDescent="0.25">
      <c r="A66" s="2" t="s">
        <v>194</v>
      </c>
      <c r="B66" s="2" t="s">
        <v>195</v>
      </c>
      <c r="C66" s="2" t="s">
        <v>196</v>
      </c>
      <c r="D66" s="2" t="s">
        <v>10040</v>
      </c>
      <c r="E66" s="15">
        <v>-9.4500000000000001E-2</v>
      </c>
      <c r="F66" s="15">
        <v>6.2E-2</v>
      </c>
      <c r="G66" s="15">
        <v>0.12740000000000001</v>
      </c>
      <c r="H66" s="15">
        <v>8.5800000000000001E-2</v>
      </c>
      <c r="I66" s="15">
        <v>1.61E-2</v>
      </c>
      <c r="J66" s="15">
        <v>6.2866666666666662</v>
      </c>
    </row>
    <row r="67" spans="1:10" x14ac:dyDescent="0.25">
      <c r="A67" s="2" t="s">
        <v>197</v>
      </c>
      <c r="B67" s="2" t="s">
        <v>198</v>
      </c>
      <c r="C67" s="2" t="s">
        <v>199</v>
      </c>
      <c r="D67" s="2" t="s">
        <v>10040</v>
      </c>
      <c r="E67" s="15">
        <v>-0.1714</v>
      </c>
      <c r="F67" s="15">
        <v>7.8899999999999998E-2</v>
      </c>
      <c r="G67" s="15">
        <v>2.9899999999999999E-2</v>
      </c>
      <c r="H67" s="15">
        <v>5.8700000000000002E-2</v>
      </c>
      <c r="I67" s="15">
        <v>1.6299999999999999E-2</v>
      </c>
      <c r="J67" s="15">
        <v>4.1333333333333337</v>
      </c>
    </row>
    <row r="68" spans="1:10" x14ac:dyDescent="0.25">
      <c r="A68" s="2" t="s">
        <v>200</v>
      </c>
      <c r="B68" s="2" t="s">
        <v>201</v>
      </c>
      <c r="C68" s="2" t="s">
        <v>202</v>
      </c>
      <c r="D68" s="2" t="s">
        <v>10040</v>
      </c>
      <c r="E68" s="15">
        <v>-0.1201</v>
      </c>
      <c r="F68" s="15">
        <v>5.1700000000000003E-2</v>
      </c>
      <c r="G68" s="15">
        <v>2.01E-2</v>
      </c>
      <c r="H68" s="15">
        <v>0.1268</v>
      </c>
      <c r="I68" s="15">
        <v>1.9300000000000001E-2</v>
      </c>
      <c r="J68" s="15">
        <v>7.411428571428571</v>
      </c>
    </row>
    <row r="69" spans="1:10" x14ac:dyDescent="0.25">
      <c r="A69" s="2" t="s">
        <v>203</v>
      </c>
      <c r="B69" s="2" t="s">
        <v>204</v>
      </c>
      <c r="C69" s="2" t="s">
        <v>205</v>
      </c>
      <c r="D69" s="2" t="s">
        <v>10040</v>
      </c>
      <c r="E69" s="15">
        <v>-4.2500000000000003E-2</v>
      </c>
      <c r="F69" s="15">
        <v>5.6099999999999997E-2</v>
      </c>
      <c r="G69" s="15">
        <v>0.44879999999999998</v>
      </c>
      <c r="H69" s="15">
        <v>0.1014</v>
      </c>
      <c r="I69" s="15">
        <v>1.7399999999999999E-2</v>
      </c>
      <c r="J69" s="15">
        <v>6.698113207547169</v>
      </c>
    </row>
    <row r="70" spans="1:10" x14ac:dyDescent="0.25">
      <c r="A70" s="2" t="s">
        <v>206</v>
      </c>
      <c r="B70" s="2" t="s">
        <v>207</v>
      </c>
      <c r="C70" s="2" t="s">
        <v>208</v>
      </c>
      <c r="D70" s="2" t="s">
        <v>10040</v>
      </c>
      <c r="E70" s="15">
        <v>-4.4400000000000002E-2</v>
      </c>
      <c r="F70" s="15">
        <v>5.2400000000000002E-2</v>
      </c>
      <c r="G70" s="15">
        <v>0.39700000000000002</v>
      </c>
      <c r="H70" s="15">
        <v>0.128</v>
      </c>
      <c r="I70" s="15">
        <v>1.83E-2</v>
      </c>
      <c r="J70" s="15">
        <v>7.4058823529411768</v>
      </c>
    </row>
    <row r="71" spans="1:10" x14ac:dyDescent="0.25">
      <c r="A71" s="2" t="s">
        <v>209</v>
      </c>
      <c r="B71" s="2" t="s">
        <v>210</v>
      </c>
      <c r="C71" s="2" t="s">
        <v>211</v>
      </c>
      <c r="D71" s="2" t="s">
        <v>10040</v>
      </c>
      <c r="E71" s="15">
        <v>-1.8599999999999998E-2</v>
      </c>
      <c r="F71" s="15">
        <v>6.2799999999999995E-2</v>
      </c>
      <c r="G71" s="15">
        <v>0.76690000000000003</v>
      </c>
      <c r="H71" s="15">
        <v>0.11070000000000001</v>
      </c>
      <c r="I71" s="15">
        <v>1.7299999999999999E-2</v>
      </c>
      <c r="J71" s="15">
        <v>6.670807453416149</v>
      </c>
    </row>
    <row r="72" spans="1:10" x14ac:dyDescent="0.25">
      <c r="A72" s="2" t="s">
        <v>212</v>
      </c>
      <c r="B72" s="2" t="s">
        <v>213</v>
      </c>
      <c r="C72" s="2" t="s">
        <v>214</v>
      </c>
      <c r="D72" s="2" t="s">
        <v>10040</v>
      </c>
      <c r="E72" s="15">
        <v>-3.7199999999999997E-2</v>
      </c>
      <c r="F72" s="15">
        <v>5.6099999999999997E-2</v>
      </c>
      <c r="G72" s="15">
        <v>0.50800000000000001</v>
      </c>
      <c r="H72" s="15">
        <v>0.13769999999999999</v>
      </c>
      <c r="I72" s="15">
        <v>2.0400000000000001E-2</v>
      </c>
      <c r="J72" s="15">
        <v>7.5136612021857916</v>
      </c>
    </row>
    <row r="73" spans="1:10" x14ac:dyDescent="0.25">
      <c r="A73" s="2" t="s">
        <v>215</v>
      </c>
      <c r="B73" s="2" t="s">
        <v>216</v>
      </c>
      <c r="C73" s="2" t="s">
        <v>217</v>
      </c>
      <c r="D73" s="2" t="s">
        <v>10040</v>
      </c>
      <c r="E73" s="15">
        <v>4.7699999999999999E-2</v>
      </c>
      <c r="F73" s="15">
        <v>6.2600000000000003E-2</v>
      </c>
      <c r="G73" s="15">
        <v>0.44629999999999997</v>
      </c>
      <c r="H73" s="15">
        <v>0.1024</v>
      </c>
      <c r="I73" s="15">
        <v>1.9800000000000002E-2</v>
      </c>
      <c r="J73" s="15">
        <v>5.6594594594594598</v>
      </c>
    </row>
    <row r="74" spans="1:10" x14ac:dyDescent="0.25">
      <c r="A74" s="2" t="s">
        <v>218</v>
      </c>
      <c r="B74" s="2" t="s">
        <v>219</v>
      </c>
      <c r="C74" s="2" t="s">
        <v>220</v>
      </c>
      <c r="D74" s="2" t="s">
        <v>10040</v>
      </c>
      <c r="E74" s="15">
        <v>5.2299999999999999E-2</v>
      </c>
      <c r="F74" s="15">
        <v>3.5200000000000002E-2</v>
      </c>
      <c r="G74" s="15">
        <v>0.13780000000000001</v>
      </c>
      <c r="H74" s="15">
        <v>0.30840000000000001</v>
      </c>
      <c r="I74" s="15">
        <v>0.03</v>
      </c>
      <c r="J74" s="15">
        <v>11.73946360153257</v>
      </c>
    </row>
    <row r="75" spans="1:10" x14ac:dyDescent="0.25">
      <c r="A75" s="2" t="s">
        <v>221</v>
      </c>
      <c r="B75" s="2" t="s">
        <v>222</v>
      </c>
      <c r="C75" s="2" t="s">
        <v>223</v>
      </c>
      <c r="D75" s="2" t="s">
        <v>10040</v>
      </c>
      <c r="E75" s="15">
        <v>5.5300000000000002E-2</v>
      </c>
      <c r="F75" s="15">
        <v>3.4099999999999998E-2</v>
      </c>
      <c r="G75" s="15">
        <v>0.10440000000000001</v>
      </c>
      <c r="H75" s="15">
        <v>0.32579999999999998</v>
      </c>
      <c r="I75" s="15">
        <v>3.2399999999999998E-2</v>
      </c>
      <c r="J75" s="15">
        <v>11.447653429602889</v>
      </c>
    </row>
    <row r="76" spans="1:10" x14ac:dyDescent="0.25">
      <c r="A76" s="2" t="s">
        <v>224</v>
      </c>
      <c r="B76" s="2" t="s">
        <v>225</v>
      </c>
      <c r="C76" s="2" t="s">
        <v>226</v>
      </c>
      <c r="D76" s="2" t="s">
        <v>10040</v>
      </c>
      <c r="E76" s="15">
        <v>3.09E-2</v>
      </c>
      <c r="F76" s="15">
        <v>5.8099999999999999E-2</v>
      </c>
      <c r="G76" s="15">
        <v>0.59550000000000003</v>
      </c>
      <c r="H76" s="15">
        <v>9.9199999999999997E-2</v>
      </c>
      <c r="I76" s="15">
        <v>1.5599999999999999E-2</v>
      </c>
      <c r="J76" s="15">
        <v>6.8965517241379306</v>
      </c>
    </row>
    <row r="77" spans="1:10" x14ac:dyDescent="0.25">
      <c r="A77" s="2" t="s">
        <v>227</v>
      </c>
      <c r="B77" s="2" t="s">
        <v>228</v>
      </c>
      <c r="C77" s="2" t="s">
        <v>229</v>
      </c>
      <c r="D77" s="2" t="s">
        <v>10040</v>
      </c>
      <c r="E77" s="15">
        <v>9.98E-2</v>
      </c>
      <c r="F77" s="15">
        <v>7.0199999999999999E-2</v>
      </c>
      <c r="G77" s="15">
        <v>0.15529999999999999</v>
      </c>
      <c r="H77" s="15">
        <v>8.3199999999999996E-2</v>
      </c>
      <c r="I77" s="15">
        <v>1.4999999999999999E-2</v>
      </c>
      <c r="J77" s="15">
        <v>5.7957746478873231</v>
      </c>
    </row>
    <row r="78" spans="1:10" x14ac:dyDescent="0.25">
      <c r="A78" s="2" t="s">
        <v>230</v>
      </c>
      <c r="B78" s="2" t="s">
        <v>231</v>
      </c>
      <c r="C78" s="2" t="s">
        <v>232</v>
      </c>
      <c r="D78" s="2" t="s">
        <v>10040</v>
      </c>
      <c r="E78" s="15">
        <v>5.4100000000000002E-2</v>
      </c>
      <c r="F78" s="15">
        <v>6.6600000000000006E-2</v>
      </c>
      <c r="G78" s="15">
        <v>0.4163</v>
      </c>
      <c r="H78" s="15">
        <v>7.8899999999999998E-2</v>
      </c>
      <c r="I78" s="15">
        <v>1.6799999999999999E-2</v>
      </c>
      <c r="J78" s="15">
        <v>4.903225806451613</v>
      </c>
    </row>
    <row r="79" spans="1:10" x14ac:dyDescent="0.25">
      <c r="A79" s="2" t="s">
        <v>233</v>
      </c>
      <c r="B79" s="2" t="s">
        <v>234</v>
      </c>
      <c r="C79" s="2" t="s">
        <v>235</v>
      </c>
      <c r="D79" s="2" t="s">
        <v>10040</v>
      </c>
      <c r="E79" s="15">
        <v>8.6900000000000005E-2</v>
      </c>
      <c r="F79" s="15">
        <v>7.9299999999999995E-2</v>
      </c>
      <c r="G79" s="15">
        <v>0.27289999999999998</v>
      </c>
      <c r="H79" s="15">
        <v>6.5799999999999997E-2</v>
      </c>
      <c r="I79" s="15">
        <v>1.6E-2</v>
      </c>
      <c r="J79" s="15">
        <v>4.5789473684210522</v>
      </c>
    </row>
    <row r="80" spans="1:10" x14ac:dyDescent="0.25">
      <c r="A80" s="2" t="s">
        <v>236</v>
      </c>
      <c r="B80" s="2" t="s">
        <v>237</v>
      </c>
      <c r="C80" s="2" t="s">
        <v>238</v>
      </c>
      <c r="D80" s="2" t="s">
        <v>10040</v>
      </c>
      <c r="E80" s="15">
        <v>-2.1499999999999998E-2</v>
      </c>
      <c r="F80" s="15">
        <v>3.7999999999999999E-2</v>
      </c>
      <c r="G80" s="15">
        <v>0.57179999999999997</v>
      </c>
      <c r="H80" s="15">
        <v>0.29349999999999998</v>
      </c>
      <c r="I80" s="15">
        <v>2.8500000000000001E-2</v>
      </c>
      <c r="J80" s="15">
        <v>11.883333333333329</v>
      </c>
    </row>
    <row r="81" spans="1:10" x14ac:dyDescent="0.25">
      <c r="A81" s="2" t="s">
        <v>239</v>
      </c>
      <c r="B81" s="2" t="s">
        <v>240</v>
      </c>
      <c r="C81" s="2" t="s">
        <v>241</v>
      </c>
      <c r="D81" s="2" t="s">
        <v>10040</v>
      </c>
      <c r="E81" s="15">
        <v>-1.2E-2</v>
      </c>
      <c r="F81" s="15">
        <v>3.6799999999999999E-2</v>
      </c>
      <c r="G81" s="15">
        <v>0.74390000000000001</v>
      </c>
      <c r="H81" s="15">
        <v>0.28349999999999997</v>
      </c>
      <c r="I81" s="15">
        <v>2.7699999999999999E-2</v>
      </c>
      <c r="J81" s="15">
        <v>11.7991452991453</v>
      </c>
    </row>
    <row r="82" spans="1:10" x14ac:dyDescent="0.25">
      <c r="A82" s="2" t="s">
        <v>242</v>
      </c>
      <c r="B82" s="2" t="s">
        <v>243</v>
      </c>
      <c r="C82" s="2" t="s">
        <v>244</v>
      </c>
      <c r="D82" s="2" t="s">
        <v>10040</v>
      </c>
      <c r="E82" s="15">
        <v>-2.6700000000000002E-2</v>
      </c>
      <c r="F82" s="15">
        <v>4.3799999999999999E-2</v>
      </c>
      <c r="G82" s="15">
        <v>0.54179999999999995</v>
      </c>
      <c r="H82" s="15">
        <v>0.16719999999999999</v>
      </c>
      <c r="I82" s="15">
        <v>1.9300000000000001E-2</v>
      </c>
      <c r="J82" s="15">
        <v>9.5428571428571427</v>
      </c>
    </row>
    <row r="83" spans="1:10" x14ac:dyDescent="0.25">
      <c r="A83" s="2" t="s">
        <v>245</v>
      </c>
      <c r="B83" s="2" t="s">
        <v>246</v>
      </c>
      <c r="C83" s="2" t="s">
        <v>247</v>
      </c>
      <c r="D83" s="2" t="s">
        <v>10040</v>
      </c>
      <c r="E83" s="15">
        <v>-6.6199999999999995E-2</v>
      </c>
      <c r="F83" s="15">
        <v>4.3299999999999998E-2</v>
      </c>
      <c r="G83" s="15">
        <v>0.1265</v>
      </c>
      <c r="H83" s="15">
        <v>0.14849999999999999</v>
      </c>
      <c r="I83" s="15">
        <v>1.8200000000000001E-2</v>
      </c>
      <c r="J83" s="15">
        <v>9.0552147239263814</v>
      </c>
    </row>
    <row r="84" spans="1:10" x14ac:dyDescent="0.25">
      <c r="A84" s="2" t="s">
        <v>248</v>
      </c>
      <c r="B84" s="2" t="s">
        <v>249</v>
      </c>
      <c r="C84" s="2" t="s">
        <v>250</v>
      </c>
      <c r="D84" s="2" t="s">
        <v>10040</v>
      </c>
      <c r="E84" s="15">
        <v>-8.0000000000000002E-3</v>
      </c>
      <c r="F84" s="15">
        <v>5.7000000000000002E-2</v>
      </c>
      <c r="G84" s="15">
        <v>0.88880000000000003</v>
      </c>
      <c r="H84" s="15">
        <v>0.13819999999999999</v>
      </c>
      <c r="I84" s="15">
        <v>1.9300000000000001E-2</v>
      </c>
      <c r="J84" s="15">
        <v>8.6514285714285712</v>
      </c>
    </row>
    <row r="85" spans="1:10" x14ac:dyDescent="0.25">
      <c r="A85" s="2" t="s">
        <v>251</v>
      </c>
      <c r="B85" s="2" t="s">
        <v>252</v>
      </c>
      <c r="C85" s="2" t="s">
        <v>253</v>
      </c>
      <c r="D85" s="2" t="s">
        <v>10040</v>
      </c>
      <c r="E85" s="15">
        <v>2.7400000000000001E-2</v>
      </c>
      <c r="F85" s="15">
        <v>5.5899999999999998E-2</v>
      </c>
      <c r="G85" s="15">
        <v>0.62460000000000004</v>
      </c>
      <c r="H85" s="15">
        <v>0.14349999999999999</v>
      </c>
      <c r="I85" s="15">
        <v>2.3400000000000001E-2</v>
      </c>
      <c r="J85" s="15">
        <v>6.9170731707317072</v>
      </c>
    </row>
    <row r="86" spans="1:10" x14ac:dyDescent="0.25">
      <c r="A86" s="2" t="s">
        <v>254</v>
      </c>
      <c r="B86" s="2" t="s">
        <v>255</v>
      </c>
      <c r="C86" s="2" t="s">
        <v>256</v>
      </c>
      <c r="D86" s="2" t="s">
        <v>10040</v>
      </c>
      <c r="E86" s="15">
        <v>-6.8500000000000005E-2</v>
      </c>
      <c r="F86" s="15">
        <v>5.1499999999999997E-2</v>
      </c>
      <c r="G86" s="15">
        <v>0.18390000000000001</v>
      </c>
      <c r="H86" s="15">
        <v>0.1623</v>
      </c>
      <c r="I86" s="15">
        <v>1.7899999999999999E-2</v>
      </c>
      <c r="J86" s="15">
        <v>9.6763005780346827</v>
      </c>
    </row>
    <row r="87" spans="1:10" x14ac:dyDescent="0.25">
      <c r="A87" s="2" t="s">
        <v>257</v>
      </c>
      <c r="B87" s="2" t="s">
        <v>258</v>
      </c>
      <c r="C87" s="2" t="s">
        <v>259</v>
      </c>
      <c r="D87" s="2" t="s">
        <v>10040</v>
      </c>
      <c r="E87" s="15">
        <v>-8.5000000000000006E-3</v>
      </c>
      <c r="F87" s="15">
        <v>5.6500000000000002E-2</v>
      </c>
      <c r="G87" s="15">
        <v>0.87960000000000005</v>
      </c>
      <c r="H87" s="15">
        <v>0.13639999999999999</v>
      </c>
      <c r="I87" s="15">
        <v>1.9300000000000001E-2</v>
      </c>
      <c r="J87" s="15">
        <v>7.8633879781420761</v>
      </c>
    </row>
    <row r="88" spans="1:10" x14ac:dyDescent="0.25">
      <c r="A88" s="2" t="s">
        <v>260</v>
      </c>
      <c r="B88" s="2" t="s">
        <v>261</v>
      </c>
      <c r="C88" s="2" t="s">
        <v>262</v>
      </c>
      <c r="D88" s="2" t="s">
        <v>10040</v>
      </c>
      <c r="E88" s="15">
        <v>-6.4100000000000004E-2</v>
      </c>
      <c r="F88" s="15">
        <v>4.2700000000000002E-2</v>
      </c>
      <c r="G88" s="15">
        <v>0.13289999999999999</v>
      </c>
      <c r="H88" s="15">
        <v>0.19489999999999999</v>
      </c>
      <c r="I88" s="15">
        <v>2.3800000000000002E-2</v>
      </c>
      <c r="J88" s="15">
        <v>9.4093023255813968</v>
      </c>
    </row>
    <row r="89" spans="1:10" x14ac:dyDescent="0.25">
      <c r="A89" s="2" t="s">
        <v>263</v>
      </c>
      <c r="B89" s="2" t="s">
        <v>264</v>
      </c>
      <c r="C89" s="2" t="s">
        <v>265</v>
      </c>
      <c r="D89" s="2" t="s">
        <v>10040</v>
      </c>
      <c r="E89" s="15">
        <v>-2.07E-2</v>
      </c>
      <c r="F89" s="15">
        <v>4.3700000000000003E-2</v>
      </c>
      <c r="G89" s="15">
        <v>0.63560000000000005</v>
      </c>
      <c r="H89" s="15">
        <v>0.20050000000000001</v>
      </c>
      <c r="I89" s="15">
        <v>2.4E-2</v>
      </c>
      <c r="J89" s="15">
        <v>8.9868421052631575</v>
      </c>
    </row>
    <row r="90" spans="1:10" x14ac:dyDescent="0.25">
      <c r="A90" s="2" t="s">
        <v>266</v>
      </c>
      <c r="B90" s="2" t="s">
        <v>267</v>
      </c>
      <c r="C90" s="2" t="s">
        <v>268</v>
      </c>
      <c r="D90" s="2" t="s">
        <v>10040</v>
      </c>
      <c r="E90" s="15">
        <v>6.6199999999999995E-2</v>
      </c>
      <c r="F90" s="15">
        <v>4.8899999999999999E-2</v>
      </c>
      <c r="G90" s="15">
        <v>0.17630000000000001</v>
      </c>
      <c r="H90" s="15">
        <v>0.152</v>
      </c>
      <c r="I90" s="15">
        <v>1.7600000000000001E-2</v>
      </c>
      <c r="J90" s="15">
        <v>10.057324840764331</v>
      </c>
    </row>
    <row r="91" spans="1:10" x14ac:dyDescent="0.25">
      <c r="A91" s="2" t="s">
        <v>269</v>
      </c>
      <c r="B91" s="2" t="s">
        <v>270</v>
      </c>
      <c r="C91" s="2" t="s">
        <v>271</v>
      </c>
      <c r="D91" s="2" t="s">
        <v>10040</v>
      </c>
      <c r="E91" s="15">
        <v>1.1299999999999999E-2</v>
      </c>
      <c r="F91" s="15">
        <v>4.9500000000000002E-2</v>
      </c>
      <c r="G91" s="15">
        <v>0.81920000000000004</v>
      </c>
      <c r="H91" s="15">
        <v>0.1583</v>
      </c>
      <c r="I91" s="15">
        <v>1.8100000000000002E-2</v>
      </c>
      <c r="J91" s="15">
        <v>8.6285714285714281</v>
      </c>
    </row>
    <row r="92" spans="1:10" x14ac:dyDescent="0.25">
      <c r="A92" s="2" t="s">
        <v>272</v>
      </c>
      <c r="B92" s="2" t="s">
        <v>273</v>
      </c>
      <c r="C92" s="2" t="s">
        <v>274</v>
      </c>
      <c r="D92" s="2" t="s">
        <v>10040</v>
      </c>
      <c r="E92" s="15">
        <v>-1.6999999999999999E-3</v>
      </c>
      <c r="F92" s="15">
        <v>4.3700000000000003E-2</v>
      </c>
      <c r="G92" s="15">
        <v>0.96809999999999996</v>
      </c>
      <c r="H92" s="15">
        <v>0.19900000000000001</v>
      </c>
      <c r="I92" s="15">
        <v>2.2499999999999999E-2</v>
      </c>
      <c r="J92" s="15">
        <v>9.9405940594059405</v>
      </c>
    </row>
    <row r="93" spans="1:10" x14ac:dyDescent="0.25">
      <c r="A93" s="2" t="s">
        <v>275</v>
      </c>
      <c r="B93" s="2" t="s">
        <v>276</v>
      </c>
      <c r="C93" s="2" t="s">
        <v>277</v>
      </c>
      <c r="D93" s="2" t="s">
        <v>10040</v>
      </c>
      <c r="E93" s="15">
        <v>-2.6700000000000002E-2</v>
      </c>
      <c r="F93" s="15">
        <v>4.6100000000000002E-2</v>
      </c>
      <c r="G93" s="15">
        <v>0.56179999999999997</v>
      </c>
      <c r="H93" s="15">
        <v>0.19389999999999999</v>
      </c>
      <c r="I93" s="15">
        <v>2.76E-2</v>
      </c>
      <c r="J93" s="15">
        <v>8.0666666666666664</v>
      </c>
    </row>
    <row r="94" spans="1:10" x14ac:dyDescent="0.25">
      <c r="A94" s="2" t="s">
        <v>278</v>
      </c>
      <c r="B94" s="2" t="s">
        <v>279</v>
      </c>
      <c r="C94" s="2" t="s">
        <v>280</v>
      </c>
      <c r="D94" s="2" t="s">
        <v>10040</v>
      </c>
      <c r="E94" s="15">
        <v>2.23E-2</v>
      </c>
      <c r="F94" s="15">
        <v>4.5600000000000002E-2</v>
      </c>
      <c r="G94" s="15">
        <v>0.62490000000000001</v>
      </c>
      <c r="H94" s="15">
        <v>0.186</v>
      </c>
      <c r="I94" s="15">
        <v>1.95E-2</v>
      </c>
      <c r="J94" s="15">
        <v>10.163043478260869</v>
      </c>
    </row>
    <row r="95" spans="1:10" x14ac:dyDescent="0.25">
      <c r="A95" s="2" t="s">
        <v>281</v>
      </c>
      <c r="B95" s="2" t="s">
        <v>282</v>
      </c>
      <c r="C95" s="2" t="s">
        <v>283</v>
      </c>
      <c r="D95" s="2" t="s">
        <v>10040</v>
      </c>
      <c r="E95" s="15">
        <v>3.1300000000000001E-2</v>
      </c>
      <c r="F95" s="15">
        <v>4.3099999999999999E-2</v>
      </c>
      <c r="G95" s="15">
        <v>0.4672</v>
      </c>
      <c r="H95" s="15">
        <v>0.1961</v>
      </c>
      <c r="I95" s="15">
        <v>1.8100000000000002E-2</v>
      </c>
      <c r="J95" s="15">
        <v>11.285714285714279</v>
      </c>
    </row>
    <row r="96" spans="1:10" x14ac:dyDescent="0.25">
      <c r="A96" s="2" t="s">
        <v>284</v>
      </c>
      <c r="B96" s="2" t="s">
        <v>285</v>
      </c>
      <c r="C96" s="2" t="s">
        <v>286</v>
      </c>
      <c r="D96" s="2" t="s">
        <v>10040</v>
      </c>
      <c r="E96" s="15">
        <v>-2.3400000000000001E-2</v>
      </c>
      <c r="F96" s="15">
        <v>4.2000000000000003E-2</v>
      </c>
      <c r="G96" s="15">
        <v>0.57740000000000002</v>
      </c>
      <c r="H96" s="15">
        <v>0.223</v>
      </c>
      <c r="I96" s="15">
        <v>2.2200000000000001E-2</v>
      </c>
      <c r="J96" s="15">
        <v>10</v>
      </c>
    </row>
    <row r="97" spans="1:10" x14ac:dyDescent="0.25">
      <c r="A97" s="2" t="s">
        <v>287</v>
      </c>
      <c r="B97" s="2" t="s">
        <v>288</v>
      </c>
      <c r="C97" s="2" t="s">
        <v>289</v>
      </c>
      <c r="D97" s="2" t="s">
        <v>10040</v>
      </c>
      <c r="E97" s="15">
        <v>-3.9699999999999999E-2</v>
      </c>
      <c r="F97" s="15">
        <v>4.2099999999999999E-2</v>
      </c>
      <c r="G97" s="15">
        <v>0.3458</v>
      </c>
      <c r="H97" s="15">
        <v>0.2223</v>
      </c>
      <c r="I97" s="15">
        <v>2.0799999999999999E-2</v>
      </c>
      <c r="J97" s="15">
        <v>11.32307692307692</v>
      </c>
    </row>
    <row r="98" spans="1:10" x14ac:dyDescent="0.25">
      <c r="A98" s="2" t="s">
        <v>290</v>
      </c>
      <c r="B98" s="2" t="s">
        <v>291</v>
      </c>
      <c r="C98" s="2" t="s">
        <v>292</v>
      </c>
      <c r="D98" s="2" t="s">
        <v>10040</v>
      </c>
      <c r="E98" s="15">
        <v>6.7999999999999996E-3</v>
      </c>
      <c r="F98" s="15">
        <v>4.8300000000000003E-2</v>
      </c>
      <c r="G98" s="15">
        <v>0.88739999999999997</v>
      </c>
      <c r="H98" s="15">
        <v>0.157</v>
      </c>
      <c r="I98" s="15">
        <v>2.06E-2</v>
      </c>
      <c r="J98" s="15">
        <v>8.6918918918918919</v>
      </c>
    </row>
    <row r="99" spans="1:10" x14ac:dyDescent="0.25">
      <c r="A99" s="2" t="s">
        <v>293</v>
      </c>
      <c r="B99" s="2" t="s">
        <v>294</v>
      </c>
      <c r="C99" s="2" t="s">
        <v>295</v>
      </c>
      <c r="D99" s="2" t="s">
        <v>10040</v>
      </c>
      <c r="E99" s="15">
        <v>-9.1999999999999998E-3</v>
      </c>
      <c r="F99" s="15">
        <v>4.1399999999999999E-2</v>
      </c>
      <c r="G99" s="15">
        <v>0.82369999999999999</v>
      </c>
      <c r="H99" s="15">
        <v>0.20569999999999999</v>
      </c>
      <c r="I99" s="15">
        <v>2.4E-2</v>
      </c>
      <c r="J99" s="15">
        <v>9.6028037383177569</v>
      </c>
    </row>
    <row r="100" spans="1:10" x14ac:dyDescent="0.25">
      <c r="A100" s="2" t="s">
        <v>296</v>
      </c>
      <c r="B100" s="2" t="s">
        <v>297</v>
      </c>
      <c r="C100" s="2" t="s">
        <v>298</v>
      </c>
      <c r="D100" s="2" t="s">
        <v>10040</v>
      </c>
      <c r="E100" s="15">
        <v>-5.2200000000000003E-2</v>
      </c>
      <c r="F100" s="15">
        <v>5.2400000000000002E-2</v>
      </c>
      <c r="G100" s="15">
        <v>0.31900000000000001</v>
      </c>
      <c r="H100" s="15">
        <v>0.1153</v>
      </c>
      <c r="I100" s="15">
        <v>1.7299999999999999E-2</v>
      </c>
      <c r="J100" s="15">
        <v>8.2787878787878775</v>
      </c>
    </row>
    <row r="101" spans="1:10" x14ac:dyDescent="0.25">
      <c r="A101" s="2" t="s">
        <v>299</v>
      </c>
      <c r="B101" s="2" t="s">
        <v>300</v>
      </c>
      <c r="C101" s="2" t="s">
        <v>301</v>
      </c>
      <c r="D101" s="2" t="s">
        <v>10040</v>
      </c>
      <c r="E101" s="15">
        <v>-4.8999999999999998E-3</v>
      </c>
      <c r="F101" s="15">
        <v>4.7199999999999999E-2</v>
      </c>
      <c r="G101" s="15">
        <v>0.91710000000000003</v>
      </c>
      <c r="H101" s="15">
        <v>0.1764</v>
      </c>
      <c r="I101" s="15">
        <v>1.7999999999999999E-2</v>
      </c>
      <c r="J101" s="15">
        <v>9.9230769230769234</v>
      </c>
    </row>
    <row r="102" spans="1:10" x14ac:dyDescent="0.25">
      <c r="A102" s="2" t="s">
        <v>302</v>
      </c>
      <c r="B102" s="2" t="s">
        <v>303</v>
      </c>
      <c r="C102" s="2" t="s">
        <v>304</v>
      </c>
      <c r="D102" s="2" t="s">
        <v>10040</v>
      </c>
      <c r="E102" s="15">
        <v>-3.4200000000000001E-2</v>
      </c>
      <c r="F102" s="15">
        <v>4.3799999999999999E-2</v>
      </c>
      <c r="G102" s="15">
        <v>0.43530000000000002</v>
      </c>
      <c r="H102" s="15">
        <v>0.21460000000000001</v>
      </c>
      <c r="I102" s="15">
        <v>2.2800000000000001E-2</v>
      </c>
      <c r="J102" s="15">
        <v>10.29807692307692</v>
      </c>
    </row>
    <row r="103" spans="1:10" x14ac:dyDescent="0.25">
      <c r="A103" s="2" t="s">
        <v>305</v>
      </c>
      <c r="B103" s="2" t="s">
        <v>306</v>
      </c>
      <c r="C103" s="2" t="s">
        <v>307</v>
      </c>
      <c r="D103" s="2" t="s">
        <v>10040</v>
      </c>
      <c r="E103" s="15">
        <v>1E-3</v>
      </c>
      <c r="F103" s="15">
        <v>4.2299999999999997E-2</v>
      </c>
      <c r="G103" s="15">
        <v>0.98060000000000003</v>
      </c>
      <c r="H103" s="15">
        <v>0.21609999999999999</v>
      </c>
      <c r="I103" s="15">
        <v>2.1999999999999999E-2</v>
      </c>
      <c r="J103" s="15">
        <v>11.051546391752581</v>
      </c>
    </row>
    <row r="104" spans="1:10" x14ac:dyDescent="0.25">
      <c r="A104" s="2" t="s">
        <v>308</v>
      </c>
      <c r="B104" s="2" t="s">
        <v>309</v>
      </c>
      <c r="C104" s="2" t="s">
        <v>310</v>
      </c>
      <c r="D104" s="2" t="s">
        <v>10040</v>
      </c>
      <c r="E104" s="15">
        <v>7.2999999999999995E-2</v>
      </c>
      <c r="F104" s="15">
        <v>5.2200000000000003E-2</v>
      </c>
      <c r="G104" s="15">
        <v>0.16250000000000001</v>
      </c>
      <c r="H104" s="15">
        <v>0.15809999999999999</v>
      </c>
      <c r="I104" s="15">
        <v>1.9099999999999999E-2</v>
      </c>
      <c r="J104" s="15">
        <v>8.4340659340659343</v>
      </c>
    </row>
    <row r="105" spans="1:10" x14ac:dyDescent="0.25">
      <c r="A105" s="2" t="s">
        <v>311</v>
      </c>
      <c r="B105" s="2" t="s">
        <v>312</v>
      </c>
      <c r="C105" s="2" t="s">
        <v>313</v>
      </c>
      <c r="D105" s="2" t="s">
        <v>10040</v>
      </c>
      <c r="E105" s="15">
        <v>3.8399999999999997E-2</v>
      </c>
      <c r="F105" s="15">
        <v>4.5699999999999998E-2</v>
      </c>
      <c r="G105" s="15">
        <v>0.40110000000000001</v>
      </c>
      <c r="H105" s="15">
        <v>0.19189999999999999</v>
      </c>
      <c r="I105" s="15">
        <v>1.9599999999999999E-2</v>
      </c>
      <c r="J105" s="15">
        <v>10.06010928961749</v>
      </c>
    </row>
    <row r="106" spans="1:10" x14ac:dyDescent="0.25">
      <c r="A106" s="2" t="s">
        <v>314</v>
      </c>
      <c r="B106" s="2" t="s">
        <v>315</v>
      </c>
      <c r="C106" s="2" t="s">
        <v>316</v>
      </c>
      <c r="D106" s="2" t="s">
        <v>10040</v>
      </c>
      <c r="E106" s="15">
        <v>7.5499999999999998E-2</v>
      </c>
      <c r="F106" s="15">
        <v>4.7800000000000002E-2</v>
      </c>
      <c r="G106" s="15">
        <v>0.1147</v>
      </c>
      <c r="H106" s="15">
        <v>0.14249999999999999</v>
      </c>
      <c r="I106" s="15">
        <v>1.9400000000000001E-2</v>
      </c>
      <c r="J106" s="15">
        <v>7.5955056179775271</v>
      </c>
    </row>
    <row r="107" spans="1:10" x14ac:dyDescent="0.25">
      <c r="A107" s="2" t="s">
        <v>317</v>
      </c>
      <c r="B107" s="2" t="s">
        <v>318</v>
      </c>
      <c r="C107" s="2" t="s">
        <v>319</v>
      </c>
      <c r="D107" s="2" t="s">
        <v>10040</v>
      </c>
      <c r="E107" s="15">
        <v>7.9100000000000004E-2</v>
      </c>
      <c r="F107" s="15">
        <v>5.6300000000000003E-2</v>
      </c>
      <c r="G107" s="15">
        <v>0.15959999999999999</v>
      </c>
      <c r="H107" s="15">
        <v>0.1159</v>
      </c>
      <c r="I107" s="15">
        <v>1.84E-2</v>
      </c>
      <c r="J107" s="15">
        <v>6.9467455621301788</v>
      </c>
    </row>
    <row r="108" spans="1:10" x14ac:dyDescent="0.25">
      <c r="A108" s="2" t="s">
        <v>320</v>
      </c>
      <c r="B108" s="2" t="s">
        <v>321</v>
      </c>
      <c r="C108" s="2" t="s">
        <v>322</v>
      </c>
      <c r="D108" s="2" t="s">
        <v>10040</v>
      </c>
      <c r="E108" s="15">
        <v>-7.4899999999999994E-2</v>
      </c>
      <c r="F108" s="15">
        <v>5.2900000000000003E-2</v>
      </c>
      <c r="G108" s="15">
        <v>0.15620000000000001</v>
      </c>
      <c r="H108" s="15">
        <v>0.13289999999999999</v>
      </c>
      <c r="I108" s="15">
        <v>1.7600000000000001E-2</v>
      </c>
      <c r="J108" s="15">
        <v>8.3293413173652695</v>
      </c>
    </row>
    <row r="109" spans="1:10" x14ac:dyDescent="0.25">
      <c r="A109" s="2" t="s">
        <v>323</v>
      </c>
      <c r="B109" s="2" t="s">
        <v>324</v>
      </c>
      <c r="C109" s="2" t="s">
        <v>325</v>
      </c>
      <c r="D109" s="2" t="s">
        <v>10040</v>
      </c>
      <c r="E109" s="15">
        <v>-5.7200000000000001E-2</v>
      </c>
      <c r="F109" s="15">
        <v>5.9499999999999997E-2</v>
      </c>
      <c r="G109" s="15">
        <v>0.33629999999999999</v>
      </c>
      <c r="H109" s="15">
        <v>0.10630000000000001</v>
      </c>
      <c r="I109" s="15">
        <v>1.72E-2</v>
      </c>
      <c r="J109" s="15">
        <v>6.949044585987262</v>
      </c>
    </row>
    <row r="110" spans="1:10" x14ac:dyDescent="0.25">
      <c r="A110" s="2" t="s">
        <v>326</v>
      </c>
      <c r="B110" s="2" t="s">
        <v>327</v>
      </c>
      <c r="C110" s="2" t="s">
        <v>328</v>
      </c>
      <c r="D110" s="2" t="s">
        <v>10040</v>
      </c>
      <c r="E110" s="15">
        <v>-5.9799999999999999E-2</v>
      </c>
      <c r="F110" s="15">
        <v>4.7100000000000003E-2</v>
      </c>
      <c r="G110" s="15">
        <v>0.20380000000000001</v>
      </c>
      <c r="H110" s="15">
        <v>0.1356</v>
      </c>
      <c r="I110" s="15">
        <v>1.67E-2</v>
      </c>
      <c r="J110" s="15">
        <v>9.2374999999999989</v>
      </c>
    </row>
    <row r="111" spans="1:10" x14ac:dyDescent="0.25">
      <c r="A111" s="2" t="s">
        <v>329</v>
      </c>
      <c r="B111" s="2" t="s">
        <v>330</v>
      </c>
      <c r="C111" s="2" t="s">
        <v>331</v>
      </c>
      <c r="D111" s="2" t="s">
        <v>10040</v>
      </c>
      <c r="E111" s="15">
        <v>-2.4299999999999999E-2</v>
      </c>
      <c r="F111" s="15">
        <v>4.8000000000000001E-2</v>
      </c>
      <c r="G111" s="15">
        <v>0.61319999999999997</v>
      </c>
      <c r="H111" s="15">
        <v>0.1643</v>
      </c>
      <c r="I111" s="15">
        <v>1.9199999999999998E-2</v>
      </c>
      <c r="J111" s="15">
        <v>9.3489583333333339</v>
      </c>
    </row>
    <row r="112" spans="1:10" x14ac:dyDescent="0.25">
      <c r="A112" s="2" t="s">
        <v>332</v>
      </c>
      <c r="B112" s="2" t="s">
        <v>333</v>
      </c>
      <c r="C112" s="2" t="s">
        <v>334</v>
      </c>
      <c r="D112" s="2" t="s">
        <v>10040</v>
      </c>
      <c r="E112" s="15">
        <v>-2.87E-2</v>
      </c>
      <c r="F112" s="15">
        <v>5.6000000000000001E-2</v>
      </c>
      <c r="G112" s="15">
        <v>0.60860000000000003</v>
      </c>
      <c r="H112" s="15">
        <v>0.13469999999999999</v>
      </c>
      <c r="I112" s="15">
        <v>1.7299999999999999E-2</v>
      </c>
      <c r="J112" s="15">
        <v>8.7435897435897427</v>
      </c>
    </row>
    <row r="113" spans="1:10" x14ac:dyDescent="0.25">
      <c r="A113" s="2" t="s">
        <v>335</v>
      </c>
      <c r="B113" s="2" t="s">
        <v>336</v>
      </c>
      <c r="C113" s="2" t="s">
        <v>337</v>
      </c>
      <c r="D113" s="2" t="s">
        <v>10040</v>
      </c>
      <c r="E113" s="15">
        <v>-3.9800000000000002E-2</v>
      </c>
      <c r="F113" s="15">
        <v>4.7399999999999998E-2</v>
      </c>
      <c r="G113" s="15">
        <v>0.40029999999999999</v>
      </c>
      <c r="H113" s="15">
        <v>0.16520000000000001</v>
      </c>
      <c r="I113" s="15">
        <v>2.0299999999999999E-2</v>
      </c>
      <c r="J113" s="15">
        <v>9.3641304347826093</v>
      </c>
    </row>
    <row r="114" spans="1:10" x14ac:dyDescent="0.25">
      <c r="A114" s="2" t="s">
        <v>338</v>
      </c>
      <c r="B114" s="2" t="s">
        <v>339</v>
      </c>
      <c r="C114" s="2" t="s">
        <v>340</v>
      </c>
      <c r="D114" s="2" t="s">
        <v>10040</v>
      </c>
      <c r="E114" s="15">
        <v>1.0699999999999999E-2</v>
      </c>
      <c r="F114" s="15">
        <v>4.58E-2</v>
      </c>
      <c r="G114" s="15">
        <v>0.81510000000000005</v>
      </c>
      <c r="H114" s="15">
        <v>0.1598</v>
      </c>
      <c r="I114" s="15">
        <v>2.0299999999999999E-2</v>
      </c>
      <c r="J114" s="15">
        <v>9.8651685393258433</v>
      </c>
    </row>
    <row r="115" spans="1:10" x14ac:dyDescent="0.25">
      <c r="A115" s="2" t="s">
        <v>341</v>
      </c>
      <c r="B115" s="2" t="s">
        <v>342</v>
      </c>
      <c r="C115" s="2" t="s">
        <v>343</v>
      </c>
      <c r="D115" s="2" t="s">
        <v>10040</v>
      </c>
      <c r="E115" s="15">
        <v>5.3800000000000001E-2</v>
      </c>
      <c r="F115" s="15">
        <v>4.41E-2</v>
      </c>
      <c r="G115" s="15">
        <v>0.22259999999999999</v>
      </c>
      <c r="H115" s="15">
        <v>0.18629999999999999</v>
      </c>
      <c r="I115" s="15">
        <v>2.0799999999999999E-2</v>
      </c>
      <c r="J115" s="15">
        <v>9.3265306122448983</v>
      </c>
    </row>
    <row r="116" spans="1:10" x14ac:dyDescent="0.25">
      <c r="A116" s="2" t="s">
        <v>344</v>
      </c>
      <c r="B116" s="2" t="s">
        <v>345</v>
      </c>
      <c r="C116" s="2" t="s">
        <v>346</v>
      </c>
      <c r="D116" s="2" t="s">
        <v>10040</v>
      </c>
      <c r="E116" s="15">
        <v>1.4800000000000001E-2</v>
      </c>
      <c r="F116" s="15">
        <v>4.7399999999999998E-2</v>
      </c>
      <c r="G116" s="15">
        <v>0.75490000000000002</v>
      </c>
      <c r="H116" s="15">
        <v>0.19769999999999999</v>
      </c>
      <c r="I116" s="15">
        <v>1.95E-2</v>
      </c>
      <c r="J116" s="15">
        <v>10.89071038251366</v>
      </c>
    </row>
    <row r="117" spans="1:10" x14ac:dyDescent="0.25">
      <c r="A117" s="2" t="s">
        <v>347</v>
      </c>
      <c r="B117" s="2" t="s">
        <v>348</v>
      </c>
      <c r="C117" s="2" t="s">
        <v>349</v>
      </c>
      <c r="D117" s="2" t="s">
        <v>10040</v>
      </c>
      <c r="E117" s="15">
        <v>-1.77E-2</v>
      </c>
      <c r="F117" s="15">
        <v>4.5100000000000001E-2</v>
      </c>
      <c r="G117" s="15">
        <v>0.6946</v>
      </c>
      <c r="H117" s="15">
        <v>0.2122</v>
      </c>
      <c r="I117" s="15">
        <v>1.9599999999999999E-2</v>
      </c>
      <c r="J117" s="15">
        <v>11.55737704918033</v>
      </c>
    </row>
    <row r="118" spans="1:10" x14ac:dyDescent="0.25">
      <c r="A118" s="2" t="s">
        <v>350</v>
      </c>
      <c r="B118" s="2" t="s">
        <v>351</v>
      </c>
      <c r="C118" s="2" t="s">
        <v>352</v>
      </c>
      <c r="D118" s="2" t="s">
        <v>10040</v>
      </c>
      <c r="E118" s="15">
        <v>3.1699999999999999E-2</v>
      </c>
      <c r="F118" s="15">
        <v>5.1900000000000002E-2</v>
      </c>
      <c r="G118" s="15">
        <v>0.54059999999999997</v>
      </c>
      <c r="H118" s="15">
        <v>0.1724</v>
      </c>
      <c r="I118" s="15">
        <v>2.0400000000000001E-2</v>
      </c>
      <c r="J118" s="15">
        <v>9.8547486033519558</v>
      </c>
    </row>
    <row r="119" spans="1:10" x14ac:dyDescent="0.25">
      <c r="A119" s="2" t="s">
        <v>353</v>
      </c>
      <c r="B119" s="2" t="s">
        <v>354</v>
      </c>
      <c r="C119" s="2" t="s">
        <v>355</v>
      </c>
      <c r="D119" s="2" t="s">
        <v>10040</v>
      </c>
      <c r="E119" s="15">
        <v>1.55E-2</v>
      </c>
      <c r="F119" s="15">
        <v>5.1200000000000002E-2</v>
      </c>
      <c r="G119" s="15">
        <v>0.76149999999999995</v>
      </c>
      <c r="H119" s="15">
        <v>0.1898</v>
      </c>
      <c r="I119" s="15">
        <v>1.8599999999999998E-2</v>
      </c>
      <c r="J119" s="15">
        <v>10.68333333333333</v>
      </c>
    </row>
    <row r="120" spans="1:10" x14ac:dyDescent="0.25">
      <c r="A120" s="2" t="s">
        <v>356</v>
      </c>
      <c r="B120" s="2" t="s">
        <v>357</v>
      </c>
      <c r="C120" s="2" t="s">
        <v>358</v>
      </c>
      <c r="D120" s="2" t="s">
        <v>10040</v>
      </c>
      <c r="E120" s="15">
        <v>0.1139</v>
      </c>
      <c r="F120" s="15">
        <v>5.0500000000000003E-2</v>
      </c>
      <c r="G120" s="15">
        <v>2.41E-2</v>
      </c>
      <c r="H120" s="15">
        <v>0.17599999999999999</v>
      </c>
      <c r="I120" s="15">
        <v>2.1000000000000001E-2</v>
      </c>
      <c r="J120" s="15">
        <v>9.4766839378238341</v>
      </c>
    </row>
    <row r="121" spans="1:10" x14ac:dyDescent="0.25">
      <c r="A121" s="2" t="s">
        <v>359</v>
      </c>
      <c r="B121" s="2" t="s">
        <v>360</v>
      </c>
      <c r="C121" s="2" t="s">
        <v>361</v>
      </c>
      <c r="D121" s="2" t="s">
        <v>10040</v>
      </c>
      <c r="E121" s="15">
        <v>8.72E-2</v>
      </c>
      <c r="F121" s="15">
        <v>5.0599999999999999E-2</v>
      </c>
      <c r="G121" s="15">
        <v>8.5199999999999998E-2</v>
      </c>
      <c r="H121" s="15">
        <v>0.18609999999999999</v>
      </c>
      <c r="I121" s="15">
        <v>2.12E-2</v>
      </c>
      <c r="J121" s="15">
        <v>9.8306878306878307</v>
      </c>
    </row>
    <row r="122" spans="1:10" x14ac:dyDescent="0.25">
      <c r="A122" s="2" t="s">
        <v>362</v>
      </c>
      <c r="B122" s="2" t="s">
        <v>363</v>
      </c>
      <c r="C122" s="2" t="s">
        <v>364</v>
      </c>
      <c r="D122" s="2" t="s">
        <v>10040</v>
      </c>
      <c r="E122" s="15">
        <v>-2.12E-2</v>
      </c>
      <c r="F122" s="15">
        <v>4.8899999999999999E-2</v>
      </c>
      <c r="G122" s="15">
        <v>0.6643</v>
      </c>
      <c r="H122" s="15">
        <v>0.15720000000000001</v>
      </c>
      <c r="I122" s="15">
        <v>0.02</v>
      </c>
      <c r="J122" s="15">
        <v>8.6737967914438503</v>
      </c>
    </row>
    <row r="123" spans="1:10" x14ac:dyDescent="0.25">
      <c r="A123" s="2" t="s">
        <v>365</v>
      </c>
      <c r="B123" s="2" t="s">
        <v>366</v>
      </c>
      <c r="C123" s="2" t="s">
        <v>367</v>
      </c>
      <c r="D123" s="2" t="s">
        <v>10040</v>
      </c>
      <c r="E123" s="15">
        <v>-8.6999999999999994E-3</v>
      </c>
      <c r="F123" s="15">
        <v>4.3099999999999999E-2</v>
      </c>
      <c r="G123" s="15">
        <v>0.83979999999999999</v>
      </c>
      <c r="H123" s="15">
        <v>0.20280000000000001</v>
      </c>
      <c r="I123" s="15">
        <v>2.1700000000000001E-2</v>
      </c>
      <c r="J123" s="15">
        <v>10.47179487179487</v>
      </c>
    </row>
    <row r="124" spans="1:10" x14ac:dyDescent="0.25">
      <c r="A124" s="2" t="s">
        <v>368</v>
      </c>
      <c r="B124" s="2" t="s">
        <v>369</v>
      </c>
      <c r="C124" s="2" t="s">
        <v>370</v>
      </c>
      <c r="D124" s="2" t="s">
        <v>10040</v>
      </c>
      <c r="E124" s="15">
        <v>1.14E-2</v>
      </c>
      <c r="F124" s="15">
        <v>4.2999999999999997E-2</v>
      </c>
      <c r="G124" s="15">
        <v>0.79139999999999999</v>
      </c>
      <c r="H124" s="15">
        <v>0.27360000000000001</v>
      </c>
      <c r="I124" s="15">
        <v>2.4899999999999999E-2</v>
      </c>
      <c r="J124" s="15">
        <v>12.42396313364055</v>
      </c>
    </row>
    <row r="125" spans="1:10" x14ac:dyDescent="0.25">
      <c r="A125" s="2" t="s">
        <v>371</v>
      </c>
      <c r="B125" s="2" t="s">
        <v>372</v>
      </c>
      <c r="C125" s="2" t="s">
        <v>373</v>
      </c>
      <c r="D125" s="2" t="s">
        <v>10040</v>
      </c>
      <c r="E125" s="15">
        <v>1.2E-2</v>
      </c>
      <c r="F125" s="15">
        <v>4.19E-2</v>
      </c>
      <c r="G125" s="15">
        <v>0.77410000000000001</v>
      </c>
      <c r="H125" s="15">
        <v>0.29360000000000003</v>
      </c>
      <c r="I125" s="15">
        <v>2.3400000000000001E-2</v>
      </c>
      <c r="J125" s="15">
        <v>14.44554455445545</v>
      </c>
    </row>
    <row r="126" spans="1:10" x14ac:dyDescent="0.25">
      <c r="A126" s="2" t="s">
        <v>374</v>
      </c>
      <c r="B126" s="2" t="s">
        <v>375</v>
      </c>
      <c r="C126" s="2" t="s">
        <v>376</v>
      </c>
      <c r="D126" s="2" t="s">
        <v>10040</v>
      </c>
      <c r="E126" s="15">
        <v>2.5600000000000001E-2</v>
      </c>
      <c r="F126" s="15">
        <v>4.0500000000000001E-2</v>
      </c>
      <c r="G126" s="15">
        <v>0.52710000000000001</v>
      </c>
      <c r="H126" s="15">
        <v>0.26600000000000001</v>
      </c>
      <c r="I126" s="15">
        <v>2.3E-2</v>
      </c>
      <c r="J126" s="15">
        <v>12.42396313364055</v>
      </c>
    </row>
    <row r="127" spans="1:10" x14ac:dyDescent="0.25">
      <c r="A127" s="2" t="s">
        <v>377</v>
      </c>
      <c r="B127" s="2" t="s">
        <v>378</v>
      </c>
      <c r="C127" s="2" t="s">
        <v>379</v>
      </c>
      <c r="D127" s="2" t="s">
        <v>10040</v>
      </c>
      <c r="E127" s="15">
        <v>4.3E-3</v>
      </c>
      <c r="F127" s="15">
        <v>3.9600000000000003E-2</v>
      </c>
      <c r="G127" s="15">
        <v>0.9133</v>
      </c>
      <c r="H127" s="15">
        <v>0.27860000000000001</v>
      </c>
      <c r="I127" s="15">
        <v>2.3400000000000001E-2</v>
      </c>
      <c r="J127" s="15">
        <v>12.284444444444439</v>
      </c>
    </row>
    <row r="128" spans="1:10" x14ac:dyDescent="0.25">
      <c r="A128" s="2" t="s">
        <v>380</v>
      </c>
      <c r="B128" s="2" t="s">
        <v>381</v>
      </c>
      <c r="C128" s="2" t="s">
        <v>382</v>
      </c>
      <c r="D128" s="2" t="s">
        <v>10040</v>
      </c>
      <c r="E128" s="15">
        <v>-6.1999999999999998E-3</v>
      </c>
      <c r="F128" s="15">
        <v>3.4500000000000003E-2</v>
      </c>
      <c r="G128" s="15">
        <v>0.85709999999999997</v>
      </c>
      <c r="H128" s="15">
        <v>0.2893</v>
      </c>
      <c r="I128" s="15">
        <v>3.2300000000000002E-2</v>
      </c>
      <c r="J128" s="15">
        <v>9.9861111111111125</v>
      </c>
    </row>
    <row r="129" spans="1:10" x14ac:dyDescent="0.25">
      <c r="A129" s="2" t="s">
        <v>383</v>
      </c>
      <c r="B129" s="2" t="s">
        <v>384</v>
      </c>
      <c r="C129" s="2" t="s">
        <v>385</v>
      </c>
      <c r="D129" s="2" t="s">
        <v>10040</v>
      </c>
      <c r="E129" s="15">
        <v>-1.03E-2</v>
      </c>
      <c r="F129" s="15">
        <v>3.4599999999999999E-2</v>
      </c>
      <c r="G129" s="15">
        <v>0.76600000000000001</v>
      </c>
      <c r="H129" s="15">
        <v>0.28699999999999998</v>
      </c>
      <c r="I129" s="15">
        <v>3.2800000000000003E-2</v>
      </c>
      <c r="J129" s="15">
        <v>9.6790540540540526</v>
      </c>
    </row>
    <row r="130" spans="1:10" x14ac:dyDescent="0.25">
      <c r="A130" s="2" t="s">
        <v>386</v>
      </c>
      <c r="B130" s="2" t="s">
        <v>387</v>
      </c>
      <c r="C130" s="2" t="s">
        <v>388</v>
      </c>
      <c r="D130" s="2" t="s">
        <v>10040</v>
      </c>
      <c r="E130" s="15">
        <v>1.3100000000000001E-2</v>
      </c>
      <c r="F130" s="15">
        <v>5.04E-2</v>
      </c>
      <c r="G130" s="15">
        <v>0.79449999999999998</v>
      </c>
      <c r="H130" s="15">
        <v>0.16619999999999999</v>
      </c>
      <c r="I130" s="15">
        <v>1.9900000000000001E-2</v>
      </c>
      <c r="J130" s="15">
        <v>9.1202185792349724</v>
      </c>
    </row>
    <row r="131" spans="1:10" x14ac:dyDescent="0.25">
      <c r="A131" s="2" t="s">
        <v>389</v>
      </c>
      <c r="B131" s="2" t="s">
        <v>390</v>
      </c>
      <c r="C131" s="2" t="s">
        <v>391</v>
      </c>
      <c r="D131" s="2" t="s">
        <v>10040</v>
      </c>
      <c r="E131" s="15">
        <v>4.4999999999999997E-3</v>
      </c>
      <c r="F131" s="15">
        <v>4.53E-2</v>
      </c>
      <c r="G131" s="15">
        <v>0.92059999999999997</v>
      </c>
      <c r="H131" s="15">
        <v>0.16370000000000001</v>
      </c>
      <c r="I131" s="15">
        <v>2.07E-2</v>
      </c>
      <c r="J131" s="15">
        <v>9.1325966850828717</v>
      </c>
    </row>
    <row r="132" spans="1:10" x14ac:dyDescent="0.25">
      <c r="A132" s="2" t="s">
        <v>392</v>
      </c>
      <c r="B132" s="2" t="s">
        <v>393</v>
      </c>
      <c r="C132" s="2" t="s">
        <v>394</v>
      </c>
      <c r="D132" s="2" t="s">
        <v>10040</v>
      </c>
      <c r="E132" s="15">
        <v>-2.8799999999999999E-2</v>
      </c>
      <c r="F132" s="15">
        <v>3.78E-2</v>
      </c>
      <c r="G132" s="15">
        <v>0.44550000000000001</v>
      </c>
      <c r="H132" s="15">
        <v>0.2757</v>
      </c>
      <c r="I132" s="15">
        <v>2.3400000000000001E-2</v>
      </c>
      <c r="J132" s="15">
        <v>11.52173913043478</v>
      </c>
    </row>
    <row r="133" spans="1:10" x14ac:dyDescent="0.25">
      <c r="A133" s="2" t="s">
        <v>395</v>
      </c>
      <c r="B133" s="2" t="s">
        <v>396</v>
      </c>
      <c r="C133" s="2" t="s">
        <v>397</v>
      </c>
      <c r="D133" s="2" t="s">
        <v>10040</v>
      </c>
      <c r="E133" s="15">
        <v>-1.18E-2</v>
      </c>
      <c r="F133" s="15">
        <v>3.7199999999999997E-2</v>
      </c>
      <c r="G133" s="15">
        <v>0.75180000000000002</v>
      </c>
      <c r="H133" s="15">
        <v>0.2828</v>
      </c>
      <c r="I133" s="15">
        <v>2.7300000000000001E-2</v>
      </c>
      <c r="J133" s="15">
        <v>11</v>
      </c>
    </row>
    <row r="134" spans="1:10" x14ac:dyDescent="0.25">
      <c r="A134" s="2" t="s">
        <v>398</v>
      </c>
      <c r="B134" s="2" t="s">
        <v>399</v>
      </c>
      <c r="C134" s="2" t="s">
        <v>400</v>
      </c>
      <c r="D134" s="2" t="s">
        <v>10040</v>
      </c>
      <c r="E134" s="15">
        <v>-5.3400000000000003E-2</v>
      </c>
      <c r="F134" s="15">
        <v>4.19E-2</v>
      </c>
      <c r="G134" s="15">
        <v>0.20200000000000001</v>
      </c>
      <c r="H134" s="15">
        <v>0.19</v>
      </c>
      <c r="I134" s="15">
        <v>2.0299999999999999E-2</v>
      </c>
      <c r="J134" s="15">
        <v>9.6494845360824737</v>
      </c>
    </row>
    <row r="135" spans="1:10" x14ac:dyDescent="0.25">
      <c r="A135" s="2" t="s">
        <v>401</v>
      </c>
      <c r="B135" s="2" t="s">
        <v>402</v>
      </c>
      <c r="C135" s="2" t="s">
        <v>403</v>
      </c>
      <c r="D135" s="2" t="s">
        <v>10040</v>
      </c>
      <c r="E135" s="15">
        <v>-1.3299999999999999E-2</v>
      </c>
      <c r="F135" s="15">
        <v>4.6100000000000002E-2</v>
      </c>
      <c r="G135" s="15">
        <v>0.77259999999999995</v>
      </c>
      <c r="H135" s="15">
        <v>0.16289999999999999</v>
      </c>
      <c r="I135" s="15">
        <v>1.66E-2</v>
      </c>
      <c r="J135" s="15">
        <v>10.8562091503268</v>
      </c>
    </row>
    <row r="136" spans="1:10" x14ac:dyDescent="0.25">
      <c r="A136" s="2" t="s">
        <v>404</v>
      </c>
      <c r="B136" s="2" t="s">
        <v>405</v>
      </c>
      <c r="C136" s="2" t="s">
        <v>406</v>
      </c>
      <c r="D136" s="2" t="s">
        <v>10040</v>
      </c>
      <c r="E136" s="15">
        <v>-1.95E-2</v>
      </c>
      <c r="F136" s="15">
        <v>3.8100000000000002E-2</v>
      </c>
      <c r="G136" s="15">
        <v>0.60950000000000004</v>
      </c>
      <c r="H136" s="15">
        <v>0.28889999999999999</v>
      </c>
      <c r="I136" s="15">
        <v>3.4200000000000001E-2</v>
      </c>
      <c r="J136" s="15">
        <v>9.5787671232876708</v>
      </c>
    </row>
    <row r="137" spans="1:10" x14ac:dyDescent="0.25">
      <c r="A137" s="2" t="s">
        <v>407</v>
      </c>
      <c r="B137" s="2" t="s">
        <v>408</v>
      </c>
      <c r="C137" s="2" t="s">
        <v>409</v>
      </c>
      <c r="D137" s="2" t="s">
        <v>10040</v>
      </c>
      <c r="E137" s="15">
        <v>-1.4500000000000001E-2</v>
      </c>
      <c r="F137" s="15">
        <v>3.7499999999999999E-2</v>
      </c>
      <c r="G137" s="15">
        <v>0.69869999999999999</v>
      </c>
      <c r="H137" s="15">
        <v>0.27989999999999998</v>
      </c>
      <c r="I137" s="15">
        <v>3.4099999999999998E-2</v>
      </c>
      <c r="J137" s="15">
        <v>9.546712802768166</v>
      </c>
    </row>
    <row r="138" spans="1:10" x14ac:dyDescent="0.25">
      <c r="A138" s="2" t="s">
        <v>410</v>
      </c>
      <c r="B138" s="2" t="s">
        <v>411</v>
      </c>
      <c r="C138" s="2" t="s">
        <v>412</v>
      </c>
      <c r="D138" s="2" t="s">
        <v>10040</v>
      </c>
      <c r="E138" s="15">
        <v>-9.8500000000000004E-2</v>
      </c>
      <c r="F138" s="15">
        <v>3.9899999999999998E-2</v>
      </c>
      <c r="G138" s="15">
        <v>1.35E-2</v>
      </c>
      <c r="H138" s="15">
        <v>0.24890000000000001</v>
      </c>
      <c r="I138" s="15">
        <v>2.41E-2</v>
      </c>
      <c r="J138" s="15">
        <v>10.917391304347831</v>
      </c>
    </row>
    <row r="139" spans="1:10" x14ac:dyDescent="0.25">
      <c r="A139" s="2" t="s">
        <v>413</v>
      </c>
      <c r="B139" s="2" t="s">
        <v>414</v>
      </c>
      <c r="C139" s="2" t="s">
        <v>415</v>
      </c>
      <c r="D139" s="2" t="s">
        <v>10040</v>
      </c>
      <c r="E139" s="15">
        <v>-5.0500000000000003E-2</v>
      </c>
      <c r="F139" s="15">
        <v>3.7400000000000003E-2</v>
      </c>
      <c r="G139" s="15">
        <v>0.1769</v>
      </c>
      <c r="H139" s="15">
        <v>0.2853</v>
      </c>
      <c r="I139" s="15">
        <v>2.2599999999999999E-2</v>
      </c>
      <c r="J139" s="15">
        <v>13.398104265402839</v>
      </c>
    </row>
    <row r="140" spans="1:10" x14ac:dyDescent="0.25">
      <c r="A140" s="2" t="s">
        <v>416</v>
      </c>
      <c r="B140" s="2" t="s">
        <v>417</v>
      </c>
      <c r="C140" s="2" t="s">
        <v>418</v>
      </c>
      <c r="D140" s="2" t="s">
        <v>10040</v>
      </c>
      <c r="E140" s="15">
        <v>-3.44E-2</v>
      </c>
      <c r="F140" s="15">
        <v>3.7999999999999999E-2</v>
      </c>
      <c r="G140" s="15">
        <v>0.36530000000000001</v>
      </c>
      <c r="H140" s="15">
        <v>0.29260000000000003</v>
      </c>
      <c r="I140" s="15">
        <v>2.1999999999999999E-2</v>
      </c>
      <c r="J140" s="15">
        <v>14.28140703517588</v>
      </c>
    </row>
    <row r="141" spans="1:10" x14ac:dyDescent="0.25">
      <c r="A141" s="2" t="s">
        <v>419</v>
      </c>
      <c r="B141" s="2" t="s">
        <v>420</v>
      </c>
      <c r="C141" s="2" t="s">
        <v>421</v>
      </c>
      <c r="D141" s="2" t="s">
        <v>10040</v>
      </c>
      <c r="E141" s="15">
        <v>-5.6899999999999999E-2</v>
      </c>
      <c r="F141" s="15">
        <v>3.9399999999999998E-2</v>
      </c>
      <c r="G141" s="15">
        <v>0.14829999999999999</v>
      </c>
      <c r="H141" s="15">
        <v>0.27989999999999998</v>
      </c>
      <c r="I141" s="15">
        <v>2.4E-2</v>
      </c>
      <c r="J141" s="15">
        <v>13.328571428571429</v>
      </c>
    </row>
    <row r="142" spans="1:10" x14ac:dyDescent="0.25">
      <c r="A142" s="2" t="s">
        <v>422</v>
      </c>
      <c r="B142" s="2" t="s">
        <v>423</v>
      </c>
      <c r="C142" s="2" t="s">
        <v>424</v>
      </c>
      <c r="D142" s="2" t="s">
        <v>10040</v>
      </c>
      <c r="E142" s="15">
        <v>-5.1200000000000002E-2</v>
      </c>
      <c r="F142" s="15">
        <v>4.0800000000000003E-2</v>
      </c>
      <c r="G142" s="15">
        <v>0.2094</v>
      </c>
      <c r="H142" s="15">
        <v>0.2752</v>
      </c>
      <c r="I142" s="15">
        <v>2.2599999999999999E-2</v>
      </c>
      <c r="J142" s="15">
        <v>13.49261083743842</v>
      </c>
    </row>
    <row r="143" spans="1:10" x14ac:dyDescent="0.25">
      <c r="A143" s="2" t="s">
        <v>425</v>
      </c>
      <c r="B143" s="2" t="s">
        <v>426</v>
      </c>
      <c r="C143" s="2" t="s">
        <v>427</v>
      </c>
      <c r="D143" s="2" t="s">
        <v>10040</v>
      </c>
      <c r="E143" s="15">
        <v>5.3E-3</v>
      </c>
      <c r="F143" s="15">
        <v>4.3799999999999999E-2</v>
      </c>
      <c r="G143" s="15">
        <v>0.90339999999999998</v>
      </c>
      <c r="H143" s="15">
        <v>0.2797</v>
      </c>
      <c r="I143" s="15">
        <v>2.5399999999999999E-2</v>
      </c>
      <c r="J143" s="15">
        <v>11.47280334728034</v>
      </c>
    </row>
    <row r="144" spans="1:10" x14ac:dyDescent="0.25">
      <c r="A144" s="2" t="s">
        <v>428</v>
      </c>
      <c r="B144" s="2" t="s">
        <v>429</v>
      </c>
      <c r="C144" s="2" t="s">
        <v>430</v>
      </c>
      <c r="D144" s="2" t="s">
        <v>10040</v>
      </c>
      <c r="E144" s="15">
        <v>-6.4999999999999997E-3</v>
      </c>
      <c r="F144" s="15">
        <v>4.5699999999999998E-2</v>
      </c>
      <c r="G144" s="15">
        <v>0.88759999999999994</v>
      </c>
      <c r="H144" s="15">
        <v>0.26500000000000001</v>
      </c>
      <c r="I144" s="15">
        <v>2.4899999999999999E-2</v>
      </c>
      <c r="J144" s="15">
        <v>11.513392857142859</v>
      </c>
    </row>
    <row r="145" spans="1:10" x14ac:dyDescent="0.25">
      <c r="A145" s="2" t="s">
        <v>431</v>
      </c>
      <c r="B145" s="2" t="s">
        <v>432</v>
      </c>
      <c r="C145" s="2" t="s">
        <v>433</v>
      </c>
      <c r="D145" s="2" t="s">
        <v>10040</v>
      </c>
      <c r="E145" s="15">
        <v>2.8400000000000002E-2</v>
      </c>
      <c r="F145" s="15">
        <v>4.4400000000000002E-2</v>
      </c>
      <c r="G145" s="15">
        <v>0.52229999999999999</v>
      </c>
      <c r="H145" s="15">
        <v>0.27050000000000002</v>
      </c>
      <c r="I145" s="15">
        <v>2.4299999999999999E-2</v>
      </c>
      <c r="J145" s="15">
        <v>11.898230088495581</v>
      </c>
    </row>
    <row r="146" spans="1:10" x14ac:dyDescent="0.25">
      <c r="A146" s="2" t="s">
        <v>434</v>
      </c>
      <c r="B146" s="2" t="s">
        <v>435</v>
      </c>
      <c r="C146" s="2" t="s">
        <v>436</v>
      </c>
      <c r="D146" s="2" t="s">
        <v>10040</v>
      </c>
      <c r="E146" s="15">
        <v>5.67E-2</v>
      </c>
      <c r="F146" s="15">
        <v>4.0500000000000001E-2</v>
      </c>
      <c r="G146" s="15">
        <v>0.16120000000000001</v>
      </c>
      <c r="H146" s="15">
        <v>0.31759999999999999</v>
      </c>
      <c r="I146" s="15">
        <v>2.6700000000000002E-2</v>
      </c>
      <c r="J146" s="15">
        <v>13.54042553191489</v>
      </c>
    </row>
    <row r="147" spans="1:10" x14ac:dyDescent="0.25">
      <c r="A147" s="2" t="s">
        <v>437</v>
      </c>
      <c r="B147" s="2" t="s">
        <v>438</v>
      </c>
      <c r="C147" s="2" t="s">
        <v>439</v>
      </c>
      <c r="D147" s="2" t="s">
        <v>10040</v>
      </c>
      <c r="E147" s="15">
        <v>3.85E-2</v>
      </c>
      <c r="F147" s="15">
        <v>7.2099999999999997E-2</v>
      </c>
      <c r="G147" s="15">
        <v>0.59389999999999998</v>
      </c>
      <c r="H147" s="15">
        <v>6.9800000000000001E-2</v>
      </c>
      <c r="I147" s="15">
        <v>1.61E-2</v>
      </c>
      <c r="J147" s="15">
        <v>5.4413793103448276</v>
      </c>
    </row>
    <row r="148" spans="1:10" x14ac:dyDescent="0.25">
      <c r="A148" s="2" t="s">
        <v>440</v>
      </c>
      <c r="B148" s="2" t="s">
        <v>441</v>
      </c>
      <c r="C148" s="2" t="s">
        <v>442</v>
      </c>
      <c r="D148" s="2" t="s">
        <v>10040</v>
      </c>
      <c r="E148" s="15">
        <v>1.95E-2</v>
      </c>
      <c r="F148" s="15">
        <v>3.9699999999999999E-2</v>
      </c>
      <c r="G148" s="15">
        <v>0.62350000000000005</v>
      </c>
      <c r="H148" s="15">
        <v>0.30890000000000001</v>
      </c>
      <c r="I148" s="15">
        <v>2.8199999999999999E-2</v>
      </c>
      <c r="J148" s="15">
        <v>12.98775510204081</v>
      </c>
    </row>
    <row r="149" spans="1:10" x14ac:dyDescent="0.25">
      <c r="A149" s="2" t="s">
        <v>443</v>
      </c>
      <c r="B149" s="2" t="s">
        <v>444</v>
      </c>
      <c r="C149" s="2" t="s">
        <v>445</v>
      </c>
      <c r="D149" s="2" t="s">
        <v>10040</v>
      </c>
      <c r="E149" s="15">
        <v>2.3999999999999998E-3</v>
      </c>
      <c r="F149" s="15">
        <v>3.8399999999999997E-2</v>
      </c>
      <c r="G149" s="15">
        <v>0.95089999999999997</v>
      </c>
      <c r="H149" s="15">
        <v>0.31369999999999998</v>
      </c>
      <c r="I149" s="15">
        <v>2.9700000000000001E-2</v>
      </c>
      <c r="J149" s="15">
        <v>11.342105263157899</v>
      </c>
    </row>
    <row r="150" spans="1:10" x14ac:dyDescent="0.25">
      <c r="A150" s="2" t="s">
        <v>446</v>
      </c>
      <c r="B150" s="2" t="s">
        <v>447</v>
      </c>
      <c r="C150" s="2" t="s">
        <v>448</v>
      </c>
      <c r="D150" s="2" t="s">
        <v>10040</v>
      </c>
      <c r="E150" s="15">
        <v>1.14E-2</v>
      </c>
      <c r="F150" s="15">
        <v>4.58E-2</v>
      </c>
      <c r="G150" s="15">
        <v>0.80359999999999998</v>
      </c>
      <c r="H150" s="15">
        <v>0.2223</v>
      </c>
      <c r="I150" s="15">
        <v>2.4400000000000002E-2</v>
      </c>
      <c r="J150" s="15">
        <v>10.45945945945946</v>
      </c>
    </row>
    <row r="151" spans="1:10" x14ac:dyDescent="0.25">
      <c r="A151" s="2" t="s">
        <v>449</v>
      </c>
      <c r="B151" s="2" t="s">
        <v>450</v>
      </c>
      <c r="C151" s="2" t="s">
        <v>451</v>
      </c>
      <c r="D151" s="2" t="s">
        <v>10040</v>
      </c>
      <c r="E151" s="15">
        <v>-2.07E-2</v>
      </c>
      <c r="F151" s="15">
        <v>3.85E-2</v>
      </c>
      <c r="G151" s="15">
        <v>0.59150000000000003</v>
      </c>
      <c r="H151" s="15">
        <v>0.34310000000000002</v>
      </c>
      <c r="I151" s="15">
        <v>3.8199999999999998E-2</v>
      </c>
      <c r="J151" s="15">
        <v>10.339622641509431</v>
      </c>
    </row>
    <row r="152" spans="1:10" x14ac:dyDescent="0.25">
      <c r="A152" s="2" t="s">
        <v>452</v>
      </c>
      <c r="B152" s="2" t="s">
        <v>453</v>
      </c>
      <c r="C152" s="2" t="s">
        <v>454</v>
      </c>
      <c r="D152" s="2" t="s">
        <v>10040</v>
      </c>
      <c r="E152" s="15">
        <v>-3.49E-2</v>
      </c>
      <c r="F152" s="15">
        <v>3.8699999999999998E-2</v>
      </c>
      <c r="G152" s="15">
        <v>0.36699999999999999</v>
      </c>
      <c r="H152" s="15">
        <v>0.29499999999999998</v>
      </c>
      <c r="I152" s="15">
        <v>2.86E-2</v>
      </c>
      <c r="J152" s="15">
        <v>10.916349809885929</v>
      </c>
    </row>
    <row r="153" spans="1:10" x14ac:dyDescent="0.25">
      <c r="A153" s="2" t="s">
        <v>455</v>
      </c>
      <c r="B153" s="2" t="s">
        <v>456</v>
      </c>
      <c r="C153" s="2" t="s">
        <v>457</v>
      </c>
      <c r="D153" s="2" t="s">
        <v>10040</v>
      </c>
      <c r="E153" s="15">
        <v>1.5E-3</v>
      </c>
      <c r="F153" s="15">
        <v>4.3900000000000002E-2</v>
      </c>
      <c r="G153" s="15">
        <v>0.97270000000000001</v>
      </c>
      <c r="H153" s="15">
        <v>0.26340000000000002</v>
      </c>
      <c r="I153" s="15">
        <v>2.41E-2</v>
      </c>
      <c r="J153" s="15">
        <v>11.990521327014219</v>
      </c>
    </row>
    <row r="154" spans="1:10" x14ac:dyDescent="0.25">
      <c r="A154" s="2" t="s">
        <v>458</v>
      </c>
      <c r="B154" s="2" t="s">
        <v>459</v>
      </c>
      <c r="C154" s="2" t="s">
        <v>460</v>
      </c>
      <c r="D154" s="2" t="s">
        <v>10040</v>
      </c>
      <c r="E154" s="15">
        <v>-3.5700000000000003E-2</v>
      </c>
      <c r="F154" s="15">
        <v>3.7100000000000001E-2</v>
      </c>
      <c r="G154" s="15">
        <v>0.33650000000000002</v>
      </c>
      <c r="H154" s="15">
        <v>0.32300000000000001</v>
      </c>
      <c r="I154" s="15">
        <v>3.3599999999999998E-2</v>
      </c>
      <c r="J154" s="15">
        <v>10.40397350993377</v>
      </c>
    </row>
    <row r="155" spans="1:10" x14ac:dyDescent="0.25">
      <c r="A155" s="2" t="s">
        <v>461</v>
      </c>
      <c r="B155" s="2" t="s">
        <v>462</v>
      </c>
      <c r="C155" s="2" t="s">
        <v>463</v>
      </c>
      <c r="D155" s="2" t="s">
        <v>10040</v>
      </c>
      <c r="E155" s="15">
        <v>-8.4199999999999997E-2</v>
      </c>
      <c r="F155" s="15">
        <v>3.8399999999999997E-2</v>
      </c>
      <c r="G155" s="15">
        <v>2.8299999999999999E-2</v>
      </c>
      <c r="H155" s="15">
        <v>0.28199999999999997</v>
      </c>
      <c r="I155" s="15">
        <v>2.6499999999999999E-2</v>
      </c>
      <c r="J155" s="15">
        <v>11.57676348547718</v>
      </c>
    </row>
    <row r="156" spans="1:10" x14ac:dyDescent="0.25">
      <c r="A156" s="2" t="s">
        <v>464</v>
      </c>
      <c r="B156" s="2" t="s">
        <v>465</v>
      </c>
      <c r="C156" s="2" t="s">
        <v>466</v>
      </c>
      <c r="D156" s="2" t="s">
        <v>10040</v>
      </c>
      <c r="E156" s="15">
        <v>-5.5999999999999999E-3</v>
      </c>
      <c r="F156" s="15">
        <v>3.8300000000000001E-2</v>
      </c>
      <c r="G156" s="15">
        <v>0.88390000000000002</v>
      </c>
      <c r="H156" s="15">
        <v>0.32469999999999999</v>
      </c>
      <c r="I156" s="15">
        <v>2.8400000000000002E-2</v>
      </c>
      <c r="J156" s="15">
        <v>12.62</v>
      </c>
    </row>
    <row r="157" spans="1:10" x14ac:dyDescent="0.25">
      <c r="A157" s="2" t="s">
        <v>467</v>
      </c>
      <c r="B157" s="2" t="s">
        <v>468</v>
      </c>
      <c r="C157" s="2" t="s">
        <v>469</v>
      </c>
      <c r="D157" s="2" t="s">
        <v>10040</v>
      </c>
      <c r="E157" s="15">
        <v>-2.2800000000000001E-2</v>
      </c>
      <c r="F157" s="15">
        <v>3.73E-2</v>
      </c>
      <c r="G157" s="15">
        <v>0.54069999999999996</v>
      </c>
      <c r="H157" s="15">
        <v>0.27429999999999999</v>
      </c>
      <c r="I157" s="15">
        <v>2.9100000000000001E-2</v>
      </c>
      <c r="J157" s="15">
        <v>10.482758620689649</v>
      </c>
    </row>
    <row r="158" spans="1:10" x14ac:dyDescent="0.25">
      <c r="A158" s="2" t="s">
        <v>470</v>
      </c>
      <c r="B158" s="2" t="s">
        <v>471</v>
      </c>
      <c r="C158" s="2" t="s">
        <v>472</v>
      </c>
      <c r="D158" s="2" t="s">
        <v>10040</v>
      </c>
      <c r="E158" s="15">
        <v>-9.2200000000000004E-2</v>
      </c>
      <c r="F158" s="15">
        <v>3.8199999999999998E-2</v>
      </c>
      <c r="G158" s="15">
        <v>1.5800000000000002E-2</v>
      </c>
      <c r="H158" s="15">
        <v>0.28939999999999999</v>
      </c>
      <c r="I158" s="15">
        <v>2.6700000000000002E-2</v>
      </c>
      <c r="J158" s="15">
        <v>11.89121338912134</v>
      </c>
    </row>
    <row r="159" spans="1:10" x14ac:dyDescent="0.25">
      <c r="A159" s="2" t="s">
        <v>473</v>
      </c>
      <c r="B159" s="2" t="s">
        <v>474</v>
      </c>
      <c r="C159" s="2" t="s">
        <v>475</v>
      </c>
      <c r="D159" s="2" t="s">
        <v>10040</v>
      </c>
      <c r="E159" s="15">
        <v>-4.7000000000000002E-3</v>
      </c>
      <c r="F159" s="15">
        <v>3.8100000000000002E-2</v>
      </c>
      <c r="G159" s="15">
        <v>0.90159999999999996</v>
      </c>
      <c r="H159" s="15">
        <v>0.34510000000000002</v>
      </c>
      <c r="I159" s="15">
        <v>3.09E-2</v>
      </c>
      <c r="J159" s="15">
        <v>12.32592592592593</v>
      </c>
    </row>
    <row r="160" spans="1:10" x14ac:dyDescent="0.25">
      <c r="A160" s="2" t="s">
        <v>476</v>
      </c>
      <c r="B160" s="2" t="s">
        <v>477</v>
      </c>
      <c r="C160" s="2" t="s">
        <v>478</v>
      </c>
      <c r="D160" s="2" t="s">
        <v>10040</v>
      </c>
      <c r="E160" s="15">
        <v>-2.75E-2</v>
      </c>
      <c r="F160" s="15">
        <v>3.7100000000000001E-2</v>
      </c>
      <c r="G160" s="15">
        <v>0.4577</v>
      </c>
      <c r="H160" s="15">
        <v>0.25180000000000002</v>
      </c>
      <c r="I160" s="15">
        <v>2.3900000000000001E-2</v>
      </c>
      <c r="J160" s="15">
        <v>11.97652582159624</v>
      </c>
    </row>
    <row r="161" spans="1:10" x14ac:dyDescent="0.25">
      <c r="A161" s="2" t="s">
        <v>479</v>
      </c>
      <c r="B161" s="2" t="s">
        <v>480</v>
      </c>
      <c r="C161" s="2" t="s">
        <v>481</v>
      </c>
      <c r="D161" s="2" t="s">
        <v>10040</v>
      </c>
      <c r="E161" s="15">
        <v>-5.0599999999999999E-2</v>
      </c>
      <c r="F161" s="15">
        <v>3.8800000000000001E-2</v>
      </c>
      <c r="G161" s="15">
        <v>0.19220000000000001</v>
      </c>
      <c r="H161" s="15">
        <v>0.33179999999999998</v>
      </c>
      <c r="I161" s="15">
        <v>3.0800000000000001E-2</v>
      </c>
      <c r="J161" s="15">
        <v>12.83650190114068</v>
      </c>
    </row>
    <row r="162" spans="1:10" x14ac:dyDescent="0.25">
      <c r="A162" s="2" t="s">
        <v>482</v>
      </c>
      <c r="B162" s="2" t="s">
        <v>483</v>
      </c>
      <c r="C162" s="2" t="s">
        <v>484</v>
      </c>
      <c r="D162" s="2" t="s">
        <v>10040</v>
      </c>
      <c r="E162" s="15">
        <v>-1.24E-2</v>
      </c>
      <c r="F162" s="15">
        <v>3.6600000000000001E-2</v>
      </c>
      <c r="G162" s="15">
        <v>0.73460000000000003</v>
      </c>
      <c r="H162" s="15">
        <v>0.3135</v>
      </c>
      <c r="I162" s="15">
        <v>3.1300000000000001E-2</v>
      </c>
      <c r="J162" s="15">
        <v>11.046263345195729</v>
      </c>
    </row>
    <row r="163" spans="1:10" x14ac:dyDescent="0.25">
      <c r="A163" s="2" t="s">
        <v>485</v>
      </c>
      <c r="B163" s="2" t="s">
        <v>486</v>
      </c>
      <c r="C163" s="2" t="s">
        <v>487</v>
      </c>
      <c r="D163" s="2" t="s">
        <v>10040</v>
      </c>
      <c r="E163" s="15">
        <v>-3.8899999999999997E-2</v>
      </c>
      <c r="F163" s="15">
        <v>0.04</v>
      </c>
      <c r="G163" s="15">
        <v>0.33</v>
      </c>
      <c r="H163" s="15">
        <v>0.33450000000000002</v>
      </c>
      <c r="I163" s="15">
        <v>2.9399999999999999E-2</v>
      </c>
      <c r="J163" s="15">
        <v>12.535580524344571</v>
      </c>
    </row>
    <row r="164" spans="1:10" x14ac:dyDescent="0.25">
      <c r="A164" s="2" t="s">
        <v>488</v>
      </c>
      <c r="B164" s="2" t="s">
        <v>489</v>
      </c>
      <c r="C164" s="2" t="s">
        <v>490</v>
      </c>
      <c r="D164" s="2" t="s">
        <v>10040</v>
      </c>
      <c r="E164" s="15">
        <v>-0.1288</v>
      </c>
      <c r="F164" s="15">
        <v>4.5600000000000002E-2</v>
      </c>
      <c r="G164" s="15">
        <v>4.7000000000000002E-3</v>
      </c>
      <c r="H164" s="15">
        <v>0.2535</v>
      </c>
      <c r="I164" s="15">
        <v>2.3699999999999999E-2</v>
      </c>
      <c r="J164" s="15">
        <v>11.92523364485981</v>
      </c>
    </row>
    <row r="165" spans="1:10" x14ac:dyDescent="0.25">
      <c r="A165" s="2" t="s">
        <v>491</v>
      </c>
      <c r="B165" s="2" t="s">
        <v>492</v>
      </c>
      <c r="C165" s="2" t="s">
        <v>493</v>
      </c>
      <c r="D165" s="2" t="s">
        <v>10040</v>
      </c>
      <c r="E165" s="15">
        <v>-5.62E-2</v>
      </c>
      <c r="F165" s="15">
        <v>3.8399999999999997E-2</v>
      </c>
      <c r="G165" s="15">
        <v>0.14349999999999999</v>
      </c>
      <c r="H165" s="15">
        <v>0.26329999999999998</v>
      </c>
      <c r="I165" s="15">
        <v>2.41E-2</v>
      </c>
      <c r="J165" s="15">
        <v>11.22666666666667</v>
      </c>
    </row>
    <row r="166" spans="1:10" x14ac:dyDescent="0.25">
      <c r="A166" s="2" t="s">
        <v>494</v>
      </c>
      <c r="B166" s="2" t="s">
        <v>495</v>
      </c>
      <c r="C166" s="2" t="s">
        <v>496</v>
      </c>
      <c r="D166" s="2" t="s">
        <v>10040</v>
      </c>
      <c r="E166" s="15">
        <v>-8.5300000000000001E-2</v>
      </c>
      <c r="F166" s="15">
        <v>4.2200000000000001E-2</v>
      </c>
      <c r="G166" s="15">
        <v>4.3200000000000002E-2</v>
      </c>
      <c r="H166" s="15">
        <v>0.25600000000000001</v>
      </c>
      <c r="I166" s="15">
        <v>2.3300000000000001E-2</v>
      </c>
      <c r="J166" s="15">
        <v>12.009900990099011</v>
      </c>
    </row>
    <row r="167" spans="1:10" x14ac:dyDescent="0.25">
      <c r="A167" s="2" t="s">
        <v>497</v>
      </c>
      <c r="B167" s="2" t="s">
        <v>498</v>
      </c>
      <c r="C167" s="2" t="s">
        <v>499</v>
      </c>
      <c r="D167" s="2" t="s">
        <v>10040</v>
      </c>
      <c r="E167" s="15">
        <v>1.32E-2</v>
      </c>
      <c r="F167" s="15">
        <v>3.8399999999999997E-2</v>
      </c>
      <c r="G167" s="15">
        <v>0.73089999999999999</v>
      </c>
      <c r="H167" s="15">
        <v>0.25119999999999998</v>
      </c>
      <c r="I167" s="15">
        <v>2.7199999999999998E-2</v>
      </c>
      <c r="J167" s="15">
        <v>10.26422764227642</v>
      </c>
    </row>
    <row r="168" spans="1:10" x14ac:dyDescent="0.25">
      <c r="A168" s="2" t="s">
        <v>500</v>
      </c>
      <c r="B168" s="2" t="s">
        <v>501</v>
      </c>
      <c r="C168" s="2" t="s">
        <v>502</v>
      </c>
      <c r="D168" s="2" t="s">
        <v>10040</v>
      </c>
      <c r="E168" s="15">
        <v>-1.04E-2</v>
      </c>
      <c r="F168" s="15">
        <v>3.7400000000000003E-2</v>
      </c>
      <c r="G168" s="15">
        <v>0.78129999999999999</v>
      </c>
      <c r="H168" s="15">
        <v>0.24840000000000001</v>
      </c>
      <c r="I168" s="15">
        <v>2.69E-2</v>
      </c>
      <c r="J168" s="15">
        <v>10.27272727272727</v>
      </c>
    </row>
    <row r="169" spans="1:10" x14ac:dyDescent="0.25">
      <c r="A169" s="2" t="s">
        <v>503</v>
      </c>
      <c r="B169" s="2" t="s">
        <v>504</v>
      </c>
      <c r="C169" s="2" t="s">
        <v>505</v>
      </c>
      <c r="D169" s="2" t="s">
        <v>10040</v>
      </c>
      <c r="E169" s="15">
        <v>-6.8999999999999999E-3</v>
      </c>
      <c r="F169" s="15">
        <v>3.5900000000000001E-2</v>
      </c>
      <c r="G169" s="15">
        <v>0.84709999999999996</v>
      </c>
      <c r="H169" s="15">
        <v>0.26029999999999998</v>
      </c>
      <c r="I169" s="15">
        <v>2.7699999999999999E-2</v>
      </c>
      <c r="J169" s="15">
        <v>10.38152610441767</v>
      </c>
    </row>
    <row r="170" spans="1:10" x14ac:dyDescent="0.25">
      <c r="A170" s="2" t="s">
        <v>506</v>
      </c>
      <c r="B170" s="2" t="s">
        <v>507</v>
      </c>
      <c r="C170" s="2" t="s">
        <v>508</v>
      </c>
      <c r="D170" s="2" t="s">
        <v>10040</v>
      </c>
      <c r="E170" s="15">
        <v>-1.8599999999999998E-2</v>
      </c>
      <c r="F170" s="15">
        <v>3.4299999999999997E-2</v>
      </c>
      <c r="G170" s="15">
        <v>0.58799999999999997</v>
      </c>
      <c r="H170" s="15">
        <v>0.32929999999999998</v>
      </c>
      <c r="I170" s="15">
        <v>2.6700000000000002E-2</v>
      </c>
      <c r="J170" s="15">
        <v>13.19123505976096</v>
      </c>
    </row>
    <row r="171" spans="1:10" x14ac:dyDescent="0.25">
      <c r="A171" s="2" t="s">
        <v>509</v>
      </c>
      <c r="B171" s="2" t="s">
        <v>510</v>
      </c>
      <c r="C171" s="2" t="s">
        <v>511</v>
      </c>
      <c r="D171" s="2" t="s">
        <v>10040</v>
      </c>
      <c r="E171" s="15">
        <v>4.6100000000000002E-2</v>
      </c>
      <c r="F171" s="15">
        <v>3.8899999999999997E-2</v>
      </c>
      <c r="G171" s="15">
        <v>0.2359</v>
      </c>
      <c r="H171" s="15">
        <v>0.20569999999999999</v>
      </c>
      <c r="I171" s="15">
        <v>2.1100000000000001E-2</v>
      </c>
      <c r="J171" s="15">
        <v>10.558823529411759</v>
      </c>
    </row>
    <row r="172" spans="1:10" x14ac:dyDescent="0.25">
      <c r="A172" s="2" t="s">
        <v>512</v>
      </c>
      <c r="B172" s="2" t="s">
        <v>513</v>
      </c>
      <c r="C172" s="2" t="s">
        <v>514</v>
      </c>
      <c r="D172" s="2" t="s">
        <v>10040</v>
      </c>
      <c r="E172" s="15">
        <v>3.3999999999999998E-3</v>
      </c>
      <c r="F172" s="15">
        <v>3.7100000000000001E-2</v>
      </c>
      <c r="G172" s="15">
        <v>0.92749999999999999</v>
      </c>
      <c r="H172" s="15">
        <v>0.27039999999999997</v>
      </c>
      <c r="I172" s="15">
        <v>2.69E-2</v>
      </c>
      <c r="J172" s="15">
        <v>11.13709677419355</v>
      </c>
    </row>
    <row r="173" spans="1:10" x14ac:dyDescent="0.25">
      <c r="A173" s="2" t="s">
        <v>515</v>
      </c>
      <c r="B173" s="2" t="s">
        <v>516</v>
      </c>
      <c r="C173" s="2" t="s">
        <v>517</v>
      </c>
      <c r="D173" s="2" t="s">
        <v>10040</v>
      </c>
      <c r="E173" s="15">
        <v>-1.8499999999999999E-2</v>
      </c>
      <c r="F173" s="15">
        <v>3.5900000000000001E-2</v>
      </c>
      <c r="G173" s="15">
        <v>0.60560000000000003</v>
      </c>
      <c r="H173" s="15">
        <v>0.27</v>
      </c>
      <c r="I173" s="15">
        <v>2.63E-2</v>
      </c>
      <c r="J173" s="15">
        <v>11.30578512396694</v>
      </c>
    </row>
    <row r="174" spans="1:10" x14ac:dyDescent="0.25">
      <c r="A174" s="2" t="s">
        <v>518</v>
      </c>
      <c r="B174" s="2" t="s">
        <v>519</v>
      </c>
      <c r="C174" s="2" t="s">
        <v>520</v>
      </c>
      <c r="D174" s="2" t="s">
        <v>10040</v>
      </c>
      <c r="E174" s="15">
        <v>-3.2000000000000001E-2</v>
      </c>
      <c r="F174" s="15">
        <v>4.82E-2</v>
      </c>
      <c r="G174" s="15">
        <v>0.50660000000000005</v>
      </c>
      <c r="H174" s="15">
        <v>0.15989999999999999</v>
      </c>
      <c r="I174" s="15">
        <v>2.3199999999999998E-2</v>
      </c>
      <c r="J174" s="15">
        <v>7.8654708520179373</v>
      </c>
    </row>
    <row r="175" spans="1:10" x14ac:dyDescent="0.25">
      <c r="A175" s="2" t="s">
        <v>521</v>
      </c>
      <c r="B175" s="2" t="s">
        <v>522</v>
      </c>
      <c r="C175" s="2" t="s">
        <v>523</v>
      </c>
      <c r="D175" s="2" t="s">
        <v>10040</v>
      </c>
      <c r="E175" s="15">
        <v>8.7400000000000005E-2</v>
      </c>
      <c r="F175" s="15">
        <v>4.07E-2</v>
      </c>
      <c r="G175" s="15">
        <v>3.1699999999999999E-2</v>
      </c>
      <c r="H175" s="15">
        <v>0.27139999999999997</v>
      </c>
      <c r="I175" s="15">
        <v>2.69E-2</v>
      </c>
      <c r="J175" s="15">
        <v>11.16666666666667</v>
      </c>
    </row>
    <row r="176" spans="1:10" x14ac:dyDescent="0.25">
      <c r="A176" s="2" t="s">
        <v>524</v>
      </c>
      <c r="B176" s="2" t="s">
        <v>525</v>
      </c>
      <c r="C176" s="2" t="s">
        <v>526</v>
      </c>
      <c r="D176" s="2" t="s">
        <v>10040</v>
      </c>
      <c r="E176" s="15">
        <v>4.2799999999999998E-2</v>
      </c>
      <c r="F176" s="15">
        <v>4.0599999999999997E-2</v>
      </c>
      <c r="G176" s="15">
        <v>0.29199999999999998</v>
      </c>
      <c r="H176" s="15">
        <v>0.27079999999999999</v>
      </c>
      <c r="I176" s="15">
        <v>2.63E-2</v>
      </c>
      <c r="J176" s="15">
        <v>11.477551020408161</v>
      </c>
    </row>
    <row r="177" spans="1:10" x14ac:dyDescent="0.25">
      <c r="A177" s="2" t="s">
        <v>527</v>
      </c>
      <c r="B177" s="2" t="s">
        <v>528</v>
      </c>
      <c r="C177" s="2" t="s">
        <v>529</v>
      </c>
      <c r="D177" s="2" t="s">
        <v>10040</v>
      </c>
      <c r="E177" s="15">
        <v>1E-3</v>
      </c>
      <c r="F177" s="15">
        <v>3.9E-2</v>
      </c>
      <c r="G177" s="15">
        <v>0.97860000000000003</v>
      </c>
      <c r="H177" s="15">
        <v>0.32719999999999999</v>
      </c>
      <c r="I177" s="15">
        <v>3.0800000000000001E-2</v>
      </c>
      <c r="J177" s="15">
        <v>12.36363636363637</v>
      </c>
    </row>
    <row r="178" spans="1:10" x14ac:dyDescent="0.25">
      <c r="A178" s="2" t="s">
        <v>530</v>
      </c>
      <c r="B178" s="2" t="s">
        <v>531</v>
      </c>
      <c r="C178" s="2" t="s">
        <v>532</v>
      </c>
      <c r="D178" s="2" t="s">
        <v>10040</v>
      </c>
      <c r="E178" s="15"/>
      <c r="F178" s="15"/>
      <c r="G178" s="15"/>
      <c r="H178" s="15">
        <v>-7.7000000000000002E-3</v>
      </c>
      <c r="I178" s="15">
        <v>1.41E-2</v>
      </c>
      <c r="J178" s="15">
        <v>-0.36231884057971009</v>
      </c>
    </row>
    <row r="179" spans="1:10" x14ac:dyDescent="0.25">
      <c r="A179" s="2" t="s">
        <v>533</v>
      </c>
      <c r="B179" s="2" t="s">
        <v>534</v>
      </c>
      <c r="C179" s="2" t="s">
        <v>535</v>
      </c>
      <c r="D179" s="2" t="s">
        <v>10040</v>
      </c>
      <c r="E179" s="15">
        <v>6.7000000000000002E-3</v>
      </c>
      <c r="F179" s="15">
        <v>3.44E-2</v>
      </c>
      <c r="G179" s="15">
        <v>0.84589999999999999</v>
      </c>
      <c r="H179" s="15">
        <v>0.41010000000000002</v>
      </c>
      <c r="I179" s="15">
        <v>3.5900000000000001E-2</v>
      </c>
      <c r="J179" s="15">
        <v>13.04605263157895</v>
      </c>
    </row>
    <row r="180" spans="1:10" x14ac:dyDescent="0.25">
      <c r="A180" s="2" t="s">
        <v>536</v>
      </c>
      <c r="B180" s="2" t="s">
        <v>537</v>
      </c>
      <c r="C180" s="2" t="s">
        <v>538</v>
      </c>
      <c r="D180" s="2" t="s">
        <v>10040</v>
      </c>
      <c r="E180" s="15">
        <v>7.2800000000000004E-2</v>
      </c>
      <c r="F180" s="15">
        <v>4.1500000000000002E-2</v>
      </c>
      <c r="G180" s="15">
        <v>7.9699999999999993E-2</v>
      </c>
      <c r="H180" s="15">
        <v>0.26700000000000002</v>
      </c>
      <c r="I180" s="15">
        <v>2.53E-2</v>
      </c>
      <c r="J180" s="15">
        <v>11.977973568281939</v>
      </c>
    </row>
    <row r="181" spans="1:10" x14ac:dyDescent="0.25">
      <c r="A181" s="2" t="s">
        <v>539</v>
      </c>
      <c r="B181" s="2" t="s">
        <v>540</v>
      </c>
      <c r="C181" s="2" t="s">
        <v>541</v>
      </c>
      <c r="D181" s="2" t="s">
        <v>10040</v>
      </c>
      <c r="E181" s="15">
        <v>2.5999999999999999E-2</v>
      </c>
      <c r="F181" s="15">
        <v>4.6699999999999998E-2</v>
      </c>
      <c r="G181" s="15">
        <v>0.57809999999999995</v>
      </c>
      <c r="H181" s="15">
        <v>0.21440000000000001</v>
      </c>
      <c r="I181" s="15">
        <v>2.4E-2</v>
      </c>
      <c r="J181" s="15">
        <v>10.10526315789474</v>
      </c>
    </row>
    <row r="182" spans="1:10" x14ac:dyDescent="0.25">
      <c r="A182" s="2" t="s">
        <v>542</v>
      </c>
      <c r="B182" s="2" t="s">
        <v>543</v>
      </c>
      <c r="C182" s="2" t="s">
        <v>544</v>
      </c>
      <c r="D182" s="2" t="s">
        <v>10040</v>
      </c>
      <c r="E182" s="15">
        <v>0.1966</v>
      </c>
      <c r="F182" s="15">
        <v>0.3931</v>
      </c>
      <c r="G182" s="15">
        <v>0.61699999999999999</v>
      </c>
      <c r="H182" s="15">
        <v>4.7999999999999996E-3</v>
      </c>
      <c r="I182" s="15">
        <v>1.29E-2</v>
      </c>
      <c r="J182" s="15">
        <v>0.31147540983606548</v>
      </c>
    </row>
    <row r="183" spans="1:10" x14ac:dyDescent="0.25">
      <c r="A183" s="2" t="s">
        <v>545</v>
      </c>
      <c r="B183" s="2" t="s">
        <v>546</v>
      </c>
      <c r="C183" s="2" t="s">
        <v>547</v>
      </c>
      <c r="D183" s="2" t="s">
        <v>10040</v>
      </c>
      <c r="E183" s="15">
        <v>8.1900000000000001E-2</v>
      </c>
      <c r="F183" s="15">
        <v>4.8800000000000003E-2</v>
      </c>
      <c r="G183" s="15">
        <v>9.3700000000000006E-2</v>
      </c>
      <c r="H183" s="15">
        <v>0.16320000000000001</v>
      </c>
      <c r="I183" s="15">
        <v>2.8000000000000001E-2</v>
      </c>
      <c r="J183" s="15">
        <v>6.2631578947368416</v>
      </c>
    </row>
    <row r="184" spans="1:10" x14ac:dyDescent="0.25">
      <c r="A184" s="2" t="s">
        <v>548</v>
      </c>
      <c r="B184" s="2" t="s">
        <v>549</v>
      </c>
      <c r="C184" s="2" t="s">
        <v>550</v>
      </c>
      <c r="D184" s="2" t="s">
        <v>10040</v>
      </c>
      <c r="E184" s="15">
        <v>-1.4200000000000001E-2</v>
      </c>
      <c r="F184" s="15">
        <v>3.2899999999999999E-2</v>
      </c>
      <c r="G184" s="15">
        <v>0.66539999999999999</v>
      </c>
      <c r="H184" s="15">
        <v>0.32869999999999999</v>
      </c>
      <c r="I184" s="15">
        <v>2.75E-2</v>
      </c>
      <c r="J184" s="15">
        <v>13.790123456790131</v>
      </c>
    </row>
    <row r="185" spans="1:10" x14ac:dyDescent="0.25">
      <c r="A185" s="2" t="s">
        <v>551</v>
      </c>
      <c r="B185" s="2" t="s">
        <v>552</v>
      </c>
      <c r="C185" s="2" t="s">
        <v>553</v>
      </c>
      <c r="D185" s="2" t="s">
        <v>10040</v>
      </c>
      <c r="E185" s="15">
        <v>-1E-4</v>
      </c>
      <c r="F185" s="15">
        <v>4.7E-2</v>
      </c>
      <c r="G185" s="15">
        <v>0.99750000000000005</v>
      </c>
      <c r="H185" s="15">
        <v>0.15759999999999999</v>
      </c>
      <c r="I185" s="15">
        <v>1.78E-2</v>
      </c>
      <c r="J185" s="15">
        <v>9.5029585798816569</v>
      </c>
    </row>
    <row r="186" spans="1:10" x14ac:dyDescent="0.25">
      <c r="A186" s="2" t="s">
        <v>554</v>
      </c>
      <c r="B186" s="2" t="s">
        <v>555</v>
      </c>
      <c r="C186" s="2" t="s">
        <v>556</v>
      </c>
      <c r="D186" s="2" t="s">
        <v>10040</v>
      </c>
      <c r="E186" s="15">
        <v>-3.2599999999999997E-2</v>
      </c>
      <c r="F186" s="15">
        <v>4.2299999999999997E-2</v>
      </c>
      <c r="G186" s="15">
        <v>0.44080000000000003</v>
      </c>
      <c r="H186" s="15">
        <v>0.21659999999999999</v>
      </c>
      <c r="I186" s="15">
        <v>1.83E-2</v>
      </c>
      <c r="J186" s="15">
        <v>12.988095238095241</v>
      </c>
    </row>
    <row r="187" spans="1:10" x14ac:dyDescent="0.25">
      <c r="A187" s="2" t="s">
        <v>557</v>
      </c>
      <c r="B187" s="2" t="s">
        <v>558</v>
      </c>
      <c r="C187" s="2" t="s">
        <v>559</v>
      </c>
      <c r="D187" s="2" t="s">
        <v>10040</v>
      </c>
      <c r="E187" s="15">
        <v>-5.4399999999999997E-2</v>
      </c>
      <c r="F187" s="15">
        <v>4.2200000000000001E-2</v>
      </c>
      <c r="G187" s="15">
        <v>0.1973</v>
      </c>
      <c r="H187" s="15">
        <v>0.2137</v>
      </c>
      <c r="I187" s="15">
        <v>1.95E-2</v>
      </c>
      <c r="J187" s="15">
        <v>11.32307692307692</v>
      </c>
    </row>
    <row r="188" spans="1:10" x14ac:dyDescent="0.25">
      <c r="A188" s="2" t="s">
        <v>560</v>
      </c>
      <c r="B188" s="2" t="s">
        <v>561</v>
      </c>
      <c r="C188" s="2" t="s">
        <v>562</v>
      </c>
      <c r="D188" s="2" t="s">
        <v>10040</v>
      </c>
      <c r="E188" s="15">
        <v>-3.0999999999999999E-3</v>
      </c>
      <c r="F188" s="15">
        <v>4.3799999999999999E-2</v>
      </c>
      <c r="G188" s="15">
        <v>0.94420000000000004</v>
      </c>
      <c r="H188" s="15">
        <v>0.24199999999999999</v>
      </c>
      <c r="I188" s="15">
        <v>2.52E-2</v>
      </c>
      <c r="J188" s="15">
        <v>11.37053571428571</v>
      </c>
    </row>
    <row r="189" spans="1:10" x14ac:dyDescent="0.25">
      <c r="A189" s="2" t="s">
        <v>563</v>
      </c>
      <c r="B189" s="2" t="s">
        <v>564</v>
      </c>
      <c r="C189" s="2" t="s">
        <v>565</v>
      </c>
      <c r="D189" s="2" t="s">
        <v>10040</v>
      </c>
      <c r="E189" s="15">
        <v>1.9599999999999999E-2</v>
      </c>
      <c r="F189" s="15">
        <v>3.9199999999999999E-2</v>
      </c>
      <c r="G189" s="15">
        <v>0.61629999999999996</v>
      </c>
      <c r="H189" s="15">
        <v>0.2379</v>
      </c>
      <c r="I189" s="15">
        <v>2.4799999999999999E-2</v>
      </c>
      <c r="J189" s="15">
        <v>10.893023255813951</v>
      </c>
    </row>
    <row r="190" spans="1:10" x14ac:dyDescent="0.25">
      <c r="A190" s="2" t="s">
        <v>566</v>
      </c>
      <c r="B190" s="2" t="s">
        <v>567</v>
      </c>
      <c r="C190" s="2" t="s">
        <v>568</v>
      </c>
      <c r="D190" s="2" t="s">
        <v>10040</v>
      </c>
      <c r="E190" s="15">
        <v>2.9899999999999999E-2</v>
      </c>
      <c r="F190" s="15">
        <v>6.1400000000000003E-2</v>
      </c>
      <c r="G190" s="15">
        <v>0.62660000000000005</v>
      </c>
      <c r="H190" s="15">
        <v>0.1018</v>
      </c>
      <c r="I190" s="15">
        <v>2.0199999999999999E-2</v>
      </c>
      <c r="J190" s="15">
        <v>5.7430167597765367</v>
      </c>
    </row>
    <row r="191" spans="1:10" x14ac:dyDescent="0.25">
      <c r="A191" s="2" t="s">
        <v>569</v>
      </c>
      <c r="B191" s="2" t="s">
        <v>570</v>
      </c>
      <c r="C191" s="2" t="s">
        <v>571</v>
      </c>
      <c r="D191" s="2" t="s">
        <v>10040</v>
      </c>
      <c r="E191" s="15">
        <v>3.27E-2</v>
      </c>
      <c r="F191" s="15">
        <v>0.04</v>
      </c>
      <c r="G191" s="15">
        <v>0.41339999999999999</v>
      </c>
      <c r="H191" s="15">
        <v>0.1903</v>
      </c>
      <c r="I191" s="15">
        <v>2.0199999999999999E-2</v>
      </c>
      <c r="J191" s="15">
        <v>10.68041237113402</v>
      </c>
    </row>
    <row r="192" spans="1:10" x14ac:dyDescent="0.25">
      <c r="A192" s="2" t="s">
        <v>572</v>
      </c>
      <c r="B192" s="2" t="s">
        <v>573</v>
      </c>
      <c r="C192" s="2" t="s">
        <v>574</v>
      </c>
      <c r="D192" s="2" t="s">
        <v>10040</v>
      </c>
      <c r="E192" s="15">
        <v>-4.0099999999999997E-2</v>
      </c>
      <c r="F192" s="15">
        <v>3.5000000000000003E-2</v>
      </c>
      <c r="G192" s="15">
        <v>0.2515</v>
      </c>
      <c r="H192" s="15">
        <v>0.34379999999999999</v>
      </c>
      <c r="I192" s="15">
        <v>3.15E-2</v>
      </c>
      <c r="J192" s="15">
        <v>12.27106227106227</v>
      </c>
    </row>
    <row r="193" spans="1:10" x14ac:dyDescent="0.25">
      <c r="A193" s="2" t="s">
        <v>575</v>
      </c>
      <c r="B193" s="2" t="s">
        <v>576</v>
      </c>
      <c r="C193" s="2" t="s">
        <v>577</v>
      </c>
      <c r="D193" s="2" t="s">
        <v>10040</v>
      </c>
      <c r="E193" s="15">
        <v>0.1056</v>
      </c>
      <c r="F193" s="15">
        <v>4.0800000000000003E-2</v>
      </c>
      <c r="G193" s="15">
        <v>9.7000000000000003E-3</v>
      </c>
      <c r="H193" s="15">
        <v>0.26469999999999999</v>
      </c>
      <c r="I193" s="15">
        <v>2.5700000000000001E-2</v>
      </c>
      <c r="J193" s="15">
        <v>11.21311475409836</v>
      </c>
    </row>
    <row r="194" spans="1:10" x14ac:dyDescent="0.25">
      <c r="A194" s="2" t="s">
        <v>578</v>
      </c>
      <c r="B194" s="2" t="s">
        <v>579</v>
      </c>
      <c r="C194" s="2" t="s">
        <v>580</v>
      </c>
      <c r="D194" s="2" t="s">
        <v>10040</v>
      </c>
      <c r="E194" s="15">
        <v>2.3099999999999999E-2</v>
      </c>
      <c r="F194" s="15">
        <v>4.6699999999999998E-2</v>
      </c>
      <c r="G194" s="15">
        <v>0.62090000000000001</v>
      </c>
      <c r="H194" s="15">
        <v>0.14360000000000001</v>
      </c>
      <c r="I194" s="15">
        <v>2.0199999999999999E-2</v>
      </c>
      <c r="J194" s="15">
        <v>7.7142857142857144</v>
      </c>
    </row>
    <row r="195" spans="1:10" x14ac:dyDescent="0.25">
      <c r="A195" s="2" t="s">
        <v>581</v>
      </c>
      <c r="B195" s="2" t="s">
        <v>582</v>
      </c>
      <c r="C195" s="2" t="s">
        <v>583</v>
      </c>
      <c r="D195" s="2" t="s">
        <v>10040</v>
      </c>
      <c r="E195" s="15">
        <v>3.7100000000000001E-2</v>
      </c>
      <c r="F195" s="15">
        <v>3.8600000000000002E-2</v>
      </c>
      <c r="G195" s="15">
        <v>0.33679999999999999</v>
      </c>
      <c r="H195" s="15">
        <v>0.32419999999999999</v>
      </c>
      <c r="I195" s="15">
        <v>3.0700000000000002E-2</v>
      </c>
      <c r="J195" s="15">
        <v>11.523297491039431</v>
      </c>
    </row>
    <row r="196" spans="1:10" x14ac:dyDescent="0.25">
      <c r="A196" s="2" t="s">
        <v>584</v>
      </c>
      <c r="B196" s="2" t="s">
        <v>585</v>
      </c>
      <c r="C196" s="2" t="s">
        <v>586</v>
      </c>
      <c r="D196" s="2" t="s">
        <v>10040</v>
      </c>
      <c r="E196" s="15">
        <v>4.0500000000000001E-2</v>
      </c>
      <c r="F196" s="15">
        <v>4.3200000000000002E-2</v>
      </c>
      <c r="G196" s="15">
        <v>0.34870000000000001</v>
      </c>
      <c r="H196" s="15">
        <v>0.34739999999999999</v>
      </c>
      <c r="I196" s="15">
        <v>3.2000000000000001E-2</v>
      </c>
      <c r="J196" s="15">
        <v>12.25259515570934</v>
      </c>
    </row>
    <row r="197" spans="1:10" x14ac:dyDescent="0.25">
      <c r="A197" s="2" t="s">
        <v>587</v>
      </c>
      <c r="B197" s="2" t="s">
        <v>588</v>
      </c>
      <c r="C197" s="2" t="s">
        <v>589</v>
      </c>
      <c r="D197" s="2" t="s">
        <v>10040</v>
      </c>
      <c r="E197" s="15">
        <v>-2.9600000000000001E-2</v>
      </c>
      <c r="F197" s="15">
        <v>3.8600000000000002E-2</v>
      </c>
      <c r="G197" s="15">
        <v>0.44440000000000002</v>
      </c>
      <c r="H197" s="15">
        <v>0.27189999999999998</v>
      </c>
      <c r="I197" s="15">
        <v>2.4799999999999999E-2</v>
      </c>
      <c r="J197" s="15">
        <v>11.708860759493669</v>
      </c>
    </row>
    <row r="198" spans="1:10" x14ac:dyDescent="0.25">
      <c r="A198" s="2" t="s">
        <v>590</v>
      </c>
      <c r="B198" s="2" t="s">
        <v>591</v>
      </c>
      <c r="C198" s="2" t="s">
        <v>592</v>
      </c>
      <c r="D198" s="2" t="s">
        <v>10040</v>
      </c>
      <c r="E198" s="15">
        <v>-5.4999999999999997E-3</v>
      </c>
      <c r="F198" s="15">
        <v>3.7900000000000003E-2</v>
      </c>
      <c r="G198" s="15">
        <v>0.88539999999999996</v>
      </c>
      <c r="H198" s="15">
        <v>0.32379999999999998</v>
      </c>
      <c r="I198" s="15">
        <v>2.7799999999999998E-2</v>
      </c>
      <c r="J198" s="15">
        <v>13.101503759398501</v>
      </c>
    </row>
    <row r="199" spans="1:10" x14ac:dyDescent="0.25">
      <c r="A199" s="2" t="s">
        <v>593</v>
      </c>
      <c r="B199" s="2" t="s">
        <v>594</v>
      </c>
      <c r="C199" s="2" t="s">
        <v>595</v>
      </c>
      <c r="D199" s="2" t="s">
        <v>10040</v>
      </c>
      <c r="E199" s="15">
        <v>-2.0999999999999999E-3</v>
      </c>
      <c r="F199" s="15">
        <v>3.8300000000000001E-2</v>
      </c>
      <c r="G199" s="15">
        <v>0.95579999999999998</v>
      </c>
      <c r="H199" s="15">
        <v>0.33279999999999998</v>
      </c>
      <c r="I199" s="15">
        <v>3.0700000000000002E-2</v>
      </c>
      <c r="J199" s="15">
        <v>11.697080291970799</v>
      </c>
    </row>
    <row r="200" spans="1:10" x14ac:dyDescent="0.25">
      <c r="A200" s="2" t="s">
        <v>596</v>
      </c>
      <c r="B200" s="2" t="s">
        <v>597</v>
      </c>
      <c r="C200" s="2" t="s">
        <v>598</v>
      </c>
      <c r="D200" s="2" t="s">
        <v>10040</v>
      </c>
      <c r="E200" s="15">
        <v>-7.7999999999999996E-3</v>
      </c>
      <c r="F200" s="15">
        <v>3.8300000000000001E-2</v>
      </c>
      <c r="G200" s="15">
        <v>0.83919999999999995</v>
      </c>
      <c r="H200" s="15">
        <v>0.30170000000000002</v>
      </c>
      <c r="I200" s="15">
        <v>2.5499999999999998E-2</v>
      </c>
      <c r="J200" s="15">
        <v>13.63063063063063</v>
      </c>
    </row>
    <row r="201" spans="1:10" x14ac:dyDescent="0.25">
      <c r="A201" s="2" t="s">
        <v>599</v>
      </c>
      <c r="B201" s="2" t="s">
        <v>600</v>
      </c>
      <c r="C201" s="2" t="s">
        <v>601</v>
      </c>
      <c r="D201" s="2" t="s">
        <v>10040</v>
      </c>
      <c r="E201" s="15">
        <v>-2.2599999999999999E-2</v>
      </c>
      <c r="F201" s="15">
        <v>3.5799999999999998E-2</v>
      </c>
      <c r="G201" s="15">
        <v>0.52839999999999998</v>
      </c>
      <c r="H201" s="15">
        <v>0.26269999999999999</v>
      </c>
      <c r="I201" s="15">
        <v>2.6200000000000001E-2</v>
      </c>
      <c r="J201" s="15">
        <v>11.406926406926409</v>
      </c>
    </row>
    <row r="202" spans="1:10" x14ac:dyDescent="0.25">
      <c r="A202" s="2" t="s">
        <v>602</v>
      </c>
      <c r="B202" s="2" t="s">
        <v>603</v>
      </c>
      <c r="C202" s="2" t="s">
        <v>604</v>
      </c>
      <c r="D202" s="2" t="s">
        <v>10040</v>
      </c>
      <c r="E202" s="15">
        <v>4.02E-2</v>
      </c>
      <c r="F202" s="15">
        <v>4.2500000000000003E-2</v>
      </c>
      <c r="G202" s="15">
        <v>0.34370000000000001</v>
      </c>
      <c r="H202" s="15">
        <v>0.21199999999999999</v>
      </c>
      <c r="I202" s="15">
        <v>1.8200000000000001E-2</v>
      </c>
      <c r="J202" s="15">
        <v>11.893617021276601</v>
      </c>
    </row>
    <row r="203" spans="1:10" x14ac:dyDescent="0.25">
      <c r="A203" s="2" t="s">
        <v>605</v>
      </c>
      <c r="B203" s="2" t="s">
        <v>606</v>
      </c>
      <c r="C203" s="2" t="s">
        <v>607</v>
      </c>
      <c r="D203" s="2" t="s">
        <v>10040</v>
      </c>
      <c r="E203" s="15">
        <v>-3.3300000000000003E-2</v>
      </c>
      <c r="F203" s="15">
        <v>4.3200000000000002E-2</v>
      </c>
      <c r="G203" s="15">
        <v>0.441</v>
      </c>
      <c r="H203" s="15">
        <v>0.2359</v>
      </c>
      <c r="I203" s="15">
        <v>2.3099999999999999E-2</v>
      </c>
      <c r="J203" s="15">
        <v>10.88532110091743</v>
      </c>
    </row>
    <row r="204" spans="1:10" x14ac:dyDescent="0.25">
      <c r="A204" s="2" t="s">
        <v>608</v>
      </c>
      <c r="B204" s="2" t="s">
        <v>609</v>
      </c>
      <c r="C204" s="2" t="s">
        <v>610</v>
      </c>
      <c r="D204" s="2" t="s">
        <v>10040</v>
      </c>
      <c r="E204" s="15">
        <v>-4.8399999999999999E-2</v>
      </c>
      <c r="F204" s="15">
        <v>3.6600000000000001E-2</v>
      </c>
      <c r="G204" s="15">
        <v>0.18609999999999999</v>
      </c>
      <c r="H204" s="15">
        <v>0.31940000000000002</v>
      </c>
      <c r="I204" s="15">
        <v>3.0800000000000001E-2</v>
      </c>
      <c r="J204" s="15">
        <v>11.04964539007092</v>
      </c>
    </row>
    <row r="205" spans="1:10" x14ac:dyDescent="0.25">
      <c r="A205" s="2" t="s">
        <v>611</v>
      </c>
      <c r="B205" s="2" t="s">
        <v>612</v>
      </c>
      <c r="C205" s="2" t="s">
        <v>613</v>
      </c>
      <c r="D205" s="2" t="s">
        <v>10040</v>
      </c>
      <c r="E205" s="15">
        <v>-0.111</v>
      </c>
      <c r="F205" s="15">
        <v>5.8500000000000003E-2</v>
      </c>
      <c r="G205" s="15">
        <v>5.7599999999999998E-2</v>
      </c>
      <c r="H205" s="15">
        <v>0.10100000000000001</v>
      </c>
      <c r="I205" s="15">
        <v>1.61E-2</v>
      </c>
      <c r="J205" s="15">
        <v>6.5900621118012426</v>
      </c>
    </row>
    <row r="206" spans="1:10" x14ac:dyDescent="0.25">
      <c r="A206" s="2" t="s">
        <v>614</v>
      </c>
      <c r="B206" s="2" t="s">
        <v>615</v>
      </c>
      <c r="C206" s="2" t="s">
        <v>616</v>
      </c>
      <c r="D206" s="2" t="s">
        <v>10040</v>
      </c>
      <c r="E206" s="15">
        <v>8.2100000000000006E-2</v>
      </c>
      <c r="F206" s="15">
        <v>4.2299999999999997E-2</v>
      </c>
      <c r="G206" s="15">
        <v>5.2600000000000001E-2</v>
      </c>
      <c r="H206" s="15">
        <v>0.2263</v>
      </c>
      <c r="I206" s="15">
        <v>2.2499999999999999E-2</v>
      </c>
      <c r="J206" s="15">
        <v>11.264150943396229</v>
      </c>
    </row>
    <row r="207" spans="1:10" x14ac:dyDescent="0.25">
      <c r="A207" s="2" t="s">
        <v>617</v>
      </c>
      <c r="B207" s="2" t="s">
        <v>618</v>
      </c>
      <c r="C207" s="2" t="s">
        <v>619</v>
      </c>
      <c r="D207" s="2" t="s">
        <v>10040</v>
      </c>
      <c r="E207" s="15">
        <v>8.3599999999999994E-2</v>
      </c>
      <c r="F207" s="15">
        <v>4.9500000000000002E-2</v>
      </c>
      <c r="G207" s="15">
        <v>9.1300000000000006E-2</v>
      </c>
      <c r="H207" s="15">
        <v>0.1575</v>
      </c>
      <c r="I207" s="15">
        <v>2.1899999999999999E-2</v>
      </c>
      <c r="J207" s="15">
        <v>8.0937500000000018</v>
      </c>
    </row>
    <row r="208" spans="1:10" x14ac:dyDescent="0.25">
      <c r="A208" s="2" t="s">
        <v>620</v>
      </c>
      <c r="B208" s="2" t="s">
        <v>621</v>
      </c>
      <c r="C208" s="2" t="s">
        <v>622</v>
      </c>
      <c r="D208" s="2" t="s">
        <v>10040</v>
      </c>
      <c r="E208" s="15">
        <v>4.3799999999999999E-2</v>
      </c>
      <c r="F208" s="15">
        <v>4.0899999999999999E-2</v>
      </c>
      <c r="G208" s="15">
        <v>0.28389999999999999</v>
      </c>
      <c r="H208" s="15">
        <v>0.183</v>
      </c>
      <c r="I208" s="15">
        <v>1.9199999999999998E-2</v>
      </c>
      <c r="J208" s="15">
        <v>10.378378378378381</v>
      </c>
    </row>
    <row r="209" spans="1:10" x14ac:dyDescent="0.25">
      <c r="A209" s="2" t="s">
        <v>623</v>
      </c>
      <c r="B209" s="2" t="s">
        <v>624</v>
      </c>
      <c r="C209" s="2" t="s">
        <v>625</v>
      </c>
      <c r="D209" s="2" t="s">
        <v>10040</v>
      </c>
      <c r="E209" s="15">
        <v>-5.2200000000000003E-2</v>
      </c>
      <c r="F209" s="15">
        <v>3.4299999999999997E-2</v>
      </c>
      <c r="G209" s="15">
        <v>0.1283</v>
      </c>
      <c r="H209" s="15">
        <v>0.35220000000000001</v>
      </c>
      <c r="I209" s="15">
        <v>3.2099999999999997E-2</v>
      </c>
      <c r="J209" s="15">
        <v>12.134751773049651</v>
      </c>
    </row>
    <row r="210" spans="1:10" x14ac:dyDescent="0.25">
      <c r="A210" s="2" t="s">
        <v>626</v>
      </c>
      <c r="B210" s="2" t="s">
        <v>627</v>
      </c>
      <c r="C210" s="2" t="s">
        <v>628</v>
      </c>
      <c r="D210" s="2" t="s">
        <v>10040</v>
      </c>
      <c r="E210" s="15">
        <v>6.8400000000000002E-2</v>
      </c>
      <c r="F210" s="15">
        <v>4.2099999999999999E-2</v>
      </c>
      <c r="G210" s="15">
        <v>0.10390000000000001</v>
      </c>
      <c r="H210" s="15">
        <v>0.25330000000000003</v>
      </c>
      <c r="I210" s="15">
        <v>2.6499999999999999E-2</v>
      </c>
      <c r="J210" s="15">
        <v>10.60483870967742</v>
      </c>
    </row>
    <row r="211" spans="1:10" x14ac:dyDescent="0.25">
      <c r="A211" s="2" t="s">
        <v>629</v>
      </c>
      <c r="B211" s="2" t="s">
        <v>630</v>
      </c>
      <c r="C211" s="2" t="s">
        <v>631</v>
      </c>
      <c r="D211" s="2" t="s">
        <v>10040</v>
      </c>
      <c r="E211" s="15">
        <v>-3.1800000000000002E-2</v>
      </c>
      <c r="F211" s="15">
        <v>4.9500000000000002E-2</v>
      </c>
      <c r="G211" s="15">
        <v>0.52039999999999997</v>
      </c>
      <c r="H211" s="15">
        <v>0.129</v>
      </c>
      <c r="I211" s="15">
        <v>1.6899999999999998E-2</v>
      </c>
      <c r="J211" s="15">
        <v>8.0187499999999989</v>
      </c>
    </row>
    <row r="212" spans="1:10" x14ac:dyDescent="0.25">
      <c r="A212" s="2" t="s">
        <v>632</v>
      </c>
      <c r="B212" s="2" t="s">
        <v>633</v>
      </c>
      <c r="C212" s="2" t="s">
        <v>634</v>
      </c>
      <c r="D212" s="2" t="s">
        <v>10040</v>
      </c>
      <c r="E212" s="15">
        <v>3.39E-2</v>
      </c>
      <c r="F212" s="15">
        <v>3.7400000000000003E-2</v>
      </c>
      <c r="G212" s="15">
        <v>0.36570000000000003</v>
      </c>
      <c r="H212" s="15">
        <v>0.30130000000000001</v>
      </c>
      <c r="I212" s="15">
        <v>2.7900000000000001E-2</v>
      </c>
      <c r="J212" s="15">
        <v>11.255725190839691</v>
      </c>
    </row>
    <row r="213" spans="1:10" x14ac:dyDescent="0.25">
      <c r="A213" s="2" t="s">
        <v>635</v>
      </c>
      <c r="B213" s="2" t="s">
        <v>636</v>
      </c>
      <c r="C213" s="2" t="s">
        <v>637</v>
      </c>
      <c r="D213" s="2" t="s">
        <v>10040</v>
      </c>
      <c r="E213" s="15">
        <v>1.34E-2</v>
      </c>
      <c r="F213" s="15">
        <v>4.3799999999999999E-2</v>
      </c>
      <c r="G213" s="15">
        <v>0.76049999999999995</v>
      </c>
      <c r="H213" s="15">
        <v>0.3402</v>
      </c>
      <c r="I213" s="15">
        <v>3.3399999999999999E-2</v>
      </c>
      <c r="J213" s="15">
        <v>11.611295681063121</v>
      </c>
    </row>
    <row r="214" spans="1:10" x14ac:dyDescent="0.25">
      <c r="A214" s="2" t="s">
        <v>638</v>
      </c>
      <c r="B214" s="2" t="s">
        <v>639</v>
      </c>
      <c r="C214" s="2" t="s">
        <v>640</v>
      </c>
      <c r="D214" s="2" t="s">
        <v>10040</v>
      </c>
      <c r="E214" s="15">
        <v>-6.8999999999999999E-3</v>
      </c>
      <c r="F214" s="15">
        <v>3.7199999999999997E-2</v>
      </c>
      <c r="G214" s="15">
        <v>0.8518</v>
      </c>
      <c r="H214" s="15">
        <v>0.29970000000000002</v>
      </c>
      <c r="I214" s="15">
        <v>2.47E-2</v>
      </c>
      <c r="J214" s="15">
        <v>12.737500000000001</v>
      </c>
    </row>
    <row r="215" spans="1:10" x14ac:dyDescent="0.25">
      <c r="A215" s="2" t="s">
        <v>641</v>
      </c>
      <c r="B215" s="2" t="s">
        <v>642</v>
      </c>
      <c r="C215" s="2" t="s">
        <v>643</v>
      </c>
      <c r="D215" s="2" t="s">
        <v>10040</v>
      </c>
      <c r="E215" s="15">
        <v>-1.2500000000000001E-2</v>
      </c>
      <c r="F215" s="15">
        <v>3.9199999999999999E-2</v>
      </c>
      <c r="G215" s="15">
        <v>0.74929999999999997</v>
      </c>
      <c r="H215" s="15">
        <v>0.31509999999999999</v>
      </c>
      <c r="I215" s="15">
        <v>2.7900000000000001E-2</v>
      </c>
      <c r="J215" s="15">
        <v>12.850574712643679</v>
      </c>
    </row>
    <row r="216" spans="1:10" x14ac:dyDescent="0.25">
      <c r="A216" s="2" t="s">
        <v>644</v>
      </c>
      <c r="B216" s="2" t="s">
        <v>645</v>
      </c>
      <c r="C216" s="2" t="s">
        <v>646</v>
      </c>
      <c r="D216" s="2" t="s">
        <v>10040</v>
      </c>
      <c r="E216" s="15">
        <v>-8.6999999999999994E-3</v>
      </c>
      <c r="F216" s="15">
        <v>3.6400000000000002E-2</v>
      </c>
      <c r="G216" s="15">
        <v>0.81179999999999997</v>
      </c>
      <c r="H216" s="15">
        <v>0.3483</v>
      </c>
      <c r="I216" s="15">
        <v>3.0200000000000001E-2</v>
      </c>
      <c r="J216" s="15">
        <v>12.48339483394834</v>
      </c>
    </row>
    <row r="217" spans="1:10" x14ac:dyDescent="0.25">
      <c r="A217" s="2" t="s">
        <v>647</v>
      </c>
      <c r="B217" s="2" t="s">
        <v>648</v>
      </c>
      <c r="C217" s="2" t="s">
        <v>649</v>
      </c>
      <c r="D217" s="2" t="s">
        <v>10040</v>
      </c>
      <c r="E217" s="15">
        <v>-1.2800000000000001E-2</v>
      </c>
      <c r="F217" s="15">
        <v>3.6499999999999998E-2</v>
      </c>
      <c r="G217" s="15">
        <v>0.72560000000000002</v>
      </c>
      <c r="H217" s="15">
        <v>0.31850000000000001</v>
      </c>
      <c r="I217" s="15">
        <v>2.7099999999999999E-2</v>
      </c>
      <c r="J217" s="15">
        <v>14.427272727272729</v>
      </c>
    </row>
    <row r="218" spans="1:10" x14ac:dyDescent="0.25">
      <c r="A218" s="2" t="s">
        <v>650</v>
      </c>
      <c r="B218" s="2" t="s">
        <v>651</v>
      </c>
      <c r="C218" s="2" t="s">
        <v>652</v>
      </c>
      <c r="D218" s="2" t="s">
        <v>10040</v>
      </c>
      <c r="E218" s="15">
        <v>-1.43E-2</v>
      </c>
      <c r="F218" s="15">
        <v>3.5099999999999999E-2</v>
      </c>
      <c r="G218" s="15">
        <v>0.68359999999999999</v>
      </c>
      <c r="H218" s="15">
        <v>0.28860000000000002</v>
      </c>
      <c r="I218" s="15">
        <v>2.7E-2</v>
      </c>
      <c r="J218" s="15">
        <v>11.795081967213109</v>
      </c>
    </row>
    <row r="219" spans="1:10" x14ac:dyDescent="0.25">
      <c r="A219" s="2" t="s">
        <v>653</v>
      </c>
      <c r="B219" s="2" t="s">
        <v>654</v>
      </c>
      <c r="C219" s="2" t="s">
        <v>655</v>
      </c>
      <c r="D219" s="2" t="s">
        <v>10040</v>
      </c>
      <c r="E219" s="15">
        <v>4.2900000000000001E-2</v>
      </c>
      <c r="F219" s="15">
        <v>4.48E-2</v>
      </c>
      <c r="G219" s="15">
        <v>0.33889999999999998</v>
      </c>
      <c r="H219" s="15">
        <v>0.2235</v>
      </c>
      <c r="I219" s="15">
        <v>2.3400000000000001E-2</v>
      </c>
      <c r="J219" s="15">
        <v>10.85253456221198</v>
      </c>
    </row>
    <row r="220" spans="1:10" x14ac:dyDescent="0.25">
      <c r="A220" s="2" t="s">
        <v>656</v>
      </c>
      <c r="B220" s="2" t="s">
        <v>657</v>
      </c>
      <c r="C220" s="2" t="s">
        <v>658</v>
      </c>
      <c r="D220" s="2" t="s">
        <v>10040</v>
      </c>
      <c r="E220" s="15">
        <v>-1.4E-3</v>
      </c>
      <c r="F220" s="15">
        <v>4.36E-2</v>
      </c>
      <c r="G220" s="15">
        <v>0.9748</v>
      </c>
      <c r="H220" s="15">
        <v>0.2465</v>
      </c>
      <c r="I220" s="15">
        <v>2.41E-2</v>
      </c>
      <c r="J220" s="15">
        <v>10.79746835443038</v>
      </c>
    </row>
    <row r="221" spans="1:10" x14ac:dyDescent="0.25">
      <c r="A221" s="2" t="s">
        <v>659</v>
      </c>
      <c r="B221" s="2" t="s">
        <v>660</v>
      </c>
      <c r="C221" s="2" t="s">
        <v>661</v>
      </c>
      <c r="D221" s="2" t="s">
        <v>10040</v>
      </c>
      <c r="E221" s="15">
        <v>-5.16E-2</v>
      </c>
      <c r="F221" s="15">
        <v>3.5999999999999997E-2</v>
      </c>
      <c r="G221" s="15">
        <v>0.15229999999999999</v>
      </c>
      <c r="H221" s="15">
        <v>0.33610000000000001</v>
      </c>
      <c r="I221" s="15">
        <v>2.87E-2</v>
      </c>
      <c r="J221" s="15">
        <v>12.33955223880597</v>
      </c>
    </row>
    <row r="222" spans="1:10" x14ac:dyDescent="0.25">
      <c r="A222" s="2" t="s">
        <v>662</v>
      </c>
      <c r="B222" s="2" t="s">
        <v>663</v>
      </c>
      <c r="C222" s="2" t="s">
        <v>664</v>
      </c>
      <c r="D222" s="2" t="s">
        <v>10040</v>
      </c>
      <c r="E222" s="15">
        <v>-0.1802</v>
      </c>
      <c r="F222" s="15">
        <v>6.5199999999999994E-2</v>
      </c>
      <c r="G222" s="15">
        <v>5.7000000000000002E-3</v>
      </c>
      <c r="H222" s="15">
        <v>9.3799999999999994E-2</v>
      </c>
      <c r="I222" s="15">
        <v>1.8700000000000001E-2</v>
      </c>
      <c r="J222" s="15">
        <v>5.5508021390374331</v>
      </c>
    </row>
    <row r="223" spans="1:10" x14ac:dyDescent="0.25">
      <c r="A223" s="2" t="s">
        <v>665</v>
      </c>
      <c r="B223" s="2" t="s">
        <v>666</v>
      </c>
      <c r="C223" s="2" t="s">
        <v>667</v>
      </c>
      <c r="D223" s="2" t="s">
        <v>10040</v>
      </c>
      <c r="E223" s="15">
        <v>4.7199999999999999E-2</v>
      </c>
      <c r="F223" s="15">
        <v>4.2599999999999999E-2</v>
      </c>
      <c r="G223" s="15">
        <v>0.26700000000000002</v>
      </c>
      <c r="H223" s="15">
        <v>0.2034</v>
      </c>
      <c r="I223" s="15">
        <v>2.3E-2</v>
      </c>
      <c r="J223" s="15">
        <v>10.30331753554502</v>
      </c>
    </row>
    <row r="224" spans="1:10" x14ac:dyDescent="0.25">
      <c r="A224" s="2" t="s">
        <v>668</v>
      </c>
      <c r="B224" s="2" t="s">
        <v>669</v>
      </c>
      <c r="C224" s="2" t="s">
        <v>670</v>
      </c>
      <c r="D224" s="2" t="s">
        <v>10040</v>
      </c>
      <c r="E224" s="15">
        <v>5.8900000000000001E-2</v>
      </c>
      <c r="F224" s="15">
        <v>5.0299999999999997E-2</v>
      </c>
      <c r="G224" s="15">
        <v>0.2419</v>
      </c>
      <c r="H224" s="15">
        <v>0.1336</v>
      </c>
      <c r="I224" s="15">
        <v>2.3E-2</v>
      </c>
      <c r="J224" s="15">
        <v>6.3623188405797109</v>
      </c>
    </row>
    <row r="225" spans="1:10" x14ac:dyDescent="0.25">
      <c r="A225" s="2" t="s">
        <v>671</v>
      </c>
      <c r="B225" s="2" t="s">
        <v>672</v>
      </c>
      <c r="C225" s="2" t="s">
        <v>673</v>
      </c>
      <c r="D225" s="2" t="s">
        <v>10040</v>
      </c>
      <c r="E225" s="15">
        <v>2.0500000000000001E-2</v>
      </c>
      <c r="F225" s="15">
        <v>3.95E-2</v>
      </c>
      <c r="G225" s="15">
        <v>0.60440000000000005</v>
      </c>
      <c r="H225" s="15">
        <v>0.2258</v>
      </c>
      <c r="I225" s="15">
        <v>2.1399999999999999E-2</v>
      </c>
      <c r="J225" s="15">
        <v>11.64356435643564</v>
      </c>
    </row>
    <row r="226" spans="1:10" x14ac:dyDescent="0.25">
      <c r="A226" s="2" t="s">
        <v>674</v>
      </c>
      <c r="B226" s="2" t="s">
        <v>675</v>
      </c>
      <c r="C226" s="2" t="s">
        <v>676</v>
      </c>
      <c r="D226" s="2" t="s">
        <v>10040</v>
      </c>
      <c r="E226" s="15">
        <v>8.2000000000000007E-3</v>
      </c>
      <c r="F226" s="15">
        <v>4.2099999999999999E-2</v>
      </c>
      <c r="G226" s="15">
        <v>0.84589999999999999</v>
      </c>
      <c r="H226" s="15">
        <v>0.185</v>
      </c>
      <c r="I226" s="15">
        <v>1.8599999999999998E-2</v>
      </c>
      <c r="J226" s="15">
        <v>11.335260115606941</v>
      </c>
    </row>
    <row r="227" spans="1:10" x14ac:dyDescent="0.25">
      <c r="A227" s="2" t="s">
        <v>677</v>
      </c>
      <c r="B227" s="2" t="s">
        <v>678</v>
      </c>
      <c r="C227" s="2" t="s">
        <v>679</v>
      </c>
      <c r="D227" s="2" t="s">
        <v>10040</v>
      </c>
      <c r="E227" s="15">
        <v>-8.6999999999999994E-3</v>
      </c>
      <c r="F227" s="15">
        <v>4.5199999999999997E-2</v>
      </c>
      <c r="G227" s="15">
        <v>0.84670000000000001</v>
      </c>
      <c r="H227" s="15">
        <v>0.16750000000000001</v>
      </c>
      <c r="I227" s="15">
        <v>1.67E-2</v>
      </c>
      <c r="J227" s="15">
        <v>10.07017543859649</v>
      </c>
    </row>
    <row r="228" spans="1:10" x14ac:dyDescent="0.25">
      <c r="A228" s="2" t="s">
        <v>680</v>
      </c>
      <c r="B228" s="2" t="s">
        <v>681</v>
      </c>
      <c r="C228" s="2" t="s">
        <v>682</v>
      </c>
      <c r="D228" s="2" t="s">
        <v>10040</v>
      </c>
      <c r="E228" s="15">
        <v>-3.1800000000000002E-2</v>
      </c>
      <c r="F228" s="15">
        <v>4.1200000000000001E-2</v>
      </c>
      <c r="G228" s="15">
        <v>0.44</v>
      </c>
      <c r="H228" s="15">
        <v>0.1762</v>
      </c>
      <c r="I228" s="15">
        <v>1.9800000000000002E-2</v>
      </c>
      <c r="J228" s="15">
        <v>9.8723404255319132</v>
      </c>
    </row>
    <row r="229" spans="1:10" x14ac:dyDescent="0.25">
      <c r="A229" s="2" t="s">
        <v>683</v>
      </c>
      <c r="B229" s="2" t="s">
        <v>684</v>
      </c>
      <c r="C229" s="2" t="s">
        <v>685</v>
      </c>
      <c r="D229" s="2" t="s">
        <v>10040</v>
      </c>
      <c r="E229" s="15">
        <v>3.2599999999999997E-2</v>
      </c>
      <c r="F229" s="15">
        <v>5.57E-2</v>
      </c>
      <c r="G229" s="15">
        <v>0.5585</v>
      </c>
      <c r="H229" s="15">
        <v>0.12720000000000001</v>
      </c>
      <c r="I229" s="15">
        <v>1.9E-2</v>
      </c>
      <c r="J229" s="15">
        <v>7.4756756756756761</v>
      </c>
    </row>
    <row r="230" spans="1:10" x14ac:dyDescent="0.25">
      <c r="A230" s="2" t="s">
        <v>686</v>
      </c>
      <c r="B230" s="2" t="s">
        <v>687</v>
      </c>
      <c r="C230" s="2" t="s">
        <v>688</v>
      </c>
      <c r="D230" s="2" t="s">
        <v>10040</v>
      </c>
      <c r="E230" s="15">
        <v>-2.3E-3</v>
      </c>
      <c r="F230" s="15">
        <v>5.5899999999999998E-2</v>
      </c>
      <c r="G230" s="15">
        <v>0.9667</v>
      </c>
      <c r="H230" s="15">
        <v>0.13650000000000001</v>
      </c>
      <c r="I230" s="15">
        <v>1.7000000000000001E-2</v>
      </c>
      <c r="J230" s="15">
        <v>8.1428571428571441</v>
      </c>
    </row>
    <row r="231" spans="1:10" x14ac:dyDescent="0.25">
      <c r="A231" s="2" t="s">
        <v>689</v>
      </c>
      <c r="B231" s="2" t="s">
        <v>690</v>
      </c>
      <c r="C231" s="2" t="s">
        <v>691</v>
      </c>
      <c r="D231" s="2" t="s">
        <v>10040</v>
      </c>
      <c r="E231" s="15">
        <v>3.7000000000000002E-3</v>
      </c>
      <c r="F231" s="15">
        <v>5.2200000000000003E-2</v>
      </c>
      <c r="G231" s="15">
        <v>0.94399999999999995</v>
      </c>
      <c r="H231" s="15">
        <v>0.1457</v>
      </c>
      <c r="I231" s="15">
        <v>1.83E-2</v>
      </c>
      <c r="J231" s="15">
        <v>7.916666666666667</v>
      </c>
    </row>
    <row r="232" spans="1:10" x14ac:dyDescent="0.25">
      <c r="A232" s="2" t="s">
        <v>692</v>
      </c>
      <c r="B232" s="2" t="s">
        <v>693</v>
      </c>
      <c r="C232" s="2" t="s">
        <v>694</v>
      </c>
      <c r="D232" s="2" t="s">
        <v>10040</v>
      </c>
      <c r="E232" s="15">
        <v>-3.7199999999999997E-2</v>
      </c>
      <c r="F232" s="15">
        <v>4.7199999999999999E-2</v>
      </c>
      <c r="G232" s="15">
        <v>0.4304</v>
      </c>
      <c r="H232" s="15">
        <v>0.14149999999999999</v>
      </c>
      <c r="I232" s="15">
        <v>1.7100000000000001E-2</v>
      </c>
      <c r="J232" s="15">
        <v>8.6285714285714281</v>
      </c>
    </row>
    <row r="233" spans="1:10" x14ac:dyDescent="0.25">
      <c r="A233" s="2" t="s">
        <v>695</v>
      </c>
      <c r="B233" s="2" t="s">
        <v>696</v>
      </c>
      <c r="C233" s="2" t="s">
        <v>697</v>
      </c>
      <c r="D233" s="2" t="s">
        <v>10040</v>
      </c>
      <c r="E233" s="15">
        <v>2.5700000000000001E-2</v>
      </c>
      <c r="F233" s="15">
        <v>4.6699999999999998E-2</v>
      </c>
      <c r="G233" s="15">
        <v>0.58260000000000001</v>
      </c>
      <c r="H233" s="15">
        <v>0.1628</v>
      </c>
      <c r="I233" s="15">
        <v>1.9300000000000001E-2</v>
      </c>
      <c r="J233" s="15">
        <v>9.7845303867403306</v>
      </c>
    </row>
    <row r="234" spans="1:10" x14ac:dyDescent="0.25">
      <c r="A234" s="2" t="s">
        <v>698</v>
      </c>
      <c r="B234" s="2" t="s">
        <v>699</v>
      </c>
      <c r="C234" s="2" t="s">
        <v>700</v>
      </c>
      <c r="D234" s="2" t="s">
        <v>10040</v>
      </c>
      <c r="E234" s="15">
        <v>4.4999999999999997E-3</v>
      </c>
      <c r="F234" s="15">
        <v>4.02E-2</v>
      </c>
      <c r="G234" s="15">
        <v>0.91159999999999997</v>
      </c>
      <c r="H234" s="15">
        <v>0.21149999999999999</v>
      </c>
      <c r="I234" s="15">
        <v>1.8800000000000001E-2</v>
      </c>
      <c r="J234" s="15">
        <v>12.22099447513812</v>
      </c>
    </row>
    <row r="235" spans="1:10" x14ac:dyDescent="0.25">
      <c r="A235" s="2" t="s">
        <v>701</v>
      </c>
      <c r="B235" s="2" t="s">
        <v>702</v>
      </c>
      <c r="C235" s="2" t="s">
        <v>703</v>
      </c>
      <c r="D235" s="2" t="s">
        <v>10040</v>
      </c>
      <c r="E235" s="15">
        <v>4.8500000000000001E-2</v>
      </c>
      <c r="F235" s="15">
        <v>4.0300000000000002E-2</v>
      </c>
      <c r="G235" s="15">
        <v>0.22839999999999999</v>
      </c>
      <c r="H235" s="15">
        <v>0.25059999999999999</v>
      </c>
      <c r="I235" s="15">
        <v>2.46E-2</v>
      </c>
      <c r="J235" s="15">
        <v>11.46724890829694</v>
      </c>
    </row>
    <row r="236" spans="1:10" x14ac:dyDescent="0.25">
      <c r="A236" s="2" t="s">
        <v>704</v>
      </c>
      <c r="B236" s="2" t="s">
        <v>705</v>
      </c>
      <c r="C236" s="2" t="s">
        <v>706</v>
      </c>
      <c r="D236" s="2" t="s">
        <v>10040</v>
      </c>
      <c r="E236" s="15">
        <v>-5.4000000000000003E-3</v>
      </c>
      <c r="F236" s="15">
        <v>4.0800000000000003E-2</v>
      </c>
      <c r="G236" s="15">
        <v>0.89500000000000002</v>
      </c>
      <c r="H236" s="15">
        <v>0.21809999999999999</v>
      </c>
      <c r="I236" s="15">
        <v>2.12E-2</v>
      </c>
      <c r="J236" s="15">
        <v>11.555</v>
      </c>
    </row>
    <row r="237" spans="1:10" x14ac:dyDescent="0.25">
      <c r="A237" s="2" t="s">
        <v>707</v>
      </c>
      <c r="B237" s="2" t="s">
        <v>708</v>
      </c>
      <c r="C237" s="2" t="s">
        <v>709</v>
      </c>
      <c r="D237" s="2" t="s">
        <v>10040</v>
      </c>
      <c r="E237" s="15">
        <v>-2.3900000000000001E-2</v>
      </c>
      <c r="F237" s="15">
        <v>4.1599999999999998E-2</v>
      </c>
      <c r="G237" s="15">
        <v>0.56489999999999996</v>
      </c>
      <c r="H237" s="15">
        <v>0.18640000000000001</v>
      </c>
      <c r="I237" s="15">
        <v>1.89E-2</v>
      </c>
      <c r="J237" s="15">
        <v>10.09230769230769</v>
      </c>
    </row>
    <row r="238" spans="1:10" x14ac:dyDescent="0.25">
      <c r="A238" s="2" t="s">
        <v>710</v>
      </c>
      <c r="B238" s="2" t="s">
        <v>711</v>
      </c>
      <c r="C238" s="2" t="s">
        <v>712</v>
      </c>
      <c r="D238" s="2" t="s">
        <v>10040</v>
      </c>
      <c r="E238" s="15">
        <v>5.79E-2</v>
      </c>
      <c r="F238" s="15">
        <v>4.3799999999999999E-2</v>
      </c>
      <c r="G238" s="15">
        <v>0.18659999999999999</v>
      </c>
      <c r="H238" s="15">
        <v>0.1807</v>
      </c>
      <c r="I238" s="15">
        <v>1.9300000000000001E-2</v>
      </c>
      <c r="J238" s="15">
        <v>10.423280423280421</v>
      </c>
    </row>
    <row r="239" spans="1:10" x14ac:dyDescent="0.25">
      <c r="A239" s="2" t="s">
        <v>713</v>
      </c>
      <c r="B239" s="2" t="s">
        <v>714</v>
      </c>
      <c r="C239" s="2" t="s">
        <v>715</v>
      </c>
      <c r="D239" s="2" t="s">
        <v>10040</v>
      </c>
      <c r="E239" s="15">
        <v>-5.7500000000000002E-2</v>
      </c>
      <c r="F239" s="15">
        <v>5.3800000000000001E-2</v>
      </c>
      <c r="G239" s="15">
        <v>0.28460000000000002</v>
      </c>
      <c r="H239" s="15">
        <v>0.14219999999999999</v>
      </c>
      <c r="I239" s="15">
        <v>2.1499999999999998E-2</v>
      </c>
      <c r="J239" s="15">
        <v>7.6048780487804883</v>
      </c>
    </row>
    <row r="240" spans="1:10" x14ac:dyDescent="0.25">
      <c r="A240" s="2" t="s">
        <v>716</v>
      </c>
      <c r="B240" s="2" t="s">
        <v>717</v>
      </c>
      <c r="C240" s="2" t="s">
        <v>718</v>
      </c>
      <c r="D240" s="2" t="s">
        <v>10040</v>
      </c>
      <c r="E240" s="15">
        <v>-1.26E-2</v>
      </c>
      <c r="F240" s="15">
        <v>5.0299999999999997E-2</v>
      </c>
      <c r="G240" s="15">
        <v>0.80210000000000004</v>
      </c>
      <c r="H240" s="15">
        <v>0.14230000000000001</v>
      </c>
      <c r="I240" s="15">
        <v>1.95E-2</v>
      </c>
      <c r="J240" s="15">
        <v>7.31</v>
      </c>
    </row>
    <row r="241" spans="1:10" x14ac:dyDescent="0.25">
      <c r="A241" s="2" t="s">
        <v>719</v>
      </c>
      <c r="B241" s="2" t="s">
        <v>720</v>
      </c>
      <c r="C241" s="2" t="s">
        <v>721</v>
      </c>
      <c r="D241" s="2" t="s">
        <v>10040</v>
      </c>
      <c r="E241" s="15">
        <v>5.0200000000000002E-2</v>
      </c>
      <c r="F241" s="15">
        <v>4.8500000000000001E-2</v>
      </c>
      <c r="G241" s="15">
        <v>0.30070000000000002</v>
      </c>
      <c r="H241" s="15">
        <v>0.16969999999999999</v>
      </c>
      <c r="I241" s="15">
        <v>1.9900000000000001E-2</v>
      </c>
      <c r="J241" s="15">
        <v>8.2657004830917877</v>
      </c>
    </row>
    <row r="242" spans="1:10" x14ac:dyDescent="0.25">
      <c r="A242" s="2" t="s">
        <v>722</v>
      </c>
      <c r="B242" s="2" t="s">
        <v>723</v>
      </c>
      <c r="C242" s="2" t="s">
        <v>724</v>
      </c>
      <c r="D242" s="2" t="s">
        <v>10040</v>
      </c>
      <c r="E242" s="15">
        <v>-4.6800000000000001E-2</v>
      </c>
      <c r="F242" s="15">
        <v>4.3499999999999997E-2</v>
      </c>
      <c r="G242" s="15">
        <v>0.28249999999999997</v>
      </c>
      <c r="H242" s="15">
        <v>0.16170000000000001</v>
      </c>
      <c r="I242" s="15">
        <v>2.0799999999999999E-2</v>
      </c>
      <c r="J242" s="15">
        <v>8.0339805825242721</v>
      </c>
    </row>
    <row r="243" spans="1:10" x14ac:dyDescent="0.25">
      <c r="A243" s="2" t="s">
        <v>725</v>
      </c>
      <c r="B243" s="2" t="s">
        <v>726</v>
      </c>
      <c r="C243" s="2" t="s">
        <v>727</v>
      </c>
      <c r="D243" s="2" t="s">
        <v>10040</v>
      </c>
      <c r="E243" s="15">
        <v>3.6799999999999999E-2</v>
      </c>
      <c r="F243" s="15">
        <v>4.7199999999999999E-2</v>
      </c>
      <c r="G243" s="15">
        <v>0.43559999999999999</v>
      </c>
      <c r="H243" s="15">
        <v>0.17780000000000001</v>
      </c>
      <c r="I243" s="15">
        <v>2.2499999999999999E-2</v>
      </c>
      <c r="J243" s="15">
        <v>9</v>
      </c>
    </row>
    <row r="244" spans="1:10" x14ac:dyDescent="0.25">
      <c r="A244" s="2" t="s">
        <v>728</v>
      </c>
      <c r="B244" s="2" t="s">
        <v>729</v>
      </c>
      <c r="C244" s="2" t="s">
        <v>730</v>
      </c>
      <c r="D244" s="2" t="s">
        <v>10040</v>
      </c>
      <c r="E244" s="15">
        <v>9.4000000000000004E-3</v>
      </c>
      <c r="F244" s="15">
        <v>3.9100000000000003E-2</v>
      </c>
      <c r="G244" s="15">
        <v>0.80989999999999995</v>
      </c>
      <c r="H244" s="15">
        <v>0.23069999999999999</v>
      </c>
      <c r="I244" s="15">
        <v>2.1000000000000001E-2</v>
      </c>
      <c r="J244" s="15">
        <v>11.96551724137931</v>
      </c>
    </row>
    <row r="245" spans="1:10" x14ac:dyDescent="0.25">
      <c r="A245" s="2" t="s">
        <v>731</v>
      </c>
      <c r="B245" s="2" t="s">
        <v>732</v>
      </c>
      <c r="C245" s="2" t="s">
        <v>733</v>
      </c>
      <c r="D245" s="2" t="s">
        <v>10040</v>
      </c>
      <c r="E245" s="15">
        <v>-2.64E-2</v>
      </c>
      <c r="F245" s="15">
        <v>4.24E-2</v>
      </c>
      <c r="G245" s="15">
        <v>0.53280000000000005</v>
      </c>
      <c r="H245" s="15">
        <v>0.21690000000000001</v>
      </c>
      <c r="I245" s="15">
        <v>2.9399999999999999E-2</v>
      </c>
      <c r="J245" s="15">
        <v>8.6428571428571423</v>
      </c>
    </row>
    <row r="246" spans="1:10" x14ac:dyDescent="0.25">
      <c r="A246" s="2" t="s">
        <v>734</v>
      </c>
      <c r="B246" s="2" t="s">
        <v>735</v>
      </c>
      <c r="C246" s="2" t="s">
        <v>736</v>
      </c>
      <c r="D246" s="2" t="s">
        <v>10040</v>
      </c>
      <c r="E246" s="15">
        <v>-3.5900000000000001E-2</v>
      </c>
      <c r="F246" s="15">
        <v>4.2799999999999998E-2</v>
      </c>
      <c r="G246" s="15">
        <v>0.40179999999999999</v>
      </c>
      <c r="H246" s="15">
        <v>0.20319999999999999</v>
      </c>
      <c r="I246" s="15">
        <v>3.2899999999999999E-2</v>
      </c>
      <c r="J246" s="15">
        <v>6.4217252396166131</v>
      </c>
    </row>
    <row r="247" spans="1:10" x14ac:dyDescent="0.25">
      <c r="A247" s="2" t="s">
        <v>737</v>
      </c>
      <c r="B247" s="2" t="s">
        <v>738</v>
      </c>
      <c r="C247" s="2" t="s">
        <v>739</v>
      </c>
      <c r="D247" s="2" t="s">
        <v>10040</v>
      </c>
      <c r="E247" s="15">
        <v>-4.0099999999999997E-2</v>
      </c>
      <c r="F247" s="15">
        <v>4.6300000000000001E-2</v>
      </c>
      <c r="G247" s="15">
        <v>0.3856</v>
      </c>
      <c r="H247" s="15">
        <v>0.2238</v>
      </c>
      <c r="I247" s="15">
        <v>2.2100000000000002E-2</v>
      </c>
      <c r="J247" s="15">
        <v>10.911627906976751</v>
      </c>
    </row>
    <row r="248" spans="1:10" x14ac:dyDescent="0.25">
      <c r="A248" s="2" t="s">
        <v>740</v>
      </c>
      <c r="B248" s="2" t="s">
        <v>741</v>
      </c>
      <c r="C248" s="2" t="s">
        <v>742</v>
      </c>
      <c r="D248" s="2" t="s">
        <v>10040</v>
      </c>
      <c r="E248" s="15">
        <v>-1.49E-2</v>
      </c>
      <c r="F248" s="15">
        <v>3.8699999999999998E-2</v>
      </c>
      <c r="G248" s="15">
        <v>0.69979999999999998</v>
      </c>
      <c r="H248" s="15">
        <v>0.2079</v>
      </c>
      <c r="I248" s="15">
        <v>2.1499999999999998E-2</v>
      </c>
      <c r="J248" s="15">
        <v>11.68617021276596</v>
      </c>
    </row>
    <row r="249" spans="1:10" x14ac:dyDescent="0.25">
      <c r="A249" s="2" t="s">
        <v>743</v>
      </c>
      <c r="B249" s="2" t="s">
        <v>744</v>
      </c>
      <c r="C249" s="2" t="s">
        <v>745</v>
      </c>
      <c r="D249" s="2" t="s">
        <v>10040</v>
      </c>
      <c r="E249" s="15">
        <v>5.4399999999999997E-2</v>
      </c>
      <c r="F249" s="15">
        <v>4.9500000000000002E-2</v>
      </c>
      <c r="G249" s="15">
        <v>0.27150000000000002</v>
      </c>
      <c r="H249" s="15">
        <v>0.14580000000000001</v>
      </c>
      <c r="I249" s="15">
        <v>2.2800000000000001E-2</v>
      </c>
      <c r="J249" s="15">
        <v>6.866028708133971</v>
      </c>
    </row>
    <row r="250" spans="1:10" x14ac:dyDescent="0.25">
      <c r="A250" s="2" t="s">
        <v>746</v>
      </c>
      <c r="B250" s="2" t="s">
        <v>747</v>
      </c>
      <c r="C250" s="2" t="s">
        <v>748</v>
      </c>
      <c r="D250" s="2" t="s">
        <v>10040</v>
      </c>
      <c r="E250" s="15">
        <v>5.5999999999999999E-3</v>
      </c>
      <c r="F250" s="15">
        <v>5.2600000000000001E-2</v>
      </c>
      <c r="G250" s="15">
        <v>0.91559999999999997</v>
      </c>
      <c r="H250" s="15">
        <v>0.12540000000000001</v>
      </c>
      <c r="I250" s="15">
        <v>1.7899999999999999E-2</v>
      </c>
      <c r="J250" s="15">
        <v>7.7653631284916207</v>
      </c>
    </row>
    <row r="251" spans="1:10" x14ac:dyDescent="0.25">
      <c r="A251" s="2" t="s">
        <v>749</v>
      </c>
      <c r="B251" s="2" t="s">
        <v>750</v>
      </c>
      <c r="C251" s="2" t="s">
        <v>751</v>
      </c>
      <c r="D251" s="2" t="s">
        <v>10040</v>
      </c>
      <c r="E251" s="15">
        <v>-8.9999999999999993E-3</v>
      </c>
      <c r="F251" s="15">
        <v>3.7699999999999997E-2</v>
      </c>
      <c r="G251" s="15">
        <v>0.81200000000000006</v>
      </c>
      <c r="H251" s="15">
        <v>0.23039999999999999</v>
      </c>
      <c r="I251" s="15">
        <v>2.5100000000000001E-2</v>
      </c>
      <c r="J251" s="15">
        <v>10.940092165898619</v>
      </c>
    </row>
    <row r="252" spans="1:10" x14ac:dyDescent="0.25">
      <c r="A252" s="2" t="s">
        <v>752</v>
      </c>
      <c r="B252" s="2" t="s">
        <v>753</v>
      </c>
      <c r="C252" s="2" t="s">
        <v>754</v>
      </c>
      <c r="D252" s="2" t="s">
        <v>10040</v>
      </c>
      <c r="E252" s="15">
        <v>-3.3999999999999998E-3</v>
      </c>
      <c r="F252" s="15">
        <v>4.2599999999999999E-2</v>
      </c>
      <c r="G252" s="15">
        <v>0.93600000000000005</v>
      </c>
      <c r="H252" s="15">
        <v>0.20449999999999999</v>
      </c>
      <c r="I252" s="15">
        <v>2.3900000000000001E-2</v>
      </c>
      <c r="J252" s="15">
        <v>9.9955156950672635</v>
      </c>
    </row>
    <row r="253" spans="1:10" x14ac:dyDescent="0.25">
      <c r="A253" s="2" t="s">
        <v>755</v>
      </c>
      <c r="B253" s="2" t="s">
        <v>756</v>
      </c>
      <c r="C253" s="2" t="s">
        <v>757</v>
      </c>
      <c r="D253" s="2" t="s">
        <v>10040</v>
      </c>
      <c r="E253" s="15">
        <v>-1.89E-2</v>
      </c>
      <c r="F253" s="15">
        <v>5.2299999999999999E-2</v>
      </c>
      <c r="G253" s="15">
        <v>0.7177</v>
      </c>
      <c r="H253" s="15">
        <v>0.1236</v>
      </c>
      <c r="I253" s="15">
        <v>1.7299999999999999E-2</v>
      </c>
      <c r="J253" s="15">
        <v>7.7559523809523814</v>
      </c>
    </row>
    <row r="254" spans="1:10" x14ac:dyDescent="0.25">
      <c r="A254" s="2" t="s">
        <v>758</v>
      </c>
      <c r="B254" s="2" t="s">
        <v>759</v>
      </c>
      <c r="C254" s="2" t="s">
        <v>760</v>
      </c>
      <c r="D254" s="2" t="s">
        <v>10040</v>
      </c>
      <c r="E254" s="15">
        <v>-2.46E-2</v>
      </c>
      <c r="F254" s="15">
        <v>4.1399999999999999E-2</v>
      </c>
      <c r="G254" s="15">
        <v>0.55210000000000004</v>
      </c>
      <c r="H254" s="15">
        <v>0.19389999999999999</v>
      </c>
      <c r="I254" s="15">
        <v>2.1999999999999999E-2</v>
      </c>
      <c r="J254" s="15">
        <v>9.4405940594059405</v>
      </c>
    </row>
    <row r="255" spans="1:10" x14ac:dyDescent="0.25">
      <c r="A255" s="2" t="s">
        <v>761</v>
      </c>
      <c r="B255" s="2" t="s">
        <v>762</v>
      </c>
      <c r="C255" s="2" t="s">
        <v>763</v>
      </c>
      <c r="D255" s="2" t="s">
        <v>10040</v>
      </c>
      <c r="E255" s="15">
        <v>-8.1699999999999995E-2</v>
      </c>
      <c r="F255" s="15">
        <v>5.1200000000000002E-2</v>
      </c>
      <c r="G255" s="15">
        <v>0.1109</v>
      </c>
      <c r="H255" s="15">
        <v>0.1484</v>
      </c>
      <c r="I255" s="15">
        <v>1.8100000000000002E-2</v>
      </c>
      <c r="J255" s="15">
        <v>8.6878612716763008</v>
      </c>
    </row>
    <row r="256" spans="1:10" x14ac:dyDescent="0.25">
      <c r="A256" s="2" t="s">
        <v>764</v>
      </c>
      <c r="B256" s="2" t="s">
        <v>765</v>
      </c>
      <c r="C256" s="2" t="s">
        <v>766</v>
      </c>
      <c r="D256" s="2" t="s">
        <v>10040</v>
      </c>
      <c r="E256" s="15">
        <v>2.3E-3</v>
      </c>
      <c r="F256" s="15">
        <v>4.1599999999999998E-2</v>
      </c>
      <c r="G256" s="15">
        <v>0.95569999999999999</v>
      </c>
      <c r="H256" s="15">
        <v>0.21879999999999999</v>
      </c>
      <c r="I256" s="15">
        <v>2.5499999999999998E-2</v>
      </c>
      <c r="J256" s="15">
        <v>10.148148148148151</v>
      </c>
    </row>
    <row r="257" spans="1:10" x14ac:dyDescent="0.25">
      <c r="A257" s="2" t="s">
        <v>767</v>
      </c>
      <c r="B257" s="2" t="s">
        <v>768</v>
      </c>
      <c r="C257" s="2" t="s">
        <v>769</v>
      </c>
      <c r="D257" s="2" t="s">
        <v>10040</v>
      </c>
      <c r="E257" s="15">
        <v>-5.3100000000000001E-2</v>
      </c>
      <c r="F257" s="15">
        <v>4.4200000000000003E-2</v>
      </c>
      <c r="G257" s="15">
        <v>0.22969999999999999</v>
      </c>
      <c r="H257" s="15">
        <v>0.20280000000000001</v>
      </c>
      <c r="I257" s="15">
        <v>2.3199999999999998E-2</v>
      </c>
      <c r="J257" s="15">
        <v>9.5770925110132161</v>
      </c>
    </row>
    <row r="258" spans="1:10" x14ac:dyDescent="0.25">
      <c r="A258" s="2" t="s">
        <v>770</v>
      </c>
      <c r="B258" s="2" t="s">
        <v>771</v>
      </c>
      <c r="C258" s="2" t="s">
        <v>772</v>
      </c>
      <c r="D258" s="2" t="s">
        <v>10040</v>
      </c>
      <c r="E258" s="15">
        <v>-3.49E-2</v>
      </c>
      <c r="F258" s="15">
        <v>4.1500000000000002E-2</v>
      </c>
      <c r="G258" s="15">
        <v>0.39989999999999998</v>
      </c>
      <c r="H258" s="15">
        <v>0.2112</v>
      </c>
      <c r="I258" s="15">
        <v>2.6800000000000001E-2</v>
      </c>
      <c r="J258" s="15">
        <v>8.568548387096774</v>
      </c>
    </row>
    <row r="259" spans="1:10" x14ac:dyDescent="0.25">
      <c r="A259" s="2" t="s">
        <v>773</v>
      </c>
      <c r="B259" s="2" t="s">
        <v>774</v>
      </c>
      <c r="C259" s="2" t="s">
        <v>775</v>
      </c>
      <c r="D259" s="2" t="s">
        <v>10040</v>
      </c>
      <c r="E259" s="15">
        <v>3.3599999999999998E-2</v>
      </c>
      <c r="F259" s="15">
        <v>4.19E-2</v>
      </c>
      <c r="G259" s="15">
        <v>0.42249999999999999</v>
      </c>
      <c r="H259" s="15">
        <v>0.2104</v>
      </c>
      <c r="I259" s="15">
        <v>2.5399999999999999E-2</v>
      </c>
      <c r="J259" s="15">
        <v>9.8511627906976749</v>
      </c>
    </row>
    <row r="260" spans="1:10" x14ac:dyDescent="0.25">
      <c r="A260" s="2" t="s">
        <v>776</v>
      </c>
      <c r="B260" s="2" t="s">
        <v>777</v>
      </c>
      <c r="C260" s="2" t="s">
        <v>778</v>
      </c>
      <c r="D260" s="2" t="s">
        <v>10040</v>
      </c>
      <c r="E260" s="15">
        <v>-2.87E-2</v>
      </c>
      <c r="F260" s="15">
        <v>4.1799999999999997E-2</v>
      </c>
      <c r="G260" s="15">
        <v>0.49230000000000002</v>
      </c>
      <c r="H260" s="15">
        <v>0.22789999999999999</v>
      </c>
      <c r="I260" s="15">
        <v>2.7199999999999998E-2</v>
      </c>
      <c r="J260" s="15">
        <v>9.4232365145228218</v>
      </c>
    </row>
    <row r="261" spans="1:10" x14ac:dyDescent="0.25">
      <c r="A261" s="2" t="s">
        <v>779</v>
      </c>
      <c r="B261" s="2" t="s">
        <v>780</v>
      </c>
      <c r="C261" s="2" t="s">
        <v>781</v>
      </c>
      <c r="D261" s="2" t="s">
        <v>10040</v>
      </c>
      <c r="E261" s="15">
        <v>-2.69E-2</v>
      </c>
      <c r="F261" s="15">
        <v>5.0299999999999997E-2</v>
      </c>
      <c r="G261" s="15">
        <v>0.59309999999999996</v>
      </c>
      <c r="H261" s="15">
        <v>0.15210000000000001</v>
      </c>
      <c r="I261" s="15">
        <v>1.9400000000000001E-2</v>
      </c>
      <c r="J261" s="15">
        <v>8.1978609625668444</v>
      </c>
    </row>
    <row r="262" spans="1:10" x14ac:dyDescent="0.25">
      <c r="A262" s="2" t="s">
        <v>782</v>
      </c>
      <c r="B262" s="2" t="s">
        <v>783</v>
      </c>
      <c r="C262" s="2" t="s">
        <v>784</v>
      </c>
      <c r="D262" s="2" t="s">
        <v>10040</v>
      </c>
      <c r="E262" s="15">
        <v>1.3100000000000001E-2</v>
      </c>
      <c r="F262" s="15">
        <v>3.85E-2</v>
      </c>
      <c r="G262" s="15">
        <v>0.73350000000000004</v>
      </c>
      <c r="H262" s="15">
        <v>0.24979999999999999</v>
      </c>
      <c r="I262" s="15">
        <v>2.4299999999999999E-2</v>
      </c>
      <c r="J262" s="15">
        <v>10.83636363636364</v>
      </c>
    </row>
    <row r="263" spans="1:10" x14ac:dyDescent="0.25">
      <c r="A263" s="2" t="s">
        <v>785</v>
      </c>
      <c r="B263" s="2" t="s">
        <v>786</v>
      </c>
      <c r="C263" s="2" t="s">
        <v>787</v>
      </c>
      <c r="D263" s="2" t="s">
        <v>10040</v>
      </c>
      <c r="E263" s="15">
        <v>-2.7900000000000001E-2</v>
      </c>
      <c r="F263" s="15">
        <v>5.11E-2</v>
      </c>
      <c r="G263" s="15">
        <v>0.58509999999999995</v>
      </c>
      <c r="H263" s="15">
        <v>0.1273</v>
      </c>
      <c r="I263" s="15">
        <v>1.83E-2</v>
      </c>
      <c r="J263" s="15">
        <v>7.0483870967741939</v>
      </c>
    </row>
    <row r="264" spans="1:10" x14ac:dyDescent="0.25">
      <c r="A264" s="2" t="s">
        <v>788</v>
      </c>
      <c r="B264" s="2" t="s">
        <v>789</v>
      </c>
      <c r="C264" s="2" t="s">
        <v>790</v>
      </c>
      <c r="D264" s="2" t="s">
        <v>10040</v>
      </c>
      <c r="E264" s="15">
        <v>-5.1400000000000001E-2</v>
      </c>
      <c r="F264" s="15">
        <v>4.07E-2</v>
      </c>
      <c r="G264" s="15">
        <v>0.20680000000000001</v>
      </c>
      <c r="H264" s="15">
        <v>0.24160000000000001</v>
      </c>
      <c r="I264" s="15">
        <v>0.03</v>
      </c>
      <c r="J264" s="15">
        <v>8.9301470588235308</v>
      </c>
    </row>
    <row r="265" spans="1:10" x14ac:dyDescent="0.25">
      <c r="A265" s="2" t="s">
        <v>791</v>
      </c>
      <c r="B265" s="2" t="s">
        <v>792</v>
      </c>
      <c r="C265" s="2" t="s">
        <v>793</v>
      </c>
      <c r="D265" s="2" t="s">
        <v>10040</v>
      </c>
      <c r="E265" s="15">
        <v>-6.7999999999999996E-3</v>
      </c>
      <c r="F265" s="15">
        <v>3.6499999999999998E-2</v>
      </c>
      <c r="G265" s="15">
        <v>0.85129999999999995</v>
      </c>
      <c r="H265" s="15">
        <v>0.2495</v>
      </c>
      <c r="I265" s="15">
        <v>2.6800000000000001E-2</v>
      </c>
      <c r="J265" s="15">
        <v>11.01287553648069</v>
      </c>
    </row>
    <row r="266" spans="1:10" x14ac:dyDescent="0.25">
      <c r="A266" s="2" t="s">
        <v>794</v>
      </c>
      <c r="B266" s="2" t="s">
        <v>795</v>
      </c>
      <c r="C266" s="2" t="s">
        <v>796</v>
      </c>
      <c r="D266" s="2" t="s">
        <v>10040</v>
      </c>
      <c r="E266" s="15">
        <v>-2.8000000000000001E-2</v>
      </c>
      <c r="F266" s="15">
        <v>3.6600000000000001E-2</v>
      </c>
      <c r="G266" s="15">
        <v>0.44290000000000002</v>
      </c>
      <c r="H266" s="15">
        <v>0.26900000000000002</v>
      </c>
      <c r="I266" s="15">
        <v>2.9499999999999998E-2</v>
      </c>
      <c r="J266" s="15">
        <v>10.944223107569719</v>
      </c>
    </row>
    <row r="267" spans="1:10" x14ac:dyDescent="0.25">
      <c r="A267" s="2" t="s">
        <v>797</v>
      </c>
      <c r="B267" s="2" t="s">
        <v>798</v>
      </c>
      <c r="C267" s="2" t="s">
        <v>799</v>
      </c>
      <c r="D267" s="2" t="s">
        <v>10040</v>
      </c>
      <c r="E267" s="15">
        <v>-3.4099999999999998E-2</v>
      </c>
      <c r="F267" s="15">
        <v>3.9300000000000002E-2</v>
      </c>
      <c r="G267" s="15">
        <v>0.38450000000000001</v>
      </c>
      <c r="H267" s="15">
        <v>0.23960000000000001</v>
      </c>
      <c r="I267" s="15">
        <v>2.8400000000000002E-2</v>
      </c>
      <c r="J267" s="15">
        <v>10.04471544715447</v>
      </c>
    </row>
    <row r="268" spans="1:10" x14ac:dyDescent="0.25">
      <c r="A268" s="2" t="s">
        <v>800</v>
      </c>
      <c r="B268" s="2" t="s">
        <v>801</v>
      </c>
      <c r="C268" s="2" t="s">
        <v>802</v>
      </c>
      <c r="D268" s="2" t="s">
        <v>10040</v>
      </c>
      <c r="E268" s="15">
        <v>-2.3099999999999999E-2</v>
      </c>
      <c r="F268" s="15">
        <v>4.1099999999999998E-2</v>
      </c>
      <c r="G268" s="15">
        <v>0.57420000000000004</v>
      </c>
      <c r="H268" s="15">
        <v>0.23530000000000001</v>
      </c>
      <c r="I268" s="15">
        <v>2.6800000000000001E-2</v>
      </c>
      <c r="J268" s="15">
        <v>9.7983539094650212</v>
      </c>
    </row>
    <row r="269" spans="1:10" x14ac:dyDescent="0.25">
      <c r="A269" s="2" t="s">
        <v>803</v>
      </c>
      <c r="B269" s="2" t="s">
        <v>804</v>
      </c>
      <c r="C269" s="2" t="s">
        <v>805</v>
      </c>
      <c r="D269" s="2" t="s">
        <v>10040</v>
      </c>
      <c r="E269" s="15">
        <v>-3.5000000000000001E-3</v>
      </c>
      <c r="F269" s="15">
        <v>4.3099999999999999E-2</v>
      </c>
      <c r="G269" s="15">
        <v>0.93459999999999999</v>
      </c>
      <c r="H269" s="15">
        <v>0.20499999999999999</v>
      </c>
      <c r="I269" s="15">
        <v>0.02</v>
      </c>
      <c r="J269" s="15">
        <v>10.92708333333333</v>
      </c>
    </row>
    <row r="270" spans="1:10" x14ac:dyDescent="0.25">
      <c r="A270" s="2" t="s">
        <v>806</v>
      </c>
      <c r="B270" s="2" t="s">
        <v>807</v>
      </c>
      <c r="C270" s="2" t="s">
        <v>808</v>
      </c>
      <c r="D270" s="2" t="s">
        <v>10040</v>
      </c>
      <c r="E270" s="15">
        <v>1.0699999999999999E-2</v>
      </c>
      <c r="F270" s="15">
        <v>3.7499999999999999E-2</v>
      </c>
      <c r="G270" s="15">
        <v>0.77470000000000006</v>
      </c>
      <c r="H270" s="15">
        <v>0.2412</v>
      </c>
      <c r="I270" s="15">
        <v>2.3699999999999999E-2</v>
      </c>
      <c r="J270" s="15">
        <v>11.23981900452489</v>
      </c>
    </row>
    <row r="271" spans="1:10" x14ac:dyDescent="0.25">
      <c r="A271" s="2" t="s">
        <v>809</v>
      </c>
      <c r="B271" s="2" t="s">
        <v>810</v>
      </c>
      <c r="C271" s="2" t="s">
        <v>811</v>
      </c>
      <c r="D271" s="2" t="s">
        <v>10040</v>
      </c>
      <c r="E271" s="15">
        <v>7.5999999999999998E-2</v>
      </c>
      <c r="F271" s="15">
        <v>4.6300000000000001E-2</v>
      </c>
      <c r="G271" s="15">
        <v>0.1004</v>
      </c>
      <c r="H271" s="15">
        <v>0.18010000000000001</v>
      </c>
      <c r="I271" s="15">
        <v>2.0400000000000001E-2</v>
      </c>
      <c r="J271" s="15">
        <v>9.2552083333333339</v>
      </c>
    </row>
    <row r="272" spans="1:10" x14ac:dyDescent="0.25">
      <c r="A272" s="2" t="s">
        <v>812</v>
      </c>
      <c r="B272" s="2" t="s">
        <v>813</v>
      </c>
      <c r="C272" s="2" t="s">
        <v>814</v>
      </c>
      <c r="D272" s="2" t="s">
        <v>10040</v>
      </c>
      <c r="E272" s="15">
        <v>2.12E-2</v>
      </c>
      <c r="F272" s="15">
        <v>4.6600000000000003E-2</v>
      </c>
      <c r="G272" s="15">
        <v>0.65</v>
      </c>
      <c r="H272" s="15">
        <v>0.1721</v>
      </c>
      <c r="I272" s="15">
        <v>0.02</v>
      </c>
      <c r="J272" s="15">
        <v>9.9787234042553177</v>
      </c>
    </row>
    <row r="273" spans="1:10" x14ac:dyDescent="0.25">
      <c r="A273" s="2" t="s">
        <v>815</v>
      </c>
      <c r="B273" s="2" t="s">
        <v>816</v>
      </c>
      <c r="C273" s="2" t="s">
        <v>817</v>
      </c>
      <c r="D273" s="2" t="s">
        <v>10040</v>
      </c>
      <c r="E273" s="15">
        <v>-8.0000000000000004E-4</v>
      </c>
      <c r="F273" s="15">
        <v>3.61E-2</v>
      </c>
      <c r="G273" s="15">
        <v>0.98270000000000002</v>
      </c>
      <c r="H273" s="15">
        <v>0.25309999999999999</v>
      </c>
      <c r="I273" s="15">
        <v>2.6499999999999999E-2</v>
      </c>
      <c r="J273" s="15">
        <v>11.126086956521741</v>
      </c>
    </row>
    <row r="274" spans="1:10" x14ac:dyDescent="0.25">
      <c r="A274" s="2" t="s">
        <v>818</v>
      </c>
      <c r="B274" s="2" t="s">
        <v>819</v>
      </c>
      <c r="C274" s="2" t="s">
        <v>820</v>
      </c>
      <c r="D274" s="2" t="s">
        <v>10040</v>
      </c>
      <c r="E274" s="15">
        <v>-2.7300000000000001E-2</v>
      </c>
      <c r="F274" s="15">
        <v>0.04</v>
      </c>
      <c r="G274" s="15">
        <v>0.49519999999999997</v>
      </c>
      <c r="H274" s="15">
        <v>0.20680000000000001</v>
      </c>
      <c r="I274" s="15">
        <v>2.0199999999999999E-2</v>
      </c>
      <c r="J274" s="15">
        <v>12.02173913043478</v>
      </c>
    </row>
    <row r="275" spans="1:10" x14ac:dyDescent="0.25">
      <c r="A275" s="2" t="s">
        <v>821</v>
      </c>
      <c r="B275" s="2" t="s">
        <v>822</v>
      </c>
      <c r="C275" s="2" t="s">
        <v>823</v>
      </c>
      <c r="D275" s="2" t="s">
        <v>10040</v>
      </c>
      <c r="E275" s="15">
        <v>-2.8299999999999999E-2</v>
      </c>
      <c r="F275" s="15">
        <v>5.1700000000000003E-2</v>
      </c>
      <c r="G275" s="15">
        <v>0.58499999999999996</v>
      </c>
      <c r="H275" s="15">
        <v>0.11609999999999999</v>
      </c>
      <c r="I275" s="15">
        <v>1.72E-2</v>
      </c>
      <c r="J275" s="15">
        <v>7.9683544303797467</v>
      </c>
    </row>
    <row r="276" spans="1:10" x14ac:dyDescent="0.25">
      <c r="A276" s="2" t="s">
        <v>824</v>
      </c>
      <c r="B276" s="2" t="s">
        <v>825</v>
      </c>
      <c r="C276" s="2" t="s">
        <v>826</v>
      </c>
      <c r="D276" s="2" t="s">
        <v>10040</v>
      </c>
      <c r="E276" s="15">
        <v>-1.5E-3</v>
      </c>
      <c r="F276" s="15">
        <v>4.2599999999999999E-2</v>
      </c>
      <c r="G276" s="15">
        <v>0.97209999999999996</v>
      </c>
      <c r="H276" s="15">
        <v>0.20710000000000001</v>
      </c>
      <c r="I276" s="15">
        <v>2.18E-2</v>
      </c>
      <c r="J276" s="15">
        <v>10.22335025380711</v>
      </c>
    </row>
    <row r="277" spans="1:10" x14ac:dyDescent="0.25">
      <c r="A277" s="2" t="s">
        <v>827</v>
      </c>
      <c r="B277" s="2" t="s">
        <v>828</v>
      </c>
      <c r="C277" s="2" t="s">
        <v>829</v>
      </c>
      <c r="D277" s="2" t="s">
        <v>10040</v>
      </c>
      <c r="E277" s="15">
        <v>-3.3700000000000001E-2</v>
      </c>
      <c r="F277" s="15">
        <v>4.4600000000000001E-2</v>
      </c>
      <c r="G277" s="15">
        <v>0.44929999999999998</v>
      </c>
      <c r="H277" s="15">
        <v>0.1724</v>
      </c>
      <c r="I277" s="15">
        <v>2.3099999999999999E-2</v>
      </c>
      <c r="J277" s="15">
        <v>8.2027649769585249</v>
      </c>
    </row>
    <row r="278" spans="1:10" x14ac:dyDescent="0.25">
      <c r="A278" s="2" t="s">
        <v>830</v>
      </c>
      <c r="B278" s="2" t="s">
        <v>831</v>
      </c>
      <c r="C278" s="2" t="s">
        <v>832</v>
      </c>
      <c r="D278" s="2" t="s">
        <v>10040</v>
      </c>
      <c r="E278" s="15">
        <v>-4.7999999999999996E-3</v>
      </c>
      <c r="F278" s="15">
        <v>4.2200000000000001E-2</v>
      </c>
      <c r="G278" s="15">
        <v>0.90910000000000002</v>
      </c>
      <c r="H278" s="15">
        <v>0.23089999999999999</v>
      </c>
      <c r="I278" s="15">
        <v>2.4799999999999999E-2</v>
      </c>
      <c r="J278" s="15">
        <v>11.09174311926605</v>
      </c>
    </row>
    <row r="279" spans="1:10" x14ac:dyDescent="0.25">
      <c r="A279" s="2" t="s">
        <v>833</v>
      </c>
      <c r="B279" s="2" t="s">
        <v>834</v>
      </c>
      <c r="C279" s="2" t="s">
        <v>835</v>
      </c>
      <c r="D279" s="2" t="s">
        <v>10040</v>
      </c>
      <c r="E279" s="15">
        <v>6.1000000000000004E-3</v>
      </c>
      <c r="F279" s="15">
        <v>3.8100000000000002E-2</v>
      </c>
      <c r="G279" s="15">
        <v>0.87360000000000004</v>
      </c>
      <c r="H279" s="15">
        <v>0.2049</v>
      </c>
      <c r="I279" s="15">
        <v>2.3199999999999998E-2</v>
      </c>
      <c r="J279" s="15">
        <v>9.933962264150944</v>
      </c>
    </row>
    <row r="280" spans="1:10" x14ac:dyDescent="0.25">
      <c r="A280" s="2" t="s">
        <v>836</v>
      </c>
      <c r="B280" s="2" t="s">
        <v>837</v>
      </c>
      <c r="C280" s="2" t="s">
        <v>838</v>
      </c>
      <c r="D280" s="2" t="s">
        <v>10040</v>
      </c>
      <c r="E280" s="15">
        <v>-3.5200000000000002E-2</v>
      </c>
      <c r="F280" s="15">
        <v>3.8899999999999997E-2</v>
      </c>
      <c r="G280" s="15">
        <v>0.36609999999999998</v>
      </c>
      <c r="H280" s="15">
        <v>0.20660000000000001</v>
      </c>
      <c r="I280" s="15">
        <v>2.5999999999999999E-2</v>
      </c>
      <c r="J280" s="15">
        <v>9.1880341880341874</v>
      </c>
    </row>
    <row r="281" spans="1:10" x14ac:dyDescent="0.25">
      <c r="A281" s="2" t="s">
        <v>839</v>
      </c>
      <c r="B281" s="2" t="s">
        <v>840</v>
      </c>
      <c r="C281" s="2" t="s">
        <v>841</v>
      </c>
      <c r="D281" s="2" t="s">
        <v>10040</v>
      </c>
      <c r="E281" s="15">
        <v>3.3999999999999998E-3</v>
      </c>
      <c r="F281" s="15">
        <v>4.2299999999999997E-2</v>
      </c>
      <c r="G281" s="15">
        <v>0.93589999999999995</v>
      </c>
      <c r="H281" s="15">
        <v>0.21149999999999999</v>
      </c>
      <c r="I281" s="15">
        <v>2.4299999999999999E-2</v>
      </c>
      <c r="J281" s="15">
        <v>10.367441860465121</v>
      </c>
    </row>
    <row r="282" spans="1:10" x14ac:dyDescent="0.25">
      <c r="A282" s="2" t="s">
        <v>842</v>
      </c>
      <c r="B282" s="2" t="s">
        <v>843</v>
      </c>
      <c r="C282" s="2" t="s">
        <v>844</v>
      </c>
      <c r="D282" s="2" t="s">
        <v>10040</v>
      </c>
      <c r="E282" s="15">
        <v>-1.84E-2</v>
      </c>
      <c r="F282" s="15">
        <v>3.7900000000000003E-2</v>
      </c>
      <c r="G282" s="15">
        <v>0.62670000000000003</v>
      </c>
      <c r="H282" s="15">
        <v>0.22209999999999999</v>
      </c>
      <c r="I282" s="15">
        <v>2.8500000000000001E-2</v>
      </c>
      <c r="J282" s="15">
        <v>8.6463878326996184</v>
      </c>
    </row>
    <row r="283" spans="1:10" x14ac:dyDescent="0.25">
      <c r="A283" s="2" t="s">
        <v>845</v>
      </c>
      <c r="B283" s="2" t="s">
        <v>846</v>
      </c>
      <c r="C283" s="2" t="s">
        <v>847</v>
      </c>
      <c r="D283" s="2" t="s">
        <v>10040</v>
      </c>
      <c r="E283" s="15">
        <v>-2.3400000000000001E-2</v>
      </c>
      <c r="F283" s="15">
        <v>5.0599999999999999E-2</v>
      </c>
      <c r="G283" s="15">
        <v>0.64329999999999998</v>
      </c>
      <c r="H283" s="15">
        <v>0.13830000000000001</v>
      </c>
      <c r="I283" s="15">
        <v>1.8499999999999999E-2</v>
      </c>
      <c r="J283" s="15">
        <v>7.8918918918918921</v>
      </c>
    </row>
    <row r="284" spans="1:10" x14ac:dyDescent="0.25">
      <c r="A284" s="2" t="s">
        <v>848</v>
      </c>
      <c r="B284" s="2" t="s">
        <v>849</v>
      </c>
      <c r="C284" s="2" t="s">
        <v>850</v>
      </c>
      <c r="D284" s="2" t="s">
        <v>10040</v>
      </c>
      <c r="E284" s="15">
        <v>8.3221999999999997E-5</v>
      </c>
      <c r="F284" s="15">
        <v>4.1099999999999998E-2</v>
      </c>
      <c r="G284" s="15">
        <v>0.99839999999999995</v>
      </c>
      <c r="H284" s="15">
        <v>0.23480000000000001</v>
      </c>
      <c r="I284" s="15">
        <v>2.3599999999999999E-2</v>
      </c>
      <c r="J284" s="15">
        <v>10.596330275229359</v>
      </c>
    </row>
    <row r="285" spans="1:10" x14ac:dyDescent="0.25">
      <c r="A285" s="2" t="s">
        <v>851</v>
      </c>
      <c r="B285" s="2" t="s">
        <v>852</v>
      </c>
      <c r="C285" s="2" t="s">
        <v>853</v>
      </c>
      <c r="D285" s="2" t="s">
        <v>10040</v>
      </c>
      <c r="E285" s="15">
        <v>-8.7900000000000006E-2</v>
      </c>
      <c r="F285" s="15">
        <v>5.2400000000000002E-2</v>
      </c>
      <c r="G285" s="15">
        <v>9.3700000000000006E-2</v>
      </c>
      <c r="H285" s="15">
        <v>0.13669999999999999</v>
      </c>
      <c r="I285" s="15">
        <v>1.9099999999999999E-2</v>
      </c>
      <c r="J285" s="15">
        <v>8.3815028901734099</v>
      </c>
    </row>
    <row r="286" spans="1:10" x14ac:dyDescent="0.25">
      <c r="A286" s="2" t="s">
        <v>854</v>
      </c>
      <c r="B286" s="2" t="s">
        <v>855</v>
      </c>
      <c r="C286" s="2" t="s">
        <v>856</v>
      </c>
      <c r="D286" s="2" t="s">
        <v>10040</v>
      </c>
      <c r="E286" s="15">
        <v>-2.6100000000000002E-2</v>
      </c>
      <c r="F286" s="15">
        <v>3.5299999999999998E-2</v>
      </c>
      <c r="G286" s="15">
        <v>0.46029999999999999</v>
      </c>
      <c r="H286" s="15">
        <v>0.26169999999999999</v>
      </c>
      <c r="I286" s="15">
        <v>2.7799999999999998E-2</v>
      </c>
      <c r="J286" s="15">
        <v>10.651999999999999</v>
      </c>
    </row>
    <row r="287" spans="1:10" x14ac:dyDescent="0.25">
      <c r="A287" s="2" t="s">
        <v>857</v>
      </c>
      <c r="B287" s="2" t="s">
        <v>858</v>
      </c>
      <c r="C287" s="2" t="s">
        <v>859</v>
      </c>
      <c r="D287" s="2" t="s">
        <v>10040</v>
      </c>
      <c r="E287" s="15">
        <v>-3.7000000000000002E-3</v>
      </c>
      <c r="F287" s="15">
        <v>3.73E-2</v>
      </c>
      <c r="G287" s="15">
        <v>0.92120000000000002</v>
      </c>
      <c r="H287" s="15">
        <v>0.27529999999999999</v>
      </c>
      <c r="I287" s="15">
        <v>2.8899999999999999E-2</v>
      </c>
      <c r="J287" s="15">
        <v>11.111111111111111</v>
      </c>
    </row>
    <row r="288" spans="1:10" x14ac:dyDescent="0.25">
      <c r="A288" s="2" t="s">
        <v>860</v>
      </c>
      <c r="B288" s="2" t="s">
        <v>861</v>
      </c>
      <c r="C288" s="2" t="s">
        <v>862</v>
      </c>
      <c r="D288" s="2" t="s">
        <v>10040</v>
      </c>
      <c r="E288" s="15">
        <v>-1.6899999999999998E-2</v>
      </c>
      <c r="F288" s="15">
        <v>3.4299999999999997E-2</v>
      </c>
      <c r="G288" s="15">
        <v>0.622</v>
      </c>
      <c r="H288" s="15">
        <v>0.29809999999999998</v>
      </c>
      <c r="I288" s="15">
        <v>3.1099999999999999E-2</v>
      </c>
      <c r="J288" s="15">
        <v>11.31835205992509</v>
      </c>
    </row>
    <row r="289" spans="1:10" x14ac:dyDescent="0.25">
      <c r="A289" s="2" t="s">
        <v>863</v>
      </c>
      <c r="B289" s="2" t="s">
        <v>864</v>
      </c>
      <c r="C289" s="2" t="s">
        <v>865</v>
      </c>
      <c r="D289" s="2" t="s">
        <v>10040</v>
      </c>
      <c r="E289" s="15">
        <v>-4.9399999999999999E-2</v>
      </c>
      <c r="F289" s="15">
        <v>4.82E-2</v>
      </c>
      <c r="G289" s="15">
        <v>0.30599999999999999</v>
      </c>
      <c r="H289" s="15">
        <v>0.17319999999999999</v>
      </c>
      <c r="I289" s="15">
        <v>2.0799999999999999E-2</v>
      </c>
      <c r="J289" s="15">
        <v>8.9326424870466319</v>
      </c>
    </row>
    <row r="290" spans="1:10" x14ac:dyDescent="0.25">
      <c r="A290" s="2" t="s">
        <v>866</v>
      </c>
      <c r="B290" s="2" t="s">
        <v>867</v>
      </c>
      <c r="C290" s="2" t="s">
        <v>868</v>
      </c>
      <c r="D290" s="2" t="s">
        <v>10040</v>
      </c>
      <c r="E290" s="15">
        <v>-8.6E-3</v>
      </c>
      <c r="F290" s="15">
        <v>4.6600000000000003E-2</v>
      </c>
      <c r="G290" s="15">
        <v>0.85309999999999997</v>
      </c>
      <c r="H290" s="15">
        <v>0.16239999999999999</v>
      </c>
      <c r="I290" s="15">
        <v>1.9099999999999999E-2</v>
      </c>
      <c r="J290" s="15">
        <v>8.9297297297297309</v>
      </c>
    </row>
    <row r="291" spans="1:10" x14ac:dyDescent="0.25">
      <c r="A291" s="2" t="s">
        <v>869</v>
      </c>
      <c r="B291" s="2" t="s">
        <v>870</v>
      </c>
      <c r="C291" s="2" t="s">
        <v>871</v>
      </c>
      <c r="D291" s="2" t="s">
        <v>10040</v>
      </c>
      <c r="E291" s="15">
        <v>1.9800000000000002E-2</v>
      </c>
      <c r="F291" s="15">
        <v>4.2299999999999997E-2</v>
      </c>
      <c r="G291" s="15">
        <v>0.63900000000000001</v>
      </c>
      <c r="H291" s="15">
        <v>0.2079</v>
      </c>
      <c r="I291" s="15">
        <v>1.8200000000000001E-2</v>
      </c>
      <c r="J291" s="15">
        <v>12.48275862068966</v>
      </c>
    </row>
    <row r="292" spans="1:10" x14ac:dyDescent="0.25">
      <c r="A292" s="2" t="s">
        <v>872</v>
      </c>
      <c r="B292" s="2" t="s">
        <v>873</v>
      </c>
      <c r="C292" s="2" t="s">
        <v>874</v>
      </c>
      <c r="D292" s="2" t="s">
        <v>10040</v>
      </c>
      <c r="E292" s="15">
        <v>-3.6999999999999998E-2</v>
      </c>
      <c r="F292" s="15">
        <v>4.1700000000000001E-2</v>
      </c>
      <c r="G292" s="15">
        <v>0.37419999999999998</v>
      </c>
      <c r="H292" s="15">
        <v>0.21679999999999999</v>
      </c>
      <c r="I292" s="15">
        <v>2.1100000000000001E-2</v>
      </c>
      <c r="J292" s="15">
        <v>11.348258706467661</v>
      </c>
    </row>
    <row r="293" spans="1:10" x14ac:dyDescent="0.25">
      <c r="A293" s="2" t="s">
        <v>875</v>
      </c>
      <c r="B293" s="2" t="s">
        <v>876</v>
      </c>
      <c r="C293" s="2" t="s">
        <v>877</v>
      </c>
      <c r="D293" s="2" t="s">
        <v>10040</v>
      </c>
      <c r="E293" s="15">
        <v>5.6099999999999997E-2</v>
      </c>
      <c r="F293" s="15">
        <v>4.48E-2</v>
      </c>
      <c r="G293" s="15">
        <v>0.2102</v>
      </c>
      <c r="H293" s="15">
        <v>0.192</v>
      </c>
      <c r="I293" s="15">
        <v>2.0400000000000001E-2</v>
      </c>
      <c r="J293" s="15">
        <v>9.9899497487437188</v>
      </c>
    </row>
    <row r="294" spans="1:10" x14ac:dyDescent="0.25">
      <c r="A294" s="2" t="s">
        <v>878</v>
      </c>
      <c r="B294" s="2" t="s">
        <v>879</v>
      </c>
      <c r="C294" s="2" t="s">
        <v>880</v>
      </c>
      <c r="D294" s="2" t="s">
        <v>10040</v>
      </c>
      <c r="E294" s="15">
        <v>-1.9E-3</v>
      </c>
      <c r="F294" s="15">
        <v>4.4400000000000002E-2</v>
      </c>
      <c r="G294" s="15">
        <v>0.96499999999999997</v>
      </c>
      <c r="H294" s="15">
        <v>0.2278</v>
      </c>
      <c r="I294" s="15">
        <v>2.2599999999999999E-2</v>
      </c>
      <c r="J294" s="15">
        <v>11.567961165048541</v>
      </c>
    </row>
    <row r="295" spans="1:10" x14ac:dyDescent="0.25">
      <c r="A295" s="2" t="s">
        <v>881</v>
      </c>
      <c r="B295" s="2" t="s">
        <v>882</v>
      </c>
      <c r="C295" s="2" t="s">
        <v>883</v>
      </c>
      <c r="D295" s="2" t="s">
        <v>10040</v>
      </c>
      <c r="E295" s="15">
        <v>8.0000000000000004E-4</v>
      </c>
      <c r="F295" s="15">
        <v>4.4400000000000002E-2</v>
      </c>
      <c r="G295" s="15">
        <v>0.98619999999999997</v>
      </c>
      <c r="H295" s="15">
        <v>0.26600000000000001</v>
      </c>
      <c r="I295" s="15">
        <v>2.5399999999999999E-2</v>
      </c>
      <c r="J295" s="15">
        <v>11.60251046025104</v>
      </c>
    </row>
    <row r="296" spans="1:10" x14ac:dyDescent="0.25">
      <c r="A296" s="2" t="s">
        <v>884</v>
      </c>
      <c r="B296" s="2" t="s">
        <v>885</v>
      </c>
      <c r="C296" s="2" t="s">
        <v>886</v>
      </c>
      <c r="D296" s="2" t="s">
        <v>10040</v>
      </c>
      <c r="E296" s="15">
        <v>3.2800000000000003E-2</v>
      </c>
      <c r="F296" s="15">
        <v>3.9899999999999998E-2</v>
      </c>
      <c r="G296" s="15">
        <v>0.41010000000000002</v>
      </c>
      <c r="H296" s="15">
        <v>0.30690000000000001</v>
      </c>
      <c r="I296" s="15">
        <v>2.6599999999999999E-2</v>
      </c>
      <c r="J296" s="15">
        <v>13.270916334661351</v>
      </c>
    </row>
    <row r="297" spans="1:10" x14ac:dyDescent="0.25">
      <c r="A297" s="2" t="s">
        <v>887</v>
      </c>
      <c r="B297" s="2" t="s">
        <v>888</v>
      </c>
      <c r="C297" s="2" t="s">
        <v>889</v>
      </c>
      <c r="D297" s="2" t="s">
        <v>10040</v>
      </c>
      <c r="E297" s="15">
        <v>-3.4099999999999998E-2</v>
      </c>
      <c r="F297" s="15">
        <v>4.4900000000000002E-2</v>
      </c>
      <c r="G297" s="15">
        <v>0.44769999999999999</v>
      </c>
      <c r="H297" s="15">
        <v>0.19189999999999999</v>
      </c>
      <c r="I297" s="15">
        <v>2.0199999999999999E-2</v>
      </c>
      <c r="J297" s="15">
        <v>10.20512820512821</v>
      </c>
    </row>
    <row r="298" spans="1:10" x14ac:dyDescent="0.25">
      <c r="A298" s="2" t="s">
        <v>890</v>
      </c>
      <c r="B298" s="2" t="s">
        <v>891</v>
      </c>
      <c r="C298" s="2" t="s">
        <v>892</v>
      </c>
      <c r="D298" s="2" t="s">
        <v>10040</v>
      </c>
      <c r="E298" s="15">
        <v>-6.1400000000000003E-2</v>
      </c>
      <c r="F298" s="15">
        <v>4.07E-2</v>
      </c>
      <c r="G298" s="15">
        <v>0.13139999999999999</v>
      </c>
      <c r="H298" s="15">
        <v>0.21060000000000001</v>
      </c>
      <c r="I298" s="15">
        <v>1.9900000000000001E-2</v>
      </c>
      <c r="J298" s="15">
        <v>10.305</v>
      </c>
    </row>
    <row r="299" spans="1:10" x14ac:dyDescent="0.25">
      <c r="A299" s="2" t="s">
        <v>893</v>
      </c>
      <c r="B299" s="2" t="s">
        <v>894</v>
      </c>
      <c r="C299" s="2" t="s">
        <v>895</v>
      </c>
      <c r="D299" s="2" t="s">
        <v>10040</v>
      </c>
      <c r="E299" s="15">
        <v>-1.32E-2</v>
      </c>
      <c r="F299" s="15">
        <v>4.3099999999999999E-2</v>
      </c>
      <c r="G299" s="15">
        <v>0.75870000000000004</v>
      </c>
      <c r="H299" s="15">
        <v>0.2296</v>
      </c>
      <c r="I299" s="15">
        <v>2.3900000000000001E-2</v>
      </c>
      <c r="J299" s="15">
        <v>10.516129032258061</v>
      </c>
    </row>
    <row r="300" spans="1:10" x14ac:dyDescent="0.25">
      <c r="A300" s="2" t="s">
        <v>896</v>
      </c>
      <c r="B300" s="2" t="s">
        <v>897</v>
      </c>
      <c r="C300" s="2" t="s">
        <v>898</v>
      </c>
      <c r="D300" s="2" t="s">
        <v>10040</v>
      </c>
      <c r="E300" s="15">
        <v>-7.7000000000000002E-3</v>
      </c>
      <c r="F300" s="15">
        <v>4.2700000000000002E-2</v>
      </c>
      <c r="G300" s="15">
        <v>0.85670000000000002</v>
      </c>
      <c r="H300" s="15">
        <v>0.23860000000000001</v>
      </c>
      <c r="I300" s="15">
        <v>2.5600000000000001E-2</v>
      </c>
      <c r="J300" s="15">
        <v>10.69230769230769</v>
      </c>
    </row>
    <row r="301" spans="1:10" x14ac:dyDescent="0.25">
      <c r="A301" s="2" t="s">
        <v>899</v>
      </c>
      <c r="B301" s="2" t="s">
        <v>900</v>
      </c>
      <c r="C301" s="2" t="s">
        <v>901</v>
      </c>
      <c r="D301" s="2" t="s">
        <v>10040</v>
      </c>
      <c r="E301" s="15">
        <v>-2.64E-2</v>
      </c>
      <c r="F301" s="15">
        <v>4.5600000000000002E-2</v>
      </c>
      <c r="G301" s="15">
        <v>0.5625</v>
      </c>
      <c r="H301" s="15">
        <v>0.21429999999999999</v>
      </c>
      <c r="I301" s="15">
        <v>2.2700000000000001E-2</v>
      </c>
      <c r="J301" s="15">
        <v>10.53465346534654</v>
      </c>
    </row>
    <row r="302" spans="1:10" x14ac:dyDescent="0.25">
      <c r="A302" s="2" t="s">
        <v>902</v>
      </c>
      <c r="B302" s="2" t="s">
        <v>903</v>
      </c>
      <c r="C302" s="2" t="s">
        <v>904</v>
      </c>
      <c r="D302" s="2" t="s">
        <v>10040</v>
      </c>
      <c r="E302" s="15">
        <v>-9.9000000000000008E-3</v>
      </c>
      <c r="F302" s="15">
        <v>4.02E-2</v>
      </c>
      <c r="G302" s="15">
        <v>0.80489999999999995</v>
      </c>
      <c r="H302" s="15">
        <v>0.24709999999999999</v>
      </c>
      <c r="I302" s="15">
        <v>2.1700000000000001E-2</v>
      </c>
      <c r="J302" s="15">
        <v>12.03349282296651</v>
      </c>
    </row>
    <row r="303" spans="1:10" x14ac:dyDescent="0.25">
      <c r="A303" s="2" t="s">
        <v>905</v>
      </c>
      <c r="B303" s="2" t="s">
        <v>906</v>
      </c>
      <c r="C303" s="2" t="s">
        <v>907</v>
      </c>
      <c r="D303" s="2" t="s">
        <v>10040</v>
      </c>
      <c r="E303" s="15">
        <v>2.86E-2</v>
      </c>
      <c r="F303" s="15">
        <v>3.8399999999999997E-2</v>
      </c>
      <c r="G303" s="15">
        <v>0.45650000000000002</v>
      </c>
      <c r="H303" s="15">
        <v>0.26790000000000003</v>
      </c>
      <c r="I303" s="15">
        <v>2.3300000000000001E-2</v>
      </c>
      <c r="J303" s="15">
        <v>13.29032258064516</v>
      </c>
    </row>
    <row r="304" spans="1:10" x14ac:dyDescent="0.25">
      <c r="A304" s="2" t="s">
        <v>908</v>
      </c>
      <c r="B304" s="2" t="s">
        <v>909</v>
      </c>
      <c r="C304" s="2" t="s">
        <v>910</v>
      </c>
      <c r="D304" s="2" t="s">
        <v>10040</v>
      </c>
      <c r="E304" s="15">
        <v>-5.8000000000000003E-2</v>
      </c>
      <c r="F304" s="15">
        <v>4.1000000000000002E-2</v>
      </c>
      <c r="G304" s="15">
        <v>0.1573</v>
      </c>
      <c r="H304" s="15">
        <v>0.20380000000000001</v>
      </c>
      <c r="I304" s="15">
        <v>2.0299999999999999E-2</v>
      </c>
      <c r="J304" s="15">
        <v>11.12820512820513</v>
      </c>
    </row>
    <row r="305" spans="1:10" x14ac:dyDescent="0.25">
      <c r="A305" s="2" t="s">
        <v>911</v>
      </c>
      <c r="B305" s="2" t="s">
        <v>912</v>
      </c>
      <c r="C305" s="2" t="s">
        <v>913</v>
      </c>
      <c r="D305" s="2" t="s">
        <v>10040</v>
      </c>
      <c r="E305" s="15">
        <v>-1.6299999999999999E-2</v>
      </c>
      <c r="F305" s="15">
        <v>4.6300000000000001E-2</v>
      </c>
      <c r="G305" s="15">
        <v>0.72499999999999998</v>
      </c>
      <c r="H305" s="15">
        <v>0.21510000000000001</v>
      </c>
      <c r="I305" s="15">
        <v>2.1700000000000001E-2</v>
      </c>
      <c r="J305" s="15">
        <v>11.22167487684729</v>
      </c>
    </row>
    <row r="306" spans="1:10" x14ac:dyDescent="0.25">
      <c r="A306" s="2" t="s">
        <v>914</v>
      </c>
      <c r="B306" s="2" t="s">
        <v>915</v>
      </c>
      <c r="C306" s="2" t="s">
        <v>916</v>
      </c>
      <c r="D306" s="2" t="s">
        <v>10040</v>
      </c>
      <c r="E306" s="15">
        <v>-6.9199999999999998E-2</v>
      </c>
      <c r="F306" s="15">
        <v>4.1399999999999999E-2</v>
      </c>
      <c r="G306" s="15">
        <v>9.4399999999999998E-2</v>
      </c>
      <c r="H306" s="15">
        <v>0.20749999999999999</v>
      </c>
      <c r="I306" s="15">
        <v>1.9800000000000002E-2</v>
      </c>
      <c r="J306" s="15">
        <v>11.51041666666667</v>
      </c>
    </row>
    <row r="307" spans="1:10" x14ac:dyDescent="0.25">
      <c r="A307" s="2" t="s">
        <v>917</v>
      </c>
      <c r="B307" s="2" t="s">
        <v>918</v>
      </c>
      <c r="C307" s="2" t="s">
        <v>919</v>
      </c>
      <c r="D307" s="2" t="s">
        <v>10040</v>
      </c>
      <c r="E307" s="15">
        <v>3.95E-2</v>
      </c>
      <c r="F307" s="15">
        <v>4.4900000000000002E-2</v>
      </c>
      <c r="G307" s="15">
        <v>0.3795</v>
      </c>
      <c r="H307" s="15">
        <v>0.21840000000000001</v>
      </c>
      <c r="I307" s="15">
        <v>2.1100000000000001E-2</v>
      </c>
      <c r="J307" s="15">
        <v>11.487046632124351</v>
      </c>
    </row>
    <row r="308" spans="1:10" x14ac:dyDescent="0.25">
      <c r="A308" s="2" t="s">
        <v>920</v>
      </c>
      <c r="B308" s="2" t="s">
        <v>921</v>
      </c>
      <c r="C308" s="2" t="s">
        <v>922</v>
      </c>
      <c r="D308" s="2" t="s">
        <v>10040</v>
      </c>
      <c r="E308" s="15">
        <v>3.5999999999999999E-3</v>
      </c>
      <c r="F308" s="15">
        <v>4.6899999999999997E-2</v>
      </c>
      <c r="G308" s="15">
        <v>0.93940000000000001</v>
      </c>
      <c r="H308" s="15">
        <v>0.18229999999999999</v>
      </c>
      <c r="I308" s="15">
        <v>1.9900000000000001E-2</v>
      </c>
      <c r="J308" s="15">
        <v>10.837988826815639</v>
      </c>
    </row>
    <row r="309" spans="1:10" x14ac:dyDescent="0.25">
      <c r="A309" s="2" t="s">
        <v>923</v>
      </c>
      <c r="B309" s="2" t="s">
        <v>924</v>
      </c>
      <c r="C309" s="2" t="s">
        <v>925</v>
      </c>
      <c r="D309" s="2" t="s">
        <v>10040</v>
      </c>
      <c r="E309" s="15">
        <v>-2.1700000000000001E-2</v>
      </c>
      <c r="F309" s="15">
        <v>4.4600000000000001E-2</v>
      </c>
      <c r="G309" s="15">
        <v>0.62709999999999999</v>
      </c>
      <c r="H309" s="15">
        <v>0.19919999999999999</v>
      </c>
      <c r="I309" s="15">
        <v>1.8499999999999999E-2</v>
      </c>
      <c r="J309" s="15">
        <v>11.63186813186813</v>
      </c>
    </row>
    <row r="310" spans="1:10" x14ac:dyDescent="0.25">
      <c r="A310" s="2" t="s">
        <v>926</v>
      </c>
      <c r="B310" s="2" t="s">
        <v>927</v>
      </c>
      <c r="C310" s="2" t="s">
        <v>928</v>
      </c>
      <c r="D310" s="2" t="s">
        <v>10040</v>
      </c>
      <c r="E310" s="15">
        <v>1.7600000000000001E-2</v>
      </c>
      <c r="F310" s="15">
        <v>4.2799999999999998E-2</v>
      </c>
      <c r="G310" s="15">
        <v>0.68159999999999998</v>
      </c>
      <c r="H310" s="15">
        <v>0.21840000000000001</v>
      </c>
      <c r="I310" s="15">
        <v>2.47E-2</v>
      </c>
      <c r="J310" s="15">
        <v>9.0493827160493829</v>
      </c>
    </row>
    <row r="311" spans="1:10" x14ac:dyDescent="0.25">
      <c r="A311" s="2" t="s">
        <v>929</v>
      </c>
      <c r="B311" s="2" t="s">
        <v>930</v>
      </c>
      <c r="C311" s="2" t="s">
        <v>931</v>
      </c>
      <c r="D311" s="2" t="s">
        <v>10040</v>
      </c>
      <c r="E311" s="15">
        <v>1.7999999999999999E-2</v>
      </c>
      <c r="F311" s="15">
        <v>4.0399999999999998E-2</v>
      </c>
      <c r="G311" s="15">
        <v>0.65600000000000003</v>
      </c>
      <c r="H311" s="15">
        <v>0.30840000000000001</v>
      </c>
      <c r="I311" s="15">
        <v>2.58E-2</v>
      </c>
      <c r="J311" s="15">
        <v>13.28225806451613</v>
      </c>
    </row>
    <row r="312" spans="1:10" x14ac:dyDescent="0.25">
      <c r="A312" s="2" t="s">
        <v>932</v>
      </c>
      <c r="B312" s="2" t="s">
        <v>933</v>
      </c>
      <c r="C312" s="2" t="s">
        <v>934</v>
      </c>
      <c r="D312" s="2" t="s">
        <v>10040</v>
      </c>
      <c r="E312" s="15">
        <v>-5.1400000000000001E-2</v>
      </c>
      <c r="F312" s="15">
        <v>3.9E-2</v>
      </c>
      <c r="G312" s="15">
        <v>0.18779999999999999</v>
      </c>
      <c r="H312" s="15">
        <v>0.2707</v>
      </c>
      <c r="I312" s="15">
        <v>2.0799999999999999E-2</v>
      </c>
      <c r="J312" s="15">
        <v>13.842639593908631</v>
      </c>
    </row>
    <row r="313" spans="1:10" x14ac:dyDescent="0.25">
      <c r="A313" s="2" t="s">
        <v>935</v>
      </c>
      <c r="B313" s="2" t="s">
        <v>936</v>
      </c>
      <c r="C313" s="2" t="s">
        <v>937</v>
      </c>
      <c r="D313" s="2" t="s">
        <v>10040</v>
      </c>
      <c r="E313" s="15">
        <v>-1.9099999999999999E-2</v>
      </c>
      <c r="F313" s="15">
        <v>4.4200000000000003E-2</v>
      </c>
      <c r="G313" s="15">
        <v>0.66549999999999998</v>
      </c>
      <c r="H313" s="15">
        <v>0.1787</v>
      </c>
      <c r="I313" s="15">
        <v>1.9199999999999998E-2</v>
      </c>
      <c r="J313" s="15">
        <v>10.19337016574586</v>
      </c>
    </row>
    <row r="314" spans="1:10" x14ac:dyDescent="0.25">
      <c r="A314" s="2" t="s">
        <v>938</v>
      </c>
      <c r="B314" s="2" t="s">
        <v>939</v>
      </c>
      <c r="C314" s="2" t="s">
        <v>940</v>
      </c>
      <c r="D314" s="2" t="s">
        <v>10040</v>
      </c>
      <c r="E314" s="15">
        <v>-7.46E-2</v>
      </c>
      <c r="F314" s="15">
        <v>4.53E-2</v>
      </c>
      <c r="G314" s="15">
        <v>9.9400000000000002E-2</v>
      </c>
      <c r="H314" s="15">
        <v>0.19889999999999999</v>
      </c>
      <c r="I314" s="15">
        <v>1.84E-2</v>
      </c>
      <c r="J314" s="15">
        <v>10.437158469945359</v>
      </c>
    </row>
    <row r="315" spans="1:10" x14ac:dyDescent="0.25">
      <c r="A315" s="2" t="s">
        <v>941</v>
      </c>
      <c r="B315" s="2" t="s">
        <v>942</v>
      </c>
      <c r="C315" s="2" t="s">
        <v>943</v>
      </c>
      <c r="D315" s="2" t="s">
        <v>10040</v>
      </c>
      <c r="E315" s="15">
        <v>3.3300000000000003E-2</v>
      </c>
      <c r="F315" s="15">
        <v>3.7499999999999999E-2</v>
      </c>
      <c r="G315" s="15">
        <v>0.37490000000000001</v>
      </c>
      <c r="H315" s="15">
        <v>0.22570000000000001</v>
      </c>
      <c r="I315" s="15">
        <v>2.0799999999999999E-2</v>
      </c>
      <c r="J315" s="15">
        <v>12.151960784313729</v>
      </c>
    </row>
    <row r="316" spans="1:10" x14ac:dyDescent="0.25">
      <c r="A316" s="2" t="s">
        <v>944</v>
      </c>
      <c r="B316" s="2" t="s">
        <v>945</v>
      </c>
      <c r="C316" s="2" t="s">
        <v>946</v>
      </c>
      <c r="D316" s="2" t="s">
        <v>10040</v>
      </c>
      <c r="E316" s="15">
        <v>1.4E-3</v>
      </c>
      <c r="F316" s="15">
        <v>3.7900000000000003E-2</v>
      </c>
      <c r="G316" s="15">
        <v>0.96970000000000001</v>
      </c>
      <c r="H316" s="15">
        <v>0.25590000000000002</v>
      </c>
      <c r="I316" s="15">
        <v>2.0799999999999999E-2</v>
      </c>
      <c r="J316" s="15">
        <v>12.763033175355449</v>
      </c>
    </row>
    <row r="317" spans="1:10" x14ac:dyDescent="0.25">
      <c r="A317" s="2" t="s">
        <v>947</v>
      </c>
      <c r="B317" s="2" t="s">
        <v>948</v>
      </c>
      <c r="C317" s="2" t="s">
        <v>949</v>
      </c>
      <c r="D317" s="2" t="s">
        <v>10040</v>
      </c>
      <c r="E317" s="15">
        <v>4.65E-2</v>
      </c>
      <c r="F317" s="15">
        <v>4.8599999999999997E-2</v>
      </c>
      <c r="G317" s="15">
        <v>0.33829999999999999</v>
      </c>
      <c r="H317" s="15">
        <v>0.15579999999999999</v>
      </c>
      <c r="I317" s="15">
        <v>2.0899999999999998E-2</v>
      </c>
      <c r="J317" s="15">
        <v>8.0247524752475243</v>
      </c>
    </row>
    <row r="318" spans="1:10" x14ac:dyDescent="0.25">
      <c r="A318" s="2" t="s">
        <v>950</v>
      </c>
      <c r="B318" s="2" t="s">
        <v>951</v>
      </c>
      <c r="C318" s="2" t="s">
        <v>952</v>
      </c>
      <c r="D318" s="2" t="s">
        <v>10040</v>
      </c>
      <c r="E318" s="15">
        <v>-2.6800000000000001E-2</v>
      </c>
      <c r="F318" s="15">
        <v>4.3700000000000003E-2</v>
      </c>
      <c r="G318" s="15">
        <v>0.54049999999999998</v>
      </c>
      <c r="H318" s="15">
        <v>0.26029999999999998</v>
      </c>
      <c r="I318" s="15">
        <v>2.3300000000000001E-2</v>
      </c>
      <c r="J318" s="15">
        <v>12.49532710280374</v>
      </c>
    </row>
    <row r="319" spans="1:10" x14ac:dyDescent="0.25">
      <c r="A319" s="2" t="s">
        <v>953</v>
      </c>
      <c r="B319" s="2" t="s">
        <v>954</v>
      </c>
      <c r="C319" s="2" t="s">
        <v>955</v>
      </c>
      <c r="D319" s="2" t="s">
        <v>10040</v>
      </c>
      <c r="E319" s="15">
        <v>6.9999999999999999E-4</v>
      </c>
      <c r="F319" s="15">
        <v>4.5600000000000002E-2</v>
      </c>
      <c r="G319" s="15">
        <v>0.98829999999999996</v>
      </c>
      <c r="H319" s="15">
        <v>0.27139999999999997</v>
      </c>
      <c r="I319" s="15">
        <v>2.5600000000000001E-2</v>
      </c>
      <c r="J319" s="15">
        <v>11.49790794979079</v>
      </c>
    </row>
    <row r="320" spans="1:10" x14ac:dyDescent="0.25">
      <c r="A320" s="2" t="s">
        <v>956</v>
      </c>
      <c r="B320" s="2" t="s">
        <v>957</v>
      </c>
      <c r="C320" s="2" t="s">
        <v>958</v>
      </c>
      <c r="D320" s="2" t="s">
        <v>10040</v>
      </c>
      <c r="E320" s="15">
        <v>4.4499999999999998E-2</v>
      </c>
      <c r="F320" s="15">
        <v>3.8899999999999997E-2</v>
      </c>
      <c r="G320" s="15">
        <v>0.25319999999999998</v>
      </c>
      <c r="H320" s="15">
        <v>0.32779999999999998</v>
      </c>
      <c r="I320" s="15">
        <v>2.69E-2</v>
      </c>
      <c r="J320" s="15">
        <v>13.68650793650793</v>
      </c>
    </row>
    <row r="321" spans="1:10" x14ac:dyDescent="0.25">
      <c r="A321" s="2" t="s">
        <v>959</v>
      </c>
      <c r="B321" s="2" t="s">
        <v>960</v>
      </c>
      <c r="C321" s="2" t="s">
        <v>961</v>
      </c>
      <c r="D321" s="2" t="s">
        <v>10040</v>
      </c>
      <c r="E321" s="15">
        <v>1.2500000000000001E-2</v>
      </c>
      <c r="F321" s="15">
        <v>4.1700000000000001E-2</v>
      </c>
      <c r="G321" s="15">
        <v>0.76429999999999998</v>
      </c>
      <c r="H321" s="15">
        <v>0.20730000000000001</v>
      </c>
      <c r="I321" s="15">
        <v>1.95E-2</v>
      </c>
      <c r="J321" s="15">
        <v>11.422680412371131</v>
      </c>
    </row>
    <row r="322" spans="1:10" x14ac:dyDescent="0.25">
      <c r="A322" s="2" t="s">
        <v>962</v>
      </c>
      <c r="B322" s="2" t="s">
        <v>963</v>
      </c>
      <c r="C322" s="2" t="s">
        <v>964</v>
      </c>
      <c r="D322" s="2" t="s">
        <v>10040</v>
      </c>
      <c r="E322" s="15">
        <v>7.9000000000000008E-3</v>
      </c>
      <c r="F322" s="15">
        <v>3.9E-2</v>
      </c>
      <c r="G322" s="15">
        <v>0.83889999999999998</v>
      </c>
      <c r="H322" s="15">
        <v>0.2122</v>
      </c>
      <c r="I322" s="15">
        <v>2.0400000000000001E-2</v>
      </c>
      <c r="J322" s="15">
        <v>10.45145631067961</v>
      </c>
    </row>
    <row r="323" spans="1:10" x14ac:dyDescent="0.25">
      <c r="A323" s="2" t="s">
        <v>965</v>
      </c>
      <c r="B323" s="2" t="s">
        <v>966</v>
      </c>
      <c r="C323" s="2" t="s">
        <v>967</v>
      </c>
      <c r="D323" s="2" t="s">
        <v>10040</v>
      </c>
      <c r="E323" s="15">
        <v>-1.67E-2</v>
      </c>
      <c r="F323" s="15">
        <v>4.1799999999999997E-2</v>
      </c>
      <c r="G323" s="15">
        <v>0.68920000000000003</v>
      </c>
      <c r="H323" s="15">
        <v>0.2316</v>
      </c>
      <c r="I323" s="15">
        <v>2.7E-2</v>
      </c>
      <c r="J323" s="15">
        <v>9.681034482758621</v>
      </c>
    </row>
    <row r="324" spans="1:10" x14ac:dyDescent="0.25">
      <c r="A324" s="2" t="s">
        <v>968</v>
      </c>
      <c r="B324" s="2" t="s">
        <v>969</v>
      </c>
      <c r="C324" s="2" t="s">
        <v>970</v>
      </c>
      <c r="D324" s="2" t="s">
        <v>10040</v>
      </c>
      <c r="E324" s="15">
        <v>6.1100000000000002E-2</v>
      </c>
      <c r="F324" s="15">
        <v>4.2000000000000003E-2</v>
      </c>
      <c r="G324" s="15">
        <v>0.14599999999999999</v>
      </c>
      <c r="H324" s="15">
        <v>0.25240000000000001</v>
      </c>
      <c r="I324" s="15">
        <v>2.3699999999999999E-2</v>
      </c>
      <c r="J324" s="15">
        <v>11.43859649122807</v>
      </c>
    </row>
    <row r="325" spans="1:10" x14ac:dyDescent="0.25">
      <c r="A325" s="2" t="s">
        <v>971</v>
      </c>
      <c r="B325" s="2" t="s">
        <v>972</v>
      </c>
      <c r="C325" s="2" t="s">
        <v>973</v>
      </c>
      <c r="D325" s="2" t="s">
        <v>10040</v>
      </c>
      <c r="E325" s="15">
        <v>7.4999999999999997E-3</v>
      </c>
      <c r="F325" s="15">
        <v>4.3499999999999997E-2</v>
      </c>
      <c r="G325" s="15">
        <v>0.86399999999999999</v>
      </c>
      <c r="H325" s="15">
        <v>0.2031</v>
      </c>
      <c r="I325" s="15">
        <v>2.0799999999999999E-2</v>
      </c>
      <c r="J325" s="15">
        <v>10.15686274509804</v>
      </c>
    </row>
    <row r="326" spans="1:10" x14ac:dyDescent="0.25">
      <c r="A326" s="2" t="s">
        <v>974</v>
      </c>
      <c r="B326" s="2" t="s">
        <v>975</v>
      </c>
      <c r="C326" s="2" t="s">
        <v>976</v>
      </c>
      <c r="D326" s="2" t="s">
        <v>10040</v>
      </c>
      <c r="E326" s="15">
        <v>5.74E-2</v>
      </c>
      <c r="F326" s="15">
        <v>3.8800000000000001E-2</v>
      </c>
      <c r="G326" s="15">
        <v>0.13900000000000001</v>
      </c>
      <c r="H326" s="15">
        <v>0.2823</v>
      </c>
      <c r="I326" s="15">
        <v>2.5000000000000001E-2</v>
      </c>
      <c r="J326" s="15">
        <v>12.93506493506494</v>
      </c>
    </row>
    <row r="327" spans="1:10" x14ac:dyDescent="0.25">
      <c r="A327" s="2" t="s">
        <v>977</v>
      </c>
      <c r="B327" s="2" t="s">
        <v>978</v>
      </c>
      <c r="C327" s="2" t="s">
        <v>979</v>
      </c>
      <c r="D327" s="2" t="s">
        <v>10040</v>
      </c>
      <c r="E327" s="15">
        <v>-3.0200000000000001E-2</v>
      </c>
      <c r="F327" s="15">
        <v>4.3700000000000003E-2</v>
      </c>
      <c r="G327" s="15">
        <v>0.48949999999999999</v>
      </c>
      <c r="H327" s="15">
        <v>0.1883</v>
      </c>
      <c r="I327" s="15">
        <v>2.07E-2</v>
      </c>
      <c r="J327" s="15">
        <v>9.6414141414141401</v>
      </c>
    </row>
    <row r="328" spans="1:10" x14ac:dyDescent="0.25">
      <c r="A328" s="2" t="s">
        <v>980</v>
      </c>
      <c r="B328" s="2" t="s">
        <v>981</v>
      </c>
      <c r="C328" s="2" t="s">
        <v>982</v>
      </c>
      <c r="D328" s="2" t="s">
        <v>10040</v>
      </c>
      <c r="E328" s="15">
        <v>3.5000000000000003E-2</v>
      </c>
      <c r="F328" s="15">
        <v>4.2900000000000001E-2</v>
      </c>
      <c r="G328" s="15">
        <v>0.41520000000000001</v>
      </c>
      <c r="H328" s="15">
        <v>0.2364</v>
      </c>
      <c r="I328" s="15">
        <v>2.1600000000000001E-2</v>
      </c>
      <c r="J328" s="15">
        <v>11.328571428571429</v>
      </c>
    </row>
    <row r="329" spans="1:10" x14ac:dyDescent="0.25">
      <c r="A329" s="2" t="s">
        <v>983</v>
      </c>
      <c r="B329" s="2" t="s">
        <v>984</v>
      </c>
      <c r="C329" s="2" t="s">
        <v>985</v>
      </c>
      <c r="D329" s="2" t="s">
        <v>10040</v>
      </c>
      <c r="E329" s="15">
        <v>-6.7999999999999996E-3</v>
      </c>
      <c r="F329" s="15">
        <v>4.5900000000000003E-2</v>
      </c>
      <c r="G329" s="15">
        <v>0.88280000000000003</v>
      </c>
      <c r="H329" s="15">
        <v>0.26490000000000002</v>
      </c>
      <c r="I329" s="15">
        <v>2.53E-2</v>
      </c>
      <c r="J329" s="15">
        <v>11.4468085106383</v>
      </c>
    </row>
    <row r="330" spans="1:10" x14ac:dyDescent="0.25">
      <c r="A330" s="2" t="s">
        <v>986</v>
      </c>
      <c r="B330" s="2" t="s">
        <v>987</v>
      </c>
      <c r="C330" s="2" t="s">
        <v>988</v>
      </c>
      <c r="D330" s="2" t="s">
        <v>10040</v>
      </c>
      <c r="E330" s="15">
        <v>1.29E-2</v>
      </c>
      <c r="F330" s="15">
        <v>4.7399999999999998E-2</v>
      </c>
      <c r="G330" s="15">
        <v>0.78520000000000001</v>
      </c>
      <c r="H330" s="15">
        <v>0.20399999999999999</v>
      </c>
      <c r="I330" s="15">
        <v>2.0199999999999999E-2</v>
      </c>
      <c r="J330" s="15">
        <v>11.09661835748792</v>
      </c>
    </row>
    <row r="331" spans="1:10" x14ac:dyDescent="0.25">
      <c r="A331" s="2" t="s">
        <v>989</v>
      </c>
      <c r="B331" s="2" t="s">
        <v>990</v>
      </c>
      <c r="C331" s="2" t="s">
        <v>991</v>
      </c>
      <c r="D331" s="2" t="s">
        <v>10040</v>
      </c>
      <c r="E331" s="15">
        <v>-9.5999999999999992E-3</v>
      </c>
      <c r="F331" s="15">
        <v>4.2200000000000001E-2</v>
      </c>
      <c r="G331" s="15">
        <v>0.81989999999999996</v>
      </c>
      <c r="H331" s="15">
        <v>0.19889999999999999</v>
      </c>
      <c r="I331" s="15">
        <v>1.8100000000000002E-2</v>
      </c>
      <c r="J331" s="15">
        <v>11.6242774566474</v>
      </c>
    </row>
    <row r="332" spans="1:10" x14ac:dyDescent="0.25">
      <c r="A332" s="2" t="s">
        <v>992</v>
      </c>
      <c r="B332" s="2" t="s">
        <v>993</v>
      </c>
      <c r="C332" s="2" t="s">
        <v>994</v>
      </c>
      <c r="D332" s="2" t="s">
        <v>10040</v>
      </c>
      <c r="E332" s="15">
        <v>2.0799999999999999E-2</v>
      </c>
      <c r="F332" s="15">
        <v>3.9699999999999999E-2</v>
      </c>
      <c r="G332" s="15">
        <v>0.5998</v>
      </c>
      <c r="H332" s="15">
        <v>0.31969999999999998</v>
      </c>
      <c r="I332" s="15">
        <v>2.5899999999999999E-2</v>
      </c>
      <c r="J332" s="15">
        <v>13.6530612244898</v>
      </c>
    </row>
    <row r="333" spans="1:10" x14ac:dyDescent="0.25">
      <c r="A333" s="2" t="s">
        <v>995</v>
      </c>
      <c r="B333" s="2" t="s">
        <v>996</v>
      </c>
      <c r="C333" s="2" t="s">
        <v>997</v>
      </c>
      <c r="D333" s="2" t="s">
        <v>10040</v>
      </c>
      <c r="E333" s="15">
        <v>4.9000000000000002E-2</v>
      </c>
      <c r="F333" s="15">
        <v>4.5199999999999997E-2</v>
      </c>
      <c r="G333" s="15">
        <v>0.27879999999999999</v>
      </c>
      <c r="H333" s="15">
        <v>0.21740000000000001</v>
      </c>
      <c r="I333" s="15">
        <v>2.0799999999999999E-2</v>
      </c>
      <c r="J333" s="15">
        <v>10.325242718446599</v>
      </c>
    </row>
    <row r="334" spans="1:10" x14ac:dyDescent="0.25">
      <c r="A334" s="2" t="s">
        <v>998</v>
      </c>
      <c r="B334" s="2" t="s">
        <v>999</v>
      </c>
      <c r="C334" s="2" t="s">
        <v>1000</v>
      </c>
      <c r="D334" s="2" t="s">
        <v>10040</v>
      </c>
      <c r="E334" s="15">
        <v>-2.7799999999999998E-2</v>
      </c>
      <c r="F334" s="15">
        <v>4.6199999999999998E-2</v>
      </c>
      <c r="G334" s="15">
        <v>0.54700000000000004</v>
      </c>
      <c r="H334" s="15">
        <v>0.2102</v>
      </c>
      <c r="I334" s="15">
        <v>2.1000000000000001E-2</v>
      </c>
      <c r="J334" s="15">
        <v>11.22395833333333</v>
      </c>
    </row>
    <row r="335" spans="1:10" x14ac:dyDescent="0.25">
      <c r="A335" s="2" t="s">
        <v>1001</v>
      </c>
      <c r="B335" s="2" t="s">
        <v>1002</v>
      </c>
      <c r="C335" s="2" t="s">
        <v>1003</v>
      </c>
      <c r="D335" s="2" t="s">
        <v>10040</v>
      </c>
      <c r="E335" s="15">
        <v>1.7999999999999999E-2</v>
      </c>
      <c r="F335" s="15">
        <v>4.5600000000000002E-2</v>
      </c>
      <c r="G335" s="15">
        <v>0.6925</v>
      </c>
      <c r="H335" s="15">
        <v>0.18129999999999999</v>
      </c>
      <c r="I335" s="15">
        <v>1.8599999999999998E-2</v>
      </c>
      <c r="J335" s="15">
        <v>10.404371584699449</v>
      </c>
    </row>
    <row r="336" spans="1:10" x14ac:dyDescent="0.25">
      <c r="A336" s="2" t="s">
        <v>1004</v>
      </c>
      <c r="B336" s="2" t="s">
        <v>1005</v>
      </c>
      <c r="C336" s="2" t="s">
        <v>1006</v>
      </c>
      <c r="D336" s="2" t="s">
        <v>10040</v>
      </c>
      <c r="E336" s="15">
        <v>-2.35E-2</v>
      </c>
      <c r="F336" s="15">
        <v>3.7100000000000001E-2</v>
      </c>
      <c r="G336" s="15">
        <v>0.52600000000000002</v>
      </c>
      <c r="H336" s="15">
        <v>0.28599999999999998</v>
      </c>
      <c r="I336" s="15">
        <v>2.2200000000000001E-2</v>
      </c>
      <c r="J336" s="15">
        <v>13.205607476635519</v>
      </c>
    </row>
    <row r="337" spans="1:10" x14ac:dyDescent="0.25">
      <c r="A337" s="2" t="s">
        <v>1007</v>
      </c>
      <c r="B337" s="2" t="s">
        <v>1008</v>
      </c>
      <c r="C337" s="2" t="s">
        <v>1009</v>
      </c>
      <c r="D337" s="2" t="s">
        <v>10040</v>
      </c>
      <c r="E337" s="15">
        <v>-7.0300000000000001E-2</v>
      </c>
      <c r="F337" s="15">
        <v>3.9899999999999998E-2</v>
      </c>
      <c r="G337" s="15">
        <v>7.8299999999999995E-2</v>
      </c>
      <c r="H337" s="15">
        <v>0.23219999999999999</v>
      </c>
      <c r="I337" s="15">
        <v>2.1499999999999998E-2</v>
      </c>
      <c r="J337" s="15">
        <v>11.937198067632851</v>
      </c>
    </row>
    <row r="338" spans="1:10" x14ac:dyDescent="0.25">
      <c r="A338" s="2" t="s">
        <v>1010</v>
      </c>
      <c r="B338" s="2" t="s">
        <v>1011</v>
      </c>
      <c r="C338" s="2" t="s">
        <v>1012</v>
      </c>
      <c r="D338" s="2" t="s">
        <v>10040</v>
      </c>
      <c r="E338" s="15">
        <v>-2.2100000000000002E-2</v>
      </c>
      <c r="F338" s="15">
        <v>3.7600000000000001E-2</v>
      </c>
      <c r="G338" s="15">
        <v>0.55589999999999995</v>
      </c>
      <c r="H338" s="15">
        <v>0.24299999999999999</v>
      </c>
      <c r="I338" s="15">
        <v>0.02</v>
      </c>
      <c r="J338" s="15">
        <v>13.446236559139789</v>
      </c>
    </row>
    <row r="339" spans="1:10" x14ac:dyDescent="0.25">
      <c r="A339" s="2" t="s">
        <v>1013</v>
      </c>
      <c r="B339" s="2" t="s">
        <v>1014</v>
      </c>
      <c r="C339" s="2" t="s">
        <v>1015</v>
      </c>
      <c r="D339" s="2" t="s">
        <v>10040</v>
      </c>
      <c r="E339" s="15">
        <v>-1.3599999999999999E-2</v>
      </c>
      <c r="F339" s="15">
        <v>0.04</v>
      </c>
      <c r="G339" s="15">
        <v>0.73450000000000004</v>
      </c>
      <c r="H339" s="15">
        <v>0.28420000000000001</v>
      </c>
      <c r="I339" s="15">
        <v>2.4E-2</v>
      </c>
      <c r="J339" s="15">
        <v>12.825327510917029</v>
      </c>
    </row>
    <row r="340" spans="1:10" x14ac:dyDescent="0.25">
      <c r="A340" s="2" t="s">
        <v>1016</v>
      </c>
      <c r="B340" s="2" t="s">
        <v>1017</v>
      </c>
      <c r="C340" s="2" t="s">
        <v>1018</v>
      </c>
      <c r="D340" s="2" t="s">
        <v>10040</v>
      </c>
      <c r="E340" s="15">
        <v>1.18E-2</v>
      </c>
      <c r="F340" s="15">
        <v>3.7600000000000001E-2</v>
      </c>
      <c r="G340" s="15">
        <v>0.75270000000000004</v>
      </c>
      <c r="H340" s="15">
        <v>0.31269999999999998</v>
      </c>
      <c r="I340" s="15">
        <v>2.4E-2</v>
      </c>
      <c r="J340" s="15">
        <v>14.165938864628821</v>
      </c>
    </row>
    <row r="341" spans="1:10" x14ac:dyDescent="0.25">
      <c r="A341" s="2" t="s">
        <v>1019</v>
      </c>
      <c r="B341" s="2" t="s">
        <v>1020</v>
      </c>
      <c r="C341" s="2" t="s">
        <v>1021</v>
      </c>
      <c r="D341" s="2" t="s">
        <v>10040</v>
      </c>
      <c r="E341" s="15">
        <v>-4.1200000000000001E-2</v>
      </c>
      <c r="F341" s="15">
        <v>3.3399999999999999E-2</v>
      </c>
      <c r="G341" s="15">
        <v>0.2175</v>
      </c>
      <c r="H341" s="15">
        <v>0.40350000000000003</v>
      </c>
      <c r="I341" s="15">
        <v>3.3099999999999997E-2</v>
      </c>
      <c r="J341" s="15">
        <v>13.55218855218855</v>
      </c>
    </row>
    <row r="342" spans="1:10" x14ac:dyDescent="0.25">
      <c r="A342" s="2" t="s">
        <v>1022</v>
      </c>
      <c r="B342" s="2" t="s">
        <v>1023</v>
      </c>
      <c r="C342" s="2" t="s">
        <v>1024</v>
      </c>
      <c r="D342" s="2" t="s">
        <v>10040</v>
      </c>
      <c r="E342" s="15">
        <v>0.03</v>
      </c>
      <c r="F342" s="15">
        <v>3.4099999999999998E-2</v>
      </c>
      <c r="G342" s="15">
        <v>0.37859999999999999</v>
      </c>
      <c r="H342" s="15">
        <v>0.41909999999999997</v>
      </c>
      <c r="I342" s="15">
        <v>3.9100000000000003E-2</v>
      </c>
      <c r="J342" s="15">
        <v>12.688679245283019</v>
      </c>
    </row>
    <row r="343" spans="1:10" x14ac:dyDescent="0.25">
      <c r="A343" s="2" t="s">
        <v>1025</v>
      </c>
      <c r="B343" s="2" t="s">
        <v>1026</v>
      </c>
      <c r="C343" s="2" t="s">
        <v>1027</v>
      </c>
      <c r="D343" s="2" t="s">
        <v>10040</v>
      </c>
      <c r="E343" s="15">
        <v>3.6900000000000002E-2</v>
      </c>
      <c r="F343" s="15">
        <v>4.4400000000000002E-2</v>
      </c>
      <c r="G343" s="15">
        <v>0.40629999999999999</v>
      </c>
      <c r="H343" s="15">
        <v>0.24429999999999999</v>
      </c>
      <c r="I343" s="15">
        <v>2.12E-2</v>
      </c>
      <c r="J343" s="15">
        <v>11.90865384615385</v>
      </c>
    </row>
    <row r="344" spans="1:10" x14ac:dyDescent="0.25">
      <c r="A344" s="2" t="s">
        <v>1028</v>
      </c>
      <c r="B344" s="2" t="s">
        <v>1029</v>
      </c>
      <c r="C344" s="2" t="s">
        <v>1030</v>
      </c>
      <c r="D344" s="2" t="s">
        <v>10040</v>
      </c>
      <c r="E344" s="15">
        <v>-2.7799999999999998E-2</v>
      </c>
      <c r="F344" s="15">
        <v>3.56E-2</v>
      </c>
      <c r="G344" s="15">
        <v>0.4355</v>
      </c>
      <c r="H344" s="15">
        <v>0.37180000000000002</v>
      </c>
      <c r="I344" s="15">
        <v>3.1800000000000002E-2</v>
      </c>
      <c r="J344" s="15">
        <v>12.56122448979592</v>
      </c>
    </row>
    <row r="345" spans="1:10" x14ac:dyDescent="0.25">
      <c r="A345" s="2" t="s">
        <v>1031</v>
      </c>
      <c r="B345" s="2" t="s">
        <v>1032</v>
      </c>
      <c r="C345" s="2" t="s">
        <v>1033</v>
      </c>
      <c r="D345" s="2" t="s">
        <v>10040</v>
      </c>
      <c r="E345" s="15">
        <v>9.1999999999999998E-3</v>
      </c>
      <c r="F345" s="15">
        <v>3.4000000000000002E-2</v>
      </c>
      <c r="G345" s="15">
        <v>0.78569999999999995</v>
      </c>
      <c r="H345" s="15">
        <v>0.42120000000000002</v>
      </c>
      <c r="I345" s="15">
        <v>3.6999999999999998E-2</v>
      </c>
      <c r="J345" s="15">
        <v>13.02250803858521</v>
      </c>
    </row>
    <row r="346" spans="1:10" x14ac:dyDescent="0.25">
      <c r="A346" s="2" t="s">
        <v>1034</v>
      </c>
      <c r="B346" s="2" t="s">
        <v>1035</v>
      </c>
      <c r="C346" s="2" t="s">
        <v>1036</v>
      </c>
      <c r="D346" s="2" t="s">
        <v>10040</v>
      </c>
      <c r="E346" s="15">
        <v>-4.8500000000000001E-2</v>
      </c>
      <c r="F346" s="15">
        <v>5.1999999999999998E-2</v>
      </c>
      <c r="G346" s="15">
        <v>0.35020000000000001</v>
      </c>
      <c r="H346" s="15">
        <v>0.13850000000000001</v>
      </c>
      <c r="I346" s="15">
        <v>1.7399999999999999E-2</v>
      </c>
      <c r="J346" s="15">
        <v>8.7869822485207099</v>
      </c>
    </row>
    <row r="347" spans="1:10" x14ac:dyDescent="0.25">
      <c r="A347" s="2" t="s">
        <v>1037</v>
      </c>
      <c r="B347" s="2" t="s">
        <v>1038</v>
      </c>
      <c r="C347" s="2" t="s">
        <v>1039</v>
      </c>
      <c r="D347" s="2" t="s">
        <v>10040</v>
      </c>
      <c r="E347" s="15">
        <v>-5.6599999999999998E-2</v>
      </c>
      <c r="F347" s="15">
        <v>6.2300000000000001E-2</v>
      </c>
      <c r="G347" s="15">
        <v>0.36309999999999998</v>
      </c>
      <c r="H347" s="15">
        <v>8.0299999999999996E-2</v>
      </c>
      <c r="I347" s="15">
        <v>1.6E-2</v>
      </c>
      <c r="J347" s="15">
        <v>5.9797297297297289</v>
      </c>
    </row>
    <row r="348" spans="1:10" x14ac:dyDescent="0.25">
      <c r="A348" s="2" t="s">
        <v>1040</v>
      </c>
      <c r="B348" s="2" t="s">
        <v>1041</v>
      </c>
      <c r="C348" s="2" t="s">
        <v>1042</v>
      </c>
      <c r="D348" s="2" t="s">
        <v>10040</v>
      </c>
      <c r="E348" s="15">
        <v>4.1500000000000002E-2</v>
      </c>
      <c r="F348" s="15">
        <v>4.9599999999999998E-2</v>
      </c>
      <c r="G348" s="15">
        <v>0.40329999999999999</v>
      </c>
      <c r="H348" s="15">
        <v>0.13320000000000001</v>
      </c>
      <c r="I348" s="15">
        <v>2.2800000000000001E-2</v>
      </c>
      <c r="J348" s="15">
        <v>6.943127962085307</v>
      </c>
    </row>
    <row r="349" spans="1:10" x14ac:dyDescent="0.25">
      <c r="A349" s="2" t="s">
        <v>1043</v>
      </c>
      <c r="B349" s="2" t="s">
        <v>1044</v>
      </c>
      <c r="C349" s="2" t="s">
        <v>1045</v>
      </c>
      <c r="D349" s="2" t="s">
        <v>10040</v>
      </c>
      <c r="E349" s="15">
        <v>8.5300000000000001E-2</v>
      </c>
      <c r="F349" s="15">
        <v>3.8600000000000002E-2</v>
      </c>
      <c r="G349" s="15">
        <v>2.7099999999999999E-2</v>
      </c>
      <c r="H349" s="15">
        <v>0.25290000000000001</v>
      </c>
      <c r="I349" s="15">
        <v>2.6800000000000001E-2</v>
      </c>
      <c r="J349" s="15">
        <v>10.754098360655741</v>
      </c>
    </row>
    <row r="350" spans="1:10" x14ac:dyDescent="0.25">
      <c r="A350" s="2" t="s">
        <v>1046</v>
      </c>
      <c r="B350" s="2" t="s">
        <v>1047</v>
      </c>
      <c r="C350" s="2" t="s">
        <v>1048</v>
      </c>
      <c r="D350" s="2" t="s">
        <v>10040</v>
      </c>
      <c r="E350" s="15">
        <v>7.4700000000000003E-2</v>
      </c>
      <c r="F350" s="15">
        <v>5.7700000000000001E-2</v>
      </c>
      <c r="G350" s="15">
        <v>0.1953</v>
      </c>
      <c r="H350" s="15">
        <v>0.1086</v>
      </c>
      <c r="I350" s="15">
        <v>1.7100000000000001E-2</v>
      </c>
      <c r="J350" s="15">
        <v>7.3987730061349701</v>
      </c>
    </row>
    <row r="351" spans="1:10" x14ac:dyDescent="0.25">
      <c r="A351" s="2" t="s">
        <v>1049</v>
      </c>
      <c r="B351" s="2" t="s">
        <v>1050</v>
      </c>
      <c r="C351" s="2" t="s">
        <v>1051</v>
      </c>
      <c r="D351" s="2" t="s">
        <v>10040</v>
      </c>
      <c r="E351" s="15">
        <v>8.5000000000000006E-3</v>
      </c>
      <c r="F351" s="15">
        <v>4.5100000000000001E-2</v>
      </c>
      <c r="G351" s="15">
        <v>0.85050000000000003</v>
      </c>
      <c r="H351" s="15">
        <v>0.1573</v>
      </c>
      <c r="I351" s="15">
        <v>1.9300000000000001E-2</v>
      </c>
      <c r="J351" s="15">
        <v>8.9672131147540988</v>
      </c>
    </row>
    <row r="352" spans="1:10" x14ac:dyDescent="0.25">
      <c r="A352" s="2" t="s">
        <v>1052</v>
      </c>
      <c r="B352" s="2" t="s">
        <v>1053</v>
      </c>
      <c r="C352" s="2" t="s">
        <v>1054</v>
      </c>
      <c r="D352" s="2" t="s">
        <v>10040</v>
      </c>
      <c r="E352" s="15">
        <v>-2.6200000000000001E-2</v>
      </c>
      <c r="F352" s="15">
        <v>4.5100000000000001E-2</v>
      </c>
      <c r="G352" s="15">
        <v>0.5615</v>
      </c>
      <c r="H352" s="15">
        <v>0.17510000000000001</v>
      </c>
      <c r="I352" s="15">
        <v>2.0299999999999999E-2</v>
      </c>
      <c r="J352" s="15">
        <v>9.8906250000000018</v>
      </c>
    </row>
    <row r="353" spans="1:10" x14ac:dyDescent="0.25">
      <c r="A353" s="2" t="s">
        <v>1055</v>
      </c>
      <c r="B353" s="2" t="s">
        <v>1056</v>
      </c>
      <c r="C353" s="2" t="s">
        <v>1057</v>
      </c>
      <c r="D353" s="2" t="s">
        <v>10040</v>
      </c>
      <c r="E353" s="15">
        <v>2.8999999999999998E-3</v>
      </c>
      <c r="F353" s="15">
        <v>4.58E-2</v>
      </c>
      <c r="G353" s="15">
        <v>0.95009999999999994</v>
      </c>
      <c r="H353" s="15">
        <v>0.16400000000000001</v>
      </c>
      <c r="I353" s="15">
        <v>1.7899999999999999E-2</v>
      </c>
      <c r="J353" s="15">
        <v>9.7150837988826826</v>
      </c>
    </row>
    <row r="354" spans="1:10" x14ac:dyDescent="0.25">
      <c r="A354" s="2" t="s">
        <v>1058</v>
      </c>
      <c r="B354" s="2" t="s">
        <v>1059</v>
      </c>
      <c r="C354" s="2" t="s">
        <v>1060</v>
      </c>
      <c r="D354" s="2" t="s">
        <v>10040</v>
      </c>
      <c r="E354" s="15">
        <v>-3.6499999999999998E-2</v>
      </c>
      <c r="F354" s="15">
        <v>5.74E-2</v>
      </c>
      <c r="G354" s="15">
        <v>0.52480000000000004</v>
      </c>
      <c r="H354" s="15">
        <v>0.1489</v>
      </c>
      <c r="I354" s="15">
        <v>1.9099999999999999E-2</v>
      </c>
      <c r="J354" s="15">
        <v>8.7552083333333339</v>
      </c>
    </row>
    <row r="355" spans="1:10" x14ac:dyDescent="0.25">
      <c r="A355" s="2" t="s">
        <v>1061</v>
      </c>
      <c r="B355" s="2" t="s">
        <v>1062</v>
      </c>
      <c r="C355" s="2" t="s">
        <v>1063</v>
      </c>
      <c r="D355" s="2" t="s">
        <v>10040</v>
      </c>
      <c r="E355" s="15">
        <v>7.3300000000000004E-2</v>
      </c>
      <c r="F355" s="15">
        <v>4.7199999999999999E-2</v>
      </c>
      <c r="G355" s="15">
        <v>0.12039999999999999</v>
      </c>
      <c r="H355" s="15">
        <v>0.16900000000000001</v>
      </c>
      <c r="I355" s="15">
        <v>2.0199999999999999E-2</v>
      </c>
      <c r="J355" s="15">
        <v>9.9894179894179889</v>
      </c>
    </row>
    <row r="356" spans="1:10" x14ac:dyDescent="0.25">
      <c r="A356" s="2" t="s">
        <v>1064</v>
      </c>
      <c r="B356" s="2" t="s">
        <v>1065</v>
      </c>
      <c r="C356" s="2" t="s">
        <v>1066</v>
      </c>
      <c r="D356" s="2" t="s">
        <v>10040</v>
      </c>
      <c r="E356" s="15">
        <v>1.6199999999999999E-2</v>
      </c>
      <c r="F356" s="15">
        <v>4.2099999999999999E-2</v>
      </c>
      <c r="G356" s="15">
        <v>0.69930000000000003</v>
      </c>
      <c r="H356" s="15">
        <v>0.2359</v>
      </c>
      <c r="I356" s="15">
        <v>2.4299999999999999E-2</v>
      </c>
      <c r="J356" s="15">
        <v>11.06034482758621</v>
      </c>
    </row>
    <row r="357" spans="1:10" x14ac:dyDescent="0.25">
      <c r="A357" s="2" t="s">
        <v>1067</v>
      </c>
      <c r="B357" s="2" t="s">
        <v>1068</v>
      </c>
      <c r="C357" s="2" t="s">
        <v>1069</v>
      </c>
      <c r="D357" s="2" t="s">
        <v>10040</v>
      </c>
      <c r="E357" s="15">
        <v>2.5999999999999999E-3</v>
      </c>
      <c r="F357" s="15">
        <v>4.1700000000000001E-2</v>
      </c>
      <c r="G357" s="15">
        <v>0.95079999999999998</v>
      </c>
      <c r="H357" s="15">
        <v>0.21279999999999999</v>
      </c>
      <c r="I357" s="15">
        <v>2.3400000000000001E-2</v>
      </c>
      <c r="J357" s="15">
        <v>9.9466666666666672</v>
      </c>
    </row>
    <row r="358" spans="1:10" x14ac:dyDescent="0.25">
      <c r="A358" s="2" t="s">
        <v>1070</v>
      </c>
      <c r="B358" s="2" t="s">
        <v>1071</v>
      </c>
      <c r="C358" s="2" t="s">
        <v>1072</v>
      </c>
      <c r="D358" s="2" t="s">
        <v>10040</v>
      </c>
      <c r="E358" s="15">
        <v>-1.6299999999999999E-2</v>
      </c>
      <c r="F358" s="15">
        <v>5.3999999999999999E-2</v>
      </c>
      <c r="G358" s="15">
        <v>0.76270000000000004</v>
      </c>
      <c r="H358" s="15">
        <v>0.1137</v>
      </c>
      <c r="I358" s="15">
        <v>1.9699999999999999E-2</v>
      </c>
      <c r="J358" s="15">
        <v>6.3214285714285712</v>
      </c>
    </row>
    <row r="359" spans="1:10" x14ac:dyDescent="0.25">
      <c r="A359" s="2" t="s">
        <v>1073</v>
      </c>
      <c r="B359" s="2" t="s">
        <v>1074</v>
      </c>
      <c r="C359" s="2" t="s">
        <v>1075</v>
      </c>
      <c r="D359" s="2" t="s">
        <v>10040</v>
      </c>
      <c r="E359" s="15">
        <v>-3.1E-2</v>
      </c>
      <c r="F359" s="15">
        <v>4.07E-2</v>
      </c>
      <c r="G359" s="15">
        <v>0.44690000000000002</v>
      </c>
      <c r="H359" s="15">
        <v>0.1996</v>
      </c>
      <c r="I359" s="15">
        <v>1.9599999999999999E-2</v>
      </c>
      <c r="J359" s="15">
        <v>9.9898989898989896</v>
      </c>
    </row>
    <row r="360" spans="1:10" x14ac:dyDescent="0.25">
      <c r="A360" s="2" t="s">
        <v>1076</v>
      </c>
      <c r="B360" s="2" t="s">
        <v>1077</v>
      </c>
      <c r="C360" s="2" t="s">
        <v>1078</v>
      </c>
      <c r="D360" s="2" t="s">
        <v>10040</v>
      </c>
      <c r="E360" s="15">
        <v>5.3100000000000001E-2</v>
      </c>
      <c r="F360" s="15">
        <v>4.3499999999999997E-2</v>
      </c>
      <c r="G360" s="15">
        <v>0.2225</v>
      </c>
      <c r="H360" s="15">
        <v>0.2</v>
      </c>
      <c r="I360" s="15">
        <v>2.01E-2</v>
      </c>
      <c r="J360" s="15">
        <v>10.659793814432989</v>
      </c>
    </row>
    <row r="361" spans="1:10" x14ac:dyDescent="0.25">
      <c r="A361" s="2" t="s">
        <v>1079</v>
      </c>
      <c r="B361" s="2" t="s">
        <v>1080</v>
      </c>
      <c r="C361" s="2" t="s">
        <v>1081</v>
      </c>
      <c r="D361" s="2" t="s">
        <v>10040</v>
      </c>
      <c r="E361" s="15">
        <v>1.4800000000000001E-2</v>
      </c>
      <c r="F361" s="15">
        <v>5.0500000000000003E-2</v>
      </c>
      <c r="G361" s="15">
        <v>0.76970000000000005</v>
      </c>
      <c r="H361" s="15">
        <v>0.1429</v>
      </c>
      <c r="I361" s="15">
        <v>1.9800000000000002E-2</v>
      </c>
      <c r="J361" s="15">
        <v>8.2577319587628875</v>
      </c>
    </row>
    <row r="362" spans="1:10" x14ac:dyDescent="0.25">
      <c r="A362" s="2" t="s">
        <v>1082</v>
      </c>
      <c r="B362" s="2" t="s">
        <v>1083</v>
      </c>
      <c r="C362" s="2" t="s">
        <v>1084</v>
      </c>
      <c r="D362" s="2" t="s">
        <v>10040</v>
      </c>
      <c r="E362" s="15">
        <v>5.1200000000000002E-2</v>
      </c>
      <c r="F362" s="15">
        <v>5.6399999999999999E-2</v>
      </c>
      <c r="G362" s="15">
        <v>0.36380000000000001</v>
      </c>
      <c r="H362" s="15">
        <v>0.1192</v>
      </c>
      <c r="I362" s="15">
        <v>1.66E-2</v>
      </c>
      <c r="J362" s="15">
        <v>7.3353658536585362</v>
      </c>
    </row>
    <row r="363" spans="1:10" x14ac:dyDescent="0.25">
      <c r="A363" s="2" t="s">
        <v>1085</v>
      </c>
      <c r="B363" s="2" t="s">
        <v>1086</v>
      </c>
      <c r="C363" s="2" t="s">
        <v>1087</v>
      </c>
      <c r="D363" s="2" t="s">
        <v>10040</v>
      </c>
      <c r="E363" s="15">
        <v>3.8199999999999998E-2</v>
      </c>
      <c r="F363" s="15">
        <v>5.4300000000000001E-2</v>
      </c>
      <c r="G363" s="15">
        <v>0.48159999999999997</v>
      </c>
      <c r="H363" s="15">
        <v>0.1439</v>
      </c>
      <c r="I363" s="15">
        <v>1.7500000000000002E-2</v>
      </c>
      <c r="J363" s="15">
        <v>8.6666666666666661</v>
      </c>
    </row>
    <row r="364" spans="1:10" x14ac:dyDescent="0.25">
      <c r="A364" s="2" t="s">
        <v>1088</v>
      </c>
      <c r="B364" s="2" t="s">
        <v>1089</v>
      </c>
      <c r="C364" s="2" t="s">
        <v>1090</v>
      </c>
      <c r="D364" s="2" t="s">
        <v>10040</v>
      </c>
      <c r="E364" s="15">
        <v>3.6400000000000002E-2</v>
      </c>
      <c r="F364" s="15">
        <v>6.0499999999999998E-2</v>
      </c>
      <c r="G364" s="15">
        <v>0.54779999999999995</v>
      </c>
      <c r="H364" s="15">
        <v>0.11990000000000001</v>
      </c>
      <c r="I364" s="15">
        <v>1.9300000000000001E-2</v>
      </c>
      <c r="J364" s="15">
        <v>6.8626373626373622</v>
      </c>
    </row>
    <row r="365" spans="1:10" x14ac:dyDescent="0.25">
      <c r="A365" s="2" t="s">
        <v>1091</v>
      </c>
      <c r="B365" s="2" t="s">
        <v>1092</v>
      </c>
      <c r="C365" s="2" t="s">
        <v>1093</v>
      </c>
      <c r="D365" s="2" t="s">
        <v>10040</v>
      </c>
      <c r="E365" s="15">
        <v>7.5600000000000001E-2</v>
      </c>
      <c r="F365" s="15">
        <v>3.8699999999999998E-2</v>
      </c>
      <c r="G365" s="15">
        <v>5.11E-2</v>
      </c>
      <c r="H365" s="15">
        <v>0.28599999999999998</v>
      </c>
      <c r="I365" s="15">
        <v>3.09E-2</v>
      </c>
      <c r="J365" s="15">
        <v>10.44</v>
      </c>
    </row>
    <row r="366" spans="1:10" x14ac:dyDescent="0.25">
      <c r="A366" s="2" t="s">
        <v>1094</v>
      </c>
      <c r="B366" s="2" t="s">
        <v>1095</v>
      </c>
      <c r="C366" s="2" t="s">
        <v>1096</v>
      </c>
      <c r="D366" s="2" t="s">
        <v>10040</v>
      </c>
      <c r="E366" s="15">
        <v>4.3799999999999999E-2</v>
      </c>
      <c r="F366" s="15">
        <v>5.1700000000000003E-2</v>
      </c>
      <c r="G366" s="15">
        <v>0.3977</v>
      </c>
      <c r="H366" s="15">
        <v>0.13980000000000001</v>
      </c>
      <c r="I366" s="15">
        <v>1.7000000000000001E-2</v>
      </c>
      <c r="J366" s="15">
        <v>7.8232323232323226</v>
      </c>
    </row>
    <row r="367" spans="1:10" x14ac:dyDescent="0.25">
      <c r="A367" s="2" t="s">
        <v>1097</v>
      </c>
      <c r="B367" s="2" t="s">
        <v>1098</v>
      </c>
      <c r="C367" s="2" t="s">
        <v>1099</v>
      </c>
      <c r="D367" s="2" t="s">
        <v>10040</v>
      </c>
      <c r="E367" s="15">
        <v>9.1999999999999998E-3</v>
      </c>
      <c r="F367" s="15">
        <v>4.8300000000000003E-2</v>
      </c>
      <c r="G367" s="15">
        <v>0.84930000000000005</v>
      </c>
      <c r="H367" s="15">
        <v>0.1147</v>
      </c>
      <c r="I367" s="15">
        <v>2.29E-2</v>
      </c>
      <c r="J367" s="15">
        <v>5.6527777777777777</v>
      </c>
    </row>
    <row r="368" spans="1:10" x14ac:dyDescent="0.25">
      <c r="A368" s="2" t="s">
        <v>1100</v>
      </c>
      <c r="B368" s="2" t="s">
        <v>1101</v>
      </c>
      <c r="C368" s="2" t="s">
        <v>1102</v>
      </c>
      <c r="D368" s="2" t="s">
        <v>10040</v>
      </c>
      <c r="E368" s="15">
        <v>6.5699999999999995E-2</v>
      </c>
      <c r="F368" s="15">
        <v>4.65E-2</v>
      </c>
      <c r="G368" s="15">
        <v>0.15740000000000001</v>
      </c>
      <c r="H368" s="15">
        <v>0.16919999999999999</v>
      </c>
      <c r="I368" s="15">
        <v>1.8700000000000001E-2</v>
      </c>
      <c r="J368" s="15">
        <v>9.2167487684729057</v>
      </c>
    </row>
    <row r="369" spans="1:10" x14ac:dyDescent="0.25">
      <c r="A369" s="2" t="s">
        <v>1103</v>
      </c>
      <c r="B369" s="2" t="s">
        <v>1104</v>
      </c>
      <c r="C369" s="2" t="s">
        <v>1105</v>
      </c>
      <c r="D369" s="2" t="s">
        <v>10040</v>
      </c>
      <c r="E369" s="15">
        <v>-1.35E-2</v>
      </c>
      <c r="F369" s="15">
        <v>4.5999999999999999E-2</v>
      </c>
      <c r="G369" s="15">
        <v>0.76859999999999995</v>
      </c>
      <c r="H369" s="15">
        <v>0.217</v>
      </c>
      <c r="I369" s="15">
        <v>2.2599999999999999E-2</v>
      </c>
      <c r="J369" s="15">
        <v>10.53393665158371</v>
      </c>
    </row>
    <row r="370" spans="1:10" x14ac:dyDescent="0.25">
      <c r="A370" s="2" t="s">
        <v>1106</v>
      </c>
      <c r="B370" s="2" t="s">
        <v>1107</v>
      </c>
      <c r="C370" s="2" t="s">
        <v>1108</v>
      </c>
      <c r="D370" s="2" t="s">
        <v>10040</v>
      </c>
      <c r="E370" s="15">
        <v>-1.6500000000000001E-2</v>
      </c>
      <c r="F370" s="15">
        <v>4.8099999999999997E-2</v>
      </c>
      <c r="G370" s="15">
        <v>0.73209999999999997</v>
      </c>
      <c r="H370" s="15">
        <v>0.16159999999999999</v>
      </c>
      <c r="I370" s="15">
        <v>1.78E-2</v>
      </c>
      <c r="J370" s="15">
        <v>10.104046242774571</v>
      </c>
    </row>
    <row r="371" spans="1:10" x14ac:dyDescent="0.25">
      <c r="A371" s="2" t="s">
        <v>1109</v>
      </c>
      <c r="B371" s="2" t="s">
        <v>1110</v>
      </c>
      <c r="C371" s="2" t="s">
        <v>1111</v>
      </c>
      <c r="D371" s="2" t="s">
        <v>10040</v>
      </c>
      <c r="E371" s="15">
        <v>2.12E-2</v>
      </c>
      <c r="F371" s="15">
        <v>4.07E-2</v>
      </c>
      <c r="G371" s="15">
        <v>0.60260000000000002</v>
      </c>
      <c r="H371" s="15">
        <v>0.19209999999999999</v>
      </c>
      <c r="I371" s="15">
        <v>1.77E-2</v>
      </c>
      <c r="J371" s="15">
        <v>11.893491124260359</v>
      </c>
    </row>
    <row r="372" spans="1:10" x14ac:dyDescent="0.25">
      <c r="A372" s="2" t="s">
        <v>1112</v>
      </c>
      <c r="B372" s="2" t="s">
        <v>1113</v>
      </c>
      <c r="C372" s="2" t="s">
        <v>1114</v>
      </c>
      <c r="D372" s="2" t="s">
        <v>10040</v>
      </c>
      <c r="E372" s="15">
        <v>6.13E-2</v>
      </c>
      <c r="F372" s="15">
        <v>4.5400000000000003E-2</v>
      </c>
      <c r="G372" s="15">
        <v>0.17730000000000001</v>
      </c>
      <c r="H372" s="15">
        <v>0.2031</v>
      </c>
      <c r="I372" s="15">
        <v>2.3E-2</v>
      </c>
      <c r="J372" s="15">
        <v>9.6803652968036538</v>
      </c>
    </row>
    <row r="373" spans="1:10" x14ac:dyDescent="0.25">
      <c r="A373" s="2" t="s">
        <v>1115</v>
      </c>
      <c r="B373" s="2" t="s">
        <v>1116</v>
      </c>
      <c r="C373" s="2" t="s">
        <v>1117</v>
      </c>
      <c r="D373" s="2" t="s">
        <v>10040</v>
      </c>
      <c r="E373" s="15">
        <v>-2.12E-2</v>
      </c>
      <c r="F373" s="15">
        <v>4.4200000000000003E-2</v>
      </c>
      <c r="G373" s="15">
        <v>0.63100000000000001</v>
      </c>
      <c r="H373" s="15">
        <v>0.17730000000000001</v>
      </c>
      <c r="I373" s="15">
        <v>2.1000000000000001E-2</v>
      </c>
      <c r="J373" s="15">
        <v>9.5408163265306118</v>
      </c>
    </row>
    <row r="374" spans="1:10" x14ac:dyDescent="0.25">
      <c r="A374" s="2" t="s">
        <v>1118</v>
      </c>
      <c r="B374" s="2" t="s">
        <v>1119</v>
      </c>
      <c r="C374" s="2" t="s">
        <v>1120</v>
      </c>
      <c r="D374" s="2" t="s">
        <v>10040</v>
      </c>
      <c r="E374" s="15">
        <v>3.5999999999999997E-2</v>
      </c>
      <c r="F374" s="15">
        <v>4.0800000000000003E-2</v>
      </c>
      <c r="G374" s="15">
        <v>0.37769999999999998</v>
      </c>
      <c r="H374" s="15">
        <v>0.21940000000000001</v>
      </c>
      <c r="I374" s="15">
        <v>2.4899999999999999E-2</v>
      </c>
      <c r="J374" s="15">
        <v>9.6450216450216448</v>
      </c>
    </row>
    <row r="375" spans="1:10" x14ac:dyDescent="0.25">
      <c r="A375" s="2" t="s">
        <v>1121</v>
      </c>
      <c r="B375" s="2" t="s">
        <v>1122</v>
      </c>
      <c r="C375" s="2" t="s">
        <v>1123</v>
      </c>
      <c r="D375" s="2" t="s">
        <v>10040</v>
      </c>
      <c r="E375" s="15">
        <v>-5.5300000000000002E-2</v>
      </c>
      <c r="F375" s="15">
        <v>5.1799999999999999E-2</v>
      </c>
      <c r="G375" s="15">
        <v>0.2858</v>
      </c>
      <c r="H375" s="15">
        <v>0.15090000000000001</v>
      </c>
      <c r="I375" s="15">
        <v>0.02</v>
      </c>
      <c r="J375" s="15">
        <v>9.0212765957446805</v>
      </c>
    </row>
    <row r="376" spans="1:10" x14ac:dyDescent="0.25">
      <c r="A376" s="2" t="s">
        <v>1124</v>
      </c>
      <c r="B376" s="2" t="s">
        <v>1125</v>
      </c>
      <c r="C376" s="2" t="s">
        <v>1126</v>
      </c>
      <c r="D376" s="2" t="s">
        <v>10040</v>
      </c>
      <c r="E376" s="15">
        <v>5.4999999999999997E-3</v>
      </c>
      <c r="F376" s="15">
        <v>5.9700000000000003E-2</v>
      </c>
      <c r="G376" s="15">
        <v>0.92649999999999999</v>
      </c>
      <c r="H376" s="15">
        <v>7.0000000000000007E-2</v>
      </c>
      <c r="I376" s="15">
        <v>1.72E-2</v>
      </c>
      <c r="J376" s="15">
        <v>4.4107142857142856</v>
      </c>
    </row>
    <row r="377" spans="1:10" x14ac:dyDescent="0.25">
      <c r="A377" s="2" t="s">
        <v>1127</v>
      </c>
      <c r="B377" s="2" t="s">
        <v>1128</v>
      </c>
      <c r="C377" s="2" t="s">
        <v>1129</v>
      </c>
      <c r="D377" s="2" t="s">
        <v>10040</v>
      </c>
      <c r="E377" s="15">
        <v>1.83E-2</v>
      </c>
      <c r="F377" s="15">
        <v>4.7800000000000002E-2</v>
      </c>
      <c r="G377" s="15">
        <v>0.70230000000000004</v>
      </c>
      <c r="H377" s="15">
        <v>0.16400000000000001</v>
      </c>
      <c r="I377" s="15">
        <v>1.9699999999999999E-2</v>
      </c>
      <c r="J377" s="15">
        <v>9.0382513661202175</v>
      </c>
    </row>
    <row r="378" spans="1:10" x14ac:dyDescent="0.25">
      <c r="A378" s="2" t="s">
        <v>1130</v>
      </c>
      <c r="B378" s="2" t="s">
        <v>1131</v>
      </c>
      <c r="C378" s="2" t="s">
        <v>1132</v>
      </c>
      <c r="D378" s="2" t="s">
        <v>10040</v>
      </c>
      <c r="E378" s="15">
        <v>-5.0000000000000001E-3</v>
      </c>
      <c r="F378" s="15">
        <v>4.1200000000000001E-2</v>
      </c>
      <c r="G378" s="15">
        <v>0.90329999999999999</v>
      </c>
      <c r="H378" s="15">
        <v>0.2248</v>
      </c>
      <c r="I378" s="15">
        <v>2.3699999999999999E-2</v>
      </c>
      <c r="J378" s="15">
        <v>11.12676056338028</v>
      </c>
    </row>
    <row r="379" spans="1:10" x14ac:dyDescent="0.25">
      <c r="A379" s="2" t="s">
        <v>1133</v>
      </c>
      <c r="B379" s="2" t="s">
        <v>1134</v>
      </c>
      <c r="C379" s="2" t="s">
        <v>1135</v>
      </c>
      <c r="D379" s="2" t="s">
        <v>10040</v>
      </c>
      <c r="E379" s="15">
        <v>8.0000000000000002E-3</v>
      </c>
      <c r="F379" s="15">
        <v>4.8399999999999999E-2</v>
      </c>
      <c r="G379" s="15">
        <v>0.86839999999999995</v>
      </c>
      <c r="H379" s="15">
        <v>0.13639999999999999</v>
      </c>
      <c r="I379" s="15">
        <v>1.8800000000000001E-2</v>
      </c>
      <c r="J379" s="15">
        <v>7.6315789473684204</v>
      </c>
    </row>
    <row r="380" spans="1:10" x14ac:dyDescent="0.25">
      <c r="A380" s="2" t="s">
        <v>1136</v>
      </c>
      <c r="B380" s="2" t="s">
        <v>1137</v>
      </c>
      <c r="C380" s="2" t="s">
        <v>1138</v>
      </c>
      <c r="D380" s="2" t="s">
        <v>10040</v>
      </c>
      <c r="E380" s="15">
        <v>-3.3999999999999998E-3</v>
      </c>
      <c r="F380" s="15">
        <v>6.1899999999999997E-2</v>
      </c>
      <c r="G380" s="15">
        <v>0.95599999999999996</v>
      </c>
      <c r="H380" s="15">
        <v>7.9399999999999998E-2</v>
      </c>
      <c r="I380" s="15">
        <v>1.6199999999999999E-2</v>
      </c>
      <c r="J380" s="15">
        <v>5.2941176470588243</v>
      </c>
    </row>
    <row r="381" spans="1:10" x14ac:dyDescent="0.25">
      <c r="A381" s="2" t="s">
        <v>1139</v>
      </c>
      <c r="B381" s="2" t="s">
        <v>1140</v>
      </c>
      <c r="C381" s="2" t="s">
        <v>1141</v>
      </c>
      <c r="D381" s="2" t="s">
        <v>10040</v>
      </c>
      <c r="E381" s="15">
        <v>3.7499999999999999E-2</v>
      </c>
      <c r="F381" s="15">
        <v>4.1000000000000002E-2</v>
      </c>
      <c r="G381" s="15">
        <v>0.35970000000000002</v>
      </c>
      <c r="H381" s="15">
        <v>0.18360000000000001</v>
      </c>
      <c r="I381" s="15">
        <v>2.0299999999999999E-2</v>
      </c>
      <c r="J381" s="15">
        <v>9.5612244897959187</v>
      </c>
    </row>
    <row r="382" spans="1:10" x14ac:dyDescent="0.25">
      <c r="A382" s="2" t="s">
        <v>1142</v>
      </c>
      <c r="B382" s="2" t="s">
        <v>1143</v>
      </c>
      <c r="C382" s="2" t="s">
        <v>1144</v>
      </c>
      <c r="D382" s="2" t="s">
        <v>10040</v>
      </c>
      <c r="E382" s="15">
        <v>7.4700000000000003E-2</v>
      </c>
      <c r="F382" s="15">
        <v>3.6900000000000002E-2</v>
      </c>
      <c r="G382" s="15">
        <v>4.2999999999999997E-2</v>
      </c>
      <c r="H382" s="15">
        <v>0.25309999999999999</v>
      </c>
      <c r="I382" s="15">
        <v>2.7699999999999999E-2</v>
      </c>
      <c r="J382" s="15">
        <v>10.979423868312759</v>
      </c>
    </row>
    <row r="383" spans="1:10" x14ac:dyDescent="0.25">
      <c r="A383" s="2" t="s">
        <v>1145</v>
      </c>
      <c r="B383" s="2" t="s">
        <v>1146</v>
      </c>
      <c r="C383" s="2" t="s">
        <v>1147</v>
      </c>
      <c r="D383" s="2" t="s">
        <v>10040</v>
      </c>
      <c r="E383" s="15">
        <v>7.4300000000000005E-2</v>
      </c>
      <c r="F383" s="15">
        <v>5.5500000000000001E-2</v>
      </c>
      <c r="G383" s="15">
        <v>0.18029999999999999</v>
      </c>
      <c r="H383" s="15">
        <v>0.114</v>
      </c>
      <c r="I383" s="15">
        <v>1.7600000000000001E-2</v>
      </c>
      <c r="J383" s="15">
        <v>7.3742690058479523</v>
      </c>
    </row>
    <row r="384" spans="1:10" x14ac:dyDescent="0.25">
      <c r="A384" s="2" t="s">
        <v>1148</v>
      </c>
      <c r="B384" s="2" t="s">
        <v>1149</v>
      </c>
      <c r="C384" s="2" t="s">
        <v>1150</v>
      </c>
      <c r="D384" s="2" t="s">
        <v>10040</v>
      </c>
      <c r="E384" s="15">
        <v>5.7500000000000002E-2</v>
      </c>
      <c r="F384" s="15">
        <v>4.4900000000000002E-2</v>
      </c>
      <c r="G384" s="15">
        <v>0.20019999999999999</v>
      </c>
      <c r="H384" s="15">
        <v>0.18909999999999999</v>
      </c>
      <c r="I384" s="15">
        <v>1.8499999999999999E-2</v>
      </c>
      <c r="J384" s="15">
        <v>10.71348314606742</v>
      </c>
    </row>
    <row r="385" spans="1:10" x14ac:dyDescent="0.25">
      <c r="A385" s="2" t="s">
        <v>1151</v>
      </c>
      <c r="B385" s="2" t="s">
        <v>1152</v>
      </c>
      <c r="C385" s="2" t="s">
        <v>1153</v>
      </c>
      <c r="D385" s="2" t="s">
        <v>10040</v>
      </c>
      <c r="E385" s="15">
        <v>-2.81E-2</v>
      </c>
      <c r="F385" s="15">
        <v>4.7E-2</v>
      </c>
      <c r="G385" s="15">
        <v>0.54949999999999999</v>
      </c>
      <c r="H385" s="15">
        <v>0.15540000000000001</v>
      </c>
      <c r="I385" s="15">
        <v>1.9E-2</v>
      </c>
      <c r="J385" s="15">
        <v>8.564516129032258</v>
      </c>
    </row>
    <row r="386" spans="1:10" x14ac:dyDescent="0.25">
      <c r="A386" s="2" t="s">
        <v>1154</v>
      </c>
      <c r="B386" s="2" t="s">
        <v>1155</v>
      </c>
      <c r="C386" s="2" t="s">
        <v>1156</v>
      </c>
      <c r="D386" s="2" t="s">
        <v>10040</v>
      </c>
      <c r="E386" s="15">
        <v>-2.6700000000000002E-2</v>
      </c>
      <c r="F386" s="15">
        <v>4.99E-2</v>
      </c>
      <c r="G386" s="15">
        <v>0.59289999999999998</v>
      </c>
      <c r="H386" s="15">
        <v>0.1797</v>
      </c>
      <c r="I386" s="15">
        <v>1.9300000000000001E-2</v>
      </c>
      <c r="J386" s="15">
        <v>10.47752808988764</v>
      </c>
    </row>
    <row r="387" spans="1:10" x14ac:dyDescent="0.25">
      <c r="A387" s="2" t="s">
        <v>1157</v>
      </c>
      <c r="B387" s="2" t="s">
        <v>1158</v>
      </c>
      <c r="C387" s="2" t="s">
        <v>1159</v>
      </c>
      <c r="D387" s="2" t="s">
        <v>10040</v>
      </c>
      <c r="E387" s="15">
        <v>-2.6499999999999999E-2</v>
      </c>
      <c r="F387" s="15">
        <v>5.8200000000000002E-2</v>
      </c>
      <c r="G387" s="15">
        <v>0.64890000000000003</v>
      </c>
      <c r="H387" s="15">
        <v>0.1111</v>
      </c>
      <c r="I387" s="15">
        <v>1.8499999999999999E-2</v>
      </c>
      <c r="J387" s="15">
        <v>6.6914893617021267</v>
      </c>
    </row>
    <row r="388" spans="1:10" x14ac:dyDescent="0.25">
      <c r="A388" s="2" t="s">
        <v>1160</v>
      </c>
      <c r="B388" s="2" t="s">
        <v>1161</v>
      </c>
      <c r="C388" s="2" t="s">
        <v>1162</v>
      </c>
      <c r="D388" s="2" t="s">
        <v>10040</v>
      </c>
      <c r="E388" s="15">
        <v>1.34E-2</v>
      </c>
      <c r="F388" s="15">
        <v>4.0099999999999997E-2</v>
      </c>
      <c r="G388" s="15">
        <v>0.73870000000000002</v>
      </c>
      <c r="H388" s="15">
        <v>0.1953</v>
      </c>
      <c r="I388" s="15">
        <v>2.2200000000000001E-2</v>
      </c>
      <c r="J388" s="15">
        <v>9.6113744075829377</v>
      </c>
    </row>
    <row r="389" spans="1:10" x14ac:dyDescent="0.25">
      <c r="A389" s="2" t="s">
        <v>1163</v>
      </c>
      <c r="B389" s="2" t="s">
        <v>1164</v>
      </c>
      <c r="C389" s="2" t="s">
        <v>1165</v>
      </c>
      <c r="D389" s="2" t="s">
        <v>10040</v>
      </c>
      <c r="E389" s="15">
        <v>3.5799999999999998E-2</v>
      </c>
      <c r="F389" s="15">
        <v>4.4600000000000001E-2</v>
      </c>
      <c r="G389" s="15">
        <v>0.42170000000000002</v>
      </c>
      <c r="H389" s="15">
        <v>0.20080000000000001</v>
      </c>
      <c r="I389" s="15">
        <v>1.9800000000000002E-2</v>
      </c>
      <c r="J389" s="15">
        <v>10.60824742268041</v>
      </c>
    </row>
    <row r="390" spans="1:10" x14ac:dyDescent="0.25">
      <c r="A390" s="2" t="s">
        <v>1166</v>
      </c>
      <c r="B390" s="2" t="s">
        <v>1167</v>
      </c>
      <c r="C390" s="2" t="s">
        <v>1168</v>
      </c>
      <c r="D390" s="2" t="s">
        <v>10040</v>
      </c>
      <c r="E390" s="15">
        <v>3.3399999999999999E-2</v>
      </c>
      <c r="F390" s="15">
        <v>4.4200000000000003E-2</v>
      </c>
      <c r="G390" s="15">
        <v>0.44990000000000002</v>
      </c>
      <c r="H390" s="15">
        <v>0.20849999999999999</v>
      </c>
      <c r="I390" s="15">
        <v>2.4799999999999999E-2</v>
      </c>
      <c r="J390" s="15">
        <v>9.3458333333333332</v>
      </c>
    </row>
    <row r="391" spans="1:10" x14ac:dyDescent="0.25">
      <c r="A391" s="2" t="s">
        <v>1169</v>
      </c>
      <c r="B391" s="2" t="s">
        <v>1170</v>
      </c>
      <c r="C391" s="2" t="s">
        <v>1171</v>
      </c>
      <c r="D391" s="2" t="s">
        <v>10040</v>
      </c>
      <c r="E391" s="15">
        <v>6.0299999999999999E-2</v>
      </c>
      <c r="F391" s="15">
        <v>4.8800000000000003E-2</v>
      </c>
      <c r="G391" s="15">
        <v>0.21590000000000001</v>
      </c>
      <c r="H391" s="15">
        <v>0.1598</v>
      </c>
      <c r="I391" s="15">
        <v>1.7600000000000001E-2</v>
      </c>
      <c r="J391" s="15">
        <v>9.2138728323699421</v>
      </c>
    </row>
    <row r="392" spans="1:10" x14ac:dyDescent="0.25">
      <c r="A392" s="2" t="s">
        <v>1172</v>
      </c>
      <c r="B392" s="2" t="s">
        <v>1173</v>
      </c>
      <c r="C392" s="2" t="s">
        <v>1174</v>
      </c>
      <c r="D392" s="2" t="s">
        <v>10040</v>
      </c>
      <c r="E392" s="15">
        <v>-2.2499999999999999E-2</v>
      </c>
      <c r="F392" s="15">
        <v>3.85E-2</v>
      </c>
      <c r="G392" s="15">
        <v>0.55959999999999999</v>
      </c>
      <c r="H392" s="15">
        <v>0.19339999999999999</v>
      </c>
      <c r="I392" s="15">
        <v>2.1000000000000001E-2</v>
      </c>
      <c r="J392" s="15">
        <v>9.6985645933014357</v>
      </c>
    </row>
    <row r="393" spans="1:10" x14ac:dyDescent="0.25">
      <c r="A393" s="2" t="s">
        <v>1175</v>
      </c>
      <c r="B393" s="2" t="s">
        <v>1176</v>
      </c>
      <c r="C393" s="2" t="s">
        <v>1177</v>
      </c>
      <c r="D393" s="2" t="s">
        <v>10040</v>
      </c>
      <c r="E393" s="15">
        <v>4.4900000000000002E-2</v>
      </c>
      <c r="F393" s="15">
        <v>4.4400000000000002E-2</v>
      </c>
      <c r="G393" s="15">
        <v>0.31169999999999998</v>
      </c>
      <c r="H393" s="15">
        <v>0.18540000000000001</v>
      </c>
      <c r="I393" s="15">
        <v>1.9900000000000001E-2</v>
      </c>
      <c r="J393" s="15">
        <v>10.32258064516129</v>
      </c>
    </row>
    <row r="394" spans="1:10" x14ac:dyDescent="0.25">
      <c r="A394" s="2" t="s">
        <v>1178</v>
      </c>
      <c r="B394" s="2" t="s">
        <v>1179</v>
      </c>
      <c r="C394" s="2" t="s">
        <v>1180</v>
      </c>
      <c r="D394" s="2" t="s">
        <v>10040</v>
      </c>
      <c r="E394" s="15">
        <v>7.3200000000000001E-2</v>
      </c>
      <c r="F394" s="15">
        <v>5.3699999999999998E-2</v>
      </c>
      <c r="G394" s="15">
        <v>0.17319999999999999</v>
      </c>
      <c r="H394" s="15">
        <v>0.1173</v>
      </c>
      <c r="I394" s="15">
        <v>1.9E-2</v>
      </c>
      <c r="J394" s="15">
        <v>7.4825581395348841</v>
      </c>
    </row>
    <row r="395" spans="1:10" x14ac:dyDescent="0.25">
      <c r="A395" s="2" t="s">
        <v>1181</v>
      </c>
      <c r="B395" s="2" t="s">
        <v>1182</v>
      </c>
      <c r="C395" s="2" t="s">
        <v>1183</v>
      </c>
      <c r="D395" s="2" t="s">
        <v>10040</v>
      </c>
      <c r="E395" s="15">
        <v>8.1900000000000001E-2</v>
      </c>
      <c r="F395" s="15">
        <v>5.2400000000000002E-2</v>
      </c>
      <c r="G395" s="15">
        <v>0.11749999999999999</v>
      </c>
      <c r="H395" s="15">
        <v>0.12139999999999999</v>
      </c>
      <c r="I395" s="15">
        <v>1.9199999999999998E-2</v>
      </c>
      <c r="J395" s="15">
        <v>7.1284916201117321</v>
      </c>
    </row>
    <row r="396" spans="1:10" x14ac:dyDescent="0.25">
      <c r="A396" s="2" t="s">
        <v>1184</v>
      </c>
      <c r="B396" s="2" t="s">
        <v>1185</v>
      </c>
      <c r="C396" s="2" t="s">
        <v>1186</v>
      </c>
      <c r="D396" s="2" t="s">
        <v>10040</v>
      </c>
      <c r="E396" s="15">
        <v>6.5799999999999997E-2</v>
      </c>
      <c r="F396" s="15">
        <v>5.1200000000000002E-2</v>
      </c>
      <c r="G396" s="15">
        <v>0.1986</v>
      </c>
      <c r="H396" s="15">
        <v>0.1512</v>
      </c>
      <c r="I396" s="15">
        <v>1.6899999999999998E-2</v>
      </c>
      <c r="J396" s="15">
        <v>9.3714285714285701</v>
      </c>
    </row>
    <row r="397" spans="1:10" x14ac:dyDescent="0.25">
      <c r="A397" s="2" t="s">
        <v>1187</v>
      </c>
      <c r="B397" s="2" t="s">
        <v>1188</v>
      </c>
      <c r="C397" s="2" t="s">
        <v>1189</v>
      </c>
      <c r="D397" s="2" t="s">
        <v>10040</v>
      </c>
      <c r="E397" s="15">
        <v>0.1028</v>
      </c>
      <c r="F397" s="15">
        <v>5.3600000000000002E-2</v>
      </c>
      <c r="G397" s="15">
        <v>5.5300000000000002E-2</v>
      </c>
      <c r="H397" s="15">
        <v>0.12089999999999999</v>
      </c>
      <c r="I397" s="15">
        <v>2.1899999999999999E-2</v>
      </c>
      <c r="J397" s="15">
        <v>6.1024390243902431</v>
      </c>
    </row>
    <row r="398" spans="1:10" x14ac:dyDescent="0.25">
      <c r="A398" s="2" t="s">
        <v>1190</v>
      </c>
      <c r="B398" s="2" t="s">
        <v>1191</v>
      </c>
      <c r="C398" s="2" t="s">
        <v>1192</v>
      </c>
      <c r="D398" s="2" t="s">
        <v>10040</v>
      </c>
      <c r="E398" s="15">
        <v>5.5E-2</v>
      </c>
      <c r="F398" s="15">
        <v>3.6200000000000003E-2</v>
      </c>
      <c r="G398" s="15">
        <v>0.12870000000000001</v>
      </c>
      <c r="H398" s="15">
        <v>0.30599999999999999</v>
      </c>
      <c r="I398" s="15">
        <v>3.2099999999999997E-2</v>
      </c>
      <c r="J398" s="15">
        <v>10.72354948805461</v>
      </c>
    </row>
    <row r="399" spans="1:10" x14ac:dyDescent="0.25">
      <c r="A399" s="2" t="s">
        <v>1193</v>
      </c>
      <c r="B399" s="2" t="s">
        <v>1194</v>
      </c>
      <c r="C399" s="2" t="s">
        <v>1195</v>
      </c>
      <c r="D399" s="2" t="s">
        <v>10040</v>
      </c>
      <c r="E399" s="15">
        <v>-1.8499999999999999E-2</v>
      </c>
      <c r="F399" s="15">
        <v>4.7199999999999999E-2</v>
      </c>
      <c r="G399" s="15">
        <v>0.69540000000000002</v>
      </c>
      <c r="H399" s="15">
        <v>0.1714</v>
      </c>
      <c r="I399" s="15">
        <v>1.6899999999999998E-2</v>
      </c>
      <c r="J399" s="15">
        <v>9.2091836734693882</v>
      </c>
    </row>
    <row r="400" spans="1:10" x14ac:dyDescent="0.25">
      <c r="A400" s="2" t="s">
        <v>1196</v>
      </c>
      <c r="B400" s="2" t="s">
        <v>1197</v>
      </c>
      <c r="C400" s="2" t="s">
        <v>1198</v>
      </c>
      <c r="D400" s="2" t="s">
        <v>10040</v>
      </c>
      <c r="E400" s="15">
        <v>5.11E-2</v>
      </c>
      <c r="F400" s="15">
        <v>5.5199999999999999E-2</v>
      </c>
      <c r="G400" s="15">
        <v>0.35510000000000003</v>
      </c>
      <c r="H400" s="15">
        <v>0.1147</v>
      </c>
      <c r="I400" s="15">
        <v>1.8599999999999998E-2</v>
      </c>
      <c r="J400" s="15">
        <v>7.2923976608187138</v>
      </c>
    </row>
    <row r="401" spans="1:10" x14ac:dyDescent="0.25">
      <c r="A401" s="2" t="s">
        <v>1199</v>
      </c>
      <c r="B401" s="2" t="s">
        <v>1200</v>
      </c>
      <c r="C401" s="2" t="s">
        <v>1201</v>
      </c>
      <c r="D401" s="2" t="s">
        <v>10040</v>
      </c>
      <c r="E401" s="15">
        <v>1.4E-2</v>
      </c>
      <c r="F401" s="15">
        <v>4.0399999999999998E-2</v>
      </c>
      <c r="G401" s="15">
        <v>0.72889999999999999</v>
      </c>
      <c r="H401" s="15">
        <v>0.20810000000000001</v>
      </c>
      <c r="I401" s="15">
        <v>1.95E-2</v>
      </c>
      <c r="J401" s="15">
        <v>10.13636363636364</v>
      </c>
    </row>
    <row r="402" spans="1:10" x14ac:dyDescent="0.25">
      <c r="A402" s="2" t="s">
        <v>1202</v>
      </c>
      <c r="B402" s="2" t="s">
        <v>1203</v>
      </c>
      <c r="C402" s="2" t="s">
        <v>1204</v>
      </c>
      <c r="D402" s="2" t="s">
        <v>10040</v>
      </c>
      <c r="E402" s="15">
        <v>4.4999999999999997E-3</v>
      </c>
      <c r="F402" s="15">
        <v>4.3400000000000001E-2</v>
      </c>
      <c r="G402" s="15">
        <v>0.91749999999999998</v>
      </c>
      <c r="H402" s="15">
        <v>0.21890000000000001</v>
      </c>
      <c r="I402" s="15">
        <v>2.3400000000000001E-2</v>
      </c>
      <c r="J402" s="15">
        <v>10.64788732394366</v>
      </c>
    </row>
    <row r="403" spans="1:10" x14ac:dyDescent="0.25">
      <c r="A403" s="2" t="s">
        <v>1205</v>
      </c>
      <c r="B403" s="2" t="s">
        <v>1206</v>
      </c>
      <c r="C403" s="2" t="s">
        <v>1207</v>
      </c>
      <c r="D403" s="2" t="s">
        <v>10040</v>
      </c>
      <c r="E403" s="15">
        <v>-7.4000000000000003E-3</v>
      </c>
      <c r="F403" s="15">
        <v>5.7500000000000002E-2</v>
      </c>
      <c r="G403" s="15">
        <v>0.89700000000000002</v>
      </c>
      <c r="H403" s="15">
        <v>0.10059999999999999</v>
      </c>
      <c r="I403" s="15">
        <v>1.4800000000000001E-2</v>
      </c>
      <c r="J403" s="15">
        <v>7.4571428571428573</v>
      </c>
    </row>
    <row r="404" spans="1:10" x14ac:dyDescent="0.25">
      <c r="A404" s="2" t="s">
        <v>1208</v>
      </c>
      <c r="B404" s="2" t="s">
        <v>1209</v>
      </c>
      <c r="C404" s="2" t="s">
        <v>1210</v>
      </c>
      <c r="D404" s="2" t="s">
        <v>10040</v>
      </c>
      <c r="E404" s="15">
        <v>-1.9099999999999999E-2</v>
      </c>
      <c r="F404" s="15">
        <v>4.4699999999999997E-2</v>
      </c>
      <c r="G404" s="15">
        <v>0.66859999999999997</v>
      </c>
      <c r="H404" s="15">
        <v>0.1704</v>
      </c>
      <c r="I404" s="15">
        <v>1.8800000000000001E-2</v>
      </c>
      <c r="J404" s="15">
        <v>10.80681818181818</v>
      </c>
    </row>
    <row r="405" spans="1:10" x14ac:dyDescent="0.25">
      <c r="A405" s="2" t="s">
        <v>1211</v>
      </c>
      <c r="B405" s="2" t="s">
        <v>1212</v>
      </c>
      <c r="C405" s="2" t="s">
        <v>1213</v>
      </c>
      <c r="D405" s="2" t="s">
        <v>10040</v>
      </c>
      <c r="E405" s="15">
        <v>6.0699999999999997E-2</v>
      </c>
      <c r="F405" s="15">
        <v>4.7300000000000002E-2</v>
      </c>
      <c r="G405" s="15">
        <v>0.19900000000000001</v>
      </c>
      <c r="H405" s="15">
        <v>0.1721</v>
      </c>
      <c r="I405" s="15">
        <v>1.83E-2</v>
      </c>
      <c r="J405" s="15">
        <v>10.72</v>
      </c>
    </row>
    <row r="406" spans="1:10" x14ac:dyDescent="0.25">
      <c r="A406" s="2" t="s">
        <v>1214</v>
      </c>
      <c r="B406" s="2" t="s">
        <v>1215</v>
      </c>
      <c r="C406" s="2" t="s">
        <v>1216</v>
      </c>
      <c r="D406" s="2" t="s">
        <v>10040</v>
      </c>
      <c r="E406" s="15">
        <v>2.2000000000000001E-3</v>
      </c>
      <c r="F406" s="15">
        <v>4.3999999999999997E-2</v>
      </c>
      <c r="G406" s="15">
        <v>0.95930000000000004</v>
      </c>
      <c r="H406" s="15">
        <v>0.17169999999999999</v>
      </c>
      <c r="I406" s="15">
        <v>2.1100000000000001E-2</v>
      </c>
      <c r="J406" s="15">
        <v>8.6548223350253828</v>
      </c>
    </row>
    <row r="407" spans="1:10" x14ac:dyDescent="0.25">
      <c r="A407" s="2" t="s">
        <v>1217</v>
      </c>
      <c r="B407" s="2" t="s">
        <v>1218</v>
      </c>
      <c r="C407" s="2" t="s">
        <v>1219</v>
      </c>
      <c r="D407" s="2" t="s">
        <v>10040</v>
      </c>
      <c r="E407" s="15">
        <v>3.7999999999999999E-2</v>
      </c>
      <c r="F407" s="15">
        <v>4.3499999999999997E-2</v>
      </c>
      <c r="G407" s="15">
        <v>0.3821</v>
      </c>
      <c r="H407" s="15">
        <v>0.21260000000000001</v>
      </c>
      <c r="I407" s="15">
        <v>1.83E-2</v>
      </c>
      <c r="J407" s="15">
        <v>12.646067415730339</v>
      </c>
    </row>
    <row r="408" spans="1:10" x14ac:dyDescent="0.25">
      <c r="A408" s="2" t="s">
        <v>1220</v>
      </c>
      <c r="B408" s="2" t="s">
        <v>1221</v>
      </c>
      <c r="C408" s="2" t="s">
        <v>1222</v>
      </c>
      <c r="D408" s="2" t="s">
        <v>10040</v>
      </c>
      <c r="E408" s="15">
        <v>-5.0000000000000001E-4</v>
      </c>
      <c r="F408" s="15">
        <v>4.7699999999999999E-2</v>
      </c>
      <c r="G408" s="15">
        <v>0.99119999999999997</v>
      </c>
      <c r="H408" s="15">
        <v>0.14480000000000001</v>
      </c>
      <c r="I408" s="15">
        <v>1.89E-2</v>
      </c>
      <c r="J408" s="15">
        <v>8.6949152542372889</v>
      </c>
    </row>
    <row r="409" spans="1:10" x14ac:dyDescent="0.25">
      <c r="A409" s="2" t="s">
        <v>1223</v>
      </c>
      <c r="B409" s="2" t="s">
        <v>1224</v>
      </c>
      <c r="C409" s="2" t="s">
        <v>1225</v>
      </c>
      <c r="D409" s="2" t="s">
        <v>10040</v>
      </c>
      <c r="E409" s="15">
        <v>8.9499999999999996E-2</v>
      </c>
      <c r="F409" s="15">
        <v>7.6700000000000004E-2</v>
      </c>
      <c r="G409" s="15">
        <v>0.2432</v>
      </c>
      <c r="H409" s="15">
        <v>6.4100000000000004E-2</v>
      </c>
      <c r="I409" s="15">
        <v>1.6400000000000001E-2</v>
      </c>
      <c r="J409" s="15">
        <v>4.4320987654320989</v>
      </c>
    </row>
    <row r="410" spans="1:10" x14ac:dyDescent="0.25">
      <c r="A410" s="2" t="s">
        <v>1226</v>
      </c>
      <c r="B410" s="2" t="s">
        <v>1227</v>
      </c>
      <c r="C410" s="2" t="s">
        <v>1228</v>
      </c>
      <c r="D410" s="2" t="s">
        <v>10040</v>
      </c>
      <c r="E410" s="15">
        <v>6.6900000000000001E-2</v>
      </c>
      <c r="F410" s="15">
        <v>5.1999999999999998E-2</v>
      </c>
      <c r="G410" s="15">
        <v>0.1986</v>
      </c>
      <c r="H410" s="15">
        <v>0.13539999999999999</v>
      </c>
      <c r="I410" s="15">
        <v>1.8200000000000001E-2</v>
      </c>
      <c r="J410" s="15">
        <v>8.2471910112359552</v>
      </c>
    </row>
    <row r="411" spans="1:10" x14ac:dyDescent="0.25">
      <c r="A411" s="2" t="s">
        <v>1229</v>
      </c>
      <c r="B411" s="2" t="s">
        <v>1230</v>
      </c>
      <c r="C411" s="2" t="s">
        <v>1231</v>
      </c>
      <c r="D411" s="2" t="s">
        <v>10040</v>
      </c>
      <c r="E411" s="15">
        <v>3.9699999999999999E-2</v>
      </c>
      <c r="F411" s="15">
        <v>3.8699999999999998E-2</v>
      </c>
      <c r="G411" s="15">
        <v>0.3049</v>
      </c>
      <c r="H411" s="15">
        <v>0.23730000000000001</v>
      </c>
      <c r="I411" s="15">
        <v>2.2200000000000001E-2</v>
      </c>
      <c r="J411" s="15">
        <v>11.004608294930881</v>
      </c>
    </row>
    <row r="412" spans="1:10" x14ac:dyDescent="0.25">
      <c r="A412" s="2" t="s">
        <v>1232</v>
      </c>
      <c r="B412" s="2" t="s">
        <v>1233</v>
      </c>
      <c r="C412" s="2" t="s">
        <v>1234</v>
      </c>
      <c r="D412" s="2" t="s">
        <v>10040</v>
      </c>
      <c r="E412" s="15">
        <v>3.4799999999999998E-2</v>
      </c>
      <c r="F412" s="15">
        <v>5.1999999999999998E-2</v>
      </c>
      <c r="G412" s="15">
        <v>0.50329999999999997</v>
      </c>
      <c r="H412" s="15">
        <v>0.14299999999999999</v>
      </c>
      <c r="I412" s="15">
        <v>1.5599999999999999E-2</v>
      </c>
      <c r="J412" s="15">
        <v>8.4064171122994651</v>
      </c>
    </row>
    <row r="413" spans="1:10" x14ac:dyDescent="0.25">
      <c r="A413" s="2" t="s">
        <v>1235</v>
      </c>
      <c r="B413" s="2" t="s">
        <v>1236</v>
      </c>
      <c r="C413" s="2" t="s">
        <v>1237</v>
      </c>
      <c r="D413" s="2" t="s">
        <v>10040</v>
      </c>
      <c r="E413" s="15">
        <v>-6.7000000000000004E-2</v>
      </c>
      <c r="F413" s="15">
        <v>5.3699999999999998E-2</v>
      </c>
      <c r="G413" s="15">
        <v>0.21199999999999999</v>
      </c>
      <c r="H413" s="15">
        <v>0.1104</v>
      </c>
      <c r="I413" s="15">
        <v>1.9400000000000001E-2</v>
      </c>
      <c r="J413" s="15">
        <v>6.7989130434782608</v>
      </c>
    </row>
    <row r="414" spans="1:10" x14ac:dyDescent="0.25">
      <c r="A414" s="2" t="s">
        <v>1238</v>
      </c>
      <c r="B414" s="2" t="s">
        <v>1239</v>
      </c>
      <c r="C414" s="2" t="s">
        <v>1240</v>
      </c>
      <c r="D414" s="2" t="s">
        <v>10040</v>
      </c>
      <c r="E414" s="15">
        <v>6.2399999999999997E-2</v>
      </c>
      <c r="F414" s="15">
        <v>5.4899999999999997E-2</v>
      </c>
      <c r="G414" s="15">
        <v>0.25590000000000002</v>
      </c>
      <c r="H414" s="15">
        <v>0.12089999999999999</v>
      </c>
      <c r="I414" s="15">
        <v>1.7999999999999999E-2</v>
      </c>
      <c r="J414" s="15">
        <v>7.4971751412429386</v>
      </c>
    </row>
    <row r="415" spans="1:10" x14ac:dyDescent="0.25">
      <c r="A415" s="2" t="s">
        <v>1241</v>
      </c>
      <c r="B415" s="2" t="s">
        <v>1242</v>
      </c>
      <c r="C415" s="2" t="s">
        <v>1243</v>
      </c>
      <c r="D415" s="2" t="s">
        <v>10040</v>
      </c>
      <c r="E415" s="15">
        <v>4.0500000000000001E-2</v>
      </c>
      <c r="F415" s="15">
        <v>4.99E-2</v>
      </c>
      <c r="G415" s="15">
        <v>0.41710000000000003</v>
      </c>
      <c r="H415" s="15">
        <v>0.1585</v>
      </c>
      <c r="I415" s="15">
        <v>1.7500000000000002E-2</v>
      </c>
      <c r="J415" s="15">
        <v>7.7578475336322859</v>
      </c>
    </row>
    <row r="416" spans="1:10" x14ac:dyDescent="0.25">
      <c r="A416" s="2" t="s">
        <v>1244</v>
      </c>
      <c r="B416" s="2" t="s">
        <v>1245</v>
      </c>
      <c r="C416" s="2" t="s">
        <v>1246</v>
      </c>
      <c r="D416" s="2" t="s">
        <v>10040</v>
      </c>
      <c r="E416" s="15">
        <v>2.8999999999999998E-3</v>
      </c>
      <c r="F416" s="15">
        <v>4.7600000000000003E-2</v>
      </c>
      <c r="G416" s="15">
        <v>0.95130000000000003</v>
      </c>
      <c r="H416" s="15">
        <v>0.15190000000000001</v>
      </c>
      <c r="I416" s="15">
        <v>1.83E-2</v>
      </c>
      <c r="J416" s="15">
        <v>9.9534883720930232</v>
      </c>
    </row>
    <row r="417" spans="1:10" x14ac:dyDescent="0.25">
      <c r="A417" s="2" t="s">
        <v>1247</v>
      </c>
      <c r="B417" s="2" t="s">
        <v>1248</v>
      </c>
      <c r="C417" s="2" t="s">
        <v>1249</v>
      </c>
      <c r="D417" s="2" t="s">
        <v>10040</v>
      </c>
      <c r="E417" s="15">
        <v>0.1043</v>
      </c>
      <c r="F417" s="15">
        <v>5.5100000000000003E-2</v>
      </c>
      <c r="G417" s="15">
        <v>5.8400000000000001E-2</v>
      </c>
      <c r="H417" s="15">
        <v>0.115</v>
      </c>
      <c r="I417" s="15">
        <v>1.7500000000000002E-2</v>
      </c>
      <c r="J417" s="15">
        <v>7.106741573033708</v>
      </c>
    </row>
    <row r="418" spans="1:10" x14ac:dyDescent="0.25">
      <c r="A418" s="2" t="s">
        <v>1250</v>
      </c>
      <c r="B418" s="2" t="s">
        <v>1251</v>
      </c>
      <c r="C418" s="2" t="s">
        <v>1252</v>
      </c>
      <c r="D418" s="2" t="s">
        <v>10040</v>
      </c>
      <c r="E418" s="15">
        <v>7.0900000000000005E-2</v>
      </c>
      <c r="F418" s="15">
        <v>4.3400000000000001E-2</v>
      </c>
      <c r="G418" s="15">
        <v>0.1021</v>
      </c>
      <c r="H418" s="15">
        <v>0.19070000000000001</v>
      </c>
      <c r="I418" s="15">
        <v>2.06E-2</v>
      </c>
      <c r="J418" s="15">
        <v>10.17821782178218</v>
      </c>
    </row>
    <row r="419" spans="1:10" x14ac:dyDescent="0.25">
      <c r="A419" s="2" t="s">
        <v>1253</v>
      </c>
      <c r="B419" s="2" t="s">
        <v>1254</v>
      </c>
      <c r="C419" s="2" t="s">
        <v>1255</v>
      </c>
      <c r="D419" s="2" t="s">
        <v>10040</v>
      </c>
      <c r="E419" s="15">
        <v>4.99E-2</v>
      </c>
      <c r="F419" s="15">
        <v>5.1400000000000001E-2</v>
      </c>
      <c r="G419" s="15">
        <v>0.33210000000000001</v>
      </c>
      <c r="H419" s="15">
        <v>0.123</v>
      </c>
      <c r="I419" s="15">
        <v>1.66E-2</v>
      </c>
      <c r="J419" s="15">
        <v>8.1925465838509304</v>
      </c>
    </row>
    <row r="420" spans="1:10" x14ac:dyDescent="0.25">
      <c r="A420" s="2" t="s">
        <v>1256</v>
      </c>
      <c r="B420" s="2" t="s">
        <v>1257</v>
      </c>
      <c r="C420" s="2" t="s">
        <v>1258</v>
      </c>
      <c r="D420" s="2" t="s">
        <v>10040</v>
      </c>
      <c r="E420" s="15">
        <v>5.1400000000000001E-2</v>
      </c>
      <c r="F420" s="15">
        <v>5.4699999999999999E-2</v>
      </c>
      <c r="G420" s="15">
        <v>0.34760000000000002</v>
      </c>
      <c r="H420" s="15">
        <v>0.1389</v>
      </c>
      <c r="I420" s="15">
        <v>0.02</v>
      </c>
      <c r="J420" s="15">
        <v>8.0769230769230766</v>
      </c>
    </row>
    <row r="421" spans="1:10" x14ac:dyDescent="0.25">
      <c r="A421" s="2" t="s">
        <v>1259</v>
      </c>
      <c r="B421" s="2" t="s">
        <v>1260</v>
      </c>
      <c r="C421" s="2" t="s">
        <v>1261</v>
      </c>
      <c r="D421" s="2" t="s">
        <v>10040</v>
      </c>
      <c r="E421" s="15">
        <v>6.8900000000000003E-2</v>
      </c>
      <c r="F421" s="15">
        <v>3.8100000000000002E-2</v>
      </c>
      <c r="G421" s="15">
        <v>7.0400000000000004E-2</v>
      </c>
      <c r="H421" s="15">
        <v>0.26479999999999998</v>
      </c>
      <c r="I421" s="15">
        <v>2.7E-2</v>
      </c>
      <c r="J421" s="15">
        <v>10.477099236641219</v>
      </c>
    </row>
    <row r="422" spans="1:10" x14ac:dyDescent="0.25">
      <c r="A422" s="2" t="s">
        <v>1262</v>
      </c>
      <c r="B422" s="2" t="s">
        <v>1263</v>
      </c>
      <c r="C422" s="2" t="s">
        <v>1264</v>
      </c>
      <c r="D422" s="2" t="s">
        <v>10040</v>
      </c>
      <c r="E422" s="15">
        <v>4.3700000000000003E-2</v>
      </c>
      <c r="F422" s="15">
        <v>4.0599999999999997E-2</v>
      </c>
      <c r="G422" s="15">
        <v>0.28129999999999999</v>
      </c>
      <c r="H422" s="15">
        <v>0.2203</v>
      </c>
      <c r="I422" s="15">
        <v>2.47E-2</v>
      </c>
      <c r="J422" s="15">
        <v>10.8</v>
      </c>
    </row>
    <row r="423" spans="1:10" x14ac:dyDescent="0.25">
      <c r="A423" s="2" t="s">
        <v>1265</v>
      </c>
      <c r="B423" s="2" t="s">
        <v>1266</v>
      </c>
      <c r="C423" s="2" t="s">
        <v>1267</v>
      </c>
      <c r="D423" s="2" t="s">
        <v>10040</v>
      </c>
      <c r="E423" s="15">
        <v>2.6100000000000002E-2</v>
      </c>
      <c r="F423" s="15">
        <v>5.7099999999999998E-2</v>
      </c>
      <c r="G423" s="15">
        <v>0.64770000000000005</v>
      </c>
      <c r="H423" s="15">
        <v>0.1124</v>
      </c>
      <c r="I423" s="15">
        <v>1.95E-2</v>
      </c>
      <c r="J423" s="15">
        <v>6.9558011049723758</v>
      </c>
    </row>
    <row r="424" spans="1:10" x14ac:dyDescent="0.25">
      <c r="A424" s="2" t="s">
        <v>1268</v>
      </c>
      <c r="B424" s="2" t="s">
        <v>1269</v>
      </c>
      <c r="C424" s="2" t="s">
        <v>1270</v>
      </c>
      <c r="D424" s="2" t="s">
        <v>10040</v>
      </c>
      <c r="E424" s="15">
        <v>8.9399999999999993E-2</v>
      </c>
      <c r="F424" s="15">
        <v>5.6000000000000001E-2</v>
      </c>
      <c r="G424" s="15">
        <v>0.1106</v>
      </c>
      <c r="H424" s="15">
        <v>0.111</v>
      </c>
      <c r="I424" s="15">
        <v>1.9099999999999999E-2</v>
      </c>
      <c r="J424" s="15">
        <v>6.9090909090909092</v>
      </c>
    </row>
    <row r="425" spans="1:10" x14ac:dyDescent="0.25">
      <c r="A425" s="2" t="s">
        <v>1271</v>
      </c>
      <c r="B425" s="2" t="s">
        <v>1272</v>
      </c>
      <c r="C425" s="2" t="s">
        <v>1273</v>
      </c>
      <c r="D425" s="2" t="s">
        <v>10040</v>
      </c>
      <c r="E425" s="15">
        <v>4.5900000000000003E-2</v>
      </c>
      <c r="F425" s="15">
        <v>4.8099999999999997E-2</v>
      </c>
      <c r="G425" s="15">
        <v>0.33929999999999999</v>
      </c>
      <c r="H425" s="15">
        <v>0.18190000000000001</v>
      </c>
      <c r="I425" s="15">
        <v>2.1999999999999999E-2</v>
      </c>
      <c r="J425" s="15">
        <v>9.295238095238096</v>
      </c>
    </row>
    <row r="426" spans="1:10" x14ac:dyDescent="0.25">
      <c r="A426" s="2" t="s">
        <v>1274</v>
      </c>
      <c r="B426" s="2" t="s">
        <v>1275</v>
      </c>
      <c r="C426" s="2" t="s">
        <v>1276</v>
      </c>
      <c r="D426" s="2" t="s">
        <v>10040</v>
      </c>
      <c r="E426" s="15">
        <v>3.7199999999999997E-2</v>
      </c>
      <c r="F426" s="15">
        <v>4.8899999999999999E-2</v>
      </c>
      <c r="G426" s="15">
        <v>0.4476</v>
      </c>
      <c r="H426" s="15">
        <v>0.15679999999999999</v>
      </c>
      <c r="I426" s="15">
        <v>1.66E-2</v>
      </c>
      <c r="J426" s="15">
        <v>8.6542553191489358</v>
      </c>
    </row>
    <row r="427" spans="1:10" x14ac:dyDescent="0.25">
      <c r="A427" s="2" t="s">
        <v>1277</v>
      </c>
      <c r="B427" s="2" t="s">
        <v>1278</v>
      </c>
      <c r="C427" s="2" t="s">
        <v>1279</v>
      </c>
      <c r="D427" s="2" t="s">
        <v>10040</v>
      </c>
      <c r="E427" s="15">
        <v>-0.1179</v>
      </c>
      <c r="F427" s="15">
        <v>5.3800000000000001E-2</v>
      </c>
      <c r="G427" s="15">
        <v>2.8500000000000001E-2</v>
      </c>
      <c r="H427" s="15">
        <v>0.1191</v>
      </c>
      <c r="I427" s="15">
        <v>1.5100000000000001E-2</v>
      </c>
      <c r="J427" s="15">
        <v>8.0810810810810807</v>
      </c>
    </row>
    <row r="428" spans="1:10" x14ac:dyDescent="0.25">
      <c r="A428" s="2" t="s">
        <v>1280</v>
      </c>
      <c r="B428" s="2" t="s">
        <v>1281</v>
      </c>
      <c r="C428" s="2" t="s">
        <v>1282</v>
      </c>
      <c r="D428" s="2" t="s">
        <v>10040</v>
      </c>
      <c r="E428" s="15">
        <v>1.6999999999999999E-3</v>
      </c>
      <c r="F428" s="15">
        <v>4.7699999999999999E-2</v>
      </c>
      <c r="G428" s="15">
        <v>0.97130000000000005</v>
      </c>
      <c r="H428" s="15">
        <v>0.1547</v>
      </c>
      <c r="I428" s="15">
        <v>1.84E-2</v>
      </c>
      <c r="J428" s="15">
        <v>8.2807881773399021</v>
      </c>
    </row>
    <row r="429" spans="1:10" x14ac:dyDescent="0.25">
      <c r="A429" s="2" t="s">
        <v>1283</v>
      </c>
      <c r="B429" s="2" t="s">
        <v>1284</v>
      </c>
      <c r="C429" s="2" t="s">
        <v>1285</v>
      </c>
      <c r="D429" s="2" t="s">
        <v>10040</v>
      </c>
      <c r="E429" s="15">
        <v>3.1300000000000001E-2</v>
      </c>
      <c r="F429" s="15">
        <v>4.82E-2</v>
      </c>
      <c r="G429" s="15">
        <v>0.51659999999999995</v>
      </c>
      <c r="H429" s="15">
        <v>0.16450000000000001</v>
      </c>
      <c r="I429" s="15">
        <v>1.9099999999999999E-2</v>
      </c>
      <c r="J429" s="15">
        <v>6.2013422818791941</v>
      </c>
    </row>
    <row r="430" spans="1:10" x14ac:dyDescent="0.25">
      <c r="A430" s="2" t="s">
        <v>1286</v>
      </c>
      <c r="B430" s="2" t="s">
        <v>1287</v>
      </c>
      <c r="C430" s="2" t="s">
        <v>1288</v>
      </c>
      <c r="D430" s="2" t="s">
        <v>10040</v>
      </c>
      <c r="E430" s="15">
        <v>5.0999999999999997E-2</v>
      </c>
      <c r="F430" s="15">
        <v>5.2900000000000003E-2</v>
      </c>
      <c r="G430" s="15">
        <v>0.33489999999999998</v>
      </c>
      <c r="H430" s="15">
        <v>0.13689999999999999</v>
      </c>
      <c r="I430" s="15">
        <v>2.01E-2</v>
      </c>
      <c r="J430" s="15">
        <v>7.9576719576719581</v>
      </c>
    </row>
    <row r="431" spans="1:10" x14ac:dyDescent="0.25">
      <c r="A431" s="2" t="s">
        <v>1289</v>
      </c>
      <c r="B431" s="2" t="s">
        <v>1290</v>
      </c>
      <c r="C431" s="2" t="s">
        <v>1291</v>
      </c>
      <c r="D431" s="2" t="s">
        <v>10040</v>
      </c>
      <c r="E431" s="15">
        <v>2.23E-2</v>
      </c>
      <c r="F431" s="15">
        <v>4.3999999999999997E-2</v>
      </c>
      <c r="G431" s="15">
        <v>0.61309999999999998</v>
      </c>
      <c r="H431" s="15">
        <v>0.158</v>
      </c>
      <c r="I431" s="15">
        <v>1.78E-2</v>
      </c>
      <c r="J431" s="15">
        <v>8.3517587939698483</v>
      </c>
    </row>
    <row r="432" spans="1:10" x14ac:dyDescent="0.25">
      <c r="A432" s="2" t="s">
        <v>1292</v>
      </c>
      <c r="B432" s="2" t="s">
        <v>1293</v>
      </c>
      <c r="C432" s="2" t="s">
        <v>1294</v>
      </c>
      <c r="D432" s="2" t="s">
        <v>10040</v>
      </c>
      <c r="E432" s="15">
        <v>8.09E-2</v>
      </c>
      <c r="F432" s="15">
        <v>4.3200000000000002E-2</v>
      </c>
      <c r="G432" s="15">
        <v>6.1400000000000003E-2</v>
      </c>
      <c r="H432" s="15">
        <v>0.2051</v>
      </c>
      <c r="I432" s="15">
        <v>2.07E-2</v>
      </c>
      <c r="J432" s="15">
        <v>11.09183673469388</v>
      </c>
    </row>
    <row r="433" spans="1:10" x14ac:dyDescent="0.25">
      <c r="A433" s="2" t="s">
        <v>1295</v>
      </c>
      <c r="B433" s="2" t="s">
        <v>1296</v>
      </c>
      <c r="C433" s="2" t="s">
        <v>1297</v>
      </c>
      <c r="D433" s="2" t="s">
        <v>10040</v>
      </c>
      <c r="E433" s="15">
        <v>2.7E-2</v>
      </c>
      <c r="F433" s="15">
        <v>4.4699999999999997E-2</v>
      </c>
      <c r="G433" s="15">
        <v>0.54630000000000001</v>
      </c>
      <c r="H433" s="15">
        <v>0.16669999999999999</v>
      </c>
      <c r="I433" s="15">
        <v>1.77E-2</v>
      </c>
      <c r="J433" s="15">
        <v>10.69230769230769</v>
      </c>
    </row>
    <row r="434" spans="1:10" x14ac:dyDescent="0.25">
      <c r="A434" s="2" t="s">
        <v>1298</v>
      </c>
      <c r="B434" s="2" t="s">
        <v>1299</v>
      </c>
      <c r="C434" s="2" t="s">
        <v>1300</v>
      </c>
      <c r="D434" s="2" t="s">
        <v>10040</v>
      </c>
      <c r="E434" s="15">
        <v>0.11360000000000001</v>
      </c>
      <c r="F434" s="15">
        <v>5.0200000000000002E-2</v>
      </c>
      <c r="G434" s="15">
        <v>2.3599999999999999E-2</v>
      </c>
      <c r="H434" s="15">
        <v>0.1273</v>
      </c>
      <c r="I434" s="15">
        <v>1.9E-2</v>
      </c>
      <c r="J434" s="15">
        <v>7.2786885245901649</v>
      </c>
    </row>
    <row r="435" spans="1:10" x14ac:dyDescent="0.25">
      <c r="A435" s="2" t="s">
        <v>1301</v>
      </c>
      <c r="B435" s="2" t="s">
        <v>1302</v>
      </c>
      <c r="C435" s="2" t="s">
        <v>1303</v>
      </c>
      <c r="D435" s="2" t="s">
        <v>10040</v>
      </c>
      <c r="E435" s="15">
        <v>4.9200000000000001E-2</v>
      </c>
      <c r="F435" s="15">
        <v>3.6799999999999999E-2</v>
      </c>
      <c r="G435" s="15">
        <v>0.1807</v>
      </c>
      <c r="H435" s="15">
        <v>0.2732</v>
      </c>
      <c r="I435" s="15">
        <v>2.98E-2</v>
      </c>
      <c r="J435" s="15">
        <v>10.00701754385965</v>
      </c>
    </row>
    <row r="436" spans="1:10" x14ac:dyDescent="0.25">
      <c r="A436" s="2" t="s">
        <v>1304</v>
      </c>
      <c r="B436" s="2" t="s">
        <v>1305</v>
      </c>
      <c r="C436" s="2" t="s">
        <v>1306</v>
      </c>
      <c r="D436" s="2" t="s">
        <v>10040</v>
      </c>
      <c r="E436" s="15">
        <v>6.0699999999999997E-2</v>
      </c>
      <c r="F436" s="15">
        <v>3.73E-2</v>
      </c>
      <c r="G436" s="15">
        <v>0.1036</v>
      </c>
      <c r="H436" s="15">
        <v>0.24970000000000001</v>
      </c>
      <c r="I436" s="15">
        <v>2.87E-2</v>
      </c>
      <c r="J436" s="15">
        <v>10.36220472440945</v>
      </c>
    </row>
    <row r="437" spans="1:10" x14ac:dyDescent="0.25">
      <c r="A437" s="2" t="s">
        <v>1307</v>
      </c>
      <c r="B437" s="2" t="s">
        <v>1308</v>
      </c>
      <c r="C437" s="2" t="s">
        <v>1309</v>
      </c>
      <c r="D437" s="2" t="s">
        <v>10040</v>
      </c>
      <c r="E437" s="15">
        <v>-8.2400000000000001E-2</v>
      </c>
      <c r="F437" s="15">
        <v>5.0900000000000001E-2</v>
      </c>
      <c r="G437" s="15">
        <v>0.10580000000000001</v>
      </c>
      <c r="H437" s="15">
        <v>0.13059999999999999</v>
      </c>
      <c r="I437" s="15">
        <v>1.8800000000000001E-2</v>
      </c>
      <c r="J437" s="15">
        <v>7.8895348837209296</v>
      </c>
    </row>
    <row r="438" spans="1:10" x14ac:dyDescent="0.25">
      <c r="A438" s="2" t="s">
        <v>1310</v>
      </c>
      <c r="B438" s="2" t="s">
        <v>1311</v>
      </c>
      <c r="C438" s="2" t="s">
        <v>1312</v>
      </c>
      <c r="D438" s="2" t="s">
        <v>10040</v>
      </c>
      <c r="E438" s="15">
        <v>9.4399999999999998E-2</v>
      </c>
      <c r="F438" s="15">
        <v>5.9799999999999999E-2</v>
      </c>
      <c r="G438" s="15">
        <v>0.1148</v>
      </c>
      <c r="H438" s="15">
        <v>8.4500000000000006E-2</v>
      </c>
      <c r="I438" s="15">
        <v>1.6500000000000001E-2</v>
      </c>
      <c r="J438" s="15">
        <v>6.0955414012738851</v>
      </c>
    </row>
    <row r="439" spans="1:10" x14ac:dyDescent="0.25">
      <c r="A439" s="2" t="s">
        <v>1313</v>
      </c>
      <c r="B439" s="2" t="s">
        <v>1314</v>
      </c>
      <c r="C439" s="2" t="s">
        <v>1315</v>
      </c>
      <c r="D439" s="2" t="s">
        <v>10040</v>
      </c>
      <c r="E439" s="15">
        <v>8.6999999999999994E-2</v>
      </c>
      <c r="F439" s="15">
        <v>4.3099999999999999E-2</v>
      </c>
      <c r="G439" s="15">
        <v>4.3499999999999997E-2</v>
      </c>
      <c r="H439" s="15">
        <v>0.19</v>
      </c>
      <c r="I439" s="15">
        <v>2.1499999999999998E-2</v>
      </c>
      <c r="J439" s="15">
        <v>9.9117647058823515</v>
      </c>
    </row>
    <row r="440" spans="1:10" x14ac:dyDescent="0.25">
      <c r="A440" s="2" t="s">
        <v>1316</v>
      </c>
      <c r="B440" s="2" t="s">
        <v>1317</v>
      </c>
      <c r="C440" s="2" t="s">
        <v>1318</v>
      </c>
      <c r="D440" s="2" t="s">
        <v>10040</v>
      </c>
      <c r="E440" s="15">
        <v>-1.5299999999999999E-2</v>
      </c>
      <c r="F440" s="15">
        <v>4.4400000000000002E-2</v>
      </c>
      <c r="G440" s="15">
        <v>0.72989999999999999</v>
      </c>
      <c r="H440" s="15">
        <v>0.16889999999999999</v>
      </c>
      <c r="I440" s="15">
        <v>2.0199999999999999E-2</v>
      </c>
      <c r="J440" s="15">
        <v>9.0769230769230766</v>
      </c>
    </row>
    <row r="441" spans="1:10" x14ac:dyDescent="0.25">
      <c r="A441" s="2" t="s">
        <v>1319</v>
      </c>
      <c r="B441" s="2" t="s">
        <v>1320</v>
      </c>
      <c r="C441" s="2" t="s">
        <v>1321</v>
      </c>
      <c r="D441" s="2" t="s">
        <v>10040</v>
      </c>
      <c r="E441" s="15">
        <v>4.24E-2</v>
      </c>
      <c r="F441" s="15">
        <v>4.9000000000000002E-2</v>
      </c>
      <c r="G441" s="15">
        <v>0.38700000000000001</v>
      </c>
      <c r="H441" s="15">
        <v>0.1343</v>
      </c>
      <c r="I441" s="15">
        <v>2.23E-2</v>
      </c>
      <c r="J441" s="15">
        <v>7.1941747572815533</v>
      </c>
    </row>
    <row r="442" spans="1:10" x14ac:dyDescent="0.25">
      <c r="A442" s="2" t="s">
        <v>1322</v>
      </c>
      <c r="B442" s="2" t="s">
        <v>1323</v>
      </c>
      <c r="C442" s="2" t="s">
        <v>1324</v>
      </c>
      <c r="D442" s="2" t="s">
        <v>10040</v>
      </c>
      <c r="E442" s="15">
        <v>9.74E-2</v>
      </c>
      <c r="F442" s="15">
        <v>3.9899999999999998E-2</v>
      </c>
      <c r="G442" s="15">
        <v>1.46E-2</v>
      </c>
      <c r="H442" s="15">
        <v>0.24429999999999999</v>
      </c>
      <c r="I442" s="15">
        <v>2.5499999999999998E-2</v>
      </c>
      <c r="J442" s="15">
        <v>10.92576419213974</v>
      </c>
    </row>
    <row r="443" spans="1:10" x14ac:dyDescent="0.25">
      <c r="A443" s="2" t="s">
        <v>1325</v>
      </c>
      <c r="B443" s="2" t="s">
        <v>1326</v>
      </c>
      <c r="C443" s="2" t="s">
        <v>1327</v>
      </c>
      <c r="D443" s="2" t="s">
        <v>10040</v>
      </c>
      <c r="E443" s="15">
        <v>6.9099999999999995E-2</v>
      </c>
      <c r="F443" s="15">
        <v>5.3400000000000003E-2</v>
      </c>
      <c r="G443" s="15">
        <v>0.19620000000000001</v>
      </c>
      <c r="H443" s="15">
        <v>0.114</v>
      </c>
      <c r="I443" s="15">
        <v>1.7999999999999999E-2</v>
      </c>
      <c r="J443" s="15">
        <v>7.3872832369942198</v>
      </c>
    </row>
    <row r="444" spans="1:10" x14ac:dyDescent="0.25">
      <c r="A444" s="2" t="s">
        <v>1328</v>
      </c>
      <c r="B444" s="2" t="s">
        <v>1329</v>
      </c>
      <c r="C444" s="2" t="s">
        <v>1330</v>
      </c>
      <c r="D444" s="2" t="s">
        <v>10040</v>
      </c>
      <c r="E444" s="15">
        <v>1.1999999999999999E-3</v>
      </c>
      <c r="F444" s="15">
        <v>4.4200000000000003E-2</v>
      </c>
      <c r="G444" s="15">
        <v>0.9788</v>
      </c>
      <c r="H444" s="15">
        <v>0.1595</v>
      </c>
      <c r="I444" s="15">
        <v>1.9400000000000001E-2</v>
      </c>
      <c r="J444" s="15">
        <v>9.3611111111111125</v>
      </c>
    </row>
    <row r="445" spans="1:10" x14ac:dyDescent="0.25">
      <c r="A445" s="2" t="s">
        <v>1331</v>
      </c>
      <c r="B445" s="2" t="s">
        <v>1332</v>
      </c>
      <c r="C445" s="2" t="s">
        <v>1333</v>
      </c>
      <c r="D445" s="2" t="s">
        <v>10040</v>
      </c>
      <c r="E445" s="15">
        <v>-2.8000000000000001E-2</v>
      </c>
      <c r="F445" s="15">
        <v>4.3299999999999998E-2</v>
      </c>
      <c r="G445" s="15">
        <v>0.5171</v>
      </c>
      <c r="H445" s="15">
        <v>0.18149999999999999</v>
      </c>
      <c r="I445" s="15">
        <v>2.1299999999999999E-2</v>
      </c>
      <c r="J445" s="15">
        <v>9.9595959595959584</v>
      </c>
    </row>
    <row r="446" spans="1:10" x14ac:dyDescent="0.25">
      <c r="A446" s="2" t="s">
        <v>1334</v>
      </c>
      <c r="B446" s="2" t="s">
        <v>1335</v>
      </c>
      <c r="C446" s="2" t="s">
        <v>1336</v>
      </c>
      <c r="D446" s="2" t="s">
        <v>10040</v>
      </c>
      <c r="E446" s="15">
        <v>1.11E-2</v>
      </c>
      <c r="F446" s="15">
        <v>4.7100000000000003E-2</v>
      </c>
      <c r="G446" s="15">
        <v>0.81289999999999996</v>
      </c>
      <c r="H446" s="15">
        <v>0.15840000000000001</v>
      </c>
      <c r="I446" s="15">
        <v>1.7899999999999999E-2</v>
      </c>
      <c r="J446" s="15">
        <v>9.2444444444444454</v>
      </c>
    </row>
    <row r="447" spans="1:10" x14ac:dyDescent="0.25">
      <c r="A447" s="2" t="s">
        <v>1337</v>
      </c>
      <c r="B447" s="2" t="s">
        <v>1338</v>
      </c>
      <c r="C447" s="2" t="s">
        <v>1339</v>
      </c>
      <c r="D447" s="2" t="s">
        <v>10040</v>
      </c>
      <c r="E447" s="15">
        <v>-4.24E-2</v>
      </c>
      <c r="F447" s="15">
        <v>5.5500000000000001E-2</v>
      </c>
      <c r="G447" s="15">
        <v>0.4446</v>
      </c>
      <c r="H447" s="15">
        <v>0.1565</v>
      </c>
      <c r="I447" s="15">
        <v>1.9300000000000001E-2</v>
      </c>
      <c r="J447" s="15">
        <v>9.0923076923076938</v>
      </c>
    </row>
    <row r="448" spans="1:10" x14ac:dyDescent="0.25">
      <c r="A448" s="2" t="s">
        <v>1340</v>
      </c>
      <c r="B448" s="2" t="s">
        <v>1341</v>
      </c>
      <c r="C448" s="2" t="s">
        <v>1342</v>
      </c>
      <c r="D448" s="2" t="s">
        <v>10040</v>
      </c>
      <c r="E448" s="15">
        <v>8.0399999999999999E-2</v>
      </c>
      <c r="F448" s="15">
        <v>4.6899999999999997E-2</v>
      </c>
      <c r="G448" s="15">
        <v>8.6499999999999994E-2</v>
      </c>
      <c r="H448" s="15">
        <v>0.1729</v>
      </c>
      <c r="I448" s="15">
        <v>2.0299999999999999E-2</v>
      </c>
      <c r="J448" s="15">
        <v>10.11578947368421</v>
      </c>
    </row>
    <row r="449" spans="1:10" x14ac:dyDescent="0.25">
      <c r="A449" s="2" t="s">
        <v>1343</v>
      </c>
      <c r="B449" s="2" t="s">
        <v>1344</v>
      </c>
      <c r="C449" s="2" t="s">
        <v>1345</v>
      </c>
      <c r="D449" s="2" t="s">
        <v>10040</v>
      </c>
      <c r="E449" s="15">
        <v>2.3999999999999998E-3</v>
      </c>
      <c r="F449" s="15">
        <v>4.1599999999999998E-2</v>
      </c>
      <c r="G449" s="15">
        <v>0.95479999999999998</v>
      </c>
      <c r="H449" s="15">
        <v>0.22520000000000001</v>
      </c>
      <c r="I449" s="15">
        <v>2.3699999999999999E-2</v>
      </c>
      <c r="J449" s="15">
        <v>10.65638766519824</v>
      </c>
    </row>
    <row r="450" spans="1:10" x14ac:dyDescent="0.25">
      <c r="A450" s="2" t="s">
        <v>1346</v>
      </c>
      <c r="B450" s="2" t="s">
        <v>1347</v>
      </c>
      <c r="C450" s="2" t="s">
        <v>1348</v>
      </c>
      <c r="D450" s="2" t="s">
        <v>10040</v>
      </c>
      <c r="E450" s="15">
        <v>1.4E-3</v>
      </c>
      <c r="F450" s="15">
        <v>4.1500000000000002E-2</v>
      </c>
      <c r="G450" s="15">
        <v>0.97260000000000002</v>
      </c>
      <c r="H450" s="15">
        <v>0.21190000000000001</v>
      </c>
      <c r="I450" s="15">
        <v>2.3400000000000001E-2</v>
      </c>
      <c r="J450" s="15">
        <v>9.8407079646017692</v>
      </c>
    </row>
    <row r="451" spans="1:10" x14ac:dyDescent="0.25">
      <c r="A451" s="2" t="s">
        <v>1349</v>
      </c>
      <c r="B451" s="2" t="s">
        <v>1350</v>
      </c>
      <c r="C451" s="2" t="s">
        <v>1351</v>
      </c>
      <c r="D451" s="2" t="s">
        <v>10040</v>
      </c>
      <c r="E451" s="15">
        <v>-3.2000000000000002E-3</v>
      </c>
      <c r="F451" s="15">
        <v>4.8300000000000003E-2</v>
      </c>
      <c r="G451" s="15">
        <v>0.94640000000000002</v>
      </c>
      <c r="H451" s="15">
        <v>0.1452</v>
      </c>
      <c r="I451" s="15">
        <v>1.72E-2</v>
      </c>
      <c r="J451" s="15">
        <v>8.7431693989071047</v>
      </c>
    </row>
    <row r="452" spans="1:10" x14ac:dyDescent="0.25">
      <c r="A452" s="2" t="s">
        <v>1352</v>
      </c>
      <c r="B452" s="2" t="s">
        <v>1353</v>
      </c>
      <c r="C452" s="2" t="s">
        <v>1354</v>
      </c>
      <c r="D452" s="2" t="s">
        <v>10040</v>
      </c>
      <c r="E452" s="15">
        <v>-4.41E-2</v>
      </c>
      <c r="F452" s="15">
        <v>3.95E-2</v>
      </c>
      <c r="G452" s="15">
        <v>0.2646</v>
      </c>
      <c r="H452" s="15">
        <v>0.2175</v>
      </c>
      <c r="I452" s="15">
        <v>2.06E-2</v>
      </c>
      <c r="J452" s="15">
        <v>10.679611650485439</v>
      </c>
    </row>
    <row r="453" spans="1:10" x14ac:dyDescent="0.25">
      <c r="A453" s="2" t="s">
        <v>1355</v>
      </c>
      <c r="B453" s="2" t="s">
        <v>1356</v>
      </c>
      <c r="C453" s="2" t="s">
        <v>1357</v>
      </c>
      <c r="D453" s="2" t="s">
        <v>10040</v>
      </c>
      <c r="E453" s="15">
        <v>5.6500000000000002E-2</v>
      </c>
      <c r="F453" s="15">
        <v>4.2999999999999997E-2</v>
      </c>
      <c r="G453" s="15">
        <v>0.18909999999999999</v>
      </c>
      <c r="H453" s="15">
        <v>0.20349999999999999</v>
      </c>
      <c r="I453" s="15">
        <v>2.0400000000000001E-2</v>
      </c>
      <c r="J453" s="15">
        <v>10.68020304568528</v>
      </c>
    </row>
    <row r="454" spans="1:10" x14ac:dyDescent="0.25">
      <c r="A454" s="2" t="s">
        <v>1358</v>
      </c>
      <c r="B454" s="2" t="s">
        <v>1359</v>
      </c>
      <c r="C454" s="2" t="s">
        <v>1360</v>
      </c>
      <c r="D454" s="2" t="s">
        <v>10040</v>
      </c>
      <c r="E454" s="15">
        <v>4.0599999999999997E-2</v>
      </c>
      <c r="F454" s="15">
        <v>5.04E-2</v>
      </c>
      <c r="G454" s="15">
        <v>0.4199</v>
      </c>
      <c r="H454" s="15">
        <v>0.14979999999999999</v>
      </c>
      <c r="I454" s="15">
        <v>1.95E-2</v>
      </c>
      <c r="J454" s="15">
        <v>8.7801047120418847</v>
      </c>
    </row>
    <row r="455" spans="1:10" x14ac:dyDescent="0.25">
      <c r="A455" s="2" t="s">
        <v>1361</v>
      </c>
      <c r="B455" s="2" t="s">
        <v>1362</v>
      </c>
      <c r="C455" s="2" t="s">
        <v>1363</v>
      </c>
      <c r="D455" s="2" t="s">
        <v>10040</v>
      </c>
      <c r="E455" s="15">
        <v>6.3100000000000003E-2</v>
      </c>
      <c r="F455" s="15">
        <v>5.8000000000000003E-2</v>
      </c>
      <c r="G455" s="15">
        <v>0.27629999999999999</v>
      </c>
      <c r="H455" s="15">
        <v>0.1124</v>
      </c>
      <c r="I455" s="15">
        <v>1.66E-2</v>
      </c>
      <c r="J455" s="15">
        <v>6.9085365853658534</v>
      </c>
    </row>
    <row r="456" spans="1:10" x14ac:dyDescent="0.25">
      <c r="A456" s="2" t="s">
        <v>1364</v>
      </c>
      <c r="B456" s="2" t="s">
        <v>1365</v>
      </c>
      <c r="C456" s="2" t="s">
        <v>1366</v>
      </c>
      <c r="D456" s="2" t="s">
        <v>10040</v>
      </c>
      <c r="E456" s="15">
        <v>5.9499999999999997E-2</v>
      </c>
      <c r="F456" s="15">
        <v>5.2600000000000001E-2</v>
      </c>
      <c r="G456" s="15">
        <v>0.2576</v>
      </c>
      <c r="H456" s="15">
        <v>0.15060000000000001</v>
      </c>
      <c r="I456" s="15">
        <v>1.7500000000000002E-2</v>
      </c>
      <c r="J456" s="15">
        <v>9.2254335260115603</v>
      </c>
    </row>
    <row r="457" spans="1:10" x14ac:dyDescent="0.25">
      <c r="A457" s="2" t="s">
        <v>1367</v>
      </c>
      <c r="B457" s="2" t="s">
        <v>1368</v>
      </c>
      <c r="C457" s="2" t="s">
        <v>1369</v>
      </c>
      <c r="D457" s="2" t="s">
        <v>10040</v>
      </c>
      <c r="E457" s="15">
        <v>1.03E-2</v>
      </c>
      <c r="F457" s="15">
        <v>5.79E-2</v>
      </c>
      <c r="G457" s="15">
        <v>0.85850000000000004</v>
      </c>
      <c r="H457" s="15">
        <v>0.1263</v>
      </c>
      <c r="I457" s="15">
        <v>1.9900000000000001E-2</v>
      </c>
      <c r="J457" s="15">
        <v>7.3675675675675683</v>
      </c>
    </row>
    <row r="458" spans="1:10" x14ac:dyDescent="0.25">
      <c r="A458" s="2" t="s">
        <v>1370</v>
      </c>
      <c r="B458" s="2" t="s">
        <v>1371</v>
      </c>
      <c r="C458" s="2" t="s">
        <v>1372</v>
      </c>
      <c r="D458" s="2" t="s">
        <v>10040</v>
      </c>
      <c r="E458" s="15">
        <v>7.1199999999999999E-2</v>
      </c>
      <c r="F458" s="15">
        <v>3.8399999999999997E-2</v>
      </c>
      <c r="G458" s="15">
        <v>6.3899999999999998E-2</v>
      </c>
      <c r="H458" s="15">
        <v>0.28720000000000001</v>
      </c>
      <c r="I458" s="15">
        <v>3.09E-2</v>
      </c>
      <c r="J458" s="15">
        <v>10.40072202166065</v>
      </c>
    </row>
    <row r="459" spans="1:10" x14ac:dyDescent="0.25">
      <c r="A459" s="2" t="s">
        <v>1373</v>
      </c>
      <c r="B459" s="2" t="s">
        <v>1374</v>
      </c>
      <c r="C459" s="2" t="s">
        <v>1375</v>
      </c>
      <c r="D459" s="2" t="s">
        <v>10040</v>
      </c>
      <c r="E459" s="15">
        <v>2.9100000000000001E-2</v>
      </c>
      <c r="F459" s="15">
        <v>5.1900000000000002E-2</v>
      </c>
      <c r="G459" s="15">
        <v>0.57499999999999996</v>
      </c>
      <c r="H459" s="15">
        <v>0.13980000000000001</v>
      </c>
      <c r="I459" s="15">
        <v>1.6799999999999999E-2</v>
      </c>
      <c r="J459" s="15">
        <v>8.1216931216931219</v>
      </c>
    </row>
    <row r="460" spans="1:10" x14ac:dyDescent="0.25">
      <c r="A460" s="2" t="s">
        <v>1376</v>
      </c>
      <c r="B460" s="2" t="s">
        <v>1377</v>
      </c>
      <c r="C460" s="2" t="s">
        <v>1378</v>
      </c>
      <c r="D460" s="2" t="s">
        <v>10040</v>
      </c>
      <c r="E460" s="15">
        <v>-1.44E-2</v>
      </c>
      <c r="F460" s="15">
        <v>4.7699999999999999E-2</v>
      </c>
      <c r="G460" s="15">
        <v>0.76239999999999997</v>
      </c>
      <c r="H460" s="15">
        <v>0.1268</v>
      </c>
      <c r="I460" s="15">
        <v>2.41E-2</v>
      </c>
      <c r="J460" s="15">
        <v>5.7956521739130444</v>
      </c>
    </row>
    <row r="461" spans="1:10" x14ac:dyDescent="0.25">
      <c r="A461" s="2" t="s">
        <v>1379</v>
      </c>
      <c r="B461" s="2" t="s">
        <v>1380</v>
      </c>
      <c r="C461" s="2" t="s">
        <v>1381</v>
      </c>
      <c r="D461" s="2" t="s">
        <v>10040</v>
      </c>
      <c r="E461" s="15">
        <v>6.59E-2</v>
      </c>
      <c r="F461" s="15">
        <v>4.6399999999999997E-2</v>
      </c>
      <c r="G461" s="15">
        <v>0.15590000000000001</v>
      </c>
      <c r="H461" s="15">
        <v>0.16839999999999999</v>
      </c>
      <c r="I461" s="15">
        <v>1.8599999999999998E-2</v>
      </c>
      <c r="J461" s="15">
        <v>9.1715686274509789</v>
      </c>
    </row>
    <row r="462" spans="1:10" x14ac:dyDescent="0.25">
      <c r="A462" s="2" t="s">
        <v>1382</v>
      </c>
      <c r="B462" s="2" t="s">
        <v>1383</v>
      </c>
      <c r="C462" s="2" t="s">
        <v>1384</v>
      </c>
      <c r="D462" s="2" t="s">
        <v>10040</v>
      </c>
      <c r="E462" s="15">
        <v>-2.4899999999999999E-2</v>
      </c>
      <c r="F462" s="15">
        <v>4.5600000000000002E-2</v>
      </c>
      <c r="G462" s="15">
        <v>0.58550000000000002</v>
      </c>
      <c r="H462" s="15">
        <v>0.219</v>
      </c>
      <c r="I462" s="15">
        <v>2.29E-2</v>
      </c>
      <c r="J462" s="15">
        <v>10.55605381165919</v>
      </c>
    </row>
    <row r="463" spans="1:10" x14ac:dyDescent="0.25">
      <c r="A463" s="2" t="s">
        <v>1385</v>
      </c>
      <c r="B463" s="2" t="s">
        <v>1386</v>
      </c>
      <c r="C463" s="2" t="s">
        <v>1387</v>
      </c>
      <c r="D463" s="2" t="s">
        <v>10040</v>
      </c>
      <c r="E463" s="15">
        <v>-4.4999999999999997E-3</v>
      </c>
      <c r="F463" s="15">
        <v>4.9299999999999997E-2</v>
      </c>
      <c r="G463" s="15">
        <v>0.92759999999999998</v>
      </c>
      <c r="H463" s="15">
        <v>0.15770000000000001</v>
      </c>
      <c r="I463" s="15">
        <v>2.1000000000000001E-2</v>
      </c>
      <c r="J463" s="15">
        <v>8.4059405940594072</v>
      </c>
    </row>
    <row r="464" spans="1:10" x14ac:dyDescent="0.25">
      <c r="A464" s="2" t="s">
        <v>1388</v>
      </c>
      <c r="B464" s="2" t="s">
        <v>1389</v>
      </c>
      <c r="C464" s="2" t="s">
        <v>1390</v>
      </c>
      <c r="D464" s="2" t="s">
        <v>10040</v>
      </c>
      <c r="E464" s="15">
        <v>3.6999999999999998E-2</v>
      </c>
      <c r="F464" s="15">
        <v>4.2799999999999998E-2</v>
      </c>
      <c r="G464" s="15">
        <v>0.38850000000000001</v>
      </c>
      <c r="H464" s="15">
        <v>0.17580000000000001</v>
      </c>
      <c r="I464" s="15">
        <v>1.7899999999999999E-2</v>
      </c>
      <c r="J464" s="15">
        <v>11.16167664670659</v>
      </c>
    </row>
    <row r="465" spans="1:10" x14ac:dyDescent="0.25">
      <c r="A465" s="2" t="s">
        <v>1391</v>
      </c>
      <c r="B465" s="2" t="s">
        <v>1392</v>
      </c>
      <c r="C465" s="2" t="s">
        <v>1393</v>
      </c>
      <c r="D465" s="2" t="s">
        <v>10040</v>
      </c>
      <c r="E465" s="15">
        <v>4.5499999999999999E-2</v>
      </c>
      <c r="F465" s="15">
        <v>4.7300000000000002E-2</v>
      </c>
      <c r="G465" s="15">
        <v>0.3362</v>
      </c>
      <c r="H465" s="15">
        <v>0.18379999999999999</v>
      </c>
      <c r="I465" s="15">
        <v>2.1399999999999999E-2</v>
      </c>
      <c r="J465" s="15">
        <v>9.0187793427230041</v>
      </c>
    </row>
    <row r="466" spans="1:10" x14ac:dyDescent="0.25">
      <c r="A466" s="2" t="s">
        <v>1394</v>
      </c>
      <c r="B466" s="2" t="s">
        <v>1395</v>
      </c>
      <c r="C466" s="2" t="s">
        <v>1396</v>
      </c>
      <c r="D466" s="2" t="s">
        <v>10040</v>
      </c>
      <c r="E466" s="15">
        <v>-3.7499999999999999E-2</v>
      </c>
      <c r="F466" s="15">
        <v>4.4200000000000003E-2</v>
      </c>
      <c r="G466" s="15">
        <v>0.39650000000000002</v>
      </c>
      <c r="H466" s="15">
        <v>0.17469999999999999</v>
      </c>
      <c r="I466" s="15">
        <v>2.0799999999999999E-2</v>
      </c>
      <c r="J466" s="15">
        <v>9.4948453608247423</v>
      </c>
    </row>
    <row r="467" spans="1:10" x14ac:dyDescent="0.25">
      <c r="A467" s="2" t="s">
        <v>1397</v>
      </c>
      <c r="B467" s="2" t="s">
        <v>1398</v>
      </c>
      <c r="C467" s="2" t="s">
        <v>1399</v>
      </c>
      <c r="D467" s="2" t="s">
        <v>10040</v>
      </c>
      <c r="E467" s="15">
        <v>3.8899999999999997E-2</v>
      </c>
      <c r="F467" s="15">
        <v>4.4600000000000001E-2</v>
      </c>
      <c r="G467" s="15">
        <v>0.3831</v>
      </c>
      <c r="H467" s="15">
        <v>0.20069999999999999</v>
      </c>
      <c r="I467" s="15">
        <v>2.3199999999999998E-2</v>
      </c>
      <c r="J467" s="15">
        <v>9.7102803738317771</v>
      </c>
    </row>
    <row r="468" spans="1:10" x14ac:dyDescent="0.25">
      <c r="A468" s="2" t="s">
        <v>1400</v>
      </c>
      <c r="B468" s="2" t="s">
        <v>1401</v>
      </c>
      <c r="C468" s="2" t="s">
        <v>1402</v>
      </c>
      <c r="D468" s="2" t="s">
        <v>10040</v>
      </c>
      <c r="E468" s="15">
        <v>-4.9599999999999998E-2</v>
      </c>
      <c r="F468" s="15">
        <v>5.1499999999999997E-2</v>
      </c>
      <c r="G468" s="15">
        <v>0.33550000000000002</v>
      </c>
      <c r="H468" s="15">
        <v>0.15409999999999999</v>
      </c>
      <c r="I468" s="15">
        <v>1.83E-2</v>
      </c>
      <c r="J468" s="15">
        <v>9.9090909090909083</v>
      </c>
    </row>
    <row r="469" spans="1:10" x14ac:dyDescent="0.25">
      <c r="A469" s="2" t="s">
        <v>1403</v>
      </c>
      <c r="B469" s="2" t="s">
        <v>1404</v>
      </c>
      <c r="C469" s="2" t="s">
        <v>1405</v>
      </c>
      <c r="D469" s="2" t="s">
        <v>10040</v>
      </c>
      <c r="E469" s="15">
        <v>1.38E-2</v>
      </c>
      <c r="F469" s="15">
        <v>4.7699999999999999E-2</v>
      </c>
      <c r="G469" s="15">
        <v>0.77280000000000004</v>
      </c>
      <c r="H469" s="15">
        <v>0.16600000000000001</v>
      </c>
      <c r="I469" s="15">
        <v>1.9900000000000001E-2</v>
      </c>
      <c r="J469" s="15">
        <v>8.9892473118279579</v>
      </c>
    </row>
    <row r="470" spans="1:10" x14ac:dyDescent="0.25">
      <c r="A470" s="2" t="s">
        <v>1406</v>
      </c>
      <c r="B470" s="2" t="s">
        <v>1407</v>
      </c>
      <c r="C470" s="2" t="s">
        <v>1408</v>
      </c>
      <c r="D470" s="2" t="s">
        <v>10040</v>
      </c>
      <c r="E470" s="15">
        <v>4.0000000000000001E-3</v>
      </c>
      <c r="F470" s="15">
        <v>3.73E-2</v>
      </c>
      <c r="G470" s="15">
        <v>0.91490000000000005</v>
      </c>
      <c r="H470" s="15">
        <v>0.2732</v>
      </c>
      <c r="I470" s="15">
        <v>2.6700000000000002E-2</v>
      </c>
      <c r="J470" s="15">
        <v>11.9364406779661</v>
      </c>
    </row>
    <row r="471" spans="1:10" x14ac:dyDescent="0.25">
      <c r="A471" s="2" t="s">
        <v>1409</v>
      </c>
      <c r="B471" s="2" t="s">
        <v>1410</v>
      </c>
      <c r="C471" s="2" t="s">
        <v>1411</v>
      </c>
      <c r="D471" s="2" t="s">
        <v>10040</v>
      </c>
      <c r="E471" s="15">
        <v>2.1100000000000001E-2</v>
      </c>
      <c r="F471" s="15">
        <v>6.3500000000000001E-2</v>
      </c>
      <c r="G471" s="15">
        <v>0.74019999999999997</v>
      </c>
      <c r="H471" s="15">
        <v>7.8600000000000003E-2</v>
      </c>
      <c r="I471" s="15">
        <v>1.6899999999999998E-2</v>
      </c>
      <c r="J471" s="15">
        <v>5.193548387096774</v>
      </c>
    </row>
    <row r="472" spans="1:10" x14ac:dyDescent="0.25">
      <c r="A472" s="2" t="s">
        <v>1412</v>
      </c>
      <c r="B472" s="2" t="s">
        <v>1413</v>
      </c>
      <c r="C472" s="2" t="s">
        <v>1414</v>
      </c>
      <c r="D472" s="2" t="s">
        <v>10040</v>
      </c>
      <c r="E472" s="15">
        <v>4.2900000000000001E-2</v>
      </c>
      <c r="F472" s="15">
        <v>4.0099999999999997E-2</v>
      </c>
      <c r="G472" s="15">
        <v>0.28399999999999997</v>
      </c>
      <c r="H472" s="15">
        <v>0.18990000000000001</v>
      </c>
      <c r="I472" s="15">
        <v>2.06E-2</v>
      </c>
      <c r="J472" s="15">
        <v>9.7878787878787872</v>
      </c>
    </row>
    <row r="473" spans="1:10" x14ac:dyDescent="0.25">
      <c r="A473" s="2" t="s">
        <v>1415</v>
      </c>
      <c r="B473" s="2" t="s">
        <v>1416</v>
      </c>
      <c r="C473" s="2" t="s">
        <v>1417</v>
      </c>
      <c r="D473" s="2" t="s">
        <v>10040</v>
      </c>
      <c r="E473" s="15">
        <v>8.8700000000000001E-2</v>
      </c>
      <c r="F473" s="15">
        <v>3.7400000000000003E-2</v>
      </c>
      <c r="G473" s="15">
        <v>1.78E-2</v>
      </c>
      <c r="H473" s="15">
        <v>0.24279999999999999</v>
      </c>
      <c r="I473" s="15">
        <v>2.7E-2</v>
      </c>
      <c r="J473" s="15">
        <v>10.76271186440678</v>
      </c>
    </row>
    <row r="474" spans="1:10" x14ac:dyDescent="0.25">
      <c r="A474" s="2" t="s">
        <v>1418</v>
      </c>
      <c r="B474" s="2" t="s">
        <v>1419</v>
      </c>
      <c r="C474" s="2" t="s">
        <v>1420</v>
      </c>
      <c r="D474" s="2" t="s">
        <v>10040</v>
      </c>
      <c r="E474" s="15">
        <v>9.2999999999999999E-2</v>
      </c>
      <c r="F474" s="15">
        <v>5.6800000000000003E-2</v>
      </c>
      <c r="G474" s="15">
        <v>0.1017</v>
      </c>
      <c r="H474" s="15">
        <v>0.105</v>
      </c>
      <c r="I474" s="15">
        <v>1.7899999999999999E-2</v>
      </c>
      <c r="J474" s="15">
        <v>6.5310734463276834</v>
      </c>
    </row>
    <row r="475" spans="1:10" x14ac:dyDescent="0.25">
      <c r="A475" s="2" t="s">
        <v>1421</v>
      </c>
      <c r="B475" s="2" t="s">
        <v>1422</v>
      </c>
      <c r="C475" s="2" t="s">
        <v>1423</v>
      </c>
      <c r="D475" s="2" t="s">
        <v>10040</v>
      </c>
      <c r="E475" s="15">
        <v>6.0499999999999998E-2</v>
      </c>
      <c r="F475" s="15">
        <v>4.6600000000000003E-2</v>
      </c>
      <c r="G475" s="15">
        <v>0.19439999999999999</v>
      </c>
      <c r="H475" s="15">
        <v>0.18490000000000001</v>
      </c>
      <c r="I475" s="15">
        <v>1.8700000000000001E-2</v>
      </c>
      <c r="J475" s="15">
        <v>10.366666666666671</v>
      </c>
    </row>
    <row r="476" spans="1:10" x14ac:dyDescent="0.25">
      <c r="A476" s="2" t="s">
        <v>1424</v>
      </c>
      <c r="B476" s="2" t="s">
        <v>1425</v>
      </c>
      <c r="C476" s="2" t="s">
        <v>1426</v>
      </c>
      <c r="D476" s="2" t="s">
        <v>10040</v>
      </c>
      <c r="E476" s="15">
        <v>-1.8700000000000001E-2</v>
      </c>
      <c r="F476" s="15">
        <v>4.6300000000000001E-2</v>
      </c>
      <c r="G476" s="15">
        <v>0.68689999999999996</v>
      </c>
      <c r="H476" s="15">
        <v>0.1588</v>
      </c>
      <c r="I476" s="15">
        <v>1.9099999999999999E-2</v>
      </c>
      <c r="J476" s="15">
        <v>8.67741935483871</v>
      </c>
    </row>
    <row r="477" spans="1:10" x14ac:dyDescent="0.25">
      <c r="A477" s="2" t="s">
        <v>1427</v>
      </c>
      <c r="B477" s="2" t="s">
        <v>1428</v>
      </c>
      <c r="C477" s="2" t="s">
        <v>1429</v>
      </c>
      <c r="D477" s="2" t="s">
        <v>10040</v>
      </c>
      <c r="E477" s="15">
        <v>-1.9400000000000001E-2</v>
      </c>
      <c r="F477" s="15">
        <v>5.0799999999999998E-2</v>
      </c>
      <c r="G477" s="15">
        <v>0.70189999999999997</v>
      </c>
      <c r="H477" s="15">
        <v>0.1802</v>
      </c>
      <c r="I477" s="15">
        <v>1.9E-2</v>
      </c>
      <c r="J477" s="15">
        <v>10.33888888888889</v>
      </c>
    </row>
    <row r="478" spans="1:10" x14ac:dyDescent="0.25">
      <c r="A478" s="2" t="s">
        <v>1430</v>
      </c>
      <c r="B478" s="2" t="s">
        <v>1431</v>
      </c>
      <c r="C478" s="2" t="s">
        <v>1432</v>
      </c>
      <c r="D478" s="2" t="s">
        <v>10040</v>
      </c>
      <c r="E478" s="15">
        <v>-2.6100000000000002E-2</v>
      </c>
      <c r="F478" s="15">
        <v>5.7799999999999997E-2</v>
      </c>
      <c r="G478" s="15">
        <v>0.65200000000000002</v>
      </c>
      <c r="H478" s="15">
        <v>0.1105</v>
      </c>
      <c r="I478" s="15">
        <v>1.8200000000000001E-2</v>
      </c>
      <c r="J478" s="15">
        <v>6.774193548387097</v>
      </c>
    </row>
    <row r="479" spans="1:10" x14ac:dyDescent="0.25">
      <c r="A479" s="2" t="s">
        <v>1433</v>
      </c>
      <c r="B479" s="2" t="s">
        <v>1434</v>
      </c>
      <c r="C479" s="2" t="s">
        <v>1435</v>
      </c>
      <c r="D479" s="2" t="s">
        <v>10040</v>
      </c>
      <c r="E479" s="15">
        <v>1.37E-2</v>
      </c>
      <c r="F479" s="15">
        <v>0.04</v>
      </c>
      <c r="G479" s="15">
        <v>0.73140000000000005</v>
      </c>
      <c r="H479" s="15">
        <v>0.2019</v>
      </c>
      <c r="I479" s="15">
        <v>2.3E-2</v>
      </c>
      <c r="J479" s="15">
        <v>9.6651376146788994</v>
      </c>
    </row>
    <row r="480" spans="1:10" x14ac:dyDescent="0.25">
      <c r="A480" s="2" t="s">
        <v>1436</v>
      </c>
      <c r="B480" s="2" t="s">
        <v>1437</v>
      </c>
      <c r="C480" s="2" t="s">
        <v>1438</v>
      </c>
      <c r="D480" s="2" t="s">
        <v>10040</v>
      </c>
      <c r="E480" s="15">
        <v>4.3799999999999999E-2</v>
      </c>
      <c r="F480" s="15">
        <v>4.2099999999999999E-2</v>
      </c>
      <c r="G480" s="15">
        <v>0.29799999999999999</v>
      </c>
      <c r="H480" s="15">
        <v>0.21260000000000001</v>
      </c>
      <c r="I480" s="15">
        <v>2.1899999999999999E-2</v>
      </c>
      <c r="J480" s="15">
        <v>10.852380952380949</v>
      </c>
    </row>
    <row r="481" spans="1:10" x14ac:dyDescent="0.25">
      <c r="A481" s="2" t="s">
        <v>1439</v>
      </c>
      <c r="B481" s="2" t="s">
        <v>1440</v>
      </c>
      <c r="C481" s="2" t="s">
        <v>1441</v>
      </c>
      <c r="D481" s="2" t="s">
        <v>10040</v>
      </c>
      <c r="E481" s="15">
        <v>3.3500000000000002E-2</v>
      </c>
      <c r="F481" s="15">
        <v>4.4200000000000003E-2</v>
      </c>
      <c r="G481" s="15">
        <v>0.44819999999999999</v>
      </c>
      <c r="H481" s="15">
        <v>0.2087</v>
      </c>
      <c r="I481" s="15">
        <v>2.5000000000000001E-2</v>
      </c>
      <c r="J481" s="15">
        <v>9.3458333333333332</v>
      </c>
    </row>
    <row r="482" spans="1:10" x14ac:dyDescent="0.25">
      <c r="A482" s="2" t="s">
        <v>1442</v>
      </c>
      <c r="B482" s="2" t="s">
        <v>1443</v>
      </c>
      <c r="C482" s="2" t="s">
        <v>1444</v>
      </c>
      <c r="D482" s="2" t="s">
        <v>10040</v>
      </c>
      <c r="E482" s="15">
        <v>1.52E-2</v>
      </c>
      <c r="F482" s="15">
        <v>5.1499999999999997E-2</v>
      </c>
      <c r="G482" s="15">
        <v>0.76839999999999997</v>
      </c>
      <c r="H482" s="15">
        <v>0.1399</v>
      </c>
      <c r="I482" s="15">
        <v>1.7999999999999999E-2</v>
      </c>
      <c r="J482" s="15">
        <v>8.145251396648046</v>
      </c>
    </row>
    <row r="483" spans="1:10" x14ac:dyDescent="0.25">
      <c r="A483" s="2" t="s">
        <v>1445</v>
      </c>
      <c r="B483" s="2" t="s">
        <v>1446</v>
      </c>
      <c r="C483" s="2" t="s">
        <v>1447</v>
      </c>
      <c r="D483" s="2" t="s">
        <v>10040</v>
      </c>
      <c r="E483" s="15">
        <v>-3.32E-2</v>
      </c>
      <c r="F483" s="15">
        <v>3.7600000000000001E-2</v>
      </c>
      <c r="G483" s="15">
        <v>0.3775</v>
      </c>
      <c r="H483" s="15">
        <v>0.20300000000000001</v>
      </c>
      <c r="I483" s="15">
        <v>2.1499999999999998E-2</v>
      </c>
      <c r="J483" s="15">
        <v>10.261904761904759</v>
      </c>
    </row>
    <row r="484" spans="1:10" x14ac:dyDescent="0.25">
      <c r="A484" s="2" t="s">
        <v>1448</v>
      </c>
      <c r="B484" s="2" t="s">
        <v>1449</v>
      </c>
      <c r="C484" s="2" t="s">
        <v>1450</v>
      </c>
      <c r="D484" s="2" t="s">
        <v>10040</v>
      </c>
      <c r="E484" s="15">
        <v>4.3099999999999999E-2</v>
      </c>
      <c r="F484" s="15">
        <v>4.3099999999999999E-2</v>
      </c>
      <c r="G484" s="15">
        <v>0.31790000000000002</v>
      </c>
      <c r="H484" s="15">
        <v>0.19420000000000001</v>
      </c>
      <c r="I484" s="15">
        <v>0.02</v>
      </c>
      <c r="J484" s="15">
        <v>10.51063829787234</v>
      </c>
    </row>
    <row r="485" spans="1:10" x14ac:dyDescent="0.25">
      <c r="A485" s="2" t="s">
        <v>1451</v>
      </c>
      <c r="B485" s="2" t="s">
        <v>1452</v>
      </c>
      <c r="C485" s="2" t="s">
        <v>1453</v>
      </c>
      <c r="D485" s="2" t="s">
        <v>10040</v>
      </c>
      <c r="E485" s="15">
        <v>6.8400000000000002E-2</v>
      </c>
      <c r="F485" s="15">
        <v>5.33E-2</v>
      </c>
      <c r="G485" s="15">
        <v>0.19919999999999999</v>
      </c>
      <c r="H485" s="15">
        <v>0.12089999999999999</v>
      </c>
      <c r="I485" s="15">
        <v>1.9699999999999999E-2</v>
      </c>
      <c r="J485" s="15">
        <v>7.4078212290502794</v>
      </c>
    </row>
    <row r="486" spans="1:10" x14ac:dyDescent="0.25">
      <c r="A486" s="2" t="s">
        <v>1454</v>
      </c>
      <c r="B486" s="2" t="s">
        <v>1455</v>
      </c>
      <c r="C486" s="2" t="s">
        <v>1456</v>
      </c>
      <c r="D486" s="2" t="s">
        <v>10040</v>
      </c>
      <c r="E486" s="15">
        <v>8.4500000000000006E-2</v>
      </c>
      <c r="F486" s="15">
        <v>4.9700000000000001E-2</v>
      </c>
      <c r="G486" s="15">
        <v>8.9399999999999993E-2</v>
      </c>
      <c r="H486" s="15">
        <v>0.13170000000000001</v>
      </c>
      <c r="I486" s="15">
        <v>1.84E-2</v>
      </c>
      <c r="J486" s="15">
        <v>7.9367816091954033</v>
      </c>
    </row>
    <row r="487" spans="1:10" x14ac:dyDescent="0.25">
      <c r="A487" s="2" t="s">
        <v>1457</v>
      </c>
      <c r="B487" s="2" t="s">
        <v>1458</v>
      </c>
      <c r="C487" s="2" t="s">
        <v>1459</v>
      </c>
      <c r="D487" s="2" t="s">
        <v>10040</v>
      </c>
      <c r="E487" s="15">
        <v>8.6599999999999996E-2</v>
      </c>
      <c r="F487" s="15">
        <v>5.9200000000000003E-2</v>
      </c>
      <c r="G487" s="15">
        <v>0.1431</v>
      </c>
      <c r="H487" s="15">
        <v>0.12570000000000001</v>
      </c>
      <c r="I487" s="15">
        <v>1.7899999999999999E-2</v>
      </c>
      <c r="J487" s="15">
        <v>7.9289617486338804</v>
      </c>
    </row>
    <row r="488" spans="1:10" x14ac:dyDescent="0.25">
      <c r="A488" s="2" t="s">
        <v>1460</v>
      </c>
      <c r="B488" s="2" t="s">
        <v>1461</v>
      </c>
      <c r="C488" s="2" t="s">
        <v>1462</v>
      </c>
      <c r="D488" s="2" t="s">
        <v>10040</v>
      </c>
      <c r="E488" s="15">
        <v>0.10100000000000001</v>
      </c>
      <c r="F488" s="15">
        <v>5.8099999999999999E-2</v>
      </c>
      <c r="G488" s="15">
        <v>8.2400000000000001E-2</v>
      </c>
      <c r="H488" s="15">
        <v>0.1008</v>
      </c>
      <c r="I488" s="15">
        <v>2.0199999999999999E-2</v>
      </c>
      <c r="J488" s="15">
        <v>5.4869109947643988</v>
      </c>
    </row>
    <row r="489" spans="1:10" x14ac:dyDescent="0.25">
      <c r="A489" s="2" t="s">
        <v>1463</v>
      </c>
      <c r="B489" s="2" t="s">
        <v>1464</v>
      </c>
      <c r="C489" s="2" t="s">
        <v>1465</v>
      </c>
      <c r="D489" s="2" t="s">
        <v>10040</v>
      </c>
      <c r="E489" s="15">
        <v>5.3400000000000003E-2</v>
      </c>
      <c r="F489" s="15">
        <v>3.6499999999999998E-2</v>
      </c>
      <c r="G489" s="15">
        <v>0.14380000000000001</v>
      </c>
      <c r="H489" s="15">
        <v>0.3039</v>
      </c>
      <c r="I489" s="15">
        <v>3.2199999999999999E-2</v>
      </c>
      <c r="J489" s="15">
        <v>10.542372881355931</v>
      </c>
    </row>
    <row r="490" spans="1:10" x14ac:dyDescent="0.25">
      <c r="A490" s="2" t="s">
        <v>1466</v>
      </c>
      <c r="B490" s="2" t="s">
        <v>1467</v>
      </c>
      <c r="C490" s="2" t="s">
        <v>1468</v>
      </c>
      <c r="D490" s="2" t="s">
        <v>10040</v>
      </c>
      <c r="E490" s="15">
        <v>-2.5999999999999999E-2</v>
      </c>
      <c r="F490" s="15">
        <v>4.7500000000000001E-2</v>
      </c>
      <c r="G490" s="15">
        <v>0.58320000000000005</v>
      </c>
      <c r="H490" s="15">
        <v>0.16839999999999999</v>
      </c>
      <c r="I490" s="15">
        <v>1.67E-2</v>
      </c>
      <c r="J490" s="15">
        <v>9.3174603174603181</v>
      </c>
    </row>
    <row r="491" spans="1:10" x14ac:dyDescent="0.25">
      <c r="A491" s="2" t="s">
        <v>1469</v>
      </c>
      <c r="B491" s="2" t="s">
        <v>1470</v>
      </c>
      <c r="C491" s="2" t="s">
        <v>1471</v>
      </c>
      <c r="D491" s="2" t="s">
        <v>10040</v>
      </c>
      <c r="E491" s="15">
        <v>3.27E-2</v>
      </c>
      <c r="F491" s="15">
        <v>5.5300000000000002E-2</v>
      </c>
      <c r="G491" s="15">
        <v>0.5544</v>
      </c>
      <c r="H491" s="15">
        <v>0.11609999999999999</v>
      </c>
      <c r="I491" s="15">
        <v>1.7999999999999999E-2</v>
      </c>
      <c r="J491" s="15">
        <v>7.6167664670658688</v>
      </c>
    </row>
    <row r="492" spans="1:10" x14ac:dyDescent="0.25">
      <c r="A492" s="2" t="s">
        <v>1472</v>
      </c>
      <c r="B492" s="2" t="s">
        <v>1473</v>
      </c>
      <c r="C492" s="2" t="s">
        <v>1474</v>
      </c>
      <c r="D492" s="2" t="s">
        <v>10040</v>
      </c>
      <c r="E492" s="15">
        <v>7.7999999999999996E-3</v>
      </c>
      <c r="F492" s="15">
        <v>4.07E-2</v>
      </c>
      <c r="G492" s="15">
        <v>0.84789999999999999</v>
      </c>
      <c r="H492" s="15">
        <v>0.20530000000000001</v>
      </c>
      <c r="I492" s="15">
        <v>1.9300000000000001E-2</v>
      </c>
      <c r="J492" s="15">
        <v>9.8609865470852025</v>
      </c>
    </row>
    <row r="493" spans="1:10" x14ac:dyDescent="0.25">
      <c r="A493" s="2" t="s">
        <v>1475</v>
      </c>
      <c r="B493" s="2" t="s">
        <v>1476</v>
      </c>
      <c r="C493" s="2" t="s">
        <v>1477</v>
      </c>
      <c r="D493" s="2" t="s">
        <v>10040</v>
      </c>
      <c r="E493" s="15">
        <v>8.3000000000000001E-3</v>
      </c>
      <c r="F493" s="15">
        <v>4.3499999999999997E-2</v>
      </c>
      <c r="G493" s="15">
        <v>0.84919999999999995</v>
      </c>
      <c r="H493" s="15">
        <v>0.219</v>
      </c>
      <c r="I493" s="15">
        <v>2.35E-2</v>
      </c>
      <c r="J493" s="15">
        <v>10.52777777777778</v>
      </c>
    </row>
    <row r="494" spans="1:10" x14ac:dyDescent="0.25">
      <c r="A494" s="2" t="s">
        <v>1478</v>
      </c>
      <c r="B494" s="2" t="s">
        <v>1479</v>
      </c>
      <c r="C494" s="2" t="s">
        <v>1480</v>
      </c>
      <c r="D494" s="2" t="s">
        <v>10040</v>
      </c>
      <c r="E494" s="15">
        <v>8.6E-3</v>
      </c>
      <c r="F494" s="15">
        <v>0.06</v>
      </c>
      <c r="G494" s="15">
        <v>0.88660000000000005</v>
      </c>
      <c r="H494" s="15">
        <v>0.1111</v>
      </c>
      <c r="I494" s="15">
        <v>1.6E-2</v>
      </c>
      <c r="J494" s="15">
        <v>7.8783783783783781</v>
      </c>
    </row>
    <row r="495" spans="1:10" x14ac:dyDescent="0.25">
      <c r="A495" s="2" t="s">
        <v>1481</v>
      </c>
      <c r="B495" s="2" t="s">
        <v>1482</v>
      </c>
      <c r="C495" s="2" t="s">
        <v>1483</v>
      </c>
      <c r="D495" s="2" t="s">
        <v>10040</v>
      </c>
      <c r="E495" s="15">
        <v>-8.3999999999999995E-3</v>
      </c>
      <c r="F495" s="15">
        <v>4.5100000000000001E-2</v>
      </c>
      <c r="G495" s="15">
        <v>0.85189999999999999</v>
      </c>
      <c r="H495" s="15">
        <v>0.16159999999999999</v>
      </c>
      <c r="I495" s="15">
        <v>1.89E-2</v>
      </c>
      <c r="J495" s="15">
        <v>10.494252873563219</v>
      </c>
    </row>
    <row r="496" spans="1:10" x14ac:dyDescent="0.25">
      <c r="A496" s="2" t="s">
        <v>1484</v>
      </c>
      <c r="B496" s="2" t="s">
        <v>1485</v>
      </c>
      <c r="C496" s="2" t="s">
        <v>1486</v>
      </c>
      <c r="D496" s="2" t="s">
        <v>10040</v>
      </c>
      <c r="E496" s="15">
        <v>5.5100000000000003E-2</v>
      </c>
      <c r="F496" s="15">
        <v>4.7100000000000003E-2</v>
      </c>
      <c r="G496" s="15">
        <v>0.24229999999999999</v>
      </c>
      <c r="H496" s="15">
        <v>0.16750000000000001</v>
      </c>
      <c r="I496" s="15">
        <v>1.7899999999999999E-2</v>
      </c>
      <c r="J496" s="15">
        <v>10.65116279069767</v>
      </c>
    </row>
    <row r="497" spans="1:10" x14ac:dyDescent="0.25">
      <c r="A497" s="2" t="s">
        <v>1487</v>
      </c>
      <c r="B497" s="2" t="s">
        <v>1488</v>
      </c>
      <c r="C497" s="2" t="s">
        <v>1489</v>
      </c>
      <c r="D497" s="2" t="s">
        <v>10040</v>
      </c>
      <c r="E497" s="15">
        <v>-7.3000000000000001E-3</v>
      </c>
      <c r="F497" s="15">
        <v>4.4400000000000002E-2</v>
      </c>
      <c r="G497" s="15">
        <v>0.86950000000000005</v>
      </c>
      <c r="H497" s="15">
        <v>0.17349999999999999</v>
      </c>
      <c r="I497" s="15">
        <v>2.1399999999999999E-2</v>
      </c>
      <c r="J497" s="15">
        <v>8.7282051282051274</v>
      </c>
    </row>
    <row r="498" spans="1:10" x14ac:dyDescent="0.25">
      <c r="A498" s="2" t="s">
        <v>1490</v>
      </c>
      <c r="B498" s="2" t="s">
        <v>1491</v>
      </c>
      <c r="C498" s="2" t="s">
        <v>1492</v>
      </c>
      <c r="D498" s="2" t="s">
        <v>10040</v>
      </c>
      <c r="E498" s="15">
        <v>7.1499999999999994E-2</v>
      </c>
      <c r="F498" s="15">
        <v>4.5100000000000001E-2</v>
      </c>
      <c r="G498" s="15">
        <v>0.1128</v>
      </c>
      <c r="H498" s="15">
        <v>0.20180000000000001</v>
      </c>
      <c r="I498" s="15">
        <v>1.8499999999999999E-2</v>
      </c>
      <c r="J498" s="15">
        <v>11.960674157303369</v>
      </c>
    </row>
    <row r="499" spans="1:10" x14ac:dyDescent="0.25">
      <c r="A499" s="2" t="s">
        <v>1493</v>
      </c>
      <c r="B499" s="2" t="s">
        <v>1494</v>
      </c>
      <c r="C499" s="2" t="s">
        <v>1495</v>
      </c>
      <c r="D499" s="2" t="s">
        <v>10040</v>
      </c>
      <c r="E499" s="15">
        <v>-1E-3</v>
      </c>
      <c r="F499" s="15">
        <v>4.7899999999999998E-2</v>
      </c>
      <c r="G499" s="15">
        <v>0.98299999999999998</v>
      </c>
      <c r="H499" s="15">
        <v>0.1472</v>
      </c>
      <c r="I499" s="15">
        <v>1.89E-2</v>
      </c>
      <c r="J499" s="15">
        <v>8.5801104972375679</v>
      </c>
    </row>
    <row r="500" spans="1:10" x14ac:dyDescent="0.25">
      <c r="A500" s="2" t="s">
        <v>1496</v>
      </c>
      <c r="B500" s="2" t="s">
        <v>1497</v>
      </c>
      <c r="C500" s="2" t="s">
        <v>1498</v>
      </c>
      <c r="D500" s="2" t="s">
        <v>10040</v>
      </c>
      <c r="E500" s="15">
        <v>6.6799999999999998E-2</v>
      </c>
      <c r="F500" s="15">
        <v>5.1299999999999998E-2</v>
      </c>
      <c r="G500" s="15">
        <v>0.19270000000000001</v>
      </c>
      <c r="H500" s="15">
        <v>0.14330000000000001</v>
      </c>
      <c r="I500" s="15">
        <v>1.78E-2</v>
      </c>
      <c r="J500" s="15">
        <v>8.6988636363636367</v>
      </c>
    </row>
    <row r="501" spans="1:10" x14ac:dyDescent="0.25">
      <c r="A501" s="2" t="s">
        <v>1499</v>
      </c>
      <c r="B501" s="2" t="s">
        <v>1500</v>
      </c>
      <c r="C501" s="2" t="s">
        <v>1501</v>
      </c>
      <c r="D501" s="2" t="s">
        <v>10040</v>
      </c>
      <c r="E501" s="15">
        <v>1.78E-2</v>
      </c>
      <c r="F501" s="15">
        <v>3.7900000000000003E-2</v>
      </c>
      <c r="G501" s="15">
        <v>0.63939999999999997</v>
      </c>
      <c r="H501" s="15">
        <v>0.27800000000000002</v>
      </c>
      <c r="I501" s="15">
        <v>2.5000000000000001E-2</v>
      </c>
      <c r="J501" s="15">
        <v>12.1695652173913</v>
      </c>
    </row>
    <row r="502" spans="1:10" x14ac:dyDescent="0.25">
      <c r="A502" s="2" t="s">
        <v>1502</v>
      </c>
      <c r="B502" s="2" t="s">
        <v>1503</v>
      </c>
      <c r="C502" s="2" t="s">
        <v>1504</v>
      </c>
      <c r="D502" s="2" t="s">
        <v>10040</v>
      </c>
      <c r="E502" s="15">
        <v>-2.1999999999999999E-2</v>
      </c>
      <c r="F502" s="15">
        <v>5.16E-2</v>
      </c>
      <c r="G502" s="15">
        <v>0.66900000000000004</v>
      </c>
      <c r="H502" s="15">
        <v>0.12640000000000001</v>
      </c>
      <c r="I502" s="15">
        <v>1.8599999999999998E-2</v>
      </c>
      <c r="J502" s="15">
        <v>7.0382513661202184</v>
      </c>
    </row>
    <row r="503" spans="1:10" x14ac:dyDescent="0.25">
      <c r="A503" s="2" t="s">
        <v>1505</v>
      </c>
      <c r="B503" s="2" t="s">
        <v>1506</v>
      </c>
      <c r="C503" s="2" t="s">
        <v>1507</v>
      </c>
      <c r="D503" s="2" t="s">
        <v>10040</v>
      </c>
      <c r="E503" s="15">
        <v>1.55E-2</v>
      </c>
      <c r="F503" s="15">
        <v>5.8099999999999999E-2</v>
      </c>
      <c r="G503" s="15">
        <v>0.78979999999999995</v>
      </c>
      <c r="H503" s="15">
        <v>0.1061</v>
      </c>
      <c r="I503" s="15">
        <v>1.66E-2</v>
      </c>
      <c r="J503" s="15">
        <v>6.6158536585365848</v>
      </c>
    </row>
    <row r="504" spans="1:10" x14ac:dyDescent="0.25">
      <c r="A504" s="2" t="s">
        <v>1508</v>
      </c>
      <c r="B504" s="2" t="s">
        <v>1509</v>
      </c>
      <c r="C504" s="2" t="s">
        <v>1510</v>
      </c>
      <c r="D504" s="2" t="s">
        <v>10040</v>
      </c>
      <c r="E504" s="15">
        <v>3.4599999999999999E-2</v>
      </c>
      <c r="F504" s="15">
        <v>5.4100000000000002E-2</v>
      </c>
      <c r="G504" s="15">
        <v>0.52259999999999995</v>
      </c>
      <c r="H504" s="15">
        <v>0.12620000000000001</v>
      </c>
      <c r="I504" s="15">
        <v>1.7299999999999999E-2</v>
      </c>
      <c r="J504" s="15">
        <v>7.9526627218934918</v>
      </c>
    </row>
    <row r="505" spans="1:10" x14ac:dyDescent="0.25">
      <c r="A505" s="2" t="s">
        <v>1511</v>
      </c>
      <c r="B505" s="2" t="s">
        <v>1512</v>
      </c>
      <c r="C505" s="2" t="s">
        <v>1513</v>
      </c>
      <c r="D505" s="2" t="s">
        <v>10040</v>
      </c>
      <c r="E505" s="15">
        <v>5.8299999999999998E-2</v>
      </c>
      <c r="F505" s="15">
        <v>4.8099999999999997E-2</v>
      </c>
      <c r="G505" s="15">
        <v>0.22539999999999999</v>
      </c>
      <c r="H505" s="15">
        <v>0.1457</v>
      </c>
      <c r="I505" s="15">
        <v>1.72E-2</v>
      </c>
      <c r="J505" s="15">
        <v>9.1235294117647037</v>
      </c>
    </row>
    <row r="506" spans="1:10" x14ac:dyDescent="0.25">
      <c r="A506" s="2" t="s">
        <v>1514</v>
      </c>
      <c r="B506" s="2" t="s">
        <v>1515</v>
      </c>
      <c r="C506" s="2" t="s">
        <v>1516</v>
      </c>
      <c r="D506" s="2" t="s">
        <v>10040</v>
      </c>
      <c r="E506" s="15">
        <v>3.5499999999999997E-2</v>
      </c>
      <c r="F506" s="15">
        <v>6.6699999999999995E-2</v>
      </c>
      <c r="G506" s="15">
        <v>0.59470000000000001</v>
      </c>
      <c r="H506" s="15">
        <v>7.8399999999999997E-2</v>
      </c>
      <c r="I506" s="15">
        <v>1.66E-2</v>
      </c>
      <c r="J506" s="15">
        <v>5.0123456790123457</v>
      </c>
    </row>
    <row r="507" spans="1:10" x14ac:dyDescent="0.25">
      <c r="A507" s="2" t="s">
        <v>1517</v>
      </c>
      <c r="B507" s="2" t="s">
        <v>1518</v>
      </c>
      <c r="C507" s="2" t="s">
        <v>1519</v>
      </c>
      <c r="D507" s="2" t="s">
        <v>10040</v>
      </c>
      <c r="E507" s="15">
        <v>2.7000000000000001E-3</v>
      </c>
      <c r="F507" s="15">
        <v>5.2499999999999998E-2</v>
      </c>
      <c r="G507" s="15">
        <v>0.95940000000000003</v>
      </c>
      <c r="H507" s="15">
        <v>0.1439</v>
      </c>
      <c r="I507" s="15">
        <v>1.95E-2</v>
      </c>
      <c r="J507" s="15">
        <v>7.9587628865979383</v>
      </c>
    </row>
    <row r="508" spans="1:10" x14ac:dyDescent="0.25">
      <c r="A508" s="2" t="s">
        <v>1520</v>
      </c>
      <c r="B508" s="2" t="s">
        <v>1521</v>
      </c>
      <c r="C508" s="2" t="s">
        <v>1522</v>
      </c>
      <c r="D508" s="2" t="s">
        <v>10040</v>
      </c>
      <c r="E508" s="15">
        <v>-6.4999999999999997E-3</v>
      </c>
      <c r="F508" s="15">
        <v>5.2200000000000003E-2</v>
      </c>
      <c r="G508" s="15">
        <v>0.9012</v>
      </c>
      <c r="H508" s="15">
        <v>0.10199999999999999</v>
      </c>
      <c r="I508" s="15">
        <v>1.6899999999999998E-2</v>
      </c>
      <c r="J508" s="15">
        <v>6.9316770186335406</v>
      </c>
    </row>
    <row r="509" spans="1:10" x14ac:dyDescent="0.25">
      <c r="A509" s="2" t="s">
        <v>1523</v>
      </c>
      <c r="B509" s="2" t="s">
        <v>1524</v>
      </c>
      <c r="C509" s="2" t="s">
        <v>1525</v>
      </c>
      <c r="D509" s="2" t="s">
        <v>10040</v>
      </c>
      <c r="E509" s="15">
        <v>-2.0400000000000001E-2</v>
      </c>
      <c r="F509" s="15">
        <v>5.0099999999999999E-2</v>
      </c>
      <c r="G509" s="15">
        <v>0.68420000000000003</v>
      </c>
      <c r="H509" s="15">
        <v>0.12559999999999999</v>
      </c>
      <c r="I509" s="15">
        <v>1.9699999999999999E-2</v>
      </c>
      <c r="J509" s="15">
        <v>6.6820512820512823</v>
      </c>
    </row>
    <row r="510" spans="1:10" x14ac:dyDescent="0.25">
      <c r="A510" s="2" t="s">
        <v>1526</v>
      </c>
      <c r="B510" s="2" t="s">
        <v>1527</v>
      </c>
      <c r="C510" s="2" t="s">
        <v>1528</v>
      </c>
      <c r="D510" s="2" t="s">
        <v>10040</v>
      </c>
      <c r="E510" s="15">
        <v>-2.46E-2</v>
      </c>
      <c r="F510" s="15">
        <v>5.1999999999999998E-2</v>
      </c>
      <c r="G510" s="15">
        <v>0.6361</v>
      </c>
      <c r="H510" s="15">
        <v>0.1454</v>
      </c>
      <c r="I510" s="15">
        <v>1.8599999999999998E-2</v>
      </c>
      <c r="J510" s="15">
        <v>8.5083798882681556</v>
      </c>
    </row>
    <row r="511" spans="1:10" x14ac:dyDescent="0.25">
      <c r="A511" s="2" t="s">
        <v>1529</v>
      </c>
      <c r="B511" s="2" t="s">
        <v>1530</v>
      </c>
      <c r="C511" s="2" t="s">
        <v>1531</v>
      </c>
      <c r="D511" s="2" t="s">
        <v>10040</v>
      </c>
      <c r="E511" s="15">
        <v>4.19E-2</v>
      </c>
      <c r="F511" s="15">
        <v>5.2400000000000002E-2</v>
      </c>
      <c r="G511" s="15">
        <v>0.42380000000000001</v>
      </c>
      <c r="H511" s="15">
        <v>0.14710000000000001</v>
      </c>
      <c r="I511" s="15">
        <v>0.02</v>
      </c>
      <c r="J511" s="15">
        <v>8.5618556701030926</v>
      </c>
    </row>
    <row r="512" spans="1:10" x14ac:dyDescent="0.25">
      <c r="A512" s="2" t="s">
        <v>1532</v>
      </c>
      <c r="B512" s="2" t="s">
        <v>1533</v>
      </c>
      <c r="C512" s="2" t="s">
        <v>1534</v>
      </c>
      <c r="D512" s="2" t="s">
        <v>10040</v>
      </c>
      <c r="E512" s="15">
        <v>9.8500000000000004E-2</v>
      </c>
      <c r="F512" s="15">
        <v>4.02E-2</v>
      </c>
      <c r="G512" s="15">
        <v>1.4200000000000001E-2</v>
      </c>
      <c r="H512" s="15">
        <v>0.24759999999999999</v>
      </c>
      <c r="I512" s="15">
        <v>2.5499999999999998E-2</v>
      </c>
      <c r="J512" s="15">
        <v>11.0343347639485</v>
      </c>
    </row>
    <row r="513" spans="1:10" x14ac:dyDescent="0.25">
      <c r="A513" s="2" t="s">
        <v>1535</v>
      </c>
      <c r="B513" s="2" t="s">
        <v>1536</v>
      </c>
      <c r="C513" s="2" t="s">
        <v>1537</v>
      </c>
      <c r="D513" s="2" t="s">
        <v>10040</v>
      </c>
      <c r="E513" s="15">
        <v>2.63E-2</v>
      </c>
      <c r="F513" s="15">
        <v>6.0100000000000001E-2</v>
      </c>
      <c r="G513" s="15">
        <v>0.66139999999999999</v>
      </c>
      <c r="H513" s="15">
        <v>9.5200000000000007E-2</v>
      </c>
      <c r="I513" s="15">
        <v>1.52E-2</v>
      </c>
      <c r="J513" s="15">
        <v>6.6711409395973158</v>
      </c>
    </row>
    <row r="514" spans="1:10" x14ac:dyDescent="0.25">
      <c r="A514" s="2" t="s">
        <v>1538</v>
      </c>
      <c r="B514" s="2" t="s">
        <v>1539</v>
      </c>
      <c r="C514" s="2" t="s">
        <v>1540</v>
      </c>
      <c r="D514" s="2" t="s">
        <v>10040</v>
      </c>
      <c r="E514" s="15">
        <v>8.7999999999999995E-2</v>
      </c>
      <c r="F514" s="15">
        <v>9.6500000000000002E-2</v>
      </c>
      <c r="G514" s="15">
        <v>0.36209999999999998</v>
      </c>
      <c r="H514" s="15">
        <v>3.7400000000000003E-2</v>
      </c>
      <c r="I514" s="15">
        <v>1.47E-2</v>
      </c>
      <c r="J514" s="15">
        <v>3.2592592592592591</v>
      </c>
    </row>
    <row r="515" spans="1:10" x14ac:dyDescent="0.25">
      <c r="A515" s="2" t="s">
        <v>1541</v>
      </c>
      <c r="B515" s="2" t="s">
        <v>1542</v>
      </c>
      <c r="C515" s="2" t="s">
        <v>1543</v>
      </c>
      <c r="D515" s="2" t="s">
        <v>10040</v>
      </c>
      <c r="E515" s="15">
        <v>8.0000000000000002E-3</v>
      </c>
      <c r="F515" s="15">
        <v>6.4100000000000004E-2</v>
      </c>
      <c r="G515" s="15">
        <v>0.90090000000000003</v>
      </c>
      <c r="H515" s="15">
        <v>0.1065</v>
      </c>
      <c r="I515" s="15">
        <v>1.8499999999999999E-2</v>
      </c>
      <c r="J515" s="15">
        <v>6.5523255813953476</v>
      </c>
    </row>
    <row r="516" spans="1:10" x14ac:dyDescent="0.25">
      <c r="A516" s="2" t="s">
        <v>1544</v>
      </c>
      <c r="B516" s="2" t="s">
        <v>1545</v>
      </c>
      <c r="C516" s="2" t="s">
        <v>1546</v>
      </c>
      <c r="D516" s="2" t="s">
        <v>10040</v>
      </c>
      <c r="E516" s="15">
        <v>3.09E-2</v>
      </c>
      <c r="F516" s="15">
        <v>4.3700000000000003E-2</v>
      </c>
      <c r="G516" s="15">
        <v>0.48039999999999999</v>
      </c>
      <c r="H516" s="15">
        <v>0.17030000000000001</v>
      </c>
      <c r="I516" s="15">
        <v>2.0899999999999998E-2</v>
      </c>
      <c r="J516" s="15">
        <v>8.9450000000000003</v>
      </c>
    </row>
    <row r="517" spans="1:10" x14ac:dyDescent="0.25">
      <c r="A517" s="2" t="s">
        <v>1547</v>
      </c>
      <c r="B517" s="2" t="s">
        <v>1548</v>
      </c>
      <c r="C517" s="2" t="s">
        <v>1549</v>
      </c>
      <c r="D517" s="2" t="s">
        <v>10040</v>
      </c>
      <c r="E517" s="15">
        <v>5.7799999999999997E-2</v>
      </c>
      <c r="F517" s="15">
        <v>4.7699999999999999E-2</v>
      </c>
      <c r="G517" s="15">
        <v>0.22589999999999999</v>
      </c>
      <c r="H517" s="15">
        <v>0.18010000000000001</v>
      </c>
      <c r="I517" s="15">
        <v>2.1299999999999999E-2</v>
      </c>
      <c r="J517" s="15">
        <v>9.2657004830917877</v>
      </c>
    </row>
    <row r="518" spans="1:10" x14ac:dyDescent="0.25">
      <c r="A518" s="2" t="s">
        <v>1550</v>
      </c>
      <c r="B518" s="2" t="s">
        <v>1551</v>
      </c>
      <c r="C518" s="2" t="s">
        <v>1552</v>
      </c>
      <c r="D518" s="2" t="s">
        <v>10040</v>
      </c>
      <c r="E518" s="15">
        <v>-4.8000000000000001E-2</v>
      </c>
      <c r="F518" s="15">
        <v>4.7399999999999998E-2</v>
      </c>
      <c r="G518" s="15">
        <v>0.31180000000000002</v>
      </c>
      <c r="H518" s="15">
        <v>0.12330000000000001</v>
      </c>
      <c r="I518" s="15">
        <v>2.0899999999999998E-2</v>
      </c>
      <c r="J518" s="15">
        <v>6.7216494845360817</v>
      </c>
    </row>
    <row r="519" spans="1:10" x14ac:dyDescent="0.25">
      <c r="A519" s="2" t="s">
        <v>1553</v>
      </c>
      <c r="B519" s="2" t="s">
        <v>1554</v>
      </c>
      <c r="C519" s="2" t="s">
        <v>1555</v>
      </c>
      <c r="D519" s="2" t="s">
        <v>10040</v>
      </c>
      <c r="E519" s="15">
        <v>2.0799999999999999E-2</v>
      </c>
      <c r="F519" s="15">
        <v>4.1399999999999999E-2</v>
      </c>
      <c r="G519" s="15">
        <v>0.61639999999999995</v>
      </c>
      <c r="H519" s="15">
        <v>0.19839999999999999</v>
      </c>
      <c r="I519" s="15">
        <v>2.1499999999999998E-2</v>
      </c>
      <c r="J519" s="15">
        <v>10.08457711442786</v>
      </c>
    </row>
    <row r="520" spans="1:10" x14ac:dyDescent="0.25">
      <c r="A520" s="2" t="s">
        <v>1556</v>
      </c>
      <c r="B520" s="2" t="s">
        <v>1557</v>
      </c>
      <c r="C520" s="2" t="s">
        <v>1558</v>
      </c>
      <c r="D520" s="2" t="s">
        <v>10040</v>
      </c>
      <c r="E520" s="15">
        <v>7.7799999999999994E-2</v>
      </c>
      <c r="F520" s="15">
        <v>5.2699999999999997E-2</v>
      </c>
      <c r="G520" s="15">
        <v>0.1394</v>
      </c>
      <c r="H520" s="15">
        <v>0.12790000000000001</v>
      </c>
      <c r="I520" s="15">
        <v>1.9400000000000001E-2</v>
      </c>
      <c r="J520" s="15">
        <v>7.71891891891892</v>
      </c>
    </row>
    <row r="521" spans="1:10" x14ac:dyDescent="0.25">
      <c r="A521" s="2" t="s">
        <v>1559</v>
      </c>
      <c r="B521" s="2" t="s">
        <v>1560</v>
      </c>
      <c r="C521" s="2" t="s">
        <v>1561</v>
      </c>
      <c r="D521" s="2" t="s">
        <v>10040</v>
      </c>
      <c r="E521" s="15">
        <v>5.3100000000000001E-2</v>
      </c>
      <c r="F521" s="15">
        <v>4.53E-2</v>
      </c>
      <c r="G521" s="15">
        <v>0.24129999999999999</v>
      </c>
      <c r="H521" s="15">
        <v>0.17630000000000001</v>
      </c>
      <c r="I521" s="15">
        <v>2.07E-2</v>
      </c>
      <c r="J521" s="15">
        <v>9.4397905759162306</v>
      </c>
    </row>
    <row r="522" spans="1:10" x14ac:dyDescent="0.25">
      <c r="A522" s="2" t="s">
        <v>1562</v>
      </c>
      <c r="B522" s="2" t="s">
        <v>1563</v>
      </c>
      <c r="C522" s="2" t="s">
        <v>1564</v>
      </c>
      <c r="D522" s="2" t="s">
        <v>10040</v>
      </c>
      <c r="E522" s="15">
        <v>1.03E-2</v>
      </c>
      <c r="F522" s="15">
        <v>4.3900000000000002E-2</v>
      </c>
      <c r="G522" s="15">
        <v>0.81469999999999998</v>
      </c>
      <c r="H522" s="15">
        <v>0.15840000000000001</v>
      </c>
      <c r="I522" s="15">
        <v>1.8200000000000001E-2</v>
      </c>
      <c r="J522" s="15">
        <v>9.6411764705882348</v>
      </c>
    </row>
    <row r="523" spans="1:10" x14ac:dyDescent="0.25">
      <c r="A523" s="2" t="s">
        <v>1565</v>
      </c>
      <c r="B523" s="2" t="s">
        <v>1566</v>
      </c>
      <c r="C523" s="2" t="s">
        <v>1567</v>
      </c>
      <c r="D523" s="2" t="s">
        <v>10040</v>
      </c>
      <c r="E523" s="15">
        <v>-3.0999999999999999E-3</v>
      </c>
      <c r="F523" s="15">
        <v>4.2599999999999999E-2</v>
      </c>
      <c r="G523" s="15">
        <v>0.94240000000000002</v>
      </c>
      <c r="H523" s="15">
        <v>0.2031</v>
      </c>
      <c r="I523" s="15">
        <v>2.3300000000000001E-2</v>
      </c>
      <c r="J523" s="15">
        <v>9.2743362831858409</v>
      </c>
    </row>
    <row r="524" spans="1:10" x14ac:dyDescent="0.25">
      <c r="A524" s="2" t="s">
        <v>1568</v>
      </c>
      <c r="B524" s="2" t="s">
        <v>1569</v>
      </c>
      <c r="C524" s="2" t="s">
        <v>1570</v>
      </c>
      <c r="D524" s="2" t="s">
        <v>10040</v>
      </c>
      <c r="E524" s="15">
        <v>7.9600000000000004E-2</v>
      </c>
      <c r="F524" s="15">
        <v>4.7600000000000003E-2</v>
      </c>
      <c r="G524" s="15">
        <v>9.4600000000000004E-2</v>
      </c>
      <c r="H524" s="15">
        <v>0.17630000000000001</v>
      </c>
      <c r="I524" s="15">
        <v>2.0899999999999998E-2</v>
      </c>
      <c r="J524" s="15">
        <v>9.1658536585365855</v>
      </c>
    </row>
    <row r="525" spans="1:10" x14ac:dyDescent="0.25">
      <c r="A525" s="2" t="s">
        <v>1571</v>
      </c>
      <c r="B525" s="2" t="s">
        <v>1572</v>
      </c>
      <c r="C525" s="2" t="s">
        <v>1573</v>
      </c>
      <c r="D525" s="2" t="s">
        <v>10040</v>
      </c>
      <c r="E525" s="15">
        <v>4.3400000000000001E-2</v>
      </c>
      <c r="F525" s="15">
        <v>4.3900000000000002E-2</v>
      </c>
      <c r="G525" s="15">
        <v>0.32240000000000002</v>
      </c>
      <c r="H525" s="15">
        <v>0.19589999999999999</v>
      </c>
      <c r="I525" s="15">
        <v>1.9300000000000001E-2</v>
      </c>
      <c r="J525" s="15">
        <v>10.927461139896369</v>
      </c>
    </row>
    <row r="526" spans="1:10" x14ac:dyDescent="0.25">
      <c r="A526" s="2" t="s">
        <v>1574</v>
      </c>
      <c r="B526" s="2" t="s">
        <v>1575</v>
      </c>
      <c r="C526" s="2" t="s">
        <v>1576</v>
      </c>
      <c r="D526" s="2" t="s">
        <v>10040</v>
      </c>
      <c r="E526" s="15">
        <v>-4.9099999999999998E-2</v>
      </c>
      <c r="F526" s="15">
        <v>4.53E-2</v>
      </c>
      <c r="G526" s="15">
        <v>0.27860000000000001</v>
      </c>
      <c r="H526" s="15">
        <v>0.15640000000000001</v>
      </c>
      <c r="I526" s="15">
        <v>2.24E-2</v>
      </c>
      <c r="J526" s="15">
        <v>7.666666666666667</v>
      </c>
    </row>
    <row r="527" spans="1:10" x14ac:dyDescent="0.25">
      <c r="A527" s="2" t="s">
        <v>1577</v>
      </c>
      <c r="B527" s="2" t="s">
        <v>1578</v>
      </c>
      <c r="C527" s="2" t="s">
        <v>1579</v>
      </c>
      <c r="D527" s="2" t="s">
        <v>10040</v>
      </c>
      <c r="E527" s="15">
        <v>-3.9600000000000003E-2</v>
      </c>
      <c r="F527" s="15">
        <v>5.0099999999999999E-2</v>
      </c>
      <c r="G527" s="15">
        <v>0.42980000000000002</v>
      </c>
      <c r="H527" s="15">
        <v>0.1605</v>
      </c>
      <c r="I527" s="15">
        <v>1.7399999999999999E-2</v>
      </c>
      <c r="J527" s="15">
        <v>11.14723926380368</v>
      </c>
    </row>
    <row r="528" spans="1:10" x14ac:dyDescent="0.25">
      <c r="A528" s="2" t="s">
        <v>1580</v>
      </c>
      <c r="B528" s="2" t="s">
        <v>1581</v>
      </c>
      <c r="C528" s="2" t="s">
        <v>1582</v>
      </c>
      <c r="D528" s="2" t="s">
        <v>10040</v>
      </c>
      <c r="E528" s="15">
        <v>-5.7299999999999997E-2</v>
      </c>
      <c r="F528" s="15">
        <v>4.5999999999999999E-2</v>
      </c>
      <c r="G528" s="15">
        <v>0.21329999999999999</v>
      </c>
      <c r="H528" s="15">
        <v>0.16209999999999999</v>
      </c>
      <c r="I528" s="15">
        <v>2.0199999999999999E-2</v>
      </c>
      <c r="J528" s="15">
        <v>8.9109947643979055</v>
      </c>
    </row>
    <row r="529" spans="1:10" x14ac:dyDescent="0.25">
      <c r="A529" s="2" t="s">
        <v>1583</v>
      </c>
      <c r="B529" s="2" t="s">
        <v>1584</v>
      </c>
      <c r="C529" s="2" t="s">
        <v>1585</v>
      </c>
      <c r="D529" s="2" t="s">
        <v>10040</v>
      </c>
      <c r="E529" s="15">
        <v>4.4699999999999997E-2</v>
      </c>
      <c r="F529" s="15">
        <v>5.3699999999999998E-2</v>
      </c>
      <c r="G529" s="15">
        <v>0.4042</v>
      </c>
      <c r="H529" s="15">
        <v>0.13950000000000001</v>
      </c>
      <c r="I529" s="15">
        <v>1.7600000000000001E-2</v>
      </c>
      <c r="J529" s="15">
        <v>7.3091787439613523</v>
      </c>
    </row>
    <row r="530" spans="1:10" x14ac:dyDescent="0.25">
      <c r="A530" s="2" t="s">
        <v>1586</v>
      </c>
      <c r="B530" s="2" t="s">
        <v>1587</v>
      </c>
      <c r="C530" s="2" t="s">
        <v>1588</v>
      </c>
      <c r="D530" s="2" t="s">
        <v>10040</v>
      </c>
      <c r="E530" s="15">
        <v>5.8700000000000002E-2</v>
      </c>
      <c r="F530" s="15">
        <v>4.8399999999999999E-2</v>
      </c>
      <c r="G530" s="15">
        <v>0.2258</v>
      </c>
      <c r="H530" s="15">
        <v>0.16750000000000001</v>
      </c>
      <c r="I530" s="15">
        <v>1.8100000000000002E-2</v>
      </c>
      <c r="J530" s="15">
        <v>9.1538461538461533</v>
      </c>
    </row>
    <row r="531" spans="1:10" x14ac:dyDescent="0.25">
      <c r="A531" s="2" t="s">
        <v>1589</v>
      </c>
      <c r="B531" s="2" t="s">
        <v>1590</v>
      </c>
      <c r="C531" s="2" t="s">
        <v>1591</v>
      </c>
      <c r="D531" s="2" t="s">
        <v>10040</v>
      </c>
      <c r="E531" s="15">
        <v>-5.6599999999999998E-2</v>
      </c>
      <c r="F531" s="15">
        <v>5.0200000000000002E-2</v>
      </c>
      <c r="G531" s="15">
        <v>0.2591</v>
      </c>
      <c r="H531" s="15">
        <v>0.18229999999999999</v>
      </c>
      <c r="I531" s="15">
        <v>2.1100000000000001E-2</v>
      </c>
      <c r="J531" s="15">
        <v>9.5882352941176467</v>
      </c>
    </row>
    <row r="532" spans="1:10" x14ac:dyDescent="0.25">
      <c r="A532" s="2" t="s">
        <v>1592</v>
      </c>
      <c r="B532" s="2" t="s">
        <v>1593</v>
      </c>
      <c r="C532" s="2" t="s">
        <v>1594</v>
      </c>
      <c r="D532" s="2" t="s">
        <v>10040</v>
      </c>
      <c r="E532" s="15">
        <v>5.3E-3</v>
      </c>
      <c r="F532" s="15">
        <v>6.3100000000000003E-2</v>
      </c>
      <c r="G532" s="15">
        <v>0.93289999999999995</v>
      </c>
      <c r="H532" s="15">
        <v>8.5099999999999995E-2</v>
      </c>
      <c r="I532" s="15">
        <v>1.47E-2</v>
      </c>
      <c r="J532" s="15">
        <v>6.458333333333333</v>
      </c>
    </row>
    <row r="533" spans="1:10" x14ac:dyDescent="0.25">
      <c r="A533" s="2" t="s">
        <v>1595</v>
      </c>
      <c r="B533" s="2" t="s">
        <v>1596</v>
      </c>
      <c r="C533" s="2" t="s">
        <v>1597</v>
      </c>
      <c r="D533" s="2" t="s">
        <v>10040</v>
      </c>
      <c r="E533" s="15">
        <v>-4.82E-2</v>
      </c>
      <c r="F533" s="15">
        <v>5.7700000000000001E-2</v>
      </c>
      <c r="G533" s="15">
        <v>0.40350000000000003</v>
      </c>
      <c r="H533" s="15">
        <v>0.11609999999999999</v>
      </c>
      <c r="I533" s="15">
        <v>1.7600000000000001E-2</v>
      </c>
      <c r="J533" s="15">
        <v>6.904494382022472</v>
      </c>
    </row>
    <row r="534" spans="1:10" x14ac:dyDescent="0.25">
      <c r="A534" s="2" t="s">
        <v>1598</v>
      </c>
      <c r="B534" s="2" t="s">
        <v>1599</v>
      </c>
      <c r="C534" s="2" t="s">
        <v>1600</v>
      </c>
      <c r="D534" s="2" t="s">
        <v>10040</v>
      </c>
      <c r="E534" s="15">
        <v>1.6799999999999999E-2</v>
      </c>
      <c r="F534" s="15">
        <v>4.82E-2</v>
      </c>
      <c r="G534" s="15">
        <v>0.72740000000000005</v>
      </c>
      <c r="H534" s="15">
        <v>0.13669999999999999</v>
      </c>
      <c r="I534" s="15">
        <v>1.6400000000000001E-2</v>
      </c>
      <c r="J534" s="15">
        <v>8.6493506493506498</v>
      </c>
    </row>
    <row r="535" spans="1:10" x14ac:dyDescent="0.25">
      <c r="A535" s="2" t="s">
        <v>1601</v>
      </c>
      <c r="B535" s="2" t="s">
        <v>1602</v>
      </c>
      <c r="C535" s="2" t="s">
        <v>1603</v>
      </c>
      <c r="D535" s="2" t="s">
        <v>10040</v>
      </c>
      <c r="E535" s="15">
        <v>4.5600000000000002E-2</v>
      </c>
      <c r="F535" s="15">
        <v>4.4900000000000002E-2</v>
      </c>
      <c r="G535" s="15">
        <v>0.30980000000000002</v>
      </c>
      <c r="H535" s="15">
        <v>0.1933</v>
      </c>
      <c r="I535" s="15">
        <v>2.4500000000000001E-2</v>
      </c>
      <c r="J535" s="15">
        <v>8.7142857142857153</v>
      </c>
    </row>
    <row r="536" spans="1:10" x14ac:dyDescent="0.25">
      <c r="A536" s="2" t="s">
        <v>1604</v>
      </c>
      <c r="B536" s="2" t="s">
        <v>1605</v>
      </c>
      <c r="C536" s="2" t="s">
        <v>1606</v>
      </c>
      <c r="D536" s="2" t="s">
        <v>10040</v>
      </c>
      <c r="E536" s="15">
        <v>2.63E-2</v>
      </c>
      <c r="F536" s="15">
        <v>5.3100000000000001E-2</v>
      </c>
      <c r="G536" s="15">
        <v>0.62019999999999997</v>
      </c>
      <c r="H536" s="15">
        <v>0.13200000000000001</v>
      </c>
      <c r="I536" s="15">
        <v>1.77E-2</v>
      </c>
      <c r="J536" s="15">
        <v>8.1</v>
      </c>
    </row>
    <row r="537" spans="1:10" x14ac:dyDescent="0.25">
      <c r="A537" s="2" t="s">
        <v>1607</v>
      </c>
      <c r="B537" s="2" t="s">
        <v>1608</v>
      </c>
      <c r="C537" s="2" t="s">
        <v>1609</v>
      </c>
      <c r="D537" s="2" t="s">
        <v>10040</v>
      </c>
      <c r="E537" s="15">
        <v>-1.3100000000000001E-2</v>
      </c>
      <c r="F537" s="15">
        <v>6.6100000000000006E-2</v>
      </c>
      <c r="G537" s="15">
        <v>0.84289999999999998</v>
      </c>
      <c r="H537" s="15">
        <v>8.8800000000000004E-2</v>
      </c>
      <c r="I537" s="15">
        <v>1.6899999999999998E-2</v>
      </c>
      <c r="J537" s="15">
        <v>6.556291390728477</v>
      </c>
    </row>
    <row r="538" spans="1:10" x14ac:dyDescent="0.25">
      <c r="A538" s="2" t="s">
        <v>1610</v>
      </c>
      <c r="B538" s="2" t="s">
        <v>1611</v>
      </c>
      <c r="C538" s="2" t="s">
        <v>1612</v>
      </c>
      <c r="D538" s="2" t="s">
        <v>10040</v>
      </c>
      <c r="E538" s="15">
        <v>-5.4000000000000003E-3</v>
      </c>
      <c r="F538" s="15">
        <v>4.5400000000000003E-2</v>
      </c>
      <c r="G538" s="15">
        <v>0.90459999999999996</v>
      </c>
      <c r="H538" s="15">
        <v>0.14979999999999999</v>
      </c>
      <c r="I538" s="15">
        <v>1.7000000000000001E-2</v>
      </c>
      <c r="J538" s="15">
        <v>9.3567251461988299</v>
      </c>
    </row>
    <row r="539" spans="1:10" x14ac:dyDescent="0.25">
      <c r="A539" s="2" t="s">
        <v>1613</v>
      </c>
      <c r="B539" s="2" t="s">
        <v>1614</v>
      </c>
      <c r="C539" s="2" t="s">
        <v>1615</v>
      </c>
      <c r="D539" s="2" t="s">
        <v>10040</v>
      </c>
      <c r="E539" s="15">
        <v>-1.6E-2</v>
      </c>
      <c r="F539" s="15">
        <v>4.4400000000000002E-2</v>
      </c>
      <c r="G539" s="15">
        <v>0.71870000000000001</v>
      </c>
      <c r="H539" s="15">
        <v>0.17979999999999999</v>
      </c>
      <c r="I539" s="15">
        <v>1.9800000000000002E-2</v>
      </c>
      <c r="J539" s="15">
        <v>9.3641025641025646</v>
      </c>
    </row>
    <row r="540" spans="1:10" x14ac:dyDescent="0.25">
      <c r="A540" s="2" t="s">
        <v>1616</v>
      </c>
      <c r="B540" s="2" t="s">
        <v>1617</v>
      </c>
      <c r="C540" s="2" t="s">
        <v>1618</v>
      </c>
      <c r="D540" s="2" t="s">
        <v>10040</v>
      </c>
      <c r="E540" s="15">
        <v>0.17269999999999999</v>
      </c>
      <c r="F540" s="15">
        <v>0.12130000000000001</v>
      </c>
      <c r="G540" s="15">
        <v>0.1545</v>
      </c>
      <c r="H540" s="15">
        <v>2.9399999999999999E-2</v>
      </c>
      <c r="I540" s="15">
        <v>1.5699999999999999E-2</v>
      </c>
      <c r="J540" s="15">
        <v>2.5987261146496818</v>
      </c>
    </row>
    <row r="541" spans="1:10" x14ac:dyDescent="0.25">
      <c r="A541" s="2" t="s">
        <v>1619</v>
      </c>
      <c r="B541" s="2" t="s">
        <v>1620</v>
      </c>
      <c r="C541" s="2" t="s">
        <v>1621</v>
      </c>
      <c r="D541" s="2" t="s">
        <v>10040</v>
      </c>
      <c r="E541" s="15">
        <v>8.9099999999999999E-2</v>
      </c>
      <c r="F541" s="15">
        <v>8.3599999999999994E-2</v>
      </c>
      <c r="G541" s="15">
        <v>0.28670000000000001</v>
      </c>
      <c r="H541" s="15">
        <v>4.1399999999999999E-2</v>
      </c>
      <c r="I541" s="15">
        <v>1.5299999999999999E-2</v>
      </c>
      <c r="J541" s="15">
        <v>3.3310344827586209</v>
      </c>
    </row>
    <row r="542" spans="1:10" x14ac:dyDescent="0.25">
      <c r="A542" s="2" t="s">
        <v>1622</v>
      </c>
      <c r="B542" s="2" t="s">
        <v>1623</v>
      </c>
      <c r="C542" s="2" t="s">
        <v>1624</v>
      </c>
      <c r="D542" s="2" t="s">
        <v>10040</v>
      </c>
      <c r="E542" s="15">
        <v>3.0000000000000001E-3</v>
      </c>
      <c r="F542" s="15">
        <v>4.9500000000000002E-2</v>
      </c>
      <c r="G542" s="15">
        <v>0.95120000000000005</v>
      </c>
      <c r="H542" s="15">
        <v>0.18859999999999999</v>
      </c>
      <c r="I542" s="15">
        <v>2.0400000000000001E-2</v>
      </c>
      <c r="J542" s="15">
        <v>10.66666666666667</v>
      </c>
    </row>
    <row r="543" spans="1:10" x14ac:dyDescent="0.25">
      <c r="A543" s="2" t="s">
        <v>1625</v>
      </c>
      <c r="B543" s="2" t="s">
        <v>1626</v>
      </c>
      <c r="C543" s="2" t="s">
        <v>1627</v>
      </c>
      <c r="D543" s="2" t="s">
        <v>10040</v>
      </c>
      <c r="E543" s="15">
        <v>0.1139</v>
      </c>
      <c r="F543" s="15">
        <v>5.0500000000000003E-2</v>
      </c>
      <c r="G543" s="15">
        <v>2.41E-2</v>
      </c>
      <c r="H543" s="15">
        <v>0.123</v>
      </c>
      <c r="I543" s="15">
        <v>1.7399999999999999E-2</v>
      </c>
      <c r="J543" s="15">
        <v>8.1024096385542173</v>
      </c>
    </row>
    <row r="544" spans="1:10" x14ac:dyDescent="0.25">
      <c r="A544" s="2" t="s">
        <v>1628</v>
      </c>
      <c r="B544" s="2" t="s">
        <v>1629</v>
      </c>
      <c r="C544" s="2" t="s">
        <v>1630</v>
      </c>
      <c r="D544" s="2" t="s">
        <v>10040</v>
      </c>
      <c r="E544" s="15">
        <v>-1.09E-2</v>
      </c>
      <c r="F544" s="15">
        <v>6.08E-2</v>
      </c>
      <c r="G544" s="15">
        <v>0.85719999999999996</v>
      </c>
      <c r="H544" s="15">
        <v>0.1011</v>
      </c>
      <c r="I544" s="15">
        <v>1.54E-2</v>
      </c>
      <c r="J544" s="15">
        <v>6.8263473053892216</v>
      </c>
    </row>
    <row r="545" spans="1:10" x14ac:dyDescent="0.25">
      <c r="A545" s="2" t="s">
        <v>1631</v>
      </c>
      <c r="B545" s="2" t="s">
        <v>1632</v>
      </c>
      <c r="C545" s="2" t="s">
        <v>1633</v>
      </c>
      <c r="D545" s="2" t="s">
        <v>10040</v>
      </c>
      <c r="E545" s="15">
        <v>3.4500000000000003E-2</v>
      </c>
      <c r="F545" s="15">
        <v>3.8100000000000002E-2</v>
      </c>
      <c r="G545" s="15">
        <v>0.3654</v>
      </c>
      <c r="H545" s="15">
        <v>0.28160000000000002</v>
      </c>
      <c r="I545" s="15">
        <v>2.8799999999999999E-2</v>
      </c>
      <c r="J545" s="15">
        <v>10.932075471698109</v>
      </c>
    </row>
    <row r="546" spans="1:10" x14ac:dyDescent="0.25">
      <c r="A546" s="2" t="s">
        <v>1634</v>
      </c>
      <c r="B546" s="2" t="s">
        <v>1635</v>
      </c>
      <c r="C546" s="2" t="s">
        <v>1636</v>
      </c>
      <c r="D546" s="2" t="s">
        <v>10040</v>
      </c>
      <c r="E546" s="15">
        <v>6.8500000000000005E-2</v>
      </c>
      <c r="F546" s="15">
        <v>4.9599999999999998E-2</v>
      </c>
      <c r="G546" s="15">
        <v>0.1673</v>
      </c>
      <c r="H546" s="15">
        <v>0.1497</v>
      </c>
      <c r="I546" s="15">
        <v>1.7100000000000001E-2</v>
      </c>
      <c r="J546" s="15">
        <v>8.2660098522167491</v>
      </c>
    </row>
    <row r="547" spans="1:10" x14ac:dyDescent="0.25">
      <c r="A547" s="2" t="s">
        <v>1637</v>
      </c>
      <c r="B547" s="2" t="s">
        <v>1638</v>
      </c>
      <c r="C547" s="2" t="s">
        <v>1639</v>
      </c>
      <c r="D547" s="2" t="s">
        <v>10040</v>
      </c>
      <c r="E547" s="15">
        <v>7.7000000000000002E-3</v>
      </c>
      <c r="F547" s="15">
        <v>5.0500000000000003E-2</v>
      </c>
      <c r="G547" s="15">
        <v>0.87809999999999999</v>
      </c>
      <c r="H547" s="15">
        <v>0.13350000000000001</v>
      </c>
      <c r="I547" s="15">
        <v>1.84E-2</v>
      </c>
      <c r="J547" s="15">
        <v>7.7777777777777786</v>
      </c>
    </row>
    <row r="548" spans="1:10" x14ac:dyDescent="0.25">
      <c r="A548" s="2" t="s">
        <v>1640</v>
      </c>
      <c r="B548" s="2" t="s">
        <v>1641</v>
      </c>
      <c r="C548" s="2" t="s">
        <v>1642</v>
      </c>
      <c r="D548" s="2" t="s">
        <v>10040</v>
      </c>
      <c r="E548" s="15">
        <v>-2.8999999999999998E-3</v>
      </c>
      <c r="F548" s="15">
        <v>5.96E-2</v>
      </c>
      <c r="G548" s="15">
        <v>0.96179999999999999</v>
      </c>
      <c r="H548" s="15">
        <v>0.1144</v>
      </c>
      <c r="I548" s="15">
        <v>1.89E-2</v>
      </c>
      <c r="J548" s="15">
        <v>7.7692307692307701</v>
      </c>
    </row>
    <row r="549" spans="1:10" x14ac:dyDescent="0.25">
      <c r="A549" s="2" t="s">
        <v>1643</v>
      </c>
      <c r="B549" s="2" t="s">
        <v>1644</v>
      </c>
      <c r="C549" s="2" t="s">
        <v>1645</v>
      </c>
      <c r="D549" s="2" t="s">
        <v>10040</v>
      </c>
      <c r="E549" s="15">
        <v>2.5399999999999999E-2</v>
      </c>
      <c r="F549" s="15">
        <v>4.7600000000000003E-2</v>
      </c>
      <c r="G549" s="15">
        <v>0.5927</v>
      </c>
      <c r="H549" s="15">
        <v>0.13830000000000001</v>
      </c>
      <c r="I549" s="15">
        <v>1.7399999999999999E-2</v>
      </c>
      <c r="J549" s="15">
        <v>8.6234567901234573</v>
      </c>
    </row>
    <row r="550" spans="1:10" x14ac:dyDescent="0.25">
      <c r="A550" s="2" t="s">
        <v>1646</v>
      </c>
      <c r="B550" s="2" t="s">
        <v>1647</v>
      </c>
      <c r="C550" s="2" t="s">
        <v>1648</v>
      </c>
      <c r="D550" s="2" t="s">
        <v>10040</v>
      </c>
      <c r="E550" s="15">
        <v>4.2200000000000001E-2</v>
      </c>
      <c r="F550" s="15">
        <v>0.05</v>
      </c>
      <c r="G550" s="15">
        <v>0.39889999999999998</v>
      </c>
      <c r="H550" s="15">
        <v>0.16689999999999999</v>
      </c>
      <c r="I550" s="15">
        <v>2.3400000000000001E-2</v>
      </c>
      <c r="J550" s="15">
        <v>8.1586538461538467</v>
      </c>
    </row>
    <row r="551" spans="1:10" x14ac:dyDescent="0.25">
      <c r="A551" s="2" t="s">
        <v>1649</v>
      </c>
      <c r="B551" s="2" t="s">
        <v>1650</v>
      </c>
      <c r="C551" s="2" t="s">
        <v>1651</v>
      </c>
      <c r="D551" s="2" t="s">
        <v>10040</v>
      </c>
      <c r="E551" s="15">
        <v>1.29E-2</v>
      </c>
      <c r="F551" s="15">
        <v>5.0500000000000003E-2</v>
      </c>
      <c r="G551" s="15">
        <v>0.79879999999999995</v>
      </c>
      <c r="H551" s="15">
        <v>0.14330000000000001</v>
      </c>
      <c r="I551" s="15">
        <v>1.7500000000000002E-2</v>
      </c>
      <c r="J551" s="15">
        <v>8.5059523809523814</v>
      </c>
    </row>
    <row r="552" spans="1:10" x14ac:dyDescent="0.25">
      <c r="A552" s="2" t="s">
        <v>1652</v>
      </c>
      <c r="B552" s="2" t="s">
        <v>1653</v>
      </c>
      <c r="C552" s="2" t="s">
        <v>1654</v>
      </c>
      <c r="D552" s="2" t="s">
        <v>10040</v>
      </c>
      <c r="E552" s="15">
        <v>3.8999999999999998E-3</v>
      </c>
      <c r="F552" s="15">
        <v>6.13E-2</v>
      </c>
      <c r="G552" s="15">
        <v>0.9496</v>
      </c>
      <c r="H552" s="15">
        <v>9.0300000000000005E-2</v>
      </c>
      <c r="I552" s="15">
        <v>1.67E-2</v>
      </c>
      <c r="J552" s="15">
        <v>5.8343558282208594</v>
      </c>
    </row>
    <row r="553" spans="1:10" x14ac:dyDescent="0.25">
      <c r="A553" s="2" t="s">
        <v>1655</v>
      </c>
      <c r="B553" s="2" t="s">
        <v>1656</v>
      </c>
      <c r="C553" s="2" t="s">
        <v>1657</v>
      </c>
      <c r="D553" s="2" t="s">
        <v>10040</v>
      </c>
      <c r="E553" s="15">
        <v>3.1800000000000002E-2</v>
      </c>
      <c r="F553" s="15">
        <v>5.1799999999999999E-2</v>
      </c>
      <c r="G553" s="15">
        <v>0.53959999999999997</v>
      </c>
      <c r="H553" s="15">
        <v>0.1144</v>
      </c>
      <c r="I553" s="15">
        <v>1.67E-2</v>
      </c>
      <c r="J553" s="15">
        <v>6.9503105590062111</v>
      </c>
    </row>
    <row r="554" spans="1:10" x14ac:dyDescent="0.25">
      <c r="A554" s="2" t="s">
        <v>1658</v>
      </c>
      <c r="B554" s="2" t="s">
        <v>1659</v>
      </c>
      <c r="C554" s="2" t="s">
        <v>1660</v>
      </c>
      <c r="D554" s="2" t="s">
        <v>10040</v>
      </c>
      <c r="E554" s="15">
        <v>4.8999999999999998E-3</v>
      </c>
      <c r="F554" s="15">
        <v>6.1699999999999998E-2</v>
      </c>
      <c r="G554" s="15">
        <v>0.93720000000000003</v>
      </c>
      <c r="H554" s="15">
        <v>8.0799999999999997E-2</v>
      </c>
      <c r="I554" s="15">
        <v>1.4E-2</v>
      </c>
      <c r="J554" s="15">
        <v>6.5488721804511281</v>
      </c>
    </row>
    <row r="555" spans="1:10" x14ac:dyDescent="0.25">
      <c r="A555" s="2" t="s">
        <v>1661</v>
      </c>
      <c r="B555" s="2" t="s">
        <v>1662</v>
      </c>
      <c r="C555" s="2" t="s">
        <v>1663</v>
      </c>
      <c r="D555" s="2" t="s">
        <v>10040</v>
      </c>
      <c r="E555" s="15">
        <v>9.5999999999999992E-3</v>
      </c>
      <c r="F555" s="15">
        <v>5.8599999999999999E-2</v>
      </c>
      <c r="G555" s="15">
        <v>0.87050000000000005</v>
      </c>
      <c r="H555" s="15">
        <v>0.1149</v>
      </c>
      <c r="I555" s="15">
        <v>1.7600000000000001E-2</v>
      </c>
      <c r="J555" s="15">
        <v>7.1437125748502996</v>
      </c>
    </row>
    <row r="556" spans="1:10" x14ac:dyDescent="0.25">
      <c r="A556" s="2" t="s">
        <v>1664</v>
      </c>
      <c r="B556" s="2" t="s">
        <v>1665</v>
      </c>
      <c r="C556" s="2" t="s">
        <v>1666</v>
      </c>
      <c r="D556" s="2" t="s">
        <v>10040</v>
      </c>
      <c r="E556" s="15">
        <v>-6.4000000000000003E-3</v>
      </c>
      <c r="F556" s="15">
        <v>0.1047</v>
      </c>
      <c r="G556" s="15">
        <v>0.95130000000000003</v>
      </c>
      <c r="H556" s="15">
        <v>2.8899999999999999E-2</v>
      </c>
      <c r="I556" s="15">
        <v>1.4E-2</v>
      </c>
      <c r="J556" s="15">
        <v>3.2121212121212119</v>
      </c>
    </row>
    <row r="557" spans="1:10" x14ac:dyDescent="0.25">
      <c r="A557" s="2" t="s">
        <v>1667</v>
      </c>
      <c r="B557" s="2" t="s">
        <v>1668</v>
      </c>
      <c r="C557" s="2" t="s">
        <v>1669</v>
      </c>
      <c r="D557" s="2" t="s">
        <v>10040</v>
      </c>
      <c r="E557" s="15">
        <v>2.8400000000000002E-2</v>
      </c>
      <c r="F557" s="15">
        <v>5.45E-2</v>
      </c>
      <c r="G557" s="15">
        <v>0.60229999999999995</v>
      </c>
      <c r="H557" s="15">
        <v>0.1154</v>
      </c>
      <c r="I557" s="15">
        <v>1.8800000000000001E-2</v>
      </c>
      <c r="J557" s="15">
        <v>6.7333333333333343</v>
      </c>
    </row>
    <row r="558" spans="1:10" x14ac:dyDescent="0.25">
      <c r="A558" s="2" t="s">
        <v>1670</v>
      </c>
      <c r="B558" s="2" t="s">
        <v>1671</v>
      </c>
      <c r="C558" s="2" t="s">
        <v>1672</v>
      </c>
      <c r="D558" s="2" t="s">
        <v>10040</v>
      </c>
      <c r="E558" s="15">
        <v>3.2399999999999998E-2</v>
      </c>
      <c r="F558" s="15">
        <v>5.1999999999999998E-2</v>
      </c>
      <c r="G558" s="15">
        <v>0.53410000000000002</v>
      </c>
      <c r="H558" s="15">
        <v>0.11609999999999999</v>
      </c>
      <c r="I558" s="15">
        <v>1.9E-2</v>
      </c>
      <c r="J558" s="15">
        <v>7.4525139664804474</v>
      </c>
    </row>
    <row r="559" spans="1:10" x14ac:dyDescent="0.25">
      <c r="A559" s="2" t="s">
        <v>1673</v>
      </c>
      <c r="B559" s="2" t="s">
        <v>1674</v>
      </c>
      <c r="C559" s="2" t="s">
        <v>1675</v>
      </c>
      <c r="D559" s="2" t="s">
        <v>10040</v>
      </c>
      <c r="E559" s="15">
        <v>4.5999999999999999E-2</v>
      </c>
      <c r="F559" s="15">
        <v>6.1600000000000002E-2</v>
      </c>
      <c r="G559" s="15">
        <v>0.45500000000000002</v>
      </c>
      <c r="H559" s="15">
        <v>9.4500000000000001E-2</v>
      </c>
      <c r="I559" s="15">
        <v>2.01E-2</v>
      </c>
      <c r="J559" s="15">
        <v>5.6486486486486491</v>
      </c>
    </row>
    <row r="560" spans="1:10" x14ac:dyDescent="0.25">
      <c r="A560" s="2" t="s">
        <v>1676</v>
      </c>
      <c r="B560" s="2" t="s">
        <v>1677</v>
      </c>
      <c r="C560" s="2" t="s">
        <v>1678</v>
      </c>
      <c r="D560" s="2" t="s">
        <v>10040</v>
      </c>
      <c r="E560" s="15">
        <v>2.4899999999999999E-2</v>
      </c>
      <c r="F560" s="15">
        <v>0.11260000000000001</v>
      </c>
      <c r="G560" s="15">
        <v>0.82479999999999998</v>
      </c>
      <c r="H560" s="15">
        <v>2.6599999999999999E-2</v>
      </c>
      <c r="I560" s="15">
        <v>1.5800000000000002E-2</v>
      </c>
      <c r="J560" s="15">
        <v>2.63448275862069</v>
      </c>
    </row>
    <row r="561" spans="1:10" x14ac:dyDescent="0.25">
      <c r="A561" s="2" t="s">
        <v>1679</v>
      </c>
      <c r="B561" s="2" t="s">
        <v>1680</v>
      </c>
      <c r="C561" s="2" t="s">
        <v>1681</v>
      </c>
      <c r="D561" s="2" t="s">
        <v>10040</v>
      </c>
      <c r="E561" s="15">
        <v>-4.8599999999999997E-2</v>
      </c>
      <c r="F561" s="15">
        <v>5.9799999999999999E-2</v>
      </c>
      <c r="G561" s="15">
        <v>0.41620000000000001</v>
      </c>
      <c r="H561" s="15">
        <v>8.1900000000000001E-2</v>
      </c>
      <c r="I561" s="15">
        <v>1.5800000000000002E-2</v>
      </c>
      <c r="J561" s="15">
        <v>6.0272108843537424</v>
      </c>
    </row>
    <row r="562" spans="1:10" x14ac:dyDescent="0.25">
      <c r="A562" s="2" t="s">
        <v>1682</v>
      </c>
      <c r="B562" s="2" t="s">
        <v>1683</v>
      </c>
      <c r="C562" s="2" t="s">
        <v>1684</v>
      </c>
      <c r="D562" s="2" t="s">
        <v>10040</v>
      </c>
      <c r="E562" s="15">
        <v>6.1999999999999998E-3</v>
      </c>
      <c r="F562" s="15">
        <v>5.96E-2</v>
      </c>
      <c r="G562" s="15">
        <v>0.91710000000000003</v>
      </c>
      <c r="H562" s="15">
        <v>0.1042</v>
      </c>
      <c r="I562" s="15">
        <v>1.6500000000000001E-2</v>
      </c>
      <c r="J562" s="15">
        <v>7.2500000000000009</v>
      </c>
    </row>
    <row r="563" spans="1:10" x14ac:dyDescent="0.25">
      <c r="A563" s="2" t="s">
        <v>1685</v>
      </c>
      <c r="B563" s="2" t="s">
        <v>1686</v>
      </c>
      <c r="C563" s="2" t="s">
        <v>1687</v>
      </c>
      <c r="D563" s="2" t="s">
        <v>10040</v>
      </c>
      <c r="E563" s="15">
        <v>0.1212</v>
      </c>
      <c r="F563" s="15">
        <v>9.6699999999999994E-2</v>
      </c>
      <c r="G563" s="15">
        <v>0.21</v>
      </c>
      <c r="H563" s="15">
        <v>4.0800000000000003E-2</v>
      </c>
      <c r="I563" s="15">
        <v>1.67E-2</v>
      </c>
      <c r="J563" s="15">
        <v>3.5686274509803919</v>
      </c>
    </row>
    <row r="564" spans="1:10" x14ac:dyDescent="0.25">
      <c r="A564" s="2" t="s">
        <v>1688</v>
      </c>
      <c r="B564" s="2" t="s">
        <v>1689</v>
      </c>
      <c r="C564" s="2" t="s">
        <v>1690</v>
      </c>
      <c r="D564" s="2" t="s">
        <v>10040</v>
      </c>
      <c r="E564" s="15">
        <v>1.7399999999999999E-2</v>
      </c>
      <c r="F564" s="15">
        <v>4.99E-2</v>
      </c>
      <c r="G564" s="15">
        <v>0.7278</v>
      </c>
      <c r="H564" s="15">
        <v>0.12709999999999999</v>
      </c>
      <c r="I564" s="15">
        <v>2.0799999999999999E-2</v>
      </c>
      <c r="J564" s="15">
        <v>6.8190954773869326</v>
      </c>
    </row>
    <row r="565" spans="1:10" x14ac:dyDescent="0.25">
      <c r="A565" s="2" t="s">
        <v>1691</v>
      </c>
      <c r="B565" s="2" t="s">
        <v>1692</v>
      </c>
      <c r="C565" s="2" t="s">
        <v>1693</v>
      </c>
      <c r="D565" s="2" t="s">
        <v>10040</v>
      </c>
      <c r="E565" s="15">
        <v>-2.4899999999999999E-2</v>
      </c>
      <c r="F565" s="15">
        <v>4.7100000000000003E-2</v>
      </c>
      <c r="G565" s="15">
        <v>0.59770000000000001</v>
      </c>
      <c r="H565" s="15">
        <v>0.18099999999999999</v>
      </c>
      <c r="I565" s="15">
        <v>2.0899999999999998E-2</v>
      </c>
      <c r="J565" s="15">
        <v>10.189743589743591</v>
      </c>
    </row>
    <row r="566" spans="1:10" x14ac:dyDescent="0.25">
      <c r="A566" s="2" t="s">
        <v>1694</v>
      </c>
      <c r="B566" s="2" t="s">
        <v>1695</v>
      </c>
      <c r="C566" s="2" t="s">
        <v>1696</v>
      </c>
      <c r="D566" s="2" t="s">
        <v>10040</v>
      </c>
      <c r="E566" s="15">
        <v>0.11409999999999999</v>
      </c>
      <c r="F566" s="15">
        <v>4.1099999999999998E-2</v>
      </c>
      <c r="G566" s="15">
        <v>5.4999999999999997E-3</v>
      </c>
      <c r="H566" s="15">
        <v>0.2215</v>
      </c>
      <c r="I566" s="15">
        <v>2.1600000000000001E-2</v>
      </c>
      <c r="J566" s="15">
        <v>11.77604166666667</v>
      </c>
    </row>
    <row r="567" spans="1:10" x14ac:dyDescent="0.25">
      <c r="A567" s="2" t="s">
        <v>1697</v>
      </c>
      <c r="B567" s="2" t="s">
        <v>1698</v>
      </c>
      <c r="C567" s="2" t="s">
        <v>1699</v>
      </c>
      <c r="D567" s="2" t="s">
        <v>10040</v>
      </c>
      <c r="E567" s="15">
        <v>-8.9499999999999996E-2</v>
      </c>
      <c r="F567" s="15">
        <v>5.7700000000000001E-2</v>
      </c>
      <c r="G567" s="15">
        <v>0.121</v>
      </c>
      <c r="H567" s="15">
        <v>0.11550000000000001</v>
      </c>
      <c r="I567" s="15">
        <v>1.7100000000000001E-2</v>
      </c>
      <c r="J567" s="15">
        <v>7.5337423312883436</v>
      </c>
    </row>
    <row r="568" spans="1:10" x14ac:dyDescent="0.25">
      <c r="A568" s="2" t="s">
        <v>1700</v>
      </c>
      <c r="B568" s="2" t="s">
        <v>1701</v>
      </c>
      <c r="C568" s="2" t="s">
        <v>1702</v>
      </c>
      <c r="D568" s="2" t="s">
        <v>10040</v>
      </c>
      <c r="E568" s="15">
        <v>-9.69E-2</v>
      </c>
      <c r="F568" s="15">
        <v>5.6500000000000002E-2</v>
      </c>
      <c r="G568" s="15">
        <v>8.6400000000000005E-2</v>
      </c>
      <c r="H568" s="15">
        <v>9.5600000000000004E-2</v>
      </c>
      <c r="I568" s="15">
        <v>2.0500000000000001E-2</v>
      </c>
      <c r="J568" s="15">
        <v>5.5257731958762886</v>
      </c>
    </row>
    <row r="569" spans="1:10" x14ac:dyDescent="0.25">
      <c r="A569" s="2" t="s">
        <v>1703</v>
      </c>
      <c r="B569" s="2" t="s">
        <v>1704</v>
      </c>
      <c r="C569" s="2" t="s">
        <v>1705</v>
      </c>
      <c r="D569" s="2" t="s">
        <v>10040</v>
      </c>
      <c r="E569" s="15">
        <v>8.48E-2</v>
      </c>
      <c r="F569" s="15">
        <v>6.0499999999999998E-2</v>
      </c>
      <c r="G569" s="15">
        <v>0.1613</v>
      </c>
      <c r="H569" s="15">
        <v>9.2799999999999994E-2</v>
      </c>
      <c r="I569" s="15">
        <v>1.67E-2</v>
      </c>
      <c r="J569" s="15">
        <v>6.0182926829268286</v>
      </c>
    </row>
    <row r="570" spans="1:10" x14ac:dyDescent="0.25">
      <c r="A570" s="2" t="s">
        <v>1706</v>
      </c>
      <c r="B570" s="2" t="s">
        <v>1707</v>
      </c>
      <c r="C570" s="2" t="s">
        <v>1708</v>
      </c>
      <c r="D570" s="2" t="s">
        <v>10040</v>
      </c>
      <c r="E570" s="15">
        <v>3.9600000000000003E-2</v>
      </c>
      <c r="F570" s="15">
        <v>5.4100000000000002E-2</v>
      </c>
      <c r="G570" s="15">
        <v>0.46410000000000001</v>
      </c>
      <c r="H570" s="15">
        <v>0.10970000000000001</v>
      </c>
      <c r="I570" s="15">
        <v>1.78E-2</v>
      </c>
      <c r="J570" s="15">
        <v>6.8630952380952381</v>
      </c>
    </row>
    <row r="571" spans="1:10" x14ac:dyDescent="0.25">
      <c r="A571" s="2" t="s">
        <v>1709</v>
      </c>
      <c r="B571" s="2" t="s">
        <v>1710</v>
      </c>
      <c r="C571" s="2" t="s">
        <v>1711</v>
      </c>
      <c r="D571" s="2" t="s">
        <v>10040</v>
      </c>
      <c r="E571" s="15">
        <v>8.0600000000000005E-2</v>
      </c>
      <c r="F571" s="15">
        <v>9.2299999999999993E-2</v>
      </c>
      <c r="G571" s="15">
        <v>0.38240000000000002</v>
      </c>
      <c r="H571" s="15">
        <v>3.7199999999999997E-2</v>
      </c>
      <c r="I571" s="15">
        <v>1.43E-2</v>
      </c>
      <c r="J571" s="15">
        <v>2.7586206896551722</v>
      </c>
    </row>
    <row r="572" spans="1:10" x14ac:dyDescent="0.25">
      <c r="A572" s="2" t="s">
        <v>1712</v>
      </c>
      <c r="B572" s="2" t="s">
        <v>1713</v>
      </c>
      <c r="C572" s="2" t="s">
        <v>1714</v>
      </c>
      <c r="D572" s="2" t="s">
        <v>10040</v>
      </c>
      <c r="E572" s="15">
        <v>-0.11650000000000001</v>
      </c>
      <c r="F572" s="15">
        <v>5.9400000000000001E-2</v>
      </c>
      <c r="G572" s="15">
        <v>4.9700000000000001E-2</v>
      </c>
      <c r="H572" s="15">
        <v>0.1246</v>
      </c>
      <c r="I572" s="15">
        <v>1.7999999999999999E-2</v>
      </c>
      <c r="J572" s="15">
        <v>7.9833333333333334</v>
      </c>
    </row>
    <row r="573" spans="1:10" x14ac:dyDescent="0.25">
      <c r="A573" s="2" t="s">
        <v>1715</v>
      </c>
      <c r="B573" s="2" t="s">
        <v>1716</v>
      </c>
      <c r="C573" s="2" t="s">
        <v>1717</v>
      </c>
      <c r="D573" s="2" t="s">
        <v>10040</v>
      </c>
      <c r="E573" s="15">
        <v>-4.99E-2</v>
      </c>
      <c r="F573" s="15">
        <v>5.8299999999999998E-2</v>
      </c>
      <c r="G573" s="15">
        <v>0.39240000000000003</v>
      </c>
      <c r="H573" s="15">
        <v>0.1072</v>
      </c>
      <c r="I573" s="15">
        <v>1.6299999999999999E-2</v>
      </c>
      <c r="J573" s="15">
        <v>6.7716049382716053</v>
      </c>
    </row>
    <row r="574" spans="1:10" x14ac:dyDescent="0.25">
      <c r="A574" s="2" t="s">
        <v>1718</v>
      </c>
      <c r="B574" s="2" t="s">
        <v>1719</v>
      </c>
      <c r="C574" s="2" t="s">
        <v>1720</v>
      </c>
      <c r="D574" s="2" t="s">
        <v>10040</v>
      </c>
      <c r="E574" s="15">
        <v>-3.0200000000000001E-2</v>
      </c>
      <c r="F574" s="15">
        <v>4.3799999999999999E-2</v>
      </c>
      <c r="G574" s="15">
        <v>0.49009999999999998</v>
      </c>
      <c r="H574" s="15">
        <v>0.17080000000000001</v>
      </c>
      <c r="I574" s="15">
        <v>1.8499999999999999E-2</v>
      </c>
      <c r="J574" s="15">
        <v>10.325842696629209</v>
      </c>
    </row>
    <row r="575" spans="1:10" x14ac:dyDescent="0.25">
      <c r="A575" s="2" t="s">
        <v>1721</v>
      </c>
      <c r="B575" s="2" t="s">
        <v>1722</v>
      </c>
      <c r="C575" s="2" t="s">
        <v>1723</v>
      </c>
      <c r="D575" s="2" t="s">
        <v>10040</v>
      </c>
      <c r="E575" s="15">
        <v>4.9299999999999997E-2</v>
      </c>
      <c r="F575" s="15">
        <v>7.6100000000000001E-2</v>
      </c>
      <c r="G575" s="15">
        <v>0.51739999999999997</v>
      </c>
      <c r="H575" s="15">
        <v>5.6500000000000002E-2</v>
      </c>
      <c r="I575" s="15">
        <v>1.43E-2</v>
      </c>
      <c r="J575" s="15">
        <v>4.3430656934306562</v>
      </c>
    </row>
    <row r="576" spans="1:10" x14ac:dyDescent="0.25">
      <c r="A576" s="2" t="s">
        <v>1724</v>
      </c>
      <c r="B576" s="2" t="s">
        <v>1725</v>
      </c>
      <c r="C576" s="2" t="s">
        <v>1726</v>
      </c>
      <c r="D576" s="2" t="s">
        <v>10040</v>
      </c>
      <c r="E576" s="15">
        <v>0.1008</v>
      </c>
      <c r="F576" s="15">
        <v>6.1699999999999998E-2</v>
      </c>
      <c r="G576" s="15">
        <v>0.1023</v>
      </c>
      <c r="H576" s="15">
        <v>8.4599999999999995E-2</v>
      </c>
      <c r="I576" s="15">
        <v>1.77E-2</v>
      </c>
      <c r="J576" s="15">
        <v>5.4970760233918128</v>
      </c>
    </row>
    <row r="577" spans="1:10" x14ac:dyDescent="0.25">
      <c r="A577" s="2" t="s">
        <v>1727</v>
      </c>
      <c r="B577" s="2" t="s">
        <v>1728</v>
      </c>
      <c r="C577" s="2" t="s">
        <v>1729</v>
      </c>
      <c r="D577" s="2" t="s">
        <v>10040</v>
      </c>
      <c r="E577" s="15">
        <v>-9.1800000000000007E-2</v>
      </c>
      <c r="F577" s="15">
        <v>5.5599999999999997E-2</v>
      </c>
      <c r="G577" s="15">
        <v>9.8500000000000004E-2</v>
      </c>
      <c r="H577" s="15">
        <v>0.11509999999999999</v>
      </c>
      <c r="I577" s="15">
        <v>1.7299999999999999E-2</v>
      </c>
      <c r="J577" s="15">
        <v>6.9401197604790434</v>
      </c>
    </row>
    <row r="578" spans="1:10" x14ac:dyDescent="0.25">
      <c r="A578" s="2" t="s">
        <v>1730</v>
      </c>
      <c r="B578" s="2" t="s">
        <v>1731</v>
      </c>
      <c r="C578" s="2" t="s">
        <v>1732</v>
      </c>
      <c r="D578" s="2" t="s">
        <v>10040</v>
      </c>
      <c r="E578" s="15">
        <v>6.7199999999999996E-2</v>
      </c>
      <c r="F578" s="15">
        <v>5.6800000000000003E-2</v>
      </c>
      <c r="G578" s="15">
        <v>0.23719999999999999</v>
      </c>
      <c r="H578" s="15">
        <v>0.1082</v>
      </c>
      <c r="I578" s="15">
        <v>1.89E-2</v>
      </c>
      <c r="J578" s="15">
        <v>6.638418079096045</v>
      </c>
    </row>
    <row r="579" spans="1:10" x14ac:dyDescent="0.25">
      <c r="A579" s="2" t="s">
        <v>1733</v>
      </c>
      <c r="B579" s="2" t="s">
        <v>1734</v>
      </c>
      <c r="C579" s="2" t="s">
        <v>1735</v>
      </c>
      <c r="D579" s="2" t="s">
        <v>10040</v>
      </c>
      <c r="E579" s="15">
        <v>3.0499999999999999E-2</v>
      </c>
      <c r="F579" s="15">
        <v>5.0999999999999997E-2</v>
      </c>
      <c r="G579" s="15">
        <v>0.54969999999999997</v>
      </c>
      <c r="H579" s="15">
        <v>0.1431</v>
      </c>
      <c r="I579" s="15">
        <v>1.7299999999999999E-2</v>
      </c>
      <c r="J579" s="15">
        <v>8.306010928961749</v>
      </c>
    </row>
    <row r="580" spans="1:10" x14ac:dyDescent="0.25">
      <c r="A580" s="2" t="s">
        <v>1736</v>
      </c>
      <c r="B580" s="2" t="s">
        <v>1737</v>
      </c>
      <c r="C580" s="2" t="s">
        <v>1738</v>
      </c>
      <c r="D580" s="2" t="s">
        <v>10040</v>
      </c>
      <c r="E580" s="15">
        <v>4.1000000000000003E-3</v>
      </c>
      <c r="F580" s="15">
        <v>5.5300000000000002E-2</v>
      </c>
      <c r="G580" s="15">
        <v>0.94079999999999997</v>
      </c>
      <c r="H580" s="15">
        <v>0.11260000000000001</v>
      </c>
      <c r="I580" s="15">
        <v>1.7100000000000001E-2</v>
      </c>
      <c r="J580" s="15">
        <v>6.3554216867469879</v>
      </c>
    </row>
    <row r="581" spans="1:10" x14ac:dyDescent="0.25">
      <c r="A581" s="2" t="s">
        <v>1739</v>
      </c>
      <c r="B581" s="2" t="s">
        <v>1740</v>
      </c>
      <c r="C581" s="2" t="s">
        <v>1741</v>
      </c>
      <c r="D581" s="2" t="s">
        <v>10040</v>
      </c>
      <c r="E581" s="15">
        <v>-1.9400000000000001E-2</v>
      </c>
      <c r="F581" s="15">
        <v>4.5100000000000001E-2</v>
      </c>
      <c r="G581" s="15">
        <v>0.66710000000000003</v>
      </c>
      <c r="H581" s="15">
        <v>0.18010000000000001</v>
      </c>
      <c r="I581" s="15">
        <v>1.77E-2</v>
      </c>
      <c r="J581" s="15">
        <v>10.72619047619048</v>
      </c>
    </row>
    <row r="582" spans="1:10" x14ac:dyDescent="0.25">
      <c r="A582" s="2" t="s">
        <v>1742</v>
      </c>
      <c r="B582" s="2" t="s">
        <v>1743</v>
      </c>
      <c r="C582" s="2" t="s">
        <v>1744</v>
      </c>
      <c r="D582" s="2" t="s">
        <v>10040</v>
      </c>
      <c r="E582" s="15">
        <v>5.1000000000000004E-3</v>
      </c>
      <c r="F582" s="15">
        <v>4.5199999999999997E-2</v>
      </c>
      <c r="G582" s="15">
        <v>0.91</v>
      </c>
      <c r="H582" s="15">
        <v>0.14649999999999999</v>
      </c>
      <c r="I582" s="15">
        <v>1.7299999999999999E-2</v>
      </c>
      <c r="J582" s="15">
        <v>9.6397515527950315</v>
      </c>
    </row>
    <row r="583" spans="1:10" x14ac:dyDescent="0.25">
      <c r="A583" s="2" t="s">
        <v>1745</v>
      </c>
      <c r="B583" s="2" t="s">
        <v>1746</v>
      </c>
      <c r="C583" s="2" t="s">
        <v>1747</v>
      </c>
      <c r="D583" s="2" t="s">
        <v>10040</v>
      </c>
      <c r="E583" s="15">
        <v>4.3700000000000003E-2</v>
      </c>
      <c r="F583" s="15">
        <v>5.16E-2</v>
      </c>
      <c r="G583" s="15">
        <v>0.39739999999999998</v>
      </c>
      <c r="H583" s="15">
        <v>0.13819999999999999</v>
      </c>
      <c r="I583" s="15">
        <v>1.6899999999999998E-2</v>
      </c>
      <c r="J583" s="15">
        <v>9.5612903225806445</v>
      </c>
    </row>
    <row r="584" spans="1:10" x14ac:dyDescent="0.25">
      <c r="A584" s="2" t="s">
        <v>1748</v>
      </c>
      <c r="B584" s="2" t="s">
        <v>1749</v>
      </c>
      <c r="C584" s="2" t="s">
        <v>1750</v>
      </c>
      <c r="D584" s="2" t="s">
        <v>10040</v>
      </c>
      <c r="E584" s="15">
        <v>1.5299999999999999E-2</v>
      </c>
      <c r="F584" s="15">
        <v>5.9299999999999999E-2</v>
      </c>
      <c r="G584" s="15">
        <v>0.79630000000000001</v>
      </c>
      <c r="H584" s="15">
        <v>9.1800000000000007E-2</v>
      </c>
      <c r="I584" s="15">
        <v>1.5800000000000002E-2</v>
      </c>
      <c r="J584" s="15">
        <v>6.4679487179487181</v>
      </c>
    </row>
    <row r="585" spans="1:10" x14ac:dyDescent="0.25">
      <c r="A585" s="2" t="s">
        <v>1751</v>
      </c>
      <c r="B585" s="2" t="s">
        <v>1752</v>
      </c>
      <c r="C585" s="2" t="s">
        <v>1753</v>
      </c>
      <c r="D585" s="2" t="s">
        <v>10040</v>
      </c>
      <c r="E585" s="15">
        <v>7.1000000000000004E-3</v>
      </c>
      <c r="F585" s="15">
        <v>4.9000000000000002E-2</v>
      </c>
      <c r="G585" s="15">
        <v>0.88470000000000004</v>
      </c>
      <c r="H585" s="15">
        <v>0.16120000000000001</v>
      </c>
      <c r="I585" s="15">
        <v>2.06E-2</v>
      </c>
      <c r="J585" s="15">
        <v>8.5495049504950487</v>
      </c>
    </row>
    <row r="586" spans="1:10" x14ac:dyDescent="0.25">
      <c r="A586" s="2" t="s">
        <v>1754</v>
      </c>
      <c r="B586" s="2" t="s">
        <v>1755</v>
      </c>
      <c r="C586" s="2" t="s">
        <v>1756</v>
      </c>
      <c r="D586" s="2" t="s">
        <v>10040</v>
      </c>
      <c r="E586" s="15">
        <v>9.1899999999999996E-2</v>
      </c>
      <c r="F586" s="15">
        <v>3.8300000000000001E-2</v>
      </c>
      <c r="G586" s="15">
        <v>1.6500000000000001E-2</v>
      </c>
      <c r="H586" s="15">
        <v>0.22850000000000001</v>
      </c>
      <c r="I586" s="15">
        <v>2.7400000000000001E-2</v>
      </c>
      <c r="J586" s="15">
        <v>10.4</v>
      </c>
    </row>
    <row r="587" spans="1:10" x14ac:dyDescent="0.25">
      <c r="A587" s="2" t="s">
        <v>1757</v>
      </c>
      <c r="B587" s="2" t="s">
        <v>1758</v>
      </c>
      <c r="C587" s="2" t="s">
        <v>1759</v>
      </c>
      <c r="D587" s="2" t="s">
        <v>10040</v>
      </c>
      <c r="E587" s="15">
        <v>9.3899999999999997E-2</v>
      </c>
      <c r="F587" s="15">
        <v>5.45E-2</v>
      </c>
      <c r="G587" s="15">
        <v>8.4900000000000003E-2</v>
      </c>
      <c r="H587" s="15">
        <v>0.1158</v>
      </c>
      <c r="I587" s="15">
        <v>1.7399999999999999E-2</v>
      </c>
      <c r="J587" s="15">
        <v>7.3157894736842097</v>
      </c>
    </row>
    <row r="588" spans="1:10" x14ac:dyDescent="0.25">
      <c r="A588" s="2" t="s">
        <v>1760</v>
      </c>
      <c r="B588" s="2" t="s">
        <v>1761</v>
      </c>
      <c r="C588" s="2" t="s">
        <v>1762</v>
      </c>
      <c r="D588" s="2" t="s">
        <v>10040</v>
      </c>
      <c r="E588" s="15">
        <v>6.1899999999999997E-2</v>
      </c>
      <c r="F588" s="15">
        <v>0.1108</v>
      </c>
      <c r="G588" s="15">
        <v>0.57669999999999999</v>
      </c>
      <c r="H588" s="15">
        <v>2.9100000000000001E-2</v>
      </c>
      <c r="I588" s="15">
        <v>1.54E-2</v>
      </c>
      <c r="J588" s="15">
        <v>2.6942675159235669</v>
      </c>
    </row>
    <row r="589" spans="1:10" x14ac:dyDescent="0.25">
      <c r="A589" s="2" t="s">
        <v>1763</v>
      </c>
      <c r="B589" s="2" t="s">
        <v>1764</v>
      </c>
      <c r="C589" s="2" t="s">
        <v>1765</v>
      </c>
      <c r="D589" s="2" t="s">
        <v>10040</v>
      </c>
      <c r="E589" s="15">
        <v>7.3400000000000007E-2</v>
      </c>
      <c r="F589" s="15">
        <v>5.8299999999999998E-2</v>
      </c>
      <c r="G589" s="15">
        <v>0.20810000000000001</v>
      </c>
      <c r="H589" s="15">
        <v>9.5600000000000004E-2</v>
      </c>
      <c r="I589" s="15">
        <v>1.72E-2</v>
      </c>
      <c r="J589" s="15">
        <v>5.6235294117647054</v>
      </c>
    </row>
    <row r="590" spans="1:10" x14ac:dyDescent="0.25">
      <c r="A590" s="2" t="s">
        <v>1766</v>
      </c>
      <c r="B590" s="2" t="s">
        <v>1767</v>
      </c>
      <c r="C590" s="2" t="s">
        <v>1768</v>
      </c>
      <c r="D590" s="2" t="s">
        <v>10040</v>
      </c>
      <c r="E590" s="15">
        <v>-4.07E-2</v>
      </c>
      <c r="F590" s="15">
        <v>4.4900000000000002E-2</v>
      </c>
      <c r="G590" s="15">
        <v>0.36449999999999999</v>
      </c>
      <c r="H590" s="15">
        <v>0.14949999999999999</v>
      </c>
      <c r="I590" s="15">
        <v>1.77E-2</v>
      </c>
      <c r="J590" s="15">
        <v>9.0647058823529392</v>
      </c>
    </row>
    <row r="591" spans="1:10" x14ac:dyDescent="0.25">
      <c r="A591" s="2" t="s">
        <v>1769</v>
      </c>
      <c r="B591" s="2" t="s">
        <v>1770</v>
      </c>
      <c r="C591" s="2" t="s">
        <v>1771</v>
      </c>
      <c r="D591" s="2" t="s">
        <v>10040</v>
      </c>
      <c r="E591" s="15">
        <v>9.6299999999999997E-2</v>
      </c>
      <c r="F591" s="15">
        <v>4.7800000000000002E-2</v>
      </c>
      <c r="G591" s="15">
        <v>4.3799999999999999E-2</v>
      </c>
      <c r="H591" s="15">
        <v>0.15260000000000001</v>
      </c>
      <c r="I591" s="15">
        <v>1.7999999999999999E-2</v>
      </c>
      <c r="J591" s="15">
        <v>9.2429378531073443</v>
      </c>
    </row>
    <row r="592" spans="1:10" x14ac:dyDescent="0.25">
      <c r="A592" s="2" t="s">
        <v>1772</v>
      </c>
      <c r="B592" s="2" t="s">
        <v>1773</v>
      </c>
      <c r="C592" s="2" t="s">
        <v>1774</v>
      </c>
      <c r="D592" s="2" t="s">
        <v>10040</v>
      </c>
      <c r="E592" s="15">
        <v>-6.59E-2</v>
      </c>
      <c r="F592" s="15">
        <v>4.6899999999999997E-2</v>
      </c>
      <c r="G592" s="15">
        <v>0.1603</v>
      </c>
      <c r="H592" s="15">
        <v>0.15190000000000001</v>
      </c>
      <c r="I592" s="15">
        <v>2.12E-2</v>
      </c>
      <c r="J592" s="15">
        <v>7.9340101522842641</v>
      </c>
    </row>
    <row r="593" spans="1:10" x14ac:dyDescent="0.25">
      <c r="A593" s="2" t="s">
        <v>1775</v>
      </c>
      <c r="B593" s="2" t="s">
        <v>1776</v>
      </c>
      <c r="C593" s="2" t="s">
        <v>1777</v>
      </c>
      <c r="D593" s="2" t="s">
        <v>10040</v>
      </c>
      <c r="E593" s="15">
        <v>4.1700000000000001E-2</v>
      </c>
      <c r="F593" s="15">
        <v>4.4600000000000001E-2</v>
      </c>
      <c r="G593" s="15">
        <v>0.34989999999999999</v>
      </c>
      <c r="H593" s="15">
        <v>0.16450000000000001</v>
      </c>
      <c r="I593" s="15">
        <v>1.77E-2</v>
      </c>
      <c r="J593" s="15">
        <v>9.5517241379310338</v>
      </c>
    </row>
    <row r="594" spans="1:10" x14ac:dyDescent="0.25">
      <c r="A594" s="2" t="s">
        <v>1778</v>
      </c>
      <c r="B594" s="2" t="s">
        <v>1779</v>
      </c>
      <c r="C594" s="2" t="s">
        <v>1780</v>
      </c>
      <c r="D594" s="2" t="s">
        <v>10040</v>
      </c>
      <c r="E594" s="15">
        <v>-2.9100000000000001E-2</v>
      </c>
      <c r="F594" s="15">
        <v>6.0299999999999999E-2</v>
      </c>
      <c r="G594" s="15">
        <v>0.62929999999999997</v>
      </c>
      <c r="H594" s="15">
        <v>0.10249999999999999</v>
      </c>
      <c r="I594" s="15">
        <v>1.6799999999999999E-2</v>
      </c>
      <c r="J594" s="15">
        <v>6.3532934131736516</v>
      </c>
    </row>
    <row r="595" spans="1:10" x14ac:dyDescent="0.25">
      <c r="A595" s="2" t="s">
        <v>1781</v>
      </c>
      <c r="B595" s="2" t="s">
        <v>1782</v>
      </c>
      <c r="C595" s="2" t="s">
        <v>1783</v>
      </c>
      <c r="D595" s="2" t="s">
        <v>10040</v>
      </c>
      <c r="E595" s="15">
        <v>0.09</v>
      </c>
      <c r="F595" s="15">
        <v>4.82E-2</v>
      </c>
      <c r="G595" s="15">
        <v>6.1899999999999997E-2</v>
      </c>
      <c r="H595" s="15">
        <v>0.13270000000000001</v>
      </c>
      <c r="I595" s="15">
        <v>1.7000000000000001E-2</v>
      </c>
      <c r="J595" s="15">
        <v>8.6445783132530121</v>
      </c>
    </row>
    <row r="596" spans="1:10" x14ac:dyDescent="0.25">
      <c r="A596" s="2" t="s">
        <v>1784</v>
      </c>
      <c r="B596" s="2" t="s">
        <v>1785</v>
      </c>
      <c r="C596" s="2" t="s">
        <v>1786</v>
      </c>
      <c r="D596" s="2" t="s">
        <v>10040</v>
      </c>
      <c r="E596" s="15">
        <v>6.5000000000000002E-2</v>
      </c>
      <c r="F596" s="15">
        <v>4.8099999999999997E-2</v>
      </c>
      <c r="G596" s="15">
        <v>0.1764</v>
      </c>
      <c r="H596" s="15">
        <v>0.15190000000000001</v>
      </c>
      <c r="I596" s="15">
        <v>1.8800000000000001E-2</v>
      </c>
      <c r="J596" s="15">
        <v>8.7111111111111121</v>
      </c>
    </row>
    <row r="597" spans="1:10" x14ac:dyDescent="0.25">
      <c r="A597" s="2" t="s">
        <v>1787</v>
      </c>
      <c r="B597" s="2" t="s">
        <v>1788</v>
      </c>
      <c r="C597" s="2" t="s">
        <v>1789</v>
      </c>
      <c r="D597" s="2" t="s">
        <v>10040</v>
      </c>
      <c r="E597" s="15">
        <v>3.6400000000000002E-2</v>
      </c>
      <c r="F597" s="15">
        <v>4.5499999999999999E-2</v>
      </c>
      <c r="G597" s="15">
        <v>0.42380000000000001</v>
      </c>
      <c r="H597" s="15">
        <v>0.1968</v>
      </c>
      <c r="I597" s="15">
        <v>2.3199999999999998E-2</v>
      </c>
      <c r="J597" s="15">
        <v>9.2314410480349345</v>
      </c>
    </row>
    <row r="598" spans="1:10" x14ac:dyDescent="0.25">
      <c r="A598" s="2" t="s">
        <v>1790</v>
      </c>
      <c r="B598" s="2" t="s">
        <v>1791</v>
      </c>
      <c r="C598" s="2" t="s">
        <v>1792</v>
      </c>
      <c r="D598" s="2" t="s">
        <v>10040</v>
      </c>
      <c r="E598" s="15">
        <v>0.1033</v>
      </c>
      <c r="F598" s="15">
        <v>4.2599999999999999E-2</v>
      </c>
      <c r="G598" s="15">
        <v>1.5299999999999999E-2</v>
      </c>
      <c r="H598" s="15">
        <v>0.17180000000000001</v>
      </c>
      <c r="I598" s="15">
        <v>2.0899999999999998E-2</v>
      </c>
      <c r="J598" s="15">
        <v>8.9340101522842641</v>
      </c>
    </row>
    <row r="599" spans="1:10" x14ac:dyDescent="0.25">
      <c r="A599" s="2" t="s">
        <v>1793</v>
      </c>
      <c r="B599" s="2" t="s">
        <v>1794</v>
      </c>
      <c r="C599" s="2" t="s">
        <v>1795</v>
      </c>
      <c r="D599" s="2" t="s">
        <v>10040</v>
      </c>
      <c r="E599" s="15">
        <v>5.8200000000000002E-2</v>
      </c>
      <c r="F599" s="15">
        <v>4.4699999999999997E-2</v>
      </c>
      <c r="G599" s="15">
        <v>0.193</v>
      </c>
      <c r="H599" s="15">
        <v>0.17860000000000001</v>
      </c>
      <c r="I599" s="15">
        <v>1.9699999999999999E-2</v>
      </c>
      <c r="J599" s="15">
        <v>9.532338308457712</v>
      </c>
    </row>
    <row r="600" spans="1:10" x14ac:dyDescent="0.25">
      <c r="A600" s="2" t="s">
        <v>1796</v>
      </c>
      <c r="B600" s="2" t="s">
        <v>1797</v>
      </c>
      <c r="C600" s="2" t="s">
        <v>1798</v>
      </c>
      <c r="D600" s="2" t="s">
        <v>10040</v>
      </c>
      <c r="E600" s="15">
        <v>1.34E-2</v>
      </c>
      <c r="F600" s="15">
        <v>5.1799999999999999E-2</v>
      </c>
      <c r="G600" s="15">
        <v>0.79510000000000003</v>
      </c>
      <c r="H600" s="15">
        <v>0.12720000000000001</v>
      </c>
      <c r="I600" s="15">
        <v>1.7100000000000001E-2</v>
      </c>
      <c r="J600" s="15">
        <v>7.713414634146341</v>
      </c>
    </row>
    <row r="601" spans="1:10" x14ac:dyDescent="0.25">
      <c r="A601" s="2" t="s">
        <v>1799</v>
      </c>
      <c r="B601" s="2" t="s">
        <v>1800</v>
      </c>
      <c r="C601" s="2" t="s">
        <v>1801</v>
      </c>
      <c r="D601" s="2" t="s">
        <v>10040</v>
      </c>
      <c r="E601" s="15">
        <v>-5.7999999999999996E-3</v>
      </c>
      <c r="F601" s="15">
        <v>4.7E-2</v>
      </c>
      <c r="G601" s="15">
        <v>0.90200000000000002</v>
      </c>
      <c r="H601" s="15">
        <v>0.14069999999999999</v>
      </c>
      <c r="I601" s="15">
        <v>1.9099999999999999E-2</v>
      </c>
      <c r="J601" s="15">
        <v>8.1122994652406408</v>
      </c>
    </row>
    <row r="602" spans="1:10" x14ac:dyDescent="0.25">
      <c r="A602" s="2" t="s">
        <v>1802</v>
      </c>
      <c r="B602" s="2" t="s">
        <v>1803</v>
      </c>
      <c r="C602" s="2" t="s">
        <v>1804</v>
      </c>
      <c r="D602" s="2" t="s">
        <v>10040</v>
      </c>
      <c r="E602" s="15">
        <v>-7.1300000000000002E-2</v>
      </c>
      <c r="F602" s="15">
        <v>5.1200000000000002E-2</v>
      </c>
      <c r="G602" s="15">
        <v>0.1636</v>
      </c>
      <c r="H602" s="15">
        <v>0.1326</v>
      </c>
      <c r="I602" s="15">
        <v>1.89E-2</v>
      </c>
      <c r="J602" s="15">
        <v>7.4662921348314599</v>
      </c>
    </row>
    <row r="603" spans="1:10" x14ac:dyDescent="0.25">
      <c r="A603" s="2" t="s">
        <v>1805</v>
      </c>
      <c r="B603" s="2" t="s">
        <v>1806</v>
      </c>
      <c r="C603" s="2" t="s">
        <v>1807</v>
      </c>
      <c r="D603" s="2" t="s">
        <v>10040</v>
      </c>
      <c r="E603" s="15">
        <v>-1.8200000000000001E-2</v>
      </c>
      <c r="F603" s="15">
        <v>4.5999999999999999E-2</v>
      </c>
      <c r="G603" s="15">
        <v>0.69259999999999999</v>
      </c>
      <c r="H603" s="15">
        <v>0.17319999999999999</v>
      </c>
      <c r="I603" s="15">
        <v>1.7500000000000002E-2</v>
      </c>
      <c r="J603" s="15">
        <v>8.8965517241379324</v>
      </c>
    </row>
    <row r="604" spans="1:10" x14ac:dyDescent="0.25">
      <c r="A604" s="2" t="s">
        <v>1808</v>
      </c>
      <c r="B604" s="2" t="s">
        <v>1809</v>
      </c>
      <c r="C604" s="2" t="s">
        <v>1810</v>
      </c>
      <c r="D604" s="2" t="s">
        <v>10040</v>
      </c>
      <c r="E604" s="15">
        <v>5.7999999999999996E-3</v>
      </c>
      <c r="F604" s="15">
        <v>4.2900000000000001E-2</v>
      </c>
      <c r="G604" s="15">
        <v>0.8921</v>
      </c>
      <c r="H604" s="15">
        <v>0.19040000000000001</v>
      </c>
      <c r="I604" s="15">
        <v>1.8599999999999998E-2</v>
      </c>
      <c r="J604" s="15">
        <v>9.8663366336633676</v>
      </c>
    </row>
    <row r="605" spans="1:10" x14ac:dyDescent="0.25">
      <c r="A605" s="2" t="s">
        <v>1811</v>
      </c>
      <c r="B605" s="2" t="s">
        <v>1812</v>
      </c>
      <c r="C605" s="2" t="s">
        <v>1813</v>
      </c>
      <c r="D605" s="2" t="s">
        <v>10040</v>
      </c>
      <c r="E605" s="15">
        <v>-6.2600000000000003E-2</v>
      </c>
      <c r="F605" s="15">
        <v>4.5600000000000002E-2</v>
      </c>
      <c r="G605" s="15">
        <v>0.16980000000000001</v>
      </c>
      <c r="H605" s="15">
        <v>0.18110000000000001</v>
      </c>
      <c r="I605" s="15">
        <v>2.1000000000000001E-2</v>
      </c>
      <c r="J605" s="15">
        <v>9.3106796116504853</v>
      </c>
    </row>
    <row r="606" spans="1:10" x14ac:dyDescent="0.25">
      <c r="A606" s="2" t="s">
        <v>1814</v>
      </c>
      <c r="B606" s="2" t="s">
        <v>1815</v>
      </c>
      <c r="C606" s="2" t="s">
        <v>1816</v>
      </c>
      <c r="D606" s="2" t="s">
        <v>10040</v>
      </c>
      <c r="E606" s="15">
        <v>-3.5999999999999999E-3</v>
      </c>
      <c r="F606" s="15">
        <v>5.3999999999999999E-2</v>
      </c>
      <c r="G606" s="15">
        <v>0.94620000000000004</v>
      </c>
      <c r="H606" s="15">
        <v>0.11600000000000001</v>
      </c>
      <c r="I606" s="15">
        <v>1.61E-2</v>
      </c>
      <c r="J606" s="15">
        <v>6.7011494252873556</v>
      </c>
    </row>
    <row r="607" spans="1:10" x14ac:dyDescent="0.25">
      <c r="A607" s="2" t="s">
        <v>1817</v>
      </c>
      <c r="B607" s="2" t="s">
        <v>1818</v>
      </c>
      <c r="C607" s="2" t="s">
        <v>1819</v>
      </c>
      <c r="D607" s="2" t="s">
        <v>10040</v>
      </c>
      <c r="E607" s="15">
        <v>8.8599999999999998E-2</v>
      </c>
      <c r="F607" s="15">
        <v>4.8800000000000003E-2</v>
      </c>
      <c r="G607" s="15">
        <v>6.93E-2</v>
      </c>
      <c r="H607" s="15">
        <v>0.1268</v>
      </c>
      <c r="I607" s="15">
        <v>2.1600000000000001E-2</v>
      </c>
      <c r="J607" s="15">
        <v>6.1219512195121952</v>
      </c>
    </row>
    <row r="608" spans="1:10" x14ac:dyDescent="0.25">
      <c r="A608" s="2" t="s">
        <v>1820</v>
      </c>
      <c r="B608" s="2" t="s">
        <v>1821</v>
      </c>
      <c r="C608" s="2" t="s">
        <v>1822</v>
      </c>
      <c r="D608" s="2" t="s">
        <v>10040</v>
      </c>
      <c r="E608" s="15">
        <v>8.4599999999999995E-2</v>
      </c>
      <c r="F608" s="15">
        <v>5.6599999999999998E-2</v>
      </c>
      <c r="G608" s="15">
        <v>0.13500000000000001</v>
      </c>
      <c r="H608" s="15">
        <v>0.11940000000000001</v>
      </c>
      <c r="I608" s="15">
        <v>1.7000000000000001E-2</v>
      </c>
      <c r="J608" s="15">
        <v>7.5853658536585353</v>
      </c>
    </row>
    <row r="609" spans="1:10" x14ac:dyDescent="0.25">
      <c r="A609" s="2" t="s">
        <v>1823</v>
      </c>
      <c r="B609" s="2" t="s">
        <v>1824</v>
      </c>
      <c r="C609" s="2" t="s">
        <v>1825</v>
      </c>
      <c r="D609" s="2" t="s">
        <v>10040</v>
      </c>
      <c r="E609" s="15">
        <v>5.3800000000000001E-2</v>
      </c>
      <c r="F609" s="15">
        <v>4.6800000000000001E-2</v>
      </c>
      <c r="G609" s="15">
        <v>0.25030000000000002</v>
      </c>
      <c r="H609" s="15">
        <v>0.1799</v>
      </c>
      <c r="I609" s="15">
        <v>1.8700000000000001E-2</v>
      </c>
      <c r="J609" s="15">
        <v>10.444444444444439</v>
      </c>
    </row>
    <row r="610" spans="1:10" x14ac:dyDescent="0.25">
      <c r="A610" s="2" t="s">
        <v>1826</v>
      </c>
      <c r="B610" s="2" t="s">
        <v>1827</v>
      </c>
      <c r="C610" s="2" t="s">
        <v>1828</v>
      </c>
      <c r="D610" s="2" t="s">
        <v>10040</v>
      </c>
      <c r="E610" s="15">
        <v>0.10970000000000001</v>
      </c>
      <c r="F610" s="15">
        <v>5.5100000000000003E-2</v>
      </c>
      <c r="G610" s="15">
        <v>4.6399999999999997E-2</v>
      </c>
      <c r="H610" s="15">
        <v>0.1036</v>
      </c>
      <c r="I610" s="15">
        <v>1.67E-2</v>
      </c>
      <c r="J610" s="15">
        <v>6.9622641509433967</v>
      </c>
    </row>
    <row r="611" spans="1:10" x14ac:dyDescent="0.25">
      <c r="A611" s="2" t="s">
        <v>1829</v>
      </c>
      <c r="B611" s="2" t="s">
        <v>1830</v>
      </c>
      <c r="C611" s="2" t="s">
        <v>1831</v>
      </c>
      <c r="D611" s="2" t="s">
        <v>10040</v>
      </c>
      <c r="E611" s="15">
        <v>1.11E-2</v>
      </c>
      <c r="F611" s="15">
        <v>4.8399999999999999E-2</v>
      </c>
      <c r="G611" s="15">
        <v>0.81799999999999995</v>
      </c>
      <c r="H611" s="15">
        <v>0.13819999999999999</v>
      </c>
      <c r="I611" s="15">
        <v>1.72E-2</v>
      </c>
      <c r="J611" s="15">
        <v>9.216049382716049</v>
      </c>
    </row>
    <row r="612" spans="1:10" x14ac:dyDescent="0.25">
      <c r="A612" s="2" t="s">
        <v>1832</v>
      </c>
      <c r="B612" s="2" t="s">
        <v>1833</v>
      </c>
      <c r="C612" s="2" t="s">
        <v>1834</v>
      </c>
      <c r="D612" s="2" t="s">
        <v>10040</v>
      </c>
      <c r="E612" s="15">
        <v>-4.0500000000000001E-2</v>
      </c>
      <c r="F612" s="15">
        <v>5.3400000000000003E-2</v>
      </c>
      <c r="G612" s="15">
        <v>0.44750000000000001</v>
      </c>
      <c r="H612" s="15">
        <v>0.15759999999999999</v>
      </c>
      <c r="I612" s="15">
        <v>1.83E-2</v>
      </c>
      <c r="J612" s="15">
        <v>9.1976744186046524</v>
      </c>
    </row>
    <row r="613" spans="1:10" x14ac:dyDescent="0.25">
      <c r="A613" s="2" t="s">
        <v>1835</v>
      </c>
      <c r="B613" s="2" t="s">
        <v>1836</v>
      </c>
      <c r="C613" s="2" t="s">
        <v>1837</v>
      </c>
      <c r="D613" s="2" t="s">
        <v>10040</v>
      </c>
      <c r="E613" s="15">
        <v>-1E-4</v>
      </c>
      <c r="F613" s="15">
        <v>4.1500000000000002E-2</v>
      </c>
      <c r="G613" s="15">
        <v>0.99780000000000002</v>
      </c>
      <c r="H613" s="15">
        <v>0.16059999999999999</v>
      </c>
      <c r="I613" s="15">
        <v>1.95E-2</v>
      </c>
      <c r="J613" s="15">
        <v>8.9375000000000018</v>
      </c>
    </row>
    <row r="614" spans="1:10" x14ac:dyDescent="0.25">
      <c r="A614" s="2" t="s">
        <v>1838</v>
      </c>
      <c r="B614" s="2" t="s">
        <v>1839</v>
      </c>
      <c r="C614" s="2" t="s">
        <v>1840</v>
      </c>
      <c r="D614" s="2" t="s">
        <v>10040</v>
      </c>
      <c r="E614" s="15">
        <v>0.1565</v>
      </c>
      <c r="F614" s="15">
        <v>8.5000000000000006E-2</v>
      </c>
      <c r="G614" s="15">
        <v>6.54E-2</v>
      </c>
      <c r="H614" s="15">
        <v>4.0099999999999997E-2</v>
      </c>
      <c r="I614" s="15">
        <v>1.55E-2</v>
      </c>
      <c r="J614" s="15">
        <v>2.772413793103448</v>
      </c>
    </row>
    <row r="615" spans="1:10" x14ac:dyDescent="0.25">
      <c r="A615" s="2" t="s">
        <v>1841</v>
      </c>
      <c r="B615" s="2" t="s">
        <v>1842</v>
      </c>
      <c r="C615" s="2" t="s">
        <v>1843</v>
      </c>
      <c r="D615" s="2" t="s">
        <v>10040</v>
      </c>
      <c r="E615" s="15">
        <v>5.9499999999999997E-2</v>
      </c>
      <c r="F615" s="15">
        <v>0.1056</v>
      </c>
      <c r="G615" s="15">
        <v>0.57330000000000003</v>
      </c>
      <c r="H615" s="15">
        <v>2.7799999999999998E-2</v>
      </c>
      <c r="I615" s="15">
        <v>1.6299999999999999E-2</v>
      </c>
      <c r="J615" s="15">
        <v>2.316455696202532</v>
      </c>
    </row>
    <row r="616" spans="1:10" x14ac:dyDescent="0.25">
      <c r="A616" s="2" t="s">
        <v>1844</v>
      </c>
      <c r="B616" s="2" t="s">
        <v>1845</v>
      </c>
      <c r="C616" s="2" t="s">
        <v>1846</v>
      </c>
      <c r="D616" s="2" t="s">
        <v>10040</v>
      </c>
      <c r="E616" s="15">
        <v>6.0100000000000001E-2</v>
      </c>
      <c r="F616" s="15">
        <v>5.2499999999999998E-2</v>
      </c>
      <c r="G616" s="15">
        <v>0.252</v>
      </c>
      <c r="H616" s="15">
        <v>0.1583</v>
      </c>
      <c r="I616" s="15">
        <v>1.72E-2</v>
      </c>
      <c r="J616" s="15">
        <v>10.543749999999999</v>
      </c>
    </row>
    <row r="617" spans="1:10" x14ac:dyDescent="0.25">
      <c r="A617" s="2" t="s">
        <v>1847</v>
      </c>
      <c r="B617" s="2" t="s">
        <v>1848</v>
      </c>
      <c r="C617" s="2" t="s">
        <v>1849</v>
      </c>
      <c r="D617" s="2" t="s">
        <v>10040</v>
      </c>
      <c r="E617" s="15">
        <v>4.1599999999999998E-2</v>
      </c>
      <c r="F617" s="15">
        <v>4.0300000000000002E-2</v>
      </c>
      <c r="G617" s="15">
        <v>0.3024</v>
      </c>
      <c r="H617" s="15">
        <v>0.19059999999999999</v>
      </c>
      <c r="I617" s="15">
        <v>2.3300000000000001E-2</v>
      </c>
      <c r="J617" s="15">
        <v>8.8539823008849563</v>
      </c>
    </row>
    <row r="618" spans="1:10" x14ac:dyDescent="0.25">
      <c r="A618" s="2" t="s">
        <v>1850</v>
      </c>
      <c r="B618" s="2" t="s">
        <v>1851</v>
      </c>
      <c r="C618" s="2" t="s">
        <v>1852</v>
      </c>
      <c r="D618" s="2" t="s">
        <v>10040</v>
      </c>
      <c r="E618" s="15">
        <v>7.2099999999999997E-2</v>
      </c>
      <c r="F618" s="15">
        <v>5.3999999999999999E-2</v>
      </c>
      <c r="G618" s="15">
        <v>0.18210000000000001</v>
      </c>
      <c r="H618" s="15">
        <v>0.13800000000000001</v>
      </c>
      <c r="I618" s="15">
        <v>1.7500000000000002E-2</v>
      </c>
      <c r="J618" s="15">
        <v>8.5780346820809257</v>
      </c>
    </row>
    <row r="619" spans="1:10" x14ac:dyDescent="0.25">
      <c r="A619" s="2" t="s">
        <v>1853</v>
      </c>
      <c r="B619" s="2" t="s">
        <v>1854</v>
      </c>
      <c r="C619" s="2" t="s">
        <v>1855</v>
      </c>
      <c r="D619" s="2" t="s">
        <v>10040</v>
      </c>
      <c r="E619" s="15">
        <v>4.1399999999999999E-2</v>
      </c>
      <c r="F619" s="15">
        <v>3.6499999999999998E-2</v>
      </c>
      <c r="G619" s="15">
        <v>0.2571</v>
      </c>
      <c r="H619" s="15">
        <v>0.2903</v>
      </c>
      <c r="I619" s="15">
        <v>2.9600000000000001E-2</v>
      </c>
      <c r="J619" s="15">
        <v>10.66312056737589</v>
      </c>
    </row>
    <row r="620" spans="1:10" x14ac:dyDescent="0.25">
      <c r="A620" s="2" t="s">
        <v>1856</v>
      </c>
      <c r="B620" s="2" t="s">
        <v>1857</v>
      </c>
      <c r="C620" s="2" t="s">
        <v>1858</v>
      </c>
      <c r="D620" s="2" t="s">
        <v>10040</v>
      </c>
      <c r="E620" s="15">
        <v>1.2999999999999999E-3</v>
      </c>
      <c r="F620" s="15">
        <v>4.3400000000000001E-2</v>
      </c>
      <c r="G620" s="15">
        <v>0.97640000000000005</v>
      </c>
      <c r="H620" s="15">
        <v>0.1794</v>
      </c>
      <c r="I620" s="15">
        <v>1.95E-2</v>
      </c>
      <c r="J620" s="15">
        <v>7.3992395437262353</v>
      </c>
    </row>
    <row r="621" spans="1:10" x14ac:dyDescent="0.25">
      <c r="A621" s="2" t="s">
        <v>1859</v>
      </c>
      <c r="B621" s="2" t="s">
        <v>1860</v>
      </c>
      <c r="C621" s="2" t="s">
        <v>1861</v>
      </c>
      <c r="D621" s="2" t="s">
        <v>10040</v>
      </c>
      <c r="E621" s="15">
        <v>9.7299999999999998E-2</v>
      </c>
      <c r="F621" s="15">
        <v>5.4100000000000002E-2</v>
      </c>
      <c r="G621" s="15">
        <v>7.2300000000000003E-2</v>
      </c>
      <c r="H621" s="15">
        <v>0.11269999999999999</v>
      </c>
      <c r="I621" s="15">
        <v>1.66E-2</v>
      </c>
      <c r="J621" s="15">
        <v>6.8827160493827169</v>
      </c>
    </row>
    <row r="622" spans="1:10" x14ac:dyDescent="0.25">
      <c r="A622" s="2" t="s">
        <v>1862</v>
      </c>
      <c r="B622" s="2" t="s">
        <v>1863</v>
      </c>
      <c r="C622" s="2" t="s">
        <v>1864</v>
      </c>
      <c r="D622" s="2" t="s">
        <v>10040</v>
      </c>
      <c r="E622" s="15">
        <v>4.3499999999999997E-2</v>
      </c>
      <c r="F622" s="15">
        <v>5.9900000000000002E-2</v>
      </c>
      <c r="G622" s="15">
        <v>0.46829999999999999</v>
      </c>
      <c r="H622" s="15">
        <v>0.12509999999999999</v>
      </c>
      <c r="I622" s="15">
        <v>1.77E-2</v>
      </c>
      <c r="J622" s="15">
        <v>7.3705882352941172</v>
      </c>
    </row>
    <row r="623" spans="1:10" x14ac:dyDescent="0.25">
      <c r="A623" s="2" t="s">
        <v>1865</v>
      </c>
      <c r="B623" s="2" t="s">
        <v>1866</v>
      </c>
      <c r="C623" s="2" t="s">
        <v>1867</v>
      </c>
      <c r="D623" s="2" t="s">
        <v>10040</v>
      </c>
      <c r="E623" s="15">
        <v>5.4000000000000003E-3</v>
      </c>
      <c r="F623" s="15">
        <v>4.7100000000000003E-2</v>
      </c>
      <c r="G623" s="15">
        <v>0.90859999999999996</v>
      </c>
      <c r="H623" s="15">
        <v>0.15279999999999999</v>
      </c>
      <c r="I623" s="15">
        <v>1.95E-2</v>
      </c>
      <c r="J623" s="15">
        <v>7.9621621621621621</v>
      </c>
    </row>
    <row r="624" spans="1:10" x14ac:dyDescent="0.25">
      <c r="A624" s="2" t="s">
        <v>1868</v>
      </c>
      <c r="B624" s="2" t="s">
        <v>1869</v>
      </c>
      <c r="C624" s="2" t="s">
        <v>1870</v>
      </c>
      <c r="D624" s="2" t="s">
        <v>10040</v>
      </c>
      <c r="E624" s="15">
        <v>1.3599999999999999E-2</v>
      </c>
      <c r="F624" s="15">
        <v>5.3199999999999997E-2</v>
      </c>
      <c r="G624" s="15">
        <v>0.7974</v>
      </c>
      <c r="H624" s="15">
        <v>0.1598</v>
      </c>
      <c r="I624" s="15">
        <v>2.1899999999999999E-2</v>
      </c>
      <c r="J624" s="15">
        <v>8.60752688172043</v>
      </c>
    </row>
    <row r="625" spans="1:10" x14ac:dyDescent="0.25">
      <c r="A625" s="2" t="s">
        <v>1871</v>
      </c>
      <c r="B625" s="2" t="s">
        <v>1872</v>
      </c>
      <c r="C625" s="2" t="s">
        <v>1873</v>
      </c>
      <c r="D625" s="2" t="s">
        <v>10040</v>
      </c>
      <c r="E625" s="15">
        <v>4.5600000000000002E-2</v>
      </c>
      <c r="F625" s="15">
        <v>4.6600000000000003E-2</v>
      </c>
      <c r="G625" s="15">
        <v>0.32750000000000001</v>
      </c>
      <c r="H625" s="15">
        <v>0.16089999999999999</v>
      </c>
      <c r="I625" s="15">
        <v>1.8200000000000001E-2</v>
      </c>
      <c r="J625" s="15">
        <v>9.4444444444444464</v>
      </c>
    </row>
    <row r="626" spans="1:10" x14ac:dyDescent="0.25">
      <c r="A626" s="2" t="s">
        <v>1874</v>
      </c>
      <c r="B626" s="2" t="s">
        <v>1875</v>
      </c>
      <c r="C626" s="2" t="s">
        <v>1876</v>
      </c>
      <c r="D626" s="2" t="s">
        <v>10040</v>
      </c>
      <c r="E626" s="15">
        <v>1.2999999999999999E-3</v>
      </c>
      <c r="F626" s="15">
        <v>6.08E-2</v>
      </c>
      <c r="G626" s="15">
        <v>0.98240000000000005</v>
      </c>
      <c r="H626" s="15">
        <v>9.6000000000000002E-2</v>
      </c>
      <c r="I626" s="15">
        <v>1.66E-2</v>
      </c>
      <c r="J626" s="15">
        <v>6.4528301886792443</v>
      </c>
    </row>
    <row r="627" spans="1:10" x14ac:dyDescent="0.25">
      <c r="A627" s="2" t="s">
        <v>1877</v>
      </c>
      <c r="B627" s="2" t="s">
        <v>1878</v>
      </c>
      <c r="C627" s="2" t="s">
        <v>1879</v>
      </c>
      <c r="D627" s="2" t="s">
        <v>10040</v>
      </c>
      <c r="E627" s="15">
        <v>4.2799999999999998E-2</v>
      </c>
      <c r="F627" s="15">
        <v>5.7000000000000002E-2</v>
      </c>
      <c r="G627" s="15">
        <v>0.4526</v>
      </c>
      <c r="H627" s="15">
        <v>0.1013</v>
      </c>
      <c r="I627" s="15">
        <v>1.7600000000000001E-2</v>
      </c>
      <c r="J627" s="15">
        <v>6.3515151515151516</v>
      </c>
    </row>
    <row r="628" spans="1:10" x14ac:dyDescent="0.25">
      <c r="A628" s="2" t="s">
        <v>1880</v>
      </c>
      <c r="B628" s="2" t="s">
        <v>1881</v>
      </c>
      <c r="C628" s="2" t="s">
        <v>1882</v>
      </c>
      <c r="D628" s="2" t="s">
        <v>10040</v>
      </c>
      <c r="E628" s="15">
        <v>1.23E-2</v>
      </c>
      <c r="F628" s="15">
        <v>7.2700000000000001E-2</v>
      </c>
      <c r="G628" s="15">
        <v>0.8659</v>
      </c>
      <c r="H628" s="15">
        <v>5.0099999999999999E-2</v>
      </c>
      <c r="I628" s="15">
        <v>1.77E-2</v>
      </c>
      <c r="J628" s="15">
        <v>4.2389937106918234</v>
      </c>
    </row>
    <row r="629" spans="1:10" x14ac:dyDescent="0.25">
      <c r="A629" s="2" t="s">
        <v>1883</v>
      </c>
      <c r="B629" s="2" t="s">
        <v>1884</v>
      </c>
      <c r="C629" s="2" t="s">
        <v>1885</v>
      </c>
      <c r="D629" s="2" t="s">
        <v>10040</v>
      </c>
      <c r="E629" s="15">
        <v>4.1099999999999998E-2</v>
      </c>
      <c r="F629" s="15">
        <v>6.1600000000000002E-2</v>
      </c>
      <c r="G629" s="15">
        <v>0.50470000000000004</v>
      </c>
      <c r="H629" s="15">
        <v>9.5899999999999999E-2</v>
      </c>
      <c r="I629" s="15">
        <v>1.6199999999999999E-2</v>
      </c>
      <c r="J629" s="15">
        <v>6.1049382716049383</v>
      </c>
    </row>
    <row r="630" spans="1:10" x14ac:dyDescent="0.25">
      <c r="A630" s="2" t="s">
        <v>1886</v>
      </c>
      <c r="B630" s="2" t="s">
        <v>1887</v>
      </c>
      <c r="C630" s="2" t="s">
        <v>1888</v>
      </c>
      <c r="D630" s="2" t="s">
        <v>10040</v>
      </c>
      <c r="E630" s="15">
        <v>-1.61E-2</v>
      </c>
      <c r="F630" s="15">
        <v>7.8299999999999995E-2</v>
      </c>
      <c r="G630" s="15">
        <v>0.83720000000000006</v>
      </c>
      <c r="H630" s="15">
        <v>4.2500000000000003E-2</v>
      </c>
      <c r="I630" s="15">
        <v>1.3299999999999999E-2</v>
      </c>
      <c r="J630" s="15">
        <v>3.7063492063492061</v>
      </c>
    </row>
    <row r="631" spans="1:10" x14ac:dyDescent="0.25">
      <c r="A631" s="2" t="s">
        <v>1889</v>
      </c>
      <c r="B631" s="2" t="s">
        <v>1890</v>
      </c>
      <c r="C631" s="2" t="s">
        <v>1891</v>
      </c>
      <c r="D631" s="2" t="s">
        <v>10040</v>
      </c>
      <c r="E631" s="15">
        <v>5.8799999999999998E-2</v>
      </c>
      <c r="F631" s="15">
        <v>5.4699999999999999E-2</v>
      </c>
      <c r="G631" s="15">
        <v>0.28179999999999999</v>
      </c>
      <c r="H631" s="15">
        <v>0.1212</v>
      </c>
      <c r="I631" s="15">
        <v>1.6899999999999998E-2</v>
      </c>
      <c r="J631" s="15">
        <v>7.3878787878787868</v>
      </c>
    </row>
    <row r="632" spans="1:10" x14ac:dyDescent="0.25">
      <c r="A632" s="2" t="s">
        <v>1892</v>
      </c>
      <c r="B632" s="2" t="s">
        <v>1893</v>
      </c>
      <c r="C632" s="2" t="s">
        <v>1894</v>
      </c>
      <c r="D632" s="2" t="s">
        <v>10040</v>
      </c>
      <c r="E632" s="15">
        <v>-4.4999999999999998E-2</v>
      </c>
      <c r="F632" s="15">
        <v>5.2400000000000002E-2</v>
      </c>
      <c r="G632" s="15">
        <v>0.39090000000000003</v>
      </c>
      <c r="H632" s="15">
        <v>0.11990000000000001</v>
      </c>
      <c r="I632" s="15">
        <v>1.7999999999999999E-2</v>
      </c>
      <c r="J632" s="15">
        <v>6.7401129943502829</v>
      </c>
    </row>
    <row r="633" spans="1:10" x14ac:dyDescent="0.25">
      <c r="A633" s="2" t="s">
        <v>1895</v>
      </c>
      <c r="B633" s="2" t="s">
        <v>1896</v>
      </c>
      <c r="C633" s="2" t="s">
        <v>1897</v>
      </c>
      <c r="D633" s="2" t="s">
        <v>10040</v>
      </c>
      <c r="E633" s="15">
        <v>8.09E-2</v>
      </c>
      <c r="F633" s="15">
        <v>6.4799999999999996E-2</v>
      </c>
      <c r="G633" s="15">
        <v>0.21149999999999999</v>
      </c>
      <c r="H633" s="15">
        <v>7.2999999999999995E-2</v>
      </c>
      <c r="I633" s="15">
        <v>1.5900000000000001E-2</v>
      </c>
      <c r="J633" s="15">
        <v>5.258278145695364</v>
      </c>
    </row>
    <row r="634" spans="1:10" x14ac:dyDescent="0.25">
      <c r="A634" s="2" t="s">
        <v>1898</v>
      </c>
      <c r="B634" s="2" t="s">
        <v>1899</v>
      </c>
      <c r="C634" s="2" t="s">
        <v>1900</v>
      </c>
      <c r="D634" s="2" t="s">
        <v>10040</v>
      </c>
      <c r="E634" s="15">
        <v>-0.12189999999999999</v>
      </c>
      <c r="F634" s="15">
        <v>6.5799999999999997E-2</v>
      </c>
      <c r="G634" s="15">
        <v>6.3899999999999998E-2</v>
      </c>
      <c r="H634" s="15">
        <v>7.4399999999999994E-2</v>
      </c>
      <c r="I634" s="15">
        <v>1.67E-2</v>
      </c>
      <c r="J634" s="15">
        <v>5.4805194805194803</v>
      </c>
    </row>
    <row r="635" spans="1:10" x14ac:dyDescent="0.25">
      <c r="A635" s="2" t="s">
        <v>1901</v>
      </c>
      <c r="B635" s="2" t="s">
        <v>1902</v>
      </c>
      <c r="C635" s="2" t="s">
        <v>1903</v>
      </c>
      <c r="D635" s="2" t="s">
        <v>10040</v>
      </c>
      <c r="E635" s="15">
        <v>-3.5200000000000002E-2</v>
      </c>
      <c r="F635" s="15">
        <v>6.3899999999999998E-2</v>
      </c>
      <c r="G635" s="15">
        <v>0.58130000000000004</v>
      </c>
      <c r="H635" s="15">
        <v>8.8099999999999998E-2</v>
      </c>
      <c r="I635" s="15">
        <v>1.89E-2</v>
      </c>
      <c r="J635" s="15">
        <v>4.6388888888888893</v>
      </c>
    </row>
    <row r="636" spans="1:10" x14ac:dyDescent="0.25">
      <c r="A636" s="2" t="s">
        <v>1904</v>
      </c>
      <c r="B636" s="2" t="s">
        <v>1905</v>
      </c>
      <c r="C636" s="2" t="s">
        <v>1906</v>
      </c>
      <c r="D636" s="2" t="s">
        <v>10040</v>
      </c>
      <c r="E636" s="15">
        <v>-2.2200000000000001E-2</v>
      </c>
      <c r="F636" s="15">
        <v>5.1499999999999997E-2</v>
      </c>
      <c r="G636" s="15">
        <v>0.66679999999999995</v>
      </c>
      <c r="H636" s="15">
        <v>0.1404</v>
      </c>
      <c r="I636" s="15">
        <v>1.61E-2</v>
      </c>
      <c r="J636" s="15">
        <v>8.642045454545455</v>
      </c>
    </row>
    <row r="637" spans="1:10" x14ac:dyDescent="0.25">
      <c r="A637" s="2" t="s">
        <v>1907</v>
      </c>
      <c r="B637" s="2" t="s">
        <v>1908</v>
      </c>
      <c r="C637" s="2" t="s">
        <v>1909</v>
      </c>
      <c r="D637" s="2" t="s">
        <v>10040</v>
      </c>
      <c r="E637" s="15">
        <v>8.1799999999999998E-2</v>
      </c>
      <c r="F637" s="15">
        <v>6.9199999999999998E-2</v>
      </c>
      <c r="G637" s="15">
        <v>0.23719999999999999</v>
      </c>
      <c r="H637" s="15">
        <v>6.25E-2</v>
      </c>
      <c r="I637" s="15">
        <v>1.5100000000000001E-2</v>
      </c>
      <c r="J637" s="15">
        <v>4.788732394366197</v>
      </c>
    </row>
    <row r="638" spans="1:10" x14ac:dyDescent="0.25">
      <c r="A638" s="2" t="s">
        <v>1910</v>
      </c>
      <c r="B638" s="2" t="s">
        <v>1911</v>
      </c>
      <c r="C638" s="2" t="s">
        <v>1912</v>
      </c>
      <c r="D638" s="2" t="s">
        <v>10040</v>
      </c>
      <c r="E638" s="15">
        <v>0.06</v>
      </c>
      <c r="F638" s="15">
        <v>5.5399999999999998E-2</v>
      </c>
      <c r="G638" s="15">
        <v>0.2787</v>
      </c>
      <c r="H638" s="15">
        <v>0.11360000000000001</v>
      </c>
      <c r="I638" s="15">
        <v>1.8100000000000002E-2</v>
      </c>
      <c r="J638" s="15">
        <v>6.7167630057803471</v>
      </c>
    </row>
    <row r="639" spans="1:10" x14ac:dyDescent="0.25">
      <c r="A639" s="2" t="s">
        <v>1913</v>
      </c>
      <c r="B639" s="2" t="s">
        <v>1914</v>
      </c>
      <c r="C639" s="2" t="s">
        <v>1915</v>
      </c>
      <c r="D639" s="2" t="s">
        <v>10040</v>
      </c>
      <c r="E639" s="15">
        <v>3.1800000000000002E-2</v>
      </c>
      <c r="F639" s="15">
        <v>4.0899999999999999E-2</v>
      </c>
      <c r="G639" s="15">
        <v>0.43640000000000001</v>
      </c>
      <c r="H639" s="15">
        <v>0.2102</v>
      </c>
      <c r="I639" s="15">
        <v>2.07E-2</v>
      </c>
      <c r="J639" s="15">
        <v>10.283018867924531</v>
      </c>
    </row>
    <row r="640" spans="1:10" x14ac:dyDescent="0.25">
      <c r="A640" s="2" t="s">
        <v>1916</v>
      </c>
      <c r="B640" s="2" t="s">
        <v>1917</v>
      </c>
      <c r="C640" s="2" t="s">
        <v>1918</v>
      </c>
      <c r="D640" s="2" t="s">
        <v>10040</v>
      </c>
      <c r="E640" s="15">
        <v>0.1244</v>
      </c>
      <c r="F640" s="15">
        <v>4.0500000000000001E-2</v>
      </c>
      <c r="G640" s="15">
        <v>2.0999999999999999E-3</v>
      </c>
      <c r="H640" s="15">
        <v>0.23</v>
      </c>
      <c r="I640" s="15">
        <v>2.0199999999999999E-2</v>
      </c>
      <c r="J640" s="15">
        <v>12.36787564766839</v>
      </c>
    </row>
    <row r="641" spans="1:10" x14ac:dyDescent="0.25">
      <c r="A641" s="2" t="s">
        <v>1919</v>
      </c>
      <c r="B641" s="2" t="s">
        <v>1920</v>
      </c>
      <c r="C641" s="2" t="s">
        <v>1921</v>
      </c>
      <c r="D641" s="2" t="s">
        <v>10040</v>
      </c>
      <c r="E641" s="15">
        <v>-2.69E-2</v>
      </c>
      <c r="F641" s="15">
        <v>6.5100000000000005E-2</v>
      </c>
      <c r="G641" s="15">
        <v>0.68</v>
      </c>
      <c r="H641" s="15">
        <v>9.8900000000000002E-2</v>
      </c>
      <c r="I641" s="15">
        <v>1.54E-2</v>
      </c>
      <c r="J641" s="15">
        <v>7.5633802816901401</v>
      </c>
    </row>
    <row r="642" spans="1:10" x14ac:dyDescent="0.25">
      <c r="A642" s="2" t="s">
        <v>1922</v>
      </c>
      <c r="B642" s="2" t="s">
        <v>1923</v>
      </c>
      <c r="C642" s="2" t="s">
        <v>1924</v>
      </c>
      <c r="D642" s="2" t="s">
        <v>10040</v>
      </c>
      <c r="E642" s="15">
        <v>-0.1046</v>
      </c>
      <c r="F642" s="15">
        <v>4.9700000000000001E-2</v>
      </c>
      <c r="G642" s="15">
        <v>3.5400000000000001E-2</v>
      </c>
      <c r="H642" s="15">
        <v>0.1232</v>
      </c>
      <c r="I642" s="15">
        <v>1.7399999999999999E-2</v>
      </c>
      <c r="J642" s="15">
        <v>7.1212121212121202</v>
      </c>
    </row>
    <row r="643" spans="1:10" x14ac:dyDescent="0.25">
      <c r="A643" s="2" t="s">
        <v>1925</v>
      </c>
      <c r="B643" s="2" t="s">
        <v>1926</v>
      </c>
      <c r="C643" s="2" t="s">
        <v>1927</v>
      </c>
      <c r="D643" s="2" t="s">
        <v>10040</v>
      </c>
      <c r="E643" s="15">
        <v>1.1299999999999999E-2</v>
      </c>
      <c r="F643" s="15">
        <v>5.28E-2</v>
      </c>
      <c r="G643" s="15">
        <v>0.83020000000000005</v>
      </c>
      <c r="H643" s="15">
        <v>0.1032</v>
      </c>
      <c r="I643" s="15">
        <v>1.7000000000000001E-2</v>
      </c>
      <c r="J643" s="15">
        <v>6.8231707317073162</v>
      </c>
    </row>
    <row r="644" spans="1:10" x14ac:dyDescent="0.25">
      <c r="A644" s="2" t="s">
        <v>1928</v>
      </c>
      <c r="B644" s="2" t="s">
        <v>1929</v>
      </c>
      <c r="C644" s="2" t="s">
        <v>1930</v>
      </c>
      <c r="D644" s="2" t="s">
        <v>10040</v>
      </c>
      <c r="E644" s="15">
        <v>9.5000000000000001E-2</v>
      </c>
      <c r="F644" s="15">
        <v>0.06</v>
      </c>
      <c r="G644" s="15">
        <v>0.1135</v>
      </c>
      <c r="H644" s="15">
        <v>9.6799999999999997E-2</v>
      </c>
      <c r="I644" s="15">
        <v>1.6899999999999998E-2</v>
      </c>
      <c r="J644" s="15">
        <v>6.2727272727272716</v>
      </c>
    </row>
    <row r="645" spans="1:10" x14ac:dyDescent="0.25">
      <c r="A645" s="2" t="s">
        <v>1931</v>
      </c>
      <c r="B645" s="2" t="s">
        <v>1932</v>
      </c>
      <c r="C645" s="2" t="s">
        <v>1933</v>
      </c>
      <c r="D645" s="2" t="s">
        <v>10040</v>
      </c>
      <c r="E645" s="15">
        <v>6.08E-2</v>
      </c>
      <c r="F645" s="15">
        <v>0.1036</v>
      </c>
      <c r="G645" s="15">
        <v>0.5575</v>
      </c>
      <c r="H645" s="15">
        <v>2.9899999999999999E-2</v>
      </c>
      <c r="I645" s="15">
        <v>1.43E-2</v>
      </c>
      <c r="J645" s="15">
        <v>2.5035971223021578</v>
      </c>
    </row>
    <row r="646" spans="1:10" x14ac:dyDescent="0.25">
      <c r="A646" s="2" t="s">
        <v>1934</v>
      </c>
      <c r="B646" s="2" t="s">
        <v>1935</v>
      </c>
      <c r="C646" s="2" t="s">
        <v>1936</v>
      </c>
      <c r="D646" s="2" t="s">
        <v>10040</v>
      </c>
      <c r="E646" s="15">
        <v>-9.4299999999999995E-2</v>
      </c>
      <c r="F646" s="15">
        <v>6.2399999999999997E-2</v>
      </c>
      <c r="G646" s="15">
        <v>0.13039999999999999</v>
      </c>
      <c r="H646" s="15">
        <v>0.1043</v>
      </c>
      <c r="I646" s="15">
        <v>1.7100000000000001E-2</v>
      </c>
      <c r="J646" s="15">
        <v>7</v>
      </c>
    </row>
    <row r="647" spans="1:10" x14ac:dyDescent="0.25">
      <c r="A647" s="2" t="s">
        <v>1937</v>
      </c>
      <c r="B647" s="2" t="s">
        <v>1938</v>
      </c>
      <c r="C647" s="2" t="s">
        <v>1939</v>
      </c>
      <c r="D647" s="2" t="s">
        <v>10040</v>
      </c>
      <c r="E647" s="15">
        <v>-3.2199999999999999E-2</v>
      </c>
      <c r="F647" s="15">
        <v>5.7599999999999998E-2</v>
      </c>
      <c r="G647" s="15">
        <v>0.57640000000000002</v>
      </c>
      <c r="H647" s="15">
        <v>0.10879999999999999</v>
      </c>
      <c r="I647" s="15">
        <v>1.8499999999999999E-2</v>
      </c>
      <c r="J647" s="15">
        <v>6.5402298850574718</v>
      </c>
    </row>
    <row r="648" spans="1:10" x14ac:dyDescent="0.25">
      <c r="A648" s="2" t="s">
        <v>1940</v>
      </c>
      <c r="B648" s="2" t="s">
        <v>1941</v>
      </c>
      <c r="C648" s="2" t="s">
        <v>1942</v>
      </c>
      <c r="D648" s="2" t="s">
        <v>10040</v>
      </c>
      <c r="E648" s="15">
        <v>-1.7399999999999999E-2</v>
      </c>
      <c r="F648" s="15">
        <v>4.1300000000000003E-2</v>
      </c>
      <c r="G648" s="15">
        <v>0.6744</v>
      </c>
      <c r="H648" s="15">
        <v>0.16839999999999999</v>
      </c>
      <c r="I648" s="15">
        <v>1.9300000000000001E-2</v>
      </c>
      <c r="J648" s="15">
        <v>9.8486486486486484</v>
      </c>
    </row>
    <row r="649" spans="1:10" x14ac:dyDescent="0.25">
      <c r="A649" s="2" t="s">
        <v>1943</v>
      </c>
      <c r="B649" s="2" t="s">
        <v>1944</v>
      </c>
      <c r="C649" s="2" t="s">
        <v>1945</v>
      </c>
      <c r="D649" s="2" t="s">
        <v>10040</v>
      </c>
      <c r="E649" s="15">
        <v>1.78E-2</v>
      </c>
      <c r="F649" s="15">
        <v>5.8999999999999997E-2</v>
      </c>
      <c r="G649" s="15">
        <v>0.7631</v>
      </c>
      <c r="H649" s="15">
        <v>0.1085</v>
      </c>
      <c r="I649" s="15">
        <v>1.5900000000000001E-2</v>
      </c>
      <c r="J649" s="15">
        <v>8.4142857142857146</v>
      </c>
    </row>
    <row r="650" spans="1:10" x14ac:dyDescent="0.25">
      <c r="A650" s="2" t="s">
        <v>1946</v>
      </c>
      <c r="B650" s="2" t="s">
        <v>1947</v>
      </c>
      <c r="C650" s="2" t="s">
        <v>1948</v>
      </c>
      <c r="D650" s="2" t="s">
        <v>10041</v>
      </c>
      <c r="E650" s="15">
        <v>-2.3400000000000001E-2</v>
      </c>
      <c r="F650" s="15">
        <v>3.6299999999999999E-2</v>
      </c>
      <c r="G650" s="15">
        <v>0.51939999999999997</v>
      </c>
      <c r="H650" s="15">
        <v>0.3105</v>
      </c>
      <c r="I650" s="15">
        <v>2.75E-2</v>
      </c>
      <c r="J650" s="15">
        <v>13.322033898305079</v>
      </c>
    </row>
    <row r="651" spans="1:10" x14ac:dyDescent="0.25">
      <c r="A651" s="2" t="s">
        <v>1949</v>
      </c>
      <c r="B651" s="2" t="s">
        <v>1950</v>
      </c>
      <c r="C651" s="2" t="s">
        <v>1951</v>
      </c>
      <c r="D651" s="2" t="s">
        <v>10041</v>
      </c>
      <c r="E651" s="15">
        <v>-7.1400000000000005E-2</v>
      </c>
      <c r="F651" s="15">
        <v>5.04E-2</v>
      </c>
      <c r="G651" s="15">
        <v>0.15709999999999999</v>
      </c>
      <c r="H651" s="15">
        <v>0.15790000000000001</v>
      </c>
      <c r="I651" s="15">
        <v>1.8599999999999998E-2</v>
      </c>
      <c r="J651" s="15">
        <v>9.2628571428571416</v>
      </c>
    </row>
    <row r="652" spans="1:10" x14ac:dyDescent="0.25">
      <c r="A652" s="2" t="s">
        <v>1952</v>
      </c>
      <c r="B652" s="2" t="s">
        <v>1953</v>
      </c>
      <c r="C652" s="2" t="s">
        <v>1954</v>
      </c>
      <c r="D652" s="2" t="s">
        <v>10041</v>
      </c>
      <c r="E652" s="15">
        <v>-2.18E-2</v>
      </c>
      <c r="F652" s="15">
        <v>5.6500000000000002E-2</v>
      </c>
      <c r="G652" s="15">
        <v>0.7</v>
      </c>
      <c r="H652" s="15">
        <v>0.1041</v>
      </c>
      <c r="I652" s="15">
        <v>1.7399999999999999E-2</v>
      </c>
      <c r="J652" s="15">
        <v>6.9693251533742338</v>
      </c>
    </row>
    <row r="653" spans="1:10" x14ac:dyDescent="0.25">
      <c r="A653" s="2" t="s">
        <v>1955</v>
      </c>
      <c r="B653" s="2" t="s">
        <v>1956</v>
      </c>
      <c r="C653" s="2" t="s">
        <v>1957</v>
      </c>
      <c r="D653" s="2" t="s">
        <v>10041</v>
      </c>
      <c r="E653" s="15">
        <v>2.8000000000000001E-2</v>
      </c>
      <c r="F653" s="15">
        <v>4.7899999999999998E-2</v>
      </c>
      <c r="G653" s="15">
        <v>0.55940000000000001</v>
      </c>
      <c r="H653" s="15">
        <v>0.16600000000000001</v>
      </c>
      <c r="I653" s="15">
        <v>2.5600000000000001E-2</v>
      </c>
      <c r="J653" s="15">
        <v>7.7854077253218881</v>
      </c>
    </row>
    <row r="654" spans="1:10" x14ac:dyDescent="0.25">
      <c r="A654" s="2" t="s">
        <v>1958</v>
      </c>
      <c r="B654" s="2" t="s">
        <v>1959</v>
      </c>
      <c r="C654" s="2" t="s">
        <v>1960</v>
      </c>
      <c r="D654" s="2" t="s">
        <v>10041</v>
      </c>
      <c r="E654" s="15">
        <v>7.2400000000000006E-2</v>
      </c>
      <c r="F654" s="15">
        <v>3.6600000000000001E-2</v>
      </c>
      <c r="G654" s="15">
        <v>4.8000000000000001E-2</v>
      </c>
      <c r="H654" s="15">
        <v>0.26590000000000003</v>
      </c>
      <c r="I654" s="15">
        <v>2.6100000000000002E-2</v>
      </c>
      <c r="J654" s="15">
        <v>11.525423728813561</v>
      </c>
    </row>
    <row r="655" spans="1:10" x14ac:dyDescent="0.25">
      <c r="A655" s="2" t="s">
        <v>1961</v>
      </c>
      <c r="B655" s="2" t="s">
        <v>1962</v>
      </c>
      <c r="C655" s="2" t="s">
        <v>1963</v>
      </c>
      <c r="D655" s="2" t="s">
        <v>10041</v>
      </c>
      <c r="E655" s="15">
        <v>4.3900000000000002E-2</v>
      </c>
      <c r="F655" s="15">
        <v>4.8500000000000001E-2</v>
      </c>
      <c r="G655" s="15">
        <v>0.36530000000000001</v>
      </c>
      <c r="H655" s="15">
        <v>0.1585</v>
      </c>
      <c r="I655" s="15">
        <v>1.9E-2</v>
      </c>
      <c r="J655" s="15">
        <v>9.1666666666666661</v>
      </c>
    </row>
    <row r="656" spans="1:10" x14ac:dyDescent="0.25">
      <c r="A656" s="2" t="s">
        <v>1964</v>
      </c>
      <c r="B656" s="2" t="s">
        <v>1965</v>
      </c>
      <c r="C656" s="2" t="s">
        <v>1966</v>
      </c>
      <c r="D656" s="2" t="s">
        <v>10041</v>
      </c>
      <c r="E656" s="15">
        <v>7.6E-3</v>
      </c>
      <c r="F656" s="15">
        <v>4.4200000000000003E-2</v>
      </c>
      <c r="G656" s="15">
        <v>0.86380000000000001</v>
      </c>
      <c r="H656" s="15">
        <v>0.185</v>
      </c>
      <c r="I656" s="15">
        <v>2.1499999999999998E-2</v>
      </c>
      <c r="J656" s="15">
        <v>9.7789473684210524</v>
      </c>
    </row>
    <row r="657" spans="1:10" x14ac:dyDescent="0.25">
      <c r="A657" s="2" t="s">
        <v>1967</v>
      </c>
      <c r="B657" s="2" t="s">
        <v>1968</v>
      </c>
      <c r="C657" s="2" t="s">
        <v>1969</v>
      </c>
      <c r="D657" s="2" t="s">
        <v>10041</v>
      </c>
      <c r="E657" s="15">
        <v>-5.4800000000000001E-2</v>
      </c>
      <c r="F657" s="15">
        <v>4.6100000000000002E-2</v>
      </c>
      <c r="G657" s="15">
        <v>0.2341</v>
      </c>
      <c r="H657" s="15">
        <v>0.1928</v>
      </c>
      <c r="I657" s="15">
        <v>1.9800000000000002E-2</v>
      </c>
      <c r="J657" s="15">
        <v>11.59322033898305</v>
      </c>
    </row>
    <row r="658" spans="1:10" x14ac:dyDescent="0.25">
      <c r="A658" s="2" t="s">
        <v>1970</v>
      </c>
      <c r="B658" s="2" t="s">
        <v>1971</v>
      </c>
      <c r="C658" s="2" t="s">
        <v>1972</v>
      </c>
      <c r="D658" s="2" t="s">
        <v>10041</v>
      </c>
      <c r="E658" s="15">
        <v>-8.0000000000000002E-3</v>
      </c>
      <c r="F658" s="15">
        <v>4.3499999999999997E-2</v>
      </c>
      <c r="G658" s="15">
        <v>0.85399999999999998</v>
      </c>
      <c r="H658" s="15">
        <v>0.1963</v>
      </c>
      <c r="I658" s="15">
        <v>1.84E-2</v>
      </c>
      <c r="J658" s="15">
        <v>11.184357541899439</v>
      </c>
    </row>
    <row r="659" spans="1:10" x14ac:dyDescent="0.25">
      <c r="A659" s="2" t="s">
        <v>1973</v>
      </c>
      <c r="B659" s="2" t="s">
        <v>1974</v>
      </c>
      <c r="C659" s="2" t="s">
        <v>1975</v>
      </c>
      <c r="D659" s="2" t="s">
        <v>10041</v>
      </c>
      <c r="E659" s="15">
        <v>-6.5100000000000005E-2</v>
      </c>
      <c r="F659" s="15">
        <v>5.16E-2</v>
      </c>
      <c r="G659" s="15">
        <v>0.2077</v>
      </c>
      <c r="H659" s="15">
        <v>0.18590000000000001</v>
      </c>
      <c r="I659" s="15">
        <v>2.1399999999999999E-2</v>
      </c>
      <c r="J659" s="15">
        <v>9.485714285714284</v>
      </c>
    </row>
    <row r="660" spans="1:10" x14ac:dyDescent="0.25">
      <c r="A660" s="2" t="s">
        <v>1976</v>
      </c>
      <c r="B660" s="2" t="s">
        <v>1977</v>
      </c>
      <c r="C660" s="2" t="s">
        <v>1978</v>
      </c>
      <c r="D660" s="2" t="s">
        <v>10041</v>
      </c>
      <c r="E660" s="15">
        <v>2.1299999999999999E-2</v>
      </c>
      <c r="F660" s="15">
        <v>4.3099999999999999E-2</v>
      </c>
      <c r="G660" s="15">
        <v>0.62170000000000003</v>
      </c>
      <c r="H660" s="15">
        <v>0.2031</v>
      </c>
      <c r="I660" s="15">
        <v>2.2700000000000001E-2</v>
      </c>
      <c r="J660" s="15">
        <v>10.00467289719626</v>
      </c>
    </row>
    <row r="661" spans="1:10" x14ac:dyDescent="0.25">
      <c r="A661" s="2" t="s">
        <v>1979</v>
      </c>
      <c r="B661" s="2" t="s">
        <v>1980</v>
      </c>
      <c r="C661" s="2" t="s">
        <v>1981</v>
      </c>
      <c r="D661" s="2" t="s">
        <v>10041</v>
      </c>
      <c r="E661" s="15">
        <v>-1.4800000000000001E-2</v>
      </c>
      <c r="F661" s="15">
        <v>3.7999999999999999E-2</v>
      </c>
      <c r="G661" s="15">
        <v>0.69710000000000005</v>
      </c>
      <c r="H661" s="15">
        <v>0.25719999999999998</v>
      </c>
      <c r="I661" s="15">
        <v>2.4400000000000002E-2</v>
      </c>
      <c r="J661" s="15">
        <v>12.171945701357471</v>
      </c>
    </row>
    <row r="662" spans="1:10" x14ac:dyDescent="0.25">
      <c r="A662" s="2" t="s">
        <v>1982</v>
      </c>
      <c r="B662" s="2" t="s">
        <v>1983</v>
      </c>
      <c r="C662" s="2" t="s">
        <v>1984</v>
      </c>
      <c r="D662" s="2" t="s">
        <v>10041</v>
      </c>
      <c r="E662" s="15">
        <v>-1.03E-2</v>
      </c>
      <c r="F662" s="15">
        <v>3.7900000000000003E-2</v>
      </c>
      <c r="G662" s="15">
        <v>0.78539999999999999</v>
      </c>
      <c r="H662" s="15">
        <v>0.2475</v>
      </c>
      <c r="I662" s="15">
        <v>2.5600000000000001E-2</v>
      </c>
      <c r="J662" s="15">
        <v>11.126086956521741</v>
      </c>
    </row>
    <row r="663" spans="1:10" x14ac:dyDescent="0.25">
      <c r="A663" s="2" t="s">
        <v>1985</v>
      </c>
      <c r="B663" s="2" t="s">
        <v>1986</v>
      </c>
      <c r="C663" s="2" t="s">
        <v>1987</v>
      </c>
      <c r="D663" s="2" t="s">
        <v>10041</v>
      </c>
      <c r="E663" s="15">
        <v>-1.3299999999999999E-2</v>
      </c>
      <c r="F663" s="15">
        <v>5.4300000000000001E-2</v>
      </c>
      <c r="G663" s="15">
        <v>0.80689999999999995</v>
      </c>
      <c r="H663" s="15">
        <v>0.1114</v>
      </c>
      <c r="I663" s="15">
        <v>1.9E-2</v>
      </c>
      <c r="J663" s="15">
        <v>6.2771739130434776</v>
      </c>
    </row>
    <row r="664" spans="1:10" x14ac:dyDescent="0.25">
      <c r="A664" s="2" t="s">
        <v>1988</v>
      </c>
      <c r="B664" s="2" t="s">
        <v>1989</v>
      </c>
      <c r="C664" s="2" t="s">
        <v>1990</v>
      </c>
      <c r="D664" s="2" t="s">
        <v>10041</v>
      </c>
      <c r="E664" s="15">
        <v>-4.9599999999999998E-2</v>
      </c>
      <c r="F664" s="15">
        <v>4.3999999999999997E-2</v>
      </c>
      <c r="G664" s="15">
        <v>0.25990000000000002</v>
      </c>
      <c r="H664" s="15">
        <v>0.2283</v>
      </c>
      <c r="I664" s="15">
        <v>2.06E-2</v>
      </c>
      <c r="J664" s="15">
        <v>11.388059701492541</v>
      </c>
    </row>
    <row r="665" spans="1:10" x14ac:dyDescent="0.25">
      <c r="A665" s="2" t="s">
        <v>1991</v>
      </c>
      <c r="B665" s="2" t="s">
        <v>1992</v>
      </c>
      <c r="C665" s="2" t="s">
        <v>1993</v>
      </c>
      <c r="D665" s="2" t="s">
        <v>10041</v>
      </c>
      <c r="E665" s="15">
        <v>4.9700000000000001E-2</v>
      </c>
      <c r="F665" s="15">
        <v>4.4999999999999998E-2</v>
      </c>
      <c r="G665" s="15">
        <v>0.27029999999999998</v>
      </c>
      <c r="H665" s="15">
        <v>0.1555</v>
      </c>
      <c r="I665" s="15">
        <v>2.0500000000000001E-2</v>
      </c>
      <c r="J665" s="15">
        <v>8.471502590673575</v>
      </c>
    </row>
    <row r="666" spans="1:10" x14ac:dyDescent="0.25">
      <c r="A666" s="2" t="s">
        <v>1994</v>
      </c>
      <c r="B666" s="2" t="s">
        <v>1995</v>
      </c>
      <c r="C666" s="2" t="s">
        <v>1996</v>
      </c>
      <c r="D666" s="2" t="s">
        <v>10041</v>
      </c>
      <c r="E666" s="15">
        <v>-1E-3</v>
      </c>
      <c r="F666" s="15">
        <v>4.0500000000000001E-2</v>
      </c>
      <c r="G666" s="15">
        <v>0.98029999999999995</v>
      </c>
      <c r="H666" s="15">
        <v>0.21010000000000001</v>
      </c>
      <c r="I666" s="15">
        <v>2.1899999999999999E-2</v>
      </c>
      <c r="J666" s="15">
        <v>10.429951690821261</v>
      </c>
    </row>
    <row r="667" spans="1:10" x14ac:dyDescent="0.25">
      <c r="A667" s="2" t="s">
        <v>1997</v>
      </c>
      <c r="B667" s="2" t="s">
        <v>1998</v>
      </c>
      <c r="C667" s="2" t="s">
        <v>1999</v>
      </c>
      <c r="D667" s="2" t="s">
        <v>10041</v>
      </c>
      <c r="E667" s="15">
        <v>1.1599999999999999E-2</v>
      </c>
      <c r="F667" s="15">
        <v>5.3699999999999998E-2</v>
      </c>
      <c r="G667" s="15">
        <v>0.82920000000000005</v>
      </c>
      <c r="H667" s="15">
        <v>0.13780000000000001</v>
      </c>
      <c r="I667" s="15">
        <v>1.7600000000000001E-2</v>
      </c>
      <c r="J667" s="15">
        <v>8.7256097560975601</v>
      </c>
    </row>
    <row r="668" spans="1:10" x14ac:dyDescent="0.25">
      <c r="A668" s="2" t="s">
        <v>2000</v>
      </c>
      <c r="B668" s="2" t="s">
        <v>2001</v>
      </c>
      <c r="C668" s="2" t="s">
        <v>2002</v>
      </c>
      <c r="D668" s="2" t="s">
        <v>10041</v>
      </c>
      <c r="E668" s="15">
        <v>3.6999999999999998E-2</v>
      </c>
      <c r="F668" s="15">
        <v>5.0900000000000001E-2</v>
      </c>
      <c r="G668" s="15">
        <v>0.46760000000000002</v>
      </c>
      <c r="H668" s="15">
        <v>0.1618</v>
      </c>
      <c r="I668" s="15">
        <v>2.0400000000000001E-2</v>
      </c>
      <c r="J668" s="15">
        <v>8.4897959183673475</v>
      </c>
    </row>
    <row r="669" spans="1:10" x14ac:dyDescent="0.25">
      <c r="A669" s="2" t="s">
        <v>2003</v>
      </c>
      <c r="B669" s="2" t="s">
        <v>2004</v>
      </c>
      <c r="C669" s="2" t="s">
        <v>2005</v>
      </c>
      <c r="D669" s="2" t="s">
        <v>10041</v>
      </c>
      <c r="E669" s="15">
        <v>1.7500000000000002E-2</v>
      </c>
      <c r="F669" s="15">
        <v>5.1299999999999998E-2</v>
      </c>
      <c r="G669" s="15">
        <v>0.73370000000000002</v>
      </c>
      <c r="H669" s="15">
        <v>0.17</v>
      </c>
      <c r="I669" s="15">
        <v>2.0799999999999999E-2</v>
      </c>
      <c r="J669" s="15">
        <v>9.055837563451778</v>
      </c>
    </row>
    <row r="670" spans="1:10" x14ac:dyDescent="0.25">
      <c r="A670" s="2" t="s">
        <v>2006</v>
      </c>
      <c r="B670" s="2" t="s">
        <v>2007</v>
      </c>
      <c r="C670" s="2" t="s">
        <v>2008</v>
      </c>
      <c r="D670" s="2" t="s">
        <v>10041</v>
      </c>
      <c r="E670" s="15">
        <v>6.0900000000000003E-2</v>
      </c>
      <c r="F670" s="15">
        <v>3.6499999999999998E-2</v>
      </c>
      <c r="G670" s="15">
        <v>9.4899999999999998E-2</v>
      </c>
      <c r="H670" s="15">
        <v>0.32500000000000001</v>
      </c>
      <c r="I670" s="15">
        <v>3.3599999999999998E-2</v>
      </c>
      <c r="J670" s="15">
        <v>11.197231833910029</v>
      </c>
    </row>
    <row r="671" spans="1:10" x14ac:dyDescent="0.25">
      <c r="A671" s="2" t="s">
        <v>2009</v>
      </c>
      <c r="B671" s="2" t="s">
        <v>2010</v>
      </c>
      <c r="C671" s="2" t="s">
        <v>2011</v>
      </c>
      <c r="D671" s="2" t="s">
        <v>10041</v>
      </c>
      <c r="E671" s="15">
        <v>-3.7900000000000003E-2</v>
      </c>
      <c r="F671" s="15">
        <v>4.8300000000000003E-2</v>
      </c>
      <c r="G671" s="15">
        <v>0.43230000000000002</v>
      </c>
      <c r="H671" s="15">
        <v>0.16089999999999999</v>
      </c>
      <c r="I671" s="15">
        <v>1.9E-2</v>
      </c>
      <c r="J671" s="15">
        <v>9.1428571428571423</v>
      </c>
    </row>
    <row r="672" spans="1:10" x14ac:dyDescent="0.25">
      <c r="A672" s="2" t="s">
        <v>2012</v>
      </c>
      <c r="B672" s="2" t="s">
        <v>2013</v>
      </c>
      <c r="C672" s="2" t="s">
        <v>2014</v>
      </c>
      <c r="D672" s="2" t="s">
        <v>10041</v>
      </c>
      <c r="E672" s="15">
        <v>-2.92E-2</v>
      </c>
      <c r="F672" s="15">
        <v>4.3400000000000001E-2</v>
      </c>
      <c r="G672" s="15">
        <v>0.50039999999999996</v>
      </c>
      <c r="H672" s="15">
        <v>0.1656</v>
      </c>
      <c r="I672" s="15">
        <v>3.8600000000000002E-2</v>
      </c>
      <c r="J672" s="15">
        <v>4.7714285714285714</v>
      </c>
    </row>
    <row r="673" spans="1:10" x14ac:dyDescent="0.25">
      <c r="A673" s="2" t="s">
        <v>2015</v>
      </c>
      <c r="B673" s="2" t="s">
        <v>2016</v>
      </c>
      <c r="C673" s="2" t="s">
        <v>2017</v>
      </c>
      <c r="D673" s="2" t="s">
        <v>10041</v>
      </c>
      <c r="E673" s="15">
        <v>3.3099999999999997E-2</v>
      </c>
      <c r="F673" s="15">
        <v>3.9899999999999998E-2</v>
      </c>
      <c r="G673" s="15">
        <v>0.40689999999999998</v>
      </c>
      <c r="H673" s="15">
        <v>0.21229999999999999</v>
      </c>
      <c r="I673" s="15">
        <v>2.4799999999999999E-2</v>
      </c>
      <c r="J673" s="15">
        <v>8.8863636363636367</v>
      </c>
    </row>
    <row r="674" spans="1:10" x14ac:dyDescent="0.25">
      <c r="A674" s="2" t="s">
        <v>2018</v>
      </c>
      <c r="B674" s="2" t="s">
        <v>2019</v>
      </c>
      <c r="C674" s="2" t="s">
        <v>2020</v>
      </c>
      <c r="D674" s="2" t="s">
        <v>10041</v>
      </c>
      <c r="E674" s="15">
        <v>-4.58E-2</v>
      </c>
      <c r="F674" s="15">
        <v>4.5699999999999998E-2</v>
      </c>
      <c r="G674" s="15">
        <v>0.31540000000000001</v>
      </c>
      <c r="H674" s="15">
        <v>0.2477</v>
      </c>
      <c r="I674" s="15">
        <v>2.3599999999999999E-2</v>
      </c>
      <c r="J674" s="15">
        <v>11.28571428571429</v>
      </c>
    </row>
    <row r="675" spans="1:10" x14ac:dyDescent="0.25">
      <c r="A675" s="2" t="s">
        <v>2021</v>
      </c>
      <c r="B675" s="2" t="s">
        <v>2022</v>
      </c>
      <c r="C675" s="2" t="s">
        <v>2023</v>
      </c>
      <c r="D675" s="2" t="s">
        <v>10041</v>
      </c>
      <c r="E675" s="15">
        <v>-1.6400000000000001E-2</v>
      </c>
      <c r="F675" s="15">
        <v>5.1200000000000002E-2</v>
      </c>
      <c r="G675" s="15">
        <v>0.74929999999999997</v>
      </c>
      <c r="H675" s="15">
        <v>0.15970000000000001</v>
      </c>
      <c r="I675" s="15">
        <v>1.95E-2</v>
      </c>
      <c r="J675" s="15">
        <v>9.6413043478260878</v>
      </c>
    </row>
    <row r="676" spans="1:10" x14ac:dyDescent="0.25">
      <c r="A676" s="2" t="s">
        <v>2024</v>
      </c>
      <c r="B676" s="2" t="s">
        <v>2025</v>
      </c>
      <c r="C676" s="2" t="s">
        <v>2026</v>
      </c>
      <c r="D676" s="2" t="s">
        <v>10041</v>
      </c>
      <c r="E676" s="15">
        <v>-1.61E-2</v>
      </c>
      <c r="F676" s="15">
        <v>3.9100000000000003E-2</v>
      </c>
      <c r="G676" s="15">
        <v>0.68079999999999996</v>
      </c>
      <c r="H676" s="15">
        <v>0.2455</v>
      </c>
      <c r="I676" s="15">
        <v>2.0400000000000001E-2</v>
      </c>
      <c r="J676" s="15">
        <v>13.08854166666667</v>
      </c>
    </row>
    <row r="677" spans="1:10" x14ac:dyDescent="0.25">
      <c r="A677" s="2" t="s">
        <v>2027</v>
      </c>
      <c r="B677" s="2" t="s">
        <v>2028</v>
      </c>
      <c r="C677" s="2" t="s">
        <v>2029</v>
      </c>
      <c r="D677" s="2" t="s">
        <v>10041</v>
      </c>
      <c r="E677" s="15">
        <v>1.7999999999999999E-2</v>
      </c>
      <c r="F677" s="15">
        <v>4.3099999999999999E-2</v>
      </c>
      <c r="G677" s="15">
        <v>0.67720000000000002</v>
      </c>
      <c r="H677" s="15">
        <v>0.23949999999999999</v>
      </c>
      <c r="I677" s="15">
        <v>2.7300000000000001E-2</v>
      </c>
      <c r="J677" s="15">
        <v>9.4108527131782935</v>
      </c>
    </row>
    <row r="678" spans="1:10" x14ac:dyDescent="0.25">
      <c r="A678" s="2" t="s">
        <v>2030</v>
      </c>
      <c r="B678" s="2" t="s">
        <v>2031</v>
      </c>
      <c r="C678" s="2" t="s">
        <v>2032</v>
      </c>
      <c r="D678" s="2" t="s">
        <v>10041</v>
      </c>
      <c r="E678" s="15">
        <v>-8.4400000000000003E-2</v>
      </c>
      <c r="F678" s="15">
        <v>4.0399999999999998E-2</v>
      </c>
      <c r="G678" s="15">
        <v>3.6900000000000002E-2</v>
      </c>
      <c r="H678" s="15">
        <v>0.19750000000000001</v>
      </c>
      <c r="I678" s="15">
        <v>2.1399999999999999E-2</v>
      </c>
      <c r="J678" s="15">
        <v>10.555</v>
      </c>
    </row>
    <row r="679" spans="1:10" x14ac:dyDescent="0.25">
      <c r="A679" s="2" t="s">
        <v>2033</v>
      </c>
      <c r="B679" s="2" t="s">
        <v>2034</v>
      </c>
      <c r="C679" s="2" t="s">
        <v>2035</v>
      </c>
      <c r="D679" s="2" t="s">
        <v>10041</v>
      </c>
      <c r="E679" s="15">
        <v>-1E-4</v>
      </c>
      <c r="F679" s="15">
        <v>3.4500000000000003E-2</v>
      </c>
      <c r="G679" s="15">
        <v>0.99709999999999999</v>
      </c>
      <c r="H679" s="15">
        <v>0.27810000000000001</v>
      </c>
      <c r="I679" s="15">
        <v>4.7199999999999999E-2</v>
      </c>
      <c r="J679" s="15">
        <v>7.205804749340369</v>
      </c>
    </row>
    <row r="680" spans="1:10" x14ac:dyDescent="0.25">
      <c r="A680" s="2" t="s">
        <v>2036</v>
      </c>
      <c r="B680" s="2" t="s">
        <v>2037</v>
      </c>
      <c r="C680" s="2" t="s">
        <v>2038</v>
      </c>
      <c r="D680" s="2" t="s">
        <v>10041</v>
      </c>
      <c r="E680" s="15">
        <v>-6.54E-2</v>
      </c>
      <c r="F680" s="15">
        <v>0.05</v>
      </c>
      <c r="G680" s="15">
        <v>0.1913</v>
      </c>
      <c r="H680" s="15">
        <v>0.16200000000000001</v>
      </c>
      <c r="I680" s="15">
        <v>1.8800000000000001E-2</v>
      </c>
      <c r="J680" s="15">
        <v>10.03314917127072</v>
      </c>
    </row>
    <row r="681" spans="1:10" x14ac:dyDescent="0.25">
      <c r="A681" s="2" t="s">
        <v>2039</v>
      </c>
      <c r="B681" s="2" t="s">
        <v>2040</v>
      </c>
      <c r="C681" s="2" t="s">
        <v>2041</v>
      </c>
      <c r="D681" s="2" t="s">
        <v>10041</v>
      </c>
      <c r="E681" s="15">
        <v>-7.6100000000000001E-2</v>
      </c>
      <c r="F681" s="15">
        <v>7.5800000000000006E-2</v>
      </c>
      <c r="G681" s="15">
        <v>0.3155</v>
      </c>
      <c r="H681" s="15">
        <v>5.8999999999999997E-2</v>
      </c>
      <c r="I681" s="15">
        <v>1.89E-2</v>
      </c>
      <c r="J681" s="15">
        <v>3.660714285714286</v>
      </c>
    </row>
    <row r="682" spans="1:10" x14ac:dyDescent="0.25">
      <c r="A682" s="2" t="s">
        <v>2042</v>
      </c>
      <c r="B682" s="2" t="s">
        <v>2043</v>
      </c>
      <c r="C682" s="2" t="s">
        <v>2044</v>
      </c>
      <c r="D682" s="2" t="s">
        <v>10041</v>
      </c>
      <c r="E682" s="15">
        <v>-6.6E-3</v>
      </c>
      <c r="F682" s="15">
        <v>4.6600000000000003E-2</v>
      </c>
      <c r="G682" s="15">
        <v>0.88670000000000004</v>
      </c>
      <c r="H682" s="15">
        <v>0.18290000000000001</v>
      </c>
      <c r="I682" s="15">
        <v>2.0500000000000001E-2</v>
      </c>
      <c r="J682" s="15">
        <v>10.58602150537634</v>
      </c>
    </row>
    <row r="683" spans="1:10" x14ac:dyDescent="0.25">
      <c r="A683" s="2" t="s">
        <v>2045</v>
      </c>
      <c r="B683" s="2" t="s">
        <v>2046</v>
      </c>
      <c r="C683" s="2" t="s">
        <v>2047</v>
      </c>
      <c r="D683" s="2" t="s">
        <v>10041</v>
      </c>
      <c r="E683" s="15">
        <v>-5.0799999999999998E-2</v>
      </c>
      <c r="F683" s="15">
        <v>4.1799999999999997E-2</v>
      </c>
      <c r="G683" s="15">
        <v>0.22370000000000001</v>
      </c>
      <c r="H683" s="15">
        <v>0.20599999999999999</v>
      </c>
      <c r="I683" s="15">
        <v>1.9599999999999999E-2</v>
      </c>
      <c r="J683" s="15">
        <v>11.19354838709677</v>
      </c>
    </row>
    <row r="684" spans="1:10" x14ac:dyDescent="0.25">
      <c r="A684" s="2" t="s">
        <v>2048</v>
      </c>
      <c r="B684" s="2" t="s">
        <v>2049</v>
      </c>
      <c r="C684" s="2" t="s">
        <v>2050</v>
      </c>
      <c r="D684" s="2" t="s">
        <v>10041</v>
      </c>
      <c r="E684" s="15">
        <v>-4.3499999999999997E-2</v>
      </c>
      <c r="F684" s="15">
        <v>3.5400000000000001E-2</v>
      </c>
      <c r="G684" s="15">
        <v>0.21970000000000001</v>
      </c>
      <c r="H684" s="15">
        <v>0.31390000000000001</v>
      </c>
      <c r="I684" s="15">
        <v>2.8199999999999999E-2</v>
      </c>
      <c r="J684" s="15">
        <v>12.938524590163929</v>
      </c>
    </row>
    <row r="685" spans="1:10" x14ac:dyDescent="0.25">
      <c r="A685" s="2" t="s">
        <v>2051</v>
      </c>
      <c r="B685" s="2" t="s">
        <v>2052</v>
      </c>
      <c r="C685" s="2" t="s">
        <v>2053</v>
      </c>
      <c r="D685" s="2" t="s">
        <v>10041</v>
      </c>
      <c r="E685" s="15">
        <v>-2.01E-2</v>
      </c>
      <c r="F685" s="15">
        <v>4.5999999999999999E-2</v>
      </c>
      <c r="G685" s="15">
        <v>0.6623</v>
      </c>
      <c r="H685" s="15">
        <v>0.16289999999999999</v>
      </c>
      <c r="I685" s="15">
        <v>2.0299999999999999E-2</v>
      </c>
      <c r="J685" s="15">
        <v>8.4536082474226806</v>
      </c>
    </row>
    <row r="686" spans="1:10" x14ac:dyDescent="0.25">
      <c r="A686" s="2" t="s">
        <v>2054</v>
      </c>
      <c r="B686" s="2" t="s">
        <v>2055</v>
      </c>
      <c r="C686" s="2" t="s">
        <v>2056</v>
      </c>
      <c r="D686" s="2" t="s">
        <v>10041</v>
      </c>
      <c r="E686" s="15">
        <v>-2.5000000000000001E-2</v>
      </c>
      <c r="F686" s="15">
        <v>5.5E-2</v>
      </c>
      <c r="G686" s="15">
        <v>0.6492</v>
      </c>
      <c r="H686" s="15">
        <v>0.11799999999999999</v>
      </c>
      <c r="I686" s="15">
        <v>1.83E-2</v>
      </c>
      <c r="J686" s="15">
        <v>7.0119047619047628</v>
      </c>
    </row>
    <row r="687" spans="1:10" x14ac:dyDescent="0.25">
      <c r="A687" s="2" t="s">
        <v>2057</v>
      </c>
      <c r="B687" s="2" t="s">
        <v>2058</v>
      </c>
      <c r="C687" s="2" t="s">
        <v>2059</v>
      </c>
      <c r="D687" s="2" t="s">
        <v>10041</v>
      </c>
      <c r="E687" s="15">
        <v>8.8999999999999999E-3</v>
      </c>
      <c r="F687" s="15">
        <v>4.2700000000000002E-2</v>
      </c>
      <c r="G687" s="15">
        <v>0.83479999999999999</v>
      </c>
      <c r="H687" s="15">
        <v>0.19769999999999999</v>
      </c>
      <c r="I687" s="15">
        <v>2.5399999999999999E-2</v>
      </c>
      <c r="J687" s="15">
        <v>8.6595744680851059</v>
      </c>
    </row>
    <row r="688" spans="1:10" x14ac:dyDescent="0.25">
      <c r="A688" s="2" t="s">
        <v>2060</v>
      </c>
      <c r="B688" s="2" t="s">
        <v>2061</v>
      </c>
      <c r="C688" s="2" t="s">
        <v>2062</v>
      </c>
      <c r="D688" s="2" t="s">
        <v>10041</v>
      </c>
      <c r="E688" s="15">
        <v>3.3700000000000001E-2</v>
      </c>
      <c r="F688" s="15">
        <v>3.5099999999999999E-2</v>
      </c>
      <c r="G688" s="15">
        <v>0.33600000000000002</v>
      </c>
      <c r="H688" s="15">
        <v>0.26390000000000002</v>
      </c>
      <c r="I688" s="15">
        <v>2.5399999999999999E-2</v>
      </c>
      <c r="J688" s="15">
        <v>12.4</v>
      </c>
    </row>
    <row r="689" spans="1:10" x14ac:dyDescent="0.25">
      <c r="A689" s="2" t="s">
        <v>2063</v>
      </c>
      <c r="B689" s="2" t="s">
        <v>2064</v>
      </c>
      <c r="C689" s="2" t="s">
        <v>2065</v>
      </c>
      <c r="D689" s="2" t="s">
        <v>10041</v>
      </c>
      <c r="E689" s="15">
        <v>6.1600000000000002E-2</v>
      </c>
      <c r="F689" s="15">
        <v>4.7699999999999999E-2</v>
      </c>
      <c r="G689" s="15">
        <v>0.19650000000000001</v>
      </c>
      <c r="H689" s="15">
        <v>0.1598</v>
      </c>
      <c r="I689" s="15">
        <v>0.02</v>
      </c>
      <c r="J689" s="15">
        <v>8.0669856459330145</v>
      </c>
    </row>
    <row r="690" spans="1:10" x14ac:dyDescent="0.25">
      <c r="A690" s="2" t="s">
        <v>2066</v>
      </c>
      <c r="B690" s="2" t="s">
        <v>2067</v>
      </c>
      <c r="C690" s="2" t="s">
        <v>2068</v>
      </c>
      <c r="D690" s="2" t="s">
        <v>10041</v>
      </c>
      <c r="E690" s="15">
        <v>1.9E-3</v>
      </c>
      <c r="F690" s="15">
        <v>4.5999999999999999E-2</v>
      </c>
      <c r="G690" s="15">
        <v>0.96730000000000005</v>
      </c>
      <c r="H690" s="15">
        <v>0.18959999999999999</v>
      </c>
      <c r="I690" s="15">
        <v>2.3199999999999998E-2</v>
      </c>
      <c r="J690" s="15">
        <v>9.266990291262136</v>
      </c>
    </row>
    <row r="691" spans="1:10" x14ac:dyDescent="0.25">
      <c r="A691" s="2" t="s">
        <v>2069</v>
      </c>
      <c r="B691" s="2" t="s">
        <v>2070</v>
      </c>
      <c r="C691" s="2" t="s">
        <v>2071</v>
      </c>
      <c r="D691" s="2" t="s">
        <v>10041</v>
      </c>
      <c r="E691" s="15">
        <v>-5.1999999999999998E-2</v>
      </c>
      <c r="F691" s="15">
        <v>4.7399999999999998E-2</v>
      </c>
      <c r="G691" s="15">
        <v>0.2727</v>
      </c>
      <c r="H691" s="15">
        <v>0.1842</v>
      </c>
      <c r="I691" s="15">
        <v>2.01E-2</v>
      </c>
      <c r="J691" s="15">
        <v>9.9473684210526319</v>
      </c>
    </row>
    <row r="692" spans="1:10" x14ac:dyDescent="0.25">
      <c r="A692" s="2" t="s">
        <v>2072</v>
      </c>
      <c r="B692" s="2" t="s">
        <v>2073</v>
      </c>
      <c r="C692" s="2" t="s">
        <v>2074</v>
      </c>
      <c r="D692" s="2" t="s">
        <v>10041</v>
      </c>
      <c r="E692" s="15">
        <v>-7.1400000000000005E-2</v>
      </c>
      <c r="F692" s="15">
        <v>4.6199999999999998E-2</v>
      </c>
      <c r="G692" s="15">
        <v>0.12180000000000001</v>
      </c>
      <c r="H692" s="15">
        <v>0.22570000000000001</v>
      </c>
      <c r="I692" s="15">
        <v>1.9199999999999998E-2</v>
      </c>
      <c r="J692" s="15">
        <v>12.707182320441991</v>
      </c>
    </row>
    <row r="693" spans="1:10" x14ac:dyDescent="0.25">
      <c r="A693" s="2" t="s">
        <v>2075</v>
      </c>
      <c r="B693" s="2" t="s">
        <v>2076</v>
      </c>
      <c r="C693" s="2" t="s">
        <v>2077</v>
      </c>
      <c r="D693" s="2" t="s">
        <v>10041</v>
      </c>
      <c r="E693" s="15">
        <v>-4.7600000000000003E-2</v>
      </c>
      <c r="F693" s="15">
        <v>4.9000000000000002E-2</v>
      </c>
      <c r="G693" s="15">
        <v>0.33079999999999998</v>
      </c>
      <c r="H693" s="15">
        <v>0.16950000000000001</v>
      </c>
      <c r="I693" s="15">
        <v>2.0400000000000001E-2</v>
      </c>
      <c r="J693" s="15">
        <v>9.1970443349753701</v>
      </c>
    </row>
    <row r="694" spans="1:10" x14ac:dyDescent="0.25">
      <c r="A694" s="2" t="s">
        <v>2078</v>
      </c>
      <c r="B694" s="2" t="s">
        <v>2079</v>
      </c>
      <c r="C694" s="2" t="s">
        <v>2080</v>
      </c>
      <c r="D694" s="2" t="s">
        <v>10041</v>
      </c>
      <c r="E694" s="15">
        <v>-5.8099999999999999E-2</v>
      </c>
      <c r="F694" s="15">
        <v>3.8199999999999998E-2</v>
      </c>
      <c r="G694" s="15">
        <v>0.1283</v>
      </c>
      <c r="H694" s="15">
        <v>0.2351</v>
      </c>
      <c r="I694" s="15">
        <v>2.4899999999999999E-2</v>
      </c>
      <c r="J694" s="15">
        <v>10.51769911504425</v>
      </c>
    </row>
    <row r="695" spans="1:10" x14ac:dyDescent="0.25">
      <c r="A695" s="2" t="s">
        <v>2081</v>
      </c>
      <c r="B695" s="2" t="s">
        <v>2082</v>
      </c>
      <c r="C695" s="2" t="s">
        <v>2083</v>
      </c>
      <c r="D695" s="2" t="s">
        <v>10041</v>
      </c>
      <c r="E695" s="15">
        <v>7.3000000000000001E-3</v>
      </c>
      <c r="F695" s="15">
        <v>4.5499999999999999E-2</v>
      </c>
      <c r="G695" s="15">
        <v>0.87290000000000001</v>
      </c>
      <c r="H695" s="15">
        <v>0.1802</v>
      </c>
      <c r="I695" s="15">
        <v>2.01E-2</v>
      </c>
      <c r="J695" s="15">
        <v>8.9547738693467327</v>
      </c>
    </row>
    <row r="696" spans="1:10" x14ac:dyDescent="0.25">
      <c r="A696" s="2" t="s">
        <v>2084</v>
      </c>
      <c r="B696" s="2" t="s">
        <v>2085</v>
      </c>
      <c r="C696" s="2" t="s">
        <v>2086</v>
      </c>
      <c r="D696" s="2" t="s">
        <v>10041</v>
      </c>
      <c r="E696" s="15">
        <v>9.4000000000000004E-3</v>
      </c>
      <c r="F696" s="15">
        <v>3.8800000000000001E-2</v>
      </c>
      <c r="G696" s="15">
        <v>0.80869999999999997</v>
      </c>
      <c r="H696" s="15">
        <v>0.25</v>
      </c>
      <c r="I696" s="15">
        <v>2.7099999999999999E-2</v>
      </c>
      <c r="J696" s="15">
        <v>10.52049180327869</v>
      </c>
    </row>
    <row r="697" spans="1:10" x14ac:dyDescent="0.25">
      <c r="A697" s="2" t="s">
        <v>2087</v>
      </c>
      <c r="B697" s="2" t="s">
        <v>2088</v>
      </c>
      <c r="C697" s="2" t="s">
        <v>2089</v>
      </c>
      <c r="D697" s="2" t="s">
        <v>10041</v>
      </c>
      <c r="E697" s="15">
        <v>4.9000000000000002E-2</v>
      </c>
      <c r="F697" s="15">
        <v>4.5699999999999998E-2</v>
      </c>
      <c r="G697" s="15">
        <v>0.28360000000000002</v>
      </c>
      <c r="H697" s="15">
        <v>0.18260000000000001</v>
      </c>
      <c r="I697" s="15">
        <v>1.9900000000000001E-2</v>
      </c>
      <c r="J697" s="15">
        <v>9.9946236559139798</v>
      </c>
    </row>
    <row r="698" spans="1:10" x14ac:dyDescent="0.25">
      <c r="A698" s="2" t="s">
        <v>2090</v>
      </c>
      <c r="B698" s="2" t="s">
        <v>2091</v>
      </c>
      <c r="C698" s="2" t="s">
        <v>2092</v>
      </c>
      <c r="D698" s="2" t="s">
        <v>10041</v>
      </c>
      <c r="E698" s="15">
        <v>-0.10290000000000001</v>
      </c>
      <c r="F698" s="15">
        <v>4.2200000000000001E-2</v>
      </c>
      <c r="G698" s="15">
        <v>1.46E-2</v>
      </c>
      <c r="H698" s="15">
        <v>0.23719999999999999</v>
      </c>
      <c r="I698" s="15">
        <v>2.2499999999999999E-2</v>
      </c>
      <c r="J698" s="15">
        <v>11.00446428571429</v>
      </c>
    </row>
    <row r="699" spans="1:10" x14ac:dyDescent="0.25">
      <c r="A699" s="2" t="s">
        <v>2093</v>
      </c>
      <c r="B699" s="2" t="s">
        <v>2094</v>
      </c>
      <c r="C699" s="2" t="s">
        <v>2095</v>
      </c>
      <c r="D699" s="2" t="s">
        <v>10041</v>
      </c>
      <c r="E699" s="15">
        <v>1.09E-2</v>
      </c>
      <c r="F699" s="15">
        <v>4.4299999999999999E-2</v>
      </c>
      <c r="G699" s="15">
        <v>0.80610000000000004</v>
      </c>
      <c r="H699" s="15">
        <v>0.1462</v>
      </c>
      <c r="I699" s="15">
        <v>1.78E-2</v>
      </c>
      <c r="J699" s="15">
        <v>9.1758241758241752</v>
      </c>
    </row>
    <row r="700" spans="1:10" x14ac:dyDescent="0.25">
      <c r="A700" s="2" t="s">
        <v>2096</v>
      </c>
      <c r="B700" s="2" t="s">
        <v>2097</v>
      </c>
      <c r="C700" s="2" t="s">
        <v>2098</v>
      </c>
      <c r="D700" s="2" t="s">
        <v>10041</v>
      </c>
      <c r="E700" s="15">
        <v>2.4799999999999999E-2</v>
      </c>
      <c r="F700" s="15">
        <v>4.2200000000000001E-2</v>
      </c>
      <c r="G700" s="15">
        <v>0.55620000000000003</v>
      </c>
      <c r="H700" s="15">
        <v>0.1996</v>
      </c>
      <c r="I700" s="15">
        <v>2.7400000000000001E-2</v>
      </c>
      <c r="J700" s="15">
        <v>7.984313725490197</v>
      </c>
    </row>
    <row r="701" spans="1:10" x14ac:dyDescent="0.25">
      <c r="A701" s="2" t="s">
        <v>2099</v>
      </c>
      <c r="B701" s="2" t="s">
        <v>2100</v>
      </c>
      <c r="C701" s="2" t="s">
        <v>2101</v>
      </c>
      <c r="D701" s="2" t="s">
        <v>10041</v>
      </c>
      <c r="E701" s="15">
        <v>5.0500000000000003E-2</v>
      </c>
      <c r="F701" s="15">
        <v>4.9799999999999997E-2</v>
      </c>
      <c r="G701" s="15">
        <v>0.30980000000000002</v>
      </c>
      <c r="H701" s="15">
        <v>0.12939999999999999</v>
      </c>
      <c r="I701" s="15">
        <v>1.9699999999999999E-2</v>
      </c>
      <c r="J701" s="15">
        <v>7.7513812154696131</v>
      </c>
    </row>
    <row r="702" spans="1:10" x14ac:dyDescent="0.25">
      <c r="A702" s="2" t="s">
        <v>2102</v>
      </c>
      <c r="B702" s="2" t="s">
        <v>2103</v>
      </c>
      <c r="C702" s="2" t="s">
        <v>2104</v>
      </c>
      <c r="D702" s="2" t="s">
        <v>10041</v>
      </c>
      <c r="E702" s="15">
        <v>3.5000000000000001E-3</v>
      </c>
      <c r="F702" s="15">
        <v>4.7699999999999999E-2</v>
      </c>
      <c r="G702" s="15">
        <v>0.94089999999999996</v>
      </c>
      <c r="H702" s="15">
        <v>0.17560000000000001</v>
      </c>
      <c r="I702" s="15">
        <v>1.72E-2</v>
      </c>
      <c r="J702" s="15">
        <v>10.842105263157899</v>
      </c>
    </row>
    <row r="703" spans="1:10" x14ac:dyDescent="0.25">
      <c r="A703" s="2" t="s">
        <v>2105</v>
      </c>
      <c r="B703" s="2" t="s">
        <v>2106</v>
      </c>
      <c r="C703" s="2" t="s">
        <v>2107</v>
      </c>
      <c r="D703" s="2" t="s">
        <v>10041</v>
      </c>
      <c r="E703" s="15">
        <v>8.3500000000000005E-2</v>
      </c>
      <c r="F703" s="15">
        <v>4.9000000000000002E-2</v>
      </c>
      <c r="G703" s="15">
        <v>8.8300000000000003E-2</v>
      </c>
      <c r="H703" s="15">
        <v>0.1429</v>
      </c>
      <c r="I703" s="15">
        <v>2.0799999999999999E-2</v>
      </c>
      <c r="J703" s="15">
        <v>7.589999999999999</v>
      </c>
    </row>
    <row r="704" spans="1:10" x14ac:dyDescent="0.25">
      <c r="A704" s="2" t="s">
        <v>2108</v>
      </c>
      <c r="B704" s="2" t="s">
        <v>2109</v>
      </c>
      <c r="C704" s="2" t="s">
        <v>2110</v>
      </c>
      <c r="D704" s="2" t="s">
        <v>10041</v>
      </c>
      <c r="E704" s="15">
        <v>3.4599999999999999E-2</v>
      </c>
      <c r="F704" s="15">
        <v>3.44E-2</v>
      </c>
      <c r="G704" s="15">
        <v>0.3155</v>
      </c>
      <c r="H704" s="15">
        <v>0.33989999999999998</v>
      </c>
      <c r="I704" s="15">
        <v>3.4200000000000001E-2</v>
      </c>
      <c r="J704" s="15">
        <v>11.35215946843854</v>
      </c>
    </row>
    <row r="705" spans="1:10" x14ac:dyDescent="0.25">
      <c r="A705" s="2" t="s">
        <v>2111</v>
      </c>
      <c r="B705" s="2" t="s">
        <v>2112</v>
      </c>
      <c r="C705" s="2" t="s">
        <v>2113</v>
      </c>
      <c r="D705" s="2" t="s">
        <v>10041</v>
      </c>
      <c r="E705" s="15">
        <v>-0.1132</v>
      </c>
      <c r="F705" s="15">
        <v>4.3799999999999999E-2</v>
      </c>
      <c r="G705" s="15">
        <v>9.7999999999999997E-3</v>
      </c>
      <c r="H705" s="15">
        <v>0.16889999999999999</v>
      </c>
      <c r="I705" s="15">
        <v>2.0799999999999999E-2</v>
      </c>
      <c r="J705" s="15">
        <v>9.0050000000000008</v>
      </c>
    </row>
    <row r="706" spans="1:10" x14ac:dyDescent="0.25">
      <c r="A706" s="2" t="s">
        <v>2114</v>
      </c>
      <c r="B706" s="2" t="s">
        <v>2115</v>
      </c>
      <c r="C706" s="2" t="s">
        <v>2116</v>
      </c>
      <c r="D706" s="2" t="s">
        <v>10041</v>
      </c>
      <c r="E706" s="15">
        <v>-9.1999999999999998E-3</v>
      </c>
      <c r="F706" s="15">
        <v>4.4400000000000002E-2</v>
      </c>
      <c r="G706" s="15">
        <v>0.83650000000000002</v>
      </c>
      <c r="H706" s="15">
        <v>0.17249999999999999</v>
      </c>
      <c r="I706" s="15">
        <v>2.6599999999999999E-2</v>
      </c>
      <c r="J706" s="15">
        <v>7.4541666666666666</v>
      </c>
    </row>
    <row r="707" spans="1:10" x14ac:dyDescent="0.25">
      <c r="A707" s="2" t="s">
        <v>2117</v>
      </c>
      <c r="B707" s="2" t="s">
        <v>2118</v>
      </c>
      <c r="C707" s="2" t="s">
        <v>2119</v>
      </c>
      <c r="D707" s="2" t="s">
        <v>10041</v>
      </c>
      <c r="E707" s="15">
        <v>2.5999999999999999E-3</v>
      </c>
      <c r="F707" s="15">
        <v>3.7900000000000003E-2</v>
      </c>
      <c r="G707" s="15">
        <v>0.94430000000000003</v>
      </c>
      <c r="H707" s="15">
        <v>0.22700000000000001</v>
      </c>
      <c r="I707" s="15">
        <v>2.6100000000000002E-2</v>
      </c>
      <c r="J707" s="15">
        <v>8.7372262773722618</v>
      </c>
    </row>
    <row r="708" spans="1:10" x14ac:dyDescent="0.25">
      <c r="A708" s="2" t="s">
        <v>2120</v>
      </c>
      <c r="B708" s="2" t="s">
        <v>2121</v>
      </c>
      <c r="C708" s="2" t="s">
        <v>2122</v>
      </c>
      <c r="D708" s="2" t="s">
        <v>10041</v>
      </c>
      <c r="E708" s="15">
        <v>-5.04E-2</v>
      </c>
      <c r="F708" s="15">
        <v>4.4299999999999999E-2</v>
      </c>
      <c r="G708" s="15">
        <v>0.25519999999999998</v>
      </c>
      <c r="H708" s="15">
        <v>0.21870000000000001</v>
      </c>
      <c r="I708" s="15">
        <v>2.3900000000000001E-2</v>
      </c>
      <c r="J708" s="15">
        <v>11.231884057971021</v>
      </c>
    </row>
    <row r="709" spans="1:10" x14ac:dyDescent="0.25">
      <c r="A709" s="2" t="s">
        <v>2123</v>
      </c>
      <c r="B709" s="2" t="s">
        <v>2124</v>
      </c>
      <c r="C709" s="2" t="s">
        <v>2125</v>
      </c>
      <c r="D709" s="2" t="s">
        <v>10041</v>
      </c>
      <c r="E709" s="15">
        <v>3.8999999999999998E-3</v>
      </c>
      <c r="F709" s="15">
        <v>5.57E-2</v>
      </c>
      <c r="G709" s="15">
        <v>0.9446</v>
      </c>
      <c r="H709" s="15">
        <v>0.123</v>
      </c>
      <c r="I709" s="15">
        <v>1.6299999999999999E-2</v>
      </c>
      <c r="J709" s="15">
        <v>7.5063291139240498</v>
      </c>
    </row>
    <row r="710" spans="1:10" x14ac:dyDescent="0.25">
      <c r="A710" s="2" t="s">
        <v>2126</v>
      </c>
      <c r="B710" s="2" t="s">
        <v>2127</v>
      </c>
      <c r="C710" s="2" t="s">
        <v>2128</v>
      </c>
      <c r="D710" s="2" t="s">
        <v>10041</v>
      </c>
      <c r="E710" s="15">
        <v>-6.4600000000000005E-2</v>
      </c>
      <c r="F710" s="15">
        <v>4.3400000000000001E-2</v>
      </c>
      <c r="G710" s="15">
        <v>0.1366</v>
      </c>
      <c r="H710" s="15">
        <v>0.21990000000000001</v>
      </c>
      <c r="I710" s="15">
        <v>1.9800000000000002E-2</v>
      </c>
      <c r="J710" s="15">
        <v>12.481081081081079</v>
      </c>
    </row>
    <row r="711" spans="1:10" x14ac:dyDescent="0.25">
      <c r="A711" s="2" t="s">
        <v>2129</v>
      </c>
      <c r="B711" s="2" t="s">
        <v>2130</v>
      </c>
      <c r="C711" s="2" t="s">
        <v>2131</v>
      </c>
      <c r="D711" s="2" t="s">
        <v>10041</v>
      </c>
      <c r="E711" s="15">
        <v>1.2800000000000001E-2</v>
      </c>
      <c r="F711" s="15">
        <v>4.5999999999999999E-2</v>
      </c>
      <c r="G711" s="15">
        <v>0.78110000000000002</v>
      </c>
      <c r="H711" s="15">
        <v>0.2031</v>
      </c>
      <c r="I711" s="15">
        <v>2.0799999999999999E-2</v>
      </c>
      <c r="J711" s="15">
        <v>10.6078431372549</v>
      </c>
    </row>
    <row r="712" spans="1:10" x14ac:dyDescent="0.25">
      <c r="A712" s="2" t="s">
        <v>2132</v>
      </c>
      <c r="B712" s="2" t="s">
        <v>2133</v>
      </c>
      <c r="C712" s="2" t="s">
        <v>2134</v>
      </c>
      <c r="D712" s="2" t="s">
        <v>10041</v>
      </c>
      <c r="E712" s="15">
        <v>-5.9700000000000003E-2</v>
      </c>
      <c r="F712" s="15">
        <v>4.53E-2</v>
      </c>
      <c r="G712" s="15">
        <v>0.18729999999999999</v>
      </c>
      <c r="H712" s="15">
        <v>0.1817</v>
      </c>
      <c r="I712" s="15">
        <v>1.9E-2</v>
      </c>
      <c r="J712" s="15">
        <v>10.30939226519337</v>
      </c>
    </row>
    <row r="713" spans="1:10" x14ac:dyDescent="0.25">
      <c r="A713" s="2" t="s">
        <v>2135</v>
      </c>
      <c r="B713" s="2" t="s">
        <v>2136</v>
      </c>
      <c r="C713" s="2" t="s">
        <v>2137</v>
      </c>
      <c r="D713" s="2" t="s">
        <v>10041</v>
      </c>
      <c r="E713" s="15">
        <v>-1.4999999999999999E-2</v>
      </c>
      <c r="F713" s="15">
        <v>3.5799999999999998E-2</v>
      </c>
      <c r="G713" s="15">
        <v>0.67600000000000005</v>
      </c>
      <c r="H713" s="15">
        <v>0.25369999999999998</v>
      </c>
      <c r="I713" s="15">
        <v>3.5299999999999998E-2</v>
      </c>
      <c r="J713" s="15">
        <v>8.2364217252396159</v>
      </c>
    </row>
    <row r="714" spans="1:10" x14ac:dyDescent="0.25">
      <c r="A714" s="2" t="s">
        <v>2138</v>
      </c>
      <c r="B714" s="2" t="s">
        <v>2139</v>
      </c>
      <c r="C714" s="2" t="s">
        <v>2140</v>
      </c>
      <c r="D714" s="2" t="s">
        <v>10041</v>
      </c>
      <c r="E714" s="15">
        <v>-4.07E-2</v>
      </c>
      <c r="F714" s="15">
        <v>4.4400000000000002E-2</v>
      </c>
      <c r="G714" s="15">
        <v>0.35909999999999997</v>
      </c>
      <c r="H714" s="15">
        <v>0.1552</v>
      </c>
      <c r="I714" s="15">
        <v>1.9199999999999998E-2</v>
      </c>
      <c r="J714" s="15">
        <v>8.6842105263157894</v>
      </c>
    </row>
    <row r="715" spans="1:10" x14ac:dyDescent="0.25">
      <c r="A715" s="2" t="s">
        <v>2141</v>
      </c>
      <c r="B715" s="2" t="s">
        <v>2142</v>
      </c>
      <c r="C715" s="2" t="s">
        <v>2143</v>
      </c>
      <c r="D715" s="2" t="s">
        <v>10041</v>
      </c>
      <c r="E715" s="15">
        <v>2.8899999999999999E-2</v>
      </c>
      <c r="F715" s="15">
        <v>7.9500000000000001E-2</v>
      </c>
      <c r="G715" s="15">
        <v>0.71650000000000003</v>
      </c>
      <c r="H715" s="15">
        <v>7.0199999999999999E-2</v>
      </c>
      <c r="I715" s="15">
        <v>1.67E-2</v>
      </c>
      <c r="J715" s="15">
        <v>4.9210526315789478</v>
      </c>
    </row>
    <row r="716" spans="1:10" x14ac:dyDescent="0.25">
      <c r="A716" s="2" t="s">
        <v>2144</v>
      </c>
      <c r="B716" s="2" t="s">
        <v>2145</v>
      </c>
      <c r="C716" s="2" t="s">
        <v>2146</v>
      </c>
      <c r="D716" s="2" t="s">
        <v>10041</v>
      </c>
      <c r="E716" s="15">
        <v>-2.53E-2</v>
      </c>
      <c r="F716" s="15">
        <v>4.4299999999999999E-2</v>
      </c>
      <c r="G716" s="15">
        <v>0.56820000000000004</v>
      </c>
      <c r="H716" s="15">
        <v>0.2041</v>
      </c>
      <c r="I716" s="15">
        <v>0.02</v>
      </c>
      <c r="J716" s="15">
        <v>10.887179487179489</v>
      </c>
    </row>
    <row r="717" spans="1:10" x14ac:dyDescent="0.25">
      <c r="A717" s="2" t="s">
        <v>2147</v>
      </c>
      <c r="B717" s="2" t="s">
        <v>2148</v>
      </c>
      <c r="C717" s="2" t="s">
        <v>2149</v>
      </c>
      <c r="D717" s="2" t="s">
        <v>10041</v>
      </c>
      <c r="E717" s="15">
        <v>-3.1899999999999998E-2</v>
      </c>
      <c r="F717" s="15">
        <v>4.1000000000000002E-2</v>
      </c>
      <c r="G717" s="15">
        <v>0.43619999999999998</v>
      </c>
      <c r="H717" s="15">
        <v>0.20810000000000001</v>
      </c>
      <c r="I717" s="15">
        <v>2.3900000000000001E-2</v>
      </c>
      <c r="J717" s="15">
        <v>9.4977578475336308</v>
      </c>
    </row>
    <row r="718" spans="1:10" x14ac:dyDescent="0.25">
      <c r="A718" s="2" t="s">
        <v>2150</v>
      </c>
      <c r="B718" s="2" t="s">
        <v>2151</v>
      </c>
      <c r="C718" s="2" t="s">
        <v>2152</v>
      </c>
      <c r="D718" s="2" t="s">
        <v>10041</v>
      </c>
      <c r="E718" s="15">
        <v>-1.66E-2</v>
      </c>
      <c r="F718" s="15">
        <v>3.5299999999999998E-2</v>
      </c>
      <c r="G718" s="15">
        <v>0.63849999999999996</v>
      </c>
      <c r="H718" s="15">
        <v>0.2823</v>
      </c>
      <c r="I718" s="15">
        <v>2.4299999999999999E-2</v>
      </c>
      <c r="J718" s="15">
        <v>13.995215311004779</v>
      </c>
    </row>
    <row r="719" spans="1:10" x14ac:dyDescent="0.25">
      <c r="A719" s="2" t="s">
        <v>2153</v>
      </c>
      <c r="B719" s="2" t="s">
        <v>2154</v>
      </c>
      <c r="C719" s="2" t="s">
        <v>2155</v>
      </c>
      <c r="D719" s="2" t="s">
        <v>10041</v>
      </c>
      <c r="E719" s="15">
        <v>-8.5999999999999993E-2</v>
      </c>
      <c r="F719" s="15">
        <v>6.1899999999999997E-2</v>
      </c>
      <c r="G719" s="15">
        <v>0.16489999999999999</v>
      </c>
      <c r="H719" s="15">
        <v>9.5500000000000002E-2</v>
      </c>
      <c r="I719" s="15">
        <v>1.6500000000000001E-2</v>
      </c>
      <c r="J719" s="15">
        <v>6.2298136645962732</v>
      </c>
    </row>
    <row r="720" spans="1:10" x14ac:dyDescent="0.25">
      <c r="A720" s="2" t="s">
        <v>2156</v>
      </c>
      <c r="B720" s="2" t="s">
        <v>2157</v>
      </c>
      <c r="C720" s="2" t="s">
        <v>2158</v>
      </c>
      <c r="D720" s="2" t="s">
        <v>10041</v>
      </c>
      <c r="E720" s="15">
        <v>-4.6899999999999997E-2</v>
      </c>
      <c r="F720" s="15">
        <v>6.1499999999999999E-2</v>
      </c>
      <c r="G720" s="15">
        <v>0.44579999999999997</v>
      </c>
      <c r="H720" s="15">
        <v>9.3100000000000002E-2</v>
      </c>
      <c r="I720" s="15">
        <v>1.67E-2</v>
      </c>
      <c r="J720" s="15">
        <v>6.486486486486486</v>
      </c>
    </row>
    <row r="721" spans="1:10" x14ac:dyDescent="0.25">
      <c r="A721" s="2" t="s">
        <v>2159</v>
      </c>
      <c r="B721" s="2" t="s">
        <v>2160</v>
      </c>
      <c r="C721" s="2" t="s">
        <v>2161</v>
      </c>
      <c r="D721" s="2" t="s">
        <v>10041</v>
      </c>
      <c r="E721" s="15">
        <v>2.2700000000000001E-2</v>
      </c>
      <c r="F721" s="15">
        <v>5.1999999999999998E-2</v>
      </c>
      <c r="G721" s="15">
        <v>0.66190000000000004</v>
      </c>
      <c r="H721" s="15">
        <v>0.1376</v>
      </c>
      <c r="I721" s="15">
        <v>2.58E-2</v>
      </c>
      <c r="J721" s="15">
        <v>6.4935622317596557</v>
      </c>
    </row>
    <row r="722" spans="1:10" x14ac:dyDescent="0.25">
      <c r="A722" s="2" t="s">
        <v>2162</v>
      </c>
      <c r="B722" s="2" t="s">
        <v>2163</v>
      </c>
      <c r="C722" s="2" t="s">
        <v>2164</v>
      </c>
      <c r="D722" s="2" t="s">
        <v>10041</v>
      </c>
      <c r="E722" s="15">
        <v>7.7799999999999994E-2</v>
      </c>
      <c r="F722" s="15">
        <v>3.7999999999999999E-2</v>
      </c>
      <c r="G722" s="15">
        <v>4.0399999999999998E-2</v>
      </c>
      <c r="H722" s="15">
        <v>0.2571</v>
      </c>
      <c r="I722" s="15">
        <v>2.69E-2</v>
      </c>
      <c r="J722" s="15">
        <v>10.97530864197531</v>
      </c>
    </row>
    <row r="723" spans="1:10" x14ac:dyDescent="0.25">
      <c r="A723" s="2" t="s">
        <v>2165</v>
      </c>
      <c r="B723" s="2" t="s">
        <v>2166</v>
      </c>
      <c r="C723" s="2" t="s">
        <v>2167</v>
      </c>
      <c r="D723" s="2" t="s">
        <v>10041</v>
      </c>
      <c r="E723" s="15">
        <v>4.2099999999999999E-2</v>
      </c>
      <c r="F723" s="15">
        <v>5.6000000000000001E-2</v>
      </c>
      <c r="G723" s="15">
        <v>0.45269999999999999</v>
      </c>
      <c r="H723" s="15">
        <v>0.1164</v>
      </c>
      <c r="I723" s="15">
        <v>1.7399999999999999E-2</v>
      </c>
      <c r="J723" s="15">
        <v>7.9559748427672954</v>
      </c>
    </row>
    <row r="724" spans="1:10" x14ac:dyDescent="0.25">
      <c r="A724" s="2" t="s">
        <v>2168</v>
      </c>
      <c r="B724" s="2" t="s">
        <v>2169</v>
      </c>
      <c r="C724" s="2" t="s">
        <v>2170</v>
      </c>
      <c r="D724" s="2" t="s">
        <v>10041</v>
      </c>
      <c r="E724" s="15">
        <v>6.4000000000000003E-3</v>
      </c>
      <c r="F724" s="15">
        <v>4.4999999999999998E-2</v>
      </c>
      <c r="G724" s="15">
        <v>0.88649999999999995</v>
      </c>
      <c r="H724" s="15">
        <v>0.15809999999999999</v>
      </c>
      <c r="I724" s="15">
        <v>2.01E-2</v>
      </c>
      <c r="J724" s="15">
        <v>8.7914438502673793</v>
      </c>
    </row>
    <row r="725" spans="1:10" x14ac:dyDescent="0.25">
      <c r="A725" s="2" t="s">
        <v>2171</v>
      </c>
      <c r="B725" s="2" t="s">
        <v>2172</v>
      </c>
      <c r="C725" s="2" t="s">
        <v>2173</v>
      </c>
      <c r="D725" s="2" t="s">
        <v>10041</v>
      </c>
      <c r="E725" s="15">
        <v>-4.1500000000000002E-2</v>
      </c>
      <c r="F725" s="15">
        <v>4.6899999999999997E-2</v>
      </c>
      <c r="G725" s="15">
        <v>0.37630000000000002</v>
      </c>
      <c r="H725" s="15">
        <v>0.1757</v>
      </c>
      <c r="I725" s="15">
        <v>1.9199999999999998E-2</v>
      </c>
      <c r="J725" s="15">
        <v>10.601123595505619</v>
      </c>
    </row>
    <row r="726" spans="1:10" x14ac:dyDescent="0.25">
      <c r="A726" s="2" t="s">
        <v>2174</v>
      </c>
      <c r="B726" s="2" t="s">
        <v>2175</v>
      </c>
      <c r="C726" s="2" t="s">
        <v>2176</v>
      </c>
      <c r="D726" s="2" t="s">
        <v>10041</v>
      </c>
      <c r="E726" s="15">
        <v>-6.6865000000000004E-5</v>
      </c>
      <c r="F726" s="15">
        <v>4.6100000000000002E-2</v>
      </c>
      <c r="G726" s="15">
        <v>0.99880000000000002</v>
      </c>
      <c r="H726" s="15">
        <v>0.16270000000000001</v>
      </c>
      <c r="I726" s="15">
        <v>1.7600000000000001E-2</v>
      </c>
      <c r="J726" s="15">
        <v>9.9884393063583818</v>
      </c>
    </row>
    <row r="727" spans="1:10" x14ac:dyDescent="0.25">
      <c r="A727" s="2" t="s">
        <v>2177</v>
      </c>
      <c r="B727" s="2" t="s">
        <v>2178</v>
      </c>
      <c r="C727" s="2" t="s">
        <v>2179</v>
      </c>
      <c r="D727" s="2" t="s">
        <v>10041</v>
      </c>
      <c r="E727" s="15">
        <v>-4.9299999999999997E-2</v>
      </c>
      <c r="F727" s="15">
        <v>5.3699999999999998E-2</v>
      </c>
      <c r="G727" s="15">
        <v>0.35920000000000002</v>
      </c>
      <c r="H727" s="15">
        <v>0.17150000000000001</v>
      </c>
      <c r="I727" s="15">
        <v>2.0799999999999999E-2</v>
      </c>
      <c r="J727" s="15">
        <v>9.1707317073170724</v>
      </c>
    </row>
    <row r="728" spans="1:10" x14ac:dyDescent="0.25">
      <c r="A728" s="2" t="s">
        <v>2180</v>
      </c>
      <c r="B728" s="2" t="s">
        <v>2181</v>
      </c>
      <c r="C728" s="2" t="s">
        <v>2182</v>
      </c>
      <c r="D728" s="2" t="s">
        <v>10041</v>
      </c>
      <c r="E728" s="15">
        <v>3.8899999999999997E-2</v>
      </c>
      <c r="F728" s="15">
        <v>4.7100000000000003E-2</v>
      </c>
      <c r="G728" s="15">
        <v>0.40920000000000001</v>
      </c>
      <c r="H728" s="15">
        <v>0.1792</v>
      </c>
      <c r="I728" s="15">
        <v>2.1000000000000001E-2</v>
      </c>
      <c r="J728" s="15">
        <v>9.67</v>
      </c>
    </row>
    <row r="729" spans="1:10" x14ac:dyDescent="0.25">
      <c r="A729" s="2" t="s">
        <v>2183</v>
      </c>
      <c r="B729" s="2" t="s">
        <v>2184</v>
      </c>
      <c r="C729" s="2" t="s">
        <v>2185</v>
      </c>
      <c r="D729" s="2" t="s">
        <v>10041</v>
      </c>
      <c r="E729" s="15">
        <v>-6.4999999999999997E-3</v>
      </c>
      <c r="F729" s="15">
        <v>3.9E-2</v>
      </c>
      <c r="G729" s="15">
        <v>0.8669</v>
      </c>
      <c r="H729" s="15">
        <v>0.2384</v>
      </c>
      <c r="I729" s="15">
        <v>2.58E-2</v>
      </c>
      <c r="J729" s="15">
        <v>10.96995708154506</v>
      </c>
    </row>
    <row r="730" spans="1:10" x14ac:dyDescent="0.25">
      <c r="A730" s="2" t="s">
        <v>2186</v>
      </c>
      <c r="B730" s="2" t="s">
        <v>2187</v>
      </c>
      <c r="C730" s="2" t="s">
        <v>2188</v>
      </c>
      <c r="D730" s="2" t="s">
        <v>10041</v>
      </c>
      <c r="E730" s="15">
        <v>9.1940000000000004E-5</v>
      </c>
      <c r="F730" s="15">
        <v>3.8199999999999998E-2</v>
      </c>
      <c r="G730" s="15">
        <v>0.99809999999999999</v>
      </c>
      <c r="H730" s="15">
        <v>0.2382</v>
      </c>
      <c r="I730" s="15">
        <v>2.47E-2</v>
      </c>
      <c r="J730" s="15">
        <v>10.99555555555556</v>
      </c>
    </row>
    <row r="731" spans="1:10" x14ac:dyDescent="0.25">
      <c r="A731" s="2" t="s">
        <v>2189</v>
      </c>
      <c r="B731" s="2" t="s">
        <v>2190</v>
      </c>
      <c r="C731" s="2" t="s">
        <v>2191</v>
      </c>
      <c r="D731" s="2" t="s">
        <v>10041</v>
      </c>
      <c r="E731" s="15">
        <v>-7.3200000000000001E-2</v>
      </c>
      <c r="F731" s="15">
        <v>6.1100000000000002E-2</v>
      </c>
      <c r="G731" s="15">
        <v>0.23080000000000001</v>
      </c>
      <c r="H731" s="15">
        <v>9.5100000000000004E-2</v>
      </c>
      <c r="I731" s="15">
        <v>1.84E-2</v>
      </c>
      <c r="J731" s="15">
        <v>5.6327683615819204</v>
      </c>
    </row>
    <row r="732" spans="1:10" x14ac:dyDescent="0.25">
      <c r="A732" s="2" t="s">
        <v>2192</v>
      </c>
      <c r="B732" s="2" t="s">
        <v>2193</v>
      </c>
      <c r="C732" s="2" t="s">
        <v>2194</v>
      </c>
      <c r="D732" s="2" t="s">
        <v>10041</v>
      </c>
      <c r="E732" s="15">
        <v>-4.5699999999999998E-2</v>
      </c>
      <c r="F732" s="15">
        <v>4.24E-2</v>
      </c>
      <c r="G732" s="15">
        <v>0.28029999999999999</v>
      </c>
      <c r="H732" s="15">
        <v>0.22189999999999999</v>
      </c>
      <c r="I732" s="15">
        <v>2.01E-2</v>
      </c>
      <c r="J732" s="15">
        <v>11.27835051546392</v>
      </c>
    </row>
    <row r="733" spans="1:10" x14ac:dyDescent="0.25">
      <c r="A733" s="2" t="s">
        <v>2195</v>
      </c>
      <c r="B733" s="2" t="s">
        <v>2196</v>
      </c>
      <c r="C733" s="2" t="s">
        <v>2197</v>
      </c>
      <c r="D733" s="2" t="s">
        <v>10041</v>
      </c>
      <c r="E733" s="15">
        <v>6.25E-2</v>
      </c>
      <c r="F733" s="15">
        <v>4.5600000000000002E-2</v>
      </c>
      <c r="G733" s="15">
        <v>0.1699</v>
      </c>
      <c r="H733" s="15">
        <v>0.1575</v>
      </c>
      <c r="I733" s="15">
        <v>2.1000000000000001E-2</v>
      </c>
      <c r="J733" s="15">
        <v>8.8526315789473689</v>
      </c>
    </row>
    <row r="734" spans="1:10" x14ac:dyDescent="0.25">
      <c r="A734" s="2" t="s">
        <v>2198</v>
      </c>
      <c r="B734" s="2" t="s">
        <v>2199</v>
      </c>
      <c r="C734" s="2" t="s">
        <v>2200</v>
      </c>
      <c r="D734" s="2" t="s">
        <v>10041</v>
      </c>
      <c r="E734" s="15">
        <v>-1.1299999999999999E-2</v>
      </c>
      <c r="F734" s="15">
        <v>4.48E-2</v>
      </c>
      <c r="G734" s="15">
        <v>0.80159999999999998</v>
      </c>
      <c r="H734" s="15">
        <v>0.16239999999999999</v>
      </c>
      <c r="I734" s="15">
        <v>2.2200000000000001E-2</v>
      </c>
      <c r="J734" s="15">
        <v>8.302884615384615</v>
      </c>
    </row>
    <row r="735" spans="1:10" x14ac:dyDescent="0.25">
      <c r="A735" s="2" t="s">
        <v>2201</v>
      </c>
      <c r="B735" s="2" t="s">
        <v>2202</v>
      </c>
      <c r="C735" s="2" t="s">
        <v>2203</v>
      </c>
      <c r="D735" s="2" t="s">
        <v>10041</v>
      </c>
      <c r="E735" s="15">
        <v>1.0699999999999999E-2</v>
      </c>
      <c r="F735" s="15">
        <v>6.0299999999999999E-2</v>
      </c>
      <c r="G735" s="15">
        <v>0.85899999999999999</v>
      </c>
      <c r="H735" s="15">
        <v>0.10979999999999999</v>
      </c>
      <c r="I735" s="15">
        <v>1.6299999999999999E-2</v>
      </c>
      <c r="J735" s="15">
        <v>7.3267973856209156</v>
      </c>
    </row>
    <row r="736" spans="1:10" x14ac:dyDescent="0.25">
      <c r="A736" s="2" t="s">
        <v>2204</v>
      </c>
      <c r="B736" s="2" t="s">
        <v>2205</v>
      </c>
      <c r="C736" s="2" t="s">
        <v>2206</v>
      </c>
      <c r="D736" s="2" t="s">
        <v>10041</v>
      </c>
      <c r="E736" s="15">
        <v>4.3499999999999997E-2</v>
      </c>
      <c r="F736" s="15">
        <v>5.8799999999999998E-2</v>
      </c>
      <c r="G736" s="15">
        <v>0.4592</v>
      </c>
      <c r="H736" s="15">
        <v>0.1363</v>
      </c>
      <c r="I736" s="15">
        <v>1.8800000000000001E-2</v>
      </c>
      <c r="J736" s="15">
        <v>7.853107344632769</v>
      </c>
    </row>
    <row r="737" spans="1:10" x14ac:dyDescent="0.25">
      <c r="A737" s="2" t="s">
        <v>2207</v>
      </c>
      <c r="B737" s="2" t="s">
        <v>2208</v>
      </c>
      <c r="C737" s="2" t="s">
        <v>2209</v>
      </c>
      <c r="D737" s="2" t="s">
        <v>10041</v>
      </c>
      <c r="E737" s="15">
        <v>2.58E-2</v>
      </c>
      <c r="F737" s="15">
        <v>6.0999999999999999E-2</v>
      </c>
      <c r="G737" s="15">
        <v>0.67169999999999996</v>
      </c>
      <c r="H737" s="15">
        <v>0.12230000000000001</v>
      </c>
      <c r="I737" s="15">
        <v>1.9400000000000001E-2</v>
      </c>
      <c r="J737" s="15">
        <v>6.9839572192513364</v>
      </c>
    </row>
    <row r="738" spans="1:10" x14ac:dyDescent="0.25">
      <c r="A738" s="2" t="s">
        <v>2210</v>
      </c>
      <c r="B738" s="2" t="s">
        <v>2211</v>
      </c>
      <c r="C738" s="2" t="s">
        <v>2212</v>
      </c>
      <c r="D738" s="2" t="s">
        <v>10041</v>
      </c>
      <c r="E738" s="15">
        <v>7.0400000000000004E-2</v>
      </c>
      <c r="F738" s="15">
        <v>3.6999999999999998E-2</v>
      </c>
      <c r="G738" s="15">
        <v>5.67E-2</v>
      </c>
      <c r="H738" s="15">
        <v>0.29559999999999997</v>
      </c>
      <c r="I738" s="15">
        <v>3.1300000000000001E-2</v>
      </c>
      <c r="J738" s="15">
        <v>10.59642857142857</v>
      </c>
    </row>
    <row r="739" spans="1:10" x14ac:dyDescent="0.25">
      <c r="A739" s="2" t="s">
        <v>2213</v>
      </c>
      <c r="B739" s="2" t="s">
        <v>2214</v>
      </c>
      <c r="C739" s="2" t="s">
        <v>2215</v>
      </c>
      <c r="D739" s="2" t="s">
        <v>10041</v>
      </c>
      <c r="E739" s="15">
        <v>-4.5999999999999999E-3</v>
      </c>
      <c r="F739" s="15">
        <v>5.0599999999999999E-2</v>
      </c>
      <c r="G739" s="15">
        <v>0.92820000000000003</v>
      </c>
      <c r="H739" s="15">
        <v>0.14530000000000001</v>
      </c>
      <c r="I739" s="15">
        <v>1.8100000000000002E-2</v>
      </c>
      <c r="J739" s="15">
        <v>8.2385786802030463</v>
      </c>
    </row>
    <row r="740" spans="1:10" x14ac:dyDescent="0.25">
      <c r="A740" s="2" t="s">
        <v>2216</v>
      </c>
      <c r="B740" s="2" t="s">
        <v>2217</v>
      </c>
      <c r="C740" s="2" t="s">
        <v>2218</v>
      </c>
      <c r="D740" s="2" t="s">
        <v>10041</v>
      </c>
      <c r="E740" s="15">
        <v>-9.9000000000000008E-3</v>
      </c>
      <c r="F740" s="15">
        <v>4.7600000000000003E-2</v>
      </c>
      <c r="G740" s="15">
        <v>0.83599999999999997</v>
      </c>
      <c r="H740" s="15">
        <v>0.13700000000000001</v>
      </c>
      <c r="I740" s="15">
        <v>3.27E-2</v>
      </c>
      <c r="J740" s="15">
        <v>4.7516556291390719</v>
      </c>
    </row>
    <row r="741" spans="1:10" x14ac:dyDescent="0.25">
      <c r="A741" s="2" t="s">
        <v>2219</v>
      </c>
      <c r="B741" s="2" t="s">
        <v>2220</v>
      </c>
      <c r="C741" s="2" t="s">
        <v>2221</v>
      </c>
      <c r="D741" s="2" t="s">
        <v>10041</v>
      </c>
      <c r="E741" s="15">
        <v>2.7300000000000001E-2</v>
      </c>
      <c r="F741" s="15">
        <v>4.24E-2</v>
      </c>
      <c r="G741" s="15">
        <v>0.51929999999999998</v>
      </c>
      <c r="H741" s="15">
        <v>0.21260000000000001</v>
      </c>
      <c r="I741" s="15">
        <v>2.3099999999999999E-2</v>
      </c>
      <c r="J741" s="15">
        <v>9.0196078431372566</v>
      </c>
    </row>
    <row r="742" spans="1:10" x14ac:dyDescent="0.25">
      <c r="A742" s="2" t="s">
        <v>2222</v>
      </c>
      <c r="B742" s="2" t="s">
        <v>2223</v>
      </c>
      <c r="C742" s="2" t="s">
        <v>2224</v>
      </c>
      <c r="D742" s="2" t="s">
        <v>10041</v>
      </c>
      <c r="E742" s="15">
        <v>-5.9900000000000002E-2</v>
      </c>
      <c r="F742" s="15">
        <v>4.5600000000000002E-2</v>
      </c>
      <c r="G742" s="15">
        <v>0.18840000000000001</v>
      </c>
      <c r="H742" s="15">
        <v>0.23569999999999999</v>
      </c>
      <c r="I742" s="15">
        <v>2.1299999999999999E-2</v>
      </c>
      <c r="J742" s="15">
        <v>12.009523809523809</v>
      </c>
    </row>
    <row r="743" spans="1:10" x14ac:dyDescent="0.25">
      <c r="A743" s="2" t="s">
        <v>2225</v>
      </c>
      <c r="B743" s="2" t="s">
        <v>2226</v>
      </c>
      <c r="C743" s="2" t="s">
        <v>2227</v>
      </c>
      <c r="D743" s="2" t="s">
        <v>10041</v>
      </c>
      <c r="E743" s="15">
        <v>-2.9700000000000001E-2</v>
      </c>
      <c r="F743" s="15">
        <v>4.8000000000000001E-2</v>
      </c>
      <c r="G743" s="15">
        <v>0.5363</v>
      </c>
      <c r="H743" s="15">
        <v>0.16109999999999999</v>
      </c>
      <c r="I743" s="15">
        <v>1.8499999999999999E-2</v>
      </c>
      <c r="J743" s="15">
        <v>9.9322033898305087</v>
      </c>
    </row>
    <row r="744" spans="1:10" x14ac:dyDescent="0.25">
      <c r="A744" s="2" t="s">
        <v>2228</v>
      </c>
      <c r="B744" s="2" t="s">
        <v>2229</v>
      </c>
      <c r="C744" s="2" t="s">
        <v>2230</v>
      </c>
      <c r="D744" s="2" t="s">
        <v>10041</v>
      </c>
      <c r="E744" s="15">
        <v>-1.0800000000000001E-2</v>
      </c>
      <c r="F744" s="15">
        <v>3.8699999999999998E-2</v>
      </c>
      <c r="G744" s="15">
        <v>0.78080000000000005</v>
      </c>
      <c r="H744" s="15">
        <v>0.2356</v>
      </c>
      <c r="I744" s="15">
        <v>1.9699999999999999E-2</v>
      </c>
      <c r="J744" s="15">
        <v>12.67015706806283</v>
      </c>
    </row>
    <row r="745" spans="1:10" x14ac:dyDescent="0.25">
      <c r="A745" s="2" t="s">
        <v>2231</v>
      </c>
      <c r="B745" s="2" t="s">
        <v>2232</v>
      </c>
      <c r="C745" s="2" t="s">
        <v>2233</v>
      </c>
      <c r="D745" s="2" t="s">
        <v>10041</v>
      </c>
      <c r="E745" s="15">
        <v>3.5099999999999999E-2</v>
      </c>
      <c r="F745" s="15">
        <v>4.4999999999999998E-2</v>
      </c>
      <c r="G745" s="15">
        <v>0.43509999999999999</v>
      </c>
      <c r="H745" s="15">
        <v>0.21909999999999999</v>
      </c>
      <c r="I745" s="15">
        <v>2.7099999999999999E-2</v>
      </c>
      <c r="J745" s="15">
        <v>8.9719999999999995</v>
      </c>
    </row>
    <row r="746" spans="1:10" x14ac:dyDescent="0.25">
      <c r="A746" s="2" t="s">
        <v>2234</v>
      </c>
      <c r="B746" s="2" t="s">
        <v>2235</v>
      </c>
      <c r="C746" s="2" t="s">
        <v>2236</v>
      </c>
      <c r="D746" s="2" t="s">
        <v>10041</v>
      </c>
      <c r="E746" s="15">
        <v>-7.5499999999999998E-2</v>
      </c>
      <c r="F746" s="15">
        <v>4.24E-2</v>
      </c>
      <c r="G746" s="15">
        <v>7.4800000000000005E-2</v>
      </c>
      <c r="H746" s="15">
        <v>0.18540000000000001</v>
      </c>
      <c r="I746" s="15">
        <v>2.1100000000000001E-2</v>
      </c>
      <c r="J746" s="15">
        <v>10.04040404040404</v>
      </c>
    </row>
    <row r="747" spans="1:10" x14ac:dyDescent="0.25">
      <c r="A747" s="2" t="s">
        <v>2237</v>
      </c>
      <c r="B747" s="2" t="s">
        <v>2238</v>
      </c>
      <c r="C747" s="2" t="s">
        <v>2239</v>
      </c>
      <c r="D747" s="2" t="s">
        <v>10041</v>
      </c>
      <c r="E747" s="15">
        <v>1.84E-2</v>
      </c>
      <c r="F747" s="15">
        <v>3.6200000000000003E-2</v>
      </c>
      <c r="G747" s="15">
        <v>0.6109</v>
      </c>
      <c r="H747" s="15">
        <v>0.245</v>
      </c>
      <c r="I747" s="15">
        <v>4.6899999999999997E-2</v>
      </c>
      <c r="J747" s="15">
        <v>6.5741239892183287</v>
      </c>
    </row>
    <row r="748" spans="1:10" x14ac:dyDescent="0.25">
      <c r="A748" s="2" t="s">
        <v>2240</v>
      </c>
      <c r="B748" s="2" t="s">
        <v>2241</v>
      </c>
      <c r="C748" s="2" t="s">
        <v>2242</v>
      </c>
      <c r="D748" s="2" t="s">
        <v>10041</v>
      </c>
      <c r="E748" s="15">
        <v>-6.0600000000000001E-2</v>
      </c>
      <c r="F748" s="15">
        <v>5.11E-2</v>
      </c>
      <c r="G748" s="15">
        <v>0.23580000000000001</v>
      </c>
      <c r="H748" s="15">
        <v>0.15579999999999999</v>
      </c>
      <c r="I748" s="15">
        <v>1.83E-2</v>
      </c>
      <c r="J748" s="15">
        <v>9.5166666666666675</v>
      </c>
    </row>
    <row r="749" spans="1:10" x14ac:dyDescent="0.25">
      <c r="A749" s="2" t="s">
        <v>2243</v>
      </c>
      <c r="B749" s="2" t="s">
        <v>2244</v>
      </c>
      <c r="C749" s="2" t="s">
        <v>2245</v>
      </c>
      <c r="D749" s="2" t="s">
        <v>10041</v>
      </c>
      <c r="E749" s="15">
        <v>3.0000000000000001E-3</v>
      </c>
      <c r="F749" s="15">
        <v>6.88E-2</v>
      </c>
      <c r="G749" s="15">
        <v>0.96519999999999995</v>
      </c>
      <c r="H749" s="15">
        <v>6.2300000000000001E-2</v>
      </c>
      <c r="I749" s="15">
        <v>1.7000000000000001E-2</v>
      </c>
      <c r="J749" s="15">
        <v>4.1635220125786159</v>
      </c>
    </row>
    <row r="750" spans="1:10" x14ac:dyDescent="0.25">
      <c r="A750" s="2" t="s">
        <v>2246</v>
      </c>
      <c r="B750" s="2" t="s">
        <v>2247</v>
      </c>
      <c r="C750" s="2" t="s">
        <v>2248</v>
      </c>
      <c r="D750" s="2" t="s">
        <v>10041</v>
      </c>
      <c r="E750" s="15">
        <v>1.6999999999999999E-3</v>
      </c>
      <c r="F750" s="15">
        <v>4.7100000000000003E-2</v>
      </c>
      <c r="G750" s="15">
        <v>0.97109999999999996</v>
      </c>
      <c r="H750" s="15">
        <v>0.1729</v>
      </c>
      <c r="I750" s="15">
        <v>1.9900000000000001E-2</v>
      </c>
      <c r="J750" s="15">
        <v>9.7771739130434785</v>
      </c>
    </row>
    <row r="751" spans="1:10" x14ac:dyDescent="0.25">
      <c r="A751" s="2" t="s">
        <v>2249</v>
      </c>
      <c r="B751" s="2" t="s">
        <v>2250</v>
      </c>
      <c r="C751" s="2" t="s">
        <v>2251</v>
      </c>
      <c r="D751" s="2" t="s">
        <v>10041</v>
      </c>
      <c r="E751" s="15">
        <v>-2.5999999999999999E-2</v>
      </c>
      <c r="F751" s="15">
        <v>3.5400000000000001E-2</v>
      </c>
      <c r="G751" s="15">
        <v>0.46300000000000002</v>
      </c>
      <c r="H751" s="15">
        <v>0.2787</v>
      </c>
      <c r="I751" s="15">
        <v>2.5000000000000001E-2</v>
      </c>
      <c r="J751" s="15">
        <v>13.230414746543779</v>
      </c>
    </row>
    <row r="752" spans="1:10" x14ac:dyDescent="0.25">
      <c r="A752" s="2" t="s">
        <v>2252</v>
      </c>
      <c r="B752" s="2" t="s">
        <v>2253</v>
      </c>
      <c r="C752" s="2" t="s">
        <v>2254</v>
      </c>
      <c r="D752" s="2" t="s">
        <v>10041</v>
      </c>
      <c r="E752" s="15">
        <v>-8.9999999999999998E-4</v>
      </c>
      <c r="F752" s="15">
        <v>6.3899999999999998E-2</v>
      </c>
      <c r="G752" s="15">
        <v>0.98870000000000002</v>
      </c>
      <c r="H752" s="15">
        <v>8.0299999999999996E-2</v>
      </c>
      <c r="I752" s="15">
        <v>1.6799999999999999E-2</v>
      </c>
      <c r="J752" s="15">
        <v>5.5974025974025974</v>
      </c>
    </row>
    <row r="753" spans="1:10" x14ac:dyDescent="0.25">
      <c r="A753" s="2" t="s">
        <v>2255</v>
      </c>
      <c r="B753" s="2" t="s">
        <v>2256</v>
      </c>
      <c r="C753" s="2" t="s">
        <v>2257</v>
      </c>
      <c r="D753" s="2" t="s">
        <v>10041</v>
      </c>
      <c r="E753" s="15">
        <v>-3.8800000000000001E-2</v>
      </c>
      <c r="F753" s="15">
        <v>5.6300000000000003E-2</v>
      </c>
      <c r="G753" s="15">
        <v>0.49030000000000001</v>
      </c>
      <c r="H753" s="15">
        <v>0.1018</v>
      </c>
      <c r="I753" s="15">
        <v>1.8499999999999999E-2</v>
      </c>
      <c r="J753" s="15">
        <v>5.764367816091954</v>
      </c>
    </row>
    <row r="754" spans="1:10" x14ac:dyDescent="0.25">
      <c r="A754" s="2" t="s">
        <v>2258</v>
      </c>
      <c r="B754" s="2" t="s">
        <v>2259</v>
      </c>
      <c r="C754" s="2" t="s">
        <v>2260</v>
      </c>
      <c r="D754" s="2" t="s">
        <v>10041</v>
      </c>
      <c r="E754" s="15">
        <v>-2.0000000000000001E-4</v>
      </c>
      <c r="F754" s="15">
        <v>4.2700000000000002E-2</v>
      </c>
      <c r="G754" s="15">
        <v>0.99590000000000001</v>
      </c>
      <c r="H754" s="15">
        <v>0.18840000000000001</v>
      </c>
      <c r="I754" s="15">
        <v>2.4E-2</v>
      </c>
      <c r="J754" s="15">
        <v>8.5333333333333332</v>
      </c>
    </row>
    <row r="755" spans="1:10" x14ac:dyDescent="0.25">
      <c r="A755" s="2" t="s">
        <v>2261</v>
      </c>
      <c r="B755" s="2" t="s">
        <v>2262</v>
      </c>
      <c r="C755" s="2" t="s">
        <v>2263</v>
      </c>
      <c r="D755" s="2" t="s">
        <v>10041</v>
      </c>
      <c r="E755" s="15">
        <v>4.0899999999999999E-2</v>
      </c>
      <c r="F755" s="15">
        <v>3.49E-2</v>
      </c>
      <c r="G755" s="15">
        <v>0.24149999999999999</v>
      </c>
      <c r="H755" s="15">
        <v>0.25669999999999998</v>
      </c>
      <c r="I755" s="15">
        <v>2.6499999999999999E-2</v>
      </c>
      <c r="J755" s="15">
        <v>11.648068669527889</v>
      </c>
    </row>
    <row r="756" spans="1:10" x14ac:dyDescent="0.25">
      <c r="A756" s="2" t="s">
        <v>2264</v>
      </c>
      <c r="B756" s="2" t="s">
        <v>2265</v>
      </c>
      <c r="C756" s="2" t="s">
        <v>2266</v>
      </c>
      <c r="D756" s="2" t="s">
        <v>10041</v>
      </c>
      <c r="E756" s="15">
        <v>3.1899999999999998E-2</v>
      </c>
      <c r="F756" s="15">
        <v>5.6599999999999998E-2</v>
      </c>
      <c r="G756" s="15">
        <v>0.5736</v>
      </c>
      <c r="H756" s="15">
        <v>0.1124</v>
      </c>
      <c r="I756" s="15">
        <v>1.7399999999999999E-2</v>
      </c>
      <c r="J756" s="15">
        <v>7.4529411764705884</v>
      </c>
    </row>
    <row r="757" spans="1:10" x14ac:dyDescent="0.25">
      <c r="A757" s="2" t="s">
        <v>2267</v>
      </c>
      <c r="B757" s="2" t="s">
        <v>2268</v>
      </c>
      <c r="C757" s="2" t="s">
        <v>2269</v>
      </c>
      <c r="D757" s="2" t="s">
        <v>10041</v>
      </c>
      <c r="E757" s="15">
        <v>2.9700000000000001E-2</v>
      </c>
      <c r="F757" s="15">
        <v>4.7600000000000003E-2</v>
      </c>
      <c r="G757" s="15">
        <v>0.53269999999999995</v>
      </c>
      <c r="H757" s="15">
        <v>0.17549999999999999</v>
      </c>
      <c r="I757" s="15">
        <v>2.0199999999999999E-2</v>
      </c>
      <c r="J757" s="15">
        <v>9.4368421052631568</v>
      </c>
    </row>
    <row r="758" spans="1:10" x14ac:dyDescent="0.25">
      <c r="A758" s="2" t="s">
        <v>2270</v>
      </c>
      <c r="B758" s="2" t="s">
        <v>2271</v>
      </c>
      <c r="C758" s="2" t="s">
        <v>2272</v>
      </c>
      <c r="D758" s="2" t="s">
        <v>10041</v>
      </c>
      <c r="E758" s="15">
        <v>-4.9399999999999999E-2</v>
      </c>
      <c r="F758" s="15">
        <v>4.9099999999999998E-2</v>
      </c>
      <c r="G758" s="15">
        <v>0.31409999999999999</v>
      </c>
      <c r="H758" s="15">
        <v>0.16880000000000001</v>
      </c>
      <c r="I758" s="15">
        <v>1.95E-2</v>
      </c>
      <c r="J758" s="15">
        <v>9.6263736263736259</v>
      </c>
    </row>
    <row r="759" spans="1:10" x14ac:dyDescent="0.25">
      <c r="A759" s="2" t="s">
        <v>2273</v>
      </c>
      <c r="B759" s="2" t="s">
        <v>2274</v>
      </c>
      <c r="C759" s="2" t="s">
        <v>2275</v>
      </c>
      <c r="D759" s="2" t="s">
        <v>10041</v>
      </c>
      <c r="E759" s="15">
        <v>-6.9599999999999995E-2</v>
      </c>
      <c r="F759" s="15">
        <v>4.9700000000000001E-2</v>
      </c>
      <c r="G759" s="15">
        <v>0.1615</v>
      </c>
      <c r="H759" s="15">
        <v>0.18429999999999999</v>
      </c>
      <c r="I759" s="15">
        <v>1.83E-2</v>
      </c>
      <c r="J759" s="15">
        <v>10.88953488372093</v>
      </c>
    </row>
    <row r="760" spans="1:10" x14ac:dyDescent="0.25">
      <c r="A760" s="2" t="s">
        <v>2276</v>
      </c>
      <c r="B760" s="2" t="s">
        <v>2277</v>
      </c>
      <c r="C760" s="2" t="s">
        <v>2278</v>
      </c>
      <c r="D760" s="2" t="s">
        <v>10041</v>
      </c>
      <c r="E760" s="15">
        <v>-4.9799999999999997E-2</v>
      </c>
      <c r="F760" s="15">
        <v>5.1700000000000003E-2</v>
      </c>
      <c r="G760" s="15">
        <v>0.33539999999999998</v>
      </c>
      <c r="H760" s="15">
        <v>0.1381</v>
      </c>
      <c r="I760" s="15">
        <v>1.95E-2</v>
      </c>
      <c r="J760" s="15">
        <v>8.1458333333333339</v>
      </c>
    </row>
    <row r="761" spans="1:10" x14ac:dyDescent="0.25">
      <c r="A761" s="2" t="s">
        <v>2279</v>
      </c>
      <c r="B761" s="2" t="s">
        <v>2280</v>
      </c>
      <c r="C761" s="2" t="s">
        <v>2281</v>
      </c>
      <c r="D761" s="2" t="s">
        <v>10041</v>
      </c>
      <c r="E761" s="15">
        <v>-3.1800000000000002E-2</v>
      </c>
      <c r="F761" s="15">
        <v>3.9199999999999999E-2</v>
      </c>
      <c r="G761" s="15">
        <v>0.41799999999999998</v>
      </c>
      <c r="H761" s="15">
        <v>0.21110000000000001</v>
      </c>
      <c r="I761" s="15">
        <v>2.35E-2</v>
      </c>
      <c r="J761" s="15">
        <v>10.13488372093023</v>
      </c>
    </row>
    <row r="762" spans="1:10" x14ac:dyDescent="0.25">
      <c r="A762" s="2" t="s">
        <v>2282</v>
      </c>
      <c r="B762" s="2" t="s">
        <v>2283</v>
      </c>
      <c r="C762" s="2" t="s">
        <v>2284</v>
      </c>
      <c r="D762" s="2" t="s">
        <v>10041</v>
      </c>
      <c r="E762" s="15">
        <v>1.5100000000000001E-2</v>
      </c>
      <c r="F762" s="15">
        <v>4.4900000000000002E-2</v>
      </c>
      <c r="G762" s="15">
        <v>0.73599999999999999</v>
      </c>
      <c r="H762" s="15">
        <v>0.18579999999999999</v>
      </c>
      <c r="I762" s="15">
        <v>2.12E-2</v>
      </c>
      <c r="J762" s="15">
        <v>9.1747572815533989</v>
      </c>
    </row>
    <row r="763" spans="1:10" x14ac:dyDescent="0.25">
      <c r="A763" s="2" t="s">
        <v>2285</v>
      </c>
      <c r="B763" s="2" t="s">
        <v>2286</v>
      </c>
      <c r="C763" s="2" t="s">
        <v>2287</v>
      </c>
      <c r="D763" s="2" t="s">
        <v>10041</v>
      </c>
      <c r="E763" s="15">
        <v>2.3599999999999999E-2</v>
      </c>
      <c r="F763" s="15">
        <v>4.0500000000000001E-2</v>
      </c>
      <c r="G763" s="15">
        <v>0.55969999999999998</v>
      </c>
      <c r="H763" s="15">
        <v>0.2379</v>
      </c>
      <c r="I763" s="15">
        <v>2.5499999999999998E-2</v>
      </c>
      <c r="J763" s="15">
        <v>10.59913793103448</v>
      </c>
    </row>
    <row r="764" spans="1:10" x14ac:dyDescent="0.25">
      <c r="A764" s="2" t="s">
        <v>2288</v>
      </c>
      <c r="B764" s="2" t="s">
        <v>2289</v>
      </c>
      <c r="C764" s="2" t="s">
        <v>2290</v>
      </c>
      <c r="D764" s="2" t="s">
        <v>10041</v>
      </c>
      <c r="E764" s="15">
        <v>7.9399999999999998E-2</v>
      </c>
      <c r="F764" s="15">
        <v>4.7399999999999998E-2</v>
      </c>
      <c r="G764" s="15">
        <v>9.3899999999999997E-2</v>
      </c>
      <c r="H764" s="15">
        <v>0.161</v>
      </c>
      <c r="I764" s="15">
        <v>1.95E-2</v>
      </c>
      <c r="J764" s="15">
        <v>8.8532608695652169</v>
      </c>
    </row>
    <row r="765" spans="1:10" x14ac:dyDescent="0.25">
      <c r="A765" s="2" t="s">
        <v>2291</v>
      </c>
      <c r="B765" s="2" t="s">
        <v>2292</v>
      </c>
      <c r="C765" s="2" t="s">
        <v>2293</v>
      </c>
      <c r="D765" s="2" t="s">
        <v>10041</v>
      </c>
      <c r="E765" s="15">
        <v>-7.7100000000000002E-2</v>
      </c>
      <c r="F765" s="15">
        <v>4.07E-2</v>
      </c>
      <c r="G765" s="15">
        <v>5.8000000000000003E-2</v>
      </c>
      <c r="H765" s="15">
        <v>0.19739999999999999</v>
      </c>
      <c r="I765" s="15">
        <v>2.1100000000000001E-2</v>
      </c>
      <c r="J765" s="15">
        <v>9.9516908212560384</v>
      </c>
    </row>
    <row r="766" spans="1:10" x14ac:dyDescent="0.25">
      <c r="A766" s="2" t="s">
        <v>2294</v>
      </c>
      <c r="B766" s="2" t="s">
        <v>2295</v>
      </c>
      <c r="C766" s="2" t="s">
        <v>2296</v>
      </c>
      <c r="D766" s="2" t="s">
        <v>10041</v>
      </c>
      <c r="E766" s="15">
        <v>3.1099999999999999E-2</v>
      </c>
      <c r="F766" s="15">
        <v>4.2799999999999998E-2</v>
      </c>
      <c r="G766" s="15">
        <v>0.46750000000000003</v>
      </c>
      <c r="H766" s="15">
        <v>0.15859999999999999</v>
      </c>
      <c r="I766" s="15">
        <v>1.8499999999999999E-2</v>
      </c>
      <c r="J766" s="15">
        <v>9.7119565217391308</v>
      </c>
    </row>
    <row r="767" spans="1:10" x14ac:dyDescent="0.25">
      <c r="A767" s="2" t="s">
        <v>2297</v>
      </c>
      <c r="B767" s="2" t="s">
        <v>2298</v>
      </c>
      <c r="C767" s="2" t="s">
        <v>2299</v>
      </c>
      <c r="D767" s="2" t="s">
        <v>10041</v>
      </c>
      <c r="E767" s="15">
        <v>2.7E-2</v>
      </c>
      <c r="F767" s="15">
        <v>4.7699999999999999E-2</v>
      </c>
      <c r="G767" s="15">
        <v>0.57130000000000003</v>
      </c>
      <c r="H767" s="15">
        <v>0.14380000000000001</v>
      </c>
      <c r="I767" s="15">
        <v>2.53E-2</v>
      </c>
      <c r="J767" s="15">
        <v>6.4803493449781664</v>
      </c>
    </row>
    <row r="768" spans="1:10" x14ac:dyDescent="0.25">
      <c r="A768" s="2" t="s">
        <v>2300</v>
      </c>
      <c r="B768" s="2" t="s">
        <v>2301</v>
      </c>
      <c r="C768" s="2" t="s">
        <v>2302</v>
      </c>
      <c r="D768" s="2" t="s">
        <v>10041</v>
      </c>
      <c r="E768" s="15">
        <v>7.9699999999999993E-2</v>
      </c>
      <c r="F768" s="15">
        <v>5.7099999999999998E-2</v>
      </c>
      <c r="G768" s="15">
        <v>0.16270000000000001</v>
      </c>
      <c r="H768" s="15">
        <v>0.1018</v>
      </c>
      <c r="I768" s="15">
        <v>1.89E-2</v>
      </c>
      <c r="J768" s="15">
        <v>6.4825581395348841</v>
      </c>
    </row>
    <row r="769" spans="1:10" x14ac:dyDescent="0.25">
      <c r="A769" s="2" t="s">
        <v>2303</v>
      </c>
      <c r="B769" s="2" t="s">
        <v>2304</v>
      </c>
      <c r="C769" s="2" t="s">
        <v>2305</v>
      </c>
      <c r="D769" s="2" t="s">
        <v>10041</v>
      </c>
      <c r="E769" s="15">
        <v>3.8199999999999998E-2</v>
      </c>
      <c r="F769" s="15">
        <v>5.0799999999999998E-2</v>
      </c>
      <c r="G769" s="15">
        <v>0.45140000000000002</v>
      </c>
      <c r="H769" s="15">
        <v>0.13650000000000001</v>
      </c>
      <c r="I769" s="15">
        <v>1.67E-2</v>
      </c>
      <c r="J769" s="15">
        <v>8.700598802395211</v>
      </c>
    </row>
    <row r="770" spans="1:10" x14ac:dyDescent="0.25">
      <c r="A770" s="2" t="s">
        <v>2306</v>
      </c>
      <c r="B770" s="2" t="s">
        <v>2307</v>
      </c>
      <c r="C770" s="2" t="s">
        <v>2308</v>
      </c>
      <c r="D770" s="2" t="s">
        <v>10041</v>
      </c>
      <c r="E770" s="15">
        <v>9.7100000000000006E-2</v>
      </c>
      <c r="F770" s="15">
        <v>5.28E-2</v>
      </c>
      <c r="G770" s="15">
        <v>6.59E-2</v>
      </c>
      <c r="H770" s="15">
        <v>0.12659999999999999</v>
      </c>
      <c r="I770" s="15">
        <v>2.0899999999999998E-2</v>
      </c>
      <c r="J770" s="15">
        <v>6.9432989690721643</v>
      </c>
    </row>
    <row r="771" spans="1:10" x14ac:dyDescent="0.25">
      <c r="A771" s="2" t="s">
        <v>2309</v>
      </c>
      <c r="B771" s="2" t="s">
        <v>2310</v>
      </c>
      <c r="C771" s="2" t="s">
        <v>2311</v>
      </c>
      <c r="D771" s="2" t="s">
        <v>10041</v>
      </c>
      <c r="E771" s="15">
        <v>3.8699999999999998E-2</v>
      </c>
      <c r="F771" s="15">
        <v>3.4599999999999999E-2</v>
      </c>
      <c r="G771" s="15">
        <v>0.26329999999999998</v>
      </c>
      <c r="H771" s="15">
        <v>0.31280000000000002</v>
      </c>
      <c r="I771" s="15">
        <v>3.2599999999999997E-2</v>
      </c>
      <c r="J771" s="15">
        <v>10.688135593220339</v>
      </c>
    </row>
    <row r="772" spans="1:10" x14ac:dyDescent="0.25">
      <c r="A772" s="2" t="s">
        <v>2312</v>
      </c>
      <c r="B772" s="2" t="s">
        <v>2313</v>
      </c>
      <c r="C772" s="2" t="s">
        <v>2314</v>
      </c>
      <c r="D772" s="2" t="s">
        <v>10041</v>
      </c>
      <c r="E772" s="15">
        <v>-9.3200000000000005E-2</v>
      </c>
      <c r="F772" s="15">
        <v>4.6199999999999998E-2</v>
      </c>
      <c r="G772" s="15">
        <v>4.3499999999999997E-2</v>
      </c>
      <c r="H772" s="15">
        <v>0.16089999999999999</v>
      </c>
      <c r="I772" s="15">
        <v>1.9199999999999998E-2</v>
      </c>
      <c r="J772" s="15">
        <v>8.9378238341968892</v>
      </c>
    </row>
    <row r="773" spans="1:10" x14ac:dyDescent="0.25">
      <c r="A773" s="2" t="s">
        <v>2315</v>
      </c>
      <c r="B773" s="2" t="s">
        <v>2316</v>
      </c>
      <c r="C773" s="2" t="s">
        <v>2317</v>
      </c>
      <c r="D773" s="2" t="s">
        <v>10041</v>
      </c>
      <c r="E773" s="15">
        <v>3.1699999999999999E-2</v>
      </c>
      <c r="F773" s="15">
        <v>4.82E-2</v>
      </c>
      <c r="G773" s="15">
        <v>0.5111</v>
      </c>
      <c r="H773" s="15">
        <v>0.14929999999999999</v>
      </c>
      <c r="I773" s="15">
        <v>2.7E-2</v>
      </c>
      <c r="J773" s="15">
        <v>6.5684647302904562</v>
      </c>
    </row>
    <row r="774" spans="1:10" x14ac:dyDescent="0.25">
      <c r="A774" s="2" t="s">
        <v>2318</v>
      </c>
      <c r="B774" s="2" t="s">
        <v>2319</v>
      </c>
      <c r="C774" s="2" t="s">
        <v>2320</v>
      </c>
      <c r="D774" s="2" t="s">
        <v>10041</v>
      </c>
      <c r="E774" s="15">
        <v>-7.7000000000000002E-3</v>
      </c>
      <c r="F774" s="15">
        <v>3.7900000000000003E-2</v>
      </c>
      <c r="G774" s="15">
        <v>0.83809999999999996</v>
      </c>
      <c r="H774" s="15">
        <v>0.2467</v>
      </c>
      <c r="I774" s="15">
        <v>2.98E-2</v>
      </c>
      <c r="J774" s="15">
        <v>8.5016393442622942</v>
      </c>
    </row>
    <row r="775" spans="1:10" x14ac:dyDescent="0.25">
      <c r="A775" s="2" t="s">
        <v>2321</v>
      </c>
      <c r="B775" s="2" t="s">
        <v>2322</v>
      </c>
      <c r="C775" s="2" t="s">
        <v>2323</v>
      </c>
      <c r="D775" s="2" t="s">
        <v>10041</v>
      </c>
      <c r="E775" s="15">
        <v>-5.3800000000000001E-2</v>
      </c>
      <c r="F775" s="15">
        <v>4.6899999999999997E-2</v>
      </c>
      <c r="G775" s="15">
        <v>0.252</v>
      </c>
      <c r="H775" s="15">
        <v>0.18920000000000001</v>
      </c>
      <c r="I775" s="15">
        <v>2.0899999999999998E-2</v>
      </c>
      <c r="J775" s="15">
        <v>10.780104712041879</v>
      </c>
    </row>
    <row r="776" spans="1:10" x14ac:dyDescent="0.25">
      <c r="A776" s="2" t="s">
        <v>2324</v>
      </c>
      <c r="B776" s="2" t="s">
        <v>2325</v>
      </c>
      <c r="C776" s="2" t="s">
        <v>2326</v>
      </c>
      <c r="D776" s="2" t="s">
        <v>10041</v>
      </c>
      <c r="E776" s="15">
        <v>-0.05</v>
      </c>
      <c r="F776" s="15">
        <v>5.8000000000000003E-2</v>
      </c>
      <c r="G776" s="15">
        <v>0.3881</v>
      </c>
      <c r="H776" s="15">
        <v>9.6299999999999997E-2</v>
      </c>
      <c r="I776" s="15">
        <v>1.4500000000000001E-2</v>
      </c>
      <c r="J776" s="15">
        <v>6.5138888888888884</v>
      </c>
    </row>
    <row r="777" spans="1:10" x14ac:dyDescent="0.25">
      <c r="A777" s="2" t="s">
        <v>2327</v>
      </c>
      <c r="B777" s="2" t="s">
        <v>2328</v>
      </c>
      <c r="C777" s="2" t="s">
        <v>2329</v>
      </c>
      <c r="D777" s="2" t="s">
        <v>10041</v>
      </c>
      <c r="E777" s="15">
        <v>-4.0599999999999997E-2</v>
      </c>
      <c r="F777" s="15">
        <v>4.2599999999999999E-2</v>
      </c>
      <c r="G777" s="15">
        <v>0.34139999999999998</v>
      </c>
      <c r="H777" s="15">
        <v>0.21560000000000001</v>
      </c>
      <c r="I777" s="15">
        <v>2.1000000000000001E-2</v>
      </c>
      <c r="J777" s="15">
        <v>12</v>
      </c>
    </row>
    <row r="778" spans="1:10" x14ac:dyDescent="0.25">
      <c r="A778" s="2" t="s">
        <v>2330</v>
      </c>
      <c r="B778" s="2" t="s">
        <v>2331</v>
      </c>
      <c r="C778" s="2" t="s">
        <v>2332</v>
      </c>
      <c r="D778" s="2" t="s">
        <v>10041</v>
      </c>
      <c r="E778" s="15">
        <v>2.8199999999999999E-2</v>
      </c>
      <c r="F778" s="15">
        <v>4.8399999999999999E-2</v>
      </c>
      <c r="G778" s="15">
        <v>0.56110000000000004</v>
      </c>
      <c r="H778" s="15">
        <v>0.1802</v>
      </c>
      <c r="I778" s="15">
        <v>1.9400000000000001E-2</v>
      </c>
      <c r="J778" s="15">
        <v>10.297872340425529</v>
      </c>
    </row>
    <row r="779" spans="1:10" x14ac:dyDescent="0.25">
      <c r="A779" s="2" t="s">
        <v>2333</v>
      </c>
      <c r="B779" s="2" t="s">
        <v>2334</v>
      </c>
      <c r="C779" s="2" t="s">
        <v>2335</v>
      </c>
      <c r="D779" s="2" t="s">
        <v>10041</v>
      </c>
      <c r="E779" s="15">
        <v>-4.4699999999999997E-2</v>
      </c>
      <c r="F779" s="15">
        <v>4.4200000000000003E-2</v>
      </c>
      <c r="G779" s="15">
        <v>0.312</v>
      </c>
      <c r="H779" s="15">
        <v>0.1767</v>
      </c>
      <c r="I779" s="15">
        <v>1.9099999999999999E-2</v>
      </c>
      <c r="J779" s="15">
        <v>9.8641304347826093</v>
      </c>
    </row>
    <row r="780" spans="1:10" x14ac:dyDescent="0.25">
      <c r="A780" s="2" t="s">
        <v>2336</v>
      </c>
      <c r="B780" s="2" t="s">
        <v>2337</v>
      </c>
      <c r="C780" s="2" t="s">
        <v>2338</v>
      </c>
      <c r="D780" s="2" t="s">
        <v>10041</v>
      </c>
      <c r="E780" s="15">
        <v>-4.7999999999999996E-3</v>
      </c>
      <c r="F780" s="15">
        <v>3.95E-2</v>
      </c>
      <c r="G780" s="15">
        <v>0.90280000000000005</v>
      </c>
      <c r="H780" s="15">
        <v>0.216</v>
      </c>
      <c r="I780" s="15">
        <v>3.0700000000000002E-2</v>
      </c>
      <c r="J780" s="15">
        <v>8.127272727272727</v>
      </c>
    </row>
    <row r="781" spans="1:10" x14ac:dyDescent="0.25">
      <c r="A781" s="2" t="s">
        <v>2339</v>
      </c>
      <c r="B781" s="2" t="s">
        <v>2340</v>
      </c>
      <c r="C781" s="2" t="s">
        <v>2341</v>
      </c>
      <c r="D781" s="2" t="s">
        <v>10041</v>
      </c>
      <c r="E781" s="15">
        <v>-3.0099999999999998E-2</v>
      </c>
      <c r="F781" s="15">
        <v>4.4600000000000001E-2</v>
      </c>
      <c r="G781" s="15">
        <v>0.49990000000000001</v>
      </c>
      <c r="H781" s="15">
        <v>0.1515</v>
      </c>
      <c r="I781" s="15">
        <v>1.9099999999999999E-2</v>
      </c>
      <c r="J781" s="15">
        <v>8.817679558011049</v>
      </c>
    </row>
    <row r="782" spans="1:10" x14ac:dyDescent="0.25">
      <c r="A782" s="2" t="s">
        <v>2342</v>
      </c>
      <c r="B782" s="2" t="s">
        <v>2343</v>
      </c>
      <c r="C782" s="2" t="s">
        <v>2344</v>
      </c>
      <c r="D782" s="2" t="s">
        <v>10041</v>
      </c>
      <c r="E782" s="15">
        <v>9.7600000000000006E-2</v>
      </c>
      <c r="F782" s="15">
        <v>8.0500000000000002E-2</v>
      </c>
      <c r="G782" s="15">
        <v>0.2253</v>
      </c>
      <c r="H782" s="15">
        <v>5.5800000000000002E-2</v>
      </c>
      <c r="I782" s="15">
        <v>1.5299999999999999E-2</v>
      </c>
      <c r="J782" s="15">
        <v>4.2198581560283683</v>
      </c>
    </row>
    <row r="783" spans="1:10" x14ac:dyDescent="0.25">
      <c r="A783" s="2" t="s">
        <v>2345</v>
      </c>
      <c r="B783" s="2" t="s">
        <v>2346</v>
      </c>
      <c r="C783" s="2" t="s">
        <v>2347</v>
      </c>
      <c r="D783" s="2" t="s">
        <v>10041</v>
      </c>
      <c r="E783" s="15">
        <v>1.6500000000000001E-2</v>
      </c>
      <c r="F783" s="15">
        <v>4.7199999999999999E-2</v>
      </c>
      <c r="G783" s="15">
        <v>0.72670000000000001</v>
      </c>
      <c r="H783" s="15">
        <v>0.17180000000000001</v>
      </c>
      <c r="I783" s="15">
        <v>0.02</v>
      </c>
      <c r="J783" s="15">
        <v>9.7282608695652169</v>
      </c>
    </row>
    <row r="784" spans="1:10" x14ac:dyDescent="0.25">
      <c r="A784" s="2" t="s">
        <v>2348</v>
      </c>
      <c r="B784" s="2" t="s">
        <v>2349</v>
      </c>
      <c r="C784" s="2" t="s">
        <v>2350</v>
      </c>
      <c r="D784" s="2" t="s">
        <v>10041</v>
      </c>
      <c r="E784" s="15">
        <v>-3.8899999999999997E-2</v>
      </c>
      <c r="F784" s="15">
        <v>5.1299999999999998E-2</v>
      </c>
      <c r="G784" s="15">
        <v>0.44869999999999999</v>
      </c>
      <c r="H784" s="15">
        <v>0.1353</v>
      </c>
      <c r="I784" s="15">
        <v>1.84E-2</v>
      </c>
      <c r="J784" s="15">
        <v>8.3478260869565215</v>
      </c>
    </row>
    <row r="785" spans="1:10" x14ac:dyDescent="0.25">
      <c r="A785" s="2" t="s">
        <v>2351</v>
      </c>
      <c r="B785" s="2" t="s">
        <v>2352</v>
      </c>
      <c r="C785" s="2" t="s">
        <v>2353</v>
      </c>
      <c r="D785" s="2" t="s">
        <v>10041</v>
      </c>
      <c r="E785" s="15">
        <v>-0.13059999999999999</v>
      </c>
      <c r="F785" s="15">
        <v>4.9399999999999999E-2</v>
      </c>
      <c r="G785" s="15">
        <v>8.2000000000000007E-3</v>
      </c>
      <c r="H785" s="15">
        <v>0.13789999999999999</v>
      </c>
      <c r="I785" s="15">
        <v>1.8700000000000001E-2</v>
      </c>
      <c r="J785" s="15">
        <v>8.5642458100558656</v>
      </c>
    </row>
    <row r="786" spans="1:10" x14ac:dyDescent="0.25">
      <c r="A786" s="2" t="s">
        <v>2354</v>
      </c>
      <c r="B786" s="2" t="s">
        <v>2355</v>
      </c>
      <c r="C786" s="2" t="s">
        <v>2356</v>
      </c>
      <c r="D786" s="2" t="s">
        <v>10041</v>
      </c>
      <c r="E786" s="15">
        <v>2.23E-2</v>
      </c>
      <c r="F786" s="15">
        <v>4.3299999999999998E-2</v>
      </c>
      <c r="G786" s="15">
        <v>0.60650000000000004</v>
      </c>
      <c r="H786" s="15">
        <v>0.19220000000000001</v>
      </c>
      <c r="I786" s="15">
        <v>2.1299999999999999E-2</v>
      </c>
      <c r="J786" s="15">
        <v>8.8376068376068382</v>
      </c>
    </row>
    <row r="787" spans="1:10" x14ac:dyDescent="0.25">
      <c r="A787" s="2" t="s">
        <v>2357</v>
      </c>
      <c r="B787" s="2" t="s">
        <v>2358</v>
      </c>
      <c r="C787" s="2" t="s">
        <v>2359</v>
      </c>
      <c r="D787" s="2" t="s">
        <v>10041</v>
      </c>
      <c r="E787" s="15">
        <v>-1.9699999999999999E-2</v>
      </c>
      <c r="F787" s="15">
        <v>4.6699999999999998E-2</v>
      </c>
      <c r="G787" s="15">
        <v>0.67300000000000004</v>
      </c>
      <c r="H787" s="15">
        <v>0.18360000000000001</v>
      </c>
      <c r="I787" s="15">
        <v>1.9199999999999998E-2</v>
      </c>
      <c r="J787" s="15">
        <v>9.2321428571428577</v>
      </c>
    </row>
    <row r="788" spans="1:10" x14ac:dyDescent="0.25">
      <c r="A788" s="2" t="s">
        <v>2360</v>
      </c>
      <c r="B788" s="2" t="s">
        <v>2361</v>
      </c>
      <c r="C788" s="2" t="s">
        <v>2362</v>
      </c>
      <c r="D788" s="2" t="s">
        <v>10041</v>
      </c>
      <c r="E788" s="15">
        <v>4.4999999999999997E-3</v>
      </c>
      <c r="F788" s="15">
        <v>0.04</v>
      </c>
      <c r="G788" s="15">
        <v>0.91080000000000005</v>
      </c>
      <c r="H788" s="15">
        <v>0.2104</v>
      </c>
      <c r="I788" s="15">
        <v>2.2599999999999999E-2</v>
      </c>
      <c r="J788" s="15">
        <v>10.232558139534881</v>
      </c>
    </row>
    <row r="789" spans="1:10" x14ac:dyDescent="0.25">
      <c r="A789" s="2" t="s">
        <v>2363</v>
      </c>
      <c r="B789" s="2" t="s">
        <v>2364</v>
      </c>
      <c r="C789" s="2" t="s">
        <v>2365</v>
      </c>
      <c r="D789" s="2" t="s">
        <v>10041</v>
      </c>
      <c r="E789" s="15">
        <v>2.9600000000000001E-2</v>
      </c>
      <c r="F789" s="15">
        <v>4.3299999999999998E-2</v>
      </c>
      <c r="G789" s="15">
        <v>0.49490000000000001</v>
      </c>
      <c r="H789" s="15">
        <v>0.1981</v>
      </c>
      <c r="I789" s="15">
        <v>2.1600000000000001E-2</v>
      </c>
      <c r="J789" s="15">
        <v>9.0122950819672134</v>
      </c>
    </row>
    <row r="790" spans="1:10" x14ac:dyDescent="0.25">
      <c r="A790" s="2" t="s">
        <v>2366</v>
      </c>
      <c r="B790" s="2" t="s">
        <v>2367</v>
      </c>
      <c r="C790" s="2" t="s">
        <v>2368</v>
      </c>
      <c r="D790" s="2" t="s">
        <v>10041</v>
      </c>
      <c r="E790" s="15">
        <v>3.8800000000000001E-2</v>
      </c>
      <c r="F790" s="15">
        <v>3.8600000000000002E-2</v>
      </c>
      <c r="G790" s="15">
        <v>0.31569999999999998</v>
      </c>
      <c r="H790" s="15">
        <v>0.22539999999999999</v>
      </c>
      <c r="I790" s="15">
        <v>3.2199999999999999E-2</v>
      </c>
      <c r="J790" s="15">
        <v>8.2702702702702702</v>
      </c>
    </row>
    <row r="791" spans="1:10" x14ac:dyDescent="0.25">
      <c r="A791" s="2" t="s">
        <v>2369</v>
      </c>
      <c r="B791" s="2" t="s">
        <v>2370</v>
      </c>
      <c r="C791" s="2" t="s">
        <v>2371</v>
      </c>
      <c r="D791" s="2" t="s">
        <v>10041</v>
      </c>
      <c r="E791" s="15">
        <v>1.6400000000000001E-2</v>
      </c>
      <c r="F791" s="15">
        <v>5.4199999999999998E-2</v>
      </c>
      <c r="G791" s="15">
        <v>0.76200000000000001</v>
      </c>
      <c r="H791" s="15">
        <v>0.12540000000000001</v>
      </c>
      <c r="I791" s="15">
        <v>1.9199999999999998E-2</v>
      </c>
      <c r="J791" s="15">
        <v>7.4413407821229063</v>
      </c>
    </row>
    <row r="792" spans="1:10" x14ac:dyDescent="0.25">
      <c r="A792" s="2" t="s">
        <v>2372</v>
      </c>
      <c r="B792" s="2" t="s">
        <v>2373</v>
      </c>
      <c r="C792" s="2" t="s">
        <v>2374</v>
      </c>
      <c r="D792" s="2" t="s">
        <v>10041</v>
      </c>
      <c r="E792" s="15">
        <v>1.1900000000000001E-2</v>
      </c>
      <c r="F792" s="15">
        <v>5.0299999999999997E-2</v>
      </c>
      <c r="G792" s="15">
        <v>0.81340000000000001</v>
      </c>
      <c r="H792" s="15">
        <v>0.16689999999999999</v>
      </c>
      <c r="I792" s="15">
        <v>2.01E-2</v>
      </c>
      <c r="J792" s="15">
        <v>9.4619565217391308</v>
      </c>
    </row>
    <row r="793" spans="1:10" x14ac:dyDescent="0.25">
      <c r="A793" s="2" t="s">
        <v>2375</v>
      </c>
      <c r="B793" s="2" t="s">
        <v>2376</v>
      </c>
      <c r="C793" s="2" t="s">
        <v>2377</v>
      </c>
      <c r="D793" s="2" t="s">
        <v>10041</v>
      </c>
      <c r="E793" s="15">
        <v>5.16E-2</v>
      </c>
      <c r="F793" s="15">
        <v>3.5400000000000001E-2</v>
      </c>
      <c r="G793" s="15">
        <v>0.1457</v>
      </c>
      <c r="H793" s="15">
        <v>0.32500000000000001</v>
      </c>
      <c r="I793" s="15">
        <v>3.2000000000000001E-2</v>
      </c>
      <c r="J793" s="15">
        <v>11.565371024734979</v>
      </c>
    </row>
    <row r="794" spans="1:10" x14ac:dyDescent="0.25">
      <c r="A794" s="2" t="s">
        <v>2378</v>
      </c>
      <c r="B794" s="2" t="s">
        <v>2379</v>
      </c>
      <c r="C794" s="2" t="s">
        <v>2380</v>
      </c>
      <c r="D794" s="2" t="s">
        <v>10041</v>
      </c>
      <c r="E794" s="15">
        <v>1.8700000000000001E-2</v>
      </c>
      <c r="F794" s="15">
        <v>3.4299999999999997E-2</v>
      </c>
      <c r="G794" s="15">
        <v>0.58489999999999998</v>
      </c>
      <c r="H794" s="15">
        <v>0.28520000000000001</v>
      </c>
      <c r="I794" s="15">
        <v>2.7300000000000001E-2</v>
      </c>
      <c r="J794" s="15">
        <v>12.4125</v>
      </c>
    </row>
    <row r="795" spans="1:10" x14ac:dyDescent="0.25">
      <c r="A795" s="2" t="s">
        <v>2381</v>
      </c>
      <c r="B795" s="2" t="s">
        <v>2382</v>
      </c>
      <c r="C795" s="2" t="s">
        <v>2383</v>
      </c>
      <c r="D795" s="2" t="s">
        <v>10041</v>
      </c>
      <c r="E795" s="15">
        <v>-9.7000000000000003E-3</v>
      </c>
      <c r="F795" s="15">
        <v>5.6399999999999999E-2</v>
      </c>
      <c r="G795" s="15">
        <v>0.86350000000000005</v>
      </c>
      <c r="H795" s="15">
        <v>0.1239</v>
      </c>
      <c r="I795" s="15">
        <v>1.84E-2</v>
      </c>
      <c r="J795" s="15">
        <v>8.3236994219653173</v>
      </c>
    </row>
    <row r="796" spans="1:10" x14ac:dyDescent="0.25">
      <c r="A796" s="2" t="s">
        <v>2384</v>
      </c>
      <c r="B796" s="2" t="s">
        <v>2385</v>
      </c>
      <c r="C796" s="2" t="s">
        <v>2386</v>
      </c>
      <c r="D796" s="2" t="s">
        <v>10041</v>
      </c>
      <c r="E796" s="15">
        <v>4.2200000000000001E-2</v>
      </c>
      <c r="F796" s="15">
        <v>4.5199999999999997E-2</v>
      </c>
      <c r="G796" s="15">
        <v>0.3508</v>
      </c>
      <c r="H796" s="15">
        <v>0.16439999999999999</v>
      </c>
      <c r="I796" s="15">
        <v>1.9699999999999999E-2</v>
      </c>
      <c r="J796" s="15">
        <v>9.2343750000000018</v>
      </c>
    </row>
    <row r="797" spans="1:10" x14ac:dyDescent="0.25">
      <c r="A797" s="2" t="s">
        <v>2387</v>
      </c>
      <c r="B797" s="2" t="s">
        <v>2388</v>
      </c>
      <c r="C797" s="2" t="s">
        <v>2389</v>
      </c>
      <c r="D797" s="2" t="s">
        <v>10041</v>
      </c>
      <c r="E797" s="15">
        <v>4.3099999999999999E-2</v>
      </c>
      <c r="F797" s="15">
        <v>4.4400000000000002E-2</v>
      </c>
      <c r="G797" s="15">
        <v>0.33160000000000001</v>
      </c>
      <c r="H797" s="15">
        <v>0.20960000000000001</v>
      </c>
      <c r="I797" s="15">
        <v>2.29E-2</v>
      </c>
      <c r="J797" s="15">
        <v>9.9634703196347036</v>
      </c>
    </row>
    <row r="798" spans="1:10" x14ac:dyDescent="0.25">
      <c r="A798" s="2" t="s">
        <v>2390</v>
      </c>
      <c r="B798" s="2" t="s">
        <v>2391</v>
      </c>
      <c r="C798" s="2" t="s">
        <v>2392</v>
      </c>
      <c r="D798" s="2" t="s">
        <v>10041</v>
      </c>
      <c r="E798" s="15">
        <v>-8.5300000000000001E-2</v>
      </c>
      <c r="F798" s="15">
        <v>4.4900000000000002E-2</v>
      </c>
      <c r="G798" s="15">
        <v>5.7599999999999998E-2</v>
      </c>
      <c r="H798" s="15">
        <v>0.16489999999999999</v>
      </c>
      <c r="I798" s="15">
        <v>2.0400000000000001E-2</v>
      </c>
      <c r="J798" s="15">
        <v>8.6294416243654837</v>
      </c>
    </row>
    <row r="799" spans="1:10" x14ac:dyDescent="0.25">
      <c r="A799" s="2" t="s">
        <v>2393</v>
      </c>
      <c r="B799" s="2" t="s">
        <v>2394</v>
      </c>
      <c r="C799" s="2" t="s">
        <v>2395</v>
      </c>
      <c r="D799" s="2" t="s">
        <v>10041</v>
      </c>
      <c r="E799" s="15">
        <v>-0.1716</v>
      </c>
      <c r="F799" s="15">
        <v>4.87E-2</v>
      </c>
      <c r="G799" s="15">
        <v>4.0000000000000002E-4</v>
      </c>
      <c r="H799" s="15">
        <v>0.13159999999999999</v>
      </c>
      <c r="I799" s="15">
        <v>1.8499999999999999E-2</v>
      </c>
      <c r="J799" s="15">
        <v>7.8539325842696632</v>
      </c>
    </row>
    <row r="800" spans="1:10" x14ac:dyDescent="0.25">
      <c r="A800" s="2" t="s">
        <v>2396</v>
      </c>
      <c r="B800" s="2" t="s">
        <v>2397</v>
      </c>
      <c r="C800" s="2" t="s">
        <v>2398</v>
      </c>
      <c r="D800" s="2" t="s">
        <v>10041</v>
      </c>
      <c r="E800" s="15">
        <v>-4.0099999999999997E-2</v>
      </c>
      <c r="F800" s="15">
        <v>4.4699999999999997E-2</v>
      </c>
      <c r="G800" s="15">
        <v>0.3695</v>
      </c>
      <c r="H800" s="15">
        <v>0.21240000000000001</v>
      </c>
      <c r="I800" s="15">
        <v>2.3599999999999999E-2</v>
      </c>
      <c r="J800" s="15">
        <v>8.2953736654804278</v>
      </c>
    </row>
    <row r="801" spans="1:10" x14ac:dyDescent="0.25">
      <c r="A801" s="2" t="s">
        <v>2399</v>
      </c>
      <c r="B801" s="2" t="s">
        <v>2400</v>
      </c>
      <c r="C801" s="2" t="s">
        <v>2401</v>
      </c>
      <c r="D801" s="2" t="s">
        <v>10041</v>
      </c>
      <c r="E801" s="15">
        <v>-5.0200000000000002E-2</v>
      </c>
      <c r="F801" s="15">
        <v>4.2900000000000001E-2</v>
      </c>
      <c r="G801" s="15">
        <v>0.2422</v>
      </c>
      <c r="H801" s="15">
        <v>0.2072</v>
      </c>
      <c r="I801" s="15">
        <v>2.7799999999999998E-2</v>
      </c>
      <c r="J801" s="15">
        <v>7.1018518518518521</v>
      </c>
    </row>
    <row r="802" spans="1:10" x14ac:dyDescent="0.25">
      <c r="A802" s="2" t="s">
        <v>2402</v>
      </c>
      <c r="B802" s="2" t="s">
        <v>2403</v>
      </c>
      <c r="C802" s="2" t="s">
        <v>2404</v>
      </c>
      <c r="D802" s="2" t="s">
        <v>10041</v>
      </c>
      <c r="E802" s="15">
        <v>2.81E-2</v>
      </c>
      <c r="F802" s="15">
        <v>4.1799999999999997E-2</v>
      </c>
      <c r="G802" s="15">
        <v>0.50209999999999999</v>
      </c>
      <c r="H802" s="15">
        <v>0.2185</v>
      </c>
      <c r="I802" s="15">
        <v>2.6200000000000001E-2</v>
      </c>
      <c r="J802" s="15">
        <v>8.8588709677419359</v>
      </c>
    </row>
    <row r="803" spans="1:10" x14ac:dyDescent="0.25">
      <c r="A803" s="2" t="s">
        <v>2405</v>
      </c>
      <c r="B803" s="2" t="s">
        <v>2406</v>
      </c>
      <c r="C803" s="2" t="s">
        <v>2407</v>
      </c>
      <c r="D803" s="2" t="s">
        <v>10041</v>
      </c>
      <c r="E803" s="15">
        <v>-1.52E-2</v>
      </c>
      <c r="F803" s="15">
        <v>4.02E-2</v>
      </c>
      <c r="G803" s="15">
        <v>0.7056</v>
      </c>
      <c r="H803" s="15">
        <v>0.21890000000000001</v>
      </c>
      <c r="I803" s="15">
        <v>2.3199999999999998E-2</v>
      </c>
      <c r="J803" s="15">
        <v>9.007604562737642</v>
      </c>
    </row>
    <row r="804" spans="1:10" x14ac:dyDescent="0.25">
      <c r="A804" s="2" t="s">
        <v>2408</v>
      </c>
      <c r="B804" s="2" t="s">
        <v>2409</v>
      </c>
      <c r="C804" s="2" t="s">
        <v>2410</v>
      </c>
      <c r="D804" s="2" t="s">
        <v>10041</v>
      </c>
      <c r="E804" s="15">
        <v>6.6699999999999995E-2</v>
      </c>
      <c r="F804" s="15">
        <v>4.07E-2</v>
      </c>
      <c r="G804" s="15">
        <v>0.1007</v>
      </c>
      <c r="H804" s="15">
        <v>0.21190000000000001</v>
      </c>
      <c r="I804" s="15">
        <v>2.69E-2</v>
      </c>
      <c r="J804" s="15">
        <v>8.8443579766536971</v>
      </c>
    </row>
    <row r="805" spans="1:10" x14ac:dyDescent="0.25">
      <c r="A805" s="2" t="s">
        <v>2411</v>
      </c>
      <c r="B805" s="2" t="s">
        <v>2412</v>
      </c>
      <c r="C805" s="2" t="s">
        <v>2413</v>
      </c>
      <c r="D805" s="2" t="s">
        <v>10041</v>
      </c>
      <c r="E805" s="15">
        <v>1.9800000000000002E-2</v>
      </c>
      <c r="F805" s="15">
        <v>4.8899999999999999E-2</v>
      </c>
      <c r="G805" s="15">
        <v>0.68610000000000004</v>
      </c>
      <c r="H805" s="15">
        <v>0.15310000000000001</v>
      </c>
      <c r="I805" s="15">
        <v>1.9400000000000001E-2</v>
      </c>
      <c r="J805" s="15">
        <v>9.1584699453551917</v>
      </c>
    </row>
    <row r="806" spans="1:10" x14ac:dyDescent="0.25">
      <c r="A806" s="2" t="s">
        <v>2414</v>
      </c>
      <c r="B806" s="2" t="s">
        <v>2415</v>
      </c>
      <c r="C806" s="2" t="s">
        <v>2416</v>
      </c>
      <c r="D806" s="2" t="s">
        <v>10041</v>
      </c>
      <c r="E806" s="15">
        <v>5.6500000000000002E-2</v>
      </c>
      <c r="F806" s="15">
        <v>4.9299999999999997E-2</v>
      </c>
      <c r="G806" s="15">
        <v>0.251</v>
      </c>
      <c r="H806" s="15">
        <v>0.13700000000000001</v>
      </c>
      <c r="I806" s="15">
        <v>1.95E-2</v>
      </c>
      <c r="J806" s="15">
        <v>7.5968586387434556</v>
      </c>
    </row>
    <row r="807" spans="1:10" x14ac:dyDescent="0.25">
      <c r="A807" s="2" t="s">
        <v>2417</v>
      </c>
      <c r="B807" s="2" t="s">
        <v>2418</v>
      </c>
      <c r="C807" s="2" t="s">
        <v>2419</v>
      </c>
      <c r="D807" s="2" t="s">
        <v>10041</v>
      </c>
      <c r="E807" s="15">
        <v>2.98E-2</v>
      </c>
      <c r="F807" s="15">
        <v>3.4599999999999999E-2</v>
      </c>
      <c r="G807" s="15">
        <v>0.38800000000000001</v>
      </c>
      <c r="H807" s="15">
        <v>0.34289999999999998</v>
      </c>
      <c r="I807" s="15">
        <v>3.4200000000000001E-2</v>
      </c>
      <c r="J807" s="15">
        <v>11.2214983713355</v>
      </c>
    </row>
    <row r="808" spans="1:10" x14ac:dyDescent="0.25">
      <c r="A808" s="2" t="s">
        <v>2420</v>
      </c>
      <c r="B808" s="2" t="s">
        <v>2421</v>
      </c>
      <c r="C808" s="2" t="s">
        <v>2422</v>
      </c>
      <c r="D808" s="2" t="s">
        <v>10041</v>
      </c>
      <c r="E808" s="15">
        <v>-4.7000000000000002E-3</v>
      </c>
      <c r="F808" s="15">
        <v>3.39E-2</v>
      </c>
      <c r="G808" s="15">
        <v>0.88939999999999997</v>
      </c>
      <c r="H808" s="15">
        <v>0.30470000000000003</v>
      </c>
      <c r="I808" s="15">
        <v>3.15E-2</v>
      </c>
      <c r="J808" s="15">
        <v>11.820610687022899</v>
      </c>
    </row>
    <row r="809" spans="1:10" x14ac:dyDescent="0.25">
      <c r="A809" s="2" t="s">
        <v>2423</v>
      </c>
      <c r="B809" s="2" t="s">
        <v>2424</v>
      </c>
      <c r="C809" s="2" t="s">
        <v>2425</v>
      </c>
      <c r="D809" s="2" t="s">
        <v>10041</v>
      </c>
      <c r="E809" s="15">
        <v>-0.1363</v>
      </c>
      <c r="F809" s="15">
        <v>4.6899999999999997E-2</v>
      </c>
      <c r="G809" s="15">
        <v>3.7000000000000002E-3</v>
      </c>
      <c r="H809" s="15">
        <v>0.1578</v>
      </c>
      <c r="I809" s="15">
        <v>2.1100000000000001E-2</v>
      </c>
      <c r="J809" s="15">
        <v>8.2358974358974351</v>
      </c>
    </row>
    <row r="810" spans="1:10" x14ac:dyDescent="0.25">
      <c r="A810" s="2" t="s">
        <v>2426</v>
      </c>
      <c r="B810" s="2" t="s">
        <v>2427</v>
      </c>
      <c r="C810" s="2" t="s">
        <v>2428</v>
      </c>
      <c r="D810" s="2" t="s">
        <v>10041</v>
      </c>
      <c r="E810" s="15">
        <v>7.3599999999999999E-2</v>
      </c>
      <c r="F810" s="15">
        <v>4.4499999999999998E-2</v>
      </c>
      <c r="G810" s="15">
        <v>9.7900000000000001E-2</v>
      </c>
      <c r="H810" s="15">
        <v>0.18029999999999999</v>
      </c>
      <c r="I810" s="15">
        <v>2.2100000000000002E-2</v>
      </c>
      <c r="J810" s="15">
        <v>8.7914691943127963</v>
      </c>
    </row>
    <row r="811" spans="1:10" x14ac:dyDescent="0.25">
      <c r="A811" s="2" t="s">
        <v>2429</v>
      </c>
      <c r="B811" s="2" t="s">
        <v>2430</v>
      </c>
      <c r="C811" s="2" t="s">
        <v>2431</v>
      </c>
      <c r="D811" s="2" t="s">
        <v>10041</v>
      </c>
      <c r="E811" s="15">
        <v>5.7500000000000002E-2</v>
      </c>
      <c r="F811" s="15">
        <v>4.5499999999999999E-2</v>
      </c>
      <c r="G811" s="15">
        <v>0.2064</v>
      </c>
      <c r="H811" s="15">
        <v>0.17780000000000001</v>
      </c>
      <c r="I811" s="15">
        <v>2.06E-2</v>
      </c>
      <c r="J811" s="15">
        <v>9.235294117647058</v>
      </c>
    </row>
    <row r="812" spans="1:10" x14ac:dyDescent="0.25">
      <c r="A812" s="2" t="s">
        <v>2432</v>
      </c>
      <c r="B812" s="2" t="s">
        <v>2433</v>
      </c>
      <c r="C812" s="2" t="s">
        <v>2434</v>
      </c>
      <c r="D812" s="2" t="s">
        <v>10041</v>
      </c>
      <c r="E812" s="15">
        <v>1.67E-2</v>
      </c>
      <c r="F812" s="15">
        <v>4.2900000000000001E-2</v>
      </c>
      <c r="G812" s="15">
        <v>0.69699999999999995</v>
      </c>
      <c r="H812" s="15">
        <v>0.2127</v>
      </c>
      <c r="I812" s="15">
        <v>3.0200000000000001E-2</v>
      </c>
      <c r="J812" s="15">
        <v>7.7553191489361701</v>
      </c>
    </row>
    <row r="813" spans="1:10" x14ac:dyDescent="0.25">
      <c r="A813" s="2" t="s">
        <v>2435</v>
      </c>
      <c r="B813" s="2" t="s">
        <v>2436</v>
      </c>
      <c r="C813" s="2" t="s">
        <v>2437</v>
      </c>
      <c r="D813" s="2" t="s">
        <v>10041</v>
      </c>
      <c r="E813" s="15">
        <v>2.92E-2</v>
      </c>
      <c r="F813" s="15">
        <v>4.7699999999999999E-2</v>
      </c>
      <c r="G813" s="15">
        <v>0.54059999999999997</v>
      </c>
      <c r="H813" s="15">
        <v>0.1686</v>
      </c>
      <c r="I813" s="15">
        <v>2.5399999999999999E-2</v>
      </c>
      <c r="J813" s="15">
        <v>8.0086580086580081</v>
      </c>
    </row>
    <row r="814" spans="1:10" x14ac:dyDescent="0.25">
      <c r="A814" s="2" t="s">
        <v>2438</v>
      </c>
      <c r="B814" s="2" t="s">
        <v>2439</v>
      </c>
      <c r="C814" s="2" t="s">
        <v>2440</v>
      </c>
      <c r="D814" s="2" t="s">
        <v>10041</v>
      </c>
      <c r="E814" s="15">
        <v>8.0399999999999999E-2</v>
      </c>
      <c r="F814" s="15">
        <v>3.7600000000000001E-2</v>
      </c>
      <c r="G814" s="15">
        <v>3.2599999999999997E-2</v>
      </c>
      <c r="H814" s="15">
        <v>0.25540000000000002</v>
      </c>
      <c r="I814" s="15">
        <v>2.46E-2</v>
      </c>
      <c r="J814" s="15">
        <v>11.7027027027027</v>
      </c>
    </row>
    <row r="815" spans="1:10" x14ac:dyDescent="0.25">
      <c r="A815" s="2" t="s">
        <v>2441</v>
      </c>
      <c r="B815" s="2" t="s">
        <v>2442</v>
      </c>
      <c r="C815" s="2" t="s">
        <v>2443</v>
      </c>
      <c r="D815" s="2" t="s">
        <v>10041</v>
      </c>
      <c r="E815" s="15">
        <v>3.6600000000000001E-2</v>
      </c>
      <c r="F815" s="15">
        <v>4.4900000000000002E-2</v>
      </c>
      <c r="G815" s="15">
        <v>0.41439999999999999</v>
      </c>
      <c r="H815" s="15">
        <v>0.1676</v>
      </c>
      <c r="I815" s="15">
        <v>1.9300000000000001E-2</v>
      </c>
      <c r="J815" s="15">
        <v>9.0099502487562191</v>
      </c>
    </row>
    <row r="816" spans="1:10" x14ac:dyDescent="0.25">
      <c r="A816" s="2" t="s">
        <v>2444</v>
      </c>
      <c r="B816" s="2" t="s">
        <v>2445</v>
      </c>
      <c r="C816" s="2" t="s">
        <v>2446</v>
      </c>
      <c r="D816" s="2" t="s">
        <v>10041</v>
      </c>
      <c r="E816" s="15">
        <v>-1.1999999999999999E-3</v>
      </c>
      <c r="F816" s="15">
        <v>4.4600000000000001E-2</v>
      </c>
      <c r="G816" s="15">
        <v>0.97819999999999996</v>
      </c>
      <c r="H816" s="15">
        <v>0.18010000000000001</v>
      </c>
      <c r="I816" s="15">
        <v>2.1700000000000001E-2</v>
      </c>
      <c r="J816" s="15">
        <v>9.3214285714285712</v>
      </c>
    </row>
    <row r="817" spans="1:10" x14ac:dyDescent="0.25">
      <c r="A817" s="2" t="s">
        <v>2447</v>
      </c>
      <c r="B817" s="2" t="s">
        <v>2448</v>
      </c>
      <c r="C817" s="2" t="s">
        <v>2449</v>
      </c>
      <c r="D817" s="2" t="s">
        <v>10041</v>
      </c>
      <c r="E817" s="15">
        <v>-5.21E-2</v>
      </c>
      <c r="F817" s="15">
        <v>4.53E-2</v>
      </c>
      <c r="G817" s="15">
        <v>0.24990000000000001</v>
      </c>
      <c r="H817" s="15">
        <v>0.20050000000000001</v>
      </c>
      <c r="I817" s="15">
        <v>2.0500000000000001E-2</v>
      </c>
      <c r="J817" s="15">
        <v>11.729281767955801</v>
      </c>
    </row>
    <row r="818" spans="1:10" x14ac:dyDescent="0.25">
      <c r="A818" s="2" t="s">
        <v>2450</v>
      </c>
      <c r="B818" s="2" t="s">
        <v>2451</v>
      </c>
      <c r="C818" s="2" t="s">
        <v>2452</v>
      </c>
      <c r="D818" s="2" t="s">
        <v>10041</v>
      </c>
      <c r="E818" s="15">
        <v>6.3E-3</v>
      </c>
      <c r="F818" s="15">
        <v>4.3499999999999997E-2</v>
      </c>
      <c r="G818" s="15">
        <v>0.88400000000000001</v>
      </c>
      <c r="H818" s="15">
        <v>0.19980000000000001</v>
      </c>
      <c r="I818" s="15">
        <v>1.8200000000000001E-2</v>
      </c>
      <c r="J818" s="15">
        <v>11.49431818181818</v>
      </c>
    </row>
    <row r="819" spans="1:10" x14ac:dyDescent="0.25">
      <c r="A819" s="2" t="s">
        <v>2453</v>
      </c>
      <c r="B819" s="2" t="s">
        <v>2454</v>
      </c>
      <c r="C819" s="2" t="s">
        <v>2455</v>
      </c>
      <c r="D819" s="2" t="s">
        <v>10041</v>
      </c>
      <c r="E819" s="15">
        <v>-6.7299999999999999E-2</v>
      </c>
      <c r="F819" s="15">
        <v>5.0599999999999999E-2</v>
      </c>
      <c r="G819" s="15">
        <v>0.1837</v>
      </c>
      <c r="H819" s="15">
        <v>0.1933</v>
      </c>
      <c r="I819" s="15">
        <v>2.1600000000000001E-2</v>
      </c>
      <c r="J819" s="15">
        <v>9.849765258215962</v>
      </c>
    </row>
    <row r="820" spans="1:10" x14ac:dyDescent="0.25">
      <c r="A820" s="2" t="s">
        <v>2456</v>
      </c>
      <c r="B820" s="2" t="s">
        <v>2457</v>
      </c>
      <c r="C820" s="2" t="s">
        <v>2458</v>
      </c>
      <c r="D820" s="2" t="s">
        <v>10041</v>
      </c>
      <c r="E820" s="15">
        <v>2.6700000000000002E-2</v>
      </c>
      <c r="F820" s="15">
        <v>4.2200000000000001E-2</v>
      </c>
      <c r="G820" s="15">
        <v>0.52780000000000005</v>
      </c>
      <c r="H820" s="15">
        <v>0.2127</v>
      </c>
      <c r="I820" s="15">
        <v>2.2599999999999999E-2</v>
      </c>
      <c r="J820" s="15">
        <v>10.34883720930233</v>
      </c>
    </row>
    <row r="821" spans="1:10" x14ac:dyDescent="0.25">
      <c r="A821" s="2" t="s">
        <v>2459</v>
      </c>
      <c r="B821" s="2" t="s">
        <v>2460</v>
      </c>
      <c r="C821" s="2" t="s">
        <v>2461</v>
      </c>
      <c r="D821" s="2" t="s">
        <v>10041</v>
      </c>
      <c r="E821" s="15">
        <v>-2.93E-2</v>
      </c>
      <c r="F821" s="15">
        <v>3.8800000000000001E-2</v>
      </c>
      <c r="G821" s="15">
        <v>0.44919999999999999</v>
      </c>
      <c r="H821" s="15">
        <v>0.24340000000000001</v>
      </c>
      <c r="I821" s="15">
        <v>2.4E-2</v>
      </c>
      <c r="J821" s="15">
        <v>11.534562211981569</v>
      </c>
    </row>
    <row r="822" spans="1:10" x14ac:dyDescent="0.25">
      <c r="A822" s="2" t="s">
        <v>2462</v>
      </c>
      <c r="B822" s="2" t="s">
        <v>2463</v>
      </c>
      <c r="C822" s="2" t="s">
        <v>2464</v>
      </c>
      <c r="D822" s="2" t="s">
        <v>10041</v>
      </c>
      <c r="E822" s="15">
        <v>-1.1299999999999999E-2</v>
      </c>
      <c r="F822" s="15">
        <v>3.73E-2</v>
      </c>
      <c r="G822" s="15">
        <v>0.76100000000000001</v>
      </c>
      <c r="H822" s="15">
        <v>0.24909999999999999</v>
      </c>
      <c r="I822" s="15">
        <v>2.5700000000000001E-2</v>
      </c>
      <c r="J822" s="15">
        <v>11.126086956521741</v>
      </c>
    </row>
    <row r="823" spans="1:10" x14ac:dyDescent="0.25">
      <c r="A823" s="2" t="s">
        <v>2465</v>
      </c>
      <c r="B823" s="2" t="s">
        <v>2466</v>
      </c>
      <c r="C823" s="2" t="s">
        <v>2467</v>
      </c>
      <c r="D823" s="2" t="s">
        <v>10041</v>
      </c>
      <c r="E823" s="15">
        <v>-3.78E-2</v>
      </c>
      <c r="F823" s="15">
        <v>4.7199999999999999E-2</v>
      </c>
      <c r="G823" s="15">
        <v>0.42299999999999999</v>
      </c>
      <c r="H823" s="15">
        <v>0.15459999999999999</v>
      </c>
      <c r="I823" s="15">
        <v>1.7500000000000002E-2</v>
      </c>
      <c r="J823" s="15">
        <v>9.0404624277456662</v>
      </c>
    </row>
    <row r="824" spans="1:10" x14ac:dyDescent="0.25">
      <c r="A824" s="2" t="s">
        <v>2468</v>
      </c>
      <c r="B824" s="2" t="s">
        <v>2469</v>
      </c>
      <c r="C824" s="2" t="s">
        <v>2470</v>
      </c>
      <c r="D824" s="2" t="s">
        <v>10041</v>
      </c>
      <c r="E824" s="15">
        <v>-6.3399999999999998E-2</v>
      </c>
      <c r="F824" s="15">
        <v>4.2099999999999999E-2</v>
      </c>
      <c r="G824" s="15">
        <v>0.1321</v>
      </c>
      <c r="H824" s="15">
        <v>0.247</v>
      </c>
      <c r="I824" s="15">
        <v>2.1299999999999999E-2</v>
      </c>
      <c r="J824" s="15">
        <v>12.514851485148521</v>
      </c>
    </row>
    <row r="825" spans="1:10" x14ac:dyDescent="0.25">
      <c r="A825" s="2" t="s">
        <v>2471</v>
      </c>
      <c r="B825" s="2" t="s">
        <v>2472</v>
      </c>
      <c r="C825" s="2" t="s">
        <v>2473</v>
      </c>
      <c r="D825" s="2" t="s">
        <v>10041</v>
      </c>
      <c r="E825" s="15">
        <v>6.0100000000000001E-2</v>
      </c>
      <c r="F825" s="15">
        <v>4.4200000000000003E-2</v>
      </c>
      <c r="G825" s="15">
        <v>0.17349999999999999</v>
      </c>
      <c r="H825" s="15">
        <v>0.1724</v>
      </c>
      <c r="I825" s="15">
        <v>2.1100000000000001E-2</v>
      </c>
      <c r="J825" s="15">
        <v>9.0402010050251249</v>
      </c>
    </row>
    <row r="826" spans="1:10" x14ac:dyDescent="0.25">
      <c r="A826" s="2" t="s">
        <v>2474</v>
      </c>
      <c r="B826" s="2" t="s">
        <v>2475</v>
      </c>
      <c r="C826" s="2" t="s">
        <v>2476</v>
      </c>
      <c r="D826" s="2" t="s">
        <v>10041</v>
      </c>
      <c r="E826" s="15">
        <v>1.3599999999999999E-2</v>
      </c>
      <c r="F826" s="15">
        <v>3.9300000000000002E-2</v>
      </c>
      <c r="G826" s="15">
        <v>0.72940000000000005</v>
      </c>
      <c r="H826" s="15">
        <v>0.2167</v>
      </c>
      <c r="I826" s="15">
        <v>2.2100000000000002E-2</v>
      </c>
      <c r="J826" s="15">
        <v>10.33177570093458</v>
      </c>
    </row>
    <row r="827" spans="1:10" x14ac:dyDescent="0.25">
      <c r="A827" s="2" t="s">
        <v>2477</v>
      </c>
      <c r="B827" s="2" t="s">
        <v>2478</v>
      </c>
      <c r="C827" s="2" t="s">
        <v>2479</v>
      </c>
      <c r="D827" s="2" t="s">
        <v>10041</v>
      </c>
      <c r="E827" s="15">
        <v>1.47E-2</v>
      </c>
      <c r="F827" s="15">
        <v>5.4699999999999999E-2</v>
      </c>
      <c r="G827" s="15">
        <v>0.7883</v>
      </c>
      <c r="H827" s="15">
        <v>0.13400000000000001</v>
      </c>
      <c r="I827" s="15">
        <v>1.7899999999999999E-2</v>
      </c>
      <c r="J827" s="15">
        <v>8.331325301204819</v>
      </c>
    </row>
    <row r="828" spans="1:10" x14ac:dyDescent="0.25">
      <c r="A828" s="2" t="s">
        <v>2480</v>
      </c>
      <c r="B828" s="2" t="s">
        <v>2481</v>
      </c>
      <c r="C828" s="2" t="s">
        <v>2482</v>
      </c>
      <c r="D828" s="2" t="s">
        <v>10041</v>
      </c>
      <c r="E828" s="15">
        <v>3.1699999999999999E-2</v>
      </c>
      <c r="F828" s="15">
        <v>4.8599999999999997E-2</v>
      </c>
      <c r="G828" s="15">
        <v>0.5141</v>
      </c>
      <c r="H828" s="15">
        <v>0.1888</v>
      </c>
      <c r="I828" s="15">
        <v>2.0500000000000001E-2</v>
      </c>
      <c r="J828" s="15">
        <v>10.136125654450259</v>
      </c>
    </row>
    <row r="829" spans="1:10" x14ac:dyDescent="0.25">
      <c r="A829" s="2" t="s">
        <v>2483</v>
      </c>
      <c r="B829" s="2" t="s">
        <v>2484</v>
      </c>
      <c r="C829" s="2" t="s">
        <v>2485</v>
      </c>
      <c r="D829" s="2" t="s">
        <v>10041</v>
      </c>
      <c r="E829" s="15">
        <v>4.7999999999999996E-3</v>
      </c>
      <c r="F829" s="15">
        <v>5.16E-2</v>
      </c>
      <c r="G829" s="15">
        <v>0.92630000000000001</v>
      </c>
      <c r="H829" s="15">
        <v>0.161</v>
      </c>
      <c r="I829" s="15">
        <v>2.0299999999999999E-2</v>
      </c>
      <c r="J829" s="15">
        <v>9.0578947368421048</v>
      </c>
    </row>
    <row r="830" spans="1:10" x14ac:dyDescent="0.25">
      <c r="A830" s="2" t="s">
        <v>2486</v>
      </c>
      <c r="B830" s="2" t="s">
        <v>2487</v>
      </c>
      <c r="C830" s="2" t="s">
        <v>2488</v>
      </c>
      <c r="D830" s="2" t="s">
        <v>10041</v>
      </c>
      <c r="E830" s="15">
        <v>5.74E-2</v>
      </c>
      <c r="F830" s="15">
        <v>3.6400000000000002E-2</v>
      </c>
      <c r="G830" s="15">
        <v>0.1145</v>
      </c>
      <c r="H830" s="15">
        <v>0.32650000000000001</v>
      </c>
      <c r="I830" s="15">
        <v>3.3399999999999999E-2</v>
      </c>
      <c r="J830" s="15">
        <v>11.20618556701031</v>
      </c>
    </row>
    <row r="831" spans="1:10" x14ac:dyDescent="0.25">
      <c r="A831" s="2" t="s">
        <v>2489</v>
      </c>
      <c r="B831" s="2" t="s">
        <v>2490</v>
      </c>
      <c r="C831" s="2" t="s">
        <v>2491</v>
      </c>
      <c r="D831" s="2" t="s">
        <v>10041</v>
      </c>
      <c r="E831" s="15">
        <v>-5.1499999999999997E-2</v>
      </c>
      <c r="F831" s="15">
        <v>4.7699999999999999E-2</v>
      </c>
      <c r="G831" s="15">
        <v>0.28010000000000002</v>
      </c>
      <c r="H831" s="15">
        <v>0.1608</v>
      </c>
      <c r="I831" s="15">
        <v>1.8700000000000001E-2</v>
      </c>
      <c r="J831" s="15">
        <v>9.2435233160621753</v>
      </c>
    </row>
    <row r="832" spans="1:10" x14ac:dyDescent="0.25">
      <c r="A832" s="2" t="s">
        <v>2492</v>
      </c>
      <c r="B832" s="2" t="s">
        <v>2493</v>
      </c>
      <c r="C832" s="2" t="s">
        <v>2494</v>
      </c>
      <c r="D832" s="2" t="s">
        <v>10041</v>
      </c>
      <c r="E832" s="15">
        <v>-4.4400000000000002E-2</v>
      </c>
      <c r="F832" s="15">
        <v>4.3700000000000003E-2</v>
      </c>
      <c r="G832" s="15">
        <v>0.30959999999999999</v>
      </c>
      <c r="H832" s="15">
        <v>0.17349999999999999</v>
      </c>
      <c r="I832" s="15">
        <v>4.0099999999999997E-2</v>
      </c>
      <c r="J832" s="15">
        <v>4.7465564738292017</v>
      </c>
    </row>
    <row r="833" spans="1:10" x14ac:dyDescent="0.25">
      <c r="A833" s="2" t="s">
        <v>2495</v>
      </c>
      <c r="B833" s="2" t="s">
        <v>2496</v>
      </c>
      <c r="C833" s="2" t="s">
        <v>2497</v>
      </c>
      <c r="D833" s="2" t="s">
        <v>10041</v>
      </c>
      <c r="E833" s="15">
        <v>2.93E-2</v>
      </c>
      <c r="F833" s="15">
        <v>3.9699999999999999E-2</v>
      </c>
      <c r="G833" s="15">
        <v>0.4607</v>
      </c>
      <c r="H833" s="15">
        <v>0.21340000000000001</v>
      </c>
      <c r="I833" s="15">
        <v>2.52E-2</v>
      </c>
      <c r="J833" s="15">
        <v>8.8426966292134832</v>
      </c>
    </row>
    <row r="834" spans="1:10" x14ac:dyDescent="0.25">
      <c r="A834" s="2" t="s">
        <v>2498</v>
      </c>
      <c r="B834" s="2" t="s">
        <v>2499</v>
      </c>
      <c r="C834" s="2" t="s">
        <v>2500</v>
      </c>
      <c r="D834" s="2" t="s">
        <v>10041</v>
      </c>
      <c r="E834" s="15">
        <v>-5.8000000000000003E-2</v>
      </c>
      <c r="F834" s="15">
        <v>4.58E-2</v>
      </c>
      <c r="G834" s="15">
        <v>0.20549999999999999</v>
      </c>
      <c r="H834" s="15">
        <v>0.2475</v>
      </c>
      <c r="I834" s="15">
        <v>2.3599999999999999E-2</v>
      </c>
      <c r="J834" s="15">
        <v>11.241379310344829</v>
      </c>
    </row>
    <row r="835" spans="1:10" x14ac:dyDescent="0.25">
      <c r="A835" s="2" t="s">
        <v>2501</v>
      </c>
      <c r="B835" s="2" t="s">
        <v>2502</v>
      </c>
      <c r="C835" s="2" t="s">
        <v>2503</v>
      </c>
      <c r="D835" s="2" t="s">
        <v>10041</v>
      </c>
      <c r="E835" s="15">
        <v>-4.4000000000000003E-3</v>
      </c>
      <c r="F835" s="15">
        <v>4.8899999999999999E-2</v>
      </c>
      <c r="G835" s="15">
        <v>0.92910000000000004</v>
      </c>
      <c r="H835" s="15">
        <v>0.18340000000000001</v>
      </c>
      <c r="I835" s="15">
        <v>2.3099999999999999E-2</v>
      </c>
      <c r="J835" s="15">
        <v>8.9954337899543386</v>
      </c>
    </row>
    <row r="836" spans="1:10" x14ac:dyDescent="0.25">
      <c r="A836" s="2" t="s">
        <v>2504</v>
      </c>
      <c r="B836" s="2" t="s">
        <v>2505</v>
      </c>
      <c r="C836" s="2" t="s">
        <v>2506</v>
      </c>
      <c r="D836" s="2" t="s">
        <v>10041</v>
      </c>
      <c r="E836" s="15">
        <v>-8.0000000000000004E-4</v>
      </c>
      <c r="F836" s="15">
        <v>4.1000000000000002E-2</v>
      </c>
      <c r="G836" s="15">
        <v>0.98460000000000003</v>
      </c>
      <c r="H836" s="15">
        <v>0.22409999999999999</v>
      </c>
      <c r="I836" s="15">
        <v>2.07E-2</v>
      </c>
      <c r="J836" s="15">
        <v>12.04188481675393</v>
      </c>
    </row>
    <row r="837" spans="1:10" x14ac:dyDescent="0.25">
      <c r="A837" s="2" t="s">
        <v>2507</v>
      </c>
      <c r="B837" s="2" t="s">
        <v>2508</v>
      </c>
      <c r="C837" s="2" t="s">
        <v>2509</v>
      </c>
      <c r="D837" s="2" t="s">
        <v>10041</v>
      </c>
      <c r="E837" s="15">
        <v>1.2999999999999999E-3</v>
      </c>
      <c r="F837" s="15">
        <v>4.2700000000000002E-2</v>
      </c>
      <c r="G837" s="15">
        <v>0.97489999999999999</v>
      </c>
      <c r="H837" s="15">
        <v>0.23649999999999999</v>
      </c>
      <c r="I837" s="15">
        <v>2.2700000000000001E-2</v>
      </c>
      <c r="J837" s="15">
        <v>11.04954954954955</v>
      </c>
    </row>
    <row r="838" spans="1:10" x14ac:dyDescent="0.25">
      <c r="A838" s="2" t="s">
        <v>2510</v>
      </c>
      <c r="B838" s="2" t="s">
        <v>2511</v>
      </c>
      <c r="C838" s="2" t="s">
        <v>2512</v>
      </c>
      <c r="D838" s="2" t="s">
        <v>10041</v>
      </c>
      <c r="E838" s="15">
        <v>-9.69E-2</v>
      </c>
      <c r="F838" s="15">
        <v>4.2099999999999999E-2</v>
      </c>
      <c r="G838" s="15">
        <v>2.12E-2</v>
      </c>
      <c r="H838" s="15">
        <v>0.189</v>
      </c>
      <c r="I838" s="15">
        <v>2.12E-2</v>
      </c>
      <c r="J838" s="15">
        <v>10.105</v>
      </c>
    </row>
    <row r="839" spans="1:10" x14ac:dyDescent="0.25">
      <c r="A839" s="2" t="s">
        <v>2513</v>
      </c>
      <c r="B839" s="2" t="s">
        <v>2514</v>
      </c>
      <c r="C839" s="2" t="s">
        <v>2515</v>
      </c>
      <c r="D839" s="2" t="s">
        <v>10041</v>
      </c>
      <c r="E839" s="15">
        <v>-3.3E-3</v>
      </c>
      <c r="F839" s="15">
        <v>3.6700000000000003E-2</v>
      </c>
      <c r="G839" s="15">
        <v>0.92800000000000005</v>
      </c>
      <c r="H839" s="15">
        <v>0.26369999999999999</v>
      </c>
      <c r="I839" s="15">
        <v>4.5900000000000003E-2</v>
      </c>
      <c r="J839" s="15">
        <v>7.1327913279132789</v>
      </c>
    </row>
    <row r="840" spans="1:10" x14ac:dyDescent="0.25">
      <c r="A840" s="2" t="s">
        <v>2516</v>
      </c>
      <c r="B840" s="2" t="s">
        <v>2517</v>
      </c>
      <c r="C840" s="2" t="s">
        <v>2518</v>
      </c>
      <c r="D840" s="2" t="s">
        <v>10041</v>
      </c>
      <c r="E840" s="15">
        <v>-6.3100000000000003E-2</v>
      </c>
      <c r="F840" s="15">
        <v>4.99E-2</v>
      </c>
      <c r="G840" s="15">
        <v>0.20569999999999999</v>
      </c>
      <c r="H840" s="15">
        <v>0.16439999999999999</v>
      </c>
      <c r="I840" s="15">
        <v>1.8499999999999999E-2</v>
      </c>
      <c r="J840" s="15">
        <v>10.194444444444439</v>
      </c>
    </row>
    <row r="841" spans="1:10" x14ac:dyDescent="0.25">
      <c r="A841" s="2" t="s">
        <v>2519</v>
      </c>
      <c r="B841" s="2" t="s">
        <v>2520</v>
      </c>
      <c r="C841" s="2" t="s">
        <v>2521</v>
      </c>
      <c r="D841" s="2" t="s">
        <v>10041</v>
      </c>
      <c r="E841" s="15">
        <v>-1.06E-2</v>
      </c>
      <c r="F841" s="15">
        <v>4.6800000000000001E-2</v>
      </c>
      <c r="G841" s="15">
        <v>0.82010000000000005</v>
      </c>
      <c r="H841" s="15">
        <v>0.19109999999999999</v>
      </c>
      <c r="I841" s="15">
        <v>2.1100000000000001E-2</v>
      </c>
      <c r="J841" s="15">
        <v>10.47150259067358</v>
      </c>
    </row>
    <row r="842" spans="1:10" x14ac:dyDescent="0.25">
      <c r="A842" s="2" t="s">
        <v>2522</v>
      </c>
      <c r="B842" s="2" t="s">
        <v>2523</v>
      </c>
      <c r="C842" s="2" t="s">
        <v>2524</v>
      </c>
      <c r="D842" s="2" t="s">
        <v>10041</v>
      </c>
      <c r="E842" s="15">
        <v>-4.1399999999999999E-2</v>
      </c>
      <c r="F842" s="15">
        <v>3.5900000000000001E-2</v>
      </c>
      <c r="G842" s="15">
        <v>0.24990000000000001</v>
      </c>
      <c r="H842" s="15">
        <v>0.28070000000000001</v>
      </c>
      <c r="I842" s="15">
        <v>2.4400000000000002E-2</v>
      </c>
      <c r="J842" s="15">
        <v>13.036199095022621</v>
      </c>
    </row>
    <row r="843" spans="1:10" x14ac:dyDescent="0.25">
      <c r="A843" s="2" t="s">
        <v>2525</v>
      </c>
      <c r="B843" s="2" t="s">
        <v>2526</v>
      </c>
      <c r="C843" s="2" t="s">
        <v>2527</v>
      </c>
      <c r="D843" s="2" t="s">
        <v>10041</v>
      </c>
      <c r="E843" s="15">
        <v>-3.5999999999999999E-3</v>
      </c>
      <c r="F843" s="15">
        <v>5.67E-2</v>
      </c>
      <c r="G843" s="15">
        <v>0.94910000000000005</v>
      </c>
      <c r="H843" s="15">
        <v>0.1115</v>
      </c>
      <c r="I843" s="15">
        <v>1.8100000000000002E-2</v>
      </c>
      <c r="J843" s="15">
        <v>6.9757575757575747</v>
      </c>
    </row>
    <row r="844" spans="1:10" x14ac:dyDescent="0.25">
      <c r="A844" s="2" t="s">
        <v>2528</v>
      </c>
      <c r="B844" s="2" t="s">
        <v>2529</v>
      </c>
      <c r="C844" s="2" t="s">
        <v>2530</v>
      </c>
      <c r="D844" s="2" t="s">
        <v>10041</v>
      </c>
      <c r="E844" s="15">
        <v>1.9599999999999999E-2</v>
      </c>
      <c r="F844" s="15">
        <v>4.1599999999999998E-2</v>
      </c>
      <c r="G844" s="15">
        <v>0.63780000000000003</v>
      </c>
      <c r="H844" s="15">
        <v>0.2089</v>
      </c>
      <c r="I844" s="15">
        <v>2.69E-2</v>
      </c>
      <c r="J844" s="15">
        <v>8.6024096385542173</v>
      </c>
    </row>
    <row r="845" spans="1:10" x14ac:dyDescent="0.25">
      <c r="A845" s="2" t="s">
        <v>2531</v>
      </c>
      <c r="B845" s="2" t="s">
        <v>2532</v>
      </c>
      <c r="C845" s="2" t="s">
        <v>2533</v>
      </c>
      <c r="D845" s="2" t="s">
        <v>10041</v>
      </c>
      <c r="E845" s="15">
        <v>5.1400000000000001E-2</v>
      </c>
      <c r="F845" s="15">
        <v>3.5200000000000002E-2</v>
      </c>
      <c r="G845" s="15">
        <v>0.14369999999999999</v>
      </c>
      <c r="H845" s="15">
        <v>0.25530000000000003</v>
      </c>
      <c r="I845" s="15">
        <v>2.4799999999999999E-2</v>
      </c>
      <c r="J845" s="15">
        <v>12.00456621004566</v>
      </c>
    </row>
    <row r="846" spans="1:10" x14ac:dyDescent="0.25">
      <c r="A846" s="2" t="s">
        <v>2534</v>
      </c>
      <c r="B846" s="2" t="s">
        <v>2535</v>
      </c>
      <c r="C846" s="2" t="s">
        <v>2536</v>
      </c>
      <c r="D846" s="2" t="s">
        <v>10041</v>
      </c>
      <c r="E846" s="15">
        <v>6.4600000000000005E-2</v>
      </c>
      <c r="F846" s="15">
        <v>4.9200000000000001E-2</v>
      </c>
      <c r="G846" s="15">
        <v>0.1893</v>
      </c>
      <c r="H846" s="15">
        <v>0.15390000000000001</v>
      </c>
      <c r="I846" s="15">
        <v>2.1000000000000001E-2</v>
      </c>
      <c r="J846" s="15">
        <v>7.751173708920188</v>
      </c>
    </row>
    <row r="847" spans="1:10" x14ac:dyDescent="0.25">
      <c r="A847" s="2" t="s">
        <v>2537</v>
      </c>
      <c r="B847" s="2" t="s">
        <v>2538</v>
      </c>
      <c r="C847" s="2" t="s">
        <v>2539</v>
      </c>
      <c r="D847" s="2" t="s">
        <v>10041</v>
      </c>
      <c r="E847" s="15">
        <v>3.5999999999999999E-3</v>
      </c>
      <c r="F847" s="15">
        <v>4.6600000000000003E-2</v>
      </c>
      <c r="G847" s="15">
        <v>0.93910000000000005</v>
      </c>
      <c r="H847" s="15">
        <v>0.185</v>
      </c>
      <c r="I847" s="15">
        <v>2.3400000000000001E-2</v>
      </c>
      <c r="J847" s="15">
        <v>8.9759615384615383</v>
      </c>
    </row>
    <row r="848" spans="1:10" x14ac:dyDescent="0.25">
      <c r="A848" s="2" t="s">
        <v>2540</v>
      </c>
      <c r="B848" s="2" t="s">
        <v>2541</v>
      </c>
      <c r="C848" s="2" t="s">
        <v>2542</v>
      </c>
      <c r="D848" s="2" t="s">
        <v>10041</v>
      </c>
      <c r="E848" s="15">
        <v>-4.3799999999999999E-2</v>
      </c>
      <c r="F848" s="15">
        <v>4.6800000000000001E-2</v>
      </c>
      <c r="G848" s="15">
        <v>0.34920000000000001</v>
      </c>
      <c r="H848" s="15">
        <v>0.18920000000000001</v>
      </c>
      <c r="I848" s="15">
        <v>2.0199999999999999E-2</v>
      </c>
      <c r="J848" s="15">
        <v>10.136125654450259</v>
      </c>
    </row>
    <row r="849" spans="1:10" x14ac:dyDescent="0.25">
      <c r="A849" s="2" t="s">
        <v>2543</v>
      </c>
      <c r="B849" s="2" t="s">
        <v>2544</v>
      </c>
      <c r="C849" s="2" t="s">
        <v>2545</v>
      </c>
      <c r="D849" s="2" t="s">
        <v>10041</v>
      </c>
      <c r="E849" s="15">
        <v>-6.5000000000000002E-2</v>
      </c>
      <c r="F849" s="15">
        <v>4.5900000000000003E-2</v>
      </c>
      <c r="G849" s="15">
        <v>0.15659999999999999</v>
      </c>
      <c r="H849" s="15">
        <v>0.22939999999999999</v>
      </c>
      <c r="I849" s="15">
        <v>1.9199999999999998E-2</v>
      </c>
      <c r="J849" s="15">
        <v>12.91160220994475</v>
      </c>
    </row>
    <row r="850" spans="1:10" x14ac:dyDescent="0.25">
      <c r="A850" s="2" t="s">
        <v>2546</v>
      </c>
      <c r="B850" s="2" t="s">
        <v>2547</v>
      </c>
      <c r="C850" s="2" t="s">
        <v>2548</v>
      </c>
      <c r="D850" s="2" t="s">
        <v>10041</v>
      </c>
      <c r="E850" s="15">
        <v>-4.3299999999999998E-2</v>
      </c>
      <c r="F850" s="15">
        <v>4.9299999999999997E-2</v>
      </c>
      <c r="G850" s="15">
        <v>0.3805</v>
      </c>
      <c r="H850" s="15">
        <v>0.16350000000000001</v>
      </c>
      <c r="I850" s="15">
        <v>1.9800000000000002E-2</v>
      </c>
      <c r="J850" s="15">
        <v>9.0447761194029841</v>
      </c>
    </row>
    <row r="851" spans="1:10" x14ac:dyDescent="0.25">
      <c r="A851" s="2" t="s">
        <v>2549</v>
      </c>
      <c r="B851" s="2" t="s">
        <v>2550</v>
      </c>
      <c r="C851" s="2" t="s">
        <v>2551</v>
      </c>
      <c r="D851" s="2" t="s">
        <v>10041</v>
      </c>
      <c r="E851" s="15">
        <v>-5.4300000000000001E-2</v>
      </c>
      <c r="F851" s="15">
        <v>3.7900000000000003E-2</v>
      </c>
      <c r="G851" s="15">
        <v>0.1522</v>
      </c>
      <c r="H851" s="15">
        <v>0.24030000000000001</v>
      </c>
      <c r="I851" s="15">
        <v>2.53E-2</v>
      </c>
      <c r="J851" s="15">
        <v>10.69736842105263</v>
      </c>
    </row>
    <row r="852" spans="1:10" x14ac:dyDescent="0.25">
      <c r="A852" s="2" t="s">
        <v>2552</v>
      </c>
      <c r="B852" s="2" t="s">
        <v>2553</v>
      </c>
      <c r="C852" s="2" t="s">
        <v>2554</v>
      </c>
      <c r="D852" s="2" t="s">
        <v>10041</v>
      </c>
      <c r="E852" s="15">
        <v>-1.3899999999999999E-2</v>
      </c>
      <c r="F852" s="15">
        <v>4.1500000000000002E-2</v>
      </c>
      <c r="G852" s="15">
        <v>0.73699999999999999</v>
      </c>
      <c r="H852" s="15">
        <v>0.22489999999999999</v>
      </c>
      <c r="I852" s="15">
        <v>2.23E-2</v>
      </c>
      <c r="J852" s="15">
        <v>10.92523364485981</v>
      </c>
    </row>
    <row r="853" spans="1:10" x14ac:dyDescent="0.25">
      <c r="A853" s="2" t="s">
        <v>2555</v>
      </c>
      <c r="B853" s="2" t="s">
        <v>2556</v>
      </c>
      <c r="C853" s="2" t="s">
        <v>2557</v>
      </c>
      <c r="D853" s="2" t="s">
        <v>10041</v>
      </c>
      <c r="E853" s="15">
        <v>9.9000000000000008E-3</v>
      </c>
      <c r="F853" s="15">
        <v>3.9E-2</v>
      </c>
      <c r="G853" s="15">
        <v>0.79990000000000006</v>
      </c>
      <c r="H853" s="15">
        <v>0.249</v>
      </c>
      <c r="I853" s="15">
        <v>2.7099999999999999E-2</v>
      </c>
      <c r="J853" s="15">
        <v>10.493827160493829</v>
      </c>
    </row>
    <row r="854" spans="1:10" x14ac:dyDescent="0.25">
      <c r="A854" s="2" t="s">
        <v>2558</v>
      </c>
      <c r="B854" s="2" t="s">
        <v>2559</v>
      </c>
      <c r="C854" s="2" t="s">
        <v>2560</v>
      </c>
      <c r="D854" s="2" t="s">
        <v>10041</v>
      </c>
      <c r="E854" s="15">
        <v>2.7199999999999998E-2</v>
      </c>
      <c r="F854" s="15">
        <v>4.7899999999999998E-2</v>
      </c>
      <c r="G854" s="15">
        <v>0.56969999999999998</v>
      </c>
      <c r="H854" s="15">
        <v>0.15989999999999999</v>
      </c>
      <c r="I854" s="15">
        <v>2.0299999999999999E-2</v>
      </c>
      <c r="J854" s="15">
        <v>8.6734693877551035</v>
      </c>
    </row>
    <row r="855" spans="1:10" x14ac:dyDescent="0.25">
      <c r="A855" s="2" t="s">
        <v>2561</v>
      </c>
      <c r="B855" s="2" t="s">
        <v>2562</v>
      </c>
      <c r="C855" s="2" t="s">
        <v>2563</v>
      </c>
      <c r="D855" s="2" t="s">
        <v>10041</v>
      </c>
      <c r="E855" s="15">
        <v>-0.1055</v>
      </c>
      <c r="F855" s="15">
        <v>4.1200000000000001E-2</v>
      </c>
      <c r="G855" s="15">
        <v>1.0500000000000001E-2</v>
      </c>
      <c r="H855" s="15">
        <v>0.24360000000000001</v>
      </c>
      <c r="I855" s="15">
        <v>2.3300000000000001E-2</v>
      </c>
      <c r="J855" s="15">
        <v>11.30666666666667</v>
      </c>
    </row>
    <row r="856" spans="1:10" x14ac:dyDescent="0.25">
      <c r="A856" s="2" t="s">
        <v>2564</v>
      </c>
      <c r="B856" s="2" t="s">
        <v>2565</v>
      </c>
      <c r="C856" s="2" t="s">
        <v>2566</v>
      </c>
      <c r="D856" s="2" t="s">
        <v>10041</v>
      </c>
      <c r="E856" s="15">
        <v>1.2200000000000001E-2</v>
      </c>
      <c r="F856" s="15">
        <v>4.5100000000000001E-2</v>
      </c>
      <c r="G856" s="15">
        <v>0.78610000000000002</v>
      </c>
      <c r="H856" s="15">
        <v>0.14219999999999999</v>
      </c>
      <c r="I856" s="15">
        <v>1.7600000000000001E-2</v>
      </c>
      <c r="J856" s="15">
        <v>8.94413407821229</v>
      </c>
    </row>
    <row r="857" spans="1:10" x14ac:dyDescent="0.25">
      <c r="A857" s="2" t="s">
        <v>2567</v>
      </c>
      <c r="B857" s="2" t="s">
        <v>2568</v>
      </c>
      <c r="C857" s="2" t="s">
        <v>2569</v>
      </c>
      <c r="D857" s="2" t="s">
        <v>10041</v>
      </c>
      <c r="E857" s="15">
        <v>2.7699999999999999E-2</v>
      </c>
      <c r="F857" s="15">
        <v>4.1799999999999997E-2</v>
      </c>
      <c r="G857" s="15">
        <v>0.50700000000000001</v>
      </c>
      <c r="H857" s="15">
        <v>0.20710000000000001</v>
      </c>
      <c r="I857" s="15">
        <v>2.7300000000000001E-2</v>
      </c>
      <c r="J857" s="15">
        <v>8.20703125</v>
      </c>
    </row>
    <row r="858" spans="1:10" x14ac:dyDescent="0.25">
      <c r="A858" s="2" t="s">
        <v>2570</v>
      </c>
      <c r="B858" s="2" t="s">
        <v>2571</v>
      </c>
      <c r="C858" s="2" t="s">
        <v>2572</v>
      </c>
      <c r="D858" s="2" t="s">
        <v>10041</v>
      </c>
      <c r="E858" s="15">
        <v>4.5699999999999998E-2</v>
      </c>
      <c r="F858" s="15">
        <v>4.87E-2</v>
      </c>
      <c r="G858" s="15">
        <v>0.34789999999999999</v>
      </c>
      <c r="H858" s="15">
        <v>0.1368</v>
      </c>
      <c r="I858" s="15">
        <v>1.9400000000000001E-2</v>
      </c>
      <c r="J858" s="15">
        <v>8.0218579234972687</v>
      </c>
    </row>
    <row r="859" spans="1:10" x14ac:dyDescent="0.25">
      <c r="A859" s="2" t="s">
        <v>2573</v>
      </c>
      <c r="B859" s="2" t="s">
        <v>2574</v>
      </c>
      <c r="C859" s="2" t="s">
        <v>2575</v>
      </c>
      <c r="D859" s="2" t="s">
        <v>10041</v>
      </c>
      <c r="E859" s="15">
        <v>3.8899999999999997E-2</v>
      </c>
      <c r="F859" s="15">
        <v>6.0699999999999997E-2</v>
      </c>
      <c r="G859" s="15">
        <v>0.5212</v>
      </c>
      <c r="H859" s="15">
        <v>0.1159</v>
      </c>
      <c r="I859" s="15">
        <v>1.78E-2</v>
      </c>
      <c r="J859" s="15">
        <v>7.4662921348314599</v>
      </c>
    </row>
    <row r="860" spans="1:10" x14ac:dyDescent="0.25">
      <c r="A860" s="2" t="s">
        <v>2576</v>
      </c>
      <c r="B860" s="2" t="s">
        <v>2577</v>
      </c>
      <c r="C860" s="2" t="s">
        <v>2578</v>
      </c>
      <c r="D860" s="2" t="s">
        <v>10041</v>
      </c>
      <c r="E860" s="15">
        <v>7.7499999999999999E-2</v>
      </c>
      <c r="F860" s="15">
        <v>5.4100000000000002E-2</v>
      </c>
      <c r="G860" s="15">
        <v>0.15179999999999999</v>
      </c>
      <c r="H860" s="15">
        <v>0.126</v>
      </c>
      <c r="I860" s="15">
        <v>1.95E-2</v>
      </c>
      <c r="J860" s="15">
        <v>7.0000000000000009</v>
      </c>
    </row>
    <row r="861" spans="1:10" x14ac:dyDescent="0.25">
      <c r="A861" s="2" t="s">
        <v>2579</v>
      </c>
      <c r="B861" s="2" t="s">
        <v>2580</v>
      </c>
      <c r="C861" s="2" t="s">
        <v>2581</v>
      </c>
      <c r="D861" s="2" t="s">
        <v>10041</v>
      </c>
      <c r="E861" s="15">
        <v>3.2899999999999999E-2</v>
      </c>
      <c r="F861" s="15">
        <v>3.44E-2</v>
      </c>
      <c r="G861" s="15">
        <v>0.33929999999999999</v>
      </c>
      <c r="H861" s="15">
        <v>0.3407</v>
      </c>
      <c r="I861" s="15">
        <v>3.44E-2</v>
      </c>
      <c r="J861" s="15">
        <v>11.15032679738562</v>
      </c>
    </row>
    <row r="862" spans="1:10" x14ac:dyDescent="0.25">
      <c r="A862" s="2" t="s">
        <v>2582</v>
      </c>
      <c r="B862" s="2" t="s">
        <v>2583</v>
      </c>
      <c r="C862" s="2" t="s">
        <v>2584</v>
      </c>
      <c r="D862" s="2" t="s">
        <v>10041</v>
      </c>
      <c r="E862" s="15">
        <v>-0.12820000000000001</v>
      </c>
      <c r="F862" s="15">
        <v>4.4600000000000001E-2</v>
      </c>
      <c r="G862" s="15">
        <v>4.1000000000000003E-3</v>
      </c>
      <c r="H862" s="15">
        <v>0.1661</v>
      </c>
      <c r="I862" s="15">
        <v>2.0400000000000001E-2</v>
      </c>
      <c r="J862" s="15">
        <v>8.8442211055276374</v>
      </c>
    </row>
    <row r="863" spans="1:10" x14ac:dyDescent="0.25">
      <c r="A863" s="2" t="s">
        <v>2585</v>
      </c>
      <c r="B863" s="2" t="s">
        <v>2586</v>
      </c>
      <c r="C863" s="2" t="s">
        <v>2587</v>
      </c>
      <c r="D863" s="2" t="s">
        <v>10041</v>
      </c>
      <c r="E863" s="15">
        <v>-1.15E-2</v>
      </c>
      <c r="F863" s="15">
        <v>4.4900000000000002E-2</v>
      </c>
      <c r="G863" s="15">
        <v>0.79779999999999995</v>
      </c>
      <c r="H863" s="15">
        <v>0.17630000000000001</v>
      </c>
      <c r="I863" s="15">
        <v>2.63E-2</v>
      </c>
      <c r="J863" s="15">
        <v>7.8193277310924358</v>
      </c>
    </row>
    <row r="864" spans="1:10" x14ac:dyDescent="0.25">
      <c r="A864" s="2" t="s">
        <v>2588</v>
      </c>
      <c r="B864" s="2" t="s">
        <v>2589</v>
      </c>
      <c r="C864" s="2" t="s">
        <v>2590</v>
      </c>
      <c r="D864" s="2" t="s">
        <v>10041</v>
      </c>
      <c r="E864" s="15">
        <v>-6.7999999999999996E-3</v>
      </c>
      <c r="F864" s="15">
        <v>3.8800000000000001E-2</v>
      </c>
      <c r="G864" s="15">
        <v>0.86050000000000004</v>
      </c>
      <c r="H864" s="15">
        <v>0.22020000000000001</v>
      </c>
      <c r="I864" s="15">
        <v>2.64E-2</v>
      </c>
      <c r="J864" s="15">
        <v>8.2544169611307421</v>
      </c>
    </row>
    <row r="865" spans="1:10" x14ac:dyDescent="0.25">
      <c r="A865" s="2" t="s">
        <v>2591</v>
      </c>
      <c r="B865" s="2" t="s">
        <v>2592</v>
      </c>
      <c r="C865" s="2" t="s">
        <v>2593</v>
      </c>
      <c r="D865" s="2" t="s">
        <v>10041</v>
      </c>
      <c r="E865" s="15">
        <v>-4.8899999999999999E-2</v>
      </c>
      <c r="F865" s="15">
        <v>4.4699999999999997E-2</v>
      </c>
      <c r="G865" s="15">
        <v>0.2742</v>
      </c>
      <c r="H865" s="15">
        <v>0.21929999999999999</v>
      </c>
      <c r="I865" s="15">
        <v>2.4199999999999999E-2</v>
      </c>
      <c r="J865" s="15">
        <v>11.260869565217391</v>
      </c>
    </row>
    <row r="866" spans="1:10" x14ac:dyDescent="0.25">
      <c r="A866" s="2" t="s">
        <v>2594</v>
      </c>
      <c r="B866" s="2" t="s">
        <v>2595</v>
      </c>
      <c r="C866" s="2" t="s">
        <v>2596</v>
      </c>
      <c r="D866" s="2" t="s">
        <v>10041</v>
      </c>
      <c r="E866" s="15">
        <v>1.44E-2</v>
      </c>
      <c r="F866" s="15">
        <v>5.5100000000000003E-2</v>
      </c>
      <c r="G866" s="15">
        <v>0.79339999999999999</v>
      </c>
      <c r="H866" s="15">
        <v>0.1366</v>
      </c>
      <c r="I866" s="15">
        <v>1.7299999999999999E-2</v>
      </c>
      <c r="J866" s="15">
        <v>7.9289940828402381</v>
      </c>
    </row>
    <row r="867" spans="1:10" x14ac:dyDescent="0.25">
      <c r="A867" s="2" t="s">
        <v>2597</v>
      </c>
      <c r="B867" s="2" t="s">
        <v>2598</v>
      </c>
      <c r="C867" s="2" t="s">
        <v>2599</v>
      </c>
      <c r="D867" s="2" t="s">
        <v>10041</v>
      </c>
      <c r="E867" s="15">
        <v>-5.5100000000000003E-2</v>
      </c>
      <c r="F867" s="15">
        <v>4.3799999999999999E-2</v>
      </c>
      <c r="G867" s="15">
        <v>0.20910000000000001</v>
      </c>
      <c r="H867" s="15">
        <v>0.20780000000000001</v>
      </c>
      <c r="I867" s="15">
        <v>1.9400000000000001E-2</v>
      </c>
      <c r="J867" s="15">
        <v>11.929347826086961</v>
      </c>
    </row>
    <row r="868" spans="1:10" x14ac:dyDescent="0.25">
      <c r="A868" s="2" t="s">
        <v>2600</v>
      </c>
      <c r="B868" s="2" t="s">
        <v>2601</v>
      </c>
      <c r="C868" s="2" t="s">
        <v>2602</v>
      </c>
      <c r="D868" s="2" t="s">
        <v>10041</v>
      </c>
      <c r="E868" s="15">
        <v>1.1000000000000001E-3</v>
      </c>
      <c r="F868" s="15">
        <v>4.4699999999999997E-2</v>
      </c>
      <c r="G868" s="15">
        <v>0.98089999999999999</v>
      </c>
      <c r="H868" s="15">
        <v>0.20599999999999999</v>
      </c>
      <c r="I868" s="15">
        <v>2.01E-2</v>
      </c>
      <c r="J868" s="15">
        <v>10.727722772277231</v>
      </c>
    </row>
    <row r="869" spans="1:10" x14ac:dyDescent="0.25">
      <c r="A869" s="2" t="s">
        <v>2603</v>
      </c>
      <c r="B869" s="2" t="s">
        <v>2604</v>
      </c>
      <c r="C869" s="2" t="s">
        <v>2605</v>
      </c>
      <c r="D869" s="2" t="s">
        <v>10041</v>
      </c>
      <c r="E869" s="15">
        <v>-6.3100000000000003E-2</v>
      </c>
      <c r="F869" s="15">
        <v>4.5999999999999999E-2</v>
      </c>
      <c r="G869" s="15">
        <v>0.17069999999999999</v>
      </c>
      <c r="H869" s="15">
        <v>0.1797</v>
      </c>
      <c r="I869" s="15">
        <v>1.9E-2</v>
      </c>
      <c r="J869" s="15">
        <v>10.20111731843576</v>
      </c>
    </row>
    <row r="870" spans="1:10" x14ac:dyDescent="0.25">
      <c r="A870" s="2" t="s">
        <v>2606</v>
      </c>
      <c r="B870" s="2" t="s">
        <v>2607</v>
      </c>
      <c r="C870" s="2" t="s">
        <v>2608</v>
      </c>
      <c r="D870" s="2" t="s">
        <v>10041</v>
      </c>
      <c r="E870" s="15">
        <v>1.1999999999999999E-3</v>
      </c>
      <c r="F870" s="15">
        <v>3.4700000000000002E-2</v>
      </c>
      <c r="G870" s="15">
        <v>0.97199999999999998</v>
      </c>
      <c r="H870" s="15">
        <v>0.2606</v>
      </c>
      <c r="I870" s="15">
        <v>3.4500000000000003E-2</v>
      </c>
      <c r="J870" s="15">
        <v>8.6546052631578956</v>
      </c>
    </row>
    <row r="871" spans="1:10" x14ac:dyDescent="0.25">
      <c r="A871" s="2" t="s">
        <v>2609</v>
      </c>
      <c r="B871" s="2" t="s">
        <v>2610</v>
      </c>
      <c r="C871" s="2" t="s">
        <v>2611</v>
      </c>
      <c r="D871" s="2" t="s">
        <v>10041</v>
      </c>
      <c r="E871" s="15">
        <v>-4.2900000000000001E-2</v>
      </c>
      <c r="F871" s="15">
        <v>4.41E-2</v>
      </c>
      <c r="G871" s="15">
        <v>0.32990000000000003</v>
      </c>
      <c r="H871" s="15">
        <v>0.157</v>
      </c>
      <c r="I871" s="15">
        <v>1.9400000000000001E-2</v>
      </c>
      <c r="J871" s="15">
        <v>8.7631578947368425</v>
      </c>
    </row>
    <row r="872" spans="1:10" x14ac:dyDescent="0.25">
      <c r="A872" s="2" t="s">
        <v>2612</v>
      </c>
      <c r="B872" s="2" t="s">
        <v>2613</v>
      </c>
      <c r="C872" s="2" t="s">
        <v>2614</v>
      </c>
      <c r="D872" s="2" t="s">
        <v>10041</v>
      </c>
      <c r="E872" s="15">
        <v>-2.5100000000000001E-2</v>
      </c>
      <c r="F872" s="15">
        <v>4.1599999999999998E-2</v>
      </c>
      <c r="G872" s="15">
        <v>0.54700000000000004</v>
      </c>
      <c r="H872" s="15">
        <v>0.214</v>
      </c>
      <c r="I872" s="15">
        <v>2.07E-2</v>
      </c>
      <c r="J872" s="15">
        <v>10.886138613861389</v>
      </c>
    </row>
    <row r="873" spans="1:10" x14ac:dyDescent="0.25">
      <c r="A873" s="2" t="s">
        <v>2615</v>
      </c>
      <c r="B873" s="2" t="s">
        <v>2616</v>
      </c>
      <c r="C873" s="2" t="s">
        <v>2617</v>
      </c>
      <c r="D873" s="2" t="s">
        <v>10041</v>
      </c>
      <c r="E873" s="15">
        <v>-4.3400000000000001E-2</v>
      </c>
      <c r="F873" s="15">
        <v>3.5200000000000002E-2</v>
      </c>
      <c r="G873" s="15">
        <v>0.2172</v>
      </c>
      <c r="H873" s="15">
        <v>0.2898</v>
      </c>
      <c r="I873" s="15">
        <v>2.6800000000000001E-2</v>
      </c>
      <c r="J873" s="15">
        <v>12.375</v>
      </c>
    </row>
    <row r="874" spans="1:10" x14ac:dyDescent="0.25">
      <c r="A874" s="2" t="s">
        <v>2618</v>
      </c>
      <c r="B874" s="2" t="s">
        <v>2619</v>
      </c>
      <c r="C874" s="2" t="s">
        <v>2620</v>
      </c>
      <c r="D874" s="2" t="s">
        <v>10041</v>
      </c>
      <c r="E874" s="15">
        <v>-8.6499999999999994E-2</v>
      </c>
      <c r="F874" s="15">
        <v>4.7E-2</v>
      </c>
      <c r="G874" s="15">
        <v>6.59E-2</v>
      </c>
      <c r="H874" s="15">
        <v>0.1376</v>
      </c>
      <c r="I874" s="15">
        <v>1.7000000000000001E-2</v>
      </c>
      <c r="J874" s="15">
        <v>8.5031446540880484</v>
      </c>
    </row>
    <row r="875" spans="1:10" x14ac:dyDescent="0.25">
      <c r="A875" s="2" t="s">
        <v>2621</v>
      </c>
      <c r="B875" s="2" t="s">
        <v>2622</v>
      </c>
      <c r="C875" s="2" t="s">
        <v>2623</v>
      </c>
      <c r="D875" s="2" t="s">
        <v>10041</v>
      </c>
      <c r="E875" s="15">
        <v>-3.4599999999999999E-2</v>
      </c>
      <c r="F875" s="15">
        <v>5.8599999999999999E-2</v>
      </c>
      <c r="G875" s="15">
        <v>0.55510000000000004</v>
      </c>
      <c r="H875" s="15">
        <v>9.5500000000000002E-2</v>
      </c>
      <c r="I875" s="15">
        <v>1.7899999999999999E-2</v>
      </c>
      <c r="J875" s="15">
        <v>5.5146198830409352</v>
      </c>
    </row>
    <row r="876" spans="1:10" x14ac:dyDescent="0.25">
      <c r="A876" s="2" t="s">
        <v>2624</v>
      </c>
      <c r="B876" s="2" t="s">
        <v>2625</v>
      </c>
      <c r="C876" s="2" t="s">
        <v>2626</v>
      </c>
      <c r="D876" s="2" t="s">
        <v>10041</v>
      </c>
      <c r="E876" s="15">
        <v>1.9400000000000001E-2</v>
      </c>
      <c r="F876" s="15">
        <v>4.7600000000000003E-2</v>
      </c>
      <c r="G876" s="15">
        <v>0.68389999999999995</v>
      </c>
      <c r="H876" s="15">
        <v>0.16489999999999999</v>
      </c>
      <c r="I876" s="15">
        <v>1.95E-2</v>
      </c>
      <c r="J876" s="15">
        <v>9.2651933701657452</v>
      </c>
    </row>
    <row r="877" spans="1:10" x14ac:dyDescent="0.25">
      <c r="A877" s="2" t="s">
        <v>2627</v>
      </c>
      <c r="B877" s="2" t="s">
        <v>2628</v>
      </c>
      <c r="C877" s="2" t="s">
        <v>2629</v>
      </c>
      <c r="D877" s="2" t="s">
        <v>10041</v>
      </c>
      <c r="E877" s="15">
        <v>-2.5399999999999999E-2</v>
      </c>
      <c r="F877" s="15">
        <v>4.7899999999999998E-2</v>
      </c>
      <c r="G877" s="15">
        <v>0.59609999999999996</v>
      </c>
      <c r="H877" s="15">
        <v>0.1522</v>
      </c>
      <c r="I877" s="15">
        <v>1.8800000000000001E-2</v>
      </c>
      <c r="J877" s="15">
        <v>8.6378378378378375</v>
      </c>
    </row>
    <row r="878" spans="1:10" x14ac:dyDescent="0.25">
      <c r="A878" s="2" t="s">
        <v>2630</v>
      </c>
      <c r="B878" s="2" t="s">
        <v>2631</v>
      </c>
      <c r="C878" s="2" t="s">
        <v>2632</v>
      </c>
      <c r="D878" s="2" t="s">
        <v>10041</v>
      </c>
      <c r="E878" s="15">
        <v>2.0000000000000001E-4</v>
      </c>
      <c r="F878" s="15">
        <v>5.5100000000000003E-2</v>
      </c>
      <c r="G878" s="15">
        <v>0.99780000000000002</v>
      </c>
      <c r="H878" s="15">
        <v>0.1084</v>
      </c>
      <c r="I878" s="15">
        <v>1.83E-2</v>
      </c>
      <c r="J878" s="15">
        <v>6.0382513661202184</v>
      </c>
    </row>
    <row r="879" spans="1:10" x14ac:dyDescent="0.25">
      <c r="A879" s="2" t="s">
        <v>2633</v>
      </c>
      <c r="B879" s="2" t="s">
        <v>2634</v>
      </c>
      <c r="C879" s="2" t="s">
        <v>2635</v>
      </c>
      <c r="D879" s="2" t="s">
        <v>10041</v>
      </c>
      <c r="E879" s="15">
        <v>-1.9E-2</v>
      </c>
      <c r="F879" s="15">
        <v>5.1900000000000002E-2</v>
      </c>
      <c r="G879" s="15">
        <v>0.71450000000000002</v>
      </c>
      <c r="H879" s="15">
        <v>0.16650000000000001</v>
      </c>
      <c r="I879" s="15">
        <v>2.0500000000000001E-2</v>
      </c>
      <c r="J879" s="15">
        <v>8.6381909547738687</v>
      </c>
    </row>
    <row r="880" spans="1:10" x14ac:dyDescent="0.25">
      <c r="A880" s="2" t="s">
        <v>2636</v>
      </c>
      <c r="B880" s="2" t="s">
        <v>2637</v>
      </c>
      <c r="C880" s="2" t="s">
        <v>2638</v>
      </c>
      <c r="D880" s="2" t="s">
        <v>10041</v>
      </c>
      <c r="E880" s="15">
        <v>5.33E-2</v>
      </c>
      <c r="F880" s="15">
        <v>4.7300000000000002E-2</v>
      </c>
      <c r="G880" s="15">
        <v>0.25969999999999999</v>
      </c>
      <c r="H880" s="15">
        <v>0.14510000000000001</v>
      </c>
      <c r="I880" s="15">
        <v>2.5600000000000001E-2</v>
      </c>
      <c r="J880" s="15">
        <v>6.5021459227467808</v>
      </c>
    </row>
    <row r="881" spans="1:10" x14ac:dyDescent="0.25">
      <c r="A881" s="2" t="s">
        <v>2639</v>
      </c>
      <c r="B881" s="2" t="s">
        <v>2640</v>
      </c>
      <c r="C881" s="2" t="s">
        <v>2641</v>
      </c>
      <c r="D881" s="2" t="s">
        <v>10041</v>
      </c>
      <c r="E881" s="15">
        <v>-1.9699999999999999E-2</v>
      </c>
      <c r="F881" s="15">
        <v>5.0200000000000002E-2</v>
      </c>
      <c r="G881" s="15">
        <v>0.69530000000000003</v>
      </c>
      <c r="H881" s="15">
        <v>0.13589999999999999</v>
      </c>
      <c r="I881" s="15">
        <v>2.9499999999999998E-2</v>
      </c>
      <c r="J881" s="15">
        <v>4.8617021276595747</v>
      </c>
    </row>
    <row r="882" spans="1:10" x14ac:dyDescent="0.25">
      <c r="A882" s="2" t="s">
        <v>2642</v>
      </c>
      <c r="B882" s="2" t="s">
        <v>2643</v>
      </c>
      <c r="C882" s="2" t="s">
        <v>2644</v>
      </c>
      <c r="D882" s="2" t="s">
        <v>10041</v>
      </c>
      <c r="E882" s="15">
        <v>-6.2899999999999998E-2</v>
      </c>
      <c r="F882" s="15">
        <v>5.2499999999999998E-2</v>
      </c>
      <c r="G882" s="15">
        <v>0.23139999999999999</v>
      </c>
      <c r="H882" s="15">
        <v>0.16220000000000001</v>
      </c>
      <c r="I882" s="15">
        <v>1.9699999999999999E-2</v>
      </c>
      <c r="J882" s="15">
        <v>8.7783783783783775</v>
      </c>
    </row>
    <row r="883" spans="1:10" x14ac:dyDescent="0.25">
      <c r="A883" s="2" t="s">
        <v>2645</v>
      </c>
      <c r="B883" s="2" t="s">
        <v>2646</v>
      </c>
      <c r="C883" s="2" t="s">
        <v>2647</v>
      </c>
      <c r="D883" s="2" t="s">
        <v>10041</v>
      </c>
      <c r="E883" s="15">
        <v>5.1999999999999998E-3</v>
      </c>
      <c r="F883" s="15">
        <v>4.8899999999999999E-2</v>
      </c>
      <c r="G883" s="15">
        <v>0.91590000000000005</v>
      </c>
      <c r="H883" s="15">
        <v>0.1736</v>
      </c>
      <c r="I883" s="15">
        <v>2.07E-2</v>
      </c>
      <c r="J883" s="15">
        <v>10.30810810810811</v>
      </c>
    </row>
    <row r="884" spans="1:10" x14ac:dyDescent="0.25">
      <c r="A884" s="2" t="s">
        <v>2648</v>
      </c>
      <c r="B884" s="2" t="s">
        <v>2649</v>
      </c>
      <c r="C884" s="2" t="s">
        <v>2650</v>
      </c>
      <c r="D884" s="2" t="s">
        <v>10041</v>
      </c>
      <c r="E884" s="15">
        <v>5.3999999999999999E-2</v>
      </c>
      <c r="F884" s="15">
        <v>3.6400000000000002E-2</v>
      </c>
      <c r="G884" s="15">
        <v>0.13850000000000001</v>
      </c>
      <c r="H884" s="15">
        <v>0.28460000000000002</v>
      </c>
      <c r="I884" s="15">
        <v>2.5600000000000001E-2</v>
      </c>
      <c r="J884" s="15">
        <v>12.079831932773111</v>
      </c>
    </row>
    <row r="885" spans="1:10" x14ac:dyDescent="0.25">
      <c r="A885" s="2" t="s">
        <v>2651</v>
      </c>
      <c r="B885" s="2" t="s">
        <v>2652</v>
      </c>
      <c r="C885" s="2" t="s">
        <v>2653</v>
      </c>
      <c r="D885" s="2" t="s">
        <v>10041</v>
      </c>
      <c r="E885" s="15">
        <v>-5.1999999999999998E-3</v>
      </c>
      <c r="F885" s="15">
        <v>6.3899999999999998E-2</v>
      </c>
      <c r="G885" s="15">
        <v>0.93459999999999999</v>
      </c>
      <c r="H885" s="15">
        <v>8.5099999999999995E-2</v>
      </c>
      <c r="I885" s="15">
        <v>1.61E-2</v>
      </c>
      <c r="J885" s="15">
        <v>6.0405405405405386</v>
      </c>
    </row>
    <row r="886" spans="1:10" x14ac:dyDescent="0.25">
      <c r="A886" s="2" t="s">
        <v>2654</v>
      </c>
      <c r="B886" s="2" t="s">
        <v>2655</v>
      </c>
      <c r="C886" s="2" t="s">
        <v>2656</v>
      </c>
      <c r="D886" s="2" t="s">
        <v>10041</v>
      </c>
      <c r="E886" s="15">
        <v>4.1599999999999998E-2</v>
      </c>
      <c r="F886" s="15">
        <v>6.88E-2</v>
      </c>
      <c r="G886" s="15">
        <v>0.54530000000000001</v>
      </c>
      <c r="H886" s="15">
        <v>7.46E-2</v>
      </c>
      <c r="I886" s="15">
        <v>1.7000000000000001E-2</v>
      </c>
      <c r="J886" s="15">
        <v>4.7142857142857144</v>
      </c>
    </row>
    <row r="887" spans="1:10" x14ac:dyDescent="0.25">
      <c r="A887" s="2" t="s">
        <v>2657</v>
      </c>
      <c r="B887" s="2" t="s">
        <v>2658</v>
      </c>
      <c r="C887" s="2" t="s">
        <v>2659</v>
      </c>
      <c r="D887" s="2" t="s">
        <v>10041</v>
      </c>
      <c r="E887" s="15">
        <v>-3.0000000000000001E-3</v>
      </c>
      <c r="F887" s="15">
        <v>5.6500000000000002E-2</v>
      </c>
      <c r="G887" s="15">
        <v>0.95830000000000004</v>
      </c>
      <c r="H887" s="15">
        <v>0.12759999999999999</v>
      </c>
      <c r="I887" s="15">
        <v>1.9099999999999999E-2</v>
      </c>
      <c r="J887" s="15">
        <v>7.7627118644067794</v>
      </c>
    </row>
    <row r="888" spans="1:10" x14ac:dyDescent="0.25">
      <c r="A888" s="2" t="s">
        <v>2660</v>
      </c>
      <c r="B888" s="2" t="s">
        <v>2661</v>
      </c>
      <c r="C888" s="2" t="s">
        <v>2662</v>
      </c>
      <c r="D888" s="2" t="s">
        <v>10041</v>
      </c>
      <c r="E888" s="15">
        <v>1.2E-2</v>
      </c>
      <c r="F888" s="15">
        <v>4.1700000000000001E-2</v>
      </c>
      <c r="G888" s="15">
        <v>0.7732</v>
      </c>
      <c r="H888" s="15">
        <v>0.2099</v>
      </c>
      <c r="I888" s="15">
        <v>2.2800000000000001E-2</v>
      </c>
      <c r="J888" s="15">
        <v>10.20276497695852</v>
      </c>
    </row>
    <row r="889" spans="1:10" x14ac:dyDescent="0.25">
      <c r="A889" s="2" t="s">
        <v>2663</v>
      </c>
      <c r="B889" s="2" t="s">
        <v>2664</v>
      </c>
      <c r="C889" s="2" t="s">
        <v>2665</v>
      </c>
      <c r="D889" s="2" t="s">
        <v>10041</v>
      </c>
      <c r="E889" s="15">
        <v>1.3100000000000001E-2</v>
      </c>
      <c r="F889" s="15">
        <v>4.4999999999999998E-2</v>
      </c>
      <c r="G889" s="15">
        <v>0.77149999999999996</v>
      </c>
      <c r="H889" s="15">
        <v>0.223</v>
      </c>
      <c r="I889" s="15">
        <v>2.7300000000000001E-2</v>
      </c>
      <c r="J889" s="15">
        <v>8.890625</v>
      </c>
    </row>
    <row r="890" spans="1:10" x14ac:dyDescent="0.25">
      <c r="A890" s="2" t="s">
        <v>2666</v>
      </c>
      <c r="B890" s="2" t="s">
        <v>2667</v>
      </c>
      <c r="C890" s="2" t="s">
        <v>2668</v>
      </c>
      <c r="D890" s="2" t="s">
        <v>10041</v>
      </c>
      <c r="E890" s="15">
        <v>-3.1899999999999998E-2</v>
      </c>
      <c r="F890" s="15">
        <v>4.5600000000000002E-2</v>
      </c>
      <c r="G890" s="15">
        <v>0.48380000000000001</v>
      </c>
      <c r="H890" s="15">
        <v>0.1419</v>
      </c>
      <c r="I890" s="15">
        <v>1.9699999999999999E-2</v>
      </c>
      <c r="J890" s="15">
        <v>7.7405405405405414</v>
      </c>
    </row>
    <row r="891" spans="1:10" x14ac:dyDescent="0.25">
      <c r="A891" s="2" t="s">
        <v>2669</v>
      </c>
      <c r="B891" s="2" t="s">
        <v>2670</v>
      </c>
      <c r="C891" s="2" t="s">
        <v>2671</v>
      </c>
      <c r="D891" s="2" t="s">
        <v>10041</v>
      </c>
      <c r="E891" s="15">
        <v>-7.2099999999999997E-2</v>
      </c>
      <c r="F891" s="15">
        <v>4.65E-2</v>
      </c>
      <c r="G891" s="15">
        <v>0.12089999999999999</v>
      </c>
      <c r="H891" s="15">
        <v>0.151</v>
      </c>
      <c r="I891" s="15">
        <v>1.7999999999999999E-2</v>
      </c>
      <c r="J891" s="15">
        <v>9.1235294117647037</v>
      </c>
    </row>
    <row r="892" spans="1:10" x14ac:dyDescent="0.25">
      <c r="A892" s="2" t="s">
        <v>2672</v>
      </c>
      <c r="B892" s="2" t="s">
        <v>2673</v>
      </c>
      <c r="C892" s="2" t="s">
        <v>2674</v>
      </c>
      <c r="D892" s="2" t="s">
        <v>10041</v>
      </c>
      <c r="E892" s="15">
        <v>5.5999999999999999E-3</v>
      </c>
      <c r="F892" s="15">
        <v>5.1900000000000002E-2</v>
      </c>
      <c r="G892" s="15">
        <v>0.91479999999999995</v>
      </c>
      <c r="H892" s="15">
        <v>0.14360000000000001</v>
      </c>
      <c r="I892" s="15">
        <v>2.0199999999999999E-2</v>
      </c>
      <c r="J892" s="15">
        <v>7.9897435897435898</v>
      </c>
    </row>
    <row r="893" spans="1:10" x14ac:dyDescent="0.25">
      <c r="A893" s="2" t="s">
        <v>2675</v>
      </c>
      <c r="B893" s="2" t="s">
        <v>2676</v>
      </c>
      <c r="C893" s="2" t="s">
        <v>2677</v>
      </c>
      <c r="D893" s="2" t="s">
        <v>10041</v>
      </c>
      <c r="E893" s="15">
        <v>1.2999999999999999E-2</v>
      </c>
      <c r="F893" s="15">
        <v>4.1799999999999997E-2</v>
      </c>
      <c r="G893" s="15">
        <v>0.75590000000000002</v>
      </c>
      <c r="H893" s="15">
        <v>0.18609999999999999</v>
      </c>
      <c r="I893" s="15">
        <v>2.3E-2</v>
      </c>
      <c r="J893" s="15">
        <v>9.2572815533980588</v>
      </c>
    </row>
    <row r="894" spans="1:10" x14ac:dyDescent="0.25">
      <c r="A894" s="2" t="s">
        <v>2678</v>
      </c>
      <c r="B894" s="2" t="s">
        <v>2679</v>
      </c>
      <c r="C894" s="2" t="s">
        <v>2680</v>
      </c>
      <c r="D894" s="2" t="s">
        <v>10041</v>
      </c>
      <c r="E894" s="15">
        <v>1.5100000000000001E-2</v>
      </c>
      <c r="F894" s="15">
        <v>4.8399999999999999E-2</v>
      </c>
      <c r="G894" s="15">
        <v>0.75449999999999995</v>
      </c>
      <c r="H894" s="15">
        <v>0.14180000000000001</v>
      </c>
      <c r="I894" s="15">
        <v>1.8499999999999999E-2</v>
      </c>
      <c r="J894" s="15">
        <v>8.606936416184972</v>
      </c>
    </row>
    <row r="895" spans="1:10" x14ac:dyDescent="0.25">
      <c r="A895" s="2" t="s">
        <v>2681</v>
      </c>
      <c r="B895" s="2" t="s">
        <v>2682</v>
      </c>
      <c r="C895" s="2" t="s">
        <v>2683</v>
      </c>
      <c r="D895" s="2" t="s">
        <v>10041</v>
      </c>
      <c r="E895" s="15">
        <v>-2.2499999999999999E-2</v>
      </c>
      <c r="F895" s="15">
        <v>3.8100000000000002E-2</v>
      </c>
      <c r="G895" s="15">
        <v>0.55489999999999995</v>
      </c>
      <c r="H895" s="15">
        <v>0.23780000000000001</v>
      </c>
      <c r="I895" s="15">
        <v>2.5999999999999999E-2</v>
      </c>
      <c r="J895" s="15">
        <v>10.08333333333333</v>
      </c>
    </row>
    <row r="896" spans="1:10" x14ac:dyDescent="0.25">
      <c r="A896" s="2" t="s">
        <v>2684</v>
      </c>
      <c r="B896" s="2" t="s">
        <v>2685</v>
      </c>
      <c r="C896" s="2" t="s">
        <v>2686</v>
      </c>
      <c r="D896" s="2" t="s">
        <v>10041</v>
      </c>
      <c r="E896" s="15">
        <v>5.5300000000000002E-2</v>
      </c>
      <c r="F896" s="15">
        <v>4.4299999999999999E-2</v>
      </c>
      <c r="G896" s="15">
        <v>0.21210000000000001</v>
      </c>
      <c r="H896" s="15">
        <v>0.18459999999999999</v>
      </c>
      <c r="I896" s="15">
        <v>2.06E-2</v>
      </c>
      <c r="J896" s="15">
        <v>9.7949999999999999</v>
      </c>
    </row>
    <row r="897" spans="1:10" x14ac:dyDescent="0.25">
      <c r="A897" s="2" t="s">
        <v>2687</v>
      </c>
      <c r="B897" s="2" t="s">
        <v>2688</v>
      </c>
      <c r="C897" s="2" t="s">
        <v>2689</v>
      </c>
      <c r="D897" s="2" t="s">
        <v>10041</v>
      </c>
      <c r="E897" s="15">
        <v>7.3000000000000001E-3</v>
      </c>
      <c r="F897" s="15">
        <v>3.9699999999999999E-2</v>
      </c>
      <c r="G897" s="15">
        <v>0.85419999999999996</v>
      </c>
      <c r="H897" s="15">
        <v>0.22409999999999999</v>
      </c>
      <c r="I897" s="15">
        <v>2.1299999999999999E-2</v>
      </c>
      <c r="J897" s="15">
        <v>11.06862745098039</v>
      </c>
    </row>
    <row r="898" spans="1:10" x14ac:dyDescent="0.25">
      <c r="A898" s="2" t="s">
        <v>2690</v>
      </c>
      <c r="B898" s="2" t="s">
        <v>2691</v>
      </c>
      <c r="C898" s="2" t="s">
        <v>2692</v>
      </c>
      <c r="D898" s="2" t="s">
        <v>10041</v>
      </c>
      <c r="E898" s="15">
        <v>-7.4099999999999999E-2</v>
      </c>
      <c r="F898" s="15">
        <v>4.8899999999999999E-2</v>
      </c>
      <c r="G898" s="15">
        <v>0.13</v>
      </c>
      <c r="H898" s="15">
        <v>0.16619999999999999</v>
      </c>
      <c r="I898" s="15">
        <v>2.0500000000000001E-2</v>
      </c>
      <c r="J898" s="15">
        <v>8.7894736842105274</v>
      </c>
    </row>
    <row r="899" spans="1:10" x14ac:dyDescent="0.25">
      <c r="A899" s="2" t="s">
        <v>2693</v>
      </c>
      <c r="B899" s="2" t="s">
        <v>2694</v>
      </c>
      <c r="C899" s="2" t="s">
        <v>2695</v>
      </c>
      <c r="D899" s="2" t="s">
        <v>10041</v>
      </c>
      <c r="E899" s="15">
        <v>-5.4300000000000001E-2</v>
      </c>
      <c r="F899" s="15">
        <v>4.8599999999999997E-2</v>
      </c>
      <c r="G899" s="15">
        <v>0.26369999999999999</v>
      </c>
      <c r="H899" s="15">
        <v>0.16930000000000001</v>
      </c>
      <c r="I899" s="15">
        <v>1.83E-2</v>
      </c>
      <c r="J899" s="15">
        <v>10.64044943820225</v>
      </c>
    </row>
    <row r="900" spans="1:10" x14ac:dyDescent="0.25">
      <c r="A900" s="2" t="s">
        <v>2696</v>
      </c>
      <c r="B900" s="2" t="s">
        <v>2697</v>
      </c>
      <c r="C900" s="2" t="s">
        <v>2698</v>
      </c>
      <c r="D900" s="2" t="s">
        <v>10041</v>
      </c>
      <c r="E900" s="15">
        <v>-9.0999999999999998E-2</v>
      </c>
      <c r="F900" s="15">
        <v>4.5900000000000003E-2</v>
      </c>
      <c r="G900" s="15">
        <v>4.7600000000000003E-2</v>
      </c>
      <c r="H900" s="15">
        <v>0.1704</v>
      </c>
      <c r="I900" s="15">
        <v>1.9300000000000001E-2</v>
      </c>
      <c r="J900" s="15">
        <v>9.9071038251366108</v>
      </c>
    </row>
    <row r="901" spans="1:10" x14ac:dyDescent="0.25">
      <c r="A901" s="2" t="s">
        <v>2699</v>
      </c>
      <c r="B901" s="2" t="s">
        <v>2700</v>
      </c>
      <c r="C901" s="2" t="s">
        <v>2701</v>
      </c>
      <c r="D901" s="2" t="s">
        <v>10041</v>
      </c>
      <c r="E901" s="15">
        <v>-3.5999999999999997E-2</v>
      </c>
      <c r="F901" s="15">
        <v>5.6399999999999999E-2</v>
      </c>
      <c r="G901" s="15">
        <v>0.52310000000000001</v>
      </c>
      <c r="H901" s="15">
        <v>0.1226</v>
      </c>
      <c r="I901" s="15">
        <v>1.8800000000000001E-2</v>
      </c>
      <c r="J901" s="15">
        <v>7.6833333333333336</v>
      </c>
    </row>
    <row r="902" spans="1:10" x14ac:dyDescent="0.25">
      <c r="A902" s="2" t="s">
        <v>2702</v>
      </c>
      <c r="B902" s="2" t="s">
        <v>2703</v>
      </c>
      <c r="C902" s="2" t="s">
        <v>2704</v>
      </c>
      <c r="D902" s="2" t="s">
        <v>10041</v>
      </c>
      <c r="E902" s="15">
        <v>3.6700000000000003E-2</v>
      </c>
      <c r="F902" s="15">
        <v>4.3900000000000002E-2</v>
      </c>
      <c r="G902" s="15">
        <v>0.40300000000000002</v>
      </c>
      <c r="H902" s="15">
        <v>0.1925</v>
      </c>
      <c r="I902" s="15">
        <v>2.4899999999999999E-2</v>
      </c>
      <c r="J902" s="15">
        <v>8.1150793650793638</v>
      </c>
    </row>
    <row r="903" spans="1:10" x14ac:dyDescent="0.25">
      <c r="A903" s="2" t="s">
        <v>2705</v>
      </c>
      <c r="B903" s="2" t="s">
        <v>2706</v>
      </c>
      <c r="C903" s="2" t="s">
        <v>2707</v>
      </c>
      <c r="D903" s="2" t="s">
        <v>10041</v>
      </c>
      <c r="E903" s="15">
        <v>-8.5199999999999998E-2</v>
      </c>
      <c r="F903" s="15">
        <v>5.0500000000000003E-2</v>
      </c>
      <c r="G903" s="15">
        <v>9.1499999999999998E-2</v>
      </c>
      <c r="H903" s="15">
        <v>0.2001</v>
      </c>
      <c r="I903" s="15">
        <v>2.1499999999999998E-2</v>
      </c>
      <c r="J903" s="15">
        <v>10</v>
      </c>
    </row>
    <row r="904" spans="1:10" x14ac:dyDescent="0.25">
      <c r="A904" s="2" t="s">
        <v>2708</v>
      </c>
      <c r="B904" s="2" t="s">
        <v>2709</v>
      </c>
      <c r="C904" s="2" t="s">
        <v>2710</v>
      </c>
      <c r="D904" s="2" t="s">
        <v>10041</v>
      </c>
      <c r="E904" s="15">
        <v>7.4000000000000003E-3</v>
      </c>
      <c r="F904" s="15">
        <v>5.9799999999999999E-2</v>
      </c>
      <c r="G904" s="15">
        <v>0.9022</v>
      </c>
      <c r="H904" s="15">
        <v>9.1600000000000001E-2</v>
      </c>
      <c r="I904" s="15">
        <v>1.9E-2</v>
      </c>
      <c r="J904" s="15">
        <v>5.5921787709497206</v>
      </c>
    </row>
    <row r="905" spans="1:10" x14ac:dyDescent="0.25">
      <c r="A905" s="2" t="s">
        <v>2711</v>
      </c>
      <c r="B905" s="2" t="s">
        <v>2712</v>
      </c>
      <c r="C905" s="2" t="s">
        <v>2713</v>
      </c>
      <c r="D905" s="2" t="s">
        <v>10041</v>
      </c>
      <c r="E905" s="15">
        <v>-2.9600000000000001E-2</v>
      </c>
      <c r="F905" s="15">
        <v>7.0400000000000004E-2</v>
      </c>
      <c r="G905" s="15">
        <v>0.67390000000000005</v>
      </c>
      <c r="H905" s="15">
        <v>6.4699999999999994E-2</v>
      </c>
      <c r="I905" s="15">
        <v>1.54E-2</v>
      </c>
      <c r="J905" s="15">
        <v>4.1400000000000006</v>
      </c>
    </row>
    <row r="906" spans="1:10" x14ac:dyDescent="0.25">
      <c r="A906" s="2" t="s">
        <v>2714</v>
      </c>
      <c r="B906" s="2" t="s">
        <v>2715</v>
      </c>
      <c r="C906" s="2" t="s">
        <v>2716</v>
      </c>
      <c r="D906" s="2" t="s">
        <v>10041</v>
      </c>
      <c r="E906" s="15">
        <v>5.8999999999999999E-3</v>
      </c>
      <c r="F906" s="15">
        <v>4.6100000000000002E-2</v>
      </c>
      <c r="G906" s="15">
        <v>0.8982</v>
      </c>
      <c r="H906" s="15">
        <v>0.16070000000000001</v>
      </c>
      <c r="I906" s="15">
        <v>1.77E-2</v>
      </c>
      <c r="J906" s="15">
        <v>9.3837209302325579</v>
      </c>
    </row>
    <row r="907" spans="1:10" x14ac:dyDescent="0.25">
      <c r="A907" s="2" t="s">
        <v>2717</v>
      </c>
      <c r="B907" s="2" t="s">
        <v>2718</v>
      </c>
      <c r="C907" s="2" t="s">
        <v>2719</v>
      </c>
      <c r="D907" s="2" t="s">
        <v>10041</v>
      </c>
      <c r="E907" s="15">
        <v>-1.8E-3</v>
      </c>
      <c r="F907" s="15">
        <v>3.56E-2</v>
      </c>
      <c r="G907" s="15">
        <v>0.96020000000000005</v>
      </c>
      <c r="H907" s="15">
        <v>0.21820000000000001</v>
      </c>
      <c r="I907" s="15">
        <v>4.1700000000000001E-2</v>
      </c>
      <c r="J907" s="15">
        <v>5.9548022598870052</v>
      </c>
    </row>
    <row r="908" spans="1:10" x14ac:dyDescent="0.25">
      <c r="A908" s="2" t="s">
        <v>2720</v>
      </c>
      <c r="B908" s="2" t="s">
        <v>2721</v>
      </c>
      <c r="C908" s="2" t="s">
        <v>2722</v>
      </c>
      <c r="D908" s="2" t="s">
        <v>10041</v>
      </c>
      <c r="E908" s="15">
        <v>2.7300000000000001E-2</v>
      </c>
      <c r="F908" s="15">
        <v>5.2900000000000003E-2</v>
      </c>
      <c r="G908" s="15">
        <v>0.60519999999999996</v>
      </c>
      <c r="H908" s="15">
        <v>0.1182</v>
      </c>
      <c r="I908" s="15">
        <v>2.4400000000000002E-2</v>
      </c>
      <c r="J908" s="15">
        <v>5.6502242152466371</v>
      </c>
    </row>
    <row r="909" spans="1:10" x14ac:dyDescent="0.25">
      <c r="A909" s="2" t="s">
        <v>2723</v>
      </c>
      <c r="B909" s="2" t="s">
        <v>2724</v>
      </c>
      <c r="C909" s="2" t="s">
        <v>2725</v>
      </c>
      <c r="D909" s="2" t="s">
        <v>10041</v>
      </c>
      <c r="E909" s="15">
        <v>-3.8300000000000001E-2</v>
      </c>
      <c r="F909" s="15">
        <v>6.13E-2</v>
      </c>
      <c r="G909" s="15">
        <v>0.53220000000000001</v>
      </c>
      <c r="H909" s="15">
        <v>9.9500000000000005E-2</v>
      </c>
      <c r="I909" s="15">
        <v>1.6400000000000001E-2</v>
      </c>
      <c r="J909" s="15">
        <v>7.2229729729729719</v>
      </c>
    </row>
    <row r="910" spans="1:10" x14ac:dyDescent="0.25">
      <c r="A910" s="2" t="s">
        <v>2726</v>
      </c>
      <c r="B910" s="2" t="s">
        <v>2727</v>
      </c>
      <c r="C910" s="2" t="s">
        <v>2728</v>
      </c>
      <c r="D910" s="2" t="s">
        <v>10041</v>
      </c>
      <c r="E910" s="15">
        <v>9.1000000000000004E-3</v>
      </c>
      <c r="F910" s="15">
        <v>4.5100000000000001E-2</v>
      </c>
      <c r="G910" s="15">
        <v>0.83960000000000001</v>
      </c>
      <c r="H910" s="15">
        <v>0.158</v>
      </c>
      <c r="I910" s="15">
        <v>1.72E-2</v>
      </c>
      <c r="J910" s="15">
        <v>9.9161676646706596</v>
      </c>
    </row>
    <row r="911" spans="1:10" x14ac:dyDescent="0.25">
      <c r="A911" s="2" t="s">
        <v>2729</v>
      </c>
      <c r="B911" s="2" t="s">
        <v>2730</v>
      </c>
      <c r="C911" s="2" t="s">
        <v>2731</v>
      </c>
      <c r="D911" s="2" t="s">
        <v>10041</v>
      </c>
      <c r="E911" s="15">
        <v>-4.0399999999999998E-2</v>
      </c>
      <c r="F911" s="15">
        <v>4.7199999999999999E-2</v>
      </c>
      <c r="G911" s="15">
        <v>0.39240000000000003</v>
      </c>
      <c r="H911" s="15">
        <v>0.19470000000000001</v>
      </c>
      <c r="I911" s="15">
        <v>1.9599999999999999E-2</v>
      </c>
      <c r="J911" s="15">
        <v>10.58823529411765</v>
      </c>
    </row>
    <row r="912" spans="1:10" x14ac:dyDescent="0.25">
      <c r="A912" s="2" t="s">
        <v>2732</v>
      </c>
      <c r="B912" s="2" t="s">
        <v>2733</v>
      </c>
      <c r="C912" s="2" t="s">
        <v>2734</v>
      </c>
      <c r="D912" s="2" t="s">
        <v>10041</v>
      </c>
      <c r="E912" s="15">
        <v>5.6800000000000003E-2</v>
      </c>
      <c r="F912" s="15">
        <v>7.1999999999999995E-2</v>
      </c>
      <c r="G912" s="15">
        <v>0.42970000000000003</v>
      </c>
      <c r="H912" s="15">
        <v>7.6200000000000004E-2</v>
      </c>
      <c r="I912" s="15">
        <v>1.77E-2</v>
      </c>
      <c r="J912" s="15">
        <v>5.0414201183431953</v>
      </c>
    </row>
    <row r="913" spans="1:10" x14ac:dyDescent="0.25">
      <c r="A913" s="2" t="s">
        <v>2735</v>
      </c>
      <c r="B913" s="2" t="s">
        <v>2736</v>
      </c>
      <c r="C913" s="2" t="s">
        <v>2737</v>
      </c>
      <c r="D913" s="2" t="s">
        <v>10041</v>
      </c>
      <c r="E913" s="15">
        <v>5.1700000000000003E-2</v>
      </c>
      <c r="F913" s="15">
        <v>7.6399999999999996E-2</v>
      </c>
      <c r="G913" s="15">
        <v>0.49880000000000002</v>
      </c>
      <c r="H913" s="15">
        <v>5.1900000000000002E-2</v>
      </c>
      <c r="I913" s="15">
        <v>1.61E-2</v>
      </c>
      <c r="J913" s="15">
        <v>4.2702702702702702</v>
      </c>
    </row>
    <row r="914" spans="1:10" x14ac:dyDescent="0.25">
      <c r="A914" s="2" t="s">
        <v>2738</v>
      </c>
      <c r="B914" s="2" t="s">
        <v>2739</v>
      </c>
      <c r="C914" s="2" t="s">
        <v>2740</v>
      </c>
      <c r="D914" s="2" t="s">
        <v>10041</v>
      </c>
      <c r="E914" s="15">
        <v>-2.92E-2</v>
      </c>
      <c r="F914" s="15">
        <v>4.7300000000000002E-2</v>
      </c>
      <c r="G914" s="15">
        <v>0.53779999999999994</v>
      </c>
      <c r="H914" s="15">
        <v>0.21299999999999999</v>
      </c>
      <c r="I914" s="15">
        <v>2.12E-2</v>
      </c>
      <c r="J914" s="15">
        <v>11.828125</v>
      </c>
    </row>
    <row r="915" spans="1:10" x14ac:dyDescent="0.25">
      <c r="A915" s="2" t="s">
        <v>2741</v>
      </c>
      <c r="B915" s="2" t="s">
        <v>2742</v>
      </c>
      <c r="C915" s="2" t="s">
        <v>2743</v>
      </c>
      <c r="D915" s="2" t="s">
        <v>10041</v>
      </c>
      <c r="E915" s="15">
        <v>7.4099999999999999E-2</v>
      </c>
      <c r="F915" s="15">
        <v>4.4600000000000001E-2</v>
      </c>
      <c r="G915" s="15">
        <v>9.7000000000000003E-2</v>
      </c>
      <c r="H915" s="15">
        <v>0.15659999999999999</v>
      </c>
      <c r="I915" s="15">
        <v>1.8499999999999999E-2</v>
      </c>
      <c r="J915" s="15">
        <v>8.3743589743589748</v>
      </c>
    </row>
    <row r="916" spans="1:10" x14ac:dyDescent="0.25">
      <c r="A916" s="2" t="s">
        <v>2744</v>
      </c>
      <c r="B916" s="2" t="s">
        <v>2745</v>
      </c>
      <c r="C916" s="2" t="s">
        <v>2746</v>
      </c>
      <c r="D916" s="2" t="s">
        <v>10041</v>
      </c>
      <c r="E916" s="15">
        <v>1.6299999999999999E-2</v>
      </c>
      <c r="F916" s="15">
        <v>5.5500000000000001E-2</v>
      </c>
      <c r="G916" s="15">
        <v>0.76900000000000002</v>
      </c>
      <c r="H916" s="15">
        <v>0.153</v>
      </c>
      <c r="I916" s="15">
        <v>2.1399999999999999E-2</v>
      </c>
      <c r="J916" s="15">
        <v>7.8357487922705316</v>
      </c>
    </row>
    <row r="917" spans="1:10" x14ac:dyDescent="0.25">
      <c r="A917" s="2" t="s">
        <v>2747</v>
      </c>
      <c r="B917" s="2" t="s">
        <v>2748</v>
      </c>
      <c r="C917" s="2" t="s">
        <v>2749</v>
      </c>
      <c r="D917" s="2" t="s">
        <v>10041</v>
      </c>
      <c r="E917" s="15">
        <v>3.0599999999999999E-2</v>
      </c>
      <c r="F917" s="15">
        <v>3.5900000000000001E-2</v>
      </c>
      <c r="G917" s="15">
        <v>0.39350000000000002</v>
      </c>
      <c r="H917" s="15">
        <v>0.31659999999999999</v>
      </c>
      <c r="I917" s="15">
        <v>3.1099999999999999E-2</v>
      </c>
      <c r="J917" s="15">
        <v>11.629496402877701</v>
      </c>
    </row>
    <row r="918" spans="1:10" x14ac:dyDescent="0.25">
      <c r="A918" s="2" t="s">
        <v>2750</v>
      </c>
      <c r="B918" s="2" t="s">
        <v>2751</v>
      </c>
      <c r="C918" s="2" t="s">
        <v>2752</v>
      </c>
      <c r="D918" s="2" t="s">
        <v>10041</v>
      </c>
      <c r="E918" s="15">
        <v>1.6E-2</v>
      </c>
      <c r="F918" s="15">
        <v>4.3200000000000002E-2</v>
      </c>
      <c r="G918" s="15">
        <v>0.7107</v>
      </c>
      <c r="H918" s="15">
        <v>0.2079</v>
      </c>
      <c r="I918" s="15">
        <v>2.24E-2</v>
      </c>
      <c r="J918" s="15">
        <v>8.4710144927536231</v>
      </c>
    </row>
    <row r="919" spans="1:10" x14ac:dyDescent="0.25">
      <c r="A919" s="2" t="s">
        <v>2753</v>
      </c>
      <c r="B919" s="2" t="s">
        <v>2754</v>
      </c>
      <c r="C919" s="2" t="s">
        <v>2755</v>
      </c>
      <c r="D919" s="2" t="s">
        <v>10041</v>
      </c>
      <c r="E919" s="15">
        <v>-2.2200000000000001E-2</v>
      </c>
      <c r="F919" s="15">
        <v>4.5499999999999999E-2</v>
      </c>
      <c r="G919" s="15">
        <v>0.62509999999999999</v>
      </c>
      <c r="H919" s="15">
        <v>0.15429999999999999</v>
      </c>
      <c r="I919" s="15">
        <v>1.9199999999999998E-2</v>
      </c>
      <c r="J919" s="15">
        <v>8.9890710382513657</v>
      </c>
    </row>
    <row r="920" spans="1:10" x14ac:dyDescent="0.25">
      <c r="A920" s="2" t="s">
        <v>2756</v>
      </c>
      <c r="B920" s="2" t="s">
        <v>2757</v>
      </c>
      <c r="C920" s="2" t="s">
        <v>2758</v>
      </c>
      <c r="D920" s="2" t="s">
        <v>10041</v>
      </c>
      <c r="E920" s="15">
        <v>-2.58E-2</v>
      </c>
      <c r="F920" s="15">
        <v>5.62E-2</v>
      </c>
      <c r="G920" s="15">
        <v>0.64590000000000003</v>
      </c>
      <c r="H920" s="15">
        <v>0.1231</v>
      </c>
      <c r="I920" s="15">
        <v>1.8100000000000002E-2</v>
      </c>
      <c r="J920" s="15">
        <v>8.25</v>
      </c>
    </row>
    <row r="921" spans="1:10" x14ac:dyDescent="0.25">
      <c r="A921" s="2" t="s">
        <v>2759</v>
      </c>
      <c r="B921" s="2" t="s">
        <v>2760</v>
      </c>
      <c r="C921" s="2" t="s">
        <v>2761</v>
      </c>
      <c r="D921" s="2" t="s">
        <v>10041</v>
      </c>
      <c r="E921" s="15">
        <v>6.4000000000000003E-3</v>
      </c>
      <c r="F921" s="15">
        <v>3.95E-2</v>
      </c>
      <c r="G921" s="15">
        <v>0.87070000000000003</v>
      </c>
      <c r="H921" s="15">
        <v>0.191</v>
      </c>
      <c r="I921" s="15">
        <v>1.9599999999999999E-2</v>
      </c>
      <c r="J921" s="15">
        <v>10.74585635359116</v>
      </c>
    </row>
    <row r="922" spans="1:10" x14ac:dyDescent="0.25">
      <c r="A922" s="2" t="s">
        <v>2762</v>
      </c>
      <c r="B922" s="2" t="s">
        <v>2763</v>
      </c>
      <c r="C922" s="2" t="s">
        <v>2764</v>
      </c>
      <c r="D922" s="2" t="s">
        <v>10041</v>
      </c>
      <c r="E922" s="15">
        <v>3.2099999999999997E-2</v>
      </c>
      <c r="F922" s="15">
        <v>4.4200000000000003E-2</v>
      </c>
      <c r="G922" s="15">
        <v>0.46829999999999999</v>
      </c>
      <c r="H922" s="15">
        <v>0.2172</v>
      </c>
      <c r="I922" s="15">
        <v>2.35E-2</v>
      </c>
      <c r="J922" s="15">
        <v>10.22641509433962</v>
      </c>
    </row>
    <row r="923" spans="1:10" x14ac:dyDescent="0.25">
      <c r="A923" s="2" t="s">
        <v>2765</v>
      </c>
      <c r="B923" s="2" t="s">
        <v>2766</v>
      </c>
      <c r="C923" s="2" t="s">
        <v>2767</v>
      </c>
      <c r="D923" s="2" t="s">
        <v>10041</v>
      </c>
      <c r="E923" s="15">
        <v>-9.1000000000000004E-3</v>
      </c>
      <c r="F923" s="15">
        <v>4.2099999999999999E-2</v>
      </c>
      <c r="G923" s="15">
        <v>0.82840000000000003</v>
      </c>
      <c r="H923" s="15">
        <v>0.2</v>
      </c>
      <c r="I923" s="15">
        <v>0.02</v>
      </c>
      <c r="J923" s="15">
        <v>11.114130434782609</v>
      </c>
    </row>
    <row r="924" spans="1:10" x14ac:dyDescent="0.25">
      <c r="A924" s="2" t="s">
        <v>2768</v>
      </c>
      <c r="B924" s="2" t="s">
        <v>2769</v>
      </c>
      <c r="C924" s="2" t="s">
        <v>2770</v>
      </c>
      <c r="D924" s="2" t="s">
        <v>10041</v>
      </c>
      <c r="E924" s="15">
        <v>-5.9307E-5</v>
      </c>
      <c r="F924" s="15">
        <v>5.6000000000000001E-2</v>
      </c>
      <c r="G924" s="15">
        <v>0.99919999999999998</v>
      </c>
      <c r="H924" s="15">
        <v>0.10489999999999999</v>
      </c>
      <c r="I924" s="15">
        <v>1.7000000000000001E-2</v>
      </c>
      <c r="J924" s="15">
        <v>6.1913580246913584</v>
      </c>
    </row>
    <row r="925" spans="1:10" x14ac:dyDescent="0.25">
      <c r="A925" s="2" t="s">
        <v>2771</v>
      </c>
      <c r="B925" s="2" t="s">
        <v>2772</v>
      </c>
      <c r="C925" s="2" t="s">
        <v>2773</v>
      </c>
      <c r="D925" s="2" t="s">
        <v>10041</v>
      </c>
      <c r="E925" s="15">
        <v>-4.1999999999999997E-3</v>
      </c>
      <c r="F925" s="15">
        <v>5.0099999999999999E-2</v>
      </c>
      <c r="G925" s="15">
        <v>0.9335</v>
      </c>
      <c r="H925" s="15">
        <v>0.1409</v>
      </c>
      <c r="I925" s="15">
        <v>1.7500000000000002E-2</v>
      </c>
      <c r="J925" s="15">
        <v>8.2294117647058815</v>
      </c>
    </row>
    <row r="926" spans="1:10" x14ac:dyDescent="0.25">
      <c r="A926" s="2" t="s">
        <v>2774</v>
      </c>
      <c r="B926" s="2" t="s">
        <v>2775</v>
      </c>
      <c r="C926" s="2" t="s">
        <v>2776</v>
      </c>
      <c r="D926" s="2" t="s">
        <v>10041</v>
      </c>
      <c r="E926" s="15">
        <v>-8.9999999999999993E-3</v>
      </c>
      <c r="F926" s="15">
        <v>5.1400000000000001E-2</v>
      </c>
      <c r="G926" s="15">
        <v>0.86070000000000002</v>
      </c>
      <c r="H926" s="15">
        <v>0.122</v>
      </c>
      <c r="I926" s="15">
        <v>1.52E-2</v>
      </c>
      <c r="J926" s="15">
        <v>8.7006802721088441</v>
      </c>
    </row>
    <row r="927" spans="1:10" x14ac:dyDescent="0.25">
      <c r="A927" s="2" t="s">
        <v>2777</v>
      </c>
      <c r="B927" s="2" t="s">
        <v>2778</v>
      </c>
      <c r="C927" s="2" t="s">
        <v>2779</v>
      </c>
      <c r="D927" s="2" t="s">
        <v>10041</v>
      </c>
      <c r="E927" s="15">
        <v>-1.46E-2</v>
      </c>
      <c r="F927" s="15">
        <v>5.2699999999999997E-2</v>
      </c>
      <c r="G927" s="15">
        <v>0.78159999999999996</v>
      </c>
      <c r="H927" s="15">
        <v>0.15390000000000001</v>
      </c>
      <c r="I927" s="15">
        <v>1.9400000000000001E-2</v>
      </c>
      <c r="J927" s="15">
        <v>8.5163043478260878</v>
      </c>
    </row>
    <row r="928" spans="1:10" x14ac:dyDescent="0.25">
      <c r="A928" s="2" t="s">
        <v>2780</v>
      </c>
      <c r="B928" s="2" t="s">
        <v>2781</v>
      </c>
      <c r="C928" s="2" t="s">
        <v>2782</v>
      </c>
      <c r="D928" s="2" t="s">
        <v>10041</v>
      </c>
      <c r="E928" s="15">
        <v>-3.61E-2</v>
      </c>
      <c r="F928" s="15">
        <v>9.8199999999999996E-2</v>
      </c>
      <c r="G928" s="15">
        <v>0.71309999999999996</v>
      </c>
      <c r="H928" s="15">
        <v>3.2300000000000002E-2</v>
      </c>
      <c r="I928" s="15">
        <v>1.35E-2</v>
      </c>
      <c r="J928" s="15">
        <v>3.7380952380952381</v>
      </c>
    </row>
    <row r="929" spans="1:10" x14ac:dyDescent="0.25">
      <c r="A929" s="2" t="s">
        <v>2783</v>
      </c>
      <c r="B929" s="2" t="s">
        <v>2784</v>
      </c>
      <c r="C929" s="2" t="s">
        <v>2785</v>
      </c>
      <c r="D929" s="2" t="s">
        <v>10041</v>
      </c>
      <c r="E929" s="15">
        <v>-4.3099999999999999E-2</v>
      </c>
      <c r="F929" s="15">
        <v>4.9500000000000002E-2</v>
      </c>
      <c r="G929" s="15">
        <v>0.38429999999999997</v>
      </c>
      <c r="H929" s="15">
        <v>0.1206</v>
      </c>
      <c r="I929" s="15">
        <v>1.9099999999999999E-2</v>
      </c>
      <c r="J929" s="15">
        <v>6.860215053763441</v>
      </c>
    </row>
    <row r="930" spans="1:10" x14ac:dyDescent="0.25">
      <c r="A930" s="2" t="s">
        <v>2786</v>
      </c>
      <c r="B930" s="2" t="s">
        <v>2787</v>
      </c>
      <c r="C930" s="2" t="s">
        <v>2788</v>
      </c>
      <c r="D930" s="2" t="s">
        <v>10041</v>
      </c>
      <c r="E930" s="15">
        <v>2.9399999999999999E-2</v>
      </c>
      <c r="F930" s="15">
        <v>4.9200000000000001E-2</v>
      </c>
      <c r="G930" s="15">
        <v>0.55069999999999997</v>
      </c>
      <c r="H930" s="15">
        <v>0.13589999999999999</v>
      </c>
      <c r="I930" s="15">
        <v>1.9E-2</v>
      </c>
      <c r="J930" s="15">
        <v>8.5245901639344268</v>
      </c>
    </row>
    <row r="931" spans="1:10" x14ac:dyDescent="0.25">
      <c r="A931" s="2" t="s">
        <v>2789</v>
      </c>
      <c r="B931" s="2" t="s">
        <v>2790</v>
      </c>
      <c r="C931" s="2" t="s">
        <v>2791</v>
      </c>
      <c r="D931" s="2" t="s">
        <v>10041</v>
      </c>
      <c r="E931" s="15">
        <v>4.1999999999999997E-3</v>
      </c>
      <c r="F931" s="15">
        <v>5.3999999999999999E-2</v>
      </c>
      <c r="G931" s="15">
        <v>0.93879999999999997</v>
      </c>
      <c r="H931" s="15">
        <v>0.1172</v>
      </c>
      <c r="I931" s="15">
        <v>1.77E-2</v>
      </c>
      <c r="J931" s="15">
        <v>7.7914110429447856</v>
      </c>
    </row>
    <row r="932" spans="1:10" x14ac:dyDescent="0.25">
      <c r="A932" s="2" t="s">
        <v>2792</v>
      </c>
      <c r="B932" s="2" t="s">
        <v>2793</v>
      </c>
      <c r="C932" s="2" t="s">
        <v>2794</v>
      </c>
      <c r="D932" s="2" t="s">
        <v>10041</v>
      </c>
      <c r="E932" s="15">
        <v>2.8000000000000001E-2</v>
      </c>
      <c r="F932" s="15">
        <v>7.9699999999999993E-2</v>
      </c>
      <c r="G932" s="15">
        <v>0.72519999999999996</v>
      </c>
      <c r="H932" s="15">
        <v>5.1499999999999997E-2</v>
      </c>
      <c r="I932" s="15">
        <v>1.4200000000000001E-2</v>
      </c>
      <c r="J932" s="15">
        <v>4.5789473684210531</v>
      </c>
    </row>
    <row r="933" spans="1:10" x14ac:dyDescent="0.25">
      <c r="A933" s="2" t="s">
        <v>2795</v>
      </c>
      <c r="B933" s="2" t="s">
        <v>2796</v>
      </c>
      <c r="C933" s="2" t="s">
        <v>2797</v>
      </c>
      <c r="D933" s="2" t="s">
        <v>10041</v>
      </c>
      <c r="E933" s="15">
        <v>-8.8400000000000006E-2</v>
      </c>
      <c r="F933" s="15">
        <v>5.7099999999999998E-2</v>
      </c>
      <c r="G933" s="15">
        <v>0.12139999999999999</v>
      </c>
      <c r="H933" s="15">
        <v>9.7799999999999998E-2</v>
      </c>
      <c r="I933" s="15">
        <v>1.5599999999999999E-2</v>
      </c>
      <c r="J933" s="15">
        <v>6.9551282051282053</v>
      </c>
    </row>
    <row r="934" spans="1:10" x14ac:dyDescent="0.25">
      <c r="A934" s="2" t="s">
        <v>2798</v>
      </c>
      <c r="B934" s="2" t="s">
        <v>2799</v>
      </c>
      <c r="C934" s="2" t="s">
        <v>2800</v>
      </c>
      <c r="D934" s="2" t="s">
        <v>10041</v>
      </c>
      <c r="E934" s="15">
        <v>3.5499999999999997E-2</v>
      </c>
      <c r="F934" s="15">
        <v>5.8000000000000003E-2</v>
      </c>
      <c r="G934" s="15">
        <v>0.54059999999999997</v>
      </c>
      <c r="H934" s="15">
        <v>0.12379999999999999</v>
      </c>
      <c r="I934" s="15">
        <v>1.7500000000000002E-2</v>
      </c>
      <c r="J934" s="15">
        <v>8.2874999999999996</v>
      </c>
    </row>
    <row r="935" spans="1:10" x14ac:dyDescent="0.25">
      <c r="A935" s="2" t="s">
        <v>2801</v>
      </c>
      <c r="B935" s="2" t="s">
        <v>2802</v>
      </c>
      <c r="C935" s="2" t="s">
        <v>2803</v>
      </c>
      <c r="D935" s="2" t="s">
        <v>10041</v>
      </c>
      <c r="E935" s="15">
        <v>5.9200000000000003E-2</v>
      </c>
      <c r="F935" s="15">
        <v>7.7700000000000005E-2</v>
      </c>
      <c r="G935" s="15">
        <v>0.44569999999999999</v>
      </c>
      <c r="H935" s="15">
        <v>6.2300000000000001E-2</v>
      </c>
      <c r="I935" s="15">
        <v>1.7500000000000002E-2</v>
      </c>
      <c r="J935" s="15">
        <v>4.4723926380368102</v>
      </c>
    </row>
    <row r="936" spans="1:10" x14ac:dyDescent="0.25">
      <c r="A936" s="2" t="s">
        <v>2804</v>
      </c>
      <c r="B936" s="2" t="s">
        <v>2805</v>
      </c>
      <c r="C936" s="2" t="s">
        <v>2806</v>
      </c>
      <c r="D936" s="2" t="s">
        <v>10041</v>
      </c>
      <c r="E936" s="15">
        <v>-1.9E-3</v>
      </c>
      <c r="F936" s="15">
        <v>4.0300000000000002E-2</v>
      </c>
      <c r="G936" s="15">
        <v>0.96289999999999998</v>
      </c>
      <c r="H936" s="15">
        <v>0.20649999999999999</v>
      </c>
      <c r="I936" s="15">
        <v>2.7099999999999999E-2</v>
      </c>
      <c r="J936" s="15">
        <v>8.9745762711864412</v>
      </c>
    </row>
    <row r="937" spans="1:10" x14ac:dyDescent="0.25">
      <c r="A937" s="2" t="s">
        <v>2807</v>
      </c>
      <c r="B937" s="2" t="s">
        <v>2808</v>
      </c>
      <c r="C937" s="2" t="s">
        <v>2809</v>
      </c>
      <c r="D937" s="2" t="s">
        <v>10041</v>
      </c>
      <c r="E937" s="15">
        <v>-2.47E-2</v>
      </c>
      <c r="F937" s="15">
        <v>4.1500000000000002E-2</v>
      </c>
      <c r="G937" s="15">
        <v>0.55079999999999996</v>
      </c>
      <c r="H937" s="15">
        <v>0.22919999999999999</v>
      </c>
      <c r="I937" s="15">
        <v>2.2599999999999999E-2</v>
      </c>
      <c r="J937" s="15">
        <v>11.912195121951219</v>
      </c>
    </row>
    <row r="938" spans="1:10" x14ac:dyDescent="0.25">
      <c r="A938" s="2" t="s">
        <v>2810</v>
      </c>
      <c r="B938" s="2" t="s">
        <v>2811</v>
      </c>
      <c r="C938" s="2" t="s">
        <v>2812</v>
      </c>
      <c r="D938" s="2" t="s">
        <v>10041</v>
      </c>
      <c r="E938" s="15">
        <v>8.5000000000000006E-2</v>
      </c>
      <c r="F938" s="15">
        <v>4.19E-2</v>
      </c>
      <c r="G938" s="15">
        <v>4.24E-2</v>
      </c>
      <c r="H938" s="15">
        <v>0.2172</v>
      </c>
      <c r="I938" s="15">
        <v>2.0899999999999998E-2</v>
      </c>
      <c r="J938" s="15">
        <v>11.326424870466321</v>
      </c>
    </row>
    <row r="939" spans="1:10" x14ac:dyDescent="0.25">
      <c r="A939" s="2" t="s">
        <v>2813</v>
      </c>
      <c r="B939" s="2" t="s">
        <v>2814</v>
      </c>
      <c r="C939" s="2" t="s">
        <v>2815</v>
      </c>
      <c r="D939" s="2" t="s">
        <v>10041</v>
      </c>
      <c r="E939" s="15">
        <v>-5.9700000000000003E-2</v>
      </c>
      <c r="F939" s="15">
        <v>4.6399999999999997E-2</v>
      </c>
      <c r="G939" s="15">
        <v>0.19750000000000001</v>
      </c>
      <c r="H939" s="15">
        <v>0.1668</v>
      </c>
      <c r="I939" s="15">
        <v>1.9800000000000002E-2</v>
      </c>
      <c r="J939" s="15">
        <v>9.3532608695652169</v>
      </c>
    </row>
    <row r="940" spans="1:10" x14ac:dyDescent="0.25">
      <c r="A940" s="2" t="s">
        <v>2816</v>
      </c>
      <c r="B940" s="2" t="s">
        <v>2817</v>
      </c>
      <c r="C940" s="2" t="s">
        <v>2818</v>
      </c>
      <c r="D940" s="2" t="s">
        <v>10041</v>
      </c>
      <c r="E940" s="15">
        <v>-0.13789999999999999</v>
      </c>
      <c r="F940" s="15">
        <v>5.0299999999999997E-2</v>
      </c>
      <c r="G940" s="15">
        <v>6.1000000000000004E-3</v>
      </c>
      <c r="H940" s="15">
        <v>0.125</v>
      </c>
      <c r="I940" s="15">
        <v>1.9099999999999999E-2</v>
      </c>
      <c r="J940" s="15">
        <v>7.5326086956521738</v>
      </c>
    </row>
    <row r="941" spans="1:10" x14ac:dyDescent="0.25">
      <c r="A941" s="2" t="s">
        <v>2819</v>
      </c>
      <c r="B941" s="2" t="s">
        <v>2820</v>
      </c>
      <c r="C941" s="2" t="s">
        <v>2821</v>
      </c>
      <c r="D941" s="2" t="s">
        <v>10041</v>
      </c>
      <c r="E941" s="15">
        <v>3.4500000000000003E-2</v>
      </c>
      <c r="F941" s="15">
        <v>5.8299999999999998E-2</v>
      </c>
      <c r="G941" s="15">
        <v>0.55469999999999997</v>
      </c>
      <c r="H941" s="15">
        <v>0.10730000000000001</v>
      </c>
      <c r="I941" s="15">
        <v>1.67E-2</v>
      </c>
      <c r="J941" s="15">
        <v>6.7701863354037268</v>
      </c>
    </row>
    <row r="942" spans="1:10" x14ac:dyDescent="0.25">
      <c r="A942" s="2" t="s">
        <v>2822</v>
      </c>
      <c r="B942" s="2" t="s">
        <v>2823</v>
      </c>
      <c r="C942" s="2" t="s">
        <v>2824</v>
      </c>
      <c r="D942" s="2" t="s">
        <v>10041</v>
      </c>
      <c r="E942" s="15">
        <v>5.8400000000000001E-2</v>
      </c>
      <c r="F942" s="15">
        <v>5.6099999999999997E-2</v>
      </c>
      <c r="G942" s="15">
        <v>0.2979</v>
      </c>
      <c r="H942" s="15">
        <v>0.1062</v>
      </c>
      <c r="I942" s="15">
        <v>1.89E-2</v>
      </c>
      <c r="J942" s="15">
        <v>7.1117647058823517</v>
      </c>
    </row>
    <row r="943" spans="1:10" x14ac:dyDescent="0.25">
      <c r="A943" s="2" t="s">
        <v>2825</v>
      </c>
      <c r="B943" s="2" t="s">
        <v>2826</v>
      </c>
      <c r="C943" s="2" t="s">
        <v>2827</v>
      </c>
      <c r="D943" s="2" t="s">
        <v>10041</v>
      </c>
      <c r="E943" s="15">
        <v>-8.8000000000000005E-3</v>
      </c>
      <c r="F943" s="15">
        <v>7.8299999999999995E-2</v>
      </c>
      <c r="G943" s="15">
        <v>0.91010000000000002</v>
      </c>
      <c r="H943" s="15">
        <v>5.1799999999999999E-2</v>
      </c>
      <c r="I943" s="15">
        <v>1.46E-2</v>
      </c>
      <c r="J943" s="15">
        <v>3.6965517241379309</v>
      </c>
    </row>
    <row r="944" spans="1:10" x14ac:dyDescent="0.25">
      <c r="A944" s="2" t="s">
        <v>2828</v>
      </c>
      <c r="B944" s="2" t="s">
        <v>2829</v>
      </c>
      <c r="C944" s="2" t="s">
        <v>2830</v>
      </c>
      <c r="D944" s="2" t="s">
        <v>10041</v>
      </c>
      <c r="E944" s="15">
        <v>-0.1459</v>
      </c>
      <c r="F944" s="15">
        <v>5.8999999999999997E-2</v>
      </c>
      <c r="G944" s="15">
        <v>1.3299999999999999E-2</v>
      </c>
      <c r="H944" s="15">
        <v>0.13589999999999999</v>
      </c>
      <c r="I944" s="15">
        <v>1.9699999999999999E-2</v>
      </c>
      <c r="J944" s="15">
        <v>7.8393782383419683</v>
      </c>
    </row>
    <row r="945" spans="1:10" x14ac:dyDescent="0.25">
      <c r="A945" s="2" t="s">
        <v>2831</v>
      </c>
      <c r="B945" s="2" t="s">
        <v>2832</v>
      </c>
      <c r="C945" s="2" t="s">
        <v>2833</v>
      </c>
      <c r="D945" s="2" t="s">
        <v>10041</v>
      </c>
      <c r="E945" s="15">
        <v>-4.36E-2</v>
      </c>
      <c r="F945" s="15">
        <v>5.33E-2</v>
      </c>
      <c r="G945" s="15">
        <v>0.41289999999999999</v>
      </c>
      <c r="H945" s="15">
        <v>0.13250000000000001</v>
      </c>
      <c r="I945" s="15">
        <v>1.7600000000000001E-2</v>
      </c>
      <c r="J945" s="15">
        <v>7.695402298850575</v>
      </c>
    </row>
    <row r="946" spans="1:10" x14ac:dyDescent="0.25">
      <c r="A946" s="2" t="s">
        <v>2834</v>
      </c>
      <c r="B946" s="2" t="s">
        <v>2835</v>
      </c>
      <c r="C946" s="2" t="s">
        <v>2836</v>
      </c>
      <c r="D946" s="2" t="s">
        <v>10041</v>
      </c>
      <c r="E946" s="15">
        <v>-4.0599999999999997E-2</v>
      </c>
      <c r="F946" s="15">
        <v>4.3700000000000003E-2</v>
      </c>
      <c r="G946" s="15">
        <v>0.35320000000000001</v>
      </c>
      <c r="H946" s="15">
        <v>0.20799999999999999</v>
      </c>
      <c r="I946" s="15">
        <v>2.01E-2</v>
      </c>
      <c r="J946" s="15">
        <v>11.654255319148939</v>
      </c>
    </row>
    <row r="947" spans="1:10" x14ac:dyDescent="0.25">
      <c r="A947" s="2" t="s">
        <v>2837</v>
      </c>
      <c r="B947" s="2" t="s">
        <v>2838</v>
      </c>
      <c r="C947" s="2" t="s">
        <v>2839</v>
      </c>
      <c r="D947" s="2" t="s">
        <v>10041</v>
      </c>
      <c r="E947" s="15">
        <v>-2.8999999999999998E-3</v>
      </c>
      <c r="F947" s="15">
        <v>6.3500000000000001E-2</v>
      </c>
      <c r="G947" s="15">
        <v>0.96309999999999996</v>
      </c>
      <c r="H947" s="15">
        <v>0.1053</v>
      </c>
      <c r="I947" s="15">
        <v>1.52E-2</v>
      </c>
      <c r="J947" s="15">
        <v>7.5103448275862066</v>
      </c>
    </row>
    <row r="948" spans="1:10" x14ac:dyDescent="0.25">
      <c r="A948" s="2" t="s">
        <v>2840</v>
      </c>
      <c r="B948" s="2" t="s">
        <v>2841</v>
      </c>
      <c r="C948" s="2" t="s">
        <v>2842</v>
      </c>
      <c r="D948" s="2" t="s">
        <v>10041</v>
      </c>
      <c r="E948" s="15">
        <v>-4.87E-2</v>
      </c>
      <c r="F948" s="15">
        <v>5.8500000000000003E-2</v>
      </c>
      <c r="G948" s="15">
        <v>0.40510000000000002</v>
      </c>
      <c r="H948" s="15">
        <v>0.1024</v>
      </c>
      <c r="I948" s="15">
        <v>1.77E-2</v>
      </c>
      <c r="J948" s="15">
        <v>5.9710982658959537</v>
      </c>
    </row>
    <row r="949" spans="1:10" x14ac:dyDescent="0.25">
      <c r="A949" s="2" t="s">
        <v>2843</v>
      </c>
      <c r="B949" s="2" t="s">
        <v>2844</v>
      </c>
      <c r="C949" s="2" t="s">
        <v>2845</v>
      </c>
      <c r="D949" s="2" t="s">
        <v>10041</v>
      </c>
      <c r="E949" s="15">
        <v>-0.1133</v>
      </c>
      <c r="F949" s="15">
        <v>5.2299999999999999E-2</v>
      </c>
      <c r="G949" s="15">
        <v>3.0200000000000001E-2</v>
      </c>
      <c r="H949" s="15">
        <v>0.11269999999999999</v>
      </c>
      <c r="I949" s="15">
        <v>1.8200000000000001E-2</v>
      </c>
      <c r="J949" s="15">
        <v>7.0243902439024382</v>
      </c>
    </row>
    <row r="950" spans="1:10" x14ac:dyDescent="0.25">
      <c r="A950" s="2" t="s">
        <v>2846</v>
      </c>
      <c r="B950" s="2" t="s">
        <v>2847</v>
      </c>
      <c r="C950" s="2" t="s">
        <v>2848</v>
      </c>
      <c r="D950" s="2" t="s">
        <v>10041</v>
      </c>
      <c r="E950" s="15">
        <v>1.2999999999999999E-3</v>
      </c>
      <c r="F950" s="15">
        <v>4.2999999999999997E-2</v>
      </c>
      <c r="G950" s="15">
        <v>0.9758</v>
      </c>
      <c r="H950" s="15">
        <v>0.17849999999999999</v>
      </c>
      <c r="I950" s="15">
        <v>2.3E-2</v>
      </c>
      <c r="J950" s="15">
        <v>8.5560747663551417</v>
      </c>
    </row>
    <row r="951" spans="1:10" x14ac:dyDescent="0.25">
      <c r="A951" s="2" t="s">
        <v>2849</v>
      </c>
      <c r="B951" s="2" t="s">
        <v>2850</v>
      </c>
      <c r="C951" s="2" t="s">
        <v>2851</v>
      </c>
      <c r="D951" s="2" t="s">
        <v>10041</v>
      </c>
      <c r="E951" s="15">
        <v>-1.83E-2</v>
      </c>
      <c r="F951" s="15">
        <v>5.1799999999999999E-2</v>
      </c>
      <c r="G951" s="15">
        <v>0.72389999999999999</v>
      </c>
      <c r="H951" s="15">
        <v>0.15479999999999999</v>
      </c>
      <c r="I951" s="15">
        <v>1.8599999999999998E-2</v>
      </c>
      <c r="J951" s="15">
        <v>8.4895833333333339</v>
      </c>
    </row>
    <row r="952" spans="1:10" x14ac:dyDescent="0.25">
      <c r="A952" s="2" t="s">
        <v>2852</v>
      </c>
      <c r="B952" s="2" t="s">
        <v>2853</v>
      </c>
      <c r="C952" s="2" t="s">
        <v>2854</v>
      </c>
      <c r="D952" s="2" t="s">
        <v>10041</v>
      </c>
      <c r="E952" s="15">
        <v>-5.1900000000000002E-2</v>
      </c>
      <c r="F952" s="15">
        <v>5.2200000000000003E-2</v>
      </c>
      <c r="G952" s="15">
        <v>0.31929999999999997</v>
      </c>
      <c r="H952" s="15">
        <v>0.12809999999999999</v>
      </c>
      <c r="I952" s="15">
        <v>1.6199999999999999E-2</v>
      </c>
      <c r="J952" s="15">
        <v>7.3719512195121943</v>
      </c>
    </row>
    <row r="953" spans="1:10" x14ac:dyDescent="0.25">
      <c r="A953" s="2" t="s">
        <v>2855</v>
      </c>
      <c r="B953" s="2" t="s">
        <v>2856</v>
      </c>
      <c r="C953" s="2" t="s">
        <v>2857</v>
      </c>
      <c r="D953" s="2" t="s">
        <v>10041</v>
      </c>
      <c r="E953" s="15">
        <v>-3.4299999999999997E-2</v>
      </c>
      <c r="F953" s="15">
        <v>5.0700000000000002E-2</v>
      </c>
      <c r="G953" s="15">
        <v>0.49909999999999999</v>
      </c>
      <c r="H953" s="15">
        <v>0.18940000000000001</v>
      </c>
      <c r="I953" s="15">
        <v>2.1000000000000001E-2</v>
      </c>
      <c r="J953" s="15">
        <v>9.5376884422110546</v>
      </c>
    </row>
    <row r="954" spans="1:10" x14ac:dyDescent="0.25">
      <c r="A954" s="2" t="s">
        <v>2858</v>
      </c>
      <c r="B954" s="2" t="s">
        <v>2859</v>
      </c>
      <c r="C954" s="2" t="s">
        <v>2860</v>
      </c>
      <c r="D954" s="2" t="s">
        <v>10041</v>
      </c>
      <c r="E954" s="15">
        <v>-2.1899999999999999E-2</v>
      </c>
      <c r="F954" s="15">
        <v>4.2999999999999997E-2</v>
      </c>
      <c r="G954" s="15">
        <v>0.61099999999999999</v>
      </c>
      <c r="H954" s="15">
        <v>0.19570000000000001</v>
      </c>
      <c r="I954" s="15">
        <v>2.0299999999999999E-2</v>
      </c>
      <c r="J954" s="15">
        <v>11.07734806629834</v>
      </c>
    </row>
    <row r="955" spans="1:10" x14ac:dyDescent="0.25">
      <c r="A955" s="2" t="s">
        <v>2861</v>
      </c>
      <c r="B955" s="2" t="s">
        <v>2862</v>
      </c>
      <c r="C955" s="2" t="s">
        <v>2863</v>
      </c>
      <c r="D955" s="2" t="s">
        <v>10041</v>
      </c>
      <c r="E955" s="15">
        <v>2.8999999999999998E-3</v>
      </c>
      <c r="F955" s="15">
        <v>4.6100000000000002E-2</v>
      </c>
      <c r="G955" s="15">
        <v>0.95009999999999994</v>
      </c>
      <c r="H955" s="15">
        <v>0.1646</v>
      </c>
      <c r="I955" s="15">
        <v>2.2100000000000002E-2</v>
      </c>
      <c r="J955" s="15">
        <v>8.9289340101522843</v>
      </c>
    </row>
    <row r="956" spans="1:10" x14ac:dyDescent="0.25">
      <c r="A956" s="2" t="s">
        <v>2864</v>
      </c>
      <c r="B956" s="2" t="s">
        <v>2865</v>
      </c>
      <c r="C956" s="2" t="s">
        <v>2866</v>
      </c>
      <c r="D956" s="2" t="s">
        <v>10041</v>
      </c>
      <c r="E956" s="15">
        <v>-5.3E-3</v>
      </c>
      <c r="F956" s="15">
        <v>5.1400000000000001E-2</v>
      </c>
      <c r="G956" s="15">
        <v>0.91800000000000004</v>
      </c>
      <c r="H956" s="15">
        <v>0.13919999999999999</v>
      </c>
      <c r="I956" s="15">
        <v>1.8700000000000001E-2</v>
      </c>
      <c r="J956" s="15">
        <v>8.607954545454545</v>
      </c>
    </row>
    <row r="957" spans="1:10" x14ac:dyDescent="0.25">
      <c r="A957" s="2" t="s">
        <v>2867</v>
      </c>
      <c r="B957" s="2" t="s">
        <v>2868</v>
      </c>
      <c r="C957" s="2" t="s">
        <v>2869</v>
      </c>
      <c r="D957" s="2" t="s">
        <v>10041</v>
      </c>
      <c r="E957" s="15">
        <v>-3.7999999999999999E-2</v>
      </c>
      <c r="F957" s="15">
        <v>4.8000000000000001E-2</v>
      </c>
      <c r="G957" s="15">
        <v>0.42870000000000003</v>
      </c>
      <c r="H957" s="15">
        <v>0.19389999999999999</v>
      </c>
      <c r="I957" s="15">
        <v>2.0899999999999998E-2</v>
      </c>
      <c r="J957" s="15">
        <v>10.47643979057592</v>
      </c>
    </row>
    <row r="958" spans="1:10" x14ac:dyDescent="0.25">
      <c r="A958" s="2" t="s">
        <v>2870</v>
      </c>
      <c r="B958" s="2" t="s">
        <v>2871</v>
      </c>
      <c r="C958" s="2" t="s">
        <v>2872</v>
      </c>
      <c r="D958" s="2" t="s">
        <v>10041</v>
      </c>
      <c r="E958" s="15">
        <v>4.7100000000000003E-2</v>
      </c>
      <c r="F958" s="15">
        <v>3.5099999999999999E-2</v>
      </c>
      <c r="G958" s="15">
        <v>0.1797</v>
      </c>
      <c r="H958" s="15">
        <v>0.26129999999999998</v>
      </c>
      <c r="I958" s="15">
        <v>2.6599999999999999E-2</v>
      </c>
      <c r="J958" s="15">
        <v>11.95633187772926</v>
      </c>
    </row>
    <row r="959" spans="1:10" x14ac:dyDescent="0.25">
      <c r="A959" s="2" t="s">
        <v>2873</v>
      </c>
      <c r="B959" s="2" t="s">
        <v>2874</v>
      </c>
      <c r="C959" s="2" t="s">
        <v>2875</v>
      </c>
      <c r="D959" s="2" t="s">
        <v>10041</v>
      </c>
      <c r="E959" s="15">
        <v>0.1008</v>
      </c>
      <c r="F959" s="15">
        <v>5.6000000000000001E-2</v>
      </c>
      <c r="G959" s="15">
        <v>7.1800000000000003E-2</v>
      </c>
      <c r="H959" s="15">
        <v>0.10390000000000001</v>
      </c>
      <c r="I959" s="15">
        <v>1.6899999999999998E-2</v>
      </c>
      <c r="J959" s="15">
        <v>6.8975903614457836</v>
      </c>
    </row>
    <row r="960" spans="1:10" x14ac:dyDescent="0.25">
      <c r="A960" s="2" t="s">
        <v>2876</v>
      </c>
      <c r="B960" s="2" t="s">
        <v>2877</v>
      </c>
      <c r="C960" s="2" t="s">
        <v>2878</v>
      </c>
      <c r="D960" s="2" t="s">
        <v>10041</v>
      </c>
      <c r="E960" s="15">
        <v>3.2800000000000003E-2</v>
      </c>
      <c r="F960" s="15">
        <v>7.5800000000000006E-2</v>
      </c>
      <c r="G960" s="15">
        <v>0.66539999999999999</v>
      </c>
      <c r="H960" s="15">
        <v>6.3200000000000006E-2</v>
      </c>
      <c r="I960" s="15">
        <v>1.5599999999999999E-2</v>
      </c>
      <c r="J960" s="15">
        <v>4.7290322580645174</v>
      </c>
    </row>
    <row r="961" spans="1:10" x14ac:dyDescent="0.25">
      <c r="A961" s="2" t="s">
        <v>2879</v>
      </c>
      <c r="B961" s="2" t="s">
        <v>2880</v>
      </c>
      <c r="C961" s="2" t="s">
        <v>2881</v>
      </c>
      <c r="D961" s="2" t="s">
        <v>10041</v>
      </c>
      <c r="E961" s="15">
        <v>5.0099999999999999E-2</v>
      </c>
      <c r="F961" s="15">
        <v>5.8299999999999998E-2</v>
      </c>
      <c r="G961" s="15">
        <v>0.39019999999999999</v>
      </c>
      <c r="H961" s="15">
        <v>9.74E-2</v>
      </c>
      <c r="I961" s="15">
        <v>1.6799999999999999E-2</v>
      </c>
      <c r="J961" s="15">
        <v>6.1402439024390238</v>
      </c>
    </row>
    <row r="962" spans="1:10" x14ac:dyDescent="0.25">
      <c r="A962" s="2" t="s">
        <v>2882</v>
      </c>
      <c r="B962" s="2" t="s">
        <v>2883</v>
      </c>
      <c r="C962" s="2" t="s">
        <v>2884</v>
      </c>
      <c r="D962" s="2" t="s">
        <v>10041</v>
      </c>
      <c r="E962" s="15">
        <v>-7.7899999999999997E-2</v>
      </c>
      <c r="F962" s="15">
        <v>4.5999999999999999E-2</v>
      </c>
      <c r="G962" s="15">
        <v>0.09</v>
      </c>
      <c r="H962" s="15">
        <v>0.19170000000000001</v>
      </c>
      <c r="I962" s="15">
        <v>2.3599999999999999E-2</v>
      </c>
      <c r="J962" s="15">
        <v>9.1090909090909093</v>
      </c>
    </row>
    <row r="963" spans="1:10" x14ac:dyDescent="0.25">
      <c r="A963" s="2" t="s">
        <v>2885</v>
      </c>
      <c r="B963" s="2" t="s">
        <v>2886</v>
      </c>
      <c r="C963" s="2" t="s">
        <v>2887</v>
      </c>
      <c r="D963" s="2" t="s">
        <v>10041</v>
      </c>
      <c r="E963" s="15">
        <v>4.4200000000000003E-2</v>
      </c>
      <c r="F963" s="15">
        <v>4.5400000000000003E-2</v>
      </c>
      <c r="G963" s="15">
        <v>0.33029999999999998</v>
      </c>
      <c r="H963" s="15">
        <v>0.17419999999999999</v>
      </c>
      <c r="I963" s="15">
        <v>1.95E-2</v>
      </c>
      <c r="J963" s="15">
        <v>9.2361809045226124</v>
      </c>
    </row>
    <row r="964" spans="1:10" x14ac:dyDescent="0.25">
      <c r="A964" s="2" t="s">
        <v>2888</v>
      </c>
      <c r="B964" s="2" t="s">
        <v>2889</v>
      </c>
      <c r="C964" s="2" t="s">
        <v>2890</v>
      </c>
      <c r="D964" s="2" t="s">
        <v>10041</v>
      </c>
      <c r="E964" s="15">
        <v>-0.1022</v>
      </c>
      <c r="F964" s="15">
        <v>5.16E-2</v>
      </c>
      <c r="G964" s="15">
        <v>4.7699999999999999E-2</v>
      </c>
      <c r="H964" s="15">
        <v>0.1346</v>
      </c>
      <c r="I964" s="15">
        <v>2.1299999999999999E-2</v>
      </c>
      <c r="J964" s="15">
        <v>7.0871794871794869</v>
      </c>
    </row>
    <row r="965" spans="1:10" x14ac:dyDescent="0.25">
      <c r="A965" s="2" t="s">
        <v>2891</v>
      </c>
      <c r="B965" s="2" t="s">
        <v>2892</v>
      </c>
      <c r="C965" s="2" t="s">
        <v>2893</v>
      </c>
      <c r="D965" s="2" t="s">
        <v>10041</v>
      </c>
      <c r="E965" s="15">
        <v>-4.7500000000000001E-2</v>
      </c>
      <c r="F965" s="15">
        <v>5.5E-2</v>
      </c>
      <c r="G965" s="15">
        <v>0.3881</v>
      </c>
      <c r="H965" s="15">
        <v>0.10970000000000001</v>
      </c>
      <c r="I965" s="15">
        <v>1.6899999999999998E-2</v>
      </c>
      <c r="J965" s="15">
        <v>7.3478260869565224</v>
      </c>
    </row>
    <row r="966" spans="1:10" x14ac:dyDescent="0.25">
      <c r="A966" s="2" t="s">
        <v>2894</v>
      </c>
      <c r="B966" s="2" t="s">
        <v>2895</v>
      </c>
      <c r="C966" s="2" t="s">
        <v>2896</v>
      </c>
      <c r="D966" s="2" t="s">
        <v>10041</v>
      </c>
      <c r="E966" s="15">
        <v>-0.10630000000000001</v>
      </c>
      <c r="F966" s="15">
        <v>5.8299999999999998E-2</v>
      </c>
      <c r="G966" s="15">
        <v>6.8400000000000002E-2</v>
      </c>
      <c r="H966" s="15">
        <v>0.1226</v>
      </c>
      <c r="I966" s="15">
        <v>1.9699999999999999E-2</v>
      </c>
      <c r="J966" s="15">
        <v>6.7391304347826084</v>
      </c>
    </row>
    <row r="967" spans="1:10" x14ac:dyDescent="0.25">
      <c r="A967" s="2" t="s">
        <v>2897</v>
      </c>
      <c r="B967" s="2" t="s">
        <v>2898</v>
      </c>
      <c r="C967" s="2" t="s">
        <v>2899</v>
      </c>
      <c r="D967" s="2" t="s">
        <v>10041</v>
      </c>
      <c r="E967" s="15">
        <v>2.41E-2</v>
      </c>
      <c r="F967" s="15">
        <v>4.7600000000000003E-2</v>
      </c>
      <c r="G967" s="15">
        <v>0.61209999999999998</v>
      </c>
      <c r="H967" s="15">
        <v>0.1457</v>
      </c>
      <c r="I967" s="15">
        <v>1.8200000000000001E-2</v>
      </c>
      <c r="J967" s="15">
        <v>9.0116959064327471</v>
      </c>
    </row>
    <row r="968" spans="1:10" x14ac:dyDescent="0.25">
      <c r="A968" s="2" t="s">
        <v>2900</v>
      </c>
      <c r="B968" s="2" t="s">
        <v>2901</v>
      </c>
      <c r="C968" s="2" t="s">
        <v>2902</v>
      </c>
      <c r="D968" s="2" t="s">
        <v>10041</v>
      </c>
      <c r="E968" s="15">
        <v>1.24E-2</v>
      </c>
      <c r="F968" s="15">
        <v>5.0599999999999999E-2</v>
      </c>
      <c r="G968" s="15">
        <v>0.80710000000000004</v>
      </c>
      <c r="H968" s="15">
        <v>0.13919999999999999</v>
      </c>
      <c r="I968" s="15">
        <v>1.7399999999999999E-2</v>
      </c>
      <c r="J968" s="15">
        <v>8.6272189349112445</v>
      </c>
    </row>
    <row r="969" spans="1:10" x14ac:dyDescent="0.25">
      <c r="A969" s="2" t="s">
        <v>2903</v>
      </c>
      <c r="B969" s="2" t="s">
        <v>2904</v>
      </c>
      <c r="C969" s="2" t="s">
        <v>2905</v>
      </c>
      <c r="D969" s="2" t="s">
        <v>10041</v>
      </c>
      <c r="E969" s="15">
        <v>2E-3</v>
      </c>
      <c r="F969" s="15">
        <v>3.9600000000000003E-2</v>
      </c>
      <c r="G969" s="15">
        <v>0.95989999999999998</v>
      </c>
      <c r="H969" s="15">
        <v>0.24030000000000001</v>
      </c>
      <c r="I969" s="15">
        <v>2.4E-2</v>
      </c>
      <c r="J969" s="15">
        <v>10.81981981981982</v>
      </c>
    </row>
    <row r="970" spans="1:10" x14ac:dyDescent="0.25">
      <c r="A970" s="2" t="s">
        <v>2906</v>
      </c>
      <c r="B970" s="2" t="s">
        <v>2907</v>
      </c>
      <c r="C970" s="2" t="s">
        <v>2908</v>
      </c>
      <c r="D970" s="2" t="s">
        <v>10041</v>
      </c>
      <c r="E970" s="15">
        <v>4.6300000000000001E-2</v>
      </c>
      <c r="F970" s="15">
        <v>4.5499999999999999E-2</v>
      </c>
      <c r="G970" s="15">
        <v>0.30859999999999999</v>
      </c>
      <c r="H970" s="15">
        <v>0.1633</v>
      </c>
      <c r="I970" s="15">
        <v>2.0500000000000001E-2</v>
      </c>
      <c r="J970" s="15">
        <v>8.7409326424870457</v>
      </c>
    </row>
    <row r="971" spans="1:10" x14ac:dyDescent="0.25">
      <c r="A971" s="2" t="s">
        <v>2909</v>
      </c>
      <c r="B971" s="2" t="s">
        <v>2910</v>
      </c>
      <c r="C971" s="2" t="s">
        <v>2911</v>
      </c>
      <c r="D971" s="2" t="s">
        <v>10041</v>
      </c>
      <c r="E971" s="15">
        <v>-7.7000000000000002E-3</v>
      </c>
      <c r="F971" s="15">
        <v>4.41E-2</v>
      </c>
      <c r="G971" s="15">
        <v>0.86080000000000001</v>
      </c>
      <c r="H971" s="15">
        <v>0.19270000000000001</v>
      </c>
      <c r="I971" s="15">
        <v>1.9900000000000001E-2</v>
      </c>
      <c r="J971" s="15">
        <v>9.9203980099502491</v>
      </c>
    </row>
    <row r="972" spans="1:10" x14ac:dyDescent="0.25">
      <c r="A972" s="2" t="s">
        <v>2912</v>
      </c>
      <c r="B972" s="2" t="s">
        <v>2913</v>
      </c>
      <c r="C972" s="2" t="s">
        <v>2914</v>
      </c>
      <c r="D972" s="2" t="s">
        <v>10041</v>
      </c>
      <c r="E972" s="15">
        <v>7.3000000000000001E-3</v>
      </c>
      <c r="F972" s="15">
        <v>5.4899999999999997E-2</v>
      </c>
      <c r="G972" s="15">
        <v>0.89390000000000003</v>
      </c>
      <c r="H972" s="15">
        <v>0.1416</v>
      </c>
      <c r="I972" s="15">
        <v>1.83E-2</v>
      </c>
      <c r="J972" s="15">
        <v>8.3571428571428577</v>
      </c>
    </row>
    <row r="973" spans="1:10" x14ac:dyDescent="0.25">
      <c r="A973" s="2" t="s">
        <v>2915</v>
      </c>
      <c r="B973" s="2" t="s">
        <v>2916</v>
      </c>
      <c r="C973" s="2" t="s">
        <v>2917</v>
      </c>
      <c r="D973" s="2" t="s">
        <v>10041</v>
      </c>
      <c r="E973" s="15">
        <v>-4.5600000000000002E-2</v>
      </c>
      <c r="F973" s="15">
        <v>4.5600000000000002E-2</v>
      </c>
      <c r="G973" s="15">
        <v>0.31769999999999998</v>
      </c>
      <c r="H973" s="15">
        <v>0.14660000000000001</v>
      </c>
      <c r="I973" s="15">
        <v>2.06E-2</v>
      </c>
      <c r="J973" s="15">
        <v>7.9203980099502491</v>
      </c>
    </row>
    <row r="974" spans="1:10" x14ac:dyDescent="0.25">
      <c r="A974" s="2" t="s">
        <v>2918</v>
      </c>
      <c r="B974" s="2" t="s">
        <v>2919</v>
      </c>
      <c r="C974" s="2" t="s">
        <v>2920</v>
      </c>
      <c r="D974" s="2" t="s">
        <v>10041</v>
      </c>
      <c r="E974" s="15">
        <v>-0.11700000000000001</v>
      </c>
      <c r="F974" s="15">
        <v>5.33E-2</v>
      </c>
      <c r="G974" s="15">
        <v>2.81E-2</v>
      </c>
      <c r="H974" s="15">
        <v>0.13789999999999999</v>
      </c>
      <c r="I974" s="15">
        <v>1.7299999999999999E-2</v>
      </c>
      <c r="J974" s="15">
        <v>8.6181818181818173</v>
      </c>
    </row>
    <row r="975" spans="1:10" x14ac:dyDescent="0.25">
      <c r="A975" s="2" t="s">
        <v>2921</v>
      </c>
      <c r="B975" s="2" t="s">
        <v>2922</v>
      </c>
      <c r="C975" s="2" t="s">
        <v>2923</v>
      </c>
      <c r="D975" s="2" t="s">
        <v>10041</v>
      </c>
      <c r="E975" s="15">
        <v>-0.1168</v>
      </c>
      <c r="F975" s="15">
        <v>4.82E-2</v>
      </c>
      <c r="G975" s="15">
        <v>1.54E-2</v>
      </c>
      <c r="H975" s="15">
        <v>0.14080000000000001</v>
      </c>
      <c r="I975" s="15">
        <v>2.1000000000000001E-2</v>
      </c>
      <c r="J975" s="15">
        <v>7.5765306122448974</v>
      </c>
    </row>
    <row r="976" spans="1:10" x14ac:dyDescent="0.25">
      <c r="A976" s="2" t="s">
        <v>2924</v>
      </c>
      <c r="B976" s="2" t="s">
        <v>2925</v>
      </c>
      <c r="C976" s="2" t="s">
        <v>2926</v>
      </c>
      <c r="D976" s="2" t="s">
        <v>10041</v>
      </c>
      <c r="E976" s="15">
        <v>9.1000000000000004E-3</v>
      </c>
      <c r="F976" s="15">
        <v>3.9399999999999998E-2</v>
      </c>
      <c r="G976" s="15">
        <v>0.81820000000000004</v>
      </c>
      <c r="H976" s="15">
        <v>0.20119999999999999</v>
      </c>
      <c r="I976" s="15">
        <v>2.5000000000000001E-2</v>
      </c>
      <c r="J976" s="15">
        <v>8.0894941634241242</v>
      </c>
    </row>
    <row r="977" spans="1:10" x14ac:dyDescent="0.25">
      <c r="A977" s="2" t="s">
        <v>2927</v>
      </c>
      <c r="B977" s="2" t="s">
        <v>2928</v>
      </c>
      <c r="C977" s="2" t="s">
        <v>2929</v>
      </c>
      <c r="D977" s="2" t="s">
        <v>10041</v>
      </c>
      <c r="E977" s="15">
        <v>-0.1142</v>
      </c>
      <c r="F977" s="15">
        <v>4.8399999999999999E-2</v>
      </c>
      <c r="G977" s="15">
        <v>1.84E-2</v>
      </c>
      <c r="H977" s="15">
        <v>0.18099999999999999</v>
      </c>
      <c r="I977" s="15">
        <v>2.0199999999999999E-2</v>
      </c>
      <c r="J977" s="15">
        <v>10.00512820512821</v>
      </c>
    </row>
    <row r="978" spans="1:10" x14ac:dyDescent="0.25">
      <c r="A978" s="2" t="s">
        <v>2930</v>
      </c>
      <c r="B978" s="2" t="s">
        <v>2931</v>
      </c>
      <c r="C978" s="2" t="s">
        <v>2932</v>
      </c>
      <c r="D978" s="2" t="s">
        <v>10041</v>
      </c>
      <c r="E978" s="15">
        <v>9.1000000000000004E-3</v>
      </c>
      <c r="F978" s="15">
        <v>5.1999999999999998E-2</v>
      </c>
      <c r="G978" s="15">
        <v>0.86080000000000001</v>
      </c>
      <c r="H978" s="15">
        <v>0.1211</v>
      </c>
      <c r="I978" s="15">
        <v>2.0799999999999999E-2</v>
      </c>
      <c r="J978" s="15">
        <v>6.4666666666666659</v>
      </c>
    </row>
    <row r="979" spans="1:10" x14ac:dyDescent="0.25">
      <c r="A979" s="2" t="s">
        <v>2933</v>
      </c>
      <c r="B979" s="2" t="s">
        <v>2934</v>
      </c>
      <c r="C979" s="2" t="s">
        <v>2935</v>
      </c>
      <c r="D979" s="2" t="s">
        <v>10041</v>
      </c>
      <c r="E979" s="15">
        <v>0.10730000000000001</v>
      </c>
      <c r="F979" s="15">
        <v>6.2199999999999998E-2</v>
      </c>
      <c r="G979" s="15">
        <v>8.4599999999999995E-2</v>
      </c>
      <c r="H979" s="15">
        <v>6.93E-2</v>
      </c>
      <c r="I979" s="15">
        <v>1.7399999999999999E-2</v>
      </c>
      <c r="J979" s="15">
        <v>3.7337278106508882</v>
      </c>
    </row>
    <row r="980" spans="1:10" x14ac:dyDescent="0.25">
      <c r="A980" s="2" t="s">
        <v>2936</v>
      </c>
      <c r="B980" s="2" t="s">
        <v>2937</v>
      </c>
      <c r="C980" s="2" t="s">
        <v>2938</v>
      </c>
      <c r="D980" s="2" t="s">
        <v>10041</v>
      </c>
      <c r="E980" s="15">
        <v>-2.06E-2</v>
      </c>
      <c r="F980" s="15">
        <v>5.0200000000000002E-2</v>
      </c>
      <c r="G980" s="15">
        <v>0.68189999999999995</v>
      </c>
      <c r="H980" s="15">
        <v>0.1583</v>
      </c>
      <c r="I980" s="15">
        <v>1.8599999999999998E-2</v>
      </c>
      <c r="J980" s="15">
        <v>8.7237569060773481</v>
      </c>
    </row>
    <row r="981" spans="1:10" x14ac:dyDescent="0.25">
      <c r="A981" s="2" t="s">
        <v>2939</v>
      </c>
      <c r="B981" s="2" t="s">
        <v>2940</v>
      </c>
      <c r="C981" s="2" t="s">
        <v>2941</v>
      </c>
      <c r="D981" s="2" t="s">
        <v>10041</v>
      </c>
      <c r="E981" s="15">
        <v>-2.53E-2</v>
      </c>
      <c r="F981" s="15">
        <v>4.3299999999999998E-2</v>
      </c>
      <c r="G981" s="15">
        <v>0.5585</v>
      </c>
      <c r="H981" s="15">
        <v>0.19189999999999999</v>
      </c>
      <c r="I981" s="15">
        <v>3.3099999999999997E-2</v>
      </c>
      <c r="J981" s="15">
        <v>6.5629139072847673</v>
      </c>
    </row>
    <row r="982" spans="1:10" x14ac:dyDescent="0.25">
      <c r="A982" s="2" t="s">
        <v>2942</v>
      </c>
      <c r="B982" s="2" t="s">
        <v>2943</v>
      </c>
      <c r="C982" s="2" t="s">
        <v>2944</v>
      </c>
      <c r="D982" s="2" t="s">
        <v>10041</v>
      </c>
      <c r="E982" s="15">
        <v>0.121</v>
      </c>
      <c r="F982" s="15">
        <v>5.6899999999999999E-2</v>
      </c>
      <c r="G982" s="15">
        <v>3.3399999999999999E-2</v>
      </c>
      <c r="H982" s="15">
        <v>8.6599999999999996E-2</v>
      </c>
      <c r="I982" s="15">
        <v>1.6199999999999999E-2</v>
      </c>
      <c r="J982" s="15">
        <v>5.8954248366013076</v>
      </c>
    </row>
    <row r="983" spans="1:10" x14ac:dyDescent="0.25">
      <c r="A983" s="2" t="s">
        <v>2945</v>
      </c>
      <c r="B983" s="2" t="s">
        <v>2946</v>
      </c>
      <c r="C983" s="2" t="s">
        <v>2947</v>
      </c>
      <c r="D983" s="2" t="s">
        <v>10041</v>
      </c>
      <c r="E983" s="15">
        <v>-1.06E-2</v>
      </c>
      <c r="F983" s="15">
        <v>4.65E-2</v>
      </c>
      <c r="G983" s="15">
        <v>0.82010000000000005</v>
      </c>
      <c r="H983" s="15">
        <v>0.14149999999999999</v>
      </c>
      <c r="I983" s="15">
        <v>1.9E-2</v>
      </c>
      <c r="J983" s="15">
        <v>7.8784530386740323</v>
      </c>
    </row>
    <row r="984" spans="1:10" x14ac:dyDescent="0.25">
      <c r="A984" s="2" t="s">
        <v>2948</v>
      </c>
      <c r="B984" s="2" t="s">
        <v>2949</v>
      </c>
      <c r="C984" s="2" t="s">
        <v>2950</v>
      </c>
      <c r="D984" s="2" t="s">
        <v>10041</v>
      </c>
      <c r="E984" s="15">
        <v>-9.0999999999999998E-2</v>
      </c>
      <c r="F984" s="15">
        <v>5.0799999999999998E-2</v>
      </c>
      <c r="G984" s="15">
        <v>7.3099999999999998E-2</v>
      </c>
      <c r="H984" s="15">
        <v>0.18340000000000001</v>
      </c>
      <c r="I984" s="15">
        <v>1.6E-2</v>
      </c>
      <c r="J984" s="15">
        <v>11.902597402597401</v>
      </c>
    </row>
    <row r="985" spans="1:10" x14ac:dyDescent="0.25">
      <c r="A985" s="2" t="s">
        <v>2951</v>
      </c>
      <c r="B985" s="2" t="s">
        <v>2952</v>
      </c>
      <c r="C985" s="2" t="s">
        <v>2953</v>
      </c>
      <c r="D985" s="2" t="s">
        <v>10041</v>
      </c>
      <c r="E985" s="15">
        <v>-7.4099999999999999E-2</v>
      </c>
      <c r="F985" s="15">
        <v>4.58E-2</v>
      </c>
      <c r="G985" s="15">
        <v>0.1057</v>
      </c>
      <c r="H985" s="15">
        <v>0.1905</v>
      </c>
      <c r="I985" s="15">
        <v>2.0500000000000001E-2</v>
      </c>
      <c r="J985" s="15">
        <v>9.9950248756218905</v>
      </c>
    </row>
    <row r="986" spans="1:10" x14ac:dyDescent="0.25">
      <c r="A986" s="2" t="s">
        <v>2954</v>
      </c>
      <c r="B986" s="2" t="s">
        <v>2955</v>
      </c>
      <c r="C986" s="2" t="s">
        <v>2956</v>
      </c>
      <c r="D986" s="2" t="s">
        <v>10041</v>
      </c>
      <c r="E986" s="15">
        <v>0.15060000000000001</v>
      </c>
      <c r="F986" s="15">
        <v>6.2100000000000002E-2</v>
      </c>
      <c r="G986" s="15">
        <v>1.54E-2</v>
      </c>
      <c r="H986" s="15">
        <v>7.3999999999999996E-2</v>
      </c>
      <c r="I986" s="15">
        <v>1.5100000000000001E-2</v>
      </c>
      <c r="J986" s="15">
        <v>5.1258278145695364</v>
      </c>
    </row>
    <row r="987" spans="1:10" x14ac:dyDescent="0.25">
      <c r="A987" s="2" t="s">
        <v>2957</v>
      </c>
      <c r="B987" s="2" t="s">
        <v>2958</v>
      </c>
      <c r="C987" s="2" t="s">
        <v>2959</v>
      </c>
      <c r="D987" s="2" t="s">
        <v>10041</v>
      </c>
      <c r="E987" s="15">
        <v>-2.7E-2</v>
      </c>
      <c r="F987" s="15">
        <v>8.7300000000000003E-2</v>
      </c>
      <c r="G987" s="15">
        <v>0.75690000000000002</v>
      </c>
      <c r="H987" s="15">
        <v>4.2000000000000003E-2</v>
      </c>
      <c r="I987" s="15">
        <v>1.6199999999999999E-2</v>
      </c>
      <c r="J987" s="15">
        <v>3.2993630573248409</v>
      </c>
    </row>
    <row r="988" spans="1:10" x14ac:dyDescent="0.25">
      <c r="A988" s="2" t="s">
        <v>2960</v>
      </c>
      <c r="B988" s="2" t="s">
        <v>2961</v>
      </c>
      <c r="C988" s="2" t="s">
        <v>2962</v>
      </c>
      <c r="D988" s="2" t="s">
        <v>10041</v>
      </c>
      <c r="E988" s="15">
        <v>6.1000000000000004E-3</v>
      </c>
      <c r="F988" s="15">
        <v>4.8899999999999999E-2</v>
      </c>
      <c r="G988" s="15">
        <v>0.9002</v>
      </c>
      <c r="H988" s="15">
        <v>0.1903</v>
      </c>
      <c r="I988" s="15">
        <v>2.1499999999999998E-2</v>
      </c>
      <c r="J988" s="15">
        <v>9.9552238805970159</v>
      </c>
    </row>
    <row r="989" spans="1:10" x14ac:dyDescent="0.25">
      <c r="A989" s="2" t="s">
        <v>2963</v>
      </c>
      <c r="B989" s="2" t="s">
        <v>2964</v>
      </c>
      <c r="C989" s="2" t="s">
        <v>2965</v>
      </c>
      <c r="D989" s="2" t="s">
        <v>10041</v>
      </c>
      <c r="E989" s="15">
        <v>-1.77E-2</v>
      </c>
      <c r="F989" s="15">
        <v>3.8399999999999997E-2</v>
      </c>
      <c r="G989" s="15">
        <v>0.64500000000000002</v>
      </c>
      <c r="H989" s="15">
        <v>0.27010000000000001</v>
      </c>
      <c r="I989" s="15">
        <v>2.7300000000000001E-2</v>
      </c>
      <c r="J989" s="15">
        <v>10.96825396825397</v>
      </c>
    </row>
    <row r="990" spans="1:10" x14ac:dyDescent="0.25">
      <c r="A990" s="2" t="s">
        <v>2966</v>
      </c>
      <c r="B990" s="2" t="s">
        <v>2967</v>
      </c>
      <c r="C990" s="2" t="s">
        <v>2968</v>
      </c>
      <c r="D990" s="2" t="s">
        <v>10041</v>
      </c>
      <c r="E990" s="15">
        <v>-4.3E-3</v>
      </c>
      <c r="F990" s="15">
        <v>4.7E-2</v>
      </c>
      <c r="G990" s="15">
        <v>0.92620000000000002</v>
      </c>
      <c r="H990" s="15">
        <v>0.1976</v>
      </c>
      <c r="I990" s="15">
        <v>1.9599999999999999E-2</v>
      </c>
      <c r="J990" s="15">
        <v>11.33898305084746</v>
      </c>
    </row>
    <row r="991" spans="1:10" x14ac:dyDescent="0.25">
      <c r="A991" s="2" t="s">
        <v>2969</v>
      </c>
      <c r="B991" s="2" t="s">
        <v>2970</v>
      </c>
      <c r="C991" s="2" t="s">
        <v>2971</v>
      </c>
      <c r="D991" s="2" t="s">
        <v>10041</v>
      </c>
      <c r="E991" s="15">
        <v>2.1299999999999999E-2</v>
      </c>
      <c r="F991" s="15">
        <v>3.4599999999999999E-2</v>
      </c>
      <c r="G991" s="15">
        <v>0.53700000000000003</v>
      </c>
      <c r="H991" s="15">
        <v>0.32369999999999999</v>
      </c>
      <c r="I991" s="15">
        <v>3.2199999999999999E-2</v>
      </c>
      <c r="J991" s="15">
        <v>10.966216216216219</v>
      </c>
    </row>
    <row r="992" spans="1:10" x14ac:dyDescent="0.25">
      <c r="A992" s="2" t="s">
        <v>2972</v>
      </c>
      <c r="B992" s="2" t="s">
        <v>2973</v>
      </c>
      <c r="C992" s="2" t="s">
        <v>2974</v>
      </c>
      <c r="D992" s="2" t="s">
        <v>10041</v>
      </c>
      <c r="E992" s="15">
        <v>-4.8000000000000001E-2</v>
      </c>
      <c r="F992" s="15">
        <v>4.2700000000000002E-2</v>
      </c>
      <c r="G992" s="15">
        <v>0.26029999999999998</v>
      </c>
      <c r="H992" s="15">
        <v>0.22170000000000001</v>
      </c>
      <c r="I992" s="15">
        <v>2.5999999999999999E-2</v>
      </c>
      <c r="J992" s="15">
        <v>7.541795665634675</v>
      </c>
    </row>
    <row r="993" spans="1:10" x14ac:dyDescent="0.25">
      <c r="A993" s="2" t="s">
        <v>2975</v>
      </c>
      <c r="B993" s="2" t="s">
        <v>2976</v>
      </c>
      <c r="C993" s="2" t="s">
        <v>2977</v>
      </c>
      <c r="D993" s="2" t="s">
        <v>10041</v>
      </c>
      <c r="E993" s="15">
        <v>6.4999999999999997E-3</v>
      </c>
      <c r="F993" s="15">
        <v>4.5600000000000002E-2</v>
      </c>
      <c r="G993" s="15">
        <v>0.8861</v>
      </c>
      <c r="H993" s="15">
        <v>0.15670000000000001</v>
      </c>
      <c r="I993" s="15">
        <v>1.8200000000000001E-2</v>
      </c>
      <c r="J993" s="15">
        <v>8.9310344827586228</v>
      </c>
    </row>
    <row r="994" spans="1:10" x14ac:dyDescent="0.25">
      <c r="A994" s="2" t="s">
        <v>2978</v>
      </c>
      <c r="B994" s="2" t="s">
        <v>2979</v>
      </c>
      <c r="C994" s="2" t="s">
        <v>2980</v>
      </c>
      <c r="D994" s="2" t="s">
        <v>10041</v>
      </c>
      <c r="E994" s="15">
        <v>-1.2999999999999999E-2</v>
      </c>
      <c r="F994" s="15">
        <v>5.79E-2</v>
      </c>
      <c r="G994" s="15">
        <v>0.82169999999999999</v>
      </c>
      <c r="H994" s="15">
        <v>0.13220000000000001</v>
      </c>
      <c r="I994" s="15">
        <v>1.84E-2</v>
      </c>
      <c r="J994" s="15">
        <v>7.8505747126436782</v>
      </c>
    </row>
    <row r="995" spans="1:10" x14ac:dyDescent="0.25">
      <c r="A995" s="2" t="s">
        <v>2981</v>
      </c>
      <c r="B995" s="2" t="s">
        <v>2982</v>
      </c>
      <c r="C995" s="2" t="s">
        <v>2983</v>
      </c>
      <c r="D995" s="2" t="s">
        <v>10041</v>
      </c>
      <c r="E995" s="15">
        <v>-1.4E-2</v>
      </c>
      <c r="F995" s="15">
        <v>4.3499999999999997E-2</v>
      </c>
      <c r="G995" s="15">
        <v>0.74839999999999995</v>
      </c>
      <c r="H995" s="15">
        <v>0.17960000000000001</v>
      </c>
      <c r="I995" s="15">
        <v>2.1700000000000001E-2</v>
      </c>
      <c r="J995" s="15">
        <v>8.83</v>
      </c>
    </row>
    <row r="996" spans="1:10" x14ac:dyDescent="0.25">
      <c r="A996" s="2" t="s">
        <v>2984</v>
      </c>
      <c r="B996" s="2" t="s">
        <v>2985</v>
      </c>
      <c r="C996" s="2" t="s">
        <v>2986</v>
      </c>
      <c r="D996" s="2" t="s">
        <v>10041</v>
      </c>
      <c r="E996" s="15">
        <v>-1.83E-2</v>
      </c>
      <c r="F996" s="15">
        <v>4.4600000000000001E-2</v>
      </c>
      <c r="G996" s="15">
        <v>0.68140000000000001</v>
      </c>
      <c r="H996" s="15">
        <v>0.19739999999999999</v>
      </c>
      <c r="I996" s="15">
        <v>2.5000000000000001E-2</v>
      </c>
      <c r="J996" s="15">
        <v>9.5687203791469191</v>
      </c>
    </row>
    <row r="997" spans="1:10" x14ac:dyDescent="0.25">
      <c r="A997" s="2" t="s">
        <v>2987</v>
      </c>
      <c r="B997" s="2" t="s">
        <v>2988</v>
      </c>
      <c r="C997" s="2" t="s">
        <v>2989</v>
      </c>
      <c r="D997" s="2" t="s">
        <v>10041</v>
      </c>
      <c r="E997" s="15">
        <v>6.0000000000000001E-3</v>
      </c>
      <c r="F997" s="15">
        <v>4.2500000000000003E-2</v>
      </c>
      <c r="G997" s="15">
        <v>0.88690000000000002</v>
      </c>
      <c r="H997" s="15">
        <v>0.1948</v>
      </c>
      <c r="I997" s="15">
        <v>2.07E-2</v>
      </c>
      <c r="J997" s="15">
        <v>10.222772277227721</v>
      </c>
    </row>
    <row r="998" spans="1:10" x14ac:dyDescent="0.25">
      <c r="A998" s="2" t="s">
        <v>2990</v>
      </c>
      <c r="B998" s="2" t="s">
        <v>2991</v>
      </c>
      <c r="C998" s="2" t="s">
        <v>2992</v>
      </c>
      <c r="D998" s="2" t="s">
        <v>10041</v>
      </c>
      <c r="E998" s="15">
        <v>-1.7500000000000002E-2</v>
      </c>
      <c r="F998" s="15">
        <v>5.7000000000000002E-2</v>
      </c>
      <c r="G998" s="15">
        <v>0.75949999999999995</v>
      </c>
      <c r="H998" s="15">
        <v>9.6500000000000002E-2</v>
      </c>
      <c r="I998" s="15">
        <v>1.7100000000000001E-2</v>
      </c>
      <c r="J998" s="15">
        <v>6.1875</v>
      </c>
    </row>
    <row r="999" spans="1:10" x14ac:dyDescent="0.25">
      <c r="A999" s="2" t="s">
        <v>2993</v>
      </c>
      <c r="B999" s="2" t="s">
        <v>2994</v>
      </c>
      <c r="C999" s="2" t="s">
        <v>2995</v>
      </c>
      <c r="D999" s="2" t="s">
        <v>10041</v>
      </c>
      <c r="E999" s="15">
        <v>-5.0000000000000001E-4</v>
      </c>
      <c r="F999" s="15">
        <v>5.5800000000000002E-2</v>
      </c>
      <c r="G999" s="15">
        <v>0.99250000000000005</v>
      </c>
      <c r="H999" s="15">
        <v>0.11609999999999999</v>
      </c>
      <c r="I999" s="15">
        <v>1.9E-2</v>
      </c>
      <c r="J999" s="15">
        <v>6.8938547486033519</v>
      </c>
    </row>
    <row r="1000" spans="1:10" x14ac:dyDescent="0.25">
      <c r="A1000" s="2" t="s">
        <v>2996</v>
      </c>
      <c r="B1000" s="2" t="s">
        <v>2997</v>
      </c>
      <c r="C1000" s="2" t="s">
        <v>2998</v>
      </c>
      <c r="D1000" s="2" t="s">
        <v>10041</v>
      </c>
      <c r="E1000" s="15">
        <v>-2.1899999999999999E-2</v>
      </c>
      <c r="F1000" s="15">
        <v>5.2299999999999999E-2</v>
      </c>
      <c r="G1000" s="15">
        <v>0.67479999999999996</v>
      </c>
      <c r="H1000" s="15">
        <v>0.1057</v>
      </c>
      <c r="I1000" s="15">
        <v>1.7299999999999999E-2</v>
      </c>
      <c r="J1000" s="15">
        <v>7.4844720496894412</v>
      </c>
    </row>
    <row r="1001" spans="1:10" x14ac:dyDescent="0.25">
      <c r="A1001" s="2" t="s">
        <v>2999</v>
      </c>
      <c r="B1001" s="2" t="s">
        <v>3000</v>
      </c>
      <c r="C1001" s="2" t="s">
        <v>3001</v>
      </c>
      <c r="D1001" s="2" t="s">
        <v>10041</v>
      </c>
      <c r="E1001" s="15">
        <v>1.5E-3</v>
      </c>
      <c r="F1001" s="15">
        <v>5.2999999999999999E-2</v>
      </c>
      <c r="G1001" s="15">
        <v>0.97670000000000001</v>
      </c>
      <c r="H1001" s="15">
        <v>0.124</v>
      </c>
      <c r="I1001" s="15">
        <v>1.8200000000000001E-2</v>
      </c>
      <c r="J1001" s="15">
        <v>7.1954022988505759</v>
      </c>
    </row>
    <row r="1002" spans="1:10" x14ac:dyDescent="0.25">
      <c r="A1002" s="2" t="s">
        <v>3002</v>
      </c>
      <c r="B1002" s="2" t="s">
        <v>3003</v>
      </c>
      <c r="C1002" s="2" t="s">
        <v>3004</v>
      </c>
      <c r="D1002" s="2" t="s">
        <v>10041</v>
      </c>
      <c r="E1002" s="15">
        <v>-2.53E-2</v>
      </c>
      <c r="F1002" s="15">
        <v>7.0800000000000002E-2</v>
      </c>
      <c r="G1002" s="15">
        <v>0.72130000000000005</v>
      </c>
      <c r="H1002" s="15">
        <v>5.3199999999999997E-2</v>
      </c>
      <c r="I1002" s="15">
        <v>1.3899999999999999E-2</v>
      </c>
      <c r="J1002" s="15">
        <v>4.3333333333333339</v>
      </c>
    </row>
    <row r="1003" spans="1:10" x14ac:dyDescent="0.25">
      <c r="A1003" s="2" t="s">
        <v>3005</v>
      </c>
      <c r="B1003" s="2" t="s">
        <v>3006</v>
      </c>
      <c r="C1003" s="2" t="s">
        <v>3007</v>
      </c>
      <c r="D1003" s="2" t="s">
        <v>10041</v>
      </c>
      <c r="E1003" s="15">
        <v>1.9E-3</v>
      </c>
      <c r="F1003" s="15">
        <v>5.6599999999999998E-2</v>
      </c>
      <c r="G1003" s="15">
        <v>0.97260000000000002</v>
      </c>
      <c r="H1003" s="15">
        <v>0.12470000000000001</v>
      </c>
      <c r="I1003" s="15">
        <v>1.67E-2</v>
      </c>
      <c r="J1003" s="15">
        <v>7.8048780487804876</v>
      </c>
    </row>
    <row r="1004" spans="1:10" x14ac:dyDescent="0.25">
      <c r="A1004" s="2" t="s">
        <v>3008</v>
      </c>
      <c r="B1004" s="2" t="s">
        <v>3009</v>
      </c>
      <c r="C1004" s="2" t="s">
        <v>3010</v>
      </c>
      <c r="D1004" s="2" t="s">
        <v>10041</v>
      </c>
      <c r="E1004" s="15">
        <v>-5.33E-2</v>
      </c>
      <c r="F1004" s="15">
        <v>4.6600000000000003E-2</v>
      </c>
      <c r="G1004" s="15">
        <v>0.2525</v>
      </c>
      <c r="H1004" s="15">
        <v>0.1527</v>
      </c>
      <c r="I1004" s="15">
        <v>1.8800000000000001E-2</v>
      </c>
      <c r="J1004" s="15">
        <v>8.1630434782608692</v>
      </c>
    </row>
    <row r="1005" spans="1:10" x14ac:dyDescent="0.25">
      <c r="A1005" s="2" t="s">
        <v>3011</v>
      </c>
      <c r="B1005" s="2" t="s">
        <v>3012</v>
      </c>
      <c r="C1005" s="2" t="s">
        <v>3013</v>
      </c>
      <c r="D1005" s="2" t="s">
        <v>10041</v>
      </c>
      <c r="E1005" s="15">
        <v>2.6499999999999999E-2</v>
      </c>
      <c r="F1005" s="15">
        <v>5.5399999999999998E-2</v>
      </c>
      <c r="G1005" s="15">
        <v>0.63270000000000004</v>
      </c>
      <c r="H1005" s="15">
        <v>9.2499999999999999E-2</v>
      </c>
      <c r="I1005" s="15">
        <v>1.6199999999999999E-2</v>
      </c>
      <c r="J1005" s="15">
        <v>6.0062893081761004</v>
      </c>
    </row>
    <row r="1006" spans="1:10" x14ac:dyDescent="0.25">
      <c r="A1006" s="2" t="s">
        <v>3014</v>
      </c>
      <c r="B1006" s="2" t="s">
        <v>3015</v>
      </c>
      <c r="C1006" s="2" t="s">
        <v>3016</v>
      </c>
      <c r="D1006" s="2" t="s">
        <v>10041</v>
      </c>
      <c r="E1006" s="15">
        <v>-0.1512</v>
      </c>
      <c r="F1006" s="15">
        <v>5.8999999999999997E-2</v>
      </c>
      <c r="G1006" s="15">
        <v>1.03E-2</v>
      </c>
      <c r="H1006" s="15">
        <v>9.2999999999999999E-2</v>
      </c>
      <c r="I1006" s="15">
        <v>1.9E-2</v>
      </c>
      <c r="J1006" s="15">
        <v>5.8186813186813184</v>
      </c>
    </row>
    <row r="1007" spans="1:10" x14ac:dyDescent="0.25">
      <c r="A1007" s="2" t="s">
        <v>3017</v>
      </c>
      <c r="B1007" s="2" t="s">
        <v>3018</v>
      </c>
      <c r="C1007" s="2" t="s">
        <v>3019</v>
      </c>
      <c r="D1007" s="2" t="s">
        <v>10041</v>
      </c>
      <c r="E1007" s="15">
        <v>3.2000000000000002E-3</v>
      </c>
      <c r="F1007" s="15">
        <v>5.7000000000000002E-2</v>
      </c>
      <c r="G1007" s="15">
        <v>0.95520000000000005</v>
      </c>
      <c r="H1007" s="15">
        <v>0.1101</v>
      </c>
      <c r="I1007" s="15">
        <v>2.2499999999999999E-2</v>
      </c>
      <c r="J1007" s="15">
        <v>4.7743362831858409</v>
      </c>
    </row>
    <row r="1008" spans="1:10" x14ac:dyDescent="0.25">
      <c r="A1008" s="2" t="s">
        <v>3020</v>
      </c>
      <c r="B1008" s="2" t="s">
        <v>3021</v>
      </c>
      <c r="C1008" s="2" t="s">
        <v>3022</v>
      </c>
      <c r="D1008" s="2" t="s">
        <v>10041</v>
      </c>
      <c r="E1008" s="15">
        <v>2.3E-3</v>
      </c>
      <c r="F1008" s="15">
        <v>5.2499999999999998E-2</v>
      </c>
      <c r="G1008" s="15">
        <v>0.9657</v>
      </c>
      <c r="H1008" s="15">
        <v>0.14560000000000001</v>
      </c>
      <c r="I1008" s="15">
        <v>1.7100000000000001E-2</v>
      </c>
      <c r="J1008" s="15">
        <v>9.2068965517241388</v>
      </c>
    </row>
    <row r="1009" spans="1:10" x14ac:dyDescent="0.25">
      <c r="A1009" s="2" t="s">
        <v>3023</v>
      </c>
      <c r="B1009" s="2" t="s">
        <v>3024</v>
      </c>
      <c r="C1009" s="2" t="s">
        <v>3025</v>
      </c>
      <c r="D1009" s="2" t="s">
        <v>10041</v>
      </c>
      <c r="E1009" s="15">
        <v>4.6800000000000001E-2</v>
      </c>
      <c r="F1009" s="15">
        <v>5.67E-2</v>
      </c>
      <c r="G1009" s="15">
        <v>0.4088</v>
      </c>
      <c r="H1009" s="15">
        <v>9.69E-2</v>
      </c>
      <c r="I1009" s="15">
        <v>1.4999999999999999E-2</v>
      </c>
      <c r="J1009" s="15">
        <v>7.0138888888888893</v>
      </c>
    </row>
    <row r="1010" spans="1:10" x14ac:dyDescent="0.25">
      <c r="A1010" s="2" t="s">
        <v>3026</v>
      </c>
      <c r="B1010" s="2" t="s">
        <v>3027</v>
      </c>
      <c r="C1010" s="2" t="s">
        <v>3028</v>
      </c>
      <c r="D1010" s="2" t="s">
        <v>10041</v>
      </c>
      <c r="E1010" s="15">
        <v>5.2999999999999999E-2</v>
      </c>
      <c r="F1010" s="15">
        <v>4.48E-2</v>
      </c>
      <c r="G1010" s="15">
        <v>0.2364</v>
      </c>
      <c r="H1010" s="15">
        <v>0.17879999999999999</v>
      </c>
      <c r="I1010" s="15">
        <v>2.1399999999999999E-2</v>
      </c>
      <c r="J1010" s="15">
        <v>9.8370786516853936</v>
      </c>
    </row>
    <row r="1011" spans="1:10" x14ac:dyDescent="0.25">
      <c r="A1011" s="2" t="s">
        <v>3029</v>
      </c>
      <c r="B1011" s="2" t="s">
        <v>3030</v>
      </c>
      <c r="C1011" s="2" t="s">
        <v>3031</v>
      </c>
      <c r="D1011" s="2" t="s">
        <v>10041</v>
      </c>
      <c r="E1011" s="15">
        <v>1.2200000000000001E-2</v>
      </c>
      <c r="F1011" s="15">
        <v>3.7999999999999999E-2</v>
      </c>
      <c r="G1011" s="15">
        <v>0.74739999999999995</v>
      </c>
      <c r="H1011" s="15">
        <v>0.2545</v>
      </c>
      <c r="I1011" s="15">
        <v>2.0899999999999998E-2</v>
      </c>
      <c r="J1011" s="15">
        <v>12.13425925925926</v>
      </c>
    </row>
    <row r="1012" spans="1:10" x14ac:dyDescent="0.25">
      <c r="A1012" s="2" t="s">
        <v>3032</v>
      </c>
      <c r="B1012" s="2" t="s">
        <v>3033</v>
      </c>
      <c r="C1012" s="2" t="s">
        <v>3034</v>
      </c>
      <c r="D1012" s="2" t="s">
        <v>10041</v>
      </c>
      <c r="E1012" s="15">
        <v>7.85E-2</v>
      </c>
      <c r="F1012" s="15">
        <v>4.0300000000000002E-2</v>
      </c>
      <c r="G1012" s="15">
        <v>5.1299999999999998E-2</v>
      </c>
      <c r="H1012" s="15">
        <v>0.21859999999999999</v>
      </c>
      <c r="I1012" s="15">
        <v>2.0299999999999999E-2</v>
      </c>
      <c r="J1012" s="15">
        <v>11.86528497409326</v>
      </c>
    </row>
    <row r="1013" spans="1:10" x14ac:dyDescent="0.25">
      <c r="A1013" s="2" t="s">
        <v>3035</v>
      </c>
      <c r="B1013" s="2" t="s">
        <v>3036</v>
      </c>
      <c r="C1013" s="2" t="s">
        <v>3037</v>
      </c>
      <c r="D1013" s="2" t="s">
        <v>10041</v>
      </c>
      <c r="E1013" s="15">
        <v>-1.5E-3</v>
      </c>
      <c r="F1013" s="15">
        <v>5.3199999999999997E-2</v>
      </c>
      <c r="G1013" s="15">
        <v>0.97729999999999995</v>
      </c>
      <c r="H1013" s="15">
        <v>0.12570000000000001</v>
      </c>
      <c r="I1013" s="15">
        <v>1.9400000000000001E-2</v>
      </c>
      <c r="J1013" s="15">
        <v>7.0468750000000009</v>
      </c>
    </row>
    <row r="1014" spans="1:10" x14ac:dyDescent="0.25">
      <c r="A1014" s="2" t="s">
        <v>3038</v>
      </c>
      <c r="B1014" s="2" t="s">
        <v>3039</v>
      </c>
      <c r="C1014" s="2" t="s">
        <v>3040</v>
      </c>
      <c r="D1014" s="2" t="s">
        <v>10041</v>
      </c>
      <c r="E1014" s="15">
        <v>-0.13980000000000001</v>
      </c>
      <c r="F1014" s="15">
        <v>4.58E-2</v>
      </c>
      <c r="G1014" s="15">
        <v>2.3E-3</v>
      </c>
      <c r="H1014" s="15">
        <v>0.13919999999999999</v>
      </c>
      <c r="I1014" s="15">
        <v>1.9199999999999998E-2</v>
      </c>
      <c r="J1014" s="15">
        <v>8</v>
      </c>
    </row>
    <row r="1015" spans="1:10" x14ac:dyDescent="0.25">
      <c r="A1015" s="2" t="s">
        <v>3041</v>
      </c>
      <c r="B1015" s="2" t="s">
        <v>3042</v>
      </c>
      <c r="C1015" s="2" t="s">
        <v>3043</v>
      </c>
      <c r="D1015" s="2" t="s">
        <v>10041</v>
      </c>
      <c r="E1015" s="15">
        <v>-2.5499999999999998E-2</v>
      </c>
      <c r="F1015" s="15">
        <v>5.6500000000000002E-2</v>
      </c>
      <c r="G1015" s="15">
        <v>0.65100000000000002</v>
      </c>
      <c r="H1015" s="15">
        <v>0.1043</v>
      </c>
      <c r="I1015" s="15">
        <v>1.6299999999999999E-2</v>
      </c>
      <c r="J1015" s="15">
        <v>6.9815950920245404</v>
      </c>
    </row>
    <row r="1016" spans="1:10" x14ac:dyDescent="0.25">
      <c r="A1016" s="2" t="s">
        <v>3044</v>
      </c>
      <c r="B1016" s="2" t="s">
        <v>3045</v>
      </c>
      <c r="C1016" s="2" t="s">
        <v>3046</v>
      </c>
      <c r="D1016" s="2" t="s">
        <v>10041</v>
      </c>
      <c r="E1016" s="15">
        <v>7.0900000000000005E-2</v>
      </c>
      <c r="F1016" s="15">
        <v>5.7700000000000001E-2</v>
      </c>
      <c r="G1016" s="15">
        <v>0.2195</v>
      </c>
      <c r="H1016" s="15">
        <v>0.1057</v>
      </c>
      <c r="I1016" s="15">
        <v>1.7299999999999999E-2</v>
      </c>
      <c r="J1016" s="15">
        <v>6.5266272189349106</v>
      </c>
    </row>
    <row r="1017" spans="1:10" x14ac:dyDescent="0.25">
      <c r="A1017" s="2" t="s">
        <v>3047</v>
      </c>
      <c r="B1017" s="2" t="s">
        <v>3048</v>
      </c>
      <c r="C1017" s="2" t="s">
        <v>3049</v>
      </c>
      <c r="D1017" s="2" t="s">
        <v>10041</v>
      </c>
      <c r="E1017" s="15">
        <v>3.8100000000000002E-2</v>
      </c>
      <c r="F1017" s="15">
        <v>7.5800000000000006E-2</v>
      </c>
      <c r="G1017" s="15">
        <v>0.61509999999999998</v>
      </c>
      <c r="H1017" s="15">
        <v>5.0999999999999997E-2</v>
      </c>
      <c r="I1017" s="15">
        <v>1.66E-2</v>
      </c>
      <c r="J1017" s="15">
        <v>3.0506329113924049</v>
      </c>
    </row>
    <row r="1018" spans="1:10" x14ac:dyDescent="0.25">
      <c r="A1018" s="2" t="s">
        <v>3050</v>
      </c>
      <c r="B1018" s="2" t="s">
        <v>3051</v>
      </c>
      <c r="C1018" s="2" t="s">
        <v>3052</v>
      </c>
      <c r="D1018" s="2" t="s">
        <v>10041</v>
      </c>
      <c r="E1018" s="15">
        <v>-0.14199999999999999</v>
      </c>
      <c r="F1018" s="15">
        <v>6.1100000000000002E-2</v>
      </c>
      <c r="G1018" s="15">
        <v>2.01E-2</v>
      </c>
      <c r="H1018" s="15">
        <v>0.1186</v>
      </c>
      <c r="I1018" s="15">
        <v>1.7500000000000002E-2</v>
      </c>
      <c r="J1018" s="15">
        <v>8.1279069767441872</v>
      </c>
    </row>
    <row r="1019" spans="1:10" x14ac:dyDescent="0.25">
      <c r="A1019" s="2" t="s">
        <v>3053</v>
      </c>
      <c r="B1019" s="2" t="s">
        <v>3054</v>
      </c>
      <c r="C1019" s="2" t="s">
        <v>3055</v>
      </c>
      <c r="D1019" s="2" t="s">
        <v>10041</v>
      </c>
      <c r="E1019" s="15">
        <v>-7.4099999999999999E-2</v>
      </c>
      <c r="F1019" s="15">
        <v>5.5E-2</v>
      </c>
      <c r="G1019" s="15">
        <v>0.17810000000000001</v>
      </c>
      <c r="H1019" s="15">
        <v>0.1328</v>
      </c>
      <c r="I1019" s="15">
        <v>1.8800000000000001E-2</v>
      </c>
      <c r="J1019" s="15">
        <v>7.6758241758241752</v>
      </c>
    </row>
    <row r="1020" spans="1:10" x14ac:dyDescent="0.25">
      <c r="A1020" s="2" t="s">
        <v>3056</v>
      </c>
      <c r="B1020" s="2" t="s">
        <v>3057</v>
      </c>
      <c r="C1020" s="2" t="s">
        <v>3058</v>
      </c>
      <c r="D1020" s="2" t="s">
        <v>10041</v>
      </c>
      <c r="E1020" s="15">
        <v>-5.04E-2</v>
      </c>
      <c r="F1020" s="15">
        <v>4.2599999999999999E-2</v>
      </c>
      <c r="G1020" s="15">
        <v>0.2364</v>
      </c>
      <c r="H1020" s="15">
        <v>0.1772</v>
      </c>
      <c r="I1020" s="15">
        <v>1.9300000000000001E-2</v>
      </c>
      <c r="J1020" s="15">
        <v>10.03783783783784</v>
      </c>
    </row>
    <row r="1021" spans="1:10" x14ac:dyDescent="0.25">
      <c r="A1021" s="2" t="s">
        <v>3059</v>
      </c>
      <c r="B1021" s="2" t="s">
        <v>3060</v>
      </c>
      <c r="C1021" s="2" t="s">
        <v>3061</v>
      </c>
      <c r="D1021" s="2" t="s">
        <v>10041</v>
      </c>
      <c r="E1021" s="15">
        <v>7.6E-3</v>
      </c>
      <c r="F1021" s="15">
        <v>5.3400000000000003E-2</v>
      </c>
      <c r="G1021" s="15">
        <v>0.88660000000000005</v>
      </c>
      <c r="H1021" s="15">
        <v>0.14399999999999999</v>
      </c>
      <c r="I1021" s="15">
        <v>1.9599999999999999E-2</v>
      </c>
      <c r="J1021" s="15">
        <v>8.5359116022099446</v>
      </c>
    </row>
    <row r="1022" spans="1:10" x14ac:dyDescent="0.25">
      <c r="A1022" s="2" t="s">
        <v>3062</v>
      </c>
      <c r="B1022" s="2" t="s">
        <v>3063</v>
      </c>
      <c r="C1022" s="2" t="s">
        <v>3064</v>
      </c>
      <c r="D1022" s="2" t="s">
        <v>10042</v>
      </c>
      <c r="E1022" s="15">
        <v>5.4699999999999999E-2</v>
      </c>
      <c r="F1022" s="15">
        <v>4.2900000000000001E-2</v>
      </c>
      <c r="G1022" s="15">
        <v>0.20230000000000001</v>
      </c>
      <c r="H1022" s="15">
        <v>0.21060000000000001</v>
      </c>
      <c r="I1022" s="15">
        <v>2.1499999999999998E-2</v>
      </c>
      <c r="J1022" s="15">
        <v>10.018957345971559</v>
      </c>
    </row>
    <row r="1023" spans="1:10" x14ac:dyDescent="0.25">
      <c r="A1023" s="2" t="s">
        <v>3065</v>
      </c>
      <c r="B1023" s="2" t="s">
        <v>3066</v>
      </c>
      <c r="C1023" s="2" t="s">
        <v>3067</v>
      </c>
      <c r="D1023" s="2" t="s">
        <v>10042</v>
      </c>
      <c r="E1023" s="15">
        <v>4.1300000000000003E-2</v>
      </c>
      <c r="F1023" s="15">
        <v>5.2900000000000003E-2</v>
      </c>
      <c r="G1023" s="15">
        <v>0.43440000000000001</v>
      </c>
      <c r="H1023" s="15">
        <v>0.1137</v>
      </c>
      <c r="I1023" s="15">
        <v>1.83E-2</v>
      </c>
      <c r="J1023" s="15">
        <v>6.4316939890710394</v>
      </c>
    </row>
    <row r="1024" spans="1:10" x14ac:dyDescent="0.25">
      <c r="A1024" s="2" t="s">
        <v>3068</v>
      </c>
      <c r="B1024" s="2" t="s">
        <v>3069</v>
      </c>
      <c r="C1024" s="2" t="s">
        <v>3070</v>
      </c>
      <c r="D1024" s="2" t="s">
        <v>10042</v>
      </c>
      <c r="E1024" s="15">
        <v>-3.8399999999999997E-2</v>
      </c>
      <c r="F1024" s="15">
        <v>5.5800000000000002E-2</v>
      </c>
      <c r="G1024" s="15">
        <v>0.49159999999999998</v>
      </c>
      <c r="H1024" s="15">
        <v>9.2899999999999996E-2</v>
      </c>
      <c r="I1024" s="15">
        <v>1.67E-2</v>
      </c>
      <c r="J1024" s="15">
        <v>5.75</v>
      </c>
    </row>
    <row r="1025" spans="1:10" x14ac:dyDescent="0.25">
      <c r="A1025" s="2" t="s">
        <v>3071</v>
      </c>
      <c r="B1025" s="2" t="s">
        <v>3072</v>
      </c>
      <c r="C1025" s="2" t="s">
        <v>3073</v>
      </c>
      <c r="D1025" s="2" t="s">
        <v>10042</v>
      </c>
      <c r="E1025" s="15">
        <v>3.9800000000000002E-2</v>
      </c>
      <c r="F1025" s="15">
        <v>4.6600000000000003E-2</v>
      </c>
      <c r="G1025" s="15">
        <v>0.39300000000000002</v>
      </c>
      <c r="H1025" s="15">
        <v>0.19900000000000001</v>
      </c>
      <c r="I1025" s="15">
        <v>2.0299999999999999E-2</v>
      </c>
      <c r="J1025" s="15">
        <v>10.23232323232323</v>
      </c>
    </row>
    <row r="1026" spans="1:10" x14ac:dyDescent="0.25">
      <c r="A1026" s="2" t="s">
        <v>3074</v>
      </c>
      <c r="B1026" s="2" t="s">
        <v>3075</v>
      </c>
      <c r="C1026" s="2" t="s">
        <v>3076</v>
      </c>
      <c r="D1026" s="2" t="s">
        <v>10042</v>
      </c>
      <c r="E1026" s="15">
        <v>5.3800000000000001E-2</v>
      </c>
      <c r="F1026" s="15">
        <v>4.3499999999999997E-2</v>
      </c>
      <c r="G1026" s="15">
        <v>0.21609999999999999</v>
      </c>
      <c r="H1026" s="15">
        <v>0.183</v>
      </c>
      <c r="I1026" s="15">
        <v>1.8599999999999998E-2</v>
      </c>
      <c r="J1026" s="15">
        <v>11.040229885057469</v>
      </c>
    </row>
    <row r="1027" spans="1:10" x14ac:dyDescent="0.25">
      <c r="A1027" s="2" t="s">
        <v>3077</v>
      </c>
      <c r="B1027" s="2" t="s">
        <v>3078</v>
      </c>
      <c r="C1027" s="2" t="s">
        <v>3079</v>
      </c>
      <c r="D1027" s="2" t="s">
        <v>10042</v>
      </c>
      <c r="E1027" s="15">
        <v>3.9300000000000002E-2</v>
      </c>
      <c r="F1027" s="15">
        <v>5.4800000000000001E-2</v>
      </c>
      <c r="G1027" s="15">
        <v>0.47339999999999999</v>
      </c>
      <c r="H1027" s="15">
        <v>9.3100000000000002E-2</v>
      </c>
      <c r="I1027" s="15">
        <v>1.54E-2</v>
      </c>
      <c r="J1027" s="15">
        <v>6.1698113207547172</v>
      </c>
    </row>
    <row r="1028" spans="1:10" x14ac:dyDescent="0.25">
      <c r="A1028" s="2" t="s">
        <v>3080</v>
      </c>
      <c r="B1028" s="2" t="s">
        <v>3081</v>
      </c>
      <c r="C1028" s="2" t="s">
        <v>3082</v>
      </c>
      <c r="D1028" s="2" t="s">
        <v>10042</v>
      </c>
      <c r="E1028" s="15">
        <v>-5.4999999999999997E-3</v>
      </c>
      <c r="F1028" s="15">
        <v>5.3600000000000002E-2</v>
      </c>
      <c r="G1028" s="15">
        <v>0.91830000000000001</v>
      </c>
      <c r="H1028" s="15">
        <v>0.15409999999999999</v>
      </c>
      <c r="I1028" s="15">
        <v>2.1499999999999998E-2</v>
      </c>
      <c r="J1028" s="15">
        <v>7.5637254901960773</v>
      </c>
    </row>
    <row r="1029" spans="1:10" x14ac:dyDescent="0.25">
      <c r="A1029" s="2" t="s">
        <v>3083</v>
      </c>
      <c r="B1029" s="2" t="s">
        <v>3084</v>
      </c>
      <c r="C1029" s="2" t="s">
        <v>3085</v>
      </c>
      <c r="D1029" s="2" t="s">
        <v>10042</v>
      </c>
      <c r="E1029" s="15">
        <v>5.16E-2</v>
      </c>
      <c r="F1029" s="15">
        <v>4.48E-2</v>
      </c>
      <c r="G1029" s="15">
        <v>0.24929999999999999</v>
      </c>
      <c r="H1029" s="15">
        <v>0.20219999999999999</v>
      </c>
      <c r="I1029" s="15">
        <v>2.12E-2</v>
      </c>
      <c r="J1029" s="15">
        <v>9.77832512315271</v>
      </c>
    </row>
    <row r="1030" spans="1:10" x14ac:dyDescent="0.25">
      <c r="A1030" s="2" t="s">
        <v>3086</v>
      </c>
      <c r="B1030" s="2" t="s">
        <v>3087</v>
      </c>
      <c r="C1030" s="2" t="s">
        <v>3088</v>
      </c>
      <c r="D1030" s="2" t="s">
        <v>10042</v>
      </c>
      <c r="E1030" s="15">
        <v>1.37E-2</v>
      </c>
      <c r="F1030" s="15">
        <v>5.4800000000000001E-2</v>
      </c>
      <c r="G1030" s="15">
        <v>0.80269999999999997</v>
      </c>
      <c r="H1030" s="15">
        <v>0.13750000000000001</v>
      </c>
      <c r="I1030" s="15">
        <v>1.8200000000000001E-2</v>
      </c>
      <c r="J1030" s="15">
        <v>7.6011904761904772</v>
      </c>
    </row>
    <row r="1031" spans="1:10" x14ac:dyDescent="0.25">
      <c r="A1031" s="2" t="s">
        <v>3089</v>
      </c>
      <c r="B1031" s="2" t="s">
        <v>3090</v>
      </c>
      <c r="C1031" s="2" t="s">
        <v>3091</v>
      </c>
      <c r="D1031" s="2" t="s">
        <v>10042</v>
      </c>
      <c r="E1031" s="15">
        <v>3.1600000000000003E-2</v>
      </c>
      <c r="F1031" s="15">
        <v>4.6699999999999998E-2</v>
      </c>
      <c r="G1031" s="15">
        <v>0.498</v>
      </c>
      <c r="H1031" s="15">
        <v>0.18779999999999999</v>
      </c>
      <c r="I1031" s="15">
        <v>2.1100000000000001E-2</v>
      </c>
      <c r="J1031" s="15">
        <v>9.4897959183673475</v>
      </c>
    </row>
    <row r="1032" spans="1:10" x14ac:dyDescent="0.25">
      <c r="A1032" s="2" t="s">
        <v>3092</v>
      </c>
      <c r="B1032" s="2" t="s">
        <v>3093</v>
      </c>
      <c r="C1032" s="2" t="s">
        <v>3094</v>
      </c>
      <c r="D1032" s="2" t="s">
        <v>10042</v>
      </c>
      <c r="E1032" s="15">
        <v>8.3099999999999993E-2</v>
      </c>
      <c r="F1032" s="15">
        <v>4.2599999999999999E-2</v>
      </c>
      <c r="G1032" s="15">
        <v>5.1200000000000002E-2</v>
      </c>
      <c r="H1032" s="15">
        <v>0.1701</v>
      </c>
      <c r="I1032" s="15">
        <v>1.9599999999999999E-2</v>
      </c>
      <c r="J1032" s="15">
        <v>9.4331550802139024</v>
      </c>
    </row>
    <row r="1033" spans="1:10" x14ac:dyDescent="0.25">
      <c r="A1033" s="2" t="s">
        <v>3095</v>
      </c>
      <c r="B1033" s="2" t="s">
        <v>3096</v>
      </c>
      <c r="C1033" s="2" t="s">
        <v>3097</v>
      </c>
      <c r="D1033" s="2" t="s">
        <v>10042</v>
      </c>
      <c r="E1033" s="15">
        <v>5.5500000000000001E-2</v>
      </c>
      <c r="F1033" s="15">
        <v>5.7200000000000001E-2</v>
      </c>
      <c r="G1033" s="15">
        <v>0.33179999999999998</v>
      </c>
      <c r="H1033" s="15">
        <v>0.1123</v>
      </c>
      <c r="I1033" s="15">
        <v>1.4999999999999999E-2</v>
      </c>
      <c r="J1033" s="15">
        <v>7.6410256410256414</v>
      </c>
    </row>
    <row r="1034" spans="1:10" x14ac:dyDescent="0.25">
      <c r="A1034" s="2" t="s">
        <v>3098</v>
      </c>
      <c r="B1034" s="2" t="s">
        <v>3099</v>
      </c>
      <c r="C1034" s="2" t="s">
        <v>3100</v>
      </c>
      <c r="D1034" s="2" t="s">
        <v>10042</v>
      </c>
      <c r="E1034" s="15">
        <v>3.7000000000000002E-3</v>
      </c>
      <c r="F1034" s="15">
        <v>4.9399999999999999E-2</v>
      </c>
      <c r="G1034" s="15">
        <v>0.94099999999999995</v>
      </c>
      <c r="H1034" s="15">
        <v>0.17879999999999999</v>
      </c>
      <c r="I1034" s="15">
        <v>2.0199999999999999E-2</v>
      </c>
      <c r="J1034" s="15">
        <v>9.5670103092783503</v>
      </c>
    </row>
    <row r="1035" spans="1:10" x14ac:dyDescent="0.25">
      <c r="A1035" s="2" t="s">
        <v>3101</v>
      </c>
      <c r="B1035" s="2" t="s">
        <v>3102</v>
      </c>
      <c r="C1035" s="2" t="s">
        <v>3103</v>
      </c>
      <c r="D1035" s="2" t="s">
        <v>10042</v>
      </c>
      <c r="E1035" s="15">
        <v>5.5300000000000002E-2</v>
      </c>
      <c r="F1035" s="15">
        <v>6.0900000000000003E-2</v>
      </c>
      <c r="G1035" s="15">
        <v>0.36459999999999998</v>
      </c>
      <c r="H1035" s="15">
        <v>9.8100000000000007E-2</v>
      </c>
      <c r="I1035" s="15">
        <v>1.9800000000000002E-2</v>
      </c>
      <c r="J1035" s="15">
        <v>5.9193548387096779</v>
      </c>
    </row>
    <row r="1036" spans="1:10" x14ac:dyDescent="0.25">
      <c r="A1036" s="2" t="s">
        <v>3104</v>
      </c>
      <c r="B1036" s="2" t="s">
        <v>3105</v>
      </c>
      <c r="C1036" s="2" t="s">
        <v>3106</v>
      </c>
      <c r="D1036" s="2" t="s">
        <v>10042</v>
      </c>
      <c r="E1036" s="15">
        <v>1.8499999999999999E-2</v>
      </c>
      <c r="F1036" s="15">
        <v>4.8899999999999999E-2</v>
      </c>
      <c r="G1036" s="15">
        <v>0.70540000000000003</v>
      </c>
      <c r="H1036" s="15">
        <v>0.13500000000000001</v>
      </c>
      <c r="I1036" s="15">
        <v>1.7999999999999999E-2</v>
      </c>
      <c r="J1036" s="15">
        <v>7.6000000000000014</v>
      </c>
    </row>
    <row r="1037" spans="1:10" x14ac:dyDescent="0.25">
      <c r="A1037" s="2" t="s">
        <v>3107</v>
      </c>
      <c r="B1037" s="2" t="s">
        <v>3108</v>
      </c>
      <c r="C1037" s="2" t="s">
        <v>3109</v>
      </c>
      <c r="D1037" s="2" t="s">
        <v>10042</v>
      </c>
      <c r="E1037" s="15">
        <v>6.0000000000000001E-3</v>
      </c>
      <c r="F1037" s="15">
        <v>0.05</v>
      </c>
      <c r="G1037" s="15">
        <v>0.90429999999999999</v>
      </c>
      <c r="H1037" s="15">
        <v>0.1731</v>
      </c>
      <c r="I1037" s="15">
        <v>1.9099999999999999E-2</v>
      </c>
      <c r="J1037" s="15">
        <v>9.621052631578948</v>
      </c>
    </row>
    <row r="1038" spans="1:10" x14ac:dyDescent="0.25">
      <c r="A1038" s="2" t="s">
        <v>3110</v>
      </c>
      <c r="B1038" s="2" t="s">
        <v>3111</v>
      </c>
      <c r="C1038" s="2" t="s">
        <v>3112</v>
      </c>
      <c r="D1038" s="2" t="s">
        <v>10042</v>
      </c>
      <c r="E1038" s="15">
        <v>4.1799999999999997E-2</v>
      </c>
      <c r="F1038" s="15">
        <v>3.9800000000000002E-2</v>
      </c>
      <c r="G1038" s="15">
        <v>0.29360000000000003</v>
      </c>
      <c r="H1038" s="15">
        <v>0.21879999999999999</v>
      </c>
      <c r="I1038" s="15">
        <v>2.3599999999999999E-2</v>
      </c>
      <c r="J1038" s="15">
        <v>9.4848484848484844</v>
      </c>
    </row>
    <row r="1039" spans="1:10" x14ac:dyDescent="0.25">
      <c r="A1039" s="2" t="s">
        <v>3113</v>
      </c>
      <c r="B1039" s="2" t="s">
        <v>3114</v>
      </c>
      <c r="C1039" s="2" t="s">
        <v>3115</v>
      </c>
      <c r="D1039" s="2" t="s">
        <v>10042</v>
      </c>
      <c r="E1039" s="15">
        <v>7.3400000000000007E-2</v>
      </c>
      <c r="F1039" s="15">
        <v>4.8000000000000001E-2</v>
      </c>
      <c r="G1039" s="15">
        <v>0.126</v>
      </c>
      <c r="H1039" s="15">
        <v>0.16200000000000001</v>
      </c>
      <c r="I1039" s="15">
        <v>1.83E-2</v>
      </c>
      <c r="J1039" s="15">
        <v>8.9312169312169321</v>
      </c>
    </row>
    <row r="1040" spans="1:10" x14ac:dyDescent="0.25">
      <c r="A1040" s="2" t="s">
        <v>3116</v>
      </c>
      <c r="B1040" s="2" t="s">
        <v>3117</v>
      </c>
      <c r="C1040" s="2" t="s">
        <v>3118</v>
      </c>
      <c r="D1040" s="2" t="s">
        <v>10042</v>
      </c>
      <c r="E1040" s="15">
        <v>5.0000000000000001E-4</v>
      </c>
      <c r="F1040" s="15">
        <v>6.3299999999999995E-2</v>
      </c>
      <c r="G1040" s="15">
        <v>0.99370000000000003</v>
      </c>
      <c r="H1040" s="15">
        <v>8.6599999999999996E-2</v>
      </c>
      <c r="I1040" s="15">
        <v>1.66E-2</v>
      </c>
      <c r="J1040" s="15">
        <v>5.6838709677419352</v>
      </c>
    </row>
    <row r="1041" spans="1:10" x14ac:dyDescent="0.25">
      <c r="A1041" s="2" t="s">
        <v>3119</v>
      </c>
      <c r="B1041" s="2" t="s">
        <v>3120</v>
      </c>
      <c r="C1041" s="2" t="s">
        <v>3121</v>
      </c>
      <c r="D1041" s="2" t="s">
        <v>10042</v>
      </c>
      <c r="E1041" s="15">
        <v>3.44E-2</v>
      </c>
      <c r="F1041" s="15">
        <v>4.99E-2</v>
      </c>
      <c r="G1041" s="15">
        <v>0.4904</v>
      </c>
      <c r="H1041" s="15">
        <v>0.15690000000000001</v>
      </c>
      <c r="I1041" s="15">
        <v>1.7299999999999999E-2</v>
      </c>
      <c r="J1041" s="15">
        <v>8.8362573099415211</v>
      </c>
    </row>
    <row r="1042" spans="1:10" x14ac:dyDescent="0.25">
      <c r="A1042" s="2" t="s">
        <v>3122</v>
      </c>
      <c r="B1042" s="2" t="s">
        <v>3123</v>
      </c>
      <c r="C1042" s="2" t="s">
        <v>3124</v>
      </c>
      <c r="D1042" s="2" t="s">
        <v>10042</v>
      </c>
      <c r="E1042" s="15">
        <v>4.2299999999999997E-2</v>
      </c>
      <c r="F1042" s="15">
        <v>4.7800000000000002E-2</v>
      </c>
      <c r="G1042" s="15">
        <v>0.376</v>
      </c>
      <c r="H1042" s="15">
        <v>0.1234</v>
      </c>
      <c r="I1042" s="15">
        <v>1.6899999999999998E-2</v>
      </c>
      <c r="J1042" s="15">
        <v>7.5975609756097553</v>
      </c>
    </row>
    <row r="1043" spans="1:10" x14ac:dyDescent="0.25">
      <c r="A1043" s="2" t="s">
        <v>3125</v>
      </c>
      <c r="B1043" s="2" t="s">
        <v>3126</v>
      </c>
      <c r="C1043" s="2" t="s">
        <v>3127</v>
      </c>
      <c r="D1043" s="2" t="s">
        <v>10042</v>
      </c>
      <c r="E1043" s="15">
        <v>7.6700000000000004E-2</v>
      </c>
      <c r="F1043" s="15">
        <v>4.4600000000000001E-2</v>
      </c>
      <c r="G1043" s="15">
        <v>8.5699999999999998E-2</v>
      </c>
      <c r="H1043" s="15">
        <v>0.17299999999999999</v>
      </c>
      <c r="I1043" s="15">
        <v>1.8499999999999999E-2</v>
      </c>
      <c r="J1043" s="15">
        <v>9.6825396825396819</v>
      </c>
    </row>
    <row r="1044" spans="1:10" x14ac:dyDescent="0.25">
      <c r="A1044" s="2" t="s">
        <v>3128</v>
      </c>
      <c r="B1044" s="2" t="s">
        <v>3129</v>
      </c>
      <c r="C1044" s="2" t="s">
        <v>3130</v>
      </c>
      <c r="D1044" s="2" t="s">
        <v>10042</v>
      </c>
      <c r="E1044" s="15">
        <v>4.9399999999999999E-2</v>
      </c>
      <c r="F1044" s="15">
        <v>4.8800000000000003E-2</v>
      </c>
      <c r="G1044" s="15">
        <v>0.31109999999999999</v>
      </c>
      <c r="H1044" s="15">
        <v>0.12759999999999999</v>
      </c>
      <c r="I1044" s="15">
        <v>1.8599999999999998E-2</v>
      </c>
      <c r="J1044" s="15">
        <v>7.6104651162790704</v>
      </c>
    </row>
    <row r="1045" spans="1:10" x14ac:dyDescent="0.25">
      <c r="A1045" s="2" t="s">
        <v>3131</v>
      </c>
      <c r="B1045" s="2" t="s">
        <v>3132</v>
      </c>
      <c r="C1045" s="2" t="s">
        <v>3133</v>
      </c>
      <c r="D1045" s="2" t="s">
        <v>10042</v>
      </c>
      <c r="E1045" s="15">
        <v>5.7099999999999998E-2</v>
      </c>
      <c r="F1045" s="15">
        <v>4.0599999999999997E-2</v>
      </c>
      <c r="G1045" s="15">
        <v>0.15970000000000001</v>
      </c>
      <c r="H1045" s="15">
        <v>0.19370000000000001</v>
      </c>
      <c r="I1045" s="15">
        <v>2.2800000000000001E-2</v>
      </c>
      <c r="J1045" s="15">
        <v>8.9151785714285712</v>
      </c>
    </row>
    <row r="1046" spans="1:10" x14ac:dyDescent="0.25">
      <c r="A1046" s="2" t="s">
        <v>3134</v>
      </c>
      <c r="B1046" s="2" t="s">
        <v>3135</v>
      </c>
      <c r="C1046" s="2" t="s">
        <v>3136</v>
      </c>
      <c r="D1046" s="2" t="s">
        <v>10042</v>
      </c>
      <c r="E1046" s="15">
        <v>7.5499999999999998E-2</v>
      </c>
      <c r="F1046" s="15">
        <v>4.2500000000000003E-2</v>
      </c>
      <c r="G1046" s="15">
        <v>7.5600000000000001E-2</v>
      </c>
      <c r="H1046" s="15">
        <v>0.20480000000000001</v>
      </c>
      <c r="I1046" s="15">
        <v>1.9599999999999999E-2</v>
      </c>
      <c r="J1046" s="15">
        <v>10.26237623762376</v>
      </c>
    </row>
    <row r="1047" spans="1:10" x14ac:dyDescent="0.25">
      <c r="A1047" s="2" t="s">
        <v>3137</v>
      </c>
      <c r="B1047" s="2" t="s">
        <v>3138</v>
      </c>
      <c r="C1047" s="2" t="s">
        <v>3139</v>
      </c>
      <c r="D1047" s="2" t="s">
        <v>10042</v>
      </c>
      <c r="E1047" s="15">
        <v>-3.3537000000000001E-5</v>
      </c>
      <c r="F1047" s="15">
        <v>5.9400000000000001E-2</v>
      </c>
      <c r="G1047" s="15">
        <v>0.99950000000000006</v>
      </c>
      <c r="H1047" s="15">
        <v>0.1176</v>
      </c>
      <c r="I1047" s="15">
        <v>1.66E-2</v>
      </c>
      <c r="J1047" s="15">
        <v>7.5421686746987957</v>
      </c>
    </row>
    <row r="1048" spans="1:10" x14ac:dyDescent="0.25">
      <c r="A1048" s="2" t="s">
        <v>3140</v>
      </c>
      <c r="B1048" s="2" t="s">
        <v>3141</v>
      </c>
      <c r="C1048" s="2" t="s">
        <v>3142</v>
      </c>
      <c r="D1048" s="2" t="s">
        <v>10042</v>
      </c>
      <c r="E1048" s="15">
        <v>6.3299999999999995E-2</v>
      </c>
      <c r="F1048" s="15">
        <v>4.58E-2</v>
      </c>
      <c r="G1048" s="15">
        <v>0.1668</v>
      </c>
      <c r="H1048" s="15">
        <v>0.20080000000000001</v>
      </c>
      <c r="I1048" s="15">
        <v>2.0400000000000001E-2</v>
      </c>
      <c r="J1048" s="15">
        <v>10.69430051813471</v>
      </c>
    </row>
    <row r="1049" spans="1:10" x14ac:dyDescent="0.25">
      <c r="A1049" s="2" t="s">
        <v>3143</v>
      </c>
      <c r="B1049" s="2" t="s">
        <v>3144</v>
      </c>
      <c r="C1049" s="2" t="s">
        <v>3145</v>
      </c>
      <c r="D1049" s="2" t="s">
        <v>10042</v>
      </c>
      <c r="E1049" s="15">
        <v>4.4699999999999997E-2</v>
      </c>
      <c r="F1049" s="15">
        <v>4.3700000000000003E-2</v>
      </c>
      <c r="G1049" s="15">
        <v>0.30570000000000003</v>
      </c>
      <c r="H1049" s="15">
        <v>0.2152</v>
      </c>
      <c r="I1049" s="15">
        <v>2.3199999999999998E-2</v>
      </c>
      <c r="J1049" s="15">
        <v>9.7578475336322867</v>
      </c>
    </row>
    <row r="1050" spans="1:10" x14ac:dyDescent="0.25">
      <c r="A1050" s="2" t="s">
        <v>3146</v>
      </c>
      <c r="B1050" s="2" t="s">
        <v>3147</v>
      </c>
      <c r="C1050" s="2" t="s">
        <v>3148</v>
      </c>
      <c r="D1050" s="2" t="s">
        <v>10042</v>
      </c>
      <c r="E1050" s="15">
        <v>9.6299999999999997E-2</v>
      </c>
      <c r="F1050" s="15">
        <v>4.5100000000000001E-2</v>
      </c>
      <c r="G1050" s="15">
        <v>3.2599999999999997E-2</v>
      </c>
      <c r="H1050" s="15">
        <v>0.2112</v>
      </c>
      <c r="I1050" s="15">
        <v>2.0199999999999999E-2</v>
      </c>
      <c r="J1050" s="15">
        <v>10.570707070707069</v>
      </c>
    </row>
    <row r="1051" spans="1:10" x14ac:dyDescent="0.25">
      <c r="A1051" s="2" t="s">
        <v>3149</v>
      </c>
      <c r="B1051" s="2" t="s">
        <v>3150</v>
      </c>
      <c r="C1051" s="2" t="s">
        <v>3151</v>
      </c>
      <c r="D1051" s="2" t="s">
        <v>10042</v>
      </c>
      <c r="E1051" s="15">
        <v>4.6699999999999998E-2</v>
      </c>
      <c r="F1051" s="15">
        <v>4.5999999999999999E-2</v>
      </c>
      <c r="G1051" s="15">
        <v>0.31009999999999999</v>
      </c>
      <c r="H1051" s="15">
        <v>0.18509999999999999</v>
      </c>
      <c r="I1051" s="15">
        <v>1.9699999999999999E-2</v>
      </c>
      <c r="J1051" s="15">
        <v>9.4947916666666679</v>
      </c>
    </row>
    <row r="1052" spans="1:10" x14ac:dyDescent="0.25">
      <c r="A1052" s="2" t="s">
        <v>3152</v>
      </c>
      <c r="B1052" s="2" t="s">
        <v>3153</v>
      </c>
      <c r="C1052" s="2" t="s">
        <v>3154</v>
      </c>
      <c r="D1052" s="2" t="s">
        <v>10042</v>
      </c>
      <c r="E1052" s="15">
        <v>9.7000000000000003E-3</v>
      </c>
      <c r="F1052" s="15">
        <v>4.2099999999999999E-2</v>
      </c>
      <c r="G1052" s="15">
        <v>0.8175</v>
      </c>
      <c r="H1052" s="15">
        <v>0.20860000000000001</v>
      </c>
      <c r="I1052" s="15">
        <v>2.63E-2</v>
      </c>
      <c r="J1052" s="15">
        <v>8.4444444444444446</v>
      </c>
    </row>
    <row r="1053" spans="1:10" x14ac:dyDescent="0.25">
      <c r="A1053" s="2" t="s">
        <v>3155</v>
      </c>
      <c r="B1053" s="2" t="s">
        <v>3156</v>
      </c>
      <c r="C1053" s="2" t="s">
        <v>3157</v>
      </c>
      <c r="D1053" s="2" t="s">
        <v>10042</v>
      </c>
      <c r="E1053" s="15">
        <v>4.6399999999999997E-2</v>
      </c>
      <c r="F1053" s="15">
        <v>6.6500000000000004E-2</v>
      </c>
      <c r="G1053" s="15">
        <v>0.48459999999999998</v>
      </c>
      <c r="H1053" s="15">
        <v>7.7799999999999994E-2</v>
      </c>
      <c r="I1053" s="15">
        <v>1.5599999999999999E-2</v>
      </c>
      <c r="J1053" s="15">
        <v>5.3310810810810807</v>
      </c>
    </row>
    <row r="1054" spans="1:10" x14ac:dyDescent="0.25">
      <c r="A1054" s="2" t="s">
        <v>3158</v>
      </c>
      <c r="B1054" s="2" t="s">
        <v>3159</v>
      </c>
      <c r="C1054" s="2" t="s">
        <v>3160</v>
      </c>
      <c r="D1054" s="2" t="s">
        <v>10042</v>
      </c>
      <c r="E1054" s="15">
        <v>3.0200000000000001E-2</v>
      </c>
      <c r="F1054" s="15">
        <v>4.82E-2</v>
      </c>
      <c r="G1054" s="15">
        <v>0.53159999999999996</v>
      </c>
      <c r="H1054" s="15">
        <v>0.16980000000000001</v>
      </c>
      <c r="I1054" s="15">
        <v>2.0299999999999999E-2</v>
      </c>
      <c r="J1054" s="15">
        <v>9.036082474226804</v>
      </c>
    </row>
    <row r="1055" spans="1:10" x14ac:dyDescent="0.25">
      <c r="A1055" s="2" t="s">
        <v>3161</v>
      </c>
      <c r="B1055" s="2" t="s">
        <v>3162</v>
      </c>
      <c r="C1055" s="2" t="s">
        <v>3163</v>
      </c>
      <c r="D1055" s="2" t="s">
        <v>10042</v>
      </c>
      <c r="E1055" s="15">
        <v>5.8799999999999998E-2</v>
      </c>
      <c r="F1055" s="15">
        <v>5.3600000000000002E-2</v>
      </c>
      <c r="G1055" s="15">
        <v>0.27310000000000001</v>
      </c>
      <c r="H1055" s="15">
        <v>0.1371</v>
      </c>
      <c r="I1055" s="15">
        <v>2.1000000000000001E-2</v>
      </c>
      <c r="J1055" s="15">
        <v>6.9381443298969074</v>
      </c>
    </row>
    <row r="1056" spans="1:10" x14ac:dyDescent="0.25">
      <c r="A1056" s="2" t="s">
        <v>3164</v>
      </c>
      <c r="B1056" s="2" t="s">
        <v>3165</v>
      </c>
      <c r="C1056" s="2" t="s">
        <v>3166</v>
      </c>
      <c r="D1056" s="2" t="s">
        <v>10042</v>
      </c>
      <c r="E1056" s="15">
        <v>7.9100000000000004E-2</v>
      </c>
      <c r="F1056" s="15">
        <v>4.41E-2</v>
      </c>
      <c r="G1056" s="15">
        <v>7.2599999999999998E-2</v>
      </c>
      <c r="H1056" s="15">
        <v>0.22450000000000001</v>
      </c>
      <c r="I1056" s="15">
        <v>2.29E-2</v>
      </c>
      <c r="J1056" s="15">
        <v>9.7554585152838413</v>
      </c>
    </row>
    <row r="1057" spans="1:10" x14ac:dyDescent="0.25">
      <c r="A1057" s="2" t="s">
        <v>3167</v>
      </c>
      <c r="B1057" s="2" t="s">
        <v>3168</v>
      </c>
      <c r="C1057" s="2" t="s">
        <v>3169</v>
      </c>
      <c r="D1057" s="2" t="s">
        <v>10042</v>
      </c>
      <c r="E1057" s="15">
        <v>1.6299999999999999E-2</v>
      </c>
      <c r="F1057" s="15">
        <v>5.0700000000000002E-2</v>
      </c>
      <c r="G1057" s="15">
        <v>0.74729999999999996</v>
      </c>
      <c r="H1057" s="15">
        <v>0.13100000000000001</v>
      </c>
      <c r="I1057" s="15">
        <v>1.7999999999999999E-2</v>
      </c>
      <c r="J1057" s="15">
        <v>7.5054347826086962</v>
      </c>
    </row>
    <row r="1058" spans="1:10" x14ac:dyDescent="0.25">
      <c r="A1058" s="2" t="s">
        <v>3170</v>
      </c>
      <c r="B1058" s="2" t="s">
        <v>3171</v>
      </c>
      <c r="C1058" s="2" t="s">
        <v>3172</v>
      </c>
      <c r="D1058" s="2" t="s">
        <v>10042</v>
      </c>
      <c r="E1058" s="15">
        <v>4.87E-2</v>
      </c>
      <c r="F1058" s="15">
        <v>5.6300000000000003E-2</v>
      </c>
      <c r="G1058" s="15">
        <v>0.38679999999999998</v>
      </c>
      <c r="H1058" s="15">
        <v>9.9599999999999994E-2</v>
      </c>
      <c r="I1058" s="15">
        <v>1.6299999999999999E-2</v>
      </c>
      <c r="J1058" s="15">
        <v>6.5714285714285721</v>
      </c>
    </row>
    <row r="1059" spans="1:10" x14ac:dyDescent="0.25">
      <c r="A1059" s="2" t="s">
        <v>3173</v>
      </c>
      <c r="B1059" s="2" t="s">
        <v>3174</v>
      </c>
      <c r="C1059" s="2" t="s">
        <v>3175</v>
      </c>
      <c r="D1059" s="2" t="s">
        <v>10042</v>
      </c>
      <c r="E1059" s="15">
        <v>8.5199999999999998E-2</v>
      </c>
      <c r="F1059" s="15">
        <v>4.7500000000000001E-2</v>
      </c>
      <c r="G1059" s="15">
        <v>7.3200000000000001E-2</v>
      </c>
      <c r="H1059" s="15">
        <v>0.17380000000000001</v>
      </c>
      <c r="I1059" s="15">
        <v>2.0199999999999999E-2</v>
      </c>
      <c r="J1059" s="15">
        <v>9.4381443298969074</v>
      </c>
    </row>
    <row r="1060" spans="1:10" x14ac:dyDescent="0.25">
      <c r="A1060" s="2" t="s">
        <v>3176</v>
      </c>
      <c r="B1060" s="2" t="s">
        <v>3177</v>
      </c>
      <c r="C1060" s="2" t="s">
        <v>3178</v>
      </c>
      <c r="D1060" s="2" t="s">
        <v>10042</v>
      </c>
      <c r="E1060" s="15">
        <v>0.1003</v>
      </c>
      <c r="F1060" s="15">
        <v>4.7100000000000003E-2</v>
      </c>
      <c r="G1060" s="15">
        <v>3.3099999999999997E-2</v>
      </c>
      <c r="H1060" s="15">
        <v>0.17150000000000001</v>
      </c>
      <c r="I1060" s="15">
        <v>2.0400000000000001E-2</v>
      </c>
      <c r="J1060" s="15">
        <v>9.4385026737967905</v>
      </c>
    </row>
    <row r="1061" spans="1:10" x14ac:dyDescent="0.25">
      <c r="A1061" s="2" t="s">
        <v>3179</v>
      </c>
      <c r="B1061" s="2" t="s">
        <v>3180</v>
      </c>
      <c r="C1061" s="2" t="s">
        <v>3181</v>
      </c>
      <c r="D1061" s="2" t="s">
        <v>10042</v>
      </c>
      <c r="E1061" s="15">
        <v>4.6300000000000001E-2</v>
      </c>
      <c r="F1061" s="15">
        <v>6.9099999999999995E-2</v>
      </c>
      <c r="G1061" s="15">
        <v>0.50270000000000004</v>
      </c>
      <c r="H1061" s="15">
        <v>6.4000000000000001E-2</v>
      </c>
      <c r="I1061" s="15">
        <v>1.6E-2</v>
      </c>
      <c r="J1061" s="15">
        <v>3.9629629629629628</v>
      </c>
    </row>
    <row r="1062" spans="1:10" x14ac:dyDescent="0.25">
      <c r="A1062" s="2" t="s">
        <v>3182</v>
      </c>
      <c r="B1062" s="2" t="s">
        <v>3183</v>
      </c>
      <c r="C1062" s="2" t="s">
        <v>3184</v>
      </c>
      <c r="D1062" s="2" t="s">
        <v>10042</v>
      </c>
      <c r="E1062" s="15">
        <v>8.9399999999999993E-2</v>
      </c>
      <c r="F1062" s="15">
        <v>5.0700000000000002E-2</v>
      </c>
      <c r="G1062" s="15">
        <v>7.7700000000000005E-2</v>
      </c>
      <c r="H1062" s="15">
        <v>0.16170000000000001</v>
      </c>
      <c r="I1062" s="15">
        <v>2.0299999999999999E-2</v>
      </c>
      <c r="J1062" s="15">
        <v>7.6847290640394093</v>
      </c>
    </row>
    <row r="1063" spans="1:10" x14ac:dyDescent="0.25">
      <c r="A1063" s="2" t="s">
        <v>3185</v>
      </c>
      <c r="B1063" s="2" t="s">
        <v>3186</v>
      </c>
      <c r="C1063" s="2" t="s">
        <v>3187</v>
      </c>
      <c r="D1063" s="2" t="s">
        <v>10042</v>
      </c>
      <c r="E1063" s="15">
        <v>3.78E-2</v>
      </c>
      <c r="F1063" s="15">
        <v>4.1700000000000001E-2</v>
      </c>
      <c r="G1063" s="15">
        <v>0.36430000000000001</v>
      </c>
      <c r="H1063" s="15">
        <v>0.21260000000000001</v>
      </c>
      <c r="I1063" s="15">
        <v>2.2200000000000001E-2</v>
      </c>
      <c r="J1063" s="15">
        <v>9.5381165919282509</v>
      </c>
    </row>
    <row r="1064" spans="1:10" x14ac:dyDescent="0.25">
      <c r="A1064" s="2" t="s">
        <v>3188</v>
      </c>
      <c r="B1064" s="2" t="s">
        <v>3189</v>
      </c>
      <c r="C1064" s="2" t="s">
        <v>3190</v>
      </c>
      <c r="D1064" s="2" t="s">
        <v>10042</v>
      </c>
      <c r="E1064" s="15">
        <v>9.4600000000000004E-2</v>
      </c>
      <c r="F1064" s="15">
        <v>5.2400000000000002E-2</v>
      </c>
      <c r="G1064" s="15">
        <v>7.1300000000000002E-2</v>
      </c>
      <c r="H1064" s="15">
        <v>0.14940000000000001</v>
      </c>
      <c r="I1064" s="15">
        <v>1.7600000000000001E-2</v>
      </c>
      <c r="J1064" s="15">
        <v>9.375</v>
      </c>
    </row>
    <row r="1065" spans="1:10" x14ac:dyDescent="0.25">
      <c r="A1065" s="2" t="s">
        <v>3191</v>
      </c>
      <c r="B1065" s="2" t="s">
        <v>3192</v>
      </c>
      <c r="C1065" s="2" t="s">
        <v>3193</v>
      </c>
      <c r="D1065" s="2" t="s">
        <v>10042</v>
      </c>
      <c r="E1065" s="15">
        <v>1.95E-2</v>
      </c>
      <c r="F1065" s="15">
        <v>4.3099999999999999E-2</v>
      </c>
      <c r="G1065" s="15">
        <v>0.65090000000000003</v>
      </c>
      <c r="H1065" s="15">
        <v>0.18049999999999999</v>
      </c>
      <c r="I1065" s="15">
        <v>1.9800000000000002E-2</v>
      </c>
      <c r="J1065" s="15">
        <v>10.27322404371585</v>
      </c>
    </row>
    <row r="1066" spans="1:10" x14ac:dyDescent="0.25">
      <c r="A1066" s="2" t="s">
        <v>3194</v>
      </c>
      <c r="B1066" s="2" t="s">
        <v>3195</v>
      </c>
      <c r="C1066" s="2" t="s">
        <v>3196</v>
      </c>
      <c r="D1066" s="2" t="s">
        <v>10042</v>
      </c>
      <c r="E1066" s="15">
        <v>0.1007</v>
      </c>
      <c r="F1066" s="15">
        <v>4.0899999999999999E-2</v>
      </c>
      <c r="G1066" s="15">
        <v>1.38E-2</v>
      </c>
      <c r="H1066" s="15">
        <v>0.21540000000000001</v>
      </c>
      <c r="I1066" s="15">
        <v>2.1000000000000001E-2</v>
      </c>
      <c r="J1066" s="15">
        <v>10.378640776699029</v>
      </c>
    </row>
    <row r="1067" spans="1:10" x14ac:dyDescent="0.25">
      <c r="A1067" s="2" t="s">
        <v>3197</v>
      </c>
      <c r="B1067" s="2" t="s">
        <v>3198</v>
      </c>
      <c r="C1067" s="2" t="s">
        <v>3199</v>
      </c>
      <c r="D1067" s="2" t="s">
        <v>10042</v>
      </c>
      <c r="E1067" s="15">
        <v>3.8699999999999998E-2</v>
      </c>
      <c r="F1067" s="15">
        <v>6.2600000000000003E-2</v>
      </c>
      <c r="G1067" s="15">
        <v>0.53580000000000005</v>
      </c>
      <c r="H1067" s="15">
        <v>0.10580000000000001</v>
      </c>
      <c r="I1067" s="15">
        <v>1.6500000000000001E-2</v>
      </c>
      <c r="J1067" s="15">
        <v>7.1999999999999993</v>
      </c>
    </row>
    <row r="1068" spans="1:10" x14ac:dyDescent="0.25">
      <c r="A1068" s="2" t="s">
        <v>3200</v>
      </c>
      <c r="B1068" s="2" t="s">
        <v>3201</v>
      </c>
      <c r="C1068" s="2" t="s">
        <v>3202</v>
      </c>
      <c r="D1068" s="2" t="s">
        <v>10042</v>
      </c>
      <c r="E1068" s="15">
        <v>2.9600000000000001E-2</v>
      </c>
      <c r="F1068" s="15">
        <v>4.7300000000000002E-2</v>
      </c>
      <c r="G1068" s="15">
        <v>0.53190000000000004</v>
      </c>
      <c r="H1068" s="15">
        <v>0.1804</v>
      </c>
      <c r="I1068" s="15">
        <v>2.0199999999999999E-2</v>
      </c>
      <c r="J1068" s="15">
        <v>9.6010101010101003</v>
      </c>
    </row>
    <row r="1069" spans="1:10" x14ac:dyDescent="0.25">
      <c r="A1069" s="2" t="s">
        <v>3203</v>
      </c>
      <c r="B1069" s="2" t="s">
        <v>3204</v>
      </c>
      <c r="C1069" s="2" t="s">
        <v>3205</v>
      </c>
      <c r="D1069" s="2" t="s">
        <v>10042</v>
      </c>
      <c r="E1069" s="15">
        <v>-2.0899999999999998E-2</v>
      </c>
      <c r="F1069" s="15">
        <v>6.2E-2</v>
      </c>
      <c r="G1069" s="15">
        <v>0.73599999999999999</v>
      </c>
      <c r="H1069" s="15">
        <v>9.8900000000000002E-2</v>
      </c>
      <c r="I1069" s="15">
        <v>1.5900000000000001E-2</v>
      </c>
      <c r="J1069" s="15">
        <v>7.229166666666667</v>
      </c>
    </row>
    <row r="1070" spans="1:10" x14ac:dyDescent="0.25">
      <c r="A1070" s="2" t="s">
        <v>3206</v>
      </c>
      <c r="B1070" s="2" t="s">
        <v>3207</v>
      </c>
      <c r="C1070" s="2" t="s">
        <v>3208</v>
      </c>
      <c r="D1070" s="2" t="s">
        <v>10042</v>
      </c>
      <c r="E1070" s="15">
        <v>0.1226</v>
      </c>
      <c r="F1070" s="15">
        <v>5.11E-2</v>
      </c>
      <c r="G1070" s="15">
        <v>1.6299999999999999E-2</v>
      </c>
      <c r="H1070" s="15">
        <v>0.1522</v>
      </c>
      <c r="I1070" s="15">
        <v>1.7600000000000001E-2</v>
      </c>
      <c r="J1070" s="15">
        <v>9.0595238095238102</v>
      </c>
    </row>
    <row r="1071" spans="1:10" x14ac:dyDescent="0.25">
      <c r="A1071" s="2" t="s">
        <v>3209</v>
      </c>
      <c r="B1071" s="2" t="s">
        <v>3210</v>
      </c>
      <c r="C1071" s="2" t="s">
        <v>3211</v>
      </c>
      <c r="D1071" s="2" t="s">
        <v>10042</v>
      </c>
      <c r="E1071" s="15">
        <v>2.4899999999999999E-2</v>
      </c>
      <c r="F1071" s="15">
        <v>5.2699999999999997E-2</v>
      </c>
      <c r="G1071" s="15">
        <v>0.63649999999999995</v>
      </c>
      <c r="H1071" s="15">
        <v>0.15140000000000001</v>
      </c>
      <c r="I1071" s="15">
        <v>1.77E-2</v>
      </c>
      <c r="J1071" s="15">
        <v>9.027932960893855</v>
      </c>
    </row>
    <row r="1072" spans="1:10" x14ac:dyDescent="0.25">
      <c r="A1072" s="2" t="s">
        <v>3212</v>
      </c>
      <c r="B1072" s="2" t="s">
        <v>3213</v>
      </c>
      <c r="C1072" s="2" t="s">
        <v>3214</v>
      </c>
      <c r="D1072" s="2" t="s">
        <v>10042</v>
      </c>
      <c r="E1072" s="15">
        <v>5.9200000000000003E-2</v>
      </c>
      <c r="F1072" s="15">
        <v>4.0399999999999998E-2</v>
      </c>
      <c r="G1072" s="15">
        <v>0.14299999999999999</v>
      </c>
      <c r="H1072" s="15">
        <v>0.1991</v>
      </c>
      <c r="I1072" s="15">
        <v>2.4400000000000002E-2</v>
      </c>
      <c r="J1072" s="15">
        <v>8.3221757322175733</v>
      </c>
    </row>
    <row r="1073" spans="1:10" x14ac:dyDescent="0.25">
      <c r="A1073" s="2" t="s">
        <v>3215</v>
      </c>
      <c r="B1073" s="2" t="s">
        <v>3216</v>
      </c>
      <c r="C1073" s="2" t="s">
        <v>3217</v>
      </c>
      <c r="D1073" s="2" t="s">
        <v>10042</v>
      </c>
      <c r="E1073" s="15">
        <v>5.3800000000000001E-2</v>
      </c>
      <c r="F1073" s="15">
        <v>5.7200000000000001E-2</v>
      </c>
      <c r="G1073" s="15">
        <v>0.34620000000000001</v>
      </c>
      <c r="H1073" s="15">
        <v>0.13669999999999999</v>
      </c>
      <c r="I1073" s="15">
        <v>1.7999999999999999E-2</v>
      </c>
      <c r="J1073" s="15">
        <v>7.9494382022471903</v>
      </c>
    </row>
    <row r="1074" spans="1:10" x14ac:dyDescent="0.25">
      <c r="A1074" s="2" t="s">
        <v>3218</v>
      </c>
      <c r="B1074" s="2" t="s">
        <v>3219</v>
      </c>
      <c r="C1074" s="2" t="s">
        <v>3220</v>
      </c>
      <c r="D1074" s="2" t="s">
        <v>10042</v>
      </c>
      <c r="E1074" s="15">
        <v>0.1056</v>
      </c>
      <c r="F1074" s="15">
        <v>6.1800000000000001E-2</v>
      </c>
      <c r="G1074" s="15">
        <v>8.77E-2</v>
      </c>
      <c r="H1074" s="15">
        <v>8.5000000000000006E-2</v>
      </c>
      <c r="I1074" s="15">
        <v>1.7000000000000001E-2</v>
      </c>
      <c r="J1074" s="15">
        <v>5.345029239766081</v>
      </c>
    </row>
    <row r="1075" spans="1:10" x14ac:dyDescent="0.25">
      <c r="A1075" s="2" t="s">
        <v>3221</v>
      </c>
      <c r="B1075" s="2" t="s">
        <v>3222</v>
      </c>
      <c r="C1075" s="2" t="s">
        <v>3223</v>
      </c>
      <c r="D1075" s="2" t="s">
        <v>10042</v>
      </c>
      <c r="E1075" s="15">
        <v>-8.0000000000000004E-4</v>
      </c>
      <c r="F1075" s="15">
        <v>5.1900000000000002E-2</v>
      </c>
      <c r="G1075" s="15">
        <v>0.98770000000000002</v>
      </c>
      <c r="H1075" s="15">
        <v>0.1734</v>
      </c>
      <c r="I1075" s="15">
        <v>1.8200000000000001E-2</v>
      </c>
      <c r="J1075" s="15">
        <v>9.6775956284153004</v>
      </c>
    </row>
    <row r="1076" spans="1:10" x14ac:dyDescent="0.25">
      <c r="A1076" s="2" t="s">
        <v>3224</v>
      </c>
      <c r="B1076" s="2" t="s">
        <v>3225</v>
      </c>
      <c r="C1076" s="2" t="s">
        <v>3226</v>
      </c>
      <c r="D1076" s="2" t="s">
        <v>10042</v>
      </c>
      <c r="E1076" s="15">
        <v>5.9499999999999997E-2</v>
      </c>
      <c r="F1076" s="15">
        <v>5.4100000000000002E-2</v>
      </c>
      <c r="G1076" s="15">
        <v>0.27139999999999997</v>
      </c>
      <c r="H1076" s="15">
        <v>0.1186</v>
      </c>
      <c r="I1076" s="15">
        <v>1.7999999999999999E-2</v>
      </c>
      <c r="J1076" s="15">
        <v>6.8277777777777784</v>
      </c>
    </row>
    <row r="1077" spans="1:10" x14ac:dyDescent="0.25">
      <c r="A1077" s="2" t="s">
        <v>3227</v>
      </c>
      <c r="B1077" s="2" t="s">
        <v>3228</v>
      </c>
      <c r="C1077" s="2" t="s">
        <v>3229</v>
      </c>
      <c r="D1077" s="2" t="s">
        <v>10042</v>
      </c>
      <c r="E1077" s="15">
        <v>8.8099999999999998E-2</v>
      </c>
      <c r="F1077" s="15">
        <v>4.8399999999999999E-2</v>
      </c>
      <c r="G1077" s="15">
        <v>6.8900000000000003E-2</v>
      </c>
      <c r="H1077" s="15">
        <v>0.16170000000000001</v>
      </c>
      <c r="I1077" s="15">
        <v>1.9599999999999999E-2</v>
      </c>
      <c r="J1077" s="15">
        <v>8.1601941747572813</v>
      </c>
    </row>
    <row r="1078" spans="1:10" x14ac:dyDescent="0.25">
      <c r="A1078" s="2" t="s">
        <v>3230</v>
      </c>
      <c r="B1078" s="2" t="s">
        <v>3231</v>
      </c>
      <c r="C1078" s="2" t="s">
        <v>3232</v>
      </c>
      <c r="D1078" s="2" t="s">
        <v>10042</v>
      </c>
      <c r="E1078" s="15">
        <v>3.9300000000000002E-2</v>
      </c>
      <c r="F1078" s="15">
        <v>4.5900000000000003E-2</v>
      </c>
      <c r="G1078" s="15">
        <v>0.39169999999999999</v>
      </c>
      <c r="H1078" s="15">
        <v>0.15210000000000001</v>
      </c>
      <c r="I1078" s="15">
        <v>2.0299999999999999E-2</v>
      </c>
      <c r="J1078" s="15">
        <v>8.0358974358974358</v>
      </c>
    </row>
    <row r="1079" spans="1:10" x14ac:dyDescent="0.25">
      <c r="A1079" s="2" t="s">
        <v>3233</v>
      </c>
      <c r="B1079" s="2" t="s">
        <v>3234</v>
      </c>
      <c r="C1079" s="2" t="s">
        <v>3235</v>
      </c>
      <c r="D1079" s="2" t="s">
        <v>10042</v>
      </c>
      <c r="E1079" s="15">
        <v>2.5000000000000001E-2</v>
      </c>
      <c r="F1079" s="15">
        <v>4.1700000000000001E-2</v>
      </c>
      <c r="G1079" s="15">
        <v>0.5494</v>
      </c>
      <c r="H1079" s="15">
        <v>0.20180000000000001</v>
      </c>
      <c r="I1079" s="15">
        <v>2.07E-2</v>
      </c>
      <c r="J1079" s="15">
        <v>9.6523809523809518</v>
      </c>
    </row>
    <row r="1080" spans="1:10" x14ac:dyDescent="0.25">
      <c r="A1080" s="2" t="s">
        <v>3236</v>
      </c>
      <c r="B1080" s="2" t="s">
        <v>3237</v>
      </c>
      <c r="C1080" s="2" t="s">
        <v>3238</v>
      </c>
      <c r="D1080" s="2" t="s">
        <v>10042</v>
      </c>
      <c r="E1080" s="15">
        <v>0.09</v>
      </c>
      <c r="F1080" s="15">
        <v>4.3499999999999997E-2</v>
      </c>
      <c r="G1080" s="15">
        <v>3.85E-2</v>
      </c>
      <c r="H1080" s="15">
        <v>0.20860000000000001</v>
      </c>
      <c r="I1080" s="15">
        <v>2.3699999999999999E-2</v>
      </c>
      <c r="J1080" s="15">
        <v>8.924050632911392</v>
      </c>
    </row>
    <row r="1081" spans="1:10" x14ac:dyDescent="0.25">
      <c r="A1081" s="2" t="s">
        <v>3239</v>
      </c>
      <c r="B1081" s="2" t="s">
        <v>3240</v>
      </c>
      <c r="C1081" s="2" t="s">
        <v>3241</v>
      </c>
      <c r="D1081" s="2" t="s">
        <v>10042</v>
      </c>
      <c r="E1081" s="15">
        <v>5.7099999999999998E-2</v>
      </c>
      <c r="F1081" s="15">
        <v>6.9599999999999995E-2</v>
      </c>
      <c r="G1081" s="15">
        <v>0.41210000000000002</v>
      </c>
      <c r="H1081" s="15">
        <v>6.9400000000000003E-2</v>
      </c>
      <c r="I1081" s="15">
        <v>1.55E-2</v>
      </c>
      <c r="J1081" s="15">
        <v>5.4459459459459456</v>
      </c>
    </row>
    <row r="1082" spans="1:10" x14ac:dyDescent="0.25">
      <c r="A1082" s="2" t="s">
        <v>3242</v>
      </c>
      <c r="B1082" s="2" t="s">
        <v>3243</v>
      </c>
      <c r="C1082" s="2" t="s">
        <v>3244</v>
      </c>
      <c r="D1082" s="2" t="s">
        <v>10042</v>
      </c>
      <c r="E1082" s="15">
        <v>6.2300000000000001E-2</v>
      </c>
      <c r="F1082" s="15">
        <v>4.8599999999999997E-2</v>
      </c>
      <c r="G1082" s="15">
        <v>0.19950000000000001</v>
      </c>
      <c r="H1082" s="15">
        <v>0.18179999999999999</v>
      </c>
      <c r="I1082" s="15">
        <v>1.95E-2</v>
      </c>
      <c r="J1082" s="15">
        <v>9.2717948717948708</v>
      </c>
    </row>
    <row r="1083" spans="1:10" x14ac:dyDescent="0.25">
      <c r="A1083" s="2" t="s">
        <v>3245</v>
      </c>
      <c r="B1083" s="2" t="s">
        <v>3246</v>
      </c>
      <c r="C1083" s="2" t="s">
        <v>3247</v>
      </c>
      <c r="D1083" s="2" t="s">
        <v>10042</v>
      </c>
      <c r="E1083" s="15">
        <v>5.33E-2</v>
      </c>
      <c r="F1083" s="15">
        <v>4.4499999999999998E-2</v>
      </c>
      <c r="G1083" s="15">
        <v>0.23150000000000001</v>
      </c>
      <c r="H1083" s="15">
        <v>0.22670000000000001</v>
      </c>
      <c r="I1083" s="15">
        <v>2.1999999999999999E-2</v>
      </c>
      <c r="J1083" s="15">
        <v>10.918660287081339</v>
      </c>
    </row>
    <row r="1084" spans="1:10" x14ac:dyDescent="0.25">
      <c r="A1084" s="2" t="s">
        <v>3248</v>
      </c>
      <c r="B1084" s="2" t="s">
        <v>3249</v>
      </c>
      <c r="C1084" s="2" t="s">
        <v>3250</v>
      </c>
      <c r="D1084" s="2" t="s">
        <v>10042</v>
      </c>
      <c r="E1084" s="15">
        <v>8.5999999999999993E-2</v>
      </c>
      <c r="F1084" s="15">
        <v>4.87E-2</v>
      </c>
      <c r="G1084" s="15">
        <v>7.7200000000000005E-2</v>
      </c>
      <c r="H1084" s="15">
        <v>0.16880000000000001</v>
      </c>
      <c r="I1084" s="15">
        <v>2.0799999999999999E-2</v>
      </c>
      <c r="J1084" s="15">
        <v>8.1170731707317074</v>
      </c>
    </row>
    <row r="1085" spans="1:10" x14ac:dyDescent="0.25">
      <c r="A1085" s="2" t="s">
        <v>3251</v>
      </c>
      <c r="B1085" s="2" t="s">
        <v>3252</v>
      </c>
      <c r="C1085" s="2" t="s">
        <v>3253</v>
      </c>
      <c r="D1085" s="2" t="s">
        <v>10042</v>
      </c>
      <c r="E1085" s="15">
        <v>6.9000000000000006E-2</v>
      </c>
      <c r="F1085" s="15">
        <v>4.87E-2</v>
      </c>
      <c r="G1085" s="15">
        <v>0.15670000000000001</v>
      </c>
      <c r="H1085" s="15">
        <v>0.2162</v>
      </c>
      <c r="I1085" s="15">
        <v>2.0400000000000001E-2</v>
      </c>
      <c r="J1085" s="15">
        <v>10.024509803921569</v>
      </c>
    </row>
    <row r="1086" spans="1:10" x14ac:dyDescent="0.25">
      <c r="A1086" s="2" t="s">
        <v>3254</v>
      </c>
      <c r="B1086" s="2" t="s">
        <v>3255</v>
      </c>
      <c r="C1086" s="2" t="s">
        <v>3256</v>
      </c>
      <c r="D1086" s="2" t="s">
        <v>10042</v>
      </c>
      <c r="E1086" s="15">
        <v>6.6100000000000006E-2</v>
      </c>
      <c r="F1086" s="15">
        <v>4.6600000000000003E-2</v>
      </c>
      <c r="G1086" s="15">
        <v>0.15609999999999999</v>
      </c>
      <c r="H1086" s="15">
        <v>0.20799999999999999</v>
      </c>
      <c r="I1086" s="15">
        <v>2.41E-2</v>
      </c>
      <c r="J1086" s="15">
        <v>9.1145374449339194</v>
      </c>
    </row>
    <row r="1087" spans="1:10" x14ac:dyDescent="0.25">
      <c r="A1087" s="2" t="s">
        <v>3257</v>
      </c>
      <c r="B1087" s="2" t="s">
        <v>3258</v>
      </c>
      <c r="C1087" s="2" t="s">
        <v>3259</v>
      </c>
      <c r="D1087" s="2" t="s">
        <v>10042</v>
      </c>
      <c r="E1087" s="15">
        <v>6.5600000000000006E-2</v>
      </c>
      <c r="F1087" s="15">
        <v>6.9900000000000004E-2</v>
      </c>
      <c r="G1087" s="15">
        <v>0.34839999999999999</v>
      </c>
      <c r="H1087" s="15">
        <v>6.0999999999999999E-2</v>
      </c>
      <c r="I1087" s="15">
        <v>1.52E-2</v>
      </c>
      <c r="J1087" s="15">
        <v>4.4697986577181208</v>
      </c>
    </row>
    <row r="1088" spans="1:10" x14ac:dyDescent="0.25">
      <c r="A1088" s="2" t="s">
        <v>3260</v>
      </c>
      <c r="B1088" s="2" t="s">
        <v>3261</v>
      </c>
      <c r="C1088" s="2" t="s">
        <v>3262</v>
      </c>
      <c r="D1088" s="2" t="s">
        <v>10042</v>
      </c>
      <c r="E1088" s="15">
        <v>9.2200000000000004E-2</v>
      </c>
      <c r="F1088" s="15">
        <v>5.3699999999999998E-2</v>
      </c>
      <c r="G1088" s="15">
        <v>8.5999999999999993E-2</v>
      </c>
      <c r="H1088" s="15">
        <v>0.14069999999999999</v>
      </c>
      <c r="I1088" s="15">
        <v>2.4E-2</v>
      </c>
      <c r="J1088" s="15">
        <v>6.9366515837104066</v>
      </c>
    </row>
    <row r="1089" spans="1:10" x14ac:dyDescent="0.25">
      <c r="A1089" s="2" t="s">
        <v>3263</v>
      </c>
      <c r="B1089" s="2" t="s">
        <v>3264</v>
      </c>
      <c r="C1089" s="2" t="s">
        <v>3265</v>
      </c>
      <c r="D1089" s="2" t="s">
        <v>10042</v>
      </c>
      <c r="E1089" s="15">
        <v>0.1177</v>
      </c>
      <c r="F1089" s="15">
        <v>5.45E-2</v>
      </c>
      <c r="G1089" s="15">
        <v>3.0700000000000002E-2</v>
      </c>
      <c r="H1089" s="15">
        <v>0.1482</v>
      </c>
      <c r="I1089" s="15">
        <v>2.69E-2</v>
      </c>
      <c r="J1089" s="15">
        <v>5.7510040160642566</v>
      </c>
    </row>
    <row r="1090" spans="1:10" x14ac:dyDescent="0.25">
      <c r="A1090" s="2" t="s">
        <v>3266</v>
      </c>
      <c r="B1090" s="2" t="s">
        <v>3267</v>
      </c>
      <c r="C1090" s="2" t="s">
        <v>3268</v>
      </c>
      <c r="D1090" s="2" t="s">
        <v>10042</v>
      </c>
      <c r="E1090" s="15">
        <v>8.4199999999999997E-2</v>
      </c>
      <c r="F1090" s="15">
        <v>4.5199999999999997E-2</v>
      </c>
      <c r="G1090" s="15">
        <v>6.2700000000000006E-2</v>
      </c>
      <c r="H1090" s="15">
        <v>0.16639999999999999</v>
      </c>
      <c r="I1090" s="15">
        <v>1.5699999999999999E-2</v>
      </c>
      <c r="J1090" s="15">
        <v>9.3297872340425521</v>
      </c>
    </row>
    <row r="1091" spans="1:10" x14ac:dyDescent="0.25">
      <c r="A1091" s="2" t="s">
        <v>3269</v>
      </c>
      <c r="B1091" s="2" t="s">
        <v>3270</v>
      </c>
      <c r="C1091" s="2" t="s">
        <v>3271</v>
      </c>
      <c r="D1091" s="2" t="s">
        <v>10042</v>
      </c>
      <c r="E1091" s="15">
        <v>8.8400000000000006E-2</v>
      </c>
      <c r="F1091" s="15">
        <v>4.9200000000000001E-2</v>
      </c>
      <c r="G1091" s="15">
        <v>7.2599999999999998E-2</v>
      </c>
      <c r="H1091" s="15">
        <v>0.16009999999999999</v>
      </c>
      <c r="I1091" s="15">
        <v>1.8700000000000001E-2</v>
      </c>
      <c r="J1091" s="15">
        <v>9.1914893617021285</v>
      </c>
    </row>
    <row r="1092" spans="1:10" x14ac:dyDescent="0.25">
      <c r="A1092" s="2" t="s">
        <v>3272</v>
      </c>
      <c r="B1092" s="2" t="s">
        <v>3273</v>
      </c>
      <c r="C1092" s="2" t="s">
        <v>3274</v>
      </c>
      <c r="D1092" s="2" t="s">
        <v>10042</v>
      </c>
      <c r="E1092" s="15">
        <v>3.3799999999999997E-2</v>
      </c>
      <c r="F1092" s="15">
        <v>4.6399999999999997E-2</v>
      </c>
      <c r="G1092" s="15">
        <v>0.46560000000000001</v>
      </c>
      <c r="H1092" s="15">
        <v>0.1515</v>
      </c>
      <c r="I1092" s="15">
        <v>2.0799999999999999E-2</v>
      </c>
      <c r="J1092" s="15">
        <v>8.0615384615384613</v>
      </c>
    </row>
    <row r="1093" spans="1:10" x14ac:dyDescent="0.25">
      <c r="A1093" s="2" t="s">
        <v>3275</v>
      </c>
      <c r="B1093" s="2" t="s">
        <v>3276</v>
      </c>
      <c r="C1093" s="2" t="s">
        <v>3277</v>
      </c>
      <c r="D1093" s="2" t="s">
        <v>10042</v>
      </c>
      <c r="E1093" s="15">
        <v>0.05</v>
      </c>
      <c r="F1093" s="15">
        <v>4.58E-2</v>
      </c>
      <c r="G1093" s="15">
        <v>0.27479999999999999</v>
      </c>
      <c r="H1093" s="15">
        <v>0.13289999999999999</v>
      </c>
      <c r="I1093" s="15">
        <v>1.7299999999999999E-2</v>
      </c>
      <c r="J1093" s="15">
        <v>8.2916666666666679</v>
      </c>
    </row>
    <row r="1094" spans="1:10" x14ac:dyDescent="0.25">
      <c r="A1094" s="2" t="s">
        <v>3278</v>
      </c>
      <c r="B1094" s="2" t="s">
        <v>3279</v>
      </c>
      <c r="C1094" s="2" t="s">
        <v>3280</v>
      </c>
      <c r="D1094" s="2" t="s">
        <v>10042</v>
      </c>
      <c r="E1094" s="15">
        <v>2.3900000000000001E-2</v>
      </c>
      <c r="F1094" s="15">
        <v>3.9E-2</v>
      </c>
      <c r="G1094" s="15">
        <v>0.53949999999999998</v>
      </c>
      <c r="H1094" s="15">
        <v>0.1893</v>
      </c>
      <c r="I1094" s="15">
        <v>1.89E-2</v>
      </c>
      <c r="J1094" s="15">
        <v>10.57219251336898</v>
      </c>
    </row>
    <row r="1095" spans="1:10" x14ac:dyDescent="0.25">
      <c r="A1095" s="2" t="s">
        <v>3281</v>
      </c>
      <c r="B1095" s="2" t="s">
        <v>3282</v>
      </c>
      <c r="C1095" s="2" t="s">
        <v>3283</v>
      </c>
      <c r="D1095" s="2" t="s">
        <v>10042</v>
      </c>
      <c r="E1095" s="15">
        <v>9.4899999999999998E-2</v>
      </c>
      <c r="F1095" s="15">
        <v>4.3900000000000002E-2</v>
      </c>
      <c r="G1095" s="15">
        <v>3.09E-2</v>
      </c>
      <c r="H1095" s="15">
        <v>0.15509999999999999</v>
      </c>
      <c r="I1095" s="15">
        <v>1.9400000000000001E-2</v>
      </c>
      <c r="J1095" s="15">
        <v>7.9170984455958537</v>
      </c>
    </row>
    <row r="1096" spans="1:10" x14ac:dyDescent="0.25">
      <c r="A1096" s="2" t="s">
        <v>3284</v>
      </c>
      <c r="B1096" s="2" t="s">
        <v>3285</v>
      </c>
      <c r="C1096" s="2" t="s">
        <v>3286</v>
      </c>
      <c r="D1096" s="2" t="s">
        <v>10042</v>
      </c>
      <c r="E1096" s="15">
        <v>3.5900000000000001E-2</v>
      </c>
      <c r="F1096" s="15">
        <v>4.1700000000000001E-2</v>
      </c>
      <c r="G1096" s="15">
        <v>0.38879999999999998</v>
      </c>
      <c r="H1096" s="15">
        <v>0.2225</v>
      </c>
      <c r="I1096" s="15">
        <v>2.4299999999999999E-2</v>
      </c>
      <c r="J1096" s="15">
        <v>9.8577586206896548</v>
      </c>
    </row>
    <row r="1097" spans="1:10" x14ac:dyDescent="0.25">
      <c r="A1097" s="2" t="s">
        <v>3287</v>
      </c>
      <c r="B1097" s="2" t="s">
        <v>3288</v>
      </c>
      <c r="C1097" s="2" t="s">
        <v>3289</v>
      </c>
      <c r="D1097" s="2" t="s">
        <v>10042</v>
      </c>
      <c r="E1097" s="15">
        <v>6.5000000000000002E-2</v>
      </c>
      <c r="F1097" s="15">
        <v>4.7899999999999998E-2</v>
      </c>
      <c r="G1097" s="15">
        <v>0.1741</v>
      </c>
      <c r="H1097" s="15">
        <v>0.15970000000000001</v>
      </c>
      <c r="I1097" s="15">
        <v>1.8499999999999999E-2</v>
      </c>
      <c r="J1097" s="15">
        <v>8.7486910994764404</v>
      </c>
    </row>
    <row r="1098" spans="1:10" x14ac:dyDescent="0.25">
      <c r="A1098" s="2" t="s">
        <v>3290</v>
      </c>
      <c r="B1098" s="2" t="s">
        <v>3291</v>
      </c>
      <c r="C1098" s="2" t="s">
        <v>3292</v>
      </c>
      <c r="D1098" s="2" t="s">
        <v>10042</v>
      </c>
      <c r="E1098" s="15">
        <v>5.3800000000000001E-2</v>
      </c>
      <c r="F1098" s="15">
        <v>5.04E-2</v>
      </c>
      <c r="G1098" s="15">
        <v>0.28489999999999999</v>
      </c>
      <c r="H1098" s="15">
        <v>0.17699999999999999</v>
      </c>
      <c r="I1098" s="15">
        <v>1.8100000000000002E-2</v>
      </c>
      <c r="J1098" s="15">
        <v>9.92</v>
      </c>
    </row>
    <row r="1099" spans="1:10" x14ac:dyDescent="0.25">
      <c r="A1099" s="2" t="s">
        <v>3293</v>
      </c>
      <c r="B1099" s="2" t="s">
        <v>3294</v>
      </c>
      <c r="C1099" s="2" t="s">
        <v>3295</v>
      </c>
      <c r="D1099" s="2" t="s">
        <v>10042</v>
      </c>
      <c r="E1099" s="15">
        <v>3.9199999999999999E-2</v>
      </c>
      <c r="F1099" s="15">
        <v>4.87E-2</v>
      </c>
      <c r="G1099" s="15">
        <v>0.42130000000000001</v>
      </c>
      <c r="H1099" s="15">
        <v>0.12889999999999999</v>
      </c>
      <c r="I1099" s="15">
        <v>1.5900000000000001E-2</v>
      </c>
      <c r="J1099" s="15">
        <v>8.4777070063694264</v>
      </c>
    </row>
    <row r="1100" spans="1:10" x14ac:dyDescent="0.25">
      <c r="A1100" s="2" t="s">
        <v>3296</v>
      </c>
      <c r="B1100" s="2" t="s">
        <v>3297</v>
      </c>
      <c r="C1100" s="2" t="s">
        <v>3298</v>
      </c>
      <c r="D1100" s="2" t="s">
        <v>10042</v>
      </c>
      <c r="E1100" s="15">
        <v>4.1799999999999997E-2</v>
      </c>
      <c r="F1100" s="15">
        <v>4.4400000000000002E-2</v>
      </c>
      <c r="G1100" s="15">
        <v>0.34699999999999998</v>
      </c>
      <c r="H1100" s="15">
        <v>0.184</v>
      </c>
      <c r="I1100" s="15">
        <v>1.9400000000000001E-2</v>
      </c>
      <c r="J1100" s="15">
        <v>10.64171122994652</v>
      </c>
    </row>
    <row r="1101" spans="1:10" x14ac:dyDescent="0.25">
      <c r="A1101" s="2" t="s">
        <v>3299</v>
      </c>
      <c r="B1101" s="2" t="s">
        <v>3300</v>
      </c>
      <c r="C1101" s="2" t="s">
        <v>3301</v>
      </c>
      <c r="D1101" s="2" t="s">
        <v>10042</v>
      </c>
      <c r="E1101" s="15">
        <v>6.13E-2</v>
      </c>
      <c r="F1101" s="15">
        <v>5.33E-2</v>
      </c>
      <c r="G1101" s="15">
        <v>0.25040000000000001</v>
      </c>
      <c r="H1101" s="15">
        <v>0.1487</v>
      </c>
      <c r="I1101" s="15">
        <v>1.83E-2</v>
      </c>
      <c r="J1101" s="15">
        <v>8.054347826086957</v>
      </c>
    </row>
    <row r="1102" spans="1:10" x14ac:dyDescent="0.25">
      <c r="A1102" s="2" t="s">
        <v>3302</v>
      </c>
      <c r="B1102" s="2" t="s">
        <v>3303</v>
      </c>
      <c r="C1102" s="2" t="s">
        <v>3304</v>
      </c>
      <c r="D1102" s="2" t="s">
        <v>10042</v>
      </c>
      <c r="E1102" s="15">
        <v>6.2100000000000002E-2</v>
      </c>
      <c r="F1102" s="15">
        <v>6.7900000000000002E-2</v>
      </c>
      <c r="G1102" s="15">
        <v>0.36049999999999999</v>
      </c>
      <c r="H1102" s="15">
        <v>6.8699999999999997E-2</v>
      </c>
      <c r="I1102" s="15">
        <v>1.5699999999999999E-2</v>
      </c>
      <c r="J1102" s="15">
        <v>5.1381578947368416</v>
      </c>
    </row>
    <row r="1103" spans="1:10" x14ac:dyDescent="0.25">
      <c r="A1103" s="2" t="s">
        <v>3305</v>
      </c>
      <c r="B1103" s="2" t="s">
        <v>3306</v>
      </c>
      <c r="C1103" s="2" t="s">
        <v>3307</v>
      </c>
      <c r="D1103" s="2" t="s">
        <v>10042</v>
      </c>
      <c r="E1103" s="15">
        <v>7.0000000000000001E-3</v>
      </c>
      <c r="F1103" s="15">
        <v>5.8900000000000001E-2</v>
      </c>
      <c r="G1103" s="15">
        <v>0.90490000000000004</v>
      </c>
      <c r="H1103" s="15">
        <v>0.1193</v>
      </c>
      <c r="I1103" s="15">
        <v>1.7999999999999999E-2</v>
      </c>
      <c r="J1103" s="15">
        <v>7.2923976608187138</v>
      </c>
    </row>
    <row r="1104" spans="1:10" x14ac:dyDescent="0.25">
      <c r="A1104" s="2" t="s">
        <v>3308</v>
      </c>
      <c r="B1104" s="2" t="s">
        <v>3309</v>
      </c>
      <c r="C1104" s="2" t="s">
        <v>3310</v>
      </c>
      <c r="D1104" s="2" t="s">
        <v>10042</v>
      </c>
      <c r="E1104" s="15">
        <v>0.1027</v>
      </c>
      <c r="F1104" s="15">
        <v>5.04E-2</v>
      </c>
      <c r="G1104" s="15">
        <v>4.1700000000000001E-2</v>
      </c>
      <c r="H1104" s="15">
        <v>0.1477</v>
      </c>
      <c r="I1104" s="15">
        <v>1.78E-2</v>
      </c>
      <c r="J1104" s="15">
        <v>8.2192513368983953</v>
      </c>
    </row>
    <row r="1105" spans="1:10" x14ac:dyDescent="0.25">
      <c r="A1105" s="2" t="s">
        <v>3311</v>
      </c>
      <c r="B1105" s="2" t="s">
        <v>3312</v>
      </c>
      <c r="C1105" s="2" t="s">
        <v>3313</v>
      </c>
      <c r="D1105" s="2" t="s">
        <v>10042</v>
      </c>
      <c r="E1105" s="15">
        <v>8.3699999999999997E-2</v>
      </c>
      <c r="F1105" s="15">
        <v>5.16E-2</v>
      </c>
      <c r="G1105" s="15">
        <v>0.105</v>
      </c>
      <c r="H1105" s="15">
        <v>0.15</v>
      </c>
      <c r="I1105" s="15">
        <v>1.9599999999999999E-2</v>
      </c>
      <c r="J1105" s="15">
        <v>7.7681159420289854</v>
      </c>
    </row>
    <row r="1106" spans="1:10" x14ac:dyDescent="0.25">
      <c r="A1106" s="2" t="s">
        <v>3314</v>
      </c>
      <c r="B1106" s="2" t="s">
        <v>3315</v>
      </c>
      <c r="C1106" s="2" t="s">
        <v>3316</v>
      </c>
      <c r="D1106" s="2" t="s">
        <v>10042</v>
      </c>
      <c r="E1106" s="15">
        <v>6.9199999999999998E-2</v>
      </c>
      <c r="F1106" s="15">
        <v>5.1299999999999998E-2</v>
      </c>
      <c r="G1106" s="15">
        <v>0.1774</v>
      </c>
      <c r="H1106" s="15">
        <v>0.1217</v>
      </c>
      <c r="I1106" s="15">
        <v>2.12E-2</v>
      </c>
      <c r="J1106" s="15">
        <v>6.229268292682927</v>
      </c>
    </row>
    <row r="1107" spans="1:10" x14ac:dyDescent="0.25">
      <c r="A1107" s="2" t="s">
        <v>3317</v>
      </c>
      <c r="B1107" s="2" t="s">
        <v>3318</v>
      </c>
      <c r="C1107" s="2" t="s">
        <v>3319</v>
      </c>
      <c r="D1107" s="2" t="s">
        <v>10042</v>
      </c>
      <c r="E1107" s="15">
        <v>9.8599999999999993E-2</v>
      </c>
      <c r="F1107" s="15">
        <v>5.79E-2</v>
      </c>
      <c r="G1107" s="15">
        <v>8.8200000000000001E-2</v>
      </c>
      <c r="H1107" s="15">
        <v>0.1079</v>
      </c>
      <c r="I1107" s="15">
        <v>1.5900000000000001E-2</v>
      </c>
      <c r="J1107" s="15">
        <v>6.4318181818181808</v>
      </c>
    </row>
    <row r="1108" spans="1:10" x14ac:dyDescent="0.25">
      <c r="A1108" s="2" t="s">
        <v>3320</v>
      </c>
      <c r="B1108" s="2" t="s">
        <v>3321</v>
      </c>
      <c r="C1108" s="2" t="s">
        <v>3322</v>
      </c>
      <c r="D1108" s="2" t="s">
        <v>10042</v>
      </c>
      <c r="E1108" s="15">
        <v>2.5399999999999999E-2</v>
      </c>
      <c r="F1108" s="15">
        <v>4.2099999999999999E-2</v>
      </c>
      <c r="G1108" s="15">
        <v>0.54600000000000004</v>
      </c>
      <c r="H1108" s="15">
        <v>0.17799999999999999</v>
      </c>
      <c r="I1108" s="15">
        <v>0.02</v>
      </c>
      <c r="J1108" s="15">
        <v>8.7892156862745079</v>
      </c>
    </row>
    <row r="1109" spans="1:10" x14ac:dyDescent="0.25">
      <c r="A1109" s="2" t="s">
        <v>3323</v>
      </c>
      <c r="B1109" s="2" t="s">
        <v>3324</v>
      </c>
      <c r="C1109" s="2" t="s">
        <v>3325</v>
      </c>
      <c r="D1109" s="2" t="s">
        <v>10042</v>
      </c>
      <c r="E1109" s="15">
        <v>4.65E-2</v>
      </c>
      <c r="F1109" s="15">
        <v>4.2099999999999999E-2</v>
      </c>
      <c r="G1109" s="15">
        <v>0.26900000000000002</v>
      </c>
      <c r="H1109" s="15">
        <v>0.16039999999999999</v>
      </c>
      <c r="I1109" s="15">
        <v>1.8100000000000002E-2</v>
      </c>
      <c r="J1109" s="15">
        <v>8.4812834224598923</v>
      </c>
    </row>
    <row r="1110" spans="1:10" x14ac:dyDescent="0.25">
      <c r="A1110" s="2" t="s">
        <v>3326</v>
      </c>
      <c r="B1110" s="2" t="s">
        <v>3327</v>
      </c>
      <c r="C1110" s="2" t="s">
        <v>3328</v>
      </c>
      <c r="D1110" s="2" t="s">
        <v>10042</v>
      </c>
      <c r="E1110" s="15">
        <v>2.81E-2</v>
      </c>
      <c r="F1110" s="15">
        <v>4.1799999999999997E-2</v>
      </c>
      <c r="G1110" s="15">
        <v>0.50149999999999995</v>
      </c>
      <c r="H1110" s="15">
        <v>0.22459999999999999</v>
      </c>
      <c r="I1110" s="15">
        <v>2.3800000000000002E-2</v>
      </c>
      <c r="J1110" s="15">
        <v>10.159292035398231</v>
      </c>
    </row>
    <row r="1111" spans="1:10" x14ac:dyDescent="0.25">
      <c r="A1111" s="2" t="s">
        <v>3329</v>
      </c>
      <c r="B1111" s="2" t="s">
        <v>3330</v>
      </c>
      <c r="C1111" s="2" t="s">
        <v>3331</v>
      </c>
      <c r="D1111" s="2" t="s">
        <v>10042</v>
      </c>
      <c r="E1111" s="15">
        <v>2.0899999999999998E-2</v>
      </c>
      <c r="F1111" s="15">
        <v>5.1700000000000003E-2</v>
      </c>
      <c r="G1111" s="15">
        <v>0.68530000000000002</v>
      </c>
      <c r="H1111" s="15">
        <v>0.1709</v>
      </c>
      <c r="I1111" s="15">
        <v>1.9400000000000001E-2</v>
      </c>
      <c r="J1111" s="15">
        <v>8.8955223880597014</v>
      </c>
    </row>
    <row r="1112" spans="1:10" x14ac:dyDescent="0.25">
      <c r="A1112" s="2" t="s">
        <v>3332</v>
      </c>
      <c r="B1112" s="2" t="s">
        <v>3333</v>
      </c>
      <c r="C1112" s="2" t="s">
        <v>3334</v>
      </c>
      <c r="D1112" s="2" t="s">
        <v>10042</v>
      </c>
      <c r="E1112" s="15">
        <v>4.87E-2</v>
      </c>
      <c r="F1112" s="15">
        <v>5.1299999999999998E-2</v>
      </c>
      <c r="G1112" s="15">
        <v>0.34189999999999998</v>
      </c>
      <c r="H1112" s="15">
        <v>0.1903</v>
      </c>
      <c r="I1112" s="15">
        <v>1.89E-2</v>
      </c>
      <c r="J1112" s="15">
        <v>10.18229166666667</v>
      </c>
    </row>
    <row r="1113" spans="1:10" x14ac:dyDescent="0.25">
      <c r="A1113" s="2" t="s">
        <v>3335</v>
      </c>
      <c r="B1113" s="2" t="s">
        <v>3336</v>
      </c>
      <c r="C1113" s="2" t="s">
        <v>3337</v>
      </c>
      <c r="D1113" s="2" t="s">
        <v>10042</v>
      </c>
      <c r="E1113" s="15">
        <v>3.7199999999999997E-2</v>
      </c>
      <c r="F1113" s="15">
        <v>5.3800000000000001E-2</v>
      </c>
      <c r="G1113" s="15">
        <v>0.48949999999999999</v>
      </c>
      <c r="H1113" s="15">
        <v>0.1195</v>
      </c>
      <c r="I1113" s="15">
        <v>1.7399999999999999E-2</v>
      </c>
      <c r="J1113" s="15">
        <v>7.1411764705882348</v>
      </c>
    </row>
    <row r="1114" spans="1:10" x14ac:dyDescent="0.25">
      <c r="A1114" s="2" t="s">
        <v>3338</v>
      </c>
      <c r="B1114" s="2" t="s">
        <v>3339</v>
      </c>
      <c r="C1114" s="2" t="s">
        <v>3340</v>
      </c>
      <c r="D1114" s="2" t="s">
        <v>10042</v>
      </c>
      <c r="E1114" s="15">
        <v>9.8199999999999996E-2</v>
      </c>
      <c r="F1114" s="15">
        <v>4.0399999999999998E-2</v>
      </c>
      <c r="G1114" s="15">
        <v>1.5100000000000001E-2</v>
      </c>
      <c r="H1114" s="15">
        <v>0.21940000000000001</v>
      </c>
      <c r="I1114" s="15">
        <v>2.07E-2</v>
      </c>
      <c r="J1114" s="15">
        <v>11.346733668341709</v>
      </c>
    </row>
    <row r="1115" spans="1:10" x14ac:dyDescent="0.25">
      <c r="A1115" s="2" t="s">
        <v>3341</v>
      </c>
      <c r="B1115" s="2" t="s">
        <v>3342</v>
      </c>
      <c r="C1115" s="2" t="s">
        <v>3343</v>
      </c>
      <c r="D1115" s="2" t="s">
        <v>10042</v>
      </c>
      <c r="E1115" s="15">
        <v>8.8200000000000001E-2</v>
      </c>
      <c r="F1115" s="15">
        <v>5.0099999999999999E-2</v>
      </c>
      <c r="G1115" s="15">
        <v>7.8399999999999997E-2</v>
      </c>
      <c r="H1115" s="15">
        <v>0.15959999999999999</v>
      </c>
      <c r="I1115" s="15">
        <v>2.06E-2</v>
      </c>
      <c r="J1115" s="15">
        <v>8.494949494949493</v>
      </c>
    </row>
    <row r="1116" spans="1:10" x14ac:dyDescent="0.25">
      <c r="A1116" s="2" t="s">
        <v>3344</v>
      </c>
      <c r="B1116" s="2" t="s">
        <v>3345</v>
      </c>
      <c r="C1116" s="2" t="s">
        <v>3346</v>
      </c>
      <c r="D1116" s="2" t="s">
        <v>10042</v>
      </c>
      <c r="E1116" s="15">
        <v>2.4299999999999999E-2</v>
      </c>
      <c r="F1116" s="15">
        <v>7.17E-2</v>
      </c>
      <c r="G1116" s="15">
        <v>0.73460000000000003</v>
      </c>
      <c r="H1116" s="15">
        <v>6.13E-2</v>
      </c>
      <c r="I1116" s="15">
        <v>1.6199999999999999E-2</v>
      </c>
      <c r="J1116" s="15">
        <v>4.2278481012658222</v>
      </c>
    </row>
    <row r="1117" spans="1:10" x14ac:dyDescent="0.25">
      <c r="A1117" s="2" t="s">
        <v>3347</v>
      </c>
      <c r="B1117" s="2" t="s">
        <v>3348</v>
      </c>
      <c r="C1117" s="2" t="s">
        <v>3349</v>
      </c>
      <c r="D1117" s="2" t="s">
        <v>10042</v>
      </c>
      <c r="E1117" s="15">
        <v>8.5000000000000006E-2</v>
      </c>
      <c r="F1117" s="15">
        <v>6.4699999999999994E-2</v>
      </c>
      <c r="G1117" s="15">
        <v>0.18870000000000001</v>
      </c>
      <c r="H1117" s="15">
        <v>9.8400000000000001E-2</v>
      </c>
      <c r="I1117" s="15">
        <v>0.02</v>
      </c>
      <c r="J1117" s="15">
        <v>5.903743315508021</v>
      </c>
    </row>
    <row r="1118" spans="1:10" x14ac:dyDescent="0.25">
      <c r="A1118" s="2" t="s">
        <v>3350</v>
      </c>
      <c r="B1118" s="2" t="s">
        <v>3351</v>
      </c>
      <c r="C1118" s="2" t="s">
        <v>3352</v>
      </c>
      <c r="D1118" s="2" t="s">
        <v>10042</v>
      </c>
      <c r="E1118" s="15">
        <v>-4.1000000000000002E-2</v>
      </c>
      <c r="F1118" s="15">
        <v>5.57E-2</v>
      </c>
      <c r="G1118" s="15">
        <v>0.46200000000000002</v>
      </c>
      <c r="H1118" s="15">
        <v>9.98E-2</v>
      </c>
      <c r="I1118" s="15">
        <v>1.6500000000000001E-2</v>
      </c>
      <c r="J1118" s="15">
        <v>6.3782051282051286</v>
      </c>
    </row>
    <row r="1119" spans="1:10" x14ac:dyDescent="0.25">
      <c r="A1119" s="2" t="s">
        <v>3353</v>
      </c>
      <c r="B1119" s="2" t="s">
        <v>3354</v>
      </c>
      <c r="C1119" s="2" t="s">
        <v>3355</v>
      </c>
      <c r="D1119" s="2" t="s">
        <v>10042</v>
      </c>
      <c r="E1119" s="15">
        <v>3.8399999999999997E-2</v>
      </c>
      <c r="F1119" s="15">
        <v>4.65E-2</v>
      </c>
      <c r="G1119" s="15">
        <v>0.4083</v>
      </c>
      <c r="H1119" s="15">
        <v>0.19969999999999999</v>
      </c>
      <c r="I1119" s="15">
        <v>2.01E-2</v>
      </c>
      <c r="J1119" s="15">
        <v>10.345177664974621</v>
      </c>
    </row>
    <row r="1120" spans="1:10" x14ac:dyDescent="0.25">
      <c r="A1120" s="2" t="s">
        <v>3356</v>
      </c>
      <c r="B1120" s="2" t="s">
        <v>3357</v>
      </c>
      <c r="C1120" s="2" t="s">
        <v>3358</v>
      </c>
      <c r="D1120" s="2" t="s">
        <v>10042</v>
      </c>
      <c r="E1120" s="15">
        <v>7.1499999999999994E-2</v>
      </c>
      <c r="F1120" s="15">
        <v>4.3400000000000001E-2</v>
      </c>
      <c r="G1120" s="15">
        <v>9.98E-2</v>
      </c>
      <c r="H1120" s="15">
        <v>0.182</v>
      </c>
      <c r="I1120" s="15">
        <v>1.89E-2</v>
      </c>
      <c r="J1120" s="15">
        <v>10.97687861271676</v>
      </c>
    </row>
    <row r="1121" spans="1:10" x14ac:dyDescent="0.25">
      <c r="A1121" s="2" t="s">
        <v>3359</v>
      </c>
      <c r="B1121" s="2" t="s">
        <v>3360</v>
      </c>
      <c r="C1121" s="2" t="s">
        <v>3361</v>
      </c>
      <c r="D1121" s="2" t="s">
        <v>10042</v>
      </c>
      <c r="E1121" s="15">
        <v>2.8199999999999999E-2</v>
      </c>
      <c r="F1121" s="15">
        <v>5.3199999999999997E-2</v>
      </c>
      <c r="G1121" s="15">
        <v>0.59670000000000001</v>
      </c>
      <c r="H1121" s="15">
        <v>9.8299999999999998E-2</v>
      </c>
      <c r="I1121" s="15">
        <v>1.5699999999999999E-2</v>
      </c>
      <c r="J1121" s="15">
        <v>6.4746835443037973</v>
      </c>
    </row>
    <row r="1122" spans="1:10" x14ac:dyDescent="0.25">
      <c r="A1122" s="2" t="s">
        <v>3362</v>
      </c>
      <c r="B1122" s="2" t="s">
        <v>3363</v>
      </c>
      <c r="C1122" s="2" t="s">
        <v>3364</v>
      </c>
      <c r="D1122" s="2" t="s">
        <v>10042</v>
      </c>
      <c r="E1122" s="15">
        <v>-2.3999999999999998E-3</v>
      </c>
      <c r="F1122" s="15">
        <v>5.3199999999999997E-2</v>
      </c>
      <c r="G1122" s="15">
        <v>0.9637</v>
      </c>
      <c r="H1122" s="15">
        <v>0.153</v>
      </c>
      <c r="I1122" s="15">
        <v>2.1499999999999998E-2</v>
      </c>
      <c r="J1122" s="15">
        <v>7.6798029556650258</v>
      </c>
    </row>
    <row r="1123" spans="1:10" x14ac:dyDescent="0.25">
      <c r="A1123" s="2" t="s">
        <v>3365</v>
      </c>
      <c r="B1123" s="2" t="s">
        <v>3366</v>
      </c>
      <c r="C1123" s="2" t="s">
        <v>3367</v>
      </c>
      <c r="D1123" s="2" t="s">
        <v>10042</v>
      </c>
      <c r="E1123" s="15">
        <v>4.4600000000000001E-2</v>
      </c>
      <c r="F1123" s="15">
        <v>4.3799999999999999E-2</v>
      </c>
      <c r="G1123" s="15">
        <v>0.30880000000000002</v>
      </c>
      <c r="H1123" s="15">
        <v>0.20469999999999999</v>
      </c>
      <c r="I1123" s="15">
        <v>2.1299999999999999E-2</v>
      </c>
      <c r="J1123" s="15">
        <v>9.867647058823529</v>
      </c>
    </row>
    <row r="1124" spans="1:10" x14ac:dyDescent="0.25">
      <c r="A1124" s="2" t="s">
        <v>3368</v>
      </c>
      <c r="B1124" s="2" t="s">
        <v>3369</v>
      </c>
      <c r="C1124" s="2" t="s">
        <v>3370</v>
      </c>
      <c r="D1124" s="2" t="s">
        <v>10042</v>
      </c>
      <c r="E1124" s="15">
        <v>1.8E-3</v>
      </c>
      <c r="F1124" s="15">
        <v>5.8900000000000001E-2</v>
      </c>
      <c r="G1124" s="15">
        <v>0.9758</v>
      </c>
      <c r="H1124" s="15">
        <v>0.1215</v>
      </c>
      <c r="I1124" s="15">
        <v>1.7899999999999999E-2</v>
      </c>
      <c r="J1124" s="15">
        <v>6.7738095238095237</v>
      </c>
    </row>
    <row r="1125" spans="1:10" x14ac:dyDescent="0.25">
      <c r="A1125" s="2" t="s">
        <v>3371</v>
      </c>
      <c r="B1125" s="2" t="s">
        <v>3372</v>
      </c>
      <c r="C1125" s="2" t="s">
        <v>3373</v>
      </c>
      <c r="D1125" s="2" t="s">
        <v>10042</v>
      </c>
      <c r="E1125" s="15">
        <v>2.8299999999999999E-2</v>
      </c>
      <c r="F1125" s="15">
        <v>4.6399999999999997E-2</v>
      </c>
      <c r="G1125" s="15">
        <v>0.54169999999999996</v>
      </c>
      <c r="H1125" s="15">
        <v>0.18779999999999999</v>
      </c>
      <c r="I1125" s="15">
        <v>2.1600000000000001E-2</v>
      </c>
      <c r="J1125" s="15">
        <v>9.2964824120603016</v>
      </c>
    </row>
    <row r="1126" spans="1:10" x14ac:dyDescent="0.25">
      <c r="A1126" s="2" t="s">
        <v>3374</v>
      </c>
      <c r="B1126" s="2" t="s">
        <v>3375</v>
      </c>
      <c r="C1126" s="2" t="s">
        <v>3376</v>
      </c>
      <c r="D1126" s="2" t="s">
        <v>10042</v>
      </c>
      <c r="E1126" s="15">
        <v>8.3199999999999996E-2</v>
      </c>
      <c r="F1126" s="15">
        <v>4.2500000000000003E-2</v>
      </c>
      <c r="G1126" s="15">
        <v>5.04E-2</v>
      </c>
      <c r="H1126" s="15">
        <v>0.1726</v>
      </c>
      <c r="I1126" s="15">
        <v>1.9599999999999999E-2</v>
      </c>
      <c r="J1126" s="15">
        <v>9.5</v>
      </c>
    </row>
    <row r="1127" spans="1:10" x14ac:dyDescent="0.25">
      <c r="A1127" s="2" t="s">
        <v>3377</v>
      </c>
      <c r="B1127" s="2" t="s">
        <v>3378</v>
      </c>
      <c r="C1127" s="2" t="s">
        <v>3379</v>
      </c>
      <c r="D1127" s="2" t="s">
        <v>10042</v>
      </c>
      <c r="E1127" s="15">
        <v>6.13E-2</v>
      </c>
      <c r="F1127" s="15">
        <v>5.6399999999999999E-2</v>
      </c>
      <c r="G1127" s="15">
        <v>0.27689999999999998</v>
      </c>
      <c r="H1127" s="15">
        <v>0.1074</v>
      </c>
      <c r="I1127" s="15">
        <v>1.54E-2</v>
      </c>
      <c r="J1127" s="15">
        <v>7.1895424836601309</v>
      </c>
    </row>
    <row r="1128" spans="1:10" x14ac:dyDescent="0.25">
      <c r="A1128" s="2" t="s">
        <v>3380</v>
      </c>
      <c r="B1128" s="2" t="s">
        <v>3381</v>
      </c>
      <c r="C1128" s="2" t="s">
        <v>3382</v>
      </c>
      <c r="D1128" s="2" t="s">
        <v>10042</v>
      </c>
      <c r="E1128" s="15">
        <v>3.8E-3</v>
      </c>
      <c r="F1128" s="15">
        <v>4.9099999999999998E-2</v>
      </c>
      <c r="G1128" s="15">
        <v>0.93840000000000001</v>
      </c>
      <c r="H1128" s="15">
        <v>0.1789</v>
      </c>
      <c r="I1128" s="15">
        <v>2.0299999999999999E-2</v>
      </c>
      <c r="J1128" s="15">
        <v>9.5487179487179485</v>
      </c>
    </row>
    <row r="1129" spans="1:10" x14ac:dyDescent="0.25">
      <c r="A1129" s="2" t="s">
        <v>3383</v>
      </c>
      <c r="B1129" s="2" t="s">
        <v>3384</v>
      </c>
      <c r="C1129" s="2" t="s">
        <v>3385</v>
      </c>
      <c r="D1129" s="2" t="s">
        <v>10042</v>
      </c>
      <c r="E1129" s="15">
        <v>5.0200000000000002E-2</v>
      </c>
      <c r="F1129" s="15">
        <v>5.9299999999999999E-2</v>
      </c>
      <c r="G1129" s="15">
        <v>0.39729999999999999</v>
      </c>
      <c r="H1129" s="15">
        <v>9.8199999999999996E-2</v>
      </c>
      <c r="I1129" s="15">
        <v>2.5000000000000001E-2</v>
      </c>
      <c r="J1129" s="15">
        <v>4.8370044052863426</v>
      </c>
    </row>
    <row r="1130" spans="1:10" x14ac:dyDescent="0.25">
      <c r="A1130" s="2" t="s">
        <v>3386</v>
      </c>
      <c r="B1130" s="2" t="s">
        <v>3387</v>
      </c>
      <c r="C1130" s="2" t="s">
        <v>3388</v>
      </c>
      <c r="D1130" s="2" t="s">
        <v>10042</v>
      </c>
      <c r="E1130" s="15">
        <v>2.7199999999999998E-2</v>
      </c>
      <c r="F1130" s="15">
        <v>4.7899999999999998E-2</v>
      </c>
      <c r="G1130" s="15">
        <v>0.56950000000000001</v>
      </c>
      <c r="H1130" s="15">
        <v>0.1457</v>
      </c>
      <c r="I1130" s="15">
        <v>1.8200000000000001E-2</v>
      </c>
      <c r="J1130" s="15">
        <v>8.1437125748502996</v>
      </c>
    </row>
    <row r="1131" spans="1:10" x14ac:dyDescent="0.25">
      <c r="A1131" s="2" t="s">
        <v>3389</v>
      </c>
      <c r="B1131" s="2" t="s">
        <v>3390</v>
      </c>
      <c r="C1131" s="2" t="s">
        <v>3391</v>
      </c>
      <c r="D1131" s="2" t="s">
        <v>10042</v>
      </c>
      <c r="E1131" s="15">
        <v>1.6000000000000001E-3</v>
      </c>
      <c r="F1131" s="15">
        <v>5.04E-2</v>
      </c>
      <c r="G1131" s="15">
        <v>0.97509999999999997</v>
      </c>
      <c r="H1131" s="15">
        <v>0.1721</v>
      </c>
      <c r="I1131" s="15">
        <v>1.9300000000000001E-2</v>
      </c>
      <c r="J1131" s="15">
        <v>9.5759162303664933</v>
      </c>
    </row>
    <row r="1132" spans="1:10" x14ac:dyDescent="0.25">
      <c r="A1132" s="2" t="s">
        <v>3392</v>
      </c>
      <c r="B1132" s="2" t="s">
        <v>3393</v>
      </c>
      <c r="C1132" s="2" t="s">
        <v>3394</v>
      </c>
      <c r="D1132" s="2" t="s">
        <v>10042</v>
      </c>
      <c r="E1132" s="15">
        <v>5.2200000000000003E-2</v>
      </c>
      <c r="F1132" s="15">
        <v>3.9899999999999998E-2</v>
      </c>
      <c r="G1132" s="15">
        <v>0.1915</v>
      </c>
      <c r="H1132" s="15">
        <v>0.2195</v>
      </c>
      <c r="I1132" s="15">
        <v>2.4799999999999999E-2</v>
      </c>
      <c r="J1132" s="15">
        <v>9.2033195020746881</v>
      </c>
    </row>
    <row r="1133" spans="1:10" x14ac:dyDescent="0.25">
      <c r="A1133" s="2" t="s">
        <v>3395</v>
      </c>
      <c r="B1133" s="2" t="s">
        <v>3396</v>
      </c>
      <c r="C1133" s="2" t="s">
        <v>3397</v>
      </c>
      <c r="D1133" s="2" t="s">
        <v>10042</v>
      </c>
      <c r="E1133" s="15">
        <v>7.8200000000000006E-2</v>
      </c>
      <c r="F1133" s="15">
        <v>4.87E-2</v>
      </c>
      <c r="G1133" s="15">
        <v>0.1086</v>
      </c>
      <c r="H1133" s="15">
        <v>0.157</v>
      </c>
      <c r="I1133" s="15">
        <v>1.8100000000000002E-2</v>
      </c>
      <c r="J1133" s="15">
        <v>8.8333333333333339</v>
      </c>
    </row>
    <row r="1134" spans="1:10" x14ac:dyDescent="0.25">
      <c r="A1134" s="2" t="s">
        <v>3398</v>
      </c>
      <c r="B1134" s="2" t="s">
        <v>3399</v>
      </c>
      <c r="C1134" s="2" t="s">
        <v>3400</v>
      </c>
      <c r="D1134" s="2" t="s">
        <v>10042</v>
      </c>
      <c r="E1134" s="15">
        <v>3.2300000000000002E-2</v>
      </c>
      <c r="F1134" s="15">
        <v>5.5500000000000001E-2</v>
      </c>
      <c r="G1134" s="15">
        <v>0.56010000000000004</v>
      </c>
      <c r="H1134" s="15">
        <v>0.1018</v>
      </c>
      <c r="I1134" s="15">
        <v>1.7000000000000001E-2</v>
      </c>
      <c r="J1134" s="15">
        <v>6.6023391812865491</v>
      </c>
    </row>
    <row r="1135" spans="1:10" x14ac:dyDescent="0.25">
      <c r="A1135" s="2" t="s">
        <v>3401</v>
      </c>
      <c r="B1135" s="2" t="s">
        <v>3402</v>
      </c>
      <c r="C1135" s="2" t="s">
        <v>3403</v>
      </c>
      <c r="D1135" s="2" t="s">
        <v>10042</v>
      </c>
      <c r="E1135" s="15">
        <v>3.0800000000000001E-2</v>
      </c>
      <c r="F1135" s="15">
        <v>5.0500000000000003E-2</v>
      </c>
      <c r="G1135" s="15">
        <v>0.54120000000000001</v>
      </c>
      <c r="H1135" s="15">
        <v>0.16489999999999999</v>
      </c>
      <c r="I1135" s="15">
        <v>1.7999999999999999E-2</v>
      </c>
      <c r="J1135" s="15">
        <v>8.8156424581005588</v>
      </c>
    </row>
    <row r="1136" spans="1:10" x14ac:dyDescent="0.25">
      <c r="A1136" s="2" t="s">
        <v>3404</v>
      </c>
      <c r="B1136" s="2" t="s">
        <v>3405</v>
      </c>
      <c r="C1136" s="2" t="s">
        <v>3406</v>
      </c>
      <c r="D1136" s="2" t="s">
        <v>10042</v>
      </c>
      <c r="E1136" s="15">
        <v>4.36E-2</v>
      </c>
      <c r="F1136" s="15">
        <v>4.7399999999999998E-2</v>
      </c>
      <c r="G1136" s="15">
        <v>0.3569</v>
      </c>
      <c r="H1136" s="15">
        <v>0.1245</v>
      </c>
      <c r="I1136" s="15">
        <v>1.7000000000000001E-2</v>
      </c>
      <c r="J1136" s="15">
        <v>7.6524390243902429</v>
      </c>
    </row>
    <row r="1137" spans="1:10" x14ac:dyDescent="0.25">
      <c r="A1137" s="2" t="s">
        <v>3407</v>
      </c>
      <c r="B1137" s="2" t="s">
        <v>3408</v>
      </c>
      <c r="C1137" s="2" t="s">
        <v>3409</v>
      </c>
      <c r="D1137" s="2" t="s">
        <v>10042</v>
      </c>
      <c r="E1137" s="15">
        <v>7.1199999999999999E-2</v>
      </c>
      <c r="F1137" s="15">
        <v>4.4900000000000002E-2</v>
      </c>
      <c r="G1137" s="15">
        <v>0.1125</v>
      </c>
      <c r="H1137" s="15">
        <v>0.1749</v>
      </c>
      <c r="I1137" s="15">
        <v>1.9099999999999999E-2</v>
      </c>
      <c r="J1137" s="15">
        <v>9.5625000000000018</v>
      </c>
    </row>
    <row r="1138" spans="1:10" x14ac:dyDescent="0.25">
      <c r="A1138" s="2" t="s">
        <v>3410</v>
      </c>
      <c r="B1138" s="2" t="s">
        <v>3411</v>
      </c>
      <c r="C1138" s="2" t="s">
        <v>3412</v>
      </c>
      <c r="D1138" s="2" t="s">
        <v>10042</v>
      </c>
      <c r="E1138" s="15">
        <v>4.4600000000000001E-2</v>
      </c>
      <c r="F1138" s="15">
        <v>4.6600000000000003E-2</v>
      </c>
      <c r="G1138" s="15">
        <v>0.33779999999999999</v>
      </c>
      <c r="H1138" s="15">
        <v>0.14149999999999999</v>
      </c>
      <c r="I1138" s="15">
        <v>1.9099999999999999E-2</v>
      </c>
      <c r="J1138" s="15">
        <v>8.134078212290504</v>
      </c>
    </row>
    <row r="1139" spans="1:10" x14ac:dyDescent="0.25">
      <c r="A1139" s="2" t="s">
        <v>3413</v>
      </c>
      <c r="B1139" s="2" t="s">
        <v>3414</v>
      </c>
      <c r="C1139" s="2" t="s">
        <v>3415</v>
      </c>
      <c r="D1139" s="2" t="s">
        <v>10042</v>
      </c>
      <c r="E1139" s="15">
        <v>6.0100000000000001E-2</v>
      </c>
      <c r="F1139" s="15">
        <v>4.0599999999999997E-2</v>
      </c>
      <c r="G1139" s="15">
        <v>0.13850000000000001</v>
      </c>
      <c r="H1139" s="15">
        <v>0.19259999999999999</v>
      </c>
      <c r="I1139" s="15">
        <v>2.2700000000000001E-2</v>
      </c>
      <c r="J1139" s="15">
        <v>8.928251121076233</v>
      </c>
    </row>
    <row r="1140" spans="1:10" x14ac:dyDescent="0.25">
      <c r="A1140" s="2" t="s">
        <v>3416</v>
      </c>
      <c r="B1140" s="2" t="s">
        <v>3417</v>
      </c>
      <c r="C1140" s="2" t="s">
        <v>3418</v>
      </c>
      <c r="D1140" s="2" t="s">
        <v>10042</v>
      </c>
      <c r="E1140" s="15">
        <v>7.6100000000000001E-2</v>
      </c>
      <c r="F1140" s="15">
        <v>4.3299999999999998E-2</v>
      </c>
      <c r="G1140" s="15">
        <v>7.8600000000000003E-2</v>
      </c>
      <c r="H1140" s="15">
        <v>0.2044</v>
      </c>
      <c r="I1140" s="15">
        <v>1.9599999999999999E-2</v>
      </c>
      <c r="J1140" s="15">
        <v>10.30693069306931</v>
      </c>
    </row>
    <row r="1141" spans="1:10" x14ac:dyDescent="0.25">
      <c r="A1141" s="2" t="s">
        <v>3419</v>
      </c>
      <c r="B1141" s="2" t="s">
        <v>3420</v>
      </c>
      <c r="C1141" s="2" t="s">
        <v>3421</v>
      </c>
      <c r="D1141" s="2" t="s">
        <v>10042</v>
      </c>
      <c r="E1141" s="15">
        <v>2.4799999999999999E-2</v>
      </c>
      <c r="F1141" s="15">
        <v>5.57E-2</v>
      </c>
      <c r="G1141" s="15">
        <v>0.65590000000000004</v>
      </c>
      <c r="H1141" s="15">
        <v>0.13730000000000001</v>
      </c>
      <c r="I1141" s="15">
        <v>1.8200000000000001E-2</v>
      </c>
      <c r="J1141" s="15">
        <v>8.5178571428571441</v>
      </c>
    </row>
    <row r="1142" spans="1:10" x14ac:dyDescent="0.25">
      <c r="A1142" s="2" t="s">
        <v>3422</v>
      </c>
      <c r="B1142" s="2" t="s">
        <v>3423</v>
      </c>
      <c r="C1142" s="2" t="s">
        <v>3424</v>
      </c>
      <c r="D1142" s="2" t="s">
        <v>10042</v>
      </c>
      <c r="E1142" s="15">
        <v>6.54E-2</v>
      </c>
      <c r="F1142" s="15">
        <v>4.7899999999999998E-2</v>
      </c>
      <c r="G1142" s="15">
        <v>0.17230000000000001</v>
      </c>
      <c r="H1142" s="15">
        <v>0.19600000000000001</v>
      </c>
      <c r="I1142" s="15">
        <v>1.9800000000000002E-2</v>
      </c>
      <c r="J1142" s="15">
        <v>10.557894736842099</v>
      </c>
    </row>
    <row r="1143" spans="1:10" x14ac:dyDescent="0.25">
      <c r="A1143" s="2" t="s">
        <v>3425</v>
      </c>
      <c r="B1143" s="2" t="s">
        <v>3426</v>
      </c>
      <c r="C1143" s="2" t="s">
        <v>3427</v>
      </c>
      <c r="D1143" s="2" t="s">
        <v>10042</v>
      </c>
      <c r="E1143" s="15">
        <v>4.7100000000000003E-2</v>
      </c>
      <c r="F1143" s="15">
        <v>4.4200000000000003E-2</v>
      </c>
      <c r="G1143" s="15">
        <v>0.28720000000000001</v>
      </c>
      <c r="H1143" s="15">
        <v>0.21290000000000001</v>
      </c>
      <c r="I1143" s="15">
        <v>2.3199999999999998E-2</v>
      </c>
      <c r="J1143" s="15">
        <v>9.6936936936936942</v>
      </c>
    </row>
    <row r="1144" spans="1:10" x14ac:dyDescent="0.25">
      <c r="A1144" s="2" t="s">
        <v>3428</v>
      </c>
      <c r="B1144" s="2" t="s">
        <v>3429</v>
      </c>
      <c r="C1144" s="2" t="s">
        <v>3430</v>
      </c>
      <c r="D1144" s="2" t="s">
        <v>10042</v>
      </c>
      <c r="E1144" s="15">
        <v>9.8699999999999996E-2</v>
      </c>
      <c r="F1144" s="15">
        <v>4.4400000000000002E-2</v>
      </c>
      <c r="G1144" s="15">
        <v>2.5999999999999999E-2</v>
      </c>
      <c r="H1144" s="15">
        <v>0.2084</v>
      </c>
      <c r="I1144" s="15">
        <v>1.9900000000000001E-2</v>
      </c>
      <c r="J1144" s="15">
        <v>10.571428571428569</v>
      </c>
    </row>
    <row r="1145" spans="1:10" x14ac:dyDescent="0.25">
      <c r="A1145" s="2" t="s">
        <v>3431</v>
      </c>
      <c r="B1145" s="2" t="s">
        <v>3432</v>
      </c>
      <c r="C1145" s="2" t="s">
        <v>3433</v>
      </c>
      <c r="D1145" s="2" t="s">
        <v>10042</v>
      </c>
      <c r="E1145" s="15">
        <v>6.0600000000000001E-2</v>
      </c>
      <c r="F1145" s="15">
        <v>4.82E-2</v>
      </c>
      <c r="G1145" s="15">
        <v>0.20930000000000001</v>
      </c>
      <c r="H1145" s="15">
        <v>0.17369999999999999</v>
      </c>
      <c r="I1145" s="15">
        <v>1.95E-2</v>
      </c>
      <c r="J1145" s="15">
        <v>9.0582010582010568</v>
      </c>
    </row>
    <row r="1146" spans="1:10" x14ac:dyDescent="0.25">
      <c r="A1146" s="2" t="s">
        <v>3434</v>
      </c>
      <c r="B1146" s="2" t="s">
        <v>3435</v>
      </c>
      <c r="C1146" s="2" t="s">
        <v>3436</v>
      </c>
      <c r="D1146" s="2" t="s">
        <v>10042</v>
      </c>
      <c r="E1146" s="15">
        <v>1.7899999999999999E-2</v>
      </c>
      <c r="F1146" s="15">
        <v>4.3700000000000003E-2</v>
      </c>
      <c r="G1146" s="15">
        <v>0.68179999999999996</v>
      </c>
      <c r="H1146" s="15">
        <v>0.20480000000000001</v>
      </c>
      <c r="I1146" s="15">
        <v>2.5499999999999998E-2</v>
      </c>
      <c r="J1146" s="15">
        <v>8.5532786885245891</v>
      </c>
    </row>
    <row r="1147" spans="1:10" x14ac:dyDescent="0.25">
      <c r="A1147" s="2" t="s">
        <v>3437</v>
      </c>
      <c r="B1147" s="2" t="s">
        <v>3438</v>
      </c>
      <c r="C1147" s="2" t="s">
        <v>3439</v>
      </c>
      <c r="D1147" s="2" t="s">
        <v>10042</v>
      </c>
      <c r="E1147" s="15">
        <v>2.7400000000000001E-2</v>
      </c>
      <c r="F1147" s="15">
        <v>4.7800000000000002E-2</v>
      </c>
      <c r="G1147" s="15">
        <v>0.56640000000000001</v>
      </c>
      <c r="H1147" s="15">
        <v>0.17019999999999999</v>
      </c>
      <c r="I1147" s="15">
        <v>2.0500000000000001E-2</v>
      </c>
      <c r="J1147" s="15">
        <v>8.9591836734693882</v>
      </c>
    </row>
    <row r="1148" spans="1:10" x14ac:dyDescent="0.25">
      <c r="A1148" s="2" t="s">
        <v>3440</v>
      </c>
      <c r="B1148" s="2" t="s">
        <v>3441</v>
      </c>
      <c r="C1148" s="2" t="s">
        <v>3442</v>
      </c>
      <c r="D1148" s="2" t="s">
        <v>10042</v>
      </c>
      <c r="E1148" s="15">
        <v>5.7000000000000002E-2</v>
      </c>
      <c r="F1148" s="15">
        <v>4.8500000000000001E-2</v>
      </c>
      <c r="G1148" s="15">
        <v>0.2404</v>
      </c>
      <c r="H1148" s="15">
        <v>0.1472</v>
      </c>
      <c r="I1148" s="15">
        <v>1.9400000000000001E-2</v>
      </c>
      <c r="J1148" s="15">
        <v>8.0918918918918923</v>
      </c>
    </row>
    <row r="1149" spans="1:10" x14ac:dyDescent="0.25">
      <c r="A1149" s="2" t="s">
        <v>3443</v>
      </c>
      <c r="B1149" s="2" t="s">
        <v>3444</v>
      </c>
      <c r="C1149" s="2" t="s">
        <v>3445</v>
      </c>
      <c r="D1149" s="2" t="s">
        <v>10042</v>
      </c>
      <c r="E1149" s="15">
        <v>5.7799999999999997E-2</v>
      </c>
      <c r="F1149" s="15">
        <v>5.4899999999999997E-2</v>
      </c>
      <c r="G1149" s="15">
        <v>0.29260000000000003</v>
      </c>
      <c r="H1149" s="15">
        <v>0.10349999999999999</v>
      </c>
      <c r="I1149" s="15">
        <v>1.61E-2</v>
      </c>
      <c r="J1149" s="15">
        <v>6.7469135802469138</v>
      </c>
    </row>
    <row r="1150" spans="1:10" x14ac:dyDescent="0.25">
      <c r="A1150" s="2" t="s">
        <v>3446</v>
      </c>
      <c r="B1150" s="2" t="s">
        <v>3447</v>
      </c>
      <c r="C1150" s="2" t="s">
        <v>3448</v>
      </c>
      <c r="D1150" s="2" t="s">
        <v>10042</v>
      </c>
      <c r="E1150" s="15">
        <v>8.2799999999999999E-2</v>
      </c>
      <c r="F1150" s="15">
        <v>4.7100000000000003E-2</v>
      </c>
      <c r="G1150" s="15">
        <v>7.9000000000000001E-2</v>
      </c>
      <c r="H1150" s="15">
        <v>0.1772</v>
      </c>
      <c r="I1150" s="15">
        <v>2.0299999999999999E-2</v>
      </c>
      <c r="J1150" s="15">
        <v>9.6391752577319583</v>
      </c>
    </row>
    <row r="1151" spans="1:10" x14ac:dyDescent="0.25">
      <c r="A1151" s="2" t="s">
        <v>3449</v>
      </c>
      <c r="B1151" s="2" t="s">
        <v>3450</v>
      </c>
      <c r="C1151" s="2" t="s">
        <v>3451</v>
      </c>
      <c r="D1151" s="2" t="s">
        <v>10042</v>
      </c>
      <c r="E1151" s="15">
        <v>9.3700000000000006E-2</v>
      </c>
      <c r="F1151" s="15">
        <v>4.5400000000000003E-2</v>
      </c>
      <c r="G1151" s="15">
        <v>3.9100000000000003E-2</v>
      </c>
      <c r="H1151" s="15">
        <v>0.1777</v>
      </c>
      <c r="I1151" s="15">
        <v>2.0799999999999999E-2</v>
      </c>
      <c r="J1151" s="15">
        <v>9.4010416666666679</v>
      </c>
    </row>
    <row r="1152" spans="1:10" x14ac:dyDescent="0.25">
      <c r="A1152" s="2" t="s">
        <v>3452</v>
      </c>
      <c r="B1152" s="2" t="s">
        <v>3453</v>
      </c>
      <c r="C1152" s="2" t="s">
        <v>3454</v>
      </c>
      <c r="D1152" s="2" t="s">
        <v>10042</v>
      </c>
      <c r="E1152" s="15">
        <v>5.7700000000000001E-2</v>
      </c>
      <c r="F1152" s="15">
        <v>6.5100000000000005E-2</v>
      </c>
      <c r="G1152" s="15">
        <v>0.37609999999999999</v>
      </c>
      <c r="H1152" s="15">
        <v>7.2599999999999998E-2</v>
      </c>
      <c r="I1152" s="15">
        <v>1.5900000000000001E-2</v>
      </c>
      <c r="J1152" s="15">
        <v>4.5125000000000002</v>
      </c>
    </row>
    <row r="1153" spans="1:10" x14ac:dyDescent="0.25">
      <c r="A1153" s="2" t="s">
        <v>3455</v>
      </c>
      <c r="B1153" s="2" t="s">
        <v>3456</v>
      </c>
      <c r="C1153" s="2" t="s">
        <v>3457</v>
      </c>
      <c r="D1153" s="2" t="s">
        <v>10042</v>
      </c>
      <c r="E1153" s="15">
        <v>9.4799999999999995E-2</v>
      </c>
      <c r="F1153" s="15">
        <v>5.0599999999999999E-2</v>
      </c>
      <c r="G1153" s="15">
        <v>6.0999999999999999E-2</v>
      </c>
      <c r="H1153" s="15">
        <v>0.16500000000000001</v>
      </c>
      <c r="I1153" s="15">
        <v>2.2100000000000002E-2</v>
      </c>
      <c r="J1153" s="15">
        <v>7.3225806451612909</v>
      </c>
    </row>
    <row r="1154" spans="1:10" x14ac:dyDescent="0.25">
      <c r="A1154" s="2" t="s">
        <v>3458</v>
      </c>
      <c r="B1154" s="2" t="s">
        <v>3459</v>
      </c>
      <c r="C1154" s="2" t="s">
        <v>3460</v>
      </c>
      <c r="D1154" s="2" t="s">
        <v>10042</v>
      </c>
      <c r="E1154" s="15">
        <v>3.9899999999999998E-2</v>
      </c>
      <c r="F1154" s="15">
        <v>4.1399999999999999E-2</v>
      </c>
      <c r="G1154" s="15">
        <v>0.3352</v>
      </c>
      <c r="H1154" s="15">
        <v>0.21240000000000001</v>
      </c>
      <c r="I1154" s="15">
        <v>2.1999999999999999E-2</v>
      </c>
      <c r="J1154" s="15">
        <v>9.619909502262443</v>
      </c>
    </row>
    <row r="1155" spans="1:10" x14ac:dyDescent="0.25">
      <c r="A1155" s="2" t="s">
        <v>3461</v>
      </c>
      <c r="B1155" s="2" t="s">
        <v>3462</v>
      </c>
      <c r="C1155" s="2" t="s">
        <v>3463</v>
      </c>
      <c r="D1155" s="2" t="s">
        <v>10042</v>
      </c>
      <c r="E1155" s="15">
        <v>8.7599999999999997E-2</v>
      </c>
      <c r="F1155" s="15">
        <v>5.1499999999999997E-2</v>
      </c>
      <c r="G1155" s="15">
        <v>8.8999999999999996E-2</v>
      </c>
      <c r="H1155" s="15">
        <v>0.15240000000000001</v>
      </c>
      <c r="I1155" s="15">
        <v>1.7299999999999999E-2</v>
      </c>
      <c r="J1155" s="15">
        <v>9.5928143712574858</v>
      </c>
    </row>
    <row r="1156" spans="1:10" x14ac:dyDescent="0.25">
      <c r="A1156" s="2" t="s">
        <v>3464</v>
      </c>
      <c r="B1156" s="2" t="s">
        <v>3465</v>
      </c>
      <c r="C1156" s="2" t="s">
        <v>3466</v>
      </c>
      <c r="D1156" s="2" t="s">
        <v>10042</v>
      </c>
      <c r="E1156" s="15">
        <v>1.67E-2</v>
      </c>
      <c r="F1156" s="15">
        <v>4.3400000000000001E-2</v>
      </c>
      <c r="G1156" s="15">
        <v>0.70089999999999997</v>
      </c>
      <c r="H1156" s="15">
        <v>0.1744</v>
      </c>
      <c r="I1156" s="15">
        <v>1.9699999999999999E-2</v>
      </c>
      <c r="J1156" s="15">
        <v>9.9945054945054945</v>
      </c>
    </row>
    <row r="1157" spans="1:10" x14ac:dyDescent="0.25">
      <c r="A1157" s="2" t="s">
        <v>3467</v>
      </c>
      <c r="B1157" s="2" t="s">
        <v>3468</v>
      </c>
      <c r="C1157" s="2" t="s">
        <v>3469</v>
      </c>
      <c r="D1157" s="2" t="s">
        <v>10042</v>
      </c>
      <c r="E1157" s="15">
        <v>9.8599999999999993E-2</v>
      </c>
      <c r="F1157" s="15">
        <v>4.0399999999999998E-2</v>
      </c>
      <c r="G1157" s="15">
        <v>1.47E-2</v>
      </c>
      <c r="H1157" s="15">
        <v>0.217</v>
      </c>
      <c r="I1157" s="15">
        <v>2.1000000000000001E-2</v>
      </c>
      <c r="J1157" s="15">
        <v>10.52682926829268</v>
      </c>
    </row>
    <row r="1158" spans="1:10" x14ac:dyDescent="0.25">
      <c r="A1158" s="2" t="s">
        <v>3470</v>
      </c>
      <c r="B1158" s="2" t="s">
        <v>3471</v>
      </c>
      <c r="C1158" s="2" t="s">
        <v>3472</v>
      </c>
      <c r="D1158" s="2" t="s">
        <v>10042</v>
      </c>
      <c r="E1158" s="15">
        <v>8.9399999999999993E-2</v>
      </c>
      <c r="F1158" s="15">
        <v>6.2399999999999997E-2</v>
      </c>
      <c r="G1158" s="15">
        <v>0.15179999999999999</v>
      </c>
      <c r="H1158" s="15">
        <v>0.1115</v>
      </c>
      <c r="I1158" s="15">
        <v>1.7399999999999999E-2</v>
      </c>
      <c r="J1158" s="15">
        <v>6.7928994082840246</v>
      </c>
    </row>
    <row r="1159" spans="1:10" x14ac:dyDescent="0.25">
      <c r="A1159" s="2" t="s">
        <v>3473</v>
      </c>
      <c r="B1159" s="2" t="s">
        <v>3474</v>
      </c>
      <c r="C1159" s="2" t="s">
        <v>3475</v>
      </c>
      <c r="D1159" s="2" t="s">
        <v>10042</v>
      </c>
      <c r="E1159" s="15">
        <v>2.9499999999999998E-2</v>
      </c>
      <c r="F1159" s="15">
        <v>4.7E-2</v>
      </c>
      <c r="G1159" s="15">
        <v>0.53049999999999997</v>
      </c>
      <c r="H1159" s="15">
        <v>0.1817</v>
      </c>
      <c r="I1159" s="15">
        <v>2.0299999999999999E-2</v>
      </c>
      <c r="J1159" s="15">
        <v>9.6313131313131315</v>
      </c>
    </row>
    <row r="1160" spans="1:10" x14ac:dyDescent="0.25">
      <c r="A1160" s="2" t="s">
        <v>3476</v>
      </c>
      <c r="B1160" s="2" t="s">
        <v>3477</v>
      </c>
      <c r="C1160" s="2" t="s">
        <v>3478</v>
      </c>
      <c r="D1160" s="2" t="s">
        <v>10042</v>
      </c>
      <c r="E1160" s="15">
        <v>-4.0099999999999997E-2</v>
      </c>
      <c r="F1160" s="15">
        <v>7.0499999999999993E-2</v>
      </c>
      <c r="G1160" s="15">
        <v>0.56969999999999998</v>
      </c>
      <c r="H1160" s="15">
        <v>0.08</v>
      </c>
      <c r="I1160" s="15">
        <v>1.55E-2</v>
      </c>
      <c r="J1160" s="15">
        <v>5.6554054054054053</v>
      </c>
    </row>
    <row r="1161" spans="1:10" x14ac:dyDescent="0.25">
      <c r="A1161" s="2" t="s">
        <v>3479</v>
      </c>
      <c r="B1161" s="2" t="s">
        <v>3480</v>
      </c>
      <c r="C1161" s="2" t="s">
        <v>3481</v>
      </c>
      <c r="D1161" s="2" t="s">
        <v>10042</v>
      </c>
      <c r="E1161" s="15">
        <v>0.1125</v>
      </c>
      <c r="F1161" s="15">
        <v>4.9000000000000002E-2</v>
      </c>
      <c r="G1161" s="15">
        <v>2.1600000000000001E-2</v>
      </c>
      <c r="H1161" s="15">
        <v>0.1668</v>
      </c>
      <c r="I1161" s="15">
        <v>1.83E-2</v>
      </c>
      <c r="J1161" s="15">
        <v>9.683908045977013</v>
      </c>
    </row>
    <row r="1162" spans="1:10" x14ac:dyDescent="0.25">
      <c r="A1162" s="2" t="s">
        <v>3482</v>
      </c>
      <c r="B1162" s="2" t="s">
        <v>3483</v>
      </c>
      <c r="C1162" s="2" t="s">
        <v>3484</v>
      </c>
      <c r="D1162" s="2" t="s">
        <v>10042</v>
      </c>
      <c r="E1162" s="15">
        <v>2.4199999999999999E-2</v>
      </c>
      <c r="F1162" s="15">
        <v>5.2999999999999999E-2</v>
      </c>
      <c r="G1162" s="15">
        <v>0.64749999999999996</v>
      </c>
      <c r="H1162" s="15">
        <v>0.15040000000000001</v>
      </c>
      <c r="I1162" s="15">
        <v>1.7500000000000002E-2</v>
      </c>
      <c r="J1162" s="15">
        <v>9.24</v>
      </c>
    </row>
    <row r="1163" spans="1:10" x14ac:dyDescent="0.25">
      <c r="A1163" s="2" t="s">
        <v>3485</v>
      </c>
      <c r="B1163" s="2" t="s">
        <v>3486</v>
      </c>
      <c r="C1163" s="2" t="s">
        <v>3487</v>
      </c>
      <c r="D1163" s="2" t="s">
        <v>10042</v>
      </c>
      <c r="E1163" s="15">
        <v>5.1799999999999999E-2</v>
      </c>
      <c r="F1163" s="15">
        <v>4.02E-2</v>
      </c>
      <c r="G1163" s="15">
        <v>0.19700000000000001</v>
      </c>
      <c r="H1163" s="15">
        <v>0.2034</v>
      </c>
      <c r="I1163" s="15">
        <v>2.5399999999999999E-2</v>
      </c>
      <c r="J1163" s="15">
        <v>8.2088353413654627</v>
      </c>
    </row>
    <row r="1164" spans="1:10" x14ac:dyDescent="0.25">
      <c r="A1164" s="2" t="s">
        <v>3488</v>
      </c>
      <c r="B1164" s="2" t="s">
        <v>3489</v>
      </c>
      <c r="C1164" s="2" t="s">
        <v>3490</v>
      </c>
      <c r="D1164" s="2" t="s">
        <v>10042</v>
      </c>
      <c r="E1164" s="15">
        <v>7.0800000000000002E-2</v>
      </c>
      <c r="F1164" s="15">
        <v>5.5100000000000003E-2</v>
      </c>
      <c r="G1164" s="15">
        <v>0.19889999999999999</v>
      </c>
      <c r="H1164" s="15">
        <v>0.1467</v>
      </c>
      <c r="I1164" s="15">
        <v>1.7899999999999999E-2</v>
      </c>
      <c r="J1164" s="15">
        <v>8.5393258426966288</v>
      </c>
    </row>
    <row r="1165" spans="1:10" x14ac:dyDescent="0.25">
      <c r="A1165" s="2" t="s">
        <v>3491</v>
      </c>
      <c r="B1165" s="2" t="s">
        <v>3492</v>
      </c>
      <c r="C1165" s="2" t="s">
        <v>3493</v>
      </c>
      <c r="D1165" s="2" t="s">
        <v>10042</v>
      </c>
      <c r="E1165" s="15">
        <v>9.1300000000000006E-2</v>
      </c>
      <c r="F1165" s="15">
        <v>5.45E-2</v>
      </c>
      <c r="G1165" s="15">
        <v>9.3799999999999994E-2</v>
      </c>
      <c r="H1165" s="15">
        <v>0.1181</v>
      </c>
      <c r="I1165" s="15">
        <v>1.7100000000000001E-2</v>
      </c>
      <c r="J1165" s="15">
        <v>7.5375722543352586</v>
      </c>
    </row>
    <row r="1166" spans="1:10" x14ac:dyDescent="0.25">
      <c r="A1166" s="2" t="s">
        <v>3494</v>
      </c>
      <c r="B1166" s="2" t="s">
        <v>3495</v>
      </c>
      <c r="C1166" s="2" t="s">
        <v>3496</v>
      </c>
      <c r="D1166" s="2" t="s">
        <v>10042</v>
      </c>
      <c r="E1166" s="15">
        <v>1.6999999999999999E-3</v>
      </c>
      <c r="F1166" s="15">
        <v>5.2999999999999999E-2</v>
      </c>
      <c r="G1166" s="15">
        <v>0.97460000000000002</v>
      </c>
      <c r="H1166" s="15">
        <v>0.16339999999999999</v>
      </c>
      <c r="I1166" s="15">
        <v>1.84E-2</v>
      </c>
      <c r="J1166" s="15">
        <v>8.9021739130434785</v>
      </c>
    </row>
    <row r="1167" spans="1:10" x14ac:dyDescent="0.25">
      <c r="A1167" s="2" t="s">
        <v>3497</v>
      </c>
      <c r="B1167" s="2" t="s">
        <v>3498</v>
      </c>
      <c r="C1167" s="2" t="s">
        <v>3499</v>
      </c>
      <c r="D1167" s="2" t="s">
        <v>10042</v>
      </c>
      <c r="E1167" s="15">
        <v>5.9499999999999997E-2</v>
      </c>
      <c r="F1167" s="15">
        <v>5.4100000000000002E-2</v>
      </c>
      <c r="G1167" s="15">
        <v>0.27079999999999999</v>
      </c>
      <c r="H1167" s="15">
        <v>0.1179</v>
      </c>
      <c r="I1167" s="15">
        <v>1.8100000000000002E-2</v>
      </c>
      <c r="J1167" s="15">
        <v>6.7833333333333341</v>
      </c>
    </row>
    <row r="1168" spans="1:10" x14ac:dyDescent="0.25">
      <c r="A1168" s="2" t="s">
        <v>3500</v>
      </c>
      <c r="B1168" s="2" t="s">
        <v>3501</v>
      </c>
      <c r="C1168" s="2" t="s">
        <v>3502</v>
      </c>
      <c r="D1168" s="2" t="s">
        <v>10042</v>
      </c>
      <c r="E1168" s="15">
        <v>9.64E-2</v>
      </c>
      <c r="F1168" s="15">
        <v>4.9500000000000002E-2</v>
      </c>
      <c r="G1168" s="15">
        <v>5.1299999999999998E-2</v>
      </c>
      <c r="H1168" s="15">
        <v>0.15920000000000001</v>
      </c>
      <c r="I1168" s="15">
        <v>1.9699999999999999E-2</v>
      </c>
      <c r="J1168" s="15">
        <v>8.0780487804878049</v>
      </c>
    </row>
    <row r="1169" spans="1:10" x14ac:dyDescent="0.25">
      <c r="A1169" s="2" t="s">
        <v>3503</v>
      </c>
      <c r="B1169" s="2" t="s">
        <v>3504</v>
      </c>
      <c r="C1169" s="2" t="s">
        <v>3505</v>
      </c>
      <c r="D1169" s="2" t="s">
        <v>10042</v>
      </c>
      <c r="E1169" s="15">
        <v>3.0700000000000002E-2</v>
      </c>
      <c r="F1169" s="15">
        <v>4.5600000000000002E-2</v>
      </c>
      <c r="G1169" s="15">
        <v>0.50060000000000004</v>
      </c>
      <c r="H1169" s="15">
        <v>0.15720000000000001</v>
      </c>
      <c r="I1169" s="15">
        <v>2.06E-2</v>
      </c>
      <c r="J1169" s="15">
        <v>8.0552763819095468</v>
      </c>
    </row>
    <row r="1170" spans="1:10" x14ac:dyDescent="0.25">
      <c r="A1170" s="2" t="s">
        <v>3506</v>
      </c>
      <c r="B1170" s="2" t="s">
        <v>3507</v>
      </c>
      <c r="C1170" s="2" t="s">
        <v>3508</v>
      </c>
      <c r="D1170" s="2" t="s">
        <v>10042</v>
      </c>
      <c r="E1170" s="15">
        <v>2.5100000000000001E-2</v>
      </c>
      <c r="F1170" s="15">
        <v>4.1799999999999997E-2</v>
      </c>
      <c r="G1170" s="15">
        <v>0.54890000000000005</v>
      </c>
      <c r="H1170" s="15">
        <v>0.20180000000000001</v>
      </c>
      <c r="I1170" s="15">
        <v>2.1000000000000001E-2</v>
      </c>
      <c r="J1170" s="15">
        <v>9.434579439252337</v>
      </c>
    </row>
    <row r="1171" spans="1:10" x14ac:dyDescent="0.25">
      <c r="A1171" s="2" t="s">
        <v>3509</v>
      </c>
      <c r="B1171" s="2" t="s">
        <v>3510</v>
      </c>
      <c r="C1171" s="2" t="s">
        <v>3511</v>
      </c>
      <c r="D1171" s="2" t="s">
        <v>10042</v>
      </c>
      <c r="E1171" s="15">
        <v>8.9499999999999996E-2</v>
      </c>
      <c r="F1171" s="15">
        <v>4.4499999999999998E-2</v>
      </c>
      <c r="G1171" s="15">
        <v>4.41E-2</v>
      </c>
      <c r="H1171" s="15">
        <v>0.20949999999999999</v>
      </c>
      <c r="I1171" s="15">
        <v>2.3699999999999999E-2</v>
      </c>
      <c r="J1171" s="15">
        <v>9.0427350427350426</v>
      </c>
    </row>
    <row r="1172" spans="1:10" x14ac:dyDescent="0.25">
      <c r="A1172" s="2" t="s">
        <v>3512</v>
      </c>
      <c r="B1172" s="2" t="s">
        <v>3513</v>
      </c>
      <c r="C1172" s="2" t="s">
        <v>3514</v>
      </c>
      <c r="D1172" s="2" t="s">
        <v>10042</v>
      </c>
      <c r="E1172" s="15">
        <v>3.6700000000000003E-2</v>
      </c>
      <c r="F1172" s="15">
        <v>6.6500000000000004E-2</v>
      </c>
      <c r="G1172" s="15">
        <v>0.58069999999999999</v>
      </c>
      <c r="H1172" s="15">
        <v>8.0699999999999994E-2</v>
      </c>
      <c r="I1172" s="15">
        <v>1.6400000000000001E-2</v>
      </c>
      <c r="J1172" s="15">
        <v>5.6918238993710686</v>
      </c>
    </row>
    <row r="1173" spans="1:10" x14ac:dyDescent="0.25">
      <c r="A1173" s="2" t="s">
        <v>3515</v>
      </c>
      <c r="B1173" s="2" t="s">
        <v>3516</v>
      </c>
      <c r="C1173" s="2" t="s">
        <v>3517</v>
      </c>
      <c r="D1173" s="2" t="s">
        <v>10042</v>
      </c>
      <c r="E1173" s="15">
        <v>4.65E-2</v>
      </c>
      <c r="F1173" s="15">
        <v>5.0700000000000002E-2</v>
      </c>
      <c r="G1173" s="15">
        <v>0.35899999999999999</v>
      </c>
      <c r="H1173" s="15">
        <v>0.17649999999999999</v>
      </c>
      <c r="I1173" s="15">
        <v>1.8700000000000001E-2</v>
      </c>
      <c r="J1173" s="15">
        <v>9.4247311827956999</v>
      </c>
    </row>
    <row r="1174" spans="1:10" x14ac:dyDescent="0.25">
      <c r="A1174" s="2" t="s">
        <v>3518</v>
      </c>
      <c r="B1174" s="2" t="s">
        <v>3519</v>
      </c>
      <c r="C1174" s="2" t="s">
        <v>3520</v>
      </c>
      <c r="D1174" s="2" t="s">
        <v>10042</v>
      </c>
      <c r="E1174" s="15">
        <v>5.91E-2</v>
      </c>
      <c r="F1174" s="15">
        <v>4.41E-2</v>
      </c>
      <c r="G1174" s="15">
        <v>0.1807</v>
      </c>
      <c r="H1174" s="15">
        <v>0.22189999999999999</v>
      </c>
      <c r="I1174" s="15">
        <v>2.1000000000000001E-2</v>
      </c>
      <c r="J1174" s="15">
        <v>11.119402985074631</v>
      </c>
    </row>
    <row r="1175" spans="1:10" x14ac:dyDescent="0.25">
      <c r="A1175" s="2" t="s">
        <v>3521</v>
      </c>
      <c r="B1175" s="2" t="s">
        <v>3522</v>
      </c>
      <c r="C1175" s="2" t="s">
        <v>3523</v>
      </c>
      <c r="D1175" s="2" t="s">
        <v>10042</v>
      </c>
      <c r="E1175" s="15">
        <v>8.2600000000000007E-2</v>
      </c>
      <c r="F1175" s="15">
        <v>4.8399999999999999E-2</v>
      </c>
      <c r="G1175" s="15">
        <v>8.7999999999999995E-2</v>
      </c>
      <c r="H1175" s="15">
        <v>0.1658</v>
      </c>
      <c r="I1175" s="15">
        <v>2.12E-2</v>
      </c>
      <c r="J1175" s="15">
        <v>7.8926829268292682</v>
      </c>
    </row>
    <row r="1176" spans="1:10" x14ac:dyDescent="0.25">
      <c r="A1176" s="2" t="s">
        <v>3524</v>
      </c>
      <c r="B1176" s="2" t="s">
        <v>3525</v>
      </c>
      <c r="C1176" s="2" t="s">
        <v>3526</v>
      </c>
      <c r="D1176" s="2" t="s">
        <v>10042</v>
      </c>
      <c r="E1176" s="15">
        <v>7.4300000000000005E-2</v>
      </c>
      <c r="F1176" s="15">
        <v>4.9099999999999998E-2</v>
      </c>
      <c r="G1176" s="15">
        <v>0.1305</v>
      </c>
      <c r="H1176" s="15">
        <v>0.20480000000000001</v>
      </c>
      <c r="I1176" s="15">
        <v>2.0199999999999999E-2</v>
      </c>
      <c r="J1176" s="15">
        <v>9.8232323232323235</v>
      </c>
    </row>
    <row r="1177" spans="1:10" x14ac:dyDescent="0.25">
      <c r="A1177" s="2" t="s">
        <v>3527</v>
      </c>
      <c r="B1177" s="2" t="s">
        <v>3528</v>
      </c>
      <c r="C1177" s="2" t="s">
        <v>3529</v>
      </c>
      <c r="D1177" s="2" t="s">
        <v>10042</v>
      </c>
      <c r="E1177" s="15">
        <v>6.4000000000000001E-2</v>
      </c>
      <c r="F1177" s="15">
        <v>4.65E-2</v>
      </c>
      <c r="G1177" s="15">
        <v>0.16869999999999999</v>
      </c>
      <c r="H1177" s="15">
        <v>0.20669999999999999</v>
      </c>
      <c r="I1177" s="15">
        <v>2.4199999999999999E-2</v>
      </c>
      <c r="J1177" s="15">
        <v>9.0484581497797354</v>
      </c>
    </row>
    <row r="1178" spans="1:10" x14ac:dyDescent="0.25">
      <c r="A1178" s="2" t="s">
        <v>3530</v>
      </c>
      <c r="B1178" s="2" t="s">
        <v>3531</v>
      </c>
      <c r="C1178" s="2" t="s">
        <v>3532</v>
      </c>
      <c r="D1178" s="2" t="s">
        <v>10042</v>
      </c>
      <c r="E1178" s="15">
        <v>9.0300000000000005E-2</v>
      </c>
      <c r="F1178" s="15">
        <v>5.3800000000000001E-2</v>
      </c>
      <c r="G1178" s="15">
        <v>9.3200000000000005E-2</v>
      </c>
      <c r="H1178" s="15">
        <v>0.14050000000000001</v>
      </c>
      <c r="I1178" s="15">
        <v>2.29E-2</v>
      </c>
      <c r="J1178" s="15">
        <v>7.2180094786729851</v>
      </c>
    </row>
    <row r="1179" spans="1:10" x14ac:dyDescent="0.25">
      <c r="A1179" s="2" t="s">
        <v>3533</v>
      </c>
      <c r="B1179" s="2" t="s">
        <v>3534</v>
      </c>
      <c r="C1179" s="2" t="s">
        <v>3535</v>
      </c>
      <c r="D1179" s="2" t="s">
        <v>10042</v>
      </c>
      <c r="E1179" s="15">
        <v>8.9399999999999993E-2</v>
      </c>
      <c r="F1179" s="15">
        <v>4.65E-2</v>
      </c>
      <c r="G1179" s="15">
        <v>5.4300000000000001E-2</v>
      </c>
      <c r="H1179" s="15">
        <v>0.19239999999999999</v>
      </c>
      <c r="I1179" s="15">
        <v>2.35E-2</v>
      </c>
      <c r="J1179" s="15">
        <v>8.47982062780269</v>
      </c>
    </row>
    <row r="1180" spans="1:10" x14ac:dyDescent="0.25">
      <c r="A1180" s="2" t="s">
        <v>3536</v>
      </c>
      <c r="B1180" s="2" t="s">
        <v>3537</v>
      </c>
      <c r="C1180" s="2" t="s">
        <v>3538</v>
      </c>
      <c r="D1180" s="2" t="s">
        <v>10042</v>
      </c>
      <c r="E1180" s="15">
        <v>0.08</v>
      </c>
      <c r="F1180" s="15">
        <v>5.2699999999999997E-2</v>
      </c>
      <c r="G1180" s="15">
        <v>0.12859999999999999</v>
      </c>
      <c r="H1180" s="15">
        <v>0.1055</v>
      </c>
      <c r="I1180" s="15">
        <v>1.72E-2</v>
      </c>
      <c r="J1180" s="15">
        <v>6.916666666666667</v>
      </c>
    </row>
    <row r="1181" spans="1:10" x14ac:dyDescent="0.25">
      <c r="A1181" s="2" t="s">
        <v>3539</v>
      </c>
      <c r="B1181" s="2" t="s">
        <v>3540</v>
      </c>
      <c r="C1181" s="2" t="s">
        <v>3541</v>
      </c>
      <c r="D1181" s="2" t="s">
        <v>10042</v>
      </c>
      <c r="E1181" s="15">
        <v>8.8400000000000006E-2</v>
      </c>
      <c r="F1181" s="15">
        <v>5.6500000000000002E-2</v>
      </c>
      <c r="G1181" s="15">
        <v>0.1174</v>
      </c>
      <c r="H1181" s="15">
        <v>0.13789999999999999</v>
      </c>
      <c r="I1181" s="15">
        <v>1.9300000000000001E-2</v>
      </c>
      <c r="J1181" s="15">
        <v>7.8655913978494638</v>
      </c>
    </row>
    <row r="1182" spans="1:10" x14ac:dyDescent="0.25">
      <c r="A1182" s="2" t="s">
        <v>3542</v>
      </c>
      <c r="B1182" s="2" t="s">
        <v>3543</v>
      </c>
      <c r="C1182" s="2" t="s">
        <v>3544</v>
      </c>
      <c r="D1182" s="2" t="s">
        <v>10042</v>
      </c>
      <c r="E1182" s="15">
        <v>4.2799999999999998E-2</v>
      </c>
      <c r="F1182" s="15">
        <v>4.3099999999999999E-2</v>
      </c>
      <c r="G1182" s="15">
        <v>0.32050000000000001</v>
      </c>
      <c r="H1182" s="15">
        <v>0.17610000000000001</v>
      </c>
      <c r="I1182" s="15">
        <v>1.7899999999999999E-2</v>
      </c>
      <c r="J1182" s="15">
        <v>10.302857142857141</v>
      </c>
    </row>
    <row r="1183" spans="1:10" x14ac:dyDescent="0.25">
      <c r="A1183" s="2" t="s">
        <v>3545</v>
      </c>
      <c r="B1183" s="2" t="s">
        <v>3546</v>
      </c>
      <c r="C1183" s="2" t="s">
        <v>3547</v>
      </c>
      <c r="D1183" s="2" t="s">
        <v>10042</v>
      </c>
      <c r="E1183" s="15">
        <v>6.9199999999999998E-2</v>
      </c>
      <c r="F1183" s="15">
        <v>3.7699999999999997E-2</v>
      </c>
      <c r="G1183" s="15">
        <v>6.6400000000000001E-2</v>
      </c>
      <c r="H1183" s="15">
        <v>0.20780000000000001</v>
      </c>
      <c r="I1183" s="15">
        <v>2.1600000000000001E-2</v>
      </c>
      <c r="J1183" s="15">
        <v>10.26341463414634</v>
      </c>
    </row>
    <row r="1184" spans="1:10" x14ac:dyDescent="0.25">
      <c r="A1184" s="2" t="s">
        <v>3548</v>
      </c>
      <c r="B1184" s="2" t="s">
        <v>3549</v>
      </c>
      <c r="C1184" s="2" t="s">
        <v>3550</v>
      </c>
      <c r="D1184" s="2" t="s">
        <v>10042</v>
      </c>
      <c r="E1184" s="15">
        <v>2.9700000000000001E-2</v>
      </c>
      <c r="F1184" s="15">
        <v>5.74E-2</v>
      </c>
      <c r="G1184" s="15">
        <v>0.60489999999999999</v>
      </c>
      <c r="H1184" s="15">
        <v>0.1085</v>
      </c>
      <c r="I1184" s="15">
        <v>1.77E-2</v>
      </c>
      <c r="J1184" s="15">
        <v>6.8060606060606057</v>
      </c>
    </row>
    <row r="1185" spans="1:10" x14ac:dyDescent="0.25">
      <c r="A1185" s="2" t="s">
        <v>3551</v>
      </c>
      <c r="B1185" s="2" t="s">
        <v>3552</v>
      </c>
      <c r="C1185" s="2" t="s">
        <v>3553</v>
      </c>
      <c r="D1185" s="2" t="s">
        <v>10042</v>
      </c>
      <c r="E1185" s="15">
        <v>6.0400000000000002E-2</v>
      </c>
      <c r="F1185" s="15">
        <v>5.5100000000000003E-2</v>
      </c>
      <c r="G1185" s="15">
        <v>0.27229999999999999</v>
      </c>
      <c r="H1185" s="15">
        <v>0.129</v>
      </c>
      <c r="I1185" s="15">
        <v>1.9699999999999999E-2</v>
      </c>
      <c r="J1185" s="15">
        <v>7.224043715846995</v>
      </c>
    </row>
    <row r="1186" spans="1:10" x14ac:dyDescent="0.25">
      <c r="A1186" s="2" t="s">
        <v>3554</v>
      </c>
      <c r="B1186" s="2" t="s">
        <v>3555</v>
      </c>
      <c r="C1186" s="2" t="s">
        <v>3556</v>
      </c>
      <c r="D1186" s="2" t="s">
        <v>10042</v>
      </c>
      <c r="E1186" s="15">
        <v>-5.8299999999999998E-2</v>
      </c>
      <c r="F1186" s="15">
        <v>6.5000000000000002E-2</v>
      </c>
      <c r="G1186" s="15">
        <v>0.36959999999999998</v>
      </c>
      <c r="H1186" s="15">
        <v>7.1800000000000003E-2</v>
      </c>
      <c r="I1186" s="15">
        <v>1.7899999999999999E-2</v>
      </c>
      <c r="J1186" s="15">
        <v>4.3076923076923084</v>
      </c>
    </row>
    <row r="1187" spans="1:10" x14ac:dyDescent="0.25">
      <c r="A1187" s="2" t="s">
        <v>3557</v>
      </c>
      <c r="B1187" s="2" t="s">
        <v>3558</v>
      </c>
      <c r="C1187" s="2" t="s">
        <v>3559</v>
      </c>
      <c r="D1187" s="2" t="s">
        <v>10042</v>
      </c>
      <c r="E1187" s="15">
        <v>2.1700000000000001E-2</v>
      </c>
      <c r="F1187" s="15">
        <v>4.5999999999999999E-2</v>
      </c>
      <c r="G1187" s="15">
        <v>0.63680000000000003</v>
      </c>
      <c r="H1187" s="15">
        <v>0.13800000000000001</v>
      </c>
      <c r="I1187" s="15">
        <v>1.8800000000000001E-2</v>
      </c>
      <c r="J1187" s="15">
        <v>7.9830508474576272</v>
      </c>
    </row>
    <row r="1188" spans="1:10" x14ac:dyDescent="0.25">
      <c r="A1188" s="2" t="s">
        <v>3560</v>
      </c>
      <c r="B1188" s="2" t="s">
        <v>3561</v>
      </c>
      <c r="C1188" s="2" t="s">
        <v>3562</v>
      </c>
      <c r="D1188" s="2" t="s">
        <v>10042</v>
      </c>
      <c r="E1188" s="15">
        <v>4.7399999999999998E-2</v>
      </c>
      <c r="F1188" s="15">
        <v>5.0299999999999997E-2</v>
      </c>
      <c r="G1188" s="15">
        <v>0.34560000000000002</v>
      </c>
      <c r="H1188" s="15">
        <v>0.13950000000000001</v>
      </c>
      <c r="I1188" s="15">
        <v>1.83E-2</v>
      </c>
      <c r="J1188" s="15">
        <v>8.128654970760234</v>
      </c>
    </row>
    <row r="1189" spans="1:10" x14ac:dyDescent="0.25">
      <c r="A1189" s="2" t="s">
        <v>3563</v>
      </c>
      <c r="B1189" s="2" t="s">
        <v>3564</v>
      </c>
      <c r="C1189" s="2" t="s">
        <v>3565</v>
      </c>
      <c r="D1189" s="2" t="s">
        <v>10042</v>
      </c>
      <c r="E1189" s="15">
        <v>4.07E-2</v>
      </c>
      <c r="F1189" s="15">
        <v>5.7299999999999997E-2</v>
      </c>
      <c r="G1189" s="15">
        <v>0.47689999999999999</v>
      </c>
      <c r="H1189" s="15">
        <v>0.11609999999999999</v>
      </c>
      <c r="I1189" s="15">
        <v>1.7899999999999999E-2</v>
      </c>
      <c r="J1189" s="15">
        <v>6.9764705882352933</v>
      </c>
    </row>
    <row r="1190" spans="1:10" x14ac:dyDescent="0.25">
      <c r="A1190" s="2" t="s">
        <v>3566</v>
      </c>
      <c r="B1190" s="2" t="s">
        <v>3567</v>
      </c>
      <c r="C1190" s="2" t="s">
        <v>3568</v>
      </c>
      <c r="D1190" s="2" t="s">
        <v>10042</v>
      </c>
      <c r="E1190" s="15">
        <v>9.1300000000000006E-2</v>
      </c>
      <c r="F1190" s="15">
        <v>4.3999999999999997E-2</v>
      </c>
      <c r="G1190" s="15">
        <v>3.8100000000000002E-2</v>
      </c>
      <c r="H1190" s="15">
        <v>0.18360000000000001</v>
      </c>
      <c r="I1190" s="15">
        <v>1.8499999999999999E-2</v>
      </c>
      <c r="J1190" s="15">
        <v>10.77840909090909</v>
      </c>
    </row>
    <row r="1191" spans="1:10" x14ac:dyDescent="0.25">
      <c r="A1191" s="2" t="s">
        <v>3569</v>
      </c>
      <c r="B1191" s="2" t="s">
        <v>3570</v>
      </c>
      <c r="C1191" s="2" t="s">
        <v>3571</v>
      </c>
      <c r="D1191" s="2" t="s">
        <v>10042</v>
      </c>
      <c r="E1191" s="15">
        <v>4.1200000000000001E-2</v>
      </c>
      <c r="F1191" s="15">
        <v>5.0900000000000001E-2</v>
      </c>
      <c r="G1191" s="15">
        <v>0.41860000000000003</v>
      </c>
      <c r="H1191" s="15">
        <v>0.14940000000000001</v>
      </c>
      <c r="I1191" s="15">
        <v>1.8200000000000001E-2</v>
      </c>
      <c r="J1191" s="15">
        <v>8.2967032967032956</v>
      </c>
    </row>
    <row r="1192" spans="1:10" x14ac:dyDescent="0.25">
      <c r="A1192" s="2" t="s">
        <v>3572</v>
      </c>
      <c r="B1192" s="2" t="s">
        <v>3573</v>
      </c>
      <c r="C1192" s="2" t="s">
        <v>3574</v>
      </c>
      <c r="D1192" s="2" t="s">
        <v>10042</v>
      </c>
      <c r="E1192" s="15">
        <v>2.4799999999999999E-2</v>
      </c>
      <c r="F1192" s="15">
        <v>5.6300000000000003E-2</v>
      </c>
      <c r="G1192" s="15">
        <v>0.65980000000000005</v>
      </c>
      <c r="H1192" s="15">
        <v>9.8500000000000004E-2</v>
      </c>
      <c r="I1192" s="15">
        <v>1.8100000000000002E-2</v>
      </c>
      <c r="J1192" s="15">
        <v>6.3353658536585362</v>
      </c>
    </row>
    <row r="1193" spans="1:10" x14ac:dyDescent="0.25">
      <c r="A1193" s="2" t="s">
        <v>3575</v>
      </c>
      <c r="B1193" s="2" t="s">
        <v>3576</v>
      </c>
      <c r="C1193" s="2" t="s">
        <v>3577</v>
      </c>
      <c r="D1193" s="2" t="s">
        <v>10042</v>
      </c>
      <c r="E1193" s="15">
        <v>2.8500000000000001E-2</v>
      </c>
      <c r="F1193" s="15">
        <v>5.1299999999999998E-2</v>
      </c>
      <c r="G1193" s="15">
        <v>0.57850000000000001</v>
      </c>
      <c r="H1193" s="15">
        <v>0.16869999999999999</v>
      </c>
      <c r="I1193" s="15">
        <v>1.78E-2</v>
      </c>
      <c r="J1193" s="15">
        <v>9.0786516853932575</v>
      </c>
    </row>
    <row r="1194" spans="1:10" x14ac:dyDescent="0.25">
      <c r="A1194" s="2" t="s">
        <v>3578</v>
      </c>
      <c r="B1194" s="2" t="s">
        <v>3579</v>
      </c>
      <c r="C1194" s="2" t="s">
        <v>3580</v>
      </c>
      <c r="D1194" s="2" t="s">
        <v>10042</v>
      </c>
      <c r="E1194" s="15">
        <v>3.4500000000000003E-2</v>
      </c>
      <c r="F1194" s="15">
        <v>4.7E-2</v>
      </c>
      <c r="G1194" s="15">
        <v>0.46329999999999999</v>
      </c>
      <c r="H1194" s="15">
        <v>0.20619999999999999</v>
      </c>
      <c r="I1194" s="15">
        <v>2.1000000000000001E-2</v>
      </c>
      <c r="J1194" s="15">
        <v>10.282926829268289</v>
      </c>
    </row>
    <row r="1195" spans="1:10" x14ac:dyDescent="0.25">
      <c r="A1195" s="2" t="s">
        <v>3581</v>
      </c>
      <c r="B1195" s="2" t="s">
        <v>3582</v>
      </c>
      <c r="C1195" s="2" t="s">
        <v>3583</v>
      </c>
      <c r="D1195" s="2" t="s">
        <v>10042</v>
      </c>
      <c r="E1195" s="15">
        <v>4.3099999999999999E-2</v>
      </c>
      <c r="F1195" s="15">
        <v>4.2700000000000002E-2</v>
      </c>
      <c r="G1195" s="15">
        <v>0.31180000000000002</v>
      </c>
      <c r="H1195" s="15">
        <v>0.22</v>
      </c>
      <c r="I1195" s="15">
        <v>2.3900000000000001E-2</v>
      </c>
      <c r="J1195" s="15">
        <v>9.6535087719298236</v>
      </c>
    </row>
    <row r="1196" spans="1:10" x14ac:dyDescent="0.25">
      <c r="A1196" s="2" t="s">
        <v>3584</v>
      </c>
      <c r="B1196" s="2" t="s">
        <v>3585</v>
      </c>
      <c r="C1196" s="2" t="s">
        <v>3586</v>
      </c>
      <c r="D1196" s="2" t="s">
        <v>10042</v>
      </c>
      <c r="E1196" s="15">
        <v>5.5300000000000002E-2</v>
      </c>
      <c r="F1196" s="15">
        <v>5.8500000000000003E-2</v>
      </c>
      <c r="G1196" s="15">
        <v>0.34470000000000001</v>
      </c>
      <c r="H1196" s="15">
        <v>8.3799999999999999E-2</v>
      </c>
      <c r="I1196" s="15">
        <v>1.6299999999999999E-2</v>
      </c>
      <c r="J1196" s="15">
        <v>5.9935064935064926</v>
      </c>
    </row>
    <row r="1197" spans="1:10" x14ac:dyDescent="0.25">
      <c r="A1197" s="2" t="s">
        <v>3587</v>
      </c>
      <c r="B1197" s="2" t="s">
        <v>3588</v>
      </c>
      <c r="C1197" s="2" t="s">
        <v>3589</v>
      </c>
      <c r="D1197" s="2" t="s">
        <v>10042</v>
      </c>
      <c r="E1197" s="15">
        <v>8.6099999999999996E-2</v>
      </c>
      <c r="F1197" s="15">
        <v>6.2100000000000002E-2</v>
      </c>
      <c r="G1197" s="15">
        <v>0.16550000000000001</v>
      </c>
      <c r="H1197" s="15">
        <v>8.5199999999999998E-2</v>
      </c>
      <c r="I1197" s="15">
        <v>1.5100000000000001E-2</v>
      </c>
      <c r="J1197" s="15">
        <v>5.8125</v>
      </c>
    </row>
    <row r="1198" spans="1:10" x14ac:dyDescent="0.25">
      <c r="A1198" s="2" t="s">
        <v>3590</v>
      </c>
      <c r="B1198" s="2" t="s">
        <v>3591</v>
      </c>
      <c r="C1198" s="2" t="s">
        <v>3592</v>
      </c>
      <c r="D1198" s="2" t="s">
        <v>10042</v>
      </c>
      <c r="E1198" s="15">
        <v>0.11409999999999999</v>
      </c>
      <c r="F1198" s="15">
        <v>4.87E-2</v>
      </c>
      <c r="G1198" s="15">
        <v>1.9099999999999999E-2</v>
      </c>
      <c r="H1198" s="15">
        <v>0.14899999999999999</v>
      </c>
      <c r="I1198" s="15">
        <v>1.8499999999999999E-2</v>
      </c>
      <c r="J1198" s="15">
        <v>8.2171428571428571</v>
      </c>
    </row>
    <row r="1199" spans="1:10" x14ac:dyDescent="0.25">
      <c r="A1199" s="2" t="s">
        <v>3593</v>
      </c>
      <c r="B1199" s="2" t="s">
        <v>3594</v>
      </c>
      <c r="C1199" s="2" t="s">
        <v>3595</v>
      </c>
      <c r="D1199" s="2" t="s">
        <v>10042</v>
      </c>
      <c r="E1199" s="15">
        <v>5.1499999999999997E-2</v>
      </c>
      <c r="F1199" s="15">
        <v>4.7699999999999999E-2</v>
      </c>
      <c r="G1199" s="15">
        <v>0.28029999999999999</v>
      </c>
      <c r="H1199" s="15">
        <v>0.1419</v>
      </c>
      <c r="I1199" s="15">
        <v>1.8800000000000001E-2</v>
      </c>
      <c r="J1199" s="15">
        <v>7.9828571428571413</v>
      </c>
    </row>
    <row r="1200" spans="1:10" x14ac:dyDescent="0.25">
      <c r="A1200" s="2" t="s">
        <v>3596</v>
      </c>
      <c r="B1200" s="2" t="s">
        <v>3597</v>
      </c>
      <c r="C1200" s="2" t="s">
        <v>3598</v>
      </c>
      <c r="D1200" s="2" t="s">
        <v>10042</v>
      </c>
      <c r="E1200" s="15">
        <v>-1.8499999999999999E-2</v>
      </c>
      <c r="F1200" s="15">
        <v>5.4899999999999997E-2</v>
      </c>
      <c r="G1200" s="15">
        <v>0.7359</v>
      </c>
      <c r="H1200" s="15">
        <v>0.13619999999999999</v>
      </c>
      <c r="I1200" s="15">
        <v>2.18E-2</v>
      </c>
      <c r="J1200" s="15">
        <v>6.8905472636815928</v>
      </c>
    </row>
    <row r="1201" spans="1:10" x14ac:dyDescent="0.25">
      <c r="A1201" s="2" t="s">
        <v>3599</v>
      </c>
      <c r="B1201" s="2" t="s">
        <v>3600</v>
      </c>
      <c r="C1201" s="2" t="s">
        <v>3601</v>
      </c>
      <c r="D1201" s="2" t="s">
        <v>10042</v>
      </c>
      <c r="E1201" s="15">
        <v>1.6199999999999999E-2</v>
      </c>
      <c r="F1201" s="15">
        <v>5.1400000000000001E-2</v>
      </c>
      <c r="G1201" s="15">
        <v>0.752</v>
      </c>
      <c r="H1201" s="15">
        <v>0.15939999999999999</v>
      </c>
      <c r="I1201" s="15">
        <v>1.9E-2</v>
      </c>
      <c r="J1201" s="15">
        <v>9.1739130434782616</v>
      </c>
    </row>
    <row r="1202" spans="1:10" x14ac:dyDescent="0.25">
      <c r="A1202" s="2" t="s">
        <v>3602</v>
      </c>
      <c r="B1202" s="2" t="s">
        <v>3603</v>
      </c>
      <c r="C1202" s="2" t="s">
        <v>3604</v>
      </c>
      <c r="D1202" s="2" t="s">
        <v>10042</v>
      </c>
      <c r="E1202" s="15">
        <v>3.2800000000000003E-2</v>
      </c>
      <c r="F1202" s="15">
        <v>5.57E-2</v>
      </c>
      <c r="G1202" s="15">
        <v>0.55589999999999995</v>
      </c>
      <c r="H1202" s="15">
        <v>0.1278</v>
      </c>
      <c r="I1202" s="15">
        <v>1.8499999999999999E-2</v>
      </c>
      <c r="J1202" s="15">
        <v>7.604395604395604</v>
      </c>
    </row>
    <row r="1203" spans="1:10" x14ac:dyDescent="0.25">
      <c r="A1203" s="2" t="s">
        <v>3605</v>
      </c>
      <c r="B1203" s="2" t="s">
        <v>3606</v>
      </c>
      <c r="C1203" s="2" t="s">
        <v>3607</v>
      </c>
      <c r="D1203" s="2" t="s">
        <v>10042</v>
      </c>
      <c r="E1203" s="15">
        <v>6.7699999999999996E-2</v>
      </c>
      <c r="F1203" s="15">
        <v>5.3499999999999999E-2</v>
      </c>
      <c r="G1203" s="15">
        <v>0.2059</v>
      </c>
      <c r="H1203" s="15">
        <v>0.1082</v>
      </c>
      <c r="I1203" s="15">
        <v>1.54E-2</v>
      </c>
      <c r="J1203" s="15">
        <v>7.6329113924050622</v>
      </c>
    </row>
    <row r="1204" spans="1:10" x14ac:dyDescent="0.25">
      <c r="A1204" s="2" t="s">
        <v>3608</v>
      </c>
      <c r="B1204" s="2" t="s">
        <v>3609</v>
      </c>
      <c r="C1204" s="2" t="s">
        <v>3610</v>
      </c>
      <c r="D1204" s="2" t="s">
        <v>10042</v>
      </c>
      <c r="E1204" s="15">
        <v>2.8199999999999999E-2</v>
      </c>
      <c r="F1204" s="15">
        <v>4.9599999999999998E-2</v>
      </c>
      <c r="G1204" s="15">
        <v>0.56930000000000003</v>
      </c>
      <c r="H1204" s="15">
        <v>0.1636</v>
      </c>
      <c r="I1204" s="15">
        <v>2.0400000000000001E-2</v>
      </c>
      <c r="J1204" s="15">
        <v>8.544502617801049</v>
      </c>
    </row>
    <row r="1205" spans="1:10" x14ac:dyDescent="0.25">
      <c r="A1205" s="2" t="s">
        <v>3611</v>
      </c>
      <c r="B1205" s="2" t="s">
        <v>3612</v>
      </c>
      <c r="C1205" s="2" t="s">
        <v>3613</v>
      </c>
      <c r="D1205" s="2" t="s">
        <v>10042</v>
      </c>
      <c r="E1205" s="15">
        <v>3.3E-3</v>
      </c>
      <c r="F1205" s="15">
        <v>4.7300000000000002E-2</v>
      </c>
      <c r="G1205" s="15">
        <v>0.9446</v>
      </c>
      <c r="H1205" s="15">
        <v>0.18809999999999999</v>
      </c>
      <c r="I1205" s="15">
        <v>2.35E-2</v>
      </c>
      <c r="J1205" s="15">
        <v>8.5491071428571423</v>
      </c>
    </row>
    <row r="1206" spans="1:10" x14ac:dyDescent="0.25">
      <c r="A1206" s="2" t="s">
        <v>3614</v>
      </c>
      <c r="B1206" s="2" t="s">
        <v>3615</v>
      </c>
      <c r="C1206" s="2" t="s">
        <v>3616</v>
      </c>
      <c r="D1206" s="2" t="s">
        <v>10042</v>
      </c>
      <c r="E1206" s="15">
        <v>7.1099999999999997E-2</v>
      </c>
      <c r="F1206" s="15">
        <v>4.82E-2</v>
      </c>
      <c r="G1206" s="15">
        <v>0.13980000000000001</v>
      </c>
      <c r="H1206" s="15">
        <v>0.17780000000000001</v>
      </c>
      <c r="I1206" s="15">
        <v>1.8700000000000001E-2</v>
      </c>
      <c r="J1206" s="15">
        <v>9.5108695652173907</v>
      </c>
    </row>
    <row r="1207" spans="1:10" x14ac:dyDescent="0.25">
      <c r="A1207" s="2" t="s">
        <v>3617</v>
      </c>
      <c r="B1207" s="2" t="s">
        <v>3618</v>
      </c>
      <c r="C1207" s="2" t="s">
        <v>3619</v>
      </c>
      <c r="D1207" s="2" t="s">
        <v>10042</v>
      </c>
      <c r="E1207" s="15">
        <v>9.0899999999999995E-2</v>
      </c>
      <c r="F1207" s="15">
        <v>4.5699999999999998E-2</v>
      </c>
      <c r="G1207" s="15">
        <v>4.6699999999999998E-2</v>
      </c>
      <c r="H1207" s="15">
        <v>0.16850000000000001</v>
      </c>
      <c r="I1207" s="15">
        <v>1.6299999999999999E-2</v>
      </c>
      <c r="J1207" s="15">
        <v>9.2849740932642479</v>
      </c>
    </row>
    <row r="1208" spans="1:10" x14ac:dyDescent="0.25">
      <c r="A1208" s="2" t="s">
        <v>3620</v>
      </c>
      <c r="B1208" s="2" t="s">
        <v>3621</v>
      </c>
      <c r="C1208" s="2" t="s">
        <v>3622</v>
      </c>
      <c r="D1208" s="2" t="s">
        <v>10042</v>
      </c>
      <c r="E1208" s="15">
        <v>4.6699999999999998E-2</v>
      </c>
      <c r="F1208" s="15">
        <v>4.3499999999999997E-2</v>
      </c>
      <c r="G1208" s="15">
        <v>0.28260000000000002</v>
      </c>
      <c r="H1208" s="15">
        <v>0.1772</v>
      </c>
      <c r="I1208" s="15">
        <v>2.3E-2</v>
      </c>
      <c r="J1208" s="15">
        <v>8.3607305936073075</v>
      </c>
    </row>
    <row r="1209" spans="1:10" x14ac:dyDescent="0.25">
      <c r="A1209" s="2" t="s">
        <v>3623</v>
      </c>
      <c r="B1209" s="2" t="s">
        <v>3624</v>
      </c>
      <c r="C1209" s="2" t="s">
        <v>3625</v>
      </c>
      <c r="D1209" s="2" t="s">
        <v>10042</v>
      </c>
      <c r="E1209" s="15">
        <v>7.2499999999999995E-2</v>
      </c>
      <c r="F1209" s="15">
        <v>4.6399999999999997E-2</v>
      </c>
      <c r="G1209" s="15">
        <v>0.1183</v>
      </c>
      <c r="H1209" s="15">
        <v>0.1875</v>
      </c>
      <c r="I1209" s="15">
        <v>1.9300000000000001E-2</v>
      </c>
      <c r="J1209" s="15">
        <v>9.58</v>
      </c>
    </row>
    <row r="1210" spans="1:10" x14ac:dyDescent="0.25">
      <c r="A1210" s="2" t="s">
        <v>3626</v>
      </c>
      <c r="B1210" s="2" t="s">
        <v>3627</v>
      </c>
      <c r="C1210" s="2" t="s">
        <v>3628</v>
      </c>
      <c r="D1210" s="2" t="s">
        <v>10042</v>
      </c>
      <c r="E1210" s="15">
        <v>3.5700000000000003E-2</v>
      </c>
      <c r="F1210" s="15">
        <v>5.7200000000000001E-2</v>
      </c>
      <c r="G1210" s="15">
        <v>0.53300000000000003</v>
      </c>
      <c r="H1210" s="15">
        <v>9.2499999999999999E-2</v>
      </c>
      <c r="I1210" s="15">
        <v>1.8499999999999999E-2</v>
      </c>
      <c r="J1210" s="15">
        <v>5.4277456647398843</v>
      </c>
    </row>
    <row r="1211" spans="1:10" x14ac:dyDescent="0.25">
      <c r="A1211" s="2" t="s">
        <v>3629</v>
      </c>
      <c r="B1211" s="2" t="s">
        <v>3630</v>
      </c>
      <c r="C1211" s="2" t="s">
        <v>3631</v>
      </c>
      <c r="D1211" s="2" t="s">
        <v>10042</v>
      </c>
      <c r="E1211" s="15">
        <v>-2.69E-2</v>
      </c>
      <c r="F1211" s="15">
        <v>5.79E-2</v>
      </c>
      <c r="G1211" s="15">
        <v>0.64239999999999997</v>
      </c>
      <c r="H1211" s="15">
        <v>0.1047</v>
      </c>
      <c r="I1211" s="15">
        <v>1.7299999999999999E-2</v>
      </c>
      <c r="J1211" s="15">
        <v>6.0285714285714276</v>
      </c>
    </row>
    <row r="1212" spans="1:10" x14ac:dyDescent="0.25">
      <c r="A1212" s="2" t="s">
        <v>3632</v>
      </c>
      <c r="B1212" s="2" t="s">
        <v>3633</v>
      </c>
      <c r="C1212" s="2" t="s">
        <v>3634</v>
      </c>
      <c r="D1212" s="2" t="s">
        <v>10042</v>
      </c>
      <c r="E1212" s="15">
        <v>2.8500000000000001E-2</v>
      </c>
      <c r="F1212" s="15">
        <v>4.7800000000000002E-2</v>
      </c>
      <c r="G1212" s="15">
        <v>0.55130000000000001</v>
      </c>
      <c r="H1212" s="15">
        <v>0.159</v>
      </c>
      <c r="I1212" s="15">
        <v>1.8599999999999998E-2</v>
      </c>
      <c r="J1212" s="15">
        <v>9.3764044943820224</v>
      </c>
    </row>
    <row r="1213" spans="1:10" x14ac:dyDescent="0.25">
      <c r="A1213" s="2" t="s">
        <v>3635</v>
      </c>
      <c r="B1213" s="2" t="s">
        <v>3636</v>
      </c>
      <c r="C1213" s="2" t="s">
        <v>3637</v>
      </c>
      <c r="D1213" s="2" t="s">
        <v>10042</v>
      </c>
      <c r="E1213" s="15">
        <v>5.8000000000000003E-2</v>
      </c>
      <c r="F1213" s="15">
        <v>5.0999999999999997E-2</v>
      </c>
      <c r="G1213" s="15">
        <v>0.25530000000000003</v>
      </c>
      <c r="H1213" s="15">
        <v>0.20130000000000001</v>
      </c>
      <c r="I1213" s="15">
        <v>2.0799999999999999E-2</v>
      </c>
      <c r="J1213" s="15">
        <v>10.21608040201005</v>
      </c>
    </row>
    <row r="1214" spans="1:10" x14ac:dyDescent="0.25">
      <c r="A1214" s="2" t="s">
        <v>3638</v>
      </c>
      <c r="B1214" s="2" t="s">
        <v>3639</v>
      </c>
      <c r="C1214" s="2" t="s">
        <v>3640</v>
      </c>
      <c r="D1214" s="2" t="s">
        <v>10042</v>
      </c>
      <c r="E1214" s="15">
        <v>0.02</v>
      </c>
      <c r="F1214" s="15">
        <v>5.4800000000000001E-2</v>
      </c>
      <c r="G1214" s="15">
        <v>0.7147</v>
      </c>
      <c r="H1214" s="15">
        <v>9.1800000000000007E-2</v>
      </c>
      <c r="I1214" s="15">
        <v>1.66E-2</v>
      </c>
      <c r="J1214" s="15">
        <v>5.6139240506329111</v>
      </c>
    </row>
    <row r="1215" spans="1:10" x14ac:dyDescent="0.25">
      <c r="A1215" s="2" t="s">
        <v>3641</v>
      </c>
      <c r="B1215" s="2" t="s">
        <v>3642</v>
      </c>
      <c r="C1215" s="2" t="s">
        <v>3643</v>
      </c>
      <c r="D1215" s="2" t="s">
        <v>10042</v>
      </c>
      <c r="E1215" s="15">
        <v>6.2399999999999997E-2</v>
      </c>
      <c r="F1215" s="15">
        <v>5.0900000000000001E-2</v>
      </c>
      <c r="G1215" s="15">
        <v>0.21990000000000001</v>
      </c>
      <c r="H1215" s="15">
        <v>0.1389</v>
      </c>
      <c r="I1215" s="15">
        <v>2.2599999999999999E-2</v>
      </c>
      <c r="J1215" s="15">
        <v>6.9857142857142849</v>
      </c>
    </row>
    <row r="1216" spans="1:10" x14ac:dyDescent="0.25">
      <c r="A1216" s="2" t="s">
        <v>3644</v>
      </c>
      <c r="B1216" s="2" t="s">
        <v>3645</v>
      </c>
      <c r="C1216" s="2" t="s">
        <v>3646</v>
      </c>
      <c r="D1216" s="2" t="s">
        <v>10042</v>
      </c>
      <c r="E1216" s="15">
        <v>-2.98E-2</v>
      </c>
      <c r="F1216" s="15">
        <v>5.9299999999999999E-2</v>
      </c>
      <c r="G1216" s="15">
        <v>0.61499999999999999</v>
      </c>
      <c r="H1216" s="15">
        <v>0.11849999999999999</v>
      </c>
      <c r="I1216" s="15">
        <v>1.67E-2</v>
      </c>
      <c r="J1216" s="15">
        <v>7.2802547770700654</v>
      </c>
    </row>
    <row r="1217" spans="1:10" x14ac:dyDescent="0.25">
      <c r="A1217" s="2" t="s">
        <v>3647</v>
      </c>
      <c r="B1217" s="2" t="s">
        <v>3648</v>
      </c>
      <c r="C1217" s="2" t="s">
        <v>3649</v>
      </c>
      <c r="D1217" s="2" t="s">
        <v>10042</v>
      </c>
      <c r="E1217" s="15">
        <v>2.63E-2</v>
      </c>
      <c r="F1217" s="15">
        <v>4.4999999999999998E-2</v>
      </c>
      <c r="G1217" s="15">
        <v>0.55920000000000003</v>
      </c>
      <c r="H1217" s="15">
        <v>0.1593</v>
      </c>
      <c r="I1217" s="15">
        <v>1.7999999999999999E-2</v>
      </c>
      <c r="J1217" s="15">
        <v>8.7325581395348841</v>
      </c>
    </row>
    <row r="1218" spans="1:10" x14ac:dyDescent="0.25">
      <c r="A1218" s="2" t="s">
        <v>3650</v>
      </c>
      <c r="B1218" s="2" t="s">
        <v>3651</v>
      </c>
      <c r="C1218" s="2" t="s">
        <v>3652</v>
      </c>
      <c r="D1218" s="2" t="s">
        <v>10042</v>
      </c>
      <c r="E1218" s="15">
        <v>7.4999999999999997E-2</v>
      </c>
      <c r="F1218" s="15">
        <v>5.5E-2</v>
      </c>
      <c r="G1218" s="15">
        <v>0.17280000000000001</v>
      </c>
      <c r="H1218" s="15">
        <v>9.4299999999999995E-2</v>
      </c>
      <c r="I1218" s="15">
        <v>1.55E-2</v>
      </c>
      <c r="J1218" s="15">
        <v>6.68</v>
      </c>
    </row>
    <row r="1219" spans="1:10" x14ac:dyDescent="0.25">
      <c r="A1219" s="2" t="s">
        <v>3653</v>
      </c>
      <c r="B1219" s="2" t="s">
        <v>3654</v>
      </c>
      <c r="C1219" s="2" t="s">
        <v>3655</v>
      </c>
      <c r="D1219" s="2" t="s">
        <v>10042</v>
      </c>
      <c r="E1219" s="15">
        <v>3.9899999999999998E-2</v>
      </c>
      <c r="F1219" s="15">
        <v>6.9400000000000003E-2</v>
      </c>
      <c r="G1219" s="15">
        <v>0.56569999999999998</v>
      </c>
      <c r="H1219" s="15">
        <v>7.2099999999999997E-2</v>
      </c>
      <c r="I1219" s="15">
        <v>1.43E-2</v>
      </c>
      <c r="J1219" s="15">
        <v>5.1468531468531467</v>
      </c>
    </row>
    <row r="1220" spans="1:10" x14ac:dyDescent="0.25">
      <c r="A1220" s="2" t="s">
        <v>3656</v>
      </c>
      <c r="B1220" s="2" t="s">
        <v>3657</v>
      </c>
      <c r="C1220" s="2" t="s">
        <v>3658</v>
      </c>
      <c r="D1220" s="2" t="s">
        <v>10042</v>
      </c>
      <c r="E1220" s="15">
        <v>3.3700000000000001E-2</v>
      </c>
      <c r="F1220" s="15">
        <v>4.6199999999999998E-2</v>
      </c>
      <c r="G1220" s="15">
        <v>0.4662</v>
      </c>
      <c r="H1220" s="15">
        <v>0.21</v>
      </c>
      <c r="I1220" s="15">
        <v>2.5399999999999999E-2</v>
      </c>
      <c r="J1220" s="15">
        <v>8.914893617021276</v>
      </c>
    </row>
    <row r="1221" spans="1:10" x14ac:dyDescent="0.25">
      <c r="A1221" s="2" t="s">
        <v>3659</v>
      </c>
      <c r="B1221" s="2" t="s">
        <v>3660</v>
      </c>
      <c r="C1221" s="2" t="s">
        <v>3661</v>
      </c>
      <c r="D1221" s="2" t="s">
        <v>10042</v>
      </c>
      <c r="E1221" s="15">
        <v>6.2899999999999998E-2</v>
      </c>
      <c r="F1221" s="15">
        <v>5.1900000000000002E-2</v>
      </c>
      <c r="G1221" s="15">
        <v>0.22539999999999999</v>
      </c>
      <c r="H1221" s="15">
        <v>0.11650000000000001</v>
      </c>
      <c r="I1221" s="15">
        <v>1.6799999999999999E-2</v>
      </c>
      <c r="J1221" s="15">
        <v>7.4037267080745339</v>
      </c>
    </row>
    <row r="1222" spans="1:10" x14ac:dyDescent="0.25">
      <c r="A1222" s="2" t="s">
        <v>3662</v>
      </c>
      <c r="B1222" s="2" t="s">
        <v>3663</v>
      </c>
      <c r="C1222" s="2" t="s">
        <v>3664</v>
      </c>
      <c r="D1222" s="2" t="s">
        <v>10042</v>
      </c>
      <c r="E1222" s="15">
        <v>-1.2200000000000001E-2</v>
      </c>
      <c r="F1222" s="15">
        <v>5.8000000000000003E-2</v>
      </c>
      <c r="G1222" s="15">
        <v>0.83309999999999995</v>
      </c>
      <c r="H1222" s="15">
        <v>9.9199999999999997E-2</v>
      </c>
      <c r="I1222" s="15">
        <v>1.67E-2</v>
      </c>
      <c r="J1222" s="15">
        <v>6.1518987341772142</v>
      </c>
    </row>
    <row r="1223" spans="1:10" x14ac:dyDescent="0.25">
      <c r="A1223" s="2" t="s">
        <v>3665</v>
      </c>
      <c r="B1223" s="2" t="s">
        <v>3666</v>
      </c>
      <c r="C1223" s="2" t="s">
        <v>3667</v>
      </c>
      <c r="D1223" s="2" t="s">
        <v>10042</v>
      </c>
      <c r="E1223" s="15">
        <v>-6.6E-3</v>
      </c>
      <c r="F1223" s="15">
        <v>4.8099999999999997E-2</v>
      </c>
      <c r="G1223" s="15">
        <v>0.89080000000000004</v>
      </c>
      <c r="H1223" s="15">
        <v>0.13789999999999999</v>
      </c>
      <c r="I1223" s="15">
        <v>1.7600000000000001E-2</v>
      </c>
      <c r="J1223" s="15">
        <v>8.2662721893491131</v>
      </c>
    </row>
    <row r="1224" spans="1:10" x14ac:dyDescent="0.25">
      <c r="A1224" s="2" t="s">
        <v>3668</v>
      </c>
      <c r="B1224" s="2" t="s">
        <v>3669</v>
      </c>
      <c r="C1224" s="2" t="s">
        <v>3670</v>
      </c>
      <c r="D1224" s="2" t="s">
        <v>10042</v>
      </c>
      <c r="E1224" s="15">
        <v>8.1699999999999995E-2</v>
      </c>
      <c r="F1224" s="15">
        <v>4.5900000000000003E-2</v>
      </c>
      <c r="G1224" s="15">
        <v>7.4999999999999997E-2</v>
      </c>
      <c r="H1224" s="15">
        <v>0.15140000000000001</v>
      </c>
      <c r="I1224" s="15">
        <v>1.9699999999999999E-2</v>
      </c>
      <c r="J1224" s="15">
        <v>8.4076086956521738</v>
      </c>
    </row>
    <row r="1225" spans="1:10" x14ac:dyDescent="0.25">
      <c r="A1225" s="2" t="s">
        <v>3671</v>
      </c>
      <c r="B1225" s="2" t="s">
        <v>3672</v>
      </c>
      <c r="C1225" s="2" t="s">
        <v>3673</v>
      </c>
      <c r="D1225" s="2" t="s">
        <v>10042</v>
      </c>
      <c r="E1225" s="15">
        <v>5.67E-2</v>
      </c>
      <c r="F1225" s="15">
        <v>4.7199999999999999E-2</v>
      </c>
      <c r="G1225" s="15">
        <v>0.2296</v>
      </c>
      <c r="H1225" s="15">
        <v>0.13070000000000001</v>
      </c>
      <c r="I1225" s="15">
        <v>1.9099999999999999E-2</v>
      </c>
      <c r="J1225" s="15">
        <v>6.4789473684210526</v>
      </c>
    </row>
    <row r="1226" spans="1:10" x14ac:dyDescent="0.25">
      <c r="A1226" s="2" t="s">
        <v>3674</v>
      </c>
      <c r="B1226" s="2" t="s">
        <v>3675</v>
      </c>
      <c r="C1226" s="2" t="s">
        <v>3676</v>
      </c>
      <c r="D1226" s="2" t="s">
        <v>10042</v>
      </c>
      <c r="E1226" s="15">
        <v>-8.0000000000000004E-4</v>
      </c>
      <c r="F1226" s="15">
        <v>7.1300000000000002E-2</v>
      </c>
      <c r="G1226" s="15">
        <v>0.99060000000000004</v>
      </c>
      <c r="H1226" s="15">
        <v>6.4699999999999994E-2</v>
      </c>
      <c r="I1226" s="15">
        <v>1.52E-2</v>
      </c>
      <c r="J1226" s="15">
        <v>4.4551724137931039</v>
      </c>
    </row>
    <row r="1227" spans="1:10" x14ac:dyDescent="0.25">
      <c r="A1227" s="2" t="s">
        <v>3677</v>
      </c>
      <c r="B1227" s="2" t="s">
        <v>3678</v>
      </c>
      <c r="C1227" s="2" t="s">
        <v>3679</v>
      </c>
      <c r="D1227" s="2" t="s">
        <v>10042</v>
      </c>
      <c r="E1227" s="15">
        <v>4.2500000000000003E-2</v>
      </c>
      <c r="F1227" s="15">
        <v>5.45E-2</v>
      </c>
      <c r="G1227" s="15">
        <v>0.43540000000000001</v>
      </c>
      <c r="H1227" s="15">
        <v>0.1381</v>
      </c>
      <c r="I1227" s="15">
        <v>2.07E-2</v>
      </c>
      <c r="J1227" s="15">
        <v>6.9390862944162439</v>
      </c>
    </row>
    <row r="1228" spans="1:10" x14ac:dyDescent="0.25">
      <c r="A1228" s="2" t="s">
        <v>3680</v>
      </c>
      <c r="B1228" s="2" t="s">
        <v>3681</v>
      </c>
      <c r="C1228" s="2" t="s">
        <v>3682</v>
      </c>
      <c r="D1228" s="2" t="s">
        <v>10042</v>
      </c>
      <c r="E1228" s="15">
        <v>-1E-3</v>
      </c>
      <c r="F1228" s="15">
        <v>4.7300000000000002E-2</v>
      </c>
      <c r="G1228" s="15">
        <v>0.98270000000000002</v>
      </c>
      <c r="H1228" s="15">
        <v>0.15340000000000001</v>
      </c>
      <c r="I1228" s="15">
        <v>2.1299999999999999E-2</v>
      </c>
      <c r="J1228" s="15">
        <v>7.8955223880597023</v>
      </c>
    </row>
    <row r="1229" spans="1:10" x14ac:dyDescent="0.25">
      <c r="A1229" s="2" t="s">
        <v>3683</v>
      </c>
      <c r="B1229" s="2" t="s">
        <v>3684</v>
      </c>
      <c r="C1229" s="2" t="s">
        <v>3685</v>
      </c>
      <c r="D1229" s="2" t="s">
        <v>10042</v>
      </c>
      <c r="E1229" s="15">
        <v>7.5600000000000001E-2</v>
      </c>
      <c r="F1229" s="15">
        <v>7.1499999999999994E-2</v>
      </c>
      <c r="G1229" s="15">
        <v>0.29060000000000002</v>
      </c>
      <c r="H1229" s="15">
        <v>7.0099999999999996E-2</v>
      </c>
      <c r="I1229" s="15">
        <v>1.6400000000000001E-2</v>
      </c>
      <c r="J1229" s="15">
        <v>4.4720496894409933</v>
      </c>
    </row>
    <row r="1230" spans="1:10" x14ac:dyDescent="0.25">
      <c r="A1230" s="2" t="s">
        <v>3686</v>
      </c>
      <c r="B1230" s="2" t="s">
        <v>3687</v>
      </c>
      <c r="C1230" s="2" t="s">
        <v>3688</v>
      </c>
      <c r="D1230" s="2" t="s">
        <v>10042</v>
      </c>
      <c r="E1230" s="15">
        <v>2.3E-2</v>
      </c>
      <c r="F1230" s="15">
        <v>5.1200000000000002E-2</v>
      </c>
      <c r="G1230" s="15">
        <v>0.65349999999999997</v>
      </c>
      <c r="H1230" s="15">
        <v>0.1101</v>
      </c>
      <c r="I1230" s="15">
        <v>1.9099999999999999E-2</v>
      </c>
      <c r="J1230" s="15">
        <v>6.3222222222222229</v>
      </c>
    </row>
    <row r="1231" spans="1:10" x14ac:dyDescent="0.25">
      <c r="A1231" s="2" t="s">
        <v>3689</v>
      </c>
      <c r="B1231" s="2" t="s">
        <v>3690</v>
      </c>
      <c r="C1231" s="2" t="s">
        <v>3691</v>
      </c>
      <c r="D1231" s="2" t="s">
        <v>10042</v>
      </c>
      <c r="E1231" s="15">
        <v>8.1000000000000003E-2</v>
      </c>
      <c r="F1231" s="15">
        <v>5.2299999999999999E-2</v>
      </c>
      <c r="G1231" s="15">
        <v>0.121</v>
      </c>
      <c r="H1231" s="15">
        <v>0.16309999999999999</v>
      </c>
      <c r="I1231" s="15">
        <v>1.8599999999999998E-2</v>
      </c>
      <c r="J1231" s="15">
        <v>9.6022099447513813</v>
      </c>
    </row>
    <row r="1232" spans="1:10" x14ac:dyDescent="0.25">
      <c r="A1232" s="2" t="s">
        <v>3692</v>
      </c>
      <c r="B1232" s="2" t="s">
        <v>3693</v>
      </c>
      <c r="C1232" s="2" t="s">
        <v>3694</v>
      </c>
      <c r="D1232" s="2" t="s">
        <v>10042</v>
      </c>
      <c r="E1232" s="15">
        <v>2.07E-2</v>
      </c>
      <c r="F1232" s="15">
        <v>5.62E-2</v>
      </c>
      <c r="G1232" s="15">
        <v>0.71289999999999998</v>
      </c>
      <c r="H1232" s="15">
        <v>0.11899999999999999</v>
      </c>
      <c r="I1232" s="15">
        <v>1.66E-2</v>
      </c>
      <c r="J1232" s="15">
        <v>7.4810126582278471</v>
      </c>
    </row>
    <row r="1233" spans="1:10" x14ac:dyDescent="0.25">
      <c r="A1233" s="2" t="s">
        <v>3695</v>
      </c>
      <c r="B1233" s="2" t="s">
        <v>3696</v>
      </c>
      <c r="C1233" s="2" t="s">
        <v>3697</v>
      </c>
      <c r="D1233" s="2" t="s">
        <v>10042</v>
      </c>
      <c r="E1233" s="15">
        <v>6.9500000000000006E-2</v>
      </c>
      <c r="F1233" s="15">
        <v>4.9700000000000001E-2</v>
      </c>
      <c r="G1233" s="15">
        <v>0.16200000000000001</v>
      </c>
      <c r="H1233" s="15">
        <v>0.17929999999999999</v>
      </c>
      <c r="I1233" s="15">
        <v>2.2700000000000001E-2</v>
      </c>
      <c r="J1233" s="15">
        <v>8.502262443438914</v>
      </c>
    </row>
    <row r="1234" spans="1:10" x14ac:dyDescent="0.25">
      <c r="A1234" s="2" t="s">
        <v>3698</v>
      </c>
      <c r="B1234" s="2" t="s">
        <v>3699</v>
      </c>
      <c r="C1234" s="2" t="s">
        <v>3700</v>
      </c>
      <c r="D1234" s="2" t="s">
        <v>10042</v>
      </c>
      <c r="E1234" s="15">
        <v>6.54E-2</v>
      </c>
      <c r="F1234" s="15">
        <v>7.7499999999999999E-2</v>
      </c>
      <c r="G1234" s="15">
        <v>0.3987</v>
      </c>
      <c r="H1234" s="15">
        <v>4.9700000000000001E-2</v>
      </c>
      <c r="I1234" s="15">
        <v>1.5699999999999999E-2</v>
      </c>
      <c r="J1234" s="15">
        <v>3.693877551020408</v>
      </c>
    </row>
    <row r="1235" spans="1:10" x14ac:dyDescent="0.25">
      <c r="A1235" s="2" t="s">
        <v>3701</v>
      </c>
      <c r="B1235" s="2" t="s">
        <v>3702</v>
      </c>
      <c r="C1235" s="2" t="s">
        <v>3703</v>
      </c>
      <c r="D1235" s="2" t="s">
        <v>10042</v>
      </c>
      <c r="E1235" s="15">
        <v>0.1033</v>
      </c>
      <c r="F1235" s="15">
        <v>4.4999999999999998E-2</v>
      </c>
      <c r="G1235" s="15">
        <v>2.1600000000000001E-2</v>
      </c>
      <c r="H1235" s="15">
        <v>0.17879999999999999</v>
      </c>
      <c r="I1235" s="15">
        <v>1.8599999999999998E-2</v>
      </c>
      <c r="J1235" s="15">
        <v>9.695652173913043</v>
      </c>
    </row>
    <row r="1236" spans="1:10" x14ac:dyDescent="0.25">
      <c r="A1236" s="2" t="s">
        <v>3704</v>
      </c>
      <c r="B1236" s="2" t="s">
        <v>3705</v>
      </c>
      <c r="C1236" s="2" t="s">
        <v>3706</v>
      </c>
      <c r="D1236" s="2" t="s">
        <v>10042</v>
      </c>
      <c r="E1236" s="15">
        <v>5.2699999999999997E-2</v>
      </c>
      <c r="F1236" s="15">
        <v>4.8099999999999997E-2</v>
      </c>
      <c r="G1236" s="15">
        <v>0.27329999999999999</v>
      </c>
      <c r="H1236" s="15">
        <v>0.10390000000000001</v>
      </c>
      <c r="I1236" s="15">
        <v>1.7000000000000001E-2</v>
      </c>
      <c r="J1236" s="15">
        <v>6.4876543209876543</v>
      </c>
    </row>
    <row r="1237" spans="1:10" x14ac:dyDescent="0.25">
      <c r="A1237" s="2" t="s">
        <v>3707</v>
      </c>
      <c r="B1237" s="2" t="s">
        <v>3708</v>
      </c>
      <c r="C1237" s="2" t="s">
        <v>3709</v>
      </c>
      <c r="D1237" s="2" t="s">
        <v>10042</v>
      </c>
      <c r="E1237" s="15">
        <v>0.1192</v>
      </c>
      <c r="F1237" s="15">
        <v>4.7800000000000002E-2</v>
      </c>
      <c r="G1237" s="15">
        <v>1.26E-2</v>
      </c>
      <c r="H1237" s="15">
        <v>0.16259999999999999</v>
      </c>
      <c r="I1237" s="15">
        <v>1.7999999999999999E-2</v>
      </c>
      <c r="J1237" s="15">
        <v>8.7826086956521738</v>
      </c>
    </row>
    <row r="1238" spans="1:10" x14ac:dyDescent="0.25">
      <c r="A1238" s="2" t="s">
        <v>3710</v>
      </c>
      <c r="B1238" s="2" t="s">
        <v>3711</v>
      </c>
      <c r="C1238" s="2" t="s">
        <v>3712</v>
      </c>
      <c r="D1238" s="2" t="s">
        <v>10042</v>
      </c>
      <c r="E1238" s="15">
        <v>1.6799999999999999E-2</v>
      </c>
      <c r="F1238" s="15">
        <v>6.8500000000000005E-2</v>
      </c>
      <c r="G1238" s="15">
        <v>0.80640000000000001</v>
      </c>
      <c r="H1238" s="15">
        <v>7.3899999999999993E-2</v>
      </c>
      <c r="I1238" s="15">
        <v>1.61E-2</v>
      </c>
      <c r="J1238" s="15">
        <v>5.1625000000000014</v>
      </c>
    </row>
    <row r="1239" spans="1:10" x14ac:dyDescent="0.25">
      <c r="A1239" s="2" t="s">
        <v>3713</v>
      </c>
      <c r="B1239" s="2" t="s">
        <v>3714</v>
      </c>
      <c r="C1239" s="2" t="s">
        <v>3715</v>
      </c>
      <c r="D1239" s="2" t="s">
        <v>10042</v>
      </c>
      <c r="E1239" s="15">
        <v>0.1002</v>
      </c>
      <c r="F1239" s="15">
        <v>5.6599999999999998E-2</v>
      </c>
      <c r="G1239" s="15">
        <v>7.6799999999999993E-2</v>
      </c>
      <c r="H1239" s="15">
        <v>0.11360000000000001</v>
      </c>
      <c r="I1239" s="15">
        <v>1.6799999999999999E-2</v>
      </c>
      <c r="J1239" s="15">
        <v>7.1464968152866248</v>
      </c>
    </row>
    <row r="1240" spans="1:10" x14ac:dyDescent="0.25">
      <c r="A1240" s="2" t="s">
        <v>3716</v>
      </c>
      <c r="B1240" s="2" t="s">
        <v>3717</v>
      </c>
      <c r="C1240" s="2" t="s">
        <v>3718</v>
      </c>
      <c r="D1240" s="2" t="s">
        <v>10042</v>
      </c>
      <c r="E1240" s="15">
        <v>-5.04E-2</v>
      </c>
      <c r="F1240" s="15">
        <v>4.5199999999999997E-2</v>
      </c>
      <c r="G1240" s="15">
        <v>0.26450000000000001</v>
      </c>
      <c r="H1240" s="15">
        <v>0.2026</v>
      </c>
      <c r="I1240" s="15">
        <v>1.9199999999999998E-2</v>
      </c>
      <c r="J1240" s="15">
        <v>12.029069767441859</v>
      </c>
    </row>
    <row r="1241" spans="1:10" x14ac:dyDescent="0.25">
      <c r="A1241" s="2" t="s">
        <v>3719</v>
      </c>
      <c r="B1241" s="2" t="s">
        <v>3720</v>
      </c>
      <c r="C1241" s="2" t="s">
        <v>3721</v>
      </c>
      <c r="D1241" s="2" t="s">
        <v>10042</v>
      </c>
      <c r="E1241" s="15">
        <v>5.0999999999999997E-2</v>
      </c>
      <c r="F1241" s="15">
        <v>7.9299999999999995E-2</v>
      </c>
      <c r="G1241" s="15">
        <v>0.52049999999999996</v>
      </c>
      <c r="H1241" s="15">
        <v>4.8800000000000003E-2</v>
      </c>
      <c r="I1241" s="15">
        <v>1.5900000000000001E-2</v>
      </c>
      <c r="J1241" s="15">
        <v>3.2962962962962972</v>
      </c>
    </row>
    <row r="1242" spans="1:10" x14ac:dyDescent="0.25">
      <c r="A1242" s="2" t="s">
        <v>3722</v>
      </c>
      <c r="B1242" s="2" t="s">
        <v>3723</v>
      </c>
      <c r="C1242" s="2" t="s">
        <v>3724</v>
      </c>
      <c r="D1242" s="2" t="s">
        <v>10042</v>
      </c>
      <c r="E1242" s="15">
        <v>2.6499999999999999E-2</v>
      </c>
      <c r="F1242" s="15">
        <v>5.5E-2</v>
      </c>
      <c r="G1242" s="15">
        <v>0.63029999999999997</v>
      </c>
      <c r="H1242" s="15">
        <v>0.10630000000000001</v>
      </c>
      <c r="I1242" s="15">
        <v>1.55E-2</v>
      </c>
      <c r="J1242" s="15">
        <v>6.84375</v>
      </c>
    </row>
    <row r="1243" spans="1:10" x14ac:dyDescent="0.25">
      <c r="A1243" s="2" t="s">
        <v>3725</v>
      </c>
      <c r="B1243" s="2" t="s">
        <v>3726</v>
      </c>
      <c r="C1243" s="2" t="s">
        <v>3727</v>
      </c>
      <c r="D1243" s="2" t="s">
        <v>10042</v>
      </c>
      <c r="E1243" s="15">
        <v>9.7000000000000003E-3</v>
      </c>
      <c r="F1243" s="15">
        <v>5.6000000000000001E-2</v>
      </c>
      <c r="G1243" s="15">
        <v>0.86309999999999998</v>
      </c>
      <c r="H1243" s="15">
        <v>0.1125</v>
      </c>
      <c r="I1243" s="15">
        <v>1.8100000000000002E-2</v>
      </c>
      <c r="J1243" s="15">
        <v>6.9156626506024086</v>
      </c>
    </row>
    <row r="1244" spans="1:10" x14ac:dyDescent="0.25">
      <c r="A1244" s="2" t="s">
        <v>3728</v>
      </c>
      <c r="B1244" s="2" t="s">
        <v>3729</v>
      </c>
      <c r="C1244" s="2" t="s">
        <v>3730</v>
      </c>
      <c r="D1244" s="2" t="s">
        <v>10042</v>
      </c>
      <c r="E1244" s="15">
        <v>9.0399999999999994E-2</v>
      </c>
      <c r="F1244" s="15">
        <v>4.7100000000000003E-2</v>
      </c>
      <c r="G1244" s="15">
        <v>5.5E-2</v>
      </c>
      <c r="H1244" s="15">
        <v>0.14599999999999999</v>
      </c>
      <c r="I1244" s="15">
        <v>1.8800000000000001E-2</v>
      </c>
      <c r="J1244" s="15">
        <v>8.5580110497237563</v>
      </c>
    </row>
    <row r="1245" spans="1:10" x14ac:dyDescent="0.25">
      <c r="A1245" s="2" t="s">
        <v>3731</v>
      </c>
      <c r="B1245" s="2" t="s">
        <v>3732</v>
      </c>
      <c r="C1245" s="2" t="s">
        <v>3733</v>
      </c>
      <c r="D1245" s="2" t="s">
        <v>10042</v>
      </c>
      <c r="E1245" s="15">
        <v>-1.8200000000000001E-2</v>
      </c>
      <c r="F1245" s="15">
        <v>4.7500000000000001E-2</v>
      </c>
      <c r="G1245" s="15">
        <v>0.70220000000000005</v>
      </c>
      <c r="H1245" s="15">
        <v>0.1603</v>
      </c>
      <c r="I1245" s="15">
        <v>1.9099999999999999E-2</v>
      </c>
      <c r="J1245" s="15">
        <v>9.2881355932203373</v>
      </c>
    </row>
    <row r="1246" spans="1:10" x14ac:dyDescent="0.25">
      <c r="A1246" s="2" t="s">
        <v>3734</v>
      </c>
      <c r="B1246" s="2" t="s">
        <v>3735</v>
      </c>
      <c r="C1246" s="2" t="s">
        <v>3736</v>
      </c>
      <c r="D1246" s="2" t="s">
        <v>10042</v>
      </c>
      <c r="E1246" s="15">
        <v>8.72E-2</v>
      </c>
      <c r="F1246" s="15">
        <v>5.0700000000000002E-2</v>
      </c>
      <c r="G1246" s="15">
        <v>8.5300000000000001E-2</v>
      </c>
      <c r="H1246" s="15">
        <v>0.1366</v>
      </c>
      <c r="I1246" s="15">
        <v>1.95E-2</v>
      </c>
      <c r="J1246" s="15">
        <v>8.1032608695652186</v>
      </c>
    </row>
    <row r="1247" spans="1:10" x14ac:dyDescent="0.25">
      <c r="A1247" s="2" t="s">
        <v>3737</v>
      </c>
      <c r="B1247" s="2" t="s">
        <v>3738</v>
      </c>
      <c r="C1247" s="2" t="s">
        <v>3739</v>
      </c>
      <c r="D1247" s="2" t="s">
        <v>10042</v>
      </c>
      <c r="E1247" s="15">
        <v>9.3799999999999994E-2</v>
      </c>
      <c r="F1247" s="15">
        <v>4.9599999999999998E-2</v>
      </c>
      <c r="G1247" s="15">
        <v>5.8500000000000003E-2</v>
      </c>
      <c r="H1247" s="15">
        <v>0.14779999999999999</v>
      </c>
      <c r="I1247" s="15">
        <v>1.72E-2</v>
      </c>
      <c r="J1247" s="15">
        <v>8.7909604519773996</v>
      </c>
    </row>
    <row r="1248" spans="1:10" x14ac:dyDescent="0.25">
      <c r="A1248" s="2" t="s">
        <v>3740</v>
      </c>
      <c r="B1248" s="2" t="s">
        <v>3741</v>
      </c>
      <c r="C1248" s="2" t="s">
        <v>3742</v>
      </c>
      <c r="D1248" s="2" t="s">
        <v>10042</v>
      </c>
      <c r="E1248" s="15">
        <v>-1.67E-2</v>
      </c>
      <c r="F1248" s="15">
        <v>4.8599999999999997E-2</v>
      </c>
      <c r="G1248" s="15">
        <v>0.73109999999999997</v>
      </c>
      <c r="H1248" s="15">
        <v>0.15459999999999999</v>
      </c>
      <c r="I1248" s="15">
        <v>1.78E-2</v>
      </c>
      <c r="J1248" s="15">
        <v>8.8786127167630049</v>
      </c>
    </row>
    <row r="1249" spans="1:10" x14ac:dyDescent="0.25">
      <c r="A1249" s="2" t="s">
        <v>3743</v>
      </c>
      <c r="B1249" s="2" t="s">
        <v>3744</v>
      </c>
      <c r="C1249" s="2" t="s">
        <v>3745</v>
      </c>
      <c r="D1249" s="2" t="s">
        <v>10042</v>
      </c>
      <c r="E1249" s="15">
        <v>0.10680000000000001</v>
      </c>
      <c r="F1249" s="15">
        <v>6.9099999999999995E-2</v>
      </c>
      <c r="G1249" s="15">
        <v>0.122</v>
      </c>
      <c r="H1249" s="15">
        <v>7.9100000000000004E-2</v>
      </c>
      <c r="I1249" s="15">
        <v>1.6799999999999999E-2</v>
      </c>
      <c r="J1249" s="15">
        <v>5.2993630573248414</v>
      </c>
    </row>
    <row r="1250" spans="1:10" x14ac:dyDescent="0.25">
      <c r="A1250" s="2" t="s">
        <v>3746</v>
      </c>
      <c r="B1250" s="2" t="s">
        <v>3747</v>
      </c>
      <c r="C1250" s="2" t="s">
        <v>3748</v>
      </c>
      <c r="D1250" s="2" t="s">
        <v>10042</v>
      </c>
      <c r="E1250" s="15">
        <v>9.2299999999999993E-2</v>
      </c>
      <c r="F1250" s="15">
        <v>4.9599999999999998E-2</v>
      </c>
      <c r="G1250" s="15">
        <v>6.2600000000000003E-2</v>
      </c>
      <c r="H1250" s="15">
        <v>0.13719999999999999</v>
      </c>
      <c r="I1250" s="15">
        <v>1.4999999999999999E-2</v>
      </c>
      <c r="J1250" s="15">
        <v>9.0866666666666678</v>
      </c>
    </row>
    <row r="1251" spans="1:10" x14ac:dyDescent="0.25">
      <c r="A1251" s="2" t="s">
        <v>3749</v>
      </c>
      <c r="B1251" s="2" t="s">
        <v>3750</v>
      </c>
      <c r="C1251" s="2" t="s">
        <v>3751</v>
      </c>
      <c r="D1251" s="2" t="s">
        <v>10042</v>
      </c>
      <c r="E1251" s="15">
        <v>1.6299999999999999E-2</v>
      </c>
      <c r="F1251" s="15">
        <v>5.8299999999999998E-2</v>
      </c>
      <c r="G1251" s="15">
        <v>0.78029999999999999</v>
      </c>
      <c r="H1251" s="15">
        <v>0.10730000000000001</v>
      </c>
      <c r="I1251" s="15">
        <v>1.7000000000000001E-2</v>
      </c>
      <c r="J1251" s="15">
        <v>6.333333333333333</v>
      </c>
    </row>
    <row r="1252" spans="1:10" x14ac:dyDescent="0.25">
      <c r="A1252" s="2" t="s">
        <v>3752</v>
      </c>
      <c r="B1252" s="2" t="s">
        <v>3753</v>
      </c>
      <c r="C1252" s="2" t="s">
        <v>3754</v>
      </c>
      <c r="D1252" s="2" t="s">
        <v>10042</v>
      </c>
      <c r="E1252" s="15">
        <v>1.4200000000000001E-2</v>
      </c>
      <c r="F1252" s="15">
        <v>4.7600000000000003E-2</v>
      </c>
      <c r="G1252" s="15">
        <v>0.7661</v>
      </c>
      <c r="H1252" s="15">
        <v>0.15240000000000001</v>
      </c>
      <c r="I1252" s="15">
        <v>1.9400000000000001E-2</v>
      </c>
      <c r="J1252" s="15">
        <v>8.0267379679144391</v>
      </c>
    </row>
    <row r="1253" spans="1:10" x14ac:dyDescent="0.25">
      <c r="A1253" s="2" t="s">
        <v>3755</v>
      </c>
      <c r="B1253" s="2" t="s">
        <v>3756</v>
      </c>
      <c r="C1253" s="2" t="s">
        <v>3757</v>
      </c>
      <c r="D1253" s="2" t="s">
        <v>10042</v>
      </c>
      <c r="E1253" s="15">
        <v>2.07E-2</v>
      </c>
      <c r="F1253" s="15">
        <v>5.4899999999999997E-2</v>
      </c>
      <c r="G1253" s="15">
        <v>0.7056</v>
      </c>
      <c r="H1253" s="15">
        <v>0.1351</v>
      </c>
      <c r="I1253" s="15">
        <v>1.7899999999999999E-2</v>
      </c>
      <c r="J1253" s="15">
        <v>8.604651162790697</v>
      </c>
    </row>
    <row r="1254" spans="1:10" x14ac:dyDescent="0.25">
      <c r="A1254" s="2" t="s">
        <v>3758</v>
      </c>
      <c r="B1254" s="2" t="s">
        <v>3759</v>
      </c>
      <c r="C1254" s="2" t="s">
        <v>3760</v>
      </c>
      <c r="D1254" s="2" t="s">
        <v>10042</v>
      </c>
      <c r="E1254" s="15">
        <v>0.15690000000000001</v>
      </c>
      <c r="F1254" s="15">
        <v>6.5000000000000002E-2</v>
      </c>
      <c r="G1254" s="15">
        <v>1.5800000000000002E-2</v>
      </c>
      <c r="H1254" s="15">
        <v>8.8700000000000001E-2</v>
      </c>
      <c r="I1254" s="15">
        <v>1.5699999999999999E-2</v>
      </c>
      <c r="J1254" s="15">
        <v>6.2281879194630871</v>
      </c>
    </row>
    <row r="1255" spans="1:10" x14ac:dyDescent="0.25">
      <c r="A1255" s="2" t="s">
        <v>3761</v>
      </c>
      <c r="B1255" s="2" t="s">
        <v>3762</v>
      </c>
      <c r="C1255" s="2" t="s">
        <v>3763</v>
      </c>
      <c r="D1255" s="2" t="s">
        <v>10042</v>
      </c>
      <c r="E1255" s="15">
        <v>2.5499999999999998E-2</v>
      </c>
      <c r="F1255" s="15">
        <v>5.0900000000000001E-2</v>
      </c>
      <c r="G1255" s="15">
        <v>0.61570000000000003</v>
      </c>
      <c r="H1255" s="15">
        <v>0.1416</v>
      </c>
      <c r="I1255" s="15">
        <v>1.9800000000000002E-2</v>
      </c>
      <c r="J1255" s="15">
        <v>7.3589743589743586</v>
      </c>
    </row>
    <row r="1256" spans="1:10" x14ac:dyDescent="0.25">
      <c r="A1256" s="2" t="s">
        <v>3764</v>
      </c>
      <c r="B1256" s="2" t="s">
        <v>3765</v>
      </c>
      <c r="C1256" s="2" t="s">
        <v>3766</v>
      </c>
      <c r="D1256" s="2" t="s">
        <v>10042</v>
      </c>
      <c r="E1256" s="15">
        <v>6.4799999999999996E-2</v>
      </c>
      <c r="F1256" s="15">
        <v>4.2900000000000001E-2</v>
      </c>
      <c r="G1256" s="15">
        <v>0.13100000000000001</v>
      </c>
      <c r="H1256" s="15">
        <v>0.1653</v>
      </c>
      <c r="I1256" s="15">
        <v>1.9599999999999999E-2</v>
      </c>
      <c r="J1256" s="15">
        <v>8.6205128205128201</v>
      </c>
    </row>
    <row r="1257" spans="1:10" x14ac:dyDescent="0.25">
      <c r="A1257" s="2" t="s">
        <v>3767</v>
      </c>
      <c r="B1257" s="2" t="s">
        <v>3768</v>
      </c>
      <c r="C1257" s="2" t="s">
        <v>3769</v>
      </c>
      <c r="D1257" s="2" t="s">
        <v>10042</v>
      </c>
      <c r="E1257" s="15">
        <v>3.5299999999999998E-2</v>
      </c>
      <c r="F1257" s="15">
        <v>4.3200000000000002E-2</v>
      </c>
      <c r="G1257" s="15">
        <v>0.41410000000000002</v>
      </c>
      <c r="H1257" s="15">
        <v>0.20150000000000001</v>
      </c>
      <c r="I1257" s="15">
        <v>1.8800000000000001E-2</v>
      </c>
      <c r="J1257" s="15">
        <v>10.36649214659686</v>
      </c>
    </row>
    <row r="1258" spans="1:10" x14ac:dyDescent="0.25">
      <c r="A1258" s="2" t="s">
        <v>3770</v>
      </c>
      <c r="B1258" s="2" t="s">
        <v>3771</v>
      </c>
      <c r="C1258" s="2" t="s">
        <v>3772</v>
      </c>
      <c r="D1258" s="2" t="s">
        <v>10042</v>
      </c>
      <c r="E1258" s="15">
        <v>5.4300000000000001E-2</v>
      </c>
      <c r="F1258" s="15">
        <v>5.4600000000000003E-2</v>
      </c>
      <c r="G1258" s="15">
        <v>0.3196</v>
      </c>
      <c r="H1258" s="15">
        <v>0.1081</v>
      </c>
      <c r="I1258" s="15">
        <v>1.4999999999999999E-2</v>
      </c>
      <c r="J1258" s="15">
        <v>7.4362416107382554</v>
      </c>
    </row>
    <row r="1259" spans="1:10" x14ac:dyDescent="0.25">
      <c r="A1259" s="2" t="s">
        <v>3773</v>
      </c>
      <c r="B1259" s="2" t="s">
        <v>3774</v>
      </c>
      <c r="C1259" s="2" t="s">
        <v>3775</v>
      </c>
      <c r="D1259" s="2" t="s">
        <v>10042</v>
      </c>
      <c r="E1259" s="15">
        <v>3.39E-2</v>
      </c>
      <c r="F1259" s="15">
        <v>5.5599999999999997E-2</v>
      </c>
      <c r="G1259" s="15">
        <v>0.54220000000000002</v>
      </c>
      <c r="H1259" s="15">
        <v>0.1268</v>
      </c>
      <c r="I1259" s="15">
        <v>0.02</v>
      </c>
      <c r="J1259" s="15">
        <v>6.9732620320855601</v>
      </c>
    </row>
    <row r="1260" spans="1:10" x14ac:dyDescent="0.25">
      <c r="A1260" s="2" t="s">
        <v>3776</v>
      </c>
      <c r="B1260" s="2" t="s">
        <v>3777</v>
      </c>
      <c r="C1260" s="2" t="s">
        <v>3778</v>
      </c>
      <c r="D1260" s="2" t="s">
        <v>10042</v>
      </c>
      <c r="E1260" s="15">
        <v>3.9E-2</v>
      </c>
      <c r="F1260" s="15">
        <v>6.3399999999999998E-2</v>
      </c>
      <c r="G1260" s="15">
        <v>0.53890000000000005</v>
      </c>
      <c r="H1260" s="15">
        <v>8.8900000000000007E-2</v>
      </c>
      <c r="I1260" s="15">
        <v>1.8200000000000001E-2</v>
      </c>
      <c r="J1260" s="15">
        <v>5.4857142857142849</v>
      </c>
    </row>
    <row r="1261" spans="1:10" x14ac:dyDescent="0.25">
      <c r="A1261" s="2" t="s">
        <v>3779</v>
      </c>
      <c r="B1261" s="2" t="s">
        <v>3780</v>
      </c>
      <c r="C1261" s="2" t="s">
        <v>3781</v>
      </c>
      <c r="D1261" s="2" t="s">
        <v>10042</v>
      </c>
      <c r="E1261" s="15">
        <v>6.1400000000000003E-2</v>
      </c>
      <c r="F1261" s="15">
        <v>5.5100000000000003E-2</v>
      </c>
      <c r="G1261" s="15">
        <v>0.26490000000000002</v>
      </c>
      <c r="H1261" s="15">
        <v>0.12959999999999999</v>
      </c>
      <c r="I1261" s="15">
        <v>1.89E-2</v>
      </c>
      <c r="J1261" s="15">
        <v>7.1530054644808736</v>
      </c>
    </row>
    <row r="1262" spans="1:10" x14ac:dyDescent="0.25">
      <c r="A1262" s="2" t="s">
        <v>3782</v>
      </c>
      <c r="B1262" s="2" t="s">
        <v>3783</v>
      </c>
      <c r="C1262" s="2" t="s">
        <v>3784</v>
      </c>
      <c r="D1262" s="2" t="s">
        <v>10042</v>
      </c>
      <c r="E1262" s="15">
        <v>3.7999999999999999E-2</v>
      </c>
      <c r="F1262" s="15">
        <v>4.9700000000000001E-2</v>
      </c>
      <c r="G1262" s="15">
        <v>0.44429999999999997</v>
      </c>
      <c r="H1262" s="15">
        <v>0.1268</v>
      </c>
      <c r="I1262" s="15">
        <v>1.8599999999999998E-2</v>
      </c>
      <c r="J1262" s="15">
        <v>7.3068181818181808</v>
      </c>
    </row>
    <row r="1263" spans="1:10" x14ac:dyDescent="0.25">
      <c r="A1263" s="2" t="s">
        <v>3785</v>
      </c>
      <c r="B1263" s="2" t="s">
        <v>3786</v>
      </c>
      <c r="C1263" s="2" t="s">
        <v>3787</v>
      </c>
      <c r="D1263" s="2" t="s">
        <v>10042</v>
      </c>
      <c r="E1263" s="15">
        <v>2.8299999999999999E-2</v>
      </c>
      <c r="F1263" s="15">
        <v>5.2600000000000001E-2</v>
      </c>
      <c r="G1263" s="15">
        <v>0.59050000000000002</v>
      </c>
      <c r="H1263" s="15">
        <v>0.1168</v>
      </c>
      <c r="I1263" s="15">
        <v>1.77E-2</v>
      </c>
      <c r="J1263" s="15">
        <v>6.9768786127167637</v>
      </c>
    </row>
    <row r="1264" spans="1:10" x14ac:dyDescent="0.25">
      <c r="A1264" s="2" t="s">
        <v>3788</v>
      </c>
      <c r="B1264" s="2" t="s">
        <v>3789</v>
      </c>
      <c r="C1264" s="2" t="s">
        <v>3790</v>
      </c>
      <c r="D1264" s="2" t="s">
        <v>10042</v>
      </c>
      <c r="E1264" s="15">
        <v>9.5399999999999999E-2</v>
      </c>
      <c r="F1264" s="15">
        <v>4.8500000000000001E-2</v>
      </c>
      <c r="G1264" s="15">
        <v>4.9200000000000001E-2</v>
      </c>
      <c r="H1264" s="15">
        <v>0.15920000000000001</v>
      </c>
      <c r="I1264" s="15">
        <v>0.02</v>
      </c>
      <c r="J1264" s="15">
        <v>8.8097826086956523</v>
      </c>
    </row>
    <row r="1265" spans="1:10" x14ac:dyDescent="0.25">
      <c r="A1265" s="2" t="s">
        <v>3791</v>
      </c>
      <c r="B1265" s="2" t="s">
        <v>3792</v>
      </c>
      <c r="C1265" s="2" t="s">
        <v>3793</v>
      </c>
      <c r="D1265" s="2" t="s">
        <v>10042</v>
      </c>
      <c r="E1265" s="15">
        <v>2.5100000000000001E-2</v>
      </c>
      <c r="F1265" s="15">
        <v>5.5899999999999998E-2</v>
      </c>
      <c r="G1265" s="15">
        <v>0.65280000000000005</v>
      </c>
      <c r="H1265" s="15">
        <v>0.14030000000000001</v>
      </c>
      <c r="I1265" s="15">
        <v>1.77E-2</v>
      </c>
      <c r="J1265" s="15">
        <v>8.3485714285714288</v>
      </c>
    </row>
    <row r="1266" spans="1:10" x14ac:dyDescent="0.25">
      <c r="A1266" s="2" t="s">
        <v>3794</v>
      </c>
      <c r="B1266" s="2" t="s">
        <v>3795</v>
      </c>
      <c r="C1266" s="2" t="s">
        <v>3796</v>
      </c>
      <c r="D1266" s="2" t="s">
        <v>10042</v>
      </c>
      <c r="E1266" s="15">
        <v>2.63E-2</v>
      </c>
      <c r="F1266" s="15">
        <v>5.9400000000000001E-2</v>
      </c>
      <c r="G1266" s="15">
        <v>0.65749999999999997</v>
      </c>
      <c r="H1266" s="15">
        <v>0.1056</v>
      </c>
      <c r="I1266" s="15">
        <v>1.9300000000000001E-2</v>
      </c>
      <c r="J1266" s="15">
        <v>5.8032786885245899</v>
      </c>
    </row>
    <row r="1267" spans="1:10" x14ac:dyDescent="0.25">
      <c r="A1267" s="2" t="s">
        <v>3797</v>
      </c>
      <c r="B1267" s="2" t="s">
        <v>3798</v>
      </c>
      <c r="C1267" s="2" t="s">
        <v>3799</v>
      </c>
      <c r="D1267" s="2" t="s">
        <v>10042</v>
      </c>
      <c r="E1267" s="15">
        <v>1.26E-2</v>
      </c>
      <c r="F1267" s="15">
        <v>5.6599999999999998E-2</v>
      </c>
      <c r="G1267" s="15">
        <v>0.82430000000000003</v>
      </c>
      <c r="H1267" s="15">
        <v>0.14449999999999999</v>
      </c>
      <c r="I1267" s="15">
        <v>1.8100000000000002E-2</v>
      </c>
      <c r="J1267" s="15">
        <v>8.1355932203389827</v>
      </c>
    </row>
    <row r="1268" spans="1:10" x14ac:dyDescent="0.25">
      <c r="A1268" s="2" t="s">
        <v>3800</v>
      </c>
      <c r="B1268" s="2" t="s">
        <v>3801</v>
      </c>
      <c r="C1268" s="2" t="s">
        <v>3802</v>
      </c>
      <c r="D1268" s="2" t="s">
        <v>10042</v>
      </c>
      <c r="E1268" s="15">
        <v>6.0900000000000003E-2</v>
      </c>
      <c r="F1268" s="15">
        <v>5.1299999999999998E-2</v>
      </c>
      <c r="G1268" s="15">
        <v>0.23519999999999999</v>
      </c>
      <c r="H1268" s="15">
        <v>0.1792</v>
      </c>
      <c r="I1268" s="15">
        <v>1.8800000000000001E-2</v>
      </c>
      <c r="J1268" s="15">
        <v>9.4042553191489358</v>
      </c>
    </row>
    <row r="1269" spans="1:10" x14ac:dyDescent="0.25">
      <c r="A1269" s="2" t="s">
        <v>3803</v>
      </c>
      <c r="B1269" s="2" t="s">
        <v>3804</v>
      </c>
      <c r="C1269" s="2" t="s">
        <v>3805</v>
      </c>
      <c r="D1269" s="2" t="s">
        <v>10042</v>
      </c>
      <c r="E1269" s="15">
        <v>4.7300000000000002E-2</v>
      </c>
      <c r="F1269" s="15">
        <v>4.4200000000000003E-2</v>
      </c>
      <c r="G1269" s="15">
        <v>0.28410000000000002</v>
      </c>
      <c r="H1269" s="15">
        <v>0.22320000000000001</v>
      </c>
      <c r="I1269" s="15">
        <v>2.1700000000000001E-2</v>
      </c>
      <c r="J1269" s="15">
        <v>10.820388349514561</v>
      </c>
    </row>
    <row r="1270" spans="1:10" x14ac:dyDescent="0.25">
      <c r="A1270" s="2" t="s">
        <v>3806</v>
      </c>
      <c r="B1270" s="2" t="s">
        <v>3807</v>
      </c>
      <c r="C1270" s="2" t="s">
        <v>3808</v>
      </c>
      <c r="D1270" s="2" t="s">
        <v>10042</v>
      </c>
      <c r="E1270" s="15">
        <v>7.3400000000000007E-2</v>
      </c>
      <c r="F1270" s="15">
        <v>5.9900000000000002E-2</v>
      </c>
      <c r="G1270" s="15">
        <v>0.22040000000000001</v>
      </c>
      <c r="H1270" s="15">
        <v>0.108</v>
      </c>
      <c r="I1270" s="15">
        <v>1.7500000000000002E-2</v>
      </c>
      <c r="J1270" s="15">
        <v>6.0864197530864192</v>
      </c>
    </row>
    <row r="1271" spans="1:10" x14ac:dyDescent="0.25">
      <c r="A1271" s="2" t="s">
        <v>3809</v>
      </c>
      <c r="B1271" s="2" t="s">
        <v>3810</v>
      </c>
      <c r="C1271" s="2" t="s">
        <v>3811</v>
      </c>
      <c r="D1271" s="2" t="s">
        <v>10042</v>
      </c>
      <c r="E1271" s="15">
        <v>0.14419999999999999</v>
      </c>
      <c r="F1271" s="15">
        <v>6.0499999999999998E-2</v>
      </c>
      <c r="G1271" s="15">
        <v>1.7100000000000001E-2</v>
      </c>
      <c r="H1271" s="15">
        <v>0.1079</v>
      </c>
      <c r="I1271" s="15">
        <v>1.6500000000000001E-2</v>
      </c>
      <c r="J1271" s="15">
        <v>7.0463576158940393</v>
      </c>
    </row>
    <row r="1272" spans="1:10" x14ac:dyDescent="0.25">
      <c r="A1272" s="2" t="s">
        <v>3812</v>
      </c>
      <c r="B1272" s="2" t="s">
        <v>3813</v>
      </c>
      <c r="C1272" s="2" t="s">
        <v>3814</v>
      </c>
      <c r="D1272" s="2" t="s">
        <v>10042</v>
      </c>
      <c r="E1272" s="15">
        <v>9.8299999999999998E-2</v>
      </c>
      <c r="F1272" s="15">
        <v>4.7399999999999998E-2</v>
      </c>
      <c r="G1272" s="15">
        <v>3.7900000000000003E-2</v>
      </c>
      <c r="H1272" s="15">
        <v>0.15459999999999999</v>
      </c>
      <c r="I1272" s="15">
        <v>1.9300000000000001E-2</v>
      </c>
      <c r="J1272" s="15">
        <v>7.9625668449197864</v>
      </c>
    </row>
    <row r="1273" spans="1:10" x14ac:dyDescent="0.25">
      <c r="A1273" s="2" t="s">
        <v>3815</v>
      </c>
      <c r="B1273" s="2" t="s">
        <v>3816</v>
      </c>
      <c r="C1273" s="2" t="s">
        <v>3817</v>
      </c>
      <c r="D1273" s="2" t="s">
        <v>10042</v>
      </c>
      <c r="E1273" s="15">
        <v>8.1500000000000003E-2</v>
      </c>
      <c r="F1273" s="15">
        <v>5.04E-2</v>
      </c>
      <c r="G1273" s="15">
        <v>0.1062</v>
      </c>
      <c r="H1273" s="15">
        <v>0.1313</v>
      </c>
      <c r="I1273" s="15">
        <v>1.6799999999999999E-2</v>
      </c>
      <c r="J1273" s="15">
        <v>8.2037037037037042</v>
      </c>
    </row>
    <row r="1274" spans="1:10" x14ac:dyDescent="0.25">
      <c r="A1274" s="2" t="s">
        <v>3818</v>
      </c>
      <c r="B1274" s="2" t="s">
        <v>3819</v>
      </c>
      <c r="C1274" s="2" t="s">
        <v>3820</v>
      </c>
      <c r="D1274" s="2" t="s">
        <v>10042</v>
      </c>
      <c r="E1274" s="15">
        <v>0.1071</v>
      </c>
      <c r="F1274" s="15">
        <v>5.0299999999999997E-2</v>
      </c>
      <c r="G1274" s="15">
        <v>3.3099999999999997E-2</v>
      </c>
      <c r="H1274" s="15">
        <v>0.1454</v>
      </c>
      <c r="I1274" s="15">
        <v>2.1299999999999999E-2</v>
      </c>
      <c r="J1274" s="15">
        <v>6.8146341463414624</v>
      </c>
    </row>
    <row r="1275" spans="1:10" x14ac:dyDescent="0.25">
      <c r="A1275" s="2" t="s">
        <v>3821</v>
      </c>
      <c r="B1275" s="2" t="s">
        <v>3822</v>
      </c>
      <c r="C1275" s="2" t="s">
        <v>3823</v>
      </c>
      <c r="D1275" s="2" t="s">
        <v>10042</v>
      </c>
      <c r="E1275" s="15">
        <v>4.4299999999999999E-2</v>
      </c>
      <c r="F1275" s="15">
        <v>5.04E-2</v>
      </c>
      <c r="G1275" s="15">
        <v>0.37919999999999998</v>
      </c>
      <c r="H1275" s="15">
        <v>0.15140000000000001</v>
      </c>
      <c r="I1275" s="15">
        <v>1.8700000000000001E-2</v>
      </c>
      <c r="J1275" s="15">
        <v>8.4421052631578934</v>
      </c>
    </row>
    <row r="1276" spans="1:10" x14ac:dyDescent="0.25">
      <c r="A1276" s="2" t="s">
        <v>3824</v>
      </c>
      <c r="B1276" s="2" t="s">
        <v>3825</v>
      </c>
      <c r="C1276" s="2" t="s">
        <v>3826</v>
      </c>
      <c r="D1276" s="2" t="s">
        <v>10042</v>
      </c>
      <c r="E1276" s="15">
        <v>0.109</v>
      </c>
      <c r="F1276" s="15">
        <v>6.4500000000000002E-2</v>
      </c>
      <c r="G1276" s="15">
        <v>9.0899999999999995E-2</v>
      </c>
      <c r="H1276" s="15">
        <v>8.6400000000000005E-2</v>
      </c>
      <c r="I1276" s="15">
        <v>1.7899999999999999E-2</v>
      </c>
      <c r="J1276" s="15">
        <v>5.6725146198830414</v>
      </c>
    </row>
    <row r="1277" spans="1:10" x14ac:dyDescent="0.25">
      <c r="A1277" s="2" t="s">
        <v>3827</v>
      </c>
      <c r="B1277" s="2" t="s">
        <v>3828</v>
      </c>
      <c r="C1277" s="2" t="s">
        <v>3829</v>
      </c>
      <c r="D1277" s="2" t="s">
        <v>10042</v>
      </c>
      <c r="E1277" s="15">
        <v>8.7300000000000003E-2</v>
      </c>
      <c r="F1277" s="15">
        <v>6.1800000000000001E-2</v>
      </c>
      <c r="G1277" s="15">
        <v>0.15759999999999999</v>
      </c>
      <c r="H1277" s="15">
        <v>9.9599999999999994E-2</v>
      </c>
      <c r="I1277" s="15">
        <v>1.8800000000000001E-2</v>
      </c>
      <c r="J1277" s="15">
        <v>5.6944444444444446</v>
      </c>
    </row>
    <row r="1278" spans="1:10" x14ac:dyDescent="0.25">
      <c r="A1278" s="2" t="s">
        <v>3830</v>
      </c>
      <c r="B1278" s="2" t="s">
        <v>3831</v>
      </c>
      <c r="C1278" s="2" t="s">
        <v>3832</v>
      </c>
      <c r="D1278" s="2" t="s">
        <v>10042</v>
      </c>
      <c r="E1278" s="15">
        <v>4.1000000000000002E-2</v>
      </c>
      <c r="F1278" s="15">
        <v>4.5699999999999998E-2</v>
      </c>
      <c r="G1278" s="15">
        <v>0.37</v>
      </c>
      <c r="H1278" s="15">
        <v>0.17599999999999999</v>
      </c>
      <c r="I1278" s="15">
        <v>1.9900000000000001E-2</v>
      </c>
      <c r="J1278" s="15">
        <v>8.6157635467980302</v>
      </c>
    </row>
    <row r="1279" spans="1:10" x14ac:dyDescent="0.25">
      <c r="A1279" s="2" t="s">
        <v>3833</v>
      </c>
      <c r="B1279" s="2" t="s">
        <v>3834</v>
      </c>
      <c r="C1279" s="2" t="s">
        <v>3835</v>
      </c>
      <c r="D1279" s="2" t="s">
        <v>10042</v>
      </c>
      <c r="E1279" s="15">
        <v>5.0099999999999999E-2</v>
      </c>
      <c r="F1279" s="15">
        <v>4.7800000000000002E-2</v>
      </c>
      <c r="G1279" s="15">
        <v>0.29549999999999998</v>
      </c>
      <c r="H1279" s="15">
        <v>0.19359999999999999</v>
      </c>
      <c r="I1279" s="15">
        <v>2.2599999999999999E-2</v>
      </c>
      <c r="J1279" s="15">
        <v>8.9761904761904763</v>
      </c>
    </row>
    <row r="1280" spans="1:10" x14ac:dyDescent="0.25">
      <c r="A1280" s="2" t="s">
        <v>3836</v>
      </c>
      <c r="B1280" s="2" t="s">
        <v>3837</v>
      </c>
      <c r="C1280" s="2" t="s">
        <v>3838</v>
      </c>
      <c r="D1280" s="2" t="s">
        <v>10042</v>
      </c>
      <c r="E1280" s="15">
        <v>8.2799999999999999E-2</v>
      </c>
      <c r="F1280" s="15">
        <v>5.1799999999999999E-2</v>
      </c>
      <c r="G1280" s="15">
        <v>0.1103</v>
      </c>
      <c r="H1280" s="15">
        <v>0.14660000000000001</v>
      </c>
      <c r="I1280" s="15">
        <v>1.95E-2</v>
      </c>
      <c r="J1280" s="15">
        <v>7.6755319148936172</v>
      </c>
    </row>
    <row r="1281" spans="1:10" x14ac:dyDescent="0.25">
      <c r="A1281" s="2" t="s">
        <v>3839</v>
      </c>
      <c r="B1281" s="2" t="s">
        <v>3840</v>
      </c>
      <c r="C1281" s="2" t="s">
        <v>3841</v>
      </c>
      <c r="D1281" s="2" t="s">
        <v>10042</v>
      </c>
      <c r="E1281" s="15">
        <v>6.9800000000000001E-2</v>
      </c>
      <c r="F1281" s="15">
        <v>4.8500000000000001E-2</v>
      </c>
      <c r="G1281" s="15">
        <v>0.15060000000000001</v>
      </c>
      <c r="H1281" s="15">
        <v>0.1666</v>
      </c>
      <c r="I1281" s="15">
        <v>1.9E-2</v>
      </c>
      <c r="J1281" s="15">
        <v>8.1214953271028048</v>
      </c>
    </row>
    <row r="1282" spans="1:10" x14ac:dyDescent="0.25">
      <c r="A1282" s="2" t="s">
        <v>3842</v>
      </c>
      <c r="B1282" s="2" t="s">
        <v>3843</v>
      </c>
      <c r="C1282" s="2" t="s">
        <v>3844</v>
      </c>
      <c r="D1282" s="2" t="s">
        <v>10042</v>
      </c>
      <c r="E1282" s="15">
        <v>1.43E-2</v>
      </c>
      <c r="F1282" s="15">
        <v>4.5600000000000002E-2</v>
      </c>
      <c r="G1282" s="15">
        <v>0.75439999999999996</v>
      </c>
      <c r="H1282" s="15">
        <v>0.1739</v>
      </c>
      <c r="I1282" s="15">
        <v>1.9199999999999998E-2</v>
      </c>
      <c r="J1282" s="15">
        <v>8.8571428571428577</v>
      </c>
    </row>
    <row r="1283" spans="1:10" x14ac:dyDescent="0.25">
      <c r="A1283" s="2" t="s">
        <v>3845</v>
      </c>
      <c r="B1283" s="2" t="s">
        <v>3846</v>
      </c>
      <c r="C1283" s="2" t="s">
        <v>3847</v>
      </c>
      <c r="D1283" s="2" t="s">
        <v>10042</v>
      </c>
      <c r="E1283" s="15">
        <v>8.1500000000000003E-2</v>
      </c>
      <c r="F1283" s="15">
        <v>4.5199999999999997E-2</v>
      </c>
      <c r="G1283" s="15">
        <v>7.1499999999999994E-2</v>
      </c>
      <c r="H1283" s="15">
        <v>0.19070000000000001</v>
      </c>
      <c r="I1283" s="15">
        <v>2.1000000000000001E-2</v>
      </c>
      <c r="J1283" s="15">
        <v>9.4195121951219498</v>
      </c>
    </row>
    <row r="1284" spans="1:10" x14ac:dyDescent="0.25">
      <c r="A1284" s="2" t="s">
        <v>3848</v>
      </c>
      <c r="B1284" s="2" t="s">
        <v>3849</v>
      </c>
      <c r="C1284" s="2" t="s">
        <v>3850</v>
      </c>
      <c r="D1284" s="2" t="s">
        <v>10042</v>
      </c>
      <c r="E1284" s="15">
        <v>-2.46E-2</v>
      </c>
      <c r="F1284" s="15">
        <v>6.9000000000000006E-2</v>
      </c>
      <c r="G1284" s="15">
        <v>0.7218</v>
      </c>
      <c r="H1284" s="15">
        <v>7.6499999999999999E-2</v>
      </c>
      <c r="I1284" s="15">
        <v>1.4999999999999999E-2</v>
      </c>
      <c r="J1284" s="15">
        <v>5.1923076923076934</v>
      </c>
    </row>
    <row r="1285" spans="1:10" x14ac:dyDescent="0.25">
      <c r="A1285" s="2" t="s">
        <v>3851</v>
      </c>
      <c r="B1285" s="2" t="s">
        <v>3852</v>
      </c>
      <c r="C1285" s="2" t="s">
        <v>3853</v>
      </c>
      <c r="D1285" s="2" t="s">
        <v>10042</v>
      </c>
      <c r="E1285" s="15">
        <v>-7.8200000000000006E-2</v>
      </c>
      <c r="F1285" s="15">
        <v>8.4699999999999998E-2</v>
      </c>
      <c r="G1285" s="15">
        <v>0.35570000000000002</v>
      </c>
      <c r="H1285" s="15">
        <v>4.24E-2</v>
      </c>
      <c r="I1285" s="15">
        <v>1.7399999999999999E-2</v>
      </c>
      <c r="J1285" s="15">
        <v>2.6140350877192979</v>
      </c>
    </row>
    <row r="1286" spans="1:10" x14ac:dyDescent="0.25">
      <c r="A1286" s="2" t="s">
        <v>3854</v>
      </c>
      <c r="B1286" s="2" t="s">
        <v>3855</v>
      </c>
      <c r="C1286" s="2" t="s">
        <v>3856</v>
      </c>
      <c r="D1286" s="2" t="s">
        <v>10042</v>
      </c>
      <c r="E1286" s="15">
        <v>9.6299999999999997E-2</v>
      </c>
      <c r="F1286" s="15">
        <v>5.2999999999999999E-2</v>
      </c>
      <c r="G1286" s="15">
        <v>6.9400000000000003E-2</v>
      </c>
      <c r="H1286" s="15">
        <v>0.15129999999999999</v>
      </c>
      <c r="I1286" s="15">
        <v>2.3E-2</v>
      </c>
      <c r="J1286" s="15">
        <v>7.6603773584905657</v>
      </c>
    </row>
    <row r="1287" spans="1:10" x14ac:dyDescent="0.25">
      <c r="A1287" s="2" t="s">
        <v>3857</v>
      </c>
      <c r="B1287" s="2" t="s">
        <v>3858</v>
      </c>
      <c r="C1287" s="2" t="s">
        <v>3859</v>
      </c>
      <c r="D1287" s="2" t="s">
        <v>10042</v>
      </c>
      <c r="E1287" s="15">
        <v>7.5300000000000006E-2</v>
      </c>
      <c r="F1287" s="15">
        <v>5.1400000000000001E-2</v>
      </c>
      <c r="G1287" s="15">
        <v>0.14249999999999999</v>
      </c>
      <c r="H1287" s="15">
        <v>0.20599999999999999</v>
      </c>
      <c r="I1287" s="15">
        <v>2.0199999999999999E-2</v>
      </c>
      <c r="J1287" s="15">
        <v>10.25</v>
      </c>
    </row>
    <row r="1288" spans="1:10" x14ac:dyDescent="0.25">
      <c r="A1288" s="2" t="s">
        <v>3860</v>
      </c>
      <c r="B1288" s="2" t="s">
        <v>3861</v>
      </c>
      <c r="C1288" s="2" t="s">
        <v>3862</v>
      </c>
      <c r="D1288" s="2" t="s">
        <v>10042</v>
      </c>
      <c r="E1288" s="15">
        <v>5.4199999999999998E-2</v>
      </c>
      <c r="F1288" s="15">
        <v>6.5199999999999994E-2</v>
      </c>
      <c r="G1288" s="15">
        <v>0.40560000000000002</v>
      </c>
      <c r="H1288" s="15">
        <v>9.8400000000000001E-2</v>
      </c>
      <c r="I1288" s="15">
        <v>1.61E-2</v>
      </c>
      <c r="J1288" s="15">
        <v>6.0632911392405058</v>
      </c>
    </row>
    <row r="1289" spans="1:10" x14ac:dyDescent="0.25">
      <c r="A1289" s="2" t="s">
        <v>3863</v>
      </c>
      <c r="B1289" s="2" t="s">
        <v>3864</v>
      </c>
      <c r="C1289" s="2" t="s">
        <v>3865</v>
      </c>
      <c r="D1289" s="2" t="s">
        <v>10042</v>
      </c>
      <c r="E1289" s="15">
        <v>3.0300000000000001E-2</v>
      </c>
      <c r="F1289" s="15">
        <v>4.8800000000000003E-2</v>
      </c>
      <c r="G1289" s="15">
        <v>0.53549999999999998</v>
      </c>
      <c r="H1289" s="15">
        <v>0.16270000000000001</v>
      </c>
      <c r="I1289" s="15">
        <v>2.0500000000000001E-2</v>
      </c>
      <c r="J1289" s="15">
        <v>8.3532338308457703</v>
      </c>
    </row>
    <row r="1290" spans="1:10" x14ac:dyDescent="0.25">
      <c r="A1290" s="2" t="s">
        <v>3866</v>
      </c>
      <c r="B1290" s="2" t="s">
        <v>3867</v>
      </c>
      <c r="C1290" s="2" t="s">
        <v>3868</v>
      </c>
      <c r="D1290" s="2" t="s">
        <v>10042</v>
      </c>
      <c r="E1290" s="15">
        <v>8.8099999999999998E-2</v>
      </c>
      <c r="F1290" s="15">
        <v>5.4399999999999997E-2</v>
      </c>
      <c r="G1290" s="15">
        <v>0.1057</v>
      </c>
      <c r="H1290" s="15">
        <v>0.1389</v>
      </c>
      <c r="I1290" s="15">
        <v>1.7100000000000001E-2</v>
      </c>
      <c r="J1290" s="15">
        <v>8.4418604651162781</v>
      </c>
    </row>
    <row r="1291" spans="1:10" x14ac:dyDescent="0.25">
      <c r="A1291" s="2" t="s">
        <v>3869</v>
      </c>
      <c r="B1291" s="2" t="s">
        <v>3870</v>
      </c>
      <c r="C1291" s="2" t="s">
        <v>3871</v>
      </c>
      <c r="D1291" s="2" t="s">
        <v>10042</v>
      </c>
      <c r="E1291" s="15">
        <v>9.4200000000000006E-2</v>
      </c>
      <c r="F1291" s="15">
        <v>4.9200000000000001E-2</v>
      </c>
      <c r="G1291" s="15">
        <v>5.57E-2</v>
      </c>
      <c r="H1291" s="15">
        <v>0.18529999999999999</v>
      </c>
      <c r="I1291" s="15">
        <v>2.06E-2</v>
      </c>
      <c r="J1291" s="15">
        <v>9.1313131313131297</v>
      </c>
    </row>
    <row r="1292" spans="1:10" x14ac:dyDescent="0.25">
      <c r="A1292" s="2" t="s">
        <v>3872</v>
      </c>
      <c r="B1292" s="2" t="s">
        <v>3873</v>
      </c>
      <c r="C1292" s="2" t="s">
        <v>3874</v>
      </c>
      <c r="D1292" s="2" t="s">
        <v>10042</v>
      </c>
      <c r="E1292" s="15">
        <v>-5.1999999999999998E-2</v>
      </c>
      <c r="F1292" s="15">
        <v>6.0299999999999999E-2</v>
      </c>
      <c r="G1292" s="15">
        <v>0.3891</v>
      </c>
      <c r="H1292" s="15">
        <v>0.10340000000000001</v>
      </c>
      <c r="I1292" s="15">
        <v>1.6500000000000001E-2</v>
      </c>
      <c r="J1292" s="15">
        <v>6.5243902439024382</v>
      </c>
    </row>
    <row r="1293" spans="1:10" x14ac:dyDescent="0.25">
      <c r="A1293" s="2" t="s">
        <v>3875</v>
      </c>
      <c r="B1293" s="2" t="s">
        <v>3876</v>
      </c>
      <c r="C1293" s="2" t="s">
        <v>3877</v>
      </c>
      <c r="D1293" s="2" t="s">
        <v>10042</v>
      </c>
      <c r="E1293" s="15">
        <v>8.43E-2</v>
      </c>
      <c r="F1293" s="15">
        <v>7.9500000000000001E-2</v>
      </c>
      <c r="G1293" s="15">
        <v>0.28910000000000002</v>
      </c>
      <c r="H1293" s="15">
        <v>5.7299999999999997E-2</v>
      </c>
      <c r="I1293" s="15">
        <v>1.4500000000000001E-2</v>
      </c>
      <c r="J1293" s="15">
        <v>4.8571428571428577</v>
      </c>
    </row>
    <row r="1294" spans="1:10" x14ac:dyDescent="0.25">
      <c r="A1294" s="2" t="s">
        <v>3878</v>
      </c>
      <c r="B1294" s="2" t="s">
        <v>3879</v>
      </c>
      <c r="C1294" s="2" t="s">
        <v>3880</v>
      </c>
      <c r="D1294" s="2" t="s">
        <v>10042</v>
      </c>
      <c r="E1294" s="15">
        <v>5.2499999999999998E-2</v>
      </c>
      <c r="F1294" s="15">
        <v>4.7300000000000002E-2</v>
      </c>
      <c r="G1294" s="15">
        <v>0.26690000000000003</v>
      </c>
      <c r="H1294" s="15">
        <v>0.1958</v>
      </c>
      <c r="I1294" s="15">
        <v>2.5700000000000001E-2</v>
      </c>
      <c r="J1294" s="15">
        <v>8.0330578512396684</v>
      </c>
    </row>
    <row r="1295" spans="1:10" x14ac:dyDescent="0.25">
      <c r="A1295" s="2" t="s">
        <v>3881</v>
      </c>
      <c r="B1295" s="2" t="s">
        <v>3882</v>
      </c>
      <c r="C1295" s="2" t="s">
        <v>3883</v>
      </c>
      <c r="D1295" s="2" t="s">
        <v>10042</v>
      </c>
      <c r="E1295" s="15">
        <v>8.4400000000000003E-2</v>
      </c>
      <c r="F1295" s="15">
        <v>4.7199999999999999E-2</v>
      </c>
      <c r="G1295" s="15">
        <v>7.3599999999999999E-2</v>
      </c>
      <c r="H1295" s="15">
        <v>0.15210000000000001</v>
      </c>
      <c r="I1295" s="15">
        <v>1.8499999999999999E-2</v>
      </c>
      <c r="J1295" s="15">
        <v>8.796610169491526</v>
      </c>
    </row>
    <row r="1296" spans="1:10" x14ac:dyDescent="0.25">
      <c r="A1296" s="2" t="s">
        <v>3884</v>
      </c>
      <c r="B1296" s="2" t="s">
        <v>3885</v>
      </c>
      <c r="C1296" s="2" t="s">
        <v>3886</v>
      </c>
      <c r="D1296" s="2" t="s">
        <v>10042</v>
      </c>
      <c r="E1296" s="15">
        <v>9.9099999999999994E-2</v>
      </c>
      <c r="F1296" s="15">
        <v>6.2199999999999998E-2</v>
      </c>
      <c r="G1296" s="15">
        <v>0.1113</v>
      </c>
      <c r="H1296" s="15">
        <v>0.1032</v>
      </c>
      <c r="I1296" s="15">
        <v>1.67E-2</v>
      </c>
      <c r="J1296" s="15">
        <v>7.2272727272727266</v>
      </c>
    </row>
    <row r="1297" spans="1:10" x14ac:dyDescent="0.25">
      <c r="A1297" s="2" t="s">
        <v>3887</v>
      </c>
      <c r="B1297" s="2" t="s">
        <v>3888</v>
      </c>
      <c r="C1297" s="2" t="s">
        <v>3889</v>
      </c>
      <c r="D1297" s="2" t="s">
        <v>10042</v>
      </c>
      <c r="E1297" s="15">
        <v>4.7800000000000002E-2</v>
      </c>
      <c r="F1297" s="15">
        <v>5.0200000000000002E-2</v>
      </c>
      <c r="G1297" s="15">
        <v>0.34079999999999999</v>
      </c>
      <c r="H1297" s="15">
        <v>0.15110000000000001</v>
      </c>
      <c r="I1297" s="15">
        <v>1.7899999999999999E-2</v>
      </c>
      <c r="J1297" s="15">
        <v>8.7528735632183903</v>
      </c>
    </row>
    <row r="1298" spans="1:10" x14ac:dyDescent="0.25">
      <c r="A1298" s="2" t="s">
        <v>3890</v>
      </c>
      <c r="B1298" s="2" t="s">
        <v>3891</v>
      </c>
      <c r="C1298" s="2" t="s">
        <v>3892</v>
      </c>
      <c r="D1298" s="2" t="s">
        <v>10042</v>
      </c>
      <c r="E1298" s="15">
        <v>7.6200000000000004E-2</v>
      </c>
      <c r="F1298" s="15">
        <v>4.6699999999999998E-2</v>
      </c>
      <c r="G1298" s="15">
        <v>0.1023</v>
      </c>
      <c r="H1298" s="15">
        <v>0.13589999999999999</v>
      </c>
      <c r="I1298" s="15">
        <v>1.9E-2</v>
      </c>
      <c r="J1298" s="15">
        <v>7.2356020942408366</v>
      </c>
    </row>
    <row r="1299" spans="1:10" x14ac:dyDescent="0.25">
      <c r="A1299" s="2" t="s">
        <v>3893</v>
      </c>
      <c r="B1299" s="2" t="s">
        <v>3894</v>
      </c>
      <c r="C1299" s="2" t="s">
        <v>3895</v>
      </c>
      <c r="D1299" s="2" t="s">
        <v>10042</v>
      </c>
      <c r="E1299" s="15">
        <v>0.1729</v>
      </c>
      <c r="F1299" s="15">
        <v>5.1299999999999998E-2</v>
      </c>
      <c r="G1299" s="15">
        <v>8.0000000000000004E-4</v>
      </c>
      <c r="H1299" s="15">
        <v>0.1323</v>
      </c>
      <c r="I1299" s="15">
        <v>2.1299999999999999E-2</v>
      </c>
      <c r="J1299" s="15">
        <v>6.9162303664921474</v>
      </c>
    </row>
    <row r="1300" spans="1:10" x14ac:dyDescent="0.25">
      <c r="A1300" s="2" t="s">
        <v>3896</v>
      </c>
      <c r="B1300" s="2" t="s">
        <v>3897</v>
      </c>
      <c r="C1300" s="2" t="s">
        <v>3898</v>
      </c>
      <c r="D1300" s="2" t="s">
        <v>10042</v>
      </c>
      <c r="E1300" s="15">
        <v>8.3000000000000004E-2</v>
      </c>
      <c r="F1300" s="15">
        <v>5.3499999999999999E-2</v>
      </c>
      <c r="G1300" s="15">
        <v>0.121</v>
      </c>
      <c r="H1300" s="15">
        <v>9.98E-2</v>
      </c>
      <c r="I1300" s="15">
        <v>1.6400000000000001E-2</v>
      </c>
      <c r="J1300" s="15">
        <v>6.4451612903225808</v>
      </c>
    </row>
    <row r="1301" spans="1:10" x14ac:dyDescent="0.25">
      <c r="A1301" s="2" t="s">
        <v>3899</v>
      </c>
      <c r="B1301" s="2" t="s">
        <v>3900</v>
      </c>
      <c r="C1301" s="2" t="s">
        <v>3901</v>
      </c>
      <c r="D1301" s="2" t="s">
        <v>10042</v>
      </c>
      <c r="E1301" s="15">
        <v>6.5699999999999995E-2</v>
      </c>
      <c r="F1301" s="15">
        <v>4.9200000000000001E-2</v>
      </c>
      <c r="G1301" s="15">
        <v>0.182</v>
      </c>
      <c r="H1301" s="15">
        <v>0.20039999999999999</v>
      </c>
      <c r="I1301" s="15">
        <v>2.5000000000000001E-2</v>
      </c>
      <c r="J1301" s="15">
        <v>8.0590717299578056</v>
      </c>
    </row>
    <row r="1302" spans="1:10" x14ac:dyDescent="0.25">
      <c r="A1302" s="2" t="s">
        <v>3902</v>
      </c>
      <c r="B1302" s="2" t="s">
        <v>3903</v>
      </c>
      <c r="C1302" s="2" t="s">
        <v>3904</v>
      </c>
      <c r="D1302" s="2" t="s">
        <v>10042</v>
      </c>
      <c r="E1302" s="15">
        <v>6.0100000000000001E-2</v>
      </c>
      <c r="F1302" s="15">
        <v>4.65E-2</v>
      </c>
      <c r="G1302" s="15">
        <v>0.19600000000000001</v>
      </c>
      <c r="H1302" s="15">
        <v>0.1789</v>
      </c>
      <c r="I1302" s="15">
        <v>2.7799999999999998E-2</v>
      </c>
      <c r="J1302" s="15">
        <v>6.6526717557251906</v>
      </c>
    </row>
    <row r="1303" spans="1:10" x14ac:dyDescent="0.25">
      <c r="A1303" s="2" t="s">
        <v>3905</v>
      </c>
      <c r="B1303" s="2" t="s">
        <v>3906</v>
      </c>
      <c r="C1303" s="2" t="s">
        <v>3907</v>
      </c>
      <c r="D1303" s="2" t="s">
        <v>10042</v>
      </c>
      <c r="E1303" s="15">
        <v>0.14349999999999999</v>
      </c>
      <c r="F1303" s="15">
        <v>8.0799999999999997E-2</v>
      </c>
      <c r="G1303" s="15">
        <v>7.5700000000000003E-2</v>
      </c>
      <c r="H1303" s="15">
        <v>5.4199999999999998E-2</v>
      </c>
      <c r="I1303" s="15">
        <v>1.55E-2</v>
      </c>
      <c r="J1303" s="15">
        <v>3.464052287581699</v>
      </c>
    </row>
    <row r="1304" spans="1:10" x14ac:dyDescent="0.25">
      <c r="A1304" s="2" t="s">
        <v>3908</v>
      </c>
      <c r="B1304" s="2" t="s">
        <v>3909</v>
      </c>
      <c r="C1304" s="2" t="s">
        <v>3910</v>
      </c>
      <c r="D1304" s="2" t="s">
        <v>10042</v>
      </c>
      <c r="E1304" s="15">
        <v>6.1800000000000001E-2</v>
      </c>
      <c r="F1304" s="15">
        <v>5.0700000000000002E-2</v>
      </c>
      <c r="G1304" s="15">
        <v>0.22289999999999999</v>
      </c>
      <c r="H1304" s="15">
        <v>0.12870000000000001</v>
      </c>
      <c r="I1304" s="15">
        <v>1.6E-2</v>
      </c>
      <c r="J1304" s="15">
        <v>8.7547169811320735</v>
      </c>
    </row>
    <row r="1305" spans="1:10" x14ac:dyDescent="0.25">
      <c r="A1305" s="2" t="s">
        <v>3911</v>
      </c>
      <c r="B1305" s="2" t="s">
        <v>3912</v>
      </c>
      <c r="C1305" s="2" t="s">
        <v>3913</v>
      </c>
      <c r="D1305" s="2" t="s">
        <v>10042</v>
      </c>
      <c r="E1305" s="15">
        <v>9.4399999999999998E-2</v>
      </c>
      <c r="F1305" s="15">
        <v>5.7000000000000002E-2</v>
      </c>
      <c r="G1305" s="15">
        <v>9.7799999999999998E-2</v>
      </c>
      <c r="H1305" s="15">
        <v>0.1426</v>
      </c>
      <c r="I1305" s="15">
        <v>1.6899999999999998E-2</v>
      </c>
      <c r="J1305" s="15">
        <v>8.4971428571428564</v>
      </c>
    </row>
    <row r="1306" spans="1:10" x14ac:dyDescent="0.25">
      <c r="A1306" s="2" t="s">
        <v>3914</v>
      </c>
      <c r="B1306" s="2" t="s">
        <v>3915</v>
      </c>
      <c r="C1306" s="2" t="s">
        <v>3916</v>
      </c>
      <c r="D1306" s="2" t="s">
        <v>10042</v>
      </c>
      <c r="E1306" s="15">
        <v>3.32E-2</v>
      </c>
      <c r="F1306" s="15">
        <v>5.5E-2</v>
      </c>
      <c r="G1306" s="15">
        <v>0.54579999999999995</v>
      </c>
      <c r="H1306" s="15">
        <v>0.12809999999999999</v>
      </c>
      <c r="I1306" s="15">
        <v>1.9800000000000002E-2</v>
      </c>
      <c r="J1306" s="15">
        <v>6.7589743589743589</v>
      </c>
    </row>
    <row r="1307" spans="1:10" x14ac:dyDescent="0.25">
      <c r="A1307" s="2" t="s">
        <v>3917</v>
      </c>
      <c r="B1307" s="2" t="s">
        <v>3918</v>
      </c>
      <c r="C1307" s="2" t="s">
        <v>3919</v>
      </c>
      <c r="D1307" s="2" t="s">
        <v>10042</v>
      </c>
      <c r="E1307" s="15">
        <v>7.1199999999999999E-2</v>
      </c>
      <c r="F1307" s="15">
        <v>5.0099999999999999E-2</v>
      </c>
      <c r="G1307" s="15">
        <v>0.1555</v>
      </c>
      <c r="H1307" s="15">
        <v>0.1497</v>
      </c>
      <c r="I1307" s="15">
        <v>2.1700000000000001E-2</v>
      </c>
      <c r="J1307" s="15">
        <v>7.5432692307692317</v>
      </c>
    </row>
    <row r="1308" spans="1:10" x14ac:dyDescent="0.25">
      <c r="A1308" s="2" t="s">
        <v>3920</v>
      </c>
      <c r="B1308" s="2" t="s">
        <v>3921</v>
      </c>
      <c r="C1308" s="2" t="s">
        <v>3922</v>
      </c>
      <c r="D1308" s="2" t="s">
        <v>10042</v>
      </c>
      <c r="E1308" s="15">
        <v>0.1003</v>
      </c>
      <c r="F1308" s="15">
        <v>7.8899999999999998E-2</v>
      </c>
      <c r="G1308" s="15">
        <v>0.20369999999999999</v>
      </c>
      <c r="H1308" s="15">
        <v>5.8599999999999999E-2</v>
      </c>
      <c r="I1308" s="15">
        <v>2.0400000000000001E-2</v>
      </c>
      <c r="J1308" s="15">
        <v>3.18041237113402</v>
      </c>
    </row>
    <row r="1309" spans="1:10" x14ac:dyDescent="0.25">
      <c r="A1309" s="2" t="s">
        <v>3923</v>
      </c>
      <c r="B1309" s="2" t="s">
        <v>3924</v>
      </c>
      <c r="C1309" s="2" t="s">
        <v>3925</v>
      </c>
      <c r="D1309" s="2" t="s">
        <v>10042</v>
      </c>
      <c r="E1309" s="15">
        <v>7.1900000000000006E-2</v>
      </c>
      <c r="F1309" s="15">
        <v>4.5199999999999997E-2</v>
      </c>
      <c r="G1309" s="15">
        <v>0.1114</v>
      </c>
      <c r="H1309" s="15">
        <v>0.15260000000000001</v>
      </c>
      <c r="I1309" s="15">
        <v>2.07E-2</v>
      </c>
      <c r="J1309" s="15">
        <v>7.6584158415841586</v>
      </c>
    </row>
    <row r="1310" spans="1:10" x14ac:dyDescent="0.25">
      <c r="A1310" s="2" t="s">
        <v>3926</v>
      </c>
      <c r="B1310" s="2" t="s">
        <v>3927</v>
      </c>
      <c r="C1310" s="2" t="s">
        <v>3928</v>
      </c>
      <c r="D1310" s="2" t="s">
        <v>10042</v>
      </c>
      <c r="E1310" s="15">
        <v>4.9000000000000002E-2</v>
      </c>
      <c r="F1310" s="15">
        <v>5.3400000000000003E-2</v>
      </c>
      <c r="G1310" s="15">
        <v>0.3584</v>
      </c>
      <c r="H1310" s="15">
        <v>0.1086</v>
      </c>
      <c r="I1310" s="15">
        <v>1.6799999999999999E-2</v>
      </c>
      <c r="J1310" s="15">
        <v>6.7228915662650603</v>
      </c>
    </row>
    <row r="1311" spans="1:10" x14ac:dyDescent="0.25">
      <c r="A1311" s="2" t="s">
        <v>3929</v>
      </c>
      <c r="B1311" s="2" t="s">
        <v>3930</v>
      </c>
      <c r="C1311" s="2" t="s">
        <v>3931</v>
      </c>
      <c r="D1311" s="2" t="s">
        <v>10042</v>
      </c>
      <c r="E1311" s="15">
        <v>8.9800000000000005E-2</v>
      </c>
      <c r="F1311" s="15">
        <v>5.11E-2</v>
      </c>
      <c r="G1311" s="15">
        <v>7.85E-2</v>
      </c>
      <c r="H1311" s="15">
        <v>0.15579999999999999</v>
      </c>
      <c r="I1311" s="15">
        <v>1.6500000000000001E-2</v>
      </c>
      <c r="J1311" s="15">
        <v>9.8719512195121943</v>
      </c>
    </row>
    <row r="1312" spans="1:10" x14ac:dyDescent="0.25">
      <c r="A1312" s="2" t="s">
        <v>3932</v>
      </c>
      <c r="B1312" s="2" t="s">
        <v>3933</v>
      </c>
      <c r="C1312" s="2" t="s">
        <v>3934</v>
      </c>
      <c r="D1312" s="2" t="s">
        <v>10042</v>
      </c>
      <c r="E1312" s="15">
        <v>0.15670000000000001</v>
      </c>
      <c r="F1312" s="15">
        <v>6.0299999999999999E-2</v>
      </c>
      <c r="G1312" s="15">
        <v>9.2999999999999992E-3</v>
      </c>
      <c r="H1312" s="15">
        <v>0.10589999999999999</v>
      </c>
      <c r="I1312" s="15">
        <v>1.7100000000000001E-2</v>
      </c>
      <c r="J1312" s="15">
        <v>6.9526627218934918</v>
      </c>
    </row>
    <row r="1313" spans="1:10" x14ac:dyDescent="0.25">
      <c r="A1313" s="2" t="s">
        <v>3935</v>
      </c>
      <c r="B1313" s="2" t="s">
        <v>3936</v>
      </c>
      <c r="C1313" s="2" t="s">
        <v>3937</v>
      </c>
      <c r="D1313" s="2" t="s">
        <v>10042</v>
      </c>
      <c r="E1313" s="15">
        <v>-1.44E-2</v>
      </c>
      <c r="F1313" s="15">
        <v>6.0600000000000001E-2</v>
      </c>
      <c r="G1313" s="15">
        <v>0.81220000000000003</v>
      </c>
      <c r="H1313" s="15">
        <v>0.114</v>
      </c>
      <c r="I1313" s="15">
        <v>1.72E-2</v>
      </c>
      <c r="J1313" s="15">
        <v>7.1265822784810116</v>
      </c>
    </row>
    <row r="1314" spans="1:10" x14ac:dyDescent="0.25">
      <c r="A1314" s="2" t="s">
        <v>3938</v>
      </c>
      <c r="B1314" s="2" t="s">
        <v>3939</v>
      </c>
      <c r="C1314" s="2" t="s">
        <v>3940</v>
      </c>
      <c r="D1314" s="2" t="s">
        <v>10042</v>
      </c>
      <c r="E1314" s="15">
        <v>-2.92E-2</v>
      </c>
      <c r="F1314" s="15">
        <v>4.3900000000000002E-2</v>
      </c>
      <c r="G1314" s="15">
        <v>0.50619999999999998</v>
      </c>
      <c r="H1314" s="15">
        <v>0.18490000000000001</v>
      </c>
      <c r="I1314" s="15">
        <v>1.9199999999999998E-2</v>
      </c>
      <c r="J1314" s="15">
        <v>10.61797752808989</v>
      </c>
    </row>
    <row r="1315" spans="1:10" x14ac:dyDescent="0.25">
      <c r="A1315" s="2" t="s">
        <v>3941</v>
      </c>
      <c r="B1315" s="2" t="s">
        <v>3942</v>
      </c>
      <c r="C1315" s="2" t="s">
        <v>3943</v>
      </c>
      <c r="D1315" s="2" t="s">
        <v>10042</v>
      </c>
      <c r="E1315" s="15">
        <v>2.7400000000000001E-2</v>
      </c>
      <c r="F1315" s="15">
        <v>6.4699999999999994E-2</v>
      </c>
      <c r="G1315" s="15">
        <v>0.67120000000000002</v>
      </c>
      <c r="H1315" s="15">
        <v>7.2900000000000006E-2</v>
      </c>
      <c r="I1315" s="15">
        <v>1.66E-2</v>
      </c>
      <c r="J1315" s="15">
        <v>5.0516129032258066</v>
      </c>
    </row>
    <row r="1316" spans="1:10" x14ac:dyDescent="0.25">
      <c r="A1316" s="2" t="s">
        <v>3944</v>
      </c>
      <c r="B1316" s="2" t="s">
        <v>3945</v>
      </c>
      <c r="C1316" s="2" t="s">
        <v>3946</v>
      </c>
      <c r="D1316" s="2" t="s">
        <v>10042</v>
      </c>
      <c r="E1316" s="15">
        <v>-2.3999999999999998E-3</v>
      </c>
      <c r="F1316" s="15">
        <v>4.82E-2</v>
      </c>
      <c r="G1316" s="15">
        <v>0.96089999999999998</v>
      </c>
      <c r="H1316" s="15">
        <v>0.13780000000000001</v>
      </c>
      <c r="I1316" s="15">
        <v>1.6199999999999999E-2</v>
      </c>
      <c r="J1316" s="15">
        <v>8.6143790849673199</v>
      </c>
    </row>
    <row r="1317" spans="1:10" x14ac:dyDescent="0.25">
      <c r="A1317" s="2" t="s">
        <v>3947</v>
      </c>
      <c r="B1317" s="2" t="s">
        <v>3948</v>
      </c>
      <c r="C1317" s="2" t="s">
        <v>3949</v>
      </c>
      <c r="D1317" s="2" t="s">
        <v>10042</v>
      </c>
      <c r="E1317" s="15">
        <v>4.8999999999999998E-3</v>
      </c>
      <c r="F1317" s="15">
        <v>6.4000000000000001E-2</v>
      </c>
      <c r="G1317" s="15">
        <v>0.9395</v>
      </c>
      <c r="H1317" s="15">
        <v>9.69E-2</v>
      </c>
      <c r="I1317" s="15">
        <v>1.72E-2</v>
      </c>
      <c r="J1317" s="15">
        <v>6.0242424242424244</v>
      </c>
    </row>
    <row r="1318" spans="1:10" x14ac:dyDescent="0.25">
      <c r="A1318" s="2" t="s">
        <v>3950</v>
      </c>
      <c r="B1318" s="2" t="s">
        <v>3951</v>
      </c>
      <c r="C1318" s="2" t="s">
        <v>3952</v>
      </c>
      <c r="D1318" s="2" t="s">
        <v>10042</v>
      </c>
      <c r="E1318" s="15">
        <v>0.1206</v>
      </c>
      <c r="F1318" s="15">
        <v>4.8000000000000001E-2</v>
      </c>
      <c r="G1318" s="15">
        <v>1.2E-2</v>
      </c>
      <c r="H1318" s="15">
        <v>0.16</v>
      </c>
      <c r="I1318" s="15">
        <v>2.01E-2</v>
      </c>
      <c r="J1318" s="15">
        <v>8.8638743455497391</v>
      </c>
    </row>
    <row r="1319" spans="1:10" x14ac:dyDescent="0.25">
      <c r="A1319" s="2" t="s">
        <v>3953</v>
      </c>
      <c r="B1319" s="2" t="s">
        <v>3954</v>
      </c>
      <c r="C1319" s="2" t="s">
        <v>3955</v>
      </c>
      <c r="D1319" s="2" t="s">
        <v>10042</v>
      </c>
      <c r="E1319" s="15">
        <v>1.4E-3</v>
      </c>
      <c r="F1319" s="15">
        <v>4.1599999999999998E-2</v>
      </c>
      <c r="G1319" s="15">
        <v>0.97240000000000004</v>
      </c>
      <c r="H1319" s="15">
        <v>0.19739999999999999</v>
      </c>
      <c r="I1319" s="15">
        <v>2.1399999999999999E-2</v>
      </c>
      <c r="J1319" s="15">
        <v>10.23300970873786</v>
      </c>
    </row>
    <row r="1320" spans="1:10" x14ac:dyDescent="0.25">
      <c r="A1320" s="2" t="s">
        <v>3956</v>
      </c>
      <c r="B1320" s="2" t="s">
        <v>3957</v>
      </c>
      <c r="C1320" s="2" t="s">
        <v>3958</v>
      </c>
      <c r="D1320" s="2" t="s">
        <v>10042</v>
      </c>
      <c r="E1320" s="15">
        <v>9.5699999999999993E-2</v>
      </c>
      <c r="F1320" s="15">
        <v>5.4399999999999997E-2</v>
      </c>
      <c r="G1320" s="15">
        <v>7.8600000000000003E-2</v>
      </c>
      <c r="H1320" s="15">
        <v>0.13220000000000001</v>
      </c>
      <c r="I1320" s="15">
        <v>1.9199999999999998E-2</v>
      </c>
      <c r="J1320" s="15">
        <v>7.414893617021276</v>
      </c>
    </row>
    <row r="1321" spans="1:10" x14ac:dyDescent="0.25">
      <c r="A1321" s="2" t="s">
        <v>3959</v>
      </c>
      <c r="B1321" s="2" t="s">
        <v>3960</v>
      </c>
      <c r="C1321" s="2" t="s">
        <v>3961</v>
      </c>
      <c r="D1321" s="2" t="s">
        <v>10042</v>
      </c>
      <c r="E1321" s="15">
        <v>5.0700000000000002E-2</v>
      </c>
      <c r="F1321" s="15">
        <v>5.4100000000000002E-2</v>
      </c>
      <c r="G1321" s="15">
        <v>0.34810000000000002</v>
      </c>
      <c r="H1321" s="15">
        <v>0.14530000000000001</v>
      </c>
      <c r="I1321" s="15">
        <v>2.0299999999999999E-2</v>
      </c>
      <c r="J1321" s="15">
        <v>7.4630541871921183</v>
      </c>
    </row>
    <row r="1322" spans="1:10" x14ac:dyDescent="0.25">
      <c r="A1322" s="2" t="s">
        <v>3962</v>
      </c>
      <c r="B1322" s="2" t="s">
        <v>3963</v>
      </c>
      <c r="C1322" s="2" t="s">
        <v>3964</v>
      </c>
      <c r="D1322" s="2" t="s">
        <v>10042</v>
      </c>
      <c r="E1322" s="15">
        <v>4.2299999999999997E-2</v>
      </c>
      <c r="F1322" s="15">
        <v>5.0099999999999999E-2</v>
      </c>
      <c r="G1322" s="15">
        <v>0.39889999999999998</v>
      </c>
      <c r="H1322" s="15">
        <v>0.13539999999999999</v>
      </c>
      <c r="I1322" s="15">
        <v>1.7100000000000001E-2</v>
      </c>
      <c r="J1322" s="15">
        <v>9.3249999999999993</v>
      </c>
    </row>
    <row r="1323" spans="1:10" x14ac:dyDescent="0.25">
      <c r="A1323" s="2" t="s">
        <v>3965</v>
      </c>
      <c r="B1323" s="2" t="s">
        <v>3966</v>
      </c>
      <c r="C1323" s="2" t="s">
        <v>3967</v>
      </c>
      <c r="D1323" s="2" t="s">
        <v>10042</v>
      </c>
      <c r="E1323" s="15">
        <v>-9.69E-2</v>
      </c>
      <c r="F1323" s="15">
        <v>8.1900000000000001E-2</v>
      </c>
      <c r="G1323" s="15">
        <v>0.23680000000000001</v>
      </c>
      <c r="H1323" s="15">
        <v>5.0500000000000003E-2</v>
      </c>
      <c r="I1323" s="15">
        <v>1.7100000000000001E-2</v>
      </c>
      <c r="J1323" s="15">
        <v>2.8787878787878789</v>
      </c>
    </row>
    <row r="1324" spans="1:10" x14ac:dyDescent="0.25">
      <c r="A1324" s="2" t="s">
        <v>3968</v>
      </c>
      <c r="B1324" s="2" t="s">
        <v>3969</v>
      </c>
      <c r="C1324" s="2" t="s">
        <v>3970</v>
      </c>
      <c r="D1324" s="2" t="s">
        <v>10042</v>
      </c>
      <c r="E1324" s="15">
        <v>6.7699999999999996E-2</v>
      </c>
      <c r="F1324" s="15">
        <v>4.7899999999999998E-2</v>
      </c>
      <c r="G1324" s="15">
        <v>0.15770000000000001</v>
      </c>
      <c r="H1324" s="15">
        <v>0.13819999999999999</v>
      </c>
      <c r="I1324" s="15">
        <v>1.9599999999999999E-2</v>
      </c>
      <c r="J1324" s="15">
        <v>7.1538461538461542</v>
      </c>
    </row>
    <row r="1325" spans="1:10" x14ac:dyDescent="0.25">
      <c r="A1325" s="2" t="s">
        <v>3971</v>
      </c>
      <c r="B1325" s="2" t="s">
        <v>3972</v>
      </c>
      <c r="C1325" s="2" t="s">
        <v>3973</v>
      </c>
      <c r="D1325" s="2" t="s">
        <v>10042</v>
      </c>
      <c r="E1325" s="15">
        <v>0.1484</v>
      </c>
      <c r="F1325" s="15">
        <v>6.6400000000000001E-2</v>
      </c>
      <c r="G1325" s="15">
        <v>2.5499999999999998E-2</v>
      </c>
      <c r="H1325" s="15">
        <v>7.5899999999999995E-2</v>
      </c>
      <c r="I1325" s="15">
        <v>1.5299999999999999E-2</v>
      </c>
      <c r="J1325" s="15">
        <v>5.5099337748344368</v>
      </c>
    </row>
    <row r="1326" spans="1:10" x14ac:dyDescent="0.25">
      <c r="A1326" s="2" t="s">
        <v>3974</v>
      </c>
      <c r="B1326" s="2" t="s">
        <v>3975</v>
      </c>
      <c r="C1326" s="2" t="s">
        <v>3976</v>
      </c>
      <c r="D1326" s="2" t="s">
        <v>10042</v>
      </c>
      <c r="E1326" s="15">
        <v>3.8399999999999997E-2</v>
      </c>
      <c r="F1326" s="15">
        <v>4.7100000000000003E-2</v>
      </c>
      <c r="G1326" s="15">
        <v>0.41499999999999998</v>
      </c>
      <c r="H1326" s="15">
        <v>0.17069999999999999</v>
      </c>
      <c r="I1326" s="15">
        <v>1.95E-2</v>
      </c>
      <c r="J1326" s="15">
        <v>9.4408602150537639</v>
      </c>
    </row>
    <row r="1327" spans="1:10" x14ac:dyDescent="0.25">
      <c r="A1327" s="2" t="s">
        <v>3977</v>
      </c>
      <c r="B1327" s="2" t="s">
        <v>3978</v>
      </c>
      <c r="C1327" s="2" t="s">
        <v>3979</v>
      </c>
      <c r="D1327" s="2" t="s">
        <v>10042</v>
      </c>
      <c r="E1327" s="15">
        <v>2.8999999999999998E-3</v>
      </c>
      <c r="F1327" s="15">
        <v>4.8500000000000001E-2</v>
      </c>
      <c r="G1327" s="15">
        <v>0.95269999999999999</v>
      </c>
      <c r="H1327" s="15">
        <v>0.1449</v>
      </c>
      <c r="I1327" s="15">
        <v>2.8299999999999999E-2</v>
      </c>
      <c r="J1327" s="15">
        <v>5.9688715953307394</v>
      </c>
    </row>
    <row r="1328" spans="1:10" x14ac:dyDescent="0.25">
      <c r="A1328" s="2" t="s">
        <v>3980</v>
      </c>
      <c r="B1328" s="2" t="s">
        <v>3981</v>
      </c>
      <c r="C1328" s="2" t="s">
        <v>3982</v>
      </c>
      <c r="D1328" s="2" t="s">
        <v>10043</v>
      </c>
      <c r="E1328" s="15">
        <v>-2.0799999999999999E-2</v>
      </c>
      <c r="F1328" s="15">
        <v>4.7500000000000001E-2</v>
      </c>
      <c r="G1328" s="15">
        <v>0.66069999999999995</v>
      </c>
      <c r="H1328" s="15">
        <v>0.17100000000000001</v>
      </c>
      <c r="I1328" s="15">
        <v>2.0299999999999999E-2</v>
      </c>
      <c r="J1328" s="15">
        <v>9.0964467005076148</v>
      </c>
    </row>
    <row r="1329" spans="1:10" x14ac:dyDescent="0.25">
      <c r="A1329" s="2" t="s">
        <v>3983</v>
      </c>
      <c r="B1329" s="2" t="s">
        <v>3984</v>
      </c>
      <c r="C1329" s="2" t="s">
        <v>3985</v>
      </c>
      <c r="D1329" s="2" t="s">
        <v>10043</v>
      </c>
      <c r="E1329" s="15">
        <v>1.8700000000000001E-2</v>
      </c>
      <c r="F1329" s="15">
        <v>4.0099999999999997E-2</v>
      </c>
      <c r="G1329" s="15">
        <v>0.64159999999999995</v>
      </c>
      <c r="H1329" s="15">
        <v>0.2472</v>
      </c>
      <c r="I1329" s="15">
        <v>3.1099999999999999E-2</v>
      </c>
      <c r="J1329" s="15">
        <v>10.22784810126582</v>
      </c>
    </row>
    <row r="1330" spans="1:10" x14ac:dyDescent="0.25">
      <c r="A1330" s="2" t="s">
        <v>3986</v>
      </c>
      <c r="B1330" s="2" t="s">
        <v>3987</v>
      </c>
      <c r="C1330" s="2" t="s">
        <v>3988</v>
      </c>
      <c r="D1330" s="2" t="s">
        <v>10043</v>
      </c>
      <c r="E1330" s="15"/>
      <c r="F1330" s="15"/>
      <c r="G1330" s="15"/>
      <c r="H1330" s="15">
        <v>-6.4999999999999997E-3</v>
      </c>
      <c r="I1330" s="15">
        <v>1.35E-2</v>
      </c>
      <c r="J1330" s="15">
        <v>-0.33582089552238797</v>
      </c>
    </row>
    <row r="1331" spans="1:10" x14ac:dyDescent="0.25">
      <c r="A1331" s="2" t="s">
        <v>3989</v>
      </c>
      <c r="B1331" s="2" t="s">
        <v>3990</v>
      </c>
      <c r="C1331" s="2" t="s">
        <v>3991</v>
      </c>
      <c r="D1331" s="2" t="s">
        <v>10043</v>
      </c>
      <c r="E1331" s="15">
        <v>-1.12E-2</v>
      </c>
      <c r="F1331" s="15">
        <v>4.3700000000000003E-2</v>
      </c>
      <c r="G1331" s="15">
        <v>0.79769999999999996</v>
      </c>
      <c r="H1331" s="15">
        <v>0.20749999999999999</v>
      </c>
      <c r="I1331" s="15">
        <v>1.84E-2</v>
      </c>
      <c r="J1331" s="15">
        <v>12.03954802259887</v>
      </c>
    </row>
    <row r="1332" spans="1:10" x14ac:dyDescent="0.25">
      <c r="A1332" s="2" t="s">
        <v>3992</v>
      </c>
      <c r="B1332" s="2" t="s">
        <v>3993</v>
      </c>
      <c r="C1332" s="2" t="s">
        <v>3994</v>
      </c>
      <c r="D1332" s="2" t="s">
        <v>10043</v>
      </c>
      <c r="E1332" s="15">
        <v>1.32E-2</v>
      </c>
      <c r="F1332" s="15">
        <v>4.7100000000000003E-2</v>
      </c>
      <c r="G1332" s="15">
        <v>0.77849999999999997</v>
      </c>
      <c r="H1332" s="15">
        <v>0.1825</v>
      </c>
      <c r="I1332" s="15">
        <v>2.0799999999999999E-2</v>
      </c>
      <c r="J1332" s="15">
        <v>9.9109947643979055</v>
      </c>
    </row>
    <row r="1333" spans="1:10" x14ac:dyDescent="0.25">
      <c r="A1333" s="2" t="s">
        <v>3995</v>
      </c>
      <c r="B1333" s="2" t="s">
        <v>3996</v>
      </c>
      <c r="C1333" s="2" t="s">
        <v>3997</v>
      </c>
      <c r="D1333" s="2" t="s">
        <v>10043</v>
      </c>
      <c r="E1333" s="15">
        <v>-2.4199999999999999E-2</v>
      </c>
      <c r="F1333" s="15">
        <v>5.8400000000000001E-2</v>
      </c>
      <c r="G1333" s="15">
        <v>0.67859999999999998</v>
      </c>
      <c r="H1333" s="15">
        <v>0.10639999999999999</v>
      </c>
      <c r="I1333" s="15">
        <v>1.8200000000000001E-2</v>
      </c>
      <c r="J1333" s="15">
        <v>5.9209039548022604</v>
      </c>
    </row>
    <row r="1334" spans="1:10" x14ac:dyDescent="0.25">
      <c r="A1334" s="2" t="s">
        <v>3998</v>
      </c>
      <c r="B1334" s="2" t="s">
        <v>3999</v>
      </c>
      <c r="C1334" s="2" t="s">
        <v>4000</v>
      </c>
      <c r="D1334" s="2" t="s">
        <v>10043</v>
      </c>
      <c r="E1334" s="15">
        <v>0.111</v>
      </c>
      <c r="F1334" s="15">
        <v>0.186</v>
      </c>
      <c r="G1334" s="15">
        <v>0.55079999999999996</v>
      </c>
      <c r="H1334" s="15">
        <v>9.1000000000000004E-3</v>
      </c>
      <c r="I1334" s="15">
        <v>1.2800000000000001E-2</v>
      </c>
      <c r="J1334" s="15">
        <v>0.76422764227642281</v>
      </c>
    </row>
    <row r="1335" spans="1:10" x14ac:dyDescent="0.25">
      <c r="A1335" s="2" t="s">
        <v>4001</v>
      </c>
      <c r="B1335" s="2" t="s">
        <v>4002</v>
      </c>
      <c r="C1335" s="2" t="s">
        <v>4003</v>
      </c>
      <c r="D1335" s="2" t="s">
        <v>10043</v>
      </c>
      <c r="E1335" s="15">
        <v>2.35E-2</v>
      </c>
      <c r="F1335" s="15">
        <v>4.9599999999999998E-2</v>
      </c>
      <c r="G1335" s="15">
        <v>0.63519999999999999</v>
      </c>
      <c r="H1335" s="15">
        <v>0.14990000000000001</v>
      </c>
      <c r="I1335" s="15">
        <v>2.12E-2</v>
      </c>
      <c r="J1335" s="15">
        <v>8.0362694300518118</v>
      </c>
    </row>
    <row r="1336" spans="1:10" x14ac:dyDescent="0.25">
      <c r="A1336" s="2" t="s">
        <v>4004</v>
      </c>
      <c r="B1336" s="2" t="s">
        <v>4005</v>
      </c>
      <c r="C1336" s="2" t="s">
        <v>4006</v>
      </c>
      <c r="D1336" s="2" t="s">
        <v>10043</v>
      </c>
      <c r="E1336" s="15">
        <v>-8.3299999999999999E-2</v>
      </c>
      <c r="F1336" s="15">
        <v>4.53E-2</v>
      </c>
      <c r="G1336" s="15">
        <v>6.6199999999999995E-2</v>
      </c>
      <c r="H1336" s="15">
        <v>0.1623</v>
      </c>
      <c r="I1336" s="15">
        <v>1.8700000000000001E-2</v>
      </c>
      <c r="J1336" s="15">
        <v>9.0322580645161299</v>
      </c>
    </row>
    <row r="1337" spans="1:10" x14ac:dyDescent="0.25">
      <c r="A1337" s="2" t="s">
        <v>4007</v>
      </c>
      <c r="B1337" s="2" t="s">
        <v>4008</v>
      </c>
      <c r="C1337" s="2" t="s">
        <v>4009</v>
      </c>
      <c r="D1337" s="2" t="s">
        <v>10043</v>
      </c>
      <c r="E1337" s="15">
        <v>-8.3599999999999994E-2</v>
      </c>
      <c r="F1337" s="15">
        <v>4.7300000000000002E-2</v>
      </c>
      <c r="G1337" s="15">
        <v>7.6799999999999993E-2</v>
      </c>
      <c r="H1337" s="15">
        <v>0.17699999999999999</v>
      </c>
      <c r="I1337" s="15">
        <v>2.18E-2</v>
      </c>
      <c r="J1337" s="15">
        <v>8.9380952380952383</v>
      </c>
    </row>
    <row r="1338" spans="1:10" x14ac:dyDescent="0.25">
      <c r="A1338" s="2" t="s">
        <v>4010</v>
      </c>
      <c r="B1338" s="2" t="s">
        <v>4011</v>
      </c>
      <c r="C1338" s="2" t="s">
        <v>4012</v>
      </c>
      <c r="D1338" s="2" t="s">
        <v>10043</v>
      </c>
      <c r="E1338" s="15">
        <v>-8.5599999999999996E-2</v>
      </c>
      <c r="F1338" s="15">
        <v>5.0500000000000003E-2</v>
      </c>
      <c r="G1338" s="15">
        <v>9.0200000000000002E-2</v>
      </c>
      <c r="H1338" s="15">
        <v>0.13830000000000001</v>
      </c>
      <c r="I1338" s="15">
        <v>1.89E-2</v>
      </c>
      <c r="J1338" s="15">
        <v>8.5314285714285703</v>
      </c>
    </row>
    <row r="1339" spans="1:10" x14ac:dyDescent="0.25">
      <c r="A1339" s="2" t="s">
        <v>4013</v>
      </c>
      <c r="B1339" s="2" t="s">
        <v>4014</v>
      </c>
      <c r="C1339" s="2" t="s">
        <v>4015</v>
      </c>
      <c r="D1339" s="2" t="s">
        <v>10043</v>
      </c>
      <c r="E1339" s="15">
        <v>-1.72E-2</v>
      </c>
      <c r="F1339" s="15">
        <v>5.3499999999999999E-2</v>
      </c>
      <c r="G1339" s="15">
        <v>0.74819999999999998</v>
      </c>
      <c r="H1339" s="15">
        <v>0.11840000000000001</v>
      </c>
      <c r="I1339" s="15">
        <v>1.9199999999999998E-2</v>
      </c>
      <c r="J1339" s="15">
        <v>7.7469135802469138</v>
      </c>
    </row>
    <row r="1340" spans="1:10" x14ac:dyDescent="0.25">
      <c r="A1340" s="2" t="s">
        <v>4016</v>
      </c>
      <c r="B1340" s="2" t="s">
        <v>4017</v>
      </c>
      <c r="C1340" s="2" t="s">
        <v>4018</v>
      </c>
      <c r="D1340" s="2" t="s">
        <v>10043</v>
      </c>
      <c r="E1340" s="15">
        <v>-9.06E-2</v>
      </c>
      <c r="F1340" s="15">
        <v>4.9599999999999998E-2</v>
      </c>
      <c r="G1340" s="15">
        <v>6.7799999999999999E-2</v>
      </c>
      <c r="H1340" s="15">
        <v>0.19170000000000001</v>
      </c>
      <c r="I1340" s="15">
        <v>1.8800000000000001E-2</v>
      </c>
      <c r="J1340" s="15">
        <v>10.47395833333333</v>
      </c>
    </row>
    <row r="1341" spans="1:10" x14ac:dyDescent="0.25">
      <c r="A1341" s="2" t="s">
        <v>4019</v>
      </c>
      <c r="B1341" s="2" t="s">
        <v>4020</v>
      </c>
      <c r="C1341" s="2" t="s">
        <v>4021</v>
      </c>
      <c r="D1341" s="2" t="s">
        <v>10043</v>
      </c>
      <c r="E1341" s="15">
        <v>-3.3599999999999998E-2</v>
      </c>
      <c r="F1341" s="15">
        <v>4.7199999999999999E-2</v>
      </c>
      <c r="G1341" s="15">
        <v>0.4763</v>
      </c>
      <c r="H1341" s="15">
        <v>0.18970000000000001</v>
      </c>
      <c r="I1341" s="15">
        <v>2.0299999999999999E-2</v>
      </c>
      <c r="J1341" s="15">
        <v>9.7575757575757578</v>
      </c>
    </row>
    <row r="1342" spans="1:10" x14ac:dyDescent="0.25">
      <c r="A1342" s="2" t="s">
        <v>4022</v>
      </c>
      <c r="B1342" s="2" t="s">
        <v>4023</v>
      </c>
      <c r="C1342" s="2" t="s">
        <v>4024</v>
      </c>
      <c r="D1342" s="2" t="s">
        <v>10043</v>
      </c>
      <c r="E1342" s="15">
        <v>1.78E-2</v>
      </c>
      <c r="F1342" s="15">
        <v>5.3400000000000003E-2</v>
      </c>
      <c r="G1342" s="15">
        <v>0.73919999999999997</v>
      </c>
      <c r="H1342" s="15">
        <v>0.10349999999999999</v>
      </c>
      <c r="I1342" s="15">
        <v>1.8700000000000001E-2</v>
      </c>
      <c r="J1342" s="15">
        <v>5.6089385474860336</v>
      </c>
    </row>
    <row r="1343" spans="1:10" x14ac:dyDescent="0.25">
      <c r="A1343" s="2" t="s">
        <v>4025</v>
      </c>
      <c r="B1343" s="2" t="s">
        <v>4026</v>
      </c>
      <c r="C1343" s="2" t="s">
        <v>4027</v>
      </c>
      <c r="D1343" s="2" t="s">
        <v>10043</v>
      </c>
      <c r="E1343" s="15">
        <v>-5.3400000000000003E-2</v>
      </c>
      <c r="F1343" s="15">
        <v>5.0099999999999999E-2</v>
      </c>
      <c r="G1343" s="15">
        <v>0.2863</v>
      </c>
      <c r="H1343" s="15">
        <v>0.1211</v>
      </c>
      <c r="I1343" s="15">
        <v>2.07E-2</v>
      </c>
      <c r="J1343" s="15">
        <v>5.9899497487437179</v>
      </c>
    </row>
    <row r="1344" spans="1:10" x14ac:dyDescent="0.25">
      <c r="A1344" s="2" t="s">
        <v>4028</v>
      </c>
      <c r="B1344" s="2" t="s">
        <v>4029</v>
      </c>
      <c r="C1344" s="2" t="s">
        <v>4030</v>
      </c>
      <c r="D1344" s="2" t="s">
        <v>10043</v>
      </c>
      <c r="E1344" s="15">
        <v>2.64E-2</v>
      </c>
      <c r="F1344" s="15">
        <v>4.2000000000000003E-2</v>
      </c>
      <c r="G1344" s="15">
        <v>0.5292</v>
      </c>
      <c r="H1344" s="15">
        <v>0.22090000000000001</v>
      </c>
      <c r="I1344" s="15">
        <v>2.2499999999999999E-2</v>
      </c>
      <c r="J1344" s="15">
        <v>10.7887323943662</v>
      </c>
    </row>
    <row r="1345" spans="1:10" x14ac:dyDescent="0.25">
      <c r="A1345" s="2" t="s">
        <v>4031</v>
      </c>
      <c r="B1345" s="2" t="s">
        <v>4032</v>
      </c>
      <c r="C1345" s="2" t="s">
        <v>4033</v>
      </c>
      <c r="D1345" s="2" t="s">
        <v>10043</v>
      </c>
      <c r="E1345" s="15">
        <v>1.6000000000000001E-3</v>
      </c>
      <c r="F1345" s="15">
        <v>4.0599999999999997E-2</v>
      </c>
      <c r="G1345" s="15">
        <v>0.96850000000000003</v>
      </c>
      <c r="H1345" s="15">
        <v>0.25340000000000001</v>
      </c>
      <c r="I1345" s="15">
        <v>2.4899999999999999E-2</v>
      </c>
      <c r="J1345" s="15">
        <v>11.47368421052632</v>
      </c>
    </row>
    <row r="1346" spans="1:10" x14ac:dyDescent="0.25">
      <c r="A1346" s="2" t="s">
        <v>4034</v>
      </c>
      <c r="B1346" s="2" t="s">
        <v>4035</v>
      </c>
      <c r="C1346" s="2" t="s">
        <v>4036</v>
      </c>
      <c r="D1346" s="2" t="s">
        <v>10043</v>
      </c>
      <c r="E1346" s="15">
        <v>-3.3300000000000003E-2</v>
      </c>
      <c r="F1346" s="15">
        <v>4.2799999999999998E-2</v>
      </c>
      <c r="G1346" s="15">
        <v>0.43719999999999998</v>
      </c>
      <c r="H1346" s="15">
        <v>0.23080000000000001</v>
      </c>
      <c r="I1346" s="15">
        <v>2.4400000000000002E-2</v>
      </c>
      <c r="J1346" s="15">
        <v>10.420814479638009</v>
      </c>
    </row>
    <row r="1347" spans="1:10" x14ac:dyDescent="0.25">
      <c r="A1347" s="2" t="s">
        <v>4037</v>
      </c>
      <c r="B1347" s="2" t="s">
        <v>4038</v>
      </c>
      <c r="C1347" s="2" t="s">
        <v>4039</v>
      </c>
      <c r="D1347" s="2" t="s">
        <v>10043</v>
      </c>
      <c r="E1347" s="15">
        <v>8.0999999999999996E-3</v>
      </c>
      <c r="F1347" s="15">
        <v>3.9699999999999999E-2</v>
      </c>
      <c r="G1347" s="15">
        <v>0.83740000000000003</v>
      </c>
      <c r="H1347" s="15">
        <v>0.23949999999999999</v>
      </c>
      <c r="I1347" s="15">
        <v>2.7699999999999999E-2</v>
      </c>
      <c r="J1347" s="15">
        <v>9.2156133828996278</v>
      </c>
    </row>
    <row r="1348" spans="1:10" x14ac:dyDescent="0.25">
      <c r="A1348" s="2" t="s">
        <v>4040</v>
      </c>
      <c r="B1348" s="2" t="s">
        <v>4041</v>
      </c>
      <c r="C1348" s="2" t="s">
        <v>4042</v>
      </c>
      <c r="D1348" s="2" t="s">
        <v>10043</v>
      </c>
      <c r="E1348" s="15">
        <v>5.16E-2</v>
      </c>
      <c r="F1348" s="15">
        <v>4.7500000000000001E-2</v>
      </c>
      <c r="G1348" s="15">
        <v>0.27679999999999999</v>
      </c>
      <c r="H1348" s="15">
        <v>0.18179999999999999</v>
      </c>
      <c r="I1348" s="15">
        <v>2.35E-2</v>
      </c>
      <c r="J1348" s="15">
        <v>8.4887892376681613</v>
      </c>
    </row>
    <row r="1349" spans="1:10" x14ac:dyDescent="0.25">
      <c r="A1349" s="2" t="s">
        <v>4043</v>
      </c>
      <c r="B1349" s="2" t="s">
        <v>4044</v>
      </c>
      <c r="C1349" s="2" t="s">
        <v>4045</v>
      </c>
      <c r="D1349" s="2" t="s">
        <v>10043</v>
      </c>
      <c r="E1349" s="15">
        <v>1.8800000000000001E-2</v>
      </c>
      <c r="F1349" s="15">
        <v>4.5199999999999997E-2</v>
      </c>
      <c r="G1349" s="15">
        <v>0.67749999999999999</v>
      </c>
      <c r="H1349" s="15">
        <v>0.1681</v>
      </c>
      <c r="I1349" s="15">
        <v>1.84E-2</v>
      </c>
      <c r="J1349" s="15">
        <v>9.1333333333333329</v>
      </c>
    </row>
    <row r="1350" spans="1:10" x14ac:dyDescent="0.25">
      <c r="A1350" s="2" t="s">
        <v>4046</v>
      </c>
      <c r="B1350" s="2" t="s">
        <v>4047</v>
      </c>
      <c r="C1350" s="2" t="s">
        <v>4048</v>
      </c>
      <c r="D1350" s="2" t="s">
        <v>10043</v>
      </c>
      <c r="E1350" s="15">
        <v>8.43E-2</v>
      </c>
      <c r="F1350" s="15">
        <v>5.2200000000000003E-2</v>
      </c>
      <c r="G1350" s="15">
        <v>0.1061</v>
      </c>
      <c r="H1350" s="15">
        <v>0.12620000000000001</v>
      </c>
      <c r="I1350" s="15">
        <v>1.7100000000000001E-2</v>
      </c>
      <c r="J1350" s="15">
        <v>8.242236024844722</v>
      </c>
    </row>
    <row r="1351" spans="1:10" x14ac:dyDescent="0.25">
      <c r="A1351" s="2" t="s">
        <v>4049</v>
      </c>
      <c r="B1351" s="2" t="s">
        <v>4050</v>
      </c>
      <c r="C1351" s="2" t="s">
        <v>4051</v>
      </c>
      <c r="D1351" s="2" t="s">
        <v>10043</v>
      </c>
      <c r="E1351" s="15">
        <v>4.82E-2</v>
      </c>
      <c r="F1351" s="15">
        <v>3.7999999999999999E-2</v>
      </c>
      <c r="G1351" s="15">
        <v>0.2049</v>
      </c>
      <c r="H1351" s="15">
        <v>0.25059999999999999</v>
      </c>
      <c r="I1351" s="15">
        <v>3.09E-2</v>
      </c>
      <c r="J1351" s="15">
        <v>9.0298507462686555</v>
      </c>
    </row>
    <row r="1352" spans="1:10" x14ac:dyDescent="0.25">
      <c r="A1352" s="2" t="s">
        <v>4052</v>
      </c>
      <c r="B1352" s="2" t="s">
        <v>4053</v>
      </c>
      <c r="C1352" s="2" t="s">
        <v>4054</v>
      </c>
      <c r="D1352" s="2" t="s">
        <v>10043</v>
      </c>
      <c r="E1352" s="15">
        <v>-6.7999999999999996E-3</v>
      </c>
      <c r="F1352" s="15">
        <v>5.11E-2</v>
      </c>
      <c r="G1352" s="15">
        <v>0.89329999999999998</v>
      </c>
      <c r="H1352" s="15">
        <v>0.13070000000000001</v>
      </c>
      <c r="I1352" s="15">
        <v>1.8800000000000001E-2</v>
      </c>
      <c r="J1352" s="15">
        <v>7.7215909090909083</v>
      </c>
    </row>
    <row r="1353" spans="1:10" x14ac:dyDescent="0.25">
      <c r="A1353" s="2" t="s">
        <v>4055</v>
      </c>
      <c r="B1353" s="2" t="s">
        <v>4056</v>
      </c>
      <c r="C1353" s="2" t="s">
        <v>4057</v>
      </c>
      <c r="D1353" s="2" t="s">
        <v>10043</v>
      </c>
      <c r="E1353" s="15">
        <v>0.13350000000000001</v>
      </c>
      <c r="F1353" s="15">
        <v>0.1014</v>
      </c>
      <c r="G1353" s="15">
        <v>0.18790000000000001</v>
      </c>
      <c r="H1353" s="15">
        <v>3.2800000000000003E-2</v>
      </c>
      <c r="I1353" s="15">
        <v>1.3299999999999999E-2</v>
      </c>
      <c r="J1353" s="15">
        <v>2.6159420289855069</v>
      </c>
    </row>
    <row r="1354" spans="1:10" x14ac:dyDescent="0.25">
      <c r="A1354" s="2" t="s">
        <v>4058</v>
      </c>
      <c r="B1354" s="2" t="s">
        <v>4059</v>
      </c>
      <c r="C1354" s="2" t="s">
        <v>4060</v>
      </c>
      <c r="D1354" s="2" t="s">
        <v>10043</v>
      </c>
      <c r="E1354" s="15">
        <v>-2.5100000000000001E-2</v>
      </c>
      <c r="F1354" s="15">
        <v>5.1299999999999998E-2</v>
      </c>
      <c r="G1354" s="15">
        <v>0.62380000000000002</v>
      </c>
      <c r="H1354" s="15">
        <v>0.1636</v>
      </c>
      <c r="I1354" s="15">
        <v>1.9400000000000001E-2</v>
      </c>
      <c r="J1354" s="15">
        <v>8.7868020304568528</v>
      </c>
    </row>
    <row r="1355" spans="1:10" x14ac:dyDescent="0.25">
      <c r="A1355" s="2" t="s">
        <v>4061</v>
      </c>
      <c r="B1355" s="2" t="s">
        <v>4062</v>
      </c>
      <c r="C1355" s="2" t="s">
        <v>4063</v>
      </c>
      <c r="D1355" s="2" t="s">
        <v>10043</v>
      </c>
      <c r="E1355" s="15">
        <v>-8.3999999999999995E-3</v>
      </c>
      <c r="F1355" s="15">
        <v>4.7199999999999999E-2</v>
      </c>
      <c r="G1355" s="15">
        <v>0.85870000000000002</v>
      </c>
      <c r="H1355" s="15">
        <v>0.18840000000000001</v>
      </c>
      <c r="I1355" s="15">
        <v>2.1700000000000001E-2</v>
      </c>
      <c r="J1355" s="15">
        <v>9.7661691542288551</v>
      </c>
    </row>
    <row r="1356" spans="1:10" x14ac:dyDescent="0.25">
      <c r="A1356" s="2" t="s">
        <v>4064</v>
      </c>
      <c r="B1356" s="2" t="s">
        <v>4065</v>
      </c>
      <c r="C1356" s="2" t="s">
        <v>4066</v>
      </c>
      <c r="D1356" s="2" t="s">
        <v>10043</v>
      </c>
      <c r="E1356" s="15">
        <v>5.8500000000000003E-2</v>
      </c>
      <c r="F1356" s="15">
        <v>5.16E-2</v>
      </c>
      <c r="G1356" s="15">
        <v>0.2571</v>
      </c>
      <c r="H1356" s="15">
        <v>0.10580000000000001</v>
      </c>
      <c r="I1356" s="15">
        <v>1.8700000000000001E-2</v>
      </c>
      <c r="J1356" s="15">
        <v>5.8659217877094969</v>
      </c>
    </row>
    <row r="1357" spans="1:10" x14ac:dyDescent="0.25">
      <c r="A1357" s="2" t="s">
        <v>4067</v>
      </c>
      <c r="B1357" s="2" t="s">
        <v>4068</v>
      </c>
      <c r="C1357" s="2" t="s">
        <v>4069</v>
      </c>
      <c r="D1357" s="2" t="s">
        <v>10043</v>
      </c>
      <c r="E1357" s="15">
        <v>-9.1700000000000004E-2</v>
      </c>
      <c r="F1357" s="15">
        <v>5.5800000000000002E-2</v>
      </c>
      <c r="G1357" s="15">
        <v>0.1002</v>
      </c>
      <c r="H1357" s="15">
        <v>0.1032</v>
      </c>
      <c r="I1357" s="15">
        <v>2.7E-2</v>
      </c>
      <c r="J1357" s="15">
        <v>4.4493927125506074</v>
      </c>
    </row>
    <row r="1358" spans="1:10" x14ac:dyDescent="0.25">
      <c r="A1358" s="2" t="s">
        <v>4070</v>
      </c>
      <c r="B1358" s="2" t="s">
        <v>4071</v>
      </c>
      <c r="C1358" s="2" t="s">
        <v>4072</v>
      </c>
      <c r="D1358" s="2" t="s">
        <v>10043</v>
      </c>
      <c r="E1358" s="15">
        <v>1.47E-2</v>
      </c>
      <c r="F1358" s="15">
        <v>4.2099999999999999E-2</v>
      </c>
      <c r="G1358" s="15">
        <v>0.72719999999999996</v>
      </c>
      <c r="H1358" s="15">
        <v>0.214</v>
      </c>
      <c r="I1358" s="15">
        <v>2.2599999999999999E-2</v>
      </c>
      <c r="J1358" s="15">
        <v>10.65402843601896</v>
      </c>
    </row>
    <row r="1359" spans="1:10" x14ac:dyDescent="0.25">
      <c r="A1359" s="2" t="s">
        <v>4073</v>
      </c>
      <c r="B1359" s="2" t="s">
        <v>4074</v>
      </c>
      <c r="C1359" s="2" t="s">
        <v>4075</v>
      </c>
      <c r="D1359" s="2" t="s">
        <v>10043</v>
      </c>
      <c r="E1359" s="15">
        <v>-5.5999999999999999E-3</v>
      </c>
      <c r="F1359" s="15">
        <v>4.1599999999999998E-2</v>
      </c>
      <c r="G1359" s="15">
        <v>0.89290000000000003</v>
      </c>
      <c r="H1359" s="15">
        <v>0.2702</v>
      </c>
      <c r="I1359" s="15">
        <v>2.4799999999999999E-2</v>
      </c>
      <c r="J1359" s="15">
        <v>12.10043668122271</v>
      </c>
    </row>
    <row r="1360" spans="1:10" x14ac:dyDescent="0.25">
      <c r="A1360" s="2" t="s">
        <v>4076</v>
      </c>
      <c r="B1360" s="2" t="s">
        <v>4077</v>
      </c>
      <c r="C1360" s="2" t="s">
        <v>4078</v>
      </c>
      <c r="D1360" s="2" t="s">
        <v>10043</v>
      </c>
      <c r="E1360" s="15">
        <v>-2.0799999999999999E-2</v>
      </c>
      <c r="F1360" s="15">
        <v>4.0599999999999997E-2</v>
      </c>
      <c r="G1360" s="15">
        <v>0.60770000000000002</v>
      </c>
      <c r="H1360" s="15">
        <v>0.2223</v>
      </c>
      <c r="I1360" s="15">
        <v>2.3599999999999999E-2</v>
      </c>
      <c r="J1360" s="15">
        <v>10.35046728971963</v>
      </c>
    </row>
    <row r="1361" spans="1:10" x14ac:dyDescent="0.25">
      <c r="A1361" s="2" t="s">
        <v>4079</v>
      </c>
      <c r="B1361" s="2" t="s">
        <v>4080</v>
      </c>
      <c r="C1361" s="2" t="s">
        <v>4081</v>
      </c>
      <c r="D1361" s="2" t="s">
        <v>10043</v>
      </c>
      <c r="E1361" s="15">
        <v>-1.9699999999999999E-2</v>
      </c>
      <c r="F1361" s="15">
        <v>3.8300000000000001E-2</v>
      </c>
      <c r="G1361" s="15">
        <v>0.60740000000000005</v>
      </c>
      <c r="H1361" s="15">
        <v>0.25480000000000003</v>
      </c>
      <c r="I1361" s="15">
        <v>3.3399999999999999E-2</v>
      </c>
      <c r="J1361" s="15">
        <v>8.3642172523961644</v>
      </c>
    </row>
    <row r="1362" spans="1:10" x14ac:dyDescent="0.25">
      <c r="A1362" s="2" t="s">
        <v>4082</v>
      </c>
      <c r="B1362" s="2" t="s">
        <v>4083</v>
      </c>
      <c r="C1362" s="2" t="s">
        <v>4084</v>
      </c>
      <c r="D1362" s="2" t="s">
        <v>10043</v>
      </c>
      <c r="E1362" s="15">
        <v>1.0200000000000001E-2</v>
      </c>
      <c r="F1362" s="15">
        <v>4.41E-2</v>
      </c>
      <c r="G1362" s="15">
        <v>0.8165</v>
      </c>
      <c r="H1362" s="15">
        <v>0.2011</v>
      </c>
      <c r="I1362" s="15">
        <v>2.6599999999999999E-2</v>
      </c>
      <c r="J1362" s="15">
        <v>8.7942386831275723</v>
      </c>
    </row>
    <row r="1363" spans="1:10" x14ac:dyDescent="0.25">
      <c r="A1363" s="2" t="s">
        <v>4085</v>
      </c>
      <c r="B1363" s="2" t="s">
        <v>4086</v>
      </c>
      <c r="C1363" s="2" t="s">
        <v>4087</v>
      </c>
      <c r="D1363" s="2" t="s">
        <v>10043</v>
      </c>
      <c r="E1363" s="15">
        <v>8.8000000000000005E-3</v>
      </c>
      <c r="F1363" s="15">
        <v>4.2999999999999997E-2</v>
      </c>
      <c r="G1363" s="15">
        <v>0.83789999999999998</v>
      </c>
      <c r="H1363" s="15">
        <v>0.18959999999999999</v>
      </c>
      <c r="I1363" s="15">
        <v>1.83E-2</v>
      </c>
      <c r="J1363" s="15">
        <v>11.29651162790698</v>
      </c>
    </row>
    <row r="1364" spans="1:10" x14ac:dyDescent="0.25">
      <c r="A1364" s="2" t="s">
        <v>4088</v>
      </c>
      <c r="B1364" s="2" t="s">
        <v>4089</v>
      </c>
      <c r="C1364" s="2" t="s">
        <v>4090</v>
      </c>
      <c r="D1364" s="2" t="s">
        <v>10043</v>
      </c>
      <c r="E1364" s="15">
        <v>4.4600000000000001E-2</v>
      </c>
      <c r="F1364" s="15">
        <v>4.7500000000000001E-2</v>
      </c>
      <c r="G1364" s="15">
        <v>0.3473</v>
      </c>
      <c r="H1364" s="15">
        <v>0.14510000000000001</v>
      </c>
      <c r="I1364" s="15">
        <v>1.9E-2</v>
      </c>
      <c r="J1364" s="15">
        <v>8.6285714285714281</v>
      </c>
    </row>
    <row r="1365" spans="1:10" x14ac:dyDescent="0.25">
      <c r="A1365" s="2" t="s">
        <v>4091</v>
      </c>
      <c r="B1365" s="2" t="s">
        <v>4092</v>
      </c>
      <c r="C1365" s="2" t="s">
        <v>4093</v>
      </c>
      <c r="D1365" s="2" t="s">
        <v>10043</v>
      </c>
      <c r="E1365" s="15">
        <v>3.0099999999999998E-2</v>
      </c>
      <c r="F1365" s="15">
        <v>3.5700000000000003E-2</v>
      </c>
      <c r="G1365" s="15">
        <v>0.39989999999999998</v>
      </c>
      <c r="H1365" s="15">
        <v>0.26700000000000002</v>
      </c>
      <c r="I1365" s="15">
        <v>3.5499999999999997E-2</v>
      </c>
      <c r="J1365" s="15">
        <v>8.3803278688524596</v>
      </c>
    </row>
    <row r="1366" spans="1:10" x14ac:dyDescent="0.25">
      <c r="A1366" s="2" t="s">
        <v>4094</v>
      </c>
      <c r="B1366" s="2" t="s">
        <v>4095</v>
      </c>
      <c r="C1366" s="2" t="s">
        <v>4096</v>
      </c>
      <c r="D1366" s="2" t="s">
        <v>10043</v>
      </c>
      <c r="E1366" s="15">
        <v>-6.0999999999999999E-2</v>
      </c>
      <c r="F1366" s="15">
        <v>4.7399999999999998E-2</v>
      </c>
      <c r="G1366" s="15">
        <v>0.1978</v>
      </c>
      <c r="H1366" s="15">
        <v>0.1416</v>
      </c>
      <c r="I1366" s="15">
        <v>1.84E-2</v>
      </c>
      <c r="J1366" s="15">
        <v>7.9209039548022604</v>
      </c>
    </row>
    <row r="1367" spans="1:10" x14ac:dyDescent="0.25">
      <c r="A1367" s="2" t="s">
        <v>4097</v>
      </c>
      <c r="B1367" s="2" t="s">
        <v>4098</v>
      </c>
      <c r="C1367" s="2" t="s">
        <v>4099</v>
      </c>
      <c r="D1367" s="2" t="s">
        <v>10043</v>
      </c>
      <c r="E1367" s="15">
        <v>0.14480000000000001</v>
      </c>
      <c r="F1367" s="15">
        <v>8.5099999999999995E-2</v>
      </c>
      <c r="G1367" s="15">
        <v>8.8999999999999996E-2</v>
      </c>
      <c r="H1367" s="15">
        <v>5.91E-2</v>
      </c>
      <c r="I1367" s="15">
        <v>1.6899999999999998E-2</v>
      </c>
      <c r="J1367" s="15">
        <v>3.4099378881987579</v>
      </c>
    </row>
    <row r="1368" spans="1:10" x14ac:dyDescent="0.25">
      <c r="A1368" s="2" t="s">
        <v>4100</v>
      </c>
      <c r="B1368" s="2" t="s">
        <v>4101</v>
      </c>
      <c r="C1368" s="2" t="s">
        <v>4102</v>
      </c>
      <c r="D1368" s="2" t="s">
        <v>10043</v>
      </c>
      <c r="E1368" s="15">
        <v>-2.2800000000000001E-2</v>
      </c>
      <c r="F1368" s="15">
        <v>4.8300000000000003E-2</v>
      </c>
      <c r="G1368" s="15">
        <v>0.63660000000000005</v>
      </c>
      <c r="H1368" s="15">
        <v>0.17510000000000001</v>
      </c>
      <c r="I1368" s="15">
        <v>2.2800000000000001E-2</v>
      </c>
      <c r="J1368" s="15">
        <v>8.1461187214611872</v>
      </c>
    </row>
    <row r="1369" spans="1:10" x14ac:dyDescent="0.25">
      <c r="A1369" s="2" t="s">
        <v>4103</v>
      </c>
      <c r="B1369" s="2" t="s">
        <v>4104</v>
      </c>
      <c r="C1369" s="2" t="s">
        <v>4105</v>
      </c>
      <c r="D1369" s="2" t="s">
        <v>10044</v>
      </c>
      <c r="E1369" s="15">
        <v>-9.74E-2</v>
      </c>
      <c r="F1369" s="15">
        <v>8.1000000000000003E-2</v>
      </c>
      <c r="G1369" s="15">
        <v>0.22919999999999999</v>
      </c>
      <c r="H1369" s="15">
        <v>3.6499999999999998E-2</v>
      </c>
      <c r="I1369" s="15">
        <v>1.35E-2</v>
      </c>
      <c r="J1369" s="15">
        <v>3.7230769230769232</v>
      </c>
    </row>
    <row r="1370" spans="1:10" x14ac:dyDescent="0.25">
      <c r="A1370" s="2" t="s">
        <v>4106</v>
      </c>
      <c r="B1370" s="2" t="s">
        <v>4107</v>
      </c>
      <c r="C1370" s="2" t="s">
        <v>4108</v>
      </c>
      <c r="D1370" s="2" t="s">
        <v>10044</v>
      </c>
      <c r="E1370" s="15">
        <v>3.2199999999999999E-2</v>
      </c>
      <c r="F1370" s="15">
        <v>3.6299999999999999E-2</v>
      </c>
      <c r="G1370" s="15">
        <v>0.37530000000000002</v>
      </c>
      <c r="H1370" s="15">
        <v>0.29349999999999998</v>
      </c>
      <c r="I1370" s="15">
        <v>2.9499999999999998E-2</v>
      </c>
      <c r="J1370" s="15">
        <v>11.078358208955221</v>
      </c>
    </row>
    <row r="1371" spans="1:10" x14ac:dyDescent="0.25">
      <c r="A1371" s="2" t="s">
        <v>4109</v>
      </c>
      <c r="B1371" s="2" t="s">
        <v>4110</v>
      </c>
      <c r="C1371" s="2" t="s">
        <v>4111</v>
      </c>
      <c r="D1371" s="2" t="s">
        <v>10044</v>
      </c>
      <c r="E1371" s="15">
        <v>4.4000000000000003E-3</v>
      </c>
      <c r="F1371" s="15">
        <v>4.4600000000000001E-2</v>
      </c>
      <c r="G1371" s="15">
        <v>0.92049999999999998</v>
      </c>
      <c r="H1371" s="15">
        <v>0.1575</v>
      </c>
      <c r="I1371" s="15">
        <v>2.1000000000000001E-2</v>
      </c>
      <c r="J1371" s="15">
        <v>7.9375000000000009</v>
      </c>
    </row>
    <row r="1372" spans="1:10" x14ac:dyDescent="0.25">
      <c r="A1372" s="2" t="s">
        <v>4112</v>
      </c>
      <c r="B1372" s="2" t="s">
        <v>4113</v>
      </c>
      <c r="C1372" s="2" t="s">
        <v>4114</v>
      </c>
      <c r="D1372" s="2" t="s">
        <v>10044</v>
      </c>
      <c r="E1372" s="15">
        <v>-4.4499999999999998E-2</v>
      </c>
      <c r="F1372" s="15">
        <v>3.3500000000000002E-2</v>
      </c>
      <c r="G1372" s="15">
        <v>0.18440000000000001</v>
      </c>
      <c r="H1372" s="15">
        <v>0.33129999999999998</v>
      </c>
      <c r="I1372" s="15">
        <v>3.1099999999999999E-2</v>
      </c>
      <c r="J1372" s="15">
        <v>11.86131386861314</v>
      </c>
    </row>
    <row r="1373" spans="1:10" x14ac:dyDescent="0.25">
      <c r="A1373" s="2" t="s">
        <v>4115</v>
      </c>
      <c r="B1373" s="2" t="s">
        <v>4116</v>
      </c>
      <c r="C1373" s="2" t="s">
        <v>4117</v>
      </c>
      <c r="D1373" s="2" t="s">
        <v>10044</v>
      </c>
      <c r="E1373" s="15">
        <v>5.0000000000000001E-3</v>
      </c>
      <c r="F1373" s="15">
        <v>3.6200000000000003E-2</v>
      </c>
      <c r="G1373" s="15">
        <v>0.89100000000000001</v>
      </c>
      <c r="H1373" s="15">
        <v>0.34210000000000002</v>
      </c>
      <c r="I1373" s="15">
        <v>4.3299999999999998E-2</v>
      </c>
      <c r="J1373" s="15">
        <v>9.0026881720430101</v>
      </c>
    </row>
    <row r="1374" spans="1:10" x14ac:dyDescent="0.25">
      <c r="A1374" s="2" t="s">
        <v>4118</v>
      </c>
      <c r="B1374" s="2" t="s">
        <v>4119</v>
      </c>
      <c r="C1374" s="2" t="s">
        <v>4120</v>
      </c>
      <c r="D1374" s="2" t="s">
        <v>10044</v>
      </c>
      <c r="E1374" s="15">
        <v>2.8500000000000001E-2</v>
      </c>
      <c r="F1374" s="15">
        <v>4.5900000000000003E-2</v>
      </c>
      <c r="G1374" s="15">
        <v>0.53439999999999999</v>
      </c>
      <c r="H1374" s="15">
        <v>0.18679999999999999</v>
      </c>
      <c r="I1374" s="15">
        <v>2.4899999999999999E-2</v>
      </c>
      <c r="J1374" s="15">
        <v>8.9111111111111114</v>
      </c>
    </row>
    <row r="1375" spans="1:10" x14ac:dyDescent="0.25">
      <c r="A1375" s="2" t="s">
        <v>4121</v>
      </c>
      <c r="B1375" s="2" t="s">
        <v>4122</v>
      </c>
      <c r="C1375" s="2" t="s">
        <v>4123</v>
      </c>
      <c r="D1375" s="2" t="s">
        <v>10044</v>
      </c>
      <c r="E1375" s="15">
        <v>-4.8899999999999999E-2</v>
      </c>
      <c r="F1375" s="15">
        <v>3.5499999999999997E-2</v>
      </c>
      <c r="G1375" s="15">
        <v>0.16769999999999999</v>
      </c>
      <c r="H1375" s="15">
        <v>0.36559999999999998</v>
      </c>
      <c r="I1375" s="15">
        <v>3.7600000000000001E-2</v>
      </c>
      <c r="J1375" s="15">
        <v>11.70287539936102</v>
      </c>
    </row>
    <row r="1376" spans="1:10" x14ac:dyDescent="0.25">
      <c r="A1376" s="2" t="s">
        <v>4124</v>
      </c>
      <c r="B1376" s="2" t="s">
        <v>4125</v>
      </c>
      <c r="C1376" s="2" t="s">
        <v>4126</v>
      </c>
      <c r="D1376" s="2" t="s">
        <v>10044</v>
      </c>
      <c r="E1376" s="15">
        <v>-2.2599999999999999E-2</v>
      </c>
      <c r="F1376" s="15">
        <v>3.49E-2</v>
      </c>
      <c r="G1376" s="15">
        <v>0.51780000000000004</v>
      </c>
      <c r="H1376" s="15">
        <v>0.35639999999999999</v>
      </c>
      <c r="I1376" s="15">
        <v>3.5900000000000001E-2</v>
      </c>
      <c r="J1376" s="15">
        <v>11.75250836120401</v>
      </c>
    </row>
    <row r="1377" spans="1:10" x14ac:dyDescent="0.25">
      <c r="A1377" s="2" t="s">
        <v>4127</v>
      </c>
      <c r="B1377" s="2" t="s">
        <v>4128</v>
      </c>
      <c r="C1377" s="2" t="s">
        <v>4129</v>
      </c>
      <c r="D1377" s="2" t="s">
        <v>10044</v>
      </c>
      <c r="E1377" s="15">
        <v>-5.3400000000000003E-2</v>
      </c>
      <c r="F1377" s="15">
        <v>3.3700000000000001E-2</v>
      </c>
      <c r="G1377" s="15">
        <v>0.1128</v>
      </c>
      <c r="H1377" s="15">
        <v>0.3488</v>
      </c>
      <c r="I1377" s="15">
        <v>3.4799999999999998E-2</v>
      </c>
      <c r="J1377" s="15">
        <v>11.640677966101689</v>
      </c>
    </row>
    <row r="1378" spans="1:10" x14ac:dyDescent="0.25">
      <c r="A1378" s="2" t="s">
        <v>4130</v>
      </c>
      <c r="B1378" s="2" t="s">
        <v>4131</v>
      </c>
      <c r="C1378" s="2" t="s">
        <v>4132</v>
      </c>
      <c r="D1378" s="2" t="s">
        <v>10044</v>
      </c>
      <c r="E1378" s="15">
        <v>-2.46E-2</v>
      </c>
      <c r="F1378" s="15">
        <v>3.7199999999999997E-2</v>
      </c>
      <c r="G1378" s="15">
        <v>0.50849999999999995</v>
      </c>
      <c r="H1378" s="15">
        <v>0.30599999999999999</v>
      </c>
      <c r="I1378" s="15">
        <v>3.7999999999999999E-2</v>
      </c>
      <c r="J1378" s="15">
        <v>9.0776119402985067</v>
      </c>
    </row>
    <row r="1379" spans="1:10" x14ac:dyDescent="0.25">
      <c r="A1379" s="2" t="s">
        <v>4133</v>
      </c>
      <c r="B1379" s="2" t="s">
        <v>4134</v>
      </c>
      <c r="C1379" s="2" t="s">
        <v>4135</v>
      </c>
      <c r="D1379" s="2" t="s">
        <v>10044</v>
      </c>
      <c r="E1379" s="15">
        <v>-2.64E-2</v>
      </c>
      <c r="F1379" s="15">
        <v>3.5000000000000003E-2</v>
      </c>
      <c r="G1379" s="15">
        <v>0.4501</v>
      </c>
      <c r="H1379" s="15">
        <v>0.36030000000000001</v>
      </c>
      <c r="I1379" s="15">
        <v>3.4200000000000001E-2</v>
      </c>
      <c r="J1379" s="15">
        <v>11.667741935483869</v>
      </c>
    </row>
    <row r="1380" spans="1:10" x14ac:dyDescent="0.25">
      <c r="A1380" s="2" t="s">
        <v>4136</v>
      </c>
      <c r="B1380" s="2" t="s">
        <v>4137</v>
      </c>
      <c r="C1380" s="2" t="s">
        <v>4138</v>
      </c>
      <c r="D1380" s="2" t="s">
        <v>10044</v>
      </c>
      <c r="E1380" s="15">
        <v>-4.3499999999999997E-2</v>
      </c>
      <c r="F1380" s="15">
        <v>3.4799999999999998E-2</v>
      </c>
      <c r="G1380" s="15">
        <v>0.2109</v>
      </c>
      <c r="H1380" s="15">
        <v>0.3357</v>
      </c>
      <c r="I1380" s="15">
        <v>3.9399999999999998E-2</v>
      </c>
      <c r="J1380" s="15">
        <v>10.673139158576049</v>
      </c>
    </row>
    <row r="1381" spans="1:10" x14ac:dyDescent="0.25">
      <c r="A1381" s="2" t="s">
        <v>4139</v>
      </c>
      <c r="B1381" s="2" t="s">
        <v>4140</v>
      </c>
      <c r="C1381" s="2" t="s">
        <v>4141</v>
      </c>
      <c r="D1381" s="2" t="s">
        <v>10044</v>
      </c>
      <c r="E1381" s="15">
        <v>-1.9E-2</v>
      </c>
      <c r="F1381" s="15">
        <v>3.8399999999999997E-2</v>
      </c>
      <c r="G1381" s="15">
        <v>0.62080000000000002</v>
      </c>
      <c r="H1381" s="15">
        <v>0.35610000000000003</v>
      </c>
      <c r="I1381" s="15">
        <v>3.2000000000000001E-2</v>
      </c>
      <c r="J1381" s="15">
        <v>12.53597122302158</v>
      </c>
    </row>
    <row r="1382" spans="1:10" x14ac:dyDescent="0.25">
      <c r="A1382" s="2" t="s">
        <v>4142</v>
      </c>
      <c r="B1382" s="2" t="s">
        <v>4143</v>
      </c>
      <c r="C1382" s="2" t="s">
        <v>4144</v>
      </c>
      <c r="D1382" s="2" t="s">
        <v>10044</v>
      </c>
      <c r="E1382" s="15">
        <v>-1.46E-2</v>
      </c>
      <c r="F1382" s="15">
        <v>3.7400000000000003E-2</v>
      </c>
      <c r="G1382" s="15">
        <v>0.69669999999999999</v>
      </c>
      <c r="H1382" s="15">
        <v>0.28439999999999999</v>
      </c>
      <c r="I1382" s="15">
        <v>3.5400000000000001E-2</v>
      </c>
      <c r="J1382" s="15">
        <v>9.5176056338028161</v>
      </c>
    </row>
    <row r="1383" spans="1:10" x14ac:dyDescent="0.25">
      <c r="A1383" s="2" t="s">
        <v>4145</v>
      </c>
      <c r="B1383" s="2" t="s">
        <v>4146</v>
      </c>
      <c r="C1383" s="2" t="s">
        <v>4147</v>
      </c>
      <c r="D1383" s="2" t="s">
        <v>10044</v>
      </c>
      <c r="E1383" s="15">
        <v>-3.9300000000000002E-2</v>
      </c>
      <c r="F1383" s="15">
        <v>3.3399999999999999E-2</v>
      </c>
      <c r="G1383" s="15">
        <v>0.23910000000000001</v>
      </c>
      <c r="H1383" s="15">
        <v>0.34379999999999999</v>
      </c>
      <c r="I1383" s="15">
        <v>3.5400000000000001E-2</v>
      </c>
      <c r="J1383" s="15">
        <v>11.51013513513514</v>
      </c>
    </row>
    <row r="1384" spans="1:10" x14ac:dyDescent="0.25">
      <c r="A1384" s="2" t="s">
        <v>4148</v>
      </c>
      <c r="B1384" s="2" t="s">
        <v>4149</v>
      </c>
      <c r="C1384" s="2" t="s">
        <v>4150</v>
      </c>
      <c r="D1384" s="2" t="s">
        <v>10044</v>
      </c>
      <c r="E1384" s="15">
        <v>-3.6799999999999999E-2</v>
      </c>
      <c r="F1384" s="15">
        <v>3.9600000000000003E-2</v>
      </c>
      <c r="G1384" s="15">
        <v>0.3528</v>
      </c>
      <c r="H1384" s="15">
        <v>0.25080000000000002</v>
      </c>
      <c r="I1384" s="15">
        <v>2.8000000000000001E-2</v>
      </c>
      <c r="J1384" s="15">
        <v>10.813765182186239</v>
      </c>
    </row>
    <row r="1385" spans="1:10" x14ac:dyDescent="0.25">
      <c r="A1385" s="2" t="s">
        <v>4151</v>
      </c>
      <c r="B1385" s="2" t="s">
        <v>4152</v>
      </c>
      <c r="C1385" s="2" t="s">
        <v>4153</v>
      </c>
      <c r="D1385" s="2" t="s">
        <v>10044</v>
      </c>
      <c r="E1385" s="15">
        <v>-5.8099999999999999E-2</v>
      </c>
      <c r="F1385" s="15">
        <v>3.7600000000000001E-2</v>
      </c>
      <c r="G1385" s="15">
        <v>0.1226</v>
      </c>
      <c r="H1385" s="15">
        <v>0.307</v>
      </c>
      <c r="I1385" s="15">
        <v>2.69E-2</v>
      </c>
      <c r="J1385" s="15">
        <v>12.16923076923077</v>
      </c>
    </row>
    <row r="1386" spans="1:10" x14ac:dyDescent="0.25">
      <c r="A1386" s="2" t="s">
        <v>4154</v>
      </c>
      <c r="B1386" s="2" t="s">
        <v>4155</v>
      </c>
      <c r="C1386" s="2" t="s">
        <v>4156</v>
      </c>
      <c r="D1386" s="2" t="s">
        <v>10044</v>
      </c>
      <c r="E1386" s="15">
        <v>-0.03</v>
      </c>
      <c r="F1386" s="15">
        <v>3.3399999999999999E-2</v>
      </c>
      <c r="G1386" s="15">
        <v>0.36870000000000003</v>
      </c>
      <c r="H1386" s="15">
        <v>0.34849999999999998</v>
      </c>
      <c r="I1386" s="15">
        <v>3.5799999999999998E-2</v>
      </c>
      <c r="J1386" s="15">
        <v>11.325657894736841</v>
      </c>
    </row>
    <row r="1387" spans="1:10" x14ac:dyDescent="0.25">
      <c r="A1387" s="2" t="s">
        <v>4157</v>
      </c>
      <c r="B1387" s="2" t="s">
        <v>4158</v>
      </c>
      <c r="C1387" s="2" t="s">
        <v>4159</v>
      </c>
      <c r="D1387" s="2" t="s">
        <v>10044</v>
      </c>
      <c r="E1387" s="15">
        <v>-1.47E-2</v>
      </c>
      <c r="F1387" s="15">
        <v>3.6900000000000002E-2</v>
      </c>
      <c r="G1387" s="15">
        <v>0.69169999999999998</v>
      </c>
      <c r="H1387" s="15">
        <v>0.2984</v>
      </c>
      <c r="I1387" s="15">
        <v>2.7900000000000001E-2</v>
      </c>
      <c r="J1387" s="15">
        <v>12.33891213389121</v>
      </c>
    </row>
    <row r="1388" spans="1:10" x14ac:dyDescent="0.25">
      <c r="A1388" s="2" t="s">
        <v>4160</v>
      </c>
      <c r="B1388" s="2" t="s">
        <v>4161</v>
      </c>
      <c r="C1388" s="2" t="s">
        <v>4162</v>
      </c>
      <c r="D1388" s="2" t="s">
        <v>10044</v>
      </c>
      <c r="E1388" s="15">
        <v>-2.8299999999999999E-2</v>
      </c>
      <c r="F1388" s="15">
        <v>3.6799999999999999E-2</v>
      </c>
      <c r="G1388" s="15">
        <v>0.44230000000000003</v>
      </c>
      <c r="H1388" s="15">
        <v>0.32219999999999999</v>
      </c>
      <c r="I1388" s="15">
        <v>3.4299999999999997E-2</v>
      </c>
      <c r="J1388" s="15">
        <v>10.91319444444445</v>
      </c>
    </row>
    <row r="1389" spans="1:10" x14ac:dyDescent="0.25">
      <c r="A1389" s="2" t="s">
        <v>4163</v>
      </c>
      <c r="B1389" s="2" t="s">
        <v>4164</v>
      </c>
      <c r="C1389" s="2" t="s">
        <v>4165</v>
      </c>
      <c r="D1389" s="2" t="s">
        <v>10044</v>
      </c>
      <c r="E1389" s="15">
        <v>8.0000000000000004E-4</v>
      </c>
      <c r="F1389" s="15">
        <v>4.24E-2</v>
      </c>
      <c r="G1389" s="15">
        <v>0.98580000000000001</v>
      </c>
      <c r="H1389" s="15">
        <v>0.2601</v>
      </c>
      <c r="I1389" s="15">
        <v>2.8000000000000001E-2</v>
      </c>
      <c r="J1389" s="15">
        <v>10.823045267489711</v>
      </c>
    </row>
    <row r="1390" spans="1:10" x14ac:dyDescent="0.25">
      <c r="A1390" s="2" t="s">
        <v>4166</v>
      </c>
      <c r="B1390" s="2" t="s">
        <v>4167</v>
      </c>
      <c r="C1390" s="2" t="s">
        <v>4168</v>
      </c>
      <c r="D1390" s="2" t="s">
        <v>10044</v>
      </c>
      <c r="E1390" s="15">
        <v>-2E-3</v>
      </c>
      <c r="F1390" s="15">
        <v>3.6999999999999998E-2</v>
      </c>
      <c r="G1390" s="15">
        <v>0.95679999999999998</v>
      </c>
      <c r="H1390" s="15">
        <v>0.34620000000000001</v>
      </c>
      <c r="I1390" s="15">
        <v>3.78E-2</v>
      </c>
      <c r="J1390" s="15">
        <v>10.920245398773011</v>
      </c>
    </row>
    <row r="1391" spans="1:10" x14ac:dyDescent="0.25">
      <c r="A1391" s="2" t="s">
        <v>4169</v>
      </c>
      <c r="B1391" s="2" t="s">
        <v>4170</v>
      </c>
      <c r="C1391" s="2" t="s">
        <v>4171</v>
      </c>
      <c r="D1391" s="2" t="s">
        <v>10044</v>
      </c>
      <c r="E1391" s="15">
        <v>1.8E-3</v>
      </c>
      <c r="F1391" s="15">
        <v>3.8899999999999997E-2</v>
      </c>
      <c r="G1391" s="15">
        <v>0.96289999999999998</v>
      </c>
      <c r="H1391" s="15">
        <v>0.26750000000000002</v>
      </c>
      <c r="I1391" s="15">
        <v>3.1E-2</v>
      </c>
      <c r="J1391" s="15">
        <v>11.02745098039216</v>
      </c>
    </row>
    <row r="1392" spans="1:10" x14ac:dyDescent="0.25">
      <c r="A1392" s="2" t="s">
        <v>4172</v>
      </c>
      <c r="B1392" s="2" t="s">
        <v>4173</v>
      </c>
      <c r="C1392" s="2" t="s">
        <v>4174</v>
      </c>
      <c r="D1392" s="2" t="s">
        <v>10044</v>
      </c>
      <c r="E1392" s="15">
        <v>-6.8400000000000002E-2</v>
      </c>
      <c r="F1392" s="15">
        <v>3.49E-2</v>
      </c>
      <c r="G1392" s="15">
        <v>4.9700000000000001E-2</v>
      </c>
      <c r="H1392" s="15">
        <v>0.33139999999999997</v>
      </c>
      <c r="I1392" s="15">
        <v>3.1099999999999999E-2</v>
      </c>
      <c r="J1392" s="15">
        <v>12.18661971830986</v>
      </c>
    </row>
    <row r="1393" spans="1:10" x14ac:dyDescent="0.25">
      <c r="A1393" s="2" t="s">
        <v>4175</v>
      </c>
      <c r="B1393" s="2" t="s">
        <v>4176</v>
      </c>
      <c r="C1393" s="2" t="s">
        <v>4177</v>
      </c>
      <c r="D1393" s="2" t="s">
        <v>10044</v>
      </c>
      <c r="E1393" s="15">
        <v>-1.5299999999999999E-2</v>
      </c>
      <c r="F1393" s="15">
        <v>3.4799999999999998E-2</v>
      </c>
      <c r="G1393" s="15">
        <v>0.65969999999999995</v>
      </c>
      <c r="H1393" s="15">
        <v>0.39679999999999999</v>
      </c>
      <c r="I1393" s="15">
        <v>0.04</v>
      </c>
      <c r="J1393" s="15">
        <v>11.489795918367349</v>
      </c>
    </row>
    <row r="1394" spans="1:10" x14ac:dyDescent="0.25">
      <c r="A1394" s="2" t="s">
        <v>4178</v>
      </c>
      <c r="B1394" s="2" t="s">
        <v>4179</v>
      </c>
      <c r="C1394" s="2" t="s">
        <v>4180</v>
      </c>
      <c r="D1394" s="2" t="s">
        <v>10044</v>
      </c>
      <c r="E1394" s="15">
        <v>-2.1100000000000001E-2</v>
      </c>
      <c r="F1394" s="15">
        <v>4.1599999999999998E-2</v>
      </c>
      <c r="G1394" s="15">
        <v>0.61209999999999998</v>
      </c>
      <c r="H1394" s="15">
        <v>0.23910000000000001</v>
      </c>
      <c r="I1394" s="15">
        <v>3.1899999999999998E-2</v>
      </c>
      <c r="J1394" s="15">
        <v>9.26953125</v>
      </c>
    </row>
    <row r="1395" spans="1:10" x14ac:dyDescent="0.25">
      <c r="A1395" s="2" t="s">
        <v>4181</v>
      </c>
      <c r="B1395" s="2" t="s">
        <v>4182</v>
      </c>
      <c r="C1395" s="2" t="s">
        <v>4183</v>
      </c>
      <c r="D1395" s="2" t="s">
        <v>10044</v>
      </c>
      <c r="E1395" s="15">
        <v>-2.5600000000000001E-2</v>
      </c>
      <c r="F1395" s="15">
        <v>3.4700000000000002E-2</v>
      </c>
      <c r="G1395" s="15">
        <v>0.46100000000000002</v>
      </c>
      <c r="H1395" s="15">
        <v>0.37119999999999997</v>
      </c>
      <c r="I1395" s="15">
        <v>4.02E-2</v>
      </c>
      <c r="J1395" s="15">
        <v>11.17034700315457</v>
      </c>
    </row>
    <row r="1396" spans="1:10" x14ac:dyDescent="0.25">
      <c r="A1396" s="2" t="s">
        <v>4184</v>
      </c>
      <c r="B1396" s="2" t="s">
        <v>4185</v>
      </c>
      <c r="C1396" s="2" t="s">
        <v>4186</v>
      </c>
      <c r="D1396" s="2" t="s">
        <v>10044</v>
      </c>
      <c r="E1396" s="15">
        <v>-4.5100000000000001E-2</v>
      </c>
      <c r="F1396" s="15">
        <v>3.3099999999999997E-2</v>
      </c>
      <c r="G1396" s="15">
        <v>0.17319999999999999</v>
      </c>
      <c r="H1396" s="15">
        <v>0.36880000000000002</v>
      </c>
      <c r="I1396" s="15">
        <v>3.4700000000000002E-2</v>
      </c>
      <c r="J1396" s="15">
        <v>12.609589041095891</v>
      </c>
    </row>
    <row r="1397" spans="1:10" x14ac:dyDescent="0.25">
      <c r="A1397" s="2" t="s">
        <v>4187</v>
      </c>
      <c r="B1397" s="2" t="s">
        <v>4188</v>
      </c>
      <c r="C1397" s="2" t="s">
        <v>4189</v>
      </c>
      <c r="D1397" s="2" t="s">
        <v>10044</v>
      </c>
      <c r="E1397" s="15">
        <v>-6.3E-3</v>
      </c>
      <c r="F1397" s="15">
        <v>3.3399999999999999E-2</v>
      </c>
      <c r="G1397" s="15">
        <v>0.85070000000000001</v>
      </c>
      <c r="H1397" s="15">
        <v>0.38479999999999998</v>
      </c>
      <c r="I1397" s="15">
        <v>3.9800000000000002E-2</v>
      </c>
      <c r="J1397" s="15">
        <v>10.82234957020057</v>
      </c>
    </row>
    <row r="1398" spans="1:10" x14ac:dyDescent="0.25">
      <c r="A1398" s="2" t="s">
        <v>4190</v>
      </c>
      <c r="B1398" s="2" t="s">
        <v>4191</v>
      </c>
      <c r="C1398" s="2" t="s">
        <v>4192</v>
      </c>
      <c r="D1398" s="2" t="s">
        <v>10044</v>
      </c>
      <c r="E1398" s="15">
        <v>-1.0699999999999999E-2</v>
      </c>
      <c r="F1398" s="15">
        <v>3.39E-2</v>
      </c>
      <c r="G1398" s="15">
        <v>0.75329999999999997</v>
      </c>
      <c r="H1398" s="15">
        <v>0.36320000000000002</v>
      </c>
      <c r="I1398" s="15">
        <v>3.4799999999999998E-2</v>
      </c>
      <c r="J1398" s="15">
        <v>12.03</v>
      </c>
    </row>
    <row r="1399" spans="1:10" x14ac:dyDescent="0.25">
      <c r="A1399" s="2" t="s">
        <v>4193</v>
      </c>
      <c r="B1399" s="2" t="s">
        <v>4194</v>
      </c>
      <c r="C1399" s="2" t="s">
        <v>4195</v>
      </c>
      <c r="D1399" s="2" t="s">
        <v>10044</v>
      </c>
      <c r="E1399" s="15">
        <v>-2.23E-2</v>
      </c>
      <c r="F1399" s="15">
        <v>3.5799999999999998E-2</v>
      </c>
      <c r="G1399" s="15">
        <v>0.53380000000000005</v>
      </c>
      <c r="H1399" s="15">
        <v>0.36099999999999999</v>
      </c>
      <c r="I1399" s="15">
        <v>3.4500000000000003E-2</v>
      </c>
      <c r="J1399" s="15">
        <v>12.14576271186441</v>
      </c>
    </row>
    <row r="1400" spans="1:10" x14ac:dyDescent="0.25">
      <c r="A1400" s="2" t="s">
        <v>4196</v>
      </c>
      <c r="B1400" s="2" t="s">
        <v>4197</v>
      </c>
      <c r="C1400" s="2" t="s">
        <v>4198</v>
      </c>
      <c r="D1400" s="2" t="s">
        <v>10044</v>
      </c>
      <c r="E1400" s="15">
        <v>-5.79E-2</v>
      </c>
      <c r="F1400" s="15">
        <v>4.0800000000000003E-2</v>
      </c>
      <c r="G1400" s="15">
        <v>0.15579999999999999</v>
      </c>
      <c r="H1400" s="15">
        <v>0.23119999999999999</v>
      </c>
      <c r="I1400" s="15">
        <v>2.8400000000000002E-2</v>
      </c>
      <c r="J1400" s="15">
        <v>9.2701612903225801</v>
      </c>
    </row>
    <row r="1401" spans="1:10" x14ac:dyDescent="0.25">
      <c r="A1401" s="2" t="s">
        <v>4199</v>
      </c>
      <c r="B1401" s="2" t="s">
        <v>4200</v>
      </c>
      <c r="C1401" s="2" t="s">
        <v>4201</v>
      </c>
      <c r="D1401" s="2" t="s">
        <v>10044</v>
      </c>
      <c r="E1401" s="15">
        <v>-6.0999999999999999E-2</v>
      </c>
      <c r="F1401" s="15">
        <v>4.58E-2</v>
      </c>
      <c r="G1401" s="15">
        <v>0.18329999999999999</v>
      </c>
      <c r="H1401" s="15">
        <v>0.1767</v>
      </c>
      <c r="I1401" s="15">
        <v>2.23E-2</v>
      </c>
      <c r="J1401" s="15">
        <v>9.0443349753694591</v>
      </c>
    </row>
    <row r="1402" spans="1:10" x14ac:dyDescent="0.25">
      <c r="A1402" s="2" t="s">
        <v>4202</v>
      </c>
      <c r="B1402" s="2" t="s">
        <v>4203</v>
      </c>
      <c r="C1402" s="2" t="s">
        <v>4204</v>
      </c>
      <c r="D1402" s="2" t="s">
        <v>10044</v>
      </c>
      <c r="E1402" s="15">
        <v>1.3599999999999999E-2</v>
      </c>
      <c r="F1402" s="15">
        <v>3.8300000000000001E-2</v>
      </c>
      <c r="G1402" s="15">
        <v>0.72170000000000001</v>
      </c>
      <c r="H1402" s="15">
        <v>0.29389999999999999</v>
      </c>
      <c r="I1402" s="15">
        <v>4.7E-2</v>
      </c>
      <c r="J1402" s="15">
        <v>7.65625</v>
      </c>
    </row>
    <row r="1403" spans="1:10" x14ac:dyDescent="0.25">
      <c r="A1403" s="2" t="s">
        <v>4205</v>
      </c>
      <c r="B1403" s="2" t="s">
        <v>4206</v>
      </c>
      <c r="C1403" s="2" t="s">
        <v>4207</v>
      </c>
      <c r="D1403" s="2" t="s">
        <v>10044</v>
      </c>
      <c r="E1403" s="15">
        <v>2.8799999999999999E-2</v>
      </c>
      <c r="F1403" s="15">
        <v>3.3700000000000001E-2</v>
      </c>
      <c r="G1403" s="15">
        <v>0.39279999999999998</v>
      </c>
      <c r="H1403" s="15">
        <v>0.30830000000000002</v>
      </c>
      <c r="I1403" s="15">
        <v>3.7699999999999997E-2</v>
      </c>
      <c r="J1403" s="15">
        <v>10.506666666666669</v>
      </c>
    </row>
    <row r="1404" spans="1:10" x14ac:dyDescent="0.25">
      <c r="A1404" s="2" t="s">
        <v>4208</v>
      </c>
      <c r="B1404" s="2" t="s">
        <v>4209</v>
      </c>
      <c r="C1404" s="2" t="s">
        <v>4210</v>
      </c>
      <c r="D1404" s="2" t="s">
        <v>10044</v>
      </c>
      <c r="E1404" s="15">
        <v>1.6999999999999999E-3</v>
      </c>
      <c r="F1404" s="15">
        <v>9.7799999999999998E-2</v>
      </c>
      <c r="G1404" s="15">
        <v>0.98580000000000001</v>
      </c>
      <c r="H1404" s="15">
        <v>3.04E-2</v>
      </c>
      <c r="I1404" s="15">
        <v>1.41E-2</v>
      </c>
      <c r="J1404" s="15">
        <v>2.1804511278195489</v>
      </c>
    </row>
    <row r="1405" spans="1:10" x14ac:dyDescent="0.25">
      <c r="A1405" s="2" t="s">
        <v>4211</v>
      </c>
      <c r="B1405" s="2" t="s">
        <v>4212</v>
      </c>
      <c r="C1405" s="2" t="s">
        <v>4213</v>
      </c>
      <c r="D1405" s="2" t="s">
        <v>10044</v>
      </c>
      <c r="E1405" s="15">
        <v>3.4000000000000002E-2</v>
      </c>
      <c r="F1405" s="15">
        <v>3.5499999999999997E-2</v>
      </c>
      <c r="G1405" s="15">
        <v>0.33889999999999998</v>
      </c>
      <c r="H1405" s="15">
        <v>0.31900000000000001</v>
      </c>
      <c r="I1405" s="15">
        <v>3.09E-2</v>
      </c>
      <c r="J1405" s="15">
        <v>12.1203007518797</v>
      </c>
    </row>
    <row r="1406" spans="1:10" x14ac:dyDescent="0.25">
      <c r="A1406" s="2" t="s">
        <v>4214</v>
      </c>
      <c r="B1406" s="2" t="s">
        <v>4215</v>
      </c>
      <c r="C1406" s="2" t="s">
        <v>4216</v>
      </c>
      <c r="D1406" s="2" t="s">
        <v>10044</v>
      </c>
      <c r="E1406" s="15">
        <v>3.2500000000000001E-2</v>
      </c>
      <c r="F1406" s="15">
        <v>4.58E-2</v>
      </c>
      <c r="G1406" s="15">
        <v>0.4778</v>
      </c>
      <c r="H1406" s="15">
        <v>0.15759999999999999</v>
      </c>
      <c r="I1406" s="15">
        <v>2.1999999999999999E-2</v>
      </c>
      <c r="J1406" s="15">
        <v>8.4324324324324333</v>
      </c>
    </row>
    <row r="1407" spans="1:10" x14ac:dyDescent="0.25">
      <c r="A1407" s="2" t="s">
        <v>4217</v>
      </c>
      <c r="B1407" s="2" t="s">
        <v>4218</v>
      </c>
      <c r="C1407" s="2" t="s">
        <v>4219</v>
      </c>
      <c r="D1407" s="2" t="s">
        <v>10044</v>
      </c>
      <c r="E1407" s="15">
        <v>-2.5600000000000001E-2</v>
      </c>
      <c r="F1407" s="15">
        <v>3.3700000000000001E-2</v>
      </c>
      <c r="G1407" s="15">
        <v>0.4476</v>
      </c>
      <c r="H1407" s="15">
        <v>0.3145</v>
      </c>
      <c r="I1407" s="15">
        <v>2.98E-2</v>
      </c>
      <c r="J1407" s="15">
        <v>12.09615384615385</v>
      </c>
    </row>
    <row r="1408" spans="1:10" x14ac:dyDescent="0.25">
      <c r="A1408" s="2" t="s">
        <v>4220</v>
      </c>
      <c r="B1408" s="2" t="s">
        <v>4221</v>
      </c>
      <c r="C1408" s="2" t="s">
        <v>4222</v>
      </c>
      <c r="D1408" s="2" t="s">
        <v>10044</v>
      </c>
      <c r="E1408" s="15">
        <v>-1.09E-2</v>
      </c>
      <c r="F1408" s="15">
        <v>3.95E-2</v>
      </c>
      <c r="G1408" s="15">
        <v>0.78239999999999998</v>
      </c>
      <c r="H1408" s="15">
        <v>0.32590000000000002</v>
      </c>
      <c r="I1408" s="15">
        <v>3.9199999999999999E-2</v>
      </c>
      <c r="J1408" s="15">
        <v>9.2716763005780347</v>
      </c>
    </row>
    <row r="1409" spans="1:10" x14ac:dyDescent="0.25">
      <c r="A1409" s="2" t="s">
        <v>4223</v>
      </c>
      <c r="B1409" s="2" t="s">
        <v>4224</v>
      </c>
      <c r="C1409" s="2" t="s">
        <v>4225</v>
      </c>
      <c r="D1409" s="2" t="s">
        <v>10044</v>
      </c>
      <c r="E1409" s="15">
        <v>3.73E-2</v>
      </c>
      <c r="F1409" s="15">
        <v>4.6600000000000003E-2</v>
      </c>
      <c r="G1409" s="15">
        <v>0.42270000000000002</v>
      </c>
      <c r="H1409" s="15">
        <v>0.18240000000000001</v>
      </c>
      <c r="I1409" s="15">
        <v>2.4199999999999999E-2</v>
      </c>
      <c r="J1409" s="15">
        <v>9.454545454545455</v>
      </c>
    </row>
    <row r="1410" spans="1:10" x14ac:dyDescent="0.25">
      <c r="A1410" s="2" t="s">
        <v>4226</v>
      </c>
      <c r="B1410" s="2" t="s">
        <v>4227</v>
      </c>
      <c r="C1410" s="2" t="s">
        <v>4228</v>
      </c>
      <c r="D1410" s="2" t="s">
        <v>10044</v>
      </c>
      <c r="E1410" s="15">
        <v>-3.3999999999999998E-3</v>
      </c>
      <c r="F1410" s="15">
        <v>3.5700000000000003E-2</v>
      </c>
      <c r="G1410" s="15">
        <v>0.92330000000000001</v>
      </c>
      <c r="H1410" s="15">
        <v>0.34589999999999999</v>
      </c>
      <c r="I1410" s="15">
        <v>3.8899999999999997E-2</v>
      </c>
      <c r="J1410" s="15">
        <v>10.873065015479879</v>
      </c>
    </row>
    <row r="1411" spans="1:10" x14ac:dyDescent="0.25">
      <c r="A1411" s="2" t="s">
        <v>4229</v>
      </c>
      <c r="B1411" s="2" t="s">
        <v>4230</v>
      </c>
      <c r="C1411" s="2" t="s">
        <v>4231</v>
      </c>
      <c r="D1411" s="2" t="s">
        <v>10044</v>
      </c>
      <c r="E1411" s="15">
        <v>-2.3400000000000001E-2</v>
      </c>
      <c r="F1411" s="15">
        <v>3.3099999999999997E-2</v>
      </c>
      <c r="G1411" s="15">
        <v>0.4798</v>
      </c>
      <c r="H1411" s="15">
        <v>0.36820000000000003</v>
      </c>
      <c r="I1411" s="15">
        <v>3.6999999999999998E-2</v>
      </c>
      <c r="J1411" s="15">
        <v>11.3961661341853</v>
      </c>
    </row>
    <row r="1412" spans="1:10" x14ac:dyDescent="0.25">
      <c r="A1412" s="2" t="s">
        <v>4232</v>
      </c>
      <c r="B1412" s="2" t="s">
        <v>4233</v>
      </c>
      <c r="C1412" s="2" t="s">
        <v>4234</v>
      </c>
      <c r="D1412" s="2" t="s">
        <v>10044</v>
      </c>
      <c r="E1412" s="15">
        <v>-1.12E-2</v>
      </c>
      <c r="F1412" s="15">
        <v>3.39E-2</v>
      </c>
      <c r="G1412" s="15">
        <v>0.74019999999999997</v>
      </c>
      <c r="H1412" s="15">
        <v>0.32969999999999999</v>
      </c>
      <c r="I1412" s="15">
        <v>3.6600000000000001E-2</v>
      </c>
      <c r="J1412" s="15">
        <v>11.272425249169441</v>
      </c>
    </row>
    <row r="1413" spans="1:10" x14ac:dyDescent="0.25">
      <c r="A1413" s="2" t="s">
        <v>4235</v>
      </c>
      <c r="B1413" s="2" t="s">
        <v>4236</v>
      </c>
      <c r="C1413" s="2" t="s">
        <v>4237</v>
      </c>
      <c r="D1413" s="2" t="s">
        <v>10044</v>
      </c>
      <c r="E1413" s="15">
        <v>-1.55E-2</v>
      </c>
      <c r="F1413" s="15">
        <v>4.1399999999999999E-2</v>
      </c>
      <c r="G1413" s="15">
        <v>0.70799999999999996</v>
      </c>
      <c r="H1413" s="15">
        <v>0.27639999999999998</v>
      </c>
      <c r="I1413" s="15">
        <v>3.2199999999999999E-2</v>
      </c>
      <c r="J1413" s="15">
        <v>9.5268456375838912</v>
      </c>
    </row>
    <row r="1414" spans="1:10" x14ac:dyDescent="0.25">
      <c r="A1414" s="2" t="s">
        <v>4238</v>
      </c>
      <c r="B1414" s="2" t="s">
        <v>4239</v>
      </c>
      <c r="C1414" s="2" t="s">
        <v>4240</v>
      </c>
      <c r="D1414" s="2" t="s">
        <v>10044</v>
      </c>
      <c r="E1414" s="15">
        <v>-1.8100000000000002E-2</v>
      </c>
      <c r="F1414" s="15">
        <v>3.56E-2</v>
      </c>
      <c r="G1414" s="15">
        <v>0.61250000000000004</v>
      </c>
      <c r="H1414" s="15">
        <v>0.35460000000000003</v>
      </c>
      <c r="I1414" s="15">
        <v>3.32E-2</v>
      </c>
      <c r="J1414" s="15">
        <v>11.969899665551839</v>
      </c>
    </row>
    <row r="1415" spans="1:10" x14ac:dyDescent="0.25">
      <c r="A1415" s="2" t="s">
        <v>4241</v>
      </c>
      <c r="B1415" s="2" t="s">
        <v>4242</v>
      </c>
      <c r="C1415" s="2" t="s">
        <v>4243</v>
      </c>
      <c r="D1415" s="2" t="s">
        <v>10044</v>
      </c>
      <c r="E1415" s="15">
        <v>-1.54E-2</v>
      </c>
      <c r="F1415" s="15">
        <v>4.0099999999999997E-2</v>
      </c>
      <c r="G1415" s="15">
        <v>0.70109999999999995</v>
      </c>
      <c r="H1415" s="15">
        <v>0.26729999999999998</v>
      </c>
      <c r="I1415" s="15">
        <v>3.3300000000000003E-2</v>
      </c>
      <c r="J1415" s="15">
        <v>10.303501945525291</v>
      </c>
    </row>
    <row r="1416" spans="1:10" x14ac:dyDescent="0.25">
      <c r="A1416" s="2" t="s">
        <v>4244</v>
      </c>
      <c r="B1416" s="2" t="s">
        <v>4245</v>
      </c>
      <c r="C1416" s="2" t="s">
        <v>4246</v>
      </c>
      <c r="D1416" s="2" t="s">
        <v>10044</v>
      </c>
      <c r="E1416" s="15">
        <v>-3.5000000000000001E-3</v>
      </c>
      <c r="F1416" s="15">
        <v>3.8199999999999998E-2</v>
      </c>
      <c r="G1416" s="15">
        <v>0.92649999999999999</v>
      </c>
      <c r="H1416" s="15">
        <v>0.31950000000000001</v>
      </c>
      <c r="I1416" s="15">
        <v>3.1600000000000003E-2</v>
      </c>
      <c r="J1416" s="15">
        <v>11.64233576642336</v>
      </c>
    </row>
    <row r="1417" spans="1:10" x14ac:dyDescent="0.25">
      <c r="A1417" s="2" t="s">
        <v>4247</v>
      </c>
      <c r="B1417" s="2" t="s">
        <v>4248</v>
      </c>
      <c r="C1417" s="2" t="s">
        <v>4249</v>
      </c>
      <c r="D1417" s="2" t="s">
        <v>10044</v>
      </c>
      <c r="E1417" s="15">
        <v>-4.5999999999999999E-2</v>
      </c>
      <c r="F1417" s="15">
        <v>3.9699999999999999E-2</v>
      </c>
      <c r="G1417" s="15">
        <v>0.24729999999999999</v>
      </c>
      <c r="H1417" s="15">
        <v>0.27860000000000001</v>
      </c>
      <c r="I1417" s="15">
        <v>3.73E-2</v>
      </c>
      <c r="J1417" s="15">
        <v>9.0813559322033921</v>
      </c>
    </row>
    <row r="1418" spans="1:10" x14ac:dyDescent="0.25">
      <c r="A1418" s="2" t="s">
        <v>4250</v>
      </c>
      <c r="B1418" s="2" t="s">
        <v>4251</v>
      </c>
      <c r="C1418" s="2" t="s">
        <v>4252</v>
      </c>
      <c r="D1418" s="2" t="s">
        <v>10044</v>
      </c>
      <c r="E1418" s="15">
        <v>-6.7999999999999996E-3</v>
      </c>
      <c r="F1418" s="15">
        <v>3.5400000000000001E-2</v>
      </c>
      <c r="G1418" s="15">
        <v>0.84799999999999998</v>
      </c>
      <c r="H1418" s="15">
        <v>0.33019999999999999</v>
      </c>
      <c r="I1418" s="15">
        <v>3.5700000000000003E-2</v>
      </c>
      <c r="J1418" s="15">
        <v>11.26621160409556</v>
      </c>
    </row>
    <row r="1419" spans="1:10" x14ac:dyDescent="0.25">
      <c r="A1419" s="2" t="s">
        <v>4253</v>
      </c>
      <c r="B1419" s="2" t="s">
        <v>4254</v>
      </c>
      <c r="C1419" s="2" t="s">
        <v>4255</v>
      </c>
      <c r="D1419" s="2" t="s">
        <v>10044</v>
      </c>
      <c r="E1419" s="15">
        <v>-3.7000000000000002E-3</v>
      </c>
      <c r="F1419" s="15">
        <v>3.8399999999999997E-2</v>
      </c>
      <c r="G1419" s="15">
        <v>0.9224</v>
      </c>
      <c r="H1419" s="15">
        <v>0.24729999999999999</v>
      </c>
      <c r="I1419" s="15">
        <v>2.9399999999999999E-2</v>
      </c>
      <c r="J1419" s="15">
        <v>10.60408163265306</v>
      </c>
    </row>
    <row r="1420" spans="1:10" x14ac:dyDescent="0.25">
      <c r="A1420" s="2" t="s">
        <v>4256</v>
      </c>
      <c r="B1420" s="2" t="s">
        <v>4257</v>
      </c>
      <c r="C1420" s="2" t="s">
        <v>4258</v>
      </c>
      <c r="D1420" s="2" t="s">
        <v>10044</v>
      </c>
      <c r="E1420" s="15">
        <v>-4.6899999999999997E-2</v>
      </c>
      <c r="F1420" s="15">
        <v>3.6299999999999999E-2</v>
      </c>
      <c r="G1420" s="15">
        <v>0.19670000000000001</v>
      </c>
      <c r="H1420" s="15">
        <v>0.30030000000000001</v>
      </c>
      <c r="I1420" s="15">
        <v>2.8199999999999999E-2</v>
      </c>
      <c r="J1420" s="15">
        <v>11.783783783783781</v>
      </c>
    </row>
    <row r="1421" spans="1:10" x14ac:dyDescent="0.25">
      <c r="A1421" s="2" t="s">
        <v>4259</v>
      </c>
      <c r="B1421" s="2" t="s">
        <v>4260</v>
      </c>
      <c r="C1421" s="2" t="s">
        <v>4261</v>
      </c>
      <c r="D1421" s="2" t="s">
        <v>10044</v>
      </c>
      <c r="E1421" s="15">
        <v>-1.8700000000000001E-2</v>
      </c>
      <c r="F1421" s="15">
        <v>3.5000000000000003E-2</v>
      </c>
      <c r="G1421" s="15">
        <v>0.59299999999999997</v>
      </c>
      <c r="H1421" s="15">
        <v>0.32750000000000001</v>
      </c>
      <c r="I1421" s="15">
        <v>3.2899999999999999E-2</v>
      </c>
      <c r="J1421" s="15">
        <v>11.757246376811599</v>
      </c>
    </row>
    <row r="1422" spans="1:10" x14ac:dyDescent="0.25">
      <c r="A1422" s="2" t="s">
        <v>4262</v>
      </c>
      <c r="B1422" s="2" t="s">
        <v>4263</v>
      </c>
      <c r="C1422" s="2" t="s">
        <v>4264</v>
      </c>
      <c r="D1422" s="2" t="s">
        <v>10044</v>
      </c>
      <c r="E1422" s="15">
        <v>-1.06E-2</v>
      </c>
      <c r="F1422" s="15">
        <v>3.9199999999999999E-2</v>
      </c>
      <c r="G1422" s="15">
        <v>0.78690000000000004</v>
      </c>
      <c r="H1422" s="15">
        <v>0.29289999999999999</v>
      </c>
      <c r="I1422" s="15">
        <v>3.04E-2</v>
      </c>
      <c r="J1422" s="15">
        <v>10.74812030075188</v>
      </c>
    </row>
    <row r="1423" spans="1:10" x14ac:dyDescent="0.25">
      <c r="A1423" s="2" t="s">
        <v>4265</v>
      </c>
      <c r="B1423" s="2" t="s">
        <v>4266</v>
      </c>
      <c r="C1423" s="2" t="s">
        <v>4267</v>
      </c>
      <c r="D1423" s="2" t="s">
        <v>10044</v>
      </c>
      <c r="E1423" s="15">
        <v>1.89E-2</v>
      </c>
      <c r="F1423" s="15">
        <v>3.49E-2</v>
      </c>
      <c r="G1423" s="15">
        <v>0.58750000000000002</v>
      </c>
      <c r="H1423" s="15">
        <v>0.32869999999999999</v>
      </c>
      <c r="I1423" s="15">
        <v>3.5200000000000002E-2</v>
      </c>
      <c r="J1423" s="15">
        <v>11.15254237288136</v>
      </c>
    </row>
    <row r="1424" spans="1:10" x14ac:dyDescent="0.25">
      <c r="A1424" s="2" t="s">
        <v>4268</v>
      </c>
      <c r="B1424" s="2" t="s">
        <v>4269</v>
      </c>
      <c r="C1424" s="2" t="s">
        <v>4270</v>
      </c>
      <c r="D1424" s="2" t="s">
        <v>10044</v>
      </c>
      <c r="E1424" s="15">
        <v>-1.43E-2</v>
      </c>
      <c r="F1424" s="15">
        <v>0.04</v>
      </c>
      <c r="G1424" s="15">
        <v>0.72099999999999997</v>
      </c>
      <c r="H1424" s="15">
        <v>0.25819999999999999</v>
      </c>
      <c r="I1424" s="15">
        <v>2.6700000000000002E-2</v>
      </c>
      <c r="J1424" s="15">
        <v>11.419087136929461</v>
      </c>
    </row>
    <row r="1425" spans="1:10" x14ac:dyDescent="0.25">
      <c r="A1425" s="2" t="s">
        <v>4271</v>
      </c>
      <c r="B1425" s="2" t="s">
        <v>4272</v>
      </c>
      <c r="C1425" s="2" t="s">
        <v>4273</v>
      </c>
      <c r="D1425" s="2" t="s">
        <v>10044</v>
      </c>
      <c r="E1425" s="15">
        <v>6.1999999999999998E-3</v>
      </c>
      <c r="F1425" s="15">
        <v>3.5900000000000001E-2</v>
      </c>
      <c r="G1425" s="15">
        <v>0.86219999999999997</v>
      </c>
      <c r="H1425" s="15">
        <v>0.32390000000000002</v>
      </c>
      <c r="I1425" s="15">
        <v>3.4799999999999998E-2</v>
      </c>
      <c r="J1425" s="15">
        <v>10.88196721311475</v>
      </c>
    </row>
    <row r="1426" spans="1:10" x14ac:dyDescent="0.25">
      <c r="A1426" s="2" t="s">
        <v>4274</v>
      </c>
      <c r="B1426" s="2" t="s">
        <v>4275</v>
      </c>
      <c r="C1426" s="2" t="s">
        <v>4276</v>
      </c>
      <c r="D1426" s="2" t="s">
        <v>10044</v>
      </c>
      <c r="E1426" s="15">
        <v>-4.8999999999999998E-3</v>
      </c>
      <c r="F1426" s="15">
        <v>0.04</v>
      </c>
      <c r="G1426" s="15">
        <v>0.90200000000000002</v>
      </c>
      <c r="H1426" s="15">
        <v>0.28949999999999998</v>
      </c>
      <c r="I1426" s="15">
        <v>3.2300000000000002E-2</v>
      </c>
      <c r="J1426" s="15">
        <v>11.1787072243346</v>
      </c>
    </row>
    <row r="1427" spans="1:10" x14ac:dyDescent="0.25">
      <c r="A1427" s="2" t="s">
        <v>4277</v>
      </c>
      <c r="B1427" s="2" t="s">
        <v>4278</v>
      </c>
      <c r="C1427" s="2" t="s">
        <v>4279</v>
      </c>
      <c r="D1427" s="2" t="s">
        <v>10044</v>
      </c>
      <c r="E1427" s="15">
        <v>-5.8700000000000002E-2</v>
      </c>
      <c r="F1427" s="15">
        <v>3.4299999999999997E-2</v>
      </c>
      <c r="G1427" s="15">
        <v>8.6499999999999994E-2</v>
      </c>
      <c r="H1427" s="15">
        <v>0.32819999999999999</v>
      </c>
      <c r="I1427" s="15">
        <v>2.8799999999999999E-2</v>
      </c>
      <c r="J1427" s="15">
        <v>13.05725190839695</v>
      </c>
    </row>
    <row r="1428" spans="1:10" x14ac:dyDescent="0.25">
      <c r="A1428" s="2" t="s">
        <v>4280</v>
      </c>
      <c r="B1428" s="2" t="s">
        <v>4281</v>
      </c>
      <c r="C1428" s="2" t="s">
        <v>4282</v>
      </c>
      <c r="D1428" s="2" t="s">
        <v>10044</v>
      </c>
      <c r="E1428" s="15">
        <v>-5.0000000000000001E-3</v>
      </c>
      <c r="F1428" s="15">
        <v>3.3399999999999999E-2</v>
      </c>
      <c r="G1428" s="15">
        <v>0.88149999999999995</v>
      </c>
      <c r="H1428" s="15">
        <v>0.37890000000000001</v>
      </c>
      <c r="I1428" s="15">
        <v>0.04</v>
      </c>
      <c r="J1428" s="15">
        <v>10.83815028901734</v>
      </c>
    </row>
    <row r="1429" spans="1:10" x14ac:dyDescent="0.25">
      <c r="A1429" s="2" t="s">
        <v>4283</v>
      </c>
      <c r="B1429" s="2" t="s">
        <v>4284</v>
      </c>
      <c r="C1429" s="2" t="s">
        <v>4285</v>
      </c>
      <c r="D1429" s="2" t="s">
        <v>10044</v>
      </c>
      <c r="E1429" s="15">
        <v>1.06E-2</v>
      </c>
      <c r="F1429" s="15">
        <v>3.8600000000000002E-2</v>
      </c>
      <c r="G1429" s="15">
        <v>0.78359999999999996</v>
      </c>
      <c r="H1429" s="15">
        <v>0.24859999999999999</v>
      </c>
      <c r="I1429" s="15">
        <v>3.39E-2</v>
      </c>
      <c r="J1429" s="15">
        <v>9.1268656716417915</v>
      </c>
    </row>
    <row r="1430" spans="1:10" x14ac:dyDescent="0.25">
      <c r="A1430" s="2" t="s">
        <v>4286</v>
      </c>
      <c r="B1430" s="2" t="s">
        <v>4287</v>
      </c>
      <c r="C1430" s="2" t="s">
        <v>4288</v>
      </c>
      <c r="D1430" s="2" t="s">
        <v>10044</v>
      </c>
      <c r="E1430" s="15">
        <v>-2.0199999999999999E-2</v>
      </c>
      <c r="F1430" s="15">
        <v>3.6600000000000001E-2</v>
      </c>
      <c r="G1430" s="15">
        <v>0.58089999999999997</v>
      </c>
      <c r="H1430" s="15">
        <v>0.3543</v>
      </c>
      <c r="I1430" s="15">
        <v>4.0399999999999998E-2</v>
      </c>
      <c r="J1430" s="15">
        <v>10.735015772870661</v>
      </c>
    </row>
    <row r="1431" spans="1:10" x14ac:dyDescent="0.25">
      <c r="A1431" s="2" t="s">
        <v>4289</v>
      </c>
      <c r="B1431" s="2" t="s">
        <v>4290</v>
      </c>
      <c r="C1431" s="2" t="s">
        <v>4291</v>
      </c>
      <c r="D1431" s="2" t="s">
        <v>10044</v>
      </c>
      <c r="E1431" s="15">
        <v>-4.2000000000000003E-2</v>
      </c>
      <c r="F1431" s="15">
        <v>3.4299999999999997E-2</v>
      </c>
      <c r="G1431" s="15">
        <v>0.21959999999999999</v>
      </c>
      <c r="H1431" s="15">
        <v>0.35809999999999997</v>
      </c>
      <c r="I1431" s="15">
        <v>3.3099999999999997E-2</v>
      </c>
      <c r="J1431" s="15">
        <v>12.30208333333333</v>
      </c>
    </row>
    <row r="1432" spans="1:10" x14ac:dyDescent="0.25">
      <c r="A1432" s="2" t="s">
        <v>4292</v>
      </c>
      <c r="B1432" s="2" t="s">
        <v>4293</v>
      </c>
      <c r="C1432" s="2" t="s">
        <v>4294</v>
      </c>
      <c r="D1432" s="2" t="s">
        <v>10044</v>
      </c>
      <c r="E1432" s="15">
        <v>-1.38E-2</v>
      </c>
      <c r="F1432" s="15">
        <v>3.2399999999999998E-2</v>
      </c>
      <c r="G1432" s="15">
        <v>0.67090000000000005</v>
      </c>
      <c r="H1432" s="15">
        <v>0.38150000000000001</v>
      </c>
      <c r="I1432" s="15">
        <v>4.0399999999999998E-2</v>
      </c>
      <c r="J1432" s="15">
        <v>11.055882352941181</v>
      </c>
    </row>
    <row r="1433" spans="1:10" x14ac:dyDescent="0.25">
      <c r="A1433" s="2" t="s">
        <v>4295</v>
      </c>
      <c r="B1433" s="2" t="s">
        <v>4296</v>
      </c>
      <c r="C1433" s="2" t="s">
        <v>4297</v>
      </c>
      <c r="D1433" s="2" t="s">
        <v>10044</v>
      </c>
      <c r="E1433" s="15">
        <v>0.02</v>
      </c>
      <c r="F1433" s="15">
        <v>3.3799999999999997E-2</v>
      </c>
      <c r="G1433" s="15">
        <v>0.55359999999999998</v>
      </c>
      <c r="H1433" s="15">
        <v>0.34970000000000001</v>
      </c>
      <c r="I1433" s="15">
        <v>3.4299999999999997E-2</v>
      </c>
      <c r="J1433" s="15">
        <v>11.887372013651881</v>
      </c>
    </row>
    <row r="1434" spans="1:10" x14ac:dyDescent="0.25">
      <c r="A1434" s="2" t="s">
        <v>4298</v>
      </c>
      <c r="B1434" s="2" t="s">
        <v>4299</v>
      </c>
      <c r="C1434" s="2" t="s">
        <v>4300</v>
      </c>
      <c r="D1434" s="2" t="s">
        <v>10044</v>
      </c>
      <c r="E1434" s="15">
        <v>-1.7600000000000001E-2</v>
      </c>
      <c r="F1434" s="15">
        <v>3.44E-2</v>
      </c>
      <c r="G1434" s="15">
        <v>0.60970000000000002</v>
      </c>
      <c r="H1434" s="15">
        <v>0.36659999999999998</v>
      </c>
      <c r="I1434" s="15">
        <v>3.6499999999999998E-2</v>
      </c>
      <c r="J1434" s="15">
        <v>11.56190476190476</v>
      </c>
    </row>
    <row r="1435" spans="1:10" x14ac:dyDescent="0.25">
      <c r="A1435" s="2" t="s">
        <v>4301</v>
      </c>
      <c r="B1435" s="2" t="s">
        <v>4302</v>
      </c>
      <c r="C1435" s="2" t="s">
        <v>4303</v>
      </c>
      <c r="D1435" s="2" t="s">
        <v>10044</v>
      </c>
      <c r="E1435" s="15">
        <v>-1.4E-3</v>
      </c>
      <c r="F1435" s="15">
        <v>4.19E-2</v>
      </c>
      <c r="G1435" s="15">
        <v>0.97360000000000002</v>
      </c>
      <c r="H1435" s="15">
        <v>0.2283</v>
      </c>
      <c r="I1435" s="15">
        <v>3.0700000000000002E-2</v>
      </c>
      <c r="J1435" s="15">
        <v>9.2071713147410357</v>
      </c>
    </row>
    <row r="1436" spans="1:10" x14ac:dyDescent="0.25">
      <c r="A1436" s="2" t="s">
        <v>4304</v>
      </c>
      <c r="B1436" s="2" t="s">
        <v>4305</v>
      </c>
      <c r="C1436" s="2" t="s">
        <v>4306</v>
      </c>
      <c r="D1436" s="2" t="s">
        <v>10044</v>
      </c>
      <c r="E1436" s="15">
        <v>-1.66E-2</v>
      </c>
      <c r="F1436" s="15">
        <v>4.2599999999999999E-2</v>
      </c>
      <c r="G1436" s="15">
        <v>0.69650000000000001</v>
      </c>
      <c r="H1436" s="15">
        <v>0.1933</v>
      </c>
      <c r="I1436" s="15">
        <v>2.4799999999999999E-2</v>
      </c>
      <c r="J1436" s="15">
        <v>9.163636363636364</v>
      </c>
    </row>
    <row r="1437" spans="1:10" x14ac:dyDescent="0.25">
      <c r="A1437" s="2" t="s">
        <v>4307</v>
      </c>
      <c r="B1437" s="2" t="s">
        <v>4308</v>
      </c>
      <c r="C1437" s="2" t="s">
        <v>4309</v>
      </c>
      <c r="D1437" s="2" t="s">
        <v>10044</v>
      </c>
      <c r="E1437" s="15">
        <v>7.4999999999999997E-3</v>
      </c>
      <c r="F1437" s="15">
        <v>4.1700000000000001E-2</v>
      </c>
      <c r="G1437" s="15">
        <v>0.8569</v>
      </c>
      <c r="H1437" s="15">
        <v>0.23680000000000001</v>
      </c>
      <c r="I1437" s="15">
        <v>2.98E-2</v>
      </c>
      <c r="J1437" s="15">
        <v>8.944852941176471</v>
      </c>
    </row>
    <row r="1438" spans="1:10" x14ac:dyDescent="0.25">
      <c r="A1438" s="2" t="s">
        <v>4310</v>
      </c>
      <c r="B1438" s="2" t="s">
        <v>4311</v>
      </c>
      <c r="C1438" s="2" t="s">
        <v>4312</v>
      </c>
      <c r="D1438" s="2" t="s">
        <v>10044</v>
      </c>
      <c r="E1438" s="15">
        <v>-5.4000000000000003E-3</v>
      </c>
      <c r="F1438" s="15">
        <v>3.7499999999999999E-2</v>
      </c>
      <c r="G1438" s="15">
        <v>0.88580000000000003</v>
      </c>
      <c r="H1438" s="15">
        <v>0.27360000000000001</v>
      </c>
      <c r="I1438" s="15">
        <v>3.7400000000000003E-2</v>
      </c>
      <c r="J1438" s="15">
        <v>9.4965753424657535</v>
      </c>
    </row>
    <row r="1439" spans="1:10" x14ac:dyDescent="0.25">
      <c r="A1439" s="2" t="s">
        <v>4313</v>
      </c>
      <c r="B1439" s="2" t="s">
        <v>4314</v>
      </c>
      <c r="C1439" s="2" t="s">
        <v>4315</v>
      </c>
      <c r="D1439" s="2" t="s">
        <v>10045</v>
      </c>
      <c r="E1439" s="15">
        <v>1.1900000000000001E-2</v>
      </c>
      <c r="F1439" s="15">
        <v>4.1500000000000002E-2</v>
      </c>
      <c r="G1439" s="15">
        <v>0.77510000000000001</v>
      </c>
      <c r="H1439" s="15">
        <v>0.253</v>
      </c>
      <c r="I1439" s="15">
        <v>3.3799999999999997E-2</v>
      </c>
      <c r="J1439" s="15">
        <v>8.2165605095541405</v>
      </c>
    </row>
    <row r="1440" spans="1:10" x14ac:dyDescent="0.25">
      <c r="A1440" s="2" t="s">
        <v>4316</v>
      </c>
      <c r="B1440" s="2" t="s">
        <v>4317</v>
      </c>
      <c r="C1440" s="2" t="s">
        <v>4318</v>
      </c>
      <c r="D1440" s="2" t="s">
        <v>10046</v>
      </c>
      <c r="E1440" s="15">
        <v>5.0200000000000002E-2</v>
      </c>
      <c r="F1440" s="15">
        <v>5.9700000000000003E-2</v>
      </c>
      <c r="G1440" s="15">
        <v>0.40029999999999999</v>
      </c>
      <c r="H1440" s="15">
        <v>9.0399999999999994E-2</v>
      </c>
      <c r="I1440" s="15">
        <v>2.2100000000000002E-2</v>
      </c>
      <c r="J1440" s="15">
        <v>4.2579185520361991</v>
      </c>
    </row>
    <row r="1441" spans="1:10" x14ac:dyDescent="0.25">
      <c r="A1441" s="2" t="s">
        <v>4319</v>
      </c>
      <c r="B1441" s="2" t="s">
        <v>4320</v>
      </c>
      <c r="C1441" s="2" t="s">
        <v>4321</v>
      </c>
      <c r="D1441" s="2" t="s">
        <v>10046</v>
      </c>
      <c r="E1441" s="15">
        <v>3.7900000000000003E-2</v>
      </c>
      <c r="F1441" s="15">
        <v>4.6600000000000003E-2</v>
      </c>
      <c r="G1441" s="15">
        <v>0.41639999999999999</v>
      </c>
      <c r="H1441" s="15">
        <v>0.13420000000000001</v>
      </c>
      <c r="I1441" s="15">
        <v>2.76E-2</v>
      </c>
      <c r="J1441" s="15">
        <v>5.4264150943396237</v>
      </c>
    </row>
    <row r="1442" spans="1:10" x14ac:dyDescent="0.25">
      <c r="A1442" s="2" t="s">
        <v>4322</v>
      </c>
      <c r="B1442" s="2" t="s">
        <v>4323</v>
      </c>
      <c r="C1442" s="2" t="s">
        <v>4324</v>
      </c>
      <c r="D1442" s="2" t="s">
        <v>10046</v>
      </c>
      <c r="E1442" s="15">
        <v>9.2999999999999999E-2</v>
      </c>
      <c r="F1442" s="15">
        <v>4.2799999999999998E-2</v>
      </c>
      <c r="G1442" s="15">
        <v>2.98E-2</v>
      </c>
      <c r="H1442" s="15">
        <v>0.17929999999999999</v>
      </c>
      <c r="I1442" s="15">
        <v>2.7199999999999998E-2</v>
      </c>
      <c r="J1442" s="15">
        <v>6.572847682119205</v>
      </c>
    </row>
    <row r="1443" spans="1:10" x14ac:dyDescent="0.25">
      <c r="A1443" s="2" t="s">
        <v>4325</v>
      </c>
      <c r="B1443" s="2" t="s">
        <v>4326</v>
      </c>
      <c r="C1443" s="2" t="s">
        <v>4327</v>
      </c>
      <c r="D1443" s="2" t="s">
        <v>10046</v>
      </c>
      <c r="E1443" s="15">
        <v>8.2699999999999996E-2</v>
      </c>
      <c r="F1443" s="15">
        <v>4.58E-2</v>
      </c>
      <c r="G1443" s="15">
        <v>7.0900000000000005E-2</v>
      </c>
      <c r="H1443" s="15">
        <v>0.1852</v>
      </c>
      <c r="I1443" s="15">
        <v>2.76E-2</v>
      </c>
      <c r="J1443" s="15">
        <v>6.639871382636656</v>
      </c>
    </row>
    <row r="1444" spans="1:10" x14ac:dyDescent="0.25">
      <c r="A1444" s="2" t="s">
        <v>4328</v>
      </c>
      <c r="B1444" s="2" t="s">
        <v>4329</v>
      </c>
      <c r="C1444" s="2" t="s">
        <v>4330</v>
      </c>
      <c r="D1444" s="2" t="s">
        <v>10046</v>
      </c>
      <c r="E1444" s="15">
        <v>6.9000000000000006E-2</v>
      </c>
      <c r="F1444" s="15">
        <v>3.9800000000000002E-2</v>
      </c>
      <c r="G1444" s="15">
        <v>8.2699999999999996E-2</v>
      </c>
      <c r="H1444" s="15">
        <v>0.28670000000000001</v>
      </c>
      <c r="I1444" s="15">
        <v>4.0500000000000001E-2</v>
      </c>
      <c r="J1444" s="15">
        <v>8.6068376068376065</v>
      </c>
    </row>
    <row r="1445" spans="1:10" x14ac:dyDescent="0.25">
      <c r="A1445" s="2" t="s">
        <v>4331</v>
      </c>
      <c r="B1445" s="2" t="s">
        <v>4332</v>
      </c>
      <c r="C1445" s="2" t="s">
        <v>4333</v>
      </c>
      <c r="D1445" s="2" t="s">
        <v>10046</v>
      </c>
      <c r="E1445" s="15">
        <v>7.0300000000000001E-2</v>
      </c>
      <c r="F1445" s="15">
        <v>4.0800000000000003E-2</v>
      </c>
      <c r="G1445" s="15">
        <v>8.4599999999999995E-2</v>
      </c>
      <c r="H1445" s="15">
        <v>0.2838</v>
      </c>
      <c r="I1445" s="15">
        <v>3.9199999999999999E-2</v>
      </c>
      <c r="J1445" s="15">
        <v>8.9647058823529413</v>
      </c>
    </row>
    <row r="1446" spans="1:10" x14ac:dyDescent="0.25">
      <c r="A1446" s="2" t="s">
        <v>4334</v>
      </c>
      <c r="B1446" s="2" t="s">
        <v>4335</v>
      </c>
      <c r="C1446" s="2" t="s">
        <v>4336</v>
      </c>
      <c r="D1446" s="2" t="s">
        <v>10046</v>
      </c>
      <c r="E1446" s="15">
        <v>5.2900000000000003E-2</v>
      </c>
      <c r="F1446" s="15">
        <v>3.8699999999999998E-2</v>
      </c>
      <c r="G1446" s="15">
        <v>0.1716</v>
      </c>
      <c r="H1446" s="15">
        <v>0.2311</v>
      </c>
      <c r="I1446" s="15">
        <v>2.8299999999999999E-2</v>
      </c>
      <c r="J1446" s="15">
        <v>7.9970760233918128</v>
      </c>
    </row>
    <row r="1447" spans="1:10" x14ac:dyDescent="0.25">
      <c r="A1447" s="2" t="s">
        <v>4337</v>
      </c>
      <c r="B1447" s="2" t="s">
        <v>4338</v>
      </c>
      <c r="C1447" s="2" t="s">
        <v>4339</v>
      </c>
      <c r="D1447" s="2" t="s">
        <v>10046</v>
      </c>
      <c r="E1447" s="15">
        <v>2.7900000000000001E-2</v>
      </c>
      <c r="F1447" s="15">
        <v>3.8699999999999998E-2</v>
      </c>
      <c r="G1447" s="15">
        <v>0.4713</v>
      </c>
      <c r="H1447" s="15">
        <v>0.23150000000000001</v>
      </c>
      <c r="I1447" s="15">
        <v>3.1800000000000002E-2</v>
      </c>
      <c r="J1447" s="15">
        <v>7.4722222222222232</v>
      </c>
    </row>
    <row r="1448" spans="1:10" x14ac:dyDescent="0.25">
      <c r="A1448" s="2" t="s">
        <v>4340</v>
      </c>
      <c r="B1448" s="2" t="s">
        <v>4341</v>
      </c>
      <c r="C1448" s="2" t="s">
        <v>4342</v>
      </c>
      <c r="D1448" s="2" t="s">
        <v>10046</v>
      </c>
      <c r="E1448" s="15">
        <v>-6.0400000000000002E-2</v>
      </c>
      <c r="F1448" s="15">
        <v>5.8099999999999999E-2</v>
      </c>
      <c r="G1448" s="15">
        <v>0.29920000000000002</v>
      </c>
      <c r="H1448" s="15">
        <v>0.1023</v>
      </c>
      <c r="I1448" s="15">
        <v>1.49E-2</v>
      </c>
      <c r="J1448" s="15">
        <v>7.5324675324675328</v>
      </c>
    </row>
    <row r="1449" spans="1:10" x14ac:dyDescent="0.25">
      <c r="A1449" s="2" t="s">
        <v>4343</v>
      </c>
      <c r="B1449" s="2" t="s">
        <v>4344</v>
      </c>
      <c r="C1449" s="2" t="s">
        <v>4345</v>
      </c>
      <c r="D1449" s="2" t="s">
        <v>10046</v>
      </c>
      <c r="E1449" s="15">
        <v>-3.2500000000000001E-2</v>
      </c>
      <c r="F1449" s="15">
        <v>5.9900000000000002E-2</v>
      </c>
      <c r="G1449" s="15">
        <v>0.58760000000000001</v>
      </c>
      <c r="H1449" s="15">
        <v>0.09</v>
      </c>
      <c r="I1449" s="15">
        <v>1.52E-2</v>
      </c>
      <c r="J1449" s="15">
        <v>6.0496894409937889</v>
      </c>
    </row>
    <row r="1450" spans="1:10" x14ac:dyDescent="0.25">
      <c r="A1450" s="2" t="s">
        <v>4346</v>
      </c>
      <c r="B1450" s="2" t="s">
        <v>4347</v>
      </c>
      <c r="C1450" s="2" t="s">
        <v>4348</v>
      </c>
      <c r="D1450" s="2" t="s">
        <v>10046</v>
      </c>
      <c r="E1450" s="15">
        <v>-7.9299999999999995E-2</v>
      </c>
      <c r="F1450" s="15">
        <v>6.6799999999999998E-2</v>
      </c>
      <c r="G1450" s="15">
        <v>0.23480000000000001</v>
      </c>
      <c r="H1450" s="15">
        <v>7.6700000000000004E-2</v>
      </c>
      <c r="I1450" s="15">
        <v>1.5599999999999999E-2</v>
      </c>
      <c r="J1450" s="15">
        <v>5.1595092024539877</v>
      </c>
    </row>
    <row r="1451" spans="1:10" x14ac:dyDescent="0.25">
      <c r="A1451" s="2" t="s">
        <v>4349</v>
      </c>
      <c r="B1451" s="2" t="s">
        <v>4350</v>
      </c>
      <c r="C1451" s="2" t="s">
        <v>4351</v>
      </c>
      <c r="D1451" s="2" t="s">
        <v>10046</v>
      </c>
      <c r="E1451" s="15">
        <v>-4.7699999999999999E-2</v>
      </c>
      <c r="F1451" s="15">
        <v>7.22E-2</v>
      </c>
      <c r="G1451" s="15">
        <v>0.50870000000000004</v>
      </c>
      <c r="H1451" s="15">
        <v>6.5100000000000005E-2</v>
      </c>
      <c r="I1451" s="15">
        <v>1.49E-2</v>
      </c>
      <c r="J1451" s="15">
        <v>4.383116883116883</v>
      </c>
    </row>
    <row r="1452" spans="1:10" x14ac:dyDescent="0.25">
      <c r="A1452" s="2" t="s">
        <v>4352</v>
      </c>
      <c r="B1452" s="2" t="s">
        <v>4353</v>
      </c>
      <c r="C1452" s="2" t="s">
        <v>4354</v>
      </c>
      <c r="D1452" s="2" t="s">
        <v>10046</v>
      </c>
      <c r="E1452" s="15">
        <v>-1.34E-2</v>
      </c>
      <c r="F1452" s="15">
        <v>4.9799999999999997E-2</v>
      </c>
      <c r="G1452" s="15">
        <v>0.78839999999999999</v>
      </c>
      <c r="H1452" s="15">
        <v>0.12720000000000001</v>
      </c>
      <c r="I1452" s="15">
        <v>1.9E-2</v>
      </c>
      <c r="J1452" s="15">
        <v>7.1236559139784958</v>
      </c>
    </row>
    <row r="1453" spans="1:10" x14ac:dyDescent="0.25">
      <c r="A1453" s="2" t="s">
        <v>4355</v>
      </c>
      <c r="B1453" s="2" t="s">
        <v>4356</v>
      </c>
      <c r="C1453" s="2" t="s">
        <v>4357</v>
      </c>
      <c r="D1453" s="2" t="s">
        <v>10046</v>
      </c>
      <c r="E1453" s="15">
        <v>-4.3200000000000002E-2</v>
      </c>
      <c r="F1453" s="15">
        <v>5.4300000000000001E-2</v>
      </c>
      <c r="G1453" s="15">
        <v>0.42699999999999999</v>
      </c>
      <c r="H1453" s="15">
        <v>0.1028</v>
      </c>
      <c r="I1453" s="15">
        <v>1.83E-2</v>
      </c>
      <c r="J1453" s="15">
        <v>5.64021164021164</v>
      </c>
    </row>
    <row r="1454" spans="1:10" x14ac:dyDescent="0.25">
      <c r="A1454" s="2" t="s">
        <v>4358</v>
      </c>
      <c r="B1454" s="2" t="s">
        <v>4359</v>
      </c>
      <c r="C1454" s="2" t="s">
        <v>4360</v>
      </c>
      <c r="D1454" s="2" t="s">
        <v>10047</v>
      </c>
      <c r="E1454" s="15">
        <v>2.5100000000000001E-2</v>
      </c>
      <c r="F1454" s="15">
        <v>4.0899999999999999E-2</v>
      </c>
      <c r="G1454" s="15">
        <v>0.54</v>
      </c>
      <c r="H1454" s="15">
        <v>0.2392</v>
      </c>
      <c r="I1454" s="15">
        <v>2.3300000000000001E-2</v>
      </c>
      <c r="J1454" s="15">
        <v>10.67982456140351</v>
      </c>
    </row>
    <row r="1455" spans="1:10" x14ac:dyDescent="0.25">
      <c r="A1455" s="2" t="s">
        <v>4361</v>
      </c>
      <c r="B1455" s="2" t="s">
        <v>4362</v>
      </c>
      <c r="C1455" s="2" t="s">
        <v>4363</v>
      </c>
      <c r="D1455" s="2" t="s">
        <v>10047</v>
      </c>
      <c r="E1455" s="15">
        <v>-1.01E-2</v>
      </c>
      <c r="F1455" s="15">
        <v>4.3700000000000003E-2</v>
      </c>
      <c r="G1455" s="15">
        <v>0.81659999999999999</v>
      </c>
      <c r="H1455" s="15">
        <v>0.1696</v>
      </c>
      <c r="I1455" s="15">
        <v>2.2599999999999999E-2</v>
      </c>
      <c r="J1455" s="15">
        <v>7.9272727272727277</v>
      </c>
    </row>
    <row r="1456" spans="1:10" x14ac:dyDescent="0.25">
      <c r="A1456" s="2" t="s">
        <v>4364</v>
      </c>
      <c r="B1456" s="2" t="s">
        <v>4365</v>
      </c>
      <c r="C1456" s="2" t="s">
        <v>4366</v>
      </c>
      <c r="D1456" s="2" t="s">
        <v>10047</v>
      </c>
      <c r="E1456" s="15">
        <v>-2.41E-2</v>
      </c>
      <c r="F1456" s="15">
        <v>3.7199999999999997E-2</v>
      </c>
      <c r="G1456" s="15">
        <v>0.51649999999999996</v>
      </c>
      <c r="H1456" s="15">
        <v>0.32029999999999997</v>
      </c>
      <c r="I1456" s="15">
        <v>2.87E-2</v>
      </c>
      <c r="J1456" s="15">
        <v>12.60079051383399</v>
      </c>
    </row>
    <row r="1457" spans="1:10" x14ac:dyDescent="0.25">
      <c r="A1457" s="2" t="s">
        <v>4367</v>
      </c>
      <c r="B1457" s="2" t="s">
        <v>4368</v>
      </c>
      <c r="C1457" s="2" t="s">
        <v>4369</v>
      </c>
      <c r="D1457" s="2" t="s">
        <v>10047</v>
      </c>
      <c r="E1457" s="15">
        <v>-4.02E-2</v>
      </c>
      <c r="F1457" s="15">
        <v>3.6400000000000002E-2</v>
      </c>
      <c r="G1457" s="15">
        <v>0.2702</v>
      </c>
      <c r="H1457" s="15">
        <v>0.29360000000000003</v>
      </c>
      <c r="I1457" s="15">
        <v>2.81E-2</v>
      </c>
      <c r="J1457" s="15">
        <v>11.33458646616541</v>
      </c>
    </row>
    <row r="1458" spans="1:10" x14ac:dyDescent="0.25">
      <c r="A1458" s="2" t="s">
        <v>4370</v>
      </c>
      <c r="B1458" s="2" t="s">
        <v>4371</v>
      </c>
      <c r="C1458" s="2" t="s">
        <v>4372</v>
      </c>
      <c r="D1458" s="2" t="s">
        <v>10047</v>
      </c>
      <c r="E1458" s="15">
        <v>0.03</v>
      </c>
      <c r="F1458" s="15">
        <v>4.3299999999999998E-2</v>
      </c>
      <c r="G1458" s="15">
        <v>0.48799999999999999</v>
      </c>
      <c r="H1458" s="15">
        <v>0.23250000000000001</v>
      </c>
      <c r="I1458" s="15">
        <v>3.04E-2</v>
      </c>
      <c r="J1458" s="15">
        <v>9.4375</v>
      </c>
    </row>
    <row r="1459" spans="1:10" x14ac:dyDescent="0.25">
      <c r="A1459" s="2" t="s">
        <v>4373</v>
      </c>
      <c r="B1459" s="2" t="s">
        <v>4374</v>
      </c>
      <c r="C1459" s="2" t="s">
        <v>4375</v>
      </c>
      <c r="D1459" s="2" t="s">
        <v>10047</v>
      </c>
      <c r="E1459" s="15">
        <v>-9.5799999999999996E-2</v>
      </c>
      <c r="F1459" s="15">
        <v>4.7800000000000002E-2</v>
      </c>
      <c r="G1459" s="15">
        <v>4.5100000000000001E-2</v>
      </c>
      <c r="H1459" s="15">
        <v>0.18740000000000001</v>
      </c>
      <c r="I1459" s="15">
        <v>2.2599999999999999E-2</v>
      </c>
      <c r="J1459" s="15">
        <v>9.395348837209303</v>
      </c>
    </row>
    <row r="1460" spans="1:10" x14ac:dyDescent="0.25">
      <c r="A1460" s="2" t="s">
        <v>4376</v>
      </c>
      <c r="B1460" s="2" t="s">
        <v>4377</v>
      </c>
      <c r="C1460" s="2" t="s">
        <v>4378</v>
      </c>
      <c r="D1460" s="2" t="s">
        <v>10047</v>
      </c>
      <c r="E1460" s="15">
        <v>-1.95E-2</v>
      </c>
      <c r="F1460" s="15">
        <v>4.4200000000000003E-2</v>
      </c>
      <c r="G1460" s="15">
        <v>0.65939999999999999</v>
      </c>
      <c r="H1460" s="15">
        <v>0.1656</v>
      </c>
      <c r="I1460" s="15">
        <v>2.1999999999999999E-2</v>
      </c>
      <c r="J1460" s="15">
        <v>8.6086956521739122</v>
      </c>
    </row>
    <row r="1461" spans="1:10" x14ac:dyDescent="0.25">
      <c r="A1461" s="2" t="s">
        <v>4379</v>
      </c>
      <c r="B1461" s="2" t="s">
        <v>4380</v>
      </c>
      <c r="C1461" s="2" t="s">
        <v>4381</v>
      </c>
      <c r="D1461" s="2" t="s">
        <v>10047</v>
      </c>
      <c r="E1461" s="15">
        <v>4.0500000000000001E-2</v>
      </c>
      <c r="F1461" s="15">
        <v>4.2200000000000001E-2</v>
      </c>
      <c r="G1461" s="15">
        <v>0.33729999999999999</v>
      </c>
      <c r="H1461" s="15">
        <v>0.16289999999999999</v>
      </c>
      <c r="I1461" s="15">
        <v>2.0199999999999999E-2</v>
      </c>
      <c r="J1461" s="15">
        <v>8.6237113402061851</v>
      </c>
    </row>
    <row r="1462" spans="1:10" x14ac:dyDescent="0.25">
      <c r="A1462" s="2" t="s">
        <v>4382</v>
      </c>
      <c r="B1462" s="2" t="s">
        <v>4383</v>
      </c>
      <c r="C1462" s="2" t="s">
        <v>4384</v>
      </c>
      <c r="D1462" s="2" t="s">
        <v>10047</v>
      </c>
      <c r="E1462" s="15">
        <v>2.9000000000000001E-2</v>
      </c>
      <c r="F1462" s="15">
        <v>4.24E-2</v>
      </c>
      <c r="G1462" s="15">
        <v>0.4945</v>
      </c>
      <c r="H1462" s="15">
        <v>0.20760000000000001</v>
      </c>
      <c r="I1462" s="15">
        <v>1.9099999999999999E-2</v>
      </c>
      <c r="J1462" s="15">
        <v>10.917525773195869</v>
      </c>
    </row>
    <row r="1463" spans="1:10" x14ac:dyDescent="0.25">
      <c r="A1463" s="2" t="s">
        <v>4385</v>
      </c>
      <c r="B1463" s="2" t="s">
        <v>4386</v>
      </c>
      <c r="C1463" s="2" t="s">
        <v>4387</v>
      </c>
      <c r="D1463" s="2" t="s">
        <v>10047</v>
      </c>
      <c r="E1463" s="15">
        <v>5.1999999999999998E-2</v>
      </c>
      <c r="F1463" s="15">
        <v>4.4400000000000002E-2</v>
      </c>
      <c r="G1463" s="15">
        <v>0.2409</v>
      </c>
      <c r="H1463" s="15">
        <v>0.1966</v>
      </c>
      <c r="I1463" s="15">
        <v>1.9400000000000001E-2</v>
      </c>
      <c r="J1463" s="15">
        <v>10.47422680412371</v>
      </c>
    </row>
    <row r="1464" spans="1:10" x14ac:dyDescent="0.25">
      <c r="A1464" s="2" t="s">
        <v>4388</v>
      </c>
      <c r="B1464" s="2" t="s">
        <v>4389</v>
      </c>
      <c r="C1464" s="2" t="s">
        <v>4390</v>
      </c>
      <c r="D1464" s="2" t="s">
        <v>10047</v>
      </c>
      <c r="E1464" s="15">
        <v>-3.9E-2</v>
      </c>
      <c r="F1464" s="15">
        <v>4.0099999999999997E-2</v>
      </c>
      <c r="G1464" s="15">
        <v>0.33090000000000003</v>
      </c>
      <c r="H1464" s="15">
        <v>0.25040000000000001</v>
      </c>
      <c r="I1464" s="15">
        <v>2.2800000000000001E-2</v>
      </c>
      <c r="J1464" s="15">
        <v>11.57017543859649</v>
      </c>
    </row>
    <row r="1465" spans="1:10" x14ac:dyDescent="0.25">
      <c r="A1465" s="2" t="s">
        <v>4391</v>
      </c>
      <c r="B1465" s="2" t="s">
        <v>4392</v>
      </c>
      <c r="C1465" s="2" t="s">
        <v>4393</v>
      </c>
      <c r="D1465" s="2" t="s">
        <v>10047</v>
      </c>
      <c r="E1465" s="15">
        <v>-2.4799999999999999E-2</v>
      </c>
      <c r="F1465" s="15">
        <v>4.19E-2</v>
      </c>
      <c r="G1465" s="15">
        <v>0.55500000000000005</v>
      </c>
      <c r="H1465" s="15">
        <v>0.21529999999999999</v>
      </c>
      <c r="I1465" s="15">
        <v>2.0899999999999998E-2</v>
      </c>
      <c r="J1465" s="15">
        <v>11.572864321608041</v>
      </c>
    </row>
    <row r="1466" spans="1:10" x14ac:dyDescent="0.25">
      <c r="A1466" s="2" t="s">
        <v>4394</v>
      </c>
      <c r="B1466" s="2" t="s">
        <v>4395</v>
      </c>
      <c r="C1466" s="2" t="s">
        <v>4396</v>
      </c>
      <c r="D1466" s="2" t="s">
        <v>10047</v>
      </c>
      <c r="E1466" s="15">
        <v>5.1499999999999997E-2</v>
      </c>
      <c r="F1466" s="15">
        <v>3.1899999999999998E-2</v>
      </c>
      <c r="G1466" s="15">
        <v>0.1065</v>
      </c>
      <c r="H1466" s="15">
        <v>0.30199999999999999</v>
      </c>
      <c r="I1466" s="15">
        <v>2.2499999999999999E-2</v>
      </c>
      <c r="J1466" s="15">
        <v>13.24463519313305</v>
      </c>
    </row>
    <row r="1467" spans="1:10" x14ac:dyDescent="0.25">
      <c r="A1467" s="2" t="s">
        <v>4397</v>
      </c>
      <c r="B1467" s="2" t="s">
        <v>4398</v>
      </c>
      <c r="C1467" s="2" t="s">
        <v>4399</v>
      </c>
      <c r="D1467" s="2" t="s">
        <v>10047</v>
      </c>
      <c r="E1467" s="15">
        <v>5.5199999999999999E-2</v>
      </c>
      <c r="F1467" s="15">
        <v>3.3700000000000001E-2</v>
      </c>
      <c r="G1467" s="15">
        <v>0.1016</v>
      </c>
      <c r="H1467" s="15">
        <v>0.29160000000000003</v>
      </c>
      <c r="I1467" s="15">
        <v>2.1999999999999999E-2</v>
      </c>
      <c r="J1467" s="15">
        <v>13.309734513274339</v>
      </c>
    </row>
    <row r="1468" spans="1:10" x14ac:dyDescent="0.25">
      <c r="A1468" s="2" t="s">
        <v>4400</v>
      </c>
      <c r="B1468" s="2" t="s">
        <v>4401</v>
      </c>
      <c r="C1468" s="2" t="s">
        <v>4402</v>
      </c>
      <c r="D1468" s="2" t="s">
        <v>10047</v>
      </c>
      <c r="E1468" s="15">
        <v>7.3000000000000001E-3</v>
      </c>
      <c r="F1468" s="15">
        <v>3.49E-2</v>
      </c>
      <c r="G1468" s="15">
        <v>0.83550000000000002</v>
      </c>
      <c r="H1468" s="15">
        <v>0.24690000000000001</v>
      </c>
      <c r="I1468" s="15">
        <v>1.9199999999999998E-2</v>
      </c>
      <c r="J1468" s="15">
        <v>14.17741935483871</v>
      </c>
    </row>
    <row r="1469" spans="1:10" x14ac:dyDescent="0.25">
      <c r="A1469" s="2" t="s">
        <v>4403</v>
      </c>
      <c r="B1469" s="2" t="s">
        <v>4404</v>
      </c>
      <c r="C1469" s="2" t="s">
        <v>4405</v>
      </c>
      <c r="D1469" s="2" t="s">
        <v>10047</v>
      </c>
      <c r="E1469" s="15">
        <v>1.83E-2</v>
      </c>
      <c r="F1469" s="15">
        <v>3.5700000000000003E-2</v>
      </c>
      <c r="G1469" s="15">
        <v>0.60809999999999997</v>
      </c>
      <c r="H1469" s="15">
        <v>0.23960000000000001</v>
      </c>
      <c r="I1469" s="15">
        <v>1.9599999999999999E-2</v>
      </c>
      <c r="J1469" s="15">
        <v>12.525252525252521</v>
      </c>
    </row>
    <row r="1470" spans="1:10" x14ac:dyDescent="0.25">
      <c r="A1470" s="2" t="s">
        <v>4406</v>
      </c>
      <c r="B1470" s="2" t="s">
        <v>4407</v>
      </c>
      <c r="C1470" s="2" t="s">
        <v>4408</v>
      </c>
      <c r="D1470" s="2" t="s">
        <v>10047</v>
      </c>
      <c r="E1470" s="15">
        <v>6.2300000000000001E-2</v>
      </c>
      <c r="F1470" s="15">
        <v>3.7199999999999997E-2</v>
      </c>
      <c r="G1470" s="15">
        <v>9.4600000000000004E-2</v>
      </c>
      <c r="H1470" s="15">
        <v>0.27879999999999999</v>
      </c>
      <c r="I1470" s="15">
        <v>2.23E-2</v>
      </c>
      <c r="J1470" s="15">
        <v>12.53275109170306</v>
      </c>
    </row>
    <row r="1471" spans="1:10" x14ac:dyDescent="0.25">
      <c r="A1471" s="2" t="s">
        <v>4409</v>
      </c>
      <c r="B1471" s="2" t="s">
        <v>4410</v>
      </c>
      <c r="C1471" s="2" t="s">
        <v>4411</v>
      </c>
      <c r="D1471" s="2" t="s">
        <v>10047</v>
      </c>
      <c r="E1471" s="15">
        <v>6.2399999999999997E-2</v>
      </c>
      <c r="F1471" s="15">
        <v>3.9199999999999999E-2</v>
      </c>
      <c r="G1471" s="15">
        <v>0.11119999999999999</v>
      </c>
      <c r="H1471" s="15">
        <v>0.25119999999999998</v>
      </c>
      <c r="I1471" s="15">
        <v>2.46E-2</v>
      </c>
      <c r="J1471" s="15">
        <v>11.412017167381981</v>
      </c>
    </row>
    <row r="1472" spans="1:10" x14ac:dyDescent="0.25">
      <c r="A1472" s="2" t="s">
        <v>4412</v>
      </c>
      <c r="B1472" s="2" t="s">
        <v>4413</v>
      </c>
      <c r="C1472" s="2" t="s">
        <v>4414</v>
      </c>
      <c r="D1472" s="2" t="s">
        <v>10047</v>
      </c>
      <c r="E1472" s="15">
        <v>8.5900000000000004E-2</v>
      </c>
      <c r="F1472" s="15">
        <v>3.5999999999999997E-2</v>
      </c>
      <c r="G1472" s="15">
        <v>1.72E-2</v>
      </c>
      <c r="H1472" s="15">
        <v>0.27110000000000001</v>
      </c>
      <c r="I1472" s="15">
        <v>2.4E-2</v>
      </c>
      <c r="J1472" s="15">
        <v>12.20600858369099</v>
      </c>
    </row>
    <row r="1473" spans="1:10" x14ac:dyDescent="0.25">
      <c r="A1473" s="2" t="s">
        <v>4415</v>
      </c>
      <c r="B1473" s="2" t="s">
        <v>4416</v>
      </c>
      <c r="C1473" s="2" t="s">
        <v>4417</v>
      </c>
      <c r="D1473" s="2" t="s">
        <v>10047</v>
      </c>
      <c r="E1473" s="15">
        <v>7.3400000000000007E-2</v>
      </c>
      <c r="F1473" s="15">
        <v>3.3700000000000001E-2</v>
      </c>
      <c r="G1473" s="15">
        <v>2.9399999999999999E-2</v>
      </c>
      <c r="H1473" s="15">
        <v>0.27389999999999998</v>
      </c>
      <c r="I1473" s="15">
        <v>2.5600000000000001E-2</v>
      </c>
      <c r="J1473" s="15">
        <v>11.84210526315789</v>
      </c>
    </row>
    <row r="1474" spans="1:10" x14ac:dyDescent="0.25">
      <c r="A1474" s="2" t="s">
        <v>4418</v>
      </c>
      <c r="B1474" s="2" t="s">
        <v>4419</v>
      </c>
      <c r="C1474" s="2" t="s">
        <v>4420</v>
      </c>
      <c r="D1474" s="2" t="s">
        <v>10047</v>
      </c>
      <c r="E1474" s="15">
        <v>8.2199999999999995E-2</v>
      </c>
      <c r="F1474" s="15">
        <v>3.6400000000000002E-2</v>
      </c>
      <c r="G1474" s="15">
        <v>2.3800000000000002E-2</v>
      </c>
      <c r="H1474" s="15">
        <v>0.24540000000000001</v>
      </c>
      <c r="I1474" s="15">
        <v>2.52E-2</v>
      </c>
      <c r="J1474" s="15">
        <v>11.2695652173913</v>
      </c>
    </row>
    <row r="1475" spans="1:10" x14ac:dyDescent="0.25">
      <c r="A1475" s="2" t="s">
        <v>4421</v>
      </c>
      <c r="B1475" s="2" t="s">
        <v>4422</v>
      </c>
      <c r="C1475" s="2" t="s">
        <v>4423</v>
      </c>
      <c r="D1475" s="2" t="s">
        <v>10047</v>
      </c>
      <c r="E1475" s="15">
        <v>7.7299999999999994E-2</v>
      </c>
      <c r="F1475" s="15">
        <v>4.1300000000000003E-2</v>
      </c>
      <c r="G1475" s="15">
        <v>6.1600000000000002E-2</v>
      </c>
      <c r="H1475" s="15">
        <v>0.22090000000000001</v>
      </c>
      <c r="I1475" s="15">
        <v>2.5499999999999998E-2</v>
      </c>
      <c r="J1475" s="15">
        <v>10.09787234042553</v>
      </c>
    </row>
    <row r="1476" spans="1:10" x14ac:dyDescent="0.25">
      <c r="A1476" s="2" t="s">
        <v>4424</v>
      </c>
      <c r="B1476" s="2" t="s">
        <v>4425</v>
      </c>
      <c r="C1476" s="2" t="s">
        <v>4426</v>
      </c>
      <c r="D1476" s="2" t="s">
        <v>10047</v>
      </c>
      <c r="E1476" s="15">
        <v>-8.9999999999999993E-3</v>
      </c>
      <c r="F1476" s="15">
        <v>3.49E-2</v>
      </c>
      <c r="G1476" s="15">
        <v>0.79590000000000005</v>
      </c>
      <c r="H1476" s="15">
        <v>0.32579999999999998</v>
      </c>
      <c r="I1476" s="15">
        <v>2.6200000000000001E-2</v>
      </c>
      <c r="J1476" s="15">
        <v>13.268000000000001</v>
      </c>
    </row>
    <row r="1477" spans="1:10" x14ac:dyDescent="0.25">
      <c r="A1477" s="2" t="s">
        <v>4427</v>
      </c>
      <c r="B1477" s="2" t="s">
        <v>4428</v>
      </c>
      <c r="C1477" s="2" t="s">
        <v>4429</v>
      </c>
      <c r="D1477" s="2" t="s">
        <v>10047</v>
      </c>
      <c r="E1477" s="15">
        <v>-4.2200000000000001E-2</v>
      </c>
      <c r="F1477" s="15">
        <v>3.6499999999999998E-2</v>
      </c>
      <c r="G1477" s="15">
        <v>0.24859999999999999</v>
      </c>
      <c r="H1477" s="15">
        <v>0.31640000000000001</v>
      </c>
      <c r="I1477" s="15">
        <v>2.6100000000000002E-2</v>
      </c>
      <c r="J1477" s="15">
        <v>13.22727272727273</v>
      </c>
    </row>
    <row r="1478" spans="1:10" x14ac:dyDescent="0.25">
      <c r="A1478" s="2" t="s">
        <v>4430</v>
      </c>
      <c r="B1478" s="2" t="s">
        <v>4431</v>
      </c>
      <c r="C1478" s="2" t="s">
        <v>4432</v>
      </c>
      <c r="D1478" s="2" t="s">
        <v>10047</v>
      </c>
      <c r="E1478" s="15">
        <v>9.3200000000000005E-2</v>
      </c>
      <c r="F1478" s="15">
        <v>3.9199999999999999E-2</v>
      </c>
      <c r="G1478" s="15">
        <v>1.7500000000000002E-2</v>
      </c>
      <c r="H1478" s="15">
        <v>0.26190000000000002</v>
      </c>
      <c r="I1478" s="15">
        <v>2.0500000000000001E-2</v>
      </c>
      <c r="J1478" s="15">
        <v>13.13615023474178</v>
      </c>
    </row>
    <row r="1479" spans="1:10" x14ac:dyDescent="0.25">
      <c r="A1479" s="2" t="s">
        <v>4433</v>
      </c>
      <c r="B1479" s="2" t="s">
        <v>4434</v>
      </c>
      <c r="C1479" s="2" t="s">
        <v>4435</v>
      </c>
      <c r="D1479" s="2" t="s">
        <v>10047</v>
      </c>
      <c r="E1479" s="15">
        <v>7.8600000000000003E-2</v>
      </c>
      <c r="F1479" s="15">
        <v>3.7600000000000001E-2</v>
      </c>
      <c r="G1479" s="15">
        <v>3.6700000000000003E-2</v>
      </c>
      <c r="H1479" s="15">
        <v>0.25669999999999998</v>
      </c>
      <c r="I1479" s="15">
        <v>2.2800000000000001E-2</v>
      </c>
      <c r="J1479" s="15">
        <v>12.15044247787611</v>
      </c>
    </row>
    <row r="1480" spans="1:10" x14ac:dyDescent="0.25">
      <c r="A1480" s="2" t="s">
        <v>4436</v>
      </c>
      <c r="B1480" s="2" t="s">
        <v>4437</v>
      </c>
      <c r="C1480" s="2" t="s">
        <v>4438</v>
      </c>
      <c r="D1480" s="2" t="s">
        <v>10047</v>
      </c>
      <c r="E1480" s="15">
        <v>3.5799999999999998E-2</v>
      </c>
      <c r="F1480" s="15">
        <v>3.9699999999999999E-2</v>
      </c>
      <c r="G1480" s="15">
        <v>0.36659999999999998</v>
      </c>
      <c r="H1480" s="15">
        <v>0.26769999999999999</v>
      </c>
      <c r="I1480" s="15">
        <v>2.47E-2</v>
      </c>
      <c r="J1480" s="15">
        <v>12.09401709401709</v>
      </c>
    </row>
    <row r="1481" spans="1:10" x14ac:dyDescent="0.25">
      <c r="A1481" s="2" t="s">
        <v>4439</v>
      </c>
      <c r="B1481" s="2" t="s">
        <v>4440</v>
      </c>
      <c r="C1481" s="2" t="s">
        <v>4441</v>
      </c>
      <c r="D1481" s="2" t="s">
        <v>10047</v>
      </c>
      <c r="E1481" s="15">
        <v>3.2599999999999997E-2</v>
      </c>
      <c r="F1481" s="15">
        <v>3.95E-2</v>
      </c>
      <c r="G1481" s="15">
        <v>0.41010000000000002</v>
      </c>
      <c r="H1481" s="15">
        <v>0.25929999999999997</v>
      </c>
      <c r="I1481" s="15">
        <v>2.4899999999999999E-2</v>
      </c>
      <c r="J1481" s="15">
        <v>11.347107438016531</v>
      </c>
    </row>
    <row r="1482" spans="1:10" x14ac:dyDescent="0.25">
      <c r="A1482" s="2" t="s">
        <v>4442</v>
      </c>
      <c r="B1482" s="2" t="s">
        <v>4443</v>
      </c>
      <c r="C1482" s="2" t="s">
        <v>4444</v>
      </c>
      <c r="D1482" s="2" t="s">
        <v>10047</v>
      </c>
      <c r="E1482" s="15">
        <v>-7.7000000000000002E-3</v>
      </c>
      <c r="F1482" s="15">
        <v>4.5900000000000003E-2</v>
      </c>
      <c r="G1482" s="15">
        <v>0.86599999999999999</v>
      </c>
      <c r="H1482" s="15">
        <v>0.2283</v>
      </c>
      <c r="I1482" s="15">
        <v>2.5100000000000001E-2</v>
      </c>
      <c r="J1482" s="15">
        <v>9.9749999999999996</v>
      </c>
    </row>
    <row r="1483" spans="1:10" x14ac:dyDescent="0.25">
      <c r="A1483" s="2" t="s">
        <v>4445</v>
      </c>
      <c r="B1483" s="2" t="s">
        <v>4446</v>
      </c>
      <c r="C1483" s="2" t="s">
        <v>4447</v>
      </c>
      <c r="D1483" s="2" t="s">
        <v>10047</v>
      </c>
      <c r="E1483" s="15">
        <v>2.7099999999999999E-2</v>
      </c>
      <c r="F1483" s="15">
        <v>4.7500000000000001E-2</v>
      </c>
      <c r="G1483" s="15">
        <v>0.56779999999999997</v>
      </c>
      <c r="H1483" s="15">
        <v>0.21929999999999999</v>
      </c>
      <c r="I1483" s="15">
        <v>2.53E-2</v>
      </c>
      <c r="J1483" s="15">
        <v>9.9593495934959346</v>
      </c>
    </row>
    <row r="1484" spans="1:10" x14ac:dyDescent="0.25">
      <c r="A1484" s="2" t="s">
        <v>4448</v>
      </c>
      <c r="B1484" s="2" t="s">
        <v>4449</v>
      </c>
      <c r="C1484" s="2" t="s">
        <v>4450</v>
      </c>
      <c r="D1484" s="2" t="s">
        <v>10047</v>
      </c>
      <c r="E1484" s="15">
        <v>4.2500000000000003E-2</v>
      </c>
      <c r="F1484" s="15">
        <v>4.0500000000000001E-2</v>
      </c>
      <c r="G1484" s="15">
        <v>0.29449999999999998</v>
      </c>
      <c r="H1484" s="15">
        <v>0.23169999999999999</v>
      </c>
      <c r="I1484" s="15">
        <v>2.53E-2</v>
      </c>
      <c r="J1484" s="15">
        <v>10.07171314741036</v>
      </c>
    </row>
    <row r="1485" spans="1:10" x14ac:dyDescent="0.25">
      <c r="A1485" s="2" t="s">
        <v>4451</v>
      </c>
      <c r="B1485" s="2" t="s">
        <v>4452</v>
      </c>
      <c r="C1485" s="2" t="s">
        <v>4453</v>
      </c>
      <c r="D1485" s="2" t="s">
        <v>10047</v>
      </c>
      <c r="E1485" s="15">
        <v>1.9099999999999999E-2</v>
      </c>
      <c r="F1485" s="15">
        <v>4.0899999999999999E-2</v>
      </c>
      <c r="G1485" s="15">
        <v>0.64080000000000004</v>
      </c>
      <c r="H1485" s="15">
        <v>0.22559999999999999</v>
      </c>
      <c r="I1485" s="15">
        <v>2.6200000000000001E-2</v>
      </c>
      <c r="J1485" s="15">
        <v>9.1460674157303359</v>
      </c>
    </row>
    <row r="1486" spans="1:10" x14ac:dyDescent="0.25">
      <c r="A1486" s="2" t="s">
        <v>4454</v>
      </c>
      <c r="B1486" s="2" t="s">
        <v>4455</v>
      </c>
      <c r="C1486" s="2" t="s">
        <v>4456</v>
      </c>
      <c r="D1486" s="2" t="s">
        <v>10047</v>
      </c>
      <c r="E1486" s="15">
        <v>3.5000000000000001E-3</v>
      </c>
      <c r="F1486" s="15">
        <v>4.1300000000000003E-2</v>
      </c>
      <c r="G1486" s="15">
        <v>0.93310000000000004</v>
      </c>
      <c r="H1486" s="15">
        <v>0.2707</v>
      </c>
      <c r="I1486" s="15">
        <v>2.6100000000000002E-2</v>
      </c>
      <c r="J1486" s="15">
        <v>11.2265625</v>
      </c>
    </row>
    <row r="1487" spans="1:10" x14ac:dyDescent="0.25">
      <c r="A1487" s="2" t="s">
        <v>4457</v>
      </c>
      <c r="B1487" s="2" t="s">
        <v>4458</v>
      </c>
      <c r="C1487" s="2" t="s">
        <v>4459</v>
      </c>
      <c r="D1487" s="2" t="s">
        <v>10047</v>
      </c>
      <c r="E1487" s="15">
        <v>2.3300000000000001E-2</v>
      </c>
      <c r="F1487" s="15">
        <v>4.3099999999999999E-2</v>
      </c>
      <c r="G1487" s="15">
        <v>0.58819999999999995</v>
      </c>
      <c r="H1487" s="15">
        <v>0.26790000000000003</v>
      </c>
      <c r="I1487" s="15">
        <v>2.58E-2</v>
      </c>
      <c r="J1487" s="15">
        <v>11.54838709677419</v>
      </c>
    </row>
    <row r="1488" spans="1:10" x14ac:dyDescent="0.25">
      <c r="A1488" s="2" t="s">
        <v>4460</v>
      </c>
      <c r="B1488" s="2" t="s">
        <v>4461</v>
      </c>
      <c r="C1488" s="2" t="s">
        <v>4462</v>
      </c>
      <c r="D1488" s="2" t="s">
        <v>10047</v>
      </c>
      <c r="E1488" s="15">
        <v>1.2999999999999999E-2</v>
      </c>
      <c r="F1488" s="15">
        <v>4.2599999999999999E-2</v>
      </c>
      <c r="G1488" s="15">
        <v>0.76</v>
      </c>
      <c r="H1488" s="15">
        <v>0.28749999999999998</v>
      </c>
      <c r="I1488" s="15">
        <v>2.7E-2</v>
      </c>
      <c r="J1488" s="15">
        <v>11.75793650793651</v>
      </c>
    </row>
    <row r="1489" spans="1:10" x14ac:dyDescent="0.25">
      <c r="A1489" s="2" t="s">
        <v>4463</v>
      </c>
      <c r="B1489" s="2" t="s">
        <v>4464</v>
      </c>
      <c r="C1489" s="2" t="s">
        <v>4465</v>
      </c>
      <c r="D1489" s="2" t="s">
        <v>10047</v>
      </c>
      <c r="E1489" s="15">
        <v>3.5999999999999999E-3</v>
      </c>
      <c r="F1489" s="15">
        <v>4.0399999999999998E-2</v>
      </c>
      <c r="G1489" s="15">
        <v>0.92900000000000005</v>
      </c>
      <c r="H1489" s="15">
        <v>0.28999999999999998</v>
      </c>
      <c r="I1489" s="15">
        <v>2.5700000000000001E-2</v>
      </c>
      <c r="J1489" s="15">
        <v>12.543209876543211</v>
      </c>
    </row>
    <row r="1490" spans="1:10" x14ac:dyDescent="0.25">
      <c r="A1490" s="2" t="s">
        <v>4466</v>
      </c>
      <c r="B1490" s="2" t="s">
        <v>4467</v>
      </c>
      <c r="C1490" s="2" t="s">
        <v>4468</v>
      </c>
      <c r="D1490" s="2" t="s">
        <v>10047</v>
      </c>
      <c r="E1490" s="15">
        <v>6.6299999999999998E-2</v>
      </c>
      <c r="F1490" s="15">
        <v>4.1799999999999997E-2</v>
      </c>
      <c r="G1490" s="15">
        <v>0.1129</v>
      </c>
      <c r="H1490" s="15">
        <v>0.2261</v>
      </c>
      <c r="I1490" s="15">
        <v>2.1299999999999999E-2</v>
      </c>
      <c r="J1490" s="15">
        <v>10.911627906976751</v>
      </c>
    </row>
    <row r="1491" spans="1:10" x14ac:dyDescent="0.25">
      <c r="A1491" s="2" t="s">
        <v>4469</v>
      </c>
      <c r="B1491" s="2" t="s">
        <v>4470</v>
      </c>
      <c r="C1491" s="2" t="s">
        <v>4471</v>
      </c>
      <c r="D1491" s="2" t="s">
        <v>10047</v>
      </c>
      <c r="E1491" s="15">
        <v>8.5699999999999998E-2</v>
      </c>
      <c r="F1491" s="15">
        <v>4.0599999999999997E-2</v>
      </c>
      <c r="G1491" s="15">
        <v>3.4599999999999999E-2</v>
      </c>
      <c r="H1491" s="15">
        <v>0.2235</v>
      </c>
      <c r="I1491" s="15">
        <v>1.9199999999999998E-2</v>
      </c>
      <c r="J1491" s="15">
        <v>12.23589743589744</v>
      </c>
    </row>
    <row r="1492" spans="1:10" x14ac:dyDescent="0.25">
      <c r="A1492" s="2" t="s">
        <v>4472</v>
      </c>
      <c r="B1492" s="2" t="s">
        <v>4473</v>
      </c>
      <c r="C1492" s="2" t="s">
        <v>4474</v>
      </c>
      <c r="D1492" s="2" t="s">
        <v>10047</v>
      </c>
      <c r="E1492" s="15">
        <v>-5.4399999999999997E-2</v>
      </c>
      <c r="F1492" s="15">
        <v>3.9E-2</v>
      </c>
      <c r="G1492" s="15">
        <v>0.16309999999999999</v>
      </c>
      <c r="H1492" s="15">
        <v>0.24809999999999999</v>
      </c>
      <c r="I1492" s="15">
        <v>2.4199999999999999E-2</v>
      </c>
      <c r="J1492" s="15">
        <v>11.41592920353982</v>
      </c>
    </row>
    <row r="1493" spans="1:10" x14ac:dyDescent="0.25">
      <c r="A1493" s="2" t="s">
        <v>4475</v>
      </c>
      <c r="B1493" s="2" t="s">
        <v>4476</v>
      </c>
      <c r="C1493" s="2" t="s">
        <v>4477</v>
      </c>
      <c r="D1493" s="2" t="s">
        <v>10047</v>
      </c>
      <c r="E1493" s="15">
        <v>-5.6099999999999997E-2</v>
      </c>
      <c r="F1493" s="15">
        <v>4.1000000000000002E-2</v>
      </c>
      <c r="G1493" s="15">
        <v>0.17050000000000001</v>
      </c>
      <c r="H1493" s="15">
        <v>0.24390000000000001</v>
      </c>
      <c r="I1493" s="15">
        <v>2.46E-2</v>
      </c>
      <c r="J1493" s="15">
        <v>10.82173913043478</v>
      </c>
    </row>
    <row r="1494" spans="1:10" x14ac:dyDescent="0.25">
      <c r="A1494" s="2" t="s">
        <v>4478</v>
      </c>
      <c r="B1494" s="2" t="s">
        <v>4479</v>
      </c>
      <c r="C1494" s="2" t="s">
        <v>4480</v>
      </c>
      <c r="D1494" s="2" t="s">
        <v>10047</v>
      </c>
      <c r="E1494" s="15">
        <v>4.8899999999999999E-2</v>
      </c>
      <c r="F1494" s="15">
        <v>3.8100000000000002E-2</v>
      </c>
      <c r="G1494" s="15">
        <v>0.19919999999999999</v>
      </c>
      <c r="H1494" s="15">
        <v>0.28810000000000002</v>
      </c>
      <c r="I1494" s="15">
        <v>2.47E-2</v>
      </c>
      <c r="J1494" s="15">
        <v>12.59259259259259</v>
      </c>
    </row>
    <row r="1495" spans="1:10" x14ac:dyDescent="0.25">
      <c r="A1495" s="2" t="s">
        <v>4481</v>
      </c>
      <c r="B1495" s="2" t="s">
        <v>4482</v>
      </c>
      <c r="C1495" s="2" t="s">
        <v>4483</v>
      </c>
      <c r="D1495" s="2" t="s">
        <v>10047</v>
      </c>
      <c r="E1495" s="15">
        <v>7.2499999999999995E-2</v>
      </c>
      <c r="F1495" s="15">
        <v>3.9899999999999998E-2</v>
      </c>
      <c r="G1495" s="15">
        <v>6.9500000000000006E-2</v>
      </c>
      <c r="H1495" s="15">
        <v>0.27739999999999998</v>
      </c>
      <c r="I1495" s="15">
        <v>2.5100000000000001E-2</v>
      </c>
      <c r="J1495" s="15">
        <v>12.18518518518519</v>
      </c>
    </row>
    <row r="1496" spans="1:10" x14ac:dyDescent="0.25">
      <c r="A1496" s="2" t="s">
        <v>4484</v>
      </c>
      <c r="B1496" s="2" t="s">
        <v>4485</v>
      </c>
      <c r="C1496" s="2" t="s">
        <v>4486</v>
      </c>
      <c r="D1496" s="2" t="s">
        <v>10047</v>
      </c>
      <c r="E1496" s="15">
        <v>-5.0900000000000001E-2</v>
      </c>
      <c r="F1496" s="15">
        <v>3.9199999999999999E-2</v>
      </c>
      <c r="G1496" s="15">
        <v>0.19439999999999999</v>
      </c>
      <c r="H1496" s="15">
        <v>0.26750000000000002</v>
      </c>
      <c r="I1496" s="15">
        <v>2.1600000000000001E-2</v>
      </c>
      <c r="J1496" s="15">
        <v>12.779342723004699</v>
      </c>
    </row>
    <row r="1497" spans="1:10" x14ac:dyDescent="0.25">
      <c r="A1497" s="2" t="s">
        <v>4487</v>
      </c>
      <c r="B1497" s="2" t="s">
        <v>4488</v>
      </c>
      <c r="C1497" s="2" t="s">
        <v>4489</v>
      </c>
      <c r="D1497" s="2" t="s">
        <v>10047</v>
      </c>
      <c r="E1497" s="15">
        <v>-6.0400000000000002E-2</v>
      </c>
      <c r="F1497" s="15">
        <v>3.95E-2</v>
      </c>
      <c r="G1497" s="15">
        <v>0.12670000000000001</v>
      </c>
      <c r="H1497" s="15">
        <v>0.25559999999999999</v>
      </c>
      <c r="I1497" s="15">
        <v>2.1600000000000001E-2</v>
      </c>
      <c r="J1497" s="15">
        <v>11.81192660550459</v>
      </c>
    </row>
    <row r="1498" spans="1:10" x14ac:dyDescent="0.25">
      <c r="A1498" s="2" t="s">
        <v>4490</v>
      </c>
      <c r="B1498" s="2" t="s">
        <v>4491</v>
      </c>
      <c r="C1498" s="2" t="s">
        <v>4492</v>
      </c>
      <c r="D1498" s="2" t="s">
        <v>10047</v>
      </c>
      <c r="E1498" s="15">
        <v>7.3999999999999996E-2</v>
      </c>
      <c r="F1498" s="15">
        <v>3.9600000000000003E-2</v>
      </c>
      <c r="G1498" s="15">
        <v>6.2E-2</v>
      </c>
      <c r="H1498" s="15">
        <v>0.3014</v>
      </c>
      <c r="I1498" s="15">
        <v>3.0499999999999999E-2</v>
      </c>
      <c r="J1498" s="15">
        <v>9.9801980198019802</v>
      </c>
    </row>
    <row r="1499" spans="1:10" x14ac:dyDescent="0.25">
      <c r="A1499" s="2" t="s">
        <v>4493</v>
      </c>
      <c r="B1499" s="2" t="s">
        <v>4494</v>
      </c>
      <c r="C1499" s="2" t="s">
        <v>4495</v>
      </c>
      <c r="D1499" s="2" t="s">
        <v>10047</v>
      </c>
      <c r="E1499" s="15">
        <v>6.2100000000000002E-2</v>
      </c>
      <c r="F1499" s="15">
        <v>3.7699999999999997E-2</v>
      </c>
      <c r="G1499" s="15">
        <v>9.9699999999999997E-2</v>
      </c>
      <c r="H1499" s="15">
        <v>0.30320000000000003</v>
      </c>
      <c r="I1499" s="15">
        <v>3.2899999999999999E-2</v>
      </c>
      <c r="J1499" s="15">
        <v>10.18210862619808</v>
      </c>
    </row>
    <row r="1500" spans="1:10" x14ac:dyDescent="0.25">
      <c r="A1500" s="2" t="s">
        <v>4496</v>
      </c>
      <c r="B1500" s="2" t="s">
        <v>4497</v>
      </c>
      <c r="C1500" s="2" t="s">
        <v>4498</v>
      </c>
      <c r="D1500" s="2" t="s">
        <v>10047</v>
      </c>
      <c r="E1500" s="15">
        <v>-2.86E-2</v>
      </c>
      <c r="F1500" s="15">
        <v>4.07E-2</v>
      </c>
      <c r="G1500" s="15">
        <v>0.48270000000000002</v>
      </c>
      <c r="H1500" s="15">
        <v>0.21740000000000001</v>
      </c>
      <c r="I1500" s="15">
        <v>2.1899999999999999E-2</v>
      </c>
      <c r="J1500" s="15">
        <v>11.15094339622642</v>
      </c>
    </row>
    <row r="1501" spans="1:10" x14ac:dyDescent="0.25">
      <c r="A1501" s="2" t="s">
        <v>4499</v>
      </c>
      <c r="B1501" s="2" t="s">
        <v>4500</v>
      </c>
      <c r="C1501" s="2" t="s">
        <v>4501</v>
      </c>
      <c r="D1501" s="2" t="s">
        <v>10047</v>
      </c>
      <c r="E1501" s="15">
        <v>-8.5000000000000006E-3</v>
      </c>
      <c r="F1501" s="15">
        <v>4.7100000000000003E-2</v>
      </c>
      <c r="G1501" s="15">
        <v>0.8569</v>
      </c>
      <c r="H1501" s="15">
        <v>0.20749999999999999</v>
      </c>
      <c r="I1501" s="15">
        <v>0.02</v>
      </c>
      <c r="J1501" s="15">
        <v>12.062176165803111</v>
      </c>
    </row>
    <row r="1502" spans="1:10" x14ac:dyDescent="0.25">
      <c r="A1502" s="2" t="s">
        <v>4502</v>
      </c>
      <c r="B1502" s="2" t="s">
        <v>4503</v>
      </c>
      <c r="C1502" s="2" t="s">
        <v>4504</v>
      </c>
      <c r="D1502" s="2" t="s">
        <v>10047</v>
      </c>
      <c r="E1502" s="15">
        <v>3.4000000000000002E-2</v>
      </c>
      <c r="F1502" s="15">
        <v>4.6100000000000002E-2</v>
      </c>
      <c r="G1502" s="15">
        <v>0.46039999999999998</v>
      </c>
      <c r="H1502" s="15">
        <v>0.2031</v>
      </c>
      <c r="I1502" s="15">
        <v>2.1399999999999999E-2</v>
      </c>
      <c r="J1502" s="15">
        <v>10.12322274881517</v>
      </c>
    </row>
    <row r="1503" spans="1:10" x14ac:dyDescent="0.25">
      <c r="A1503" s="2" t="s">
        <v>4505</v>
      </c>
      <c r="B1503" s="2" t="s">
        <v>4506</v>
      </c>
      <c r="C1503" s="2" t="s">
        <v>4507</v>
      </c>
      <c r="D1503" s="2" t="s">
        <v>10047</v>
      </c>
      <c r="E1503" s="15">
        <v>5.4000000000000003E-3</v>
      </c>
      <c r="F1503" s="15">
        <v>4.7500000000000001E-2</v>
      </c>
      <c r="G1503" s="15">
        <v>0.90880000000000005</v>
      </c>
      <c r="H1503" s="15">
        <v>0.18790000000000001</v>
      </c>
      <c r="I1503" s="15">
        <v>2.0500000000000001E-2</v>
      </c>
      <c r="J1503" s="15">
        <v>10.40816326530612</v>
      </c>
    </row>
    <row r="1504" spans="1:10" x14ac:dyDescent="0.25">
      <c r="A1504" s="2" t="s">
        <v>4508</v>
      </c>
      <c r="B1504" s="2" t="s">
        <v>4509</v>
      </c>
      <c r="C1504" s="2" t="s">
        <v>4510</v>
      </c>
      <c r="D1504" s="2" t="s">
        <v>10047</v>
      </c>
      <c r="E1504" s="15">
        <v>4.6300000000000001E-2</v>
      </c>
      <c r="F1504" s="15">
        <v>3.5799999999999998E-2</v>
      </c>
      <c r="G1504" s="15">
        <v>0.1958</v>
      </c>
      <c r="H1504" s="15">
        <v>0.27889999999999998</v>
      </c>
      <c r="I1504" s="15">
        <v>2.5899999999999999E-2</v>
      </c>
      <c r="J1504" s="15">
        <v>11.763485477178421</v>
      </c>
    </row>
    <row r="1505" spans="1:10" x14ac:dyDescent="0.25">
      <c r="A1505" s="2" t="s">
        <v>4511</v>
      </c>
      <c r="B1505" s="2" t="s">
        <v>4512</v>
      </c>
      <c r="C1505" s="2" t="s">
        <v>4513</v>
      </c>
      <c r="D1505" s="2" t="s">
        <v>10047</v>
      </c>
      <c r="E1505" s="15">
        <v>3.2300000000000002E-2</v>
      </c>
      <c r="F1505" s="15">
        <v>3.7499999999999999E-2</v>
      </c>
      <c r="G1505" s="15">
        <v>0.38919999999999999</v>
      </c>
      <c r="H1505" s="15">
        <v>0.28489999999999999</v>
      </c>
      <c r="I1505" s="15">
        <v>2.4199999999999999E-2</v>
      </c>
      <c r="J1505" s="15">
        <v>12.15416666666667</v>
      </c>
    </row>
    <row r="1506" spans="1:10" x14ac:dyDescent="0.25">
      <c r="A1506" s="2" t="s">
        <v>4514</v>
      </c>
      <c r="B1506" s="2" t="s">
        <v>4515</v>
      </c>
      <c r="C1506" s="2" t="s">
        <v>4516</v>
      </c>
      <c r="D1506" s="2" t="s">
        <v>10047</v>
      </c>
      <c r="E1506" s="15">
        <v>2.1399999999999999E-2</v>
      </c>
      <c r="F1506" s="15">
        <v>4.9200000000000001E-2</v>
      </c>
      <c r="G1506" s="15">
        <v>0.66320000000000001</v>
      </c>
      <c r="H1506" s="15">
        <v>0.1875</v>
      </c>
      <c r="I1506" s="15">
        <v>2.01E-2</v>
      </c>
      <c r="J1506" s="15">
        <v>9.4384236453201975</v>
      </c>
    </row>
    <row r="1507" spans="1:10" x14ac:dyDescent="0.25">
      <c r="A1507" s="2" t="s">
        <v>4517</v>
      </c>
      <c r="B1507" s="2" t="s">
        <v>4518</v>
      </c>
      <c r="C1507" s="2" t="s">
        <v>4519</v>
      </c>
      <c r="D1507" s="2" t="s">
        <v>10047</v>
      </c>
      <c r="E1507" s="15">
        <v>-2.3E-3</v>
      </c>
      <c r="F1507" s="15">
        <v>4.9299999999999997E-2</v>
      </c>
      <c r="G1507" s="15">
        <v>0.96260000000000001</v>
      </c>
      <c r="H1507" s="15">
        <v>0.2059</v>
      </c>
      <c r="I1507" s="15">
        <v>1.9699999999999999E-2</v>
      </c>
      <c r="J1507" s="15">
        <v>10.87817258883249</v>
      </c>
    </row>
    <row r="1508" spans="1:10" x14ac:dyDescent="0.25">
      <c r="A1508" s="2" t="s">
        <v>4520</v>
      </c>
      <c r="B1508" s="2" t="s">
        <v>4521</v>
      </c>
      <c r="C1508" s="2" t="s">
        <v>4522</v>
      </c>
      <c r="D1508" s="2" t="s">
        <v>10047</v>
      </c>
      <c r="E1508" s="15">
        <v>7.4700000000000003E-2</v>
      </c>
      <c r="F1508" s="15">
        <v>5.0500000000000003E-2</v>
      </c>
      <c r="G1508" s="15">
        <v>0.1396</v>
      </c>
      <c r="H1508" s="15">
        <v>0.14510000000000001</v>
      </c>
      <c r="I1508" s="15">
        <v>1.7999999999999999E-2</v>
      </c>
      <c r="J1508" s="15">
        <v>8.064516129032258</v>
      </c>
    </row>
    <row r="1509" spans="1:10" x14ac:dyDescent="0.25">
      <c r="A1509" s="2" t="s">
        <v>4523</v>
      </c>
      <c r="B1509" s="2" t="s">
        <v>4524</v>
      </c>
      <c r="C1509" s="2" t="s">
        <v>4525</v>
      </c>
      <c r="D1509" s="2" t="s">
        <v>10047</v>
      </c>
      <c r="E1509" s="15">
        <v>0.1149</v>
      </c>
      <c r="F1509" s="15">
        <v>4.87E-2</v>
      </c>
      <c r="G1509" s="15">
        <v>1.8200000000000001E-2</v>
      </c>
      <c r="H1509" s="15">
        <v>0.1603</v>
      </c>
      <c r="I1509" s="15">
        <v>1.7899999999999999E-2</v>
      </c>
      <c r="J1509" s="15">
        <v>9.3901098901098887</v>
      </c>
    </row>
    <row r="1510" spans="1:10" x14ac:dyDescent="0.25">
      <c r="A1510" s="2" t="s">
        <v>4526</v>
      </c>
      <c r="B1510" s="2" t="s">
        <v>4527</v>
      </c>
      <c r="C1510" s="2" t="s">
        <v>4528</v>
      </c>
      <c r="D1510" s="2" t="s">
        <v>10047</v>
      </c>
      <c r="E1510" s="15">
        <v>0.12520000000000001</v>
      </c>
      <c r="F1510" s="15">
        <v>4.2500000000000003E-2</v>
      </c>
      <c r="G1510" s="15">
        <v>3.2000000000000002E-3</v>
      </c>
      <c r="H1510" s="15">
        <v>0.18240000000000001</v>
      </c>
      <c r="I1510" s="15">
        <v>2.1600000000000001E-2</v>
      </c>
      <c r="J1510" s="15">
        <v>9.1462264150943398</v>
      </c>
    </row>
    <row r="1511" spans="1:10" x14ac:dyDescent="0.25">
      <c r="A1511" s="2" t="s">
        <v>4529</v>
      </c>
      <c r="B1511" s="2" t="s">
        <v>4530</v>
      </c>
      <c r="C1511" s="2" t="s">
        <v>4531</v>
      </c>
      <c r="D1511" s="2" t="s">
        <v>10047</v>
      </c>
      <c r="E1511" s="15">
        <v>0.1087</v>
      </c>
      <c r="F1511" s="15">
        <v>4.5400000000000003E-2</v>
      </c>
      <c r="G1511" s="15">
        <v>1.6799999999999999E-2</v>
      </c>
      <c r="H1511" s="15">
        <v>0.18140000000000001</v>
      </c>
      <c r="I1511" s="15">
        <v>2.0299999999999999E-2</v>
      </c>
      <c r="J1511" s="15">
        <v>10.13265306122449</v>
      </c>
    </row>
    <row r="1512" spans="1:10" x14ac:dyDescent="0.25">
      <c r="A1512" s="2" t="s">
        <v>4532</v>
      </c>
      <c r="B1512" s="2" t="s">
        <v>4533</v>
      </c>
      <c r="C1512" s="2" t="s">
        <v>4534</v>
      </c>
      <c r="D1512" s="2" t="s">
        <v>10047</v>
      </c>
      <c r="E1512" s="15">
        <v>-1.34E-2</v>
      </c>
      <c r="F1512" s="15">
        <v>4.2799999999999998E-2</v>
      </c>
      <c r="G1512" s="15">
        <v>0.75449999999999995</v>
      </c>
      <c r="H1512" s="15">
        <v>0.20119999999999999</v>
      </c>
      <c r="I1512" s="15">
        <v>2.4199999999999999E-2</v>
      </c>
      <c r="J1512" s="15">
        <v>9.9155555555555548</v>
      </c>
    </row>
    <row r="1513" spans="1:10" x14ac:dyDescent="0.25">
      <c r="A1513" s="2" t="s">
        <v>4535</v>
      </c>
      <c r="B1513" s="2" t="s">
        <v>4536</v>
      </c>
      <c r="C1513" s="2" t="s">
        <v>4537</v>
      </c>
      <c r="D1513" s="2" t="s">
        <v>10047</v>
      </c>
      <c r="E1513" s="15">
        <v>5.5999999999999999E-3</v>
      </c>
      <c r="F1513" s="15">
        <v>3.7900000000000003E-2</v>
      </c>
      <c r="G1513" s="15">
        <v>0.88219999999999998</v>
      </c>
      <c r="H1513" s="15">
        <v>0.32390000000000002</v>
      </c>
      <c r="I1513" s="15">
        <v>3.1600000000000003E-2</v>
      </c>
      <c r="J1513" s="15">
        <v>11.776978417266189</v>
      </c>
    </row>
    <row r="1514" spans="1:10" x14ac:dyDescent="0.25">
      <c r="A1514" s="2" t="s">
        <v>4538</v>
      </c>
      <c r="B1514" s="2" t="s">
        <v>4539</v>
      </c>
      <c r="C1514" s="2" t="s">
        <v>4540</v>
      </c>
      <c r="D1514" s="2" t="s">
        <v>10047</v>
      </c>
      <c r="E1514" s="15">
        <v>8.8999999999999999E-3</v>
      </c>
      <c r="F1514" s="15">
        <v>4.1000000000000002E-2</v>
      </c>
      <c r="G1514" s="15">
        <v>0.82899999999999996</v>
      </c>
      <c r="H1514" s="15">
        <v>0.24909999999999999</v>
      </c>
      <c r="I1514" s="15">
        <v>2.7900000000000001E-2</v>
      </c>
      <c r="J1514" s="15">
        <v>9.709558823529413</v>
      </c>
    </row>
    <row r="1515" spans="1:10" x14ac:dyDescent="0.25">
      <c r="A1515" s="2" t="s">
        <v>4541</v>
      </c>
      <c r="B1515" s="2" t="s">
        <v>4542</v>
      </c>
      <c r="C1515" s="2" t="s">
        <v>4543</v>
      </c>
      <c r="D1515" s="2" t="s">
        <v>10047</v>
      </c>
      <c r="E1515" s="15">
        <v>-3.5000000000000001E-3</v>
      </c>
      <c r="F1515" s="15">
        <v>3.5799999999999998E-2</v>
      </c>
      <c r="G1515" s="15">
        <v>0.92300000000000004</v>
      </c>
      <c r="H1515" s="15">
        <v>0.29149999999999998</v>
      </c>
      <c r="I1515" s="15">
        <v>2.6800000000000001E-2</v>
      </c>
      <c r="J1515" s="15">
        <v>11.21851851851852</v>
      </c>
    </row>
    <row r="1516" spans="1:10" x14ac:dyDescent="0.25">
      <c r="A1516" s="2" t="s">
        <v>4544</v>
      </c>
      <c r="B1516" s="2" t="s">
        <v>4545</v>
      </c>
      <c r="C1516" s="2" t="s">
        <v>4546</v>
      </c>
      <c r="D1516" s="2" t="s">
        <v>10047</v>
      </c>
      <c r="E1516" s="15">
        <v>2.0899999999999998E-2</v>
      </c>
      <c r="F1516" s="15">
        <v>4.1399999999999999E-2</v>
      </c>
      <c r="G1516" s="15">
        <v>0.61370000000000002</v>
      </c>
      <c r="H1516" s="15">
        <v>0.25380000000000003</v>
      </c>
      <c r="I1516" s="15">
        <v>2.8299999999999999E-2</v>
      </c>
      <c r="J1516" s="15">
        <v>9.6370106761565832</v>
      </c>
    </row>
    <row r="1517" spans="1:10" x14ac:dyDescent="0.25">
      <c r="A1517" s="2" t="s">
        <v>4547</v>
      </c>
      <c r="B1517" s="2" t="s">
        <v>4548</v>
      </c>
      <c r="C1517" s="2" t="s">
        <v>4549</v>
      </c>
      <c r="D1517" s="2" t="s">
        <v>10047</v>
      </c>
      <c r="E1517" s="15">
        <v>5.1999999999999998E-3</v>
      </c>
      <c r="F1517" s="15">
        <v>3.8300000000000001E-2</v>
      </c>
      <c r="G1517" s="15">
        <v>0.89280000000000004</v>
      </c>
      <c r="H1517" s="15">
        <v>0.27779999999999999</v>
      </c>
      <c r="I1517" s="15">
        <v>2.7400000000000001E-2</v>
      </c>
      <c r="J1517" s="15">
        <v>10.39568345323741</v>
      </c>
    </row>
    <row r="1518" spans="1:10" x14ac:dyDescent="0.25">
      <c r="A1518" s="2" t="s">
        <v>4550</v>
      </c>
      <c r="B1518" s="2" t="s">
        <v>4551</v>
      </c>
      <c r="C1518" s="2" t="s">
        <v>4552</v>
      </c>
      <c r="D1518" s="2" t="s">
        <v>10047</v>
      </c>
      <c r="E1518" s="15">
        <v>7.4899999999999994E-2</v>
      </c>
      <c r="F1518" s="15">
        <v>4.9000000000000002E-2</v>
      </c>
      <c r="G1518" s="15">
        <v>0.12670000000000001</v>
      </c>
      <c r="H1518" s="15">
        <v>0.1174</v>
      </c>
      <c r="I1518" s="15">
        <v>2.1700000000000001E-2</v>
      </c>
      <c r="J1518" s="15">
        <v>5.3701923076923066</v>
      </c>
    </row>
    <row r="1519" spans="1:10" x14ac:dyDescent="0.25">
      <c r="A1519" s="2" t="s">
        <v>4553</v>
      </c>
      <c r="B1519" s="2" t="s">
        <v>4554</v>
      </c>
      <c r="C1519" s="2" t="s">
        <v>4555</v>
      </c>
      <c r="D1519" s="2" t="s">
        <v>10047</v>
      </c>
      <c r="E1519" s="15">
        <v>0.1014</v>
      </c>
      <c r="F1519" s="15">
        <v>4.5900000000000003E-2</v>
      </c>
      <c r="G1519" s="15">
        <v>2.7300000000000001E-2</v>
      </c>
      <c r="H1519" s="15">
        <v>0.14910000000000001</v>
      </c>
      <c r="I1519" s="15">
        <v>2.4E-2</v>
      </c>
      <c r="J1519" s="15">
        <v>6.3478260869565224</v>
      </c>
    </row>
    <row r="1520" spans="1:10" x14ac:dyDescent="0.25">
      <c r="A1520" s="2" t="s">
        <v>4556</v>
      </c>
      <c r="B1520" s="2" t="s">
        <v>4557</v>
      </c>
      <c r="C1520" s="2" t="s">
        <v>4558</v>
      </c>
      <c r="D1520" s="2" t="s">
        <v>10047</v>
      </c>
      <c r="E1520" s="15">
        <v>9.9699999999999997E-2</v>
      </c>
      <c r="F1520" s="15">
        <v>4.3999999999999997E-2</v>
      </c>
      <c r="G1520" s="15">
        <v>2.3400000000000001E-2</v>
      </c>
      <c r="H1520" s="15">
        <v>0.14549999999999999</v>
      </c>
      <c r="I1520" s="15">
        <v>2.07E-2</v>
      </c>
      <c r="J1520" s="15">
        <v>7.8492462311557789</v>
      </c>
    </row>
    <row r="1521" spans="1:10" x14ac:dyDescent="0.25">
      <c r="A1521" s="2" t="s">
        <v>4559</v>
      </c>
      <c r="B1521" s="2" t="s">
        <v>4560</v>
      </c>
      <c r="C1521" s="2" t="s">
        <v>4561</v>
      </c>
      <c r="D1521" s="2" t="s">
        <v>10047</v>
      </c>
      <c r="E1521" s="15">
        <v>-1.24E-2</v>
      </c>
      <c r="F1521" s="15">
        <v>4.2799999999999998E-2</v>
      </c>
      <c r="G1521" s="15">
        <v>0.77239999999999998</v>
      </c>
      <c r="H1521" s="15">
        <v>0.21440000000000001</v>
      </c>
      <c r="I1521" s="15">
        <v>2.41E-2</v>
      </c>
      <c r="J1521" s="15">
        <v>9.7117903930131</v>
      </c>
    </row>
    <row r="1522" spans="1:10" x14ac:dyDescent="0.25">
      <c r="A1522" s="2" t="s">
        <v>4562</v>
      </c>
      <c r="B1522" s="2" t="s">
        <v>4563</v>
      </c>
      <c r="C1522" s="2" t="s">
        <v>4564</v>
      </c>
      <c r="D1522" s="2" t="s">
        <v>10047</v>
      </c>
      <c r="E1522" s="15">
        <v>-5.1000000000000004E-3</v>
      </c>
      <c r="F1522" s="15">
        <v>4.5900000000000003E-2</v>
      </c>
      <c r="G1522" s="15">
        <v>0.91200000000000003</v>
      </c>
      <c r="H1522" s="15">
        <v>0.20530000000000001</v>
      </c>
      <c r="I1522" s="15">
        <v>2.5100000000000001E-2</v>
      </c>
      <c r="J1522" s="15">
        <v>8.9303278688524586</v>
      </c>
    </row>
    <row r="1523" spans="1:10" x14ac:dyDescent="0.25">
      <c r="A1523" s="2" t="s">
        <v>4565</v>
      </c>
      <c r="B1523" s="2" t="s">
        <v>4566</v>
      </c>
      <c r="C1523" s="2" t="s">
        <v>4567</v>
      </c>
      <c r="D1523" s="2" t="s">
        <v>10047</v>
      </c>
      <c r="E1523" s="15">
        <v>2.3300000000000001E-2</v>
      </c>
      <c r="F1523" s="15">
        <v>3.8899999999999997E-2</v>
      </c>
      <c r="G1523" s="15">
        <v>0.54879999999999995</v>
      </c>
      <c r="H1523" s="15">
        <v>0.30640000000000001</v>
      </c>
      <c r="I1523" s="15">
        <v>2.7400000000000001E-2</v>
      </c>
      <c r="J1523" s="15">
        <v>12.066176470588241</v>
      </c>
    </row>
    <row r="1524" spans="1:10" x14ac:dyDescent="0.25">
      <c r="A1524" s="2" t="s">
        <v>4568</v>
      </c>
      <c r="B1524" s="2" t="s">
        <v>4569</v>
      </c>
      <c r="C1524" s="2" t="s">
        <v>4570</v>
      </c>
      <c r="D1524" s="2" t="s">
        <v>10047</v>
      </c>
      <c r="E1524" s="15">
        <v>1.54E-2</v>
      </c>
      <c r="F1524" s="15">
        <v>3.6700000000000003E-2</v>
      </c>
      <c r="G1524" s="15">
        <v>0.67469999999999997</v>
      </c>
      <c r="H1524" s="15">
        <v>0.31209999999999999</v>
      </c>
      <c r="I1524" s="15">
        <v>2.8500000000000001E-2</v>
      </c>
      <c r="J1524" s="15">
        <v>11.792857142857139</v>
      </c>
    </row>
    <row r="1525" spans="1:10" x14ac:dyDescent="0.25">
      <c r="A1525" s="2" t="s">
        <v>4571</v>
      </c>
      <c r="B1525" s="2" t="s">
        <v>4572</v>
      </c>
      <c r="C1525" s="2" t="s">
        <v>4573</v>
      </c>
      <c r="D1525" s="2" t="s">
        <v>10047</v>
      </c>
      <c r="E1525" s="15">
        <v>0.10580000000000001</v>
      </c>
      <c r="F1525" s="15">
        <v>4.0500000000000001E-2</v>
      </c>
      <c r="G1525" s="15">
        <v>8.8999999999999999E-3</v>
      </c>
      <c r="H1525" s="15">
        <v>0.2291</v>
      </c>
      <c r="I1525" s="15">
        <v>2.53E-2</v>
      </c>
      <c r="J1525" s="15">
        <v>9.9641434262948199</v>
      </c>
    </row>
    <row r="1526" spans="1:10" x14ac:dyDescent="0.25">
      <c r="A1526" s="2" t="s">
        <v>4574</v>
      </c>
      <c r="B1526" s="2" t="s">
        <v>4575</v>
      </c>
      <c r="C1526" s="2" t="s">
        <v>4576</v>
      </c>
      <c r="D1526" s="2" t="s">
        <v>10047</v>
      </c>
      <c r="E1526" s="15">
        <v>0.10050000000000001</v>
      </c>
      <c r="F1526" s="15">
        <v>4.1700000000000001E-2</v>
      </c>
      <c r="G1526" s="15">
        <v>1.61E-2</v>
      </c>
      <c r="H1526" s="15">
        <v>0.22020000000000001</v>
      </c>
      <c r="I1526" s="15">
        <v>2.1700000000000001E-2</v>
      </c>
      <c r="J1526" s="15">
        <v>10.68</v>
      </c>
    </row>
    <row r="1527" spans="1:10" x14ac:dyDescent="0.25">
      <c r="A1527" s="2" t="s">
        <v>4577</v>
      </c>
      <c r="B1527" s="2" t="s">
        <v>4578</v>
      </c>
      <c r="C1527" s="2" t="s">
        <v>4579</v>
      </c>
      <c r="D1527" s="2" t="s">
        <v>10047</v>
      </c>
      <c r="E1527" s="15">
        <v>3.6600000000000001E-2</v>
      </c>
      <c r="F1527" s="15">
        <v>4.4900000000000002E-2</v>
      </c>
      <c r="G1527" s="15">
        <v>0.4158</v>
      </c>
      <c r="H1527" s="15">
        <v>0.22109999999999999</v>
      </c>
      <c r="I1527" s="15">
        <v>2.3300000000000001E-2</v>
      </c>
      <c r="J1527" s="15">
        <v>10.233480176211449</v>
      </c>
    </row>
    <row r="1528" spans="1:10" x14ac:dyDescent="0.25">
      <c r="A1528" s="2" t="s">
        <v>4580</v>
      </c>
      <c r="B1528" s="2" t="s">
        <v>4581</v>
      </c>
      <c r="C1528" s="2" t="s">
        <v>4582</v>
      </c>
      <c r="D1528" s="2" t="s">
        <v>10047</v>
      </c>
      <c r="E1528" s="15">
        <v>5.0900000000000001E-2</v>
      </c>
      <c r="F1528" s="15">
        <v>3.9699999999999999E-2</v>
      </c>
      <c r="G1528" s="15">
        <v>0.19980000000000001</v>
      </c>
      <c r="H1528" s="15">
        <v>0.2374</v>
      </c>
      <c r="I1528" s="15">
        <v>2.3300000000000001E-2</v>
      </c>
      <c r="J1528" s="15">
        <v>11.304932735426011</v>
      </c>
    </row>
    <row r="1529" spans="1:10" x14ac:dyDescent="0.25">
      <c r="A1529" s="2" t="s">
        <v>4583</v>
      </c>
      <c r="B1529" s="2" t="s">
        <v>4584</v>
      </c>
      <c r="C1529" s="2" t="s">
        <v>4585</v>
      </c>
      <c r="D1529" s="2" t="s">
        <v>10048</v>
      </c>
      <c r="E1529" s="15">
        <v>-2.8500000000000001E-2</v>
      </c>
      <c r="F1529" s="15">
        <v>4.24E-2</v>
      </c>
      <c r="G1529" s="15">
        <v>0.50180000000000002</v>
      </c>
      <c r="H1529" s="15">
        <v>0.21129999999999999</v>
      </c>
      <c r="I1529" s="15">
        <v>2.06E-2</v>
      </c>
      <c r="J1529" s="15">
        <v>10.9126213592233</v>
      </c>
    </row>
    <row r="1530" spans="1:10" x14ac:dyDescent="0.25">
      <c r="A1530" s="2" t="s">
        <v>4586</v>
      </c>
      <c r="B1530" s="2" t="s">
        <v>4587</v>
      </c>
      <c r="C1530" s="2" t="s">
        <v>4588</v>
      </c>
      <c r="D1530" s="2" t="s">
        <v>10048</v>
      </c>
      <c r="E1530" s="15">
        <v>4.7800000000000002E-2</v>
      </c>
      <c r="F1530" s="15">
        <v>4.2500000000000003E-2</v>
      </c>
      <c r="G1530" s="15">
        <v>0.26050000000000001</v>
      </c>
      <c r="H1530" s="15">
        <v>0.24479999999999999</v>
      </c>
      <c r="I1530" s="15">
        <v>5.28E-2</v>
      </c>
      <c r="J1530" s="15">
        <v>6.5105263157894742</v>
      </c>
    </row>
    <row r="1531" spans="1:10" x14ac:dyDescent="0.25">
      <c r="A1531" s="2" t="s">
        <v>4589</v>
      </c>
      <c r="B1531" s="2" t="s">
        <v>4590</v>
      </c>
      <c r="C1531" s="2" t="s">
        <v>4591</v>
      </c>
      <c r="D1531" s="2" t="s">
        <v>10048</v>
      </c>
      <c r="E1531" s="15">
        <v>-2.3800000000000002E-2</v>
      </c>
      <c r="F1531" s="15">
        <v>5.8999999999999997E-2</v>
      </c>
      <c r="G1531" s="15">
        <v>0.68720000000000003</v>
      </c>
      <c r="H1531" s="15">
        <v>0.1106</v>
      </c>
      <c r="I1531" s="15">
        <v>1.66E-2</v>
      </c>
      <c r="J1531" s="15">
        <v>7.6352941176470583</v>
      </c>
    </row>
    <row r="1532" spans="1:10" x14ac:dyDescent="0.25">
      <c r="A1532" s="2" t="s">
        <v>4592</v>
      </c>
      <c r="B1532" s="2" t="s">
        <v>4593</v>
      </c>
      <c r="C1532" s="2" t="s">
        <v>4594</v>
      </c>
      <c r="D1532" s="2" t="s">
        <v>10048</v>
      </c>
      <c r="E1532" s="15">
        <v>-8.1500000000000003E-2</v>
      </c>
      <c r="F1532" s="15">
        <v>4.1200000000000001E-2</v>
      </c>
      <c r="G1532" s="15">
        <v>4.82E-2</v>
      </c>
      <c r="H1532" s="15">
        <v>0.2268</v>
      </c>
      <c r="I1532" s="15">
        <v>2.4500000000000001E-2</v>
      </c>
      <c r="J1532" s="15">
        <v>9.8259109311740893</v>
      </c>
    </row>
    <row r="1533" spans="1:10" x14ac:dyDescent="0.25">
      <c r="A1533" s="2" t="s">
        <v>4595</v>
      </c>
      <c r="B1533" s="2" t="s">
        <v>4596</v>
      </c>
      <c r="C1533" s="2" t="s">
        <v>4597</v>
      </c>
      <c r="D1533" s="2" t="s">
        <v>10048</v>
      </c>
      <c r="E1533" s="15">
        <v>0.1048</v>
      </c>
      <c r="F1533" s="15">
        <v>3.9899999999999998E-2</v>
      </c>
      <c r="G1533" s="15">
        <v>8.5000000000000006E-3</v>
      </c>
      <c r="H1533" s="15">
        <v>0.2591</v>
      </c>
      <c r="I1533" s="15">
        <v>2.2100000000000002E-2</v>
      </c>
      <c r="J1533" s="15">
        <v>12.94859813084112</v>
      </c>
    </row>
    <row r="1534" spans="1:10" x14ac:dyDescent="0.25">
      <c r="A1534" s="2" t="s">
        <v>4598</v>
      </c>
      <c r="B1534" s="2" t="s">
        <v>4599</v>
      </c>
      <c r="C1534" s="2" t="s">
        <v>4600</v>
      </c>
      <c r="D1534" s="2" t="s">
        <v>10048</v>
      </c>
      <c r="E1534" s="15">
        <v>-3.95E-2</v>
      </c>
      <c r="F1534" s="15">
        <v>5.0799999999999998E-2</v>
      </c>
      <c r="G1534" s="15">
        <v>0.43590000000000001</v>
      </c>
      <c r="H1534" s="15">
        <v>0.12559999999999999</v>
      </c>
      <c r="I1534" s="15">
        <v>1.6799999999999999E-2</v>
      </c>
      <c r="J1534" s="15">
        <v>7.1521739130434776</v>
      </c>
    </row>
    <row r="1535" spans="1:10" x14ac:dyDescent="0.25">
      <c r="A1535" s="2" t="s">
        <v>4601</v>
      </c>
      <c r="B1535" s="2" t="s">
        <v>4602</v>
      </c>
      <c r="C1535" s="2" t="s">
        <v>4603</v>
      </c>
      <c r="D1535" s="2" t="s">
        <v>10048</v>
      </c>
      <c r="E1535" s="15">
        <v>-6.5100000000000005E-2</v>
      </c>
      <c r="F1535" s="15">
        <v>5.74E-2</v>
      </c>
      <c r="G1535" s="15">
        <v>0.25659999999999999</v>
      </c>
      <c r="H1535" s="15">
        <v>0.1108</v>
      </c>
      <c r="I1535" s="15">
        <v>2.01E-2</v>
      </c>
      <c r="J1535" s="15">
        <v>5.5621890547263684</v>
      </c>
    </row>
    <row r="1536" spans="1:10" x14ac:dyDescent="0.25">
      <c r="A1536" s="2" t="s">
        <v>4604</v>
      </c>
      <c r="B1536" s="2" t="s">
        <v>4605</v>
      </c>
      <c r="C1536" s="2" t="s">
        <v>4606</v>
      </c>
      <c r="D1536" s="2" t="s">
        <v>10048</v>
      </c>
      <c r="E1536" s="15">
        <v>1.47E-2</v>
      </c>
      <c r="F1536" s="15">
        <v>5.9400000000000001E-2</v>
      </c>
      <c r="G1536" s="15">
        <v>0.80410000000000004</v>
      </c>
      <c r="H1536" s="15">
        <v>8.5099999999999995E-2</v>
      </c>
      <c r="I1536" s="15">
        <v>1.9199999999999998E-2</v>
      </c>
      <c r="J1536" s="15">
        <v>4.6165803108808294</v>
      </c>
    </row>
    <row r="1537" spans="1:10" x14ac:dyDescent="0.25">
      <c r="A1537" s="2" t="s">
        <v>4607</v>
      </c>
      <c r="B1537" s="2" t="s">
        <v>4608</v>
      </c>
      <c r="C1537" s="2" t="s">
        <v>4609</v>
      </c>
      <c r="D1537" s="2" t="s">
        <v>10048</v>
      </c>
      <c r="E1537" s="15">
        <v>8.6599999999999996E-2</v>
      </c>
      <c r="F1537" s="15">
        <v>5.0799999999999998E-2</v>
      </c>
      <c r="G1537" s="15">
        <v>8.7999999999999995E-2</v>
      </c>
      <c r="H1537" s="15">
        <v>0.1547</v>
      </c>
      <c r="I1537" s="15">
        <v>2.2800000000000001E-2</v>
      </c>
      <c r="J1537" s="15">
        <v>7.8965517241379306</v>
      </c>
    </row>
    <row r="1538" spans="1:10" x14ac:dyDescent="0.25">
      <c r="A1538" s="2" t="s">
        <v>4610</v>
      </c>
      <c r="B1538" s="2" t="s">
        <v>4611</v>
      </c>
      <c r="C1538" s="2" t="s">
        <v>4612</v>
      </c>
      <c r="D1538" s="2" t="s">
        <v>10048</v>
      </c>
      <c r="E1538" s="15">
        <v>3.1099999999999999E-2</v>
      </c>
      <c r="F1538" s="15">
        <v>4.5499999999999999E-2</v>
      </c>
      <c r="G1538" s="15">
        <v>0.49480000000000002</v>
      </c>
      <c r="H1538" s="15">
        <v>0.16139999999999999</v>
      </c>
      <c r="I1538" s="15">
        <v>2.0500000000000001E-2</v>
      </c>
      <c r="J1538" s="15">
        <v>8.4591836734693882</v>
      </c>
    </row>
    <row r="1539" spans="1:10" x14ac:dyDescent="0.25">
      <c r="A1539" s="2" t="s">
        <v>4613</v>
      </c>
      <c r="B1539" s="2" t="s">
        <v>4614</v>
      </c>
      <c r="C1539" s="2" t="s">
        <v>4615</v>
      </c>
      <c r="D1539" s="2" t="s">
        <v>10048</v>
      </c>
      <c r="E1539" s="15">
        <v>-3.6299999999999999E-2</v>
      </c>
      <c r="F1539" s="15">
        <v>4.87E-2</v>
      </c>
      <c r="G1539" s="15">
        <v>0.45669999999999999</v>
      </c>
      <c r="H1539" s="15">
        <v>0.17929999999999999</v>
      </c>
      <c r="I1539" s="15">
        <v>1.9099999999999999E-2</v>
      </c>
      <c r="J1539" s="15">
        <v>10.57377049180328</v>
      </c>
    </row>
    <row r="1540" spans="1:10" x14ac:dyDescent="0.25">
      <c r="A1540" s="2" t="s">
        <v>4616</v>
      </c>
      <c r="B1540" s="2" t="s">
        <v>4617</v>
      </c>
      <c r="C1540" s="2" t="s">
        <v>4618</v>
      </c>
      <c r="D1540" s="2" t="s">
        <v>10048</v>
      </c>
      <c r="E1540" s="15">
        <v>-5.9499999999999997E-2</v>
      </c>
      <c r="F1540" s="15">
        <v>5.5100000000000003E-2</v>
      </c>
      <c r="G1540" s="15">
        <v>0.27989999999999998</v>
      </c>
      <c r="H1540" s="15">
        <v>0.15110000000000001</v>
      </c>
      <c r="I1540" s="15">
        <v>0.02</v>
      </c>
      <c r="J1540" s="15">
        <v>9.0611111111111118</v>
      </c>
    </row>
    <row r="1541" spans="1:10" x14ac:dyDescent="0.25">
      <c r="A1541" s="2" t="s">
        <v>4619</v>
      </c>
      <c r="B1541" s="2" t="s">
        <v>4620</v>
      </c>
      <c r="C1541" s="2" t="s">
        <v>4621</v>
      </c>
      <c r="D1541" s="2" t="s">
        <v>10048</v>
      </c>
      <c r="E1541" s="15">
        <v>6.8000000000000005E-2</v>
      </c>
      <c r="F1541" s="15">
        <v>4.82E-2</v>
      </c>
      <c r="G1541" s="15">
        <v>0.158</v>
      </c>
      <c r="H1541" s="15">
        <v>0.1575</v>
      </c>
      <c r="I1541" s="15">
        <v>1.7500000000000002E-2</v>
      </c>
      <c r="J1541" s="15">
        <v>9.2356321839080469</v>
      </c>
    </row>
    <row r="1542" spans="1:10" x14ac:dyDescent="0.25">
      <c r="A1542" s="2" t="s">
        <v>4622</v>
      </c>
      <c r="B1542" s="2" t="s">
        <v>4623</v>
      </c>
      <c r="C1542" s="2" t="s">
        <v>4624</v>
      </c>
      <c r="D1542" s="2" t="s">
        <v>10048</v>
      </c>
      <c r="E1542" s="15">
        <v>1.47E-2</v>
      </c>
      <c r="F1542" s="15">
        <v>4.19E-2</v>
      </c>
      <c r="G1542" s="15">
        <v>0.72629999999999995</v>
      </c>
      <c r="H1542" s="15">
        <v>0.1686</v>
      </c>
      <c r="I1542" s="15">
        <v>1.7500000000000002E-2</v>
      </c>
      <c r="J1542" s="15">
        <v>10.07821229050279</v>
      </c>
    </row>
    <row r="1543" spans="1:10" x14ac:dyDescent="0.25">
      <c r="A1543" s="2" t="s">
        <v>4625</v>
      </c>
      <c r="B1543" s="2" t="s">
        <v>4626</v>
      </c>
      <c r="C1543" s="2" t="s">
        <v>4627</v>
      </c>
      <c r="D1543" s="2" t="s">
        <v>10048</v>
      </c>
      <c r="E1543" s="15">
        <v>7.7299999999999994E-2</v>
      </c>
      <c r="F1543" s="15">
        <v>4.1000000000000002E-2</v>
      </c>
      <c r="G1543" s="15">
        <v>5.9700000000000003E-2</v>
      </c>
      <c r="H1543" s="15">
        <v>0.22689999999999999</v>
      </c>
      <c r="I1543" s="15">
        <v>2.2200000000000001E-2</v>
      </c>
      <c r="J1543" s="15">
        <v>10.678733031674209</v>
      </c>
    </row>
    <row r="1544" spans="1:10" x14ac:dyDescent="0.25">
      <c r="A1544" s="2" t="s">
        <v>4628</v>
      </c>
      <c r="B1544" s="2" t="s">
        <v>4629</v>
      </c>
      <c r="C1544" s="2" t="s">
        <v>4630</v>
      </c>
      <c r="D1544" s="2" t="s">
        <v>10048</v>
      </c>
      <c r="E1544" s="15">
        <v>2.7199999999999998E-2</v>
      </c>
      <c r="F1544" s="15">
        <v>4.0599999999999997E-2</v>
      </c>
      <c r="G1544" s="15">
        <v>0.50239999999999996</v>
      </c>
      <c r="H1544" s="15">
        <v>0.24310000000000001</v>
      </c>
      <c r="I1544" s="15">
        <v>2.2499999999999999E-2</v>
      </c>
      <c r="J1544" s="15">
        <v>12.287735849056601</v>
      </c>
    </row>
    <row r="1545" spans="1:10" x14ac:dyDescent="0.25">
      <c r="A1545" s="2" t="s">
        <v>4631</v>
      </c>
      <c r="B1545" s="2" t="s">
        <v>4632</v>
      </c>
      <c r="C1545" s="2" t="s">
        <v>4633</v>
      </c>
      <c r="D1545" s="2" t="s">
        <v>10048</v>
      </c>
      <c r="E1545" s="15">
        <v>7.1400000000000005E-2</v>
      </c>
      <c r="F1545" s="15">
        <v>3.78E-2</v>
      </c>
      <c r="G1545" s="15">
        <v>5.8400000000000001E-2</v>
      </c>
      <c r="H1545" s="15">
        <v>0.30209999999999998</v>
      </c>
      <c r="I1545" s="15">
        <v>2.5700000000000001E-2</v>
      </c>
      <c r="J1545" s="15">
        <v>12.95397489539749</v>
      </c>
    </row>
    <row r="1546" spans="1:10" x14ac:dyDescent="0.25">
      <c r="A1546" s="2" t="s">
        <v>4634</v>
      </c>
      <c r="B1546" s="2" t="s">
        <v>4635</v>
      </c>
      <c r="C1546" s="2" t="s">
        <v>4636</v>
      </c>
      <c r="D1546" s="2" t="s">
        <v>10048</v>
      </c>
      <c r="E1546" s="15">
        <v>9.74E-2</v>
      </c>
      <c r="F1546" s="15">
        <v>3.7900000000000003E-2</v>
      </c>
      <c r="G1546" s="15">
        <v>1.0200000000000001E-2</v>
      </c>
      <c r="H1546" s="15">
        <v>0.28110000000000002</v>
      </c>
      <c r="I1546" s="15">
        <v>2.2700000000000001E-2</v>
      </c>
      <c r="J1546" s="15">
        <v>12.739910313901349</v>
      </c>
    </row>
    <row r="1547" spans="1:10" x14ac:dyDescent="0.25">
      <c r="A1547" s="2" t="s">
        <v>4637</v>
      </c>
      <c r="B1547" s="2" t="s">
        <v>4638</v>
      </c>
      <c r="C1547" s="2" t="s">
        <v>4639</v>
      </c>
      <c r="D1547" s="2" t="s">
        <v>10048</v>
      </c>
      <c r="E1547" s="15">
        <v>8.72E-2</v>
      </c>
      <c r="F1547" s="15">
        <v>3.1699999999999999E-2</v>
      </c>
      <c r="G1547" s="15">
        <v>6.0000000000000001E-3</v>
      </c>
      <c r="H1547" s="15">
        <v>0.3543</v>
      </c>
      <c r="I1547" s="15">
        <v>2.6499999999999999E-2</v>
      </c>
      <c r="J1547" s="15">
        <v>14.65587044534413</v>
      </c>
    </row>
    <row r="1548" spans="1:10" x14ac:dyDescent="0.25">
      <c r="A1548" s="2" t="s">
        <v>4640</v>
      </c>
      <c r="B1548" s="2" t="s">
        <v>4641</v>
      </c>
      <c r="C1548" s="2" t="s">
        <v>4642</v>
      </c>
      <c r="D1548" s="2" t="s">
        <v>10048</v>
      </c>
      <c r="E1548" s="15">
        <v>9.8400000000000001E-2</v>
      </c>
      <c r="F1548" s="15">
        <v>3.4599999999999999E-2</v>
      </c>
      <c r="G1548" s="15">
        <v>4.4000000000000003E-3</v>
      </c>
      <c r="H1548" s="15">
        <v>0.33279999999999998</v>
      </c>
      <c r="I1548" s="15">
        <v>2.6499999999999999E-2</v>
      </c>
      <c r="J1548" s="15">
        <v>13.9758064516129</v>
      </c>
    </row>
    <row r="1549" spans="1:10" x14ac:dyDescent="0.25">
      <c r="A1549" s="2" t="s">
        <v>4643</v>
      </c>
      <c r="B1549" s="2" t="s">
        <v>4644</v>
      </c>
      <c r="C1549" s="2" t="s">
        <v>4645</v>
      </c>
      <c r="D1549" s="2" t="s">
        <v>10048</v>
      </c>
      <c r="E1549" s="15">
        <v>9.5699999999999993E-2</v>
      </c>
      <c r="F1549" s="15">
        <v>4.02E-2</v>
      </c>
      <c r="G1549" s="15">
        <v>1.7399999999999999E-2</v>
      </c>
      <c r="H1549" s="15">
        <v>0.24010000000000001</v>
      </c>
      <c r="I1549" s="15">
        <v>2.4199999999999999E-2</v>
      </c>
      <c r="J1549" s="15">
        <v>11.34782608695652</v>
      </c>
    </row>
    <row r="1550" spans="1:10" x14ac:dyDescent="0.25">
      <c r="A1550" s="2" t="s">
        <v>4646</v>
      </c>
      <c r="B1550" s="2" t="s">
        <v>4647</v>
      </c>
      <c r="C1550" s="2" t="s">
        <v>4648</v>
      </c>
      <c r="D1550" s="2" t="s">
        <v>10048</v>
      </c>
      <c r="E1550" s="15">
        <v>0.1087</v>
      </c>
      <c r="F1550" s="15">
        <v>4.2999999999999997E-2</v>
      </c>
      <c r="G1550" s="15">
        <v>1.15E-2</v>
      </c>
      <c r="H1550" s="15">
        <v>0.2172</v>
      </c>
      <c r="I1550" s="15">
        <v>2.41E-2</v>
      </c>
      <c r="J1550" s="15">
        <v>10.03478260869565</v>
      </c>
    </row>
    <row r="1551" spans="1:10" x14ac:dyDescent="0.25">
      <c r="A1551" s="2" t="s">
        <v>4649</v>
      </c>
      <c r="B1551" s="2" t="s">
        <v>4650</v>
      </c>
      <c r="C1551" s="2" t="s">
        <v>4651</v>
      </c>
      <c r="D1551" s="2" t="s">
        <v>10048</v>
      </c>
      <c r="E1551" s="15">
        <v>-1.55E-2</v>
      </c>
      <c r="F1551" s="15">
        <v>4.2099999999999999E-2</v>
      </c>
      <c r="G1551" s="15">
        <v>0.71330000000000005</v>
      </c>
      <c r="H1551" s="15">
        <v>0.23880000000000001</v>
      </c>
      <c r="I1551" s="15">
        <v>2.1299999999999999E-2</v>
      </c>
      <c r="J1551" s="15">
        <v>12.39130434782609</v>
      </c>
    </row>
    <row r="1552" spans="1:10" x14ac:dyDescent="0.25">
      <c r="A1552" s="2" t="s">
        <v>4652</v>
      </c>
      <c r="B1552" s="2" t="s">
        <v>4653</v>
      </c>
      <c r="C1552" s="2" t="s">
        <v>4654</v>
      </c>
      <c r="D1552" s="2" t="s">
        <v>10048</v>
      </c>
      <c r="E1552" s="15">
        <v>-6.2399999999999997E-2</v>
      </c>
      <c r="F1552" s="15">
        <v>4.2000000000000003E-2</v>
      </c>
      <c r="G1552" s="15">
        <v>0.1381</v>
      </c>
      <c r="H1552" s="15">
        <v>0.23549999999999999</v>
      </c>
      <c r="I1552" s="15">
        <v>1.89E-2</v>
      </c>
      <c r="J1552" s="15">
        <v>12.93298969072165</v>
      </c>
    </row>
    <row r="1553" spans="1:10" x14ac:dyDescent="0.25">
      <c r="A1553" s="2" t="s">
        <v>4655</v>
      </c>
      <c r="B1553" s="2" t="s">
        <v>4656</v>
      </c>
      <c r="C1553" s="2" t="s">
        <v>4657</v>
      </c>
      <c r="D1553" s="2" t="s">
        <v>10048</v>
      </c>
      <c r="E1553" s="15">
        <v>8.7800000000000003E-2</v>
      </c>
      <c r="F1553" s="15">
        <v>4.5400000000000003E-2</v>
      </c>
      <c r="G1553" s="15">
        <v>5.33E-2</v>
      </c>
      <c r="H1553" s="15">
        <v>0.27479999999999999</v>
      </c>
      <c r="I1553" s="15">
        <v>2.4799999999999999E-2</v>
      </c>
      <c r="J1553" s="15">
        <v>12.27916666666667</v>
      </c>
    </row>
    <row r="1554" spans="1:10" x14ac:dyDescent="0.25">
      <c r="A1554" s="2" t="s">
        <v>4658</v>
      </c>
      <c r="B1554" s="2" t="s">
        <v>4659</v>
      </c>
      <c r="C1554" s="2" t="s">
        <v>4660</v>
      </c>
      <c r="D1554" s="2" t="s">
        <v>10048</v>
      </c>
      <c r="E1554" s="15">
        <v>8.3099999999999993E-2</v>
      </c>
      <c r="F1554" s="15">
        <v>4.3900000000000002E-2</v>
      </c>
      <c r="G1554" s="15">
        <v>5.8000000000000003E-2</v>
      </c>
      <c r="H1554" s="15">
        <v>0.26979999999999998</v>
      </c>
      <c r="I1554" s="15">
        <v>2.58E-2</v>
      </c>
      <c r="J1554" s="15">
        <v>11.624000000000001</v>
      </c>
    </row>
    <row r="1555" spans="1:10" x14ac:dyDescent="0.25">
      <c r="A1555" s="2" t="s">
        <v>4661</v>
      </c>
      <c r="B1555" s="2" t="s">
        <v>4662</v>
      </c>
      <c r="C1555" s="2" t="s">
        <v>4663</v>
      </c>
      <c r="D1555" s="2" t="s">
        <v>10048</v>
      </c>
      <c r="E1555" s="15">
        <v>5.9200000000000003E-2</v>
      </c>
      <c r="F1555" s="15">
        <v>4.1500000000000002E-2</v>
      </c>
      <c r="G1555" s="15">
        <v>0.15340000000000001</v>
      </c>
      <c r="H1555" s="15">
        <v>0.22789999999999999</v>
      </c>
      <c r="I1555" s="15">
        <v>2.06E-2</v>
      </c>
      <c r="J1555" s="15">
        <v>12.47474747474747</v>
      </c>
    </row>
    <row r="1556" spans="1:10" x14ac:dyDescent="0.25">
      <c r="A1556" s="2" t="s">
        <v>4664</v>
      </c>
      <c r="B1556" s="2" t="s">
        <v>4665</v>
      </c>
      <c r="C1556" s="2" t="s">
        <v>4666</v>
      </c>
      <c r="D1556" s="2" t="s">
        <v>10048</v>
      </c>
      <c r="E1556" s="15">
        <v>9.9299999999999999E-2</v>
      </c>
      <c r="F1556" s="15">
        <v>4.6399999999999997E-2</v>
      </c>
      <c r="G1556" s="15">
        <v>3.2399999999999998E-2</v>
      </c>
      <c r="H1556" s="15">
        <v>0.186</v>
      </c>
      <c r="I1556" s="15">
        <v>2.0400000000000001E-2</v>
      </c>
      <c r="J1556" s="15">
        <v>10.03960396039604</v>
      </c>
    </row>
    <row r="1557" spans="1:10" x14ac:dyDescent="0.25">
      <c r="A1557" s="2" t="s">
        <v>4667</v>
      </c>
      <c r="B1557" s="2" t="s">
        <v>4668</v>
      </c>
      <c r="C1557" s="2" t="s">
        <v>4669</v>
      </c>
      <c r="D1557" s="2" t="s">
        <v>10048</v>
      </c>
      <c r="E1557" s="15">
        <v>-6.4999999999999997E-3</v>
      </c>
      <c r="F1557" s="15">
        <v>4.6100000000000002E-2</v>
      </c>
      <c r="G1557" s="15">
        <v>0.88759999999999994</v>
      </c>
      <c r="H1557" s="15">
        <v>0.1724</v>
      </c>
      <c r="I1557" s="15">
        <v>1.9900000000000001E-2</v>
      </c>
      <c r="J1557" s="15">
        <v>9.7679558011049714</v>
      </c>
    </row>
    <row r="1558" spans="1:10" x14ac:dyDescent="0.25">
      <c r="A1558" s="2" t="s">
        <v>4670</v>
      </c>
      <c r="B1558" s="2" t="s">
        <v>4671</v>
      </c>
      <c r="C1558" s="2" t="s">
        <v>4672</v>
      </c>
      <c r="D1558" s="2" t="s">
        <v>10048</v>
      </c>
      <c r="E1558" s="15">
        <v>6.93E-2</v>
      </c>
      <c r="F1558" s="15">
        <v>5.0900000000000001E-2</v>
      </c>
      <c r="G1558" s="15">
        <v>0.17269999999999999</v>
      </c>
      <c r="H1558" s="15">
        <v>0.14899999999999999</v>
      </c>
      <c r="I1558" s="15">
        <v>2.0400000000000001E-2</v>
      </c>
      <c r="J1558" s="15">
        <v>7.8431372549019596</v>
      </c>
    </row>
    <row r="1559" spans="1:10" x14ac:dyDescent="0.25">
      <c r="A1559" s="2" t="s">
        <v>4673</v>
      </c>
      <c r="B1559" s="2" t="s">
        <v>4674</v>
      </c>
      <c r="C1559" s="2" t="s">
        <v>4675</v>
      </c>
      <c r="D1559" s="2" t="s">
        <v>10048</v>
      </c>
      <c r="E1559" s="15">
        <v>2.8799999999999999E-2</v>
      </c>
      <c r="F1559" s="15">
        <v>4.3400000000000001E-2</v>
      </c>
      <c r="G1559" s="15">
        <v>0.50629999999999997</v>
      </c>
      <c r="H1559" s="15">
        <v>0.18329999999999999</v>
      </c>
      <c r="I1559" s="15">
        <v>1.78E-2</v>
      </c>
      <c r="J1559" s="15">
        <v>10.869565217391299</v>
      </c>
    </row>
    <row r="1560" spans="1:10" x14ac:dyDescent="0.25">
      <c r="A1560" s="2" t="s">
        <v>4676</v>
      </c>
      <c r="B1560" s="2" t="s">
        <v>4677</v>
      </c>
      <c r="C1560" s="2" t="s">
        <v>4678</v>
      </c>
      <c r="D1560" s="2" t="s">
        <v>10048</v>
      </c>
      <c r="E1560" s="15">
        <v>6.8400000000000002E-2</v>
      </c>
      <c r="F1560" s="15">
        <v>4.3700000000000003E-2</v>
      </c>
      <c r="G1560" s="15">
        <v>0.1178</v>
      </c>
      <c r="H1560" s="15">
        <v>0.17929999999999999</v>
      </c>
      <c r="I1560" s="15">
        <v>2.07E-2</v>
      </c>
      <c r="J1560" s="15">
        <v>9.220588235294116</v>
      </c>
    </row>
    <row r="1561" spans="1:10" x14ac:dyDescent="0.25">
      <c r="A1561" s="2" t="s">
        <v>4679</v>
      </c>
      <c r="B1561" s="2" t="s">
        <v>4680</v>
      </c>
      <c r="C1561" s="2" t="s">
        <v>4681</v>
      </c>
      <c r="D1561" s="2" t="s">
        <v>10048</v>
      </c>
      <c r="E1561" s="15">
        <v>-8.2900000000000001E-2</v>
      </c>
      <c r="F1561" s="15">
        <v>4.02E-2</v>
      </c>
      <c r="G1561" s="15">
        <v>3.9300000000000002E-2</v>
      </c>
      <c r="H1561" s="15">
        <v>0.25480000000000003</v>
      </c>
      <c r="I1561" s="15">
        <v>2.1299999999999999E-2</v>
      </c>
      <c r="J1561" s="15">
        <v>12.88349514563107</v>
      </c>
    </row>
    <row r="1562" spans="1:10" x14ac:dyDescent="0.25">
      <c r="A1562" s="2" t="s">
        <v>4682</v>
      </c>
      <c r="B1562" s="2" t="s">
        <v>4683</v>
      </c>
      <c r="C1562" s="2" t="s">
        <v>4684</v>
      </c>
      <c r="D1562" s="2" t="s">
        <v>10048</v>
      </c>
      <c r="E1562" s="15">
        <v>-7.7399999999999997E-2</v>
      </c>
      <c r="F1562" s="15">
        <v>4.2299999999999997E-2</v>
      </c>
      <c r="G1562" s="15">
        <v>6.7500000000000004E-2</v>
      </c>
      <c r="H1562" s="15">
        <v>0.25629999999999997</v>
      </c>
      <c r="I1562" s="15">
        <v>2.3099999999999999E-2</v>
      </c>
      <c r="J1562" s="15">
        <v>12.121621621621619</v>
      </c>
    </row>
    <row r="1563" spans="1:10" x14ac:dyDescent="0.25">
      <c r="A1563" s="2" t="s">
        <v>4685</v>
      </c>
      <c r="B1563" s="2" t="s">
        <v>4686</v>
      </c>
      <c r="C1563" s="2" t="s">
        <v>4687</v>
      </c>
      <c r="D1563" s="2" t="s">
        <v>10048</v>
      </c>
      <c r="E1563" s="15">
        <v>1.35E-2</v>
      </c>
      <c r="F1563" s="15">
        <v>4.1799999999999997E-2</v>
      </c>
      <c r="G1563" s="15">
        <v>0.74750000000000005</v>
      </c>
      <c r="H1563" s="15">
        <v>0.2218</v>
      </c>
      <c r="I1563" s="15">
        <v>2.23E-2</v>
      </c>
      <c r="J1563" s="15">
        <v>10.5</v>
      </c>
    </row>
    <row r="1564" spans="1:10" x14ac:dyDescent="0.25">
      <c r="A1564" s="2" t="s">
        <v>4688</v>
      </c>
      <c r="B1564" s="2" t="s">
        <v>4689</v>
      </c>
      <c r="C1564" s="2" t="s">
        <v>4690</v>
      </c>
      <c r="D1564" s="2" t="s">
        <v>10048</v>
      </c>
      <c r="E1564" s="15">
        <v>-1.8E-3</v>
      </c>
      <c r="F1564" s="15">
        <v>4.2500000000000003E-2</v>
      </c>
      <c r="G1564" s="15">
        <v>0.96709999999999996</v>
      </c>
      <c r="H1564" s="15">
        <v>0.21829999999999999</v>
      </c>
      <c r="I1564" s="15">
        <v>2.4799999999999999E-2</v>
      </c>
      <c r="J1564" s="15">
        <v>10.70232558139535</v>
      </c>
    </row>
    <row r="1565" spans="1:10" x14ac:dyDescent="0.25">
      <c r="A1565" s="2" t="s">
        <v>4691</v>
      </c>
      <c r="B1565" s="2" t="s">
        <v>4692</v>
      </c>
      <c r="C1565" s="2" t="s">
        <v>4693</v>
      </c>
      <c r="D1565" s="2" t="s">
        <v>10048</v>
      </c>
      <c r="E1565" s="15">
        <v>8.4900000000000003E-2</v>
      </c>
      <c r="F1565" s="15">
        <v>4.65E-2</v>
      </c>
      <c r="G1565" s="15">
        <v>6.8199999999999997E-2</v>
      </c>
      <c r="H1565" s="15">
        <v>0.16700000000000001</v>
      </c>
      <c r="I1565" s="15">
        <v>2.24E-2</v>
      </c>
      <c r="J1565" s="15">
        <v>8.0925925925925934</v>
      </c>
    </row>
    <row r="1566" spans="1:10" x14ac:dyDescent="0.25">
      <c r="A1566" s="2" t="s">
        <v>4694</v>
      </c>
      <c r="B1566" s="2" t="s">
        <v>4695</v>
      </c>
      <c r="C1566" s="2" t="s">
        <v>4696</v>
      </c>
      <c r="D1566" s="2" t="s">
        <v>10048</v>
      </c>
      <c r="E1566" s="15">
        <v>0.1159</v>
      </c>
      <c r="F1566" s="15">
        <v>4.9700000000000001E-2</v>
      </c>
      <c r="G1566" s="15">
        <v>1.9599999999999999E-2</v>
      </c>
      <c r="H1566" s="15">
        <v>0.14560000000000001</v>
      </c>
      <c r="I1566" s="15">
        <v>2.5399999999999999E-2</v>
      </c>
      <c r="J1566" s="15">
        <v>6.6556016597510368</v>
      </c>
    </row>
    <row r="1567" spans="1:10" x14ac:dyDescent="0.25">
      <c r="A1567" s="2" t="s">
        <v>4697</v>
      </c>
      <c r="B1567" s="2" t="s">
        <v>4698</v>
      </c>
      <c r="C1567" s="2" t="s">
        <v>4699</v>
      </c>
      <c r="D1567" s="2" t="s">
        <v>10048</v>
      </c>
      <c r="E1567" s="15">
        <v>-1.09E-2</v>
      </c>
      <c r="F1567" s="15">
        <v>4.1500000000000002E-2</v>
      </c>
      <c r="G1567" s="15">
        <v>0.79300000000000004</v>
      </c>
      <c r="H1567" s="15">
        <v>0.21759999999999999</v>
      </c>
      <c r="I1567" s="15">
        <v>2.3599999999999999E-2</v>
      </c>
      <c r="J1567" s="15">
        <v>9.6637554585152827</v>
      </c>
    </row>
    <row r="1568" spans="1:10" x14ac:dyDescent="0.25">
      <c r="A1568" s="2" t="s">
        <v>4700</v>
      </c>
      <c r="B1568" s="2" t="s">
        <v>4701</v>
      </c>
      <c r="C1568" s="2" t="s">
        <v>4702</v>
      </c>
      <c r="D1568" s="2" t="s">
        <v>10048</v>
      </c>
      <c r="E1568" s="15">
        <v>-7.4999999999999997E-2</v>
      </c>
      <c r="F1568" s="15">
        <v>4.4699999999999997E-2</v>
      </c>
      <c r="G1568" s="15">
        <v>9.2999999999999999E-2</v>
      </c>
      <c r="H1568" s="15">
        <v>0.21160000000000001</v>
      </c>
      <c r="I1568" s="15">
        <v>2.1000000000000001E-2</v>
      </c>
      <c r="J1568" s="15">
        <v>10.90952380952381</v>
      </c>
    </row>
    <row r="1569" spans="1:10" x14ac:dyDescent="0.25">
      <c r="A1569" s="2" t="s">
        <v>4703</v>
      </c>
      <c r="B1569" s="2" t="s">
        <v>4704</v>
      </c>
      <c r="C1569" s="2" t="s">
        <v>4705</v>
      </c>
      <c r="D1569" s="2" t="s">
        <v>10048</v>
      </c>
      <c r="E1569" s="15">
        <v>8.1699999999999995E-2</v>
      </c>
      <c r="F1569" s="15">
        <v>4.0899999999999999E-2</v>
      </c>
      <c r="G1569" s="15">
        <v>4.5900000000000003E-2</v>
      </c>
      <c r="H1569" s="15">
        <v>0.25159999999999999</v>
      </c>
      <c r="I1569" s="15">
        <v>2.3199999999999998E-2</v>
      </c>
      <c r="J1569" s="15">
        <v>11.6218487394958</v>
      </c>
    </row>
    <row r="1570" spans="1:10" x14ac:dyDescent="0.25">
      <c r="A1570" s="2" t="s">
        <v>4706</v>
      </c>
      <c r="B1570" s="2" t="s">
        <v>4707</v>
      </c>
      <c r="C1570" s="2" t="s">
        <v>4708</v>
      </c>
      <c r="D1570" s="2" t="s">
        <v>10048</v>
      </c>
      <c r="E1570" s="15">
        <v>8.4199999999999997E-2</v>
      </c>
      <c r="F1570" s="15">
        <v>3.9800000000000002E-2</v>
      </c>
      <c r="G1570" s="15">
        <v>3.4500000000000003E-2</v>
      </c>
      <c r="H1570" s="15">
        <v>0.21940000000000001</v>
      </c>
      <c r="I1570" s="15">
        <v>2.1600000000000001E-2</v>
      </c>
      <c r="J1570" s="15">
        <v>11.630331753554501</v>
      </c>
    </row>
    <row r="1571" spans="1:10" x14ac:dyDescent="0.25">
      <c r="A1571" s="2" t="s">
        <v>4709</v>
      </c>
      <c r="B1571" s="2" t="s">
        <v>4710</v>
      </c>
      <c r="C1571" s="2" t="s">
        <v>4711</v>
      </c>
      <c r="D1571" s="2" t="s">
        <v>10048</v>
      </c>
      <c r="E1571" s="15">
        <v>-6.4799999999999996E-2</v>
      </c>
      <c r="F1571" s="15">
        <v>5.67E-2</v>
      </c>
      <c r="G1571" s="15">
        <v>0.25280000000000002</v>
      </c>
      <c r="H1571" s="15">
        <v>0.1103</v>
      </c>
      <c r="I1571" s="15">
        <v>1.8599999999999998E-2</v>
      </c>
      <c r="J1571" s="15">
        <v>6.4566473988439306</v>
      </c>
    </row>
    <row r="1572" spans="1:10" x14ac:dyDescent="0.25">
      <c r="A1572" s="2" t="s">
        <v>4712</v>
      </c>
      <c r="B1572" s="2" t="s">
        <v>4713</v>
      </c>
      <c r="C1572" s="2" t="s">
        <v>4714</v>
      </c>
      <c r="D1572" s="2" t="s">
        <v>10048</v>
      </c>
      <c r="E1572" s="15">
        <v>-3.2000000000000001E-2</v>
      </c>
      <c r="F1572" s="15">
        <v>5.5E-2</v>
      </c>
      <c r="G1572" s="15">
        <v>0.56100000000000005</v>
      </c>
      <c r="H1572" s="15">
        <v>0.1144</v>
      </c>
      <c r="I1572" s="15">
        <v>1.8200000000000001E-2</v>
      </c>
      <c r="J1572" s="15">
        <v>6.8362573099415203</v>
      </c>
    </row>
    <row r="1573" spans="1:10" x14ac:dyDescent="0.25">
      <c r="A1573" s="2" t="s">
        <v>4715</v>
      </c>
      <c r="B1573" s="2" t="s">
        <v>4716</v>
      </c>
      <c r="C1573" s="2" t="s">
        <v>4717</v>
      </c>
      <c r="D1573" s="2" t="s">
        <v>10048</v>
      </c>
      <c r="E1573" s="15">
        <v>4.3400000000000001E-2</v>
      </c>
      <c r="F1573" s="15">
        <v>4.87E-2</v>
      </c>
      <c r="G1573" s="15">
        <v>0.37230000000000002</v>
      </c>
      <c r="H1573" s="15">
        <v>0.18090000000000001</v>
      </c>
      <c r="I1573" s="15">
        <v>2.1600000000000001E-2</v>
      </c>
      <c r="J1573" s="15">
        <v>8.8920187793427239</v>
      </c>
    </row>
    <row r="1574" spans="1:10" x14ac:dyDescent="0.25">
      <c r="A1574" s="2" t="s">
        <v>4718</v>
      </c>
      <c r="B1574" s="2" t="s">
        <v>4719</v>
      </c>
      <c r="C1574" s="2" t="s">
        <v>4720</v>
      </c>
      <c r="D1574" s="2" t="s">
        <v>10048</v>
      </c>
      <c r="E1574" s="15">
        <v>-9.2999999999999992E-3</v>
      </c>
      <c r="F1574" s="15">
        <v>5.1799999999999999E-2</v>
      </c>
      <c r="G1574" s="15">
        <v>0.85780000000000001</v>
      </c>
      <c r="H1574" s="15">
        <v>0.18290000000000001</v>
      </c>
      <c r="I1574" s="15">
        <v>2.23E-2</v>
      </c>
      <c r="J1574" s="15">
        <v>8.9908675799086755</v>
      </c>
    </row>
    <row r="1575" spans="1:10" x14ac:dyDescent="0.25">
      <c r="A1575" s="2" t="s">
        <v>4721</v>
      </c>
      <c r="B1575" s="2" t="s">
        <v>4722</v>
      </c>
      <c r="C1575" s="2" t="s">
        <v>4723</v>
      </c>
      <c r="D1575" s="2" t="s">
        <v>10048</v>
      </c>
      <c r="E1575" s="15">
        <v>-5.0000000000000001E-4</v>
      </c>
      <c r="F1575" s="15">
        <v>5.7599999999999998E-2</v>
      </c>
      <c r="G1575" s="15">
        <v>0.99329999999999996</v>
      </c>
      <c r="H1575" s="15">
        <v>0.12470000000000001</v>
      </c>
      <c r="I1575" s="15">
        <v>1.7999999999999999E-2</v>
      </c>
      <c r="J1575" s="15">
        <v>7.3189189189189188</v>
      </c>
    </row>
    <row r="1576" spans="1:10" x14ac:dyDescent="0.25">
      <c r="A1576" s="2" t="s">
        <v>4724</v>
      </c>
      <c r="B1576" s="2" t="s">
        <v>4725</v>
      </c>
      <c r="C1576" s="2" t="s">
        <v>4726</v>
      </c>
      <c r="D1576" s="2" t="s">
        <v>10048</v>
      </c>
      <c r="E1576" s="15">
        <v>4.4900000000000002E-2</v>
      </c>
      <c r="F1576" s="15">
        <v>4.7600000000000003E-2</v>
      </c>
      <c r="G1576" s="15">
        <v>0.3453</v>
      </c>
      <c r="H1576" s="15">
        <v>0.18759999999999999</v>
      </c>
      <c r="I1576" s="15">
        <v>2.12E-2</v>
      </c>
      <c r="J1576" s="15">
        <v>9.7638190954773858</v>
      </c>
    </row>
    <row r="1577" spans="1:10" x14ac:dyDescent="0.25">
      <c r="A1577" s="2" t="s">
        <v>4727</v>
      </c>
      <c r="B1577" s="2" t="s">
        <v>4728</v>
      </c>
      <c r="C1577" s="2" t="s">
        <v>4729</v>
      </c>
      <c r="D1577" s="2" t="s">
        <v>10048</v>
      </c>
      <c r="E1577" s="15">
        <v>0.1072</v>
      </c>
      <c r="F1577" s="15">
        <v>5.5199999999999999E-2</v>
      </c>
      <c r="G1577" s="15">
        <v>5.1900000000000002E-2</v>
      </c>
      <c r="H1577" s="15">
        <v>0.1012</v>
      </c>
      <c r="I1577" s="15">
        <v>2.07E-2</v>
      </c>
      <c r="J1577" s="15">
        <v>5.1190476190476186</v>
      </c>
    </row>
    <row r="1578" spans="1:10" x14ac:dyDescent="0.25">
      <c r="A1578" s="2" t="s">
        <v>4730</v>
      </c>
      <c r="B1578" s="2" t="s">
        <v>4731</v>
      </c>
      <c r="C1578" s="2" t="s">
        <v>4732</v>
      </c>
      <c r="D1578" s="2" t="s">
        <v>10048</v>
      </c>
      <c r="E1578" s="15">
        <v>7.3099999999999998E-2</v>
      </c>
      <c r="F1578" s="15">
        <v>6.4000000000000001E-2</v>
      </c>
      <c r="G1578" s="15">
        <v>0.25309999999999999</v>
      </c>
      <c r="H1578" s="15">
        <v>8.3000000000000004E-2</v>
      </c>
      <c r="I1578" s="15">
        <v>1.6299999999999999E-2</v>
      </c>
      <c r="J1578" s="15">
        <v>6.0625</v>
      </c>
    </row>
    <row r="1579" spans="1:10" x14ac:dyDescent="0.25">
      <c r="A1579" s="2" t="s">
        <v>4733</v>
      </c>
      <c r="B1579" s="2" t="s">
        <v>4734</v>
      </c>
      <c r="C1579" s="2" t="s">
        <v>4735</v>
      </c>
      <c r="D1579" s="2" t="s">
        <v>10048</v>
      </c>
      <c r="E1579" s="15">
        <v>9.9000000000000008E-3</v>
      </c>
      <c r="F1579" s="15">
        <v>4.0399999999999998E-2</v>
      </c>
      <c r="G1579" s="15">
        <v>0.80610000000000004</v>
      </c>
      <c r="H1579" s="15">
        <v>0.21079999999999999</v>
      </c>
      <c r="I1579" s="15">
        <v>1.72E-2</v>
      </c>
      <c r="J1579" s="15">
        <v>12.45810055865922</v>
      </c>
    </row>
    <row r="1580" spans="1:10" x14ac:dyDescent="0.25">
      <c r="A1580" s="2" t="s">
        <v>4736</v>
      </c>
      <c r="B1580" s="2" t="s">
        <v>4737</v>
      </c>
      <c r="C1580" s="2" t="s">
        <v>4738</v>
      </c>
      <c r="D1580" s="2" t="s">
        <v>10048</v>
      </c>
      <c r="E1580" s="15">
        <v>3.6799999999999999E-2</v>
      </c>
      <c r="F1580" s="15">
        <v>4.41E-2</v>
      </c>
      <c r="G1580" s="15">
        <v>0.40339999999999998</v>
      </c>
      <c r="H1580" s="15">
        <v>0.1827</v>
      </c>
      <c r="I1580" s="15">
        <v>1.8700000000000001E-2</v>
      </c>
      <c r="J1580" s="15">
        <v>10.154255319148939</v>
      </c>
    </row>
    <row r="1581" spans="1:10" x14ac:dyDescent="0.25">
      <c r="A1581" s="2" t="s">
        <v>4739</v>
      </c>
      <c r="B1581" s="2" t="s">
        <v>4740</v>
      </c>
      <c r="C1581" s="2" t="s">
        <v>4741</v>
      </c>
      <c r="D1581" s="2" t="s">
        <v>10048</v>
      </c>
      <c r="E1581" s="15">
        <v>-3.0099999999999998E-2</v>
      </c>
      <c r="F1581" s="15">
        <v>4.5400000000000003E-2</v>
      </c>
      <c r="G1581" s="15">
        <v>0.50749999999999995</v>
      </c>
      <c r="H1581" s="15">
        <v>0.15970000000000001</v>
      </c>
      <c r="I1581" s="15">
        <v>1.95E-2</v>
      </c>
      <c r="J1581" s="15">
        <v>8.9468085106382969</v>
      </c>
    </row>
    <row r="1582" spans="1:10" x14ac:dyDescent="0.25">
      <c r="A1582" s="2" t="s">
        <v>4742</v>
      </c>
      <c r="B1582" s="2" t="s">
        <v>4743</v>
      </c>
      <c r="C1582" s="2" t="s">
        <v>4744</v>
      </c>
      <c r="D1582" s="2" t="s">
        <v>10048</v>
      </c>
      <c r="E1582" s="15">
        <v>-4.4000000000000003E-3</v>
      </c>
      <c r="F1582" s="15">
        <v>4.7600000000000003E-2</v>
      </c>
      <c r="G1582" s="15">
        <v>0.92589999999999995</v>
      </c>
      <c r="H1582" s="15">
        <v>0.17469999999999999</v>
      </c>
      <c r="I1582" s="15">
        <v>1.9599999999999999E-2</v>
      </c>
      <c r="J1582" s="15">
        <v>9.5968586387434556</v>
      </c>
    </row>
    <row r="1583" spans="1:10" x14ac:dyDescent="0.25">
      <c r="A1583" s="2" t="s">
        <v>4745</v>
      </c>
      <c r="B1583" s="2" t="s">
        <v>4746</v>
      </c>
      <c r="C1583" s="2" t="s">
        <v>4747</v>
      </c>
      <c r="D1583" s="2" t="s">
        <v>10048</v>
      </c>
      <c r="E1583" s="15">
        <v>0.114</v>
      </c>
      <c r="F1583" s="15">
        <v>6.2700000000000006E-2</v>
      </c>
      <c r="G1583" s="15">
        <v>6.88E-2</v>
      </c>
      <c r="H1583" s="15">
        <v>0.1022</v>
      </c>
      <c r="I1583" s="15">
        <v>1.89E-2</v>
      </c>
      <c r="J1583" s="15">
        <v>6.0710382513661214</v>
      </c>
    </row>
    <row r="1584" spans="1:10" x14ac:dyDescent="0.25">
      <c r="A1584" s="2" t="s">
        <v>4748</v>
      </c>
      <c r="B1584" s="2" t="s">
        <v>4749</v>
      </c>
      <c r="C1584" s="2" t="s">
        <v>4750</v>
      </c>
      <c r="D1584" s="2" t="s">
        <v>10048</v>
      </c>
      <c r="E1584" s="15">
        <v>0.1452</v>
      </c>
      <c r="F1584" s="15">
        <v>6.3100000000000003E-2</v>
      </c>
      <c r="G1584" s="15">
        <v>2.1299999999999999E-2</v>
      </c>
      <c r="H1584" s="15">
        <v>0.1082</v>
      </c>
      <c r="I1584" s="15">
        <v>1.66E-2</v>
      </c>
      <c r="J1584" s="15">
        <v>7.3271604938271606</v>
      </c>
    </row>
    <row r="1585" spans="1:10" x14ac:dyDescent="0.25">
      <c r="A1585" s="2" t="s">
        <v>4751</v>
      </c>
      <c r="B1585" s="2" t="s">
        <v>4752</v>
      </c>
      <c r="C1585" s="2" t="s">
        <v>4753</v>
      </c>
      <c r="D1585" s="2" t="s">
        <v>10048</v>
      </c>
      <c r="E1585" s="15">
        <v>8.9300000000000004E-2</v>
      </c>
      <c r="F1585" s="15">
        <v>4.7300000000000002E-2</v>
      </c>
      <c r="G1585" s="15">
        <v>5.9200000000000003E-2</v>
      </c>
      <c r="H1585" s="15">
        <v>0.17680000000000001</v>
      </c>
      <c r="I1585" s="15">
        <v>1.7500000000000002E-2</v>
      </c>
      <c r="J1585" s="15">
        <v>10.7183908045977</v>
      </c>
    </row>
    <row r="1586" spans="1:10" x14ac:dyDescent="0.25">
      <c r="A1586" s="2" t="s">
        <v>4754</v>
      </c>
      <c r="B1586" s="2" t="s">
        <v>4755</v>
      </c>
      <c r="C1586" s="2" t="s">
        <v>4756</v>
      </c>
      <c r="D1586" s="2" t="s">
        <v>10048</v>
      </c>
      <c r="E1586" s="15">
        <v>8.6599999999999996E-2</v>
      </c>
      <c r="F1586" s="15">
        <v>4.8000000000000001E-2</v>
      </c>
      <c r="G1586" s="15">
        <v>7.0999999999999994E-2</v>
      </c>
      <c r="H1586" s="15">
        <v>0.1699</v>
      </c>
      <c r="I1586" s="15">
        <v>1.83E-2</v>
      </c>
      <c r="J1586" s="15">
        <v>10.044444444444441</v>
      </c>
    </row>
    <row r="1587" spans="1:10" x14ac:dyDescent="0.25">
      <c r="A1587" s="2" t="s">
        <v>4757</v>
      </c>
      <c r="B1587" s="2" t="s">
        <v>4758</v>
      </c>
      <c r="C1587" s="2" t="s">
        <v>4759</v>
      </c>
      <c r="D1587" s="2" t="s">
        <v>10048</v>
      </c>
      <c r="E1587" s="15">
        <v>9.1999999999999998E-3</v>
      </c>
      <c r="F1587" s="15">
        <v>5.2900000000000003E-2</v>
      </c>
      <c r="G1587" s="15">
        <v>0.86240000000000006</v>
      </c>
      <c r="H1587" s="15">
        <v>0.13539999999999999</v>
      </c>
      <c r="I1587" s="15">
        <v>1.83E-2</v>
      </c>
      <c r="J1587" s="15">
        <v>7.9621621621621621</v>
      </c>
    </row>
    <row r="1588" spans="1:10" x14ac:dyDescent="0.25">
      <c r="A1588" s="2" t="s">
        <v>4760</v>
      </c>
      <c r="B1588" s="2" t="s">
        <v>4761</v>
      </c>
      <c r="C1588" s="2" t="s">
        <v>4762</v>
      </c>
      <c r="D1588" s="2" t="s">
        <v>10048</v>
      </c>
      <c r="E1588" s="15">
        <v>-3.5799999999999998E-2</v>
      </c>
      <c r="F1588" s="15">
        <v>4.1799999999999997E-2</v>
      </c>
      <c r="G1588" s="15">
        <v>0.39140000000000003</v>
      </c>
      <c r="H1588" s="15">
        <v>0.24759999999999999</v>
      </c>
      <c r="I1588" s="15">
        <v>2.1399999999999999E-2</v>
      </c>
      <c r="J1588" s="15">
        <v>12.44131455399061</v>
      </c>
    </row>
    <row r="1589" spans="1:10" x14ac:dyDescent="0.25">
      <c r="A1589" s="2" t="s">
        <v>4763</v>
      </c>
      <c r="B1589" s="2" t="s">
        <v>4764</v>
      </c>
      <c r="C1589" s="2" t="s">
        <v>4765</v>
      </c>
      <c r="D1589" s="2" t="s">
        <v>10048</v>
      </c>
      <c r="E1589" s="15">
        <v>2.1700000000000001E-2</v>
      </c>
      <c r="F1589" s="15">
        <v>4.8099999999999997E-2</v>
      </c>
      <c r="G1589" s="15">
        <v>0.65239999999999998</v>
      </c>
      <c r="H1589" s="15">
        <v>0.14449999999999999</v>
      </c>
      <c r="I1589" s="15">
        <v>1.84E-2</v>
      </c>
      <c r="J1589" s="15">
        <v>8.4054054054054053</v>
      </c>
    </row>
    <row r="1590" spans="1:10" x14ac:dyDescent="0.25">
      <c r="A1590" s="2" t="s">
        <v>4766</v>
      </c>
      <c r="B1590" s="2" t="s">
        <v>4767</v>
      </c>
      <c r="C1590" s="2" t="s">
        <v>4768</v>
      </c>
      <c r="D1590" s="2" t="s">
        <v>10048</v>
      </c>
      <c r="E1590" s="15">
        <v>-1.43E-2</v>
      </c>
      <c r="F1590" s="15">
        <v>4.6300000000000001E-2</v>
      </c>
      <c r="G1590" s="15">
        <v>0.75760000000000005</v>
      </c>
      <c r="H1590" s="15">
        <v>0.18479999999999999</v>
      </c>
      <c r="I1590" s="15">
        <v>1.8800000000000001E-2</v>
      </c>
      <c r="J1590" s="15">
        <v>11.32022471910112</v>
      </c>
    </row>
    <row r="1591" spans="1:10" x14ac:dyDescent="0.25">
      <c r="A1591" s="2" t="s">
        <v>4769</v>
      </c>
      <c r="B1591" s="2" t="s">
        <v>4770</v>
      </c>
      <c r="C1591" s="2" t="s">
        <v>4771</v>
      </c>
      <c r="D1591" s="2" t="s">
        <v>10048</v>
      </c>
      <c r="E1591" s="15">
        <v>7.51E-2</v>
      </c>
      <c r="F1591" s="15">
        <v>5.9900000000000002E-2</v>
      </c>
      <c r="G1591" s="15">
        <v>0.21</v>
      </c>
      <c r="H1591" s="15">
        <v>0.1268</v>
      </c>
      <c r="I1591" s="15">
        <v>1.8700000000000001E-2</v>
      </c>
      <c r="J1591" s="15">
        <v>7.3229166666666679</v>
      </c>
    </row>
    <row r="1592" spans="1:10" x14ac:dyDescent="0.25">
      <c r="A1592" s="2" t="s">
        <v>4772</v>
      </c>
      <c r="B1592" s="2" t="s">
        <v>4773</v>
      </c>
      <c r="C1592" s="2" t="s">
        <v>4774</v>
      </c>
      <c r="D1592" s="2" t="s">
        <v>10048</v>
      </c>
      <c r="E1592" s="15">
        <v>3.0800000000000001E-2</v>
      </c>
      <c r="F1592" s="15">
        <v>4.8500000000000001E-2</v>
      </c>
      <c r="G1592" s="15">
        <v>0.52529999999999999</v>
      </c>
      <c r="H1592" s="15">
        <v>0.17660000000000001</v>
      </c>
      <c r="I1592" s="15">
        <v>2.0400000000000001E-2</v>
      </c>
      <c r="J1592" s="15">
        <v>9.4162436548223347</v>
      </c>
    </row>
    <row r="1593" spans="1:10" x14ac:dyDescent="0.25">
      <c r="A1593" s="2" t="s">
        <v>4775</v>
      </c>
      <c r="B1593" s="2" t="s">
        <v>4776</v>
      </c>
      <c r="C1593" s="2" t="s">
        <v>4777</v>
      </c>
      <c r="D1593" s="2" t="s">
        <v>10048</v>
      </c>
      <c r="E1593" s="15">
        <v>2.4899999999999999E-2</v>
      </c>
      <c r="F1593" s="15">
        <v>4.53E-2</v>
      </c>
      <c r="G1593" s="15">
        <v>0.58220000000000005</v>
      </c>
      <c r="H1593" s="15">
        <v>0.15279999999999999</v>
      </c>
      <c r="I1593" s="15">
        <v>2.0500000000000001E-2</v>
      </c>
      <c r="J1593" s="15">
        <v>8.3297872340425521</v>
      </c>
    </row>
    <row r="1594" spans="1:10" x14ac:dyDescent="0.25">
      <c r="A1594" s="2" t="s">
        <v>4778</v>
      </c>
      <c r="B1594" s="2" t="s">
        <v>4779</v>
      </c>
      <c r="C1594" s="2" t="s">
        <v>4780</v>
      </c>
      <c r="D1594" s="2" t="s">
        <v>10048</v>
      </c>
      <c r="E1594" s="15">
        <v>5.04E-2</v>
      </c>
      <c r="F1594" s="15">
        <v>4.0300000000000002E-2</v>
      </c>
      <c r="G1594" s="15">
        <v>0.21110000000000001</v>
      </c>
      <c r="H1594" s="15">
        <v>0.2079</v>
      </c>
      <c r="I1594" s="15">
        <v>2.1600000000000001E-2</v>
      </c>
      <c r="J1594" s="15">
        <v>11.08823529411765</v>
      </c>
    </row>
    <row r="1595" spans="1:10" x14ac:dyDescent="0.25">
      <c r="A1595" s="2" t="s">
        <v>4781</v>
      </c>
      <c r="B1595" s="2" t="s">
        <v>4782</v>
      </c>
      <c r="C1595" s="2" t="s">
        <v>4783</v>
      </c>
      <c r="D1595" s="2" t="s">
        <v>10048</v>
      </c>
      <c r="E1595" s="15">
        <v>3.9600000000000003E-2</v>
      </c>
      <c r="F1595" s="15">
        <v>4.1200000000000001E-2</v>
      </c>
      <c r="G1595" s="15">
        <v>0.33629999999999999</v>
      </c>
      <c r="H1595" s="15">
        <v>0.19969999999999999</v>
      </c>
      <c r="I1595" s="15">
        <v>1.9900000000000001E-2</v>
      </c>
      <c r="J1595" s="15">
        <v>11.340425531914891</v>
      </c>
    </row>
    <row r="1596" spans="1:10" x14ac:dyDescent="0.25">
      <c r="A1596" s="2" t="s">
        <v>4784</v>
      </c>
      <c r="B1596" s="2" t="s">
        <v>4785</v>
      </c>
      <c r="C1596" s="2" t="s">
        <v>4786</v>
      </c>
      <c r="D1596" s="2" t="s">
        <v>10048</v>
      </c>
      <c r="E1596" s="15">
        <v>-7.4999999999999997E-3</v>
      </c>
      <c r="F1596" s="15">
        <v>4.8300000000000003E-2</v>
      </c>
      <c r="G1596" s="15">
        <v>0.87649999999999995</v>
      </c>
      <c r="H1596" s="15">
        <v>0.16589999999999999</v>
      </c>
      <c r="I1596" s="15">
        <v>2.3900000000000001E-2</v>
      </c>
      <c r="J1596" s="15">
        <v>7.7665198237885464</v>
      </c>
    </row>
    <row r="1597" spans="1:10" x14ac:dyDescent="0.25">
      <c r="A1597" s="2" t="s">
        <v>4787</v>
      </c>
      <c r="B1597" s="2" t="s">
        <v>4788</v>
      </c>
      <c r="C1597" s="2" t="s">
        <v>4789</v>
      </c>
      <c r="D1597" s="2" t="s">
        <v>10048</v>
      </c>
      <c r="E1597" s="15">
        <v>3.15E-2</v>
      </c>
      <c r="F1597" s="15">
        <v>4.9500000000000002E-2</v>
      </c>
      <c r="G1597" s="15">
        <v>0.52380000000000004</v>
      </c>
      <c r="H1597" s="15">
        <v>0.16020000000000001</v>
      </c>
      <c r="I1597" s="15">
        <v>2.24E-2</v>
      </c>
      <c r="J1597" s="15">
        <v>7.8300970873786406</v>
      </c>
    </row>
    <row r="1598" spans="1:10" x14ac:dyDescent="0.25">
      <c r="A1598" s="2" t="s">
        <v>4790</v>
      </c>
      <c r="B1598" s="2" t="s">
        <v>4791</v>
      </c>
      <c r="C1598" s="2" t="s">
        <v>4792</v>
      </c>
      <c r="D1598" s="2" t="s">
        <v>10048</v>
      </c>
      <c r="E1598" s="15">
        <v>8.6099999999999996E-2</v>
      </c>
      <c r="F1598" s="15">
        <v>4.5499999999999999E-2</v>
      </c>
      <c r="G1598" s="15">
        <v>5.8299999999999998E-2</v>
      </c>
      <c r="H1598" s="15">
        <v>0.17299999999999999</v>
      </c>
      <c r="I1598" s="15">
        <v>2.4500000000000001E-2</v>
      </c>
      <c r="J1598" s="15">
        <v>8.4197530864197532</v>
      </c>
    </row>
    <row r="1599" spans="1:10" x14ac:dyDescent="0.25">
      <c r="A1599" s="2" t="s">
        <v>4793</v>
      </c>
      <c r="B1599" s="2" t="s">
        <v>4794</v>
      </c>
      <c r="C1599" s="2" t="s">
        <v>4795</v>
      </c>
      <c r="D1599" s="2" t="s">
        <v>10048</v>
      </c>
      <c r="E1599" s="15">
        <v>9.4299999999999995E-2</v>
      </c>
      <c r="F1599" s="15">
        <v>5.0299999999999997E-2</v>
      </c>
      <c r="G1599" s="15">
        <v>6.0600000000000001E-2</v>
      </c>
      <c r="H1599" s="15">
        <v>0.1764</v>
      </c>
      <c r="I1599" s="15">
        <v>2.1700000000000001E-2</v>
      </c>
      <c r="J1599" s="15">
        <v>9.5480769230769234</v>
      </c>
    </row>
    <row r="1600" spans="1:10" x14ac:dyDescent="0.25">
      <c r="A1600" s="2" t="s">
        <v>4796</v>
      </c>
      <c r="B1600" s="2" t="s">
        <v>4797</v>
      </c>
      <c r="C1600" s="2" t="s">
        <v>4798</v>
      </c>
      <c r="D1600" s="2" t="s">
        <v>10048</v>
      </c>
      <c r="E1600" s="15">
        <v>7.6700000000000004E-2</v>
      </c>
      <c r="F1600" s="15">
        <v>4.4600000000000001E-2</v>
      </c>
      <c r="G1600" s="15">
        <v>8.5099999999999995E-2</v>
      </c>
      <c r="H1600" s="15">
        <v>0.25219999999999998</v>
      </c>
      <c r="I1600" s="15">
        <v>2.3400000000000001E-2</v>
      </c>
      <c r="J1600" s="15">
        <v>12.38738738738739</v>
      </c>
    </row>
    <row r="1601" spans="1:10" x14ac:dyDescent="0.25">
      <c r="A1601" s="2" t="s">
        <v>4799</v>
      </c>
      <c r="B1601" s="2" t="s">
        <v>4800</v>
      </c>
      <c r="C1601" s="2" t="s">
        <v>4801</v>
      </c>
      <c r="D1601" s="2" t="s">
        <v>10048</v>
      </c>
      <c r="E1601" s="15">
        <v>6.2899999999999998E-2</v>
      </c>
      <c r="F1601" s="15">
        <v>4.4400000000000002E-2</v>
      </c>
      <c r="G1601" s="15">
        <v>0.157</v>
      </c>
      <c r="H1601" s="15">
        <v>0.24829999999999999</v>
      </c>
      <c r="I1601" s="15">
        <v>2.46E-2</v>
      </c>
      <c r="J1601" s="15">
        <v>11.15384615384615</v>
      </c>
    </row>
    <row r="1602" spans="1:10" x14ac:dyDescent="0.25">
      <c r="A1602" s="2" t="s">
        <v>4802</v>
      </c>
      <c r="B1602" s="2" t="s">
        <v>4803</v>
      </c>
      <c r="C1602" s="2" t="s">
        <v>4804</v>
      </c>
      <c r="D1602" s="2" t="s">
        <v>10048</v>
      </c>
      <c r="E1602" s="15">
        <v>-4.2900000000000001E-2</v>
      </c>
      <c r="F1602" s="15">
        <v>4.9700000000000001E-2</v>
      </c>
      <c r="G1602" s="15">
        <v>0.38790000000000002</v>
      </c>
      <c r="H1602" s="15">
        <v>0.11360000000000001</v>
      </c>
      <c r="I1602" s="15">
        <v>1.8599999999999998E-2</v>
      </c>
      <c r="J1602" s="15">
        <v>6.7880434782608692</v>
      </c>
    </row>
    <row r="1603" spans="1:10" x14ac:dyDescent="0.25">
      <c r="A1603" s="2" t="s">
        <v>4805</v>
      </c>
      <c r="B1603" s="2" t="s">
        <v>4806</v>
      </c>
      <c r="C1603" s="2" t="s">
        <v>4807</v>
      </c>
      <c r="D1603" s="2" t="s">
        <v>10048</v>
      </c>
      <c r="E1603" s="15">
        <v>-3.7699999999999997E-2</v>
      </c>
      <c r="F1603" s="15">
        <v>4.9399999999999999E-2</v>
      </c>
      <c r="G1603" s="15">
        <v>0.44600000000000001</v>
      </c>
      <c r="H1603" s="15">
        <v>0.1133</v>
      </c>
      <c r="I1603" s="15">
        <v>1.9400000000000001E-2</v>
      </c>
      <c r="J1603" s="15">
        <v>7.2802197802197801</v>
      </c>
    </row>
    <row r="1604" spans="1:10" x14ac:dyDescent="0.25">
      <c r="A1604" s="2" t="s">
        <v>4808</v>
      </c>
      <c r="B1604" s="2" t="s">
        <v>4809</v>
      </c>
      <c r="C1604" s="2" t="s">
        <v>4810</v>
      </c>
      <c r="D1604" s="2" t="s">
        <v>10049</v>
      </c>
      <c r="E1604" s="15">
        <v>-3.56E-2</v>
      </c>
      <c r="F1604" s="15">
        <v>4.1099999999999998E-2</v>
      </c>
      <c r="G1604" s="15">
        <v>0.38700000000000001</v>
      </c>
      <c r="H1604" s="15">
        <v>0.18970000000000001</v>
      </c>
      <c r="I1604" s="15">
        <v>2.1999999999999999E-2</v>
      </c>
      <c r="J1604" s="15">
        <v>9.6896551724137936</v>
      </c>
    </row>
    <row r="1605" spans="1:10" x14ac:dyDescent="0.25">
      <c r="A1605" s="2" t="s">
        <v>4811</v>
      </c>
      <c r="B1605" s="2" t="s">
        <v>4812</v>
      </c>
      <c r="C1605" s="2" t="s">
        <v>4813</v>
      </c>
      <c r="D1605" s="2" t="s">
        <v>10049</v>
      </c>
      <c r="E1605" s="15">
        <v>1E-3</v>
      </c>
      <c r="F1605" s="15">
        <v>4.0500000000000001E-2</v>
      </c>
      <c r="G1605" s="15">
        <v>0.98019999999999996</v>
      </c>
      <c r="H1605" s="15">
        <v>0.2049</v>
      </c>
      <c r="I1605" s="15">
        <v>2.2599999999999999E-2</v>
      </c>
      <c r="J1605" s="15">
        <v>9.8970588235294112</v>
      </c>
    </row>
    <row r="1606" spans="1:10" x14ac:dyDescent="0.25">
      <c r="A1606" s="2" t="s">
        <v>4814</v>
      </c>
      <c r="B1606" s="2" t="s">
        <v>4815</v>
      </c>
      <c r="C1606" s="2" t="s">
        <v>4816</v>
      </c>
      <c r="D1606" s="2" t="s">
        <v>10049</v>
      </c>
      <c r="E1606" s="15">
        <v>3.6499999999999998E-2</v>
      </c>
      <c r="F1606" s="15">
        <v>3.6799999999999999E-2</v>
      </c>
      <c r="G1606" s="15">
        <v>0.32150000000000001</v>
      </c>
      <c r="H1606" s="15">
        <v>0.33689999999999998</v>
      </c>
      <c r="I1606" s="15">
        <v>3.1E-2</v>
      </c>
      <c r="J1606" s="15">
        <v>12.109154929577461</v>
      </c>
    </row>
    <row r="1607" spans="1:10" x14ac:dyDescent="0.25">
      <c r="A1607" s="2" t="s">
        <v>4817</v>
      </c>
      <c r="B1607" s="2" t="s">
        <v>4818</v>
      </c>
      <c r="C1607" s="2" t="s">
        <v>4819</v>
      </c>
      <c r="D1607" s="2" t="s">
        <v>10049</v>
      </c>
      <c r="E1607" s="15">
        <v>4.1700000000000001E-2</v>
      </c>
      <c r="F1607" s="15">
        <v>3.4700000000000002E-2</v>
      </c>
      <c r="G1607" s="15">
        <v>0.2298</v>
      </c>
      <c r="H1607" s="15">
        <v>0.30470000000000003</v>
      </c>
      <c r="I1607" s="15">
        <v>2.7699999999999999E-2</v>
      </c>
      <c r="J1607" s="15">
        <v>11.546762589928059</v>
      </c>
    </row>
    <row r="1608" spans="1:10" x14ac:dyDescent="0.25">
      <c r="A1608" s="2" t="s">
        <v>4820</v>
      </c>
      <c r="B1608" s="2" t="s">
        <v>4821</v>
      </c>
      <c r="C1608" s="2" t="s">
        <v>4822</v>
      </c>
      <c r="D1608" s="2" t="s">
        <v>10049</v>
      </c>
      <c r="E1608" s="15">
        <v>-1.9E-3</v>
      </c>
      <c r="F1608" s="15">
        <v>3.8800000000000001E-2</v>
      </c>
      <c r="G1608" s="15">
        <v>0.96120000000000005</v>
      </c>
      <c r="H1608" s="15">
        <v>0.26840000000000003</v>
      </c>
      <c r="I1608" s="15">
        <v>2.5399999999999999E-2</v>
      </c>
      <c r="J1608" s="15">
        <v>10.840466926070039</v>
      </c>
    </row>
    <row r="1609" spans="1:10" x14ac:dyDescent="0.25">
      <c r="A1609" s="2" t="s">
        <v>4823</v>
      </c>
      <c r="B1609" s="2" t="s">
        <v>4824</v>
      </c>
      <c r="C1609" s="2" t="s">
        <v>4825</v>
      </c>
      <c r="D1609" s="2" t="s">
        <v>10049</v>
      </c>
      <c r="E1609" s="15">
        <v>8.3599999999999994E-2</v>
      </c>
      <c r="F1609" s="15">
        <v>4.4200000000000003E-2</v>
      </c>
      <c r="G1609" s="15">
        <v>5.8500000000000003E-2</v>
      </c>
      <c r="H1609" s="15">
        <v>0.22059999999999999</v>
      </c>
      <c r="I1609" s="15">
        <v>2.52E-2</v>
      </c>
      <c r="J1609" s="15">
        <v>9.9699570815450649</v>
      </c>
    </row>
    <row r="1610" spans="1:10" x14ac:dyDescent="0.25">
      <c r="A1610" s="2" t="s">
        <v>4826</v>
      </c>
      <c r="B1610" s="2" t="s">
        <v>4827</v>
      </c>
      <c r="C1610" s="2" t="s">
        <v>4828</v>
      </c>
      <c r="D1610" s="2" t="s">
        <v>10049</v>
      </c>
      <c r="E1610" s="15">
        <v>-1.8499999999999999E-2</v>
      </c>
      <c r="F1610" s="15">
        <v>4.1200000000000001E-2</v>
      </c>
      <c r="G1610" s="15">
        <v>0.65359999999999996</v>
      </c>
      <c r="H1610" s="15">
        <v>0.19620000000000001</v>
      </c>
      <c r="I1610" s="15">
        <v>2.3800000000000002E-2</v>
      </c>
      <c r="J1610" s="15">
        <v>9.2390243902439035</v>
      </c>
    </row>
    <row r="1611" spans="1:10" x14ac:dyDescent="0.25">
      <c r="A1611" s="2" t="s">
        <v>4829</v>
      </c>
      <c r="B1611" s="2" t="s">
        <v>4830</v>
      </c>
      <c r="C1611" s="2" t="s">
        <v>4831</v>
      </c>
      <c r="D1611" s="2" t="s">
        <v>10049</v>
      </c>
      <c r="E1611" s="15">
        <v>-9.1000000000000004E-3</v>
      </c>
      <c r="F1611" s="15">
        <v>4.3299999999999998E-2</v>
      </c>
      <c r="G1611" s="15">
        <v>0.83340000000000003</v>
      </c>
      <c r="H1611" s="15">
        <v>0.17269999999999999</v>
      </c>
      <c r="I1611" s="15">
        <v>2.12E-2</v>
      </c>
      <c r="J1611" s="15">
        <v>8.3854166666666679</v>
      </c>
    </row>
    <row r="1612" spans="1:10" x14ac:dyDescent="0.25">
      <c r="A1612" s="2" t="s">
        <v>4832</v>
      </c>
      <c r="B1612" s="2" t="s">
        <v>4833</v>
      </c>
      <c r="C1612" s="2" t="s">
        <v>4834</v>
      </c>
      <c r="D1612" s="2" t="s">
        <v>10049</v>
      </c>
      <c r="E1612" s="15">
        <v>2.8299999999999999E-2</v>
      </c>
      <c r="F1612" s="15">
        <v>4.8399999999999999E-2</v>
      </c>
      <c r="G1612" s="15">
        <v>0.55879999999999996</v>
      </c>
      <c r="H1612" s="15">
        <v>0.14000000000000001</v>
      </c>
      <c r="I1612" s="15">
        <v>0.02</v>
      </c>
      <c r="J1612" s="15">
        <v>7.387755102040817</v>
      </c>
    </row>
    <row r="1613" spans="1:10" x14ac:dyDescent="0.25">
      <c r="A1613" s="2" t="s">
        <v>4835</v>
      </c>
      <c r="B1613" s="2" t="s">
        <v>4836</v>
      </c>
      <c r="C1613" s="2" t="s">
        <v>4837</v>
      </c>
      <c r="D1613" s="2" t="s">
        <v>10049</v>
      </c>
      <c r="E1613" s="15">
        <v>-1.34E-2</v>
      </c>
      <c r="F1613" s="15">
        <v>4.58E-2</v>
      </c>
      <c r="G1613" s="15">
        <v>0.77029999999999998</v>
      </c>
      <c r="H1613" s="15">
        <v>0.12809999999999999</v>
      </c>
      <c r="I1613" s="15">
        <v>1.83E-2</v>
      </c>
      <c r="J1613" s="15">
        <v>7.1467391304347831</v>
      </c>
    </row>
    <row r="1614" spans="1:10" x14ac:dyDescent="0.25">
      <c r="A1614" s="2" t="s">
        <v>4838</v>
      </c>
      <c r="B1614" s="2" t="s">
        <v>4839</v>
      </c>
      <c r="C1614" s="2" t="s">
        <v>4840</v>
      </c>
      <c r="D1614" s="2" t="s">
        <v>10049</v>
      </c>
      <c r="E1614" s="15">
        <v>2.8799999999999999E-2</v>
      </c>
      <c r="F1614" s="15">
        <v>4.65E-2</v>
      </c>
      <c r="G1614" s="15">
        <v>0.5353</v>
      </c>
      <c r="H1614" s="15">
        <v>0.15720000000000001</v>
      </c>
      <c r="I1614" s="15">
        <v>1.8499999999999999E-2</v>
      </c>
      <c r="J1614" s="15">
        <v>8.218274111675127</v>
      </c>
    </row>
    <row r="1615" spans="1:10" x14ac:dyDescent="0.25">
      <c r="A1615" s="2" t="s">
        <v>4841</v>
      </c>
      <c r="B1615" s="2" t="s">
        <v>4842</v>
      </c>
      <c r="C1615" s="2" t="s">
        <v>4843</v>
      </c>
      <c r="D1615" s="2" t="s">
        <v>10049</v>
      </c>
      <c r="E1615" s="15">
        <v>7.1999999999999998E-3</v>
      </c>
      <c r="F1615" s="15">
        <v>4.7899999999999998E-2</v>
      </c>
      <c r="G1615" s="15">
        <v>0.88129999999999997</v>
      </c>
      <c r="H1615" s="15">
        <v>0.1439</v>
      </c>
      <c r="I1615" s="15">
        <v>2.07E-2</v>
      </c>
      <c r="J1615" s="15">
        <v>7.0610328638497659</v>
      </c>
    </row>
    <row r="1616" spans="1:10" x14ac:dyDescent="0.25">
      <c r="A1616" s="2" t="s">
        <v>4844</v>
      </c>
      <c r="B1616" s="2" t="s">
        <v>4845</v>
      </c>
      <c r="C1616" s="2" t="s">
        <v>4846</v>
      </c>
      <c r="D1616" s="2" t="s">
        <v>10049</v>
      </c>
      <c r="E1616" s="15">
        <v>4.8800000000000003E-2</v>
      </c>
      <c r="F1616" s="15">
        <v>4.07E-2</v>
      </c>
      <c r="G1616" s="15">
        <v>0.2303</v>
      </c>
      <c r="H1616" s="15">
        <v>0.25929999999999997</v>
      </c>
      <c r="I1616" s="15">
        <v>2.7900000000000001E-2</v>
      </c>
      <c r="J1616" s="15">
        <v>10.271698113207551</v>
      </c>
    </row>
    <row r="1617" spans="1:10" x14ac:dyDescent="0.25">
      <c r="A1617" s="2" t="s">
        <v>4847</v>
      </c>
      <c r="B1617" s="2" t="s">
        <v>4848</v>
      </c>
      <c r="C1617" s="2" t="s">
        <v>4849</v>
      </c>
      <c r="D1617" s="2" t="s">
        <v>10049</v>
      </c>
      <c r="E1617" s="15">
        <v>3.3000000000000002E-2</v>
      </c>
      <c r="F1617" s="15">
        <v>4.1799999999999997E-2</v>
      </c>
      <c r="G1617" s="15">
        <v>0.42980000000000002</v>
      </c>
      <c r="H1617" s="15">
        <v>0.2412</v>
      </c>
      <c r="I1617" s="15">
        <v>2.7300000000000001E-2</v>
      </c>
      <c r="J1617" s="15">
        <v>9.8576923076923073</v>
      </c>
    </row>
    <row r="1618" spans="1:10" x14ac:dyDescent="0.25">
      <c r="A1618" s="2" t="s">
        <v>4850</v>
      </c>
      <c r="B1618" s="2" t="s">
        <v>4851</v>
      </c>
      <c r="C1618" s="2" t="s">
        <v>4852</v>
      </c>
      <c r="D1618" s="2" t="s">
        <v>10049</v>
      </c>
      <c r="E1618" s="15">
        <v>2.3699999999999999E-2</v>
      </c>
      <c r="F1618" s="15">
        <v>4.7600000000000003E-2</v>
      </c>
      <c r="G1618" s="15">
        <v>0.61799999999999999</v>
      </c>
      <c r="H1618" s="15">
        <v>0.15740000000000001</v>
      </c>
      <c r="I1618" s="15">
        <v>1.9599999999999999E-2</v>
      </c>
      <c r="J1618" s="15">
        <v>8.5260416666666679</v>
      </c>
    </row>
    <row r="1619" spans="1:10" x14ac:dyDescent="0.25">
      <c r="A1619" s="2" t="s">
        <v>4853</v>
      </c>
      <c r="B1619" s="2" t="s">
        <v>4854</v>
      </c>
      <c r="C1619" s="2" t="s">
        <v>4855</v>
      </c>
      <c r="D1619" s="2" t="s">
        <v>10049</v>
      </c>
      <c r="E1619" s="15">
        <v>5.2900000000000003E-2</v>
      </c>
      <c r="F1619" s="15">
        <v>4.8300000000000003E-2</v>
      </c>
      <c r="G1619" s="15">
        <v>0.27379999999999999</v>
      </c>
      <c r="H1619" s="15">
        <v>0.14249999999999999</v>
      </c>
      <c r="I1619" s="15">
        <v>0.02</v>
      </c>
      <c r="J1619" s="15">
        <v>7.4264705882352926</v>
      </c>
    </row>
    <row r="1620" spans="1:10" x14ac:dyDescent="0.25">
      <c r="A1620" s="2" t="s">
        <v>4856</v>
      </c>
      <c r="B1620" s="2" t="s">
        <v>4857</v>
      </c>
      <c r="C1620" s="2" t="s">
        <v>4858</v>
      </c>
      <c r="D1620" s="2" t="s">
        <v>10049</v>
      </c>
      <c r="E1620" s="15">
        <v>-4.1000000000000002E-2</v>
      </c>
      <c r="F1620" s="15">
        <v>4.3200000000000002E-2</v>
      </c>
      <c r="G1620" s="15">
        <v>0.34260000000000002</v>
      </c>
      <c r="H1620" s="15">
        <v>0.18099999999999999</v>
      </c>
      <c r="I1620" s="15">
        <v>2.3400000000000001E-2</v>
      </c>
      <c r="J1620" s="15">
        <v>9.0318181818181813</v>
      </c>
    </row>
    <row r="1621" spans="1:10" x14ac:dyDescent="0.25">
      <c r="A1621" s="2" t="s">
        <v>4859</v>
      </c>
      <c r="B1621" s="2" t="s">
        <v>4860</v>
      </c>
      <c r="C1621" s="2" t="s">
        <v>4861</v>
      </c>
      <c r="D1621" s="2" t="s">
        <v>10049</v>
      </c>
      <c r="E1621" s="15">
        <v>2.4799999999999999E-2</v>
      </c>
      <c r="F1621" s="15">
        <v>4.5100000000000001E-2</v>
      </c>
      <c r="G1621" s="15">
        <v>0.58150000000000002</v>
      </c>
      <c r="H1621" s="15">
        <v>0.1799</v>
      </c>
      <c r="I1621" s="15">
        <v>2.58E-2</v>
      </c>
      <c r="J1621" s="15">
        <v>8.95132743362832</v>
      </c>
    </row>
    <row r="1622" spans="1:10" x14ac:dyDescent="0.25">
      <c r="A1622" s="2" t="s">
        <v>4862</v>
      </c>
      <c r="B1622" s="2" t="s">
        <v>4863</v>
      </c>
      <c r="C1622" s="2" t="s">
        <v>4864</v>
      </c>
      <c r="D1622" s="2" t="s">
        <v>10049</v>
      </c>
      <c r="E1622" s="15">
        <v>-1.6299999999999999E-2</v>
      </c>
      <c r="F1622" s="15">
        <v>4.24E-2</v>
      </c>
      <c r="G1622" s="15">
        <v>0.69969999999999999</v>
      </c>
      <c r="H1622" s="15">
        <v>0.21379999999999999</v>
      </c>
      <c r="I1622" s="15">
        <v>2.5000000000000001E-2</v>
      </c>
      <c r="J1622" s="15">
        <v>9.8739130434782609</v>
      </c>
    </row>
    <row r="1623" spans="1:10" x14ac:dyDescent="0.25">
      <c r="A1623" s="2" t="s">
        <v>4865</v>
      </c>
      <c r="B1623" s="2" t="s">
        <v>4866</v>
      </c>
      <c r="C1623" s="2" t="s">
        <v>4867</v>
      </c>
      <c r="D1623" s="2" t="s">
        <v>10049</v>
      </c>
      <c r="E1623" s="15">
        <v>2.86E-2</v>
      </c>
      <c r="F1623" s="15">
        <v>4.2200000000000001E-2</v>
      </c>
      <c r="G1623" s="15">
        <v>0.49780000000000002</v>
      </c>
      <c r="H1623" s="15">
        <v>0.19869999999999999</v>
      </c>
      <c r="I1623" s="15">
        <v>2.2800000000000001E-2</v>
      </c>
      <c r="J1623" s="15">
        <v>9.5114155251141561</v>
      </c>
    </row>
    <row r="1624" spans="1:10" x14ac:dyDescent="0.25">
      <c r="A1624" s="2" t="s">
        <v>4868</v>
      </c>
      <c r="B1624" s="2" t="s">
        <v>4869</v>
      </c>
      <c r="C1624" s="2" t="s">
        <v>4870</v>
      </c>
      <c r="D1624" s="2" t="s">
        <v>10049</v>
      </c>
      <c r="E1624" s="15">
        <v>2.7199999999999998E-2</v>
      </c>
      <c r="F1624" s="15">
        <v>0.04</v>
      </c>
      <c r="G1624" s="15">
        <v>0.49619999999999997</v>
      </c>
      <c r="H1624" s="15">
        <v>0.22170000000000001</v>
      </c>
      <c r="I1624" s="15">
        <v>2.4199999999999999E-2</v>
      </c>
      <c r="J1624" s="15">
        <v>9.8185328185328196</v>
      </c>
    </row>
    <row r="1625" spans="1:10" x14ac:dyDescent="0.25">
      <c r="A1625" s="2" t="s">
        <v>4871</v>
      </c>
      <c r="B1625" s="2" t="s">
        <v>4872</v>
      </c>
      <c r="C1625" s="2" t="s">
        <v>4873</v>
      </c>
      <c r="D1625" s="2" t="s">
        <v>10049</v>
      </c>
      <c r="E1625" s="15">
        <v>2.2000000000000001E-3</v>
      </c>
      <c r="F1625" s="15">
        <v>4.41E-2</v>
      </c>
      <c r="G1625" s="15">
        <v>0.96060000000000001</v>
      </c>
      <c r="H1625" s="15">
        <v>0.20449999999999999</v>
      </c>
      <c r="I1625" s="15">
        <v>2.69E-2</v>
      </c>
      <c r="J1625" s="15">
        <v>8.5149253731343268</v>
      </c>
    </row>
    <row r="1626" spans="1:10" x14ac:dyDescent="0.25">
      <c r="A1626" s="2" t="s">
        <v>4874</v>
      </c>
      <c r="B1626" s="2" t="s">
        <v>4875</v>
      </c>
      <c r="C1626" s="2" t="s">
        <v>4876</v>
      </c>
      <c r="D1626" s="2" t="s">
        <v>10049</v>
      </c>
      <c r="E1626" s="15">
        <v>1.67E-2</v>
      </c>
      <c r="F1626" s="15">
        <v>3.7100000000000001E-2</v>
      </c>
      <c r="G1626" s="15">
        <v>0.6522</v>
      </c>
      <c r="H1626" s="15">
        <v>0.31259999999999999</v>
      </c>
      <c r="I1626" s="15">
        <v>3.4099999999999998E-2</v>
      </c>
      <c r="J1626" s="15">
        <v>10.052959501557631</v>
      </c>
    </row>
    <row r="1627" spans="1:10" x14ac:dyDescent="0.25">
      <c r="A1627" s="2" t="s">
        <v>4877</v>
      </c>
      <c r="B1627" s="2" t="s">
        <v>4878</v>
      </c>
      <c r="C1627" s="2" t="s">
        <v>4879</v>
      </c>
      <c r="D1627" s="2" t="s">
        <v>10049</v>
      </c>
      <c r="E1627" s="15">
        <v>3.2199999999999999E-2</v>
      </c>
      <c r="F1627" s="15">
        <v>3.8699999999999998E-2</v>
      </c>
      <c r="G1627" s="15">
        <v>0.40579999999999999</v>
      </c>
      <c r="H1627" s="15">
        <v>0.30430000000000001</v>
      </c>
      <c r="I1627" s="15">
        <v>3.5400000000000001E-2</v>
      </c>
      <c r="J1627" s="15">
        <v>9.7024539877300633</v>
      </c>
    </row>
    <row r="1628" spans="1:10" x14ac:dyDescent="0.25">
      <c r="A1628" s="2" t="s">
        <v>4880</v>
      </c>
      <c r="B1628" s="2" t="s">
        <v>4881</v>
      </c>
      <c r="C1628" s="2" t="s">
        <v>4882</v>
      </c>
      <c r="D1628" s="2" t="s">
        <v>10049</v>
      </c>
      <c r="E1628" s="15">
        <v>1.8E-3</v>
      </c>
      <c r="F1628" s="15">
        <v>3.8600000000000002E-2</v>
      </c>
      <c r="G1628" s="15">
        <v>0.96220000000000006</v>
      </c>
      <c r="H1628" s="15">
        <v>0.26500000000000001</v>
      </c>
      <c r="I1628" s="15">
        <v>3.2300000000000002E-2</v>
      </c>
      <c r="J1628" s="15">
        <v>9.2000000000000011</v>
      </c>
    </row>
    <row r="1629" spans="1:10" x14ac:dyDescent="0.25">
      <c r="A1629" s="2" t="s">
        <v>4883</v>
      </c>
      <c r="B1629" s="2" t="s">
        <v>4884</v>
      </c>
      <c r="C1629" s="2" t="s">
        <v>4885</v>
      </c>
      <c r="D1629" s="2" t="s">
        <v>10049</v>
      </c>
      <c r="E1629" s="15">
        <v>1.44E-2</v>
      </c>
      <c r="F1629" s="15">
        <v>4.07E-2</v>
      </c>
      <c r="G1629" s="15">
        <v>0.72350000000000003</v>
      </c>
      <c r="H1629" s="15">
        <v>0.27</v>
      </c>
      <c r="I1629" s="15">
        <v>3.1899999999999998E-2</v>
      </c>
      <c r="J1629" s="15">
        <v>9.4506578947368425</v>
      </c>
    </row>
    <row r="1630" spans="1:10" x14ac:dyDescent="0.25">
      <c r="A1630" s="2" t="s">
        <v>4886</v>
      </c>
      <c r="B1630" s="2" t="s">
        <v>4887</v>
      </c>
      <c r="C1630" s="2" t="s">
        <v>4888</v>
      </c>
      <c r="D1630" s="2" t="s">
        <v>10049</v>
      </c>
      <c r="E1630" s="15">
        <v>3.7699999999999997E-2</v>
      </c>
      <c r="F1630" s="15">
        <v>4.24E-2</v>
      </c>
      <c r="G1630" s="15">
        <v>0.37380000000000002</v>
      </c>
      <c r="H1630" s="15">
        <v>0.25740000000000002</v>
      </c>
      <c r="I1630" s="15">
        <v>2.86E-2</v>
      </c>
      <c r="J1630" s="15">
        <v>9.7665505226480835</v>
      </c>
    </row>
    <row r="1631" spans="1:10" x14ac:dyDescent="0.25">
      <c r="A1631" s="2" t="s">
        <v>4889</v>
      </c>
      <c r="B1631" s="2" t="s">
        <v>4890</v>
      </c>
      <c r="C1631" s="2" t="s">
        <v>4891</v>
      </c>
      <c r="D1631" s="2" t="s">
        <v>10049</v>
      </c>
      <c r="E1631" s="15">
        <v>2.76E-2</v>
      </c>
      <c r="F1631" s="15">
        <v>4.1300000000000003E-2</v>
      </c>
      <c r="G1631" s="15">
        <v>0.50470000000000004</v>
      </c>
      <c r="H1631" s="15">
        <v>0.2636</v>
      </c>
      <c r="I1631" s="15">
        <v>2.9700000000000001E-2</v>
      </c>
      <c r="J1631" s="15">
        <v>9.4161073825503365</v>
      </c>
    </row>
    <row r="1632" spans="1:10" x14ac:dyDescent="0.25">
      <c r="A1632" s="2" t="s">
        <v>4892</v>
      </c>
      <c r="B1632" s="2" t="s">
        <v>4893</v>
      </c>
      <c r="C1632" s="2" t="s">
        <v>4894</v>
      </c>
      <c r="D1632" s="2" t="s">
        <v>10049</v>
      </c>
      <c r="E1632" s="15">
        <v>1.9800000000000002E-2</v>
      </c>
      <c r="F1632" s="15">
        <v>4.6399999999999997E-2</v>
      </c>
      <c r="G1632" s="15">
        <v>0.66990000000000005</v>
      </c>
      <c r="H1632" s="15">
        <v>0.20749999999999999</v>
      </c>
      <c r="I1632" s="15">
        <v>2.6800000000000001E-2</v>
      </c>
      <c r="J1632" s="15">
        <v>8.8977272727272734</v>
      </c>
    </row>
    <row r="1633" spans="1:10" x14ac:dyDescent="0.25">
      <c r="A1633" s="2" t="s">
        <v>4895</v>
      </c>
      <c r="B1633" s="2" t="s">
        <v>4896</v>
      </c>
      <c r="C1633" s="2" t="s">
        <v>4897</v>
      </c>
      <c r="D1633" s="2" t="s">
        <v>10049</v>
      </c>
      <c r="E1633" s="15">
        <v>2.9100000000000001E-2</v>
      </c>
      <c r="F1633" s="15">
        <v>4.5900000000000003E-2</v>
      </c>
      <c r="G1633" s="15">
        <v>0.52569999999999995</v>
      </c>
      <c r="H1633" s="15">
        <v>0.2238</v>
      </c>
      <c r="I1633" s="15">
        <v>2.7E-2</v>
      </c>
      <c r="J1633" s="15">
        <v>9.509505703422052</v>
      </c>
    </row>
    <row r="1634" spans="1:10" x14ac:dyDescent="0.25">
      <c r="A1634" s="2" t="s">
        <v>4898</v>
      </c>
      <c r="B1634" s="2" t="s">
        <v>4899</v>
      </c>
      <c r="C1634" s="2" t="s">
        <v>4900</v>
      </c>
      <c r="D1634" s="2" t="s">
        <v>10049</v>
      </c>
      <c r="E1634" s="15">
        <v>-1.1000000000000001E-3</v>
      </c>
      <c r="F1634" s="15">
        <v>4.0899999999999999E-2</v>
      </c>
      <c r="G1634" s="15">
        <v>0.97829999999999995</v>
      </c>
      <c r="H1634" s="15">
        <v>0.2286</v>
      </c>
      <c r="I1634" s="15">
        <v>2.7900000000000001E-2</v>
      </c>
      <c r="J1634" s="15">
        <v>8.7482993197278915</v>
      </c>
    </row>
    <row r="1635" spans="1:10" x14ac:dyDescent="0.25">
      <c r="A1635" s="2" t="s">
        <v>4901</v>
      </c>
      <c r="B1635" s="2" t="s">
        <v>4902</v>
      </c>
      <c r="C1635" s="2" t="s">
        <v>4903</v>
      </c>
      <c r="D1635" s="2" t="s">
        <v>10049</v>
      </c>
      <c r="E1635" s="15">
        <v>1.4200000000000001E-2</v>
      </c>
      <c r="F1635" s="15">
        <v>4.4699999999999997E-2</v>
      </c>
      <c r="G1635" s="15">
        <v>0.75129999999999997</v>
      </c>
      <c r="H1635" s="15">
        <v>0.20330000000000001</v>
      </c>
      <c r="I1635" s="15">
        <v>2.5600000000000001E-2</v>
      </c>
      <c r="J1635" s="15">
        <v>7.9892857142857148</v>
      </c>
    </row>
    <row r="1636" spans="1:10" x14ac:dyDescent="0.25">
      <c r="A1636" s="2" t="s">
        <v>4904</v>
      </c>
      <c r="B1636" s="2" t="s">
        <v>4905</v>
      </c>
      <c r="C1636" s="2" t="s">
        <v>4906</v>
      </c>
      <c r="D1636" s="2" t="s">
        <v>10049</v>
      </c>
      <c r="E1636" s="15">
        <v>-3.8399999999999997E-2</v>
      </c>
      <c r="F1636" s="15">
        <v>4.1799999999999997E-2</v>
      </c>
      <c r="G1636" s="15">
        <v>0.35920000000000002</v>
      </c>
      <c r="H1636" s="15">
        <v>0.21809999999999999</v>
      </c>
      <c r="I1636" s="15">
        <v>2.63E-2</v>
      </c>
      <c r="J1636" s="15">
        <v>9.8408163265306126</v>
      </c>
    </row>
    <row r="1637" spans="1:10" x14ac:dyDescent="0.25">
      <c r="A1637" s="2" t="s">
        <v>4907</v>
      </c>
      <c r="B1637" s="2" t="s">
        <v>4908</v>
      </c>
      <c r="C1637" s="2" t="s">
        <v>4909</v>
      </c>
      <c r="D1637" s="2" t="s">
        <v>10049</v>
      </c>
      <c r="E1637" s="15">
        <v>-1.72E-2</v>
      </c>
      <c r="F1637" s="15">
        <v>4.4299999999999999E-2</v>
      </c>
      <c r="G1637" s="15">
        <v>0.69820000000000004</v>
      </c>
      <c r="H1637" s="15">
        <v>0.20019999999999999</v>
      </c>
      <c r="I1637" s="15">
        <v>2.6200000000000001E-2</v>
      </c>
      <c r="J1637" s="15">
        <v>8.9841269841269842</v>
      </c>
    </row>
    <row r="1638" spans="1:10" x14ac:dyDescent="0.25">
      <c r="A1638" s="2" t="s">
        <v>4910</v>
      </c>
      <c r="B1638" s="2" t="s">
        <v>4911</v>
      </c>
      <c r="C1638" s="2" t="s">
        <v>4912</v>
      </c>
      <c r="D1638" s="2" t="s">
        <v>10049</v>
      </c>
      <c r="E1638" s="15">
        <v>1.5699999999999999E-2</v>
      </c>
      <c r="F1638" s="15">
        <v>4.0599999999999997E-2</v>
      </c>
      <c r="G1638" s="15">
        <v>0.69810000000000005</v>
      </c>
      <c r="H1638" s="15">
        <v>0.24690000000000001</v>
      </c>
      <c r="I1638" s="15">
        <v>2.8400000000000002E-2</v>
      </c>
      <c r="J1638" s="15">
        <v>9.790035587188612</v>
      </c>
    </row>
    <row r="1639" spans="1:10" x14ac:dyDescent="0.25">
      <c r="A1639" s="2" t="s">
        <v>4913</v>
      </c>
      <c r="B1639" s="2" t="s">
        <v>4914</v>
      </c>
      <c r="C1639" s="2" t="s">
        <v>4915</v>
      </c>
      <c r="D1639" s="2" t="s">
        <v>10049</v>
      </c>
      <c r="E1639" s="15">
        <v>1.4500000000000001E-2</v>
      </c>
      <c r="F1639" s="15">
        <v>4.0099999999999997E-2</v>
      </c>
      <c r="G1639" s="15">
        <v>0.71709999999999996</v>
      </c>
      <c r="H1639" s="15">
        <v>0.2334</v>
      </c>
      <c r="I1639" s="15">
        <v>2.6599999999999999E-2</v>
      </c>
      <c r="J1639" s="15">
        <v>9.736641221374045</v>
      </c>
    </row>
    <row r="1640" spans="1:10" x14ac:dyDescent="0.25">
      <c r="A1640" s="2" t="s">
        <v>4916</v>
      </c>
      <c r="B1640" s="2" t="s">
        <v>4917</v>
      </c>
      <c r="C1640" s="2" t="s">
        <v>4918</v>
      </c>
      <c r="D1640" s="2" t="s">
        <v>10049</v>
      </c>
      <c r="E1640" s="15">
        <v>-1.77E-2</v>
      </c>
      <c r="F1640" s="15">
        <v>4.4400000000000002E-2</v>
      </c>
      <c r="G1640" s="15">
        <v>0.6895</v>
      </c>
      <c r="H1640" s="15">
        <v>0.1986</v>
      </c>
      <c r="I1640" s="15">
        <v>2.2499999999999999E-2</v>
      </c>
      <c r="J1640" s="15">
        <v>8.9327731092436977</v>
      </c>
    </row>
    <row r="1641" spans="1:10" x14ac:dyDescent="0.25">
      <c r="A1641" s="2" t="s">
        <v>4919</v>
      </c>
      <c r="B1641" s="2" t="s">
        <v>4920</v>
      </c>
      <c r="C1641" s="2" t="s">
        <v>4921</v>
      </c>
      <c r="D1641" s="2" t="s">
        <v>10049</v>
      </c>
      <c r="E1641" s="15">
        <v>-6.8900000000000003E-2</v>
      </c>
      <c r="F1641" s="15">
        <v>4.4400000000000002E-2</v>
      </c>
      <c r="G1641" s="15">
        <v>0.1208</v>
      </c>
      <c r="H1641" s="15">
        <v>0.19650000000000001</v>
      </c>
      <c r="I1641" s="15">
        <v>2.0899999999999998E-2</v>
      </c>
      <c r="J1641" s="15">
        <v>9.5580357142857153</v>
      </c>
    </row>
    <row r="1642" spans="1:10" x14ac:dyDescent="0.25">
      <c r="A1642" s="2" t="s">
        <v>4922</v>
      </c>
      <c r="B1642" s="2" t="s">
        <v>4923</v>
      </c>
      <c r="C1642" s="2" t="s">
        <v>4924</v>
      </c>
      <c r="D1642" s="2" t="s">
        <v>10049</v>
      </c>
      <c r="E1642" s="15">
        <v>4.99E-2</v>
      </c>
      <c r="F1642" s="15">
        <v>4.4999999999999998E-2</v>
      </c>
      <c r="G1642" s="15">
        <v>0.26740000000000003</v>
      </c>
      <c r="H1642" s="15">
        <v>0.16689999999999999</v>
      </c>
      <c r="I1642" s="15">
        <v>1.9400000000000001E-2</v>
      </c>
      <c r="J1642" s="15">
        <v>8.8306878306878307</v>
      </c>
    </row>
    <row r="1643" spans="1:10" x14ac:dyDescent="0.25">
      <c r="A1643" s="2" t="s">
        <v>4925</v>
      </c>
      <c r="B1643" s="2" t="s">
        <v>4926</v>
      </c>
      <c r="C1643" s="2" t="s">
        <v>4927</v>
      </c>
      <c r="D1643" s="2" t="s">
        <v>10049</v>
      </c>
      <c r="E1643" s="15">
        <v>2.7400000000000001E-2</v>
      </c>
      <c r="F1643" s="15">
        <v>4.7800000000000002E-2</v>
      </c>
      <c r="G1643" s="15">
        <v>0.5665</v>
      </c>
      <c r="H1643" s="15">
        <v>0.14949999999999999</v>
      </c>
      <c r="I1643" s="15">
        <v>1.9800000000000002E-2</v>
      </c>
      <c r="J1643" s="15">
        <v>8.1530054644808736</v>
      </c>
    </row>
    <row r="1644" spans="1:10" x14ac:dyDescent="0.25">
      <c r="A1644" s="2" t="s">
        <v>4928</v>
      </c>
      <c r="B1644" s="2" t="s">
        <v>4929</v>
      </c>
      <c r="C1644" s="2" t="s">
        <v>4930</v>
      </c>
      <c r="D1644" s="2" t="s">
        <v>10049</v>
      </c>
      <c r="E1644" s="15">
        <v>1.15E-2</v>
      </c>
      <c r="F1644" s="15">
        <v>3.6600000000000001E-2</v>
      </c>
      <c r="G1644" s="15">
        <v>0.75249999999999995</v>
      </c>
      <c r="H1644" s="15">
        <v>0.31040000000000001</v>
      </c>
      <c r="I1644" s="15">
        <v>3.3099999999999997E-2</v>
      </c>
      <c r="J1644" s="15">
        <v>10.512903225806451</v>
      </c>
    </row>
    <row r="1645" spans="1:10" x14ac:dyDescent="0.25">
      <c r="A1645" s="2" t="s">
        <v>4931</v>
      </c>
      <c r="B1645" s="2" t="s">
        <v>4932</v>
      </c>
      <c r="C1645" s="2" t="s">
        <v>4933</v>
      </c>
      <c r="D1645" s="2" t="s">
        <v>10049</v>
      </c>
      <c r="E1645" s="15">
        <v>8.3999999999999995E-3</v>
      </c>
      <c r="F1645" s="15">
        <v>3.8300000000000001E-2</v>
      </c>
      <c r="G1645" s="15">
        <v>0.8266</v>
      </c>
      <c r="H1645" s="15">
        <v>0.31319999999999998</v>
      </c>
      <c r="I1645" s="15">
        <v>3.4200000000000001E-2</v>
      </c>
      <c r="J1645" s="15">
        <v>10.389937106918239</v>
      </c>
    </row>
    <row r="1646" spans="1:10" x14ac:dyDescent="0.25">
      <c r="A1646" s="2" t="s">
        <v>4934</v>
      </c>
      <c r="B1646" s="2" t="s">
        <v>4935</v>
      </c>
      <c r="C1646" s="2" t="s">
        <v>4936</v>
      </c>
      <c r="D1646" s="2" t="s">
        <v>10049</v>
      </c>
      <c r="E1646" s="15">
        <v>2.5000000000000001E-2</v>
      </c>
      <c r="F1646" s="15">
        <v>4.9099999999999998E-2</v>
      </c>
      <c r="G1646" s="15">
        <v>0.61080000000000001</v>
      </c>
      <c r="H1646" s="15">
        <v>0.1739</v>
      </c>
      <c r="I1646" s="15">
        <v>2.3099999999999999E-2</v>
      </c>
      <c r="J1646" s="15">
        <v>8.5308056872037916</v>
      </c>
    </row>
    <row r="1647" spans="1:10" x14ac:dyDescent="0.25">
      <c r="A1647" s="2" t="s">
        <v>4937</v>
      </c>
      <c r="B1647" s="2" t="s">
        <v>4938</v>
      </c>
      <c r="C1647" s="2" t="s">
        <v>4939</v>
      </c>
      <c r="D1647" s="2" t="s">
        <v>10049</v>
      </c>
      <c r="E1647" s="15">
        <v>8.7499999999999994E-2</v>
      </c>
      <c r="F1647" s="15">
        <v>5.0700000000000002E-2</v>
      </c>
      <c r="G1647" s="15">
        <v>8.4099999999999994E-2</v>
      </c>
      <c r="H1647" s="15">
        <v>0.16839999999999999</v>
      </c>
      <c r="I1647" s="15">
        <v>2.29E-2</v>
      </c>
      <c r="J1647" s="15">
        <v>8.6195121951219509</v>
      </c>
    </row>
    <row r="1648" spans="1:10" x14ac:dyDescent="0.25">
      <c r="A1648" s="2" t="s">
        <v>4940</v>
      </c>
      <c r="B1648" s="2" t="s">
        <v>4941</v>
      </c>
      <c r="C1648" s="2" t="s">
        <v>4942</v>
      </c>
      <c r="D1648" s="2" t="s">
        <v>10049</v>
      </c>
      <c r="E1648" s="15">
        <v>-5.2299999999999999E-2</v>
      </c>
      <c r="F1648" s="15">
        <v>4.9799999999999997E-2</v>
      </c>
      <c r="G1648" s="15">
        <v>0.29299999999999998</v>
      </c>
      <c r="H1648" s="15">
        <v>0.1389</v>
      </c>
      <c r="I1648" s="15">
        <v>1.7600000000000001E-2</v>
      </c>
      <c r="J1648" s="15">
        <v>8.2315789473684227</v>
      </c>
    </row>
    <row r="1649" spans="1:10" x14ac:dyDescent="0.25">
      <c r="A1649" s="2" t="s">
        <v>4943</v>
      </c>
      <c r="B1649" s="2" t="s">
        <v>4944</v>
      </c>
      <c r="C1649" s="2" t="s">
        <v>4945</v>
      </c>
      <c r="D1649" s="2" t="s">
        <v>10049</v>
      </c>
      <c r="E1649" s="15">
        <v>-5.5E-2</v>
      </c>
      <c r="F1649" s="15">
        <v>5.45E-2</v>
      </c>
      <c r="G1649" s="15">
        <v>0.313</v>
      </c>
      <c r="H1649" s="15">
        <v>0.12620000000000001</v>
      </c>
      <c r="I1649" s="15">
        <v>1.6799999999999999E-2</v>
      </c>
      <c r="J1649" s="15">
        <v>8.4764705882352942</v>
      </c>
    </row>
    <row r="1650" spans="1:10" x14ac:dyDescent="0.25">
      <c r="A1650" s="2" t="s">
        <v>4946</v>
      </c>
      <c r="B1650" s="2" t="s">
        <v>4947</v>
      </c>
      <c r="C1650" s="2" t="s">
        <v>4948</v>
      </c>
      <c r="D1650" s="2" t="s">
        <v>10049</v>
      </c>
      <c r="E1650" s="15">
        <v>5.91E-2</v>
      </c>
      <c r="F1650" s="15">
        <v>4.0300000000000002E-2</v>
      </c>
      <c r="G1650" s="15">
        <v>0.14249999999999999</v>
      </c>
      <c r="H1650" s="15">
        <v>0.18390000000000001</v>
      </c>
      <c r="I1650" s="15">
        <v>2.06E-2</v>
      </c>
      <c r="J1650" s="15">
        <v>9.3813953488372093</v>
      </c>
    </row>
    <row r="1651" spans="1:10" x14ac:dyDescent="0.25">
      <c r="A1651" s="2" t="s">
        <v>4949</v>
      </c>
      <c r="B1651" s="2" t="s">
        <v>4950</v>
      </c>
      <c r="C1651" s="2" t="s">
        <v>4951</v>
      </c>
      <c r="D1651" s="2" t="s">
        <v>10049</v>
      </c>
      <c r="E1651" s="15">
        <v>5.11E-2</v>
      </c>
      <c r="F1651" s="15">
        <v>4.36E-2</v>
      </c>
      <c r="G1651" s="15">
        <v>0.2409</v>
      </c>
      <c r="H1651" s="15">
        <v>0.1888</v>
      </c>
      <c r="I1651" s="15">
        <v>2.06E-2</v>
      </c>
      <c r="J1651" s="15">
        <v>10.67839195979899</v>
      </c>
    </row>
    <row r="1652" spans="1:10" x14ac:dyDescent="0.25">
      <c r="A1652" s="2" t="s">
        <v>4952</v>
      </c>
      <c r="B1652" s="2" t="s">
        <v>4953</v>
      </c>
      <c r="C1652" s="2" t="s">
        <v>4954</v>
      </c>
      <c r="D1652" s="2" t="s">
        <v>10049</v>
      </c>
      <c r="E1652" s="15">
        <v>-2.5000000000000001E-2</v>
      </c>
      <c r="F1652" s="15">
        <v>4.5600000000000002E-2</v>
      </c>
      <c r="G1652" s="15">
        <v>0.58420000000000005</v>
      </c>
      <c r="H1652" s="15">
        <v>0.1857</v>
      </c>
      <c r="I1652" s="15">
        <v>2.1000000000000001E-2</v>
      </c>
      <c r="J1652" s="15">
        <v>10.128865979381439</v>
      </c>
    </row>
    <row r="1653" spans="1:10" x14ac:dyDescent="0.25">
      <c r="A1653" s="2" t="s">
        <v>4955</v>
      </c>
      <c r="B1653" s="2" t="s">
        <v>4956</v>
      </c>
      <c r="C1653" s="2" t="s">
        <v>4957</v>
      </c>
      <c r="D1653" s="2" t="s">
        <v>10049</v>
      </c>
      <c r="E1653" s="15">
        <v>7.1000000000000004E-3</v>
      </c>
      <c r="F1653" s="15">
        <v>4.2099999999999999E-2</v>
      </c>
      <c r="G1653" s="15">
        <v>0.86609999999999998</v>
      </c>
      <c r="H1653" s="15">
        <v>0.19070000000000001</v>
      </c>
      <c r="I1653" s="15">
        <v>2.23E-2</v>
      </c>
      <c r="J1653" s="15">
        <v>9.7073170731707314</v>
      </c>
    </row>
    <row r="1654" spans="1:10" x14ac:dyDescent="0.25">
      <c r="A1654" s="2" t="s">
        <v>4958</v>
      </c>
      <c r="B1654" s="2" t="s">
        <v>4959</v>
      </c>
      <c r="C1654" s="2" t="s">
        <v>4960</v>
      </c>
      <c r="D1654" s="2" t="s">
        <v>10049</v>
      </c>
      <c r="E1654" s="15">
        <v>2.8199999999999999E-2</v>
      </c>
      <c r="F1654" s="15">
        <v>0.04</v>
      </c>
      <c r="G1654" s="15">
        <v>0.48170000000000002</v>
      </c>
      <c r="H1654" s="15">
        <v>0.28610000000000002</v>
      </c>
      <c r="I1654" s="15">
        <v>2.5499999999999998E-2</v>
      </c>
      <c r="J1654" s="15">
        <v>12.047619047619049</v>
      </c>
    </row>
    <row r="1655" spans="1:10" x14ac:dyDescent="0.25">
      <c r="A1655" s="2" t="s">
        <v>4961</v>
      </c>
      <c r="B1655" s="2" t="s">
        <v>4962</v>
      </c>
      <c r="C1655" s="2" t="s">
        <v>4963</v>
      </c>
      <c r="D1655" s="2" t="s">
        <v>10049</v>
      </c>
      <c r="E1655" s="15">
        <v>1.0200000000000001E-2</v>
      </c>
      <c r="F1655" s="15">
        <v>3.95E-2</v>
      </c>
      <c r="G1655" s="15">
        <v>0.79620000000000002</v>
      </c>
      <c r="H1655" s="15">
        <v>0.25190000000000001</v>
      </c>
      <c r="I1655" s="15">
        <v>2.24E-2</v>
      </c>
      <c r="J1655" s="15">
        <v>11.603448275862069</v>
      </c>
    </row>
    <row r="1656" spans="1:10" x14ac:dyDescent="0.25">
      <c r="A1656" s="2" t="s">
        <v>4964</v>
      </c>
      <c r="B1656" s="2" t="s">
        <v>4965</v>
      </c>
      <c r="C1656" s="2" t="s">
        <v>4966</v>
      </c>
      <c r="D1656" s="2" t="s">
        <v>10049</v>
      </c>
      <c r="E1656" s="15">
        <v>1.3299999999999999E-2</v>
      </c>
      <c r="F1656" s="15">
        <v>3.7900000000000003E-2</v>
      </c>
      <c r="G1656" s="15">
        <v>0.72670000000000001</v>
      </c>
      <c r="H1656" s="15">
        <v>0.31890000000000002</v>
      </c>
      <c r="I1656" s="15">
        <v>2.7400000000000001E-2</v>
      </c>
      <c r="J1656" s="15">
        <v>11.806569343065689</v>
      </c>
    </row>
    <row r="1657" spans="1:10" x14ac:dyDescent="0.25">
      <c r="A1657" s="2" t="s">
        <v>4967</v>
      </c>
      <c r="B1657" s="2" t="s">
        <v>4968</v>
      </c>
      <c r="C1657" s="2" t="s">
        <v>4969</v>
      </c>
      <c r="D1657" s="2" t="s">
        <v>10049</v>
      </c>
      <c r="E1657" s="15">
        <v>7.1599999999999997E-2</v>
      </c>
      <c r="F1657" s="15">
        <v>4.3299999999999998E-2</v>
      </c>
      <c r="G1657" s="15">
        <v>9.8100000000000007E-2</v>
      </c>
      <c r="H1657" s="15">
        <v>0.22670000000000001</v>
      </c>
      <c r="I1657" s="15">
        <v>2.5600000000000001E-2</v>
      </c>
      <c r="J1657" s="15">
        <v>9.8666666666666671</v>
      </c>
    </row>
    <row r="1658" spans="1:10" x14ac:dyDescent="0.25">
      <c r="A1658" s="2" t="s">
        <v>4970</v>
      </c>
      <c r="B1658" s="2" t="s">
        <v>4971</v>
      </c>
      <c r="C1658" s="2" t="s">
        <v>4972</v>
      </c>
      <c r="D1658" s="2" t="s">
        <v>10049</v>
      </c>
      <c r="E1658" s="15">
        <v>-3.9100000000000003E-2</v>
      </c>
      <c r="F1658" s="15">
        <v>4.53E-2</v>
      </c>
      <c r="G1658" s="15">
        <v>0.38840000000000002</v>
      </c>
      <c r="H1658" s="15">
        <v>0.15709999999999999</v>
      </c>
      <c r="I1658" s="15">
        <v>2.0299999999999999E-2</v>
      </c>
      <c r="J1658" s="15">
        <v>8.0216216216216214</v>
      </c>
    </row>
    <row r="1659" spans="1:10" x14ac:dyDescent="0.25">
      <c r="A1659" s="2" t="s">
        <v>4973</v>
      </c>
      <c r="B1659" s="2" t="s">
        <v>4974</v>
      </c>
      <c r="C1659" s="2" t="s">
        <v>4975</v>
      </c>
      <c r="D1659" s="2" t="s">
        <v>10049</v>
      </c>
      <c r="E1659" s="15">
        <v>3.7000000000000002E-3</v>
      </c>
      <c r="F1659" s="15">
        <v>4.7699999999999999E-2</v>
      </c>
      <c r="G1659" s="15">
        <v>0.93799999999999994</v>
      </c>
      <c r="H1659" s="15">
        <v>0.1326</v>
      </c>
      <c r="I1659" s="15">
        <v>1.8599999999999998E-2</v>
      </c>
      <c r="J1659" s="15">
        <v>6.9488636363636367</v>
      </c>
    </row>
    <row r="1660" spans="1:10" x14ac:dyDescent="0.25">
      <c r="A1660" s="2" t="s">
        <v>4976</v>
      </c>
      <c r="B1660" s="2" t="s">
        <v>4977</v>
      </c>
      <c r="C1660" s="2" t="s">
        <v>4978</v>
      </c>
      <c r="D1660" s="2" t="s">
        <v>10049</v>
      </c>
      <c r="E1660" s="15">
        <v>4.7300000000000002E-2</v>
      </c>
      <c r="F1660" s="15">
        <v>4.24E-2</v>
      </c>
      <c r="G1660" s="15">
        <v>0.26519999999999999</v>
      </c>
      <c r="H1660" s="15">
        <v>0.19439999999999999</v>
      </c>
      <c r="I1660" s="15">
        <v>2.47E-2</v>
      </c>
      <c r="J1660" s="15">
        <v>8.4430379746835449</v>
      </c>
    </row>
    <row r="1661" spans="1:10" x14ac:dyDescent="0.25">
      <c r="A1661" s="2" t="s">
        <v>4979</v>
      </c>
      <c r="B1661" s="2" t="s">
        <v>4980</v>
      </c>
      <c r="C1661" s="2" t="s">
        <v>4981</v>
      </c>
      <c r="D1661" s="2" t="s">
        <v>10049</v>
      </c>
      <c r="E1661" s="15">
        <v>1.9199999999999998E-2</v>
      </c>
      <c r="F1661" s="15">
        <v>4.0800000000000003E-2</v>
      </c>
      <c r="G1661" s="15">
        <v>0.63790000000000002</v>
      </c>
      <c r="H1661" s="15">
        <v>0.17449999999999999</v>
      </c>
      <c r="I1661" s="15">
        <v>2.4899999999999999E-2</v>
      </c>
      <c r="J1661" s="15">
        <v>7.2622950819672134</v>
      </c>
    </row>
    <row r="1662" spans="1:10" x14ac:dyDescent="0.25">
      <c r="A1662" s="2" t="s">
        <v>4982</v>
      </c>
      <c r="B1662" s="2" t="s">
        <v>4983</v>
      </c>
      <c r="C1662" s="2" t="s">
        <v>4984</v>
      </c>
      <c r="D1662" s="2" t="s">
        <v>10049</v>
      </c>
      <c r="E1662" s="15">
        <v>-9.1000000000000004E-3</v>
      </c>
      <c r="F1662" s="15">
        <v>4.6100000000000002E-2</v>
      </c>
      <c r="G1662" s="15">
        <v>0.84389999999999998</v>
      </c>
      <c r="H1662" s="15">
        <v>0.1757</v>
      </c>
      <c r="I1662" s="15">
        <v>1.83E-2</v>
      </c>
      <c r="J1662" s="15">
        <v>10.83333333333333</v>
      </c>
    </row>
    <row r="1663" spans="1:10" x14ac:dyDescent="0.25">
      <c r="A1663" s="2" t="s">
        <v>4985</v>
      </c>
      <c r="B1663" s="2" t="s">
        <v>4986</v>
      </c>
      <c r="C1663" s="2" t="s">
        <v>4987</v>
      </c>
      <c r="D1663" s="2" t="s">
        <v>10049</v>
      </c>
      <c r="E1663" s="15">
        <v>-2.41E-2</v>
      </c>
      <c r="F1663" s="15">
        <v>4.3099999999999999E-2</v>
      </c>
      <c r="G1663" s="15">
        <v>0.57699999999999996</v>
      </c>
      <c r="H1663" s="15">
        <v>0.16950000000000001</v>
      </c>
      <c r="I1663" s="15">
        <v>1.72E-2</v>
      </c>
      <c r="J1663" s="15">
        <v>10.97058823529412</v>
      </c>
    </row>
    <row r="1664" spans="1:10" x14ac:dyDescent="0.25">
      <c r="A1664" s="2" t="s">
        <v>4988</v>
      </c>
      <c r="B1664" s="2" t="s">
        <v>4989</v>
      </c>
      <c r="C1664" s="2" t="s">
        <v>4990</v>
      </c>
      <c r="D1664" s="2" t="s">
        <v>10049</v>
      </c>
      <c r="E1664" s="15">
        <v>0.127</v>
      </c>
      <c r="F1664" s="15">
        <v>4.5199999999999997E-2</v>
      </c>
      <c r="G1664" s="15">
        <v>5.0000000000000001E-3</v>
      </c>
      <c r="H1664" s="15">
        <v>0.21640000000000001</v>
      </c>
      <c r="I1664" s="15">
        <v>2.2200000000000001E-2</v>
      </c>
      <c r="J1664" s="15">
        <v>9.9865470852017939</v>
      </c>
    </row>
    <row r="1665" spans="1:10" x14ac:dyDescent="0.25">
      <c r="A1665" s="2" t="s">
        <v>4991</v>
      </c>
      <c r="B1665" s="2" t="s">
        <v>4992</v>
      </c>
      <c r="C1665" s="2" t="s">
        <v>4993</v>
      </c>
      <c r="D1665" s="2" t="s">
        <v>10049</v>
      </c>
      <c r="E1665" s="15">
        <v>8.9399999999999993E-2</v>
      </c>
      <c r="F1665" s="15">
        <v>4.2599999999999999E-2</v>
      </c>
      <c r="G1665" s="15">
        <v>3.5700000000000003E-2</v>
      </c>
      <c r="H1665" s="15">
        <v>0.2324</v>
      </c>
      <c r="I1665" s="15">
        <v>2.4E-2</v>
      </c>
      <c r="J1665" s="15">
        <v>10.2274678111588</v>
      </c>
    </row>
    <row r="1666" spans="1:10" x14ac:dyDescent="0.25">
      <c r="A1666" s="2" t="s">
        <v>4994</v>
      </c>
      <c r="B1666" s="2" t="s">
        <v>4995</v>
      </c>
      <c r="C1666" s="2" t="s">
        <v>4996</v>
      </c>
      <c r="D1666" s="2" t="s">
        <v>10049</v>
      </c>
      <c r="E1666" s="15">
        <v>2.3800000000000002E-2</v>
      </c>
      <c r="F1666" s="15">
        <v>4.2599999999999999E-2</v>
      </c>
      <c r="G1666" s="15">
        <v>0.57620000000000005</v>
      </c>
      <c r="H1666" s="15">
        <v>0.23100000000000001</v>
      </c>
      <c r="I1666" s="15">
        <v>2.3E-2</v>
      </c>
      <c r="J1666" s="15">
        <v>10.63133640552995</v>
      </c>
    </row>
    <row r="1667" spans="1:10" x14ac:dyDescent="0.25">
      <c r="A1667" s="2" t="s">
        <v>4997</v>
      </c>
      <c r="B1667" s="2" t="s">
        <v>4998</v>
      </c>
      <c r="C1667" s="2" t="s">
        <v>4999</v>
      </c>
      <c r="D1667" s="2" t="s">
        <v>10049</v>
      </c>
      <c r="E1667" s="15">
        <v>4.4999999999999998E-2</v>
      </c>
      <c r="F1667" s="15">
        <v>4.1099999999999998E-2</v>
      </c>
      <c r="G1667" s="15">
        <v>0.27360000000000001</v>
      </c>
      <c r="H1667" s="15">
        <v>0.21820000000000001</v>
      </c>
      <c r="I1667" s="15">
        <v>2.2599999999999999E-2</v>
      </c>
      <c r="J1667" s="15">
        <v>10.46082949308756</v>
      </c>
    </row>
    <row r="1668" spans="1:10" x14ac:dyDescent="0.25">
      <c r="A1668" s="2" t="s">
        <v>5000</v>
      </c>
      <c r="B1668" s="2" t="s">
        <v>5001</v>
      </c>
      <c r="C1668" s="2" t="s">
        <v>5002</v>
      </c>
      <c r="D1668" s="2" t="s">
        <v>10049</v>
      </c>
      <c r="E1668" s="15">
        <v>1.84E-2</v>
      </c>
      <c r="F1668" s="15">
        <v>4.7899999999999998E-2</v>
      </c>
      <c r="G1668" s="15">
        <v>0.70079999999999998</v>
      </c>
      <c r="H1668" s="15">
        <v>0.1857</v>
      </c>
      <c r="I1668" s="15">
        <v>2.0299999999999999E-2</v>
      </c>
      <c r="J1668" s="15">
        <v>10.8848167539267</v>
      </c>
    </row>
    <row r="1669" spans="1:10" x14ac:dyDescent="0.25">
      <c r="A1669" s="2" t="s">
        <v>5003</v>
      </c>
      <c r="B1669" s="2" t="s">
        <v>5004</v>
      </c>
      <c r="C1669" s="2" t="s">
        <v>5005</v>
      </c>
      <c r="D1669" s="2" t="s">
        <v>10049</v>
      </c>
      <c r="E1669" s="15">
        <v>9.3600000000000003E-2</v>
      </c>
      <c r="F1669" s="15">
        <v>4.8500000000000001E-2</v>
      </c>
      <c r="G1669" s="15">
        <v>5.3699999999999998E-2</v>
      </c>
      <c r="H1669" s="15">
        <v>0.19270000000000001</v>
      </c>
      <c r="I1669" s="15">
        <v>2.1000000000000001E-2</v>
      </c>
      <c r="J1669" s="15">
        <v>10.427184466019421</v>
      </c>
    </row>
    <row r="1670" spans="1:10" x14ac:dyDescent="0.25">
      <c r="A1670" s="2" t="s">
        <v>5006</v>
      </c>
      <c r="B1670" s="2" t="s">
        <v>5007</v>
      </c>
      <c r="C1670" s="2" t="s">
        <v>5008</v>
      </c>
      <c r="D1670" s="2" t="s">
        <v>10049</v>
      </c>
      <c r="E1670" s="15">
        <v>6.2199999999999998E-2</v>
      </c>
      <c r="F1670" s="15">
        <v>3.2000000000000001E-2</v>
      </c>
      <c r="G1670" s="15">
        <v>5.1700000000000003E-2</v>
      </c>
      <c r="H1670" s="15">
        <v>0.32629999999999998</v>
      </c>
      <c r="I1670" s="15">
        <v>2.8000000000000001E-2</v>
      </c>
      <c r="J1670" s="15">
        <v>13.11627906976744</v>
      </c>
    </row>
    <row r="1671" spans="1:10" x14ac:dyDescent="0.25">
      <c r="A1671" s="2" t="s">
        <v>5009</v>
      </c>
      <c r="B1671" s="2" t="s">
        <v>5010</v>
      </c>
      <c r="C1671" s="2" t="s">
        <v>5011</v>
      </c>
      <c r="D1671" s="2" t="s">
        <v>10049</v>
      </c>
      <c r="E1671" s="15">
        <v>8.8200000000000001E-2</v>
      </c>
      <c r="F1671" s="15">
        <v>3.4599999999999999E-2</v>
      </c>
      <c r="G1671" s="15">
        <v>1.09E-2</v>
      </c>
      <c r="H1671" s="15">
        <v>0.31</v>
      </c>
      <c r="I1671" s="15">
        <v>2.6800000000000001E-2</v>
      </c>
      <c r="J1671" s="15">
        <v>13.232653061224489</v>
      </c>
    </row>
    <row r="1672" spans="1:10" x14ac:dyDescent="0.25">
      <c r="A1672" s="2" t="s">
        <v>5012</v>
      </c>
      <c r="B1672" s="2" t="s">
        <v>5013</v>
      </c>
      <c r="C1672" s="2" t="s">
        <v>5014</v>
      </c>
      <c r="D1672" s="2" t="s">
        <v>10049</v>
      </c>
      <c r="E1672" s="15">
        <v>0.11360000000000001</v>
      </c>
      <c r="F1672" s="15">
        <v>3.9300000000000002E-2</v>
      </c>
      <c r="G1672" s="15">
        <v>3.8999999999999998E-3</v>
      </c>
      <c r="H1672" s="15">
        <v>0.23849999999999999</v>
      </c>
      <c r="I1672" s="15">
        <v>2.2100000000000002E-2</v>
      </c>
      <c r="J1672" s="15">
        <v>12.63461538461539</v>
      </c>
    </row>
    <row r="1673" spans="1:10" x14ac:dyDescent="0.25">
      <c r="A1673" s="2" t="s">
        <v>5015</v>
      </c>
      <c r="B1673" s="2" t="s">
        <v>5016</v>
      </c>
      <c r="C1673" s="2" t="s">
        <v>5017</v>
      </c>
      <c r="D1673" s="2" t="s">
        <v>10049</v>
      </c>
      <c r="E1673" s="15">
        <v>7.6300000000000007E-2</v>
      </c>
      <c r="F1673" s="15">
        <v>4.3900000000000002E-2</v>
      </c>
      <c r="G1673" s="15">
        <v>8.2600000000000007E-2</v>
      </c>
      <c r="H1673" s="15">
        <v>0.2036</v>
      </c>
      <c r="I1673" s="15">
        <v>2.1299999999999999E-2</v>
      </c>
      <c r="J1673" s="15">
        <v>10.79326923076923</v>
      </c>
    </row>
    <row r="1674" spans="1:10" x14ac:dyDescent="0.25">
      <c r="A1674" s="2" t="s">
        <v>5018</v>
      </c>
      <c r="B1674" s="2" t="s">
        <v>5019</v>
      </c>
      <c r="C1674" s="2" t="s">
        <v>5020</v>
      </c>
      <c r="D1674" s="2" t="s">
        <v>10049</v>
      </c>
      <c r="E1674" s="15">
        <v>1.6199999999999999E-2</v>
      </c>
      <c r="F1674" s="15">
        <v>4.0800000000000003E-2</v>
      </c>
      <c r="G1674" s="15">
        <v>0.69079999999999997</v>
      </c>
      <c r="H1674" s="15">
        <v>0.24390000000000001</v>
      </c>
      <c r="I1674" s="15">
        <v>2.46E-2</v>
      </c>
      <c r="J1674" s="15">
        <v>10.176</v>
      </c>
    </row>
    <row r="1675" spans="1:10" x14ac:dyDescent="0.25">
      <c r="A1675" s="2" t="s">
        <v>5021</v>
      </c>
      <c r="B1675" s="2" t="s">
        <v>5022</v>
      </c>
      <c r="C1675" s="2" t="s">
        <v>5023</v>
      </c>
      <c r="D1675" s="2" t="s">
        <v>10049</v>
      </c>
      <c r="E1675" s="15">
        <v>1.11E-2</v>
      </c>
      <c r="F1675" s="15">
        <v>3.9899999999999998E-2</v>
      </c>
      <c r="G1675" s="15">
        <v>0.78049999999999997</v>
      </c>
      <c r="H1675" s="15">
        <v>0.24790000000000001</v>
      </c>
      <c r="I1675" s="15">
        <v>2.76E-2</v>
      </c>
      <c r="J1675" s="15">
        <v>9.7289377289377281</v>
      </c>
    </row>
    <row r="1676" spans="1:10" x14ac:dyDescent="0.25">
      <c r="A1676" s="2" t="s">
        <v>5024</v>
      </c>
      <c r="B1676" s="2" t="s">
        <v>5025</v>
      </c>
      <c r="C1676" s="2" t="s">
        <v>5026</v>
      </c>
      <c r="D1676" s="2" t="s">
        <v>10049</v>
      </c>
      <c r="E1676" s="15">
        <v>6.9599999999999995E-2</v>
      </c>
      <c r="F1676" s="15">
        <v>4.1700000000000001E-2</v>
      </c>
      <c r="G1676" s="15">
        <v>9.5399999999999999E-2</v>
      </c>
      <c r="H1676" s="15">
        <v>0.2417</v>
      </c>
      <c r="I1676" s="15">
        <v>2.4E-2</v>
      </c>
      <c r="J1676" s="15">
        <v>11.58333333333333</v>
      </c>
    </row>
    <row r="1677" spans="1:10" x14ac:dyDescent="0.25">
      <c r="A1677" s="2" t="s">
        <v>5027</v>
      </c>
      <c r="B1677" s="2" t="s">
        <v>5028</v>
      </c>
      <c r="C1677" s="2" t="s">
        <v>5029</v>
      </c>
      <c r="D1677" s="2" t="s">
        <v>10049</v>
      </c>
      <c r="E1677" s="15">
        <v>7.2800000000000004E-2</v>
      </c>
      <c r="F1677" s="15">
        <v>4.3400000000000001E-2</v>
      </c>
      <c r="G1677" s="15">
        <v>9.3799999999999994E-2</v>
      </c>
      <c r="H1677" s="15">
        <v>0.23949999999999999</v>
      </c>
      <c r="I1677" s="15">
        <v>2.4500000000000001E-2</v>
      </c>
      <c r="J1677" s="15">
        <v>10.87029288702929</v>
      </c>
    </row>
    <row r="1678" spans="1:10" x14ac:dyDescent="0.25">
      <c r="A1678" s="2" t="s">
        <v>5030</v>
      </c>
      <c r="B1678" s="2" t="s">
        <v>5031</v>
      </c>
      <c r="C1678" s="2" t="s">
        <v>5032</v>
      </c>
      <c r="D1678" s="2" t="s">
        <v>10049</v>
      </c>
      <c r="E1678" s="15">
        <v>8.6800000000000002E-2</v>
      </c>
      <c r="F1678" s="15">
        <v>4.3799999999999999E-2</v>
      </c>
      <c r="G1678" s="15">
        <v>4.7100000000000003E-2</v>
      </c>
      <c r="H1678" s="15">
        <v>0.2409</v>
      </c>
      <c r="I1678" s="15">
        <v>2.4199999999999999E-2</v>
      </c>
      <c r="J1678" s="15">
        <v>11.34468085106383</v>
      </c>
    </row>
    <row r="1679" spans="1:10" x14ac:dyDescent="0.25">
      <c r="A1679" s="2" t="s">
        <v>5033</v>
      </c>
      <c r="B1679" s="2" t="s">
        <v>5034</v>
      </c>
      <c r="C1679" s="2" t="s">
        <v>5035</v>
      </c>
      <c r="D1679" s="2" t="s">
        <v>10049</v>
      </c>
      <c r="E1679" s="15">
        <v>6.8000000000000005E-2</v>
      </c>
      <c r="F1679" s="15">
        <v>4.36E-2</v>
      </c>
      <c r="G1679" s="15">
        <v>0.1186</v>
      </c>
      <c r="H1679" s="15">
        <v>0.23300000000000001</v>
      </c>
      <c r="I1679" s="15">
        <v>2.53E-2</v>
      </c>
      <c r="J1679" s="15">
        <v>10.09236947791165</v>
      </c>
    </row>
    <row r="1680" spans="1:10" x14ac:dyDescent="0.25">
      <c r="A1680" s="2" t="s">
        <v>5036</v>
      </c>
      <c r="B1680" s="2" t="s">
        <v>5037</v>
      </c>
      <c r="C1680" s="2" t="s">
        <v>5038</v>
      </c>
      <c r="D1680" s="2" t="s">
        <v>10049</v>
      </c>
      <c r="E1680" s="15">
        <v>2.9499999999999998E-2</v>
      </c>
      <c r="F1680" s="15">
        <v>4.6800000000000001E-2</v>
      </c>
      <c r="G1680" s="15">
        <v>0.52849999999999997</v>
      </c>
      <c r="H1680" s="15">
        <v>0.1797</v>
      </c>
      <c r="I1680" s="15">
        <v>2.0299999999999999E-2</v>
      </c>
      <c r="J1680" s="15">
        <v>10.208121827411169</v>
      </c>
    </row>
    <row r="1681" spans="1:10" x14ac:dyDescent="0.25">
      <c r="A1681" s="2" t="s">
        <v>5039</v>
      </c>
      <c r="B1681" s="2" t="s">
        <v>5040</v>
      </c>
      <c r="C1681" s="2" t="s">
        <v>5041</v>
      </c>
      <c r="D1681" s="2" t="s">
        <v>10049</v>
      </c>
      <c r="E1681" s="15">
        <v>6.9000000000000006E-2</v>
      </c>
      <c r="F1681" s="15">
        <v>4.1599999999999998E-2</v>
      </c>
      <c r="G1681" s="15">
        <v>9.69E-2</v>
      </c>
      <c r="H1681" s="15">
        <v>0.21879999999999999</v>
      </c>
      <c r="I1681" s="15">
        <v>2.3699999999999999E-2</v>
      </c>
      <c r="J1681" s="15">
        <v>10.528634361233481</v>
      </c>
    </row>
    <row r="1682" spans="1:10" x14ac:dyDescent="0.25">
      <c r="A1682" s="2" t="s">
        <v>5042</v>
      </c>
      <c r="B1682" s="2" t="s">
        <v>5043</v>
      </c>
      <c r="C1682" s="2" t="s">
        <v>5044</v>
      </c>
      <c r="D1682" s="2" t="s">
        <v>10049</v>
      </c>
      <c r="E1682" s="15">
        <v>3.9600000000000003E-2</v>
      </c>
      <c r="F1682" s="15">
        <v>4.5400000000000003E-2</v>
      </c>
      <c r="G1682" s="15">
        <v>0.38269999999999998</v>
      </c>
      <c r="H1682" s="15">
        <v>0.2056</v>
      </c>
      <c r="I1682" s="15">
        <v>2.1299999999999999E-2</v>
      </c>
      <c r="J1682" s="15">
        <v>10.45412844036697</v>
      </c>
    </row>
    <row r="1683" spans="1:10" x14ac:dyDescent="0.25">
      <c r="A1683" s="2" t="s">
        <v>5045</v>
      </c>
      <c r="B1683" s="2" t="s">
        <v>5046</v>
      </c>
      <c r="C1683" s="2" t="s">
        <v>5047</v>
      </c>
      <c r="D1683" s="2" t="s">
        <v>10049</v>
      </c>
      <c r="E1683" s="15">
        <v>4.1099999999999998E-2</v>
      </c>
      <c r="F1683" s="15">
        <v>4.5900000000000003E-2</v>
      </c>
      <c r="G1683" s="15">
        <v>0.36990000000000001</v>
      </c>
      <c r="H1683" s="15">
        <v>0.19239999999999999</v>
      </c>
      <c r="I1683" s="15">
        <v>1.9699999999999999E-2</v>
      </c>
      <c r="J1683" s="15">
        <v>9.8826291079812201</v>
      </c>
    </row>
    <row r="1684" spans="1:10" x14ac:dyDescent="0.25">
      <c r="A1684" s="2" t="s">
        <v>5048</v>
      </c>
      <c r="B1684" s="2" t="s">
        <v>5049</v>
      </c>
      <c r="C1684" s="2" t="s">
        <v>5050</v>
      </c>
      <c r="D1684" s="2" t="s">
        <v>10049</v>
      </c>
      <c r="E1684" s="15">
        <v>-4.5499999999999999E-2</v>
      </c>
      <c r="F1684" s="15">
        <v>4.0899999999999999E-2</v>
      </c>
      <c r="G1684" s="15">
        <v>0.26569999999999999</v>
      </c>
      <c r="H1684" s="15">
        <v>0.25159999999999999</v>
      </c>
      <c r="I1684" s="15">
        <v>2.64E-2</v>
      </c>
      <c r="J1684" s="15">
        <v>10.241509433962261</v>
      </c>
    </row>
    <row r="1685" spans="1:10" x14ac:dyDescent="0.25">
      <c r="A1685" s="2" t="s">
        <v>5051</v>
      </c>
      <c r="B1685" s="2" t="s">
        <v>5052</v>
      </c>
      <c r="C1685" s="2" t="s">
        <v>5053</v>
      </c>
      <c r="D1685" s="2" t="s">
        <v>10049</v>
      </c>
      <c r="E1685" s="15">
        <v>-9.7999999999999997E-3</v>
      </c>
      <c r="F1685" s="15">
        <v>4.2000000000000003E-2</v>
      </c>
      <c r="G1685" s="15">
        <v>0.81520000000000004</v>
      </c>
      <c r="H1685" s="15">
        <v>0.24210000000000001</v>
      </c>
      <c r="I1685" s="15">
        <v>2.7199999999999998E-2</v>
      </c>
      <c r="J1685" s="15">
        <v>10.13307984790875</v>
      </c>
    </row>
    <row r="1686" spans="1:10" x14ac:dyDescent="0.25">
      <c r="A1686" s="2" t="s">
        <v>5054</v>
      </c>
      <c r="B1686" s="2" t="s">
        <v>5055</v>
      </c>
      <c r="C1686" s="2" t="s">
        <v>5056</v>
      </c>
      <c r="D1686" s="2" t="s">
        <v>10049</v>
      </c>
      <c r="E1686" s="15">
        <v>2.8500000000000001E-2</v>
      </c>
      <c r="F1686" s="15">
        <v>4.0300000000000002E-2</v>
      </c>
      <c r="G1686" s="15">
        <v>0.47989999999999999</v>
      </c>
      <c r="H1686" s="15">
        <v>0.2364</v>
      </c>
      <c r="I1686" s="15">
        <v>2.5100000000000001E-2</v>
      </c>
      <c r="J1686" s="15">
        <v>10.89451476793249</v>
      </c>
    </row>
    <row r="1687" spans="1:10" x14ac:dyDescent="0.25">
      <c r="A1687" s="2" t="s">
        <v>5057</v>
      </c>
      <c r="B1687" s="2" t="s">
        <v>5058</v>
      </c>
      <c r="C1687" s="2" t="s">
        <v>5059</v>
      </c>
      <c r="D1687" s="2" t="s">
        <v>10049</v>
      </c>
      <c r="E1687" s="15">
        <v>1.8800000000000001E-2</v>
      </c>
      <c r="F1687" s="15">
        <v>4.1500000000000002E-2</v>
      </c>
      <c r="G1687" s="15">
        <v>0.6512</v>
      </c>
      <c r="H1687" s="15">
        <v>0.2447</v>
      </c>
      <c r="I1687" s="15">
        <v>2.29E-2</v>
      </c>
      <c r="J1687" s="15">
        <v>11.757709251101319</v>
      </c>
    </row>
    <row r="1688" spans="1:10" x14ac:dyDescent="0.25">
      <c r="A1688" s="2" t="s">
        <v>5060</v>
      </c>
      <c r="B1688" s="2" t="s">
        <v>5061</v>
      </c>
      <c r="C1688" s="2" t="s">
        <v>5062</v>
      </c>
      <c r="D1688" s="2" t="s">
        <v>10049</v>
      </c>
      <c r="E1688" s="15">
        <v>4.8599999999999997E-2</v>
      </c>
      <c r="F1688" s="15">
        <v>4.5400000000000003E-2</v>
      </c>
      <c r="G1688" s="15">
        <v>0.2843</v>
      </c>
      <c r="H1688" s="15">
        <v>0.1865</v>
      </c>
      <c r="I1688" s="15">
        <v>2.1499999999999998E-2</v>
      </c>
      <c r="J1688" s="15">
        <v>9.2191780821917817</v>
      </c>
    </row>
    <row r="1689" spans="1:10" x14ac:dyDescent="0.25">
      <c r="A1689" s="2" t="s">
        <v>5063</v>
      </c>
      <c r="B1689" s="2" t="s">
        <v>5064</v>
      </c>
      <c r="C1689" s="2" t="s">
        <v>5065</v>
      </c>
      <c r="D1689" s="2" t="s">
        <v>10049</v>
      </c>
      <c r="E1689" s="15">
        <v>-8.9999999999999998E-4</v>
      </c>
      <c r="F1689" s="15">
        <v>4.5699999999999998E-2</v>
      </c>
      <c r="G1689" s="15">
        <v>0.98440000000000005</v>
      </c>
      <c r="H1689" s="15">
        <v>0.19309999999999999</v>
      </c>
      <c r="I1689" s="15">
        <v>2.1499999999999998E-2</v>
      </c>
      <c r="J1689" s="15">
        <v>10.080952380952381</v>
      </c>
    </row>
    <row r="1690" spans="1:10" x14ac:dyDescent="0.25">
      <c r="A1690" s="2" t="s">
        <v>5066</v>
      </c>
      <c r="B1690" s="2" t="s">
        <v>5067</v>
      </c>
      <c r="C1690" s="2" t="s">
        <v>5068</v>
      </c>
      <c r="D1690" s="2" t="s">
        <v>10049</v>
      </c>
      <c r="E1690" s="15">
        <v>3.2500000000000001E-2</v>
      </c>
      <c r="F1690" s="15">
        <v>4.5699999999999998E-2</v>
      </c>
      <c r="G1690" s="15">
        <v>0.47710000000000002</v>
      </c>
      <c r="H1690" s="15">
        <v>0.16869999999999999</v>
      </c>
      <c r="I1690" s="15">
        <v>1.8499999999999999E-2</v>
      </c>
      <c r="J1690" s="15">
        <v>8.7860962566844911</v>
      </c>
    </row>
    <row r="1691" spans="1:10" x14ac:dyDescent="0.25">
      <c r="A1691" s="2" t="s">
        <v>5069</v>
      </c>
      <c r="B1691" s="2" t="s">
        <v>5070</v>
      </c>
      <c r="C1691" s="2" t="s">
        <v>5071</v>
      </c>
      <c r="D1691" s="2" t="s">
        <v>10049</v>
      </c>
      <c r="E1691" s="15">
        <v>-1.7600000000000001E-2</v>
      </c>
      <c r="F1691" s="15">
        <v>5.16E-2</v>
      </c>
      <c r="G1691" s="15">
        <v>0.73350000000000004</v>
      </c>
      <c r="H1691" s="15">
        <v>0.15920000000000001</v>
      </c>
      <c r="I1691" s="15">
        <v>1.8800000000000001E-2</v>
      </c>
      <c r="J1691" s="15">
        <v>8.6230366492146615</v>
      </c>
    </row>
    <row r="1692" spans="1:10" x14ac:dyDescent="0.25">
      <c r="A1692" s="2" t="s">
        <v>5072</v>
      </c>
      <c r="B1692" s="2" t="s">
        <v>5073</v>
      </c>
      <c r="C1692" s="2" t="s">
        <v>5074</v>
      </c>
      <c r="D1692" s="2" t="s">
        <v>10049</v>
      </c>
      <c r="E1692" s="15">
        <v>6.4799999999999996E-2</v>
      </c>
      <c r="F1692" s="15">
        <v>3.8199999999999998E-2</v>
      </c>
      <c r="G1692" s="15">
        <v>8.9800000000000005E-2</v>
      </c>
      <c r="H1692" s="15">
        <v>0.27510000000000001</v>
      </c>
      <c r="I1692" s="15">
        <v>2.6499999999999999E-2</v>
      </c>
      <c r="J1692" s="15">
        <v>12.190283400809721</v>
      </c>
    </row>
    <row r="1693" spans="1:10" x14ac:dyDescent="0.25">
      <c r="A1693" s="2" t="s">
        <v>5075</v>
      </c>
      <c r="B1693" s="2" t="s">
        <v>5076</v>
      </c>
      <c r="C1693" s="2" t="s">
        <v>5077</v>
      </c>
      <c r="D1693" s="2" t="s">
        <v>10049</v>
      </c>
      <c r="E1693" s="15">
        <v>7.7799999999999994E-2</v>
      </c>
      <c r="F1693" s="15">
        <v>3.7199999999999997E-2</v>
      </c>
      <c r="G1693" s="15">
        <v>3.6799999999999999E-2</v>
      </c>
      <c r="H1693" s="15">
        <v>0.28810000000000002</v>
      </c>
      <c r="I1693" s="15">
        <v>2.86E-2</v>
      </c>
      <c r="J1693" s="15">
        <v>12.43410852713178</v>
      </c>
    </row>
    <row r="1694" spans="1:10" x14ac:dyDescent="0.25">
      <c r="A1694" s="2" t="s">
        <v>5078</v>
      </c>
      <c r="B1694" s="2" t="s">
        <v>5079</v>
      </c>
      <c r="C1694" s="2" t="s">
        <v>5080</v>
      </c>
      <c r="D1694" s="2" t="s">
        <v>10049</v>
      </c>
      <c r="E1694" s="15">
        <v>-2.18E-2</v>
      </c>
      <c r="F1694" s="15">
        <v>5.21E-2</v>
      </c>
      <c r="G1694" s="15">
        <v>0.67520000000000002</v>
      </c>
      <c r="H1694" s="15">
        <v>0.1636</v>
      </c>
      <c r="I1694" s="15">
        <v>2.0799999999999999E-2</v>
      </c>
      <c r="J1694" s="15">
        <v>8.7589743589743598</v>
      </c>
    </row>
    <row r="1695" spans="1:10" x14ac:dyDescent="0.25">
      <c r="A1695" s="2" t="s">
        <v>5081</v>
      </c>
      <c r="B1695" s="2" t="s">
        <v>5082</v>
      </c>
      <c r="C1695" s="2" t="s">
        <v>5083</v>
      </c>
      <c r="D1695" s="2" t="s">
        <v>10049</v>
      </c>
      <c r="E1695" s="15">
        <v>6.3600000000000004E-2</v>
      </c>
      <c r="F1695" s="15">
        <v>5.1200000000000002E-2</v>
      </c>
      <c r="G1695" s="15">
        <v>0.2142</v>
      </c>
      <c r="H1695" s="15">
        <v>0.16059999999999999</v>
      </c>
      <c r="I1695" s="15">
        <v>1.9599999999999999E-2</v>
      </c>
      <c r="J1695" s="15">
        <v>8.8936170212765955</v>
      </c>
    </row>
    <row r="1696" spans="1:10" x14ac:dyDescent="0.25">
      <c r="A1696" s="2" t="s">
        <v>5084</v>
      </c>
      <c r="B1696" s="2" t="s">
        <v>5085</v>
      </c>
      <c r="C1696" s="2" t="s">
        <v>5086</v>
      </c>
      <c r="D1696" s="2" t="s">
        <v>10049</v>
      </c>
      <c r="E1696" s="15">
        <v>3.9800000000000002E-2</v>
      </c>
      <c r="F1696" s="15">
        <v>4.1700000000000001E-2</v>
      </c>
      <c r="G1696" s="15">
        <v>0.33929999999999999</v>
      </c>
      <c r="H1696" s="15">
        <v>0.2167</v>
      </c>
      <c r="I1696" s="15">
        <v>2.3199999999999998E-2</v>
      </c>
      <c r="J1696" s="15">
        <v>10.846889952153109</v>
      </c>
    </row>
    <row r="1697" spans="1:10" x14ac:dyDescent="0.25">
      <c r="A1697" s="2" t="s">
        <v>5087</v>
      </c>
      <c r="B1697" s="2" t="s">
        <v>5088</v>
      </c>
      <c r="C1697" s="2" t="s">
        <v>5089</v>
      </c>
      <c r="D1697" s="2" t="s">
        <v>10049</v>
      </c>
      <c r="E1697" s="15">
        <v>2.0500000000000001E-2</v>
      </c>
      <c r="F1697" s="15">
        <v>4.4400000000000002E-2</v>
      </c>
      <c r="G1697" s="15">
        <v>0.64400000000000002</v>
      </c>
      <c r="H1697" s="15">
        <v>0.2046</v>
      </c>
      <c r="I1697" s="15">
        <v>2.07E-2</v>
      </c>
      <c r="J1697" s="15">
        <v>10.619512195121951</v>
      </c>
    </row>
    <row r="1698" spans="1:10" x14ac:dyDescent="0.25">
      <c r="A1698" s="2" t="s">
        <v>5090</v>
      </c>
      <c r="B1698" s="2" t="s">
        <v>5091</v>
      </c>
      <c r="C1698" s="2" t="s">
        <v>5092</v>
      </c>
      <c r="D1698" s="2" t="s">
        <v>10049</v>
      </c>
      <c r="E1698" s="15">
        <v>8.1900000000000001E-2</v>
      </c>
      <c r="F1698" s="15">
        <v>5.33E-2</v>
      </c>
      <c r="G1698" s="15">
        <v>0.1241</v>
      </c>
      <c r="H1698" s="15">
        <v>0.13389999999999999</v>
      </c>
      <c r="I1698" s="15">
        <v>1.8200000000000001E-2</v>
      </c>
      <c r="J1698" s="15">
        <v>7.8983957219251328</v>
      </c>
    </row>
    <row r="1699" spans="1:10" x14ac:dyDescent="0.25">
      <c r="A1699" s="2" t="s">
        <v>5093</v>
      </c>
      <c r="B1699" s="2" t="s">
        <v>5094</v>
      </c>
      <c r="C1699" s="2" t="s">
        <v>5095</v>
      </c>
      <c r="D1699" s="2" t="s">
        <v>10049</v>
      </c>
      <c r="E1699" s="15">
        <v>6.0900000000000003E-2</v>
      </c>
      <c r="F1699" s="15">
        <v>4.6399999999999997E-2</v>
      </c>
      <c r="G1699" s="15">
        <v>0.189</v>
      </c>
      <c r="H1699" s="15">
        <v>0.17979999999999999</v>
      </c>
      <c r="I1699" s="15">
        <v>2.06E-2</v>
      </c>
      <c r="J1699" s="15">
        <v>9.8274111675126914</v>
      </c>
    </row>
    <row r="1700" spans="1:10" x14ac:dyDescent="0.25">
      <c r="A1700" s="2" t="s">
        <v>5096</v>
      </c>
      <c r="B1700" s="2" t="s">
        <v>5097</v>
      </c>
      <c r="C1700" s="2" t="s">
        <v>5098</v>
      </c>
      <c r="D1700" s="2" t="s">
        <v>10049</v>
      </c>
      <c r="E1700" s="15">
        <v>-2.81E-2</v>
      </c>
      <c r="F1700" s="15">
        <v>3.8300000000000001E-2</v>
      </c>
      <c r="G1700" s="15">
        <v>0.46439999999999998</v>
      </c>
      <c r="H1700" s="15">
        <v>0.2329</v>
      </c>
      <c r="I1700" s="15">
        <v>2.3199999999999998E-2</v>
      </c>
      <c r="J1700" s="15">
        <v>10.502222222222221</v>
      </c>
    </row>
    <row r="1701" spans="1:10" x14ac:dyDescent="0.25">
      <c r="A1701" s="2" t="s">
        <v>5099</v>
      </c>
      <c r="B1701" s="2" t="s">
        <v>5100</v>
      </c>
      <c r="C1701" s="2" t="s">
        <v>5101</v>
      </c>
      <c r="D1701" s="2" t="s">
        <v>10049</v>
      </c>
      <c r="E1701" s="15">
        <v>-1.3100000000000001E-2</v>
      </c>
      <c r="F1701" s="15">
        <v>3.9600000000000003E-2</v>
      </c>
      <c r="G1701" s="15">
        <v>0.74019999999999997</v>
      </c>
      <c r="H1701" s="15">
        <v>0.22109999999999999</v>
      </c>
      <c r="I1701" s="15">
        <v>2.3900000000000001E-2</v>
      </c>
      <c r="J1701" s="15">
        <v>10.609756097560981</v>
      </c>
    </row>
    <row r="1702" spans="1:10" x14ac:dyDescent="0.25">
      <c r="A1702" s="2" t="s">
        <v>5102</v>
      </c>
      <c r="B1702" s="2" t="s">
        <v>5103</v>
      </c>
      <c r="C1702" s="2" t="s">
        <v>5104</v>
      </c>
      <c r="D1702" s="2" t="s">
        <v>10049</v>
      </c>
      <c r="E1702" s="15">
        <v>2.01E-2</v>
      </c>
      <c r="F1702" s="15">
        <v>3.8399999999999997E-2</v>
      </c>
      <c r="G1702" s="15">
        <v>0.5998</v>
      </c>
      <c r="H1702" s="15">
        <v>0.29920000000000002</v>
      </c>
      <c r="I1702" s="15">
        <v>0.03</v>
      </c>
      <c r="J1702" s="15">
        <v>11.52671755725191</v>
      </c>
    </row>
    <row r="1703" spans="1:10" x14ac:dyDescent="0.25">
      <c r="A1703" s="2" t="s">
        <v>5105</v>
      </c>
      <c r="B1703" s="2" t="s">
        <v>5106</v>
      </c>
      <c r="C1703" s="2" t="s">
        <v>5107</v>
      </c>
      <c r="D1703" s="2" t="s">
        <v>10049</v>
      </c>
      <c r="E1703" s="15">
        <v>3.8800000000000001E-2</v>
      </c>
      <c r="F1703" s="15">
        <v>3.5999999999999997E-2</v>
      </c>
      <c r="G1703" s="15">
        <v>0.28100000000000003</v>
      </c>
      <c r="H1703" s="15">
        <v>0.28050000000000003</v>
      </c>
      <c r="I1703" s="15">
        <v>2.7799999999999998E-2</v>
      </c>
      <c r="J1703" s="15">
        <v>11.015209125475289</v>
      </c>
    </row>
    <row r="1704" spans="1:10" x14ac:dyDescent="0.25">
      <c r="A1704" s="2" t="s">
        <v>5108</v>
      </c>
      <c r="B1704" s="2" t="s">
        <v>5109</v>
      </c>
      <c r="C1704" s="2" t="s">
        <v>5110</v>
      </c>
      <c r="D1704" s="2" t="s">
        <v>10049</v>
      </c>
      <c r="E1704" s="15">
        <v>-6.1899999999999997E-2</v>
      </c>
      <c r="F1704" s="15">
        <v>4.3999999999999997E-2</v>
      </c>
      <c r="G1704" s="15">
        <v>0.15959999999999999</v>
      </c>
      <c r="H1704" s="15">
        <v>0.21029999999999999</v>
      </c>
      <c r="I1704" s="15">
        <v>2.9000000000000001E-2</v>
      </c>
      <c r="J1704" s="15">
        <v>8.6196078431372545</v>
      </c>
    </row>
    <row r="1705" spans="1:10" x14ac:dyDescent="0.25">
      <c r="A1705" s="2" t="s">
        <v>5111</v>
      </c>
      <c r="B1705" s="2" t="s">
        <v>5112</v>
      </c>
      <c r="C1705" s="2" t="s">
        <v>5113</v>
      </c>
      <c r="D1705" s="2" t="s">
        <v>10049</v>
      </c>
      <c r="E1705" s="15">
        <v>8.77E-2</v>
      </c>
      <c r="F1705" s="15">
        <v>4.5100000000000001E-2</v>
      </c>
      <c r="G1705" s="15">
        <v>5.16E-2</v>
      </c>
      <c r="H1705" s="15">
        <v>0.21379999999999999</v>
      </c>
      <c r="I1705" s="15">
        <v>2.47E-2</v>
      </c>
      <c r="J1705" s="15">
        <v>9.9823788546255496</v>
      </c>
    </row>
    <row r="1706" spans="1:10" x14ac:dyDescent="0.25">
      <c r="A1706" s="2" t="s">
        <v>5114</v>
      </c>
      <c r="B1706" s="2" t="s">
        <v>5115</v>
      </c>
      <c r="C1706" s="2" t="s">
        <v>5116</v>
      </c>
      <c r="D1706" s="2" t="s">
        <v>10049</v>
      </c>
      <c r="E1706" s="15">
        <v>2.9999999999999997E-4</v>
      </c>
      <c r="F1706" s="15">
        <v>4.2200000000000001E-2</v>
      </c>
      <c r="G1706" s="15">
        <v>0.99370000000000003</v>
      </c>
      <c r="H1706" s="15">
        <v>0.20330000000000001</v>
      </c>
      <c r="I1706" s="15">
        <v>2.3300000000000001E-2</v>
      </c>
      <c r="J1706" s="15">
        <v>9.8325358851674647</v>
      </c>
    </row>
    <row r="1707" spans="1:10" x14ac:dyDescent="0.25">
      <c r="A1707" s="2" t="s">
        <v>5117</v>
      </c>
      <c r="B1707" s="2" t="s">
        <v>5118</v>
      </c>
      <c r="C1707" s="2" t="s">
        <v>5119</v>
      </c>
      <c r="D1707" s="2" t="s">
        <v>10049</v>
      </c>
      <c r="E1707" s="15">
        <v>-2.3699999999999999E-2</v>
      </c>
      <c r="F1707" s="15">
        <v>4.0099999999999997E-2</v>
      </c>
      <c r="G1707" s="15">
        <v>0.55559999999999998</v>
      </c>
      <c r="H1707" s="15">
        <v>0.19800000000000001</v>
      </c>
      <c r="I1707" s="15">
        <v>2.1100000000000001E-2</v>
      </c>
      <c r="J1707" s="15">
        <v>10.33333333333333</v>
      </c>
    </row>
    <row r="1708" spans="1:10" x14ac:dyDescent="0.25">
      <c r="A1708" s="2" t="s">
        <v>5120</v>
      </c>
      <c r="B1708" s="2" t="s">
        <v>5121</v>
      </c>
      <c r="C1708" s="2" t="s">
        <v>5122</v>
      </c>
      <c r="D1708" s="2" t="s">
        <v>10049</v>
      </c>
      <c r="E1708" s="15">
        <v>-3.8199999999999998E-2</v>
      </c>
      <c r="F1708" s="15">
        <v>4.8399999999999999E-2</v>
      </c>
      <c r="G1708" s="15">
        <v>0.42949999999999999</v>
      </c>
      <c r="H1708" s="15">
        <v>0.14399999999999999</v>
      </c>
      <c r="I1708" s="15">
        <v>1.8800000000000001E-2</v>
      </c>
      <c r="J1708" s="15">
        <v>8.2209944751381201</v>
      </c>
    </row>
    <row r="1709" spans="1:10" x14ac:dyDescent="0.25">
      <c r="A1709" s="2" t="s">
        <v>5123</v>
      </c>
      <c r="B1709" s="2" t="s">
        <v>5124</v>
      </c>
      <c r="C1709" s="2" t="s">
        <v>5125</v>
      </c>
      <c r="D1709" s="2" t="s">
        <v>10049</v>
      </c>
      <c r="E1709" s="15">
        <v>-5.57E-2</v>
      </c>
      <c r="F1709" s="15">
        <v>5.0500000000000003E-2</v>
      </c>
      <c r="G1709" s="15">
        <v>0.2697</v>
      </c>
      <c r="H1709" s="15">
        <v>0.13059999999999999</v>
      </c>
      <c r="I1709" s="15">
        <v>1.7299999999999999E-2</v>
      </c>
      <c r="J1709" s="15">
        <v>8.2261904761904763</v>
      </c>
    </row>
    <row r="1710" spans="1:10" x14ac:dyDescent="0.25">
      <c r="A1710" s="2" t="s">
        <v>5126</v>
      </c>
      <c r="B1710" s="2" t="s">
        <v>5127</v>
      </c>
      <c r="C1710" s="2" t="s">
        <v>5128</v>
      </c>
      <c r="D1710" s="2" t="s">
        <v>10049</v>
      </c>
      <c r="E1710" s="15">
        <v>5.5100000000000003E-2</v>
      </c>
      <c r="F1710" s="15">
        <v>4.7699999999999999E-2</v>
      </c>
      <c r="G1710" s="15">
        <v>0.24740000000000001</v>
      </c>
      <c r="H1710" s="15">
        <v>0.2039</v>
      </c>
      <c r="I1710" s="15">
        <v>2.1600000000000001E-2</v>
      </c>
      <c r="J1710" s="15">
        <v>9.6000000000000014</v>
      </c>
    </row>
    <row r="1711" spans="1:10" x14ac:dyDescent="0.25">
      <c r="A1711" s="2" t="s">
        <v>5129</v>
      </c>
      <c r="B1711" s="2" t="s">
        <v>5130</v>
      </c>
      <c r="C1711" s="2" t="s">
        <v>5131</v>
      </c>
      <c r="D1711" s="2" t="s">
        <v>10049</v>
      </c>
      <c r="E1711" s="15">
        <v>4.2799999999999998E-2</v>
      </c>
      <c r="F1711" s="15">
        <v>5.2600000000000001E-2</v>
      </c>
      <c r="G1711" s="15">
        <v>0.41510000000000002</v>
      </c>
      <c r="H1711" s="15">
        <v>0.16259999999999999</v>
      </c>
      <c r="I1711" s="15">
        <v>2.29E-2</v>
      </c>
      <c r="J1711" s="15">
        <v>7.9178082191780828</v>
      </c>
    </row>
    <row r="1712" spans="1:10" x14ac:dyDescent="0.25">
      <c r="A1712" s="2" t="s">
        <v>5132</v>
      </c>
      <c r="B1712" s="2" t="s">
        <v>5133</v>
      </c>
      <c r="C1712" s="2" t="s">
        <v>5134</v>
      </c>
      <c r="D1712" s="2" t="s">
        <v>10049</v>
      </c>
      <c r="E1712" s="15">
        <v>-1.3599999999999999E-2</v>
      </c>
      <c r="F1712" s="15">
        <v>3.4299999999999997E-2</v>
      </c>
      <c r="G1712" s="15">
        <v>0.6905</v>
      </c>
      <c r="H1712" s="15">
        <v>0.30580000000000002</v>
      </c>
      <c r="I1712" s="15">
        <v>2.4299999999999999E-2</v>
      </c>
      <c r="J1712" s="15">
        <v>13.16115702479339</v>
      </c>
    </row>
    <row r="1713" spans="1:10" x14ac:dyDescent="0.25">
      <c r="A1713" s="2" t="s">
        <v>5135</v>
      </c>
      <c r="B1713" s="2" t="s">
        <v>5136</v>
      </c>
      <c r="C1713" s="2" t="s">
        <v>5137</v>
      </c>
      <c r="D1713" s="2" t="s">
        <v>10049</v>
      </c>
      <c r="E1713" s="15">
        <v>-1.4200000000000001E-2</v>
      </c>
      <c r="F1713" s="15">
        <v>3.61E-2</v>
      </c>
      <c r="G1713" s="15">
        <v>0.69350000000000001</v>
      </c>
      <c r="H1713" s="15">
        <v>0.28839999999999999</v>
      </c>
      <c r="I1713" s="15">
        <v>2.3800000000000002E-2</v>
      </c>
      <c r="J1713" s="15">
        <v>12.713692946058091</v>
      </c>
    </row>
    <row r="1714" spans="1:10" x14ac:dyDescent="0.25">
      <c r="A1714" s="2" t="s">
        <v>5138</v>
      </c>
      <c r="B1714" s="2" t="s">
        <v>5139</v>
      </c>
      <c r="C1714" s="2" t="s">
        <v>5140</v>
      </c>
      <c r="D1714" s="2" t="s">
        <v>10049</v>
      </c>
      <c r="E1714" s="15">
        <v>-1.9300000000000001E-2</v>
      </c>
      <c r="F1714" s="15">
        <v>4.1200000000000001E-2</v>
      </c>
      <c r="G1714" s="15">
        <v>0.64</v>
      </c>
      <c r="H1714" s="15">
        <v>0.19209999999999999</v>
      </c>
      <c r="I1714" s="15">
        <v>1.9300000000000001E-2</v>
      </c>
      <c r="J1714" s="15">
        <v>10.905759162303671</v>
      </c>
    </row>
    <row r="1715" spans="1:10" x14ac:dyDescent="0.25">
      <c r="A1715" s="2" t="s">
        <v>5141</v>
      </c>
      <c r="B1715" s="2" t="s">
        <v>5142</v>
      </c>
      <c r="C1715" s="2" t="s">
        <v>5143</v>
      </c>
      <c r="D1715" s="2" t="s">
        <v>10049</v>
      </c>
      <c r="E1715" s="15">
        <v>-1.4E-3</v>
      </c>
      <c r="F1715" s="15">
        <v>3.9600000000000003E-2</v>
      </c>
      <c r="G1715" s="15">
        <v>0.97230000000000005</v>
      </c>
      <c r="H1715" s="15">
        <v>0.21479999999999999</v>
      </c>
      <c r="I1715" s="15">
        <v>1.9900000000000001E-2</v>
      </c>
      <c r="J1715" s="15">
        <v>11.260204081632651</v>
      </c>
    </row>
    <row r="1716" spans="1:10" x14ac:dyDescent="0.25">
      <c r="A1716" s="2" t="s">
        <v>5144</v>
      </c>
      <c r="B1716" s="2" t="s">
        <v>5145</v>
      </c>
      <c r="C1716" s="2" t="s">
        <v>5146</v>
      </c>
      <c r="D1716" s="2" t="s">
        <v>10049</v>
      </c>
      <c r="E1716" s="15">
        <v>-8.8900000000000007E-2</v>
      </c>
      <c r="F1716" s="15">
        <v>3.9100000000000003E-2</v>
      </c>
      <c r="G1716" s="15">
        <v>2.29E-2</v>
      </c>
      <c r="H1716" s="15">
        <v>0.2379</v>
      </c>
      <c r="I1716" s="15">
        <v>2.3199999999999998E-2</v>
      </c>
      <c r="J1716" s="15">
        <v>10.236286919831221</v>
      </c>
    </row>
    <row r="1717" spans="1:10" x14ac:dyDescent="0.25">
      <c r="A1717" s="2" t="s">
        <v>5147</v>
      </c>
      <c r="B1717" s="2" t="s">
        <v>5148</v>
      </c>
      <c r="C1717" s="2" t="s">
        <v>5149</v>
      </c>
      <c r="D1717" s="2" t="s">
        <v>10049</v>
      </c>
      <c r="E1717" s="15">
        <v>-5.5899999999999998E-2</v>
      </c>
      <c r="F1717" s="15">
        <v>4.1700000000000001E-2</v>
      </c>
      <c r="G1717" s="15">
        <v>0.1802</v>
      </c>
      <c r="H1717" s="15">
        <v>0.2089</v>
      </c>
      <c r="I1717" s="15">
        <v>2.3E-2</v>
      </c>
      <c r="J1717" s="15">
        <v>10.01333333333333</v>
      </c>
    </row>
    <row r="1718" spans="1:10" x14ac:dyDescent="0.25">
      <c r="A1718" s="2" t="s">
        <v>5150</v>
      </c>
      <c r="B1718" s="2" t="s">
        <v>5151</v>
      </c>
      <c r="C1718" s="2" t="s">
        <v>5152</v>
      </c>
      <c r="D1718" s="2" t="s">
        <v>10049</v>
      </c>
      <c r="E1718" s="15">
        <v>-0.1096</v>
      </c>
      <c r="F1718" s="15">
        <v>3.7600000000000001E-2</v>
      </c>
      <c r="G1718" s="15">
        <v>3.5000000000000001E-3</v>
      </c>
      <c r="H1718" s="15">
        <v>0.253</v>
      </c>
      <c r="I1718" s="15">
        <v>2.4E-2</v>
      </c>
      <c r="J1718" s="15">
        <v>11.83928571428571</v>
      </c>
    </row>
    <row r="1719" spans="1:10" x14ac:dyDescent="0.25">
      <c r="A1719" s="2" t="s">
        <v>5153</v>
      </c>
      <c r="B1719" s="2" t="s">
        <v>5154</v>
      </c>
      <c r="C1719" s="2" t="s">
        <v>5155</v>
      </c>
      <c r="D1719" s="2" t="s">
        <v>10049</v>
      </c>
      <c r="E1719" s="15">
        <v>-9.1999999999999998E-2</v>
      </c>
      <c r="F1719" s="15">
        <v>3.5400000000000001E-2</v>
      </c>
      <c r="G1719" s="15">
        <v>9.4000000000000004E-3</v>
      </c>
      <c r="H1719" s="15">
        <v>0.26400000000000001</v>
      </c>
      <c r="I1719" s="15">
        <v>2.5700000000000001E-2</v>
      </c>
      <c r="J1719" s="15">
        <v>11.459016393442621</v>
      </c>
    </row>
    <row r="1720" spans="1:10" x14ac:dyDescent="0.25">
      <c r="A1720" s="2" t="s">
        <v>5156</v>
      </c>
      <c r="B1720" s="2" t="s">
        <v>5157</v>
      </c>
      <c r="C1720" s="2" t="s">
        <v>5158</v>
      </c>
      <c r="D1720" s="2" t="s">
        <v>10049</v>
      </c>
      <c r="E1720" s="15">
        <v>-5.8799999999999998E-2</v>
      </c>
      <c r="F1720" s="15">
        <v>3.85E-2</v>
      </c>
      <c r="G1720" s="15">
        <v>0.12659999999999999</v>
      </c>
      <c r="H1720" s="15">
        <v>0.2258</v>
      </c>
      <c r="I1720" s="15">
        <v>2.52E-2</v>
      </c>
      <c r="J1720" s="15">
        <v>10.06530612244898</v>
      </c>
    </row>
    <row r="1721" spans="1:10" x14ac:dyDescent="0.25">
      <c r="A1721" s="2" t="s">
        <v>5159</v>
      </c>
      <c r="B1721" s="2" t="s">
        <v>5160</v>
      </c>
      <c r="C1721" s="2" t="s">
        <v>5161</v>
      </c>
      <c r="D1721" s="2" t="s">
        <v>10049</v>
      </c>
      <c r="E1721" s="15">
        <v>-8.3500000000000005E-2</v>
      </c>
      <c r="F1721" s="15">
        <v>4.2299999999999997E-2</v>
      </c>
      <c r="G1721" s="15">
        <v>4.8500000000000001E-2</v>
      </c>
      <c r="H1721" s="15">
        <v>0.2127</v>
      </c>
      <c r="I1721" s="15">
        <v>2.5600000000000001E-2</v>
      </c>
      <c r="J1721" s="15">
        <v>9.3212851405622494</v>
      </c>
    </row>
    <row r="1722" spans="1:10" x14ac:dyDescent="0.25">
      <c r="A1722" s="2" t="s">
        <v>5162</v>
      </c>
      <c r="B1722" s="2" t="s">
        <v>5163</v>
      </c>
      <c r="C1722" s="2" t="s">
        <v>5164</v>
      </c>
      <c r="D1722" s="2" t="s">
        <v>10049</v>
      </c>
      <c r="E1722" s="15">
        <v>1.4999999999999999E-2</v>
      </c>
      <c r="F1722" s="15">
        <v>3.6799999999999999E-2</v>
      </c>
      <c r="G1722" s="15">
        <v>0.68310000000000004</v>
      </c>
      <c r="H1722" s="15">
        <v>0.31269999999999998</v>
      </c>
      <c r="I1722" s="15">
        <v>3.2099999999999997E-2</v>
      </c>
      <c r="J1722" s="15">
        <v>11.18965517241379</v>
      </c>
    </row>
    <row r="1723" spans="1:10" x14ac:dyDescent="0.25">
      <c r="A1723" s="2" t="s">
        <v>5165</v>
      </c>
      <c r="B1723" s="2" t="s">
        <v>5166</v>
      </c>
      <c r="C1723" s="2" t="s">
        <v>5167</v>
      </c>
      <c r="D1723" s="2" t="s">
        <v>10049</v>
      </c>
      <c r="E1723" s="15">
        <v>5.04E-2</v>
      </c>
      <c r="F1723" s="15">
        <v>3.8800000000000001E-2</v>
      </c>
      <c r="G1723" s="15">
        <v>0.1943</v>
      </c>
      <c r="H1723" s="15">
        <v>0.30580000000000002</v>
      </c>
      <c r="I1723" s="15">
        <v>3.2500000000000001E-2</v>
      </c>
      <c r="J1723" s="15">
        <v>10.92413793103448</v>
      </c>
    </row>
    <row r="1724" spans="1:10" x14ac:dyDescent="0.25">
      <c r="A1724" s="2" t="s">
        <v>5168</v>
      </c>
      <c r="B1724" s="2" t="s">
        <v>5169</v>
      </c>
      <c r="C1724" s="2" t="s">
        <v>5170</v>
      </c>
      <c r="D1724" s="2" t="s">
        <v>10049</v>
      </c>
      <c r="E1724" s="15">
        <v>-6.9800000000000001E-2</v>
      </c>
      <c r="F1724" s="15">
        <v>4.1599999999999998E-2</v>
      </c>
      <c r="G1724" s="15">
        <v>9.2999999999999999E-2</v>
      </c>
      <c r="H1724" s="15">
        <v>0.2356</v>
      </c>
      <c r="I1724" s="15">
        <v>2.64E-2</v>
      </c>
      <c r="J1724" s="15">
        <v>9.2992700729927016</v>
      </c>
    </row>
    <row r="1725" spans="1:10" x14ac:dyDescent="0.25">
      <c r="A1725" s="2" t="s">
        <v>5171</v>
      </c>
      <c r="B1725" s="2" t="s">
        <v>5172</v>
      </c>
      <c r="C1725" s="2" t="s">
        <v>5173</v>
      </c>
      <c r="D1725" s="2" t="s">
        <v>10049</v>
      </c>
      <c r="E1725" s="15">
        <v>-5.6000000000000001E-2</v>
      </c>
      <c r="F1725" s="15">
        <v>4.1500000000000002E-2</v>
      </c>
      <c r="G1725" s="15">
        <v>0.17710000000000001</v>
      </c>
      <c r="H1725" s="15">
        <v>0.24260000000000001</v>
      </c>
      <c r="I1725" s="15">
        <v>2.76E-2</v>
      </c>
      <c r="J1725" s="15">
        <v>9.485611510791367</v>
      </c>
    </row>
    <row r="1726" spans="1:10" x14ac:dyDescent="0.25">
      <c r="A1726" s="2" t="s">
        <v>5174</v>
      </c>
      <c r="B1726" s="2" t="s">
        <v>5175</v>
      </c>
      <c r="C1726" s="2" t="s">
        <v>5176</v>
      </c>
      <c r="D1726" s="2" t="s">
        <v>10049</v>
      </c>
      <c r="E1726" s="15">
        <v>-9.5999999999999992E-3</v>
      </c>
      <c r="F1726" s="15">
        <v>4.36E-2</v>
      </c>
      <c r="G1726" s="15">
        <v>0.8256</v>
      </c>
      <c r="H1726" s="15">
        <v>0.2311</v>
      </c>
      <c r="I1726" s="15">
        <v>2.6200000000000001E-2</v>
      </c>
      <c r="J1726" s="15">
        <v>10.09523809523809</v>
      </c>
    </row>
    <row r="1727" spans="1:10" x14ac:dyDescent="0.25">
      <c r="A1727" s="2" t="s">
        <v>5177</v>
      </c>
      <c r="B1727" s="2" t="s">
        <v>5178</v>
      </c>
      <c r="C1727" s="2" t="s">
        <v>5179</v>
      </c>
      <c r="D1727" s="2" t="s">
        <v>10049</v>
      </c>
      <c r="E1727" s="15">
        <v>-2.6100000000000002E-2</v>
      </c>
      <c r="F1727" s="15">
        <v>4.1099999999999998E-2</v>
      </c>
      <c r="G1727" s="15">
        <v>0.52480000000000004</v>
      </c>
      <c r="H1727" s="15">
        <v>0.24249999999999999</v>
      </c>
      <c r="I1727" s="15">
        <v>2.76E-2</v>
      </c>
      <c r="J1727" s="15">
        <v>9.5218978102189791</v>
      </c>
    </row>
    <row r="1728" spans="1:10" x14ac:dyDescent="0.25">
      <c r="A1728" s="2" t="s">
        <v>5180</v>
      </c>
      <c r="B1728" s="2" t="s">
        <v>5181</v>
      </c>
      <c r="C1728" s="2" t="s">
        <v>5182</v>
      </c>
      <c r="D1728" s="2" t="s">
        <v>10049</v>
      </c>
      <c r="E1728" s="15">
        <v>1.6899999999999998E-2</v>
      </c>
      <c r="F1728" s="15">
        <v>4.4600000000000001E-2</v>
      </c>
      <c r="G1728" s="15">
        <v>0.70399999999999996</v>
      </c>
      <c r="H1728" s="15">
        <v>0.21329999999999999</v>
      </c>
      <c r="I1728" s="15">
        <v>2.52E-2</v>
      </c>
      <c r="J1728" s="15">
        <v>9.1405622489959839</v>
      </c>
    </row>
    <row r="1729" spans="1:10" x14ac:dyDescent="0.25">
      <c r="A1729" s="2" t="s">
        <v>5183</v>
      </c>
      <c r="B1729" s="2" t="s">
        <v>5184</v>
      </c>
      <c r="C1729" s="2" t="s">
        <v>5185</v>
      </c>
      <c r="D1729" s="2" t="s">
        <v>10049</v>
      </c>
      <c r="E1729" s="15">
        <v>-1.34E-2</v>
      </c>
      <c r="F1729" s="15">
        <v>4.9599999999999998E-2</v>
      </c>
      <c r="G1729" s="15">
        <v>0.78749999999999998</v>
      </c>
      <c r="H1729" s="15">
        <v>0.188</v>
      </c>
      <c r="I1729" s="15">
        <v>2.4500000000000001E-2</v>
      </c>
      <c r="J1729" s="15">
        <v>8.6477732793522275</v>
      </c>
    </row>
    <row r="1730" spans="1:10" x14ac:dyDescent="0.25">
      <c r="A1730" s="2" t="s">
        <v>5186</v>
      </c>
      <c r="B1730" s="2" t="s">
        <v>5187</v>
      </c>
      <c r="C1730" s="2" t="s">
        <v>5188</v>
      </c>
      <c r="D1730" s="2" t="s">
        <v>10049</v>
      </c>
      <c r="E1730" s="15">
        <v>-3.0599999999999999E-2</v>
      </c>
      <c r="F1730" s="15">
        <v>4.0099999999999997E-2</v>
      </c>
      <c r="G1730" s="15">
        <v>0.44500000000000001</v>
      </c>
      <c r="H1730" s="15">
        <v>0.21809999999999999</v>
      </c>
      <c r="I1730" s="15">
        <v>2.4799999999999999E-2</v>
      </c>
      <c r="J1730" s="15">
        <v>9.5418326693227087</v>
      </c>
    </row>
    <row r="1731" spans="1:10" x14ac:dyDescent="0.25">
      <c r="A1731" s="2" t="s">
        <v>5189</v>
      </c>
      <c r="B1731" s="2" t="s">
        <v>5190</v>
      </c>
      <c r="C1731" s="2" t="s">
        <v>5191</v>
      </c>
      <c r="D1731" s="2" t="s">
        <v>10049</v>
      </c>
      <c r="E1731" s="15">
        <v>-2.5899999999999999E-2</v>
      </c>
      <c r="F1731" s="15">
        <v>4.2500000000000003E-2</v>
      </c>
      <c r="G1731" s="15">
        <v>0.5423</v>
      </c>
      <c r="H1731" s="15">
        <v>0.1976</v>
      </c>
      <c r="I1731" s="15">
        <v>2.46E-2</v>
      </c>
      <c r="J1731" s="15">
        <v>8.3618677042801561</v>
      </c>
    </row>
    <row r="1732" spans="1:10" x14ac:dyDescent="0.25">
      <c r="A1732" s="2" t="s">
        <v>5192</v>
      </c>
      <c r="B1732" s="2" t="s">
        <v>5193</v>
      </c>
      <c r="C1732" s="2" t="s">
        <v>5194</v>
      </c>
      <c r="D1732" s="2" t="s">
        <v>10049</v>
      </c>
      <c r="E1732" s="15">
        <v>-3.3E-3</v>
      </c>
      <c r="F1732" s="15">
        <v>4.1700000000000001E-2</v>
      </c>
      <c r="G1732" s="15">
        <v>0.93659999999999999</v>
      </c>
      <c r="H1732" s="15">
        <v>0.23580000000000001</v>
      </c>
      <c r="I1732" s="15">
        <v>2.64E-2</v>
      </c>
      <c r="J1732" s="15">
        <v>10.57805907172996</v>
      </c>
    </row>
    <row r="1733" spans="1:10" x14ac:dyDescent="0.25">
      <c r="A1733" s="2" t="s">
        <v>5195</v>
      </c>
      <c r="B1733" s="2" t="s">
        <v>5196</v>
      </c>
      <c r="C1733" s="2" t="s">
        <v>5197</v>
      </c>
      <c r="D1733" s="2" t="s">
        <v>10049</v>
      </c>
      <c r="E1733" s="15">
        <v>3.8E-3</v>
      </c>
      <c r="F1733" s="15">
        <v>4.5900000000000003E-2</v>
      </c>
      <c r="G1733" s="15">
        <v>0.93479999999999996</v>
      </c>
      <c r="H1733" s="15">
        <v>0.21640000000000001</v>
      </c>
      <c r="I1733" s="15">
        <v>2.6700000000000002E-2</v>
      </c>
      <c r="J1733" s="15">
        <v>9.7254098360655732</v>
      </c>
    </row>
    <row r="1734" spans="1:10" x14ac:dyDescent="0.25">
      <c r="A1734" s="2" t="s">
        <v>5198</v>
      </c>
      <c r="B1734" s="2" t="s">
        <v>5199</v>
      </c>
      <c r="C1734" s="2" t="s">
        <v>5200</v>
      </c>
      <c r="D1734" s="2" t="s">
        <v>10049</v>
      </c>
      <c r="E1734" s="15">
        <v>-8.8999999999999999E-3</v>
      </c>
      <c r="F1734" s="15">
        <v>4.1799999999999997E-2</v>
      </c>
      <c r="G1734" s="15">
        <v>0.83189999999999997</v>
      </c>
      <c r="H1734" s="15">
        <v>0.28989999999999999</v>
      </c>
      <c r="I1734" s="15">
        <v>2.58E-2</v>
      </c>
      <c r="J1734" s="15">
        <v>11.71713147410359</v>
      </c>
    </row>
    <row r="1735" spans="1:10" x14ac:dyDescent="0.25">
      <c r="A1735" s="2" t="s">
        <v>5201</v>
      </c>
      <c r="B1735" s="2" t="s">
        <v>5202</v>
      </c>
      <c r="C1735" s="2" t="s">
        <v>5203</v>
      </c>
      <c r="D1735" s="2" t="s">
        <v>10049</v>
      </c>
      <c r="E1735" s="15">
        <v>7.0000000000000001E-3</v>
      </c>
      <c r="F1735" s="15">
        <v>4.1000000000000002E-2</v>
      </c>
      <c r="G1735" s="15">
        <v>0.8639</v>
      </c>
      <c r="H1735" s="15">
        <v>0.27929999999999999</v>
      </c>
      <c r="I1735" s="15">
        <v>2.6499999999999999E-2</v>
      </c>
      <c r="J1735" s="15">
        <v>11.890688259109311</v>
      </c>
    </row>
    <row r="1736" spans="1:10" x14ac:dyDescent="0.25">
      <c r="A1736" s="2" t="s">
        <v>5204</v>
      </c>
      <c r="B1736" s="2" t="s">
        <v>5205</v>
      </c>
      <c r="C1736" s="2" t="s">
        <v>5206</v>
      </c>
      <c r="D1736" s="2" t="s">
        <v>10049</v>
      </c>
      <c r="E1736" s="15">
        <v>-7.7899999999999997E-2</v>
      </c>
      <c r="F1736" s="15">
        <v>4.2299999999999997E-2</v>
      </c>
      <c r="G1736" s="15">
        <v>6.5100000000000005E-2</v>
      </c>
      <c r="H1736" s="15">
        <v>0.2104</v>
      </c>
      <c r="I1736" s="15">
        <v>2.0400000000000001E-2</v>
      </c>
      <c r="J1736" s="15">
        <v>10.54066985645933</v>
      </c>
    </row>
    <row r="1737" spans="1:10" x14ac:dyDescent="0.25">
      <c r="A1737" s="2" t="s">
        <v>5207</v>
      </c>
      <c r="B1737" s="2" t="s">
        <v>5208</v>
      </c>
      <c r="C1737" s="2" t="s">
        <v>5209</v>
      </c>
      <c r="D1737" s="2" t="s">
        <v>10049</v>
      </c>
      <c r="E1737" s="15">
        <v>-0.1148</v>
      </c>
      <c r="F1737" s="15">
        <v>4.1399999999999999E-2</v>
      </c>
      <c r="G1737" s="15">
        <v>5.5999999999999999E-3</v>
      </c>
      <c r="H1737" s="15">
        <v>0.2084</v>
      </c>
      <c r="I1737" s="15">
        <v>2.0500000000000001E-2</v>
      </c>
      <c r="J1737" s="15">
        <v>10.57075471698113</v>
      </c>
    </row>
    <row r="1738" spans="1:10" x14ac:dyDescent="0.25">
      <c r="A1738" s="2" t="s">
        <v>5210</v>
      </c>
      <c r="B1738" s="2" t="s">
        <v>5211</v>
      </c>
      <c r="C1738" s="2" t="s">
        <v>5212</v>
      </c>
      <c r="D1738" s="2" t="s">
        <v>10049</v>
      </c>
      <c r="E1738" s="15">
        <v>4.9200000000000001E-2</v>
      </c>
      <c r="F1738" s="15">
        <v>4.1300000000000003E-2</v>
      </c>
      <c r="G1738" s="15">
        <v>0.23319999999999999</v>
      </c>
      <c r="H1738" s="15">
        <v>0.20649999999999999</v>
      </c>
      <c r="I1738" s="15">
        <v>2.1299999999999999E-2</v>
      </c>
      <c r="J1738" s="15">
        <v>10.62686567164179</v>
      </c>
    </row>
    <row r="1739" spans="1:10" x14ac:dyDescent="0.25">
      <c r="A1739" s="2" t="s">
        <v>5213</v>
      </c>
      <c r="B1739" s="2" t="s">
        <v>5214</v>
      </c>
      <c r="C1739" s="2" t="s">
        <v>5215</v>
      </c>
      <c r="D1739" s="2" t="s">
        <v>10049</v>
      </c>
      <c r="E1739" s="15">
        <v>5.5599999999999997E-2</v>
      </c>
      <c r="F1739" s="15">
        <v>4.2599999999999999E-2</v>
      </c>
      <c r="G1739" s="15">
        <v>0.19209999999999999</v>
      </c>
      <c r="H1739" s="15">
        <v>0.1895</v>
      </c>
      <c r="I1739" s="15">
        <v>2.23E-2</v>
      </c>
      <c r="J1739" s="15">
        <v>9.6019900497512438</v>
      </c>
    </row>
    <row r="1740" spans="1:10" x14ac:dyDescent="0.25">
      <c r="A1740" s="2" t="s">
        <v>5216</v>
      </c>
      <c r="B1740" s="2" t="s">
        <v>5217</v>
      </c>
      <c r="C1740" s="2" t="s">
        <v>5218</v>
      </c>
      <c r="D1740" s="2" t="s">
        <v>10049</v>
      </c>
      <c r="E1740" s="15">
        <v>-3.6700000000000003E-2</v>
      </c>
      <c r="F1740" s="15">
        <v>3.7199999999999997E-2</v>
      </c>
      <c r="G1740" s="15">
        <v>0.32400000000000001</v>
      </c>
      <c r="H1740" s="15">
        <v>0.29549999999999998</v>
      </c>
      <c r="I1740" s="15">
        <v>2.75E-2</v>
      </c>
      <c r="J1740" s="15">
        <v>11.623616236162359</v>
      </c>
    </row>
    <row r="1741" spans="1:10" x14ac:dyDescent="0.25">
      <c r="A1741" s="2" t="s">
        <v>5219</v>
      </c>
      <c r="B1741" s="2" t="s">
        <v>5220</v>
      </c>
      <c r="C1741" s="2" t="s">
        <v>5221</v>
      </c>
      <c r="D1741" s="2" t="s">
        <v>10049</v>
      </c>
      <c r="E1741" s="15">
        <v>-5.0799999999999998E-2</v>
      </c>
      <c r="F1741" s="15">
        <v>3.9100000000000003E-2</v>
      </c>
      <c r="G1741" s="15">
        <v>0.19350000000000001</v>
      </c>
      <c r="H1741" s="15">
        <v>0.27529999999999999</v>
      </c>
      <c r="I1741" s="15">
        <v>2.6800000000000001E-2</v>
      </c>
      <c r="J1741" s="15">
        <v>11.31558935361217</v>
      </c>
    </row>
    <row r="1742" spans="1:10" x14ac:dyDescent="0.25">
      <c r="A1742" s="2" t="s">
        <v>5222</v>
      </c>
      <c r="B1742" s="2" t="s">
        <v>5223</v>
      </c>
      <c r="C1742" s="2" t="s">
        <v>5224</v>
      </c>
      <c r="D1742" s="2" t="s">
        <v>10049</v>
      </c>
      <c r="E1742" s="15">
        <v>5.1400000000000001E-2</v>
      </c>
      <c r="F1742" s="15">
        <v>4.6399999999999997E-2</v>
      </c>
      <c r="G1742" s="15">
        <v>0.26729999999999998</v>
      </c>
      <c r="H1742" s="15">
        <v>0.18459999999999999</v>
      </c>
      <c r="I1742" s="15">
        <v>1.8800000000000001E-2</v>
      </c>
      <c r="J1742" s="15">
        <v>10.164021164021159</v>
      </c>
    </row>
    <row r="1743" spans="1:10" x14ac:dyDescent="0.25">
      <c r="A1743" s="2" t="s">
        <v>5225</v>
      </c>
      <c r="B1743" s="2" t="s">
        <v>5226</v>
      </c>
      <c r="C1743" s="2" t="s">
        <v>5227</v>
      </c>
      <c r="D1743" s="2" t="s">
        <v>10049</v>
      </c>
      <c r="E1743" s="15">
        <v>8.8800000000000004E-2</v>
      </c>
      <c r="F1743" s="15">
        <v>5.1200000000000002E-2</v>
      </c>
      <c r="G1743" s="15">
        <v>8.3099999999999993E-2</v>
      </c>
      <c r="H1743" s="15">
        <v>0.15890000000000001</v>
      </c>
      <c r="I1743" s="15">
        <v>2.0299999999999999E-2</v>
      </c>
      <c r="J1743" s="15">
        <v>8.6530612244897966</v>
      </c>
    </row>
    <row r="1744" spans="1:10" x14ac:dyDescent="0.25">
      <c r="A1744" s="2" t="s">
        <v>5228</v>
      </c>
      <c r="B1744" s="2" t="s">
        <v>5229</v>
      </c>
      <c r="C1744" s="2" t="s">
        <v>5230</v>
      </c>
      <c r="D1744" s="2" t="s">
        <v>10049</v>
      </c>
      <c r="E1744" s="15">
        <v>-7.0599999999999996E-2</v>
      </c>
      <c r="F1744" s="15">
        <v>4.3900000000000002E-2</v>
      </c>
      <c r="G1744" s="15">
        <v>0.1074</v>
      </c>
      <c r="H1744" s="15">
        <v>0.23669999999999999</v>
      </c>
      <c r="I1744" s="15">
        <v>2.8199999999999999E-2</v>
      </c>
      <c r="J1744" s="15">
        <v>8.5586206896551715</v>
      </c>
    </row>
    <row r="1745" spans="1:10" x14ac:dyDescent="0.25">
      <c r="A1745" s="2" t="s">
        <v>5231</v>
      </c>
      <c r="B1745" s="2" t="s">
        <v>5232</v>
      </c>
      <c r="C1745" s="2" t="s">
        <v>5233</v>
      </c>
      <c r="D1745" s="2" t="s">
        <v>10049</v>
      </c>
      <c r="E1745" s="15">
        <v>-4.58E-2</v>
      </c>
      <c r="F1745" s="15">
        <v>4.4999999999999998E-2</v>
      </c>
      <c r="G1745" s="15">
        <v>0.30880000000000002</v>
      </c>
      <c r="H1745" s="15">
        <v>0.21410000000000001</v>
      </c>
      <c r="I1745" s="15">
        <v>2.8000000000000001E-2</v>
      </c>
      <c r="J1745" s="15">
        <v>8.4598540145985393</v>
      </c>
    </row>
    <row r="1746" spans="1:10" x14ac:dyDescent="0.25">
      <c r="A1746" s="2" t="s">
        <v>5234</v>
      </c>
      <c r="B1746" s="2" t="s">
        <v>5235</v>
      </c>
      <c r="C1746" s="2" t="s">
        <v>5236</v>
      </c>
      <c r="D1746" s="2" t="s">
        <v>10049</v>
      </c>
      <c r="E1746" s="15">
        <v>4.0399999999999998E-2</v>
      </c>
      <c r="F1746" s="15">
        <v>3.85E-2</v>
      </c>
      <c r="G1746" s="15">
        <v>0.29470000000000002</v>
      </c>
      <c r="H1746" s="15">
        <v>0.20910000000000001</v>
      </c>
      <c r="I1746" s="15">
        <v>2.2200000000000001E-2</v>
      </c>
      <c r="J1746" s="15">
        <v>10.31818181818182</v>
      </c>
    </row>
    <row r="1747" spans="1:10" x14ac:dyDescent="0.25">
      <c r="A1747" s="2" t="s">
        <v>5237</v>
      </c>
      <c r="B1747" s="2" t="s">
        <v>5238</v>
      </c>
      <c r="C1747" s="2" t="s">
        <v>5239</v>
      </c>
      <c r="D1747" s="2" t="s">
        <v>10049</v>
      </c>
      <c r="E1747" s="15">
        <v>2.75E-2</v>
      </c>
      <c r="F1747" s="15">
        <v>4.4999999999999998E-2</v>
      </c>
      <c r="G1747" s="15">
        <v>0.54200000000000004</v>
      </c>
      <c r="H1747" s="15">
        <v>0.19969999999999999</v>
      </c>
      <c r="I1747" s="15">
        <v>2.01E-2</v>
      </c>
      <c r="J1747" s="15">
        <v>11.858638743455501</v>
      </c>
    </row>
    <row r="1748" spans="1:10" x14ac:dyDescent="0.25">
      <c r="A1748" s="2" t="s">
        <v>5240</v>
      </c>
      <c r="B1748" s="2" t="s">
        <v>5241</v>
      </c>
      <c r="C1748" s="2" t="s">
        <v>5242</v>
      </c>
      <c r="D1748" s="2" t="s">
        <v>10049</v>
      </c>
      <c r="E1748" s="15">
        <v>-4.1000000000000002E-2</v>
      </c>
      <c r="F1748" s="15">
        <v>4.02E-2</v>
      </c>
      <c r="G1748" s="15">
        <v>0.30690000000000001</v>
      </c>
      <c r="H1748" s="15">
        <v>0.2029</v>
      </c>
      <c r="I1748" s="15">
        <v>2.18E-2</v>
      </c>
      <c r="J1748" s="15">
        <v>10.02358490566038</v>
      </c>
    </row>
    <row r="1749" spans="1:10" x14ac:dyDescent="0.25">
      <c r="A1749" s="2" t="s">
        <v>5243</v>
      </c>
      <c r="B1749" s="2" t="s">
        <v>5244</v>
      </c>
      <c r="C1749" s="2" t="s">
        <v>5245</v>
      </c>
      <c r="D1749" s="2" t="s">
        <v>10049</v>
      </c>
      <c r="E1749" s="15">
        <v>1.44E-2</v>
      </c>
      <c r="F1749" s="15">
        <v>4.0500000000000001E-2</v>
      </c>
      <c r="G1749" s="15">
        <v>0.72199999999999998</v>
      </c>
      <c r="H1749" s="15">
        <v>0.19750000000000001</v>
      </c>
      <c r="I1749" s="15">
        <v>2.3199999999999998E-2</v>
      </c>
      <c r="J1749" s="15">
        <v>8.8944954128440354</v>
      </c>
    </row>
    <row r="1750" spans="1:10" x14ac:dyDescent="0.25">
      <c r="A1750" s="2" t="s">
        <v>5246</v>
      </c>
      <c r="B1750" s="2" t="s">
        <v>5247</v>
      </c>
      <c r="C1750" s="2" t="s">
        <v>5248</v>
      </c>
      <c r="D1750" s="2" t="s">
        <v>10049</v>
      </c>
      <c r="E1750" s="15">
        <v>3.7100000000000001E-2</v>
      </c>
      <c r="F1750" s="15">
        <v>3.5999999999999997E-2</v>
      </c>
      <c r="G1750" s="15">
        <v>0.30270000000000002</v>
      </c>
      <c r="H1750" s="15">
        <v>0.34410000000000002</v>
      </c>
      <c r="I1750" s="15">
        <v>2.8799999999999999E-2</v>
      </c>
      <c r="J1750" s="15">
        <v>13.122605363984681</v>
      </c>
    </row>
    <row r="1751" spans="1:10" x14ac:dyDescent="0.25">
      <c r="A1751" s="2" t="s">
        <v>5249</v>
      </c>
      <c r="B1751" s="2" t="s">
        <v>5250</v>
      </c>
      <c r="C1751" s="2" t="s">
        <v>5251</v>
      </c>
      <c r="D1751" s="2" t="s">
        <v>10049</v>
      </c>
      <c r="E1751" s="15">
        <v>3.8600000000000002E-2</v>
      </c>
      <c r="F1751" s="15">
        <v>3.4599999999999999E-2</v>
      </c>
      <c r="G1751" s="15">
        <v>0.26440000000000002</v>
      </c>
      <c r="H1751" s="15">
        <v>0.31080000000000002</v>
      </c>
      <c r="I1751" s="15">
        <v>2.8000000000000001E-2</v>
      </c>
      <c r="J1751" s="15">
        <v>11.907749077490781</v>
      </c>
    </row>
    <row r="1752" spans="1:10" x14ac:dyDescent="0.25">
      <c r="A1752" s="2" t="s">
        <v>5252</v>
      </c>
      <c r="B1752" s="2" t="s">
        <v>5253</v>
      </c>
      <c r="C1752" s="2" t="s">
        <v>5254</v>
      </c>
      <c r="D1752" s="2" t="s">
        <v>10049</v>
      </c>
      <c r="E1752" s="15">
        <v>1.7000000000000001E-2</v>
      </c>
      <c r="F1752" s="15">
        <v>3.9600000000000003E-2</v>
      </c>
      <c r="G1752" s="15">
        <v>0.66839999999999999</v>
      </c>
      <c r="H1752" s="15">
        <v>0.25390000000000001</v>
      </c>
      <c r="I1752" s="15">
        <v>2.7400000000000001E-2</v>
      </c>
      <c r="J1752" s="15">
        <v>10.647773279352229</v>
      </c>
    </row>
    <row r="1753" spans="1:10" x14ac:dyDescent="0.25">
      <c r="A1753" s="2" t="s">
        <v>5255</v>
      </c>
      <c r="B1753" s="2" t="s">
        <v>5256</v>
      </c>
      <c r="C1753" s="2" t="s">
        <v>5257</v>
      </c>
      <c r="D1753" s="2" t="s">
        <v>10049</v>
      </c>
      <c r="E1753" s="15">
        <v>8.6199999999999999E-2</v>
      </c>
      <c r="F1753" s="15">
        <v>4.4499999999999998E-2</v>
      </c>
      <c r="G1753" s="15">
        <v>5.28E-2</v>
      </c>
      <c r="H1753" s="15">
        <v>0.2122</v>
      </c>
      <c r="I1753" s="15">
        <v>2.4500000000000001E-2</v>
      </c>
      <c r="J1753" s="15">
        <v>9.8333333333333339</v>
      </c>
    </row>
    <row r="1754" spans="1:10" x14ac:dyDescent="0.25">
      <c r="A1754" s="2" t="s">
        <v>5258</v>
      </c>
      <c r="B1754" s="2" t="s">
        <v>5259</v>
      </c>
      <c r="C1754" s="2" t="s">
        <v>5260</v>
      </c>
      <c r="D1754" s="2" t="s">
        <v>10049</v>
      </c>
      <c r="E1754" s="15">
        <v>-1.18E-2</v>
      </c>
      <c r="F1754" s="15">
        <v>4.1200000000000001E-2</v>
      </c>
      <c r="G1754" s="15">
        <v>0.77500000000000002</v>
      </c>
      <c r="H1754" s="15">
        <v>0.19109999999999999</v>
      </c>
      <c r="I1754" s="15">
        <v>2.41E-2</v>
      </c>
      <c r="J1754" s="15">
        <v>9.1674641148325371</v>
      </c>
    </row>
    <row r="1755" spans="1:10" x14ac:dyDescent="0.25">
      <c r="A1755" s="2" t="s">
        <v>5261</v>
      </c>
      <c r="B1755" s="2" t="s">
        <v>5262</v>
      </c>
      <c r="C1755" s="2" t="s">
        <v>5263</v>
      </c>
      <c r="D1755" s="2" t="s">
        <v>10049</v>
      </c>
      <c r="E1755" s="15">
        <v>-2.0799999999999999E-2</v>
      </c>
      <c r="F1755" s="15">
        <v>4.3200000000000002E-2</v>
      </c>
      <c r="G1755" s="15">
        <v>0.63080000000000003</v>
      </c>
      <c r="H1755" s="15">
        <v>0.17749999999999999</v>
      </c>
      <c r="I1755" s="15">
        <v>2.1399999999999999E-2</v>
      </c>
      <c r="J1755" s="15">
        <v>8.64</v>
      </c>
    </row>
    <row r="1756" spans="1:10" x14ac:dyDescent="0.25">
      <c r="A1756" s="2" t="s">
        <v>5264</v>
      </c>
      <c r="B1756" s="2" t="s">
        <v>5265</v>
      </c>
      <c r="C1756" s="2" t="s">
        <v>5266</v>
      </c>
      <c r="D1756" s="2" t="s">
        <v>10049</v>
      </c>
      <c r="E1756" s="15">
        <v>3.0300000000000001E-2</v>
      </c>
      <c r="F1756" s="15">
        <v>5.0900000000000001E-2</v>
      </c>
      <c r="G1756" s="15">
        <v>0.55200000000000005</v>
      </c>
      <c r="H1756" s="15">
        <v>0.13350000000000001</v>
      </c>
      <c r="I1756" s="15">
        <v>1.78E-2</v>
      </c>
      <c r="J1756" s="15">
        <v>7.8435754189944138</v>
      </c>
    </row>
    <row r="1757" spans="1:10" x14ac:dyDescent="0.25">
      <c r="A1757" s="2" t="s">
        <v>5267</v>
      </c>
      <c r="B1757" s="2" t="s">
        <v>5268</v>
      </c>
      <c r="C1757" s="2" t="s">
        <v>5269</v>
      </c>
      <c r="D1757" s="2" t="s">
        <v>10049</v>
      </c>
      <c r="E1757" s="15">
        <v>-2.5000000000000001E-2</v>
      </c>
      <c r="F1757" s="15">
        <v>4.7500000000000001E-2</v>
      </c>
      <c r="G1757" s="15">
        <v>0.59840000000000004</v>
      </c>
      <c r="H1757" s="15">
        <v>0.1326</v>
      </c>
      <c r="I1757" s="15">
        <v>1.72E-2</v>
      </c>
      <c r="J1757" s="15">
        <v>8.0294117647058822</v>
      </c>
    </row>
    <row r="1758" spans="1:10" x14ac:dyDescent="0.25">
      <c r="A1758" s="2" t="s">
        <v>5270</v>
      </c>
      <c r="B1758" s="2" t="s">
        <v>5271</v>
      </c>
      <c r="C1758" s="2" t="s">
        <v>5272</v>
      </c>
      <c r="D1758" s="2" t="s">
        <v>10049</v>
      </c>
      <c r="E1758" s="15">
        <v>3.0300000000000001E-2</v>
      </c>
      <c r="F1758" s="15">
        <v>4.0099999999999997E-2</v>
      </c>
      <c r="G1758" s="15">
        <v>0.44979999999999998</v>
      </c>
      <c r="H1758" s="15">
        <v>0.21390000000000001</v>
      </c>
      <c r="I1758" s="15">
        <v>2.23E-2</v>
      </c>
      <c r="J1758" s="15">
        <v>9.5905172413793114</v>
      </c>
    </row>
    <row r="1759" spans="1:10" x14ac:dyDescent="0.25">
      <c r="A1759" s="2" t="s">
        <v>5273</v>
      </c>
      <c r="B1759" s="2" t="s">
        <v>5274</v>
      </c>
      <c r="C1759" s="2" t="s">
        <v>5275</v>
      </c>
      <c r="D1759" s="2" t="s">
        <v>10049</v>
      </c>
      <c r="E1759" s="15">
        <v>2.8E-3</v>
      </c>
      <c r="F1759" s="15">
        <v>4.2200000000000001E-2</v>
      </c>
      <c r="G1759" s="15">
        <v>0.9466</v>
      </c>
      <c r="H1759" s="15">
        <v>0.1847</v>
      </c>
      <c r="I1759" s="15">
        <v>2.0500000000000001E-2</v>
      </c>
      <c r="J1759" s="15">
        <v>9.1857142857142851</v>
      </c>
    </row>
    <row r="1760" spans="1:10" x14ac:dyDescent="0.25">
      <c r="A1760" s="2" t="s">
        <v>5276</v>
      </c>
      <c r="B1760" s="2" t="s">
        <v>5277</v>
      </c>
      <c r="C1760" s="2" t="s">
        <v>5278</v>
      </c>
      <c r="D1760" s="2" t="s">
        <v>10049</v>
      </c>
      <c r="E1760" s="15">
        <v>1.5E-3</v>
      </c>
      <c r="F1760" s="15">
        <v>3.5900000000000001E-2</v>
      </c>
      <c r="G1760" s="15">
        <v>0.96740000000000004</v>
      </c>
      <c r="H1760" s="15">
        <v>0.30130000000000001</v>
      </c>
      <c r="I1760" s="15">
        <v>2.63E-2</v>
      </c>
      <c r="J1760" s="15">
        <v>11.794776119402981</v>
      </c>
    </row>
    <row r="1761" spans="1:10" x14ac:dyDescent="0.25">
      <c r="A1761" s="2" t="s">
        <v>5279</v>
      </c>
      <c r="B1761" s="2" t="s">
        <v>5280</v>
      </c>
      <c r="C1761" s="2" t="s">
        <v>5281</v>
      </c>
      <c r="D1761" s="2" t="s">
        <v>10049</v>
      </c>
      <c r="E1761" s="15">
        <v>-1.17E-2</v>
      </c>
      <c r="F1761" s="15">
        <v>3.7100000000000001E-2</v>
      </c>
      <c r="G1761" s="15">
        <v>0.75229999999999997</v>
      </c>
      <c r="H1761" s="15">
        <v>0.28060000000000002</v>
      </c>
      <c r="I1761" s="15">
        <v>2.5000000000000001E-2</v>
      </c>
      <c r="J1761" s="15">
        <v>11.637065637065639</v>
      </c>
    </row>
    <row r="1762" spans="1:10" x14ac:dyDescent="0.25">
      <c r="A1762" s="2" t="s">
        <v>5282</v>
      </c>
      <c r="B1762" s="2" t="s">
        <v>5283</v>
      </c>
      <c r="C1762" s="2" t="s">
        <v>5284</v>
      </c>
      <c r="D1762" s="2" t="s">
        <v>10049</v>
      </c>
      <c r="E1762" s="15">
        <v>2.9899999999999999E-2</v>
      </c>
      <c r="F1762" s="15">
        <v>3.7400000000000003E-2</v>
      </c>
      <c r="G1762" s="15">
        <v>0.42459999999999998</v>
      </c>
      <c r="H1762" s="15">
        <v>0.19769999999999999</v>
      </c>
      <c r="I1762" s="15">
        <v>2.0299999999999999E-2</v>
      </c>
      <c r="J1762" s="15">
        <v>11.15343915343915</v>
      </c>
    </row>
    <row r="1763" spans="1:10" x14ac:dyDescent="0.25">
      <c r="A1763" s="2" t="s">
        <v>5285</v>
      </c>
      <c r="B1763" s="2" t="s">
        <v>5286</v>
      </c>
      <c r="C1763" s="2" t="s">
        <v>5287</v>
      </c>
      <c r="D1763" s="2" t="s">
        <v>10049</v>
      </c>
      <c r="E1763" s="15">
        <v>3.95E-2</v>
      </c>
      <c r="F1763" s="15">
        <v>4.3299999999999998E-2</v>
      </c>
      <c r="G1763" s="15">
        <v>0.36270000000000002</v>
      </c>
      <c r="H1763" s="15">
        <v>0.1691</v>
      </c>
      <c r="I1763" s="15">
        <v>2.0400000000000001E-2</v>
      </c>
      <c r="J1763" s="15">
        <v>8.6456310679611654</v>
      </c>
    </row>
    <row r="1764" spans="1:10" x14ac:dyDescent="0.25">
      <c r="A1764" s="2" t="s">
        <v>5288</v>
      </c>
      <c r="B1764" s="2" t="s">
        <v>5289</v>
      </c>
      <c r="C1764" s="2" t="s">
        <v>5290</v>
      </c>
      <c r="D1764" s="2" t="s">
        <v>10049</v>
      </c>
      <c r="E1764" s="15">
        <v>-2.8299999999999999E-2</v>
      </c>
      <c r="F1764" s="15">
        <v>3.7100000000000001E-2</v>
      </c>
      <c r="G1764" s="15">
        <v>0.4451</v>
      </c>
      <c r="H1764" s="15">
        <v>0.247</v>
      </c>
      <c r="I1764" s="15">
        <v>2.4E-2</v>
      </c>
      <c r="J1764" s="15">
        <v>11.573991031390131</v>
      </c>
    </row>
    <row r="1765" spans="1:10" x14ac:dyDescent="0.25">
      <c r="A1765" s="2" t="s">
        <v>5291</v>
      </c>
      <c r="B1765" s="2" t="s">
        <v>5292</v>
      </c>
      <c r="C1765" s="2" t="s">
        <v>5293</v>
      </c>
      <c r="D1765" s="2" t="s">
        <v>10049</v>
      </c>
      <c r="E1765" s="15">
        <v>-1.5E-3</v>
      </c>
      <c r="F1765" s="15">
        <v>3.9899999999999998E-2</v>
      </c>
      <c r="G1765" s="15">
        <v>0.9698</v>
      </c>
      <c r="H1765" s="15">
        <v>0.23280000000000001</v>
      </c>
      <c r="I1765" s="15">
        <v>2.8799999999999999E-2</v>
      </c>
      <c r="J1765" s="15">
        <v>10.08943089430894</v>
      </c>
    </row>
    <row r="1766" spans="1:10" x14ac:dyDescent="0.25">
      <c r="A1766" s="2" t="s">
        <v>5294</v>
      </c>
      <c r="B1766" s="2" t="s">
        <v>5295</v>
      </c>
      <c r="C1766" s="2" t="s">
        <v>5296</v>
      </c>
      <c r="D1766" s="2" t="s">
        <v>10049</v>
      </c>
      <c r="E1766" s="15">
        <v>-2.46E-2</v>
      </c>
      <c r="F1766" s="15">
        <v>0.04</v>
      </c>
      <c r="G1766" s="15">
        <v>0.53959999999999997</v>
      </c>
      <c r="H1766" s="15">
        <v>0.2369</v>
      </c>
      <c r="I1766" s="15">
        <v>2.3400000000000001E-2</v>
      </c>
      <c r="J1766" s="15">
        <v>11.071428571428569</v>
      </c>
    </row>
    <row r="1767" spans="1:10" x14ac:dyDescent="0.25">
      <c r="A1767" s="2" t="s">
        <v>5297</v>
      </c>
      <c r="B1767" s="2" t="s">
        <v>5298</v>
      </c>
      <c r="C1767" s="2" t="s">
        <v>5299</v>
      </c>
      <c r="D1767" s="2" t="s">
        <v>10049</v>
      </c>
      <c r="E1767" s="15">
        <v>5.4999999999999997E-3</v>
      </c>
      <c r="F1767" s="15">
        <v>3.85E-2</v>
      </c>
      <c r="G1767" s="15">
        <v>0.8871</v>
      </c>
      <c r="H1767" s="15">
        <v>0.22539999999999999</v>
      </c>
      <c r="I1767" s="15">
        <v>2.2700000000000001E-2</v>
      </c>
      <c r="J1767" s="15">
        <v>10.1991341991342</v>
      </c>
    </row>
    <row r="1768" spans="1:10" x14ac:dyDescent="0.25">
      <c r="A1768" s="2" t="s">
        <v>5300</v>
      </c>
      <c r="B1768" s="2" t="s">
        <v>5301</v>
      </c>
      <c r="C1768" s="2" t="s">
        <v>5302</v>
      </c>
      <c r="D1768" s="2" t="s">
        <v>10049</v>
      </c>
      <c r="E1768" s="15">
        <v>-3.2000000000000002E-3</v>
      </c>
      <c r="F1768" s="15">
        <v>3.9E-2</v>
      </c>
      <c r="G1768" s="15">
        <v>0.93459999999999999</v>
      </c>
      <c r="H1768" s="15">
        <v>0.2306</v>
      </c>
      <c r="I1768" s="15">
        <v>2.52E-2</v>
      </c>
      <c r="J1768" s="15">
        <v>9.7406015037593985</v>
      </c>
    </row>
    <row r="1769" spans="1:10" x14ac:dyDescent="0.25">
      <c r="A1769" s="2" t="s">
        <v>5303</v>
      </c>
      <c r="B1769" s="2" t="s">
        <v>5304</v>
      </c>
      <c r="C1769" s="2" t="s">
        <v>5305</v>
      </c>
      <c r="D1769" s="2" t="s">
        <v>10049</v>
      </c>
      <c r="E1769" s="15">
        <v>-8.6999999999999994E-3</v>
      </c>
      <c r="F1769" s="15">
        <v>4.3900000000000002E-2</v>
      </c>
      <c r="G1769" s="15">
        <v>0.84240000000000004</v>
      </c>
      <c r="H1769" s="15">
        <v>0.20910000000000001</v>
      </c>
      <c r="I1769" s="15">
        <v>2.6499999999999999E-2</v>
      </c>
      <c r="J1769" s="15">
        <v>8.7159090909090917</v>
      </c>
    </row>
    <row r="1770" spans="1:10" x14ac:dyDescent="0.25">
      <c r="A1770" s="2" t="s">
        <v>5306</v>
      </c>
      <c r="B1770" s="2" t="s">
        <v>5307</v>
      </c>
      <c r="C1770" s="2" t="s">
        <v>5308</v>
      </c>
      <c r="D1770" s="2" t="s">
        <v>10049</v>
      </c>
      <c r="E1770" s="15">
        <v>1.49E-2</v>
      </c>
      <c r="F1770" s="15">
        <v>3.5099999999999999E-2</v>
      </c>
      <c r="G1770" s="15">
        <v>0.67190000000000005</v>
      </c>
      <c r="H1770" s="15">
        <v>0.34129999999999999</v>
      </c>
      <c r="I1770" s="15">
        <v>3.1600000000000003E-2</v>
      </c>
      <c r="J1770" s="15">
        <v>11.541528239202661</v>
      </c>
    </row>
    <row r="1771" spans="1:10" x14ac:dyDescent="0.25">
      <c r="A1771" s="2" t="s">
        <v>5309</v>
      </c>
      <c r="B1771" s="2" t="s">
        <v>5310</v>
      </c>
      <c r="C1771" s="2" t="s">
        <v>5311</v>
      </c>
      <c r="D1771" s="2" t="s">
        <v>10049</v>
      </c>
      <c r="E1771" s="15">
        <v>3.2000000000000001E-2</v>
      </c>
      <c r="F1771" s="15">
        <v>3.7199999999999997E-2</v>
      </c>
      <c r="G1771" s="15">
        <v>0.38879999999999998</v>
      </c>
      <c r="H1771" s="15">
        <v>0.3271</v>
      </c>
      <c r="I1771" s="15">
        <v>3.2300000000000002E-2</v>
      </c>
      <c r="J1771" s="15">
        <v>11.13804713804714</v>
      </c>
    </row>
    <row r="1772" spans="1:10" x14ac:dyDescent="0.25">
      <c r="A1772" s="2" t="s">
        <v>5312</v>
      </c>
      <c r="B1772" s="2" t="s">
        <v>5313</v>
      </c>
      <c r="C1772" s="2" t="s">
        <v>5314</v>
      </c>
      <c r="D1772" s="2" t="s">
        <v>10049</v>
      </c>
      <c r="E1772" s="15">
        <v>-1.5800000000000002E-2</v>
      </c>
      <c r="F1772" s="15">
        <v>3.7400000000000003E-2</v>
      </c>
      <c r="G1772" s="15">
        <v>0.67200000000000004</v>
      </c>
      <c r="H1772" s="15">
        <v>0.30499999999999999</v>
      </c>
      <c r="I1772" s="15">
        <v>2.8799999999999999E-2</v>
      </c>
      <c r="J1772" s="15">
        <v>11.75555555555556</v>
      </c>
    </row>
    <row r="1773" spans="1:10" x14ac:dyDescent="0.25">
      <c r="A1773" s="2" t="s">
        <v>5315</v>
      </c>
      <c r="B1773" s="2" t="s">
        <v>5316</v>
      </c>
      <c r="C1773" s="2" t="s">
        <v>5317</v>
      </c>
      <c r="D1773" s="2" t="s">
        <v>10049</v>
      </c>
      <c r="E1773" s="15">
        <v>-2.3E-3</v>
      </c>
      <c r="F1773" s="15">
        <v>3.8699999999999998E-2</v>
      </c>
      <c r="G1773" s="15">
        <v>0.9516</v>
      </c>
      <c r="H1773" s="15">
        <v>0.29499999999999998</v>
      </c>
      <c r="I1773" s="15">
        <v>2.8000000000000001E-2</v>
      </c>
      <c r="J1773" s="15">
        <v>11.488888888888891</v>
      </c>
    </row>
    <row r="1774" spans="1:10" x14ac:dyDescent="0.25">
      <c r="A1774" s="2" t="s">
        <v>5318</v>
      </c>
      <c r="B1774" s="2" t="s">
        <v>5319</v>
      </c>
      <c r="C1774" s="2" t="s">
        <v>5320</v>
      </c>
      <c r="D1774" s="2" t="s">
        <v>10049</v>
      </c>
      <c r="E1774" s="15">
        <v>2.2200000000000001E-2</v>
      </c>
      <c r="F1774" s="15">
        <v>3.9899999999999998E-2</v>
      </c>
      <c r="G1774" s="15">
        <v>0.57769999999999999</v>
      </c>
      <c r="H1774" s="15">
        <v>0.27139999999999997</v>
      </c>
      <c r="I1774" s="15">
        <v>2.63E-2</v>
      </c>
      <c r="J1774" s="15">
        <v>11.05725190839695</v>
      </c>
    </row>
    <row r="1775" spans="1:10" x14ac:dyDescent="0.25">
      <c r="A1775" s="2" t="s">
        <v>5321</v>
      </c>
      <c r="B1775" s="2" t="s">
        <v>5322</v>
      </c>
      <c r="C1775" s="2" t="s">
        <v>5323</v>
      </c>
      <c r="D1775" s="2" t="s">
        <v>10049</v>
      </c>
      <c r="E1775" s="15">
        <v>2.5600000000000001E-2</v>
      </c>
      <c r="F1775" s="15">
        <v>4.0800000000000003E-2</v>
      </c>
      <c r="G1775" s="15">
        <v>0.53039999999999998</v>
      </c>
      <c r="H1775" s="15">
        <v>0.27</v>
      </c>
      <c r="I1775" s="15">
        <v>2.7099999999999999E-2</v>
      </c>
      <c r="J1775" s="15">
        <v>10.611111111111111</v>
      </c>
    </row>
    <row r="1776" spans="1:10" x14ac:dyDescent="0.25">
      <c r="A1776" s="2" t="s">
        <v>5324</v>
      </c>
      <c r="B1776" s="2" t="s">
        <v>5325</v>
      </c>
      <c r="C1776" s="2" t="s">
        <v>5326</v>
      </c>
      <c r="D1776" s="2" t="s">
        <v>10049</v>
      </c>
      <c r="E1776" s="15">
        <v>1.26E-2</v>
      </c>
      <c r="F1776" s="15">
        <v>4.7500000000000001E-2</v>
      </c>
      <c r="G1776" s="15">
        <v>0.79139999999999999</v>
      </c>
      <c r="H1776" s="15">
        <v>0.2218</v>
      </c>
      <c r="I1776" s="15">
        <v>2.7400000000000001E-2</v>
      </c>
      <c r="J1776" s="15">
        <v>9.2911877394636004</v>
      </c>
    </row>
    <row r="1777" spans="1:10" x14ac:dyDescent="0.25">
      <c r="A1777" s="2" t="s">
        <v>5327</v>
      </c>
      <c r="B1777" s="2" t="s">
        <v>5328</v>
      </c>
      <c r="C1777" s="2" t="s">
        <v>5329</v>
      </c>
      <c r="D1777" s="2" t="s">
        <v>10049</v>
      </c>
      <c r="E1777" s="15">
        <v>1.8700000000000001E-2</v>
      </c>
      <c r="F1777" s="15">
        <v>4.7600000000000003E-2</v>
      </c>
      <c r="G1777" s="15">
        <v>0.69499999999999995</v>
      </c>
      <c r="H1777" s="15">
        <v>0.2334</v>
      </c>
      <c r="I1777" s="15">
        <v>2.7300000000000001E-2</v>
      </c>
      <c r="J1777" s="15">
        <v>9.7180451127819563</v>
      </c>
    </row>
    <row r="1778" spans="1:10" x14ac:dyDescent="0.25">
      <c r="A1778" s="2" t="s">
        <v>5330</v>
      </c>
      <c r="B1778" s="2" t="s">
        <v>5331</v>
      </c>
      <c r="C1778" s="2" t="s">
        <v>5332</v>
      </c>
      <c r="D1778" s="2" t="s">
        <v>10049</v>
      </c>
      <c r="E1778" s="15">
        <v>-8.6E-3</v>
      </c>
      <c r="F1778" s="15">
        <v>3.9800000000000002E-2</v>
      </c>
      <c r="G1778" s="15">
        <v>0.82820000000000005</v>
      </c>
      <c r="H1778" s="15">
        <v>0.24479999999999999</v>
      </c>
      <c r="I1778" s="15">
        <v>2.93E-2</v>
      </c>
      <c r="J1778" s="15">
        <v>9.3724137931034477</v>
      </c>
    </row>
    <row r="1779" spans="1:10" x14ac:dyDescent="0.25">
      <c r="A1779" s="2" t="s">
        <v>5333</v>
      </c>
      <c r="B1779" s="2" t="s">
        <v>5334</v>
      </c>
      <c r="C1779" s="2" t="s">
        <v>5335</v>
      </c>
      <c r="D1779" s="2" t="s">
        <v>10049</v>
      </c>
      <c r="E1779" s="15">
        <v>1.5699999999999999E-2</v>
      </c>
      <c r="F1779" s="15">
        <v>4.2500000000000003E-2</v>
      </c>
      <c r="G1779" s="15">
        <v>0.71130000000000004</v>
      </c>
      <c r="H1779" s="15">
        <v>0.22570000000000001</v>
      </c>
      <c r="I1779" s="15">
        <v>2.76E-2</v>
      </c>
      <c r="J1779" s="15">
        <v>8.5664335664335667</v>
      </c>
    </row>
    <row r="1780" spans="1:10" x14ac:dyDescent="0.25">
      <c r="A1780" s="2" t="s">
        <v>5336</v>
      </c>
      <c r="B1780" s="2" t="s">
        <v>5337</v>
      </c>
      <c r="C1780" s="2" t="s">
        <v>5338</v>
      </c>
      <c r="D1780" s="2" t="s">
        <v>10049</v>
      </c>
      <c r="E1780" s="15">
        <v>-4.3999999999999997E-2</v>
      </c>
      <c r="F1780" s="15">
        <v>4.1500000000000002E-2</v>
      </c>
      <c r="G1780" s="15">
        <v>0.28849999999999998</v>
      </c>
      <c r="H1780" s="15">
        <v>0.22570000000000001</v>
      </c>
      <c r="I1780" s="15">
        <v>2.4299999999999999E-2</v>
      </c>
      <c r="J1780" s="15">
        <v>10.43037974683544</v>
      </c>
    </row>
    <row r="1781" spans="1:10" x14ac:dyDescent="0.25">
      <c r="A1781" s="2" t="s">
        <v>5339</v>
      </c>
      <c r="B1781" s="2" t="s">
        <v>5340</v>
      </c>
      <c r="C1781" s="2" t="s">
        <v>5341</v>
      </c>
      <c r="D1781" s="2" t="s">
        <v>10049</v>
      </c>
      <c r="E1781" s="15">
        <v>-4.2299999999999997E-2</v>
      </c>
      <c r="F1781" s="15">
        <v>4.3999999999999997E-2</v>
      </c>
      <c r="G1781" s="15">
        <v>0.33589999999999998</v>
      </c>
      <c r="H1781" s="15">
        <v>0.2157</v>
      </c>
      <c r="I1781" s="15">
        <v>2.4199999999999999E-2</v>
      </c>
      <c r="J1781" s="15">
        <v>9.9833333333333343</v>
      </c>
    </row>
    <row r="1782" spans="1:10" x14ac:dyDescent="0.25">
      <c r="A1782" s="2" t="s">
        <v>5342</v>
      </c>
      <c r="B1782" s="2" t="s">
        <v>5343</v>
      </c>
      <c r="C1782" s="2" t="s">
        <v>5344</v>
      </c>
      <c r="D1782" s="2" t="s">
        <v>10049</v>
      </c>
      <c r="E1782" s="15">
        <v>5.7999999999999996E-3</v>
      </c>
      <c r="F1782" s="15">
        <v>4.36E-2</v>
      </c>
      <c r="G1782" s="15">
        <v>0.89390000000000003</v>
      </c>
      <c r="H1782" s="15">
        <v>0.26960000000000001</v>
      </c>
      <c r="I1782" s="15">
        <v>2.69E-2</v>
      </c>
      <c r="J1782" s="15">
        <v>10.66666666666667</v>
      </c>
    </row>
    <row r="1783" spans="1:10" x14ac:dyDescent="0.25">
      <c r="A1783" s="2" t="s">
        <v>5345</v>
      </c>
      <c r="B1783" s="2" t="s">
        <v>5346</v>
      </c>
      <c r="C1783" s="2" t="s">
        <v>5347</v>
      </c>
      <c r="D1783" s="2" t="s">
        <v>10049</v>
      </c>
      <c r="E1783" s="15">
        <v>2.0000000000000001E-4</v>
      </c>
      <c r="F1783" s="15">
        <v>3.9699999999999999E-2</v>
      </c>
      <c r="G1783" s="15">
        <v>0.99539999999999995</v>
      </c>
      <c r="H1783" s="15">
        <v>0.26919999999999999</v>
      </c>
      <c r="I1783" s="15">
        <v>2.53E-2</v>
      </c>
      <c r="J1783" s="15">
        <v>11.526530612244899</v>
      </c>
    </row>
    <row r="1784" spans="1:10" x14ac:dyDescent="0.25">
      <c r="A1784" s="2" t="s">
        <v>5348</v>
      </c>
      <c r="B1784" s="2" t="s">
        <v>5349</v>
      </c>
      <c r="C1784" s="2" t="s">
        <v>5350</v>
      </c>
      <c r="D1784" s="2" t="s">
        <v>10049</v>
      </c>
      <c r="E1784" s="15">
        <v>-3.1600000000000003E-2</v>
      </c>
      <c r="F1784" s="15">
        <v>4.2900000000000001E-2</v>
      </c>
      <c r="G1784" s="15">
        <v>0.46179999999999999</v>
      </c>
      <c r="H1784" s="15">
        <v>0.2117</v>
      </c>
      <c r="I1784" s="15">
        <v>2.0199999999999999E-2</v>
      </c>
      <c r="J1784" s="15">
        <v>10.445497630331751</v>
      </c>
    </row>
    <row r="1785" spans="1:10" x14ac:dyDescent="0.25">
      <c r="A1785" s="2" t="s">
        <v>5351</v>
      </c>
      <c r="B1785" s="2" t="s">
        <v>5352</v>
      </c>
      <c r="C1785" s="2" t="s">
        <v>5353</v>
      </c>
      <c r="D1785" s="2" t="s">
        <v>10049</v>
      </c>
      <c r="E1785" s="15">
        <v>-5.8500000000000003E-2</v>
      </c>
      <c r="F1785" s="15">
        <v>4.2900000000000001E-2</v>
      </c>
      <c r="G1785" s="15">
        <v>0.1724</v>
      </c>
      <c r="H1785" s="15">
        <v>0.20519999999999999</v>
      </c>
      <c r="I1785" s="15">
        <v>1.9800000000000002E-2</v>
      </c>
      <c r="J1785" s="15">
        <v>10.42654028436019</v>
      </c>
    </row>
    <row r="1786" spans="1:10" x14ac:dyDescent="0.25">
      <c r="A1786" s="2" t="s">
        <v>5354</v>
      </c>
      <c r="B1786" s="2" t="s">
        <v>5355</v>
      </c>
      <c r="C1786" s="2" t="s">
        <v>5356</v>
      </c>
      <c r="D1786" s="2" t="s">
        <v>10049</v>
      </c>
      <c r="E1786" s="15">
        <v>5.9700000000000003E-2</v>
      </c>
      <c r="F1786" s="15">
        <v>4.3200000000000002E-2</v>
      </c>
      <c r="G1786" s="15">
        <v>0.1668</v>
      </c>
      <c r="H1786" s="15">
        <v>0.18729999999999999</v>
      </c>
      <c r="I1786" s="15">
        <v>2.1899999999999999E-2</v>
      </c>
      <c r="J1786" s="15">
        <v>8.8411214953271031</v>
      </c>
    </row>
    <row r="1787" spans="1:10" x14ac:dyDescent="0.25">
      <c r="A1787" s="2" t="s">
        <v>5357</v>
      </c>
      <c r="B1787" s="2" t="s">
        <v>5358</v>
      </c>
      <c r="C1787" s="2" t="s">
        <v>5359</v>
      </c>
      <c r="D1787" s="2" t="s">
        <v>10049</v>
      </c>
      <c r="E1787" s="15">
        <v>3.8699999999999998E-2</v>
      </c>
      <c r="F1787" s="15">
        <v>4.3499999999999997E-2</v>
      </c>
      <c r="G1787" s="15">
        <v>0.37359999999999999</v>
      </c>
      <c r="H1787" s="15">
        <v>0.1822</v>
      </c>
      <c r="I1787" s="15">
        <v>2.1499999999999998E-2</v>
      </c>
      <c r="J1787" s="15">
        <v>9.0049504950495063</v>
      </c>
    </row>
    <row r="1788" spans="1:10" x14ac:dyDescent="0.25">
      <c r="A1788" s="2" t="s">
        <v>5360</v>
      </c>
      <c r="B1788" s="2" t="s">
        <v>5361</v>
      </c>
      <c r="C1788" s="2" t="s">
        <v>5362</v>
      </c>
      <c r="D1788" s="2" t="s">
        <v>10049</v>
      </c>
      <c r="E1788" s="15">
        <v>-5.1000000000000004E-3</v>
      </c>
      <c r="F1788" s="15">
        <v>3.8100000000000002E-2</v>
      </c>
      <c r="G1788" s="15">
        <v>0.89359999999999995</v>
      </c>
      <c r="H1788" s="15">
        <v>0.29649999999999999</v>
      </c>
      <c r="I1788" s="15">
        <v>3.15E-2</v>
      </c>
      <c r="J1788" s="15">
        <v>10.257525083612039</v>
      </c>
    </row>
    <row r="1789" spans="1:10" x14ac:dyDescent="0.25">
      <c r="A1789" s="2" t="s">
        <v>5363</v>
      </c>
      <c r="B1789" s="2" t="s">
        <v>5364</v>
      </c>
      <c r="C1789" s="2" t="s">
        <v>5365</v>
      </c>
      <c r="D1789" s="2" t="s">
        <v>10049</v>
      </c>
      <c r="E1789" s="15">
        <v>-1.6E-2</v>
      </c>
      <c r="F1789" s="15">
        <v>4.0399999999999998E-2</v>
      </c>
      <c r="G1789" s="15">
        <v>0.69140000000000001</v>
      </c>
      <c r="H1789" s="15">
        <v>0.29670000000000002</v>
      </c>
      <c r="I1789" s="15">
        <v>3.1600000000000003E-2</v>
      </c>
      <c r="J1789" s="15">
        <v>10.308724832214761</v>
      </c>
    </row>
    <row r="1790" spans="1:10" x14ac:dyDescent="0.25">
      <c r="A1790" s="2" t="s">
        <v>5366</v>
      </c>
      <c r="B1790" s="2" t="s">
        <v>5367</v>
      </c>
      <c r="C1790" s="2" t="s">
        <v>5368</v>
      </c>
      <c r="D1790" s="2" t="s">
        <v>10049</v>
      </c>
      <c r="E1790" s="15">
        <v>4.0500000000000001E-2</v>
      </c>
      <c r="F1790" s="15">
        <v>4.0800000000000003E-2</v>
      </c>
      <c r="G1790" s="15">
        <v>0.32050000000000001</v>
      </c>
      <c r="H1790" s="15">
        <v>0.21709999999999999</v>
      </c>
      <c r="I1790" s="15">
        <v>2.1399999999999999E-2</v>
      </c>
      <c r="J1790" s="15">
        <v>10.703883495145631</v>
      </c>
    </row>
    <row r="1791" spans="1:10" x14ac:dyDescent="0.25">
      <c r="A1791" s="2" t="s">
        <v>5369</v>
      </c>
      <c r="B1791" s="2" t="s">
        <v>5370</v>
      </c>
      <c r="C1791" s="2" t="s">
        <v>5371</v>
      </c>
      <c r="D1791" s="2" t="s">
        <v>10049</v>
      </c>
      <c r="E1791" s="15">
        <v>8.5699999999999998E-2</v>
      </c>
      <c r="F1791" s="15">
        <v>4.2900000000000001E-2</v>
      </c>
      <c r="G1791" s="15">
        <v>4.5900000000000003E-2</v>
      </c>
      <c r="H1791" s="15">
        <v>0.215</v>
      </c>
      <c r="I1791" s="15">
        <v>2.2100000000000002E-2</v>
      </c>
      <c r="J1791" s="15">
        <v>10.55980861244019</v>
      </c>
    </row>
    <row r="1792" spans="1:10" x14ac:dyDescent="0.25">
      <c r="A1792" s="2" t="s">
        <v>5372</v>
      </c>
      <c r="B1792" s="2" t="s">
        <v>5373</v>
      </c>
      <c r="C1792" s="2" t="s">
        <v>5374</v>
      </c>
      <c r="D1792" s="2" t="s">
        <v>10049</v>
      </c>
      <c r="E1792" s="15">
        <v>-7.22E-2</v>
      </c>
      <c r="F1792" s="15">
        <v>4.3900000000000002E-2</v>
      </c>
      <c r="G1792" s="15">
        <v>0.1002</v>
      </c>
      <c r="H1792" s="15">
        <v>0.2099</v>
      </c>
      <c r="I1792" s="15">
        <v>2.23E-2</v>
      </c>
      <c r="J1792" s="15">
        <v>9.5</v>
      </c>
    </row>
    <row r="1793" spans="1:10" x14ac:dyDescent="0.25">
      <c r="A1793" s="2" t="s">
        <v>5375</v>
      </c>
      <c r="B1793" s="2" t="s">
        <v>5376</v>
      </c>
      <c r="C1793" s="2" t="s">
        <v>5377</v>
      </c>
      <c r="D1793" s="2" t="s">
        <v>10049</v>
      </c>
      <c r="E1793" s="15">
        <v>-8.1199999999999994E-2</v>
      </c>
      <c r="F1793" s="15">
        <v>4.3999999999999997E-2</v>
      </c>
      <c r="G1793" s="15">
        <v>6.5199999999999994E-2</v>
      </c>
      <c r="H1793" s="15">
        <v>0.21290000000000001</v>
      </c>
      <c r="I1793" s="15">
        <v>2.3099999999999999E-2</v>
      </c>
      <c r="J1793" s="15">
        <v>9.7991452991452999</v>
      </c>
    </row>
    <row r="1794" spans="1:10" x14ac:dyDescent="0.25">
      <c r="A1794" s="2" t="s">
        <v>5378</v>
      </c>
      <c r="B1794" s="2" t="s">
        <v>5379</v>
      </c>
      <c r="C1794" s="2" t="s">
        <v>5380</v>
      </c>
      <c r="D1794" s="2" t="s">
        <v>10049</v>
      </c>
      <c r="E1794" s="15">
        <v>4.65E-2</v>
      </c>
      <c r="F1794" s="15">
        <v>3.9300000000000002E-2</v>
      </c>
      <c r="G1794" s="15">
        <v>0.23630000000000001</v>
      </c>
      <c r="H1794" s="15">
        <v>0.191</v>
      </c>
      <c r="I1794" s="15">
        <v>2.07E-2</v>
      </c>
      <c r="J1794" s="15">
        <v>10.05714285714286</v>
      </c>
    </row>
    <row r="1795" spans="1:10" x14ac:dyDescent="0.25">
      <c r="A1795" s="2" t="s">
        <v>5381</v>
      </c>
      <c r="B1795" s="2" t="s">
        <v>5382</v>
      </c>
      <c r="C1795" s="2" t="s">
        <v>5383</v>
      </c>
      <c r="D1795" s="2" t="s">
        <v>10049</v>
      </c>
      <c r="E1795" s="15">
        <v>3.9100000000000003E-2</v>
      </c>
      <c r="F1795" s="15">
        <v>4.4299999999999999E-2</v>
      </c>
      <c r="G1795" s="15">
        <v>0.37780000000000002</v>
      </c>
      <c r="H1795" s="15">
        <v>0.1862</v>
      </c>
      <c r="I1795" s="15">
        <v>0.02</v>
      </c>
      <c r="J1795" s="15">
        <v>10.77435897435898</v>
      </c>
    </row>
    <row r="1796" spans="1:10" x14ac:dyDescent="0.25">
      <c r="A1796" s="2" t="s">
        <v>5384</v>
      </c>
      <c r="B1796" s="2" t="s">
        <v>5385</v>
      </c>
      <c r="C1796" s="2" t="s">
        <v>5386</v>
      </c>
      <c r="D1796" s="2" t="s">
        <v>10049</v>
      </c>
      <c r="E1796" s="15">
        <v>1.54E-2</v>
      </c>
      <c r="F1796" s="15">
        <v>4.9099999999999998E-2</v>
      </c>
      <c r="G1796" s="15">
        <v>0.75329999999999997</v>
      </c>
      <c r="H1796" s="15">
        <v>0.14319999999999999</v>
      </c>
      <c r="I1796" s="15">
        <v>1.9699999999999999E-2</v>
      </c>
      <c r="J1796" s="15">
        <v>8.2751322751322753</v>
      </c>
    </row>
    <row r="1797" spans="1:10" x14ac:dyDescent="0.25">
      <c r="A1797" s="2" t="s">
        <v>5387</v>
      </c>
      <c r="B1797" s="2" t="s">
        <v>5388</v>
      </c>
      <c r="C1797" s="2" t="s">
        <v>5389</v>
      </c>
      <c r="D1797" s="2" t="s">
        <v>10049</v>
      </c>
      <c r="E1797" s="15">
        <v>3.27E-2</v>
      </c>
      <c r="F1797" s="15">
        <v>4.4400000000000002E-2</v>
      </c>
      <c r="G1797" s="15">
        <v>0.46160000000000001</v>
      </c>
      <c r="H1797" s="15">
        <v>0.14660000000000001</v>
      </c>
      <c r="I1797" s="15">
        <v>1.89E-2</v>
      </c>
      <c r="J1797" s="15">
        <v>9.0160427807486627</v>
      </c>
    </row>
    <row r="1798" spans="1:10" x14ac:dyDescent="0.25">
      <c r="A1798" s="2" t="s">
        <v>5390</v>
      </c>
      <c r="B1798" s="2" t="s">
        <v>5391</v>
      </c>
      <c r="C1798" s="2" t="s">
        <v>5392</v>
      </c>
      <c r="D1798" s="2" t="s">
        <v>10049</v>
      </c>
      <c r="E1798" s="15">
        <v>4.2599999999999999E-2</v>
      </c>
      <c r="F1798" s="15">
        <v>3.9600000000000003E-2</v>
      </c>
      <c r="G1798" s="15">
        <v>0.28199999999999997</v>
      </c>
      <c r="H1798" s="15">
        <v>0.22140000000000001</v>
      </c>
      <c r="I1798" s="15">
        <v>2.7900000000000001E-2</v>
      </c>
      <c r="J1798" s="15">
        <v>9.3858267716535444</v>
      </c>
    </row>
    <row r="1799" spans="1:10" x14ac:dyDescent="0.25">
      <c r="A1799" s="2" t="s">
        <v>5393</v>
      </c>
      <c r="B1799" s="2" t="s">
        <v>5394</v>
      </c>
      <c r="C1799" s="2" t="s">
        <v>5395</v>
      </c>
      <c r="D1799" s="2" t="s">
        <v>10049</v>
      </c>
      <c r="E1799" s="15">
        <v>9.4999999999999998E-3</v>
      </c>
      <c r="F1799" s="15">
        <v>3.9199999999999999E-2</v>
      </c>
      <c r="G1799" s="15">
        <v>0.80879999999999996</v>
      </c>
      <c r="H1799" s="15">
        <v>0.2276</v>
      </c>
      <c r="I1799" s="15">
        <v>2.63E-2</v>
      </c>
      <c r="J1799" s="15">
        <v>9.7301587301587293</v>
      </c>
    </row>
    <row r="1800" spans="1:10" x14ac:dyDescent="0.25">
      <c r="A1800" s="2" t="s">
        <v>5396</v>
      </c>
      <c r="B1800" s="2" t="s">
        <v>5397</v>
      </c>
      <c r="C1800" s="2" t="s">
        <v>5398</v>
      </c>
      <c r="D1800" s="2" t="s">
        <v>10049</v>
      </c>
      <c r="E1800" s="15">
        <v>-7.4999999999999997E-3</v>
      </c>
      <c r="F1800" s="15">
        <v>4.0399999999999998E-2</v>
      </c>
      <c r="G1800" s="15">
        <v>0.85219999999999996</v>
      </c>
      <c r="H1800" s="15">
        <v>0.2306</v>
      </c>
      <c r="I1800" s="15">
        <v>2.6100000000000002E-2</v>
      </c>
      <c r="J1800" s="15">
        <v>9.7576923076923077</v>
      </c>
    </row>
    <row r="1801" spans="1:10" x14ac:dyDescent="0.25">
      <c r="A1801" s="2" t="s">
        <v>5399</v>
      </c>
      <c r="B1801" s="2" t="s">
        <v>5400</v>
      </c>
      <c r="C1801" s="2" t="s">
        <v>5401</v>
      </c>
      <c r="D1801" s="2" t="s">
        <v>10049</v>
      </c>
      <c r="E1801" s="15">
        <v>5.0500000000000003E-2</v>
      </c>
      <c r="F1801" s="15">
        <v>4.3299999999999998E-2</v>
      </c>
      <c r="G1801" s="15">
        <v>0.24379999999999999</v>
      </c>
      <c r="H1801" s="15">
        <v>0.23150000000000001</v>
      </c>
      <c r="I1801" s="15">
        <v>2.69E-2</v>
      </c>
      <c r="J1801" s="15">
        <v>9.6185185185185187</v>
      </c>
    </row>
    <row r="1802" spans="1:10" x14ac:dyDescent="0.25">
      <c r="A1802" s="2" t="s">
        <v>5402</v>
      </c>
      <c r="B1802" s="2" t="s">
        <v>5403</v>
      </c>
      <c r="C1802" s="2" t="s">
        <v>5404</v>
      </c>
      <c r="D1802" s="2" t="s">
        <v>10049</v>
      </c>
      <c r="E1802" s="15">
        <v>-6.3399999999999998E-2</v>
      </c>
      <c r="F1802" s="15">
        <v>5.9700000000000003E-2</v>
      </c>
      <c r="G1802" s="15">
        <v>0.28870000000000001</v>
      </c>
      <c r="H1802" s="15">
        <v>0.10829999999999999</v>
      </c>
      <c r="I1802" s="15">
        <v>1.7399999999999999E-2</v>
      </c>
      <c r="J1802" s="15">
        <v>6.5852272727272716</v>
      </c>
    </row>
    <row r="1803" spans="1:10" x14ac:dyDescent="0.25">
      <c r="A1803" s="2" t="s">
        <v>5405</v>
      </c>
      <c r="B1803" s="2" t="s">
        <v>5406</v>
      </c>
      <c r="C1803" s="2" t="s">
        <v>5407</v>
      </c>
      <c r="D1803" s="2" t="s">
        <v>10049</v>
      </c>
      <c r="E1803" s="15">
        <v>-4.4299999999999999E-2</v>
      </c>
      <c r="F1803" s="15">
        <v>5.6800000000000003E-2</v>
      </c>
      <c r="G1803" s="15">
        <v>0.43609999999999999</v>
      </c>
      <c r="H1803" s="15">
        <v>0.1285</v>
      </c>
      <c r="I1803" s="15">
        <v>1.78E-2</v>
      </c>
      <c r="J1803" s="15">
        <v>7.862068965517242</v>
      </c>
    </row>
    <row r="1804" spans="1:10" x14ac:dyDescent="0.25">
      <c r="A1804" s="2" t="s">
        <v>5408</v>
      </c>
      <c r="B1804" s="2" t="s">
        <v>5409</v>
      </c>
      <c r="C1804" s="2" t="s">
        <v>5410</v>
      </c>
      <c r="D1804" s="2" t="s">
        <v>10049</v>
      </c>
      <c r="E1804" s="15">
        <v>-9.4999999999999998E-3</v>
      </c>
      <c r="F1804" s="15">
        <v>4.5100000000000001E-2</v>
      </c>
      <c r="G1804" s="15">
        <v>0.83279999999999998</v>
      </c>
      <c r="H1804" s="15">
        <v>0.15179999999999999</v>
      </c>
      <c r="I1804" s="15">
        <v>2.07E-2</v>
      </c>
      <c r="J1804" s="15">
        <v>7.7487179487179496</v>
      </c>
    </row>
    <row r="1805" spans="1:10" x14ac:dyDescent="0.25">
      <c r="A1805" s="2" t="s">
        <v>5411</v>
      </c>
      <c r="B1805" s="2" t="s">
        <v>5412</v>
      </c>
      <c r="C1805" s="2" t="s">
        <v>5413</v>
      </c>
      <c r="D1805" s="2" t="s">
        <v>10049</v>
      </c>
      <c r="E1805" s="15">
        <v>8.9999999999999998E-4</v>
      </c>
      <c r="F1805" s="15">
        <v>4.2700000000000002E-2</v>
      </c>
      <c r="G1805" s="15">
        <v>0.98380000000000001</v>
      </c>
      <c r="H1805" s="15">
        <v>0.1794</v>
      </c>
      <c r="I1805" s="15">
        <v>2.0899999999999998E-2</v>
      </c>
      <c r="J1805" s="15">
        <v>9.2288557213930353</v>
      </c>
    </row>
    <row r="1806" spans="1:10" x14ac:dyDescent="0.25">
      <c r="A1806" s="2" t="s">
        <v>5414</v>
      </c>
      <c r="B1806" s="2" t="s">
        <v>5415</v>
      </c>
      <c r="C1806" s="2" t="s">
        <v>5416</v>
      </c>
      <c r="D1806" s="2" t="s">
        <v>10049</v>
      </c>
      <c r="E1806" s="15">
        <v>1.7399999999999999E-2</v>
      </c>
      <c r="F1806" s="15">
        <v>4.1799999999999997E-2</v>
      </c>
      <c r="G1806" s="15">
        <v>0.67630000000000001</v>
      </c>
      <c r="H1806" s="15">
        <v>0.2114</v>
      </c>
      <c r="I1806" s="15">
        <v>2.24E-2</v>
      </c>
      <c r="J1806" s="15">
        <v>10.6093023255814</v>
      </c>
    </row>
    <row r="1807" spans="1:10" x14ac:dyDescent="0.25">
      <c r="A1807" s="2" t="s">
        <v>5417</v>
      </c>
      <c r="B1807" s="2" t="s">
        <v>5418</v>
      </c>
      <c r="C1807" s="2" t="s">
        <v>5419</v>
      </c>
      <c r="D1807" s="2" t="s">
        <v>10049</v>
      </c>
      <c r="E1807" s="15">
        <v>1.7100000000000001E-2</v>
      </c>
      <c r="F1807" s="15">
        <v>4.1700000000000001E-2</v>
      </c>
      <c r="G1807" s="15">
        <v>0.68120000000000003</v>
      </c>
      <c r="H1807" s="15">
        <v>0.24110000000000001</v>
      </c>
      <c r="I1807" s="15">
        <v>0.03</v>
      </c>
      <c r="J1807" s="15">
        <v>8.7979452054794525</v>
      </c>
    </row>
    <row r="1808" spans="1:10" x14ac:dyDescent="0.25">
      <c r="A1808" s="2" t="s">
        <v>5420</v>
      </c>
      <c r="B1808" s="2" t="s">
        <v>5421</v>
      </c>
      <c r="C1808" s="2" t="s">
        <v>5422</v>
      </c>
      <c r="D1808" s="2" t="s">
        <v>10049</v>
      </c>
      <c r="E1808" s="15">
        <v>4.1700000000000001E-2</v>
      </c>
      <c r="F1808" s="15">
        <v>4.1300000000000003E-2</v>
      </c>
      <c r="G1808" s="15">
        <v>0.31219999999999998</v>
      </c>
      <c r="H1808" s="15">
        <v>0.26240000000000002</v>
      </c>
      <c r="I1808" s="15">
        <v>2.8899999999999999E-2</v>
      </c>
      <c r="J1808" s="15">
        <v>9.5872483221476514</v>
      </c>
    </row>
    <row r="1809" spans="1:10" x14ac:dyDescent="0.25">
      <c r="A1809" s="2" t="s">
        <v>5423</v>
      </c>
      <c r="B1809" s="2" t="s">
        <v>5424</v>
      </c>
      <c r="C1809" s="2" t="s">
        <v>5425</v>
      </c>
      <c r="D1809" s="2" t="s">
        <v>10049</v>
      </c>
      <c r="E1809" s="15">
        <v>2.3099999999999999E-2</v>
      </c>
      <c r="F1809" s="15">
        <v>3.8699999999999998E-2</v>
      </c>
      <c r="G1809" s="15">
        <v>0.55130000000000001</v>
      </c>
      <c r="H1809" s="15">
        <v>0.25690000000000002</v>
      </c>
      <c r="I1809" s="15">
        <v>2.7799999999999998E-2</v>
      </c>
      <c r="J1809" s="15">
        <v>9.5218855218855207</v>
      </c>
    </row>
    <row r="1810" spans="1:10" x14ac:dyDescent="0.25">
      <c r="A1810" s="2" t="s">
        <v>5426</v>
      </c>
      <c r="B1810" s="2" t="s">
        <v>5427</v>
      </c>
      <c r="C1810" s="2" t="s">
        <v>5428</v>
      </c>
      <c r="D1810" s="2" t="s">
        <v>10049</v>
      </c>
      <c r="E1810" s="15">
        <v>2.52E-2</v>
      </c>
      <c r="F1810" s="15">
        <v>4.2000000000000003E-2</v>
      </c>
      <c r="G1810" s="15">
        <v>0.54869999999999997</v>
      </c>
      <c r="H1810" s="15">
        <v>0.25530000000000003</v>
      </c>
      <c r="I1810" s="15">
        <v>2.7099999999999999E-2</v>
      </c>
      <c r="J1810" s="15">
        <v>9.727586206896552</v>
      </c>
    </row>
    <row r="1811" spans="1:10" x14ac:dyDescent="0.25">
      <c r="A1811" s="2" t="s">
        <v>5429</v>
      </c>
      <c r="B1811" s="2" t="s">
        <v>5430</v>
      </c>
      <c r="C1811" s="2" t="s">
        <v>5431</v>
      </c>
      <c r="D1811" s="2" t="s">
        <v>10049</v>
      </c>
      <c r="E1811" s="15">
        <v>2.6599999999999999E-2</v>
      </c>
      <c r="F1811" s="15">
        <v>3.8300000000000001E-2</v>
      </c>
      <c r="G1811" s="15">
        <v>0.48770000000000002</v>
      </c>
      <c r="H1811" s="15">
        <v>0.25530000000000003</v>
      </c>
      <c r="I1811" s="15">
        <v>2.7300000000000001E-2</v>
      </c>
      <c r="J1811" s="15">
        <v>9.7735191637630674</v>
      </c>
    </row>
    <row r="1812" spans="1:10" x14ac:dyDescent="0.25">
      <c r="A1812" s="2" t="s">
        <v>5432</v>
      </c>
      <c r="B1812" s="2" t="s">
        <v>5433</v>
      </c>
      <c r="C1812" s="2" t="s">
        <v>5434</v>
      </c>
      <c r="D1812" s="2" t="s">
        <v>10049</v>
      </c>
      <c r="E1812" s="15">
        <v>-2.3E-2</v>
      </c>
      <c r="F1812" s="15">
        <v>5.1900000000000002E-2</v>
      </c>
      <c r="G1812" s="15">
        <v>0.65769999999999995</v>
      </c>
      <c r="H1812" s="15">
        <v>0.11840000000000001</v>
      </c>
      <c r="I1812" s="15">
        <v>1.7000000000000001E-2</v>
      </c>
      <c r="J1812" s="15">
        <v>6.7109826589595372</v>
      </c>
    </row>
    <row r="1813" spans="1:10" x14ac:dyDescent="0.25">
      <c r="A1813" s="2" t="s">
        <v>5435</v>
      </c>
      <c r="B1813" s="2" t="s">
        <v>5436</v>
      </c>
      <c r="C1813" s="2" t="s">
        <v>5437</v>
      </c>
      <c r="D1813" s="2" t="s">
        <v>10049</v>
      </c>
      <c r="E1813" s="15">
        <v>-1.35E-2</v>
      </c>
      <c r="F1813" s="15">
        <v>5.3499999999999999E-2</v>
      </c>
      <c r="G1813" s="15">
        <v>0.80020000000000002</v>
      </c>
      <c r="H1813" s="15">
        <v>8.8900000000000007E-2</v>
      </c>
      <c r="I1813" s="15">
        <v>1.67E-2</v>
      </c>
      <c r="J1813" s="15">
        <v>5.8703703703703711</v>
      </c>
    </row>
    <row r="1814" spans="1:10" x14ac:dyDescent="0.25">
      <c r="A1814" s="2" t="s">
        <v>5438</v>
      </c>
      <c r="B1814" s="2" t="s">
        <v>5439</v>
      </c>
      <c r="C1814" s="2" t="s">
        <v>5440</v>
      </c>
      <c r="D1814" s="2" t="s">
        <v>10049</v>
      </c>
      <c r="E1814" s="15">
        <v>5.1900000000000002E-2</v>
      </c>
      <c r="F1814" s="15">
        <v>5.4800000000000001E-2</v>
      </c>
      <c r="G1814" s="15">
        <v>0.34360000000000002</v>
      </c>
      <c r="H1814" s="15">
        <v>9.4200000000000006E-2</v>
      </c>
      <c r="I1814" s="15">
        <v>1.6E-2</v>
      </c>
      <c r="J1814" s="15">
        <v>6.3105590062111796</v>
      </c>
    </row>
    <row r="1815" spans="1:10" x14ac:dyDescent="0.25">
      <c r="A1815" s="2" t="s">
        <v>5441</v>
      </c>
      <c r="B1815" s="2" t="s">
        <v>5442</v>
      </c>
      <c r="C1815" s="2" t="s">
        <v>5443</v>
      </c>
      <c r="D1815" s="2" t="s">
        <v>10049</v>
      </c>
      <c r="E1815" s="15">
        <v>0.10879999999999999</v>
      </c>
      <c r="F1815" s="15">
        <v>4.9200000000000001E-2</v>
      </c>
      <c r="G1815" s="15">
        <v>2.7E-2</v>
      </c>
      <c r="H1815" s="15">
        <v>0.18149999999999999</v>
      </c>
      <c r="I1815" s="15">
        <v>2.1299999999999999E-2</v>
      </c>
      <c r="J1815" s="15">
        <v>8.7867298578199051</v>
      </c>
    </row>
    <row r="1816" spans="1:10" x14ac:dyDescent="0.25">
      <c r="A1816" s="2" t="s">
        <v>5444</v>
      </c>
      <c r="B1816" s="2" t="s">
        <v>5445</v>
      </c>
      <c r="C1816" s="2" t="s">
        <v>5446</v>
      </c>
      <c r="D1816" s="2" t="s">
        <v>10049</v>
      </c>
      <c r="E1816" s="15">
        <v>5.6500000000000002E-2</v>
      </c>
      <c r="F1816" s="15">
        <v>4.53E-2</v>
      </c>
      <c r="G1816" s="15">
        <v>0.21199999999999999</v>
      </c>
      <c r="H1816" s="15">
        <v>0.17080000000000001</v>
      </c>
      <c r="I1816" s="15">
        <v>2.1499999999999998E-2</v>
      </c>
      <c r="J1816" s="15">
        <v>8.5525114155251138</v>
      </c>
    </row>
    <row r="1817" spans="1:10" x14ac:dyDescent="0.25">
      <c r="A1817" s="2" t="s">
        <v>5447</v>
      </c>
      <c r="B1817" s="2" t="s">
        <v>5448</v>
      </c>
      <c r="C1817" s="2" t="s">
        <v>5449</v>
      </c>
      <c r="D1817" s="2" t="s">
        <v>10049</v>
      </c>
      <c r="E1817" s="15">
        <v>2.5000000000000001E-2</v>
      </c>
      <c r="F1817" s="15">
        <v>3.61E-2</v>
      </c>
      <c r="G1817" s="15">
        <v>0.48820000000000002</v>
      </c>
      <c r="H1817" s="15">
        <v>0.31979999999999997</v>
      </c>
      <c r="I1817" s="15">
        <v>3.1600000000000003E-2</v>
      </c>
      <c r="J1817" s="15">
        <v>11.179738562091501</v>
      </c>
    </row>
    <row r="1818" spans="1:10" x14ac:dyDescent="0.25">
      <c r="A1818" s="2" t="s">
        <v>5450</v>
      </c>
      <c r="B1818" s="2" t="s">
        <v>5451</v>
      </c>
      <c r="C1818" s="2" t="s">
        <v>5452</v>
      </c>
      <c r="D1818" s="2" t="s">
        <v>10049</v>
      </c>
      <c r="E1818" s="15">
        <v>3.1E-2</v>
      </c>
      <c r="F1818" s="15">
        <v>3.5700000000000003E-2</v>
      </c>
      <c r="G1818" s="15">
        <v>0.38579999999999998</v>
      </c>
      <c r="H1818" s="15">
        <v>0.31900000000000001</v>
      </c>
      <c r="I1818" s="15">
        <v>3.2000000000000001E-2</v>
      </c>
      <c r="J1818" s="15">
        <v>11.338870431893691</v>
      </c>
    </row>
    <row r="1819" spans="1:10" x14ac:dyDescent="0.25">
      <c r="A1819" s="2" t="s">
        <v>5453</v>
      </c>
      <c r="B1819" s="2" t="s">
        <v>5454</v>
      </c>
      <c r="C1819" s="2" t="s">
        <v>5455</v>
      </c>
      <c r="D1819" s="2" t="s">
        <v>10049</v>
      </c>
      <c r="E1819" s="15">
        <v>-9.2999999999999992E-3</v>
      </c>
      <c r="F1819" s="15">
        <v>4.2299999999999997E-2</v>
      </c>
      <c r="G1819" s="15">
        <v>0.82669999999999999</v>
      </c>
      <c r="H1819" s="15">
        <v>0.20080000000000001</v>
      </c>
      <c r="I1819" s="15">
        <v>2.5899999999999999E-2</v>
      </c>
      <c r="J1819" s="15">
        <v>9.1052631578947363</v>
      </c>
    </row>
    <row r="1820" spans="1:10" x14ac:dyDescent="0.25">
      <c r="A1820" s="2" t="s">
        <v>5456</v>
      </c>
      <c r="B1820" s="2" t="s">
        <v>5457</v>
      </c>
      <c r="C1820" s="2" t="s">
        <v>5458</v>
      </c>
      <c r="D1820" s="2" t="s">
        <v>10049</v>
      </c>
      <c r="E1820" s="15">
        <v>-1.4E-3</v>
      </c>
      <c r="F1820" s="15">
        <v>3.8699999999999998E-2</v>
      </c>
      <c r="G1820" s="15">
        <v>0.97189999999999999</v>
      </c>
      <c r="H1820" s="15">
        <v>0.21759999999999999</v>
      </c>
      <c r="I1820" s="15">
        <v>2.7099999999999999E-2</v>
      </c>
      <c r="J1820" s="15">
        <v>8.9732824427480917</v>
      </c>
    </row>
    <row r="1821" spans="1:10" x14ac:dyDescent="0.25">
      <c r="A1821" s="2" t="s">
        <v>5459</v>
      </c>
      <c r="B1821" s="2" t="s">
        <v>5460</v>
      </c>
      <c r="C1821" s="2" t="s">
        <v>5461</v>
      </c>
      <c r="D1821" s="2" t="s">
        <v>10049</v>
      </c>
      <c r="E1821" s="15">
        <v>-3.0000000000000001E-3</v>
      </c>
      <c r="F1821" s="15">
        <v>4.0500000000000001E-2</v>
      </c>
      <c r="G1821" s="15">
        <v>0.94120000000000004</v>
      </c>
      <c r="H1821" s="15">
        <v>0.21479999999999999</v>
      </c>
      <c r="I1821" s="15">
        <v>2.52E-2</v>
      </c>
      <c r="J1821" s="15">
        <v>9.362903225806452</v>
      </c>
    </row>
    <row r="1822" spans="1:10" x14ac:dyDescent="0.25">
      <c r="A1822" s="2" t="s">
        <v>5462</v>
      </c>
      <c r="B1822" s="2" t="s">
        <v>5463</v>
      </c>
      <c r="C1822" s="2" t="s">
        <v>5464</v>
      </c>
      <c r="D1822" s="2" t="s">
        <v>10049</v>
      </c>
      <c r="E1822" s="15">
        <v>-2.3199999999999998E-2</v>
      </c>
      <c r="F1822" s="15">
        <v>3.7999999999999999E-2</v>
      </c>
      <c r="G1822" s="15">
        <v>0.54179999999999995</v>
      </c>
      <c r="H1822" s="15">
        <v>0.25030000000000002</v>
      </c>
      <c r="I1822" s="15">
        <v>2.5499999999999998E-2</v>
      </c>
      <c r="J1822" s="15">
        <v>10.771653543307091</v>
      </c>
    </row>
    <row r="1823" spans="1:10" x14ac:dyDescent="0.25">
      <c r="A1823" s="2" t="s">
        <v>5465</v>
      </c>
      <c r="B1823" s="2" t="s">
        <v>5466</v>
      </c>
      <c r="C1823" s="2" t="s">
        <v>5467</v>
      </c>
      <c r="D1823" s="2" t="s">
        <v>10049</v>
      </c>
      <c r="E1823" s="15">
        <v>5.7099999999999998E-2</v>
      </c>
      <c r="F1823" s="15">
        <v>5.21E-2</v>
      </c>
      <c r="G1823" s="15">
        <v>0.27339999999999998</v>
      </c>
      <c r="H1823" s="15">
        <v>0.12759999999999999</v>
      </c>
      <c r="I1823" s="15">
        <v>1.7299999999999999E-2</v>
      </c>
      <c r="J1823" s="15">
        <v>7.8793103448275863</v>
      </c>
    </row>
    <row r="1824" spans="1:10" x14ac:dyDescent="0.25">
      <c r="A1824" s="2" t="s">
        <v>5468</v>
      </c>
      <c r="B1824" s="2" t="s">
        <v>5469</v>
      </c>
      <c r="C1824" s="2" t="s">
        <v>5470</v>
      </c>
      <c r="D1824" s="2" t="s">
        <v>10049</v>
      </c>
      <c r="E1824" s="15">
        <v>5.4199999999999998E-2</v>
      </c>
      <c r="F1824" s="15">
        <v>4.65E-2</v>
      </c>
      <c r="G1824" s="15">
        <v>0.24410000000000001</v>
      </c>
      <c r="H1824" s="15">
        <v>0.1394</v>
      </c>
      <c r="I1824" s="15">
        <v>1.8800000000000001E-2</v>
      </c>
      <c r="J1824" s="15">
        <v>8.5052631578947366</v>
      </c>
    </row>
    <row r="1825" spans="1:10" x14ac:dyDescent="0.25">
      <c r="A1825" s="2" t="s">
        <v>5471</v>
      </c>
      <c r="B1825" s="2" t="s">
        <v>5472</v>
      </c>
      <c r="C1825" s="2" t="s">
        <v>5473</v>
      </c>
      <c r="D1825" s="2" t="s">
        <v>10049</v>
      </c>
      <c r="E1825" s="15">
        <v>9.6600000000000005E-2</v>
      </c>
      <c r="F1825" s="15">
        <v>4.58E-2</v>
      </c>
      <c r="G1825" s="15">
        <v>3.4700000000000002E-2</v>
      </c>
      <c r="H1825" s="15">
        <v>0.1903</v>
      </c>
      <c r="I1825" s="15">
        <v>2.3800000000000002E-2</v>
      </c>
      <c r="J1825" s="15">
        <v>9.0432900432900443</v>
      </c>
    </row>
    <row r="1826" spans="1:10" x14ac:dyDescent="0.25">
      <c r="A1826" s="2" t="s">
        <v>5474</v>
      </c>
      <c r="B1826" s="2" t="s">
        <v>5475</v>
      </c>
      <c r="C1826" s="2" t="s">
        <v>5476</v>
      </c>
      <c r="D1826" s="2" t="s">
        <v>10049</v>
      </c>
      <c r="E1826" s="15">
        <v>4.3099999999999999E-2</v>
      </c>
      <c r="F1826" s="15">
        <v>4.5100000000000001E-2</v>
      </c>
      <c r="G1826" s="15">
        <v>0.33879999999999999</v>
      </c>
      <c r="H1826" s="15">
        <v>0.20150000000000001</v>
      </c>
      <c r="I1826" s="15">
        <v>2.4199999999999999E-2</v>
      </c>
      <c r="J1826" s="15">
        <v>9.4761904761904763</v>
      </c>
    </row>
    <row r="1827" spans="1:10" x14ac:dyDescent="0.25">
      <c r="A1827" s="2" t="s">
        <v>5477</v>
      </c>
      <c r="B1827" s="2" t="s">
        <v>5478</v>
      </c>
      <c r="C1827" s="2" t="s">
        <v>5479</v>
      </c>
      <c r="D1827" s="2" t="s">
        <v>10049</v>
      </c>
      <c r="E1827" s="15">
        <v>1.5E-3</v>
      </c>
      <c r="F1827" s="15">
        <v>5.0099999999999999E-2</v>
      </c>
      <c r="G1827" s="15">
        <v>0.97550000000000003</v>
      </c>
      <c r="H1827" s="15">
        <v>0.16900000000000001</v>
      </c>
      <c r="I1827" s="15">
        <v>1.9300000000000001E-2</v>
      </c>
      <c r="J1827" s="15">
        <v>9.3886010362694297</v>
      </c>
    </row>
    <row r="1828" spans="1:10" x14ac:dyDescent="0.25">
      <c r="A1828" s="2" t="s">
        <v>5480</v>
      </c>
      <c r="B1828" s="2" t="s">
        <v>5481</v>
      </c>
      <c r="C1828" s="2" t="s">
        <v>5482</v>
      </c>
      <c r="D1828" s="2" t="s">
        <v>10049</v>
      </c>
      <c r="E1828" s="15">
        <v>4.0099999999999997E-2</v>
      </c>
      <c r="F1828" s="15">
        <v>4.6199999999999998E-2</v>
      </c>
      <c r="G1828" s="15">
        <v>0.38490000000000002</v>
      </c>
      <c r="H1828" s="15">
        <v>0.1807</v>
      </c>
      <c r="I1828" s="15">
        <v>2.0400000000000001E-2</v>
      </c>
      <c r="J1828" s="15">
        <v>9.9550000000000001</v>
      </c>
    </row>
    <row r="1829" spans="1:10" x14ac:dyDescent="0.25">
      <c r="A1829" s="2" t="s">
        <v>5483</v>
      </c>
      <c r="B1829" s="2" t="s">
        <v>5484</v>
      </c>
      <c r="C1829" s="2" t="s">
        <v>5485</v>
      </c>
      <c r="D1829" s="2" t="s">
        <v>10049</v>
      </c>
      <c r="E1829" s="15">
        <v>-1.14E-2</v>
      </c>
      <c r="F1829" s="15">
        <v>6.5299999999999997E-2</v>
      </c>
      <c r="G1829" s="15">
        <v>0.86140000000000005</v>
      </c>
      <c r="H1829" s="15">
        <v>8.4900000000000003E-2</v>
      </c>
      <c r="I1829" s="15">
        <v>1.7299999999999999E-2</v>
      </c>
      <c r="J1829" s="15">
        <v>5.1542857142857139</v>
      </c>
    </row>
    <row r="1830" spans="1:10" x14ac:dyDescent="0.25">
      <c r="A1830" s="2" t="s">
        <v>5486</v>
      </c>
      <c r="B1830" s="2" t="s">
        <v>5487</v>
      </c>
      <c r="C1830" s="2" t="s">
        <v>5488</v>
      </c>
      <c r="D1830" s="2" t="s">
        <v>10049</v>
      </c>
      <c r="E1830" s="15">
        <v>3.5900000000000001E-2</v>
      </c>
      <c r="F1830" s="15">
        <v>6.3100000000000003E-2</v>
      </c>
      <c r="G1830" s="15">
        <v>0.56889999999999996</v>
      </c>
      <c r="H1830" s="15">
        <v>0.1072</v>
      </c>
      <c r="I1830" s="15">
        <v>1.78E-2</v>
      </c>
      <c r="J1830" s="15">
        <v>6.666666666666667</v>
      </c>
    </row>
    <row r="1831" spans="1:10" x14ac:dyDescent="0.25">
      <c r="A1831" s="2" t="s">
        <v>5489</v>
      </c>
      <c r="B1831" s="2" t="s">
        <v>5490</v>
      </c>
      <c r="C1831" s="2" t="s">
        <v>5491</v>
      </c>
      <c r="D1831" s="2" t="s">
        <v>10049</v>
      </c>
      <c r="E1831" s="15">
        <v>6.7400000000000002E-2</v>
      </c>
      <c r="F1831" s="15">
        <v>4.1799999999999997E-2</v>
      </c>
      <c r="G1831" s="15">
        <v>0.1067</v>
      </c>
      <c r="H1831" s="15">
        <v>0.1898</v>
      </c>
      <c r="I1831" s="15">
        <v>2.1600000000000001E-2</v>
      </c>
      <c r="J1831" s="15">
        <v>9.5490196078431371</v>
      </c>
    </row>
    <row r="1832" spans="1:10" x14ac:dyDescent="0.25">
      <c r="A1832" s="2" t="s">
        <v>5492</v>
      </c>
      <c r="B1832" s="2" t="s">
        <v>5493</v>
      </c>
      <c r="C1832" s="2" t="s">
        <v>5494</v>
      </c>
      <c r="D1832" s="2" t="s">
        <v>10049</v>
      </c>
      <c r="E1832" s="15">
        <v>5.3800000000000001E-2</v>
      </c>
      <c r="F1832" s="15">
        <v>4.19E-2</v>
      </c>
      <c r="G1832" s="15">
        <v>0.19950000000000001</v>
      </c>
      <c r="H1832" s="15">
        <v>0.18959999999999999</v>
      </c>
      <c r="I1832" s="15">
        <v>1.95E-2</v>
      </c>
      <c r="J1832" s="15">
        <v>10.917127071823201</v>
      </c>
    </row>
    <row r="1833" spans="1:10" x14ac:dyDescent="0.25">
      <c r="A1833" s="2" t="s">
        <v>5495</v>
      </c>
      <c r="B1833" s="2" t="s">
        <v>5496</v>
      </c>
      <c r="C1833" s="2" t="s">
        <v>5497</v>
      </c>
      <c r="D1833" s="2" t="s">
        <v>10049</v>
      </c>
      <c r="E1833" s="15">
        <v>1.01E-2</v>
      </c>
      <c r="F1833" s="15">
        <v>4.4699999999999997E-2</v>
      </c>
      <c r="G1833" s="15">
        <v>0.82140000000000002</v>
      </c>
      <c r="H1833" s="15">
        <v>0.20150000000000001</v>
      </c>
      <c r="I1833" s="15">
        <v>2.29E-2</v>
      </c>
      <c r="J1833" s="15">
        <v>9.9813953488372107</v>
      </c>
    </row>
    <row r="1834" spans="1:10" x14ac:dyDescent="0.25">
      <c r="A1834" s="2" t="s">
        <v>5498</v>
      </c>
      <c r="B1834" s="2" t="s">
        <v>5499</v>
      </c>
      <c r="C1834" s="2" t="s">
        <v>5500</v>
      </c>
      <c r="D1834" s="2" t="s">
        <v>10049</v>
      </c>
      <c r="E1834" s="15">
        <v>3.3399999999999999E-2</v>
      </c>
      <c r="F1834" s="15">
        <v>4.1599999999999998E-2</v>
      </c>
      <c r="G1834" s="15">
        <v>0.42170000000000002</v>
      </c>
      <c r="H1834" s="15">
        <v>0.2399</v>
      </c>
      <c r="I1834" s="15">
        <v>2.4799999999999999E-2</v>
      </c>
      <c r="J1834" s="15">
        <v>10.251968503937009</v>
      </c>
    </row>
    <row r="1835" spans="1:10" x14ac:dyDescent="0.25">
      <c r="A1835" s="2" t="s">
        <v>5501</v>
      </c>
      <c r="B1835" s="2" t="s">
        <v>5502</v>
      </c>
      <c r="C1835" s="2" t="s">
        <v>5503</v>
      </c>
      <c r="D1835" s="2" t="s">
        <v>10049</v>
      </c>
      <c r="E1835" s="15">
        <v>6.8099999999999994E-2</v>
      </c>
      <c r="F1835" s="15">
        <v>4.36E-2</v>
      </c>
      <c r="G1835" s="15">
        <v>0.1182</v>
      </c>
      <c r="H1835" s="15">
        <v>0.22550000000000001</v>
      </c>
      <c r="I1835" s="15">
        <v>2.47E-2</v>
      </c>
      <c r="J1835" s="15">
        <v>9.8385826771653555</v>
      </c>
    </row>
    <row r="1836" spans="1:10" x14ac:dyDescent="0.25">
      <c r="A1836" s="2" t="s">
        <v>5504</v>
      </c>
      <c r="B1836" s="2" t="s">
        <v>5505</v>
      </c>
      <c r="C1836" s="2" t="s">
        <v>5506</v>
      </c>
      <c r="D1836" s="2" t="s">
        <v>10049</v>
      </c>
      <c r="E1836" s="15">
        <v>3.8100000000000002E-2</v>
      </c>
      <c r="F1836" s="15">
        <v>4.1500000000000002E-2</v>
      </c>
      <c r="G1836" s="15">
        <v>0.35949999999999999</v>
      </c>
      <c r="H1836" s="15">
        <v>0.22040000000000001</v>
      </c>
      <c r="I1836" s="15">
        <v>2.3099999999999999E-2</v>
      </c>
      <c r="J1836" s="15">
        <v>10.225</v>
      </c>
    </row>
    <row r="1837" spans="1:10" x14ac:dyDescent="0.25">
      <c r="A1837" s="2" t="s">
        <v>5507</v>
      </c>
      <c r="B1837" s="2" t="s">
        <v>5508</v>
      </c>
      <c r="C1837" s="2" t="s">
        <v>5509</v>
      </c>
      <c r="D1837" s="2" t="s">
        <v>10049</v>
      </c>
      <c r="E1837" s="15">
        <v>6.4500000000000002E-2</v>
      </c>
      <c r="F1837" s="15">
        <v>4.3400000000000001E-2</v>
      </c>
      <c r="G1837" s="15">
        <v>0.13719999999999999</v>
      </c>
      <c r="H1837" s="15">
        <v>0.22289999999999999</v>
      </c>
      <c r="I1837" s="15">
        <v>2.3099999999999999E-2</v>
      </c>
      <c r="J1837" s="15">
        <v>10.31687242798354</v>
      </c>
    </row>
    <row r="1838" spans="1:10" x14ac:dyDescent="0.25">
      <c r="A1838" s="2" t="s">
        <v>5510</v>
      </c>
      <c r="B1838" s="2" t="s">
        <v>5511</v>
      </c>
      <c r="C1838" s="2" t="s">
        <v>5512</v>
      </c>
      <c r="D1838" s="2" t="s">
        <v>10049</v>
      </c>
      <c r="E1838" s="15">
        <v>5.1499999999999997E-2</v>
      </c>
      <c r="F1838" s="15">
        <v>3.9199999999999999E-2</v>
      </c>
      <c r="G1838" s="15">
        <v>0.1893</v>
      </c>
      <c r="H1838" s="15">
        <v>0.2263</v>
      </c>
      <c r="I1838" s="15">
        <v>2.3E-2</v>
      </c>
      <c r="J1838" s="15">
        <v>10.55785123966942</v>
      </c>
    </row>
    <row r="1839" spans="1:10" x14ac:dyDescent="0.25">
      <c r="A1839" s="2" t="s">
        <v>5513</v>
      </c>
      <c r="B1839" s="2" t="s">
        <v>5514</v>
      </c>
      <c r="C1839" s="2" t="s">
        <v>5515</v>
      </c>
      <c r="D1839" s="2" t="s">
        <v>10049</v>
      </c>
      <c r="E1839" s="15">
        <v>4.1999999999999997E-3</v>
      </c>
      <c r="F1839" s="15">
        <v>4.82E-2</v>
      </c>
      <c r="G1839" s="15">
        <v>0.93059999999999998</v>
      </c>
      <c r="H1839" s="15">
        <v>0.14330000000000001</v>
      </c>
      <c r="I1839" s="15">
        <v>1.7500000000000002E-2</v>
      </c>
      <c r="J1839" s="15">
        <v>7.9606741573033704</v>
      </c>
    </row>
    <row r="1840" spans="1:10" x14ac:dyDescent="0.25">
      <c r="A1840" s="2" t="s">
        <v>5516</v>
      </c>
      <c r="B1840" s="2" t="s">
        <v>5517</v>
      </c>
      <c r="C1840" s="2" t="s">
        <v>5518</v>
      </c>
      <c r="D1840" s="2" t="s">
        <v>10049</v>
      </c>
      <c r="E1840" s="15">
        <v>3.4299999999999997E-2</v>
      </c>
      <c r="F1840" s="15">
        <v>4.5600000000000002E-2</v>
      </c>
      <c r="G1840" s="15">
        <v>0.45200000000000001</v>
      </c>
      <c r="H1840" s="15">
        <v>0.14269999999999999</v>
      </c>
      <c r="I1840" s="15">
        <v>2.1100000000000001E-2</v>
      </c>
      <c r="J1840" s="15">
        <v>7.835</v>
      </c>
    </row>
    <row r="1841" spans="1:10" x14ac:dyDescent="0.25">
      <c r="A1841" s="2" t="s">
        <v>5519</v>
      </c>
      <c r="B1841" s="2" t="s">
        <v>5520</v>
      </c>
      <c r="C1841" s="2" t="s">
        <v>5521</v>
      </c>
      <c r="D1841" s="2" t="s">
        <v>10049</v>
      </c>
      <c r="E1841" s="15">
        <v>8.7300000000000003E-2</v>
      </c>
      <c r="F1841" s="15">
        <v>4.87E-2</v>
      </c>
      <c r="G1841" s="15">
        <v>7.2900000000000006E-2</v>
      </c>
      <c r="H1841" s="15">
        <v>0.14990000000000001</v>
      </c>
      <c r="I1841" s="15">
        <v>2.07E-2</v>
      </c>
      <c r="J1841" s="15">
        <v>8.4183673469387763</v>
      </c>
    </row>
    <row r="1842" spans="1:10" x14ac:dyDescent="0.25">
      <c r="A1842" s="2" t="s">
        <v>5522</v>
      </c>
      <c r="B1842" s="2" t="s">
        <v>5523</v>
      </c>
      <c r="C1842" s="2" t="s">
        <v>5524</v>
      </c>
      <c r="D1842" s="2" t="s">
        <v>10049</v>
      </c>
      <c r="E1842" s="15">
        <v>0.1411</v>
      </c>
      <c r="F1842" s="15">
        <v>4.9099999999999998E-2</v>
      </c>
      <c r="G1842" s="15">
        <v>4.0000000000000001E-3</v>
      </c>
      <c r="H1842" s="15">
        <v>0.1817</v>
      </c>
      <c r="I1842" s="15">
        <v>2.23E-2</v>
      </c>
      <c r="J1842" s="15">
        <v>8.4976744186046513</v>
      </c>
    </row>
    <row r="1843" spans="1:10" x14ac:dyDescent="0.25">
      <c r="A1843" s="2" t="s">
        <v>5525</v>
      </c>
      <c r="B1843" s="2" t="s">
        <v>5526</v>
      </c>
      <c r="C1843" s="2" t="s">
        <v>5527</v>
      </c>
      <c r="D1843" s="2" t="s">
        <v>10049</v>
      </c>
      <c r="E1843" s="15">
        <v>8.1900000000000001E-2</v>
      </c>
      <c r="F1843" s="15">
        <v>4.5499999999999999E-2</v>
      </c>
      <c r="G1843" s="15">
        <v>7.1599999999999997E-2</v>
      </c>
      <c r="H1843" s="15">
        <v>0.14979999999999999</v>
      </c>
      <c r="I1843" s="15">
        <v>1.9099999999999999E-2</v>
      </c>
      <c r="J1843" s="15">
        <v>8.3149999999999995</v>
      </c>
    </row>
    <row r="1844" spans="1:10" x14ac:dyDescent="0.25">
      <c r="A1844" s="2" t="s">
        <v>5528</v>
      </c>
      <c r="B1844" s="2" t="s">
        <v>5529</v>
      </c>
      <c r="C1844" s="2" t="s">
        <v>5530</v>
      </c>
      <c r="D1844" s="2" t="s">
        <v>10049</v>
      </c>
      <c r="E1844" s="15">
        <v>5.9799999999999999E-2</v>
      </c>
      <c r="F1844" s="15">
        <v>3.6400000000000002E-2</v>
      </c>
      <c r="G1844" s="15">
        <v>9.9900000000000003E-2</v>
      </c>
      <c r="H1844" s="15">
        <v>0.3054</v>
      </c>
      <c r="I1844" s="15">
        <v>2.93E-2</v>
      </c>
      <c r="J1844" s="15">
        <v>12.039855072463769</v>
      </c>
    </row>
    <row r="1845" spans="1:10" x14ac:dyDescent="0.25">
      <c r="A1845" s="2" t="s">
        <v>5531</v>
      </c>
      <c r="B1845" s="2" t="s">
        <v>5532</v>
      </c>
      <c r="C1845" s="2" t="s">
        <v>5533</v>
      </c>
      <c r="D1845" s="2" t="s">
        <v>10049</v>
      </c>
      <c r="E1845" s="15">
        <v>6.1100000000000002E-2</v>
      </c>
      <c r="F1845" s="15">
        <v>3.5999999999999997E-2</v>
      </c>
      <c r="G1845" s="15">
        <v>8.9599999999999999E-2</v>
      </c>
      <c r="H1845" s="15">
        <v>0.3039</v>
      </c>
      <c r="I1845" s="15">
        <v>2.8199999999999999E-2</v>
      </c>
      <c r="J1845" s="15">
        <v>12.20664206642066</v>
      </c>
    </row>
    <row r="1846" spans="1:10" x14ac:dyDescent="0.25">
      <c r="A1846" s="2" t="s">
        <v>5534</v>
      </c>
      <c r="B1846" s="2" t="s">
        <v>5535</v>
      </c>
      <c r="C1846" s="2" t="s">
        <v>5536</v>
      </c>
      <c r="D1846" s="2" t="s">
        <v>10049</v>
      </c>
      <c r="E1846" s="15">
        <v>7.22E-2</v>
      </c>
      <c r="F1846" s="15">
        <v>4.2999999999999997E-2</v>
      </c>
      <c r="G1846" s="15">
        <v>9.3299999999999994E-2</v>
      </c>
      <c r="H1846" s="15">
        <v>0.21210000000000001</v>
      </c>
      <c r="I1846" s="15">
        <v>2.18E-2</v>
      </c>
      <c r="J1846" s="15">
        <v>11.30769230769231</v>
      </c>
    </row>
    <row r="1847" spans="1:10" x14ac:dyDescent="0.25">
      <c r="A1847" s="2" t="s">
        <v>5537</v>
      </c>
      <c r="B1847" s="2" t="s">
        <v>5538</v>
      </c>
      <c r="C1847" s="2" t="s">
        <v>5539</v>
      </c>
      <c r="D1847" s="2" t="s">
        <v>10049</v>
      </c>
      <c r="E1847" s="15">
        <v>5.6599999999999998E-2</v>
      </c>
      <c r="F1847" s="15">
        <v>3.7600000000000001E-2</v>
      </c>
      <c r="G1847" s="15">
        <v>0.1326</v>
      </c>
      <c r="H1847" s="15">
        <v>0.25009999999999999</v>
      </c>
      <c r="I1847" s="15">
        <v>2.2800000000000001E-2</v>
      </c>
      <c r="J1847" s="15">
        <v>12.433179723502301</v>
      </c>
    </row>
    <row r="1848" spans="1:10" x14ac:dyDescent="0.25">
      <c r="A1848" s="2" t="s">
        <v>5540</v>
      </c>
      <c r="B1848" s="2" t="s">
        <v>5541</v>
      </c>
      <c r="C1848" s="2" t="s">
        <v>5542</v>
      </c>
      <c r="D1848" s="2" t="s">
        <v>10049</v>
      </c>
      <c r="E1848" s="15">
        <v>2.4299999999999999E-2</v>
      </c>
      <c r="F1848" s="15">
        <v>3.85E-2</v>
      </c>
      <c r="G1848" s="15">
        <v>0.52869999999999995</v>
      </c>
      <c r="H1848" s="15">
        <v>0.22040000000000001</v>
      </c>
      <c r="I1848" s="15">
        <v>2.4199999999999999E-2</v>
      </c>
      <c r="J1848" s="15">
        <v>10.36796536796537</v>
      </c>
    </row>
    <row r="1849" spans="1:10" x14ac:dyDescent="0.25">
      <c r="A1849" s="2" t="s">
        <v>5543</v>
      </c>
      <c r="B1849" s="2" t="s">
        <v>5544</v>
      </c>
      <c r="C1849" s="2" t="s">
        <v>5545</v>
      </c>
      <c r="D1849" s="2" t="s">
        <v>10049</v>
      </c>
      <c r="E1849" s="15">
        <v>3.2000000000000002E-3</v>
      </c>
      <c r="F1849" s="15">
        <v>3.85E-2</v>
      </c>
      <c r="G1849" s="15">
        <v>0.93330000000000002</v>
      </c>
      <c r="H1849" s="15">
        <v>0.23710000000000001</v>
      </c>
      <c r="I1849" s="15">
        <v>2.4500000000000001E-2</v>
      </c>
      <c r="J1849" s="15">
        <v>10.67782426778242</v>
      </c>
    </row>
    <row r="1850" spans="1:10" x14ac:dyDescent="0.25">
      <c r="A1850" s="2" t="s">
        <v>5546</v>
      </c>
      <c r="B1850" s="2" t="s">
        <v>5547</v>
      </c>
      <c r="C1850" s="2" t="s">
        <v>5548</v>
      </c>
      <c r="D1850" s="2" t="s">
        <v>10049</v>
      </c>
      <c r="E1850" s="15">
        <v>-3.2599999999999997E-2</v>
      </c>
      <c r="F1850" s="15">
        <v>4.8800000000000003E-2</v>
      </c>
      <c r="G1850" s="15">
        <v>0.50449999999999995</v>
      </c>
      <c r="H1850" s="15">
        <v>0.14249999999999999</v>
      </c>
      <c r="I1850" s="15">
        <v>2.1000000000000001E-2</v>
      </c>
      <c r="J1850" s="15">
        <v>7.4306220095693787</v>
      </c>
    </row>
    <row r="1851" spans="1:10" x14ac:dyDescent="0.25">
      <c r="A1851" s="2" t="s">
        <v>5549</v>
      </c>
      <c r="B1851" s="2" t="s">
        <v>5550</v>
      </c>
      <c r="C1851" s="2" t="s">
        <v>5551</v>
      </c>
      <c r="D1851" s="2" t="s">
        <v>10049</v>
      </c>
      <c r="E1851" s="15">
        <v>1.2500000000000001E-2</v>
      </c>
      <c r="F1851" s="15">
        <v>4.82E-2</v>
      </c>
      <c r="G1851" s="15">
        <v>0.79520000000000002</v>
      </c>
      <c r="H1851" s="15">
        <v>0.13589999999999999</v>
      </c>
      <c r="I1851" s="15">
        <v>1.9400000000000001E-2</v>
      </c>
      <c r="J1851" s="15">
        <v>8.4095744680851059</v>
      </c>
    </row>
    <row r="1852" spans="1:10" x14ac:dyDescent="0.25">
      <c r="A1852" s="2" t="s">
        <v>5552</v>
      </c>
      <c r="B1852" s="2" t="s">
        <v>5553</v>
      </c>
      <c r="C1852" s="2" t="s">
        <v>5554</v>
      </c>
      <c r="D1852" s="2" t="s">
        <v>10049</v>
      </c>
      <c r="E1852" s="15">
        <v>1.7999999999999999E-2</v>
      </c>
      <c r="F1852" s="15">
        <v>3.6999999999999998E-2</v>
      </c>
      <c r="G1852" s="15">
        <v>0.62739999999999996</v>
      </c>
      <c r="H1852" s="15">
        <v>0.24210000000000001</v>
      </c>
      <c r="I1852" s="15">
        <v>2.7799999999999998E-2</v>
      </c>
      <c r="J1852" s="15">
        <v>10.194444444444439</v>
      </c>
    </row>
    <row r="1853" spans="1:10" x14ac:dyDescent="0.25">
      <c r="A1853" s="2" t="s">
        <v>5555</v>
      </c>
      <c r="B1853" s="2" t="s">
        <v>5556</v>
      </c>
      <c r="C1853" s="2" t="s">
        <v>5557</v>
      </c>
      <c r="D1853" s="2" t="s">
        <v>10049</v>
      </c>
      <c r="E1853" s="15">
        <v>-8.6E-3</v>
      </c>
      <c r="F1853" s="15">
        <v>3.5400000000000001E-2</v>
      </c>
      <c r="G1853" s="15">
        <v>0.80740000000000001</v>
      </c>
      <c r="H1853" s="15">
        <v>0.24879999999999999</v>
      </c>
      <c r="I1853" s="15">
        <v>2.58E-2</v>
      </c>
      <c r="J1853" s="15">
        <v>10.516129032258061</v>
      </c>
    </row>
    <row r="1854" spans="1:10" x14ac:dyDescent="0.25">
      <c r="A1854" s="2" t="s">
        <v>5558</v>
      </c>
      <c r="B1854" s="2" t="s">
        <v>5559</v>
      </c>
      <c r="C1854" s="2" t="s">
        <v>5560</v>
      </c>
      <c r="D1854" s="2" t="s">
        <v>10049</v>
      </c>
      <c r="E1854" s="15">
        <v>9.2999999999999992E-3</v>
      </c>
      <c r="F1854" s="15">
        <v>4.1200000000000001E-2</v>
      </c>
      <c r="G1854" s="15">
        <v>0.82079999999999997</v>
      </c>
      <c r="H1854" s="15">
        <v>0.251</v>
      </c>
      <c r="I1854" s="15">
        <v>2.6100000000000002E-2</v>
      </c>
      <c r="J1854" s="15">
        <v>10.560975609756101</v>
      </c>
    </row>
    <row r="1855" spans="1:10" x14ac:dyDescent="0.25">
      <c r="A1855" s="2" t="s">
        <v>5561</v>
      </c>
      <c r="B1855" s="2" t="s">
        <v>5562</v>
      </c>
      <c r="C1855" s="2" t="s">
        <v>5563</v>
      </c>
      <c r="D1855" s="2" t="s">
        <v>10049</v>
      </c>
      <c r="E1855" s="15">
        <v>2.98E-2</v>
      </c>
      <c r="F1855" s="15">
        <v>4.5199999999999997E-2</v>
      </c>
      <c r="G1855" s="15">
        <v>0.50939999999999996</v>
      </c>
      <c r="H1855" s="15">
        <v>0.26050000000000001</v>
      </c>
      <c r="I1855" s="15">
        <v>2.3400000000000001E-2</v>
      </c>
      <c r="J1855" s="15">
        <v>11.605150214592269</v>
      </c>
    </row>
    <row r="1856" spans="1:10" x14ac:dyDescent="0.25">
      <c r="A1856" s="2" t="s">
        <v>5564</v>
      </c>
      <c r="B1856" s="2" t="s">
        <v>5565</v>
      </c>
      <c r="C1856" s="2" t="s">
        <v>5566</v>
      </c>
      <c r="D1856" s="2" t="s">
        <v>10049</v>
      </c>
      <c r="E1856" s="15">
        <v>-9.1999999999999998E-2</v>
      </c>
      <c r="F1856" s="15">
        <v>5.6399999999999999E-2</v>
      </c>
      <c r="G1856" s="15">
        <v>0.1026</v>
      </c>
      <c r="H1856" s="15">
        <v>0.12230000000000001</v>
      </c>
      <c r="I1856" s="15">
        <v>1.7399999999999999E-2</v>
      </c>
      <c r="J1856" s="15">
        <v>7.4715909090909092</v>
      </c>
    </row>
    <row r="1857" spans="1:10" x14ac:dyDescent="0.25">
      <c r="A1857" s="2" t="s">
        <v>5567</v>
      </c>
      <c r="B1857" s="2" t="s">
        <v>5568</v>
      </c>
      <c r="C1857" s="2" t="s">
        <v>5569</v>
      </c>
      <c r="D1857" s="2" t="s">
        <v>10049</v>
      </c>
      <c r="E1857" s="15">
        <v>-7.9699999999999993E-2</v>
      </c>
      <c r="F1857" s="15">
        <v>5.2900000000000003E-2</v>
      </c>
      <c r="G1857" s="15">
        <v>0.1321</v>
      </c>
      <c r="H1857" s="15">
        <v>0.13880000000000001</v>
      </c>
      <c r="I1857" s="15">
        <v>1.8100000000000002E-2</v>
      </c>
      <c r="J1857" s="15">
        <v>8.2817679558011044</v>
      </c>
    </row>
    <row r="1858" spans="1:10" x14ac:dyDescent="0.25">
      <c r="A1858" s="2" t="s">
        <v>5570</v>
      </c>
      <c r="B1858" s="2" t="s">
        <v>5571</v>
      </c>
      <c r="C1858" s="2" t="s">
        <v>5572</v>
      </c>
      <c r="D1858" s="2" t="s">
        <v>10049</v>
      </c>
      <c r="E1858" s="15">
        <v>-6.9000000000000006E-2</v>
      </c>
      <c r="F1858" s="15">
        <v>4.0899999999999999E-2</v>
      </c>
      <c r="G1858" s="15">
        <v>9.1300000000000006E-2</v>
      </c>
      <c r="H1858" s="15">
        <v>0.18870000000000001</v>
      </c>
      <c r="I1858" s="15">
        <v>2.3400000000000001E-2</v>
      </c>
      <c r="J1858" s="15">
        <v>8.8687782805429869</v>
      </c>
    </row>
    <row r="1859" spans="1:10" x14ac:dyDescent="0.25">
      <c r="A1859" s="2" t="s">
        <v>5573</v>
      </c>
      <c r="B1859" s="2" t="s">
        <v>5574</v>
      </c>
      <c r="C1859" s="2" t="s">
        <v>5575</v>
      </c>
      <c r="D1859" s="2" t="s">
        <v>10049</v>
      </c>
      <c r="E1859" s="15">
        <v>-5.2999999999999999E-2</v>
      </c>
      <c r="F1859" s="15">
        <v>4.3099999999999999E-2</v>
      </c>
      <c r="G1859" s="15">
        <v>0.2185</v>
      </c>
      <c r="H1859" s="15">
        <v>0.18720000000000001</v>
      </c>
      <c r="I1859" s="15">
        <v>2.18E-2</v>
      </c>
      <c r="J1859" s="15">
        <v>9.4854368932038824</v>
      </c>
    </row>
    <row r="1860" spans="1:10" x14ac:dyDescent="0.25">
      <c r="A1860" s="2" t="s">
        <v>5576</v>
      </c>
      <c r="B1860" s="2" t="s">
        <v>5577</v>
      </c>
      <c r="C1860" s="2" t="s">
        <v>5578</v>
      </c>
      <c r="D1860" s="2" t="s">
        <v>10049</v>
      </c>
      <c r="E1860" s="15">
        <v>9.4999999999999998E-3</v>
      </c>
      <c r="F1860" s="15">
        <v>4.1000000000000002E-2</v>
      </c>
      <c r="G1860" s="15">
        <v>0.8175</v>
      </c>
      <c r="H1860" s="15">
        <v>0.20430000000000001</v>
      </c>
      <c r="I1860" s="15">
        <v>2.2700000000000001E-2</v>
      </c>
      <c r="J1860" s="15">
        <v>10.25229357798165</v>
      </c>
    </row>
    <row r="1861" spans="1:10" x14ac:dyDescent="0.25">
      <c r="A1861" s="2" t="s">
        <v>5579</v>
      </c>
      <c r="B1861" s="2" t="s">
        <v>5580</v>
      </c>
      <c r="C1861" s="2" t="s">
        <v>5581</v>
      </c>
      <c r="D1861" s="2" t="s">
        <v>10049</v>
      </c>
      <c r="E1861" s="15">
        <v>1.09E-2</v>
      </c>
      <c r="F1861" s="15">
        <v>4.1200000000000001E-2</v>
      </c>
      <c r="G1861" s="15">
        <v>0.7923</v>
      </c>
      <c r="H1861" s="15">
        <v>0.2555</v>
      </c>
      <c r="I1861" s="15">
        <v>3.04E-2</v>
      </c>
      <c r="J1861" s="15">
        <v>9.7364620938628157</v>
      </c>
    </row>
    <row r="1862" spans="1:10" x14ac:dyDescent="0.25">
      <c r="A1862" s="2" t="s">
        <v>5582</v>
      </c>
      <c r="B1862" s="2" t="s">
        <v>5583</v>
      </c>
      <c r="C1862" s="2" t="s">
        <v>5584</v>
      </c>
      <c r="D1862" s="2" t="s">
        <v>10049</v>
      </c>
      <c r="E1862" s="15">
        <v>1.7600000000000001E-2</v>
      </c>
      <c r="F1862" s="15">
        <v>4.07E-2</v>
      </c>
      <c r="G1862" s="15">
        <v>0.66600000000000004</v>
      </c>
      <c r="H1862" s="15">
        <v>0.25140000000000001</v>
      </c>
      <c r="I1862" s="15">
        <v>2.8000000000000001E-2</v>
      </c>
      <c r="J1862" s="15">
        <v>9.5368421052631565</v>
      </c>
    </row>
    <row r="1863" spans="1:10" x14ac:dyDescent="0.25">
      <c r="A1863" s="2" t="s">
        <v>5585</v>
      </c>
      <c r="B1863" s="2" t="s">
        <v>5586</v>
      </c>
      <c r="C1863" s="2" t="s">
        <v>5587</v>
      </c>
      <c r="D1863" s="2" t="s">
        <v>10049</v>
      </c>
      <c r="E1863" s="15">
        <v>1.11E-2</v>
      </c>
      <c r="F1863" s="15">
        <v>3.5900000000000001E-2</v>
      </c>
      <c r="G1863" s="15">
        <v>0.75790000000000002</v>
      </c>
      <c r="H1863" s="15">
        <v>0.27210000000000001</v>
      </c>
      <c r="I1863" s="15">
        <v>2.7400000000000001E-2</v>
      </c>
      <c r="J1863" s="15">
        <v>10.11538461538461</v>
      </c>
    </row>
    <row r="1864" spans="1:10" x14ac:dyDescent="0.25">
      <c r="A1864" s="2" t="s">
        <v>5588</v>
      </c>
      <c r="B1864" s="2" t="s">
        <v>5589</v>
      </c>
      <c r="C1864" s="2" t="s">
        <v>5590</v>
      </c>
      <c r="D1864" s="2" t="s">
        <v>10049</v>
      </c>
      <c r="E1864" s="15">
        <v>-2.8E-3</v>
      </c>
      <c r="F1864" s="15">
        <v>4.0500000000000001E-2</v>
      </c>
      <c r="G1864" s="15">
        <v>0.94589999999999996</v>
      </c>
      <c r="H1864" s="15">
        <v>0.25009999999999999</v>
      </c>
      <c r="I1864" s="15">
        <v>2.6800000000000001E-2</v>
      </c>
      <c r="J1864" s="15">
        <v>9.7697841726618719</v>
      </c>
    </row>
    <row r="1865" spans="1:10" x14ac:dyDescent="0.25">
      <c r="A1865" s="2" t="s">
        <v>5591</v>
      </c>
      <c r="B1865" s="2" t="s">
        <v>5592</v>
      </c>
      <c r="C1865" s="2" t="s">
        <v>5593</v>
      </c>
      <c r="D1865" s="2" t="s">
        <v>10049</v>
      </c>
      <c r="E1865" s="15">
        <v>7.7999999999999996E-3</v>
      </c>
      <c r="F1865" s="15">
        <v>3.7600000000000001E-2</v>
      </c>
      <c r="G1865" s="15">
        <v>0.83579999999999999</v>
      </c>
      <c r="H1865" s="15">
        <v>0.26369999999999999</v>
      </c>
      <c r="I1865" s="15">
        <v>2.7400000000000001E-2</v>
      </c>
      <c r="J1865" s="15">
        <v>9.9049295774647881</v>
      </c>
    </row>
    <row r="1866" spans="1:10" x14ac:dyDescent="0.25">
      <c r="A1866" s="2" t="s">
        <v>5594</v>
      </c>
      <c r="B1866" s="2" t="s">
        <v>5595</v>
      </c>
      <c r="C1866" s="2" t="s">
        <v>5596</v>
      </c>
      <c r="D1866" s="2" t="s">
        <v>10049</v>
      </c>
      <c r="E1866" s="15">
        <v>-3.0099999999999998E-2</v>
      </c>
      <c r="F1866" s="15">
        <v>5.79E-2</v>
      </c>
      <c r="G1866" s="15">
        <v>0.60319999999999996</v>
      </c>
      <c r="H1866" s="15">
        <v>9.4899999999999998E-2</v>
      </c>
      <c r="I1866" s="15">
        <v>1.7399999999999999E-2</v>
      </c>
      <c r="J1866" s="15">
        <v>5.2325581395348832</v>
      </c>
    </row>
    <row r="1867" spans="1:10" x14ac:dyDescent="0.25">
      <c r="A1867" s="2" t="s">
        <v>5597</v>
      </c>
      <c r="B1867" s="2" t="s">
        <v>5598</v>
      </c>
      <c r="C1867" s="2" t="s">
        <v>5599</v>
      </c>
      <c r="D1867" s="2" t="s">
        <v>10049</v>
      </c>
      <c r="E1867" s="15">
        <v>-5.4699999999999999E-2</v>
      </c>
      <c r="F1867" s="15">
        <v>5.1700000000000003E-2</v>
      </c>
      <c r="G1867" s="15">
        <v>0.29089999999999999</v>
      </c>
      <c r="H1867" s="15">
        <v>9.5200000000000007E-2</v>
      </c>
      <c r="I1867" s="15">
        <v>1.5699999999999999E-2</v>
      </c>
      <c r="J1867" s="15">
        <v>6.5838926174496653</v>
      </c>
    </row>
    <row r="1868" spans="1:10" x14ac:dyDescent="0.25">
      <c r="A1868" s="2" t="s">
        <v>5600</v>
      </c>
      <c r="B1868" s="2" t="s">
        <v>5601</v>
      </c>
      <c r="C1868" s="2" t="s">
        <v>5602</v>
      </c>
      <c r="D1868" s="2" t="s">
        <v>10049</v>
      </c>
      <c r="E1868" s="15">
        <v>5.9999999999999995E-4</v>
      </c>
      <c r="F1868" s="15">
        <v>4.7800000000000002E-2</v>
      </c>
      <c r="G1868" s="15">
        <v>0.98939999999999995</v>
      </c>
      <c r="H1868" s="15">
        <v>0.1057</v>
      </c>
      <c r="I1868" s="15">
        <v>1.5699999999999999E-2</v>
      </c>
      <c r="J1868" s="15">
        <v>6.9245283018867916</v>
      </c>
    </row>
    <row r="1869" spans="1:10" x14ac:dyDescent="0.25">
      <c r="A1869" s="2" t="s">
        <v>5603</v>
      </c>
      <c r="B1869" s="2" t="s">
        <v>5604</v>
      </c>
      <c r="C1869" s="2" t="s">
        <v>5605</v>
      </c>
      <c r="D1869" s="2" t="s">
        <v>10049</v>
      </c>
      <c r="E1869" s="15">
        <v>8.43E-2</v>
      </c>
      <c r="F1869" s="15">
        <v>4.7800000000000002E-2</v>
      </c>
      <c r="G1869" s="15">
        <v>7.7499999999999999E-2</v>
      </c>
      <c r="H1869" s="15">
        <v>0.17230000000000001</v>
      </c>
      <c r="I1869" s="15">
        <v>2.1100000000000001E-2</v>
      </c>
      <c r="J1869" s="15">
        <v>8.6618357487922708</v>
      </c>
    </row>
    <row r="1870" spans="1:10" x14ac:dyDescent="0.25">
      <c r="A1870" s="2" t="s">
        <v>5606</v>
      </c>
      <c r="B1870" s="2" t="s">
        <v>5607</v>
      </c>
      <c r="C1870" s="2" t="s">
        <v>5608</v>
      </c>
      <c r="D1870" s="2" t="s">
        <v>10049</v>
      </c>
      <c r="E1870" s="15">
        <v>3.2899999999999999E-2</v>
      </c>
      <c r="F1870" s="15">
        <v>4.5199999999999997E-2</v>
      </c>
      <c r="G1870" s="15">
        <v>0.46729999999999999</v>
      </c>
      <c r="H1870" s="15">
        <v>0.18529999999999999</v>
      </c>
      <c r="I1870" s="15">
        <v>2.2599999999999999E-2</v>
      </c>
      <c r="J1870" s="15">
        <v>8.9318181818181834</v>
      </c>
    </row>
    <row r="1871" spans="1:10" x14ac:dyDescent="0.25">
      <c r="A1871" s="2" t="s">
        <v>5609</v>
      </c>
      <c r="B1871" s="2" t="s">
        <v>5610</v>
      </c>
      <c r="C1871" s="2" t="s">
        <v>5611</v>
      </c>
      <c r="D1871" s="2" t="s">
        <v>10049</v>
      </c>
      <c r="E1871" s="15">
        <v>-4.1000000000000003E-3</v>
      </c>
      <c r="F1871" s="15">
        <v>3.61E-2</v>
      </c>
      <c r="G1871" s="15">
        <v>0.90890000000000004</v>
      </c>
      <c r="H1871" s="15">
        <v>0.31730000000000003</v>
      </c>
      <c r="I1871" s="15">
        <v>2.9499999999999998E-2</v>
      </c>
      <c r="J1871" s="15">
        <v>11.87543252595156</v>
      </c>
    </row>
    <row r="1872" spans="1:10" x14ac:dyDescent="0.25">
      <c r="A1872" s="2" t="s">
        <v>5612</v>
      </c>
      <c r="B1872" s="2" t="s">
        <v>5613</v>
      </c>
      <c r="C1872" s="2" t="s">
        <v>5614</v>
      </c>
      <c r="D1872" s="2" t="s">
        <v>10049</v>
      </c>
      <c r="E1872" s="15">
        <v>2.8E-3</v>
      </c>
      <c r="F1872" s="15">
        <v>3.5400000000000001E-2</v>
      </c>
      <c r="G1872" s="15">
        <v>0.93810000000000004</v>
      </c>
      <c r="H1872" s="15">
        <v>0.31740000000000002</v>
      </c>
      <c r="I1872" s="15">
        <v>3.0300000000000001E-2</v>
      </c>
      <c r="J1872" s="15">
        <v>11.61168384879725</v>
      </c>
    </row>
    <row r="1873" spans="1:10" x14ac:dyDescent="0.25">
      <c r="A1873" s="2" t="s">
        <v>5615</v>
      </c>
      <c r="B1873" s="2" t="s">
        <v>5616</v>
      </c>
      <c r="C1873" s="2" t="s">
        <v>5617</v>
      </c>
      <c r="D1873" s="2" t="s">
        <v>10049</v>
      </c>
      <c r="E1873" s="15">
        <v>-6.5100000000000005E-2</v>
      </c>
      <c r="F1873" s="15">
        <v>4.1399999999999999E-2</v>
      </c>
      <c r="G1873" s="15">
        <v>0.1164</v>
      </c>
      <c r="H1873" s="15">
        <v>0.22090000000000001</v>
      </c>
      <c r="I1873" s="15">
        <v>2.64E-2</v>
      </c>
      <c r="J1873" s="15">
        <v>9.3167938931297716</v>
      </c>
    </row>
    <row r="1874" spans="1:10" x14ac:dyDescent="0.25">
      <c r="A1874" s="2" t="s">
        <v>5618</v>
      </c>
      <c r="B1874" s="2" t="s">
        <v>5619</v>
      </c>
      <c r="C1874" s="2" t="s">
        <v>5620</v>
      </c>
      <c r="D1874" s="2" t="s">
        <v>10049</v>
      </c>
      <c r="E1874" s="15">
        <v>-5.0500000000000003E-2</v>
      </c>
      <c r="F1874" s="15">
        <v>4.2200000000000001E-2</v>
      </c>
      <c r="G1874" s="15">
        <v>0.23150000000000001</v>
      </c>
      <c r="H1874" s="15">
        <v>0.2</v>
      </c>
      <c r="I1874" s="15">
        <v>2.3199999999999998E-2</v>
      </c>
      <c r="J1874" s="15">
        <v>8.967213114754097</v>
      </c>
    </row>
    <row r="1875" spans="1:10" x14ac:dyDescent="0.25">
      <c r="A1875" s="2" t="s">
        <v>5621</v>
      </c>
      <c r="B1875" s="2" t="s">
        <v>5622</v>
      </c>
      <c r="C1875" s="2" t="s">
        <v>5623</v>
      </c>
      <c r="D1875" s="2" t="s">
        <v>10049</v>
      </c>
      <c r="E1875" s="15">
        <v>-8.0999999999999996E-3</v>
      </c>
      <c r="F1875" s="15">
        <v>4.1200000000000001E-2</v>
      </c>
      <c r="G1875" s="15">
        <v>0.84360000000000002</v>
      </c>
      <c r="H1875" s="15">
        <v>0.21329999999999999</v>
      </c>
      <c r="I1875" s="15">
        <v>2.4400000000000002E-2</v>
      </c>
      <c r="J1875" s="15">
        <v>9.5416666666666661</v>
      </c>
    </row>
    <row r="1876" spans="1:10" x14ac:dyDescent="0.25">
      <c r="A1876" s="2" t="s">
        <v>5624</v>
      </c>
      <c r="B1876" s="2" t="s">
        <v>5625</v>
      </c>
      <c r="C1876" s="2" t="s">
        <v>5626</v>
      </c>
      <c r="D1876" s="2" t="s">
        <v>10049</v>
      </c>
      <c r="E1876" s="15">
        <v>-2.81E-2</v>
      </c>
      <c r="F1876" s="15">
        <v>3.7900000000000003E-2</v>
      </c>
      <c r="G1876" s="15">
        <v>0.45779999999999998</v>
      </c>
      <c r="H1876" s="15">
        <v>0.24049999999999999</v>
      </c>
      <c r="I1876" s="15">
        <v>2.5000000000000001E-2</v>
      </c>
      <c r="J1876" s="15">
        <v>10.83057851239669</v>
      </c>
    </row>
    <row r="1877" spans="1:10" x14ac:dyDescent="0.25">
      <c r="A1877" s="2" t="s">
        <v>5627</v>
      </c>
      <c r="B1877" s="2" t="s">
        <v>5628</v>
      </c>
      <c r="C1877" s="2" t="s">
        <v>5629</v>
      </c>
      <c r="D1877" s="2" t="s">
        <v>10049</v>
      </c>
      <c r="E1877" s="15">
        <v>1.1599999999999999E-2</v>
      </c>
      <c r="F1877" s="15">
        <v>4.9099999999999998E-2</v>
      </c>
      <c r="G1877" s="15">
        <v>0.81399999999999995</v>
      </c>
      <c r="H1877" s="15">
        <v>0.16389999999999999</v>
      </c>
      <c r="I1877" s="15">
        <v>2.0299999999999999E-2</v>
      </c>
      <c r="J1877" s="15">
        <v>9.1071428571428577</v>
      </c>
    </row>
    <row r="1878" spans="1:10" x14ac:dyDescent="0.25">
      <c r="A1878" s="2" t="s">
        <v>5630</v>
      </c>
      <c r="B1878" s="2" t="s">
        <v>5631</v>
      </c>
      <c r="C1878" s="2" t="s">
        <v>5632</v>
      </c>
      <c r="D1878" s="2" t="s">
        <v>10049</v>
      </c>
      <c r="E1878" s="15">
        <v>2.53E-2</v>
      </c>
      <c r="F1878" s="15">
        <v>4.4200000000000003E-2</v>
      </c>
      <c r="G1878" s="15">
        <v>0.56699999999999995</v>
      </c>
      <c r="H1878" s="15">
        <v>0.15970000000000001</v>
      </c>
      <c r="I1878" s="15">
        <v>1.7899999999999999E-2</v>
      </c>
      <c r="J1878" s="15">
        <v>9.9666666666666668</v>
      </c>
    </row>
    <row r="1879" spans="1:10" x14ac:dyDescent="0.25">
      <c r="A1879" s="2" t="s">
        <v>5633</v>
      </c>
      <c r="B1879" s="2" t="s">
        <v>5634</v>
      </c>
      <c r="C1879" s="2" t="s">
        <v>5635</v>
      </c>
      <c r="D1879" s="2" t="s">
        <v>10049</v>
      </c>
      <c r="E1879" s="15">
        <v>8.9999999999999993E-3</v>
      </c>
      <c r="F1879" s="15">
        <v>3.7699999999999997E-2</v>
      </c>
      <c r="G1879" s="15">
        <v>0.81020000000000003</v>
      </c>
      <c r="H1879" s="15">
        <v>0.24010000000000001</v>
      </c>
      <c r="I1879" s="15">
        <v>2.7900000000000001E-2</v>
      </c>
      <c r="J1879" s="15">
        <v>9.8853754940711465</v>
      </c>
    </row>
    <row r="1880" spans="1:10" x14ac:dyDescent="0.25">
      <c r="A1880" s="2" t="s">
        <v>5636</v>
      </c>
      <c r="B1880" s="2" t="s">
        <v>5637</v>
      </c>
      <c r="C1880" s="2" t="s">
        <v>5638</v>
      </c>
      <c r="D1880" s="2" t="s">
        <v>10049</v>
      </c>
      <c r="E1880" s="15">
        <v>-4.0000000000000001E-3</v>
      </c>
      <c r="F1880" s="15">
        <v>3.8600000000000002E-2</v>
      </c>
      <c r="G1880" s="15">
        <v>0.91669999999999996</v>
      </c>
      <c r="H1880" s="15">
        <v>0.24529999999999999</v>
      </c>
      <c r="I1880" s="15">
        <v>2.5999999999999999E-2</v>
      </c>
      <c r="J1880" s="15">
        <v>10.173228346456691</v>
      </c>
    </row>
    <row r="1881" spans="1:10" x14ac:dyDescent="0.25">
      <c r="A1881" s="2" t="s">
        <v>5639</v>
      </c>
      <c r="B1881" s="2" t="s">
        <v>5640</v>
      </c>
      <c r="C1881" s="2" t="s">
        <v>5641</v>
      </c>
      <c r="D1881" s="2" t="s">
        <v>10049</v>
      </c>
      <c r="E1881" s="15">
        <v>-2.1899999999999999E-2</v>
      </c>
      <c r="F1881" s="15">
        <v>4.4999999999999998E-2</v>
      </c>
      <c r="G1881" s="15">
        <v>0.62619999999999998</v>
      </c>
      <c r="H1881" s="15">
        <v>0.21299999999999999</v>
      </c>
      <c r="I1881" s="15">
        <v>2.3099999999999999E-2</v>
      </c>
      <c r="J1881" s="15">
        <v>9.8646288209606983</v>
      </c>
    </row>
    <row r="1882" spans="1:10" x14ac:dyDescent="0.25">
      <c r="A1882" s="2" t="s">
        <v>5642</v>
      </c>
      <c r="B1882" s="2" t="s">
        <v>5643</v>
      </c>
      <c r="C1882" s="2" t="s">
        <v>5644</v>
      </c>
      <c r="D1882" s="2" t="s">
        <v>10049</v>
      </c>
      <c r="E1882" s="15">
        <v>3.3300000000000003E-2</v>
      </c>
      <c r="F1882" s="15">
        <v>4.7300000000000002E-2</v>
      </c>
      <c r="G1882" s="15">
        <v>0.48080000000000001</v>
      </c>
      <c r="H1882" s="15">
        <v>0.22570000000000001</v>
      </c>
      <c r="I1882" s="15">
        <v>2.2800000000000001E-2</v>
      </c>
      <c r="J1882" s="15">
        <v>10.78125</v>
      </c>
    </row>
    <row r="1883" spans="1:10" x14ac:dyDescent="0.25">
      <c r="A1883" s="2" t="s">
        <v>5645</v>
      </c>
      <c r="B1883" s="2" t="s">
        <v>5646</v>
      </c>
      <c r="C1883" s="2" t="s">
        <v>5647</v>
      </c>
      <c r="D1883" s="2" t="s">
        <v>10049</v>
      </c>
      <c r="E1883" s="15">
        <v>-6.3299999999999995E-2</v>
      </c>
      <c r="F1883" s="15">
        <v>5.6599999999999998E-2</v>
      </c>
      <c r="G1883" s="15">
        <v>0.26329999999999998</v>
      </c>
      <c r="H1883" s="15">
        <v>0.12139999999999999</v>
      </c>
      <c r="I1883" s="15">
        <v>1.7000000000000001E-2</v>
      </c>
      <c r="J1883" s="15">
        <v>7.4476744186046506</v>
      </c>
    </row>
    <row r="1884" spans="1:10" x14ac:dyDescent="0.25">
      <c r="A1884" s="2" t="s">
        <v>5648</v>
      </c>
      <c r="B1884" s="2" t="s">
        <v>5649</v>
      </c>
      <c r="C1884" s="2" t="s">
        <v>5650</v>
      </c>
      <c r="D1884" s="2" t="s">
        <v>10049</v>
      </c>
      <c r="E1884" s="15">
        <v>-6.3E-2</v>
      </c>
      <c r="F1884" s="15">
        <v>5.4800000000000001E-2</v>
      </c>
      <c r="G1884" s="15">
        <v>0.25080000000000002</v>
      </c>
      <c r="H1884" s="15">
        <v>0.1361</v>
      </c>
      <c r="I1884" s="15">
        <v>1.78E-2</v>
      </c>
      <c r="J1884" s="15">
        <v>8.2215909090909083</v>
      </c>
    </row>
    <row r="1885" spans="1:10" x14ac:dyDescent="0.25">
      <c r="A1885" s="2" t="s">
        <v>5651</v>
      </c>
      <c r="B1885" s="2" t="s">
        <v>5652</v>
      </c>
      <c r="C1885" s="2" t="s">
        <v>5653</v>
      </c>
      <c r="D1885" s="2" t="s">
        <v>10049</v>
      </c>
      <c r="E1885" s="15">
        <v>-4.5499999999999999E-2</v>
      </c>
      <c r="F1885" s="15">
        <v>4.36E-2</v>
      </c>
      <c r="G1885" s="15">
        <v>0.29630000000000001</v>
      </c>
      <c r="H1885" s="15">
        <v>0.14860000000000001</v>
      </c>
      <c r="I1885" s="15">
        <v>2.0799999999999999E-2</v>
      </c>
      <c r="J1885" s="15">
        <v>7.4487804878048776</v>
      </c>
    </row>
    <row r="1886" spans="1:10" x14ac:dyDescent="0.25">
      <c r="A1886" s="2" t="s">
        <v>5654</v>
      </c>
      <c r="B1886" s="2" t="s">
        <v>5655</v>
      </c>
      <c r="C1886" s="2" t="s">
        <v>5656</v>
      </c>
      <c r="D1886" s="2" t="s">
        <v>10049</v>
      </c>
      <c r="E1886" s="15">
        <v>-2.0899999999999998E-2</v>
      </c>
      <c r="F1886" s="15">
        <v>4.3099999999999999E-2</v>
      </c>
      <c r="G1886" s="15">
        <v>0.62719999999999998</v>
      </c>
      <c r="H1886" s="15">
        <v>0.18379999999999999</v>
      </c>
      <c r="I1886" s="15">
        <v>2.1499999999999998E-2</v>
      </c>
      <c r="J1886" s="15">
        <v>9.4126213592232997</v>
      </c>
    </row>
    <row r="1887" spans="1:10" x14ac:dyDescent="0.25">
      <c r="A1887" s="2" t="s">
        <v>5657</v>
      </c>
      <c r="B1887" s="2" t="s">
        <v>5658</v>
      </c>
      <c r="C1887" s="2" t="s">
        <v>5659</v>
      </c>
      <c r="D1887" s="2" t="s">
        <v>10049</v>
      </c>
      <c r="E1887" s="15">
        <v>2.7900000000000001E-2</v>
      </c>
      <c r="F1887" s="15">
        <v>4.2099999999999999E-2</v>
      </c>
      <c r="G1887" s="15">
        <v>0.50819999999999999</v>
      </c>
      <c r="H1887" s="15">
        <v>0.20519999999999999</v>
      </c>
      <c r="I1887" s="15">
        <v>2.1999999999999999E-2</v>
      </c>
      <c r="J1887" s="15">
        <v>10.62085308056872</v>
      </c>
    </row>
    <row r="1888" spans="1:10" x14ac:dyDescent="0.25">
      <c r="A1888" s="2" t="s">
        <v>5660</v>
      </c>
      <c r="B1888" s="2" t="s">
        <v>5661</v>
      </c>
      <c r="C1888" s="2" t="s">
        <v>5662</v>
      </c>
      <c r="D1888" s="2" t="s">
        <v>10049</v>
      </c>
      <c r="E1888" s="15">
        <v>8.9999999999999998E-4</v>
      </c>
      <c r="F1888" s="15">
        <v>4.0099999999999997E-2</v>
      </c>
      <c r="G1888" s="15">
        <v>0.98209999999999997</v>
      </c>
      <c r="H1888" s="15">
        <v>0.2611</v>
      </c>
      <c r="I1888" s="15">
        <v>3.0599999999999999E-2</v>
      </c>
      <c r="J1888" s="15">
        <v>9.545774647887324</v>
      </c>
    </row>
    <row r="1889" spans="1:10" x14ac:dyDescent="0.25">
      <c r="A1889" s="2" t="s">
        <v>5663</v>
      </c>
      <c r="B1889" s="2" t="s">
        <v>5664</v>
      </c>
      <c r="C1889" s="2" t="s">
        <v>5665</v>
      </c>
      <c r="D1889" s="2" t="s">
        <v>10049</v>
      </c>
      <c r="E1889" s="15">
        <v>2.7799999999999998E-2</v>
      </c>
      <c r="F1889" s="15">
        <v>4.1099999999999998E-2</v>
      </c>
      <c r="G1889" s="15">
        <v>0.49780000000000002</v>
      </c>
      <c r="H1889" s="15">
        <v>0.26869999999999999</v>
      </c>
      <c r="I1889" s="15">
        <v>2.86E-2</v>
      </c>
      <c r="J1889" s="15">
        <v>9.8900343642611688</v>
      </c>
    </row>
    <row r="1890" spans="1:10" x14ac:dyDescent="0.25">
      <c r="A1890" s="2" t="s">
        <v>5666</v>
      </c>
      <c r="B1890" s="2" t="s">
        <v>5667</v>
      </c>
      <c r="C1890" s="2" t="s">
        <v>5668</v>
      </c>
      <c r="D1890" s="2" t="s">
        <v>10049</v>
      </c>
      <c r="E1890" s="15">
        <v>1.6199999999999999E-2</v>
      </c>
      <c r="F1890" s="15">
        <v>3.8199999999999998E-2</v>
      </c>
      <c r="G1890" s="15">
        <v>0.67190000000000005</v>
      </c>
      <c r="H1890" s="15">
        <v>0.27239999999999998</v>
      </c>
      <c r="I1890" s="15">
        <v>2.7799999999999998E-2</v>
      </c>
      <c r="J1890" s="15">
        <v>10.003389830508469</v>
      </c>
    </row>
    <row r="1891" spans="1:10" x14ac:dyDescent="0.25">
      <c r="A1891" s="2" t="s">
        <v>5669</v>
      </c>
      <c r="B1891" s="2" t="s">
        <v>5670</v>
      </c>
      <c r="C1891" s="2" t="s">
        <v>5671</v>
      </c>
      <c r="D1891" s="2" t="s">
        <v>10049</v>
      </c>
      <c r="E1891" s="15">
        <v>1.44E-2</v>
      </c>
      <c r="F1891" s="15">
        <v>4.2700000000000002E-2</v>
      </c>
      <c r="G1891" s="15">
        <v>0.73570000000000002</v>
      </c>
      <c r="H1891" s="15">
        <v>0.2601</v>
      </c>
      <c r="I1891" s="15">
        <v>2.7799999999999998E-2</v>
      </c>
      <c r="J1891" s="15">
        <v>9.6723549488054612</v>
      </c>
    </row>
    <row r="1892" spans="1:10" x14ac:dyDescent="0.25">
      <c r="A1892" s="2" t="s">
        <v>5672</v>
      </c>
      <c r="B1892" s="2" t="s">
        <v>5673</v>
      </c>
      <c r="C1892" s="2" t="s">
        <v>5674</v>
      </c>
      <c r="D1892" s="2" t="s">
        <v>10049</v>
      </c>
      <c r="E1892" s="15">
        <v>1.9599999999999999E-2</v>
      </c>
      <c r="F1892" s="15">
        <v>3.9E-2</v>
      </c>
      <c r="G1892" s="15">
        <v>0.61519999999999997</v>
      </c>
      <c r="H1892" s="15">
        <v>0.2651</v>
      </c>
      <c r="I1892" s="15">
        <v>2.7799999999999998E-2</v>
      </c>
      <c r="J1892" s="15">
        <v>9.9340277777777786</v>
      </c>
    </row>
    <row r="1893" spans="1:10" x14ac:dyDescent="0.25">
      <c r="A1893" s="2" t="s">
        <v>5675</v>
      </c>
      <c r="B1893" s="2" t="s">
        <v>5676</v>
      </c>
      <c r="C1893" s="2" t="s">
        <v>5677</v>
      </c>
      <c r="D1893" s="2" t="s">
        <v>10049</v>
      </c>
      <c r="E1893" s="15">
        <v>-4.65E-2</v>
      </c>
      <c r="F1893" s="15">
        <v>5.5599999999999997E-2</v>
      </c>
      <c r="G1893" s="15">
        <v>0.4032</v>
      </c>
      <c r="H1893" s="15">
        <v>0.1023</v>
      </c>
      <c r="I1893" s="15">
        <v>1.6199999999999999E-2</v>
      </c>
      <c r="J1893" s="15">
        <v>6.0975609756097562</v>
      </c>
    </row>
    <row r="1894" spans="1:10" x14ac:dyDescent="0.25">
      <c r="A1894" s="2" t="s">
        <v>5678</v>
      </c>
      <c r="B1894" s="2" t="s">
        <v>5679</v>
      </c>
      <c r="C1894" s="2" t="s">
        <v>5680</v>
      </c>
      <c r="D1894" s="2" t="s">
        <v>10049</v>
      </c>
      <c r="E1894" s="15">
        <v>-4.2999999999999997E-2</v>
      </c>
      <c r="F1894" s="15">
        <v>5.1799999999999999E-2</v>
      </c>
      <c r="G1894" s="15">
        <v>0.40610000000000002</v>
      </c>
      <c r="H1894" s="15">
        <v>9.5600000000000004E-2</v>
      </c>
      <c r="I1894" s="15">
        <v>1.6199999999999999E-2</v>
      </c>
      <c r="J1894" s="15">
        <v>6.3571428571428568</v>
      </c>
    </row>
    <row r="1895" spans="1:10" x14ac:dyDescent="0.25">
      <c r="A1895" s="2" t="s">
        <v>5681</v>
      </c>
      <c r="B1895" s="2" t="s">
        <v>5682</v>
      </c>
      <c r="C1895" s="2" t="s">
        <v>5683</v>
      </c>
      <c r="D1895" s="2" t="s">
        <v>10049</v>
      </c>
      <c r="E1895" s="15">
        <v>9.1999999999999998E-3</v>
      </c>
      <c r="F1895" s="15">
        <v>5.1400000000000001E-2</v>
      </c>
      <c r="G1895" s="15">
        <v>0.85840000000000005</v>
      </c>
      <c r="H1895" s="15">
        <v>9.8799999999999999E-2</v>
      </c>
      <c r="I1895" s="15">
        <v>1.5900000000000001E-2</v>
      </c>
      <c r="J1895" s="15">
        <v>6.5250000000000004</v>
      </c>
    </row>
    <row r="1896" spans="1:10" x14ac:dyDescent="0.25">
      <c r="A1896" s="2" t="s">
        <v>5684</v>
      </c>
      <c r="B1896" s="2" t="s">
        <v>5685</v>
      </c>
      <c r="C1896" s="2" t="s">
        <v>5686</v>
      </c>
      <c r="D1896" s="2" t="s">
        <v>10049</v>
      </c>
      <c r="E1896" s="15">
        <v>8.0100000000000005E-2</v>
      </c>
      <c r="F1896" s="15">
        <v>4.8000000000000001E-2</v>
      </c>
      <c r="G1896" s="15">
        <v>9.5200000000000007E-2</v>
      </c>
      <c r="H1896" s="15">
        <v>0.19789999999999999</v>
      </c>
      <c r="I1896" s="15">
        <v>2.1999999999999999E-2</v>
      </c>
      <c r="J1896" s="15">
        <v>9.3502304147465427</v>
      </c>
    </row>
    <row r="1897" spans="1:10" x14ac:dyDescent="0.25">
      <c r="A1897" s="2" t="s">
        <v>5687</v>
      </c>
      <c r="B1897" s="2" t="s">
        <v>5688</v>
      </c>
      <c r="C1897" s="2" t="s">
        <v>5689</v>
      </c>
      <c r="D1897" s="2" t="s">
        <v>10049</v>
      </c>
      <c r="E1897" s="15">
        <v>4.3499999999999997E-2</v>
      </c>
      <c r="F1897" s="15">
        <v>4.6199999999999998E-2</v>
      </c>
      <c r="G1897" s="15">
        <v>0.34670000000000001</v>
      </c>
      <c r="H1897" s="15">
        <v>0.18559999999999999</v>
      </c>
      <c r="I1897" s="15">
        <v>2.3E-2</v>
      </c>
      <c r="J1897" s="15">
        <v>8.7012987012987022</v>
      </c>
    </row>
    <row r="1898" spans="1:10" x14ac:dyDescent="0.25">
      <c r="A1898" s="2" t="s">
        <v>5690</v>
      </c>
      <c r="B1898" s="2" t="s">
        <v>5691</v>
      </c>
      <c r="C1898" s="2" t="s">
        <v>5692</v>
      </c>
      <c r="D1898" s="2" t="s">
        <v>10049</v>
      </c>
      <c r="E1898" s="15">
        <v>1.46E-2</v>
      </c>
      <c r="F1898" s="15">
        <v>3.7999999999999999E-2</v>
      </c>
      <c r="G1898" s="15">
        <v>0.6996</v>
      </c>
      <c r="H1898" s="15">
        <v>0.30120000000000002</v>
      </c>
      <c r="I1898" s="15">
        <v>3.0200000000000001E-2</v>
      </c>
      <c r="J1898" s="15">
        <v>10.97260273972603</v>
      </c>
    </row>
    <row r="1899" spans="1:10" x14ac:dyDescent="0.25">
      <c r="A1899" s="2" t="s">
        <v>5693</v>
      </c>
      <c r="B1899" s="2" t="s">
        <v>5694</v>
      </c>
      <c r="C1899" s="2" t="s">
        <v>5695</v>
      </c>
      <c r="D1899" s="2" t="s">
        <v>10049</v>
      </c>
      <c r="E1899" s="15">
        <v>2.2800000000000001E-2</v>
      </c>
      <c r="F1899" s="15">
        <v>3.6999999999999998E-2</v>
      </c>
      <c r="G1899" s="15">
        <v>0.53900000000000003</v>
      </c>
      <c r="H1899" s="15">
        <v>0.30590000000000001</v>
      </c>
      <c r="I1899" s="15">
        <v>3.1E-2</v>
      </c>
      <c r="J1899" s="15">
        <v>11.07823129251701</v>
      </c>
    </row>
    <row r="1900" spans="1:10" x14ac:dyDescent="0.25">
      <c r="A1900" s="2" t="s">
        <v>5696</v>
      </c>
      <c r="B1900" s="2" t="s">
        <v>5697</v>
      </c>
      <c r="C1900" s="2" t="s">
        <v>5698</v>
      </c>
      <c r="D1900" s="2" t="s">
        <v>10049</v>
      </c>
      <c r="E1900" s="15">
        <v>-5.4699999999999999E-2</v>
      </c>
      <c r="F1900" s="15">
        <v>4.1300000000000003E-2</v>
      </c>
      <c r="G1900" s="15">
        <v>0.18579999999999999</v>
      </c>
      <c r="H1900" s="15">
        <v>0.20469999999999999</v>
      </c>
      <c r="I1900" s="15">
        <v>2.63E-2</v>
      </c>
      <c r="J1900" s="15">
        <v>8.9800796812748995</v>
      </c>
    </row>
    <row r="1901" spans="1:10" x14ac:dyDescent="0.25">
      <c r="A1901" s="2" t="s">
        <v>5699</v>
      </c>
      <c r="B1901" s="2" t="s">
        <v>5700</v>
      </c>
      <c r="C1901" s="2" t="s">
        <v>5701</v>
      </c>
      <c r="D1901" s="2" t="s">
        <v>10049</v>
      </c>
      <c r="E1901" s="15">
        <v>-4.58E-2</v>
      </c>
      <c r="F1901" s="15">
        <v>3.9600000000000003E-2</v>
      </c>
      <c r="G1901" s="15">
        <v>0.2467</v>
      </c>
      <c r="H1901" s="15">
        <v>0.2132</v>
      </c>
      <c r="I1901" s="15">
        <v>2.52E-2</v>
      </c>
      <c r="J1901" s="15">
        <v>9.3934426229508183</v>
      </c>
    </row>
    <row r="1902" spans="1:10" x14ac:dyDescent="0.25">
      <c r="A1902" s="2" t="s">
        <v>5702</v>
      </c>
      <c r="B1902" s="2" t="s">
        <v>5703</v>
      </c>
      <c r="C1902" s="2" t="s">
        <v>5704</v>
      </c>
      <c r="D1902" s="2" t="s">
        <v>10049</v>
      </c>
      <c r="E1902" s="15">
        <v>-2.1600000000000001E-2</v>
      </c>
      <c r="F1902" s="15">
        <v>4.36E-2</v>
      </c>
      <c r="G1902" s="15">
        <v>0.62009999999999998</v>
      </c>
      <c r="H1902" s="15">
        <v>0.20799999999999999</v>
      </c>
      <c r="I1902" s="15">
        <v>2.3400000000000001E-2</v>
      </c>
      <c r="J1902" s="15">
        <v>9.573913043478262</v>
      </c>
    </row>
    <row r="1903" spans="1:10" x14ac:dyDescent="0.25">
      <c r="A1903" s="2" t="s">
        <v>5705</v>
      </c>
      <c r="B1903" s="2" t="s">
        <v>5706</v>
      </c>
      <c r="C1903" s="2" t="s">
        <v>5707</v>
      </c>
      <c r="D1903" s="2" t="s">
        <v>10049</v>
      </c>
      <c r="E1903" s="15">
        <v>-3.8800000000000001E-2</v>
      </c>
      <c r="F1903" s="15">
        <v>3.9300000000000002E-2</v>
      </c>
      <c r="G1903" s="15">
        <v>0.32429999999999998</v>
      </c>
      <c r="H1903" s="15">
        <v>0.24179999999999999</v>
      </c>
      <c r="I1903" s="15">
        <v>2.4500000000000001E-2</v>
      </c>
      <c r="J1903" s="15">
        <v>10.850622406638999</v>
      </c>
    </row>
    <row r="1904" spans="1:10" x14ac:dyDescent="0.25">
      <c r="A1904" s="2" t="s">
        <v>5708</v>
      </c>
      <c r="B1904" s="2" t="s">
        <v>5709</v>
      </c>
      <c r="C1904" s="2" t="s">
        <v>5710</v>
      </c>
      <c r="D1904" s="2" t="s">
        <v>10050</v>
      </c>
      <c r="E1904" s="15">
        <v>5.5500000000000001E-2</v>
      </c>
      <c r="F1904" s="15">
        <v>4.0099999999999997E-2</v>
      </c>
      <c r="G1904" s="15">
        <v>0.1663</v>
      </c>
      <c r="H1904" s="15">
        <v>0.29559999999999997</v>
      </c>
      <c r="I1904" s="15">
        <v>2.9600000000000001E-2</v>
      </c>
      <c r="J1904" s="15">
        <v>10.32558139534884</v>
      </c>
    </row>
    <row r="1905" spans="1:10" x14ac:dyDescent="0.25">
      <c r="A1905" s="2" t="s">
        <v>5711</v>
      </c>
      <c r="B1905" s="2" t="s">
        <v>5712</v>
      </c>
      <c r="C1905" s="2" t="s">
        <v>5713</v>
      </c>
      <c r="D1905" s="2" t="s">
        <v>10050</v>
      </c>
      <c r="E1905" s="15">
        <v>-3.2800000000000003E-2</v>
      </c>
      <c r="F1905" s="15">
        <v>5.0999999999999997E-2</v>
      </c>
      <c r="G1905" s="15">
        <v>0.52049999999999996</v>
      </c>
      <c r="H1905" s="15">
        <v>0.1706</v>
      </c>
      <c r="I1905" s="15">
        <v>2.2700000000000001E-2</v>
      </c>
      <c r="J1905" s="15">
        <v>7.9207048458149769</v>
      </c>
    </row>
    <row r="1906" spans="1:10" x14ac:dyDescent="0.25">
      <c r="A1906" s="2" t="s">
        <v>5714</v>
      </c>
      <c r="B1906" s="2" t="s">
        <v>5715</v>
      </c>
      <c r="C1906" s="2" t="s">
        <v>5716</v>
      </c>
      <c r="D1906" s="2" t="s">
        <v>10050</v>
      </c>
      <c r="E1906" s="15">
        <v>-1.72E-2</v>
      </c>
      <c r="F1906" s="15">
        <v>3.6400000000000002E-2</v>
      </c>
      <c r="G1906" s="15">
        <v>0.6371</v>
      </c>
      <c r="H1906" s="15">
        <v>0.39639999999999997</v>
      </c>
      <c r="I1906" s="15">
        <v>4.5199999999999997E-2</v>
      </c>
      <c r="J1906" s="15">
        <v>10.83844011142061</v>
      </c>
    </row>
    <row r="1907" spans="1:10" x14ac:dyDescent="0.25">
      <c r="A1907" s="2" t="s">
        <v>5717</v>
      </c>
      <c r="B1907" s="2" t="s">
        <v>5718</v>
      </c>
      <c r="C1907" s="2" t="s">
        <v>5719</v>
      </c>
      <c r="D1907" s="2" t="s">
        <v>10050</v>
      </c>
      <c r="E1907" s="15">
        <v>-1.15E-2</v>
      </c>
      <c r="F1907" s="15">
        <v>3.6700000000000003E-2</v>
      </c>
      <c r="G1907" s="15">
        <v>0.75429999999999997</v>
      </c>
      <c r="H1907" s="15">
        <v>0.37069999999999997</v>
      </c>
      <c r="I1907" s="15">
        <v>4.5100000000000001E-2</v>
      </c>
      <c r="J1907" s="15">
        <v>9.7810026385224251</v>
      </c>
    </row>
    <row r="1908" spans="1:10" x14ac:dyDescent="0.25">
      <c r="A1908" s="2" t="s">
        <v>5720</v>
      </c>
      <c r="B1908" s="2" t="s">
        <v>5721</v>
      </c>
      <c r="C1908" s="2" t="s">
        <v>5722</v>
      </c>
      <c r="D1908" s="2" t="s">
        <v>10050</v>
      </c>
      <c r="E1908" s="15">
        <v>-2.4E-2</v>
      </c>
      <c r="F1908" s="15">
        <v>3.7199999999999997E-2</v>
      </c>
      <c r="G1908" s="15">
        <v>0.51990000000000003</v>
      </c>
      <c r="H1908" s="15">
        <v>0.3448</v>
      </c>
      <c r="I1908" s="15">
        <v>3.5999999999999997E-2</v>
      </c>
      <c r="J1908" s="15">
        <v>10.788343558282209</v>
      </c>
    </row>
    <row r="1909" spans="1:10" x14ac:dyDescent="0.25">
      <c r="A1909" s="2" t="s">
        <v>5723</v>
      </c>
      <c r="B1909" s="2" t="s">
        <v>5724</v>
      </c>
      <c r="C1909" s="2" t="s">
        <v>5725</v>
      </c>
      <c r="D1909" s="2" t="s">
        <v>10050</v>
      </c>
      <c r="E1909" s="15">
        <v>-9.7299999999999998E-2</v>
      </c>
      <c r="F1909" s="15">
        <v>5.2499999999999998E-2</v>
      </c>
      <c r="G1909" s="15">
        <v>6.3700000000000007E-2</v>
      </c>
      <c r="H1909" s="15">
        <v>0.15390000000000001</v>
      </c>
      <c r="I1909" s="15">
        <v>2.0199999999999999E-2</v>
      </c>
      <c r="J1909" s="15">
        <v>7.8476190476190473</v>
      </c>
    </row>
    <row r="1910" spans="1:10" x14ac:dyDescent="0.25">
      <c r="A1910" s="2" t="s">
        <v>5726</v>
      </c>
      <c r="B1910" s="2" t="s">
        <v>5727</v>
      </c>
      <c r="C1910" s="2" t="s">
        <v>5728</v>
      </c>
      <c r="D1910" s="2" t="s">
        <v>10050</v>
      </c>
      <c r="E1910" s="15">
        <v>-3.2800000000000003E-2</v>
      </c>
      <c r="F1910" s="15">
        <v>5.3699999999999998E-2</v>
      </c>
      <c r="G1910" s="15">
        <v>0.54169999999999996</v>
      </c>
      <c r="H1910" s="15">
        <v>0.1487</v>
      </c>
      <c r="I1910" s="15">
        <v>2.2800000000000001E-2</v>
      </c>
      <c r="J1910" s="15">
        <v>6.3086956521739133</v>
      </c>
    </row>
    <row r="1911" spans="1:10" x14ac:dyDescent="0.25">
      <c r="A1911" s="2" t="s">
        <v>5729</v>
      </c>
      <c r="B1911" s="2" t="s">
        <v>5730</v>
      </c>
      <c r="C1911" s="2" t="s">
        <v>5731</v>
      </c>
      <c r="D1911" s="2" t="s">
        <v>10050</v>
      </c>
      <c r="E1911" s="15">
        <v>1.9099999999999999E-2</v>
      </c>
      <c r="F1911" s="15">
        <v>5.04E-2</v>
      </c>
      <c r="G1911" s="15">
        <v>0.7046</v>
      </c>
      <c r="H1911" s="15">
        <v>0.1704</v>
      </c>
      <c r="I1911" s="15">
        <v>2.3199999999999998E-2</v>
      </c>
      <c r="J1911" s="15">
        <v>7.0948275862068968</v>
      </c>
    </row>
    <row r="1912" spans="1:10" x14ac:dyDescent="0.25">
      <c r="A1912" s="2" t="s">
        <v>5732</v>
      </c>
      <c r="B1912" s="2" t="s">
        <v>5733</v>
      </c>
      <c r="C1912" s="2" t="s">
        <v>5734</v>
      </c>
      <c r="D1912" s="2" t="s">
        <v>10050</v>
      </c>
      <c r="E1912" s="15">
        <v>-5.4000000000000003E-3</v>
      </c>
      <c r="F1912" s="15">
        <v>4.5600000000000002E-2</v>
      </c>
      <c r="G1912" s="15">
        <v>0.90510000000000002</v>
      </c>
      <c r="H1912" s="15">
        <v>0.21240000000000001</v>
      </c>
      <c r="I1912" s="15">
        <v>2.1000000000000001E-2</v>
      </c>
      <c r="J1912" s="15">
        <v>10.68571428571429</v>
      </c>
    </row>
    <row r="1913" spans="1:10" x14ac:dyDescent="0.25">
      <c r="A1913" s="2" t="s">
        <v>5735</v>
      </c>
      <c r="B1913" s="2" t="s">
        <v>5736</v>
      </c>
      <c r="C1913" s="2" t="s">
        <v>5737</v>
      </c>
      <c r="D1913" s="2" t="s">
        <v>10050</v>
      </c>
      <c r="E1913" s="15">
        <v>2.4500000000000001E-2</v>
      </c>
      <c r="F1913" s="15">
        <v>4.5699999999999998E-2</v>
      </c>
      <c r="G1913" s="15">
        <v>0.59230000000000005</v>
      </c>
      <c r="H1913" s="15">
        <v>0.20499999999999999</v>
      </c>
      <c r="I1913" s="15">
        <v>2.12E-2</v>
      </c>
      <c r="J1913" s="15">
        <v>10.549019607843141</v>
      </c>
    </row>
    <row r="1914" spans="1:10" x14ac:dyDescent="0.25">
      <c r="A1914" s="2" t="s">
        <v>5738</v>
      </c>
      <c r="B1914" s="2" t="s">
        <v>5739</v>
      </c>
      <c r="C1914" s="2" t="s">
        <v>5740</v>
      </c>
      <c r="D1914" s="2" t="s">
        <v>10050</v>
      </c>
      <c r="E1914" s="15">
        <v>1.78E-2</v>
      </c>
      <c r="F1914" s="15">
        <v>3.85E-2</v>
      </c>
      <c r="G1914" s="15">
        <v>0.64319999999999999</v>
      </c>
      <c r="H1914" s="15">
        <v>0.2626</v>
      </c>
      <c r="I1914" s="15">
        <v>2.75E-2</v>
      </c>
      <c r="J1914" s="15">
        <v>10.5970695970696</v>
      </c>
    </row>
    <row r="1915" spans="1:10" x14ac:dyDescent="0.25">
      <c r="A1915" s="2" t="s">
        <v>5741</v>
      </c>
      <c r="B1915" s="2" t="s">
        <v>5742</v>
      </c>
      <c r="C1915" s="2" t="s">
        <v>5743</v>
      </c>
      <c r="D1915" s="2" t="s">
        <v>10050</v>
      </c>
      <c r="E1915" s="15">
        <v>1.32E-2</v>
      </c>
      <c r="F1915" s="15">
        <v>3.7400000000000003E-2</v>
      </c>
      <c r="G1915" s="15">
        <v>0.72489999999999999</v>
      </c>
      <c r="H1915" s="15">
        <v>0.26469999999999999</v>
      </c>
      <c r="I1915" s="15">
        <v>2.7099999999999999E-2</v>
      </c>
      <c r="J1915" s="15">
        <v>10.91143911439115</v>
      </c>
    </row>
    <row r="1916" spans="1:10" x14ac:dyDescent="0.25">
      <c r="A1916" s="2" t="s">
        <v>5744</v>
      </c>
      <c r="B1916" s="2" t="s">
        <v>5745</v>
      </c>
      <c r="C1916" s="2" t="s">
        <v>5746</v>
      </c>
      <c r="D1916" s="2" t="s">
        <v>10050</v>
      </c>
      <c r="E1916" s="15">
        <v>7.1800000000000003E-2</v>
      </c>
      <c r="F1916" s="15">
        <v>3.5700000000000003E-2</v>
      </c>
      <c r="G1916" s="15">
        <v>4.4499999999999998E-2</v>
      </c>
      <c r="H1916" s="15">
        <v>0.27450000000000002</v>
      </c>
      <c r="I1916" s="15">
        <v>2.4299999999999999E-2</v>
      </c>
      <c r="J1916" s="15">
        <v>12.4125</v>
      </c>
    </row>
    <row r="1917" spans="1:10" x14ac:dyDescent="0.25">
      <c r="A1917" s="2" t="s">
        <v>5747</v>
      </c>
      <c r="B1917" s="2" t="s">
        <v>5748</v>
      </c>
      <c r="C1917" s="2" t="s">
        <v>5749</v>
      </c>
      <c r="D1917" s="2" t="s">
        <v>10050</v>
      </c>
      <c r="E1917" s="15">
        <v>6.2E-2</v>
      </c>
      <c r="F1917" s="15">
        <v>3.6499999999999998E-2</v>
      </c>
      <c r="G1917" s="15">
        <v>8.9599999999999999E-2</v>
      </c>
      <c r="H1917" s="15">
        <v>0.27200000000000002</v>
      </c>
      <c r="I1917" s="15">
        <v>2.3099999999999999E-2</v>
      </c>
      <c r="J1917" s="15">
        <v>12.352941176470591</v>
      </c>
    </row>
    <row r="1918" spans="1:10" x14ac:dyDescent="0.25">
      <c r="A1918" s="2" t="s">
        <v>5750</v>
      </c>
      <c r="B1918" s="2" t="s">
        <v>5751</v>
      </c>
      <c r="C1918" s="2" t="s">
        <v>5752</v>
      </c>
      <c r="D1918" s="2" t="s">
        <v>10050</v>
      </c>
      <c r="E1918" s="15">
        <v>1.17E-2</v>
      </c>
      <c r="F1918" s="15">
        <v>3.73E-2</v>
      </c>
      <c r="G1918" s="15">
        <v>0.75280000000000002</v>
      </c>
      <c r="H1918" s="15">
        <v>0.26490000000000002</v>
      </c>
      <c r="I1918" s="15">
        <v>2.8400000000000002E-2</v>
      </c>
      <c r="J1918" s="15">
        <v>10.223826714801451</v>
      </c>
    </row>
    <row r="1919" spans="1:10" x14ac:dyDescent="0.25">
      <c r="A1919" s="2" t="s">
        <v>5753</v>
      </c>
      <c r="B1919" s="2" t="s">
        <v>5754</v>
      </c>
      <c r="C1919" s="2" t="s">
        <v>5755</v>
      </c>
      <c r="D1919" s="2" t="s">
        <v>10050</v>
      </c>
      <c r="E1919" s="15">
        <v>1E-3</v>
      </c>
      <c r="F1919" s="15">
        <v>3.7900000000000003E-2</v>
      </c>
      <c r="G1919" s="15">
        <v>0.97899999999999998</v>
      </c>
      <c r="H1919" s="15">
        <v>0.28460000000000002</v>
      </c>
      <c r="I1919" s="15">
        <v>2.81E-2</v>
      </c>
      <c r="J1919" s="15">
        <v>11.27340823970037</v>
      </c>
    </row>
    <row r="1920" spans="1:10" x14ac:dyDescent="0.25">
      <c r="A1920" s="2" t="s">
        <v>5756</v>
      </c>
      <c r="B1920" s="2" t="s">
        <v>5757</v>
      </c>
      <c r="C1920" s="2" t="s">
        <v>5758</v>
      </c>
      <c r="D1920" s="2" t="s">
        <v>10050</v>
      </c>
      <c r="E1920" s="15">
        <v>-1.5100000000000001E-2</v>
      </c>
      <c r="F1920" s="15">
        <v>3.73E-2</v>
      </c>
      <c r="G1920" s="15">
        <v>0.68589999999999995</v>
      </c>
      <c r="H1920" s="15">
        <v>0.32519999999999999</v>
      </c>
      <c r="I1920" s="15">
        <v>3.1300000000000001E-2</v>
      </c>
      <c r="J1920" s="15">
        <v>11.630363036303629</v>
      </c>
    </row>
    <row r="1921" spans="1:10" x14ac:dyDescent="0.25">
      <c r="A1921" s="2" t="s">
        <v>5759</v>
      </c>
      <c r="B1921" s="2" t="s">
        <v>5760</v>
      </c>
      <c r="C1921" s="2" t="s">
        <v>5761</v>
      </c>
      <c r="D1921" s="2" t="s">
        <v>10050</v>
      </c>
      <c r="E1921" s="15">
        <v>-2.3699999999999999E-2</v>
      </c>
      <c r="F1921" s="15">
        <v>3.61E-2</v>
      </c>
      <c r="G1921" s="15">
        <v>0.51219999999999999</v>
      </c>
      <c r="H1921" s="15">
        <v>0.317</v>
      </c>
      <c r="I1921" s="15">
        <v>3.1199999999999999E-2</v>
      </c>
      <c r="J1921" s="15">
        <v>11.50501672240803</v>
      </c>
    </row>
    <row r="1922" spans="1:10" x14ac:dyDescent="0.25">
      <c r="A1922" s="2" t="s">
        <v>5762</v>
      </c>
      <c r="B1922" s="2" t="s">
        <v>5763</v>
      </c>
      <c r="C1922" s="2" t="s">
        <v>5764</v>
      </c>
      <c r="D1922" s="2" t="s">
        <v>10050</v>
      </c>
      <c r="E1922" s="15">
        <v>2.18E-2</v>
      </c>
      <c r="F1922" s="15">
        <v>3.6400000000000002E-2</v>
      </c>
      <c r="G1922" s="15">
        <v>0.54930000000000001</v>
      </c>
      <c r="H1922" s="15">
        <v>0.32940000000000003</v>
      </c>
      <c r="I1922" s="15">
        <v>3.5799999999999998E-2</v>
      </c>
      <c r="J1922" s="15">
        <v>10.822981366459629</v>
      </c>
    </row>
    <row r="1923" spans="1:10" x14ac:dyDescent="0.25">
      <c r="A1923" s="2" t="s">
        <v>5765</v>
      </c>
      <c r="B1923" s="2" t="s">
        <v>5766</v>
      </c>
      <c r="C1923" s="2" t="s">
        <v>5767</v>
      </c>
      <c r="D1923" s="2" t="s">
        <v>10050</v>
      </c>
      <c r="E1923" s="15">
        <v>-1.0200000000000001E-2</v>
      </c>
      <c r="F1923" s="15">
        <v>3.6200000000000003E-2</v>
      </c>
      <c r="G1923" s="15">
        <v>0.7772</v>
      </c>
      <c r="H1923" s="15">
        <v>0.31659999999999999</v>
      </c>
      <c r="I1923" s="15">
        <v>3.4500000000000003E-2</v>
      </c>
      <c r="J1923" s="15">
        <v>10.39308176100629</v>
      </c>
    </row>
    <row r="1924" spans="1:10" x14ac:dyDescent="0.25">
      <c r="A1924" s="2" t="s">
        <v>5768</v>
      </c>
      <c r="B1924" s="2" t="s">
        <v>5769</v>
      </c>
      <c r="C1924" s="2" t="s">
        <v>5770</v>
      </c>
      <c r="D1924" s="2" t="s">
        <v>10050</v>
      </c>
      <c r="E1924" s="15">
        <v>-1.6899999999999998E-2</v>
      </c>
      <c r="F1924" s="15">
        <v>3.7400000000000003E-2</v>
      </c>
      <c r="G1924" s="15">
        <v>0.65010000000000001</v>
      </c>
      <c r="H1924" s="15">
        <v>0.29609999999999997</v>
      </c>
      <c r="I1924" s="15">
        <v>3.6499999999999998E-2</v>
      </c>
      <c r="J1924" s="15">
        <v>8.6657534246575363</v>
      </c>
    </row>
    <row r="1925" spans="1:10" x14ac:dyDescent="0.25">
      <c r="A1925" s="2" t="s">
        <v>5771</v>
      </c>
      <c r="B1925" s="2" t="s">
        <v>5772</v>
      </c>
      <c r="C1925" s="2" t="s">
        <v>5773</v>
      </c>
      <c r="D1925" s="2" t="s">
        <v>10050</v>
      </c>
      <c r="E1925" s="15">
        <v>1.9599999999999999E-2</v>
      </c>
      <c r="F1925" s="15">
        <v>4.1200000000000001E-2</v>
      </c>
      <c r="G1925" s="15">
        <v>0.63390000000000002</v>
      </c>
      <c r="H1925" s="15">
        <v>0.27629999999999999</v>
      </c>
      <c r="I1925" s="15">
        <v>3.6299999999999999E-2</v>
      </c>
      <c r="J1925" s="15">
        <v>8.4330484330484321</v>
      </c>
    </row>
    <row r="1926" spans="1:10" x14ac:dyDescent="0.25">
      <c r="A1926" s="2" t="s">
        <v>5774</v>
      </c>
      <c r="B1926" s="2" t="s">
        <v>5775</v>
      </c>
      <c r="C1926" s="2" t="s">
        <v>5776</v>
      </c>
      <c r="D1926" s="2" t="s">
        <v>10050</v>
      </c>
      <c r="E1926" s="15">
        <v>-2.52E-2</v>
      </c>
      <c r="F1926" s="15">
        <v>3.56E-2</v>
      </c>
      <c r="G1926" s="15">
        <v>0.47860000000000003</v>
      </c>
      <c r="H1926" s="15">
        <v>0.35959999999999998</v>
      </c>
      <c r="I1926" s="15">
        <v>3.8399999999999997E-2</v>
      </c>
      <c r="J1926" s="15">
        <v>10.375</v>
      </c>
    </row>
    <row r="1927" spans="1:10" x14ac:dyDescent="0.25">
      <c r="A1927" s="2" t="s">
        <v>5777</v>
      </c>
      <c r="B1927" s="2" t="s">
        <v>5778</v>
      </c>
      <c r="C1927" s="2" t="s">
        <v>5779</v>
      </c>
      <c r="D1927" s="2" t="s">
        <v>10050</v>
      </c>
      <c r="E1927" s="15">
        <v>-3.73E-2</v>
      </c>
      <c r="F1927" s="15">
        <v>3.6400000000000002E-2</v>
      </c>
      <c r="G1927" s="15">
        <v>0.30549999999999999</v>
      </c>
      <c r="H1927" s="15">
        <v>0.35410000000000003</v>
      </c>
      <c r="I1927" s="15">
        <v>3.9300000000000002E-2</v>
      </c>
      <c r="J1927" s="15">
        <v>9.960893854748603</v>
      </c>
    </row>
    <row r="1928" spans="1:10" x14ac:dyDescent="0.25">
      <c r="A1928" s="2" t="s">
        <v>5780</v>
      </c>
      <c r="B1928" s="2" t="s">
        <v>5781</v>
      </c>
      <c r="C1928" s="2" t="s">
        <v>5782</v>
      </c>
      <c r="D1928" s="2" t="s">
        <v>10050</v>
      </c>
      <c r="E1928" s="15">
        <v>-2.8999999999999998E-3</v>
      </c>
      <c r="F1928" s="15">
        <v>3.6999999999999998E-2</v>
      </c>
      <c r="G1928" s="15">
        <v>0.93730000000000002</v>
      </c>
      <c r="H1928" s="15">
        <v>0.3266</v>
      </c>
      <c r="I1928" s="15">
        <v>3.7100000000000001E-2</v>
      </c>
      <c r="J1928" s="15">
        <v>9.9246376811594192</v>
      </c>
    </row>
    <row r="1929" spans="1:10" x14ac:dyDescent="0.25">
      <c r="A1929" s="2" t="s">
        <v>5783</v>
      </c>
      <c r="B1929" s="2" t="s">
        <v>5784</v>
      </c>
      <c r="C1929" s="2" t="s">
        <v>5785</v>
      </c>
      <c r="D1929" s="2" t="s">
        <v>10050</v>
      </c>
      <c r="E1929" s="15">
        <v>-3.3999999999999998E-3</v>
      </c>
      <c r="F1929" s="15">
        <v>3.9E-2</v>
      </c>
      <c r="G1929" s="15">
        <v>0.93089999999999995</v>
      </c>
      <c r="H1929" s="15">
        <v>0.31609999999999999</v>
      </c>
      <c r="I1929" s="15">
        <v>3.5900000000000001E-2</v>
      </c>
      <c r="J1929" s="15">
        <v>9.7655786350148368</v>
      </c>
    </row>
    <row r="1930" spans="1:10" x14ac:dyDescent="0.25">
      <c r="A1930" s="2" t="s">
        <v>5786</v>
      </c>
      <c r="B1930" s="2" t="s">
        <v>5787</v>
      </c>
      <c r="C1930" s="2" t="s">
        <v>5788</v>
      </c>
      <c r="D1930" s="2" t="s">
        <v>10050</v>
      </c>
      <c r="E1930" s="15">
        <v>-2.93E-2</v>
      </c>
      <c r="F1930" s="15">
        <v>3.78E-2</v>
      </c>
      <c r="G1930" s="15">
        <v>0.43930000000000002</v>
      </c>
      <c r="H1930" s="15">
        <v>0.3105</v>
      </c>
      <c r="I1930" s="15">
        <v>3.4599999999999999E-2</v>
      </c>
      <c r="J1930" s="15">
        <v>9.9305135951661629</v>
      </c>
    </row>
    <row r="1931" spans="1:10" x14ac:dyDescent="0.25">
      <c r="A1931" s="2" t="s">
        <v>5789</v>
      </c>
      <c r="B1931" s="2" t="s">
        <v>5790</v>
      </c>
      <c r="C1931" s="2" t="s">
        <v>5791</v>
      </c>
      <c r="D1931" s="2" t="s">
        <v>10050</v>
      </c>
      <c r="E1931" s="15">
        <v>-3.0499999999999999E-2</v>
      </c>
      <c r="F1931" s="15">
        <v>3.78E-2</v>
      </c>
      <c r="G1931" s="15">
        <v>0.42030000000000001</v>
      </c>
      <c r="H1931" s="15">
        <v>0.31580000000000003</v>
      </c>
      <c r="I1931" s="15">
        <v>3.5299999999999998E-2</v>
      </c>
      <c r="J1931" s="15">
        <v>10.01829268292683</v>
      </c>
    </row>
    <row r="1932" spans="1:10" x14ac:dyDescent="0.25">
      <c r="A1932" s="2" t="s">
        <v>5792</v>
      </c>
      <c r="B1932" s="2" t="s">
        <v>5793</v>
      </c>
      <c r="C1932" s="2" t="s">
        <v>5794</v>
      </c>
      <c r="D1932" s="2" t="s">
        <v>10050</v>
      </c>
      <c r="E1932" s="15">
        <v>-2.1299999999999999E-2</v>
      </c>
      <c r="F1932" s="15">
        <v>4.1500000000000002E-2</v>
      </c>
      <c r="G1932" s="15">
        <v>0.60840000000000005</v>
      </c>
      <c r="H1932" s="15">
        <v>0.2702</v>
      </c>
      <c r="I1932" s="15">
        <v>3.4799999999999998E-2</v>
      </c>
      <c r="J1932" s="15">
        <v>8.8856304985337253</v>
      </c>
    </row>
    <row r="1933" spans="1:10" x14ac:dyDescent="0.25">
      <c r="A1933" s="2" t="s">
        <v>5795</v>
      </c>
      <c r="B1933" s="2" t="s">
        <v>5796</v>
      </c>
      <c r="C1933" s="2" t="s">
        <v>5797</v>
      </c>
      <c r="D1933" s="2" t="s">
        <v>10050</v>
      </c>
      <c r="E1933" s="15">
        <v>-2.1899999999999999E-2</v>
      </c>
      <c r="F1933" s="15">
        <v>4.1799999999999997E-2</v>
      </c>
      <c r="G1933" s="15">
        <v>0.60109999999999997</v>
      </c>
      <c r="H1933" s="15">
        <v>0.27739999999999998</v>
      </c>
      <c r="I1933" s="15">
        <v>3.3399999999999999E-2</v>
      </c>
      <c r="J1933" s="15">
        <v>9.3516819571865444</v>
      </c>
    </row>
    <row r="1934" spans="1:10" x14ac:dyDescent="0.25">
      <c r="A1934" s="2" t="s">
        <v>5798</v>
      </c>
      <c r="B1934" s="2" t="s">
        <v>5799</v>
      </c>
      <c r="C1934" s="2" t="s">
        <v>5800</v>
      </c>
      <c r="D1934" s="2" t="s">
        <v>10050</v>
      </c>
      <c r="E1934" s="15">
        <v>1.4E-3</v>
      </c>
      <c r="F1934" s="15">
        <v>3.7699999999999997E-2</v>
      </c>
      <c r="G1934" s="15">
        <v>0.97119999999999995</v>
      </c>
      <c r="H1934" s="15">
        <v>0.2888</v>
      </c>
      <c r="I1934" s="15">
        <v>3.6900000000000002E-2</v>
      </c>
      <c r="J1934" s="15">
        <v>8.719780219780219</v>
      </c>
    </row>
    <row r="1935" spans="1:10" x14ac:dyDescent="0.25">
      <c r="A1935" s="2" t="s">
        <v>5801</v>
      </c>
      <c r="B1935" s="2" t="s">
        <v>5802</v>
      </c>
      <c r="C1935" s="2" t="s">
        <v>5803</v>
      </c>
      <c r="D1935" s="2" t="s">
        <v>10050</v>
      </c>
      <c r="E1935" s="15">
        <v>-3.3500000000000002E-2</v>
      </c>
      <c r="F1935" s="15">
        <v>3.7999999999999999E-2</v>
      </c>
      <c r="G1935" s="15">
        <v>0.37859999999999999</v>
      </c>
      <c r="H1935" s="15">
        <v>0.28310000000000002</v>
      </c>
      <c r="I1935" s="15">
        <v>3.6600000000000001E-2</v>
      </c>
      <c r="J1935" s="15">
        <v>8.439560439560438</v>
      </c>
    </row>
    <row r="1936" spans="1:10" x14ac:dyDescent="0.25">
      <c r="A1936" s="2" t="s">
        <v>5804</v>
      </c>
      <c r="B1936" s="2" t="s">
        <v>5805</v>
      </c>
      <c r="C1936" s="2" t="s">
        <v>5806</v>
      </c>
      <c r="D1936" s="2" t="s">
        <v>10050</v>
      </c>
      <c r="E1936" s="15">
        <v>-1.01E-2</v>
      </c>
      <c r="F1936" s="15">
        <v>3.9899999999999998E-2</v>
      </c>
      <c r="G1936" s="15">
        <v>0.80010000000000003</v>
      </c>
      <c r="H1936" s="15">
        <v>0.28820000000000001</v>
      </c>
      <c r="I1936" s="15">
        <v>3.1699999999999999E-2</v>
      </c>
      <c r="J1936" s="15">
        <v>9.8050314465408803</v>
      </c>
    </row>
    <row r="1937" spans="1:10" x14ac:dyDescent="0.25">
      <c r="A1937" s="2" t="s">
        <v>5807</v>
      </c>
      <c r="B1937" s="2" t="s">
        <v>5808</v>
      </c>
      <c r="C1937" s="2" t="s">
        <v>5809</v>
      </c>
      <c r="D1937" s="2" t="s">
        <v>10050</v>
      </c>
      <c r="E1937" s="15">
        <v>-2.2700000000000001E-2</v>
      </c>
      <c r="F1937" s="15">
        <v>3.9699999999999999E-2</v>
      </c>
      <c r="G1937" s="15">
        <v>0.56730000000000003</v>
      </c>
      <c r="H1937" s="15">
        <v>0.29649999999999999</v>
      </c>
      <c r="I1937" s="15">
        <v>3.2599999999999997E-2</v>
      </c>
      <c r="J1937" s="15">
        <v>9.9006211180124222</v>
      </c>
    </row>
    <row r="1938" spans="1:10" x14ac:dyDescent="0.25">
      <c r="A1938" s="2" t="s">
        <v>5810</v>
      </c>
      <c r="B1938" s="2" t="s">
        <v>5811</v>
      </c>
      <c r="C1938" s="2" t="s">
        <v>5812</v>
      </c>
      <c r="D1938" s="2" t="s">
        <v>10050</v>
      </c>
      <c r="E1938" s="15">
        <v>-2.0400000000000001E-2</v>
      </c>
      <c r="F1938" s="15">
        <v>3.85E-2</v>
      </c>
      <c r="G1938" s="15">
        <v>0.59550000000000003</v>
      </c>
      <c r="H1938" s="15">
        <v>0.34250000000000003</v>
      </c>
      <c r="I1938" s="15">
        <v>3.49E-2</v>
      </c>
      <c r="J1938" s="15">
        <v>10.740853658536579</v>
      </c>
    </row>
    <row r="1939" spans="1:10" x14ac:dyDescent="0.25">
      <c r="A1939" s="2" t="s">
        <v>5813</v>
      </c>
      <c r="B1939" s="2" t="s">
        <v>5814</v>
      </c>
      <c r="C1939" s="2" t="s">
        <v>5815</v>
      </c>
      <c r="D1939" s="2" t="s">
        <v>10050</v>
      </c>
      <c r="E1939" s="15">
        <v>-3.7900000000000003E-2</v>
      </c>
      <c r="F1939" s="15">
        <v>3.6499999999999998E-2</v>
      </c>
      <c r="G1939" s="15">
        <v>0.3</v>
      </c>
      <c r="H1939" s="15">
        <v>0.35</v>
      </c>
      <c r="I1939" s="15">
        <v>3.6900000000000002E-2</v>
      </c>
      <c r="J1939" s="15">
        <v>10.390670553935861</v>
      </c>
    </row>
    <row r="1940" spans="1:10" x14ac:dyDescent="0.25">
      <c r="A1940" s="2" t="s">
        <v>5816</v>
      </c>
      <c r="B1940" s="2" t="s">
        <v>5817</v>
      </c>
      <c r="C1940" s="2" t="s">
        <v>5818</v>
      </c>
      <c r="D1940" s="2" t="s">
        <v>10050</v>
      </c>
      <c r="E1940" s="15">
        <v>1.54E-2</v>
      </c>
      <c r="F1940" s="15">
        <v>3.95E-2</v>
      </c>
      <c r="G1940" s="15">
        <v>0.69599999999999995</v>
      </c>
      <c r="H1940" s="15">
        <v>0.29239999999999999</v>
      </c>
      <c r="I1940" s="15">
        <v>2.9700000000000001E-2</v>
      </c>
      <c r="J1940" s="15">
        <v>9.883495145631068</v>
      </c>
    </row>
    <row r="1941" spans="1:10" x14ac:dyDescent="0.25">
      <c r="A1941" s="2" t="s">
        <v>5819</v>
      </c>
      <c r="B1941" s="2" t="s">
        <v>5820</v>
      </c>
      <c r="C1941" s="2" t="s">
        <v>5821</v>
      </c>
      <c r="D1941" s="2" t="s">
        <v>10050</v>
      </c>
      <c r="E1941" s="15">
        <v>2.1600000000000001E-2</v>
      </c>
      <c r="F1941" s="15">
        <v>4.02E-2</v>
      </c>
      <c r="G1941" s="15">
        <v>0.59079999999999999</v>
      </c>
      <c r="H1941" s="15">
        <v>0.28689999999999999</v>
      </c>
      <c r="I1941" s="15">
        <v>2.87E-2</v>
      </c>
      <c r="J1941" s="15">
        <v>10.032894736842101</v>
      </c>
    </row>
    <row r="1942" spans="1:10" x14ac:dyDescent="0.25">
      <c r="A1942" s="2" t="s">
        <v>5822</v>
      </c>
      <c r="B1942" s="2" t="s">
        <v>5823</v>
      </c>
      <c r="C1942" s="2" t="s">
        <v>5824</v>
      </c>
      <c r="D1942" s="2" t="s">
        <v>10050</v>
      </c>
      <c r="E1942" s="15">
        <v>-2.24E-2</v>
      </c>
      <c r="F1942" s="15">
        <v>4.2099999999999999E-2</v>
      </c>
      <c r="G1942" s="15">
        <v>0.59519999999999995</v>
      </c>
      <c r="H1942" s="15">
        <v>0.2732</v>
      </c>
      <c r="I1942" s="15">
        <v>3.0099999999999998E-2</v>
      </c>
      <c r="J1942" s="15">
        <v>9.3557692307692317</v>
      </c>
    </row>
    <row r="1943" spans="1:10" x14ac:dyDescent="0.25">
      <c r="A1943" s="2" t="s">
        <v>5825</v>
      </c>
      <c r="B1943" s="2" t="s">
        <v>5826</v>
      </c>
      <c r="C1943" s="2" t="s">
        <v>5827</v>
      </c>
      <c r="D1943" s="2" t="s">
        <v>10050</v>
      </c>
      <c r="E1943" s="15">
        <v>-2.53E-2</v>
      </c>
      <c r="F1943" s="15">
        <v>0.04</v>
      </c>
      <c r="G1943" s="15">
        <v>0.52649999999999997</v>
      </c>
      <c r="H1943" s="15">
        <v>0.28270000000000001</v>
      </c>
      <c r="I1943" s="15">
        <v>3.2199999999999999E-2</v>
      </c>
      <c r="J1943" s="15">
        <v>9.0481927710843379</v>
      </c>
    </row>
    <row r="1944" spans="1:10" x14ac:dyDescent="0.25">
      <c r="A1944" s="2" t="s">
        <v>5828</v>
      </c>
      <c r="B1944" s="2" t="s">
        <v>5829</v>
      </c>
      <c r="C1944" s="2" t="s">
        <v>5830</v>
      </c>
      <c r="D1944" s="2" t="s">
        <v>10050</v>
      </c>
      <c r="E1944" s="15">
        <v>-9.4000000000000004E-3</v>
      </c>
      <c r="F1944" s="15">
        <v>3.6799999999999999E-2</v>
      </c>
      <c r="G1944" s="15">
        <v>0.79779999999999995</v>
      </c>
      <c r="H1944" s="15">
        <v>0.35510000000000003</v>
      </c>
      <c r="I1944" s="15">
        <v>4.0500000000000001E-2</v>
      </c>
      <c r="J1944" s="15">
        <v>9.9295392953929529</v>
      </c>
    </row>
    <row r="1945" spans="1:10" x14ac:dyDescent="0.25">
      <c r="A1945" s="2" t="s">
        <v>5831</v>
      </c>
      <c r="B1945" s="2" t="s">
        <v>5832</v>
      </c>
      <c r="C1945" s="2" t="s">
        <v>5833</v>
      </c>
      <c r="D1945" s="2" t="s">
        <v>10050</v>
      </c>
      <c r="E1945" s="15">
        <v>-1.0500000000000001E-2</v>
      </c>
      <c r="F1945" s="15">
        <v>3.8600000000000002E-2</v>
      </c>
      <c r="G1945" s="15">
        <v>0.78580000000000005</v>
      </c>
      <c r="H1945" s="15">
        <v>0.3448</v>
      </c>
      <c r="I1945" s="15">
        <v>3.8699999999999998E-2</v>
      </c>
      <c r="J1945" s="15">
        <v>9.9325842696629216</v>
      </c>
    </row>
    <row r="1946" spans="1:10" x14ac:dyDescent="0.25">
      <c r="A1946" s="2" t="s">
        <v>5834</v>
      </c>
      <c r="B1946" s="2" t="s">
        <v>5835</v>
      </c>
      <c r="C1946" s="2" t="s">
        <v>5836</v>
      </c>
      <c r="D1946" s="2" t="s">
        <v>10050</v>
      </c>
      <c r="E1946" s="15">
        <v>-5.8999999999999999E-3</v>
      </c>
      <c r="F1946" s="15">
        <v>4.0800000000000003E-2</v>
      </c>
      <c r="G1946" s="15">
        <v>0.88460000000000005</v>
      </c>
      <c r="H1946" s="15">
        <v>0.2717</v>
      </c>
      <c r="I1946" s="15">
        <v>2.8299999999999999E-2</v>
      </c>
      <c r="J1946" s="15">
        <v>11.577868852459011</v>
      </c>
    </row>
    <row r="1947" spans="1:10" x14ac:dyDescent="0.25">
      <c r="A1947" s="2" t="s">
        <v>5837</v>
      </c>
      <c r="B1947" s="2" t="s">
        <v>5838</v>
      </c>
      <c r="C1947" s="2" t="s">
        <v>5839</v>
      </c>
      <c r="D1947" s="2" t="s">
        <v>10050</v>
      </c>
      <c r="E1947" s="15">
        <v>-7.7700000000000005E-2</v>
      </c>
      <c r="F1947" s="15">
        <v>3.9300000000000002E-2</v>
      </c>
      <c r="G1947" s="15">
        <v>4.8099999999999997E-2</v>
      </c>
      <c r="H1947" s="15">
        <v>0.28249999999999997</v>
      </c>
      <c r="I1947" s="15">
        <v>2.8199999999999999E-2</v>
      </c>
      <c r="J1947" s="15">
        <v>11.490039840637451</v>
      </c>
    </row>
    <row r="1948" spans="1:10" x14ac:dyDescent="0.25">
      <c r="A1948" s="2" t="s">
        <v>5840</v>
      </c>
      <c r="B1948" s="2" t="s">
        <v>5841</v>
      </c>
      <c r="C1948" s="2" t="s">
        <v>5842</v>
      </c>
      <c r="D1948" s="2" t="s">
        <v>10050</v>
      </c>
      <c r="E1948" s="15">
        <v>2.5000000000000001E-2</v>
      </c>
      <c r="F1948" s="15">
        <v>3.85E-2</v>
      </c>
      <c r="G1948" s="15">
        <v>0.51590000000000003</v>
      </c>
      <c r="H1948" s="15">
        <v>0.30320000000000003</v>
      </c>
      <c r="I1948" s="15">
        <v>3.2300000000000002E-2</v>
      </c>
      <c r="J1948" s="15">
        <v>9.8641975308641978</v>
      </c>
    </row>
    <row r="1949" spans="1:10" x14ac:dyDescent="0.25">
      <c r="A1949" s="2" t="s">
        <v>5843</v>
      </c>
      <c r="B1949" s="2" t="s">
        <v>5844</v>
      </c>
      <c r="C1949" s="2" t="s">
        <v>5845</v>
      </c>
      <c r="D1949" s="2" t="s">
        <v>10050</v>
      </c>
      <c r="E1949" s="15">
        <v>3.9E-2</v>
      </c>
      <c r="F1949" s="15">
        <v>4.1099999999999998E-2</v>
      </c>
      <c r="G1949" s="15">
        <v>0.34260000000000002</v>
      </c>
      <c r="H1949" s="15">
        <v>0.28549999999999998</v>
      </c>
      <c r="I1949" s="15">
        <v>3.3799999999999997E-2</v>
      </c>
      <c r="J1949" s="15">
        <v>9.4613003095975223</v>
      </c>
    </row>
    <row r="1950" spans="1:10" x14ac:dyDescent="0.25">
      <c r="A1950" s="2" t="s">
        <v>5846</v>
      </c>
      <c r="B1950" s="2" t="s">
        <v>5847</v>
      </c>
      <c r="C1950" s="2" t="s">
        <v>5848</v>
      </c>
      <c r="D1950" s="2" t="s">
        <v>10050</v>
      </c>
      <c r="E1950" s="15">
        <v>-6.7500000000000004E-2</v>
      </c>
      <c r="F1950" s="15">
        <v>4.2799999999999998E-2</v>
      </c>
      <c r="G1950" s="15">
        <v>0.11459999999999999</v>
      </c>
      <c r="H1950" s="15">
        <v>0.22020000000000001</v>
      </c>
      <c r="I1950" s="15">
        <v>2.4E-2</v>
      </c>
      <c r="J1950" s="15">
        <v>10.431034482758619</v>
      </c>
    </row>
    <row r="1951" spans="1:10" x14ac:dyDescent="0.25">
      <c r="A1951" s="2" t="s">
        <v>5849</v>
      </c>
      <c r="B1951" s="2" t="s">
        <v>5850</v>
      </c>
      <c r="C1951" s="2" t="s">
        <v>5851</v>
      </c>
      <c r="D1951" s="2" t="s">
        <v>10050</v>
      </c>
      <c r="E1951" s="15">
        <v>-3.5799999999999998E-2</v>
      </c>
      <c r="F1951" s="15">
        <v>0.04</v>
      </c>
      <c r="G1951" s="15">
        <v>0.37</v>
      </c>
      <c r="H1951" s="15">
        <v>0.20319999999999999</v>
      </c>
      <c r="I1951" s="15">
        <v>2.3400000000000001E-2</v>
      </c>
      <c r="J1951" s="15">
        <v>9.381355932203391</v>
      </c>
    </row>
    <row r="1952" spans="1:10" x14ac:dyDescent="0.25">
      <c r="A1952" s="2" t="s">
        <v>5852</v>
      </c>
      <c r="B1952" s="2" t="s">
        <v>5853</v>
      </c>
      <c r="C1952" s="2" t="s">
        <v>5854</v>
      </c>
      <c r="D1952" s="2" t="s">
        <v>10050</v>
      </c>
      <c r="E1952" s="15">
        <v>-3.7600000000000001E-2</v>
      </c>
      <c r="F1952" s="15">
        <v>3.95E-2</v>
      </c>
      <c r="G1952" s="15">
        <v>0.34129999999999999</v>
      </c>
      <c r="H1952" s="15">
        <v>0.30109999999999998</v>
      </c>
      <c r="I1952" s="15">
        <v>3.2800000000000003E-2</v>
      </c>
      <c r="J1952" s="15">
        <v>10.14596273291925</v>
      </c>
    </row>
    <row r="1953" spans="1:10" x14ac:dyDescent="0.25">
      <c r="A1953" s="2" t="s">
        <v>5855</v>
      </c>
      <c r="B1953" s="2" t="s">
        <v>5856</v>
      </c>
      <c r="C1953" s="2" t="s">
        <v>5857</v>
      </c>
      <c r="D1953" s="2" t="s">
        <v>10050</v>
      </c>
      <c r="E1953" s="15">
        <v>-5.9200000000000003E-2</v>
      </c>
      <c r="F1953" s="15">
        <v>3.73E-2</v>
      </c>
      <c r="G1953" s="15">
        <v>0.11219999999999999</v>
      </c>
      <c r="H1953" s="15">
        <v>0.30220000000000002</v>
      </c>
      <c r="I1953" s="15">
        <v>3.0099999999999998E-2</v>
      </c>
      <c r="J1953" s="15">
        <v>10.16719242902208</v>
      </c>
    </row>
    <row r="1954" spans="1:10" x14ac:dyDescent="0.25">
      <c r="A1954" s="2" t="s">
        <v>5858</v>
      </c>
      <c r="B1954" s="2" t="s">
        <v>5859</v>
      </c>
      <c r="C1954" s="2" t="s">
        <v>5860</v>
      </c>
      <c r="D1954" s="2" t="s">
        <v>10050</v>
      </c>
      <c r="E1954" s="15">
        <v>-3.4500000000000003E-2</v>
      </c>
      <c r="F1954" s="15">
        <v>3.5499999999999997E-2</v>
      </c>
      <c r="G1954" s="15">
        <v>0.33079999999999998</v>
      </c>
      <c r="H1954" s="15">
        <v>0.33069999999999999</v>
      </c>
      <c r="I1954" s="15">
        <v>3.6400000000000002E-2</v>
      </c>
      <c r="J1954" s="15">
        <v>10.31750741839763</v>
      </c>
    </row>
    <row r="1955" spans="1:10" x14ac:dyDescent="0.25">
      <c r="A1955" s="2" t="s">
        <v>5861</v>
      </c>
      <c r="B1955" s="2" t="s">
        <v>5862</v>
      </c>
      <c r="C1955" s="2" t="s">
        <v>5863</v>
      </c>
      <c r="D1955" s="2" t="s">
        <v>10050</v>
      </c>
      <c r="E1955" s="15">
        <v>-2.18E-2</v>
      </c>
      <c r="F1955" s="15">
        <v>3.6400000000000002E-2</v>
      </c>
      <c r="G1955" s="15">
        <v>0.54990000000000006</v>
      </c>
      <c r="H1955" s="15">
        <v>0.32650000000000001</v>
      </c>
      <c r="I1955" s="15">
        <v>3.5000000000000003E-2</v>
      </c>
      <c r="J1955" s="15">
        <v>10.409638554216871</v>
      </c>
    </row>
    <row r="1956" spans="1:10" x14ac:dyDescent="0.25">
      <c r="A1956" s="2" t="s">
        <v>5864</v>
      </c>
      <c r="B1956" s="2" t="s">
        <v>5865</v>
      </c>
      <c r="C1956" s="2" t="s">
        <v>5866</v>
      </c>
      <c r="D1956" s="2" t="s">
        <v>10050</v>
      </c>
      <c r="E1956" s="15">
        <v>-3.1899999999999998E-2</v>
      </c>
      <c r="F1956" s="15">
        <v>3.8600000000000002E-2</v>
      </c>
      <c r="G1956" s="15">
        <v>0.4093</v>
      </c>
      <c r="H1956" s="15">
        <v>0.29859999999999998</v>
      </c>
      <c r="I1956" s="15">
        <v>3.2500000000000001E-2</v>
      </c>
      <c r="J1956" s="15">
        <v>10.10032362459547</v>
      </c>
    </row>
    <row r="1957" spans="1:10" x14ac:dyDescent="0.25">
      <c r="A1957" s="2" t="s">
        <v>5867</v>
      </c>
      <c r="B1957" s="2" t="s">
        <v>5868</v>
      </c>
      <c r="C1957" s="2" t="s">
        <v>5869</v>
      </c>
      <c r="D1957" s="2" t="s">
        <v>10050</v>
      </c>
      <c r="E1957" s="15">
        <v>-2.6499999999999999E-2</v>
      </c>
      <c r="F1957" s="15">
        <v>4.1700000000000001E-2</v>
      </c>
      <c r="G1957" s="15">
        <v>0.52480000000000004</v>
      </c>
      <c r="H1957" s="15">
        <v>0.2984</v>
      </c>
      <c r="I1957" s="15">
        <v>3.0200000000000001E-2</v>
      </c>
      <c r="J1957" s="15">
        <v>10.633898305084751</v>
      </c>
    </row>
    <row r="1958" spans="1:10" x14ac:dyDescent="0.25">
      <c r="A1958" s="2" t="s">
        <v>5870</v>
      </c>
      <c r="B1958" s="2" t="s">
        <v>5871</v>
      </c>
      <c r="C1958" s="2" t="s">
        <v>5872</v>
      </c>
      <c r="D1958" s="2" t="s">
        <v>10050</v>
      </c>
      <c r="E1958" s="15">
        <v>-9.7000000000000003E-3</v>
      </c>
      <c r="F1958" s="15">
        <v>4.1500000000000002E-2</v>
      </c>
      <c r="G1958" s="15">
        <v>0.81469999999999998</v>
      </c>
      <c r="H1958" s="15">
        <v>0.22770000000000001</v>
      </c>
      <c r="I1958" s="15">
        <v>2.4500000000000001E-2</v>
      </c>
      <c r="J1958" s="15">
        <v>8.7870036101083038</v>
      </c>
    </row>
    <row r="1959" spans="1:10" x14ac:dyDescent="0.25">
      <c r="A1959" s="2" t="s">
        <v>5873</v>
      </c>
      <c r="B1959" s="2" t="s">
        <v>5874</v>
      </c>
      <c r="C1959" s="2" t="s">
        <v>5875</v>
      </c>
      <c r="D1959" s="2" t="s">
        <v>10050</v>
      </c>
      <c r="E1959" s="15">
        <v>1.7100000000000001E-2</v>
      </c>
      <c r="F1959" s="15">
        <v>4.5699999999999998E-2</v>
      </c>
      <c r="G1959" s="15">
        <v>0.70830000000000004</v>
      </c>
      <c r="H1959" s="15">
        <v>0.22600000000000001</v>
      </c>
      <c r="I1959" s="15">
        <v>2.3E-2</v>
      </c>
      <c r="J1959" s="15">
        <v>9.0746268656716413</v>
      </c>
    </row>
    <row r="1960" spans="1:10" x14ac:dyDescent="0.25">
      <c r="A1960" s="2" t="s">
        <v>5876</v>
      </c>
      <c r="B1960" s="2" t="s">
        <v>5877</v>
      </c>
      <c r="C1960" s="2" t="s">
        <v>5878</v>
      </c>
      <c r="D1960" s="2" t="s">
        <v>10050</v>
      </c>
      <c r="E1960" s="15">
        <v>1.78E-2</v>
      </c>
      <c r="F1960" s="15">
        <v>4.02E-2</v>
      </c>
      <c r="G1960" s="15">
        <v>0.6573</v>
      </c>
      <c r="H1960" s="15">
        <v>0.30099999999999999</v>
      </c>
      <c r="I1960" s="15">
        <v>3.0499999999999999E-2</v>
      </c>
      <c r="J1960" s="15">
        <v>10.15960912052117</v>
      </c>
    </row>
    <row r="1961" spans="1:10" x14ac:dyDescent="0.25">
      <c r="A1961" s="2" t="s">
        <v>5879</v>
      </c>
      <c r="B1961" s="2" t="s">
        <v>5880</v>
      </c>
      <c r="C1961" s="2" t="s">
        <v>5881</v>
      </c>
      <c r="D1961" s="2" t="s">
        <v>10050</v>
      </c>
      <c r="E1961" s="15">
        <v>-5.4999999999999997E-3</v>
      </c>
      <c r="F1961" s="15">
        <v>3.8800000000000001E-2</v>
      </c>
      <c r="G1961" s="15">
        <v>0.88680000000000003</v>
      </c>
      <c r="H1961" s="15">
        <v>0.30280000000000001</v>
      </c>
      <c r="I1961" s="15">
        <v>3.1099999999999999E-2</v>
      </c>
      <c r="J1961" s="15">
        <v>10.48701298701299</v>
      </c>
    </row>
    <row r="1962" spans="1:10" x14ac:dyDescent="0.25">
      <c r="A1962" s="2" t="s">
        <v>5882</v>
      </c>
      <c r="B1962" s="2" t="s">
        <v>5883</v>
      </c>
      <c r="C1962" s="2" t="s">
        <v>5884</v>
      </c>
      <c r="D1962" s="2" t="s">
        <v>10050</v>
      </c>
      <c r="E1962" s="15">
        <v>-2.1899999999999999E-2</v>
      </c>
      <c r="F1962" s="15">
        <v>4.0599999999999997E-2</v>
      </c>
      <c r="G1962" s="15">
        <v>0.59030000000000005</v>
      </c>
      <c r="H1962" s="15">
        <v>0.2944</v>
      </c>
      <c r="I1962" s="15">
        <v>3.5499999999999997E-2</v>
      </c>
      <c r="J1962" s="15">
        <v>9.2626865671641792</v>
      </c>
    </row>
    <row r="1963" spans="1:10" x14ac:dyDescent="0.25">
      <c r="A1963" s="2" t="s">
        <v>5885</v>
      </c>
      <c r="B1963" s="2" t="s">
        <v>5886</v>
      </c>
      <c r="C1963" s="2" t="s">
        <v>5887</v>
      </c>
      <c r="D1963" s="2" t="s">
        <v>10050</v>
      </c>
      <c r="E1963" s="15">
        <v>-2.98E-2</v>
      </c>
      <c r="F1963" s="15">
        <v>3.6600000000000001E-2</v>
      </c>
      <c r="G1963" s="15">
        <v>0.41570000000000001</v>
      </c>
      <c r="H1963" s="15">
        <v>0.37830000000000003</v>
      </c>
      <c r="I1963" s="15">
        <v>4.2999999999999997E-2</v>
      </c>
      <c r="J1963" s="15">
        <v>10.05511811023622</v>
      </c>
    </row>
    <row r="1964" spans="1:10" x14ac:dyDescent="0.25">
      <c r="A1964" s="2" t="s">
        <v>5888</v>
      </c>
      <c r="B1964" s="2" t="s">
        <v>5889</v>
      </c>
      <c r="C1964" s="2" t="s">
        <v>5890</v>
      </c>
      <c r="D1964" s="2" t="s">
        <v>10050</v>
      </c>
      <c r="E1964" s="15">
        <v>-3.3700000000000001E-2</v>
      </c>
      <c r="F1964" s="15">
        <v>3.85E-2</v>
      </c>
      <c r="G1964" s="15">
        <v>0.38059999999999999</v>
      </c>
      <c r="H1964" s="15">
        <v>0.32400000000000001</v>
      </c>
      <c r="I1964" s="15">
        <v>3.9E-2</v>
      </c>
      <c r="J1964" s="15">
        <v>8.953125</v>
      </c>
    </row>
    <row r="1965" spans="1:10" x14ac:dyDescent="0.25">
      <c r="A1965" s="2" t="s">
        <v>5891</v>
      </c>
      <c r="B1965" s="2" t="s">
        <v>5892</v>
      </c>
      <c r="C1965" s="2" t="s">
        <v>5893</v>
      </c>
      <c r="D1965" s="2" t="s">
        <v>10050</v>
      </c>
      <c r="E1965" s="15">
        <v>-3.4700000000000002E-2</v>
      </c>
      <c r="F1965" s="15">
        <v>3.7600000000000001E-2</v>
      </c>
      <c r="G1965" s="15">
        <v>0.35580000000000001</v>
      </c>
      <c r="H1965" s="15">
        <v>0.32240000000000002</v>
      </c>
      <c r="I1965" s="15">
        <v>3.78E-2</v>
      </c>
      <c r="J1965" s="15">
        <v>9.2058047493403681</v>
      </c>
    </row>
    <row r="1966" spans="1:10" x14ac:dyDescent="0.25">
      <c r="A1966" s="2" t="s">
        <v>5894</v>
      </c>
      <c r="B1966" s="2" t="s">
        <v>5895</v>
      </c>
      <c r="C1966" s="2" t="s">
        <v>5896</v>
      </c>
      <c r="D1966" s="2" t="s">
        <v>10050</v>
      </c>
      <c r="E1966" s="15">
        <v>-2.18E-2</v>
      </c>
      <c r="F1966" s="15">
        <v>3.8199999999999998E-2</v>
      </c>
      <c r="G1966" s="15">
        <v>0.56879999999999997</v>
      </c>
      <c r="H1966" s="15">
        <v>0.32279999999999998</v>
      </c>
      <c r="I1966" s="15">
        <v>3.7699999999999997E-2</v>
      </c>
      <c r="J1966" s="15">
        <v>9.0787401574803148</v>
      </c>
    </row>
    <row r="1967" spans="1:10" x14ac:dyDescent="0.25">
      <c r="A1967" s="2" t="s">
        <v>5897</v>
      </c>
      <c r="B1967" s="2" t="s">
        <v>5898</v>
      </c>
      <c r="C1967" s="2" t="s">
        <v>5899</v>
      </c>
      <c r="D1967" s="2" t="s">
        <v>10050</v>
      </c>
      <c r="E1967" s="15">
        <v>-3.5900000000000001E-2</v>
      </c>
      <c r="F1967" s="15">
        <v>3.7199999999999997E-2</v>
      </c>
      <c r="G1967" s="15">
        <v>0.33439999999999998</v>
      </c>
      <c r="H1967" s="15">
        <v>0.31430000000000002</v>
      </c>
      <c r="I1967" s="15">
        <v>3.7900000000000003E-2</v>
      </c>
      <c r="J1967" s="15">
        <v>8.7358974358974368</v>
      </c>
    </row>
    <row r="1968" spans="1:10" x14ac:dyDescent="0.25">
      <c r="A1968" s="2" t="s">
        <v>5900</v>
      </c>
      <c r="B1968" s="2" t="s">
        <v>5901</v>
      </c>
      <c r="C1968" s="2" t="s">
        <v>5902</v>
      </c>
      <c r="D1968" s="2" t="s">
        <v>10050</v>
      </c>
      <c r="E1968" s="15">
        <v>5.8599999999999999E-2</v>
      </c>
      <c r="F1968" s="15">
        <v>4.2099999999999999E-2</v>
      </c>
      <c r="G1968" s="15">
        <v>0.16420000000000001</v>
      </c>
      <c r="H1968" s="15">
        <v>0.25900000000000001</v>
      </c>
      <c r="I1968" s="15">
        <v>2.7699999999999999E-2</v>
      </c>
      <c r="J1968" s="15">
        <v>9.624113475177305</v>
      </c>
    </row>
    <row r="1969" spans="1:10" x14ac:dyDescent="0.25">
      <c r="A1969" s="2" t="s">
        <v>5903</v>
      </c>
      <c r="B1969" s="2" t="s">
        <v>5904</v>
      </c>
      <c r="C1969" s="2" t="s">
        <v>5905</v>
      </c>
      <c r="D1969" s="2" t="s">
        <v>10050</v>
      </c>
      <c r="E1969" s="15">
        <v>2.6700000000000002E-2</v>
      </c>
      <c r="F1969" s="15">
        <v>4.0500000000000001E-2</v>
      </c>
      <c r="G1969" s="15">
        <v>0.51039999999999996</v>
      </c>
      <c r="H1969" s="15">
        <v>0.2636</v>
      </c>
      <c r="I1969" s="15">
        <v>2.7099999999999999E-2</v>
      </c>
      <c r="J1969" s="15">
        <v>10.703007518796991</v>
      </c>
    </row>
    <row r="1970" spans="1:10" x14ac:dyDescent="0.25">
      <c r="A1970" s="2" t="s">
        <v>5906</v>
      </c>
      <c r="B1970" s="2" t="s">
        <v>5907</v>
      </c>
      <c r="C1970" s="2" t="s">
        <v>5908</v>
      </c>
      <c r="D1970" s="2" t="s">
        <v>10050</v>
      </c>
      <c r="E1970" s="15">
        <v>-7.9000000000000008E-3</v>
      </c>
      <c r="F1970" s="15">
        <v>3.95E-2</v>
      </c>
      <c r="G1970" s="15">
        <v>0.84189999999999998</v>
      </c>
      <c r="H1970" s="15">
        <v>0.27910000000000001</v>
      </c>
      <c r="I1970" s="15">
        <v>2.7300000000000001E-2</v>
      </c>
      <c r="J1970" s="15">
        <v>11</v>
      </c>
    </row>
    <row r="1971" spans="1:10" x14ac:dyDescent="0.25">
      <c r="A1971" s="2" t="s">
        <v>5909</v>
      </c>
      <c r="B1971" s="2" t="s">
        <v>5910</v>
      </c>
      <c r="C1971" s="2" t="s">
        <v>5911</v>
      </c>
      <c r="D1971" s="2" t="s">
        <v>10050</v>
      </c>
      <c r="E1971" s="15">
        <v>-3.9800000000000002E-2</v>
      </c>
      <c r="F1971" s="15">
        <v>4.0399999999999998E-2</v>
      </c>
      <c r="G1971" s="15">
        <v>0.32469999999999999</v>
      </c>
      <c r="H1971" s="15">
        <v>0.29199999999999998</v>
      </c>
      <c r="I1971" s="15">
        <v>3.6499999999999998E-2</v>
      </c>
      <c r="J1971" s="15">
        <v>8.9542857142857137</v>
      </c>
    </row>
    <row r="1972" spans="1:10" x14ac:dyDescent="0.25">
      <c r="A1972" s="2" t="s">
        <v>5912</v>
      </c>
      <c r="B1972" s="2" t="s">
        <v>5913</v>
      </c>
      <c r="C1972" s="2" t="s">
        <v>5914</v>
      </c>
      <c r="D1972" s="2" t="s">
        <v>10050</v>
      </c>
      <c r="E1972" s="15">
        <v>-5.0700000000000002E-2</v>
      </c>
      <c r="F1972" s="15">
        <v>3.9399999999999998E-2</v>
      </c>
      <c r="G1972" s="15">
        <v>0.1988</v>
      </c>
      <c r="H1972" s="15">
        <v>0.2893</v>
      </c>
      <c r="I1972" s="15">
        <v>3.5900000000000001E-2</v>
      </c>
      <c r="J1972" s="15">
        <v>8.9660056657223794</v>
      </c>
    </row>
    <row r="1973" spans="1:10" x14ac:dyDescent="0.25">
      <c r="A1973" s="2" t="s">
        <v>5915</v>
      </c>
      <c r="B1973" s="2" t="s">
        <v>5916</v>
      </c>
      <c r="C1973" s="2" t="s">
        <v>5917</v>
      </c>
      <c r="D1973" s="2" t="s">
        <v>10050</v>
      </c>
      <c r="E1973" s="15">
        <v>-2.8400000000000002E-2</v>
      </c>
      <c r="F1973" s="15">
        <v>3.7400000000000003E-2</v>
      </c>
      <c r="G1973" s="15">
        <v>0.4471</v>
      </c>
      <c r="H1973" s="15">
        <v>0.36099999999999999</v>
      </c>
      <c r="I1973" s="15">
        <v>3.9100000000000003E-2</v>
      </c>
      <c r="J1973" s="15">
        <v>10.18256130790191</v>
      </c>
    </row>
    <row r="1974" spans="1:10" x14ac:dyDescent="0.25">
      <c r="A1974" s="2" t="s">
        <v>5918</v>
      </c>
      <c r="B1974" s="2" t="s">
        <v>5919</v>
      </c>
      <c r="C1974" s="2" t="s">
        <v>5920</v>
      </c>
      <c r="D1974" s="2" t="s">
        <v>10050</v>
      </c>
      <c r="E1974" s="15">
        <v>-3.1899999999999998E-2</v>
      </c>
      <c r="F1974" s="15">
        <v>3.5999999999999997E-2</v>
      </c>
      <c r="G1974" s="15">
        <v>0.37590000000000001</v>
      </c>
      <c r="H1974" s="15">
        <v>0.36330000000000001</v>
      </c>
      <c r="I1974" s="15">
        <v>4.0099999999999997E-2</v>
      </c>
      <c r="J1974" s="15">
        <v>10.247282608695651</v>
      </c>
    </row>
    <row r="1975" spans="1:10" x14ac:dyDescent="0.25">
      <c r="A1975" s="2" t="s">
        <v>5921</v>
      </c>
      <c r="B1975" s="2" t="s">
        <v>5922</v>
      </c>
      <c r="C1975" s="2" t="s">
        <v>5923</v>
      </c>
      <c r="D1975" s="2" t="s">
        <v>10050</v>
      </c>
      <c r="E1975" s="15">
        <v>3.8999999999999998E-3</v>
      </c>
      <c r="F1975" s="15">
        <v>3.8199999999999998E-2</v>
      </c>
      <c r="G1975" s="15">
        <v>0.91959999999999997</v>
      </c>
      <c r="H1975" s="15">
        <v>0.3054</v>
      </c>
      <c r="I1975" s="15">
        <v>3.4000000000000002E-2</v>
      </c>
      <c r="J1975" s="15">
        <v>10.06191950464396</v>
      </c>
    </row>
    <row r="1976" spans="1:10" x14ac:dyDescent="0.25">
      <c r="A1976" s="2" t="s">
        <v>5924</v>
      </c>
      <c r="B1976" s="2" t="s">
        <v>5925</v>
      </c>
      <c r="C1976" s="2" t="s">
        <v>5926</v>
      </c>
      <c r="D1976" s="2" t="s">
        <v>10050</v>
      </c>
      <c r="E1976" s="15">
        <v>-1E-4</v>
      </c>
      <c r="F1976" s="15">
        <v>3.6700000000000003E-2</v>
      </c>
      <c r="G1976" s="15">
        <v>0.99750000000000005</v>
      </c>
      <c r="H1976" s="15">
        <v>0.32169999999999999</v>
      </c>
      <c r="I1976" s="15">
        <v>3.61E-2</v>
      </c>
      <c r="J1976" s="15">
        <v>10.06176470588235</v>
      </c>
    </row>
    <row r="1977" spans="1:10" x14ac:dyDescent="0.25">
      <c r="A1977" s="2" t="s">
        <v>5927</v>
      </c>
      <c r="B1977" s="2" t="s">
        <v>5928</v>
      </c>
      <c r="C1977" s="2" t="s">
        <v>5929</v>
      </c>
      <c r="D1977" s="2" t="s">
        <v>10050</v>
      </c>
      <c r="E1977" s="15">
        <v>-6.1000000000000004E-3</v>
      </c>
      <c r="F1977" s="15">
        <v>4.02E-2</v>
      </c>
      <c r="G1977" s="15">
        <v>0.88</v>
      </c>
      <c r="H1977" s="15">
        <v>0.3115</v>
      </c>
      <c r="I1977" s="15">
        <v>2.8899999999999999E-2</v>
      </c>
      <c r="J1977" s="15">
        <v>10.85016286644951</v>
      </c>
    </row>
    <row r="1978" spans="1:10" x14ac:dyDescent="0.25">
      <c r="A1978" s="2" t="s">
        <v>5930</v>
      </c>
      <c r="B1978" s="2" t="s">
        <v>5931</v>
      </c>
      <c r="C1978" s="2" t="s">
        <v>5932</v>
      </c>
      <c r="D1978" s="2" t="s">
        <v>10050</v>
      </c>
      <c r="E1978" s="15">
        <v>-2.0000000000000001E-4</v>
      </c>
      <c r="F1978" s="15">
        <v>3.8399999999999997E-2</v>
      </c>
      <c r="G1978" s="15">
        <v>0.99490000000000001</v>
      </c>
      <c r="H1978" s="15">
        <v>0.33150000000000002</v>
      </c>
      <c r="I1978" s="15">
        <v>3.09E-2</v>
      </c>
      <c r="J1978" s="15">
        <v>10.82262996941896</v>
      </c>
    </row>
    <row r="1979" spans="1:10" x14ac:dyDescent="0.25">
      <c r="A1979" s="2" t="s">
        <v>5933</v>
      </c>
      <c r="B1979" s="2" t="s">
        <v>5934</v>
      </c>
      <c r="C1979" s="2" t="s">
        <v>5935</v>
      </c>
      <c r="D1979" s="2" t="s">
        <v>10051</v>
      </c>
      <c r="E1979" s="15">
        <v>2.92E-2</v>
      </c>
      <c r="F1979" s="15">
        <v>4.7199999999999999E-2</v>
      </c>
      <c r="G1979" s="15">
        <v>0.53639999999999999</v>
      </c>
      <c r="H1979" s="15">
        <v>0.20810000000000001</v>
      </c>
      <c r="I1979" s="15">
        <v>2.1499999999999998E-2</v>
      </c>
      <c r="J1979" s="15">
        <v>10.81407035175879</v>
      </c>
    </row>
    <row r="1980" spans="1:10" x14ac:dyDescent="0.25">
      <c r="A1980" s="2" t="s">
        <v>5936</v>
      </c>
      <c r="B1980" s="2" t="s">
        <v>5937</v>
      </c>
      <c r="C1980" s="2" t="s">
        <v>5938</v>
      </c>
      <c r="D1980" s="2" t="s">
        <v>10051</v>
      </c>
      <c r="E1980" s="15">
        <v>-1.17E-2</v>
      </c>
      <c r="F1980" s="15">
        <v>4.2999999999999997E-2</v>
      </c>
      <c r="G1980" s="15">
        <v>0.78580000000000005</v>
      </c>
      <c r="H1980" s="15">
        <v>0.1903</v>
      </c>
      <c r="I1980" s="15">
        <v>2.6599999999999999E-2</v>
      </c>
      <c r="J1980" s="15">
        <v>9.1695652173913054</v>
      </c>
    </row>
    <row r="1981" spans="1:10" x14ac:dyDescent="0.25">
      <c r="A1981" s="2" t="s">
        <v>5939</v>
      </c>
      <c r="B1981" s="2" t="s">
        <v>5940</v>
      </c>
      <c r="C1981" s="2" t="s">
        <v>5941</v>
      </c>
      <c r="D1981" s="2" t="s">
        <v>10051</v>
      </c>
      <c r="E1981" s="15">
        <v>2.0799999999999999E-2</v>
      </c>
      <c r="F1981" s="15">
        <v>4.5900000000000003E-2</v>
      </c>
      <c r="G1981" s="15">
        <v>0.65059999999999996</v>
      </c>
      <c r="H1981" s="15">
        <v>0.20960000000000001</v>
      </c>
      <c r="I1981" s="15">
        <v>2.1899999999999999E-2</v>
      </c>
      <c r="J1981" s="15">
        <v>11.03921568627451</v>
      </c>
    </row>
    <row r="1982" spans="1:10" x14ac:dyDescent="0.25">
      <c r="A1982" s="2" t="s">
        <v>5942</v>
      </c>
      <c r="B1982" s="2" t="s">
        <v>5943</v>
      </c>
      <c r="C1982" s="2" t="s">
        <v>5944</v>
      </c>
      <c r="D1982" s="2" t="s">
        <v>10051</v>
      </c>
      <c r="E1982" s="15">
        <v>5.2900000000000003E-2</v>
      </c>
      <c r="F1982" s="15">
        <v>4.0800000000000003E-2</v>
      </c>
      <c r="G1982" s="15">
        <v>0.19450000000000001</v>
      </c>
      <c r="H1982" s="15">
        <v>0.23749999999999999</v>
      </c>
      <c r="I1982" s="15">
        <v>2.0899999999999998E-2</v>
      </c>
      <c r="J1982" s="15">
        <v>11.094594594594589</v>
      </c>
    </row>
    <row r="1983" spans="1:10" x14ac:dyDescent="0.25">
      <c r="A1983" s="2" t="s">
        <v>5945</v>
      </c>
      <c r="B1983" s="2" t="s">
        <v>5946</v>
      </c>
      <c r="C1983" s="2" t="s">
        <v>5947</v>
      </c>
      <c r="D1983" s="2" t="s">
        <v>10051</v>
      </c>
      <c r="E1983" s="15">
        <v>-3.3700000000000001E-2</v>
      </c>
      <c r="F1983" s="15">
        <v>3.6499999999999998E-2</v>
      </c>
      <c r="G1983" s="15">
        <v>0.35570000000000002</v>
      </c>
      <c r="H1983" s="15">
        <v>0.28860000000000002</v>
      </c>
      <c r="I1983" s="15">
        <v>2.4500000000000001E-2</v>
      </c>
      <c r="J1983" s="15">
        <v>12.290983606557379</v>
      </c>
    </row>
    <row r="1984" spans="1:10" x14ac:dyDescent="0.25">
      <c r="A1984" s="2" t="s">
        <v>5948</v>
      </c>
      <c r="B1984" s="2" t="s">
        <v>5949</v>
      </c>
      <c r="C1984" s="2" t="s">
        <v>5950</v>
      </c>
      <c r="D1984" s="2" t="s">
        <v>10051</v>
      </c>
      <c r="E1984" s="15">
        <v>6.7299999999999999E-2</v>
      </c>
      <c r="F1984" s="15">
        <v>5.0299999999999997E-2</v>
      </c>
      <c r="G1984" s="15">
        <v>0.18099999999999999</v>
      </c>
      <c r="H1984" s="15">
        <v>0.13950000000000001</v>
      </c>
      <c r="I1984" s="15">
        <v>1.9099999999999999E-2</v>
      </c>
      <c r="J1984" s="15">
        <v>8.4285714285714288</v>
      </c>
    </row>
    <row r="1985" spans="1:10" x14ac:dyDescent="0.25">
      <c r="A1985" s="2" t="s">
        <v>5951</v>
      </c>
      <c r="B1985" s="2" t="s">
        <v>5952</v>
      </c>
      <c r="C1985" s="2" t="s">
        <v>5953</v>
      </c>
      <c r="D1985" s="2" t="s">
        <v>10051</v>
      </c>
      <c r="E1985" s="15">
        <v>6.8900000000000003E-2</v>
      </c>
      <c r="F1985" s="15">
        <v>5.3600000000000002E-2</v>
      </c>
      <c r="G1985" s="15">
        <v>0.19889999999999999</v>
      </c>
      <c r="H1985" s="15">
        <v>0.121</v>
      </c>
      <c r="I1985" s="15">
        <v>2.0299999999999999E-2</v>
      </c>
      <c r="J1985" s="15">
        <v>6.4</v>
      </c>
    </row>
    <row r="1986" spans="1:10" x14ac:dyDescent="0.25">
      <c r="A1986" s="2" t="s">
        <v>5954</v>
      </c>
      <c r="B1986" s="2" t="s">
        <v>5955</v>
      </c>
      <c r="C1986" s="2" t="s">
        <v>5956</v>
      </c>
      <c r="D1986" s="2" t="s">
        <v>10051</v>
      </c>
      <c r="E1986" s="15">
        <v>-9.4999999999999998E-3</v>
      </c>
      <c r="F1986" s="15">
        <v>4.7300000000000002E-2</v>
      </c>
      <c r="G1986" s="15">
        <v>0.84160000000000001</v>
      </c>
      <c r="H1986" s="15">
        <v>0.1222</v>
      </c>
      <c r="I1986" s="15">
        <v>1.89E-2</v>
      </c>
      <c r="J1986" s="15">
        <v>7.1436464088397784</v>
      </c>
    </row>
    <row r="1987" spans="1:10" x14ac:dyDescent="0.25">
      <c r="A1987" s="2" t="s">
        <v>5957</v>
      </c>
      <c r="B1987" s="2" t="s">
        <v>5958</v>
      </c>
      <c r="C1987" s="2" t="s">
        <v>5959</v>
      </c>
      <c r="D1987" s="2" t="s">
        <v>10051</v>
      </c>
      <c r="E1987" s="15">
        <v>1.3599999999999999E-2</v>
      </c>
      <c r="F1987" s="15">
        <v>5.0799999999999998E-2</v>
      </c>
      <c r="G1987" s="15">
        <v>0.78849999999999998</v>
      </c>
      <c r="H1987" s="15">
        <v>0.1661</v>
      </c>
      <c r="I1987" s="15">
        <v>2.1000000000000001E-2</v>
      </c>
      <c r="J1987" s="15">
        <v>8.51</v>
      </c>
    </row>
    <row r="1988" spans="1:10" x14ac:dyDescent="0.25">
      <c r="A1988" s="2" t="s">
        <v>5960</v>
      </c>
      <c r="B1988" s="2" t="s">
        <v>5961</v>
      </c>
      <c r="C1988" s="2" t="s">
        <v>5962</v>
      </c>
      <c r="D1988" s="2" t="s">
        <v>10051</v>
      </c>
      <c r="E1988" s="15">
        <v>-2.86E-2</v>
      </c>
      <c r="F1988" s="15">
        <v>4.5999999999999999E-2</v>
      </c>
      <c r="G1988" s="15">
        <v>0.53420000000000001</v>
      </c>
      <c r="H1988" s="15">
        <v>0.17230000000000001</v>
      </c>
      <c r="I1988" s="15">
        <v>2.06E-2</v>
      </c>
      <c r="J1988" s="15">
        <v>8.5142857142857125</v>
      </c>
    </row>
    <row r="1989" spans="1:10" x14ac:dyDescent="0.25">
      <c r="A1989" s="2" t="s">
        <v>5963</v>
      </c>
      <c r="B1989" s="2" t="s">
        <v>5964</v>
      </c>
      <c r="C1989" s="2" t="s">
        <v>5965</v>
      </c>
      <c r="D1989" s="2" t="s">
        <v>10051</v>
      </c>
      <c r="E1989" s="15">
        <v>6.0100000000000001E-2</v>
      </c>
      <c r="F1989" s="15">
        <v>4.3999999999999997E-2</v>
      </c>
      <c r="G1989" s="15">
        <v>0.1721</v>
      </c>
      <c r="H1989" s="15">
        <v>0.20469999999999999</v>
      </c>
      <c r="I1989" s="15">
        <v>2.0899999999999998E-2</v>
      </c>
      <c r="J1989" s="15">
        <v>11.064356435643569</v>
      </c>
    </row>
    <row r="1990" spans="1:10" x14ac:dyDescent="0.25">
      <c r="A1990" s="2" t="s">
        <v>5966</v>
      </c>
      <c r="B1990" s="2" t="s">
        <v>5967</v>
      </c>
      <c r="C1990" s="2" t="s">
        <v>5968</v>
      </c>
      <c r="D1990" s="2" t="s">
        <v>10051</v>
      </c>
      <c r="E1990" s="15">
        <v>4.8300000000000003E-2</v>
      </c>
      <c r="F1990" s="15">
        <v>4.3900000000000002E-2</v>
      </c>
      <c r="G1990" s="15">
        <v>0.27100000000000002</v>
      </c>
      <c r="H1990" s="15">
        <v>0.19500000000000001</v>
      </c>
      <c r="I1990" s="15">
        <v>2.1100000000000001E-2</v>
      </c>
      <c r="J1990" s="15">
        <v>10.171568627450981</v>
      </c>
    </row>
    <row r="1991" spans="1:10" x14ac:dyDescent="0.25">
      <c r="A1991" s="2" t="s">
        <v>5969</v>
      </c>
      <c r="B1991" s="2" t="s">
        <v>5970</v>
      </c>
      <c r="C1991" s="2" t="s">
        <v>5971</v>
      </c>
      <c r="D1991" s="2" t="s">
        <v>10051</v>
      </c>
      <c r="E1991" s="15">
        <v>-9.3100000000000002E-2</v>
      </c>
      <c r="F1991" s="15">
        <v>4.19E-2</v>
      </c>
      <c r="G1991" s="15">
        <v>2.63E-2</v>
      </c>
      <c r="H1991" s="15">
        <v>0.22</v>
      </c>
      <c r="I1991" s="15">
        <v>1.9599999999999999E-2</v>
      </c>
      <c r="J1991" s="15">
        <v>11.789189189189189</v>
      </c>
    </row>
    <row r="1992" spans="1:10" x14ac:dyDescent="0.25">
      <c r="A1992" s="2" t="s">
        <v>5972</v>
      </c>
      <c r="B1992" s="2" t="s">
        <v>5973</v>
      </c>
      <c r="C1992" s="2" t="s">
        <v>5974</v>
      </c>
      <c r="D1992" s="2" t="s">
        <v>10051</v>
      </c>
      <c r="E1992" s="15">
        <v>-6.7199999999999996E-2</v>
      </c>
      <c r="F1992" s="15">
        <v>4.0500000000000001E-2</v>
      </c>
      <c r="G1992" s="15">
        <v>9.74E-2</v>
      </c>
      <c r="H1992" s="15">
        <v>0.24049999999999999</v>
      </c>
      <c r="I1992" s="15">
        <v>2.01E-2</v>
      </c>
      <c r="J1992" s="15">
        <v>12.4040404040404</v>
      </c>
    </row>
    <row r="1993" spans="1:10" x14ac:dyDescent="0.25">
      <c r="A1993" s="2" t="s">
        <v>5975</v>
      </c>
      <c r="B1993" s="2" t="s">
        <v>5976</v>
      </c>
      <c r="C1993" s="2" t="s">
        <v>5977</v>
      </c>
      <c r="D1993" s="2" t="s">
        <v>10051</v>
      </c>
      <c r="E1993" s="15">
        <v>-2.0899999999999998E-2</v>
      </c>
      <c r="F1993" s="15">
        <v>3.6900000000000002E-2</v>
      </c>
      <c r="G1993" s="15">
        <v>0.57150000000000001</v>
      </c>
      <c r="H1993" s="15">
        <v>0.2843</v>
      </c>
      <c r="I1993" s="15">
        <v>2.5100000000000001E-2</v>
      </c>
      <c r="J1993" s="15">
        <v>12.16170212765957</v>
      </c>
    </row>
    <row r="1994" spans="1:10" x14ac:dyDescent="0.25">
      <c r="A1994" s="2" t="s">
        <v>5978</v>
      </c>
      <c r="B1994" s="2" t="s">
        <v>5979</v>
      </c>
      <c r="C1994" s="2" t="s">
        <v>5980</v>
      </c>
      <c r="D1994" s="2" t="s">
        <v>10051</v>
      </c>
      <c r="E1994" s="15">
        <v>-4.5199999999999997E-2</v>
      </c>
      <c r="F1994" s="15">
        <v>3.6400000000000002E-2</v>
      </c>
      <c r="G1994" s="15">
        <v>0.21429999999999999</v>
      </c>
      <c r="H1994" s="15">
        <v>0.28710000000000002</v>
      </c>
      <c r="I1994" s="15">
        <v>2.3900000000000001E-2</v>
      </c>
      <c r="J1994" s="15">
        <v>12.825327510917029</v>
      </c>
    </row>
    <row r="1995" spans="1:10" x14ac:dyDescent="0.25">
      <c r="A1995" s="2" t="s">
        <v>5981</v>
      </c>
      <c r="B1995" s="2" t="s">
        <v>5982</v>
      </c>
      <c r="C1995" s="2" t="s">
        <v>5983</v>
      </c>
      <c r="D1995" s="2" t="s">
        <v>10051</v>
      </c>
      <c r="E1995" s="15">
        <v>-2.9600000000000001E-2</v>
      </c>
      <c r="F1995" s="15">
        <v>4.5199999999999997E-2</v>
      </c>
      <c r="G1995" s="15">
        <v>0.51280000000000003</v>
      </c>
      <c r="H1995" s="15">
        <v>0.23169999999999999</v>
      </c>
      <c r="I1995" s="15">
        <v>2.2499999999999999E-2</v>
      </c>
      <c r="J1995" s="15">
        <v>11.50462962962963</v>
      </c>
    </row>
    <row r="1996" spans="1:10" x14ac:dyDescent="0.25">
      <c r="A1996" s="2" t="s">
        <v>5984</v>
      </c>
      <c r="B1996" s="2" t="s">
        <v>5985</v>
      </c>
      <c r="C1996" s="2" t="s">
        <v>5986</v>
      </c>
      <c r="D1996" s="2" t="s">
        <v>10051</v>
      </c>
      <c r="E1996" s="15">
        <v>-0.1016</v>
      </c>
      <c r="F1996" s="15">
        <v>4.4900000000000002E-2</v>
      </c>
      <c r="G1996" s="15">
        <v>2.3800000000000002E-2</v>
      </c>
      <c r="H1996" s="15">
        <v>0.24249999999999999</v>
      </c>
      <c r="I1996" s="15">
        <v>2.47E-2</v>
      </c>
      <c r="J1996" s="15">
        <v>10.81069958847737</v>
      </c>
    </row>
    <row r="1997" spans="1:10" x14ac:dyDescent="0.25">
      <c r="A1997" s="2" t="s">
        <v>5987</v>
      </c>
      <c r="B1997" s="2" t="s">
        <v>5988</v>
      </c>
      <c r="C1997" s="2" t="s">
        <v>5989</v>
      </c>
      <c r="D1997" s="2" t="s">
        <v>10051</v>
      </c>
      <c r="E1997" s="15">
        <v>-6.0699999999999997E-2</v>
      </c>
      <c r="F1997" s="15">
        <v>3.2500000000000001E-2</v>
      </c>
      <c r="G1997" s="15">
        <v>6.1600000000000002E-2</v>
      </c>
      <c r="H1997" s="15">
        <v>0.34010000000000001</v>
      </c>
      <c r="I1997" s="15">
        <v>2.7400000000000001E-2</v>
      </c>
      <c r="J1997" s="15">
        <v>14.15725806451613</v>
      </c>
    </row>
    <row r="1998" spans="1:10" x14ac:dyDescent="0.25">
      <c r="A1998" s="2" t="s">
        <v>5990</v>
      </c>
      <c r="B1998" s="2" t="s">
        <v>5991</v>
      </c>
      <c r="C1998" s="2" t="s">
        <v>5992</v>
      </c>
      <c r="D1998" s="2" t="s">
        <v>10051</v>
      </c>
      <c r="E1998" s="15">
        <v>-7.46E-2</v>
      </c>
      <c r="F1998" s="15">
        <v>3.2800000000000003E-2</v>
      </c>
      <c r="G1998" s="15">
        <v>2.3E-2</v>
      </c>
      <c r="H1998" s="15">
        <v>0.33250000000000002</v>
      </c>
      <c r="I1998" s="15">
        <v>2.7699999999999999E-2</v>
      </c>
      <c r="J1998" s="15">
        <v>13.7609561752988</v>
      </c>
    </row>
    <row r="1999" spans="1:10" x14ac:dyDescent="0.25">
      <c r="A1999" s="2" t="s">
        <v>5993</v>
      </c>
      <c r="B1999" s="2" t="s">
        <v>5994</v>
      </c>
      <c r="C1999" s="2" t="s">
        <v>5995</v>
      </c>
      <c r="D1999" s="2" t="s">
        <v>10051</v>
      </c>
      <c r="E1999" s="15">
        <v>-0.12809999999999999</v>
      </c>
      <c r="F1999" s="15">
        <v>3.6900000000000002E-2</v>
      </c>
      <c r="G1999" s="15">
        <v>5.0000000000000001E-4</v>
      </c>
      <c r="H1999" s="15">
        <v>0.24349999999999999</v>
      </c>
      <c r="I1999" s="15">
        <v>2.07E-2</v>
      </c>
      <c r="J1999" s="15">
        <v>12.8390243902439</v>
      </c>
    </row>
    <row r="2000" spans="1:10" x14ac:dyDescent="0.25">
      <c r="A2000" s="2" t="s">
        <v>5996</v>
      </c>
      <c r="B2000" s="2" t="s">
        <v>5997</v>
      </c>
      <c r="C2000" s="2" t="s">
        <v>5998</v>
      </c>
      <c r="D2000" s="2" t="s">
        <v>10051</v>
      </c>
      <c r="E2000" s="15">
        <v>-0.1065</v>
      </c>
      <c r="F2000" s="15">
        <v>4.5600000000000002E-2</v>
      </c>
      <c r="G2000" s="15">
        <v>1.9599999999999999E-2</v>
      </c>
      <c r="H2000" s="15">
        <v>0.184</v>
      </c>
      <c r="I2000" s="15">
        <v>2.07E-2</v>
      </c>
      <c r="J2000" s="15">
        <v>10.03465346534654</v>
      </c>
    </row>
    <row r="2001" spans="1:10" x14ac:dyDescent="0.25">
      <c r="A2001" s="2" t="s">
        <v>5999</v>
      </c>
      <c r="B2001" s="2" t="s">
        <v>6000</v>
      </c>
      <c r="C2001" s="2" t="s">
        <v>6001</v>
      </c>
      <c r="D2001" s="2" t="s">
        <v>10051</v>
      </c>
      <c r="E2001" s="15">
        <v>-5.0000000000000001E-4</v>
      </c>
      <c r="F2001" s="15">
        <v>3.9E-2</v>
      </c>
      <c r="G2001" s="15">
        <v>0.98899999999999999</v>
      </c>
      <c r="H2001" s="15">
        <v>0.2394</v>
      </c>
      <c r="I2001" s="15">
        <v>2.0299999999999999E-2</v>
      </c>
      <c r="J2001" s="15">
        <v>11.731132075471701</v>
      </c>
    </row>
    <row r="2002" spans="1:10" x14ac:dyDescent="0.25">
      <c r="A2002" s="2" t="s">
        <v>6002</v>
      </c>
      <c r="B2002" s="2" t="s">
        <v>6003</v>
      </c>
      <c r="C2002" s="2" t="s">
        <v>6004</v>
      </c>
      <c r="D2002" s="2" t="s">
        <v>10051</v>
      </c>
      <c r="E2002" s="15">
        <v>4.2099999999999999E-2</v>
      </c>
      <c r="F2002" s="15">
        <v>3.78E-2</v>
      </c>
      <c r="G2002" s="15">
        <v>0.26540000000000002</v>
      </c>
      <c r="H2002" s="15">
        <v>0.24129999999999999</v>
      </c>
      <c r="I2002" s="15">
        <v>2.18E-2</v>
      </c>
      <c r="J2002" s="15">
        <v>11.8294930875576</v>
      </c>
    </row>
    <row r="2003" spans="1:10" x14ac:dyDescent="0.25">
      <c r="A2003" s="2" t="s">
        <v>6005</v>
      </c>
      <c r="B2003" s="2" t="s">
        <v>6006</v>
      </c>
      <c r="C2003" s="2" t="s">
        <v>6007</v>
      </c>
      <c r="D2003" s="2" t="s">
        <v>10051</v>
      </c>
      <c r="E2003" s="15">
        <v>-0.1019</v>
      </c>
      <c r="F2003" s="15">
        <v>4.36E-2</v>
      </c>
      <c r="G2003" s="15">
        <v>1.9300000000000001E-2</v>
      </c>
      <c r="H2003" s="15">
        <v>0.25729999999999997</v>
      </c>
      <c r="I2003" s="15">
        <v>1.9800000000000002E-2</v>
      </c>
      <c r="J2003" s="15">
        <v>14.17766497461929</v>
      </c>
    </row>
    <row r="2004" spans="1:10" x14ac:dyDescent="0.25">
      <c r="A2004" s="2" t="s">
        <v>6008</v>
      </c>
      <c r="B2004" s="2" t="s">
        <v>6009</v>
      </c>
      <c r="C2004" s="2" t="s">
        <v>6010</v>
      </c>
      <c r="D2004" s="2" t="s">
        <v>10051</v>
      </c>
      <c r="E2004" s="15">
        <v>-9.4100000000000003E-2</v>
      </c>
      <c r="F2004" s="15">
        <v>4.41E-2</v>
      </c>
      <c r="G2004" s="15">
        <v>3.2599999999999997E-2</v>
      </c>
      <c r="H2004" s="15">
        <v>0.23849999999999999</v>
      </c>
      <c r="I2004" s="15">
        <v>2.1100000000000001E-2</v>
      </c>
      <c r="J2004" s="15">
        <v>11.606334841628961</v>
      </c>
    </row>
    <row r="2005" spans="1:10" x14ac:dyDescent="0.25">
      <c r="A2005" s="2" t="s">
        <v>6011</v>
      </c>
      <c r="B2005" s="2" t="s">
        <v>6012</v>
      </c>
      <c r="C2005" s="2" t="s">
        <v>6013</v>
      </c>
      <c r="D2005" s="2" t="s">
        <v>10051</v>
      </c>
      <c r="E2005" s="15">
        <v>-0.10630000000000001</v>
      </c>
      <c r="F2005" s="15">
        <v>4.2000000000000003E-2</v>
      </c>
      <c r="G2005" s="15">
        <v>1.1299999999999999E-2</v>
      </c>
      <c r="H2005" s="15">
        <v>0.2591</v>
      </c>
      <c r="I2005" s="15">
        <v>2.4400000000000002E-2</v>
      </c>
      <c r="J2005" s="15">
        <v>11.93506493506494</v>
      </c>
    </row>
    <row r="2006" spans="1:10" x14ac:dyDescent="0.25">
      <c r="A2006" s="2" t="s">
        <v>6014</v>
      </c>
      <c r="B2006" s="2" t="s">
        <v>6015</v>
      </c>
      <c r="C2006" s="2" t="s">
        <v>6016</v>
      </c>
      <c r="D2006" s="2" t="s">
        <v>10051</v>
      </c>
      <c r="E2006" s="15">
        <v>-0.10199999999999999</v>
      </c>
      <c r="F2006" s="15">
        <v>4.6600000000000003E-2</v>
      </c>
      <c r="G2006" s="15">
        <v>2.8500000000000001E-2</v>
      </c>
      <c r="H2006" s="15">
        <v>0.20300000000000001</v>
      </c>
      <c r="I2006" s="15">
        <v>2.1600000000000001E-2</v>
      </c>
      <c r="J2006" s="15">
        <v>10.33644859813084</v>
      </c>
    </row>
    <row r="2007" spans="1:10" x14ac:dyDescent="0.25">
      <c r="A2007" s="2" t="s">
        <v>6017</v>
      </c>
      <c r="B2007" s="2" t="s">
        <v>6018</v>
      </c>
      <c r="C2007" s="2" t="s">
        <v>6019</v>
      </c>
      <c r="D2007" s="2" t="s">
        <v>10051</v>
      </c>
      <c r="E2007" s="15">
        <v>-1.7000000000000001E-2</v>
      </c>
      <c r="F2007" s="15">
        <v>4.4499999999999998E-2</v>
      </c>
      <c r="G2007" s="15">
        <v>0.70269999999999999</v>
      </c>
      <c r="H2007" s="15">
        <v>0.19089999999999999</v>
      </c>
      <c r="I2007" s="15">
        <v>2.01E-2</v>
      </c>
      <c r="J2007" s="15">
        <v>10.62566844919786</v>
      </c>
    </row>
    <row r="2008" spans="1:10" x14ac:dyDescent="0.25">
      <c r="A2008" s="2" t="s">
        <v>6020</v>
      </c>
      <c r="B2008" s="2" t="s">
        <v>6021</v>
      </c>
      <c r="C2008" s="2" t="s">
        <v>6022</v>
      </c>
      <c r="D2008" s="2" t="s">
        <v>10051</v>
      </c>
      <c r="E2008" s="15">
        <v>-5.33E-2</v>
      </c>
      <c r="F2008" s="15">
        <v>4.07E-2</v>
      </c>
      <c r="G2008" s="15">
        <v>0.1898</v>
      </c>
      <c r="H2008" s="15">
        <v>0.22670000000000001</v>
      </c>
      <c r="I2008" s="15">
        <v>2.12E-2</v>
      </c>
      <c r="J2008" s="15">
        <v>11.861386138613859</v>
      </c>
    </row>
    <row r="2009" spans="1:10" x14ac:dyDescent="0.25">
      <c r="A2009" s="2" t="s">
        <v>6023</v>
      </c>
      <c r="B2009" s="2" t="s">
        <v>6024</v>
      </c>
      <c r="C2009" s="2" t="s">
        <v>6025</v>
      </c>
      <c r="D2009" s="2" t="s">
        <v>10051</v>
      </c>
      <c r="E2009" s="15">
        <v>-6.9099999999999995E-2</v>
      </c>
      <c r="F2009" s="15">
        <v>4.87E-2</v>
      </c>
      <c r="G2009" s="15">
        <v>0.15620000000000001</v>
      </c>
      <c r="H2009" s="15">
        <v>0.17810000000000001</v>
      </c>
      <c r="I2009" s="15">
        <v>2.0799999999999999E-2</v>
      </c>
      <c r="J2009" s="15">
        <v>9.218009478672986</v>
      </c>
    </row>
    <row r="2010" spans="1:10" x14ac:dyDescent="0.25">
      <c r="A2010" s="2" t="s">
        <v>6026</v>
      </c>
      <c r="B2010" s="2" t="s">
        <v>6027</v>
      </c>
      <c r="C2010" s="2" t="s">
        <v>6028</v>
      </c>
      <c r="D2010" s="2" t="s">
        <v>10051</v>
      </c>
      <c r="E2010" s="15">
        <v>-5.9799999999999999E-2</v>
      </c>
      <c r="F2010" s="15">
        <v>4.8000000000000001E-2</v>
      </c>
      <c r="G2010" s="15">
        <v>0.21340000000000001</v>
      </c>
      <c r="H2010" s="15">
        <v>0.1898</v>
      </c>
      <c r="I2010" s="15">
        <v>2.18E-2</v>
      </c>
      <c r="J2010" s="15">
        <v>9.0321100917431192</v>
      </c>
    </row>
    <row r="2011" spans="1:10" x14ac:dyDescent="0.25">
      <c r="A2011" s="2" t="s">
        <v>6029</v>
      </c>
      <c r="B2011" s="2" t="s">
        <v>6030</v>
      </c>
      <c r="C2011" s="2" t="s">
        <v>6031</v>
      </c>
      <c r="D2011" s="2" t="s">
        <v>10051</v>
      </c>
      <c r="E2011" s="15">
        <v>3.5900000000000001E-2</v>
      </c>
      <c r="F2011" s="15">
        <v>4.0599999999999997E-2</v>
      </c>
      <c r="G2011" s="15">
        <v>0.37669999999999998</v>
      </c>
      <c r="H2011" s="15">
        <v>0.28389999999999999</v>
      </c>
      <c r="I2011" s="15">
        <v>2.7699999999999999E-2</v>
      </c>
      <c r="J2011" s="15">
        <v>11.417293233082709</v>
      </c>
    </row>
    <row r="2012" spans="1:10" x14ac:dyDescent="0.25">
      <c r="A2012" s="2" t="s">
        <v>6032</v>
      </c>
      <c r="B2012" s="2" t="s">
        <v>6033</v>
      </c>
      <c r="C2012" s="2" t="s">
        <v>6034</v>
      </c>
      <c r="D2012" s="2" t="s">
        <v>10051</v>
      </c>
      <c r="E2012" s="15">
        <v>3.3999999999999998E-3</v>
      </c>
      <c r="F2012" s="15">
        <v>4.1200000000000001E-2</v>
      </c>
      <c r="G2012" s="15">
        <v>0.93420000000000003</v>
      </c>
      <c r="H2012" s="15">
        <v>0.29970000000000002</v>
      </c>
      <c r="I2012" s="15">
        <v>2.69E-2</v>
      </c>
      <c r="J2012" s="15">
        <v>12.24714828897338</v>
      </c>
    </row>
    <row r="2013" spans="1:10" x14ac:dyDescent="0.25">
      <c r="A2013" s="2" t="s">
        <v>6035</v>
      </c>
      <c r="B2013" s="2" t="s">
        <v>6036</v>
      </c>
      <c r="C2013" s="2" t="s">
        <v>6037</v>
      </c>
      <c r="D2013" s="2" t="s">
        <v>10051</v>
      </c>
      <c r="E2013" s="15">
        <v>-4.1999999999999997E-3</v>
      </c>
      <c r="F2013" s="15">
        <v>4.3400000000000001E-2</v>
      </c>
      <c r="G2013" s="15">
        <v>0.92320000000000002</v>
      </c>
      <c r="H2013" s="15">
        <v>0.2329</v>
      </c>
      <c r="I2013" s="15">
        <v>2.4E-2</v>
      </c>
      <c r="J2013" s="15">
        <v>10.581896551724141</v>
      </c>
    </row>
    <row r="2014" spans="1:10" x14ac:dyDescent="0.25">
      <c r="A2014" s="2" t="s">
        <v>6038</v>
      </c>
      <c r="B2014" s="2" t="s">
        <v>6039</v>
      </c>
      <c r="C2014" s="2" t="s">
        <v>6040</v>
      </c>
      <c r="D2014" s="2" t="s">
        <v>10051</v>
      </c>
      <c r="E2014" s="15">
        <v>-1.4E-2</v>
      </c>
      <c r="F2014" s="15">
        <v>4.1000000000000002E-2</v>
      </c>
      <c r="G2014" s="15">
        <v>0.73309999999999997</v>
      </c>
      <c r="H2014" s="15">
        <v>0.24690000000000001</v>
      </c>
      <c r="I2014" s="15">
        <v>2.23E-2</v>
      </c>
      <c r="J2014" s="15">
        <v>12.302325581395349</v>
      </c>
    </row>
    <row r="2015" spans="1:10" x14ac:dyDescent="0.25">
      <c r="A2015" s="2" t="s">
        <v>6041</v>
      </c>
      <c r="B2015" s="2" t="s">
        <v>6042</v>
      </c>
      <c r="C2015" s="2" t="s">
        <v>6043</v>
      </c>
      <c r="D2015" s="2" t="s">
        <v>10051</v>
      </c>
      <c r="E2015" s="15">
        <v>-6.7100000000000007E-2</v>
      </c>
      <c r="F2015" s="15">
        <v>4.2799999999999998E-2</v>
      </c>
      <c r="G2015" s="15">
        <v>0.11650000000000001</v>
      </c>
      <c r="H2015" s="15">
        <v>0.1953</v>
      </c>
      <c r="I2015" s="15">
        <v>2.3099999999999999E-2</v>
      </c>
      <c r="J2015" s="15">
        <v>9.0219298245614024</v>
      </c>
    </row>
    <row r="2016" spans="1:10" x14ac:dyDescent="0.25">
      <c r="A2016" s="2" t="s">
        <v>6044</v>
      </c>
      <c r="B2016" s="2" t="s">
        <v>6045</v>
      </c>
      <c r="C2016" s="2" t="s">
        <v>6046</v>
      </c>
      <c r="D2016" s="2" t="s">
        <v>10051</v>
      </c>
      <c r="E2016" s="15">
        <v>-5.3600000000000002E-2</v>
      </c>
      <c r="F2016" s="15">
        <v>4.4600000000000001E-2</v>
      </c>
      <c r="G2016" s="15">
        <v>0.2293</v>
      </c>
      <c r="H2016" s="15">
        <v>0.18340000000000001</v>
      </c>
      <c r="I2016" s="15">
        <v>2.18E-2</v>
      </c>
      <c r="J2016" s="15">
        <v>9.364055299539169</v>
      </c>
    </row>
    <row r="2017" spans="1:10" x14ac:dyDescent="0.25">
      <c r="A2017" s="2" t="s">
        <v>6047</v>
      </c>
      <c r="B2017" s="2" t="s">
        <v>6048</v>
      </c>
      <c r="C2017" s="2" t="s">
        <v>6049</v>
      </c>
      <c r="D2017" s="2" t="s">
        <v>10051</v>
      </c>
      <c r="E2017" s="15">
        <v>2.4199999999999999E-2</v>
      </c>
      <c r="F2017" s="15">
        <v>4.2799999999999998E-2</v>
      </c>
      <c r="G2017" s="15">
        <v>0.57150000000000001</v>
      </c>
      <c r="H2017" s="15">
        <v>0.2006</v>
      </c>
      <c r="I2017" s="15">
        <v>1.8499999999999999E-2</v>
      </c>
      <c r="J2017" s="15">
        <v>11.25268817204301</v>
      </c>
    </row>
    <row r="2018" spans="1:10" x14ac:dyDescent="0.25">
      <c r="A2018" s="2" t="s">
        <v>6050</v>
      </c>
      <c r="B2018" s="2" t="s">
        <v>6051</v>
      </c>
      <c r="C2018" s="2" t="s">
        <v>6052</v>
      </c>
      <c r="D2018" s="2" t="s">
        <v>10051</v>
      </c>
      <c r="E2018" s="15">
        <v>5.8000000000000003E-2</v>
      </c>
      <c r="F2018" s="15">
        <v>4.6600000000000003E-2</v>
      </c>
      <c r="G2018" s="15">
        <v>0.2127</v>
      </c>
      <c r="H2018" s="15">
        <v>0.2157</v>
      </c>
      <c r="I2018" s="15">
        <v>2.1899999999999999E-2</v>
      </c>
      <c r="J2018" s="15">
        <v>10.62910798122066</v>
      </c>
    </row>
    <row r="2019" spans="1:10" x14ac:dyDescent="0.25">
      <c r="A2019" s="2" t="s">
        <v>6053</v>
      </c>
      <c r="B2019" s="2" t="s">
        <v>6054</v>
      </c>
      <c r="C2019" s="2" t="s">
        <v>6055</v>
      </c>
      <c r="D2019" s="2" t="s">
        <v>10051</v>
      </c>
      <c r="E2019" s="15">
        <v>-4.9799999999999997E-2</v>
      </c>
      <c r="F2019" s="15">
        <v>3.8399999999999997E-2</v>
      </c>
      <c r="G2019" s="15">
        <v>0.19470000000000001</v>
      </c>
      <c r="H2019" s="15">
        <v>0.28670000000000001</v>
      </c>
      <c r="I2019" s="15">
        <v>2.3900000000000001E-2</v>
      </c>
      <c r="J2019" s="15">
        <v>13.142857142857141</v>
      </c>
    </row>
    <row r="2020" spans="1:10" x14ac:dyDescent="0.25">
      <c r="A2020" s="2" t="s">
        <v>6056</v>
      </c>
      <c r="B2020" s="2" t="s">
        <v>6057</v>
      </c>
      <c r="C2020" s="2" t="s">
        <v>6058</v>
      </c>
      <c r="D2020" s="2" t="s">
        <v>10051</v>
      </c>
      <c r="E2020" s="15">
        <v>-7.0099999999999996E-2</v>
      </c>
      <c r="F2020" s="15">
        <v>3.73E-2</v>
      </c>
      <c r="G2020" s="15">
        <v>6.0499999999999998E-2</v>
      </c>
      <c r="H2020" s="15">
        <v>0.2727</v>
      </c>
      <c r="I2020" s="15">
        <v>2.4400000000000002E-2</v>
      </c>
      <c r="J2020" s="15">
        <v>13.200892857142859</v>
      </c>
    </row>
    <row r="2021" spans="1:10" x14ac:dyDescent="0.25">
      <c r="A2021" s="2" t="s">
        <v>6059</v>
      </c>
      <c r="B2021" s="2" t="s">
        <v>6060</v>
      </c>
      <c r="C2021" s="2" t="s">
        <v>6061</v>
      </c>
      <c r="D2021" s="2" t="s">
        <v>10051</v>
      </c>
      <c r="E2021" s="15">
        <v>5.1999999999999998E-2</v>
      </c>
      <c r="F2021" s="15">
        <v>4.5699999999999998E-2</v>
      </c>
      <c r="G2021" s="15">
        <v>0.25509999999999999</v>
      </c>
      <c r="H2021" s="15">
        <v>0.2394</v>
      </c>
      <c r="I2021" s="15">
        <v>2.2499999999999999E-2</v>
      </c>
      <c r="J2021" s="15">
        <v>11.65865384615385</v>
      </c>
    </row>
    <row r="2022" spans="1:10" x14ac:dyDescent="0.25">
      <c r="A2022" s="2" t="s">
        <v>6062</v>
      </c>
      <c r="B2022" s="2" t="s">
        <v>6063</v>
      </c>
      <c r="C2022" s="2" t="s">
        <v>6064</v>
      </c>
      <c r="D2022" s="2" t="s">
        <v>10051</v>
      </c>
      <c r="E2022" s="15">
        <v>1.2E-2</v>
      </c>
      <c r="F2022" s="15">
        <v>4.3700000000000003E-2</v>
      </c>
      <c r="G2022" s="15">
        <v>0.7833</v>
      </c>
      <c r="H2022" s="15">
        <v>0.22720000000000001</v>
      </c>
      <c r="I2022" s="15">
        <v>2.2100000000000002E-2</v>
      </c>
      <c r="J2022" s="15">
        <v>10.58018867924528</v>
      </c>
    </row>
    <row r="2023" spans="1:10" x14ac:dyDescent="0.25">
      <c r="A2023" s="2" t="s">
        <v>6065</v>
      </c>
      <c r="B2023" s="2" t="s">
        <v>6066</v>
      </c>
      <c r="C2023" s="2" t="s">
        <v>6067</v>
      </c>
      <c r="D2023" s="2" t="s">
        <v>10051</v>
      </c>
      <c r="E2023" s="15">
        <v>-3.5200000000000002E-2</v>
      </c>
      <c r="F2023" s="15">
        <v>4.3700000000000003E-2</v>
      </c>
      <c r="G2023" s="15">
        <v>0.42</v>
      </c>
      <c r="H2023" s="15">
        <v>0.2757</v>
      </c>
      <c r="I2023" s="15">
        <v>2.4400000000000002E-2</v>
      </c>
      <c r="J2023" s="15">
        <v>12.139240506329109</v>
      </c>
    </row>
    <row r="2024" spans="1:10" x14ac:dyDescent="0.25">
      <c r="A2024" s="2" t="s">
        <v>6068</v>
      </c>
      <c r="B2024" s="2" t="s">
        <v>6069</v>
      </c>
      <c r="C2024" s="2" t="s">
        <v>6070</v>
      </c>
      <c r="D2024" s="2" t="s">
        <v>10051</v>
      </c>
      <c r="E2024" s="15">
        <v>-2.7199999999999998E-2</v>
      </c>
      <c r="F2024" s="15">
        <v>4.0500000000000001E-2</v>
      </c>
      <c r="G2024" s="15">
        <v>0.50239999999999996</v>
      </c>
      <c r="H2024" s="15">
        <v>0.25800000000000001</v>
      </c>
      <c r="I2024" s="15">
        <v>2.4E-2</v>
      </c>
      <c r="J2024" s="15">
        <v>11.6</v>
      </c>
    </row>
    <row r="2025" spans="1:10" x14ac:dyDescent="0.25">
      <c r="A2025" s="2" t="s">
        <v>6071</v>
      </c>
      <c r="B2025" s="2" t="s">
        <v>6072</v>
      </c>
      <c r="C2025" s="2" t="s">
        <v>6073</v>
      </c>
      <c r="D2025" s="2" t="s">
        <v>10051</v>
      </c>
      <c r="E2025" s="15">
        <v>-6.8500000000000005E-2</v>
      </c>
      <c r="F2025" s="15">
        <v>5.6899999999999999E-2</v>
      </c>
      <c r="G2025" s="15">
        <v>0.2281</v>
      </c>
      <c r="H2025" s="15">
        <v>0.1278</v>
      </c>
      <c r="I2025" s="15">
        <v>1.7399999999999999E-2</v>
      </c>
      <c r="J2025" s="15">
        <v>7.786516853932584</v>
      </c>
    </row>
    <row r="2026" spans="1:10" x14ac:dyDescent="0.25">
      <c r="A2026" s="2" t="s">
        <v>6074</v>
      </c>
      <c r="B2026" s="2" t="s">
        <v>6075</v>
      </c>
      <c r="C2026" s="2" t="s">
        <v>6076</v>
      </c>
      <c r="D2026" s="2" t="s">
        <v>10051</v>
      </c>
      <c r="E2026" s="15">
        <v>-5.8799999999999998E-2</v>
      </c>
      <c r="F2026" s="15">
        <v>5.6399999999999999E-2</v>
      </c>
      <c r="G2026" s="15">
        <v>0.2969</v>
      </c>
      <c r="H2026" s="15">
        <v>0.1431</v>
      </c>
      <c r="I2026" s="15">
        <v>1.9800000000000002E-2</v>
      </c>
      <c r="J2026" s="15">
        <v>8.2299465240641716</v>
      </c>
    </row>
    <row r="2027" spans="1:10" x14ac:dyDescent="0.25">
      <c r="A2027" s="2" t="s">
        <v>6077</v>
      </c>
      <c r="B2027" s="2" t="s">
        <v>6078</v>
      </c>
      <c r="C2027" s="2" t="s">
        <v>6079</v>
      </c>
      <c r="D2027" s="2" t="s">
        <v>10051</v>
      </c>
      <c r="E2027" s="15">
        <v>-8.7300000000000003E-2</v>
      </c>
      <c r="F2027" s="15">
        <v>6.0100000000000001E-2</v>
      </c>
      <c r="G2027" s="15">
        <v>0.14649999999999999</v>
      </c>
      <c r="H2027" s="15">
        <v>0.1341</v>
      </c>
      <c r="I2027" s="15">
        <v>2.0899999999999998E-2</v>
      </c>
      <c r="J2027" s="15">
        <v>7.2010050251256281</v>
      </c>
    </row>
    <row r="2028" spans="1:10" x14ac:dyDescent="0.25">
      <c r="A2028" s="2" t="s">
        <v>6080</v>
      </c>
      <c r="B2028" s="2" t="s">
        <v>6081</v>
      </c>
      <c r="C2028" s="2" t="s">
        <v>6082</v>
      </c>
      <c r="D2028" s="2" t="s">
        <v>10051</v>
      </c>
      <c r="E2028" s="15">
        <v>-8.0500000000000002E-2</v>
      </c>
      <c r="F2028" s="15">
        <v>6.3899999999999998E-2</v>
      </c>
      <c r="G2028" s="15">
        <v>0.2074</v>
      </c>
      <c r="H2028" s="15">
        <v>0.112</v>
      </c>
      <c r="I2028" s="15">
        <v>1.7299999999999999E-2</v>
      </c>
      <c r="J2028" s="15">
        <v>7.3011363636363633</v>
      </c>
    </row>
    <row r="2029" spans="1:10" x14ac:dyDescent="0.25">
      <c r="A2029" s="2" t="s">
        <v>6083</v>
      </c>
      <c r="B2029" s="2" t="s">
        <v>6084</v>
      </c>
      <c r="C2029" s="2" t="s">
        <v>6085</v>
      </c>
      <c r="D2029" s="2" t="s">
        <v>10051</v>
      </c>
      <c r="E2029" s="15">
        <v>-0.1051</v>
      </c>
      <c r="F2029" s="15">
        <v>4.24E-2</v>
      </c>
      <c r="G2029" s="15">
        <v>1.3100000000000001E-2</v>
      </c>
      <c r="H2029" s="15">
        <v>0.25209999999999999</v>
      </c>
      <c r="I2029" s="15">
        <v>2.1600000000000001E-2</v>
      </c>
      <c r="J2029" s="15">
        <v>12.036363636363641</v>
      </c>
    </row>
    <row r="2030" spans="1:10" x14ac:dyDescent="0.25">
      <c r="A2030" s="2" t="s">
        <v>6086</v>
      </c>
      <c r="B2030" s="2" t="s">
        <v>6087</v>
      </c>
      <c r="C2030" s="2" t="s">
        <v>6088</v>
      </c>
      <c r="D2030" s="2" t="s">
        <v>10051</v>
      </c>
      <c r="E2030" s="15">
        <v>-6.7500000000000004E-2</v>
      </c>
      <c r="F2030" s="15">
        <v>4.65E-2</v>
      </c>
      <c r="G2030" s="15">
        <v>0.14649999999999999</v>
      </c>
      <c r="H2030" s="15">
        <v>0.24640000000000001</v>
      </c>
      <c r="I2030" s="15">
        <v>2.1000000000000001E-2</v>
      </c>
      <c r="J2030" s="15">
        <v>12.11004784688995</v>
      </c>
    </row>
    <row r="2031" spans="1:10" x14ac:dyDescent="0.25">
      <c r="A2031" s="2" t="s">
        <v>6089</v>
      </c>
      <c r="B2031" s="2" t="s">
        <v>6090</v>
      </c>
      <c r="C2031" s="2" t="s">
        <v>6091</v>
      </c>
      <c r="D2031" s="2" t="s">
        <v>10051</v>
      </c>
      <c r="E2031" s="15">
        <v>-5.4699999999999999E-2</v>
      </c>
      <c r="F2031" s="15">
        <v>6.5699999999999995E-2</v>
      </c>
      <c r="G2031" s="15">
        <v>0.40510000000000002</v>
      </c>
      <c r="H2031" s="15">
        <v>0.1072</v>
      </c>
      <c r="I2031" s="15">
        <v>1.5699999999999999E-2</v>
      </c>
      <c r="J2031" s="15">
        <v>6.701219512195121</v>
      </c>
    </row>
    <row r="2032" spans="1:10" x14ac:dyDescent="0.25">
      <c r="A2032" s="2" t="s">
        <v>6092</v>
      </c>
      <c r="B2032" s="2" t="s">
        <v>6093</v>
      </c>
      <c r="C2032" s="2" t="s">
        <v>6094</v>
      </c>
      <c r="D2032" s="2" t="s">
        <v>10051</v>
      </c>
      <c r="E2032" s="15">
        <v>-1.17E-2</v>
      </c>
      <c r="F2032" s="15">
        <v>5.4899999999999997E-2</v>
      </c>
      <c r="G2032" s="15">
        <v>0.83160000000000001</v>
      </c>
      <c r="H2032" s="15">
        <v>0.14269999999999999</v>
      </c>
      <c r="I2032" s="15">
        <v>1.77E-2</v>
      </c>
      <c r="J2032" s="15">
        <v>8.3956043956043942</v>
      </c>
    </row>
    <row r="2033" spans="1:10" x14ac:dyDescent="0.25">
      <c r="A2033" s="2" t="s">
        <v>6095</v>
      </c>
      <c r="B2033" s="2" t="s">
        <v>6096</v>
      </c>
      <c r="C2033" s="2" t="s">
        <v>6097</v>
      </c>
      <c r="D2033" s="2" t="s">
        <v>10051</v>
      </c>
      <c r="E2033" s="15">
        <v>-4.8899999999999999E-2</v>
      </c>
      <c r="F2033" s="15">
        <v>5.6500000000000002E-2</v>
      </c>
      <c r="G2033" s="15">
        <v>0.38719999999999999</v>
      </c>
      <c r="H2033" s="15">
        <v>0.1149</v>
      </c>
      <c r="I2033" s="15">
        <v>1.6899999999999998E-2</v>
      </c>
      <c r="J2033" s="15">
        <v>7.0289017341040463</v>
      </c>
    </row>
    <row r="2034" spans="1:10" x14ac:dyDescent="0.25">
      <c r="A2034" s="2" t="s">
        <v>6098</v>
      </c>
      <c r="B2034" s="2" t="s">
        <v>6099</v>
      </c>
      <c r="C2034" s="2" t="s">
        <v>6100</v>
      </c>
      <c r="D2034" s="2" t="s">
        <v>10051</v>
      </c>
      <c r="E2034" s="15">
        <v>-0.13469999999999999</v>
      </c>
      <c r="F2034" s="15">
        <v>5.96E-2</v>
      </c>
      <c r="G2034" s="15">
        <v>2.3900000000000001E-2</v>
      </c>
      <c r="H2034" s="15">
        <v>0.1046</v>
      </c>
      <c r="I2034" s="15">
        <v>1.6299999999999999E-2</v>
      </c>
      <c r="J2034" s="15">
        <v>6.8292682926829267</v>
      </c>
    </row>
    <row r="2035" spans="1:10" x14ac:dyDescent="0.25">
      <c r="A2035" s="2" t="s">
        <v>6101</v>
      </c>
      <c r="B2035" s="2" t="s">
        <v>6102</v>
      </c>
      <c r="C2035" s="2" t="s">
        <v>6103</v>
      </c>
      <c r="D2035" s="2" t="s">
        <v>10051</v>
      </c>
      <c r="E2035" s="15">
        <v>-8.1699999999999995E-2</v>
      </c>
      <c r="F2035" s="15">
        <v>3.8699999999999998E-2</v>
      </c>
      <c r="G2035" s="15">
        <v>3.4799999999999998E-2</v>
      </c>
      <c r="H2035" s="15">
        <v>0.23630000000000001</v>
      </c>
      <c r="I2035" s="15">
        <v>2.1499999999999998E-2</v>
      </c>
      <c r="J2035" s="15">
        <v>11.766355140186921</v>
      </c>
    </row>
    <row r="2036" spans="1:10" x14ac:dyDescent="0.25">
      <c r="A2036" s="2" t="s">
        <v>6104</v>
      </c>
      <c r="B2036" s="2" t="s">
        <v>6105</v>
      </c>
      <c r="C2036" s="2" t="s">
        <v>6106</v>
      </c>
      <c r="D2036" s="2" t="s">
        <v>10051</v>
      </c>
      <c r="E2036" s="15">
        <v>-6.3600000000000004E-2</v>
      </c>
      <c r="F2036" s="15">
        <v>4.2099999999999999E-2</v>
      </c>
      <c r="G2036" s="15">
        <v>0.13059999999999999</v>
      </c>
      <c r="H2036" s="15">
        <v>0.20680000000000001</v>
      </c>
      <c r="I2036" s="15">
        <v>2.0199999999999999E-2</v>
      </c>
      <c r="J2036" s="15">
        <v>11.12871287128713</v>
      </c>
    </row>
    <row r="2037" spans="1:10" x14ac:dyDescent="0.25">
      <c r="A2037" s="2" t="s">
        <v>6107</v>
      </c>
      <c r="B2037" s="2" t="s">
        <v>6108</v>
      </c>
      <c r="C2037" s="2" t="s">
        <v>6109</v>
      </c>
      <c r="D2037" s="2" t="s">
        <v>10051</v>
      </c>
      <c r="E2037" s="15">
        <v>-1.46E-2</v>
      </c>
      <c r="F2037" s="15">
        <v>0.05</v>
      </c>
      <c r="G2037" s="15">
        <v>0.76980000000000004</v>
      </c>
      <c r="H2037" s="15">
        <v>0.14799999999999999</v>
      </c>
      <c r="I2037" s="15">
        <v>2.0500000000000001E-2</v>
      </c>
      <c r="J2037" s="15">
        <v>8.6753926701570681</v>
      </c>
    </row>
    <row r="2038" spans="1:10" x14ac:dyDescent="0.25">
      <c r="A2038" s="2" t="s">
        <v>6110</v>
      </c>
      <c r="B2038" s="2" t="s">
        <v>6111</v>
      </c>
      <c r="C2038" s="2" t="s">
        <v>6112</v>
      </c>
      <c r="D2038" s="2" t="s">
        <v>10051</v>
      </c>
      <c r="E2038" s="15">
        <v>-3.1800000000000002E-2</v>
      </c>
      <c r="F2038" s="15">
        <v>3.73E-2</v>
      </c>
      <c r="G2038" s="15">
        <v>0.3926</v>
      </c>
      <c r="H2038" s="15">
        <v>0.25850000000000001</v>
      </c>
      <c r="I2038" s="15">
        <v>2.3E-2</v>
      </c>
      <c r="J2038" s="15">
        <v>12.50226244343891</v>
      </c>
    </row>
    <row r="2039" spans="1:10" x14ac:dyDescent="0.25">
      <c r="A2039" s="2" t="s">
        <v>6113</v>
      </c>
      <c r="B2039" s="2" t="s">
        <v>6114</v>
      </c>
      <c r="C2039" s="2" t="s">
        <v>6115</v>
      </c>
      <c r="D2039" s="2" t="s">
        <v>10051</v>
      </c>
      <c r="E2039" s="15">
        <v>-4.5499999999999999E-2</v>
      </c>
      <c r="F2039" s="15">
        <v>4.6899999999999997E-2</v>
      </c>
      <c r="G2039" s="15">
        <v>0.33200000000000002</v>
      </c>
      <c r="H2039" s="15">
        <v>0.1515</v>
      </c>
      <c r="I2039" s="15">
        <v>2.06E-2</v>
      </c>
      <c r="J2039" s="15">
        <v>8.4059405940594072</v>
      </c>
    </row>
    <row r="2040" spans="1:10" x14ac:dyDescent="0.25">
      <c r="A2040" s="2" t="s">
        <v>6116</v>
      </c>
      <c r="B2040" s="2" t="s">
        <v>6117</v>
      </c>
      <c r="C2040" s="2" t="s">
        <v>6118</v>
      </c>
      <c r="D2040" s="2" t="s">
        <v>10051</v>
      </c>
      <c r="E2040" s="15">
        <v>-3.6700000000000003E-2</v>
      </c>
      <c r="F2040" s="15">
        <v>4.2500000000000003E-2</v>
      </c>
      <c r="G2040" s="15">
        <v>0.38679999999999998</v>
      </c>
      <c r="H2040" s="15">
        <v>0.18909999999999999</v>
      </c>
      <c r="I2040" s="15">
        <v>1.95E-2</v>
      </c>
      <c r="J2040" s="15">
        <v>9.7241379310344822</v>
      </c>
    </row>
    <row r="2041" spans="1:10" x14ac:dyDescent="0.25">
      <c r="A2041" s="2" t="s">
        <v>6119</v>
      </c>
      <c r="B2041" s="2" t="s">
        <v>6120</v>
      </c>
      <c r="C2041" s="2" t="s">
        <v>6121</v>
      </c>
      <c r="D2041" s="2" t="s">
        <v>10051</v>
      </c>
      <c r="E2041" s="15">
        <v>-9.1999999999999998E-2</v>
      </c>
      <c r="F2041" s="15">
        <v>4.8099999999999997E-2</v>
      </c>
      <c r="G2041" s="15">
        <v>5.57E-2</v>
      </c>
      <c r="H2041" s="15">
        <v>0.152</v>
      </c>
      <c r="I2041" s="15">
        <v>1.89E-2</v>
      </c>
      <c r="J2041" s="15">
        <v>9.0213903743315491</v>
      </c>
    </row>
    <row r="2042" spans="1:10" x14ac:dyDescent="0.25">
      <c r="A2042" s="2" t="s">
        <v>6122</v>
      </c>
      <c r="B2042" s="2" t="s">
        <v>6123</v>
      </c>
      <c r="C2042" s="2" t="s">
        <v>6124</v>
      </c>
      <c r="D2042" s="2" t="s">
        <v>10051</v>
      </c>
      <c r="E2042" s="15">
        <v>-5.11E-2</v>
      </c>
      <c r="F2042" s="15">
        <v>4.4900000000000002E-2</v>
      </c>
      <c r="G2042" s="15">
        <v>0.25580000000000003</v>
      </c>
      <c r="H2042" s="15">
        <v>0.19889999999999999</v>
      </c>
      <c r="I2042" s="15">
        <v>2.1000000000000001E-2</v>
      </c>
      <c r="J2042" s="15">
        <v>9.7102803738317771</v>
      </c>
    </row>
    <row r="2043" spans="1:10" x14ac:dyDescent="0.25">
      <c r="A2043" s="2" t="s">
        <v>6125</v>
      </c>
      <c r="B2043" s="2" t="s">
        <v>6126</v>
      </c>
      <c r="C2043" s="2" t="s">
        <v>6127</v>
      </c>
      <c r="D2043" s="2" t="s">
        <v>10051</v>
      </c>
      <c r="E2043" s="15">
        <v>-9.9000000000000008E-3</v>
      </c>
      <c r="F2043" s="15">
        <v>5.0299999999999997E-2</v>
      </c>
      <c r="G2043" s="15">
        <v>0.84319999999999995</v>
      </c>
      <c r="H2043" s="15">
        <v>0.1188</v>
      </c>
      <c r="I2043" s="15">
        <v>1.7299999999999999E-2</v>
      </c>
      <c r="J2043" s="15">
        <v>6.7192982456140351</v>
      </c>
    </row>
    <row r="2044" spans="1:10" x14ac:dyDescent="0.25">
      <c r="A2044" s="2" t="s">
        <v>6128</v>
      </c>
      <c r="B2044" s="2" t="s">
        <v>6129</v>
      </c>
      <c r="C2044" s="2" t="s">
        <v>6130</v>
      </c>
      <c r="D2044" s="2" t="s">
        <v>10051</v>
      </c>
      <c r="E2044" s="15">
        <v>-3.5299999999999998E-2</v>
      </c>
      <c r="F2044" s="15">
        <v>3.7699999999999997E-2</v>
      </c>
      <c r="G2044" s="15">
        <v>0.34870000000000001</v>
      </c>
      <c r="H2044" s="15">
        <v>0.22439999999999999</v>
      </c>
      <c r="I2044" s="15">
        <v>2.9600000000000001E-2</v>
      </c>
      <c r="J2044" s="15">
        <v>8.3516483516483522</v>
      </c>
    </row>
    <row r="2045" spans="1:10" x14ac:dyDescent="0.25">
      <c r="A2045" s="2" t="s">
        <v>6131</v>
      </c>
      <c r="B2045" s="2" t="s">
        <v>6132</v>
      </c>
      <c r="C2045" s="2" t="s">
        <v>6133</v>
      </c>
      <c r="D2045" s="2" t="s">
        <v>10051</v>
      </c>
      <c r="E2045" s="15">
        <v>-3.4599999999999999E-2</v>
      </c>
      <c r="F2045" s="15">
        <v>4.0099999999999997E-2</v>
      </c>
      <c r="G2045" s="15">
        <v>0.3886</v>
      </c>
      <c r="H2045" s="15">
        <v>0.2233</v>
      </c>
      <c r="I2045" s="15">
        <v>2.3699999999999999E-2</v>
      </c>
      <c r="J2045" s="15">
        <v>10.339130434782611</v>
      </c>
    </row>
    <row r="2046" spans="1:10" x14ac:dyDescent="0.25">
      <c r="A2046" s="2" t="s">
        <v>6134</v>
      </c>
      <c r="B2046" s="2" t="s">
        <v>6135</v>
      </c>
      <c r="C2046" s="2" t="s">
        <v>6136</v>
      </c>
      <c r="D2046" s="2" t="s">
        <v>10051</v>
      </c>
      <c r="E2046" s="15">
        <v>-8.7400000000000005E-2</v>
      </c>
      <c r="F2046" s="15">
        <v>5.57E-2</v>
      </c>
      <c r="G2046" s="15">
        <v>0.1164</v>
      </c>
      <c r="H2046" s="15">
        <v>0.12770000000000001</v>
      </c>
      <c r="I2046" s="15">
        <v>1.89E-2</v>
      </c>
      <c r="J2046" s="15">
        <v>7.6830601092896176</v>
      </c>
    </row>
    <row r="2047" spans="1:10" x14ac:dyDescent="0.25">
      <c r="A2047" s="2" t="s">
        <v>6137</v>
      </c>
      <c r="B2047" s="2" t="s">
        <v>6138</v>
      </c>
      <c r="C2047" s="2" t="s">
        <v>6139</v>
      </c>
      <c r="D2047" s="2" t="s">
        <v>10051</v>
      </c>
      <c r="E2047" s="15">
        <v>-7.6600000000000001E-2</v>
      </c>
      <c r="F2047" s="15">
        <v>5.57E-2</v>
      </c>
      <c r="G2047" s="15">
        <v>0.16950000000000001</v>
      </c>
      <c r="H2047" s="15">
        <v>0.12230000000000001</v>
      </c>
      <c r="I2047" s="15">
        <v>1.9199999999999998E-2</v>
      </c>
      <c r="J2047" s="15">
        <v>7.3461538461538467</v>
      </c>
    </row>
    <row r="2048" spans="1:10" x14ac:dyDescent="0.25">
      <c r="A2048" s="2" t="s">
        <v>6140</v>
      </c>
      <c r="B2048" s="2" t="s">
        <v>6141</v>
      </c>
      <c r="C2048" s="2" t="s">
        <v>6142</v>
      </c>
      <c r="D2048" s="2" t="s">
        <v>10051</v>
      </c>
      <c r="E2048" s="15">
        <v>-8.0299999999999996E-2</v>
      </c>
      <c r="F2048" s="15">
        <v>4.1200000000000001E-2</v>
      </c>
      <c r="G2048" s="15">
        <v>5.1400000000000001E-2</v>
      </c>
      <c r="H2048" s="15">
        <v>0.26429999999999998</v>
      </c>
      <c r="I2048" s="15">
        <v>2.7400000000000001E-2</v>
      </c>
      <c r="J2048" s="15">
        <v>11.444444444444439</v>
      </c>
    </row>
    <row r="2049" spans="1:10" x14ac:dyDescent="0.25">
      <c r="A2049" s="2" t="s">
        <v>6143</v>
      </c>
      <c r="B2049" s="2" t="s">
        <v>6144</v>
      </c>
      <c r="C2049" s="2" t="s">
        <v>6145</v>
      </c>
      <c r="D2049" s="2" t="s">
        <v>10051</v>
      </c>
      <c r="E2049" s="15">
        <v>-5.3499999999999999E-2</v>
      </c>
      <c r="F2049" s="15">
        <v>3.6600000000000001E-2</v>
      </c>
      <c r="G2049" s="15">
        <v>0.14369999999999999</v>
      </c>
      <c r="H2049" s="15">
        <v>0.3014</v>
      </c>
      <c r="I2049" s="15">
        <v>2.6100000000000002E-2</v>
      </c>
      <c r="J2049" s="15">
        <v>12.73228346456693</v>
      </c>
    </row>
    <row r="2050" spans="1:10" x14ac:dyDescent="0.25">
      <c r="A2050" s="2" t="s">
        <v>6146</v>
      </c>
      <c r="B2050" s="2" t="s">
        <v>6147</v>
      </c>
      <c r="C2050" s="2" t="s">
        <v>6148</v>
      </c>
      <c r="D2050" s="2" t="s">
        <v>10051</v>
      </c>
      <c r="E2050" s="15">
        <v>-0.12640000000000001</v>
      </c>
      <c r="F2050" s="15">
        <v>4.2900000000000001E-2</v>
      </c>
      <c r="G2050" s="15">
        <v>3.2000000000000002E-3</v>
      </c>
      <c r="H2050" s="15">
        <v>0.24779999999999999</v>
      </c>
      <c r="I2050" s="15">
        <v>2.3099999999999999E-2</v>
      </c>
      <c r="J2050" s="15">
        <v>11.97737556561086</v>
      </c>
    </row>
    <row r="2051" spans="1:10" x14ac:dyDescent="0.25">
      <c r="A2051" s="2" t="s">
        <v>6149</v>
      </c>
      <c r="B2051" s="2" t="s">
        <v>6150</v>
      </c>
      <c r="C2051" s="2" t="s">
        <v>6151</v>
      </c>
      <c r="D2051" s="2" t="s">
        <v>10051</v>
      </c>
      <c r="E2051" s="15">
        <v>-0.10489999999999999</v>
      </c>
      <c r="F2051" s="15">
        <v>3.9399999999999998E-2</v>
      </c>
      <c r="G2051" s="15">
        <v>7.7000000000000002E-3</v>
      </c>
      <c r="H2051" s="15">
        <v>0.2545</v>
      </c>
      <c r="I2051" s="15">
        <v>2.4899999999999999E-2</v>
      </c>
      <c r="J2051" s="15">
        <v>11.787234042553189</v>
      </c>
    </row>
    <row r="2052" spans="1:10" x14ac:dyDescent="0.25">
      <c r="A2052" s="2" t="s">
        <v>6152</v>
      </c>
      <c r="B2052" s="2" t="s">
        <v>6153</v>
      </c>
      <c r="C2052" s="2" t="s">
        <v>6154</v>
      </c>
      <c r="D2052" s="2" t="s">
        <v>10051</v>
      </c>
      <c r="E2052" s="15">
        <v>-0.01</v>
      </c>
      <c r="F2052" s="15">
        <v>4.7300000000000002E-2</v>
      </c>
      <c r="G2052" s="15">
        <v>0.83240000000000003</v>
      </c>
      <c r="H2052" s="15">
        <v>0.15629999999999999</v>
      </c>
      <c r="I2052" s="15">
        <v>1.8700000000000001E-2</v>
      </c>
      <c r="J2052" s="15">
        <v>8.8288770053475929</v>
      </c>
    </row>
    <row r="2053" spans="1:10" x14ac:dyDescent="0.25">
      <c r="A2053" s="2" t="s">
        <v>6155</v>
      </c>
      <c r="B2053" s="2" t="s">
        <v>6156</v>
      </c>
      <c r="C2053" s="2" t="s">
        <v>6157</v>
      </c>
      <c r="D2053" s="2" t="s">
        <v>10051</v>
      </c>
      <c r="E2053" s="15">
        <v>-1.9099999999999999E-2</v>
      </c>
      <c r="F2053" s="15">
        <v>4.3700000000000003E-2</v>
      </c>
      <c r="G2053" s="15">
        <v>0.66110000000000002</v>
      </c>
      <c r="H2053" s="15">
        <v>0.1676</v>
      </c>
      <c r="I2053" s="15">
        <v>1.9E-2</v>
      </c>
      <c r="J2053" s="15">
        <v>9.2010309278350508</v>
      </c>
    </row>
    <row r="2054" spans="1:10" x14ac:dyDescent="0.25">
      <c r="A2054" s="2" t="s">
        <v>6158</v>
      </c>
      <c r="B2054" s="2" t="s">
        <v>6159</v>
      </c>
      <c r="C2054" s="2" t="s">
        <v>6160</v>
      </c>
      <c r="D2054" s="2" t="s">
        <v>10052</v>
      </c>
      <c r="E2054" s="15">
        <v>9.4000000000000004E-3</v>
      </c>
      <c r="F2054" s="15">
        <v>4.6800000000000001E-2</v>
      </c>
      <c r="G2054" s="15">
        <v>0.84099999999999997</v>
      </c>
      <c r="H2054" s="15">
        <v>0.1487</v>
      </c>
      <c r="I2054" s="15">
        <v>2.0400000000000001E-2</v>
      </c>
      <c r="J2054" s="15">
        <v>7.8888888888888893</v>
      </c>
    </row>
    <row r="2055" spans="1:10" x14ac:dyDescent="0.25">
      <c r="A2055" s="2" t="s">
        <v>6161</v>
      </c>
      <c r="B2055" s="2" t="s">
        <v>6162</v>
      </c>
      <c r="C2055" s="2" t="s">
        <v>6163</v>
      </c>
      <c r="D2055" s="2" t="s">
        <v>10052</v>
      </c>
      <c r="E2055" s="15">
        <v>-1.6000000000000001E-3</v>
      </c>
      <c r="F2055" s="15">
        <v>4.3400000000000001E-2</v>
      </c>
      <c r="G2055" s="15">
        <v>0.9708</v>
      </c>
      <c r="H2055" s="15">
        <v>0.1888</v>
      </c>
      <c r="I2055" s="15">
        <v>2.2100000000000002E-2</v>
      </c>
      <c r="J2055" s="15">
        <v>9.4619289340101531</v>
      </c>
    </row>
    <row r="2056" spans="1:10" x14ac:dyDescent="0.25">
      <c r="A2056" s="2" t="s">
        <v>6164</v>
      </c>
      <c r="B2056" s="2" t="s">
        <v>6165</v>
      </c>
      <c r="C2056" s="2" t="s">
        <v>6166</v>
      </c>
      <c r="D2056" s="2" t="s">
        <v>10052</v>
      </c>
      <c r="E2056" s="15">
        <v>3.6999999999999998E-2</v>
      </c>
      <c r="F2056" s="15">
        <v>4.2200000000000001E-2</v>
      </c>
      <c r="G2056" s="15">
        <v>0.38119999999999998</v>
      </c>
      <c r="H2056" s="15">
        <v>0.2364</v>
      </c>
      <c r="I2056" s="15">
        <v>2.2599999999999999E-2</v>
      </c>
      <c r="J2056" s="15">
        <v>10.973214285714279</v>
      </c>
    </row>
    <row r="2057" spans="1:10" x14ac:dyDescent="0.25">
      <c r="A2057" s="2" t="s">
        <v>6167</v>
      </c>
      <c r="B2057" s="2" t="s">
        <v>6168</v>
      </c>
      <c r="C2057" s="2" t="s">
        <v>6169</v>
      </c>
      <c r="D2057" s="2" t="s">
        <v>10052</v>
      </c>
      <c r="E2057" s="15">
        <v>3.4299999999999997E-2</v>
      </c>
      <c r="F2057" s="15">
        <v>4.1000000000000002E-2</v>
      </c>
      <c r="G2057" s="15">
        <v>0.40279999999999999</v>
      </c>
      <c r="H2057" s="15">
        <v>0.248</v>
      </c>
      <c r="I2057" s="15">
        <v>2.23E-2</v>
      </c>
      <c r="J2057" s="15">
        <v>11.513043478260871</v>
      </c>
    </row>
    <row r="2058" spans="1:10" x14ac:dyDescent="0.25">
      <c r="A2058" s="2" t="s">
        <v>6170</v>
      </c>
      <c r="B2058" s="2" t="s">
        <v>6171</v>
      </c>
      <c r="C2058" s="2" t="s">
        <v>6172</v>
      </c>
      <c r="D2058" s="2" t="s">
        <v>10052</v>
      </c>
      <c r="E2058" s="15">
        <v>-9.1399999999999995E-2</v>
      </c>
      <c r="F2058" s="15">
        <v>6.6100000000000006E-2</v>
      </c>
      <c r="G2058" s="15">
        <v>0.1668</v>
      </c>
      <c r="H2058" s="15">
        <v>8.7300000000000003E-2</v>
      </c>
      <c r="I2058" s="15">
        <v>1.7399999999999999E-2</v>
      </c>
      <c r="J2058" s="15">
        <v>5.4201183431952664</v>
      </c>
    </row>
    <row r="2059" spans="1:10" x14ac:dyDescent="0.25">
      <c r="A2059" s="2" t="s">
        <v>6173</v>
      </c>
      <c r="B2059" s="2" t="s">
        <v>6174</v>
      </c>
      <c r="C2059" s="2" t="s">
        <v>6175</v>
      </c>
      <c r="D2059" s="2" t="s">
        <v>10052</v>
      </c>
      <c r="E2059" s="15">
        <v>7.46E-2</v>
      </c>
      <c r="F2059" s="15">
        <v>4.2700000000000002E-2</v>
      </c>
      <c r="G2059" s="15">
        <v>8.0699999999999994E-2</v>
      </c>
      <c r="H2059" s="15">
        <v>0.22850000000000001</v>
      </c>
      <c r="I2059" s="15">
        <v>2.58E-2</v>
      </c>
      <c r="J2059" s="15">
        <v>9.9835390946502063</v>
      </c>
    </row>
    <row r="2060" spans="1:10" x14ac:dyDescent="0.25">
      <c r="A2060" s="2" t="s">
        <v>6176</v>
      </c>
      <c r="B2060" s="2" t="s">
        <v>6177</v>
      </c>
      <c r="C2060" s="2" t="s">
        <v>6178</v>
      </c>
      <c r="D2060" s="2" t="s">
        <v>10052</v>
      </c>
      <c r="E2060" s="15">
        <v>-1.77E-2</v>
      </c>
      <c r="F2060" s="15">
        <v>4.6300000000000001E-2</v>
      </c>
      <c r="G2060" s="15">
        <v>0.70279999999999998</v>
      </c>
      <c r="H2060" s="15">
        <v>0.17119999999999999</v>
      </c>
      <c r="I2060" s="15">
        <v>2.1999999999999999E-2</v>
      </c>
      <c r="J2060" s="15">
        <v>8</v>
      </c>
    </row>
    <row r="2061" spans="1:10" x14ac:dyDescent="0.25">
      <c r="A2061" s="2" t="s">
        <v>6179</v>
      </c>
      <c r="B2061" s="2" t="s">
        <v>6180</v>
      </c>
      <c r="C2061" s="2" t="s">
        <v>6181</v>
      </c>
      <c r="D2061" s="2" t="s">
        <v>10052</v>
      </c>
      <c r="E2061" s="15">
        <v>3.5700000000000003E-2</v>
      </c>
      <c r="F2061" s="15">
        <v>4.7E-2</v>
      </c>
      <c r="G2061" s="15">
        <v>0.44779999999999998</v>
      </c>
      <c r="H2061" s="15">
        <v>0.1474</v>
      </c>
      <c r="I2061" s="15">
        <v>2.1299999999999999E-2</v>
      </c>
      <c r="J2061" s="15">
        <v>7.4064171122994651</v>
      </c>
    </row>
    <row r="2062" spans="1:10" x14ac:dyDescent="0.25">
      <c r="A2062" s="2" t="s">
        <v>6182</v>
      </c>
      <c r="B2062" s="2" t="s">
        <v>6183</v>
      </c>
      <c r="C2062" s="2" t="s">
        <v>6184</v>
      </c>
      <c r="D2062" s="2" t="s">
        <v>10052</v>
      </c>
      <c r="E2062" s="15">
        <v>5.33E-2</v>
      </c>
      <c r="F2062" s="15">
        <v>5.7000000000000002E-2</v>
      </c>
      <c r="G2062" s="15">
        <v>0.34960000000000002</v>
      </c>
      <c r="H2062" s="15">
        <v>8.7099999999999997E-2</v>
      </c>
      <c r="I2062" s="15">
        <v>1.7600000000000001E-2</v>
      </c>
      <c r="J2062" s="15">
        <v>5.5739644970414206</v>
      </c>
    </row>
    <row r="2063" spans="1:10" x14ac:dyDescent="0.25">
      <c r="A2063" s="2" t="s">
        <v>6185</v>
      </c>
      <c r="B2063" s="2" t="s">
        <v>6186</v>
      </c>
      <c r="C2063" s="2" t="s">
        <v>6187</v>
      </c>
      <c r="D2063" s="2" t="s">
        <v>10052</v>
      </c>
      <c r="E2063" s="15">
        <v>-9.5999999999999992E-3</v>
      </c>
      <c r="F2063" s="15">
        <v>4.9799999999999997E-2</v>
      </c>
      <c r="G2063" s="15">
        <v>0.84789999999999999</v>
      </c>
      <c r="H2063" s="15">
        <v>9.4500000000000001E-2</v>
      </c>
      <c r="I2063" s="15">
        <v>1.7299999999999999E-2</v>
      </c>
      <c r="J2063" s="15">
        <v>6.0654761904761907</v>
      </c>
    </row>
    <row r="2064" spans="1:10" x14ac:dyDescent="0.25">
      <c r="A2064" s="2" t="s">
        <v>6188</v>
      </c>
      <c r="B2064" s="2" t="s">
        <v>6189</v>
      </c>
      <c r="C2064" s="2" t="s">
        <v>6190</v>
      </c>
      <c r="D2064" s="2" t="s">
        <v>10052</v>
      </c>
      <c r="E2064" s="15">
        <v>6.0400000000000002E-2</v>
      </c>
      <c r="F2064" s="15">
        <v>7.3599999999999999E-2</v>
      </c>
      <c r="G2064" s="15">
        <v>0.41189999999999999</v>
      </c>
      <c r="H2064" s="15">
        <v>6.0600000000000001E-2</v>
      </c>
      <c r="I2064" s="15">
        <v>1.4200000000000001E-2</v>
      </c>
      <c r="J2064" s="15">
        <v>4.4492753623188408</v>
      </c>
    </row>
    <row r="2065" spans="1:10" x14ac:dyDescent="0.25">
      <c r="A2065" s="2" t="s">
        <v>6191</v>
      </c>
      <c r="B2065" s="2" t="s">
        <v>6192</v>
      </c>
      <c r="C2065" s="2" t="s">
        <v>6193</v>
      </c>
      <c r="D2065" s="2" t="s">
        <v>10052</v>
      </c>
      <c r="E2065" s="15">
        <v>-1.7500000000000002E-2</v>
      </c>
      <c r="F2065" s="15">
        <v>6.9800000000000001E-2</v>
      </c>
      <c r="G2065" s="15">
        <v>0.80179999999999996</v>
      </c>
      <c r="H2065" s="15">
        <v>5.6300000000000003E-2</v>
      </c>
      <c r="I2065" s="15">
        <v>1.4500000000000001E-2</v>
      </c>
      <c r="J2065" s="15">
        <v>4.5244755244755241</v>
      </c>
    </row>
    <row r="2066" spans="1:10" x14ac:dyDescent="0.25">
      <c r="A2066" s="2" t="s">
        <v>6194</v>
      </c>
      <c r="B2066" s="2" t="s">
        <v>6195</v>
      </c>
      <c r="C2066" s="2" t="s">
        <v>6196</v>
      </c>
      <c r="D2066" s="2" t="s">
        <v>10052</v>
      </c>
      <c r="E2066" s="15">
        <v>8.9099999999999999E-2</v>
      </c>
      <c r="F2066" s="15">
        <v>4.3999999999999997E-2</v>
      </c>
      <c r="G2066" s="15">
        <v>4.2999999999999997E-2</v>
      </c>
      <c r="H2066" s="15">
        <v>0.2031</v>
      </c>
      <c r="I2066" s="15">
        <v>2.3300000000000001E-2</v>
      </c>
      <c r="J2066" s="15">
        <v>9.323404255319149</v>
      </c>
    </row>
    <row r="2067" spans="1:10" x14ac:dyDescent="0.25">
      <c r="A2067" s="2" t="s">
        <v>6197</v>
      </c>
      <c r="B2067" s="2" t="s">
        <v>6198</v>
      </c>
      <c r="C2067" s="2" t="s">
        <v>6199</v>
      </c>
      <c r="D2067" s="2" t="s">
        <v>10052</v>
      </c>
      <c r="E2067" s="15">
        <v>8.1699999999999995E-2</v>
      </c>
      <c r="F2067" s="15">
        <v>4.8099999999999997E-2</v>
      </c>
      <c r="G2067" s="15">
        <v>8.9099999999999999E-2</v>
      </c>
      <c r="H2067" s="15">
        <v>0.16919999999999999</v>
      </c>
      <c r="I2067" s="15">
        <v>2.4500000000000001E-2</v>
      </c>
      <c r="J2067" s="15">
        <v>7.4297520661157019</v>
      </c>
    </row>
    <row r="2068" spans="1:10" x14ac:dyDescent="0.25">
      <c r="A2068" s="2" t="s">
        <v>6200</v>
      </c>
      <c r="B2068" s="2" t="s">
        <v>6201</v>
      </c>
      <c r="C2068" s="2" t="s">
        <v>6202</v>
      </c>
      <c r="D2068" s="2" t="s">
        <v>10052</v>
      </c>
      <c r="E2068" s="15">
        <v>5.4399999999999997E-2</v>
      </c>
      <c r="F2068" s="15">
        <v>8.0500000000000002E-2</v>
      </c>
      <c r="G2068" s="15">
        <v>0.49940000000000001</v>
      </c>
      <c r="H2068" s="15">
        <v>5.16E-2</v>
      </c>
      <c r="I2068" s="15">
        <v>1.67E-2</v>
      </c>
      <c r="J2068" s="15">
        <v>3.6380368098159508</v>
      </c>
    </row>
    <row r="2069" spans="1:10" x14ac:dyDescent="0.25">
      <c r="A2069" s="2" t="s">
        <v>6203</v>
      </c>
      <c r="B2069" s="2" t="s">
        <v>6204</v>
      </c>
      <c r="C2069" s="2" t="s">
        <v>6205</v>
      </c>
      <c r="D2069" s="2" t="s">
        <v>10052</v>
      </c>
      <c r="E2069" s="15">
        <v>0.1169</v>
      </c>
      <c r="F2069" s="15">
        <v>9.4500000000000001E-2</v>
      </c>
      <c r="G2069" s="15">
        <v>0.21590000000000001</v>
      </c>
      <c r="H2069" s="15">
        <v>4.1300000000000003E-2</v>
      </c>
      <c r="I2069" s="15">
        <v>1.6799999999999999E-2</v>
      </c>
      <c r="J2069" s="15">
        <v>3.1180124223602488</v>
      </c>
    </row>
    <row r="2070" spans="1:10" x14ac:dyDescent="0.25">
      <c r="A2070" s="2" t="s">
        <v>6206</v>
      </c>
      <c r="B2070" s="2" t="s">
        <v>6207</v>
      </c>
      <c r="C2070" s="2" t="s">
        <v>6208</v>
      </c>
      <c r="D2070" s="2" t="s">
        <v>10052</v>
      </c>
      <c r="E2070" s="15">
        <v>-8.6900000000000005E-2</v>
      </c>
      <c r="F2070" s="15">
        <v>4.3999999999999997E-2</v>
      </c>
      <c r="G2070" s="15">
        <v>4.8300000000000003E-2</v>
      </c>
      <c r="H2070" s="15">
        <v>0.17169999999999999</v>
      </c>
      <c r="I2070" s="15">
        <v>1.7999999999999999E-2</v>
      </c>
      <c r="J2070" s="15">
        <v>10.039106145251401</v>
      </c>
    </row>
    <row r="2071" spans="1:10" x14ac:dyDescent="0.25">
      <c r="A2071" s="2" t="s">
        <v>6209</v>
      </c>
      <c r="B2071" s="2" t="s">
        <v>6210</v>
      </c>
      <c r="C2071" s="2" t="s">
        <v>6211</v>
      </c>
      <c r="D2071" s="2" t="s">
        <v>10052</v>
      </c>
      <c r="E2071" s="15">
        <v>-2.3900000000000001E-2</v>
      </c>
      <c r="F2071" s="15">
        <v>4.6399999999999997E-2</v>
      </c>
      <c r="G2071" s="15">
        <v>0.60619999999999996</v>
      </c>
      <c r="H2071" s="15">
        <v>0.1527</v>
      </c>
      <c r="I2071" s="15">
        <v>0.02</v>
      </c>
      <c r="J2071" s="15">
        <v>9.3121693121693117</v>
      </c>
    </row>
    <row r="2072" spans="1:10" x14ac:dyDescent="0.25">
      <c r="A2072" s="2" t="s">
        <v>6212</v>
      </c>
      <c r="B2072" s="2" t="s">
        <v>6213</v>
      </c>
      <c r="C2072" s="2" t="s">
        <v>6214</v>
      </c>
      <c r="D2072" s="2" t="s">
        <v>10052</v>
      </c>
      <c r="E2072" s="15">
        <v>-4.41E-2</v>
      </c>
      <c r="F2072" s="15">
        <v>7.5999999999999998E-2</v>
      </c>
      <c r="G2072" s="15">
        <v>0.56169999999999998</v>
      </c>
      <c r="H2072" s="15">
        <v>6.5199999999999994E-2</v>
      </c>
      <c r="I2072" s="15">
        <v>1.5900000000000001E-2</v>
      </c>
      <c r="J2072" s="15">
        <v>4.6838709677419352</v>
      </c>
    </row>
    <row r="2073" spans="1:10" x14ac:dyDescent="0.25">
      <c r="A2073" s="2" t="s">
        <v>6215</v>
      </c>
      <c r="B2073" s="2" t="s">
        <v>6216</v>
      </c>
      <c r="C2073" s="2" t="s">
        <v>6217</v>
      </c>
      <c r="D2073" s="2" t="s">
        <v>10052</v>
      </c>
      <c r="E2073" s="15">
        <v>-1.9699999999999999E-2</v>
      </c>
      <c r="F2073" s="15">
        <v>6.4600000000000005E-2</v>
      </c>
      <c r="G2073" s="15">
        <v>0.76060000000000005</v>
      </c>
      <c r="H2073" s="15">
        <v>7.9500000000000001E-2</v>
      </c>
      <c r="I2073" s="15">
        <v>1.77E-2</v>
      </c>
      <c r="J2073" s="15">
        <v>4.6802325581395348</v>
      </c>
    </row>
    <row r="2074" spans="1:10" x14ac:dyDescent="0.25">
      <c r="A2074" s="2" t="s">
        <v>6218</v>
      </c>
      <c r="B2074" s="2" t="s">
        <v>6219</v>
      </c>
      <c r="C2074" s="2" t="s">
        <v>6220</v>
      </c>
      <c r="D2074" s="2" t="s">
        <v>10052</v>
      </c>
      <c r="E2074" s="15">
        <v>-7.4000000000000003E-3</v>
      </c>
      <c r="F2074" s="15">
        <v>5.0299999999999997E-2</v>
      </c>
      <c r="G2074" s="15">
        <v>0.88360000000000005</v>
      </c>
      <c r="H2074" s="15">
        <v>0.15740000000000001</v>
      </c>
      <c r="I2074" s="15">
        <v>1.9300000000000001E-2</v>
      </c>
      <c r="J2074" s="15">
        <v>8.2899999999999991</v>
      </c>
    </row>
    <row r="2075" spans="1:10" x14ac:dyDescent="0.25">
      <c r="A2075" s="2" t="s">
        <v>6221</v>
      </c>
      <c r="B2075" s="2" t="s">
        <v>6222</v>
      </c>
      <c r="C2075" s="2" t="s">
        <v>6223</v>
      </c>
      <c r="D2075" s="2" t="s">
        <v>10052</v>
      </c>
      <c r="E2075" s="15">
        <v>1.1599999999999999E-2</v>
      </c>
      <c r="F2075" s="15">
        <v>5.5599999999999997E-2</v>
      </c>
      <c r="G2075" s="15">
        <v>0.83489999999999998</v>
      </c>
      <c r="H2075" s="15">
        <v>0.1208</v>
      </c>
      <c r="I2075" s="15">
        <v>1.83E-2</v>
      </c>
      <c r="J2075" s="15">
        <v>6.8666666666666671</v>
      </c>
    </row>
    <row r="2076" spans="1:10" x14ac:dyDescent="0.25">
      <c r="A2076" s="2" t="s">
        <v>6224</v>
      </c>
      <c r="B2076" s="2" t="s">
        <v>6225</v>
      </c>
      <c r="C2076" s="2" t="s">
        <v>6226</v>
      </c>
      <c r="D2076" s="2" t="s">
        <v>10052</v>
      </c>
      <c r="E2076" s="15">
        <v>-6.2E-2</v>
      </c>
      <c r="F2076" s="15">
        <v>4.5199999999999997E-2</v>
      </c>
      <c r="G2076" s="15">
        <v>0.17030000000000001</v>
      </c>
      <c r="H2076" s="15">
        <v>0.2117</v>
      </c>
      <c r="I2076" s="15">
        <v>2.1999999999999999E-2</v>
      </c>
      <c r="J2076" s="15">
        <v>10.556603773584911</v>
      </c>
    </row>
    <row r="2077" spans="1:10" x14ac:dyDescent="0.25">
      <c r="A2077" s="2" t="s">
        <v>6227</v>
      </c>
      <c r="B2077" s="2" t="s">
        <v>6228</v>
      </c>
      <c r="C2077" s="2" t="s">
        <v>6229</v>
      </c>
      <c r="D2077" s="2" t="s">
        <v>10052</v>
      </c>
      <c r="E2077" s="15">
        <v>-3.0599999999999999E-2</v>
      </c>
      <c r="F2077" s="15">
        <v>4.8500000000000001E-2</v>
      </c>
      <c r="G2077" s="15">
        <v>0.52810000000000001</v>
      </c>
      <c r="H2077" s="15">
        <v>0.2039</v>
      </c>
      <c r="I2077" s="15">
        <v>2.24E-2</v>
      </c>
      <c r="J2077" s="15">
        <v>10.045662100456619</v>
      </c>
    </row>
    <row r="2078" spans="1:10" x14ac:dyDescent="0.25">
      <c r="A2078" s="2" t="s">
        <v>6230</v>
      </c>
      <c r="B2078" s="2" t="s">
        <v>6231</v>
      </c>
      <c r="C2078" s="2" t="s">
        <v>6232</v>
      </c>
      <c r="D2078" s="2" t="s">
        <v>10052</v>
      </c>
      <c r="E2078" s="15">
        <v>-5.2999999999999999E-2</v>
      </c>
      <c r="F2078" s="15">
        <v>5.1400000000000001E-2</v>
      </c>
      <c r="G2078" s="15">
        <v>0.30230000000000001</v>
      </c>
      <c r="H2078" s="15">
        <v>0.14680000000000001</v>
      </c>
      <c r="I2078" s="15">
        <v>1.9699999999999999E-2</v>
      </c>
      <c r="J2078" s="15">
        <v>8.9945652173913047</v>
      </c>
    </row>
    <row r="2079" spans="1:10" x14ac:dyDescent="0.25">
      <c r="A2079" s="2" t="s">
        <v>6233</v>
      </c>
      <c r="B2079" s="2" t="s">
        <v>6234</v>
      </c>
      <c r="C2079" s="2" t="s">
        <v>6235</v>
      </c>
      <c r="D2079" s="2" t="s">
        <v>10052</v>
      </c>
      <c r="E2079" s="15">
        <v>-1.7299999999999999E-2</v>
      </c>
      <c r="F2079" s="15">
        <v>4.9500000000000002E-2</v>
      </c>
      <c r="G2079" s="15">
        <v>0.72729999999999995</v>
      </c>
      <c r="H2079" s="15">
        <v>0.16819999999999999</v>
      </c>
      <c r="I2079" s="15">
        <v>2.3E-2</v>
      </c>
      <c r="J2079" s="15">
        <v>8.5929203539823025</v>
      </c>
    </row>
    <row r="2080" spans="1:10" x14ac:dyDescent="0.25">
      <c r="A2080" s="2" t="s">
        <v>6236</v>
      </c>
      <c r="B2080" s="2" t="s">
        <v>6237</v>
      </c>
      <c r="C2080" s="2" t="s">
        <v>6238</v>
      </c>
      <c r="D2080" s="2" t="s">
        <v>10052</v>
      </c>
      <c r="E2080" s="15">
        <v>1.1900000000000001E-2</v>
      </c>
      <c r="F2080" s="15">
        <v>4.7100000000000003E-2</v>
      </c>
      <c r="G2080" s="15">
        <v>0.80069999999999997</v>
      </c>
      <c r="H2080" s="15">
        <v>0.17710000000000001</v>
      </c>
      <c r="I2080" s="15">
        <v>2.4799999999999999E-2</v>
      </c>
      <c r="J2080" s="15">
        <v>8.8495575221238951</v>
      </c>
    </row>
    <row r="2081" spans="1:10" x14ac:dyDescent="0.25">
      <c r="A2081" s="2" t="s">
        <v>6239</v>
      </c>
      <c r="B2081" s="2" t="s">
        <v>6240</v>
      </c>
      <c r="C2081" s="2" t="s">
        <v>6241</v>
      </c>
      <c r="D2081" s="2" t="s">
        <v>10052</v>
      </c>
      <c r="E2081" s="15">
        <v>-2.18E-2</v>
      </c>
      <c r="F2081" s="15">
        <v>4.8000000000000001E-2</v>
      </c>
      <c r="G2081" s="15">
        <v>0.64939999999999998</v>
      </c>
      <c r="H2081" s="15">
        <v>0.18809999999999999</v>
      </c>
      <c r="I2081" s="15">
        <v>2.5600000000000001E-2</v>
      </c>
      <c r="J2081" s="15">
        <v>8.742857142857142</v>
      </c>
    </row>
    <row r="2082" spans="1:10" x14ac:dyDescent="0.25">
      <c r="A2082" s="2" t="s">
        <v>6242</v>
      </c>
      <c r="B2082" s="2" t="s">
        <v>6243</v>
      </c>
      <c r="C2082" s="2" t="s">
        <v>6244</v>
      </c>
      <c r="D2082" s="2" t="s">
        <v>10052</v>
      </c>
      <c r="E2082" s="15">
        <v>-3.0000000000000001E-3</v>
      </c>
      <c r="F2082" s="15">
        <v>5.0999999999999997E-2</v>
      </c>
      <c r="G2082" s="15">
        <v>0.95299999999999996</v>
      </c>
      <c r="H2082" s="15">
        <v>0.17829999999999999</v>
      </c>
      <c r="I2082" s="15">
        <v>2.24E-2</v>
      </c>
      <c r="J2082" s="15">
        <v>9.488262910798122</v>
      </c>
    </row>
    <row r="2083" spans="1:10" x14ac:dyDescent="0.25">
      <c r="A2083" s="2" t="s">
        <v>6245</v>
      </c>
      <c r="B2083" s="2" t="s">
        <v>6246</v>
      </c>
      <c r="C2083" s="2" t="s">
        <v>6247</v>
      </c>
      <c r="D2083" s="2" t="s">
        <v>10052</v>
      </c>
      <c r="E2083" s="15">
        <v>2.3400000000000001E-2</v>
      </c>
      <c r="F2083" s="15">
        <v>4.99E-2</v>
      </c>
      <c r="G2083" s="15">
        <v>0.63900000000000001</v>
      </c>
      <c r="H2083" s="15">
        <v>0.14799999999999999</v>
      </c>
      <c r="I2083" s="15">
        <v>2.46E-2</v>
      </c>
      <c r="J2083" s="15">
        <v>7.1785714285714288</v>
      </c>
    </row>
    <row r="2084" spans="1:10" x14ac:dyDescent="0.25">
      <c r="A2084" s="2" t="s">
        <v>6248</v>
      </c>
      <c r="B2084" s="2" t="s">
        <v>6249</v>
      </c>
      <c r="C2084" s="2" t="s">
        <v>6250</v>
      </c>
      <c r="D2084" s="2" t="s">
        <v>10052</v>
      </c>
      <c r="E2084" s="15">
        <v>5.8999999999999999E-3</v>
      </c>
      <c r="F2084" s="15">
        <v>4.5999999999999999E-2</v>
      </c>
      <c r="G2084" s="15">
        <v>0.8972</v>
      </c>
      <c r="H2084" s="15">
        <v>0.16800000000000001</v>
      </c>
      <c r="I2084" s="15">
        <v>2.4299999999999999E-2</v>
      </c>
      <c r="J2084" s="15">
        <v>7.5760000000000014</v>
      </c>
    </row>
    <row r="2085" spans="1:10" x14ac:dyDescent="0.25">
      <c r="A2085" s="2" t="s">
        <v>6251</v>
      </c>
      <c r="B2085" s="2" t="s">
        <v>6252</v>
      </c>
      <c r="C2085" s="2" t="s">
        <v>6253</v>
      </c>
      <c r="D2085" s="2" t="s">
        <v>10052</v>
      </c>
      <c r="E2085" s="15">
        <v>-4.2900000000000001E-2</v>
      </c>
      <c r="F2085" s="15">
        <v>4.48E-2</v>
      </c>
      <c r="G2085" s="15">
        <v>0.33760000000000001</v>
      </c>
      <c r="H2085" s="15">
        <v>0.14779999999999999</v>
      </c>
      <c r="I2085" s="15">
        <v>2.1399999999999999E-2</v>
      </c>
      <c r="J2085" s="15">
        <v>7.540284360189573</v>
      </c>
    </row>
    <row r="2086" spans="1:10" x14ac:dyDescent="0.25">
      <c r="A2086" s="2" t="s">
        <v>6254</v>
      </c>
      <c r="B2086" s="2" t="s">
        <v>6255</v>
      </c>
      <c r="C2086" s="2" t="s">
        <v>6256</v>
      </c>
      <c r="D2086" s="2" t="s">
        <v>10052</v>
      </c>
      <c r="E2086" s="15">
        <v>-4.9299999999999997E-2</v>
      </c>
      <c r="F2086" s="15">
        <v>4.6699999999999998E-2</v>
      </c>
      <c r="G2086" s="15">
        <v>0.2913</v>
      </c>
      <c r="H2086" s="15">
        <v>0.2</v>
      </c>
      <c r="I2086" s="15">
        <v>2.5100000000000001E-2</v>
      </c>
      <c r="J2086" s="15">
        <v>8.3062015503875966</v>
      </c>
    </row>
    <row r="2087" spans="1:10" x14ac:dyDescent="0.25">
      <c r="A2087" s="2" t="s">
        <v>6257</v>
      </c>
      <c r="B2087" s="2" t="s">
        <v>6258</v>
      </c>
      <c r="C2087" s="2" t="s">
        <v>6259</v>
      </c>
      <c r="D2087" s="2" t="s">
        <v>10052</v>
      </c>
      <c r="E2087" s="15">
        <v>-5.3900000000000003E-2</v>
      </c>
      <c r="F2087" s="15">
        <v>4.41E-2</v>
      </c>
      <c r="G2087" s="15">
        <v>0.22090000000000001</v>
      </c>
      <c r="H2087" s="15">
        <v>0.20169999999999999</v>
      </c>
      <c r="I2087" s="15">
        <v>2.4799999999999999E-2</v>
      </c>
      <c r="J2087" s="15">
        <v>8.5809128630705391</v>
      </c>
    </row>
    <row r="2088" spans="1:10" x14ac:dyDescent="0.25">
      <c r="A2088" s="2" t="s">
        <v>6260</v>
      </c>
      <c r="B2088" s="2" t="s">
        <v>6261</v>
      </c>
      <c r="C2088" s="2" t="s">
        <v>6262</v>
      </c>
      <c r="D2088" s="2" t="s">
        <v>10052</v>
      </c>
      <c r="E2088" s="15">
        <v>-3.3099999999999997E-2</v>
      </c>
      <c r="F2088" s="15">
        <v>4.1500000000000002E-2</v>
      </c>
      <c r="G2088" s="15">
        <v>0.42570000000000002</v>
      </c>
      <c r="H2088" s="15">
        <v>0.19620000000000001</v>
      </c>
      <c r="I2088" s="15">
        <v>2.1299999999999999E-2</v>
      </c>
      <c r="J2088" s="15">
        <v>9.5837320574162685</v>
      </c>
    </row>
    <row r="2089" spans="1:10" x14ac:dyDescent="0.25">
      <c r="A2089" s="2" t="s">
        <v>6263</v>
      </c>
      <c r="B2089" s="2" t="s">
        <v>6264</v>
      </c>
      <c r="C2089" s="2" t="s">
        <v>6265</v>
      </c>
      <c r="D2089" s="2" t="s">
        <v>10052</v>
      </c>
      <c r="E2089" s="15">
        <v>-3.9600000000000003E-2</v>
      </c>
      <c r="F2089" s="15">
        <v>4.3099999999999999E-2</v>
      </c>
      <c r="G2089" s="15">
        <v>0.35730000000000001</v>
      </c>
      <c r="H2089" s="15">
        <v>0.1933</v>
      </c>
      <c r="I2089" s="15">
        <v>3.1899999999999998E-2</v>
      </c>
      <c r="J2089" s="15">
        <v>6.4243421052631584</v>
      </c>
    </row>
    <row r="2090" spans="1:10" x14ac:dyDescent="0.25">
      <c r="A2090" s="2" t="s">
        <v>6266</v>
      </c>
      <c r="B2090" s="2" t="s">
        <v>6267</v>
      </c>
      <c r="C2090" s="2" t="s">
        <v>6268</v>
      </c>
      <c r="D2090" s="2" t="s">
        <v>10052</v>
      </c>
      <c r="E2090" s="15">
        <v>-0.02</v>
      </c>
      <c r="F2090" s="15">
        <v>8.2500000000000004E-2</v>
      </c>
      <c r="G2090" s="15">
        <v>0.80869999999999997</v>
      </c>
      <c r="H2090" s="15">
        <v>5.3400000000000003E-2</v>
      </c>
      <c r="I2090" s="15">
        <v>1.8499999999999999E-2</v>
      </c>
      <c r="J2090" s="15">
        <v>3.142076502732241</v>
      </c>
    </row>
    <row r="2091" spans="1:10" x14ac:dyDescent="0.25">
      <c r="A2091" s="2" t="s">
        <v>6269</v>
      </c>
      <c r="B2091" s="2" t="s">
        <v>6270</v>
      </c>
      <c r="C2091" s="2" t="s">
        <v>6271</v>
      </c>
      <c r="D2091" s="2" t="s">
        <v>10052</v>
      </c>
      <c r="E2091" s="15">
        <v>-6.7100000000000007E-2</v>
      </c>
      <c r="F2091" s="15">
        <v>6.5500000000000003E-2</v>
      </c>
      <c r="G2091" s="15">
        <v>0.30509999999999998</v>
      </c>
      <c r="H2091" s="15">
        <v>8.0799999999999997E-2</v>
      </c>
      <c r="I2091" s="15">
        <v>1.89E-2</v>
      </c>
      <c r="J2091" s="15">
        <v>4.8539325842696632</v>
      </c>
    </row>
    <row r="2092" spans="1:10" x14ac:dyDescent="0.25">
      <c r="A2092" s="2" t="s">
        <v>6272</v>
      </c>
      <c r="B2092" s="2" t="s">
        <v>6273</v>
      </c>
      <c r="C2092" s="2" t="s">
        <v>6274</v>
      </c>
      <c r="D2092" s="2" t="s">
        <v>10052</v>
      </c>
      <c r="E2092" s="15">
        <v>5.2200000000000003E-2</v>
      </c>
      <c r="F2092" s="15">
        <v>5.9299999999999999E-2</v>
      </c>
      <c r="G2092" s="15">
        <v>0.37830000000000003</v>
      </c>
      <c r="H2092" s="15">
        <v>8.8900000000000007E-2</v>
      </c>
      <c r="I2092" s="15">
        <v>1.5699999999999999E-2</v>
      </c>
      <c r="J2092" s="15">
        <v>5.7948717948717947</v>
      </c>
    </row>
    <row r="2093" spans="1:10" x14ac:dyDescent="0.25">
      <c r="A2093" s="2" t="s">
        <v>6275</v>
      </c>
      <c r="B2093" s="2" t="s">
        <v>6276</v>
      </c>
      <c r="C2093" s="2" t="s">
        <v>6277</v>
      </c>
      <c r="D2093" s="2" t="s">
        <v>10052</v>
      </c>
      <c r="E2093" s="15">
        <v>-1.6500000000000001E-2</v>
      </c>
      <c r="F2093" s="15">
        <v>6.6400000000000001E-2</v>
      </c>
      <c r="G2093" s="15">
        <v>0.80369999999999997</v>
      </c>
      <c r="H2093" s="15">
        <v>7.0999999999999994E-2</v>
      </c>
      <c r="I2093" s="15">
        <v>1.6E-2</v>
      </c>
      <c r="J2093" s="15">
        <v>4.5875000000000004</v>
      </c>
    </row>
    <row r="2094" spans="1:10" x14ac:dyDescent="0.25">
      <c r="A2094" s="2" t="s">
        <v>6278</v>
      </c>
      <c r="B2094" s="2" t="s">
        <v>6279</v>
      </c>
      <c r="C2094" s="2" t="s">
        <v>6280</v>
      </c>
      <c r="D2094" s="2" t="s">
        <v>10052</v>
      </c>
      <c r="E2094" s="15">
        <v>-1.5900000000000001E-2</v>
      </c>
      <c r="F2094" s="15">
        <v>4.3099999999999999E-2</v>
      </c>
      <c r="G2094" s="15">
        <v>0.71199999999999997</v>
      </c>
      <c r="H2094" s="15">
        <v>0.21149999999999999</v>
      </c>
      <c r="I2094" s="15">
        <v>2.3400000000000001E-2</v>
      </c>
      <c r="J2094" s="15">
        <v>9.9444444444444429</v>
      </c>
    </row>
    <row r="2095" spans="1:10" x14ac:dyDescent="0.25">
      <c r="A2095" s="2" t="s">
        <v>6281</v>
      </c>
      <c r="B2095" s="2" t="s">
        <v>6282</v>
      </c>
      <c r="C2095" s="2" t="s">
        <v>6283</v>
      </c>
      <c r="D2095" s="2" t="s">
        <v>10052</v>
      </c>
      <c r="E2095" s="15">
        <v>-2.92E-2</v>
      </c>
      <c r="F2095" s="15">
        <v>4.2900000000000001E-2</v>
      </c>
      <c r="G2095" s="15">
        <v>0.49540000000000001</v>
      </c>
      <c r="H2095" s="15">
        <v>0.20710000000000001</v>
      </c>
      <c r="I2095" s="15">
        <v>2.3800000000000002E-2</v>
      </c>
      <c r="J2095" s="15">
        <v>9.8793103448275872</v>
      </c>
    </row>
    <row r="2096" spans="1:10" x14ac:dyDescent="0.25">
      <c r="A2096" s="2" t="s">
        <v>6284</v>
      </c>
      <c r="B2096" s="2" t="s">
        <v>6285</v>
      </c>
      <c r="C2096" s="2" t="s">
        <v>6286</v>
      </c>
      <c r="D2096" s="2" t="s">
        <v>10052</v>
      </c>
      <c r="E2096" s="15">
        <v>3.5200000000000002E-2</v>
      </c>
      <c r="F2096" s="15">
        <v>5.6099999999999997E-2</v>
      </c>
      <c r="G2096" s="15">
        <v>0.53069999999999995</v>
      </c>
      <c r="H2096" s="15">
        <v>0.1057</v>
      </c>
      <c r="I2096" s="15">
        <v>1.78E-2</v>
      </c>
      <c r="J2096" s="15">
        <v>6.4011976047904193</v>
      </c>
    </row>
    <row r="2097" spans="1:10" x14ac:dyDescent="0.25">
      <c r="A2097" s="2" t="s">
        <v>6287</v>
      </c>
      <c r="B2097" s="2" t="s">
        <v>6288</v>
      </c>
      <c r="C2097" s="2" t="s">
        <v>6289</v>
      </c>
      <c r="D2097" s="2" t="s">
        <v>10052</v>
      </c>
      <c r="E2097" s="15">
        <v>8.8400000000000006E-2</v>
      </c>
      <c r="F2097" s="15">
        <v>6.4000000000000001E-2</v>
      </c>
      <c r="G2097" s="15">
        <v>0.16719999999999999</v>
      </c>
      <c r="H2097" s="15">
        <v>9.5000000000000001E-2</v>
      </c>
      <c r="I2097" s="15">
        <v>1.7299999999999999E-2</v>
      </c>
      <c r="J2097" s="15">
        <v>5.7674418604651159</v>
      </c>
    </row>
    <row r="2098" spans="1:10" x14ac:dyDescent="0.25">
      <c r="A2098" s="2" t="s">
        <v>6290</v>
      </c>
      <c r="B2098" s="2" t="s">
        <v>6291</v>
      </c>
      <c r="C2098" s="2" t="s">
        <v>6292</v>
      </c>
      <c r="D2098" s="2" t="s">
        <v>10052</v>
      </c>
      <c r="E2098" s="15">
        <v>2.24E-2</v>
      </c>
      <c r="F2098" s="15">
        <v>7.1900000000000006E-2</v>
      </c>
      <c r="G2098" s="15">
        <v>0.75509999999999999</v>
      </c>
      <c r="H2098" s="15">
        <v>7.0900000000000005E-2</v>
      </c>
      <c r="I2098" s="15">
        <v>1.66E-2</v>
      </c>
      <c r="J2098" s="15">
        <v>4.5670731707317067</v>
      </c>
    </row>
    <row r="2099" spans="1:10" x14ac:dyDescent="0.25">
      <c r="A2099" s="2" t="s">
        <v>6293</v>
      </c>
      <c r="B2099" s="2" t="s">
        <v>6294</v>
      </c>
      <c r="C2099" s="2" t="s">
        <v>6295</v>
      </c>
      <c r="D2099" s="2" t="s">
        <v>10052</v>
      </c>
      <c r="E2099" s="15">
        <v>3.1300000000000001E-2</v>
      </c>
      <c r="F2099" s="15">
        <v>6.7900000000000002E-2</v>
      </c>
      <c r="G2099" s="15">
        <v>0.64480000000000004</v>
      </c>
      <c r="H2099" s="15">
        <v>6.1499999999999999E-2</v>
      </c>
      <c r="I2099" s="15">
        <v>1.5599999999999999E-2</v>
      </c>
      <c r="J2099" s="15">
        <v>4.1836734693877551</v>
      </c>
    </row>
    <row r="2100" spans="1:10" x14ac:dyDescent="0.25">
      <c r="A2100" s="2" t="s">
        <v>6296</v>
      </c>
      <c r="B2100" s="2" t="s">
        <v>6297</v>
      </c>
      <c r="C2100" s="2" t="s">
        <v>6298</v>
      </c>
      <c r="D2100" s="2" t="s">
        <v>10052</v>
      </c>
      <c r="E2100" s="15">
        <v>4.0599999999999997E-2</v>
      </c>
      <c r="F2100" s="15">
        <v>4.7100000000000003E-2</v>
      </c>
      <c r="G2100" s="15">
        <v>0.38850000000000001</v>
      </c>
      <c r="H2100" s="15">
        <v>0.1487</v>
      </c>
      <c r="I2100" s="15">
        <v>1.8499999999999999E-2</v>
      </c>
      <c r="J2100" s="15">
        <v>8.741935483870968</v>
      </c>
    </row>
    <row r="2101" spans="1:10" x14ac:dyDescent="0.25">
      <c r="A2101" s="2" t="s">
        <v>6299</v>
      </c>
      <c r="B2101" s="2" t="s">
        <v>6300</v>
      </c>
      <c r="C2101" s="2" t="s">
        <v>6301</v>
      </c>
      <c r="D2101" s="2" t="s">
        <v>10052</v>
      </c>
      <c r="E2101" s="15">
        <v>2.98E-2</v>
      </c>
      <c r="F2101" s="15">
        <v>5.0799999999999998E-2</v>
      </c>
      <c r="G2101" s="15">
        <v>0.55649999999999999</v>
      </c>
      <c r="H2101" s="15">
        <v>0.12959999999999999</v>
      </c>
      <c r="I2101" s="15">
        <v>1.8100000000000002E-2</v>
      </c>
      <c r="J2101" s="15">
        <v>9.0295857988165693</v>
      </c>
    </row>
    <row r="2102" spans="1:10" x14ac:dyDescent="0.25">
      <c r="A2102" s="2" t="s">
        <v>6302</v>
      </c>
      <c r="B2102" s="2" t="s">
        <v>6303</v>
      </c>
      <c r="C2102" s="2" t="s">
        <v>6304</v>
      </c>
      <c r="D2102" s="2" t="s">
        <v>10052</v>
      </c>
      <c r="E2102" s="15">
        <v>-3.9E-2</v>
      </c>
      <c r="F2102" s="15">
        <v>4.8599999999999997E-2</v>
      </c>
      <c r="G2102" s="15">
        <v>0.42280000000000001</v>
      </c>
      <c r="H2102" s="15">
        <v>0.12620000000000001</v>
      </c>
      <c r="I2102" s="15">
        <v>1.8200000000000001E-2</v>
      </c>
      <c r="J2102" s="15">
        <v>7.095505617977528</v>
      </c>
    </row>
    <row r="2103" spans="1:10" x14ac:dyDescent="0.25">
      <c r="A2103" s="2" t="s">
        <v>6305</v>
      </c>
      <c r="B2103" s="2" t="s">
        <v>6306</v>
      </c>
      <c r="C2103" s="2" t="s">
        <v>6307</v>
      </c>
      <c r="D2103" s="2" t="s">
        <v>10052</v>
      </c>
      <c r="E2103" s="15">
        <v>-2.2499999999999999E-2</v>
      </c>
      <c r="F2103" s="15">
        <v>4.6300000000000001E-2</v>
      </c>
      <c r="G2103" s="15">
        <v>0.62780000000000002</v>
      </c>
      <c r="H2103" s="15">
        <v>0.13489999999999999</v>
      </c>
      <c r="I2103" s="15">
        <v>1.8499999999999999E-2</v>
      </c>
      <c r="J2103" s="15">
        <v>7.8260869565217384</v>
      </c>
    </row>
    <row r="2104" spans="1:10" x14ac:dyDescent="0.25">
      <c r="A2104" s="2" t="s">
        <v>6308</v>
      </c>
      <c r="B2104" s="2" t="s">
        <v>6309</v>
      </c>
      <c r="C2104" s="2" t="s">
        <v>6310</v>
      </c>
      <c r="D2104" s="2" t="s">
        <v>10052</v>
      </c>
      <c r="E2104" s="15">
        <v>-5.7999999999999996E-3</v>
      </c>
      <c r="F2104" s="15">
        <v>5.2299999999999999E-2</v>
      </c>
      <c r="G2104" s="15">
        <v>0.91120000000000001</v>
      </c>
      <c r="H2104" s="15">
        <v>0.1542</v>
      </c>
      <c r="I2104" s="15">
        <v>2.0199999999999999E-2</v>
      </c>
      <c r="J2104" s="15">
        <v>8.2050000000000001</v>
      </c>
    </row>
    <row r="2105" spans="1:10" x14ac:dyDescent="0.25">
      <c r="A2105" s="2" t="s">
        <v>6311</v>
      </c>
      <c r="B2105" s="2" t="s">
        <v>6312</v>
      </c>
      <c r="C2105" s="2" t="s">
        <v>6313</v>
      </c>
      <c r="D2105" s="2" t="s">
        <v>10052</v>
      </c>
      <c r="E2105" s="15">
        <v>-3.0099999999999998E-2</v>
      </c>
      <c r="F2105" s="15">
        <v>5.1700000000000003E-2</v>
      </c>
      <c r="G2105" s="15">
        <v>0.55979999999999996</v>
      </c>
      <c r="H2105" s="15">
        <v>0.16880000000000001</v>
      </c>
      <c r="I2105" s="15">
        <v>1.84E-2</v>
      </c>
      <c r="J2105" s="15">
        <v>9.8516483516483504</v>
      </c>
    </row>
    <row r="2106" spans="1:10" x14ac:dyDescent="0.25">
      <c r="A2106" s="2" t="s">
        <v>6314</v>
      </c>
      <c r="B2106" s="2" t="s">
        <v>6315</v>
      </c>
      <c r="C2106" s="2" t="s">
        <v>6316</v>
      </c>
      <c r="D2106" s="2" t="s">
        <v>10052</v>
      </c>
      <c r="E2106" s="15">
        <v>-6.9000000000000006E-2</v>
      </c>
      <c r="F2106" s="15">
        <v>4.4900000000000002E-2</v>
      </c>
      <c r="G2106" s="15">
        <v>0.12379999999999999</v>
      </c>
      <c r="H2106" s="15">
        <v>0.1804</v>
      </c>
      <c r="I2106" s="15">
        <v>2.4400000000000002E-2</v>
      </c>
      <c r="J2106" s="15">
        <v>7.446280991735537</v>
      </c>
    </row>
    <row r="2107" spans="1:10" x14ac:dyDescent="0.25">
      <c r="A2107" s="2" t="s">
        <v>6317</v>
      </c>
      <c r="B2107" s="2" t="s">
        <v>6318</v>
      </c>
      <c r="C2107" s="2" t="s">
        <v>6319</v>
      </c>
      <c r="D2107" s="2" t="s">
        <v>10052</v>
      </c>
      <c r="E2107" s="15">
        <v>-3.5999999999999999E-3</v>
      </c>
      <c r="F2107" s="15">
        <v>4.5199999999999997E-2</v>
      </c>
      <c r="G2107" s="15">
        <v>0.93700000000000006</v>
      </c>
      <c r="H2107" s="15">
        <v>0.182</v>
      </c>
      <c r="I2107" s="15">
        <v>1.9E-2</v>
      </c>
      <c r="J2107" s="15">
        <v>9.9189189189189193</v>
      </c>
    </row>
    <row r="2108" spans="1:10" x14ac:dyDescent="0.25">
      <c r="A2108" s="2" t="s">
        <v>6320</v>
      </c>
      <c r="B2108" s="2" t="s">
        <v>6321</v>
      </c>
      <c r="C2108" s="2" t="s">
        <v>6322</v>
      </c>
      <c r="D2108" s="2" t="s">
        <v>10052</v>
      </c>
      <c r="E2108" s="15">
        <v>-8.3299999999999999E-2</v>
      </c>
      <c r="F2108" s="15">
        <v>6.8000000000000005E-2</v>
      </c>
      <c r="G2108" s="15">
        <v>0.22059999999999999</v>
      </c>
      <c r="H2108" s="15">
        <v>8.5999999999999993E-2</v>
      </c>
      <c r="I2108" s="15">
        <v>1.66E-2</v>
      </c>
      <c r="J2108" s="15">
        <v>5.4367816091954033</v>
      </c>
    </row>
    <row r="2109" spans="1:10" x14ac:dyDescent="0.25">
      <c r="A2109" s="2" t="s">
        <v>6323</v>
      </c>
      <c r="B2109" s="2" t="s">
        <v>6324</v>
      </c>
      <c r="C2109" s="2" t="s">
        <v>6325</v>
      </c>
      <c r="D2109" s="2" t="s">
        <v>10052</v>
      </c>
      <c r="E2109" s="15">
        <v>-3.6200000000000003E-2</v>
      </c>
      <c r="F2109" s="15">
        <v>5.6500000000000002E-2</v>
      </c>
      <c r="G2109" s="15">
        <v>0.52249999999999996</v>
      </c>
      <c r="H2109" s="15">
        <v>0.1234</v>
      </c>
      <c r="I2109" s="15">
        <v>1.6500000000000001E-2</v>
      </c>
      <c r="J2109" s="15">
        <v>8.1304347826086953</v>
      </c>
    </row>
    <row r="2110" spans="1:10" x14ac:dyDescent="0.25">
      <c r="A2110" s="2" t="s">
        <v>6326</v>
      </c>
      <c r="B2110" s="2" t="s">
        <v>6327</v>
      </c>
      <c r="C2110" s="2" t="s">
        <v>6328</v>
      </c>
      <c r="D2110" s="2" t="s">
        <v>10052</v>
      </c>
      <c r="E2110" s="15">
        <v>-1.35E-2</v>
      </c>
      <c r="F2110" s="15">
        <v>5.5100000000000003E-2</v>
      </c>
      <c r="G2110" s="15">
        <v>0.80600000000000005</v>
      </c>
      <c r="H2110" s="15">
        <v>0.1186</v>
      </c>
      <c r="I2110" s="15">
        <v>1.9599999999999999E-2</v>
      </c>
      <c r="J2110" s="15">
        <v>5.6756756756756754</v>
      </c>
    </row>
    <row r="2111" spans="1:10" x14ac:dyDescent="0.25">
      <c r="A2111" s="2" t="s">
        <v>6329</v>
      </c>
      <c r="B2111" s="2" t="s">
        <v>6330</v>
      </c>
      <c r="C2111" s="2" t="s">
        <v>6331</v>
      </c>
      <c r="D2111" s="2" t="s">
        <v>10052</v>
      </c>
      <c r="E2111" s="15">
        <v>-1.7600000000000001E-2</v>
      </c>
      <c r="F2111" s="15">
        <v>5.5300000000000002E-2</v>
      </c>
      <c r="G2111" s="15">
        <v>0.75</v>
      </c>
      <c r="H2111" s="15">
        <v>0.1313</v>
      </c>
      <c r="I2111" s="15">
        <v>1.7500000000000002E-2</v>
      </c>
      <c r="J2111" s="15">
        <v>7.0335195530726269</v>
      </c>
    </row>
    <row r="2112" spans="1:10" x14ac:dyDescent="0.25">
      <c r="A2112" s="2" t="s">
        <v>6332</v>
      </c>
      <c r="B2112" s="2" t="s">
        <v>6333</v>
      </c>
      <c r="C2112" s="2" t="s">
        <v>6334</v>
      </c>
      <c r="D2112" s="2" t="s">
        <v>10052</v>
      </c>
      <c r="E2112" s="15">
        <v>1.1000000000000001E-3</v>
      </c>
      <c r="F2112" s="15">
        <v>4.1399999999999999E-2</v>
      </c>
      <c r="G2112" s="15">
        <v>0.97899999999999998</v>
      </c>
      <c r="H2112" s="15">
        <v>0.1961</v>
      </c>
      <c r="I2112" s="15">
        <v>2.2499999999999999E-2</v>
      </c>
      <c r="J2112" s="15">
        <v>10.20673076923077</v>
      </c>
    </row>
    <row r="2113" spans="1:10" x14ac:dyDescent="0.25">
      <c r="A2113" s="2" t="s">
        <v>6335</v>
      </c>
      <c r="B2113" s="2" t="s">
        <v>6336</v>
      </c>
      <c r="C2113" s="2" t="s">
        <v>6337</v>
      </c>
      <c r="D2113" s="2" t="s">
        <v>10052</v>
      </c>
      <c r="E2113" s="15">
        <v>-4.4400000000000002E-2</v>
      </c>
      <c r="F2113" s="15">
        <v>4.9000000000000002E-2</v>
      </c>
      <c r="G2113" s="15">
        <v>0.36449999999999999</v>
      </c>
      <c r="H2113" s="15">
        <v>0.16830000000000001</v>
      </c>
      <c r="I2113" s="15">
        <v>1.9400000000000001E-2</v>
      </c>
      <c r="J2113" s="15">
        <v>9.1791044776119399</v>
      </c>
    </row>
    <row r="2114" spans="1:10" x14ac:dyDescent="0.25">
      <c r="A2114" s="2" t="s">
        <v>6338</v>
      </c>
      <c r="B2114" s="2" t="s">
        <v>6339</v>
      </c>
      <c r="C2114" s="2" t="s">
        <v>6340</v>
      </c>
      <c r="D2114" s="2" t="s">
        <v>10052</v>
      </c>
      <c r="E2114" s="15">
        <v>4.7999999999999996E-3</v>
      </c>
      <c r="F2114" s="15">
        <v>4.5400000000000003E-2</v>
      </c>
      <c r="G2114" s="15">
        <v>0.91579999999999995</v>
      </c>
      <c r="H2114" s="15">
        <v>0.20710000000000001</v>
      </c>
      <c r="I2114" s="15">
        <v>2.7199999999999998E-2</v>
      </c>
      <c r="J2114" s="15">
        <v>8.2370370370370374</v>
      </c>
    </row>
    <row r="2115" spans="1:10" x14ac:dyDescent="0.25">
      <c r="A2115" s="2" t="s">
        <v>6341</v>
      </c>
      <c r="B2115" s="2" t="s">
        <v>6342</v>
      </c>
      <c r="C2115" s="2" t="s">
        <v>6343</v>
      </c>
      <c r="D2115" s="2" t="s">
        <v>10052</v>
      </c>
      <c r="E2115" s="15">
        <v>-3.6499999999999998E-2</v>
      </c>
      <c r="F2115" s="15">
        <v>4.5100000000000001E-2</v>
      </c>
      <c r="G2115" s="15">
        <v>0.41810000000000003</v>
      </c>
      <c r="H2115" s="15">
        <v>0.20569999999999999</v>
      </c>
      <c r="I2115" s="15">
        <v>2.6499999999999999E-2</v>
      </c>
      <c r="J2115" s="15">
        <v>8.4349442379182147</v>
      </c>
    </row>
    <row r="2116" spans="1:10" x14ac:dyDescent="0.25">
      <c r="A2116" s="2" t="s">
        <v>6344</v>
      </c>
      <c r="B2116" s="2" t="s">
        <v>6345</v>
      </c>
      <c r="C2116" s="2" t="s">
        <v>6346</v>
      </c>
      <c r="D2116" s="2" t="s">
        <v>10052</v>
      </c>
      <c r="E2116" s="15">
        <v>1.3599999999999999E-2</v>
      </c>
      <c r="F2116" s="15">
        <v>4.4400000000000002E-2</v>
      </c>
      <c r="G2116" s="15">
        <v>0.75880000000000003</v>
      </c>
      <c r="H2116" s="15">
        <v>0.2011</v>
      </c>
      <c r="I2116" s="15">
        <v>2.7E-2</v>
      </c>
      <c r="J2116" s="15">
        <v>8.4092664092664098</v>
      </c>
    </row>
    <row r="2117" spans="1:10" x14ac:dyDescent="0.25">
      <c r="A2117" s="2" t="s">
        <v>6347</v>
      </c>
      <c r="B2117" s="2" t="s">
        <v>6348</v>
      </c>
      <c r="C2117" s="2" t="s">
        <v>6349</v>
      </c>
      <c r="D2117" s="2" t="s">
        <v>10052</v>
      </c>
      <c r="E2117" s="15">
        <v>-8.6999999999999994E-3</v>
      </c>
      <c r="F2117" s="15">
        <v>4.2200000000000001E-2</v>
      </c>
      <c r="G2117" s="15">
        <v>0.83750000000000002</v>
      </c>
      <c r="H2117" s="15">
        <v>0.2152</v>
      </c>
      <c r="I2117" s="15">
        <v>2.86E-2</v>
      </c>
      <c r="J2117" s="15">
        <v>8.9527272727272731</v>
      </c>
    </row>
    <row r="2118" spans="1:10" x14ac:dyDescent="0.25">
      <c r="A2118" s="2" t="s">
        <v>6350</v>
      </c>
      <c r="B2118" s="2" t="s">
        <v>6351</v>
      </c>
      <c r="C2118" s="2" t="s">
        <v>6352</v>
      </c>
      <c r="D2118" s="2" t="s">
        <v>10052</v>
      </c>
      <c r="E2118" s="15">
        <v>-9.7000000000000003E-3</v>
      </c>
      <c r="F2118" s="15">
        <v>5.4600000000000003E-2</v>
      </c>
      <c r="G2118" s="15">
        <v>0.85960000000000003</v>
      </c>
      <c r="H2118" s="15">
        <v>0.1152</v>
      </c>
      <c r="I2118" s="15">
        <v>1.7399999999999999E-2</v>
      </c>
      <c r="J2118" s="15">
        <v>6</v>
      </c>
    </row>
    <row r="2119" spans="1:10" x14ac:dyDescent="0.25">
      <c r="A2119" s="2" t="s">
        <v>6353</v>
      </c>
      <c r="B2119" s="2" t="s">
        <v>6354</v>
      </c>
      <c r="C2119" s="2" t="s">
        <v>6355</v>
      </c>
      <c r="D2119" s="2" t="s">
        <v>10052</v>
      </c>
      <c r="E2119" s="15">
        <v>-8.6999999999999994E-3</v>
      </c>
      <c r="F2119" s="15">
        <v>6.6799999999999998E-2</v>
      </c>
      <c r="G2119" s="15">
        <v>0.89649999999999996</v>
      </c>
      <c r="H2119" s="15">
        <v>5.4300000000000001E-2</v>
      </c>
      <c r="I2119" s="15">
        <v>1.6199999999999999E-2</v>
      </c>
      <c r="J2119" s="15">
        <v>4.4935064935064926</v>
      </c>
    </row>
    <row r="2120" spans="1:10" x14ac:dyDescent="0.25">
      <c r="A2120" s="2" t="s">
        <v>6356</v>
      </c>
      <c r="B2120" s="2" t="s">
        <v>6357</v>
      </c>
      <c r="C2120" s="2" t="s">
        <v>6358</v>
      </c>
      <c r="D2120" s="2" t="s">
        <v>10052</v>
      </c>
      <c r="E2120" s="15">
        <v>4.8599999999999997E-2</v>
      </c>
      <c r="F2120" s="15">
        <v>6.1100000000000002E-2</v>
      </c>
      <c r="G2120" s="15">
        <v>0.42630000000000001</v>
      </c>
      <c r="H2120" s="15">
        <v>7.3200000000000001E-2</v>
      </c>
      <c r="I2120" s="15">
        <v>1.6E-2</v>
      </c>
      <c r="J2120" s="15">
        <v>5.0817610062893079</v>
      </c>
    </row>
    <row r="2121" spans="1:10" x14ac:dyDescent="0.25">
      <c r="A2121" s="2" t="s">
        <v>6359</v>
      </c>
      <c r="B2121" s="2" t="s">
        <v>6360</v>
      </c>
      <c r="C2121" s="2" t="s">
        <v>6361</v>
      </c>
      <c r="D2121" s="2" t="s">
        <v>10052</v>
      </c>
      <c r="E2121" s="15">
        <v>0.1159</v>
      </c>
      <c r="F2121" s="15">
        <v>5.74E-2</v>
      </c>
      <c r="G2121" s="15">
        <v>4.3299999999999998E-2</v>
      </c>
      <c r="H2121" s="15">
        <v>0.13200000000000001</v>
      </c>
      <c r="I2121" s="15">
        <v>1.9900000000000001E-2</v>
      </c>
      <c r="J2121" s="15">
        <v>7.2020725388601026</v>
      </c>
    </row>
    <row r="2122" spans="1:10" x14ac:dyDescent="0.25">
      <c r="A2122" s="2" t="s">
        <v>6362</v>
      </c>
      <c r="B2122" s="2" t="s">
        <v>6363</v>
      </c>
      <c r="C2122" s="2" t="s">
        <v>6364</v>
      </c>
      <c r="D2122" s="2" t="s">
        <v>10052</v>
      </c>
      <c r="E2122" s="15">
        <v>8.2000000000000007E-3</v>
      </c>
      <c r="F2122" s="15">
        <v>5.6000000000000001E-2</v>
      </c>
      <c r="G2122" s="15">
        <v>0.88370000000000004</v>
      </c>
      <c r="H2122" s="15">
        <v>0.1235</v>
      </c>
      <c r="I2122" s="15">
        <v>1.9800000000000002E-2</v>
      </c>
      <c r="J2122" s="15">
        <v>7.1709844559585489</v>
      </c>
    </row>
    <row r="2123" spans="1:10" x14ac:dyDescent="0.25">
      <c r="A2123" s="2" t="s">
        <v>6365</v>
      </c>
      <c r="B2123" s="2" t="s">
        <v>6366</v>
      </c>
      <c r="C2123" s="2" t="s">
        <v>6367</v>
      </c>
      <c r="D2123" s="2" t="s">
        <v>10052</v>
      </c>
      <c r="E2123" s="15">
        <v>-1.7399999999999999E-2</v>
      </c>
      <c r="F2123" s="15">
        <v>3.9699999999999999E-2</v>
      </c>
      <c r="G2123" s="15">
        <v>0.66039999999999999</v>
      </c>
      <c r="H2123" s="15">
        <v>0.24610000000000001</v>
      </c>
      <c r="I2123" s="15">
        <v>2.7699999999999999E-2</v>
      </c>
      <c r="J2123" s="15">
        <v>10.01811594202899</v>
      </c>
    </row>
    <row r="2124" spans="1:10" x14ac:dyDescent="0.25">
      <c r="A2124" s="2" t="s">
        <v>6368</v>
      </c>
      <c r="B2124" s="2" t="s">
        <v>6369</v>
      </c>
      <c r="C2124" s="2" t="s">
        <v>6370</v>
      </c>
      <c r="D2124" s="2" t="s">
        <v>10052</v>
      </c>
      <c r="E2124" s="15">
        <v>-1.52E-2</v>
      </c>
      <c r="F2124" s="15">
        <v>4.1000000000000002E-2</v>
      </c>
      <c r="G2124" s="15">
        <v>0.71150000000000002</v>
      </c>
      <c r="H2124" s="15">
        <v>0.24249999999999999</v>
      </c>
      <c r="I2124" s="15">
        <v>2.6599999999999999E-2</v>
      </c>
      <c r="J2124" s="15">
        <v>10.049618320610691</v>
      </c>
    </row>
    <row r="2125" spans="1:10" x14ac:dyDescent="0.25">
      <c r="A2125" s="2" t="s">
        <v>6371</v>
      </c>
      <c r="B2125" s="2" t="s">
        <v>6372</v>
      </c>
      <c r="C2125" s="2" t="s">
        <v>6373</v>
      </c>
      <c r="D2125" s="2" t="s">
        <v>10052</v>
      </c>
      <c r="E2125" s="15">
        <v>-3.39E-2</v>
      </c>
      <c r="F2125" s="15">
        <v>4.8399999999999999E-2</v>
      </c>
      <c r="G2125" s="15">
        <v>0.4834</v>
      </c>
      <c r="H2125" s="15">
        <v>0.19270000000000001</v>
      </c>
      <c r="I2125" s="15">
        <v>2.3800000000000002E-2</v>
      </c>
      <c r="J2125" s="15">
        <v>9.6473214285714288</v>
      </c>
    </row>
    <row r="2126" spans="1:10" x14ac:dyDescent="0.25">
      <c r="A2126" s="2" t="s">
        <v>6374</v>
      </c>
      <c r="B2126" s="2" t="s">
        <v>6375</v>
      </c>
      <c r="C2126" s="2" t="s">
        <v>6376</v>
      </c>
      <c r="D2126" s="2" t="s">
        <v>10052</v>
      </c>
      <c r="E2126" s="15">
        <v>-2.07E-2</v>
      </c>
      <c r="F2126" s="15">
        <v>4.7800000000000002E-2</v>
      </c>
      <c r="G2126" s="15">
        <v>0.6653</v>
      </c>
      <c r="H2126" s="15">
        <v>0.1852</v>
      </c>
      <c r="I2126" s="15">
        <v>2.1999999999999999E-2</v>
      </c>
      <c r="J2126" s="15">
        <v>10.117073170731709</v>
      </c>
    </row>
    <row r="2127" spans="1:10" x14ac:dyDescent="0.25">
      <c r="A2127" s="2" t="s">
        <v>6377</v>
      </c>
      <c r="B2127" s="2" t="s">
        <v>6378</v>
      </c>
      <c r="C2127" s="2" t="s">
        <v>6379</v>
      </c>
      <c r="D2127" s="2" t="s">
        <v>10052</v>
      </c>
      <c r="E2127" s="15">
        <v>-2.7000000000000001E-3</v>
      </c>
      <c r="F2127" s="15">
        <v>4.3700000000000003E-2</v>
      </c>
      <c r="G2127" s="15">
        <v>0.94989999999999997</v>
      </c>
      <c r="H2127" s="15">
        <v>0.1694</v>
      </c>
      <c r="I2127" s="15">
        <v>2.3E-2</v>
      </c>
      <c r="J2127" s="15">
        <v>7.9422222222222221</v>
      </c>
    </row>
    <row r="2128" spans="1:10" x14ac:dyDescent="0.25">
      <c r="A2128" s="2" t="s">
        <v>6380</v>
      </c>
      <c r="B2128" s="2" t="s">
        <v>6381</v>
      </c>
      <c r="C2128" s="2" t="s">
        <v>6382</v>
      </c>
      <c r="D2128" s="2" t="s">
        <v>10052</v>
      </c>
      <c r="E2128" s="15">
        <v>-1.78E-2</v>
      </c>
      <c r="F2128" s="15">
        <v>4.5699999999999998E-2</v>
      </c>
      <c r="G2128" s="15">
        <v>0.69740000000000002</v>
      </c>
      <c r="H2128" s="15">
        <v>0.16639999999999999</v>
      </c>
      <c r="I2128" s="15">
        <v>1.9300000000000001E-2</v>
      </c>
      <c r="J2128" s="15">
        <v>9.0000000000000018</v>
      </c>
    </row>
    <row r="2129" spans="1:10" x14ac:dyDescent="0.25">
      <c r="A2129" s="2" t="s">
        <v>6383</v>
      </c>
      <c r="B2129" s="2" t="s">
        <v>6384</v>
      </c>
      <c r="C2129" s="2" t="s">
        <v>6385</v>
      </c>
      <c r="D2129" s="2" t="s">
        <v>10053</v>
      </c>
      <c r="E2129" s="15">
        <v>-2.87E-2</v>
      </c>
      <c r="F2129" s="15">
        <v>0.10059999999999999</v>
      </c>
      <c r="G2129" s="15">
        <v>0.77539999999999998</v>
      </c>
      <c r="H2129" s="15">
        <v>3.5900000000000001E-2</v>
      </c>
      <c r="I2129" s="15">
        <v>1.54E-2</v>
      </c>
      <c r="J2129" s="15">
        <v>2.0059523809523809</v>
      </c>
    </row>
    <row r="2130" spans="1:10" x14ac:dyDescent="0.25">
      <c r="A2130" s="2" t="s">
        <v>6386</v>
      </c>
      <c r="B2130" s="2" t="s">
        <v>6387</v>
      </c>
      <c r="C2130" s="2" t="s">
        <v>6388</v>
      </c>
      <c r="D2130" s="2" t="s">
        <v>10053</v>
      </c>
      <c r="E2130" s="15">
        <v>-3.1899999999999998E-2</v>
      </c>
      <c r="F2130" s="15">
        <v>9.1700000000000004E-2</v>
      </c>
      <c r="G2130" s="15">
        <v>0.72840000000000005</v>
      </c>
      <c r="H2130" s="15">
        <v>4.2700000000000002E-2</v>
      </c>
      <c r="I2130" s="15">
        <v>1.6E-2</v>
      </c>
      <c r="J2130" s="15">
        <v>2.5942857142857139</v>
      </c>
    </row>
    <row r="2131" spans="1:10" x14ac:dyDescent="0.25">
      <c r="A2131" s="2" t="s">
        <v>6389</v>
      </c>
      <c r="B2131" s="2" t="s">
        <v>6390</v>
      </c>
      <c r="C2131" s="2" t="s">
        <v>6391</v>
      </c>
      <c r="D2131" s="2" t="s">
        <v>10053</v>
      </c>
      <c r="E2131" s="15">
        <v>-4.4999999999999997E-3</v>
      </c>
      <c r="F2131" s="15">
        <v>9.8400000000000001E-2</v>
      </c>
      <c r="G2131" s="15">
        <v>0.96350000000000002</v>
      </c>
      <c r="H2131" s="15">
        <v>3.6299999999999999E-2</v>
      </c>
      <c r="I2131" s="15">
        <v>1.6E-2</v>
      </c>
      <c r="J2131" s="15">
        <v>1.797814207650273</v>
      </c>
    </row>
    <row r="2132" spans="1:10" x14ac:dyDescent="0.25">
      <c r="A2132" s="2" t="s">
        <v>6392</v>
      </c>
      <c r="B2132" s="2" t="s">
        <v>6393</v>
      </c>
      <c r="C2132" s="2" t="s">
        <v>6394</v>
      </c>
      <c r="D2132" s="2" t="s">
        <v>10053</v>
      </c>
      <c r="E2132" s="15">
        <v>-1.14E-2</v>
      </c>
      <c r="F2132" s="15">
        <v>0.1022</v>
      </c>
      <c r="G2132" s="15">
        <v>0.91149999999999998</v>
      </c>
      <c r="H2132" s="15">
        <v>3.56E-2</v>
      </c>
      <c r="I2132" s="15">
        <v>1.52E-2</v>
      </c>
      <c r="J2132" s="15">
        <v>1.8693181818181821</v>
      </c>
    </row>
    <row r="2133" spans="1:10" x14ac:dyDescent="0.25">
      <c r="A2133" s="2" t="s">
        <v>6395</v>
      </c>
      <c r="B2133" s="2" t="s">
        <v>6396</v>
      </c>
      <c r="C2133" s="2" t="s">
        <v>6397</v>
      </c>
      <c r="D2133" s="2" t="s">
        <v>10053</v>
      </c>
      <c r="E2133" s="15">
        <v>2.4899999999999999E-2</v>
      </c>
      <c r="F2133" s="15">
        <v>0.122</v>
      </c>
      <c r="G2133" s="15">
        <v>0.83809999999999996</v>
      </c>
      <c r="H2133" s="15">
        <v>2.1999999999999999E-2</v>
      </c>
      <c r="I2133" s="15">
        <v>1.78E-2</v>
      </c>
      <c r="J2133" s="15">
        <v>1.4861878453038671</v>
      </c>
    </row>
    <row r="2134" spans="1:10" x14ac:dyDescent="0.25">
      <c r="A2134" s="2" t="s">
        <v>6398</v>
      </c>
      <c r="B2134" s="2" t="s">
        <v>6399</v>
      </c>
      <c r="C2134" s="2" t="s">
        <v>6400</v>
      </c>
      <c r="D2134" s="2" t="s">
        <v>10053</v>
      </c>
      <c r="E2134" s="15">
        <v>-3.2000000000000002E-3</v>
      </c>
      <c r="F2134" s="15">
        <v>0.1056</v>
      </c>
      <c r="G2134" s="15">
        <v>0.97570000000000001</v>
      </c>
      <c r="H2134" s="15">
        <v>2.7900000000000001E-2</v>
      </c>
      <c r="I2134" s="15">
        <v>1.6799999999999999E-2</v>
      </c>
      <c r="J2134" s="15">
        <v>1.9942196531791909</v>
      </c>
    </row>
    <row r="2135" spans="1:10" x14ac:dyDescent="0.25">
      <c r="A2135" s="2" t="s">
        <v>6401</v>
      </c>
      <c r="B2135" s="2" t="s">
        <v>6402</v>
      </c>
      <c r="C2135" s="2" t="s">
        <v>6403</v>
      </c>
      <c r="D2135" s="2" t="s">
        <v>10053</v>
      </c>
      <c r="E2135" s="15">
        <v>2.7900000000000001E-2</v>
      </c>
      <c r="F2135" s="15">
        <v>0.1212</v>
      </c>
      <c r="G2135" s="15">
        <v>0.81769999999999998</v>
      </c>
      <c r="H2135" s="15">
        <v>2.1899999999999999E-2</v>
      </c>
      <c r="I2135" s="15">
        <v>1.6400000000000001E-2</v>
      </c>
      <c r="J2135" s="15">
        <v>1.357954545454545</v>
      </c>
    </row>
    <row r="2136" spans="1:10" x14ac:dyDescent="0.25">
      <c r="A2136" s="2" t="s">
        <v>6404</v>
      </c>
      <c r="B2136" s="2" t="s">
        <v>6405</v>
      </c>
      <c r="C2136" s="2" t="s">
        <v>6406</v>
      </c>
      <c r="D2136" s="2" t="s">
        <v>10053</v>
      </c>
      <c r="E2136" s="15">
        <v>1.11E-2</v>
      </c>
      <c r="F2136" s="15">
        <v>0.13139999999999999</v>
      </c>
      <c r="G2136" s="15">
        <v>0.93269999999999997</v>
      </c>
      <c r="H2136" s="15">
        <v>1.9300000000000001E-2</v>
      </c>
      <c r="I2136" s="15">
        <v>1.52E-2</v>
      </c>
      <c r="J2136" s="15">
        <v>1.227544910179641</v>
      </c>
    </row>
    <row r="2137" spans="1:10" x14ac:dyDescent="0.25">
      <c r="A2137" s="2" t="s">
        <v>6407</v>
      </c>
      <c r="B2137" s="2" t="s">
        <v>6408</v>
      </c>
      <c r="C2137" s="2" t="s">
        <v>6409</v>
      </c>
      <c r="D2137" s="2" t="s">
        <v>10053</v>
      </c>
      <c r="E2137" s="15">
        <v>1.6899999999999998E-2</v>
      </c>
      <c r="F2137" s="15">
        <v>7.1599999999999997E-2</v>
      </c>
      <c r="G2137" s="15">
        <v>0.81330000000000002</v>
      </c>
      <c r="H2137" s="15">
        <v>5.8799999999999998E-2</v>
      </c>
      <c r="I2137" s="15">
        <v>1.4200000000000001E-2</v>
      </c>
      <c r="J2137" s="15">
        <v>4.2546583850931681</v>
      </c>
    </row>
    <row r="2138" spans="1:10" x14ac:dyDescent="0.25">
      <c r="A2138" s="2" t="s">
        <v>6410</v>
      </c>
      <c r="B2138" s="2" t="s">
        <v>6411</v>
      </c>
      <c r="C2138" s="2" t="s">
        <v>6412</v>
      </c>
      <c r="D2138" s="2" t="s">
        <v>10053</v>
      </c>
      <c r="E2138" s="15">
        <v>1.77E-2</v>
      </c>
      <c r="F2138" s="15">
        <v>6.4699999999999994E-2</v>
      </c>
      <c r="G2138" s="15">
        <v>0.78459999999999996</v>
      </c>
      <c r="H2138" s="15">
        <v>7.6499999999999999E-2</v>
      </c>
      <c r="I2138" s="15">
        <v>1.49E-2</v>
      </c>
      <c r="J2138" s="15">
        <v>5.2559523809523814</v>
      </c>
    </row>
    <row r="2139" spans="1:10" x14ac:dyDescent="0.25">
      <c r="A2139" s="2" t="s">
        <v>6413</v>
      </c>
      <c r="B2139" s="2" t="s">
        <v>6414</v>
      </c>
      <c r="C2139" s="2" t="s">
        <v>6415</v>
      </c>
      <c r="D2139" s="2" t="s">
        <v>10053</v>
      </c>
      <c r="E2139" s="15">
        <v>2.6700000000000002E-2</v>
      </c>
      <c r="F2139" s="15">
        <v>8.8200000000000001E-2</v>
      </c>
      <c r="G2139" s="15">
        <v>0.76180000000000003</v>
      </c>
      <c r="H2139" s="15">
        <v>3.9600000000000003E-2</v>
      </c>
      <c r="I2139" s="15">
        <v>1.3899999999999999E-2</v>
      </c>
      <c r="J2139" s="15">
        <v>3.083870967741936</v>
      </c>
    </row>
    <row r="2140" spans="1:10" x14ac:dyDescent="0.25">
      <c r="A2140" s="2" t="s">
        <v>6416</v>
      </c>
      <c r="B2140" s="2" t="s">
        <v>6417</v>
      </c>
      <c r="C2140" s="2" t="s">
        <v>6418</v>
      </c>
      <c r="D2140" s="2" t="s">
        <v>10053</v>
      </c>
      <c r="E2140" s="15">
        <v>6.4899999999999999E-2</v>
      </c>
      <c r="F2140" s="15">
        <v>8.8999999999999996E-2</v>
      </c>
      <c r="G2140" s="15">
        <v>0.46589999999999998</v>
      </c>
      <c r="H2140" s="15">
        <v>4.2200000000000001E-2</v>
      </c>
      <c r="I2140" s="15">
        <v>1.3299999999999999E-2</v>
      </c>
      <c r="J2140" s="15">
        <v>3.3355704697986579</v>
      </c>
    </row>
    <row r="2141" spans="1:10" x14ac:dyDescent="0.25">
      <c r="A2141" s="2" t="s">
        <v>6419</v>
      </c>
      <c r="B2141" s="2" t="s">
        <v>6420</v>
      </c>
      <c r="C2141" s="2" t="s">
        <v>6421</v>
      </c>
      <c r="D2141" s="2" t="s">
        <v>10053</v>
      </c>
      <c r="E2141" s="15">
        <v>0.17299999999999999</v>
      </c>
      <c r="F2141" s="15">
        <v>8.5000000000000006E-2</v>
      </c>
      <c r="G2141" s="15">
        <v>4.19E-2</v>
      </c>
      <c r="H2141" s="15">
        <v>4.4900000000000002E-2</v>
      </c>
      <c r="I2141" s="15">
        <v>1.5100000000000001E-2</v>
      </c>
      <c r="J2141" s="15">
        <v>3.2147239263803691</v>
      </c>
    </row>
    <row r="2142" spans="1:10" x14ac:dyDescent="0.25">
      <c r="A2142" s="2" t="s">
        <v>6422</v>
      </c>
      <c r="B2142" s="2" t="s">
        <v>6423</v>
      </c>
      <c r="C2142" s="2" t="s">
        <v>6424</v>
      </c>
      <c r="D2142" s="2" t="s">
        <v>10053</v>
      </c>
      <c r="E2142" s="15">
        <v>0.13750000000000001</v>
      </c>
      <c r="F2142" s="15">
        <v>9.2999999999999999E-2</v>
      </c>
      <c r="G2142" s="15">
        <v>0.1391</v>
      </c>
      <c r="H2142" s="15">
        <v>4.1300000000000003E-2</v>
      </c>
      <c r="I2142" s="15">
        <v>1.5800000000000002E-2</v>
      </c>
      <c r="J2142" s="15">
        <v>2.833333333333333</v>
      </c>
    </row>
    <row r="2143" spans="1:10" x14ac:dyDescent="0.25">
      <c r="A2143" s="2" t="s">
        <v>6425</v>
      </c>
      <c r="B2143" s="2" t="s">
        <v>6426</v>
      </c>
      <c r="C2143" s="2" t="s">
        <v>6427</v>
      </c>
      <c r="D2143" s="2" t="s">
        <v>10053</v>
      </c>
      <c r="E2143" s="15">
        <v>0.1605</v>
      </c>
      <c r="F2143" s="15">
        <v>7.9100000000000004E-2</v>
      </c>
      <c r="G2143" s="15">
        <v>4.2500000000000003E-2</v>
      </c>
      <c r="H2143" s="15">
        <v>4.9700000000000001E-2</v>
      </c>
      <c r="I2143" s="15">
        <v>1.52E-2</v>
      </c>
      <c r="J2143" s="15">
        <v>3.7312500000000002</v>
      </c>
    </row>
    <row r="2144" spans="1:10" x14ac:dyDescent="0.25">
      <c r="A2144" s="2" t="s">
        <v>6428</v>
      </c>
      <c r="B2144" s="2" t="s">
        <v>6429</v>
      </c>
      <c r="C2144" s="2" t="s">
        <v>6430</v>
      </c>
      <c r="D2144" s="2" t="s">
        <v>10053</v>
      </c>
      <c r="E2144" s="15">
        <v>0.12330000000000001</v>
      </c>
      <c r="F2144" s="15">
        <v>8.8599999999999998E-2</v>
      </c>
      <c r="G2144" s="15">
        <v>0.16400000000000001</v>
      </c>
      <c r="H2144" s="15">
        <v>4.2299999999999997E-2</v>
      </c>
      <c r="I2144" s="15">
        <v>1.5900000000000001E-2</v>
      </c>
      <c r="J2144" s="15">
        <v>3.5316455696202529</v>
      </c>
    </row>
    <row r="2145" spans="1:10" x14ac:dyDescent="0.25">
      <c r="A2145" s="2" t="s">
        <v>6431</v>
      </c>
      <c r="B2145" s="2" t="s">
        <v>6432</v>
      </c>
      <c r="C2145" s="2" t="s">
        <v>6433</v>
      </c>
      <c r="D2145" s="2" t="s">
        <v>10054</v>
      </c>
      <c r="E2145" s="15">
        <v>9.1999999999999998E-3</v>
      </c>
      <c r="F2145" s="15">
        <v>5.1299999999999998E-2</v>
      </c>
      <c r="G2145" s="15">
        <v>0.85780000000000001</v>
      </c>
      <c r="H2145" s="15">
        <v>0.1239</v>
      </c>
      <c r="I2145" s="15">
        <v>1.78E-2</v>
      </c>
      <c r="J2145" s="15">
        <v>7.0295857988165693</v>
      </c>
    </row>
    <row r="2146" spans="1:10" x14ac:dyDescent="0.25">
      <c r="A2146" s="2" t="s">
        <v>6434</v>
      </c>
      <c r="B2146" s="2" t="s">
        <v>6432</v>
      </c>
      <c r="C2146" s="2" t="s">
        <v>6435</v>
      </c>
      <c r="D2146" s="2" t="s">
        <v>10054</v>
      </c>
      <c r="E2146" s="15">
        <v>-8.4599999999999995E-2</v>
      </c>
      <c r="F2146" s="15">
        <v>7.4200000000000002E-2</v>
      </c>
      <c r="G2146" s="15">
        <v>0.2545</v>
      </c>
      <c r="H2146" s="15">
        <v>5.5599999999999997E-2</v>
      </c>
      <c r="I2146" s="15">
        <v>1.43E-2</v>
      </c>
      <c r="J2146" s="15">
        <v>3.3260869565217388</v>
      </c>
    </row>
    <row r="2147" spans="1:10" x14ac:dyDescent="0.25">
      <c r="A2147" s="2" t="s">
        <v>6436</v>
      </c>
      <c r="B2147" s="2" t="s">
        <v>6432</v>
      </c>
      <c r="C2147" s="2" t="s">
        <v>6437</v>
      </c>
      <c r="D2147" s="2" t="s">
        <v>10054</v>
      </c>
      <c r="E2147" s="15">
        <v>-1.34E-2</v>
      </c>
      <c r="F2147" s="15">
        <v>5.8599999999999999E-2</v>
      </c>
      <c r="G2147" s="15">
        <v>0.81940000000000002</v>
      </c>
      <c r="H2147" s="15">
        <v>0.1026</v>
      </c>
      <c r="I2147" s="15">
        <v>1.72E-2</v>
      </c>
      <c r="J2147" s="15">
        <v>6.3373493975903612</v>
      </c>
    </row>
    <row r="2148" spans="1:10" x14ac:dyDescent="0.25">
      <c r="A2148" s="2" t="s">
        <v>6438</v>
      </c>
      <c r="B2148" s="2" t="s">
        <v>6432</v>
      </c>
      <c r="C2148" s="2" t="s">
        <v>6439</v>
      </c>
      <c r="D2148" s="2" t="s">
        <v>10054</v>
      </c>
      <c r="E2148" s="15">
        <v>-1.67E-2</v>
      </c>
      <c r="F2148" s="15">
        <v>8.5599999999999996E-2</v>
      </c>
      <c r="G2148" s="15">
        <v>0.84570000000000001</v>
      </c>
      <c r="H2148" s="15">
        <v>4.2599999999999999E-2</v>
      </c>
      <c r="I2148" s="15">
        <v>1.44E-2</v>
      </c>
      <c r="J2148" s="15">
        <v>2.612244897959183</v>
      </c>
    </row>
    <row r="2149" spans="1:10" x14ac:dyDescent="0.25">
      <c r="A2149" s="2" t="s">
        <v>6440</v>
      </c>
      <c r="B2149" s="2" t="s">
        <v>6432</v>
      </c>
      <c r="C2149" s="2" t="s">
        <v>6441</v>
      </c>
      <c r="D2149" s="2" t="s">
        <v>10054</v>
      </c>
      <c r="E2149" s="15">
        <v>3.4500000000000003E-2</v>
      </c>
      <c r="F2149" s="15">
        <v>5.0200000000000002E-2</v>
      </c>
      <c r="G2149" s="15">
        <v>0.49259999999999998</v>
      </c>
      <c r="H2149" s="15">
        <v>0.12039999999999999</v>
      </c>
      <c r="I2149" s="15">
        <v>1.7999999999999999E-2</v>
      </c>
      <c r="J2149" s="15">
        <v>7.1638418079096038</v>
      </c>
    </row>
    <row r="2150" spans="1:10" x14ac:dyDescent="0.25">
      <c r="A2150" s="2" t="s">
        <v>6442</v>
      </c>
      <c r="B2150" s="2" t="s">
        <v>6432</v>
      </c>
      <c r="C2150" s="2" t="s">
        <v>6443</v>
      </c>
      <c r="D2150" s="2" t="s">
        <v>10054</v>
      </c>
      <c r="E2150" s="15">
        <v>-2.7E-2</v>
      </c>
      <c r="F2150" s="15">
        <v>4.7699999999999999E-2</v>
      </c>
      <c r="G2150" s="15">
        <v>0.57199999999999995</v>
      </c>
      <c r="H2150" s="15">
        <v>0.1303</v>
      </c>
      <c r="I2150" s="15">
        <v>1.8200000000000001E-2</v>
      </c>
      <c r="J2150" s="15">
        <v>8.045977011494255</v>
      </c>
    </row>
    <row r="2151" spans="1:10" x14ac:dyDescent="0.25">
      <c r="A2151" s="2" t="s">
        <v>6444</v>
      </c>
      <c r="B2151" s="2" t="s">
        <v>6432</v>
      </c>
      <c r="C2151" s="2" t="s">
        <v>6445</v>
      </c>
      <c r="D2151" s="2" t="s">
        <v>10054</v>
      </c>
      <c r="E2151" s="15">
        <v>3.49E-2</v>
      </c>
      <c r="F2151" s="15">
        <v>7.0800000000000002E-2</v>
      </c>
      <c r="G2151" s="15">
        <v>0.622</v>
      </c>
      <c r="H2151" s="15">
        <v>6.8699999999999997E-2</v>
      </c>
      <c r="I2151" s="15">
        <v>1.77E-2</v>
      </c>
      <c r="J2151" s="15">
        <v>4.4624277456647414</v>
      </c>
    </row>
    <row r="2152" spans="1:10" x14ac:dyDescent="0.25">
      <c r="A2152" s="2" t="s">
        <v>6446</v>
      </c>
      <c r="B2152" s="2" t="s">
        <v>6432</v>
      </c>
      <c r="C2152" s="2" t="s">
        <v>6447</v>
      </c>
      <c r="D2152" s="2" t="s">
        <v>10054</v>
      </c>
      <c r="E2152" s="15">
        <v>2.2200000000000001E-2</v>
      </c>
      <c r="F2152" s="15">
        <v>8.3500000000000005E-2</v>
      </c>
      <c r="G2152" s="15">
        <v>0.79020000000000001</v>
      </c>
      <c r="H2152" s="15">
        <v>4.7199999999999999E-2</v>
      </c>
      <c r="I2152" s="15">
        <v>1.44E-2</v>
      </c>
      <c r="J2152" s="15">
        <v>3.6</v>
      </c>
    </row>
    <row r="2153" spans="1:10" x14ac:dyDescent="0.25">
      <c r="A2153" s="2" t="s">
        <v>6448</v>
      </c>
      <c r="B2153" s="2" t="s">
        <v>6432</v>
      </c>
      <c r="C2153" s="2" t="s">
        <v>6449</v>
      </c>
      <c r="D2153" s="2" t="s">
        <v>10054</v>
      </c>
      <c r="E2153" s="15">
        <v>-1.8800000000000001E-2</v>
      </c>
      <c r="F2153" s="15">
        <v>5.8700000000000002E-2</v>
      </c>
      <c r="G2153" s="15">
        <v>0.74829999999999997</v>
      </c>
      <c r="H2153" s="15">
        <v>0.1026</v>
      </c>
      <c r="I2153" s="15">
        <v>1.78E-2</v>
      </c>
      <c r="J2153" s="15">
        <v>6.067039106145252</v>
      </c>
    </row>
    <row r="2154" spans="1:10" x14ac:dyDescent="0.25">
      <c r="A2154" s="2" t="s">
        <v>6450</v>
      </c>
      <c r="B2154" s="2" t="s">
        <v>6432</v>
      </c>
      <c r="C2154" s="2" t="s">
        <v>6451</v>
      </c>
      <c r="D2154" s="2" t="s">
        <v>10054</v>
      </c>
      <c r="E2154" s="15">
        <v>-0.16700000000000001</v>
      </c>
      <c r="F2154" s="15">
        <v>6.6699999999999995E-2</v>
      </c>
      <c r="G2154" s="15">
        <v>1.23E-2</v>
      </c>
      <c r="H2154" s="15">
        <v>6.9199999999999998E-2</v>
      </c>
      <c r="I2154" s="15">
        <v>1.5800000000000002E-2</v>
      </c>
      <c r="J2154" s="15">
        <v>4.6392405063291138</v>
      </c>
    </row>
    <row r="2155" spans="1:10" x14ac:dyDescent="0.25">
      <c r="A2155" s="2" t="s">
        <v>6452</v>
      </c>
      <c r="B2155" s="2" t="s">
        <v>6432</v>
      </c>
      <c r="C2155" s="2" t="s">
        <v>6453</v>
      </c>
      <c r="D2155" s="2" t="s">
        <v>10054</v>
      </c>
      <c r="E2155" s="15">
        <v>-5.4699999999999999E-2</v>
      </c>
      <c r="F2155" s="15">
        <v>7.3599999999999999E-2</v>
      </c>
      <c r="G2155" s="15">
        <v>0.45729999999999998</v>
      </c>
      <c r="H2155" s="15">
        <v>5.9400000000000001E-2</v>
      </c>
      <c r="I2155" s="15">
        <v>1.43E-2</v>
      </c>
      <c r="J2155" s="15">
        <v>4.0072992700729921</v>
      </c>
    </row>
    <row r="2156" spans="1:10" x14ac:dyDescent="0.25">
      <c r="A2156" s="2" t="s">
        <v>6454</v>
      </c>
      <c r="B2156" s="2" t="s">
        <v>6432</v>
      </c>
      <c r="C2156" s="2" t="s">
        <v>6455</v>
      </c>
      <c r="D2156" s="2" t="s">
        <v>10054</v>
      </c>
      <c r="E2156" s="15">
        <v>-5.5300000000000002E-2</v>
      </c>
      <c r="F2156" s="15">
        <v>7.5300000000000006E-2</v>
      </c>
      <c r="G2156" s="15">
        <v>0.46279999999999999</v>
      </c>
      <c r="H2156" s="15">
        <v>5.04E-2</v>
      </c>
      <c r="I2156" s="15">
        <v>1.47E-2</v>
      </c>
      <c r="J2156" s="15">
        <v>4.2377622377622366</v>
      </c>
    </row>
    <row r="2157" spans="1:10" x14ac:dyDescent="0.25">
      <c r="A2157" s="2" t="s">
        <v>6456</v>
      </c>
      <c r="B2157" s="2" t="s">
        <v>6432</v>
      </c>
      <c r="C2157" s="2" t="s">
        <v>6457</v>
      </c>
      <c r="D2157" s="2" t="s">
        <v>10054</v>
      </c>
      <c r="E2157" s="15">
        <v>7.7100000000000002E-2</v>
      </c>
      <c r="F2157" s="15">
        <v>4.9799999999999997E-2</v>
      </c>
      <c r="G2157" s="15">
        <v>0.1215</v>
      </c>
      <c r="H2157" s="15">
        <v>0.16250000000000001</v>
      </c>
      <c r="I2157" s="15">
        <v>2.1100000000000001E-2</v>
      </c>
      <c r="J2157" s="15">
        <v>8.6153846153846168</v>
      </c>
    </row>
    <row r="2158" spans="1:10" x14ac:dyDescent="0.25">
      <c r="A2158" s="2" t="s">
        <v>6458</v>
      </c>
      <c r="B2158" s="2" t="s">
        <v>6432</v>
      </c>
      <c r="C2158" s="2" t="s">
        <v>6459</v>
      </c>
      <c r="D2158" s="2" t="s">
        <v>10054</v>
      </c>
      <c r="E2158" s="15">
        <v>-7.0499999999999993E-2</v>
      </c>
      <c r="F2158" s="15">
        <v>6.5000000000000002E-2</v>
      </c>
      <c r="G2158" s="15">
        <v>0.27800000000000002</v>
      </c>
      <c r="H2158" s="15">
        <v>7.9200000000000007E-2</v>
      </c>
      <c r="I2158" s="15">
        <v>1.7399999999999999E-2</v>
      </c>
      <c r="J2158" s="15">
        <v>5.2748538011695896</v>
      </c>
    </row>
    <row r="2159" spans="1:10" x14ac:dyDescent="0.25">
      <c r="A2159" s="2" t="s">
        <v>6460</v>
      </c>
      <c r="B2159" s="2" t="s">
        <v>6432</v>
      </c>
      <c r="C2159" s="2" t="s">
        <v>6461</v>
      </c>
      <c r="D2159" s="2" t="s">
        <v>10054</v>
      </c>
      <c r="E2159" s="15">
        <v>6.2799999999999995E-2</v>
      </c>
      <c r="F2159" s="15">
        <v>4.9500000000000002E-2</v>
      </c>
      <c r="G2159" s="15">
        <v>0.20499999999999999</v>
      </c>
      <c r="H2159" s="15">
        <v>0.1144</v>
      </c>
      <c r="I2159" s="15">
        <v>1.55E-2</v>
      </c>
      <c r="J2159" s="15">
        <v>7.0880503144654083</v>
      </c>
    </row>
    <row r="2160" spans="1:10" x14ac:dyDescent="0.25">
      <c r="A2160" s="2" t="s">
        <v>6462</v>
      </c>
      <c r="B2160" s="2" t="s">
        <v>6432</v>
      </c>
      <c r="C2160" s="2" t="s">
        <v>6463</v>
      </c>
      <c r="D2160" s="2" t="s">
        <v>10054</v>
      </c>
      <c r="E2160" s="15">
        <v>2.9000000000000001E-2</v>
      </c>
      <c r="F2160" s="15">
        <v>6.0999999999999999E-2</v>
      </c>
      <c r="G2160" s="15">
        <v>0.63429999999999997</v>
      </c>
      <c r="H2160" s="15">
        <v>9.6199999999999994E-2</v>
      </c>
      <c r="I2160" s="15">
        <v>1.83E-2</v>
      </c>
      <c r="J2160" s="15">
        <v>5.6324324324324326</v>
      </c>
    </row>
    <row r="2161" spans="1:10" x14ac:dyDescent="0.25">
      <c r="A2161" s="2" t="s">
        <v>6464</v>
      </c>
      <c r="B2161" s="2" t="s">
        <v>6432</v>
      </c>
      <c r="C2161" s="2" t="s">
        <v>6465</v>
      </c>
      <c r="D2161" s="2" t="s">
        <v>10054</v>
      </c>
      <c r="E2161" s="15">
        <v>-6.9900000000000004E-2</v>
      </c>
      <c r="F2161" s="15">
        <v>6.4899999999999999E-2</v>
      </c>
      <c r="G2161" s="15">
        <v>0.28149999999999997</v>
      </c>
      <c r="H2161" s="15">
        <v>7.3599999999999999E-2</v>
      </c>
      <c r="I2161" s="15">
        <v>1.7399999999999999E-2</v>
      </c>
      <c r="J2161" s="15">
        <v>5.1543209876543212</v>
      </c>
    </row>
    <row r="2162" spans="1:10" x14ac:dyDescent="0.25">
      <c r="A2162" s="2" t="s">
        <v>6466</v>
      </c>
      <c r="B2162" s="2" t="s">
        <v>6432</v>
      </c>
      <c r="C2162" s="2" t="s">
        <v>6467</v>
      </c>
      <c r="D2162" s="2" t="s">
        <v>10054</v>
      </c>
      <c r="E2162" s="15">
        <v>-4.2799999999999998E-2</v>
      </c>
      <c r="F2162" s="15">
        <v>5.4199999999999998E-2</v>
      </c>
      <c r="G2162" s="15">
        <v>0.42980000000000002</v>
      </c>
      <c r="H2162" s="15">
        <v>9.9599999999999994E-2</v>
      </c>
      <c r="I2162" s="15">
        <v>1.47E-2</v>
      </c>
      <c r="J2162" s="15">
        <v>6.7828947368421053</v>
      </c>
    </row>
    <row r="2163" spans="1:10" x14ac:dyDescent="0.25">
      <c r="A2163" s="2" t="s">
        <v>6468</v>
      </c>
      <c r="B2163" s="2" t="s">
        <v>6432</v>
      </c>
      <c r="C2163" s="2" t="s">
        <v>6469</v>
      </c>
      <c r="D2163" s="2" t="s">
        <v>10054</v>
      </c>
      <c r="E2163" s="15">
        <v>2.53E-2</v>
      </c>
      <c r="F2163" s="15">
        <v>7.1400000000000005E-2</v>
      </c>
      <c r="G2163" s="15">
        <v>0.7228</v>
      </c>
      <c r="H2163" s="15">
        <v>5.8200000000000002E-2</v>
      </c>
      <c r="I2163" s="15">
        <v>1.5299999999999999E-2</v>
      </c>
      <c r="J2163" s="15">
        <v>3.8014184397163122</v>
      </c>
    </row>
    <row r="2164" spans="1:10" x14ac:dyDescent="0.25">
      <c r="A2164" s="2" t="s">
        <v>6470</v>
      </c>
      <c r="B2164" s="2" t="s">
        <v>6432</v>
      </c>
      <c r="C2164" s="2" t="s">
        <v>6471</v>
      </c>
      <c r="D2164" s="2" t="s">
        <v>10054</v>
      </c>
      <c r="E2164" s="15">
        <v>5.0000000000000001E-3</v>
      </c>
      <c r="F2164" s="15">
        <v>5.8500000000000003E-2</v>
      </c>
      <c r="G2164" s="15">
        <v>0.93259999999999998</v>
      </c>
      <c r="H2164" s="15">
        <v>9.6600000000000005E-2</v>
      </c>
      <c r="I2164" s="15">
        <v>1.7999999999999999E-2</v>
      </c>
      <c r="J2164" s="15">
        <v>6.2456140350877192</v>
      </c>
    </row>
    <row r="2165" spans="1:10" x14ac:dyDescent="0.25">
      <c r="A2165" s="2" t="s">
        <v>6472</v>
      </c>
      <c r="B2165" s="2" t="s">
        <v>6432</v>
      </c>
      <c r="C2165" s="2" t="s">
        <v>6473</v>
      </c>
      <c r="D2165" s="2" t="s">
        <v>10054</v>
      </c>
      <c r="E2165" s="15">
        <v>1.8499999999999999E-2</v>
      </c>
      <c r="F2165" s="15">
        <v>5.7500000000000002E-2</v>
      </c>
      <c r="G2165" s="15">
        <v>0.74770000000000003</v>
      </c>
      <c r="H2165" s="15">
        <v>0.1111</v>
      </c>
      <c r="I2165" s="15">
        <v>1.77E-2</v>
      </c>
      <c r="J2165" s="15">
        <v>6.1797752808988768</v>
      </c>
    </row>
    <row r="2166" spans="1:10" x14ac:dyDescent="0.25">
      <c r="A2166" s="2" t="s">
        <v>6474</v>
      </c>
      <c r="B2166" s="2" t="s">
        <v>6475</v>
      </c>
      <c r="C2166" s="2" t="s">
        <v>6476</v>
      </c>
      <c r="D2166" s="2" t="s">
        <v>10054</v>
      </c>
      <c r="E2166" s="15">
        <v>-3.2000000000000001E-2</v>
      </c>
      <c r="F2166" s="15">
        <v>6.1699999999999998E-2</v>
      </c>
      <c r="G2166" s="15">
        <v>0.60389999999999999</v>
      </c>
      <c r="H2166" s="15">
        <v>9.64E-2</v>
      </c>
      <c r="I2166" s="15">
        <v>1.4999999999999999E-2</v>
      </c>
      <c r="J2166" s="15">
        <v>6.2828947368421053</v>
      </c>
    </row>
    <row r="2167" spans="1:10" x14ac:dyDescent="0.25">
      <c r="A2167" s="2" t="s">
        <v>6477</v>
      </c>
      <c r="B2167" s="2" t="s">
        <v>6475</v>
      </c>
      <c r="C2167" s="2" t="s">
        <v>6478</v>
      </c>
      <c r="D2167" s="2" t="s">
        <v>10054</v>
      </c>
      <c r="E2167" s="15">
        <v>2.4400000000000002E-2</v>
      </c>
      <c r="F2167" s="15">
        <v>5.2999999999999999E-2</v>
      </c>
      <c r="G2167" s="15">
        <v>0.64449999999999996</v>
      </c>
      <c r="H2167" s="15">
        <v>0.11119999999999999</v>
      </c>
      <c r="I2167" s="15">
        <v>1.8700000000000001E-2</v>
      </c>
      <c r="J2167" s="15">
        <v>6.5542857142857134</v>
      </c>
    </row>
    <row r="2168" spans="1:10" x14ac:dyDescent="0.25">
      <c r="A2168" s="2" t="s">
        <v>6479</v>
      </c>
      <c r="B2168" s="2" t="s">
        <v>6475</v>
      </c>
      <c r="C2168" s="2" t="s">
        <v>6480</v>
      </c>
      <c r="D2168" s="2" t="s">
        <v>10054</v>
      </c>
      <c r="E2168" s="15">
        <v>-7.7399999999999997E-2</v>
      </c>
      <c r="F2168" s="15">
        <v>7.3400000000000007E-2</v>
      </c>
      <c r="G2168" s="15">
        <v>0.29189999999999999</v>
      </c>
      <c r="H2168" s="15">
        <v>7.2300000000000003E-2</v>
      </c>
      <c r="I2168" s="15">
        <v>1.5599999999999999E-2</v>
      </c>
      <c r="J2168" s="15">
        <v>4.9470198675496686</v>
      </c>
    </row>
    <row r="2169" spans="1:10" x14ac:dyDescent="0.25">
      <c r="A2169" s="2" t="s">
        <v>6481</v>
      </c>
      <c r="B2169" s="2" t="s">
        <v>6475</v>
      </c>
      <c r="C2169" s="2" t="s">
        <v>6482</v>
      </c>
      <c r="D2169" s="2" t="s">
        <v>10054</v>
      </c>
      <c r="E2169" s="15">
        <v>-0.1205</v>
      </c>
      <c r="F2169" s="15">
        <v>8.3000000000000004E-2</v>
      </c>
      <c r="G2169" s="15">
        <v>0.1464</v>
      </c>
      <c r="H2169" s="15">
        <v>5.0099999999999999E-2</v>
      </c>
      <c r="I2169" s="15">
        <v>1.6E-2</v>
      </c>
      <c r="J2169" s="15">
        <v>2.9019607843137258</v>
      </c>
    </row>
    <row r="2170" spans="1:10" x14ac:dyDescent="0.25">
      <c r="A2170" s="2" t="s">
        <v>6483</v>
      </c>
      <c r="B2170" s="2" t="s">
        <v>6475</v>
      </c>
      <c r="C2170" s="2" t="s">
        <v>6484</v>
      </c>
      <c r="D2170" s="2" t="s">
        <v>10054</v>
      </c>
      <c r="E2170" s="15">
        <v>7.46E-2</v>
      </c>
      <c r="F2170" s="15">
        <v>7.1499999999999994E-2</v>
      </c>
      <c r="G2170" s="15">
        <v>0.29680000000000001</v>
      </c>
      <c r="H2170" s="15">
        <v>6.7599999999999993E-2</v>
      </c>
      <c r="I2170" s="15">
        <v>1.6299999999999999E-2</v>
      </c>
      <c r="J2170" s="15">
        <v>4.935483870967742</v>
      </c>
    </row>
    <row r="2171" spans="1:10" x14ac:dyDescent="0.25">
      <c r="A2171" s="2" t="s">
        <v>6485</v>
      </c>
      <c r="B2171" s="2" t="s">
        <v>6475</v>
      </c>
      <c r="C2171" s="2" t="s">
        <v>6486</v>
      </c>
      <c r="D2171" s="2" t="s">
        <v>10054</v>
      </c>
      <c r="E2171" s="15">
        <v>-4.6600000000000003E-2</v>
      </c>
      <c r="F2171" s="15">
        <v>6.8900000000000003E-2</v>
      </c>
      <c r="G2171" s="15">
        <v>0.49869999999999998</v>
      </c>
      <c r="H2171" s="15">
        <v>6.7799999999999999E-2</v>
      </c>
      <c r="I2171" s="15">
        <v>1.5299999999999999E-2</v>
      </c>
      <c r="J2171" s="15">
        <v>4.5838926174496644</v>
      </c>
    </row>
    <row r="2172" spans="1:10" x14ac:dyDescent="0.25">
      <c r="A2172" s="2" t="s">
        <v>6487</v>
      </c>
      <c r="B2172" s="2" t="s">
        <v>6475</v>
      </c>
      <c r="C2172" s="2" t="s">
        <v>6488</v>
      </c>
      <c r="D2172" s="2" t="s">
        <v>10054</v>
      </c>
      <c r="E2172" s="15">
        <v>-2.5000000000000001E-2</v>
      </c>
      <c r="F2172" s="15">
        <v>5.4800000000000001E-2</v>
      </c>
      <c r="G2172" s="15">
        <v>0.6482</v>
      </c>
      <c r="H2172" s="15">
        <v>0.1326</v>
      </c>
      <c r="I2172" s="15">
        <v>1.78E-2</v>
      </c>
      <c r="J2172" s="15">
        <v>8.4022988505747129</v>
      </c>
    </row>
    <row r="2173" spans="1:10" x14ac:dyDescent="0.25">
      <c r="A2173" s="2" t="s">
        <v>6489</v>
      </c>
      <c r="B2173" s="2" t="s">
        <v>6475</v>
      </c>
      <c r="C2173" s="2" t="s">
        <v>6490</v>
      </c>
      <c r="D2173" s="2" t="s">
        <v>10054</v>
      </c>
      <c r="E2173" s="15">
        <v>6.5100000000000005E-2</v>
      </c>
      <c r="F2173" s="15">
        <v>7.3700000000000002E-2</v>
      </c>
      <c r="G2173" s="15">
        <v>0.377</v>
      </c>
      <c r="H2173" s="15">
        <v>6.9599999999999995E-2</v>
      </c>
      <c r="I2173" s="15">
        <v>1.6199999999999999E-2</v>
      </c>
      <c r="J2173" s="15">
        <v>4.7345679012345681</v>
      </c>
    </row>
    <row r="2174" spans="1:10" x14ac:dyDescent="0.25">
      <c r="A2174" s="2" t="s">
        <v>6491</v>
      </c>
      <c r="B2174" s="2" t="s">
        <v>6475</v>
      </c>
      <c r="C2174" s="2" t="s">
        <v>6492</v>
      </c>
      <c r="D2174" s="2" t="s">
        <v>10054</v>
      </c>
      <c r="E2174" s="15">
        <v>6.59E-2</v>
      </c>
      <c r="F2174" s="15">
        <v>5.0900000000000001E-2</v>
      </c>
      <c r="G2174" s="15">
        <v>0.1951</v>
      </c>
      <c r="H2174" s="15">
        <v>0.14879999999999999</v>
      </c>
      <c r="I2174" s="15">
        <v>1.8100000000000002E-2</v>
      </c>
      <c r="J2174" s="15">
        <v>8.6703296703296697</v>
      </c>
    </row>
    <row r="2175" spans="1:10" x14ac:dyDescent="0.25">
      <c r="A2175" s="2" t="s">
        <v>6493</v>
      </c>
      <c r="B2175" s="2" t="s">
        <v>6475</v>
      </c>
      <c r="C2175" s="2" t="s">
        <v>6494</v>
      </c>
      <c r="D2175" s="2" t="s">
        <v>10054</v>
      </c>
      <c r="E2175" s="15">
        <v>-2.47E-2</v>
      </c>
      <c r="F2175" s="15">
        <v>6.7900000000000002E-2</v>
      </c>
      <c r="G2175" s="15">
        <v>0.7157</v>
      </c>
      <c r="H2175" s="15">
        <v>7.6399999999999996E-2</v>
      </c>
      <c r="I2175" s="15">
        <v>1.6299999999999999E-2</v>
      </c>
      <c r="J2175" s="15">
        <v>5.0426829268292677</v>
      </c>
    </row>
    <row r="2176" spans="1:10" x14ac:dyDescent="0.25">
      <c r="A2176" s="2" t="s">
        <v>6495</v>
      </c>
      <c r="B2176" s="2" t="s">
        <v>6475</v>
      </c>
      <c r="C2176" s="2" t="s">
        <v>6496</v>
      </c>
      <c r="D2176" s="2" t="s">
        <v>10054</v>
      </c>
      <c r="E2176" s="15">
        <v>2.1299999999999999E-2</v>
      </c>
      <c r="F2176" s="15">
        <v>6.0299999999999999E-2</v>
      </c>
      <c r="G2176" s="15">
        <v>0.72419999999999995</v>
      </c>
      <c r="H2176" s="15">
        <v>8.9899999999999994E-2</v>
      </c>
      <c r="I2176" s="15">
        <v>1.7100000000000001E-2</v>
      </c>
      <c r="J2176" s="15">
        <v>5.0935672514619883</v>
      </c>
    </row>
    <row r="2177" spans="1:10" x14ac:dyDescent="0.25">
      <c r="A2177" s="2" t="s">
        <v>6497</v>
      </c>
      <c r="B2177" s="2" t="s">
        <v>6475</v>
      </c>
      <c r="C2177" s="2" t="s">
        <v>6498</v>
      </c>
      <c r="D2177" s="2" t="s">
        <v>10054</v>
      </c>
      <c r="E2177" s="15">
        <v>5.79E-2</v>
      </c>
      <c r="F2177" s="15">
        <v>4.9599999999999998E-2</v>
      </c>
      <c r="G2177" s="15">
        <v>0.2429</v>
      </c>
      <c r="H2177" s="15">
        <v>0.1338</v>
      </c>
      <c r="I2177" s="15">
        <v>3.2599999999999997E-2</v>
      </c>
      <c r="J2177" s="15">
        <v>4.1103896103896096</v>
      </c>
    </row>
    <row r="2178" spans="1:10" x14ac:dyDescent="0.25">
      <c r="A2178" s="2" t="s">
        <v>6499</v>
      </c>
      <c r="B2178" s="2" t="s">
        <v>6475</v>
      </c>
      <c r="C2178" s="2" t="s">
        <v>6500</v>
      </c>
      <c r="D2178" s="2" t="s">
        <v>10054</v>
      </c>
      <c r="E2178" s="15">
        <v>-1.83E-2</v>
      </c>
      <c r="F2178" s="15">
        <v>5.21E-2</v>
      </c>
      <c r="G2178" s="15">
        <v>0.72540000000000004</v>
      </c>
      <c r="H2178" s="15">
        <v>0.12820000000000001</v>
      </c>
      <c r="I2178" s="15">
        <v>1.8100000000000002E-2</v>
      </c>
      <c r="J2178" s="15">
        <v>6.8222222222222229</v>
      </c>
    </row>
    <row r="2179" spans="1:10" x14ac:dyDescent="0.25">
      <c r="A2179" s="2" t="s">
        <v>6501</v>
      </c>
      <c r="B2179" s="2" t="s">
        <v>6475</v>
      </c>
      <c r="C2179" s="2" t="s">
        <v>6502</v>
      </c>
      <c r="D2179" s="2" t="s">
        <v>10054</v>
      </c>
      <c r="E2179" s="15">
        <v>4.3900000000000002E-2</v>
      </c>
      <c r="F2179" s="15">
        <v>7.85E-2</v>
      </c>
      <c r="G2179" s="15">
        <v>0.57609999999999995</v>
      </c>
      <c r="H2179" s="15">
        <v>6.0499999999999998E-2</v>
      </c>
      <c r="I2179" s="15">
        <v>1.4999999999999999E-2</v>
      </c>
      <c r="J2179" s="15">
        <v>4.7266187050359711</v>
      </c>
    </row>
    <row r="2180" spans="1:10" x14ac:dyDescent="0.25">
      <c r="A2180" s="2" t="s">
        <v>6503</v>
      </c>
      <c r="B2180" s="2" t="s">
        <v>6475</v>
      </c>
      <c r="C2180" s="2" t="s">
        <v>6504</v>
      </c>
      <c r="D2180" s="2" t="s">
        <v>10054</v>
      </c>
      <c r="E2180" s="15">
        <v>-7.0000000000000001E-3</v>
      </c>
      <c r="F2180" s="15">
        <v>5.8500000000000003E-2</v>
      </c>
      <c r="G2180" s="15">
        <v>0.90439999999999998</v>
      </c>
      <c r="H2180" s="15">
        <v>0.1139</v>
      </c>
      <c r="I2180" s="15">
        <v>1.9300000000000001E-2</v>
      </c>
      <c r="J2180" s="15">
        <v>6.8749999999999991</v>
      </c>
    </row>
    <row r="2181" spans="1:10" x14ac:dyDescent="0.25">
      <c r="A2181" s="2" t="s">
        <v>6505</v>
      </c>
      <c r="B2181" s="2" t="s">
        <v>6475</v>
      </c>
      <c r="C2181" s="2" t="s">
        <v>6506</v>
      </c>
      <c r="D2181" s="2" t="s">
        <v>10054</v>
      </c>
      <c r="E2181" s="15">
        <v>6.0600000000000001E-2</v>
      </c>
      <c r="F2181" s="15">
        <v>0.10970000000000001</v>
      </c>
      <c r="G2181" s="15">
        <v>0.5806</v>
      </c>
      <c r="H2181" s="15">
        <v>2.4500000000000001E-2</v>
      </c>
      <c r="I2181" s="15">
        <v>1.6199999999999999E-2</v>
      </c>
      <c r="J2181" s="15">
        <v>1.793333333333333</v>
      </c>
    </row>
    <row r="2182" spans="1:10" x14ac:dyDescent="0.25">
      <c r="A2182" s="2" t="s">
        <v>6507</v>
      </c>
      <c r="B2182" s="2" t="s">
        <v>6475</v>
      </c>
      <c r="C2182" s="2" t="s">
        <v>6508</v>
      </c>
      <c r="D2182" s="2" t="s">
        <v>10054</v>
      </c>
      <c r="E2182" s="15">
        <v>-3.0000000000000001E-3</v>
      </c>
      <c r="F2182" s="15">
        <v>4.6300000000000001E-2</v>
      </c>
      <c r="G2182" s="15">
        <v>0.94799999999999995</v>
      </c>
      <c r="H2182" s="15">
        <v>0.1246</v>
      </c>
      <c r="I2182" s="15">
        <v>1.67E-2</v>
      </c>
      <c r="J2182" s="15">
        <v>8.341614906832298</v>
      </c>
    </row>
    <row r="2183" spans="1:10" x14ac:dyDescent="0.25">
      <c r="A2183" s="2" t="s">
        <v>6509</v>
      </c>
      <c r="B2183" s="2" t="s">
        <v>6475</v>
      </c>
      <c r="C2183" s="2" t="s">
        <v>6510</v>
      </c>
      <c r="D2183" s="2" t="s">
        <v>10054</v>
      </c>
      <c r="E2183" s="15">
        <v>-4.7899999999999998E-2</v>
      </c>
      <c r="F2183" s="15">
        <v>6.4500000000000002E-2</v>
      </c>
      <c r="G2183" s="15">
        <v>0.45850000000000002</v>
      </c>
      <c r="H2183" s="15">
        <v>8.8700000000000001E-2</v>
      </c>
      <c r="I2183" s="15">
        <v>1.6E-2</v>
      </c>
      <c r="J2183" s="15">
        <v>6.14569536423841</v>
      </c>
    </row>
    <row r="2184" spans="1:10" x14ac:dyDescent="0.25">
      <c r="A2184" s="2" t="s">
        <v>6511</v>
      </c>
      <c r="B2184" s="2" t="s">
        <v>6475</v>
      </c>
      <c r="C2184" s="2" t="s">
        <v>6512</v>
      </c>
      <c r="D2184" s="2" t="s">
        <v>10054</v>
      </c>
      <c r="E2184" s="15">
        <v>6.4000000000000001E-2</v>
      </c>
      <c r="F2184" s="15">
        <v>5.5800000000000002E-2</v>
      </c>
      <c r="G2184" s="15">
        <v>0.25169999999999998</v>
      </c>
      <c r="H2184" s="15">
        <v>0.106</v>
      </c>
      <c r="I2184" s="15">
        <v>1.9099999999999999E-2</v>
      </c>
      <c r="J2184" s="15">
        <v>6.1436170212765946</v>
      </c>
    </row>
    <row r="2185" spans="1:10" x14ac:dyDescent="0.25">
      <c r="A2185" s="2" t="s">
        <v>6513</v>
      </c>
      <c r="B2185" s="2" t="s">
        <v>6475</v>
      </c>
      <c r="C2185" s="2" t="s">
        <v>6514</v>
      </c>
      <c r="D2185" s="2" t="s">
        <v>10054</v>
      </c>
      <c r="E2185" s="15">
        <v>-0.12</v>
      </c>
      <c r="F2185" s="15">
        <v>5.3400000000000003E-2</v>
      </c>
      <c r="G2185" s="15">
        <v>2.4500000000000001E-2</v>
      </c>
      <c r="H2185" s="15">
        <v>0.10199999999999999</v>
      </c>
      <c r="I2185" s="15">
        <v>1.61E-2</v>
      </c>
      <c r="J2185" s="15">
        <v>6.8051948051948052</v>
      </c>
    </row>
    <row r="2186" spans="1:10" x14ac:dyDescent="0.25">
      <c r="A2186" s="2" t="s">
        <v>6515</v>
      </c>
      <c r="B2186" s="2" t="s">
        <v>6475</v>
      </c>
      <c r="C2186" s="2" t="s">
        <v>6516</v>
      </c>
      <c r="D2186" s="2" t="s">
        <v>10054</v>
      </c>
      <c r="E2186" s="15">
        <v>1.6799999999999999E-2</v>
      </c>
      <c r="F2186" s="15">
        <v>4.8800000000000003E-2</v>
      </c>
      <c r="G2186" s="15">
        <v>0.72989999999999999</v>
      </c>
      <c r="H2186" s="15">
        <v>0.1381</v>
      </c>
      <c r="I2186" s="15">
        <v>1.8499999999999999E-2</v>
      </c>
      <c r="J2186" s="15">
        <v>7.9780219780219772</v>
      </c>
    </row>
    <row r="2187" spans="1:10" x14ac:dyDescent="0.25">
      <c r="A2187" s="2" t="s">
        <v>6517</v>
      </c>
      <c r="B2187" s="2" t="s">
        <v>6475</v>
      </c>
      <c r="C2187" s="2" t="s">
        <v>6518</v>
      </c>
      <c r="D2187" s="2" t="s">
        <v>10054</v>
      </c>
      <c r="E2187" s="15">
        <v>-9.5399999999999999E-2</v>
      </c>
      <c r="F2187" s="15">
        <v>5.7200000000000001E-2</v>
      </c>
      <c r="G2187" s="15">
        <v>9.5200000000000007E-2</v>
      </c>
      <c r="H2187" s="15">
        <v>9.1200000000000003E-2</v>
      </c>
      <c r="I2187" s="15">
        <v>1.6400000000000001E-2</v>
      </c>
      <c r="J2187" s="15">
        <v>5.701219512195121</v>
      </c>
    </row>
    <row r="2188" spans="1:10" x14ac:dyDescent="0.25">
      <c r="A2188" s="2" t="s">
        <v>6519</v>
      </c>
      <c r="B2188" s="2" t="s">
        <v>6475</v>
      </c>
      <c r="C2188" s="2" t="s">
        <v>6520</v>
      </c>
      <c r="D2188" s="2" t="s">
        <v>10054</v>
      </c>
      <c r="E2188" s="15">
        <v>-1.2699999999999999E-2</v>
      </c>
      <c r="F2188" s="15">
        <v>5.1200000000000002E-2</v>
      </c>
      <c r="G2188" s="15">
        <v>0.80389999999999995</v>
      </c>
      <c r="H2188" s="15">
        <v>0.10979999999999999</v>
      </c>
      <c r="I2188" s="15">
        <v>1.7600000000000001E-2</v>
      </c>
      <c r="J2188" s="15">
        <v>6.6874999999999991</v>
      </c>
    </row>
    <row r="2189" spans="1:10" x14ac:dyDescent="0.25">
      <c r="A2189" s="2" t="s">
        <v>6521</v>
      </c>
      <c r="B2189" s="2" t="s">
        <v>6475</v>
      </c>
      <c r="C2189" s="2" t="s">
        <v>6522</v>
      </c>
      <c r="D2189" s="2" t="s">
        <v>10054</v>
      </c>
      <c r="E2189" s="15">
        <v>-1.26E-2</v>
      </c>
      <c r="F2189" s="15">
        <v>6.13E-2</v>
      </c>
      <c r="G2189" s="15">
        <v>0.83650000000000002</v>
      </c>
      <c r="H2189" s="15">
        <v>0.1075</v>
      </c>
      <c r="I2189" s="15">
        <v>1.6899999999999998E-2</v>
      </c>
      <c r="J2189" s="15">
        <v>6.666666666666667</v>
      </c>
    </row>
    <row r="2190" spans="1:10" x14ac:dyDescent="0.25">
      <c r="A2190" s="2" t="s">
        <v>6523</v>
      </c>
      <c r="B2190" s="2" t="s">
        <v>6475</v>
      </c>
      <c r="C2190" s="2" t="s">
        <v>6524</v>
      </c>
      <c r="D2190" s="2" t="s">
        <v>10054</v>
      </c>
      <c r="E2190" s="15">
        <v>-7.0000000000000007E-2</v>
      </c>
      <c r="F2190" s="15">
        <v>5.0700000000000002E-2</v>
      </c>
      <c r="G2190" s="15">
        <v>0.16750000000000001</v>
      </c>
      <c r="H2190" s="15">
        <v>0.15110000000000001</v>
      </c>
      <c r="I2190" s="15">
        <v>1.6799999999999999E-2</v>
      </c>
      <c r="J2190" s="15">
        <v>9.6506024096385552</v>
      </c>
    </row>
    <row r="2191" spans="1:10" x14ac:dyDescent="0.25">
      <c r="A2191" s="2" t="s">
        <v>6525</v>
      </c>
      <c r="B2191" s="2" t="s">
        <v>6475</v>
      </c>
      <c r="C2191" s="2" t="s">
        <v>6526</v>
      </c>
      <c r="D2191" s="2" t="s">
        <v>10054</v>
      </c>
      <c r="E2191" s="15">
        <v>7.3899999999999993E-2</v>
      </c>
      <c r="F2191" s="15">
        <v>6.1100000000000002E-2</v>
      </c>
      <c r="G2191" s="15">
        <v>0.2263</v>
      </c>
      <c r="H2191" s="15">
        <v>8.8700000000000001E-2</v>
      </c>
      <c r="I2191" s="15">
        <v>1.6899999999999998E-2</v>
      </c>
      <c r="J2191" s="15">
        <v>5.7116564417177917</v>
      </c>
    </row>
    <row r="2192" spans="1:10" x14ac:dyDescent="0.25">
      <c r="A2192" s="2" t="s">
        <v>6527</v>
      </c>
      <c r="B2192" s="2" t="s">
        <v>6475</v>
      </c>
      <c r="C2192" s="2" t="s">
        <v>6528</v>
      </c>
      <c r="D2192" s="2" t="s">
        <v>10054</v>
      </c>
      <c r="E2192" s="15">
        <v>-0.14990000000000001</v>
      </c>
      <c r="F2192" s="15">
        <v>7.0300000000000001E-2</v>
      </c>
      <c r="G2192" s="15">
        <v>3.3000000000000002E-2</v>
      </c>
      <c r="H2192" s="15">
        <v>8.5000000000000006E-2</v>
      </c>
      <c r="I2192" s="15">
        <v>1.66E-2</v>
      </c>
      <c r="J2192" s="15">
        <v>5.3641975308641978</v>
      </c>
    </row>
    <row r="2193" spans="1:10" x14ac:dyDescent="0.25">
      <c r="A2193" s="2" t="s">
        <v>6529</v>
      </c>
      <c r="B2193" s="2" t="s">
        <v>6475</v>
      </c>
      <c r="C2193" s="2" t="s">
        <v>6530</v>
      </c>
      <c r="D2193" s="2" t="s">
        <v>10054</v>
      </c>
      <c r="E2193" s="15">
        <v>4.65E-2</v>
      </c>
      <c r="F2193" s="15">
        <v>4.9299999999999997E-2</v>
      </c>
      <c r="G2193" s="15">
        <v>0.34510000000000002</v>
      </c>
      <c r="H2193" s="15">
        <v>0.14180000000000001</v>
      </c>
      <c r="I2193" s="15">
        <v>2.3400000000000001E-2</v>
      </c>
      <c r="J2193" s="15">
        <v>6.8206278026905833</v>
      </c>
    </row>
    <row r="2194" spans="1:10" x14ac:dyDescent="0.25">
      <c r="A2194" s="2" t="s">
        <v>6531</v>
      </c>
      <c r="B2194" s="2" t="s">
        <v>6475</v>
      </c>
      <c r="C2194" s="2" t="s">
        <v>6532</v>
      </c>
      <c r="D2194" s="2" t="s">
        <v>10054</v>
      </c>
      <c r="E2194" s="15">
        <v>0.11650000000000001</v>
      </c>
      <c r="F2194" s="15">
        <v>6.4000000000000001E-2</v>
      </c>
      <c r="G2194" s="15">
        <v>6.88E-2</v>
      </c>
      <c r="H2194" s="15">
        <v>8.1299999999999997E-2</v>
      </c>
      <c r="I2194" s="15">
        <v>1.5699999999999999E-2</v>
      </c>
      <c r="J2194" s="15">
        <v>5.8827586206896552</v>
      </c>
    </row>
    <row r="2195" spans="1:10" x14ac:dyDescent="0.25">
      <c r="A2195" s="2" t="s">
        <v>6533</v>
      </c>
      <c r="B2195" s="2" t="s">
        <v>6475</v>
      </c>
      <c r="C2195" s="2" t="s">
        <v>6534</v>
      </c>
      <c r="D2195" s="2" t="s">
        <v>10054</v>
      </c>
      <c r="E2195" s="15">
        <v>-8.1299999999999997E-2</v>
      </c>
      <c r="F2195" s="15">
        <v>8.7599999999999997E-2</v>
      </c>
      <c r="G2195" s="15">
        <v>0.35299999999999998</v>
      </c>
      <c r="H2195" s="15">
        <v>0.04</v>
      </c>
      <c r="I2195" s="15">
        <v>1.2999999999999999E-2</v>
      </c>
      <c r="J2195" s="15">
        <v>3.4411764705882359</v>
      </c>
    </row>
    <row r="2196" spans="1:10" x14ac:dyDescent="0.25">
      <c r="A2196" s="2" t="s">
        <v>6535</v>
      </c>
      <c r="B2196" s="2" t="s">
        <v>6475</v>
      </c>
      <c r="C2196" s="2" t="s">
        <v>6536</v>
      </c>
      <c r="D2196" s="2" t="s">
        <v>10054</v>
      </c>
      <c r="E2196" s="15">
        <v>2.29E-2</v>
      </c>
      <c r="F2196" s="15">
        <v>4.7199999999999999E-2</v>
      </c>
      <c r="G2196" s="15">
        <v>0.62770000000000004</v>
      </c>
      <c r="H2196" s="15">
        <v>0.13059999999999999</v>
      </c>
      <c r="I2196" s="15">
        <v>1.89E-2</v>
      </c>
      <c r="J2196" s="15">
        <v>7.5530726256983236</v>
      </c>
    </row>
    <row r="2197" spans="1:10" x14ac:dyDescent="0.25">
      <c r="A2197" s="2" t="s">
        <v>6537</v>
      </c>
      <c r="B2197" s="2" t="s">
        <v>6475</v>
      </c>
      <c r="C2197" s="2" t="s">
        <v>6538</v>
      </c>
      <c r="D2197" s="2" t="s">
        <v>10054</v>
      </c>
      <c r="E2197" s="15">
        <v>-6.8900000000000003E-2</v>
      </c>
      <c r="F2197" s="15">
        <v>7.9600000000000004E-2</v>
      </c>
      <c r="G2197" s="15">
        <v>0.38669999999999999</v>
      </c>
      <c r="H2197" s="15">
        <v>6.3E-2</v>
      </c>
      <c r="I2197" s="15">
        <v>1.4E-2</v>
      </c>
      <c r="J2197" s="15">
        <v>4.7080291970802923</v>
      </c>
    </row>
    <row r="2198" spans="1:10" x14ac:dyDescent="0.25">
      <c r="A2198" s="2" t="s">
        <v>6539</v>
      </c>
      <c r="B2198" s="2" t="s">
        <v>6475</v>
      </c>
      <c r="C2198" s="2" t="s">
        <v>6540</v>
      </c>
      <c r="D2198" s="2" t="s">
        <v>10054</v>
      </c>
      <c r="E2198" s="15">
        <v>7.1499999999999994E-2</v>
      </c>
      <c r="F2198" s="15">
        <v>5.4800000000000001E-2</v>
      </c>
      <c r="G2198" s="15">
        <v>0.19189999999999999</v>
      </c>
      <c r="H2198" s="15">
        <v>0.1169</v>
      </c>
      <c r="I2198" s="15">
        <v>1.6500000000000001E-2</v>
      </c>
      <c r="J2198" s="15">
        <v>7.9430379746835431</v>
      </c>
    </row>
    <row r="2199" spans="1:10" x14ac:dyDescent="0.25">
      <c r="A2199" s="2" t="s">
        <v>6541</v>
      </c>
      <c r="B2199" s="2" t="s">
        <v>6475</v>
      </c>
      <c r="C2199" s="2" t="s">
        <v>6542</v>
      </c>
      <c r="D2199" s="2" t="s">
        <v>10054</v>
      </c>
      <c r="E2199" s="15">
        <v>5.57E-2</v>
      </c>
      <c r="F2199" s="15">
        <v>5.9700000000000003E-2</v>
      </c>
      <c r="G2199" s="15">
        <v>0.35060000000000002</v>
      </c>
      <c r="H2199" s="15">
        <v>9.5500000000000002E-2</v>
      </c>
      <c r="I2199" s="15">
        <v>1.6299999999999999E-2</v>
      </c>
      <c r="J2199" s="15">
        <v>5.548571428571428</v>
      </c>
    </row>
    <row r="2200" spans="1:10" x14ac:dyDescent="0.25">
      <c r="A2200" s="2" t="s">
        <v>6543</v>
      </c>
      <c r="B2200" s="2" t="s">
        <v>6475</v>
      </c>
      <c r="C2200" s="2" t="s">
        <v>6544</v>
      </c>
      <c r="D2200" s="2" t="s">
        <v>10054</v>
      </c>
      <c r="E2200" s="15">
        <v>-6.4000000000000003E-3</v>
      </c>
      <c r="F2200" s="15">
        <v>5.7799999999999997E-2</v>
      </c>
      <c r="G2200" s="15">
        <v>0.91120000000000001</v>
      </c>
      <c r="H2200" s="15">
        <v>0.1077</v>
      </c>
      <c r="I2200" s="15">
        <v>1.6E-2</v>
      </c>
      <c r="J2200" s="15">
        <v>7.4013157894736841</v>
      </c>
    </row>
    <row r="2201" spans="1:10" x14ac:dyDescent="0.25">
      <c r="A2201" s="2" t="s">
        <v>6545</v>
      </c>
      <c r="B2201" s="2" t="s">
        <v>6475</v>
      </c>
      <c r="C2201" s="2" t="s">
        <v>6546</v>
      </c>
      <c r="D2201" s="2" t="s">
        <v>10054</v>
      </c>
      <c r="E2201" s="15">
        <v>3.2899999999999999E-2</v>
      </c>
      <c r="F2201" s="15">
        <v>4.9000000000000002E-2</v>
      </c>
      <c r="G2201" s="15">
        <v>0.50239999999999996</v>
      </c>
      <c r="H2201" s="15">
        <v>0.14779999999999999</v>
      </c>
      <c r="I2201" s="15">
        <v>1.8599999999999998E-2</v>
      </c>
      <c r="J2201" s="15">
        <v>8.4195402298850581</v>
      </c>
    </row>
    <row r="2202" spans="1:10" x14ac:dyDescent="0.25">
      <c r="A2202" s="2" t="s">
        <v>6547</v>
      </c>
      <c r="B2202" s="2" t="s">
        <v>6475</v>
      </c>
      <c r="C2202" s="2" t="s">
        <v>6548</v>
      </c>
      <c r="D2202" s="2" t="s">
        <v>10054</v>
      </c>
      <c r="E2202" s="15">
        <v>7.6100000000000001E-2</v>
      </c>
      <c r="F2202" s="15">
        <v>4.7800000000000002E-2</v>
      </c>
      <c r="G2202" s="15">
        <v>0.1111</v>
      </c>
      <c r="H2202" s="15">
        <v>0.1241</v>
      </c>
      <c r="I2202" s="15">
        <v>1.83E-2</v>
      </c>
      <c r="J2202" s="15">
        <v>7.2988505747126444</v>
      </c>
    </row>
    <row r="2203" spans="1:10" x14ac:dyDescent="0.25">
      <c r="A2203" s="2" t="s">
        <v>6549</v>
      </c>
      <c r="B2203" s="2" t="s">
        <v>6475</v>
      </c>
      <c r="C2203" s="2" t="s">
        <v>6550</v>
      </c>
      <c r="D2203" s="2" t="s">
        <v>10054</v>
      </c>
      <c r="E2203" s="15">
        <v>-3.3700000000000001E-2</v>
      </c>
      <c r="F2203" s="15">
        <v>5.7799999999999997E-2</v>
      </c>
      <c r="G2203" s="15">
        <v>0.56059999999999999</v>
      </c>
      <c r="H2203" s="15">
        <v>0.1173</v>
      </c>
      <c r="I2203" s="15">
        <v>1.61E-2</v>
      </c>
      <c r="J2203" s="15">
        <v>8.6907894736842106</v>
      </c>
    </row>
    <row r="2204" spans="1:10" x14ac:dyDescent="0.25">
      <c r="A2204" s="2" t="s">
        <v>6551</v>
      </c>
      <c r="B2204" s="2" t="s">
        <v>6475</v>
      </c>
      <c r="C2204" s="2" t="s">
        <v>6552</v>
      </c>
      <c r="D2204" s="2" t="s">
        <v>10054</v>
      </c>
      <c r="E2204" s="15">
        <v>0.1138</v>
      </c>
      <c r="F2204" s="15">
        <v>7.2400000000000006E-2</v>
      </c>
      <c r="G2204" s="15">
        <v>0.1157</v>
      </c>
      <c r="H2204" s="15">
        <v>7.0800000000000002E-2</v>
      </c>
      <c r="I2204" s="15">
        <v>1.66E-2</v>
      </c>
      <c r="J2204" s="15">
        <v>4.6993464052287583</v>
      </c>
    </row>
    <row r="2205" spans="1:10" x14ac:dyDescent="0.25">
      <c r="A2205" s="2" t="s">
        <v>6553</v>
      </c>
      <c r="B2205" s="2" t="s">
        <v>6475</v>
      </c>
      <c r="C2205" s="2" t="s">
        <v>6554</v>
      </c>
      <c r="D2205" s="2" t="s">
        <v>10054</v>
      </c>
      <c r="E2205" s="15">
        <v>2.7E-2</v>
      </c>
      <c r="F2205" s="15">
        <v>5.8999999999999997E-2</v>
      </c>
      <c r="G2205" s="15">
        <v>0.64739999999999998</v>
      </c>
      <c r="H2205" s="15">
        <v>0.1011</v>
      </c>
      <c r="I2205" s="15">
        <v>1.7299999999999999E-2</v>
      </c>
      <c r="J2205" s="15">
        <v>5.7764705882352931</v>
      </c>
    </row>
    <row r="2206" spans="1:10" x14ac:dyDescent="0.25">
      <c r="A2206" s="2" t="s">
        <v>6555</v>
      </c>
      <c r="B2206" s="2" t="s">
        <v>6475</v>
      </c>
      <c r="C2206" s="2" t="s">
        <v>6556</v>
      </c>
      <c r="D2206" s="2" t="s">
        <v>10054</v>
      </c>
      <c r="E2206" s="15">
        <v>-6.1000000000000004E-3</v>
      </c>
      <c r="F2206" s="15">
        <v>6.5799999999999997E-2</v>
      </c>
      <c r="G2206" s="15">
        <v>0.92659999999999998</v>
      </c>
      <c r="H2206" s="15">
        <v>6.88E-2</v>
      </c>
      <c r="I2206" s="15">
        <v>1.4999999999999999E-2</v>
      </c>
      <c r="J2206" s="15">
        <v>4.8309859154929571</v>
      </c>
    </row>
    <row r="2207" spans="1:10" x14ac:dyDescent="0.25">
      <c r="A2207" s="2" t="s">
        <v>6557</v>
      </c>
      <c r="B2207" s="2" t="s">
        <v>6475</v>
      </c>
      <c r="C2207" s="2" t="s">
        <v>6558</v>
      </c>
      <c r="D2207" s="2" t="s">
        <v>10054</v>
      </c>
      <c r="E2207" s="15">
        <v>9.1300000000000006E-2</v>
      </c>
      <c r="F2207" s="15">
        <v>8.0100000000000005E-2</v>
      </c>
      <c r="G2207" s="15">
        <v>0.25409999999999999</v>
      </c>
      <c r="H2207" s="15">
        <v>5.21E-2</v>
      </c>
      <c r="I2207" s="15">
        <v>1.4500000000000001E-2</v>
      </c>
      <c r="J2207" s="15">
        <v>3.850340136054422</v>
      </c>
    </row>
    <row r="2208" spans="1:10" x14ac:dyDescent="0.25">
      <c r="A2208" s="2" t="s">
        <v>6559</v>
      </c>
      <c r="B2208" s="2" t="s">
        <v>6475</v>
      </c>
      <c r="C2208" s="2" t="s">
        <v>6560</v>
      </c>
      <c r="D2208" s="2" t="s">
        <v>10054</v>
      </c>
      <c r="E2208" s="15">
        <v>0.1414</v>
      </c>
      <c r="F2208" s="15">
        <v>7.5700000000000003E-2</v>
      </c>
      <c r="G2208" s="15">
        <v>6.1899999999999997E-2</v>
      </c>
      <c r="H2208" s="15">
        <v>6.3899999999999998E-2</v>
      </c>
      <c r="I2208" s="15">
        <v>1.5100000000000001E-2</v>
      </c>
      <c r="J2208" s="15">
        <v>5.0625000000000009</v>
      </c>
    </row>
    <row r="2209" spans="1:10" x14ac:dyDescent="0.25">
      <c r="A2209" s="2" t="s">
        <v>6561</v>
      </c>
      <c r="B2209" s="2" t="s">
        <v>6475</v>
      </c>
      <c r="C2209" s="2" t="s">
        <v>6562</v>
      </c>
      <c r="D2209" s="2" t="s">
        <v>10054</v>
      </c>
      <c r="E2209" s="15">
        <v>-8.2000000000000003E-2</v>
      </c>
      <c r="F2209" s="15">
        <v>4.6800000000000001E-2</v>
      </c>
      <c r="G2209" s="15">
        <v>7.9799999999999996E-2</v>
      </c>
      <c r="H2209" s="15">
        <v>0.1241</v>
      </c>
      <c r="I2209" s="15">
        <v>1.6899999999999998E-2</v>
      </c>
      <c r="J2209" s="15">
        <v>8.5521472392638049</v>
      </c>
    </row>
    <row r="2210" spans="1:10" x14ac:dyDescent="0.25">
      <c r="A2210" s="2" t="s">
        <v>6563</v>
      </c>
      <c r="B2210" s="2" t="s">
        <v>6475</v>
      </c>
      <c r="C2210" s="2" t="s">
        <v>6564</v>
      </c>
      <c r="D2210" s="2" t="s">
        <v>10054</v>
      </c>
      <c r="E2210" s="15">
        <v>-3.1899999999999998E-2</v>
      </c>
      <c r="F2210" s="15">
        <v>6.1499999999999999E-2</v>
      </c>
      <c r="G2210" s="15">
        <v>0.60450000000000004</v>
      </c>
      <c r="H2210" s="15">
        <v>8.8200000000000001E-2</v>
      </c>
      <c r="I2210" s="15">
        <v>1.66E-2</v>
      </c>
      <c r="J2210" s="15">
        <v>5.2321428571428577</v>
      </c>
    </row>
    <row r="2211" spans="1:10" x14ac:dyDescent="0.25">
      <c r="A2211" s="2" t="s">
        <v>6565</v>
      </c>
      <c r="B2211" s="2" t="s">
        <v>6475</v>
      </c>
      <c r="C2211" s="2" t="s">
        <v>6566</v>
      </c>
      <c r="D2211" s="2" t="s">
        <v>10054</v>
      </c>
      <c r="E2211" s="15">
        <v>0.1061</v>
      </c>
      <c r="F2211" s="15">
        <v>5.04E-2</v>
      </c>
      <c r="G2211" s="15">
        <v>3.5299999999999998E-2</v>
      </c>
      <c r="H2211" s="15">
        <v>0.15029999999999999</v>
      </c>
      <c r="I2211" s="15">
        <v>3.5499999999999997E-2</v>
      </c>
      <c r="J2211" s="15">
        <v>5.0341614906832302</v>
      </c>
    </row>
    <row r="2212" spans="1:10" x14ac:dyDescent="0.25">
      <c r="A2212" s="2" t="s">
        <v>6567</v>
      </c>
      <c r="B2212" s="2" t="s">
        <v>6475</v>
      </c>
      <c r="C2212" s="2" t="s">
        <v>6568</v>
      </c>
      <c r="D2212" s="2" t="s">
        <v>10054</v>
      </c>
      <c r="E2212" s="15">
        <v>1.4500000000000001E-2</v>
      </c>
      <c r="F2212" s="15">
        <v>6.6199999999999995E-2</v>
      </c>
      <c r="G2212" s="15">
        <v>0.82689999999999997</v>
      </c>
      <c r="H2212" s="15">
        <v>9.01E-2</v>
      </c>
      <c r="I2212" s="15">
        <v>1.67E-2</v>
      </c>
      <c r="J2212" s="15">
        <v>6.3719512195121943</v>
      </c>
    </row>
    <row r="2213" spans="1:10" x14ac:dyDescent="0.25">
      <c r="A2213" s="2" t="s">
        <v>6569</v>
      </c>
      <c r="B2213" s="2" t="s">
        <v>6475</v>
      </c>
      <c r="C2213" s="2" t="s">
        <v>6570</v>
      </c>
      <c r="D2213" s="2" t="s">
        <v>10054</v>
      </c>
      <c r="E2213" s="15">
        <v>6.2199999999999998E-2</v>
      </c>
      <c r="F2213" s="15">
        <v>5.5399999999999998E-2</v>
      </c>
      <c r="G2213" s="15">
        <v>0.26119999999999999</v>
      </c>
      <c r="H2213" s="15">
        <v>0.14299999999999999</v>
      </c>
      <c r="I2213" s="15">
        <v>2.6800000000000001E-2</v>
      </c>
      <c r="J2213" s="15">
        <v>5.7588932806324111</v>
      </c>
    </row>
    <row r="2214" spans="1:10" x14ac:dyDescent="0.25">
      <c r="A2214" s="2" t="s">
        <v>6571</v>
      </c>
      <c r="B2214" s="2" t="s">
        <v>6475</v>
      </c>
      <c r="C2214" s="2" t="s">
        <v>6572</v>
      </c>
      <c r="D2214" s="2" t="s">
        <v>10054</v>
      </c>
      <c r="E2214" s="15">
        <v>9.9099999999999994E-2</v>
      </c>
      <c r="F2214" s="15">
        <v>4.9700000000000001E-2</v>
      </c>
      <c r="G2214" s="15">
        <v>4.5900000000000003E-2</v>
      </c>
      <c r="H2214" s="15">
        <v>0.11559999999999999</v>
      </c>
      <c r="I2214" s="15">
        <v>1.66E-2</v>
      </c>
      <c r="J2214" s="15">
        <v>7.6496815286624207</v>
      </c>
    </row>
    <row r="2215" spans="1:10" x14ac:dyDescent="0.25">
      <c r="A2215" s="2" t="s">
        <v>6573</v>
      </c>
      <c r="B2215" s="2" t="s">
        <v>6475</v>
      </c>
      <c r="C2215" s="2" t="s">
        <v>6574</v>
      </c>
      <c r="D2215" s="2" t="s">
        <v>10054</v>
      </c>
      <c r="E2215" s="15">
        <v>1.46E-2</v>
      </c>
      <c r="F2215" s="15">
        <v>6.0600000000000001E-2</v>
      </c>
      <c r="G2215" s="15">
        <v>0.80959999999999999</v>
      </c>
      <c r="H2215" s="15">
        <v>7.5899999999999995E-2</v>
      </c>
      <c r="I2215" s="15">
        <v>1.61E-2</v>
      </c>
      <c r="J2215" s="15">
        <v>5.2402597402597397</v>
      </c>
    </row>
    <row r="2216" spans="1:10" x14ac:dyDescent="0.25">
      <c r="A2216" s="2" t="s">
        <v>6575</v>
      </c>
      <c r="B2216" s="2" t="s">
        <v>6475</v>
      </c>
      <c r="C2216" s="2" t="s">
        <v>6576</v>
      </c>
      <c r="D2216" s="2" t="s">
        <v>10054</v>
      </c>
      <c r="E2216" s="15">
        <v>2.1100000000000001E-2</v>
      </c>
      <c r="F2216" s="15">
        <v>7.0800000000000002E-2</v>
      </c>
      <c r="G2216" s="15">
        <v>0.76600000000000001</v>
      </c>
      <c r="H2216" s="15">
        <v>5.7799999999999997E-2</v>
      </c>
      <c r="I2216" s="15">
        <v>1.6799999999999999E-2</v>
      </c>
      <c r="J2216" s="15">
        <v>3.6234567901234569</v>
      </c>
    </row>
    <row r="2217" spans="1:10" x14ac:dyDescent="0.25">
      <c r="A2217" s="2" t="s">
        <v>6577</v>
      </c>
      <c r="B2217" s="2" t="s">
        <v>6475</v>
      </c>
      <c r="C2217" s="2" t="s">
        <v>6578</v>
      </c>
      <c r="D2217" s="2" t="s">
        <v>10054</v>
      </c>
      <c r="E2217" s="15">
        <v>0.10440000000000001</v>
      </c>
      <c r="F2217" s="15">
        <v>6.2399999999999997E-2</v>
      </c>
      <c r="G2217" s="15">
        <v>9.4500000000000001E-2</v>
      </c>
      <c r="H2217" s="15">
        <v>7.4800000000000005E-2</v>
      </c>
      <c r="I2217" s="15">
        <v>1.47E-2</v>
      </c>
      <c r="J2217" s="15">
        <v>5.901408450704225</v>
      </c>
    </row>
    <row r="2218" spans="1:10" x14ac:dyDescent="0.25">
      <c r="A2218" s="2" t="s">
        <v>6579</v>
      </c>
      <c r="B2218" s="2" t="s">
        <v>6475</v>
      </c>
      <c r="C2218" s="2" t="s">
        <v>6580</v>
      </c>
      <c r="D2218" s="2" t="s">
        <v>10054</v>
      </c>
      <c r="E2218" s="15">
        <v>-1.15E-2</v>
      </c>
      <c r="F2218" s="15">
        <v>5.3800000000000001E-2</v>
      </c>
      <c r="G2218" s="15">
        <v>0.83099999999999996</v>
      </c>
      <c r="H2218" s="15">
        <v>0.10290000000000001</v>
      </c>
      <c r="I2218" s="15">
        <v>1.5900000000000001E-2</v>
      </c>
      <c r="J2218" s="15">
        <v>7.4827586206896548</v>
      </c>
    </row>
    <row r="2219" spans="1:10" x14ac:dyDescent="0.25">
      <c r="A2219" s="2" t="s">
        <v>6581</v>
      </c>
      <c r="B2219" s="2" t="s">
        <v>6475</v>
      </c>
      <c r="C2219" s="2" t="s">
        <v>6582</v>
      </c>
      <c r="D2219" s="2" t="s">
        <v>10054</v>
      </c>
      <c r="E2219" s="15">
        <v>3.44E-2</v>
      </c>
      <c r="F2219" s="15">
        <v>7.46E-2</v>
      </c>
      <c r="G2219" s="15">
        <v>0.64529999999999998</v>
      </c>
      <c r="H2219" s="15">
        <v>5.79E-2</v>
      </c>
      <c r="I2219" s="15">
        <v>1.5100000000000001E-2</v>
      </c>
      <c r="J2219" s="15">
        <v>3.5769230769230771</v>
      </c>
    </row>
    <row r="2220" spans="1:10" x14ac:dyDescent="0.25">
      <c r="A2220" s="2" t="s">
        <v>6583</v>
      </c>
      <c r="B2220" s="2" t="s">
        <v>6475</v>
      </c>
      <c r="C2220" s="2" t="s">
        <v>6584</v>
      </c>
      <c r="D2220" s="2" t="s">
        <v>10054</v>
      </c>
      <c r="E2220" s="15">
        <v>2.7400000000000001E-2</v>
      </c>
      <c r="F2220" s="15">
        <v>5.8799999999999998E-2</v>
      </c>
      <c r="G2220" s="15">
        <v>0.64119999999999999</v>
      </c>
      <c r="H2220" s="15">
        <v>8.1799999999999998E-2</v>
      </c>
      <c r="I2220" s="15">
        <v>1.6199999999999999E-2</v>
      </c>
      <c r="J2220" s="15">
        <v>5.7707006369426752</v>
      </c>
    </row>
    <row r="2221" spans="1:10" x14ac:dyDescent="0.25">
      <c r="A2221" s="2" t="s">
        <v>6585</v>
      </c>
      <c r="B2221" s="2" t="s">
        <v>6586</v>
      </c>
      <c r="C2221" s="2" t="s">
        <v>6587</v>
      </c>
      <c r="D2221" s="2" t="s">
        <v>10055</v>
      </c>
      <c r="E2221" s="15">
        <v>-5.0500000000000003E-2</v>
      </c>
      <c r="F2221" s="15">
        <v>6.8699999999999997E-2</v>
      </c>
      <c r="G2221" s="15">
        <v>0.46250000000000002</v>
      </c>
      <c r="H2221" s="15">
        <v>5.67E-2</v>
      </c>
      <c r="I2221" s="15">
        <v>1.44E-2</v>
      </c>
      <c r="J2221" s="15">
        <v>4.3636363636363633</v>
      </c>
    </row>
    <row r="2222" spans="1:10" x14ac:dyDescent="0.25">
      <c r="A2222" s="2" t="s">
        <v>6588</v>
      </c>
      <c r="B2222" s="2" t="s">
        <v>6586</v>
      </c>
      <c r="C2222" s="2" t="s">
        <v>6589</v>
      </c>
      <c r="D2222" s="2" t="s">
        <v>10055</v>
      </c>
      <c r="E2222" s="15">
        <v>-7.0900000000000005E-2</v>
      </c>
      <c r="F2222" s="15">
        <v>7.0999999999999994E-2</v>
      </c>
      <c r="G2222" s="15">
        <v>0.31830000000000003</v>
      </c>
      <c r="H2222" s="15">
        <v>5.5899999999999998E-2</v>
      </c>
      <c r="I2222" s="15">
        <v>1.4800000000000001E-2</v>
      </c>
      <c r="J2222" s="15">
        <v>3.645161290322581</v>
      </c>
    </row>
    <row r="2223" spans="1:10" x14ac:dyDescent="0.25">
      <c r="A2223" s="2" t="s">
        <v>6590</v>
      </c>
      <c r="B2223" s="2" t="s">
        <v>6586</v>
      </c>
      <c r="C2223" s="2" t="s">
        <v>6591</v>
      </c>
      <c r="D2223" s="2" t="s">
        <v>10055</v>
      </c>
      <c r="E2223" s="15">
        <v>6.4199999999999993E-2</v>
      </c>
      <c r="F2223" s="15">
        <v>7.0199999999999999E-2</v>
      </c>
      <c r="G2223" s="15">
        <v>0.36030000000000001</v>
      </c>
      <c r="H2223" s="15">
        <v>6.4000000000000001E-2</v>
      </c>
      <c r="I2223" s="15">
        <v>1.4800000000000001E-2</v>
      </c>
      <c r="J2223" s="15">
        <v>3.9346405228758168</v>
      </c>
    </row>
    <row r="2224" spans="1:10" x14ac:dyDescent="0.25">
      <c r="A2224" s="2" t="s">
        <v>6592</v>
      </c>
      <c r="B2224" s="2" t="s">
        <v>6586</v>
      </c>
      <c r="C2224" s="2" t="s">
        <v>6593</v>
      </c>
      <c r="D2224" s="2" t="s">
        <v>10055</v>
      </c>
      <c r="E2224" s="15">
        <v>-6.5000000000000002E-2</v>
      </c>
      <c r="F2224" s="15">
        <v>0.1171</v>
      </c>
      <c r="G2224" s="15">
        <v>0.57899999999999996</v>
      </c>
      <c r="H2224" s="15">
        <v>2.3E-2</v>
      </c>
      <c r="I2224" s="15">
        <v>1.5299999999999999E-2</v>
      </c>
      <c r="J2224" s="15">
        <v>1.726666666666667</v>
      </c>
    </row>
    <row r="2225" spans="1:10" x14ac:dyDescent="0.25">
      <c r="A2225" s="2" t="s">
        <v>6594</v>
      </c>
      <c r="B2225" s="2" t="s">
        <v>6586</v>
      </c>
      <c r="C2225" s="2" t="s">
        <v>6595</v>
      </c>
      <c r="D2225" s="2" t="s">
        <v>10055</v>
      </c>
      <c r="E2225" s="15">
        <v>5.5300000000000002E-2</v>
      </c>
      <c r="F2225" s="15">
        <v>8.3299999999999999E-2</v>
      </c>
      <c r="G2225" s="15">
        <v>0.5071</v>
      </c>
      <c r="H2225" s="15">
        <v>0.04</v>
      </c>
      <c r="I2225" s="15">
        <v>1.47E-2</v>
      </c>
      <c r="J2225" s="15">
        <v>3.48951048951049</v>
      </c>
    </row>
    <row r="2226" spans="1:10" x14ac:dyDescent="0.25">
      <c r="A2226" s="2" t="s">
        <v>6596</v>
      </c>
      <c r="B2226" s="2" t="s">
        <v>6586</v>
      </c>
      <c r="C2226" s="2" t="s">
        <v>6597</v>
      </c>
      <c r="D2226" s="2" t="s">
        <v>10055</v>
      </c>
      <c r="E2226" s="15">
        <v>2.53E-2</v>
      </c>
      <c r="F2226" s="15">
        <v>0.1149</v>
      </c>
      <c r="G2226" s="15">
        <v>0.82579999999999998</v>
      </c>
      <c r="H2226" s="15">
        <v>2.2499999999999999E-2</v>
      </c>
      <c r="I2226" s="15">
        <v>1.4E-2</v>
      </c>
      <c r="J2226" s="15">
        <v>1.541353383458647</v>
      </c>
    </row>
    <row r="2227" spans="1:10" x14ac:dyDescent="0.25">
      <c r="A2227" s="2" t="s">
        <v>6598</v>
      </c>
      <c r="B2227" s="2" t="s">
        <v>6586</v>
      </c>
      <c r="C2227" s="2" t="s">
        <v>6599</v>
      </c>
      <c r="D2227" s="2" t="s">
        <v>10055</v>
      </c>
      <c r="E2227" s="15">
        <v>-5.8400000000000001E-2</v>
      </c>
      <c r="F2227" s="15">
        <v>6.3899999999999998E-2</v>
      </c>
      <c r="G2227" s="15">
        <v>0.36130000000000001</v>
      </c>
      <c r="H2227" s="15">
        <v>9.2899999999999996E-2</v>
      </c>
      <c r="I2227" s="15">
        <v>1.43E-2</v>
      </c>
      <c r="J2227" s="15">
        <v>6.6382978723404262</v>
      </c>
    </row>
    <row r="2228" spans="1:10" x14ac:dyDescent="0.25">
      <c r="A2228" s="2" t="s">
        <v>6600</v>
      </c>
      <c r="B2228" s="2" t="s">
        <v>6586</v>
      </c>
      <c r="C2228" s="2" t="s">
        <v>6601</v>
      </c>
      <c r="D2228" s="2" t="s">
        <v>10055</v>
      </c>
      <c r="E2228" s="15">
        <v>4.9599999999999998E-2</v>
      </c>
      <c r="F2228" s="15">
        <v>8.1500000000000003E-2</v>
      </c>
      <c r="G2228" s="15">
        <v>0.54330000000000001</v>
      </c>
      <c r="H2228" s="15">
        <v>4.1200000000000001E-2</v>
      </c>
      <c r="I2228" s="15">
        <v>1.35E-2</v>
      </c>
      <c r="J2228" s="15">
        <v>2.748148148148148</v>
      </c>
    </row>
    <row r="2229" spans="1:10" x14ac:dyDescent="0.25">
      <c r="A2229" s="2" t="s">
        <v>6602</v>
      </c>
      <c r="B2229" s="2" t="s">
        <v>6586</v>
      </c>
      <c r="C2229" s="2" t="s">
        <v>6603</v>
      </c>
      <c r="D2229" s="2" t="s">
        <v>10055</v>
      </c>
      <c r="E2229" s="15">
        <v>-9.4100000000000003E-2</v>
      </c>
      <c r="F2229" s="15">
        <v>7.6700000000000004E-2</v>
      </c>
      <c r="G2229" s="15">
        <v>0.2195</v>
      </c>
      <c r="H2229" s="15">
        <v>5.3600000000000002E-2</v>
      </c>
      <c r="I2229" s="15">
        <v>2.0299999999999999E-2</v>
      </c>
      <c r="J2229" s="15">
        <v>2.7554347826086958</v>
      </c>
    </row>
    <row r="2230" spans="1:10" x14ac:dyDescent="0.25">
      <c r="A2230" s="2" t="s">
        <v>6604</v>
      </c>
      <c r="B2230" s="2" t="s">
        <v>6586</v>
      </c>
      <c r="C2230" s="2" t="s">
        <v>6605</v>
      </c>
      <c r="D2230" s="2" t="s">
        <v>10055</v>
      </c>
      <c r="E2230" s="15">
        <v>0.108</v>
      </c>
      <c r="F2230" s="15">
        <v>0.14299999999999999</v>
      </c>
      <c r="G2230" s="15">
        <v>0.4501</v>
      </c>
      <c r="H2230" s="15">
        <v>1.61E-2</v>
      </c>
      <c r="I2230" s="15">
        <v>1.43E-2</v>
      </c>
      <c r="J2230" s="15">
        <v>1.021897810218978</v>
      </c>
    </row>
    <row r="2231" spans="1:10" x14ac:dyDescent="0.25">
      <c r="A2231" s="2" t="s">
        <v>6606</v>
      </c>
      <c r="B2231" s="2" t="s">
        <v>6586</v>
      </c>
      <c r="C2231" s="2" t="s">
        <v>6607</v>
      </c>
      <c r="D2231" s="2" t="s">
        <v>10055</v>
      </c>
      <c r="E2231" s="15">
        <v>-1.43E-2</v>
      </c>
      <c r="F2231" s="15">
        <v>6.9800000000000001E-2</v>
      </c>
      <c r="G2231" s="15">
        <v>0.83709999999999996</v>
      </c>
      <c r="H2231" s="15">
        <v>7.0599999999999996E-2</v>
      </c>
      <c r="I2231" s="15">
        <v>1.55E-2</v>
      </c>
      <c r="J2231" s="15">
        <v>4.4350649350649336</v>
      </c>
    </row>
    <row r="2232" spans="1:10" x14ac:dyDescent="0.25">
      <c r="A2232" s="2" t="s">
        <v>6608</v>
      </c>
      <c r="B2232" s="2" t="s">
        <v>6586</v>
      </c>
      <c r="C2232" s="2" t="s">
        <v>6609</v>
      </c>
      <c r="D2232" s="2" t="s">
        <v>10055</v>
      </c>
      <c r="E2232" s="15">
        <v>5.4800000000000001E-2</v>
      </c>
      <c r="F2232" s="15">
        <v>8.6599999999999996E-2</v>
      </c>
      <c r="G2232" s="15">
        <v>0.52669999999999995</v>
      </c>
      <c r="H2232" s="15">
        <v>3.7199999999999997E-2</v>
      </c>
      <c r="I2232" s="15">
        <v>1.35E-2</v>
      </c>
      <c r="J2232" s="15">
        <v>2.6350364963503652</v>
      </c>
    </row>
    <row r="2233" spans="1:10" x14ac:dyDescent="0.25">
      <c r="A2233" s="2" t="s">
        <v>6610</v>
      </c>
      <c r="B2233" s="2" t="s">
        <v>6586</v>
      </c>
      <c r="C2233" s="2" t="s">
        <v>6611</v>
      </c>
      <c r="D2233" s="2" t="s">
        <v>10055</v>
      </c>
      <c r="E2233" s="15">
        <v>-7.1999999999999995E-2</v>
      </c>
      <c r="F2233" s="15">
        <v>6.8199999999999997E-2</v>
      </c>
      <c r="G2233" s="15">
        <v>0.29099999999999998</v>
      </c>
      <c r="H2233" s="15">
        <v>7.1800000000000003E-2</v>
      </c>
      <c r="I2233" s="15">
        <v>1.5299999999999999E-2</v>
      </c>
      <c r="J2233" s="15">
        <v>5</v>
      </c>
    </row>
    <row r="2234" spans="1:10" x14ac:dyDescent="0.25">
      <c r="A2234" s="2" t="s">
        <v>6612</v>
      </c>
      <c r="B2234" s="2" t="s">
        <v>6586</v>
      </c>
      <c r="C2234" s="2" t="s">
        <v>6613</v>
      </c>
      <c r="D2234" s="2" t="s">
        <v>10055</v>
      </c>
      <c r="E2234" s="15">
        <v>-0.13869999999999999</v>
      </c>
      <c r="F2234" s="15">
        <v>0.14380000000000001</v>
      </c>
      <c r="G2234" s="15">
        <v>0.33500000000000002</v>
      </c>
      <c r="H2234" s="15">
        <v>1.7500000000000002E-2</v>
      </c>
      <c r="I2234" s="15">
        <v>1.35E-2</v>
      </c>
      <c r="J2234" s="15">
        <v>1.6899224806201549</v>
      </c>
    </row>
    <row r="2235" spans="1:10" x14ac:dyDescent="0.25">
      <c r="A2235" s="2" t="s">
        <v>6614</v>
      </c>
      <c r="B2235" s="2" t="s">
        <v>6586</v>
      </c>
      <c r="C2235" s="2" t="s">
        <v>6615</v>
      </c>
      <c r="D2235" s="2" t="s">
        <v>10055</v>
      </c>
      <c r="E2235" s="15">
        <v>-7.1199999999999999E-2</v>
      </c>
      <c r="F2235" s="15">
        <v>6.2700000000000006E-2</v>
      </c>
      <c r="G2235" s="15">
        <v>0.25600000000000001</v>
      </c>
      <c r="H2235" s="15">
        <v>7.8100000000000003E-2</v>
      </c>
      <c r="I2235" s="15">
        <v>1.5900000000000001E-2</v>
      </c>
      <c r="J2235" s="15">
        <v>5.5065789473684212</v>
      </c>
    </row>
    <row r="2236" spans="1:10" x14ac:dyDescent="0.25">
      <c r="A2236" s="2" t="s">
        <v>6616</v>
      </c>
      <c r="B2236" s="2" t="s">
        <v>6586</v>
      </c>
      <c r="C2236" s="2" t="s">
        <v>6617</v>
      </c>
      <c r="D2236" s="2" t="s">
        <v>10055</v>
      </c>
      <c r="E2236" s="15">
        <v>-0.14330000000000001</v>
      </c>
      <c r="F2236" s="15">
        <v>7.3599999999999999E-2</v>
      </c>
      <c r="G2236" s="15">
        <v>5.16E-2</v>
      </c>
      <c r="H2236" s="15">
        <v>5.8999999999999997E-2</v>
      </c>
      <c r="I2236" s="15">
        <v>1.5900000000000001E-2</v>
      </c>
      <c r="J2236" s="15">
        <v>4.4294871794871797</v>
      </c>
    </row>
    <row r="2237" spans="1:10" x14ac:dyDescent="0.25">
      <c r="A2237" s="2" t="s">
        <v>6618</v>
      </c>
      <c r="B2237" s="2" t="s">
        <v>6586</v>
      </c>
      <c r="C2237" s="2" t="s">
        <v>6619</v>
      </c>
      <c r="D2237" s="2" t="s">
        <v>10055</v>
      </c>
      <c r="E2237" s="15">
        <v>-0.04</v>
      </c>
      <c r="F2237" s="15">
        <v>0.1043</v>
      </c>
      <c r="G2237" s="15">
        <v>0.70140000000000002</v>
      </c>
      <c r="H2237" s="15">
        <v>3.5999999999999997E-2</v>
      </c>
      <c r="I2237" s="15">
        <v>1.5100000000000001E-2</v>
      </c>
      <c r="J2237" s="15">
        <v>2.6315789473684208</v>
      </c>
    </row>
    <row r="2238" spans="1:10" x14ac:dyDescent="0.25">
      <c r="A2238" s="2" t="s">
        <v>6620</v>
      </c>
      <c r="B2238" s="2" t="s">
        <v>6586</v>
      </c>
      <c r="C2238" s="2" t="s">
        <v>6621</v>
      </c>
      <c r="D2238" s="2" t="s">
        <v>10055</v>
      </c>
      <c r="E2238" s="15">
        <v>6.6199999999999995E-2</v>
      </c>
      <c r="F2238" s="15">
        <v>5.5500000000000001E-2</v>
      </c>
      <c r="G2238" s="15">
        <v>0.23269999999999999</v>
      </c>
      <c r="H2238" s="15">
        <v>7.9399999999999998E-2</v>
      </c>
      <c r="I2238" s="15">
        <v>1.5800000000000002E-2</v>
      </c>
      <c r="J2238" s="15">
        <v>4.4683544303797458</v>
      </c>
    </row>
    <row r="2239" spans="1:10" x14ac:dyDescent="0.25">
      <c r="A2239" s="2" t="s">
        <v>6622</v>
      </c>
      <c r="B2239" s="2" t="s">
        <v>6586</v>
      </c>
      <c r="C2239" s="2" t="s">
        <v>6623</v>
      </c>
      <c r="D2239" s="2" t="s">
        <v>10055</v>
      </c>
      <c r="E2239" s="15">
        <v>-0.27310000000000001</v>
      </c>
      <c r="F2239" s="15">
        <v>0.29599999999999999</v>
      </c>
      <c r="G2239" s="15">
        <v>0.35630000000000001</v>
      </c>
      <c r="H2239" s="15">
        <v>9.1000000000000004E-3</v>
      </c>
      <c r="I2239" s="15">
        <v>1.43E-2</v>
      </c>
      <c r="J2239" s="15">
        <v>0.88811188811188801</v>
      </c>
    </row>
    <row r="2240" spans="1:10" x14ac:dyDescent="0.25">
      <c r="A2240" s="2" t="s">
        <v>6624</v>
      </c>
      <c r="B2240" s="2" t="s">
        <v>6586</v>
      </c>
      <c r="C2240" s="2" t="s">
        <v>6625</v>
      </c>
      <c r="D2240" s="2" t="s">
        <v>10055</v>
      </c>
      <c r="E2240" s="15">
        <v>-3.8699999999999998E-2</v>
      </c>
      <c r="F2240" s="15">
        <v>8.1699999999999995E-2</v>
      </c>
      <c r="G2240" s="15">
        <v>0.63549999999999995</v>
      </c>
      <c r="H2240" s="15">
        <v>3.8899999999999997E-2</v>
      </c>
      <c r="I2240" s="15">
        <v>1.47E-2</v>
      </c>
      <c r="J2240" s="15">
        <v>2.6449275362318838</v>
      </c>
    </row>
    <row r="2241" spans="1:10" x14ac:dyDescent="0.25">
      <c r="A2241" s="2" t="s">
        <v>6626</v>
      </c>
      <c r="B2241" s="2" t="s">
        <v>6586</v>
      </c>
      <c r="C2241" s="2" t="s">
        <v>6627</v>
      </c>
      <c r="D2241" s="2" t="s">
        <v>10055</v>
      </c>
      <c r="E2241" s="15">
        <v>-4.87E-2</v>
      </c>
      <c r="F2241" s="15">
        <v>9.2499999999999999E-2</v>
      </c>
      <c r="G2241" s="15">
        <v>0.59830000000000005</v>
      </c>
      <c r="H2241" s="15">
        <v>3.49E-2</v>
      </c>
      <c r="I2241" s="15">
        <v>1.47E-2</v>
      </c>
      <c r="J2241" s="15">
        <v>2.4705882352941182</v>
      </c>
    </row>
    <row r="2242" spans="1:10" x14ac:dyDescent="0.25">
      <c r="A2242" s="2" t="s">
        <v>6628</v>
      </c>
      <c r="B2242" s="2" t="s">
        <v>6586</v>
      </c>
      <c r="C2242" s="2" t="s">
        <v>6629</v>
      </c>
      <c r="D2242" s="2" t="s">
        <v>10055</v>
      </c>
      <c r="E2242" s="15">
        <v>1.77E-2</v>
      </c>
      <c r="F2242" s="15">
        <v>0.112</v>
      </c>
      <c r="G2242" s="15">
        <v>0.87470000000000003</v>
      </c>
      <c r="H2242" s="15">
        <v>2.5000000000000001E-2</v>
      </c>
      <c r="I2242" s="15">
        <v>1.2800000000000001E-2</v>
      </c>
      <c r="J2242" s="15">
        <v>2.4</v>
      </c>
    </row>
    <row r="2243" spans="1:10" x14ac:dyDescent="0.25">
      <c r="A2243" s="2" t="s">
        <v>6630</v>
      </c>
      <c r="B2243" s="2" t="s">
        <v>6586</v>
      </c>
      <c r="C2243" s="2" t="s">
        <v>6631</v>
      </c>
      <c r="D2243" s="2" t="s">
        <v>10055</v>
      </c>
      <c r="E2243" s="15">
        <v>-0.10929999999999999</v>
      </c>
      <c r="F2243" s="15">
        <v>8.7800000000000003E-2</v>
      </c>
      <c r="G2243" s="15">
        <v>0.21310000000000001</v>
      </c>
      <c r="H2243" s="15">
        <v>4.36E-2</v>
      </c>
      <c r="I2243" s="15">
        <v>1.49E-2</v>
      </c>
      <c r="J2243" s="15">
        <v>2.9530201342281881</v>
      </c>
    </row>
    <row r="2244" spans="1:10" x14ac:dyDescent="0.25">
      <c r="A2244" s="2" t="s">
        <v>6632</v>
      </c>
      <c r="B2244" s="2" t="s">
        <v>6586</v>
      </c>
      <c r="C2244" s="2" t="s">
        <v>6633</v>
      </c>
      <c r="D2244" s="2" t="s">
        <v>10055</v>
      </c>
      <c r="E2244" s="15">
        <v>-0.1295</v>
      </c>
      <c r="F2244" s="15">
        <v>6.2100000000000002E-2</v>
      </c>
      <c r="G2244" s="15">
        <v>3.7100000000000001E-2</v>
      </c>
      <c r="H2244" s="15">
        <v>7.46E-2</v>
      </c>
      <c r="I2244" s="15">
        <v>1.95E-2</v>
      </c>
      <c r="J2244" s="15">
        <v>4.1912568306010929</v>
      </c>
    </row>
    <row r="2245" spans="1:10" x14ac:dyDescent="0.25">
      <c r="A2245" s="2" t="s">
        <v>6634</v>
      </c>
      <c r="B2245" s="2" t="s">
        <v>6586</v>
      </c>
      <c r="C2245" s="2" t="s">
        <v>6635</v>
      </c>
      <c r="D2245" s="2" t="s">
        <v>10055</v>
      </c>
      <c r="E2245" s="15">
        <v>8.6999999999999994E-3</v>
      </c>
      <c r="F2245" s="15">
        <v>0.1595</v>
      </c>
      <c r="G2245" s="15">
        <v>0.95669999999999999</v>
      </c>
      <c r="H2245" s="15">
        <v>1.4800000000000001E-2</v>
      </c>
      <c r="I2245" s="15">
        <v>1.43E-2</v>
      </c>
      <c r="J2245" s="15">
        <v>1.06993006993007</v>
      </c>
    </row>
    <row r="2246" spans="1:10" x14ac:dyDescent="0.25">
      <c r="A2246" s="2" t="s">
        <v>6636</v>
      </c>
      <c r="B2246" s="2" t="s">
        <v>6586</v>
      </c>
      <c r="C2246" s="2" t="s">
        <v>6637</v>
      </c>
      <c r="D2246" s="2" t="s">
        <v>10055</v>
      </c>
      <c r="E2246" s="15">
        <v>-4.7000000000000002E-3</v>
      </c>
      <c r="F2246" s="15">
        <v>8.43E-2</v>
      </c>
      <c r="G2246" s="15">
        <v>0.9556</v>
      </c>
      <c r="H2246" s="15">
        <v>4.7800000000000002E-2</v>
      </c>
      <c r="I2246" s="15">
        <v>1.5299999999999999E-2</v>
      </c>
      <c r="J2246" s="15">
        <v>3.405228758169935</v>
      </c>
    </row>
    <row r="2247" spans="1:10" x14ac:dyDescent="0.25">
      <c r="A2247" s="2" t="s">
        <v>6638</v>
      </c>
      <c r="B2247" s="2" t="s">
        <v>6586</v>
      </c>
      <c r="C2247" s="2" t="s">
        <v>6639</v>
      </c>
      <c r="D2247" s="2" t="s">
        <v>10055</v>
      </c>
      <c r="E2247" s="15">
        <v>9.01E-2</v>
      </c>
      <c r="F2247" s="15">
        <v>0.1096</v>
      </c>
      <c r="G2247" s="15">
        <v>0.41099999999999998</v>
      </c>
      <c r="H2247" s="15">
        <v>2.9499999999999998E-2</v>
      </c>
      <c r="I2247" s="15">
        <v>1.38E-2</v>
      </c>
      <c r="J2247" s="15">
        <v>1.8299319727891159</v>
      </c>
    </row>
    <row r="2248" spans="1:10" x14ac:dyDescent="0.25">
      <c r="A2248" s="2" t="s">
        <v>6640</v>
      </c>
      <c r="B2248" s="2" t="s">
        <v>6586</v>
      </c>
      <c r="C2248" s="2" t="s">
        <v>6641</v>
      </c>
      <c r="D2248" s="2" t="s">
        <v>10055</v>
      </c>
      <c r="E2248" s="15">
        <v>-9.9000000000000008E-3</v>
      </c>
      <c r="F2248" s="15">
        <v>8.5599999999999996E-2</v>
      </c>
      <c r="G2248" s="15">
        <v>0.90820000000000001</v>
      </c>
      <c r="H2248" s="15">
        <v>4.1700000000000001E-2</v>
      </c>
      <c r="I2248" s="15">
        <v>1.46E-2</v>
      </c>
      <c r="J2248" s="15">
        <v>3.760869565217392</v>
      </c>
    </row>
    <row r="2249" spans="1:10" x14ac:dyDescent="0.25">
      <c r="A2249" s="2" t="s">
        <v>6642</v>
      </c>
      <c r="B2249" s="2" t="s">
        <v>6586</v>
      </c>
      <c r="C2249" s="2" t="s">
        <v>6643</v>
      </c>
      <c r="D2249" s="2" t="s">
        <v>10055</v>
      </c>
      <c r="E2249" s="15">
        <v>-2.0899999999999998E-2</v>
      </c>
      <c r="F2249" s="15">
        <v>6.7000000000000004E-2</v>
      </c>
      <c r="G2249" s="15">
        <v>0.75449999999999995</v>
      </c>
      <c r="H2249" s="15">
        <v>6.6400000000000001E-2</v>
      </c>
      <c r="I2249" s="15">
        <v>1.54E-2</v>
      </c>
      <c r="J2249" s="15">
        <v>5.3666666666666671</v>
      </c>
    </row>
    <row r="2250" spans="1:10" x14ac:dyDescent="0.25">
      <c r="A2250" s="2" t="s">
        <v>6644</v>
      </c>
      <c r="B2250" s="2" t="s">
        <v>6586</v>
      </c>
      <c r="C2250" s="2" t="s">
        <v>6645</v>
      </c>
      <c r="D2250" s="2" t="s">
        <v>10055</v>
      </c>
      <c r="E2250" s="15">
        <v>5.2400000000000002E-2</v>
      </c>
      <c r="F2250" s="15">
        <v>9.98E-2</v>
      </c>
      <c r="G2250" s="15">
        <v>0.59960000000000002</v>
      </c>
      <c r="H2250" s="15">
        <v>3.1899999999999998E-2</v>
      </c>
      <c r="I2250" s="15">
        <v>1.67E-2</v>
      </c>
      <c r="J2250" s="15">
        <v>1.8922155688622759</v>
      </c>
    </row>
    <row r="2251" spans="1:10" x14ac:dyDescent="0.25">
      <c r="A2251" s="2" t="s">
        <v>6646</v>
      </c>
      <c r="B2251" s="2" t="s">
        <v>6586</v>
      </c>
      <c r="C2251" s="2" t="s">
        <v>6647</v>
      </c>
      <c r="D2251" s="2" t="s">
        <v>10055</v>
      </c>
      <c r="E2251" s="15">
        <v>7.7299999999999994E-2</v>
      </c>
      <c r="F2251" s="15">
        <v>5.8999999999999997E-2</v>
      </c>
      <c r="G2251" s="15">
        <v>0.1903</v>
      </c>
      <c r="H2251" s="15">
        <v>8.5500000000000007E-2</v>
      </c>
      <c r="I2251" s="15">
        <v>1.7999999999999999E-2</v>
      </c>
      <c r="J2251" s="15">
        <v>5.1061452513966481</v>
      </c>
    </row>
    <row r="2252" spans="1:10" x14ac:dyDescent="0.25">
      <c r="A2252" s="2" t="s">
        <v>6648</v>
      </c>
      <c r="B2252" s="2" t="s">
        <v>6586</v>
      </c>
      <c r="C2252" s="2" t="s">
        <v>6649</v>
      </c>
      <c r="D2252" s="2" t="s">
        <v>10055</v>
      </c>
      <c r="E2252" s="15">
        <v>-2.1299999999999999E-2</v>
      </c>
      <c r="F2252" s="15">
        <v>0.106</v>
      </c>
      <c r="G2252" s="15">
        <v>0.84079999999999999</v>
      </c>
      <c r="H2252" s="15">
        <v>3.5099999999999999E-2</v>
      </c>
      <c r="I2252" s="15">
        <v>1.3899999999999999E-2</v>
      </c>
      <c r="J2252" s="15">
        <v>2.8636363636363642</v>
      </c>
    </row>
    <row r="2253" spans="1:10" x14ac:dyDescent="0.25">
      <c r="A2253" s="2" t="s">
        <v>6650</v>
      </c>
      <c r="B2253" s="2" t="s">
        <v>6586</v>
      </c>
      <c r="C2253" s="2" t="s">
        <v>6651</v>
      </c>
      <c r="D2253" s="2" t="s">
        <v>10055</v>
      </c>
      <c r="E2253" s="15">
        <v>6.5199999999999994E-2</v>
      </c>
      <c r="F2253" s="15">
        <v>6.8699999999999997E-2</v>
      </c>
      <c r="G2253" s="15">
        <v>0.34289999999999998</v>
      </c>
      <c r="H2253" s="15">
        <v>6.4699999999999994E-2</v>
      </c>
      <c r="I2253" s="15">
        <v>1.55E-2</v>
      </c>
      <c r="J2253" s="15">
        <v>4.7908496732026151</v>
      </c>
    </row>
    <row r="2254" spans="1:10" x14ac:dyDescent="0.25">
      <c r="A2254" s="2" t="s">
        <v>6652</v>
      </c>
      <c r="B2254" s="2" t="s">
        <v>6586</v>
      </c>
      <c r="C2254" s="2" t="s">
        <v>6653</v>
      </c>
      <c r="D2254" s="2" t="s">
        <v>10055</v>
      </c>
      <c r="E2254" s="15">
        <v>3.7999999999999999E-2</v>
      </c>
      <c r="F2254" s="15">
        <v>6.88E-2</v>
      </c>
      <c r="G2254" s="15">
        <v>0.58099999999999996</v>
      </c>
      <c r="H2254" s="15">
        <v>7.7600000000000002E-2</v>
      </c>
      <c r="I2254" s="15">
        <v>1.5800000000000002E-2</v>
      </c>
      <c r="J2254" s="15">
        <v>4.867088607594936</v>
      </c>
    </row>
    <row r="2255" spans="1:10" x14ac:dyDescent="0.25">
      <c r="A2255" s="2" t="s">
        <v>6654</v>
      </c>
      <c r="B2255" s="2" t="s">
        <v>6586</v>
      </c>
      <c r="C2255" s="2" t="s">
        <v>6655</v>
      </c>
      <c r="D2255" s="2" t="s">
        <v>10055</v>
      </c>
      <c r="E2255" s="15">
        <v>-5.1200000000000002E-2</v>
      </c>
      <c r="F2255" s="15">
        <v>7.4999999999999997E-2</v>
      </c>
      <c r="G2255" s="15">
        <v>0.49440000000000001</v>
      </c>
      <c r="H2255" s="15">
        <v>5.6000000000000001E-2</v>
      </c>
      <c r="I2255" s="15">
        <v>1.5699999999999999E-2</v>
      </c>
      <c r="J2255" s="15">
        <v>3.9871794871794868</v>
      </c>
    </row>
    <row r="2256" spans="1:10" x14ac:dyDescent="0.25">
      <c r="A2256" s="2" t="s">
        <v>6656</v>
      </c>
      <c r="B2256" s="2" t="s">
        <v>6586</v>
      </c>
      <c r="C2256" s="2" t="s">
        <v>6657</v>
      </c>
      <c r="D2256" s="2" t="s">
        <v>10055</v>
      </c>
      <c r="E2256" s="15">
        <v>-6.2600000000000003E-2</v>
      </c>
      <c r="F2256" s="15">
        <v>0.1008</v>
      </c>
      <c r="G2256" s="15">
        <v>0.5343</v>
      </c>
      <c r="H2256" s="15">
        <v>3.3099999999999997E-2</v>
      </c>
      <c r="I2256" s="15">
        <v>1.43E-2</v>
      </c>
      <c r="J2256" s="15">
        <v>2.415492957746479</v>
      </c>
    </row>
    <row r="2257" spans="1:10" x14ac:dyDescent="0.25">
      <c r="A2257" s="2" t="s">
        <v>6658</v>
      </c>
      <c r="B2257" s="2" t="s">
        <v>6586</v>
      </c>
      <c r="C2257" s="2" t="s">
        <v>6659</v>
      </c>
      <c r="D2257" s="2" t="s">
        <v>10055</v>
      </c>
      <c r="E2257" s="15">
        <v>7.8700000000000006E-2</v>
      </c>
      <c r="F2257" s="15">
        <v>8.5800000000000001E-2</v>
      </c>
      <c r="G2257" s="15">
        <v>0.35899999999999999</v>
      </c>
      <c r="H2257" s="15">
        <v>4.8800000000000003E-2</v>
      </c>
      <c r="I2257" s="15">
        <v>1.49E-2</v>
      </c>
      <c r="J2257" s="15">
        <v>3.3892617449664431</v>
      </c>
    </row>
    <row r="2258" spans="1:10" x14ac:dyDescent="0.25">
      <c r="A2258" s="2" t="s">
        <v>6660</v>
      </c>
      <c r="B2258" s="2" t="s">
        <v>6586</v>
      </c>
      <c r="C2258" s="2" t="s">
        <v>6661</v>
      </c>
      <c r="D2258" s="2" t="s">
        <v>10055</v>
      </c>
      <c r="E2258" s="15">
        <v>-2.24E-2</v>
      </c>
      <c r="F2258" s="15">
        <v>8.3199999999999996E-2</v>
      </c>
      <c r="G2258" s="15">
        <v>0.7873</v>
      </c>
      <c r="H2258" s="15">
        <v>4.87E-2</v>
      </c>
      <c r="I2258" s="15">
        <v>1.55E-2</v>
      </c>
      <c r="J2258" s="15">
        <v>3.3243243243243241</v>
      </c>
    </row>
    <row r="2259" spans="1:10" x14ac:dyDescent="0.25">
      <c r="A2259" s="2" t="s">
        <v>6662</v>
      </c>
      <c r="B2259" s="2" t="s">
        <v>6586</v>
      </c>
      <c r="C2259" s="2" t="s">
        <v>6663</v>
      </c>
      <c r="D2259" s="2" t="s">
        <v>10055</v>
      </c>
      <c r="E2259" s="15">
        <v>-0.35060000000000002</v>
      </c>
      <c r="F2259" s="15">
        <v>0.55389999999999995</v>
      </c>
      <c r="G2259" s="15">
        <v>0.52669999999999995</v>
      </c>
      <c r="H2259" s="15">
        <v>5.3E-3</v>
      </c>
      <c r="I2259" s="15">
        <v>1.4200000000000001E-2</v>
      </c>
      <c r="J2259" s="15">
        <v>0.47407407407407409</v>
      </c>
    </row>
    <row r="2260" spans="1:10" x14ac:dyDescent="0.25">
      <c r="A2260" s="2" t="s">
        <v>6664</v>
      </c>
      <c r="B2260" s="2" t="s">
        <v>6586</v>
      </c>
      <c r="C2260" s="2" t="s">
        <v>6665</v>
      </c>
      <c r="D2260" s="2" t="s">
        <v>10055</v>
      </c>
      <c r="E2260" s="15">
        <v>3.1399999999999997E-2</v>
      </c>
      <c r="F2260" s="15">
        <v>0.1094</v>
      </c>
      <c r="G2260" s="15">
        <v>0.77410000000000001</v>
      </c>
      <c r="H2260" s="15">
        <v>2.3099999999999999E-2</v>
      </c>
      <c r="I2260" s="15">
        <v>1.43E-2</v>
      </c>
      <c r="J2260" s="15">
        <v>1.809160305343511</v>
      </c>
    </row>
    <row r="2261" spans="1:10" x14ac:dyDescent="0.25">
      <c r="A2261" s="2" t="s">
        <v>6666</v>
      </c>
      <c r="B2261" s="2" t="s">
        <v>6586</v>
      </c>
      <c r="C2261" s="2" t="s">
        <v>6667</v>
      </c>
      <c r="D2261" s="2" t="s">
        <v>10055</v>
      </c>
      <c r="E2261" s="15">
        <v>4.4499999999999998E-2</v>
      </c>
      <c r="F2261" s="15">
        <v>9.8799999999999999E-2</v>
      </c>
      <c r="G2261" s="15">
        <v>0.65259999999999996</v>
      </c>
      <c r="H2261" s="15">
        <v>3.2000000000000001E-2</v>
      </c>
      <c r="I2261" s="15">
        <v>1.6E-2</v>
      </c>
      <c r="J2261" s="15">
        <v>2.261437908496732</v>
      </c>
    </row>
    <row r="2262" spans="1:10" x14ac:dyDescent="0.25">
      <c r="A2262" s="2" t="s">
        <v>6668</v>
      </c>
      <c r="B2262" s="2" t="s">
        <v>6586</v>
      </c>
      <c r="C2262" s="2" t="s">
        <v>6669</v>
      </c>
      <c r="D2262" s="2" t="s">
        <v>10055</v>
      </c>
      <c r="E2262" s="15">
        <v>0.1389</v>
      </c>
      <c r="F2262" s="15">
        <v>9.7000000000000003E-2</v>
      </c>
      <c r="G2262" s="15">
        <v>0.152</v>
      </c>
      <c r="H2262" s="15">
        <v>3.7900000000000003E-2</v>
      </c>
      <c r="I2262" s="15">
        <v>1.41E-2</v>
      </c>
      <c r="J2262" s="15">
        <v>2.16546762589928</v>
      </c>
    </row>
    <row r="2263" spans="1:10" x14ac:dyDescent="0.25">
      <c r="A2263" s="2" t="s">
        <v>6670</v>
      </c>
      <c r="B2263" s="2" t="s">
        <v>6586</v>
      </c>
      <c r="C2263" s="2" t="s">
        <v>6671</v>
      </c>
      <c r="D2263" s="2" t="s">
        <v>10055</v>
      </c>
      <c r="E2263" s="15">
        <v>9.4E-2</v>
      </c>
      <c r="F2263" s="15">
        <v>8.6099999999999996E-2</v>
      </c>
      <c r="G2263" s="15">
        <v>0.27479999999999999</v>
      </c>
      <c r="H2263" s="15">
        <v>3.9600000000000003E-2</v>
      </c>
      <c r="I2263" s="15">
        <v>1.46E-2</v>
      </c>
      <c r="J2263" s="15">
        <v>2.7692307692307701</v>
      </c>
    </row>
    <row r="2264" spans="1:10" x14ac:dyDescent="0.25">
      <c r="A2264" s="2" t="s">
        <v>6672</v>
      </c>
      <c r="B2264" s="2" t="s">
        <v>6586</v>
      </c>
      <c r="C2264" s="2" t="s">
        <v>6673</v>
      </c>
      <c r="D2264" s="2" t="s">
        <v>10055</v>
      </c>
      <c r="E2264" s="15">
        <v>-0.1162</v>
      </c>
      <c r="F2264" s="15">
        <v>0.1111</v>
      </c>
      <c r="G2264" s="15">
        <v>0.2954</v>
      </c>
      <c r="H2264" s="15">
        <v>2.6200000000000001E-2</v>
      </c>
      <c r="I2264" s="15">
        <v>1.2999999999999999E-2</v>
      </c>
      <c r="J2264" s="15">
        <v>1.7037037037037039</v>
      </c>
    </row>
    <row r="2265" spans="1:10" x14ac:dyDescent="0.25">
      <c r="A2265" s="2" t="s">
        <v>6674</v>
      </c>
      <c r="B2265" s="2" t="s">
        <v>6586</v>
      </c>
      <c r="C2265" s="2" t="s">
        <v>6675</v>
      </c>
      <c r="D2265" s="2" t="s">
        <v>10055</v>
      </c>
      <c r="E2265" s="15">
        <v>3.9600000000000003E-2</v>
      </c>
      <c r="F2265" s="15">
        <v>0.1045</v>
      </c>
      <c r="G2265" s="15">
        <v>0.70430000000000004</v>
      </c>
      <c r="H2265" s="15">
        <v>2.3800000000000002E-2</v>
      </c>
      <c r="I2265" s="15">
        <v>1.49E-2</v>
      </c>
      <c r="J2265" s="15">
        <v>1.966216216216216</v>
      </c>
    </row>
    <row r="2266" spans="1:10" x14ac:dyDescent="0.25">
      <c r="A2266" s="2" t="s">
        <v>6676</v>
      </c>
      <c r="B2266" s="2" t="s">
        <v>6586</v>
      </c>
      <c r="C2266" s="2" t="s">
        <v>6677</v>
      </c>
      <c r="D2266" s="2" t="s">
        <v>10055</v>
      </c>
      <c r="E2266" s="15">
        <v>2.0400000000000001E-2</v>
      </c>
      <c r="F2266" s="15">
        <v>0.1484</v>
      </c>
      <c r="G2266" s="15">
        <v>0.89039999999999997</v>
      </c>
      <c r="H2266" s="15">
        <v>1.43E-2</v>
      </c>
      <c r="I2266" s="15">
        <v>1.4E-2</v>
      </c>
      <c r="J2266" s="15">
        <v>0.83333333333333337</v>
      </c>
    </row>
    <row r="2267" spans="1:10" x14ac:dyDescent="0.25">
      <c r="A2267" s="2" t="s">
        <v>6678</v>
      </c>
      <c r="B2267" s="2" t="s">
        <v>6586</v>
      </c>
      <c r="C2267" s="2" t="s">
        <v>6679</v>
      </c>
      <c r="D2267" s="2" t="s">
        <v>10055</v>
      </c>
      <c r="E2267" s="15">
        <v>-6.83E-2</v>
      </c>
      <c r="F2267" s="15">
        <v>0.1986</v>
      </c>
      <c r="G2267" s="15">
        <v>0.73099999999999998</v>
      </c>
      <c r="H2267" s="15">
        <v>7.7000000000000002E-3</v>
      </c>
      <c r="I2267" s="15">
        <v>1.2200000000000001E-2</v>
      </c>
      <c r="J2267" s="15">
        <v>1.5583333333333329</v>
      </c>
    </row>
    <row r="2268" spans="1:10" x14ac:dyDescent="0.25">
      <c r="A2268" s="2" t="s">
        <v>6680</v>
      </c>
      <c r="B2268" s="2" t="s">
        <v>6586</v>
      </c>
      <c r="C2268" s="2" t="s">
        <v>6681</v>
      </c>
      <c r="D2268" s="2" t="s">
        <v>10055</v>
      </c>
      <c r="E2268" s="15">
        <v>9.5999999999999992E-3</v>
      </c>
      <c r="F2268" s="15">
        <v>8.1699999999999995E-2</v>
      </c>
      <c r="G2268" s="15">
        <v>0.90610000000000002</v>
      </c>
      <c r="H2268" s="15">
        <v>4.9500000000000002E-2</v>
      </c>
      <c r="I2268" s="15">
        <v>1.47E-2</v>
      </c>
      <c r="J2268" s="15">
        <v>3.6338028169014081</v>
      </c>
    </row>
    <row r="2269" spans="1:10" x14ac:dyDescent="0.25">
      <c r="A2269" s="2" t="s">
        <v>6682</v>
      </c>
      <c r="B2269" s="2" t="s">
        <v>6586</v>
      </c>
      <c r="C2269" s="2" t="s">
        <v>6683</v>
      </c>
      <c r="D2269" s="2" t="s">
        <v>10055</v>
      </c>
      <c r="E2269" s="15">
        <v>-4.8999999999999998E-3</v>
      </c>
      <c r="F2269" s="15">
        <v>9.1700000000000004E-2</v>
      </c>
      <c r="G2269" s="15">
        <v>0.95740000000000003</v>
      </c>
      <c r="H2269" s="15">
        <v>3.2500000000000001E-2</v>
      </c>
      <c r="I2269" s="15">
        <v>1.2800000000000001E-2</v>
      </c>
      <c r="J2269" s="15">
        <v>2.024193548387097</v>
      </c>
    </row>
    <row r="2270" spans="1:10" x14ac:dyDescent="0.25">
      <c r="A2270" s="2" t="s">
        <v>6684</v>
      </c>
      <c r="B2270" s="2" t="s">
        <v>6586</v>
      </c>
      <c r="C2270" s="2" t="s">
        <v>6685</v>
      </c>
      <c r="D2270" s="2" t="s">
        <v>10055</v>
      </c>
      <c r="E2270" s="15">
        <v>0.23769999999999999</v>
      </c>
      <c r="F2270" s="15">
        <v>0.24679999999999999</v>
      </c>
      <c r="G2270" s="15">
        <v>0.33539999999999998</v>
      </c>
      <c r="H2270" s="15">
        <v>9.5999999999999992E-3</v>
      </c>
      <c r="I2270" s="15">
        <v>1.37E-2</v>
      </c>
      <c r="J2270" s="15">
        <v>0.80141843971631199</v>
      </c>
    </row>
    <row r="2271" spans="1:10" x14ac:dyDescent="0.25">
      <c r="A2271" s="2" t="s">
        <v>6686</v>
      </c>
      <c r="B2271" s="2" t="s">
        <v>6586</v>
      </c>
      <c r="C2271" s="2" t="s">
        <v>6687</v>
      </c>
      <c r="D2271" s="2" t="s">
        <v>10055</v>
      </c>
      <c r="E2271" s="15">
        <v>9.1800000000000007E-2</v>
      </c>
      <c r="F2271" s="15">
        <v>0.11799999999999999</v>
      </c>
      <c r="G2271" s="15">
        <v>0.4365</v>
      </c>
      <c r="H2271" s="15">
        <v>2.1600000000000001E-2</v>
      </c>
      <c r="I2271" s="15">
        <v>1.6199999999999999E-2</v>
      </c>
      <c r="J2271" s="15">
        <v>1.2352941176470591</v>
      </c>
    </row>
    <row r="2272" spans="1:10" x14ac:dyDescent="0.25">
      <c r="A2272" s="2" t="s">
        <v>6688</v>
      </c>
      <c r="B2272" s="2" t="s">
        <v>6586</v>
      </c>
      <c r="C2272" s="2" t="s">
        <v>6689</v>
      </c>
      <c r="D2272" s="2" t="s">
        <v>10055</v>
      </c>
      <c r="E2272" s="15"/>
      <c r="F2272" s="15"/>
      <c r="G2272" s="15"/>
      <c r="H2272" s="15"/>
      <c r="I2272" s="15"/>
      <c r="J2272" s="15">
        <v>0.38732394366197181</v>
      </c>
    </row>
    <row r="2273" spans="1:10" x14ac:dyDescent="0.25">
      <c r="A2273" s="2" t="s">
        <v>6690</v>
      </c>
      <c r="B2273" s="2" t="s">
        <v>6586</v>
      </c>
      <c r="C2273" s="2" t="s">
        <v>6691</v>
      </c>
      <c r="D2273" s="2" t="s">
        <v>10055</v>
      </c>
      <c r="E2273" s="15">
        <v>8.6499999999999994E-2</v>
      </c>
      <c r="F2273" s="15">
        <v>8.4099999999999994E-2</v>
      </c>
      <c r="G2273" s="15">
        <v>0.30409999999999998</v>
      </c>
      <c r="H2273" s="15">
        <v>4.8599999999999997E-2</v>
      </c>
      <c r="I2273" s="15">
        <v>1.5900000000000001E-2</v>
      </c>
      <c r="J2273" s="15">
        <v>2.9794520547945198</v>
      </c>
    </row>
    <row r="2274" spans="1:10" x14ac:dyDescent="0.25">
      <c r="A2274" s="2" t="s">
        <v>6692</v>
      </c>
      <c r="B2274" s="2" t="s">
        <v>6586</v>
      </c>
      <c r="C2274" s="2" t="s">
        <v>6693</v>
      </c>
      <c r="D2274" s="2" t="s">
        <v>10055</v>
      </c>
      <c r="E2274" s="15">
        <v>0.49220000000000003</v>
      </c>
      <c r="F2274" s="15">
        <v>0.73460000000000003</v>
      </c>
      <c r="G2274" s="15">
        <v>0.50280000000000002</v>
      </c>
      <c r="H2274" s="15">
        <v>6.6E-3</v>
      </c>
      <c r="I2274" s="15">
        <v>1.41E-2</v>
      </c>
      <c r="J2274" s="15">
        <v>0.56934306569343063</v>
      </c>
    </row>
    <row r="2275" spans="1:10" x14ac:dyDescent="0.25">
      <c r="A2275" s="2" t="s">
        <v>6694</v>
      </c>
      <c r="B2275" s="2" t="s">
        <v>6586</v>
      </c>
      <c r="C2275" s="2" t="s">
        <v>6695</v>
      </c>
      <c r="D2275" s="2" t="s">
        <v>10055</v>
      </c>
      <c r="E2275" s="15">
        <v>6.4299999999999996E-2</v>
      </c>
      <c r="F2275" s="15">
        <v>7.22E-2</v>
      </c>
      <c r="G2275" s="15">
        <v>0.37319999999999998</v>
      </c>
      <c r="H2275" s="15">
        <v>5.8400000000000001E-2</v>
      </c>
      <c r="I2275" s="15">
        <v>1.54E-2</v>
      </c>
      <c r="J2275" s="15">
        <v>4.2119205298013247</v>
      </c>
    </row>
    <row r="2276" spans="1:10" x14ac:dyDescent="0.25">
      <c r="A2276" s="2" t="s">
        <v>6696</v>
      </c>
      <c r="B2276" s="2" t="s">
        <v>6586</v>
      </c>
      <c r="C2276" s="2" t="s">
        <v>6697</v>
      </c>
      <c r="D2276" s="2" t="s">
        <v>10055</v>
      </c>
      <c r="E2276" s="15">
        <v>7.3000000000000001E-3</v>
      </c>
      <c r="F2276" s="15">
        <v>0.1288</v>
      </c>
      <c r="G2276" s="15">
        <v>0.95509999999999995</v>
      </c>
      <c r="H2276" s="15">
        <v>1.4999999999999999E-2</v>
      </c>
      <c r="I2276" s="15">
        <v>1.49E-2</v>
      </c>
      <c r="J2276" s="15">
        <v>1.157534246575342</v>
      </c>
    </row>
    <row r="2277" spans="1:10" x14ac:dyDescent="0.25">
      <c r="A2277" s="2" t="s">
        <v>6698</v>
      </c>
      <c r="B2277" s="2" t="s">
        <v>6586</v>
      </c>
      <c r="C2277" s="2" t="s">
        <v>6699</v>
      </c>
      <c r="D2277" s="2" t="s">
        <v>10055</v>
      </c>
      <c r="E2277" s="15">
        <v>8.8999999999999999E-3</v>
      </c>
      <c r="F2277" s="15">
        <v>6.88E-2</v>
      </c>
      <c r="G2277" s="15">
        <v>0.89670000000000005</v>
      </c>
      <c r="H2277" s="15">
        <v>6.4399999999999999E-2</v>
      </c>
      <c r="I2277" s="15">
        <v>1.5900000000000001E-2</v>
      </c>
      <c r="J2277" s="15">
        <v>3.8169934640522878</v>
      </c>
    </row>
    <row r="2278" spans="1:10" x14ac:dyDescent="0.25">
      <c r="A2278" s="2" t="s">
        <v>6700</v>
      </c>
      <c r="B2278" s="2" t="s">
        <v>6586</v>
      </c>
      <c r="C2278" s="2" t="s">
        <v>6701</v>
      </c>
      <c r="D2278" s="2" t="s">
        <v>10055</v>
      </c>
      <c r="E2278" s="15">
        <v>0.15959999999999999</v>
      </c>
      <c r="F2278" s="15">
        <v>7.5700000000000003E-2</v>
      </c>
      <c r="G2278" s="15">
        <v>3.5000000000000003E-2</v>
      </c>
      <c r="H2278" s="15">
        <v>4.8099999999999997E-2</v>
      </c>
      <c r="I2278" s="15">
        <v>1.4800000000000001E-2</v>
      </c>
      <c r="J2278" s="15">
        <v>3.772413793103448</v>
      </c>
    </row>
    <row r="2279" spans="1:10" x14ac:dyDescent="0.25">
      <c r="A2279" s="2" t="s">
        <v>6702</v>
      </c>
      <c r="B2279" s="2" t="s">
        <v>6586</v>
      </c>
      <c r="C2279" s="2" t="s">
        <v>6703</v>
      </c>
      <c r="D2279" s="2" t="s">
        <v>10055</v>
      </c>
      <c r="E2279" s="15">
        <v>-4.8999999999999998E-3</v>
      </c>
      <c r="F2279" s="15">
        <v>7.1800000000000003E-2</v>
      </c>
      <c r="G2279" s="15">
        <v>0.94599999999999995</v>
      </c>
      <c r="H2279" s="15">
        <v>5.9499999999999997E-2</v>
      </c>
      <c r="I2279" s="15">
        <v>1.37E-2</v>
      </c>
      <c r="J2279" s="15">
        <v>4.3955223880597014</v>
      </c>
    </row>
    <row r="2280" spans="1:10" x14ac:dyDescent="0.25">
      <c r="A2280" s="2" t="s">
        <v>6704</v>
      </c>
      <c r="B2280" s="2" t="s">
        <v>6586</v>
      </c>
      <c r="C2280" s="2" t="s">
        <v>6705</v>
      </c>
      <c r="D2280" s="2" t="s">
        <v>10055</v>
      </c>
      <c r="E2280" s="15">
        <v>2.86E-2</v>
      </c>
      <c r="F2280" s="15">
        <v>7.2400000000000006E-2</v>
      </c>
      <c r="G2280" s="15">
        <v>0.69289999999999996</v>
      </c>
      <c r="H2280" s="15">
        <v>5.6599999999999998E-2</v>
      </c>
      <c r="I2280" s="15">
        <v>1.4800000000000001E-2</v>
      </c>
      <c r="J2280" s="15">
        <v>4.1013513513513509</v>
      </c>
    </row>
    <row r="2281" spans="1:10" x14ac:dyDescent="0.25">
      <c r="A2281" s="2" t="s">
        <v>6706</v>
      </c>
      <c r="B2281" s="2" t="s">
        <v>6586</v>
      </c>
      <c r="C2281" s="2" t="s">
        <v>6707</v>
      </c>
      <c r="D2281" s="2" t="s">
        <v>10055</v>
      </c>
      <c r="E2281" s="15">
        <v>8.7599999999999997E-2</v>
      </c>
      <c r="F2281" s="15">
        <v>8.9599999999999999E-2</v>
      </c>
      <c r="G2281" s="15">
        <v>0.32790000000000002</v>
      </c>
      <c r="H2281" s="15">
        <v>3.9600000000000003E-2</v>
      </c>
      <c r="I2281" s="15">
        <v>1.4500000000000001E-2</v>
      </c>
      <c r="J2281" s="15">
        <v>2.928057553956835</v>
      </c>
    </row>
    <row r="2282" spans="1:10" x14ac:dyDescent="0.25">
      <c r="A2282" s="2" t="s">
        <v>6708</v>
      </c>
      <c r="B2282" s="2" t="s">
        <v>6586</v>
      </c>
      <c r="C2282" s="2" t="s">
        <v>6709</v>
      </c>
      <c r="D2282" s="2" t="s">
        <v>10055</v>
      </c>
      <c r="E2282" s="15"/>
      <c r="F2282" s="15"/>
      <c r="G2282" s="15"/>
      <c r="H2282" s="15">
        <v>-1E-3</v>
      </c>
      <c r="I2282" s="15">
        <v>1.2500000000000001E-2</v>
      </c>
      <c r="J2282" s="15">
        <v>-0.56896551724137934</v>
      </c>
    </row>
    <row r="2283" spans="1:10" x14ac:dyDescent="0.25">
      <c r="A2283" s="2" t="s">
        <v>6710</v>
      </c>
      <c r="B2283" s="2" t="s">
        <v>6586</v>
      </c>
      <c r="C2283" s="2" t="s">
        <v>6711</v>
      </c>
      <c r="D2283" s="2" t="s">
        <v>10055</v>
      </c>
      <c r="E2283" s="15">
        <v>5.8999999999999999E-3</v>
      </c>
      <c r="F2283" s="15">
        <v>0.1123</v>
      </c>
      <c r="G2283" s="15">
        <v>0.95799999999999996</v>
      </c>
      <c r="H2283" s="15">
        <v>2.7E-2</v>
      </c>
      <c r="I2283" s="15">
        <v>1.44E-2</v>
      </c>
      <c r="J2283" s="15">
        <v>2.3829787234042552</v>
      </c>
    </row>
    <row r="2284" spans="1:10" x14ac:dyDescent="0.25">
      <c r="A2284" s="2" t="s">
        <v>6712</v>
      </c>
      <c r="B2284" s="2" t="s">
        <v>6586</v>
      </c>
      <c r="C2284" s="2" t="s">
        <v>6713</v>
      </c>
      <c r="D2284" s="2" t="s">
        <v>10055</v>
      </c>
      <c r="E2284" s="15">
        <v>0.12770000000000001</v>
      </c>
      <c r="F2284" s="15">
        <v>0.1113</v>
      </c>
      <c r="G2284" s="15">
        <v>0.251</v>
      </c>
      <c r="H2284" s="15">
        <v>2.5899999999999999E-2</v>
      </c>
      <c r="I2284" s="15">
        <v>1.49E-2</v>
      </c>
      <c r="J2284" s="15">
        <v>2.1310344827586212</v>
      </c>
    </row>
    <row r="2285" spans="1:10" x14ac:dyDescent="0.25">
      <c r="A2285" s="2" t="s">
        <v>6714</v>
      </c>
      <c r="B2285" s="2" t="s">
        <v>6586</v>
      </c>
      <c r="C2285" s="2" t="s">
        <v>6715</v>
      </c>
      <c r="D2285" s="2" t="s">
        <v>10055</v>
      </c>
      <c r="E2285" s="15">
        <v>-5.8999999999999997E-2</v>
      </c>
      <c r="F2285" s="15">
        <v>9.0999999999999998E-2</v>
      </c>
      <c r="G2285" s="15">
        <v>0.51680000000000004</v>
      </c>
      <c r="H2285" s="15">
        <v>3.8899999999999997E-2</v>
      </c>
      <c r="I2285" s="15">
        <v>1.49E-2</v>
      </c>
      <c r="J2285" s="15">
        <v>3.4335664335664329</v>
      </c>
    </row>
    <row r="2286" spans="1:10" x14ac:dyDescent="0.25">
      <c r="A2286" s="2" t="s">
        <v>6716</v>
      </c>
      <c r="B2286" s="2" t="s">
        <v>6586</v>
      </c>
      <c r="C2286" s="2" t="s">
        <v>6717</v>
      </c>
      <c r="D2286" s="2" t="s">
        <v>10055</v>
      </c>
      <c r="E2286" s="15">
        <v>6.6799999999999998E-2</v>
      </c>
      <c r="F2286" s="15">
        <v>7.6899999999999996E-2</v>
      </c>
      <c r="G2286" s="15">
        <v>0.38469999999999999</v>
      </c>
      <c r="H2286" s="15">
        <v>5.1700000000000003E-2</v>
      </c>
      <c r="I2286" s="15">
        <v>1.5699999999999999E-2</v>
      </c>
      <c r="J2286" s="15">
        <v>3.6423841059602649</v>
      </c>
    </row>
    <row r="2287" spans="1:10" x14ac:dyDescent="0.25">
      <c r="A2287" s="2" t="s">
        <v>6718</v>
      </c>
      <c r="B2287" s="2" t="s">
        <v>6586</v>
      </c>
      <c r="C2287" s="2" t="s">
        <v>6719</v>
      </c>
      <c r="D2287" s="2" t="s">
        <v>10055</v>
      </c>
      <c r="E2287" s="15">
        <v>-2.3E-3</v>
      </c>
      <c r="F2287" s="15">
        <v>6.2399999999999997E-2</v>
      </c>
      <c r="G2287" s="15">
        <v>0.97009999999999996</v>
      </c>
      <c r="H2287" s="15">
        <v>7.4399999999999994E-2</v>
      </c>
      <c r="I2287" s="15">
        <v>1.4800000000000001E-2</v>
      </c>
      <c r="J2287" s="15">
        <v>5.2214765100671139</v>
      </c>
    </row>
    <row r="2288" spans="1:10" x14ac:dyDescent="0.25">
      <c r="A2288" s="2" t="s">
        <v>6720</v>
      </c>
      <c r="B2288" s="2" t="s">
        <v>6586</v>
      </c>
      <c r="C2288" s="2" t="s">
        <v>6721</v>
      </c>
      <c r="D2288" s="2" t="s">
        <v>10055</v>
      </c>
      <c r="E2288" s="15">
        <v>3.7900000000000003E-2</v>
      </c>
      <c r="F2288" s="15">
        <v>8.6099999999999996E-2</v>
      </c>
      <c r="G2288" s="15">
        <v>0.65949999999999998</v>
      </c>
      <c r="H2288" s="15">
        <v>4.2500000000000003E-2</v>
      </c>
      <c r="I2288" s="15">
        <v>1.3599999999999999E-2</v>
      </c>
      <c r="J2288" s="15">
        <v>3.5648854961832059</v>
      </c>
    </row>
    <row r="2289" spans="1:10" x14ac:dyDescent="0.25">
      <c r="A2289" s="2" t="s">
        <v>6722</v>
      </c>
      <c r="B2289" s="2" t="s">
        <v>6586</v>
      </c>
      <c r="C2289" s="2" t="s">
        <v>6723</v>
      </c>
      <c r="D2289" s="2" t="s">
        <v>10055</v>
      </c>
      <c r="E2289" s="15">
        <v>-7.9000000000000008E-3</v>
      </c>
      <c r="F2289" s="15">
        <v>7.3099999999999998E-2</v>
      </c>
      <c r="G2289" s="15">
        <v>0.91379999999999995</v>
      </c>
      <c r="H2289" s="15">
        <v>6.13E-2</v>
      </c>
      <c r="I2289" s="15">
        <v>1.5599999999999999E-2</v>
      </c>
      <c r="J2289" s="15">
        <v>4.5655172413793101</v>
      </c>
    </row>
    <row r="2290" spans="1:10" x14ac:dyDescent="0.25">
      <c r="A2290" s="2" t="s">
        <v>6724</v>
      </c>
      <c r="B2290" s="2" t="s">
        <v>6586</v>
      </c>
      <c r="C2290" s="2" t="s">
        <v>6725</v>
      </c>
      <c r="D2290" s="2" t="s">
        <v>10055</v>
      </c>
      <c r="E2290" s="15">
        <v>0.17230000000000001</v>
      </c>
      <c r="F2290" s="15">
        <v>0.36309999999999998</v>
      </c>
      <c r="G2290" s="15">
        <v>0.6351</v>
      </c>
      <c r="H2290" s="15">
        <v>6.1999999999999998E-3</v>
      </c>
      <c r="I2290" s="15">
        <v>1.32E-2</v>
      </c>
      <c r="J2290" s="15">
        <v>0.91538461538461546</v>
      </c>
    </row>
    <row r="2291" spans="1:10" x14ac:dyDescent="0.25">
      <c r="A2291" s="2" t="s">
        <v>6726</v>
      </c>
      <c r="B2291" s="2" t="s">
        <v>6586</v>
      </c>
      <c r="C2291" s="2" t="s">
        <v>6727</v>
      </c>
      <c r="D2291" s="2" t="s">
        <v>10055</v>
      </c>
      <c r="E2291" s="15">
        <v>-0.13789999999999999</v>
      </c>
      <c r="F2291" s="15">
        <v>7.2599999999999998E-2</v>
      </c>
      <c r="G2291" s="15">
        <v>5.7500000000000002E-2</v>
      </c>
      <c r="H2291" s="15">
        <v>7.9699999999999993E-2</v>
      </c>
      <c r="I2291" s="15">
        <v>2.5600000000000001E-2</v>
      </c>
      <c r="J2291" s="15">
        <v>3.4184100418410042</v>
      </c>
    </row>
    <row r="2292" spans="1:10" x14ac:dyDescent="0.25">
      <c r="A2292" s="2" t="s">
        <v>6728</v>
      </c>
      <c r="B2292" s="2" t="s">
        <v>6586</v>
      </c>
      <c r="C2292" s="2" t="s">
        <v>6729</v>
      </c>
      <c r="D2292" s="2" t="s">
        <v>10055</v>
      </c>
      <c r="E2292" s="15">
        <v>3.6299999999999999E-2</v>
      </c>
      <c r="F2292" s="15">
        <v>7.5600000000000001E-2</v>
      </c>
      <c r="G2292" s="15">
        <v>0.63080000000000003</v>
      </c>
      <c r="H2292" s="15">
        <v>5.6000000000000001E-2</v>
      </c>
      <c r="I2292" s="15">
        <v>1.49E-2</v>
      </c>
      <c r="J2292" s="15">
        <v>4.102739726027397</v>
      </c>
    </row>
    <row r="2293" spans="1:10" x14ac:dyDescent="0.25">
      <c r="A2293" s="2" t="s">
        <v>6730</v>
      </c>
      <c r="B2293" s="2" t="s">
        <v>6586</v>
      </c>
      <c r="C2293" s="2" t="s">
        <v>6731</v>
      </c>
      <c r="D2293" s="2" t="s">
        <v>10055</v>
      </c>
      <c r="E2293" s="15">
        <v>-0.2167</v>
      </c>
      <c r="F2293" s="15">
        <v>0.1144</v>
      </c>
      <c r="G2293" s="15">
        <v>5.8200000000000002E-2</v>
      </c>
      <c r="H2293" s="15">
        <v>2.8899999999999999E-2</v>
      </c>
      <c r="I2293" s="15">
        <v>1.4999999999999999E-2</v>
      </c>
      <c r="J2293" s="15">
        <v>2</v>
      </c>
    </row>
    <row r="2294" spans="1:10" x14ac:dyDescent="0.25">
      <c r="A2294" s="2" t="s">
        <v>6732</v>
      </c>
      <c r="B2294" s="2" t="s">
        <v>6586</v>
      </c>
      <c r="C2294" s="2" t="s">
        <v>6733</v>
      </c>
      <c r="D2294" s="2" t="s">
        <v>10055</v>
      </c>
      <c r="E2294" s="15">
        <v>-7.46E-2</v>
      </c>
      <c r="F2294" s="15">
        <v>0.107</v>
      </c>
      <c r="G2294" s="15">
        <v>0.48570000000000002</v>
      </c>
      <c r="H2294" s="15">
        <v>3.3000000000000002E-2</v>
      </c>
      <c r="I2294" s="15">
        <v>1.41E-2</v>
      </c>
      <c r="J2294" s="15">
        <v>2.725190839694656</v>
      </c>
    </row>
    <row r="2295" spans="1:10" x14ac:dyDescent="0.25">
      <c r="A2295" s="2" t="s">
        <v>6734</v>
      </c>
      <c r="B2295" s="2" t="s">
        <v>6586</v>
      </c>
      <c r="C2295" s="2" t="s">
        <v>6735</v>
      </c>
      <c r="D2295" s="2" t="s">
        <v>10055</v>
      </c>
      <c r="E2295" s="15">
        <v>-6.5500000000000003E-2</v>
      </c>
      <c r="F2295" s="15">
        <v>7.0699999999999999E-2</v>
      </c>
      <c r="G2295" s="15">
        <v>0.35439999999999999</v>
      </c>
      <c r="H2295" s="15">
        <v>6.4100000000000004E-2</v>
      </c>
      <c r="I2295" s="15">
        <v>1.5800000000000002E-2</v>
      </c>
      <c r="J2295" s="15">
        <v>4.7602739726027403</v>
      </c>
    </row>
    <row r="2296" spans="1:10" x14ac:dyDescent="0.25">
      <c r="A2296" s="2" t="s">
        <v>6736</v>
      </c>
      <c r="B2296" s="2" t="s">
        <v>6586</v>
      </c>
      <c r="C2296" s="2" t="s">
        <v>6737</v>
      </c>
      <c r="D2296" s="2" t="s">
        <v>10055</v>
      </c>
      <c r="E2296" s="15">
        <v>1.1599999999999999E-2</v>
      </c>
      <c r="F2296" s="15">
        <v>0.11650000000000001</v>
      </c>
      <c r="G2296" s="15">
        <v>0.92100000000000004</v>
      </c>
      <c r="H2296" s="15">
        <v>2.6100000000000002E-2</v>
      </c>
      <c r="I2296" s="15">
        <v>1.4800000000000001E-2</v>
      </c>
      <c r="J2296" s="15">
        <v>1.9605263157894739</v>
      </c>
    </row>
    <row r="2297" spans="1:10" x14ac:dyDescent="0.25">
      <c r="A2297" s="2" t="s">
        <v>6738</v>
      </c>
      <c r="B2297" s="2" t="s">
        <v>6586</v>
      </c>
      <c r="C2297" s="2" t="s">
        <v>6739</v>
      </c>
      <c r="D2297" s="2" t="s">
        <v>10055</v>
      </c>
      <c r="E2297" s="15">
        <v>1.2800000000000001E-2</v>
      </c>
      <c r="F2297" s="15">
        <v>0.14330000000000001</v>
      </c>
      <c r="G2297" s="15">
        <v>0.92849999999999999</v>
      </c>
      <c r="H2297" s="15">
        <v>1.43E-2</v>
      </c>
      <c r="I2297" s="15">
        <v>1.38E-2</v>
      </c>
      <c r="J2297" s="15">
        <v>1.613636363636364</v>
      </c>
    </row>
    <row r="2298" spans="1:10" x14ac:dyDescent="0.25">
      <c r="A2298" s="2" t="s">
        <v>6740</v>
      </c>
      <c r="B2298" s="2" t="s">
        <v>6586</v>
      </c>
      <c r="C2298" s="2" t="s">
        <v>6741</v>
      </c>
      <c r="D2298" s="2" t="s">
        <v>10055</v>
      </c>
      <c r="E2298" s="15">
        <v>-0.2054</v>
      </c>
      <c r="F2298" s="15">
        <v>0.13059999999999999</v>
      </c>
      <c r="G2298" s="15">
        <v>0.1158</v>
      </c>
      <c r="H2298" s="15">
        <v>2.86E-2</v>
      </c>
      <c r="I2298" s="15">
        <v>1.61E-2</v>
      </c>
      <c r="J2298" s="15">
        <v>1.5696202531645571</v>
      </c>
    </row>
    <row r="2299" spans="1:10" x14ac:dyDescent="0.25">
      <c r="A2299" s="2" t="s">
        <v>6742</v>
      </c>
      <c r="B2299" s="2" t="s">
        <v>6586</v>
      </c>
      <c r="C2299" s="2" t="s">
        <v>6743</v>
      </c>
      <c r="D2299" s="2" t="s">
        <v>10055</v>
      </c>
      <c r="E2299" s="15">
        <v>-2.8E-3</v>
      </c>
      <c r="F2299" s="15">
        <v>5.6000000000000001E-2</v>
      </c>
      <c r="G2299" s="15">
        <v>0.96030000000000004</v>
      </c>
      <c r="H2299" s="15">
        <v>0.105</v>
      </c>
      <c r="I2299" s="15">
        <v>1.6799999999999999E-2</v>
      </c>
      <c r="J2299" s="15">
        <v>6.6303030303030299</v>
      </c>
    </row>
    <row r="2300" spans="1:10" x14ac:dyDescent="0.25">
      <c r="A2300" s="2" t="s">
        <v>6744</v>
      </c>
      <c r="B2300" s="2" t="s">
        <v>6586</v>
      </c>
      <c r="C2300" s="2" t="s">
        <v>6745</v>
      </c>
      <c r="D2300" s="2" t="s">
        <v>10055</v>
      </c>
      <c r="E2300" s="15">
        <v>0.1144</v>
      </c>
      <c r="F2300" s="15">
        <v>9.7799999999999998E-2</v>
      </c>
      <c r="G2300" s="15">
        <v>0.24229999999999999</v>
      </c>
      <c r="H2300" s="15">
        <v>3.4000000000000002E-2</v>
      </c>
      <c r="I2300" s="15">
        <v>1.3899999999999999E-2</v>
      </c>
      <c r="J2300" s="15">
        <v>2.3642857142857139</v>
      </c>
    </row>
    <row r="2301" spans="1:10" x14ac:dyDescent="0.25">
      <c r="A2301" s="2" t="s">
        <v>6746</v>
      </c>
      <c r="B2301" s="2" t="s">
        <v>6586</v>
      </c>
      <c r="C2301" s="2" t="s">
        <v>6747</v>
      </c>
      <c r="D2301" s="2" t="s">
        <v>10055</v>
      </c>
      <c r="E2301" s="15">
        <v>-1.8599999999999998E-2</v>
      </c>
      <c r="F2301" s="15">
        <v>5.8999999999999997E-2</v>
      </c>
      <c r="G2301" s="15">
        <v>0.75290000000000001</v>
      </c>
      <c r="H2301" s="15">
        <v>9.3399999999999997E-2</v>
      </c>
      <c r="I2301" s="15">
        <v>1.4500000000000001E-2</v>
      </c>
      <c r="J2301" s="15">
        <v>6.7342657342657342</v>
      </c>
    </row>
    <row r="2302" spans="1:10" x14ac:dyDescent="0.25">
      <c r="A2302" s="2" t="s">
        <v>6748</v>
      </c>
      <c r="B2302" s="2" t="s">
        <v>6586</v>
      </c>
      <c r="C2302" s="2" t="s">
        <v>6749</v>
      </c>
      <c r="D2302" s="2" t="s">
        <v>10055</v>
      </c>
      <c r="E2302" s="15">
        <v>0.23680000000000001</v>
      </c>
      <c r="F2302" s="15">
        <v>0.18759999999999999</v>
      </c>
      <c r="G2302" s="15">
        <v>0.20699999999999999</v>
      </c>
      <c r="H2302" s="15">
        <v>1.4800000000000001E-2</v>
      </c>
      <c r="I2302" s="15">
        <v>1.3599999999999999E-2</v>
      </c>
      <c r="J2302" s="15">
        <v>1.1481481481481479</v>
      </c>
    </row>
    <row r="2303" spans="1:10" x14ac:dyDescent="0.25">
      <c r="A2303" s="2" t="s">
        <v>6750</v>
      </c>
      <c r="B2303" s="2" t="s">
        <v>6586</v>
      </c>
      <c r="C2303" s="2" t="s">
        <v>6751</v>
      </c>
      <c r="D2303" s="2" t="s">
        <v>10055</v>
      </c>
      <c r="E2303" s="15">
        <v>5.1400000000000001E-2</v>
      </c>
      <c r="F2303" s="15">
        <v>9.1700000000000004E-2</v>
      </c>
      <c r="G2303" s="15">
        <v>0.57499999999999996</v>
      </c>
      <c r="H2303" s="15">
        <v>3.3599999999999998E-2</v>
      </c>
      <c r="I2303" s="15">
        <v>1.3599999999999999E-2</v>
      </c>
      <c r="J2303" s="15">
        <v>2.5114503816793889</v>
      </c>
    </row>
    <row r="2304" spans="1:10" x14ac:dyDescent="0.25">
      <c r="A2304" s="2" t="s">
        <v>6752</v>
      </c>
      <c r="B2304" s="2" t="s">
        <v>6586</v>
      </c>
      <c r="C2304" s="2" t="s">
        <v>6753</v>
      </c>
      <c r="D2304" s="2" t="s">
        <v>10055</v>
      </c>
      <c r="E2304" s="15">
        <v>3.7199999999999997E-2</v>
      </c>
      <c r="F2304" s="15">
        <v>7.1300000000000002E-2</v>
      </c>
      <c r="G2304" s="15">
        <v>0.6018</v>
      </c>
      <c r="H2304" s="15">
        <v>6.3100000000000003E-2</v>
      </c>
      <c r="I2304" s="15">
        <v>1.44E-2</v>
      </c>
      <c r="J2304" s="15">
        <v>4.697183098591549</v>
      </c>
    </row>
    <row r="2305" spans="1:10" x14ac:dyDescent="0.25">
      <c r="A2305" s="2" t="s">
        <v>6754</v>
      </c>
      <c r="B2305" s="2" t="s">
        <v>6586</v>
      </c>
      <c r="C2305" s="2" t="s">
        <v>6755</v>
      </c>
      <c r="D2305" s="2" t="s">
        <v>10055</v>
      </c>
      <c r="E2305" s="15">
        <v>-0.17430000000000001</v>
      </c>
      <c r="F2305" s="15">
        <v>7.2800000000000004E-2</v>
      </c>
      <c r="G2305" s="15">
        <v>1.67E-2</v>
      </c>
      <c r="H2305" s="15">
        <v>6.4399999999999999E-2</v>
      </c>
      <c r="I2305" s="15">
        <v>1.49E-2</v>
      </c>
      <c r="J2305" s="15">
        <v>4.2097902097902091</v>
      </c>
    </row>
    <row r="2306" spans="1:10" x14ac:dyDescent="0.25">
      <c r="A2306" s="2" t="s">
        <v>6756</v>
      </c>
      <c r="B2306" s="2" t="s">
        <v>6586</v>
      </c>
      <c r="C2306" s="2" t="s">
        <v>6757</v>
      </c>
      <c r="D2306" s="2" t="s">
        <v>10055</v>
      </c>
      <c r="E2306" s="15">
        <v>-4.3999999999999997E-2</v>
      </c>
      <c r="F2306" s="15">
        <v>0.1061</v>
      </c>
      <c r="G2306" s="15">
        <v>0.67859999999999998</v>
      </c>
      <c r="H2306" s="15">
        <v>2.2700000000000001E-2</v>
      </c>
      <c r="I2306" s="15">
        <v>1.21E-2</v>
      </c>
      <c r="J2306" s="15">
        <v>2.0672268907563018</v>
      </c>
    </row>
    <row r="2307" spans="1:10" x14ac:dyDescent="0.25">
      <c r="A2307" s="2" t="s">
        <v>6758</v>
      </c>
      <c r="B2307" s="2" t="s">
        <v>6586</v>
      </c>
      <c r="C2307" s="2" t="s">
        <v>6759</v>
      </c>
      <c r="D2307" s="2" t="s">
        <v>10055</v>
      </c>
      <c r="E2307" s="15">
        <v>-9.1999999999999998E-3</v>
      </c>
      <c r="F2307" s="15">
        <v>6.6000000000000003E-2</v>
      </c>
      <c r="G2307" s="15">
        <v>0.88880000000000003</v>
      </c>
      <c r="H2307" s="15">
        <v>6.1699999999999998E-2</v>
      </c>
      <c r="I2307" s="15">
        <v>1.5699999999999999E-2</v>
      </c>
      <c r="J2307" s="15">
        <v>4.2967741935483872</v>
      </c>
    </row>
    <row r="2308" spans="1:10" x14ac:dyDescent="0.25">
      <c r="A2308" s="2" t="s">
        <v>6760</v>
      </c>
      <c r="B2308" s="2" t="s">
        <v>6586</v>
      </c>
      <c r="C2308" s="2" t="s">
        <v>6761</v>
      </c>
      <c r="D2308" s="2" t="s">
        <v>10055</v>
      </c>
      <c r="E2308" s="15">
        <v>0.29549999999999998</v>
      </c>
      <c r="F2308" s="15">
        <v>0.1313</v>
      </c>
      <c r="G2308" s="15">
        <v>2.4400000000000002E-2</v>
      </c>
      <c r="H2308" s="15">
        <v>2.4299999999999999E-2</v>
      </c>
      <c r="I2308" s="15">
        <v>1.32E-2</v>
      </c>
      <c r="J2308" s="15">
        <v>2.6240601503759402</v>
      </c>
    </row>
    <row r="2309" spans="1:10" x14ac:dyDescent="0.25">
      <c r="A2309" s="2" t="s">
        <v>6762</v>
      </c>
      <c r="B2309" s="2" t="s">
        <v>6586</v>
      </c>
      <c r="C2309" s="2" t="s">
        <v>6763</v>
      </c>
      <c r="D2309" s="2" t="s">
        <v>10055</v>
      </c>
      <c r="E2309" s="15">
        <v>4.9200000000000001E-2</v>
      </c>
      <c r="F2309" s="15">
        <v>8.9800000000000005E-2</v>
      </c>
      <c r="G2309" s="15">
        <v>0.58409999999999995</v>
      </c>
      <c r="H2309" s="15">
        <v>3.5400000000000001E-2</v>
      </c>
      <c r="I2309" s="15">
        <v>1.44E-2</v>
      </c>
      <c r="J2309" s="15">
        <v>3.05</v>
      </c>
    </row>
    <row r="2310" spans="1:10" x14ac:dyDescent="0.25">
      <c r="A2310" s="2" t="s">
        <v>6764</v>
      </c>
      <c r="B2310" s="2" t="s">
        <v>6586</v>
      </c>
      <c r="C2310" s="2" t="s">
        <v>6765</v>
      </c>
      <c r="D2310" s="2" t="s">
        <v>10055</v>
      </c>
      <c r="E2310" s="15">
        <v>0.1434</v>
      </c>
      <c r="F2310" s="15">
        <v>7.6899999999999996E-2</v>
      </c>
      <c r="G2310" s="15">
        <v>6.2399999999999997E-2</v>
      </c>
      <c r="H2310" s="15">
        <v>5.6500000000000002E-2</v>
      </c>
      <c r="I2310" s="15">
        <v>1.43E-2</v>
      </c>
      <c r="J2310" s="15">
        <v>3.0217391304347831</v>
      </c>
    </row>
    <row r="2311" spans="1:10" x14ac:dyDescent="0.25">
      <c r="A2311" s="2" t="s">
        <v>6766</v>
      </c>
      <c r="B2311" s="2" t="s">
        <v>6586</v>
      </c>
      <c r="C2311" s="2" t="s">
        <v>6767</v>
      </c>
      <c r="D2311" s="2" t="s">
        <v>10055</v>
      </c>
      <c r="E2311" s="15">
        <v>0.1241</v>
      </c>
      <c r="F2311" s="15">
        <v>8.4400000000000003E-2</v>
      </c>
      <c r="G2311" s="15">
        <v>0.1414</v>
      </c>
      <c r="H2311" s="15">
        <v>4.8800000000000003E-2</v>
      </c>
      <c r="I2311" s="15">
        <v>1.52E-2</v>
      </c>
      <c r="J2311" s="15">
        <v>3.378378378378379</v>
      </c>
    </row>
    <row r="2312" spans="1:10" x14ac:dyDescent="0.25">
      <c r="A2312" s="2" t="s">
        <v>6768</v>
      </c>
      <c r="B2312" s="2" t="s">
        <v>6586</v>
      </c>
      <c r="C2312" s="2" t="s">
        <v>6769</v>
      </c>
      <c r="D2312" s="2" t="s">
        <v>10055</v>
      </c>
      <c r="E2312" s="15">
        <v>-9.6100000000000005E-2</v>
      </c>
      <c r="F2312" s="15">
        <v>6.5600000000000006E-2</v>
      </c>
      <c r="G2312" s="15">
        <v>0.14269999999999999</v>
      </c>
      <c r="H2312" s="15">
        <v>7.9699999999999993E-2</v>
      </c>
      <c r="I2312" s="15">
        <v>1.5599999999999999E-2</v>
      </c>
      <c r="J2312" s="15">
        <v>5.4178082191780828</v>
      </c>
    </row>
    <row r="2313" spans="1:10" x14ac:dyDescent="0.25">
      <c r="A2313" s="2" t="s">
        <v>6770</v>
      </c>
      <c r="B2313" s="2" t="s">
        <v>6586</v>
      </c>
      <c r="C2313" s="2" t="s">
        <v>6771</v>
      </c>
      <c r="D2313" s="2" t="s">
        <v>10055</v>
      </c>
      <c r="E2313" s="15">
        <v>-0.13250000000000001</v>
      </c>
      <c r="F2313" s="15">
        <v>0.10879999999999999</v>
      </c>
      <c r="G2313" s="15">
        <v>0.2233</v>
      </c>
      <c r="H2313" s="15">
        <v>3.2300000000000002E-2</v>
      </c>
      <c r="I2313" s="15">
        <v>1.44E-2</v>
      </c>
      <c r="J2313" s="15">
        <v>3.194029850746269</v>
      </c>
    </row>
    <row r="2314" spans="1:10" x14ac:dyDescent="0.25">
      <c r="A2314" s="2" t="s">
        <v>6772</v>
      </c>
      <c r="B2314" s="2" t="s">
        <v>6586</v>
      </c>
      <c r="C2314" s="2" t="s">
        <v>6773</v>
      </c>
      <c r="D2314" s="2" t="s">
        <v>10055</v>
      </c>
      <c r="E2314" s="15">
        <v>5.8799999999999998E-2</v>
      </c>
      <c r="F2314" s="15">
        <v>9.7799999999999998E-2</v>
      </c>
      <c r="G2314" s="15">
        <v>0.54759999999999998</v>
      </c>
      <c r="H2314" s="15">
        <v>2.4400000000000002E-2</v>
      </c>
      <c r="I2314" s="15">
        <v>1.4500000000000001E-2</v>
      </c>
      <c r="J2314" s="15">
        <v>1.979166666666667</v>
      </c>
    </row>
    <row r="2315" spans="1:10" x14ac:dyDescent="0.25">
      <c r="A2315" s="2" t="s">
        <v>6774</v>
      </c>
      <c r="B2315" s="2" t="s">
        <v>6586</v>
      </c>
      <c r="C2315" s="2" t="s">
        <v>6775</v>
      </c>
      <c r="D2315" s="2" t="s">
        <v>10055</v>
      </c>
      <c r="E2315" s="15">
        <v>0.31090000000000001</v>
      </c>
      <c r="F2315" s="15">
        <v>0.40849999999999997</v>
      </c>
      <c r="G2315" s="15">
        <v>0.44650000000000001</v>
      </c>
      <c r="H2315" s="15">
        <v>6.4999999999999997E-3</v>
      </c>
      <c r="I2315" s="15">
        <v>1.34E-2</v>
      </c>
      <c r="J2315" s="15">
        <v>1.0373134328358209</v>
      </c>
    </row>
    <row r="2316" spans="1:10" x14ac:dyDescent="0.25">
      <c r="A2316" s="2" t="s">
        <v>6776</v>
      </c>
      <c r="B2316" s="2" t="s">
        <v>6586</v>
      </c>
      <c r="C2316" s="2" t="s">
        <v>6777</v>
      </c>
      <c r="D2316" s="2" t="s">
        <v>10055</v>
      </c>
      <c r="E2316" s="15">
        <v>-9.2899999999999996E-2</v>
      </c>
      <c r="F2316" s="15">
        <v>8.8099999999999998E-2</v>
      </c>
      <c r="G2316" s="15">
        <v>0.2913</v>
      </c>
      <c r="H2316" s="15">
        <v>4.3099999999999999E-2</v>
      </c>
      <c r="I2316" s="15">
        <v>1.3599999999999999E-2</v>
      </c>
      <c r="J2316" s="15">
        <v>3.6691729323308269</v>
      </c>
    </row>
    <row r="2317" spans="1:10" x14ac:dyDescent="0.25">
      <c r="A2317" s="2" t="s">
        <v>6778</v>
      </c>
      <c r="B2317" s="2" t="s">
        <v>6586</v>
      </c>
      <c r="C2317" s="2" t="s">
        <v>6779</v>
      </c>
      <c r="D2317" s="2" t="s">
        <v>10055</v>
      </c>
      <c r="E2317" s="15">
        <v>-6.3E-2</v>
      </c>
      <c r="F2317" s="15">
        <v>8.72E-2</v>
      </c>
      <c r="G2317" s="15">
        <v>0.4703</v>
      </c>
      <c r="H2317" s="15">
        <v>3.9199999999999999E-2</v>
      </c>
      <c r="I2317" s="15">
        <v>1.54E-2</v>
      </c>
      <c r="J2317" s="15">
        <v>2.6917808219178081</v>
      </c>
    </row>
    <row r="2318" spans="1:10" x14ac:dyDescent="0.25">
      <c r="A2318" s="2" t="s">
        <v>6780</v>
      </c>
      <c r="B2318" s="2" t="s">
        <v>6586</v>
      </c>
      <c r="C2318" s="2" t="s">
        <v>6781</v>
      </c>
      <c r="D2318" s="2" t="s">
        <v>10055</v>
      </c>
      <c r="E2318" s="15">
        <v>-0.14929999999999999</v>
      </c>
      <c r="F2318" s="15">
        <v>8.5699999999999998E-2</v>
      </c>
      <c r="G2318" s="15">
        <v>8.1500000000000003E-2</v>
      </c>
      <c r="H2318" s="15">
        <v>4.9399999999999999E-2</v>
      </c>
      <c r="I2318" s="15">
        <v>1.4800000000000001E-2</v>
      </c>
      <c r="J2318" s="15">
        <v>3.0992907801418439</v>
      </c>
    </row>
    <row r="2319" spans="1:10" x14ac:dyDescent="0.25">
      <c r="A2319" s="2" t="s">
        <v>6782</v>
      </c>
      <c r="B2319" s="2" t="s">
        <v>6586</v>
      </c>
      <c r="C2319" s="2" t="s">
        <v>6783</v>
      </c>
      <c r="D2319" s="2" t="s">
        <v>10055</v>
      </c>
      <c r="E2319" s="15">
        <v>7.4200000000000002E-2</v>
      </c>
      <c r="F2319" s="15">
        <v>0.15090000000000001</v>
      </c>
      <c r="G2319" s="15">
        <v>0.62280000000000002</v>
      </c>
      <c r="H2319" s="15">
        <v>1.4999999999999999E-2</v>
      </c>
      <c r="I2319" s="15">
        <v>1.55E-2</v>
      </c>
      <c r="J2319" s="15">
        <v>0.65306122448979587</v>
      </c>
    </row>
    <row r="2320" spans="1:10" x14ac:dyDescent="0.25">
      <c r="A2320" s="2" t="s">
        <v>6784</v>
      </c>
      <c r="B2320" s="2" t="s">
        <v>6586</v>
      </c>
      <c r="C2320" s="2" t="s">
        <v>6785</v>
      </c>
      <c r="D2320" s="2" t="s">
        <v>10055</v>
      </c>
      <c r="E2320" s="15">
        <v>-0.14380000000000001</v>
      </c>
      <c r="F2320" s="15">
        <v>9.1399999999999995E-2</v>
      </c>
      <c r="G2320" s="15">
        <v>0.11559999999999999</v>
      </c>
      <c r="H2320" s="15">
        <v>3.5200000000000002E-2</v>
      </c>
      <c r="I2320" s="15">
        <v>1.5299999999999999E-2</v>
      </c>
      <c r="J2320" s="15">
        <v>2.4740259740259738</v>
      </c>
    </row>
    <row r="2321" spans="1:10" x14ac:dyDescent="0.25">
      <c r="A2321" s="2" t="s">
        <v>6786</v>
      </c>
      <c r="B2321" s="2" t="s">
        <v>6586</v>
      </c>
      <c r="C2321" s="2" t="s">
        <v>6787</v>
      </c>
      <c r="D2321" s="2" t="s">
        <v>10055</v>
      </c>
      <c r="E2321" s="15">
        <v>-1.21E-2</v>
      </c>
      <c r="F2321" s="15">
        <v>8.0500000000000002E-2</v>
      </c>
      <c r="G2321" s="15">
        <v>0.88029999999999997</v>
      </c>
      <c r="H2321" s="15">
        <v>4.1099999999999998E-2</v>
      </c>
      <c r="I2321" s="15">
        <v>1.55E-2</v>
      </c>
      <c r="J2321" s="15">
        <v>2.8963414634146338</v>
      </c>
    </row>
    <row r="2322" spans="1:10" x14ac:dyDescent="0.25">
      <c r="A2322" s="2" t="s">
        <v>6788</v>
      </c>
      <c r="B2322" s="2" t="s">
        <v>6586</v>
      </c>
      <c r="C2322" s="2" t="s">
        <v>6789</v>
      </c>
      <c r="D2322" s="2" t="s">
        <v>10055</v>
      </c>
      <c r="E2322" s="15">
        <v>-3.9800000000000002E-2</v>
      </c>
      <c r="F2322" s="15">
        <v>7.4800000000000005E-2</v>
      </c>
      <c r="G2322" s="15">
        <v>0.59450000000000003</v>
      </c>
      <c r="H2322" s="15">
        <v>4.4499999999999998E-2</v>
      </c>
      <c r="I2322" s="15">
        <v>1.47E-2</v>
      </c>
      <c r="J2322" s="15">
        <v>3.5724137931034479</v>
      </c>
    </row>
    <row r="2323" spans="1:10" x14ac:dyDescent="0.25">
      <c r="A2323" s="2" t="s">
        <v>6790</v>
      </c>
      <c r="B2323" s="2" t="s">
        <v>6586</v>
      </c>
      <c r="C2323" s="2" t="s">
        <v>6791</v>
      </c>
      <c r="D2323" s="2" t="s">
        <v>10055</v>
      </c>
      <c r="E2323" s="15">
        <v>-1.4E-3</v>
      </c>
      <c r="F2323" s="15">
        <v>6.7400000000000002E-2</v>
      </c>
      <c r="G2323" s="15">
        <v>0.98350000000000004</v>
      </c>
      <c r="H2323" s="15">
        <v>6.1199999999999997E-2</v>
      </c>
      <c r="I2323" s="15">
        <v>1.43E-2</v>
      </c>
      <c r="J2323" s="15">
        <v>5.2191780821917808</v>
      </c>
    </row>
    <row r="2324" spans="1:10" x14ac:dyDescent="0.25">
      <c r="A2324" s="2" t="s">
        <v>6792</v>
      </c>
      <c r="B2324" s="2" t="s">
        <v>6586</v>
      </c>
      <c r="C2324" s="2" t="s">
        <v>6793</v>
      </c>
      <c r="D2324" s="2" t="s">
        <v>10055</v>
      </c>
      <c r="E2324" s="15">
        <v>0.1003</v>
      </c>
      <c r="F2324" s="15">
        <v>0.11899999999999999</v>
      </c>
      <c r="G2324" s="15">
        <v>0.3992</v>
      </c>
      <c r="H2324" s="15">
        <v>1.8700000000000001E-2</v>
      </c>
      <c r="I2324" s="15">
        <v>1.5100000000000001E-2</v>
      </c>
      <c r="J2324" s="15">
        <v>1.46</v>
      </c>
    </row>
    <row r="2325" spans="1:10" x14ac:dyDescent="0.25">
      <c r="A2325" s="2" t="s">
        <v>6794</v>
      </c>
      <c r="B2325" s="2" t="s">
        <v>6586</v>
      </c>
      <c r="C2325" s="2" t="s">
        <v>6795</v>
      </c>
      <c r="D2325" s="2" t="s">
        <v>10055</v>
      </c>
      <c r="E2325" s="15">
        <v>7.2900000000000006E-2</v>
      </c>
      <c r="F2325" s="15">
        <v>8.6900000000000005E-2</v>
      </c>
      <c r="G2325" s="15">
        <v>0.4017</v>
      </c>
      <c r="H2325" s="15">
        <v>4.1000000000000002E-2</v>
      </c>
      <c r="I2325" s="15">
        <v>1.5699999999999999E-2</v>
      </c>
      <c r="J2325" s="15">
        <v>2.5909090909090908</v>
      </c>
    </row>
    <row r="2326" spans="1:10" x14ac:dyDescent="0.25">
      <c r="A2326" s="2" t="s">
        <v>6796</v>
      </c>
      <c r="B2326" s="2" t="s">
        <v>6586</v>
      </c>
      <c r="C2326" s="2" t="s">
        <v>6797</v>
      </c>
      <c r="D2326" s="2" t="s">
        <v>10055</v>
      </c>
      <c r="E2326" s="15">
        <v>-5.6099999999999997E-2</v>
      </c>
      <c r="F2326" s="15">
        <v>6.1100000000000002E-2</v>
      </c>
      <c r="G2326" s="15">
        <v>0.35880000000000001</v>
      </c>
      <c r="H2326" s="15">
        <v>8.3799999999999999E-2</v>
      </c>
      <c r="I2326" s="15">
        <v>1.6299999999999999E-2</v>
      </c>
      <c r="J2326" s="15">
        <v>5.549019607843138</v>
      </c>
    </row>
    <row r="2327" spans="1:10" x14ac:dyDescent="0.25">
      <c r="A2327" s="2" t="s">
        <v>6798</v>
      </c>
      <c r="B2327" s="2" t="s">
        <v>6586</v>
      </c>
      <c r="C2327" s="2" t="s">
        <v>6799</v>
      </c>
      <c r="D2327" s="2" t="s">
        <v>10055</v>
      </c>
      <c r="E2327" s="15"/>
      <c r="F2327" s="15"/>
      <c r="G2327" s="15"/>
      <c r="H2327" s="15"/>
      <c r="I2327" s="15"/>
      <c r="J2327" s="15">
        <v>0.95205479452054786</v>
      </c>
    </row>
    <row r="2328" spans="1:10" x14ac:dyDescent="0.25">
      <c r="A2328" s="2" t="s">
        <v>6800</v>
      </c>
      <c r="B2328" s="2" t="s">
        <v>6586</v>
      </c>
      <c r="C2328" s="2" t="s">
        <v>6801</v>
      </c>
      <c r="D2328" s="2" t="s">
        <v>10055</v>
      </c>
      <c r="E2328" s="15">
        <v>-5.0099999999999999E-2</v>
      </c>
      <c r="F2328" s="15">
        <v>7.3400000000000007E-2</v>
      </c>
      <c r="G2328" s="15">
        <v>0.49459999999999998</v>
      </c>
      <c r="H2328" s="15">
        <v>5.1700000000000003E-2</v>
      </c>
      <c r="I2328" s="15">
        <v>1.4999999999999999E-2</v>
      </c>
      <c r="J2328" s="15">
        <v>3.8451612903225811</v>
      </c>
    </row>
    <row r="2329" spans="1:10" x14ac:dyDescent="0.25">
      <c r="A2329" s="2" t="s">
        <v>6802</v>
      </c>
      <c r="B2329" s="2" t="s">
        <v>6586</v>
      </c>
      <c r="C2329" s="2" t="s">
        <v>6803</v>
      </c>
      <c r="D2329" s="2" t="s">
        <v>10055</v>
      </c>
      <c r="E2329" s="15">
        <v>3.1899999999999998E-2</v>
      </c>
      <c r="F2329" s="15">
        <v>9.8100000000000007E-2</v>
      </c>
      <c r="G2329" s="15">
        <v>0.74509999999999998</v>
      </c>
      <c r="H2329" s="15">
        <v>0.03</v>
      </c>
      <c r="I2329" s="15">
        <v>1.47E-2</v>
      </c>
      <c r="J2329" s="15">
        <v>2.457746478873239</v>
      </c>
    </row>
    <row r="2330" spans="1:10" x14ac:dyDescent="0.25">
      <c r="A2330" s="2" t="s">
        <v>6804</v>
      </c>
      <c r="B2330" s="2" t="s">
        <v>6586</v>
      </c>
      <c r="C2330" s="2" t="s">
        <v>6805</v>
      </c>
      <c r="D2330" s="2" t="s">
        <v>10055</v>
      </c>
      <c r="E2330" s="15">
        <v>7.4200000000000002E-2</v>
      </c>
      <c r="F2330" s="15">
        <v>9.0700000000000003E-2</v>
      </c>
      <c r="G2330" s="15">
        <v>0.41339999999999999</v>
      </c>
      <c r="H2330" s="15">
        <v>3.8600000000000002E-2</v>
      </c>
      <c r="I2330" s="15">
        <v>1.4500000000000001E-2</v>
      </c>
      <c r="J2330" s="15">
        <v>3.3404255319148941</v>
      </c>
    </row>
    <row r="2331" spans="1:10" x14ac:dyDescent="0.25">
      <c r="A2331" s="2" t="s">
        <v>6806</v>
      </c>
      <c r="B2331" s="2" t="s">
        <v>6586</v>
      </c>
      <c r="C2331" s="2" t="s">
        <v>6807</v>
      </c>
      <c r="D2331" s="2" t="s">
        <v>10055</v>
      </c>
      <c r="E2331" s="15">
        <v>1.06E-2</v>
      </c>
      <c r="F2331" s="15">
        <v>6.13E-2</v>
      </c>
      <c r="G2331" s="15">
        <v>0.86240000000000006</v>
      </c>
      <c r="H2331" s="15">
        <v>8.4199999999999997E-2</v>
      </c>
      <c r="I2331" s="15">
        <v>1.4500000000000001E-2</v>
      </c>
      <c r="J2331" s="15">
        <v>5.5395683453237412</v>
      </c>
    </row>
    <row r="2332" spans="1:10" x14ac:dyDescent="0.25">
      <c r="A2332" s="2" t="s">
        <v>6808</v>
      </c>
      <c r="B2332" s="2" t="s">
        <v>6586</v>
      </c>
      <c r="C2332" s="2" t="s">
        <v>6809</v>
      </c>
      <c r="D2332" s="2" t="s">
        <v>10055</v>
      </c>
      <c r="E2332" s="15">
        <v>0.1143</v>
      </c>
      <c r="F2332" s="15">
        <v>0.1158</v>
      </c>
      <c r="G2332" s="15">
        <v>0.3236</v>
      </c>
      <c r="H2332" s="15">
        <v>2.5399999999999999E-2</v>
      </c>
      <c r="I2332" s="15">
        <v>1.4500000000000001E-2</v>
      </c>
      <c r="J2332" s="15">
        <v>1.935251798561151</v>
      </c>
    </row>
    <row r="2333" spans="1:10" x14ac:dyDescent="0.25">
      <c r="A2333" s="2" t="s">
        <v>6810</v>
      </c>
      <c r="B2333" s="2" t="s">
        <v>6586</v>
      </c>
      <c r="C2333" s="2" t="s">
        <v>6811</v>
      </c>
      <c r="D2333" s="2" t="s">
        <v>10055</v>
      </c>
      <c r="E2333" s="15">
        <v>0.2505</v>
      </c>
      <c r="F2333" s="15">
        <v>0.1211</v>
      </c>
      <c r="G2333" s="15">
        <v>3.85E-2</v>
      </c>
      <c r="H2333" s="15">
        <v>2.53E-2</v>
      </c>
      <c r="I2333" s="15">
        <v>1.41E-2</v>
      </c>
      <c r="J2333" s="15">
        <v>1.8484848484848491</v>
      </c>
    </row>
    <row r="2334" spans="1:10" x14ac:dyDescent="0.25">
      <c r="A2334" s="2" t="s">
        <v>6812</v>
      </c>
      <c r="B2334" s="2" t="s">
        <v>6586</v>
      </c>
      <c r="C2334" s="2" t="s">
        <v>6813</v>
      </c>
      <c r="D2334" s="2" t="s">
        <v>10055</v>
      </c>
      <c r="E2334" s="15">
        <v>-2.01E-2</v>
      </c>
      <c r="F2334" s="15">
        <v>7.6600000000000001E-2</v>
      </c>
      <c r="G2334" s="15">
        <v>0.79349999999999998</v>
      </c>
      <c r="H2334" s="15">
        <v>5.0599999999999999E-2</v>
      </c>
      <c r="I2334" s="15">
        <v>1.46E-2</v>
      </c>
      <c r="J2334" s="15">
        <v>3.5771812080536911</v>
      </c>
    </row>
    <row r="2335" spans="1:10" x14ac:dyDescent="0.25">
      <c r="A2335" s="2" t="s">
        <v>6814</v>
      </c>
      <c r="B2335" s="2" t="s">
        <v>6586</v>
      </c>
      <c r="C2335" s="2" t="s">
        <v>6815</v>
      </c>
      <c r="D2335" s="2" t="s">
        <v>10055</v>
      </c>
      <c r="E2335" s="15">
        <v>-0.38080000000000003</v>
      </c>
      <c r="F2335" s="15">
        <v>0.2293</v>
      </c>
      <c r="G2335" s="15">
        <v>9.6799999999999997E-2</v>
      </c>
      <c r="H2335" s="15">
        <v>1.49E-2</v>
      </c>
      <c r="I2335" s="15">
        <v>1.34E-2</v>
      </c>
      <c r="J2335" s="15">
        <v>1.653846153846154</v>
      </c>
    </row>
    <row r="2336" spans="1:10" x14ac:dyDescent="0.25">
      <c r="A2336" s="2" t="s">
        <v>6816</v>
      </c>
      <c r="B2336" s="2" t="s">
        <v>6586</v>
      </c>
      <c r="C2336" s="2" t="s">
        <v>6817</v>
      </c>
      <c r="D2336" s="2" t="s">
        <v>10055</v>
      </c>
      <c r="E2336" s="15">
        <v>-0.3009</v>
      </c>
      <c r="F2336" s="15">
        <v>0.15540000000000001</v>
      </c>
      <c r="G2336" s="15">
        <v>5.2699999999999997E-2</v>
      </c>
      <c r="H2336" s="15">
        <v>2.18E-2</v>
      </c>
      <c r="I2336" s="15">
        <v>1.4999999999999999E-2</v>
      </c>
      <c r="J2336" s="15">
        <v>2.3857142857142861</v>
      </c>
    </row>
    <row r="2337" spans="1:10" x14ac:dyDescent="0.25">
      <c r="A2337" s="2" t="s">
        <v>6818</v>
      </c>
      <c r="B2337" s="2" t="s">
        <v>6586</v>
      </c>
      <c r="C2337" s="2" t="s">
        <v>6819</v>
      </c>
      <c r="D2337" s="2" t="s">
        <v>10055</v>
      </c>
      <c r="E2337" s="15">
        <v>-0.1273</v>
      </c>
      <c r="F2337" s="15">
        <v>0.1535</v>
      </c>
      <c r="G2337" s="15">
        <v>0.40689999999999998</v>
      </c>
      <c r="H2337" s="15">
        <v>1.61E-2</v>
      </c>
      <c r="I2337" s="15">
        <v>1.5599999999999999E-2</v>
      </c>
      <c r="J2337" s="15">
        <v>1.1595092024539879</v>
      </c>
    </row>
    <row r="2338" spans="1:10" x14ac:dyDescent="0.25">
      <c r="A2338" s="2" t="s">
        <v>6820</v>
      </c>
      <c r="B2338" s="2" t="s">
        <v>6586</v>
      </c>
      <c r="C2338" s="2" t="s">
        <v>6821</v>
      </c>
      <c r="D2338" s="2" t="s">
        <v>10055</v>
      </c>
      <c r="E2338" s="15">
        <v>1.6199999999999999E-2</v>
      </c>
      <c r="F2338" s="15">
        <v>7.4899999999999994E-2</v>
      </c>
      <c r="G2338" s="15">
        <v>0.82909999999999995</v>
      </c>
      <c r="H2338" s="15">
        <v>5.1400000000000001E-2</v>
      </c>
      <c r="I2338" s="15">
        <v>1.5900000000000001E-2</v>
      </c>
      <c r="J2338" s="15">
        <v>3.5298013245033109</v>
      </c>
    </row>
    <row r="2339" spans="1:10" x14ac:dyDescent="0.25">
      <c r="A2339" s="2" t="s">
        <v>6822</v>
      </c>
      <c r="B2339" s="2" t="s">
        <v>6586</v>
      </c>
      <c r="C2339" s="2" t="s">
        <v>6823</v>
      </c>
      <c r="D2339" s="2" t="s">
        <v>10055</v>
      </c>
      <c r="E2339" s="15">
        <v>1.5299999999999999E-2</v>
      </c>
      <c r="F2339" s="15">
        <v>6.5699999999999995E-2</v>
      </c>
      <c r="G2339" s="15">
        <v>0.81599999999999995</v>
      </c>
      <c r="H2339" s="15">
        <v>8.0799999999999997E-2</v>
      </c>
      <c r="I2339" s="15">
        <v>1.5599999999999999E-2</v>
      </c>
      <c r="J2339" s="15">
        <v>5.7161290322580642</v>
      </c>
    </row>
    <row r="2340" spans="1:10" x14ac:dyDescent="0.25">
      <c r="A2340" s="2" t="s">
        <v>6824</v>
      </c>
      <c r="B2340" s="2" t="s">
        <v>6586</v>
      </c>
      <c r="C2340" s="2" t="s">
        <v>6825</v>
      </c>
      <c r="D2340" s="2" t="s">
        <v>10055</v>
      </c>
      <c r="E2340" s="15">
        <v>4.8899999999999999E-2</v>
      </c>
      <c r="F2340" s="15">
        <v>7.9000000000000001E-2</v>
      </c>
      <c r="G2340" s="15">
        <v>0.53580000000000005</v>
      </c>
      <c r="H2340" s="15">
        <v>3.9199999999999999E-2</v>
      </c>
      <c r="I2340" s="15">
        <v>1.5299999999999999E-2</v>
      </c>
      <c r="J2340" s="15">
        <v>2.6338028169014081</v>
      </c>
    </row>
    <row r="2341" spans="1:10" x14ac:dyDescent="0.25">
      <c r="A2341" s="2" t="s">
        <v>6826</v>
      </c>
      <c r="B2341" s="2" t="s">
        <v>6586</v>
      </c>
      <c r="C2341" s="2" t="s">
        <v>6827</v>
      </c>
      <c r="D2341" s="2" t="s">
        <v>10055</v>
      </c>
      <c r="E2341" s="15">
        <v>8.6999999999999994E-3</v>
      </c>
      <c r="F2341" s="15">
        <v>9.2499999999999999E-2</v>
      </c>
      <c r="G2341" s="15">
        <v>0.92469999999999997</v>
      </c>
      <c r="H2341" s="15">
        <v>4.0099999999999997E-2</v>
      </c>
      <c r="I2341" s="15">
        <v>1.47E-2</v>
      </c>
      <c r="J2341" s="15">
        <v>3.1582733812949639</v>
      </c>
    </row>
    <row r="2342" spans="1:10" x14ac:dyDescent="0.25">
      <c r="A2342" s="2" t="s">
        <v>6828</v>
      </c>
      <c r="B2342" s="2" t="s">
        <v>6586</v>
      </c>
      <c r="C2342" s="2" t="s">
        <v>6829</v>
      </c>
      <c r="D2342" s="2" t="s">
        <v>10055</v>
      </c>
      <c r="E2342" s="15">
        <v>1.89E-2</v>
      </c>
      <c r="F2342" s="15">
        <v>9.8500000000000004E-2</v>
      </c>
      <c r="G2342" s="15">
        <v>0.84760000000000002</v>
      </c>
      <c r="H2342" s="15">
        <v>3.5000000000000003E-2</v>
      </c>
      <c r="I2342" s="15">
        <v>1.6E-2</v>
      </c>
      <c r="J2342" s="15">
        <v>2.2638888888888888</v>
      </c>
    </row>
    <row r="2343" spans="1:10" x14ac:dyDescent="0.25">
      <c r="A2343" s="2" t="s">
        <v>6830</v>
      </c>
      <c r="B2343" s="2" t="s">
        <v>6586</v>
      </c>
      <c r="C2343" s="2" t="s">
        <v>6831</v>
      </c>
      <c r="D2343" s="2" t="s">
        <v>10055</v>
      </c>
      <c r="E2343" s="15">
        <v>-2.1100000000000001E-2</v>
      </c>
      <c r="F2343" s="15">
        <v>8.0399999999999999E-2</v>
      </c>
      <c r="G2343" s="15">
        <v>0.79349999999999998</v>
      </c>
      <c r="H2343" s="15">
        <v>5.5E-2</v>
      </c>
      <c r="I2343" s="15">
        <v>1.43E-2</v>
      </c>
      <c r="J2343" s="15">
        <v>4.042553191489362</v>
      </c>
    </row>
    <row r="2344" spans="1:10" x14ac:dyDescent="0.25">
      <c r="A2344" s="2" t="s">
        <v>6832</v>
      </c>
      <c r="B2344" s="2" t="s">
        <v>6586</v>
      </c>
      <c r="C2344" s="2" t="s">
        <v>6833</v>
      </c>
      <c r="D2344" s="2" t="s">
        <v>10055</v>
      </c>
      <c r="E2344" s="15"/>
      <c r="F2344" s="15"/>
      <c r="G2344" s="15"/>
      <c r="H2344" s="15">
        <v>-6.4999999999999997E-3</v>
      </c>
      <c r="I2344" s="15">
        <v>1.3899999999999999E-2</v>
      </c>
      <c r="J2344" s="15">
        <v>-0.29496402877697853</v>
      </c>
    </row>
    <row r="2345" spans="1:10" x14ac:dyDescent="0.25">
      <c r="A2345" s="2" t="s">
        <v>6834</v>
      </c>
      <c r="B2345" s="2" t="s">
        <v>6586</v>
      </c>
      <c r="C2345" s="2" t="s">
        <v>6835</v>
      </c>
      <c r="D2345" s="2" t="s">
        <v>10055</v>
      </c>
      <c r="E2345" s="15">
        <v>1.5699999999999999E-2</v>
      </c>
      <c r="F2345" s="15">
        <v>6.8400000000000002E-2</v>
      </c>
      <c r="G2345" s="15">
        <v>0.81820000000000004</v>
      </c>
      <c r="H2345" s="15">
        <v>6.3600000000000004E-2</v>
      </c>
      <c r="I2345" s="15">
        <v>1.35E-2</v>
      </c>
      <c r="J2345" s="15">
        <v>4.098591549295775</v>
      </c>
    </row>
    <row r="2346" spans="1:10" x14ac:dyDescent="0.25">
      <c r="A2346" s="2" t="s">
        <v>6836</v>
      </c>
      <c r="B2346" s="2" t="s">
        <v>6586</v>
      </c>
      <c r="C2346" s="2" t="s">
        <v>6837</v>
      </c>
      <c r="D2346" s="2" t="s">
        <v>10055</v>
      </c>
      <c r="E2346" s="15">
        <v>-4.4499999999999998E-2</v>
      </c>
      <c r="F2346" s="15">
        <v>6.7199999999999996E-2</v>
      </c>
      <c r="G2346" s="15">
        <v>0.50749999999999995</v>
      </c>
      <c r="H2346" s="15">
        <v>7.4800000000000005E-2</v>
      </c>
      <c r="I2346" s="15">
        <v>1.43E-2</v>
      </c>
      <c r="J2346" s="15">
        <v>5.4265734265734267</v>
      </c>
    </row>
    <row r="2347" spans="1:10" x14ac:dyDescent="0.25">
      <c r="A2347" s="2" t="s">
        <v>6838</v>
      </c>
      <c r="B2347" s="2" t="s">
        <v>6586</v>
      </c>
      <c r="C2347" s="2" t="s">
        <v>6839</v>
      </c>
      <c r="D2347" s="2" t="s">
        <v>10055</v>
      </c>
      <c r="E2347" s="15"/>
      <c r="F2347" s="15"/>
      <c r="G2347" s="15"/>
      <c r="H2347" s="15"/>
      <c r="I2347" s="15"/>
      <c r="J2347" s="15">
        <v>0.22556390977443611</v>
      </c>
    </row>
    <row r="2348" spans="1:10" x14ac:dyDescent="0.25">
      <c r="A2348" s="2" t="s">
        <v>6840</v>
      </c>
      <c r="B2348" s="2" t="s">
        <v>6586</v>
      </c>
      <c r="C2348" s="2" t="s">
        <v>6841</v>
      </c>
      <c r="D2348" s="2" t="s">
        <v>10055</v>
      </c>
      <c r="E2348" s="15">
        <v>3.2000000000000002E-3</v>
      </c>
      <c r="F2348" s="15">
        <v>9.7299999999999998E-2</v>
      </c>
      <c r="G2348" s="15">
        <v>0.9738</v>
      </c>
      <c r="H2348" s="15">
        <v>3.6299999999999999E-2</v>
      </c>
      <c r="I2348" s="15">
        <v>1.47E-2</v>
      </c>
      <c r="J2348" s="15">
        <v>2.353741496598639</v>
      </c>
    </row>
    <row r="2349" spans="1:10" x14ac:dyDescent="0.25">
      <c r="A2349" s="2" t="s">
        <v>6842</v>
      </c>
      <c r="B2349" s="2" t="s">
        <v>6586</v>
      </c>
      <c r="C2349" s="2" t="s">
        <v>6843</v>
      </c>
      <c r="D2349" s="2" t="s">
        <v>10055</v>
      </c>
      <c r="E2349" s="15">
        <v>0.1191</v>
      </c>
      <c r="F2349" s="15">
        <v>7.4899999999999994E-2</v>
      </c>
      <c r="G2349" s="15">
        <v>0.1119</v>
      </c>
      <c r="H2349" s="15">
        <v>4.7600000000000003E-2</v>
      </c>
      <c r="I2349" s="15">
        <v>1.54E-2</v>
      </c>
      <c r="J2349" s="15">
        <v>3.462585034013606</v>
      </c>
    </row>
    <row r="2350" spans="1:10" x14ac:dyDescent="0.25">
      <c r="A2350" s="2" t="s">
        <v>6844</v>
      </c>
      <c r="B2350" s="2" t="s">
        <v>6586</v>
      </c>
      <c r="C2350" s="2" t="s">
        <v>6845</v>
      </c>
      <c r="D2350" s="2" t="s">
        <v>10055</v>
      </c>
      <c r="E2350" s="15">
        <v>0.1827</v>
      </c>
      <c r="F2350" s="15">
        <v>9.7799999999999998E-2</v>
      </c>
      <c r="G2350" s="15">
        <v>6.1899999999999997E-2</v>
      </c>
      <c r="H2350" s="15">
        <v>4.0399999999999998E-2</v>
      </c>
      <c r="I2350" s="15">
        <v>1.52E-2</v>
      </c>
      <c r="J2350" s="15">
        <v>2.7189542483660132</v>
      </c>
    </row>
    <row r="2351" spans="1:10" x14ac:dyDescent="0.25">
      <c r="A2351" s="2" t="s">
        <v>6846</v>
      </c>
      <c r="B2351" s="2" t="s">
        <v>6586</v>
      </c>
      <c r="C2351" s="2" t="s">
        <v>6847</v>
      </c>
      <c r="D2351" s="2" t="s">
        <v>10055</v>
      </c>
      <c r="E2351" s="15">
        <v>-4.6300000000000001E-2</v>
      </c>
      <c r="F2351" s="15">
        <v>0.1628</v>
      </c>
      <c r="G2351" s="15">
        <v>0.77639999999999998</v>
      </c>
      <c r="H2351" s="15">
        <v>1.21E-2</v>
      </c>
      <c r="I2351" s="15">
        <v>1.38E-2</v>
      </c>
      <c r="J2351" s="15">
        <v>0.1015625</v>
      </c>
    </row>
    <row r="2352" spans="1:10" x14ac:dyDescent="0.25">
      <c r="A2352" s="2" t="s">
        <v>6848</v>
      </c>
      <c r="B2352" s="2" t="s">
        <v>6586</v>
      </c>
      <c r="C2352" s="2" t="s">
        <v>6849</v>
      </c>
      <c r="D2352" s="2" t="s">
        <v>10055</v>
      </c>
      <c r="E2352" s="15">
        <v>3.1699999999999999E-2</v>
      </c>
      <c r="F2352" s="15">
        <v>9.5200000000000007E-2</v>
      </c>
      <c r="G2352" s="15">
        <v>0.73899999999999999</v>
      </c>
      <c r="H2352" s="15">
        <v>3.3099999999999997E-2</v>
      </c>
      <c r="I2352" s="15">
        <v>1.47E-2</v>
      </c>
      <c r="J2352" s="15">
        <v>1.921428571428571</v>
      </c>
    </row>
    <row r="2353" spans="1:10" x14ac:dyDescent="0.25">
      <c r="A2353" s="2" t="s">
        <v>6850</v>
      </c>
      <c r="B2353" s="2" t="s">
        <v>6586</v>
      </c>
      <c r="C2353" s="2" t="s">
        <v>6851</v>
      </c>
      <c r="D2353" s="2" t="s">
        <v>10055</v>
      </c>
      <c r="E2353" s="15">
        <v>7.6499999999999999E-2</v>
      </c>
      <c r="F2353" s="15">
        <v>6.3700000000000007E-2</v>
      </c>
      <c r="G2353" s="15">
        <v>0.23039999999999999</v>
      </c>
      <c r="H2353" s="15">
        <v>6.8599999999999994E-2</v>
      </c>
      <c r="I2353" s="15">
        <v>1.47E-2</v>
      </c>
      <c r="J2353" s="15">
        <v>4.9315068493150678</v>
      </c>
    </row>
    <row r="2354" spans="1:10" x14ac:dyDescent="0.25">
      <c r="A2354" s="2" t="s">
        <v>6852</v>
      </c>
      <c r="B2354" s="2" t="s">
        <v>6586</v>
      </c>
      <c r="C2354" s="2" t="s">
        <v>6853</v>
      </c>
      <c r="D2354" s="2" t="s">
        <v>10055</v>
      </c>
      <c r="E2354" s="15">
        <v>-6.4399999999999999E-2</v>
      </c>
      <c r="F2354" s="15">
        <v>0.09</v>
      </c>
      <c r="G2354" s="15">
        <v>0.47439999999999999</v>
      </c>
      <c r="H2354" s="15">
        <v>3.5499999999999997E-2</v>
      </c>
      <c r="I2354" s="15">
        <v>1.4500000000000001E-2</v>
      </c>
      <c r="J2354" s="15">
        <v>2.6762589928057552</v>
      </c>
    </row>
    <row r="2355" spans="1:10" x14ac:dyDescent="0.25">
      <c r="A2355" s="2" t="s">
        <v>6854</v>
      </c>
      <c r="B2355" s="2" t="s">
        <v>6586</v>
      </c>
      <c r="C2355" s="2" t="s">
        <v>6855</v>
      </c>
      <c r="D2355" s="2" t="s">
        <v>10055</v>
      </c>
      <c r="E2355" s="15">
        <v>2.3099999999999999E-2</v>
      </c>
      <c r="F2355" s="15">
        <v>7.7100000000000002E-2</v>
      </c>
      <c r="G2355" s="15">
        <v>0.7641</v>
      </c>
      <c r="H2355" s="15">
        <v>5.28E-2</v>
      </c>
      <c r="I2355" s="15">
        <v>1.5599999999999999E-2</v>
      </c>
      <c r="J2355" s="15">
        <v>3.6052631578947372</v>
      </c>
    </row>
    <row r="2356" spans="1:10" x14ac:dyDescent="0.25">
      <c r="A2356" s="2" t="s">
        <v>6856</v>
      </c>
      <c r="B2356" s="2" t="s">
        <v>6586</v>
      </c>
      <c r="C2356" s="2" t="s">
        <v>6857</v>
      </c>
      <c r="D2356" s="2" t="s">
        <v>10055</v>
      </c>
      <c r="E2356" s="15">
        <v>-7.51E-2</v>
      </c>
      <c r="F2356" s="15">
        <v>9.2399999999999996E-2</v>
      </c>
      <c r="G2356" s="15">
        <v>0.41670000000000001</v>
      </c>
      <c r="H2356" s="15">
        <v>3.56E-2</v>
      </c>
      <c r="I2356" s="15">
        <v>1.43E-2</v>
      </c>
      <c r="J2356" s="15">
        <v>2.8661971830985919</v>
      </c>
    </row>
    <row r="2357" spans="1:10" x14ac:dyDescent="0.25">
      <c r="A2357" s="2" t="s">
        <v>6858</v>
      </c>
      <c r="B2357" s="2" t="s">
        <v>6586</v>
      </c>
      <c r="C2357" s="2" t="s">
        <v>6859</v>
      </c>
      <c r="D2357" s="2" t="s">
        <v>10055</v>
      </c>
      <c r="E2357" s="15">
        <v>7.9000000000000008E-3</v>
      </c>
      <c r="F2357" s="15">
        <v>8.4599999999999995E-2</v>
      </c>
      <c r="G2357" s="15">
        <v>0.92520000000000002</v>
      </c>
      <c r="H2357" s="15">
        <v>4.8800000000000003E-2</v>
      </c>
      <c r="I2357" s="15">
        <v>1.5900000000000001E-2</v>
      </c>
      <c r="J2357" s="15">
        <v>2.9150326797385619</v>
      </c>
    </row>
    <row r="2358" spans="1:10" x14ac:dyDescent="0.25">
      <c r="A2358" s="2" t="s">
        <v>6860</v>
      </c>
      <c r="B2358" s="2" t="s">
        <v>6586</v>
      </c>
      <c r="C2358" s="2" t="s">
        <v>6861</v>
      </c>
      <c r="D2358" s="2" t="s">
        <v>10055</v>
      </c>
      <c r="E2358" s="15">
        <v>1.4500000000000001E-2</v>
      </c>
      <c r="F2358" s="15">
        <v>6.4199999999999993E-2</v>
      </c>
      <c r="G2358" s="15">
        <v>0.82089999999999996</v>
      </c>
      <c r="H2358" s="15">
        <v>5.5500000000000001E-2</v>
      </c>
      <c r="I2358" s="15">
        <v>1.41E-2</v>
      </c>
      <c r="J2358" s="15">
        <v>4.2</v>
      </c>
    </row>
    <row r="2359" spans="1:10" x14ac:dyDescent="0.25">
      <c r="A2359" s="2" t="s">
        <v>6862</v>
      </c>
      <c r="B2359" s="2" t="s">
        <v>6586</v>
      </c>
      <c r="C2359" s="2" t="s">
        <v>6863</v>
      </c>
      <c r="D2359" s="2" t="s">
        <v>10055</v>
      </c>
      <c r="E2359" s="15">
        <v>-9.7100000000000006E-2</v>
      </c>
      <c r="F2359" s="15">
        <v>7.5300000000000006E-2</v>
      </c>
      <c r="G2359" s="15">
        <v>0.1971</v>
      </c>
      <c r="H2359" s="15">
        <v>6.5699999999999995E-2</v>
      </c>
      <c r="I2359" s="15">
        <v>1.49E-2</v>
      </c>
      <c r="J2359" s="15">
        <v>5.0827586206896553</v>
      </c>
    </row>
    <row r="2360" spans="1:10" x14ac:dyDescent="0.25">
      <c r="A2360" s="2" t="s">
        <v>6864</v>
      </c>
      <c r="B2360" s="2" t="s">
        <v>6586</v>
      </c>
      <c r="C2360" s="2" t="s">
        <v>6865</v>
      </c>
      <c r="D2360" s="2" t="s">
        <v>10055</v>
      </c>
      <c r="E2360" s="15"/>
      <c r="F2360" s="15"/>
      <c r="G2360" s="15"/>
      <c r="H2360" s="15"/>
      <c r="I2360" s="15"/>
      <c r="J2360" s="15">
        <v>-5.1470588235294122E-2</v>
      </c>
    </row>
    <row r="2361" spans="1:10" x14ac:dyDescent="0.25">
      <c r="A2361" s="2" t="s">
        <v>6866</v>
      </c>
      <c r="B2361" s="2" t="s">
        <v>6586</v>
      </c>
      <c r="C2361" s="2" t="s">
        <v>6867</v>
      </c>
      <c r="D2361" s="2" t="s">
        <v>10055</v>
      </c>
      <c r="E2361" s="15">
        <v>-9.5699999999999993E-2</v>
      </c>
      <c r="F2361" s="15">
        <v>8.5099999999999995E-2</v>
      </c>
      <c r="G2361" s="15">
        <v>0.26069999999999999</v>
      </c>
      <c r="H2361" s="15">
        <v>4.1099999999999998E-2</v>
      </c>
      <c r="I2361" s="15">
        <v>1.54E-2</v>
      </c>
      <c r="J2361" s="15">
        <v>2.8940397350993381</v>
      </c>
    </row>
    <row r="2362" spans="1:10" x14ac:dyDescent="0.25">
      <c r="A2362" s="2" t="s">
        <v>6868</v>
      </c>
      <c r="B2362" s="2" t="s">
        <v>6586</v>
      </c>
      <c r="C2362" s="2" t="s">
        <v>6869</v>
      </c>
      <c r="D2362" s="2" t="s">
        <v>10055</v>
      </c>
      <c r="E2362" s="15">
        <v>-0.14330000000000001</v>
      </c>
      <c r="F2362" s="15">
        <v>8.4500000000000006E-2</v>
      </c>
      <c r="G2362" s="15">
        <v>8.9899999999999994E-2</v>
      </c>
      <c r="H2362" s="15">
        <v>4.7899999999999998E-2</v>
      </c>
      <c r="I2362" s="15">
        <v>1.4800000000000001E-2</v>
      </c>
      <c r="J2362" s="15">
        <v>3.2624113475177299</v>
      </c>
    </row>
    <row r="2363" spans="1:10" x14ac:dyDescent="0.25">
      <c r="A2363" s="2" t="s">
        <v>6870</v>
      </c>
      <c r="B2363" s="2" t="s">
        <v>6586</v>
      </c>
      <c r="C2363" s="2" t="s">
        <v>6871</v>
      </c>
      <c r="D2363" s="2" t="s">
        <v>10055</v>
      </c>
      <c r="E2363" s="15">
        <v>-0.1162</v>
      </c>
      <c r="F2363" s="15">
        <v>0.1103</v>
      </c>
      <c r="G2363" s="15">
        <v>0.29239999999999999</v>
      </c>
      <c r="H2363" s="15">
        <v>2.4400000000000002E-2</v>
      </c>
      <c r="I2363" s="15">
        <v>1.5900000000000001E-2</v>
      </c>
      <c r="J2363" s="15">
        <v>1.319018404907975</v>
      </c>
    </row>
    <row r="2364" spans="1:10" x14ac:dyDescent="0.25">
      <c r="A2364" s="2" t="s">
        <v>6872</v>
      </c>
      <c r="B2364" s="2" t="s">
        <v>6586</v>
      </c>
      <c r="C2364" s="2" t="s">
        <v>6873</v>
      </c>
      <c r="D2364" s="2" t="s">
        <v>10055</v>
      </c>
      <c r="E2364" s="15">
        <v>0.46550000000000002</v>
      </c>
      <c r="F2364" s="15">
        <v>0.3639</v>
      </c>
      <c r="G2364" s="15">
        <v>0.2009</v>
      </c>
      <c r="H2364" s="15">
        <v>1.01E-2</v>
      </c>
      <c r="I2364" s="15">
        <v>1.4E-2</v>
      </c>
      <c r="J2364" s="15">
        <v>0.98496240601503771</v>
      </c>
    </row>
    <row r="2365" spans="1:10" x14ac:dyDescent="0.25">
      <c r="A2365" s="2" t="s">
        <v>6874</v>
      </c>
      <c r="B2365" s="2" t="s">
        <v>6586</v>
      </c>
      <c r="C2365" s="2" t="s">
        <v>6875</v>
      </c>
      <c r="D2365" s="2" t="s">
        <v>10055</v>
      </c>
      <c r="E2365" s="15">
        <v>-2.9700000000000001E-2</v>
      </c>
      <c r="F2365" s="15">
        <v>9.4500000000000001E-2</v>
      </c>
      <c r="G2365" s="15">
        <v>0.75319999999999998</v>
      </c>
      <c r="H2365" s="15">
        <v>3.9100000000000003E-2</v>
      </c>
      <c r="I2365" s="15">
        <v>1.35E-2</v>
      </c>
      <c r="J2365" s="15">
        <v>3.9253731343283582</v>
      </c>
    </row>
    <row r="2366" spans="1:10" x14ac:dyDescent="0.25">
      <c r="A2366" s="2" t="s">
        <v>6876</v>
      </c>
      <c r="B2366" s="2" t="s">
        <v>6586</v>
      </c>
      <c r="C2366" s="2" t="s">
        <v>6877</v>
      </c>
      <c r="D2366" s="2" t="s">
        <v>10055</v>
      </c>
      <c r="E2366" s="15">
        <v>6.25E-2</v>
      </c>
      <c r="F2366" s="15">
        <v>7.0699999999999999E-2</v>
      </c>
      <c r="G2366" s="15">
        <v>0.37669999999999998</v>
      </c>
      <c r="H2366" s="15">
        <v>6.0400000000000002E-2</v>
      </c>
      <c r="I2366" s="15">
        <v>1.5900000000000001E-2</v>
      </c>
      <c r="J2366" s="15">
        <v>4.5424836601307197</v>
      </c>
    </row>
    <row r="2367" spans="1:10" x14ac:dyDescent="0.25">
      <c r="A2367" s="2" t="s">
        <v>6878</v>
      </c>
      <c r="B2367" s="2" t="s">
        <v>6586</v>
      </c>
      <c r="C2367" s="2" t="s">
        <v>6879</v>
      </c>
      <c r="D2367" s="2" t="s">
        <v>10055</v>
      </c>
      <c r="E2367" s="15">
        <v>9.5299999999999996E-2</v>
      </c>
      <c r="F2367" s="15">
        <v>9.8699999999999996E-2</v>
      </c>
      <c r="G2367" s="15">
        <v>0.33460000000000001</v>
      </c>
      <c r="H2367" s="15">
        <v>3.1199999999999999E-2</v>
      </c>
      <c r="I2367" s="15">
        <v>1.44E-2</v>
      </c>
      <c r="J2367" s="15">
        <v>1.804347826086957</v>
      </c>
    </row>
    <row r="2368" spans="1:10" x14ac:dyDescent="0.25">
      <c r="A2368" s="2" t="s">
        <v>6880</v>
      </c>
      <c r="B2368" s="2" t="s">
        <v>6586</v>
      </c>
      <c r="C2368" s="2" t="s">
        <v>6881</v>
      </c>
      <c r="D2368" s="2" t="s">
        <v>10055</v>
      </c>
      <c r="E2368" s="15">
        <v>5.5300000000000002E-2</v>
      </c>
      <c r="F2368" s="15">
        <v>8.2400000000000001E-2</v>
      </c>
      <c r="G2368" s="15">
        <v>0.50239999999999996</v>
      </c>
      <c r="H2368" s="15">
        <v>5.4100000000000002E-2</v>
      </c>
      <c r="I2368" s="15">
        <v>1.46E-2</v>
      </c>
      <c r="J2368" s="15">
        <v>3.8367346938775508</v>
      </c>
    </row>
    <row r="2369" spans="1:10" x14ac:dyDescent="0.25">
      <c r="A2369" s="2" t="s">
        <v>6882</v>
      </c>
      <c r="B2369" s="2" t="s">
        <v>6586</v>
      </c>
      <c r="C2369" s="2" t="s">
        <v>6883</v>
      </c>
      <c r="D2369" s="2" t="s">
        <v>10055</v>
      </c>
      <c r="E2369" s="15">
        <v>0.11890000000000001</v>
      </c>
      <c r="F2369" s="15">
        <v>9.8599999999999993E-2</v>
      </c>
      <c r="G2369" s="15">
        <v>0.22789999999999999</v>
      </c>
      <c r="H2369" s="15">
        <v>3.2500000000000001E-2</v>
      </c>
      <c r="I2369" s="15">
        <v>1.37E-2</v>
      </c>
      <c r="J2369" s="15">
        <v>2.7878787878787881</v>
      </c>
    </row>
    <row r="2370" spans="1:10" x14ac:dyDescent="0.25">
      <c r="A2370" s="2" t="s">
        <v>6884</v>
      </c>
      <c r="B2370" s="2" t="s">
        <v>6586</v>
      </c>
      <c r="C2370" s="2" t="s">
        <v>6885</v>
      </c>
      <c r="D2370" s="2" t="s">
        <v>10055</v>
      </c>
      <c r="E2370" s="15">
        <v>-0.10249999999999999</v>
      </c>
      <c r="F2370" s="15">
        <v>7.9600000000000004E-2</v>
      </c>
      <c r="G2370" s="15">
        <v>0.19800000000000001</v>
      </c>
      <c r="H2370" s="15">
        <v>5.3400000000000003E-2</v>
      </c>
      <c r="I2370" s="15">
        <v>1.6E-2</v>
      </c>
      <c r="J2370" s="15">
        <v>3.331125827814569</v>
      </c>
    </row>
    <row r="2371" spans="1:10" x14ac:dyDescent="0.25">
      <c r="A2371" s="2" t="s">
        <v>6886</v>
      </c>
      <c r="B2371" s="2" t="s">
        <v>6586</v>
      </c>
      <c r="C2371" s="2" t="s">
        <v>6887</v>
      </c>
      <c r="D2371" s="2" t="s">
        <v>10055</v>
      </c>
      <c r="E2371" s="15">
        <v>-4.6600000000000003E-2</v>
      </c>
      <c r="F2371" s="15">
        <v>7.3200000000000001E-2</v>
      </c>
      <c r="G2371" s="15">
        <v>0.52429999999999999</v>
      </c>
      <c r="H2371" s="15">
        <v>4.8599999999999997E-2</v>
      </c>
      <c r="I2371" s="15">
        <v>1.4800000000000001E-2</v>
      </c>
      <c r="J2371" s="15">
        <v>3.708333333333333</v>
      </c>
    </row>
    <row r="2372" spans="1:10" x14ac:dyDescent="0.25">
      <c r="A2372" s="2" t="s">
        <v>6888</v>
      </c>
      <c r="B2372" s="2" t="s">
        <v>6586</v>
      </c>
      <c r="C2372" s="2" t="s">
        <v>6889</v>
      </c>
      <c r="D2372" s="2" t="s">
        <v>10055</v>
      </c>
      <c r="E2372" s="15">
        <v>-0.30370000000000003</v>
      </c>
      <c r="F2372" s="15">
        <v>0.20669999999999999</v>
      </c>
      <c r="G2372" s="15">
        <v>0.14180000000000001</v>
      </c>
      <c r="H2372" s="15">
        <v>1.29E-2</v>
      </c>
      <c r="I2372" s="15">
        <v>1.38E-2</v>
      </c>
      <c r="J2372" s="15">
        <v>1.1958041958041961</v>
      </c>
    </row>
    <row r="2373" spans="1:10" x14ac:dyDescent="0.25">
      <c r="A2373" s="2" t="s">
        <v>6890</v>
      </c>
      <c r="B2373" s="2" t="s">
        <v>6586</v>
      </c>
      <c r="C2373" s="2" t="s">
        <v>6891</v>
      </c>
      <c r="D2373" s="2" t="s">
        <v>10055</v>
      </c>
      <c r="E2373" s="15">
        <v>2.2100000000000002E-2</v>
      </c>
      <c r="F2373" s="15">
        <v>7.8E-2</v>
      </c>
      <c r="G2373" s="15">
        <v>0.77680000000000005</v>
      </c>
      <c r="H2373" s="15">
        <v>5.3900000000000003E-2</v>
      </c>
      <c r="I2373" s="15">
        <v>1.54E-2</v>
      </c>
      <c r="J2373" s="15">
        <v>3.62</v>
      </c>
    </row>
    <row r="2374" spans="1:10" x14ac:dyDescent="0.25">
      <c r="A2374" s="2" t="s">
        <v>6892</v>
      </c>
      <c r="B2374" s="2" t="s">
        <v>6586</v>
      </c>
      <c r="C2374" s="2" t="s">
        <v>6893</v>
      </c>
      <c r="D2374" s="2" t="s">
        <v>10055</v>
      </c>
      <c r="E2374" s="15"/>
      <c r="F2374" s="15"/>
      <c r="G2374" s="15"/>
      <c r="H2374" s="15"/>
      <c r="I2374" s="15"/>
      <c r="J2374" s="15">
        <v>0.5174825174825175</v>
      </c>
    </row>
    <row r="2375" spans="1:10" x14ac:dyDescent="0.25">
      <c r="A2375" s="2" t="s">
        <v>6894</v>
      </c>
      <c r="B2375" s="2" t="s">
        <v>6586</v>
      </c>
      <c r="C2375" s="2" t="s">
        <v>6895</v>
      </c>
      <c r="D2375" s="2" t="s">
        <v>10055</v>
      </c>
      <c r="E2375" s="15">
        <v>6.5000000000000002E-2</v>
      </c>
      <c r="F2375" s="15">
        <v>6.9199999999999998E-2</v>
      </c>
      <c r="G2375" s="15">
        <v>0.34770000000000001</v>
      </c>
      <c r="H2375" s="15">
        <v>7.5300000000000006E-2</v>
      </c>
      <c r="I2375" s="15">
        <v>1.5599999999999999E-2</v>
      </c>
      <c r="J2375" s="15">
        <v>4.7820512820512819</v>
      </c>
    </row>
    <row r="2376" spans="1:10" x14ac:dyDescent="0.25">
      <c r="A2376" s="2" t="s">
        <v>6896</v>
      </c>
      <c r="B2376" s="2" t="s">
        <v>6586</v>
      </c>
      <c r="C2376" s="2" t="s">
        <v>6897</v>
      </c>
      <c r="D2376" s="2" t="s">
        <v>10055</v>
      </c>
      <c r="E2376" s="15"/>
      <c r="F2376" s="15"/>
      <c r="G2376" s="15"/>
      <c r="H2376" s="15">
        <v>-4.5999999999999999E-3</v>
      </c>
      <c r="I2376" s="15">
        <v>1.4999999999999999E-2</v>
      </c>
      <c r="J2376" s="15">
        <v>0.31034482758620691</v>
      </c>
    </row>
    <row r="2377" spans="1:10" x14ac:dyDescent="0.25">
      <c r="A2377" s="2" t="s">
        <v>6898</v>
      </c>
      <c r="B2377" s="2" t="s">
        <v>6586</v>
      </c>
      <c r="C2377" s="2" t="s">
        <v>6899</v>
      </c>
      <c r="D2377" s="2" t="s">
        <v>10055</v>
      </c>
      <c r="E2377" s="15">
        <v>0.1208</v>
      </c>
      <c r="F2377" s="15">
        <v>9.3799999999999994E-2</v>
      </c>
      <c r="G2377" s="15">
        <v>0.1976</v>
      </c>
      <c r="H2377" s="15">
        <v>3.49E-2</v>
      </c>
      <c r="I2377" s="15">
        <v>1.6E-2</v>
      </c>
      <c r="J2377" s="15">
        <v>2.1493506493506489</v>
      </c>
    </row>
    <row r="2378" spans="1:10" x14ac:dyDescent="0.25">
      <c r="A2378" s="2" t="s">
        <v>6900</v>
      </c>
      <c r="B2378" s="2" t="s">
        <v>6586</v>
      </c>
      <c r="C2378" s="2" t="s">
        <v>6901</v>
      </c>
      <c r="D2378" s="2" t="s">
        <v>10055</v>
      </c>
      <c r="E2378" s="15"/>
      <c r="F2378" s="15"/>
      <c r="G2378" s="15"/>
      <c r="H2378" s="15">
        <v>-1.24E-2</v>
      </c>
      <c r="I2378" s="15">
        <v>1.35E-2</v>
      </c>
      <c r="J2378" s="15">
        <v>-0.8292682926829269</v>
      </c>
    </row>
    <row r="2379" spans="1:10" x14ac:dyDescent="0.25">
      <c r="A2379" s="2" t="s">
        <v>6902</v>
      </c>
      <c r="B2379" s="2" t="s">
        <v>6586</v>
      </c>
      <c r="C2379" s="2" t="s">
        <v>6903</v>
      </c>
      <c r="D2379" s="2" t="s">
        <v>10055</v>
      </c>
      <c r="E2379" s="15">
        <v>0.1474</v>
      </c>
      <c r="F2379" s="15">
        <v>0.27650000000000002</v>
      </c>
      <c r="G2379" s="15">
        <v>0.59389999999999998</v>
      </c>
      <c r="H2379" s="15">
        <v>7.0000000000000001E-3</v>
      </c>
      <c r="I2379" s="15">
        <v>1.44E-2</v>
      </c>
      <c r="J2379" s="15">
        <v>0.145985401459854</v>
      </c>
    </row>
    <row r="2380" spans="1:10" x14ac:dyDescent="0.25">
      <c r="A2380" s="2" t="s">
        <v>6904</v>
      </c>
      <c r="B2380" s="2" t="s">
        <v>6586</v>
      </c>
      <c r="C2380" s="2" t="s">
        <v>6905</v>
      </c>
      <c r="D2380" s="2" t="s">
        <v>10055</v>
      </c>
      <c r="E2380" s="15">
        <v>-0.18440000000000001</v>
      </c>
      <c r="F2380" s="15">
        <v>0.2437</v>
      </c>
      <c r="G2380" s="15">
        <v>0.44929999999999998</v>
      </c>
      <c r="H2380" s="15">
        <v>8.5000000000000006E-3</v>
      </c>
      <c r="I2380" s="15">
        <v>1.4999999999999999E-2</v>
      </c>
      <c r="J2380" s="15">
        <v>1.1418918918918921</v>
      </c>
    </row>
    <row r="2381" spans="1:10" x14ac:dyDescent="0.25">
      <c r="A2381" s="2" t="s">
        <v>6906</v>
      </c>
      <c r="B2381" s="2" t="s">
        <v>6586</v>
      </c>
      <c r="C2381" s="2" t="s">
        <v>6907</v>
      </c>
      <c r="D2381" s="2" t="s">
        <v>10055</v>
      </c>
      <c r="E2381" s="15">
        <v>4.4499999999999998E-2</v>
      </c>
      <c r="F2381" s="15">
        <v>8.1500000000000003E-2</v>
      </c>
      <c r="G2381" s="15">
        <v>0.58460000000000001</v>
      </c>
      <c r="H2381" s="15">
        <v>5.0299999999999997E-2</v>
      </c>
      <c r="I2381" s="15">
        <v>1.4500000000000001E-2</v>
      </c>
      <c r="J2381" s="15">
        <v>3.6713286713286708</v>
      </c>
    </row>
    <row r="2382" spans="1:10" x14ac:dyDescent="0.25">
      <c r="A2382" s="2" t="s">
        <v>6908</v>
      </c>
      <c r="B2382" s="2" t="s">
        <v>6586</v>
      </c>
      <c r="C2382" s="2" t="s">
        <v>6909</v>
      </c>
      <c r="D2382" s="2" t="s">
        <v>10055</v>
      </c>
      <c r="E2382" s="15">
        <v>-2.7300000000000001E-2</v>
      </c>
      <c r="F2382" s="15">
        <v>0.1024</v>
      </c>
      <c r="G2382" s="15">
        <v>0.78969999999999996</v>
      </c>
      <c r="H2382" s="15">
        <v>2.9399999999999999E-2</v>
      </c>
      <c r="I2382" s="15">
        <v>1.4800000000000001E-2</v>
      </c>
      <c r="J2382" s="15">
        <v>1.9428571428571431</v>
      </c>
    </row>
    <row r="2383" spans="1:10" x14ac:dyDescent="0.25">
      <c r="A2383" s="2" t="s">
        <v>6910</v>
      </c>
      <c r="B2383" s="2" t="s">
        <v>6586</v>
      </c>
      <c r="C2383" s="2" t="s">
        <v>6911</v>
      </c>
      <c r="D2383" s="2" t="s">
        <v>10055</v>
      </c>
      <c r="E2383" s="15">
        <v>-0.13239999999999999</v>
      </c>
      <c r="F2383" s="15">
        <v>0.1114</v>
      </c>
      <c r="G2383" s="15">
        <v>0.23430000000000001</v>
      </c>
      <c r="H2383" s="15">
        <v>2.01E-2</v>
      </c>
      <c r="I2383" s="15">
        <v>1.3599999999999999E-2</v>
      </c>
      <c r="J2383" s="15">
        <v>1.459259259259259</v>
      </c>
    </row>
    <row r="2384" spans="1:10" x14ac:dyDescent="0.25">
      <c r="A2384" s="2" t="s">
        <v>6912</v>
      </c>
      <c r="B2384" s="2" t="s">
        <v>6586</v>
      </c>
      <c r="C2384" s="2" t="s">
        <v>6913</v>
      </c>
      <c r="D2384" s="2" t="s">
        <v>10055</v>
      </c>
      <c r="E2384" s="15"/>
      <c r="F2384" s="15"/>
      <c r="G2384" s="15"/>
      <c r="H2384" s="15">
        <v>-7.1999999999999998E-3</v>
      </c>
      <c r="I2384" s="15">
        <v>1.38E-2</v>
      </c>
      <c r="J2384" s="15">
        <v>-0.48818897637795278</v>
      </c>
    </row>
    <row r="2385" spans="1:10" x14ac:dyDescent="0.25">
      <c r="A2385" s="2" t="s">
        <v>6914</v>
      </c>
      <c r="B2385" s="2" t="s">
        <v>6586</v>
      </c>
      <c r="C2385" s="2" t="s">
        <v>6915</v>
      </c>
      <c r="D2385" s="2" t="s">
        <v>10055</v>
      </c>
      <c r="E2385" s="15">
        <v>-8.0000000000000004E-4</v>
      </c>
      <c r="F2385" s="15">
        <v>0.09</v>
      </c>
      <c r="G2385" s="15">
        <v>0.99319999999999997</v>
      </c>
      <c r="H2385" s="15">
        <v>3.3700000000000001E-2</v>
      </c>
      <c r="I2385" s="15">
        <v>1.3599999999999999E-2</v>
      </c>
      <c r="J2385" s="15">
        <v>2.6212121212121211</v>
      </c>
    </row>
    <row r="2386" spans="1:10" x14ac:dyDescent="0.25">
      <c r="A2386" s="2" t="s">
        <v>6916</v>
      </c>
      <c r="B2386" s="2" t="s">
        <v>6586</v>
      </c>
      <c r="C2386" s="2" t="s">
        <v>6917</v>
      </c>
      <c r="D2386" s="2" t="s">
        <v>10055</v>
      </c>
      <c r="E2386" s="15">
        <v>0.28039999999999998</v>
      </c>
      <c r="F2386" s="15">
        <v>0.19620000000000001</v>
      </c>
      <c r="G2386" s="15">
        <v>0.15290000000000001</v>
      </c>
      <c r="H2386" s="15">
        <v>1.55E-2</v>
      </c>
      <c r="I2386" s="15">
        <v>1.52E-2</v>
      </c>
      <c r="J2386" s="15">
        <v>1.145833333333333</v>
      </c>
    </row>
    <row r="2387" spans="1:10" x14ac:dyDescent="0.25">
      <c r="A2387" s="2" t="s">
        <v>6918</v>
      </c>
      <c r="B2387" s="2" t="s">
        <v>6586</v>
      </c>
      <c r="C2387" s="2" t="s">
        <v>6919</v>
      </c>
      <c r="D2387" s="2" t="s">
        <v>10055</v>
      </c>
      <c r="E2387" s="15">
        <v>0.11269999999999999</v>
      </c>
      <c r="F2387" s="15">
        <v>0.15290000000000001</v>
      </c>
      <c r="G2387" s="15">
        <v>0.4612</v>
      </c>
      <c r="H2387" s="15">
        <v>1.49E-2</v>
      </c>
      <c r="I2387" s="15">
        <v>1.52E-2</v>
      </c>
      <c r="J2387" s="15">
        <v>1.3466666666666669</v>
      </c>
    </row>
    <row r="2388" spans="1:10" x14ac:dyDescent="0.25">
      <c r="A2388" s="2" t="s">
        <v>6920</v>
      </c>
      <c r="B2388" s="2" t="s">
        <v>6586</v>
      </c>
      <c r="C2388" s="2" t="s">
        <v>6921</v>
      </c>
      <c r="D2388" s="2" t="s">
        <v>10055</v>
      </c>
      <c r="E2388" s="15">
        <v>2.29E-2</v>
      </c>
      <c r="F2388" s="15">
        <v>0.1087</v>
      </c>
      <c r="G2388" s="15">
        <v>0.83299999999999996</v>
      </c>
      <c r="H2388" s="15">
        <v>2.6499999999999999E-2</v>
      </c>
      <c r="I2388" s="15">
        <v>1.3899999999999999E-2</v>
      </c>
      <c r="J2388" s="15">
        <v>1.856060606060606</v>
      </c>
    </row>
    <row r="2389" spans="1:10" x14ac:dyDescent="0.25">
      <c r="A2389" s="2" t="s">
        <v>6922</v>
      </c>
      <c r="B2389" s="2" t="s">
        <v>6586</v>
      </c>
      <c r="C2389" s="2" t="s">
        <v>6923</v>
      </c>
      <c r="D2389" s="2" t="s">
        <v>10055</v>
      </c>
      <c r="E2389" s="15">
        <v>2.8799999999999999E-2</v>
      </c>
      <c r="F2389" s="15">
        <v>0.1081</v>
      </c>
      <c r="G2389" s="15">
        <v>0.78990000000000005</v>
      </c>
      <c r="H2389" s="15">
        <v>2.3E-2</v>
      </c>
      <c r="I2389" s="15">
        <v>1.3599999999999999E-2</v>
      </c>
      <c r="J2389" s="15">
        <v>2.215384615384616</v>
      </c>
    </row>
    <row r="2390" spans="1:10" x14ac:dyDescent="0.25">
      <c r="A2390" s="2" t="s">
        <v>6924</v>
      </c>
      <c r="B2390" s="2" t="s">
        <v>6586</v>
      </c>
      <c r="C2390" s="2" t="s">
        <v>6925</v>
      </c>
      <c r="D2390" s="2" t="s">
        <v>10055</v>
      </c>
      <c r="E2390" s="15">
        <v>8.7300000000000003E-2</v>
      </c>
      <c r="F2390" s="15">
        <v>0.1143</v>
      </c>
      <c r="G2390" s="15">
        <v>0.44500000000000001</v>
      </c>
      <c r="H2390" s="15">
        <v>2.6200000000000001E-2</v>
      </c>
      <c r="I2390" s="15">
        <v>1.5800000000000002E-2</v>
      </c>
      <c r="J2390" s="15">
        <v>1.5838926174496639</v>
      </c>
    </row>
    <row r="2391" spans="1:10" x14ac:dyDescent="0.25">
      <c r="A2391" s="2" t="s">
        <v>6926</v>
      </c>
      <c r="B2391" s="2" t="s">
        <v>6586</v>
      </c>
      <c r="C2391" s="2" t="s">
        <v>6927</v>
      </c>
      <c r="D2391" s="2" t="s">
        <v>10055</v>
      </c>
      <c r="E2391" s="15">
        <v>0.3886</v>
      </c>
      <c r="F2391" s="15">
        <v>0.59740000000000004</v>
      </c>
      <c r="G2391" s="15">
        <v>0.51539999999999997</v>
      </c>
      <c r="H2391" s="15">
        <v>5.7000000000000002E-3</v>
      </c>
      <c r="I2391" s="15">
        <v>1.3599999999999999E-2</v>
      </c>
      <c r="J2391" s="15">
        <v>0.4765625</v>
      </c>
    </row>
    <row r="2392" spans="1:10" x14ac:dyDescent="0.25">
      <c r="A2392" s="2" t="s">
        <v>6928</v>
      </c>
      <c r="B2392" s="2" t="s">
        <v>6586</v>
      </c>
      <c r="C2392" s="2" t="s">
        <v>6929</v>
      </c>
      <c r="D2392" s="2" t="s">
        <v>10055</v>
      </c>
      <c r="E2392" s="15">
        <v>4.8599999999999997E-2</v>
      </c>
      <c r="F2392" s="15">
        <v>6.2E-2</v>
      </c>
      <c r="G2392" s="15">
        <v>0.43359999999999999</v>
      </c>
      <c r="H2392" s="15">
        <v>8.8900000000000007E-2</v>
      </c>
      <c r="I2392" s="15">
        <v>1.66E-2</v>
      </c>
      <c r="J2392" s="15">
        <v>5.84375</v>
      </c>
    </row>
    <row r="2393" spans="1:10" x14ac:dyDescent="0.25">
      <c r="A2393" s="2" t="s">
        <v>6930</v>
      </c>
      <c r="B2393" s="2" t="s">
        <v>6586</v>
      </c>
      <c r="C2393" s="2" t="s">
        <v>6931</v>
      </c>
      <c r="D2393" s="2" t="s">
        <v>10055</v>
      </c>
      <c r="E2393" s="15">
        <v>0.15479999999999999</v>
      </c>
      <c r="F2393" s="15">
        <v>0.17749999999999999</v>
      </c>
      <c r="G2393" s="15">
        <v>0.3831</v>
      </c>
      <c r="H2393" s="15">
        <v>1.6400000000000001E-2</v>
      </c>
      <c r="I2393" s="15">
        <v>1.4999999999999999E-2</v>
      </c>
      <c r="J2393" s="15">
        <v>0.95205479452054786</v>
      </c>
    </row>
    <row r="2394" spans="1:10" x14ac:dyDescent="0.25">
      <c r="A2394" s="2" t="s">
        <v>6932</v>
      </c>
      <c r="B2394" s="2" t="s">
        <v>6586</v>
      </c>
      <c r="C2394" s="2" t="s">
        <v>6933</v>
      </c>
      <c r="D2394" s="2" t="s">
        <v>10055</v>
      </c>
      <c r="E2394" s="15">
        <v>1.12E-2</v>
      </c>
      <c r="F2394" s="15">
        <v>6.9900000000000004E-2</v>
      </c>
      <c r="G2394" s="15">
        <v>0.873</v>
      </c>
      <c r="H2394" s="15">
        <v>8.2199999999999995E-2</v>
      </c>
      <c r="I2394" s="15">
        <v>1.67E-2</v>
      </c>
      <c r="J2394" s="15">
        <v>5.7919463087248326</v>
      </c>
    </row>
    <row r="2395" spans="1:10" x14ac:dyDescent="0.25">
      <c r="A2395" s="2" t="s">
        <v>6934</v>
      </c>
      <c r="B2395" s="2" t="s">
        <v>6586</v>
      </c>
      <c r="C2395" s="2" t="s">
        <v>6935</v>
      </c>
      <c r="D2395" s="2" t="s">
        <v>10055</v>
      </c>
      <c r="E2395" s="15">
        <v>0.1532</v>
      </c>
      <c r="F2395" s="15">
        <v>8.5800000000000001E-2</v>
      </c>
      <c r="G2395" s="15">
        <v>7.4099999999999999E-2</v>
      </c>
      <c r="H2395" s="15">
        <v>3.9E-2</v>
      </c>
      <c r="I2395" s="15">
        <v>1.4E-2</v>
      </c>
      <c r="J2395" s="15">
        <v>2.7463768115942031</v>
      </c>
    </row>
    <row r="2396" spans="1:10" x14ac:dyDescent="0.25">
      <c r="A2396" s="2" t="s">
        <v>6936</v>
      </c>
      <c r="B2396" s="2" t="s">
        <v>6586</v>
      </c>
      <c r="C2396" s="2" t="s">
        <v>6937</v>
      </c>
      <c r="D2396" s="2" t="s">
        <v>10055</v>
      </c>
      <c r="E2396" s="15">
        <v>-6.8900000000000003E-2</v>
      </c>
      <c r="F2396" s="15">
        <v>8.6599999999999996E-2</v>
      </c>
      <c r="G2396" s="15">
        <v>0.42670000000000002</v>
      </c>
      <c r="H2396" s="15">
        <v>3.9100000000000003E-2</v>
      </c>
      <c r="I2396" s="15">
        <v>1.37E-2</v>
      </c>
      <c r="J2396" s="15">
        <v>3.354330708661418</v>
      </c>
    </row>
    <row r="2397" spans="1:10" x14ac:dyDescent="0.25">
      <c r="A2397" s="2" t="s">
        <v>6938</v>
      </c>
      <c r="B2397" s="2" t="s">
        <v>6586</v>
      </c>
      <c r="C2397" s="2" t="s">
        <v>6939</v>
      </c>
      <c r="D2397" s="2" t="s">
        <v>10055</v>
      </c>
      <c r="E2397" s="15">
        <v>-5.0200000000000002E-2</v>
      </c>
      <c r="F2397" s="15">
        <v>7.6600000000000001E-2</v>
      </c>
      <c r="G2397" s="15">
        <v>0.51200000000000001</v>
      </c>
      <c r="H2397" s="15">
        <v>5.1700000000000003E-2</v>
      </c>
      <c r="I2397" s="15">
        <v>1.6799999999999999E-2</v>
      </c>
      <c r="J2397" s="15">
        <v>3.375</v>
      </c>
    </row>
    <row r="2398" spans="1:10" x14ac:dyDescent="0.25">
      <c r="A2398" s="2" t="s">
        <v>6940</v>
      </c>
      <c r="B2398" s="2" t="s">
        <v>6586</v>
      </c>
      <c r="C2398" s="2" t="s">
        <v>6941</v>
      </c>
      <c r="D2398" s="2" t="s">
        <v>10055</v>
      </c>
      <c r="E2398" s="15">
        <v>3.0700000000000002E-2</v>
      </c>
      <c r="F2398" s="15">
        <v>0.1003</v>
      </c>
      <c r="G2398" s="15">
        <v>0.75939999999999996</v>
      </c>
      <c r="H2398" s="15">
        <v>2.63E-2</v>
      </c>
      <c r="I2398" s="15">
        <v>1.3299999999999999E-2</v>
      </c>
      <c r="J2398" s="15">
        <v>2.5769230769230771</v>
      </c>
    </row>
    <row r="2399" spans="1:10" x14ac:dyDescent="0.25">
      <c r="A2399" s="2" t="s">
        <v>6942</v>
      </c>
      <c r="B2399" s="2" t="s">
        <v>6586</v>
      </c>
      <c r="C2399" s="2" t="s">
        <v>6943</v>
      </c>
      <c r="D2399" s="2" t="s">
        <v>10055</v>
      </c>
      <c r="E2399" s="15">
        <v>0.13730000000000001</v>
      </c>
      <c r="F2399" s="15">
        <v>0.22220000000000001</v>
      </c>
      <c r="G2399" s="15">
        <v>0.53659999999999997</v>
      </c>
      <c r="H2399" s="15">
        <v>7.6E-3</v>
      </c>
      <c r="I2399" s="15">
        <v>1.3299999999999999E-2</v>
      </c>
      <c r="J2399" s="15">
        <v>1.082706766917293</v>
      </c>
    </row>
    <row r="2400" spans="1:10" x14ac:dyDescent="0.25">
      <c r="A2400" s="2" t="s">
        <v>6944</v>
      </c>
      <c r="B2400" s="2" t="s">
        <v>6586</v>
      </c>
      <c r="C2400" s="2" t="s">
        <v>6945</v>
      </c>
      <c r="D2400" s="2" t="s">
        <v>10055</v>
      </c>
      <c r="E2400" s="15">
        <v>-3.1199999999999999E-2</v>
      </c>
      <c r="F2400" s="15">
        <v>6.9400000000000003E-2</v>
      </c>
      <c r="G2400" s="15">
        <v>0.65329999999999999</v>
      </c>
      <c r="H2400" s="15">
        <v>7.0699999999999999E-2</v>
      </c>
      <c r="I2400" s="15">
        <v>1.6E-2</v>
      </c>
      <c r="J2400" s="15">
        <v>3.9570552147239271</v>
      </c>
    </row>
    <row r="2401" spans="1:10" x14ac:dyDescent="0.25">
      <c r="A2401" s="2" t="s">
        <v>6946</v>
      </c>
      <c r="B2401" s="2" t="s">
        <v>6586</v>
      </c>
      <c r="C2401" s="2" t="s">
        <v>6947</v>
      </c>
      <c r="D2401" s="2" t="s">
        <v>10055</v>
      </c>
      <c r="E2401" s="15">
        <v>0.1041</v>
      </c>
      <c r="F2401" s="15">
        <v>0.1033</v>
      </c>
      <c r="G2401" s="15">
        <v>0.31380000000000002</v>
      </c>
      <c r="H2401" s="15">
        <v>3.27E-2</v>
      </c>
      <c r="I2401" s="15">
        <v>1.5699999999999999E-2</v>
      </c>
      <c r="J2401" s="15">
        <v>2.0389610389610389</v>
      </c>
    </row>
    <row r="2402" spans="1:10" x14ac:dyDescent="0.25">
      <c r="A2402" s="2" t="s">
        <v>6948</v>
      </c>
      <c r="B2402" s="2" t="s">
        <v>6586</v>
      </c>
      <c r="C2402" s="2" t="s">
        <v>6949</v>
      </c>
      <c r="D2402" s="2" t="s">
        <v>10055</v>
      </c>
      <c r="E2402" s="15">
        <v>-0.1076</v>
      </c>
      <c r="F2402" s="15">
        <v>0.1026</v>
      </c>
      <c r="G2402" s="15">
        <v>0.29459999999999997</v>
      </c>
      <c r="H2402" s="15">
        <v>2.93E-2</v>
      </c>
      <c r="I2402" s="15">
        <v>1.4E-2</v>
      </c>
      <c r="J2402" s="15">
        <v>1.9925925925925929</v>
      </c>
    </row>
    <row r="2403" spans="1:10" x14ac:dyDescent="0.25">
      <c r="A2403" s="2" t="s">
        <v>6950</v>
      </c>
      <c r="B2403" s="2" t="s">
        <v>6586</v>
      </c>
      <c r="C2403" s="2" t="s">
        <v>6951</v>
      </c>
      <c r="D2403" s="2" t="s">
        <v>10055</v>
      </c>
      <c r="E2403" s="15">
        <v>1.1299999999999999E-2</v>
      </c>
      <c r="F2403" s="15">
        <v>8.2799999999999999E-2</v>
      </c>
      <c r="G2403" s="15">
        <v>0.89159999999999995</v>
      </c>
      <c r="H2403" s="15">
        <v>4.8300000000000003E-2</v>
      </c>
      <c r="I2403" s="15">
        <v>1.78E-2</v>
      </c>
      <c r="J2403" s="15">
        <v>2.9593023255813948</v>
      </c>
    </row>
    <row r="2404" spans="1:10" x14ac:dyDescent="0.25">
      <c r="A2404" s="2" t="s">
        <v>6952</v>
      </c>
      <c r="B2404" s="2" t="s">
        <v>6586</v>
      </c>
      <c r="C2404" s="2" t="s">
        <v>6953</v>
      </c>
      <c r="D2404" s="2" t="s">
        <v>10055</v>
      </c>
      <c r="E2404" s="15">
        <v>5.4000000000000003E-3</v>
      </c>
      <c r="F2404" s="15">
        <v>7.5200000000000003E-2</v>
      </c>
      <c r="G2404" s="15">
        <v>0.94220000000000004</v>
      </c>
      <c r="H2404" s="15">
        <v>5.6599999999999998E-2</v>
      </c>
      <c r="I2404" s="15">
        <v>1.4800000000000001E-2</v>
      </c>
      <c r="J2404" s="15">
        <v>4.1103448275862071</v>
      </c>
    </row>
    <row r="2405" spans="1:10" x14ac:dyDescent="0.25">
      <c r="A2405" s="2" t="s">
        <v>6954</v>
      </c>
      <c r="B2405" s="2" t="s">
        <v>6586</v>
      </c>
      <c r="C2405" s="2" t="s">
        <v>6955</v>
      </c>
      <c r="D2405" s="2" t="s">
        <v>10055</v>
      </c>
      <c r="E2405" s="15">
        <v>-2.3599999999999999E-2</v>
      </c>
      <c r="F2405" s="15">
        <v>0.11260000000000001</v>
      </c>
      <c r="G2405" s="15">
        <v>0.83420000000000005</v>
      </c>
      <c r="H2405" s="15">
        <v>3.1E-2</v>
      </c>
      <c r="I2405" s="15">
        <v>1.5900000000000001E-2</v>
      </c>
      <c r="J2405" s="15">
        <v>2.064516129032258</v>
      </c>
    </row>
    <row r="2406" spans="1:10" x14ac:dyDescent="0.25">
      <c r="A2406" s="2" t="s">
        <v>6956</v>
      </c>
      <c r="B2406" s="2" t="s">
        <v>6586</v>
      </c>
      <c r="C2406" s="2" t="s">
        <v>6957</v>
      </c>
      <c r="D2406" s="2" t="s">
        <v>10055</v>
      </c>
      <c r="E2406" s="15">
        <v>-1.6799999999999999E-2</v>
      </c>
      <c r="F2406" s="15">
        <v>6.4199999999999993E-2</v>
      </c>
      <c r="G2406" s="15">
        <v>0.79410000000000003</v>
      </c>
      <c r="H2406" s="15">
        <v>6.88E-2</v>
      </c>
      <c r="I2406" s="15">
        <v>1.6899999999999998E-2</v>
      </c>
      <c r="J2406" s="15">
        <v>4.1071428571428577</v>
      </c>
    </row>
    <row r="2407" spans="1:10" x14ac:dyDescent="0.25">
      <c r="A2407" s="2" t="s">
        <v>6958</v>
      </c>
      <c r="B2407" s="2" t="s">
        <v>6586</v>
      </c>
      <c r="C2407" s="2" t="s">
        <v>6959</v>
      </c>
      <c r="D2407" s="2" t="s">
        <v>10055</v>
      </c>
      <c r="E2407" s="15">
        <v>-1.21E-2</v>
      </c>
      <c r="F2407" s="15">
        <v>8.9099999999999999E-2</v>
      </c>
      <c r="G2407" s="15">
        <v>0.8921</v>
      </c>
      <c r="H2407" s="15">
        <v>3.9800000000000002E-2</v>
      </c>
      <c r="I2407" s="15">
        <v>1.44E-2</v>
      </c>
      <c r="J2407" s="15">
        <v>3.0279720279720279</v>
      </c>
    </row>
    <row r="2408" spans="1:10" x14ac:dyDescent="0.25">
      <c r="A2408" s="2" t="s">
        <v>6960</v>
      </c>
      <c r="B2408" s="2" t="s">
        <v>6586</v>
      </c>
      <c r="C2408" s="2" t="s">
        <v>6961</v>
      </c>
      <c r="D2408" s="2" t="s">
        <v>10055</v>
      </c>
      <c r="E2408" s="15">
        <v>9.1999999999999998E-2</v>
      </c>
      <c r="F2408" s="15">
        <v>0.1207</v>
      </c>
      <c r="G2408" s="15">
        <v>0.4461</v>
      </c>
      <c r="H2408" s="15">
        <v>2.3300000000000001E-2</v>
      </c>
      <c r="I2408" s="15">
        <v>1.4E-2</v>
      </c>
      <c r="J2408" s="15">
        <v>1.824817518248175</v>
      </c>
    </row>
    <row r="2409" spans="1:10" x14ac:dyDescent="0.25">
      <c r="A2409" s="2" t="s">
        <v>6962</v>
      </c>
      <c r="B2409" s="2" t="s">
        <v>6586</v>
      </c>
      <c r="C2409" s="2" t="s">
        <v>6963</v>
      </c>
      <c r="D2409" s="2" t="s">
        <v>10055</v>
      </c>
      <c r="E2409" s="15">
        <v>0.1003</v>
      </c>
      <c r="F2409" s="15">
        <v>7.8E-2</v>
      </c>
      <c r="G2409" s="15">
        <v>0.1983</v>
      </c>
      <c r="H2409" s="15">
        <v>4.3999999999999997E-2</v>
      </c>
      <c r="I2409" s="15">
        <v>1.6400000000000001E-2</v>
      </c>
      <c r="J2409" s="15">
        <v>2.8841463414634139</v>
      </c>
    </row>
    <row r="2410" spans="1:10" x14ac:dyDescent="0.25">
      <c r="A2410" s="2" t="s">
        <v>6964</v>
      </c>
      <c r="B2410" s="2" t="s">
        <v>6586</v>
      </c>
      <c r="C2410" s="2" t="s">
        <v>6965</v>
      </c>
      <c r="D2410" s="2" t="s">
        <v>10055</v>
      </c>
      <c r="E2410" s="15">
        <v>-7.5800000000000006E-2</v>
      </c>
      <c r="F2410" s="15">
        <v>8.1699999999999995E-2</v>
      </c>
      <c r="G2410" s="15">
        <v>0.35339999999999999</v>
      </c>
      <c r="H2410" s="15">
        <v>5.74E-2</v>
      </c>
      <c r="I2410" s="15">
        <v>1.3899999999999999E-2</v>
      </c>
      <c r="J2410" s="15">
        <v>4.1136363636363633</v>
      </c>
    </row>
    <row r="2411" spans="1:10" x14ac:dyDescent="0.25">
      <c r="A2411" s="2" t="s">
        <v>6966</v>
      </c>
      <c r="B2411" s="2" t="s">
        <v>6586</v>
      </c>
      <c r="C2411" s="2" t="s">
        <v>6967</v>
      </c>
      <c r="D2411" s="2" t="s">
        <v>10055</v>
      </c>
      <c r="E2411" s="15">
        <v>4.7999999999999996E-3</v>
      </c>
      <c r="F2411" s="15">
        <v>6.6299999999999998E-2</v>
      </c>
      <c r="G2411" s="15">
        <v>0.94179999999999997</v>
      </c>
      <c r="H2411" s="15">
        <v>7.7700000000000005E-2</v>
      </c>
      <c r="I2411" s="15">
        <v>1.6E-2</v>
      </c>
      <c r="J2411" s="15">
        <v>5.0314465408805029</v>
      </c>
    </row>
    <row r="2412" spans="1:10" x14ac:dyDescent="0.25">
      <c r="A2412" s="2" t="s">
        <v>6968</v>
      </c>
      <c r="B2412" s="2" t="s">
        <v>6586</v>
      </c>
      <c r="C2412" s="2" t="s">
        <v>6969</v>
      </c>
      <c r="D2412" s="2" t="s">
        <v>10055</v>
      </c>
      <c r="E2412" s="15">
        <v>7.22E-2</v>
      </c>
      <c r="F2412" s="15">
        <v>0.1459</v>
      </c>
      <c r="G2412" s="15">
        <v>0.621</v>
      </c>
      <c r="H2412" s="15">
        <v>1.52E-2</v>
      </c>
      <c r="I2412" s="15">
        <v>1.2500000000000001E-2</v>
      </c>
      <c r="J2412" s="15">
        <v>1.290322580645161</v>
      </c>
    </row>
    <row r="2413" spans="1:10" x14ac:dyDescent="0.25">
      <c r="A2413" s="2" t="s">
        <v>6970</v>
      </c>
      <c r="B2413" s="2" t="s">
        <v>6586</v>
      </c>
      <c r="C2413" s="2" t="s">
        <v>6971</v>
      </c>
      <c r="D2413" s="2" t="s">
        <v>10055</v>
      </c>
      <c r="E2413" s="15">
        <v>-2.7E-2</v>
      </c>
      <c r="F2413" s="15">
        <v>6.9599999999999995E-2</v>
      </c>
      <c r="G2413" s="15">
        <v>0.69810000000000005</v>
      </c>
      <c r="H2413" s="15">
        <v>6.9699999999999998E-2</v>
      </c>
      <c r="I2413" s="15">
        <v>1.44E-2</v>
      </c>
      <c r="J2413" s="15">
        <v>5.1970802919708028</v>
      </c>
    </row>
    <row r="2414" spans="1:10" x14ac:dyDescent="0.25">
      <c r="A2414" s="2" t="s">
        <v>6972</v>
      </c>
      <c r="B2414" s="2" t="s">
        <v>6586</v>
      </c>
      <c r="C2414" s="2" t="s">
        <v>6973</v>
      </c>
      <c r="D2414" s="2" t="s">
        <v>10055</v>
      </c>
      <c r="E2414" s="15">
        <v>-0.15010000000000001</v>
      </c>
      <c r="F2414" s="15">
        <v>0.28339999999999999</v>
      </c>
      <c r="G2414" s="15">
        <v>0.59640000000000004</v>
      </c>
      <c r="H2414" s="15">
        <v>7.1999999999999998E-3</v>
      </c>
      <c r="I2414" s="15">
        <v>1.4800000000000001E-2</v>
      </c>
      <c r="J2414" s="15">
        <v>0.59589041095890405</v>
      </c>
    </row>
    <row r="2415" spans="1:10" x14ac:dyDescent="0.25">
      <c r="A2415" s="2" t="s">
        <v>6974</v>
      </c>
      <c r="B2415" s="2" t="s">
        <v>6586</v>
      </c>
      <c r="C2415" s="2" t="s">
        <v>6975</v>
      </c>
      <c r="D2415" s="2" t="s">
        <v>10055</v>
      </c>
      <c r="E2415" s="15">
        <v>-9.8078000000000005E-5</v>
      </c>
      <c r="F2415" s="15">
        <v>6.08E-2</v>
      </c>
      <c r="G2415" s="15">
        <v>0.99870000000000003</v>
      </c>
      <c r="H2415" s="15">
        <v>0.1091</v>
      </c>
      <c r="I2415" s="15">
        <v>1.7000000000000001E-2</v>
      </c>
      <c r="J2415" s="15">
        <v>6.7317073170731696</v>
      </c>
    </row>
    <row r="2416" spans="1:10" x14ac:dyDescent="0.25">
      <c r="A2416" s="2" t="s">
        <v>6976</v>
      </c>
      <c r="B2416" s="2" t="s">
        <v>6586</v>
      </c>
      <c r="C2416" s="2" t="s">
        <v>6977</v>
      </c>
      <c r="D2416" s="2" t="s">
        <v>10055</v>
      </c>
      <c r="E2416" s="15">
        <v>-4.1500000000000002E-2</v>
      </c>
      <c r="F2416" s="15">
        <v>5.7599999999999998E-2</v>
      </c>
      <c r="G2416" s="15">
        <v>0.47120000000000001</v>
      </c>
      <c r="H2416" s="15">
        <v>0.1053</v>
      </c>
      <c r="I2416" s="15">
        <v>2.1399999999999999E-2</v>
      </c>
      <c r="J2416" s="15">
        <v>5.058252427184466</v>
      </c>
    </row>
    <row r="2417" spans="1:10" x14ac:dyDescent="0.25">
      <c r="A2417" s="2" t="s">
        <v>6978</v>
      </c>
      <c r="B2417" s="2" t="s">
        <v>6586</v>
      </c>
      <c r="C2417" s="2" t="s">
        <v>6979</v>
      </c>
      <c r="D2417" s="2" t="s">
        <v>10055</v>
      </c>
      <c r="E2417" s="15">
        <v>0.13969999999999999</v>
      </c>
      <c r="F2417" s="15">
        <v>0.13769999999999999</v>
      </c>
      <c r="G2417" s="15">
        <v>0.31030000000000002</v>
      </c>
      <c r="H2417" s="15">
        <v>1.6799999999999999E-2</v>
      </c>
      <c r="I2417" s="15">
        <v>1.43E-2</v>
      </c>
      <c r="J2417" s="15">
        <v>1.221428571428572</v>
      </c>
    </row>
    <row r="2418" spans="1:10" x14ac:dyDescent="0.25">
      <c r="A2418" s="2" t="s">
        <v>6980</v>
      </c>
      <c r="B2418" s="2" t="s">
        <v>6586</v>
      </c>
      <c r="C2418" s="2" t="s">
        <v>6981</v>
      </c>
      <c r="D2418" s="2" t="s">
        <v>10055</v>
      </c>
      <c r="E2418" s="15">
        <v>-3.5799999999999998E-2</v>
      </c>
      <c r="F2418" s="15">
        <v>8.6699999999999999E-2</v>
      </c>
      <c r="G2418" s="15">
        <v>0.68010000000000004</v>
      </c>
      <c r="H2418" s="15">
        <v>3.8300000000000001E-2</v>
      </c>
      <c r="I2418" s="15">
        <v>1.5299999999999999E-2</v>
      </c>
      <c r="J2418" s="15">
        <v>2.72108843537415</v>
      </c>
    </row>
    <row r="2419" spans="1:10" x14ac:dyDescent="0.25">
      <c r="A2419" s="2" t="s">
        <v>6982</v>
      </c>
      <c r="B2419" s="2" t="s">
        <v>6586</v>
      </c>
      <c r="C2419" s="2" t="s">
        <v>6983</v>
      </c>
      <c r="D2419" s="2" t="s">
        <v>10055</v>
      </c>
      <c r="E2419" s="15">
        <v>-6.7900000000000002E-2</v>
      </c>
      <c r="F2419" s="15">
        <v>8.1500000000000003E-2</v>
      </c>
      <c r="G2419" s="15">
        <v>0.40460000000000002</v>
      </c>
      <c r="H2419" s="15">
        <v>4.4299999999999999E-2</v>
      </c>
      <c r="I2419" s="15">
        <v>1.4999999999999999E-2</v>
      </c>
      <c r="J2419" s="15">
        <v>2.5753424657534252</v>
      </c>
    </row>
    <row r="2420" spans="1:10" x14ac:dyDescent="0.25">
      <c r="A2420" s="2" t="s">
        <v>6984</v>
      </c>
      <c r="B2420" s="2" t="s">
        <v>6586</v>
      </c>
      <c r="C2420" s="2" t="s">
        <v>6985</v>
      </c>
      <c r="D2420" s="2" t="s">
        <v>10055</v>
      </c>
      <c r="E2420" s="15">
        <v>0.11559999999999999</v>
      </c>
      <c r="F2420" s="15">
        <v>0.11550000000000001</v>
      </c>
      <c r="G2420" s="15">
        <v>0.31680000000000003</v>
      </c>
      <c r="H2420" s="15">
        <v>2.6599999999999999E-2</v>
      </c>
      <c r="I2420" s="15">
        <v>1.5299999999999999E-2</v>
      </c>
      <c r="J2420" s="15">
        <v>1.9513888888888891</v>
      </c>
    </row>
    <row r="2421" spans="1:10" x14ac:dyDescent="0.25">
      <c r="A2421" s="2" t="s">
        <v>6986</v>
      </c>
      <c r="B2421" s="2" t="s">
        <v>6586</v>
      </c>
      <c r="C2421" s="2" t="s">
        <v>6987</v>
      </c>
      <c r="D2421" s="2" t="s">
        <v>10055</v>
      </c>
      <c r="E2421" s="15">
        <v>0.1017</v>
      </c>
      <c r="F2421" s="15">
        <v>0.15559999999999999</v>
      </c>
      <c r="G2421" s="15">
        <v>0.51349999999999996</v>
      </c>
      <c r="H2421" s="15">
        <v>1.43E-2</v>
      </c>
      <c r="I2421" s="15">
        <v>1.4800000000000001E-2</v>
      </c>
      <c r="J2421" s="15">
        <v>1.1489361702127661</v>
      </c>
    </row>
    <row r="2422" spans="1:10" x14ac:dyDescent="0.25">
      <c r="A2422" s="2" t="s">
        <v>6988</v>
      </c>
      <c r="B2422" s="2" t="s">
        <v>6586</v>
      </c>
      <c r="C2422" s="2" t="s">
        <v>6989</v>
      </c>
      <c r="D2422" s="2" t="s">
        <v>10055</v>
      </c>
      <c r="E2422" s="15">
        <v>6.9500000000000006E-2</v>
      </c>
      <c r="F2422" s="15">
        <v>9.1899999999999996E-2</v>
      </c>
      <c r="G2422" s="15">
        <v>0.4491</v>
      </c>
      <c r="H2422" s="15">
        <v>2.8799999999999999E-2</v>
      </c>
      <c r="I2422" s="15">
        <v>1.34E-2</v>
      </c>
      <c r="J2422" s="15">
        <v>2.540322580645161</v>
      </c>
    </row>
    <row r="2423" spans="1:10" x14ac:dyDescent="0.25">
      <c r="A2423" s="2" t="s">
        <v>6990</v>
      </c>
      <c r="B2423" s="2" t="s">
        <v>6586</v>
      </c>
      <c r="C2423" s="2" t="s">
        <v>6991</v>
      </c>
      <c r="D2423" s="2" t="s">
        <v>10055</v>
      </c>
      <c r="E2423" s="15">
        <v>1.17E-2</v>
      </c>
      <c r="F2423" s="15">
        <v>7.0099999999999996E-2</v>
      </c>
      <c r="G2423" s="15">
        <v>0.86739999999999995</v>
      </c>
      <c r="H2423" s="15">
        <v>6.6699999999999995E-2</v>
      </c>
      <c r="I2423" s="15">
        <v>1.55E-2</v>
      </c>
      <c r="J2423" s="15">
        <v>4.8698630136986303</v>
      </c>
    </row>
    <row r="2424" spans="1:10" x14ac:dyDescent="0.25">
      <c r="A2424" s="2" t="s">
        <v>6992</v>
      </c>
      <c r="B2424" s="2" t="s">
        <v>6586</v>
      </c>
      <c r="C2424" s="2" t="s">
        <v>6993</v>
      </c>
      <c r="D2424" s="2" t="s">
        <v>10055</v>
      </c>
      <c r="E2424" s="15">
        <v>-4.9099999999999998E-2</v>
      </c>
      <c r="F2424" s="15">
        <v>9.4100000000000003E-2</v>
      </c>
      <c r="G2424" s="15">
        <v>0.60199999999999998</v>
      </c>
      <c r="H2424" s="15">
        <v>3.5999999999999997E-2</v>
      </c>
      <c r="I2424" s="15">
        <v>1.6400000000000001E-2</v>
      </c>
      <c r="J2424" s="15">
        <v>2.1366459627329188</v>
      </c>
    </row>
    <row r="2425" spans="1:10" x14ac:dyDescent="0.25">
      <c r="A2425" s="2" t="s">
        <v>6994</v>
      </c>
      <c r="B2425" s="2" t="s">
        <v>6586</v>
      </c>
      <c r="C2425" s="2" t="s">
        <v>6995</v>
      </c>
      <c r="D2425" s="2" t="s">
        <v>10055</v>
      </c>
      <c r="E2425" s="15">
        <v>-2.0899999999999998E-2</v>
      </c>
      <c r="F2425" s="15">
        <v>7.9799999999999996E-2</v>
      </c>
      <c r="G2425" s="15">
        <v>0.79320000000000002</v>
      </c>
      <c r="H2425" s="15">
        <v>5.62E-2</v>
      </c>
      <c r="I2425" s="15">
        <v>1.6500000000000001E-2</v>
      </c>
      <c r="J2425" s="15">
        <v>3.4899328859060401</v>
      </c>
    </row>
    <row r="2426" spans="1:10" x14ac:dyDescent="0.25">
      <c r="A2426" s="2" t="s">
        <v>6996</v>
      </c>
      <c r="B2426" s="2" t="s">
        <v>6586</v>
      </c>
      <c r="C2426" s="2" t="s">
        <v>6997</v>
      </c>
      <c r="D2426" s="2" t="s">
        <v>10055</v>
      </c>
      <c r="E2426" s="15">
        <v>0.16059999999999999</v>
      </c>
      <c r="F2426" s="15">
        <v>7.3800000000000004E-2</v>
      </c>
      <c r="G2426" s="15">
        <v>2.9499999999999998E-2</v>
      </c>
      <c r="H2426" s="15">
        <v>0.06</v>
      </c>
      <c r="I2426" s="15">
        <v>1.4999999999999999E-2</v>
      </c>
      <c r="J2426" s="15">
        <v>3.7861635220125782</v>
      </c>
    </row>
    <row r="2427" spans="1:10" x14ac:dyDescent="0.25">
      <c r="A2427" s="2" t="s">
        <v>6998</v>
      </c>
      <c r="B2427" s="2" t="s">
        <v>6586</v>
      </c>
      <c r="C2427" s="2" t="s">
        <v>6999</v>
      </c>
      <c r="D2427" s="2" t="s">
        <v>10055</v>
      </c>
      <c r="E2427" s="15">
        <v>5.96E-2</v>
      </c>
      <c r="F2427" s="15">
        <v>9.5000000000000001E-2</v>
      </c>
      <c r="G2427" s="15">
        <v>0.53029999999999999</v>
      </c>
      <c r="H2427" s="15">
        <v>3.7100000000000001E-2</v>
      </c>
      <c r="I2427" s="15">
        <v>1.55E-2</v>
      </c>
      <c r="J2427" s="15">
        <v>2.703448275862069</v>
      </c>
    </row>
    <row r="2428" spans="1:10" x14ac:dyDescent="0.25">
      <c r="A2428" s="2" t="s">
        <v>7000</v>
      </c>
      <c r="B2428" s="2" t="s">
        <v>6586</v>
      </c>
      <c r="C2428" s="2" t="s">
        <v>7001</v>
      </c>
      <c r="D2428" s="2" t="s">
        <v>10055</v>
      </c>
      <c r="E2428" s="15">
        <v>-5.3199999999999997E-2</v>
      </c>
      <c r="F2428" s="15">
        <v>0.12770000000000001</v>
      </c>
      <c r="G2428" s="15">
        <v>0.67679999999999996</v>
      </c>
      <c r="H2428" s="15">
        <v>2.07E-2</v>
      </c>
      <c r="I2428" s="15">
        <v>1.29E-2</v>
      </c>
      <c r="J2428" s="15">
        <v>0.85039370078740162</v>
      </c>
    </row>
    <row r="2429" spans="1:10" x14ac:dyDescent="0.25">
      <c r="A2429" s="2" t="s">
        <v>7002</v>
      </c>
      <c r="B2429" s="2" t="s">
        <v>6586</v>
      </c>
      <c r="C2429" s="2" t="s">
        <v>7003</v>
      </c>
      <c r="D2429" s="2" t="s">
        <v>10055</v>
      </c>
      <c r="E2429" s="15">
        <v>2.3699999999999999E-2</v>
      </c>
      <c r="F2429" s="15">
        <v>0.14849999999999999</v>
      </c>
      <c r="G2429" s="15">
        <v>0.87309999999999999</v>
      </c>
      <c r="H2429" s="15">
        <v>1.5800000000000002E-2</v>
      </c>
      <c r="I2429" s="15">
        <v>1.4500000000000001E-2</v>
      </c>
      <c r="J2429" s="15">
        <v>0.90131578947368418</v>
      </c>
    </row>
    <row r="2430" spans="1:10" x14ac:dyDescent="0.25">
      <c r="A2430" s="2" t="s">
        <v>7004</v>
      </c>
      <c r="B2430" s="2" t="s">
        <v>6586</v>
      </c>
      <c r="C2430" s="2" t="s">
        <v>7005</v>
      </c>
      <c r="D2430" s="2" t="s">
        <v>10055</v>
      </c>
      <c r="E2430" s="15">
        <v>0.16139999999999999</v>
      </c>
      <c r="F2430" s="15">
        <v>8.8499999999999995E-2</v>
      </c>
      <c r="G2430" s="15">
        <v>6.8000000000000005E-2</v>
      </c>
      <c r="H2430" s="15">
        <v>3.8199999999999998E-2</v>
      </c>
      <c r="I2430" s="15">
        <v>1.41E-2</v>
      </c>
      <c r="J2430" s="15">
        <v>2.914893617021276</v>
      </c>
    </row>
    <row r="2431" spans="1:10" x14ac:dyDescent="0.25">
      <c r="A2431" s="2" t="s">
        <v>7006</v>
      </c>
      <c r="B2431" s="2" t="s">
        <v>7007</v>
      </c>
      <c r="C2431" s="2" t="s">
        <v>7008</v>
      </c>
      <c r="D2431" s="2" t="s">
        <v>10055</v>
      </c>
      <c r="E2431" s="15">
        <v>-6.3200000000000006E-2</v>
      </c>
      <c r="F2431" s="15">
        <v>9.11E-2</v>
      </c>
      <c r="G2431" s="15">
        <v>0.48780000000000001</v>
      </c>
      <c r="H2431" s="15">
        <v>3.4299999999999997E-2</v>
      </c>
      <c r="I2431" s="15">
        <v>1.49E-2</v>
      </c>
      <c r="J2431" s="15">
        <v>2.2587412587412592</v>
      </c>
    </row>
    <row r="2432" spans="1:10" x14ac:dyDescent="0.25">
      <c r="A2432" s="2" t="s">
        <v>7009</v>
      </c>
      <c r="B2432" s="2" t="s">
        <v>7007</v>
      </c>
      <c r="C2432" s="2" t="s">
        <v>7010</v>
      </c>
      <c r="D2432" s="2" t="s">
        <v>10055</v>
      </c>
      <c r="E2432" s="15">
        <v>-0.15379999999999999</v>
      </c>
      <c r="F2432" s="15">
        <v>7.3300000000000004E-2</v>
      </c>
      <c r="G2432" s="15">
        <v>3.5900000000000001E-2</v>
      </c>
      <c r="H2432" s="15">
        <v>4.5900000000000003E-2</v>
      </c>
      <c r="I2432" s="15">
        <v>1.49E-2</v>
      </c>
      <c r="J2432" s="15">
        <v>2.835714285714285</v>
      </c>
    </row>
    <row r="2433" spans="1:10" x14ac:dyDescent="0.25">
      <c r="A2433" s="2" t="s">
        <v>7011</v>
      </c>
      <c r="B2433" s="2" t="s">
        <v>7007</v>
      </c>
      <c r="C2433" s="2" t="s">
        <v>7012</v>
      </c>
      <c r="D2433" s="2" t="s">
        <v>10055</v>
      </c>
      <c r="E2433" s="15">
        <v>4.8399999999999999E-2</v>
      </c>
      <c r="F2433" s="15">
        <v>0.1042</v>
      </c>
      <c r="G2433" s="15">
        <v>0.6421</v>
      </c>
      <c r="H2433" s="15">
        <v>3.2899999999999999E-2</v>
      </c>
      <c r="I2433" s="15">
        <v>1.43E-2</v>
      </c>
      <c r="J2433" s="15">
        <v>2.6350364963503652</v>
      </c>
    </row>
    <row r="2434" spans="1:10" x14ac:dyDescent="0.25">
      <c r="A2434" s="2" t="s">
        <v>7013</v>
      </c>
      <c r="B2434" s="2" t="s">
        <v>7007</v>
      </c>
      <c r="C2434" s="2" t="s">
        <v>7014</v>
      </c>
      <c r="D2434" s="2" t="s">
        <v>10055</v>
      </c>
      <c r="E2434" s="15">
        <v>6.6299999999999998E-2</v>
      </c>
      <c r="F2434" s="15">
        <v>8.3099999999999993E-2</v>
      </c>
      <c r="G2434" s="15">
        <v>0.42470000000000002</v>
      </c>
      <c r="H2434" s="15">
        <v>4.8000000000000001E-2</v>
      </c>
      <c r="I2434" s="15">
        <v>1.4500000000000001E-2</v>
      </c>
      <c r="J2434" s="15">
        <v>3.788732394366197</v>
      </c>
    </row>
    <row r="2435" spans="1:10" x14ac:dyDescent="0.25">
      <c r="A2435" s="2" t="s">
        <v>7015</v>
      </c>
      <c r="B2435" s="2" t="s">
        <v>7007</v>
      </c>
      <c r="C2435" s="2" t="s">
        <v>7016</v>
      </c>
      <c r="D2435" s="2" t="s">
        <v>10055</v>
      </c>
      <c r="E2435" s="15">
        <v>0.1182</v>
      </c>
      <c r="F2435" s="15">
        <v>0.10199999999999999</v>
      </c>
      <c r="G2435" s="15">
        <v>0.2465</v>
      </c>
      <c r="H2435" s="15">
        <v>3.1800000000000002E-2</v>
      </c>
      <c r="I2435" s="15">
        <v>1.6500000000000001E-2</v>
      </c>
      <c r="J2435" s="15">
        <v>2.4807692307692308</v>
      </c>
    </row>
    <row r="2436" spans="1:10" x14ac:dyDescent="0.25">
      <c r="A2436" s="2" t="s">
        <v>7017</v>
      </c>
      <c r="B2436" s="2" t="s">
        <v>7007</v>
      </c>
      <c r="C2436" s="2" t="s">
        <v>7018</v>
      </c>
      <c r="D2436" s="2" t="s">
        <v>10055</v>
      </c>
      <c r="E2436" s="15">
        <v>-0.1346</v>
      </c>
      <c r="F2436" s="15">
        <v>5.8099999999999999E-2</v>
      </c>
      <c r="G2436" s="15">
        <v>2.06E-2</v>
      </c>
      <c r="H2436" s="15">
        <v>8.4400000000000003E-2</v>
      </c>
      <c r="I2436" s="15">
        <v>1.6500000000000001E-2</v>
      </c>
      <c r="J2436" s="15">
        <v>5.0764331210191083</v>
      </c>
    </row>
    <row r="2437" spans="1:10" x14ac:dyDescent="0.25">
      <c r="A2437" s="2" t="s">
        <v>7019</v>
      </c>
      <c r="B2437" s="2" t="s">
        <v>7007</v>
      </c>
      <c r="C2437" s="2" t="s">
        <v>7020</v>
      </c>
      <c r="D2437" s="2" t="s">
        <v>10055</v>
      </c>
      <c r="E2437" s="15">
        <v>1.32E-2</v>
      </c>
      <c r="F2437" s="15">
        <v>0.15179999999999999</v>
      </c>
      <c r="G2437" s="15">
        <v>0.93049999999999999</v>
      </c>
      <c r="H2437" s="15">
        <v>1.35E-2</v>
      </c>
      <c r="I2437" s="15">
        <v>1.35E-2</v>
      </c>
      <c r="J2437" s="15">
        <v>1.2720588235294119</v>
      </c>
    </row>
    <row r="2438" spans="1:10" x14ac:dyDescent="0.25">
      <c r="A2438" s="2" t="s">
        <v>7021</v>
      </c>
      <c r="B2438" s="2" t="s">
        <v>7007</v>
      </c>
      <c r="C2438" s="2" t="s">
        <v>7022</v>
      </c>
      <c r="D2438" s="2" t="s">
        <v>10055</v>
      </c>
      <c r="E2438" s="15">
        <v>-6.8699999999999997E-2</v>
      </c>
      <c r="F2438" s="15">
        <v>0.1084</v>
      </c>
      <c r="G2438" s="15">
        <v>0.52649999999999997</v>
      </c>
      <c r="H2438" s="15">
        <v>2.6499999999999999E-2</v>
      </c>
      <c r="I2438" s="15">
        <v>1.43E-2</v>
      </c>
      <c r="J2438" s="15">
        <v>1.8263888888888891</v>
      </c>
    </row>
    <row r="2439" spans="1:10" x14ac:dyDescent="0.25">
      <c r="A2439" s="2" t="s">
        <v>7023</v>
      </c>
      <c r="B2439" s="2" t="s">
        <v>7007</v>
      </c>
      <c r="C2439" s="2" t="s">
        <v>7024</v>
      </c>
      <c r="D2439" s="2" t="s">
        <v>10055</v>
      </c>
      <c r="E2439" s="15">
        <v>-9.8400000000000001E-2</v>
      </c>
      <c r="F2439" s="15">
        <v>0.18490000000000001</v>
      </c>
      <c r="G2439" s="15">
        <v>0.59460000000000002</v>
      </c>
      <c r="H2439" s="15">
        <v>1.01E-2</v>
      </c>
      <c r="I2439" s="15">
        <v>1.43E-2</v>
      </c>
      <c r="J2439" s="15">
        <v>0.75555555555555565</v>
      </c>
    </row>
    <row r="2440" spans="1:10" x14ac:dyDescent="0.25">
      <c r="A2440" s="2" t="s">
        <v>7025</v>
      </c>
      <c r="B2440" s="2" t="s">
        <v>7007</v>
      </c>
      <c r="C2440" s="2" t="s">
        <v>7026</v>
      </c>
      <c r="D2440" s="2" t="s">
        <v>10055</v>
      </c>
      <c r="E2440" s="15">
        <v>-5.0500000000000003E-2</v>
      </c>
      <c r="F2440" s="15">
        <v>8.6099999999999996E-2</v>
      </c>
      <c r="G2440" s="15">
        <v>0.55720000000000003</v>
      </c>
      <c r="H2440" s="15">
        <v>4.1300000000000003E-2</v>
      </c>
      <c r="I2440" s="15">
        <v>1.5900000000000001E-2</v>
      </c>
      <c r="J2440" s="15">
        <v>2.6026490066225172</v>
      </c>
    </row>
    <row r="2441" spans="1:10" x14ac:dyDescent="0.25">
      <c r="A2441" s="2" t="s">
        <v>7027</v>
      </c>
      <c r="B2441" s="2" t="s">
        <v>7007</v>
      </c>
      <c r="C2441" s="2" t="s">
        <v>7028</v>
      </c>
      <c r="D2441" s="2" t="s">
        <v>10055</v>
      </c>
      <c r="E2441" s="15">
        <v>7.4300000000000005E-2</v>
      </c>
      <c r="F2441" s="15">
        <v>0.34110000000000001</v>
      </c>
      <c r="G2441" s="15">
        <v>0.82750000000000001</v>
      </c>
      <c r="H2441" s="15">
        <v>4.8999999999999998E-3</v>
      </c>
      <c r="I2441" s="15">
        <v>1.4800000000000001E-2</v>
      </c>
      <c r="J2441" s="15">
        <v>0.42361111111111122</v>
      </c>
    </row>
    <row r="2442" spans="1:10" x14ac:dyDescent="0.25">
      <c r="A2442" s="2" t="s">
        <v>7029</v>
      </c>
      <c r="B2442" s="2" t="s">
        <v>7007</v>
      </c>
      <c r="C2442" s="2" t="s">
        <v>7030</v>
      </c>
      <c r="D2442" s="2" t="s">
        <v>10055</v>
      </c>
      <c r="E2442" s="15">
        <v>-6.3E-2</v>
      </c>
      <c r="F2442" s="15">
        <v>9.5000000000000001E-2</v>
      </c>
      <c r="G2442" s="15">
        <v>0.5071</v>
      </c>
      <c r="H2442" s="15">
        <v>3.3300000000000003E-2</v>
      </c>
      <c r="I2442" s="15">
        <v>1.6E-2</v>
      </c>
      <c r="J2442" s="15">
        <v>2.5136986301369859</v>
      </c>
    </row>
    <row r="2443" spans="1:10" x14ac:dyDescent="0.25">
      <c r="A2443" s="2" t="s">
        <v>7031</v>
      </c>
      <c r="B2443" s="2" t="s">
        <v>7007</v>
      </c>
      <c r="C2443" s="2" t="s">
        <v>7032</v>
      </c>
      <c r="D2443" s="2" t="s">
        <v>10055</v>
      </c>
      <c r="E2443" s="15">
        <v>0.38059999999999999</v>
      </c>
      <c r="F2443" s="15">
        <v>1.0241</v>
      </c>
      <c r="G2443" s="15">
        <v>0.71020000000000005</v>
      </c>
      <c r="H2443" s="15">
        <v>4.1000000000000003E-3</v>
      </c>
      <c r="I2443" s="15">
        <v>1.3599999999999999E-2</v>
      </c>
      <c r="J2443" s="15">
        <v>0.36764705882352938</v>
      </c>
    </row>
    <row r="2444" spans="1:10" x14ac:dyDescent="0.25">
      <c r="A2444" s="2" t="s">
        <v>7033</v>
      </c>
      <c r="B2444" s="2" t="s">
        <v>7007</v>
      </c>
      <c r="C2444" s="2" t="s">
        <v>7034</v>
      </c>
      <c r="D2444" s="2" t="s">
        <v>10055</v>
      </c>
      <c r="E2444" s="15"/>
      <c r="F2444" s="15"/>
      <c r="G2444" s="15"/>
      <c r="H2444" s="15">
        <v>-5.0000000000000001E-4</v>
      </c>
      <c r="I2444" s="15">
        <v>1.3599999999999999E-2</v>
      </c>
      <c r="J2444" s="15">
        <v>0.36690647482014388</v>
      </c>
    </row>
    <row r="2445" spans="1:10" x14ac:dyDescent="0.25">
      <c r="A2445" s="2" t="s">
        <v>7035</v>
      </c>
      <c r="B2445" s="2" t="s">
        <v>7007</v>
      </c>
      <c r="C2445" s="2" t="s">
        <v>7036</v>
      </c>
      <c r="D2445" s="2" t="s">
        <v>10055</v>
      </c>
      <c r="E2445" s="15">
        <v>-0.1741</v>
      </c>
      <c r="F2445" s="15">
        <v>0.13120000000000001</v>
      </c>
      <c r="G2445" s="15">
        <v>0.18440000000000001</v>
      </c>
      <c r="H2445" s="15">
        <v>2.1600000000000001E-2</v>
      </c>
      <c r="I2445" s="15">
        <v>1.29E-2</v>
      </c>
      <c r="J2445" s="15">
        <v>1.666666666666667</v>
      </c>
    </row>
    <row r="2446" spans="1:10" x14ac:dyDescent="0.25">
      <c r="A2446" s="2" t="s">
        <v>7037</v>
      </c>
      <c r="B2446" s="2" t="s">
        <v>7007</v>
      </c>
      <c r="C2446" s="2" t="s">
        <v>7038</v>
      </c>
      <c r="D2446" s="2" t="s">
        <v>10055</v>
      </c>
      <c r="E2446" s="15"/>
      <c r="F2446" s="15"/>
      <c r="G2446" s="15"/>
      <c r="H2446" s="15">
        <v>-1.3100000000000001E-2</v>
      </c>
      <c r="I2446" s="15">
        <v>1.23E-2</v>
      </c>
      <c r="J2446" s="15">
        <v>-0.83739837398373984</v>
      </c>
    </row>
    <row r="2447" spans="1:10" x14ac:dyDescent="0.25">
      <c r="A2447" s="2" t="s">
        <v>7039</v>
      </c>
      <c r="B2447" s="2" t="s">
        <v>7007</v>
      </c>
      <c r="C2447" s="2" t="s">
        <v>7040</v>
      </c>
      <c r="D2447" s="2" t="s">
        <v>10055</v>
      </c>
      <c r="E2447" s="15">
        <v>0.21959999999999999</v>
      </c>
      <c r="F2447" s="15">
        <v>8.1500000000000003E-2</v>
      </c>
      <c r="G2447" s="15">
        <v>7.0000000000000001E-3</v>
      </c>
      <c r="H2447" s="15">
        <v>4.9399999999999999E-2</v>
      </c>
      <c r="I2447" s="15">
        <v>1.34E-2</v>
      </c>
      <c r="J2447" s="15">
        <v>4.2015503875968987</v>
      </c>
    </row>
    <row r="2448" spans="1:10" x14ac:dyDescent="0.25">
      <c r="A2448" s="2" t="s">
        <v>7041</v>
      </c>
      <c r="B2448" s="2" t="s">
        <v>7007</v>
      </c>
      <c r="C2448" s="2" t="s">
        <v>7042</v>
      </c>
      <c r="D2448" s="2" t="s">
        <v>10055</v>
      </c>
      <c r="E2448" s="15"/>
      <c r="F2448" s="15"/>
      <c r="G2448" s="15"/>
      <c r="H2448" s="15">
        <v>-8.6E-3</v>
      </c>
      <c r="I2448" s="15">
        <v>1.38E-2</v>
      </c>
      <c r="J2448" s="15">
        <v>-0.41911764705882359</v>
      </c>
    </row>
    <row r="2449" spans="1:10" x14ac:dyDescent="0.25">
      <c r="A2449" s="2" t="s">
        <v>7043</v>
      </c>
      <c r="B2449" s="2" t="s">
        <v>7007</v>
      </c>
      <c r="C2449" s="2" t="s">
        <v>7044</v>
      </c>
      <c r="D2449" s="2" t="s">
        <v>10055</v>
      </c>
      <c r="E2449" s="15">
        <v>-0.23699999999999999</v>
      </c>
      <c r="F2449" s="15">
        <v>0.45490000000000003</v>
      </c>
      <c r="G2449" s="15">
        <v>0.60240000000000005</v>
      </c>
      <c r="H2449" s="15">
        <v>9.4000000000000004E-3</v>
      </c>
      <c r="I2449" s="15">
        <v>1.66E-2</v>
      </c>
      <c r="J2449" s="15">
        <v>0.63030303030303025</v>
      </c>
    </row>
    <row r="2450" spans="1:10" x14ac:dyDescent="0.25">
      <c r="A2450" s="2" t="s">
        <v>7045</v>
      </c>
      <c r="B2450" s="2" t="s">
        <v>7007</v>
      </c>
      <c r="C2450" s="2" t="s">
        <v>7046</v>
      </c>
      <c r="D2450" s="2" t="s">
        <v>10055</v>
      </c>
      <c r="E2450" s="15">
        <v>-8.5400000000000004E-2</v>
      </c>
      <c r="F2450" s="15">
        <v>5.9900000000000002E-2</v>
      </c>
      <c r="G2450" s="15">
        <v>0.15409999999999999</v>
      </c>
      <c r="H2450" s="15">
        <v>0.1002</v>
      </c>
      <c r="I2450" s="15">
        <v>1.77E-2</v>
      </c>
      <c r="J2450" s="15">
        <v>6.1058823529411761</v>
      </c>
    </row>
    <row r="2451" spans="1:10" x14ac:dyDescent="0.25">
      <c r="A2451" s="2" t="s">
        <v>7047</v>
      </c>
      <c r="B2451" s="2" t="s">
        <v>7007</v>
      </c>
      <c r="C2451" s="2" t="s">
        <v>7048</v>
      </c>
      <c r="D2451" s="2" t="s">
        <v>10055</v>
      </c>
      <c r="E2451" s="15">
        <v>-0.17119999999999999</v>
      </c>
      <c r="F2451" s="15">
        <v>8.8599999999999998E-2</v>
      </c>
      <c r="G2451" s="15">
        <v>5.3199999999999997E-2</v>
      </c>
      <c r="H2451" s="15">
        <v>4.2000000000000003E-2</v>
      </c>
      <c r="I2451" s="15">
        <v>1.43E-2</v>
      </c>
      <c r="J2451" s="15">
        <v>3.880281690140845</v>
      </c>
    </row>
    <row r="2452" spans="1:10" x14ac:dyDescent="0.25">
      <c r="A2452" s="2" t="s">
        <v>7049</v>
      </c>
      <c r="B2452" s="2" t="s">
        <v>7007</v>
      </c>
      <c r="C2452" s="2" t="s">
        <v>7050</v>
      </c>
      <c r="D2452" s="2" t="s">
        <v>10055</v>
      </c>
      <c r="E2452" s="15">
        <v>6.0000000000000001E-3</v>
      </c>
      <c r="F2452" s="15">
        <v>5.8000000000000003E-2</v>
      </c>
      <c r="G2452" s="15">
        <v>0.91820000000000002</v>
      </c>
      <c r="H2452" s="15">
        <v>0.12590000000000001</v>
      </c>
      <c r="I2452" s="15">
        <v>1.8700000000000001E-2</v>
      </c>
      <c r="J2452" s="15">
        <v>7.2637362637362637</v>
      </c>
    </row>
    <row r="2453" spans="1:10" x14ac:dyDescent="0.25">
      <c r="A2453" s="2" t="s">
        <v>7051</v>
      </c>
      <c r="B2453" s="2" t="s">
        <v>7007</v>
      </c>
      <c r="C2453" s="2" t="s">
        <v>7052</v>
      </c>
      <c r="D2453" s="2" t="s">
        <v>10055</v>
      </c>
      <c r="E2453" s="15">
        <v>0.01</v>
      </c>
      <c r="F2453" s="15">
        <v>8.4500000000000006E-2</v>
      </c>
      <c r="G2453" s="15">
        <v>0.90620000000000001</v>
      </c>
      <c r="H2453" s="15">
        <v>4.0599999999999997E-2</v>
      </c>
      <c r="I2453" s="15">
        <v>1.7999999999999999E-2</v>
      </c>
      <c r="J2453" s="15">
        <v>1.830409356725146</v>
      </c>
    </row>
    <row r="2454" spans="1:10" x14ac:dyDescent="0.25">
      <c r="A2454" s="2" t="s">
        <v>7053</v>
      </c>
      <c r="B2454" s="2" t="s">
        <v>7007</v>
      </c>
      <c r="C2454" s="2" t="s">
        <v>7054</v>
      </c>
      <c r="D2454" s="2" t="s">
        <v>10055</v>
      </c>
      <c r="E2454" s="15">
        <v>0.11169999999999999</v>
      </c>
      <c r="F2454" s="15">
        <v>8.72E-2</v>
      </c>
      <c r="G2454" s="15">
        <v>0.2001</v>
      </c>
      <c r="H2454" s="15">
        <v>4.0800000000000003E-2</v>
      </c>
      <c r="I2454" s="15">
        <v>1.2999999999999999E-2</v>
      </c>
      <c r="J2454" s="15">
        <v>3.459677419354839</v>
      </c>
    </row>
    <row r="2455" spans="1:10" x14ac:dyDescent="0.25">
      <c r="A2455" s="2" t="s">
        <v>7055</v>
      </c>
      <c r="B2455" s="2" t="s">
        <v>7007</v>
      </c>
      <c r="C2455" s="2" t="s">
        <v>7056</v>
      </c>
      <c r="D2455" s="2" t="s">
        <v>10055</v>
      </c>
      <c r="E2455" s="15">
        <v>3.4500000000000003E-2</v>
      </c>
      <c r="F2455" s="15">
        <v>6.3700000000000007E-2</v>
      </c>
      <c r="G2455" s="15">
        <v>0.58830000000000005</v>
      </c>
      <c r="H2455" s="15">
        <v>7.3200000000000001E-2</v>
      </c>
      <c r="I2455" s="15">
        <v>1.49E-2</v>
      </c>
      <c r="J2455" s="15">
        <v>4.8510638297872344</v>
      </c>
    </row>
    <row r="2456" spans="1:10" x14ac:dyDescent="0.25">
      <c r="A2456" s="2" t="s">
        <v>7057</v>
      </c>
      <c r="B2456" s="2" t="s">
        <v>7007</v>
      </c>
      <c r="C2456" s="2" t="s">
        <v>7058</v>
      </c>
      <c r="D2456" s="2" t="s">
        <v>10055</v>
      </c>
      <c r="E2456" s="15">
        <v>0.11</v>
      </c>
      <c r="F2456" s="15">
        <v>0.2336</v>
      </c>
      <c r="G2456" s="15">
        <v>0.63780000000000003</v>
      </c>
      <c r="H2456" s="15">
        <v>7.4000000000000003E-3</v>
      </c>
      <c r="I2456" s="15">
        <v>1.43E-2</v>
      </c>
      <c r="J2456" s="15">
        <v>0.33088235294117652</v>
      </c>
    </row>
    <row r="2457" spans="1:10" x14ac:dyDescent="0.25">
      <c r="A2457" s="2" t="s">
        <v>7059</v>
      </c>
      <c r="B2457" s="2" t="s">
        <v>7007</v>
      </c>
      <c r="C2457" s="2" t="s">
        <v>7060</v>
      </c>
      <c r="D2457" s="2" t="s">
        <v>10055</v>
      </c>
      <c r="E2457" s="15"/>
      <c r="F2457" s="15"/>
      <c r="G2457" s="15"/>
      <c r="H2457" s="15">
        <v>-1.32E-2</v>
      </c>
      <c r="I2457" s="15">
        <v>1.2800000000000001E-2</v>
      </c>
      <c r="J2457" s="15">
        <v>-0.54471544715447151</v>
      </c>
    </row>
    <row r="2458" spans="1:10" x14ac:dyDescent="0.25">
      <c r="A2458" s="2" t="s">
        <v>7061</v>
      </c>
      <c r="B2458" s="2" t="s">
        <v>7007</v>
      </c>
      <c r="C2458" s="2" t="s">
        <v>7062</v>
      </c>
      <c r="D2458" s="2" t="s">
        <v>10055</v>
      </c>
      <c r="E2458" s="15">
        <v>0.1041</v>
      </c>
      <c r="F2458" s="15">
        <v>9.6699999999999994E-2</v>
      </c>
      <c r="G2458" s="15">
        <v>0.28199999999999997</v>
      </c>
      <c r="H2458" s="15">
        <v>3.5400000000000001E-2</v>
      </c>
      <c r="I2458" s="15">
        <v>1.3899999999999999E-2</v>
      </c>
      <c r="J2458" s="15">
        <v>2.1904761904761911</v>
      </c>
    </row>
    <row r="2459" spans="1:10" x14ac:dyDescent="0.25">
      <c r="A2459" s="2" t="s">
        <v>7063</v>
      </c>
      <c r="B2459" s="2" t="s">
        <v>7007</v>
      </c>
      <c r="C2459" s="2" t="s">
        <v>7064</v>
      </c>
      <c r="D2459" s="2" t="s">
        <v>10055</v>
      </c>
      <c r="E2459" s="15">
        <v>-0.16120000000000001</v>
      </c>
      <c r="F2459" s="15">
        <v>0.20319999999999999</v>
      </c>
      <c r="G2459" s="15">
        <v>0.42770000000000002</v>
      </c>
      <c r="H2459" s="15">
        <v>1.01E-2</v>
      </c>
      <c r="I2459" s="15">
        <v>1.4200000000000001E-2</v>
      </c>
      <c r="J2459" s="15">
        <v>0.82089552238805963</v>
      </c>
    </row>
    <row r="2460" spans="1:10" x14ac:dyDescent="0.25">
      <c r="A2460" s="2" t="s">
        <v>7065</v>
      </c>
      <c r="B2460" s="2" t="s">
        <v>7007</v>
      </c>
      <c r="C2460" s="2" t="s">
        <v>7066</v>
      </c>
      <c r="D2460" s="2" t="s">
        <v>10055</v>
      </c>
      <c r="E2460" s="15">
        <v>1.34E-2</v>
      </c>
      <c r="F2460" s="15">
        <v>7.1300000000000002E-2</v>
      </c>
      <c r="G2460" s="15">
        <v>0.85060000000000002</v>
      </c>
      <c r="H2460" s="15">
        <v>5.9400000000000001E-2</v>
      </c>
      <c r="I2460" s="15">
        <v>1.4999999999999999E-2</v>
      </c>
      <c r="J2460" s="15">
        <v>4.5111111111111111</v>
      </c>
    </row>
    <row r="2461" spans="1:10" x14ac:dyDescent="0.25">
      <c r="A2461" s="2" t="s">
        <v>7067</v>
      </c>
      <c r="B2461" s="2" t="s">
        <v>7007</v>
      </c>
      <c r="C2461" s="2" t="s">
        <v>7068</v>
      </c>
      <c r="D2461" s="2" t="s">
        <v>10055</v>
      </c>
      <c r="E2461" s="15">
        <v>-0.20169999999999999</v>
      </c>
      <c r="F2461" s="15">
        <v>0.182</v>
      </c>
      <c r="G2461" s="15">
        <v>0.26769999999999999</v>
      </c>
      <c r="H2461" s="15">
        <v>1.2999999999999999E-2</v>
      </c>
      <c r="I2461" s="15">
        <v>1.32E-2</v>
      </c>
      <c r="J2461" s="15">
        <v>1.52991452991453</v>
      </c>
    </row>
    <row r="2462" spans="1:10" x14ac:dyDescent="0.25">
      <c r="A2462" s="2" t="s">
        <v>7069</v>
      </c>
      <c r="B2462" s="2" t="s">
        <v>7007</v>
      </c>
      <c r="C2462" s="2" t="s">
        <v>7070</v>
      </c>
      <c r="D2462" s="2" t="s">
        <v>10055</v>
      </c>
      <c r="E2462" s="15">
        <v>-1.01E-2</v>
      </c>
      <c r="F2462" s="15">
        <v>0.18490000000000001</v>
      </c>
      <c r="G2462" s="15">
        <v>0.95620000000000005</v>
      </c>
      <c r="H2462" s="15">
        <v>8.9999999999999993E-3</v>
      </c>
      <c r="I2462" s="15">
        <v>1.4999999999999999E-2</v>
      </c>
      <c r="J2462" s="15">
        <v>1.053333333333333</v>
      </c>
    </row>
    <row r="2463" spans="1:10" x14ac:dyDescent="0.25">
      <c r="A2463" s="2" t="s">
        <v>7071</v>
      </c>
      <c r="B2463" s="2" t="s">
        <v>7007</v>
      </c>
      <c r="C2463" s="2" t="s">
        <v>7072</v>
      </c>
      <c r="D2463" s="2" t="s">
        <v>10055</v>
      </c>
      <c r="E2463" s="15">
        <v>0.1032</v>
      </c>
      <c r="F2463" s="15">
        <v>7.5600000000000001E-2</v>
      </c>
      <c r="G2463" s="15">
        <v>0.17230000000000001</v>
      </c>
      <c r="H2463" s="15">
        <v>6.5699999999999995E-2</v>
      </c>
      <c r="I2463" s="15">
        <v>1.52E-2</v>
      </c>
      <c r="J2463" s="15">
        <v>4.8057553956834536</v>
      </c>
    </row>
    <row r="2464" spans="1:10" x14ac:dyDescent="0.25">
      <c r="A2464" s="2" t="s">
        <v>7073</v>
      </c>
      <c r="B2464" s="2" t="s">
        <v>7007</v>
      </c>
      <c r="C2464" s="2" t="s">
        <v>7074</v>
      </c>
      <c r="D2464" s="2" t="s">
        <v>10055</v>
      </c>
      <c r="E2464" s="15">
        <v>-0.183</v>
      </c>
      <c r="F2464" s="15">
        <v>0.14729999999999999</v>
      </c>
      <c r="G2464" s="15">
        <v>0.21410000000000001</v>
      </c>
      <c r="H2464" s="15">
        <v>1.67E-2</v>
      </c>
      <c r="I2464" s="15">
        <v>1.3899999999999999E-2</v>
      </c>
      <c r="J2464" s="15">
        <v>1.0296296296296299</v>
      </c>
    </row>
    <row r="2465" spans="1:10" x14ac:dyDescent="0.25">
      <c r="A2465" s="2" t="s">
        <v>7075</v>
      </c>
      <c r="B2465" s="2" t="s">
        <v>7007</v>
      </c>
      <c r="C2465" s="2" t="s">
        <v>7076</v>
      </c>
      <c r="D2465" s="2" t="s">
        <v>10055</v>
      </c>
      <c r="E2465" s="15">
        <v>4.8500000000000001E-2</v>
      </c>
      <c r="F2465" s="15">
        <v>5.79E-2</v>
      </c>
      <c r="G2465" s="15">
        <v>0.40210000000000001</v>
      </c>
      <c r="H2465" s="15">
        <v>8.6999999999999994E-2</v>
      </c>
      <c r="I2465" s="15">
        <v>1.61E-2</v>
      </c>
      <c r="J2465" s="15">
        <v>5.7284768211920527</v>
      </c>
    </row>
    <row r="2466" spans="1:10" x14ac:dyDescent="0.25">
      <c r="A2466" s="2" t="s">
        <v>7077</v>
      </c>
      <c r="B2466" s="2" t="s">
        <v>7007</v>
      </c>
      <c r="C2466" s="2" t="s">
        <v>7078</v>
      </c>
      <c r="D2466" s="2" t="s">
        <v>10055</v>
      </c>
      <c r="E2466" s="15">
        <v>4.2000000000000003E-2</v>
      </c>
      <c r="F2466" s="15">
        <v>9.1700000000000004E-2</v>
      </c>
      <c r="G2466" s="15">
        <v>0.64700000000000002</v>
      </c>
      <c r="H2466" s="15">
        <v>3.4299999999999997E-2</v>
      </c>
      <c r="I2466" s="15">
        <v>1.5100000000000001E-2</v>
      </c>
      <c r="J2466" s="15">
        <v>2.3142857142857141</v>
      </c>
    </row>
    <row r="2467" spans="1:10" x14ac:dyDescent="0.25">
      <c r="A2467" s="2" t="s">
        <v>7079</v>
      </c>
      <c r="B2467" s="2" t="s">
        <v>7007</v>
      </c>
      <c r="C2467" s="2" t="s">
        <v>7080</v>
      </c>
      <c r="D2467" s="2" t="s">
        <v>10055</v>
      </c>
      <c r="E2467" s="15">
        <v>-3.4200000000000001E-2</v>
      </c>
      <c r="F2467" s="15">
        <v>9.2499999999999999E-2</v>
      </c>
      <c r="G2467" s="15">
        <v>0.71120000000000005</v>
      </c>
      <c r="H2467" s="15">
        <v>3.1699999999999999E-2</v>
      </c>
      <c r="I2467" s="15">
        <v>1.3599999999999999E-2</v>
      </c>
      <c r="J2467" s="15">
        <v>2.6959459459459461</v>
      </c>
    </row>
    <row r="2468" spans="1:10" x14ac:dyDescent="0.25">
      <c r="A2468" s="2" t="s">
        <v>7081</v>
      </c>
      <c r="B2468" s="2" t="s">
        <v>7007</v>
      </c>
      <c r="C2468" s="2" t="s">
        <v>7082</v>
      </c>
      <c r="D2468" s="2" t="s">
        <v>10055</v>
      </c>
      <c r="E2468" s="15">
        <v>-0.20469999999999999</v>
      </c>
      <c r="F2468" s="15">
        <v>0.1205</v>
      </c>
      <c r="G2468" s="15">
        <v>8.9399999999999993E-2</v>
      </c>
      <c r="H2468" s="15">
        <v>3.4299999999999997E-2</v>
      </c>
      <c r="I2468" s="15">
        <v>1.4200000000000001E-2</v>
      </c>
      <c r="J2468" s="15">
        <v>3.123188405797102</v>
      </c>
    </row>
    <row r="2469" spans="1:10" x14ac:dyDescent="0.25">
      <c r="A2469" s="2" t="s">
        <v>7083</v>
      </c>
      <c r="B2469" s="2" t="s">
        <v>7007</v>
      </c>
      <c r="C2469" s="2" t="s">
        <v>7084</v>
      </c>
      <c r="D2469" s="2" t="s">
        <v>10055</v>
      </c>
      <c r="E2469" s="15">
        <v>3.1699999999999999E-2</v>
      </c>
      <c r="F2469" s="15">
        <v>7.0000000000000007E-2</v>
      </c>
      <c r="G2469" s="15">
        <v>0.6502</v>
      </c>
      <c r="H2469" s="15">
        <v>6.4199999999999993E-2</v>
      </c>
      <c r="I2469" s="15">
        <v>1.9300000000000001E-2</v>
      </c>
      <c r="J2469" s="15">
        <v>3.039106145251397</v>
      </c>
    </row>
    <row r="2470" spans="1:10" x14ac:dyDescent="0.25">
      <c r="A2470" s="2" t="s">
        <v>7085</v>
      </c>
      <c r="B2470" s="2" t="s">
        <v>7007</v>
      </c>
      <c r="C2470" s="2" t="s">
        <v>7086</v>
      </c>
      <c r="D2470" s="2" t="s">
        <v>10055</v>
      </c>
      <c r="E2470" s="15">
        <v>-2.6800000000000001E-2</v>
      </c>
      <c r="F2470" s="15">
        <v>6.9199999999999998E-2</v>
      </c>
      <c r="G2470" s="15">
        <v>0.69889999999999997</v>
      </c>
      <c r="H2470" s="15">
        <v>6.6799999999999998E-2</v>
      </c>
      <c r="I2470" s="15">
        <v>1.41E-2</v>
      </c>
      <c r="J2470" s="15">
        <v>4.7214285714285724</v>
      </c>
    </row>
    <row r="2471" spans="1:10" x14ac:dyDescent="0.25">
      <c r="A2471" s="2" t="s">
        <v>7087</v>
      </c>
      <c r="B2471" s="2" t="s">
        <v>7007</v>
      </c>
      <c r="C2471" s="2" t="s">
        <v>7088</v>
      </c>
      <c r="D2471" s="2" t="s">
        <v>10055</v>
      </c>
      <c r="E2471" s="15">
        <v>-0.1052</v>
      </c>
      <c r="F2471" s="15">
        <v>0.1011</v>
      </c>
      <c r="G2471" s="15">
        <v>0.29820000000000002</v>
      </c>
      <c r="H2471" s="15">
        <v>3.5099999999999999E-2</v>
      </c>
      <c r="I2471" s="15">
        <v>1.4800000000000001E-2</v>
      </c>
      <c r="J2471" s="15">
        <v>2.683098591549296</v>
      </c>
    </row>
    <row r="2472" spans="1:10" x14ac:dyDescent="0.25">
      <c r="A2472" s="2" t="s">
        <v>7089</v>
      </c>
      <c r="B2472" s="2" t="s">
        <v>7007</v>
      </c>
      <c r="C2472" s="2" t="s">
        <v>7090</v>
      </c>
      <c r="D2472" s="2" t="s">
        <v>10055</v>
      </c>
      <c r="E2472" s="15"/>
      <c r="F2472" s="15"/>
      <c r="G2472" s="15"/>
      <c r="H2472" s="15">
        <v>-4.3E-3</v>
      </c>
      <c r="I2472" s="15">
        <v>1.2800000000000001E-2</v>
      </c>
      <c r="J2472" s="15">
        <v>-0.2661290322580645</v>
      </c>
    </row>
    <row r="2473" spans="1:10" x14ac:dyDescent="0.25">
      <c r="A2473" s="2" t="s">
        <v>7091</v>
      </c>
      <c r="B2473" s="2" t="s">
        <v>7007</v>
      </c>
      <c r="C2473" s="2" t="s">
        <v>7092</v>
      </c>
      <c r="D2473" s="2" t="s">
        <v>10055</v>
      </c>
      <c r="E2473" s="15">
        <v>-7.5700000000000003E-2</v>
      </c>
      <c r="F2473" s="15">
        <v>6.6500000000000004E-2</v>
      </c>
      <c r="G2473" s="15">
        <v>0.25509999999999999</v>
      </c>
      <c r="H2473" s="15">
        <v>8.8099999999999998E-2</v>
      </c>
      <c r="I2473" s="15">
        <v>1.7600000000000001E-2</v>
      </c>
      <c r="J2473" s="15">
        <v>4.9638554216867474</v>
      </c>
    </row>
    <row r="2474" spans="1:10" x14ac:dyDescent="0.25">
      <c r="A2474" s="2" t="s">
        <v>7093</v>
      </c>
      <c r="B2474" s="2" t="s">
        <v>7007</v>
      </c>
      <c r="C2474" s="2" t="s">
        <v>7094</v>
      </c>
      <c r="D2474" s="2" t="s">
        <v>10055</v>
      </c>
      <c r="E2474" s="15">
        <v>5.4399999999999997E-2</v>
      </c>
      <c r="F2474" s="15">
        <v>7.7600000000000002E-2</v>
      </c>
      <c r="G2474" s="15">
        <v>0.4834</v>
      </c>
      <c r="H2474" s="15">
        <v>6.08E-2</v>
      </c>
      <c r="I2474" s="15">
        <v>1.4500000000000001E-2</v>
      </c>
      <c r="J2474" s="15">
        <v>4.8540145985401457</v>
      </c>
    </row>
    <row r="2475" spans="1:10" x14ac:dyDescent="0.25">
      <c r="A2475" s="2" t="s">
        <v>7095</v>
      </c>
      <c r="B2475" s="2" t="s">
        <v>7007</v>
      </c>
      <c r="C2475" s="2" t="s">
        <v>7096</v>
      </c>
      <c r="D2475" s="2" t="s">
        <v>10055</v>
      </c>
      <c r="E2475" s="15">
        <v>-2.9899999999999999E-2</v>
      </c>
      <c r="F2475" s="15">
        <v>6.7900000000000002E-2</v>
      </c>
      <c r="G2475" s="15">
        <v>0.65910000000000002</v>
      </c>
      <c r="H2475" s="15">
        <v>6.9099999999999995E-2</v>
      </c>
      <c r="I2475" s="15">
        <v>1.5100000000000001E-2</v>
      </c>
      <c r="J2475" s="15">
        <v>5.1756756756756754</v>
      </c>
    </row>
    <row r="2476" spans="1:10" x14ac:dyDescent="0.25">
      <c r="A2476" s="2" t="s">
        <v>7097</v>
      </c>
      <c r="B2476" s="2" t="s">
        <v>7007</v>
      </c>
      <c r="C2476" s="2" t="s">
        <v>7098</v>
      </c>
      <c r="D2476" s="2" t="s">
        <v>10055</v>
      </c>
      <c r="E2476" s="15">
        <v>9.6600000000000005E-2</v>
      </c>
      <c r="F2476" s="15">
        <v>0.19400000000000001</v>
      </c>
      <c r="G2476" s="15">
        <v>0.61870000000000003</v>
      </c>
      <c r="H2476" s="15">
        <v>8.8999999999999999E-3</v>
      </c>
      <c r="I2476" s="15">
        <v>1.44E-2</v>
      </c>
      <c r="J2476" s="15">
        <v>0.71917808219178081</v>
      </c>
    </row>
    <row r="2477" spans="1:10" x14ac:dyDescent="0.25">
      <c r="A2477" s="2" t="s">
        <v>7099</v>
      </c>
      <c r="B2477" s="2" t="s">
        <v>7007</v>
      </c>
      <c r="C2477" s="2" t="s">
        <v>7100</v>
      </c>
      <c r="D2477" s="2" t="s">
        <v>10055</v>
      </c>
      <c r="E2477" s="15">
        <v>8.4199999999999997E-2</v>
      </c>
      <c r="F2477" s="15">
        <v>9.2600000000000002E-2</v>
      </c>
      <c r="G2477" s="15">
        <v>0.36309999999999998</v>
      </c>
      <c r="H2477" s="15">
        <v>3.6900000000000002E-2</v>
      </c>
      <c r="I2477" s="15">
        <v>1.32E-2</v>
      </c>
      <c r="J2477" s="15">
        <v>3.2734375</v>
      </c>
    </row>
    <row r="2478" spans="1:10" x14ac:dyDescent="0.25">
      <c r="A2478" s="2" t="s">
        <v>7101</v>
      </c>
      <c r="B2478" s="2" t="s">
        <v>7007</v>
      </c>
      <c r="C2478" s="2" t="s">
        <v>7102</v>
      </c>
      <c r="D2478" s="2" t="s">
        <v>10055</v>
      </c>
      <c r="E2478" s="15">
        <v>6.83E-2</v>
      </c>
      <c r="F2478" s="15">
        <v>0.1671</v>
      </c>
      <c r="G2478" s="15">
        <v>0.68269999999999997</v>
      </c>
      <c r="H2478" s="15">
        <v>9.5999999999999992E-3</v>
      </c>
      <c r="I2478" s="15">
        <v>1.3899999999999999E-2</v>
      </c>
      <c r="J2478" s="15">
        <v>0.3692307692307692</v>
      </c>
    </row>
    <row r="2479" spans="1:10" x14ac:dyDescent="0.25">
      <c r="A2479" s="2" t="s">
        <v>7103</v>
      </c>
      <c r="B2479" s="2" t="s">
        <v>7007</v>
      </c>
      <c r="C2479" s="2" t="s">
        <v>7104</v>
      </c>
      <c r="D2479" s="2" t="s">
        <v>10055</v>
      </c>
      <c r="E2479" s="15">
        <v>-6.9900000000000004E-2</v>
      </c>
      <c r="F2479" s="15">
        <v>9.5699999999999993E-2</v>
      </c>
      <c r="G2479" s="15">
        <v>0.4652</v>
      </c>
      <c r="H2479" s="15">
        <v>2.9399999999999999E-2</v>
      </c>
      <c r="I2479" s="15">
        <v>1.52E-2</v>
      </c>
      <c r="J2479" s="15">
        <v>1.993055555555556</v>
      </c>
    </row>
    <row r="2480" spans="1:10" x14ac:dyDescent="0.25">
      <c r="A2480" s="2" t="s">
        <v>7105</v>
      </c>
      <c r="B2480" s="2" t="s">
        <v>7007</v>
      </c>
      <c r="C2480" s="2" t="s">
        <v>7106</v>
      </c>
      <c r="D2480" s="2" t="s">
        <v>10055</v>
      </c>
      <c r="E2480" s="15">
        <v>5.3400000000000003E-2</v>
      </c>
      <c r="F2480" s="15">
        <v>7.4800000000000005E-2</v>
      </c>
      <c r="G2480" s="15">
        <v>0.4753</v>
      </c>
      <c r="H2480" s="15">
        <v>7.7100000000000002E-2</v>
      </c>
      <c r="I2480" s="15">
        <v>1.54E-2</v>
      </c>
      <c r="J2480" s="15">
        <v>5.3783783783783781</v>
      </c>
    </row>
    <row r="2481" spans="1:10" x14ac:dyDescent="0.25">
      <c r="A2481" s="2" t="s">
        <v>7107</v>
      </c>
      <c r="B2481" s="2" t="s">
        <v>7007</v>
      </c>
      <c r="C2481" s="2" t="s">
        <v>7108</v>
      </c>
      <c r="D2481" s="2" t="s">
        <v>10055</v>
      </c>
      <c r="E2481" s="15">
        <v>0.3604</v>
      </c>
      <c r="F2481" s="15">
        <v>0.31519999999999998</v>
      </c>
      <c r="G2481" s="15">
        <v>0.25290000000000001</v>
      </c>
      <c r="H2481" s="15">
        <v>8.3999999999999995E-3</v>
      </c>
      <c r="I2481" s="15">
        <v>1.24E-2</v>
      </c>
      <c r="J2481" s="15">
        <v>0.56779661016949157</v>
      </c>
    </row>
    <row r="2482" spans="1:10" x14ac:dyDescent="0.25">
      <c r="A2482" s="2" t="s">
        <v>7109</v>
      </c>
      <c r="B2482" s="2" t="s">
        <v>7007</v>
      </c>
      <c r="C2482" s="2" t="s">
        <v>7110</v>
      </c>
      <c r="D2482" s="2" t="s">
        <v>10055</v>
      </c>
      <c r="E2482" s="15">
        <v>-9.4299999999999995E-2</v>
      </c>
      <c r="F2482" s="15">
        <v>5.8799999999999998E-2</v>
      </c>
      <c r="G2482" s="15">
        <v>0.1087</v>
      </c>
      <c r="H2482" s="15">
        <v>8.9899999999999994E-2</v>
      </c>
      <c r="I2482" s="15">
        <v>1.6299999999999999E-2</v>
      </c>
      <c r="J2482" s="15">
        <v>6.0064516129032262</v>
      </c>
    </row>
    <row r="2483" spans="1:10" x14ac:dyDescent="0.25">
      <c r="A2483" s="2" t="s">
        <v>7111</v>
      </c>
      <c r="B2483" s="2" t="s">
        <v>7007</v>
      </c>
      <c r="C2483" s="2" t="s">
        <v>7112</v>
      </c>
      <c r="D2483" s="2" t="s">
        <v>10055</v>
      </c>
      <c r="E2483" s="15">
        <v>-3.4099999999999998E-2</v>
      </c>
      <c r="F2483" s="15">
        <v>0.1303</v>
      </c>
      <c r="G2483" s="15">
        <v>0.79339999999999999</v>
      </c>
      <c r="H2483" s="15">
        <v>1.7100000000000001E-2</v>
      </c>
      <c r="I2483" s="15">
        <v>1.49E-2</v>
      </c>
      <c r="J2483" s="15">
        <v>1.035971223021583</v>
      </c>
    </row>
    <row r="2484" spans="1:10" x14ac:dyDescent="0.25">
      <c r="A2484" s="2" t="s">
        <v>7113</v>
      </c>
      <c r="B2484" s="2" t="s">
        <v>7007</v>
      </c>
      <c r="C2484" s="2" t="s">
        <v>7114</v>
      </c>
      <c r="D2484" s="2" t="s">
        <v>10055</v>
      </c>
      <c r="E2484" s="15">
        <v>5.0900000000000001E-2</v>
      </c>
      <c r="F2484" s="15">
        <v>6.4500000000000002E-2</v>
      </c>
      <c r="G2484" s="15">
        <v>0.43020000000000003</v>
      </c>
      <c r="H2484" s="15">
        <v>7.9100000000000004E-2</v>
      </c>
      <c r="I2484" s="15">
        <v>1.95E-2</v>
      </c>
      <c r="J2484" s="15">
        <v>4.1263157894736846</v>
      </c>
    </row>
    <row r="2485" spans="1:10" x14ac:dyDescent="0.25">
      <c r="A2485" s="2" t="s">
        <v>7115</v>
      </c>
      <c r="B2485" s="2" t="s">
        <v>7007</v>
      </c>
      <c r="C2485" s="2" t="s">
        <v>7116</v>
      </c>
      <c r="D2485" s="2" t="s">
        <v>10055</v>
      </c>
      <c r="E2485" s="15">
        <v>-7.6499999999999999E-2</v>
      </c>
      <c r="F2485" s="15">
        <v>7.2300000000000003E-2</v>
      </c>
      <c r="G2485" s="15">
        <v>0.2898</v>
      </c>
      <c r="H2485" s="15">
        <v>5.7200000000000001E-2</v>
      </c>
      <c r="I2485" s="15">
        <v>1.49E-2</v>
      </c>
      <c r="J2485" s="15">
        <v>3.939597315436242</v>
      </c>
    </row>
    <row r="2486" spans="1:10" x14ac:dyDescent="0.25">
      <c r="A2486" s="2" t="s">
        <v>7117</v>
      </c>
      <c r="B2486" s="2" t="s">
        <v>7007</v>
      </c>
      <c r="C2486" s="2" t="s">
        <v>7118</v>
      </c>
      <c r="D2486" s="2" t="s">
        <v>10055</v>
      </c>
      <c r="E2486" s="15">
        <v>6.6199999999999995E-2</v>
      </c>
      <c r="F2486" s="15">
        <v>0.13600000000000001</v>
      </c>
      <c r="G2486" s="15">
        <v>0.62660000000000005</v>
      </c>
      <c r="H2486" s="15">
        <v>1.7399999999999999E-2</v>
      </c>
      <c r="I2486" s="15">
        <v>1.38E-2</v>
      </c>
      <c r="J2486" s="15">
        <v>0.66666666666666663</v>
      </c>
    </row>
    <row r="2487" spans="1:10" x14ac:dyDescent="0.25">
      <c r="A2487" s="2" t="s">
        <v>7119</v>
      </c>
      <c r="B2487" s="2" t="s">
        <v>7007</v>
      </c>
      <c r="C2487" s="2" t="s">
        <v>7120</v>
      </c>
      <c r="D2487" s="2" t="s">
        <v>10055</v>
      </c>
      <c r="E2487" s="15">
        <v>-0.1138</v>
      </c>
      <c r="F2487" s="15">
        <v>0.1605</v>
      </c>
      <c r="G2487" s="15">
        <v>0.4783</v>
      </c>
      <c r="H2487" s="15">
        <v>1.4999999999999999E-2</v>
      </c>
      <c r="I2487" s="15">
        <v>1.6400000000000001E-2</v>
      </c>
      <c r="J2487" s="15">
        <v>1.121019108280255</v>
      </c>
    </row>
    <row r="2488" spans="1:10" x14ac:dyDescent="0.25">
      <c r="A2488" s="2" t="s">
        <v>7121</v>
      </c>
      <c r="B2488" s="2" t="s">
        <v>7007</v>
      </c>
      <c r="C2488" s="2" t="s">
        <v>7122</v>
      </c>
      <c r="D2488" s="2" t="s">
        <v>10055</v>
      </c>
      <c r="E2488" s="15">
        <v>-4.5100000000000001E-2</v>
      </c>
      <c r="F2488" s="15">
        <v>0.13170000000000001</v>
      </c>
      <c r="G2488" s="15">
        <v>0.73209999999999997</v>
      </c>
      <c r="H2488" s="15">
        <v>1.5100000000000001E-2</v>
      </c>
      <c r="I2488" s="15">
        <v>1.4E-2</v>
      </c>
      <c r="J2488" s="15">
        <v>1.0902777777777779</v>
      </c>
    </row>
    <row r="2489" spans="1:10" x14ac:dyDescent="0.25">
      <c r="A2489" s="2" t="s">
        <v>7123</v>
      </c>
      <c r="B2489" s="2" t="s">
        <v>7007</v>
      </c>
      <c r="C2489" s="2" t="s">
        <v>7124</v>
      </c>
      <c r="D2489" s="2" t="s">
        <v>10055</v>
      </c>
      <c r="E2489" s="15">
        <v>-5.3600000000000002E-2</v>
      </c>
      <c r="F2489" s="15">
        <v>7.6100000000000001E-2</v>
      </c>
      <c r="G2489" s="15">
        <v>0.48080000000000001</v>
      </c>
      <c r="H2489" s="15">
        <v>5.5E-2</v>
      </c>
      <c r="I2489" s="15">
        <v>1.2500000000000001E-2</v>
      </c>
      <c r="J2489" s="15">
        <v>3.717557251908397</v>
      </c>
    </row>
    <row r="2490" spans="1:10" x14ac:dyDescent="0.25">
      <c r="A2490" s="2" t="s">
        <v>7125</v>
      </c>
      <c r="B2490" s="2" t="s">
        <v>7007</v>
      </c>
      <c r="C2490" s="2" t="s">
        <v>7126</v>
      </c>
      <c r="D2490" s="2" t="s">
        <v>10055</v>
      </c>
      <c r="E2490" s="15">
        <v>4.9799999999999997E-2</v>
      </c>
      <c r="F2490" s="15">
        <v>7.1099999999999997E-2</v>
      </c>
      <c r="G2490" s="15">
        <v>0.48309999999999997</v>
      </c>
      <c r="H2490" s="15">
        <v>7.1900000000000006E-2</v>
      </c>
      <c r="I2490" s="15">
        <v>1.6500000000000001E-2</v>
      </c>
      <c r="J2490" s="15">
        <v>4.7730061349693251</v>
      </c>
    </row>
    <row r="2491" spans="1:10" x14ac:dyDescent="0.25">
      <c r="A2491" s="2" t="s">
        <v>7127</v>
      </c>
      <c r="B2491" s="2" t="s">
        <v>7007</v>
      </c>
      <c r="C2491" s="2" t="s">
        <v>7128</v>
      </c>
      <c r="D2491" s="2" t="s">
        <v>10055</v>
      </c>
      <c r="E2491" s="15">
        <v>-0.1618</v>
      </c>
      <c r="F2491" s="15">
        <v>0.1007</v>
      </c>
      <c r="G2491" s="15">
        <v>0.108</v>
      </c>
      <c r="H2491" s="15">
        <v>3.5299999999999998E-2</v>
      </c>
      <c r="I2491" s="15">
        <v>1.54E-2</v>
      </c>
      <c r="J2491" s="15">
        <v>2.2400000000000002</v>
      </c>
    </row>
    <row r="2492" spans="1:10" x14ac:dyDescent="0.25">
      <c r="A2492" s="2" t="s">
        <v>7129</v>
      </c>
      <c r="B2492" s="2" t="s">
        <v>7007</v>
      </c>
      <c r="C2492" s="2" t="s">
        <v>7130</v>
      </c>
      <c r="D2492" s="2" t="s">
        <v>10055</v>
      </c>
      <c r="E2492" s="15">
        <v>-4.24E-2</v>
      </c>
      <c r="F2492" s="15">
        <v>8.7400000000000005E-2</v>
      </c>
      <c r="G2492" s="15">
        <v>0.62729999999999997</v>
      </c>
      <c r="H2492" s="15">
        <v>3.9399999999999998E-2</v>
      </c>
      <c r="I2492" s="15">
        <v>1.5699999999999999E-2</v>
      </c>
      <c r="J2492" s="15">
        <v>3</v>
      </c>
    </row>
    <row r="2493" spans="1:10" x14ac:dyDescent="0.25">
      <c r="A2493" s="2" t="s">
        <v>7131</v>
      </c>
      <c r="B2493" s="2" t="s">
        <v>7007</v>
      </c>
      <c r="C2493" s="2" t="s">
        <v>7132</v>
      </c>
      <c r="D2493" s="2" t="s">
        <v>10055</v>
      </c>
      <c r="E2493" s="15">
        <v>5.57E-2</v>
      </c>
      <c r="F2493" s="15">
        <v>9.2899999999999996E-2</v>
      </c>
      <c r="G2493" s="15">
        <v>0.54900000000000004</v>
      </c>
      <c r="H2493" s="15">
        <v>2.93E-2</v>
      </c>
      <c r="I2493" s="15">
        <v>1.3299999999999999E-2</v>
      </c>
      <c r="J2493" s="15">
        <v>1.9147286821705429</v>
      </c>
    </row>
    <row r="2494" spans="1:10" x14ac:dyDescent="0.25">
      <c r="A2494" s="2" t="s">
        <v>7133</v>
      </c>
      <c r="B2494" s="2" t="s">
        <v>7007</v>
      </c>
      <c r="C2494" s="2" t="s">
        <v>7134</v>
      </c>
      <c r="D2494" s="2" t="s">
        <v>10055</v>
      </c>
      <c r="E2494" s="15">
        <v>0.1106</v>
      </c>
      <c r="F2494" s="15">
        <v>9.1999999999999998E-2</v>
      </c>
      <c r="G2494" s="15">
        <v>0.2293</v>
      </c>
      <c r="H2494" s="15">
        <v>3.56E-2</v>
      </c>
      <c r="I2494" s="15">
        <v>1.5100000000000001E-2</v>
      </c>
      <c r="J2494" s="15">
        <v>2.6107382550335569</v>
      </c>
    </row>
    <row r="2495" spans="1:10" x14ac:dyDescent="0.25">
      <c r="A2495" s="2" t="s">
        <v>7135</v>
      </c>
      <c r="B2495" s="2" t="s">
        <v>7007</v>
      </c>
      <c r="C2495" s="2" t="s">
        <v>7136</v>
      </c>
      <c r="D2495" s="2" t="s">
        <v>10055</v>
      </c>
      <c r="E2495" s="15">
        <v>0.2457</v>
      </c>
      <c r="F2495" s="15">
        <v>0.12180000000000001</v>
      </c>
      <c r="G2495" s="15">
        <v>4.3700000000000003E-2</v>
      </c>
      <c r="H2495" s="15">
        <v>2.4500000000000001E-2</v>
      </c>
      <c r="I2495" s="15">
        <v>1.4500000000000001E-2</v>
      </c>
      <c r="J2495" s="15">
        <v>2.2642857142857138</v>
      </c>
    </row>
    <row r="2496" spans="1:10" x14ac:dyDescent="0.25">
      <c r="A2496" s="2" t="s">
        <v>7137</v>
      </c>
      <c r="B2496" s="2" t="s">
        <v>7007</v>
      </c>
      <c r="C2496" s="2" t="s">
        <v>7138</v>
      </c>
      <c r="D2496" s="2" t="s">
        <v>10055</v>
      </c>
      <c r="E2496" s="15">
        <v>1.7399999999999999E-2</v>
      </c>
      <c r="F2496" s="15">
        <v>6.59E-2</v>
      </c>
      <c r="G2496" s="15">
        <v>0.7923</v>
      </c>
      <c r="H2496" s="15">
        <v>9.0999999999999998E-2</v>
      </c>
      <c r="I2496" s="15">
        <v>1.5900000000000001E-2</v>
      </c>
      <c r="J2496" s="15">
        <v>6.2418300653594772</v>
      </c>
    </row>
    <row r="2497" spans="1:10" x14ac:dyDescent="0.25">
      <c r="A2497" s="2" t="s">
        <v>7139</v>
      </c>
      <c r="B2497" s="2" t="s">
        <v>7007</v>
      </c>
      <c r="C2497" s="2" t="s">
        <v>7140</v>
      </c>
      <c r="D2497" s="2" t="s">
        <v>10055</v>
      </c>
      <c r="E2497" s="15">
        <v>-9.0200000000000002E-2</v>
      </c>
      <c r="F2497" s="15">
        <v>9.5899999999999999E-2</v>
      </c>
      <c r="G2497" s="15">
        <v>0.34699999999999998</v>
      </c>
      <c r="H2497" s="15">
        <v>3.2099999999999997E-2</v>
      </c>
      <c r="I2497" s="15">
        <v>1.4500000000000001E-2</v>
      </c>
      <c r="J2497" s="15">
        <v>2.371428571428571</v>
      </c>
    </row>
    <row r="2498" spans="1:10" x14ac:dyDescent="0.25">
      <c r="A2498" s="2" t="s">
        <v>7141</v>
      </c>
      <c r="B2498" s="2" t="s">
        <v>7007</v>
      </c>
      <c r="C2498" s="2" t="s">
        <v>7142</v>
      </c>
      <c r="D2498" s="2" t="s">
        <v>10055</v>
      </c>
      <c r="E2498" s="15">
        <v>0.1212</v>
      </c>
      <c r="F2498" s="15">
        <v>8.6800000000000002E-2</v>
      </c>
      <c r="G2498" s="15">
        <v>0.16250000000000001</v>
      </c>
      <c r="H2498" s="15">
        <v>3.9399999999999998E-2</v>
      </c>
      <c r="I2498" s="15">
        <v>1.46E-2</v>
      </c>
      <c r="J2498" s="15">
        <v>3.1448275862068971</v>
      </c>
    </row>
    <row r="2499" spans="1:10" x14ac:dyDescent="0.25">
      <c r="A2499" s="2" t="s">
        <v>7143</v>
      </c>
      <c r="B2499" s="2" t="s">
        <v>7007</v>
      </c>
      <c r="C2499" s="2" t="s">
        <v>7144</v>
      </c>
      <c r="D2499" s="2" t="s">
        <v>10055</v>
      </c>
      <c r="E2499" s="15">
        <v>-3.4500000000000003E-2</v>
      </c>
      <c r="F2499" s="15">
        <v>0.13070000000000001</v>
      </c>
      <c r="G2499" s="15">
        <v>0.79169999999999996</v>
      </c>
      <c r="H2499" s="15">
        <v>1.89E-2</v>
      </c>
      <c r="I2499" s="15">
        <v>1.47E-2</v>
      </c>
      <c r="J2499" s="15">
        <v>1.3472222222222221</v>
      </c>
    </row>
    <row r="2500" spans="1:10" x14ac:dyDescent="0.25">
      <c r="A2500" s="2" t="s">
        <v>7145</v>
      </c>
      <c r="B2500" s="2" t="s">
        <v>7007</v>
      </c>
      <c r="C2500" s="2" t="s">
        <v>7146</v>
      </c>
      <c r="D2500" s="2" t="s">
        <v>10055</v>
      </c>
      <c r="E2500" s="15">
        <v>-7.0000000000000001E-3</v>
      </c>
      <c r="F2500" s="15">
        <v>9.3299999999999994E-2</v>
      </c>
      <c r="G2500" s="15">
        <v>0.93979999999999997</v>
      </c>
      <c r="H2500" s="15">
        <v>3.7699999999999997E-2</v>
      </c>
      <c r="I2500" s="15">
        <v>1.6E-2</v>
      </c>
      <c r="J2500" s="15">
        <v>2.115384615384615</v>
      </c>
    </row>
    <row r="2501" spans="1:10" x14ac:dyDescent="0.25">
      <c r="A2501" s="2" t="s">
        <v>7147</v>
      </c>
      <c r="B2501" s="2" t="s">
        <v>7007</v>
      </c>
      <c r="C2501" s="2" t="s">
        <v>7148</v>
      </c>
      <c r="D2501" s="2" t="s">
        <v>10055</v>
      </c>
      <c r="E2501" s="15">
        <v>1.95E-2</v>
      </c>
      <c r="F2501" s="15">
        <v>6.5699999999999995E-2</v>
      </c>
      <c r="G2501" s="15">
        <v>0.76619999999999999</v>
      </c>
      <c r="H2501" s="15">
        <v>8.0199999999999994E-2</v>
      </c>
      <c r="I2501" s="15">
        <v>1.7500000000000002E-2</v>
      </c>
      <c r="J2501" s="15">
        <v>4.2711864406779663</v>
      </c>
    </row>
    <row r="2502" spans="1:10" x14ac:dyDescent="0.25">
      <c r="A2502" s="2" t="s">
        <v>7149</v>
      </c>
      <c r="B2502" s="2" t="s">
        <v>7007</v>
      </c>
      <c r="C2502" s="2" t="s">
        <v>7150</v>
      </c>
      <c r="D2502" s="2" t="s">
        <v>10055</v>
      </c>
      <c r="E2502" s="15">
        <v>9.1399999999999995E-2</v>
      </c>
      <c r="F2502" s="15">
        <v>0.1731</v>
      </c>
      <c r="G2502" s="15">
        <v>0.59760000000000002</v>
      </c>
      <c r="H2502" s="15">
        <v>1.0699999999999999E-2</v>
      </c>
      <c r="I2502" s="15">
        <v>1.2800000000000001E-2</v>
      </c>
      <c r="J2502" s="15">
        <v>0.62318840579710144</v>
      </c>
    </row>
    <row r="2503" spans="1:10" x14ac:dyDescent="0.25">
      <c r="A2503" s="2" t="s">
        <v>7151</v>
      </c>
      <c r="B2503" s="2" t="s">
        <v>7007</v>
      </c>
      <c r="C2503" s="2" t="s">
        <v>7152</v>
      </c>
      <c r="D2503" s="2" t="s">
        <v>10055</v>
      </c>
      <c r="E2503" s="15">
        <v>0.2082</v>
      </c>
      <c r="F2503" s="15">
        <v>8.3000000000000004E-2</v>
      </c>
      <c r="G2503" s="15">
        <v>1.21E-2</v>
      </c>
      <c r="H2503" s="15">
        <v>5.67E-2</v>
      </c>
      <c r="I2503" s="15">
        <v>1.4800000000000001E-2</v>
      </c>
      <c r="J2503" s="15">
        <v>3.2913907284768209</v>
      </c>
    </row>
    <row r="2504" spans="1:10" x14ac:dyDescent="0.25">
      <c r="A2504" s="2" t="s">
        <v>7153</v>
      </c>
      <c r="B2504" s="2" t="s">
        <v>7007</v>
      </c>
      <c r="C2504" s="2" t="s">
        <v>7154</v>
      </c>
      <c r="D2504" s="2" t="s">
        <v>10055</v>
      </c>
      <c r="E2504" s="15">
        <v>-6.4000000000000003E-3</v>
      </c>
      <c r="F2504" s="15">
        <v>9.6199999999999994E-2</v>
      </c>
      <c r="G2504" s="15">
        <v>0.94710000000000005</v>
      </c>
      <c r="H2504" s="15">
        <v>3.2599999999999997E-2</v>
      </c>
      <c r="I2504" s="15">
        <v>1.52E-2</v>
      </c>
      <c r="J2504" s="15">
        <v>2.1736111111111112</v>
      </c>
    </row>
    <row r="2505" spans="1:10" x14ac:dyDescent="0.25">
      <c r="A2505" s="2" t="s">
        <v>7155</v>
      </c>
      <c r="B2505" s="2" t="s">
        <v>7007</v>
      </c>
      <c r="C2505" s="2" t="s">
        <v>7156</v>
      </c>
      <c r="D2505" s="2" t="s">
        <v>10055</v>
      </c>
      <c r="E2505" s="15">
        <v>4.0500000000000001E-2</v>
      </c>
      <c r="F2505" s="15">
        <v>6.8199999999999997E-2</v>
      </c>
      <c r="G2505" s="15">
        <v>0.55230000000000001</v>
      </c>
      <c r="H2505" s="15">
        <v>9.0399999999999994E-2</v>
      </c>
      <c r="I2505" s="15">
        <v>1.6500000000000001E-2</v>
      </c>
      <c r="J2505" s="15">
        <v>5.9263803680981599</v>
      </c>
    </row>
    <row r="2506" spans="1:10" x14ac:dyDescent="0.25">
      <c r="A2506" s="2" t="s">
        <v>7157</v>
      </c>
      <c r="B2506" s="2" t="s">
        <v>7007</v>
      </c>
      <c r="C2506" s="2" t="s">
        <v>7158</v>
      </c>
      <c r="D2506" s="2" t="s">
        <v>10055</v>
      </c>
      <c r="E2506" s="15">
        <v>7.3599999999999999E-2</v>
      </c>
      <c r="F2506" s="15">
        <v>7.3300000000000004E-2</v>
      </c>
      <c r="G2506" s="15">
        <v>0.31530000000000002</v>
      </c>
      <c r="H2506" s="15">
        <v>5.3999999999999999E-2</v>
      </c>
      <c r="I2506" s="15">
        <v>1.9400000000000001E-2</v>
      </c>
      <c r="J2506" s="15">
        <v>3.3542857142857141</v>
      </c>
    </row>
    <row r="2507" spans="1:10" x14ac:dyDescent="0.25">
      <c r="A2507" s="2" t="s">
        <v>7159</v>
      </c>
      <c r="B2507" s="2" t="s">
        <v>7007</v>
      </c>
      <c r="C2507" s="2" t="s">
        <v>7160</v>
      </c>
      <c r="D2507" s="2" t="s">
        <v>10055</v>
      </c>
      <c r="E2507" s="15">
        <v>-4.7300000000000002E-2</v>
      </c>
      <c r="F2507" s="15">
        <v>7.0999999999999994E-2</v>
      </c>
      <c r="G2507" s="15">
        <v>0.50560000000000005</v>
      </c>
      <c r="H2507" s="15">
        <v>5.8999999999999997E-2</v>
      </c>
      <c r="I2507" s="15">
        <v>1.3899999999999999E-2</v>
      </c>
      <c r="J2507" s="15">
        <v>4.3308823529411766</v>
      </c>
    </row>
    <row r="2508" spans="1:10" x14ac:dyDescent="0.25">
      <c r="A2508" s="2" t="s">
        <v>7161</v>
      </c>
      <c r="B2508" s="2" t="s">
        <v>7007</v>
      </c>
      <c r="C2508" s="2" t="s">
        <v>7162</v>
      </c>
      <c r="D2508" s="2" t="s">
        <v>10055</v>
      </c>
      <c r="E2508" s="15">
        <v>-2.1399999999999999E-2</v>
      </c>
      <c r="F2508" s="15">
        <v>5.6599999999999998E-2</v>
      </c>
      <c r="G2508" s="15">
        <v>0.70579999999999998</v>
      </c>
      <c r="H2508" s="15">
        <v>0.1158</v>
      </c>
      <c r="I2508" s="15">
        <v>1.9E-2</v>
      </c>
      <c r="J2508" s="15">
        <v>6.7752808988764048</v>
      </c>
    </row>
    <row r="2509" spans="1:10" x14ac:dyDescent="0.25">
      <c r="A2509" s="2" t="s">
        <v>7163</v>
      </c>
      <c r="B2509" s="2" t="s">
        <v>7007</v>
      </c>
      <c r="C2509" s="2" t="s">
        <v>7164</v>
      </c>
      <c r="D2509" s="2" t="s">
        <v>10055</v>
      </c>
      <c r="E2509" s="15">
        <v>2.8799999999999999E-2</v>
      </c>
      <c r="F2509" s="15">
        <v>6.2E-2</v>
      </c>
      <c r="G2509" s="15">
        <v>0.64219999999999999</v>
      </c>
      <c r="H2509" s="15">
        <v>8.0100000000000005E-2</v>
      </c>
      <c r="I2509" s="15">
        <v>1.4999999999999999E-2</v>
      </c>
      <c r="J2509" s="15">
        <v>5.5816993464052294</v>
      </c>
    </row>
    <row r="2510" spans="1:10" x14ac:dyDescent="0.25">
      <c r="A2510" s="2" t="s">
        <v>7165</v>
      </c>
      <c r="B2510" s="2" t="s">
        <v>7007</v>
      </c>
      <c r="C2510" s="2" t="s">
        <v>7166</v>
      </c>
      <c r="D2510" s="2" t="s">
        <v>10055</v>
      </c>
      <c r="E2510" s="15">
        <v>-7.0599999999999996E-2</v>
      </c>
      <c r="F2510" s="15">
        <v>0.26019999999999999</v>
      </c>
      <c r="G2510" s="15">
        <v>0.78600000000000003</v>
      </c>
      <c r="H2510" s="15">
        <v>5.5999999999999999E-3</v>
      </c>
      <c r="I2510" s="15">
        <v>1.2699999999999999E-2</v>
      </c>
      <c r="J2510" s="15">
        <v>0.17777777777777781</v>
      </c>
    </row>
    <row r="2511" spans="1:10" x14ac:dyDescent="0.25">
      <c r="A2511" s="2" t="s">
        <v>7167</v>
      </c>
      <c r="B2511" s="2" t="s">
        <v>7007</v>
      </c>
      <c r="C2511" s="2" t="s">
        <v>7168</v>
      </c>
      <c r="D2511" s="2" t="s">
        <v>10055</v>
      </c>
      <c r="E2511" s="15">
        <v>1.17E-2</v>
      </c>
      <c r="F2511" s="15">
        <v>8.7099999999999997E-2</v>
      </c>
      <c r="G2511" s="15">
        <v>0.89270000000000005</v>
      </c>
      <c r="H2511" s="15">
        <v>4.7600000000000003E-2</v>
      </c>
      <c r="I2511" s="15">
        <v>1.6400000000000001E-2</v>
      </c>
      <c r="J2511" s="15">
        <v>3.883870967741935</v>
      </c>
    </row>
    <row r="2512" spans="1:10" x14ac:dyDescent="0.25">
      <c r="A2512" s="2" t="s">
        <v>7169</v>
      </c>
      <c r="B2512" s="2" t="s">
        <v>7007</v>
      </c>
      <c r="C2512" s="2" t="s">
        <v>7170</v>
      </c>
      <c r="D2512" s="2" t="s">
        <v>10055</v>
      </c>
      <c r="E2512" s="15">
        <v>-0.14510000000000001</v>
      </c>
      <c r="F2512" s="15">
        <v>7.4800000000000005E-2</v>
      </c>
      <c r="G2512" s="15">
        <v>5.2299999999999999E-2</v>
      </c>
      <c r="H2512" s="15">
        <v>5.2200000000000003E-2</v>
      </c>
      <c r="I2512" s="15">
        <v>1.6299999999999999E-2</v>
      </c>
      <c r="J2512" s="15">
        <v>3.5032258064516131</v>
      </c>
    </row>
    <row r="2513" spans="1:10" x14ac:dyDescent="0.25">
      <c r="A2513" s="2" t="s">
        <v>7171</v>
      </c>
      <c r="B2513" s="2" t="s">
        <v>7007</v>
      </c>
      <c r="C2513" s="2" t="s">
        <v>7172</v>
      </c>
      <c r="D2513" s="2" t="s">
        <v>10055</v>
      </c>
      <c r="E2513" s="15">
        <v>-5.6000000000000001E-2</v>
      </c>
      <c r="F2513" s="15">
        <v>0.15490000000000001</v>
      </c>
      <c r="G2513" s="15">
        <v>0.7177</v>
      </c>
      <c r="H2513" s="15">
        <v>1.3599999999999999E-2</v>
      </c>
      <c r="I2513" s="15">
        <v>1.4800000000000001E-2</v>
      </c>
      <c r="J2513" s="15">
        <v>1.265306122448979</v>
      </c>
    </row>
    <row r="2514" spans="1:10" x14ac:dyDescent="0.25">
      <c r="A2514" s="2" t="s">
        <v>7173</v>
      </c>
      <c r="B2514" s="2" t="s">
        <v>7007</v>
      </c>
      <c r="C2514" s="2" t="s">
        <v>7174</v>
      </c>
      <c r="D2514" s="2" t="s">
        <v>10055</v>
      </c>
      <c r="E2514" s="15">
        <v>0.1231</v>
      </c>
      <c r="F2514" s="15">
        <v>0.109</v>
      </c>
      <c r="G2514" s="15">
        <v>0.25879999999999997</v>
      </c>
      <c r="H2514" s="15">
        <v>2.9100000000000001E-2</v>
      </c>
      <c r="I2514" s="15">
        <v>1.5100000000000001E-2</v>
      </c>
      <c r="J2514" s="15">
        <v>2.3441558441558441</v>
      </c>
    </row>
    <row r="2515" spans="1:10" x14ac:dyDescent="0.25">
      <c r="A2515" s="2" t="s">
        <v>7175</v>
      </c>
      <c r="B2515" s="2" t="s">
        <v>7007</v>
      </c>
      <c r="C2515" s="2" t="s">
        <v>7176</v>
      </c>
      <c r="D2515" s="2" t="s">
        <v>10055</v>
      </c>
      <c r="E2515" s="15">
        <v>-0.1108</v>
      </c>
      <c r="F2515" s="15">
        <v>0.1074</v>
      </c>
      <c r="G2515" s="15">
        <v>0.30230000000000001</v>
      </c>
      <c r="H2515" s="15">
        <v>2.8199999999999999E-2</v>
      </c>
      <c r="I2515" s="15">
        <v>1.3599999999999999E-2</v>
      </c>
      <c r="J2515" s="15">
        <v>2.4676258992805749</v>
      </c>
    </row>
    <row r="2516" spans="1:10" x14ac:dyDescent="0.25">
      <c r="A2516" s="2" t="s">
        <v>7177</v>
      </c>
      <c r="B2516" s="2" t="s">
        <v>7007</v>
      </c>
      <c r="C2516" s="2" t="s">
        <v>7178</v>
      </c>
      <c r="D2516" s="2" t="s">
        <v>10055</v>
      </c>
      <c r="E2516" s="15">
        <v>0.12379999999999999</v>
      </c>
      <c r="F2516" s="15">
        <v>8.0199999999999994E-2</v>
      </c>
      <c r="G2516" s="15">
        <v>0.1227</v>
      </c>
      <c r="H2516" s="15">
        <v>4.3799999999999999E-2</v>
      </c>
      <c r="I2516" s="15">
        <v>1.5599999999999999E-2</v>
      </c>
      <c r="J2516" s="15">
        <v>2.8053691275167778</v>
      </c>
    </row>
    <row r="2517" spans="1:10" x14ac:dyDescent="0.25">
      <c r="A2517" s="2" t="s">
        <v>7179</v>
      </c>
      <c r="B2517" s="2" t="s">
        <v>7007</v>
      </c>
      <c r="C2517" s="2" t="s">
        <v>7180</v>
      </c>
      <c r="D2517" s="2" t="s">
        <v>10055</v>
      </c>
      <c r="E2517" s="15">
        <v>2.3099999999999999E-2</v>
      </c>
      <c r="F2517" s="15">
        <v>9.4700000000000006E-2</v>
      </c>
      <c r="G2517" s="15">
        <v>0.8075</v>
      </c>
      <c r="H2517" s="15">
        <v>3.8399999999999997E-2</v>
      </c>
      <c r="I2517" s="15">
        <v>1.2999999999999999E-2</v>
      </c>
      <c r="J2517" s="15">
        <v>3.375</v>
      </c>
    </row>
    <row r="2518" spans="1:10" x14ac:dyDescent="0.25">
      <c r="A2518" s="2" t="s">
        <v>7181</v>
      </c>
      <c r="B2518" s="2" t="s">
        <v>7007</v>
      </c>
      <c r="C2518" s="2" t="s">
        <v>7182</v>
      </c>
      <c r="D2518" s="2" t="s">
        <v>10055</v>
      </c>
      <c r="E2518" s="15">
        <v>2.4E-2</v>
      </c>
      <c r="F2518" s="15">
        <v>8.4900000000000003E-2</v>
      </c>
      <c r="G2518" s="15">
        <v>0.77739999999999998</v>
      </c>
      <c r="H2518" s="15">
        <v>4.41E-2</v>
      </c>
      <c r="I2518" s="15">
        <v>1.5100000000000001E-2</v>
      </c>
      <c r="J2518" s="15">
        <v>3.6174496644295311</v>
      </c>
    </row>
    <row r="2519" spans="1:10" x14ac:dyDescent="0.25">
      <c r="A2519" s="2" t="s">
        <v>7183</v>
      </c>
      <c r="B2519" s="2" t="s">
        <v>7007</v>
      </c>
      <c r="C2519" s="2" t="s">
        <v>7184</v>
      </c>
      <c r="D2519" s="2" t="s">
        <v>10055</v>
      </c>
      <c r="E2519" s="15"/>
      <c r="F2519" s="15"/>
      <c r="G2519" s="15"/>
      <c r="H2519" s="15">
        <v>-1.0699999999999999E-2</v>
      </c>
      <c r="I2519" s="15">
        <v>1.4500000000000001E-2</v>
      </c>
      <c r="J2519" s="15">
        <v>-0.35416666666666669</v>
      </c>
    </row>
    <row r="2520" spans="1:10" x14ac:dyDescent="0.25">
      <c r="A2520" s="2" t="s">
        <v>7185</v>
      </c>
      <c r="B2520" s="2" t="s">
        <v>7007</v>
      </c>
      <c r="C2520" s="2" t="s">
        <v>7186</v>
      </c>
      <c r="D2520" s="2" t="s">
        <v>10055</v>
      </c>
      <c r="E2520" s="15">
        <v>-3.0700000000000002E-2</v>
      </c>
      <c r="F2520" s="15">
        <v>0.1154</v>
      </c>
      <c r="G2520" s="15">
        <v>0.79039999999999999</v>
      </c>
      <c r="H2520" s="15">
        <v>2.35E-2</v>
      </c>
      <c r="I2520" s="15">
        <v>1.41E-2</v>
      </c>
      <c r="J2520" s="15">
        <v>2.2105263157894739</v>
      </c>
    </row>
    <row r="2521" spans="1:10" x14ac:dyDescent="0.25">
      <c r="A2521" s="2" t="s">
        <v>7187</v>
      </c>
      <c r="B2521" s="2" t="s">
        <v>7007</v>
      </c>
      <c r="C2521" s="2" t="s">
        <v>7188</v>
      </c>
      <c r="D2521" s="2" t="s">
        <v>10055</v>
      </c>
      <c r="E2521" s="15">
        <v>-7.0599999999999996E-2</v>
      </c>
      <c r="F2521" s="15">
        <v>8.6300000000000002E-2</v>
      </c>
      <c r="G2521" s="15">
        <v>0.41299999999999998</v>
      </c>
      <c r="H2521" s="15">
        <v>3.7499999999999999E-2</v>
      </c>
      <c r="I2521" s="15">
        <v>1.43E-2</v>
      </c>
      <c r="J2521" s="15">
        <v>2.75177304964539</v>
      </c>
    </row>
    <row r="2522" spans="1:10" x14ac:dyDescent="0.25">
      <c r="A2522" s="2" t="s">
        <v>7189</v>
      </c>
      <c r="B2522" s="2" t="s">
        <v>7007</v>
      </c>
      <c r="C2522" s="2" t="s">
        <v>7190</v>
      </c>
      <c r="D2522" s="2" t="s">
        <v>10055</v>
      </c>
      <c r="E2522" s="15">
        <v>0.1239</v>
      </c>
      <c r="F2522" s="15">
        <v>0.35449999999999998</v>
      </c>
      <c r="G2522" s="15">
        <v>0.72670000000000001</v>
      </c>
      <c r="H2522" s="15">
        <v>5.7999999999999996E-3</v>
      </c>
      <c r="I2522" s="15">
        <v>1.52E-2</v>
      </c>
      <c r="J2522" s="15">
        <v>0.82432432432432434</v>
      </c>
    </row>
    <row r="2523" spans="1:10" x14ac:dyDescent="0.25">
      <c r="A2523" s="2" t="s">
        <v>7191</v>
      </c>
      <c r="B2523" s="2" t="s">
        <v>7007</v>
      </c>
      <c r="C2523" s="2" t="s">
        <v>7192</v>
      </c>
      <c r="D2523" s="2" t="s">
        <v>10055</v>
      </c>
      <c r="E2523" s="15">
        <v>-6.9500000000000006E-2</v>
      </c>
      <c r="F2523" s="15">
        <v>5.9299999999999999E-2</v>
      </c>
      <c r="G2523" s="15">
        <v>0.2409</v>
      </c>
      <c r="H2523" s="15">
        <v>8.5199999999999998E-2</v>
      </c>
      <c r="I2523" s="15">
        <v>1.41E-2</v>
      </c>
      <c r="J2523" s="15">
        <v>5.9642857142857144</v>
      </c>
    </row>
    <row r="2524" spans="1:10" x14ac:dyDescent="0.25">
      <c r="A2524" s="2" t="s">
        <v>7193</v>
      </c>
      <c r="B2524" s="2" t="s">
        <v>7007</v>
      </c>
      <c r="C2524" s="2" t="s">
        <v>7194</v>
      </c>
      <c r="D2524" s="2" t="s">
        <v>10055</v>
      </c>
      <c r="E2524" s="15">
        <v>0.30530000000000002</v>
      </c>
      <c r="F2524" s="15">
        <v>7.6650999999999998</v>
      </c>
      <c r="G2524" s="15">
        <v>0.96819999999999995</v>
      </c>
      <c r="H2524" s="15">
        <v>5.0000000000000001E-3</v>
      </c>
      <c r="I2524" s="15">
        <v>1.5299999999999999E-2</v>
      </c>
      <c r="J2524" s="15">
        <v>0.47222222222222221</v>
      </c>
    </row>
    <row r="2525" spans="1:10" x14ac:dyDescent="0.25">
      <c r="A2525" s="2" t="s">
        <v>7195</v>
      </c>
      <c r="B2525" s="2" t="s">
        <v>7007</v>
      </c>
      <c r="C2525" s="2" t="s">
        <v>7196</v>
      </c>
      <c r="D2525" s="2" t="s">
        <v>10055</v>
      </c>
      <c r="E2525" s="15">
        <v>0.11509999999999999</v>
      </c>
      <c r="F2525" s="15">
        <v>0.1308</v>
      </c>
      <c r="G2525" s="15">
        <v>0.37890000000000001</v>
      </c>
      <c r="H2525" s="15">
        <v>2.06E-2</v>
      </c>
      <c r="I2525" s="15">
        <v>1.4200000000000001E-2</v>
      </c>
      <c r="J2525" s="15">
        <v>1.437956204379562</v>
      </c>
    </row>
    <row r="2526" spans="1:10" x14ac:dyDescent="0.25">
      <c r="A2526" s="2" t="s">
        <v>7197</v>
      </c>
      <c r="B2526" s="2" t="s">
        <v>7007</v>
      </c>
      <c r="C2526" s="2" t="s">
        <v>7198</v>
      </c>
      <c r="D2526" s="2" t="s">
        <v>10055</v>
      </c>
      <c r="E2526" s="15">
        <v>5.5999999999999999E-3</v>
      </c>
      <c r="F2526" s="15">
        <v>9.5600000000000004E-2</v>
      </c>
      <c r="G2526" s="15">
        <v>0.95369999999999999</v>
      </c>
      <c r="H2526" s="15">
        <v>3.4299999999999997E-2</v>
      </c>
      <c r="I2526" s="15">
        <v>1.47E-2</v>
      </c>
      <c r="J2526" s="15">
        <v>2.316901408450704</v>
      </c>
    </row>
    <row r="2527" spans="1:10" x14ac:dyDescent="0.25">
      <c r="A2527" s="2" t="s">
        <v>7199</v>
      </c>
      <c r="B2527" s="2" t="s">
        <v>7007</v>
      </c>
      <c r="C2527" s="2" t="s">
        <v>7200</v>
      </c>
      <c r="D2527" s="2" t="s">
        <v>10055</v>
      </c>
      <c r="E2527" s="15">
        <v>3.9199999999999999E-2</v>
      </c>
      <c r="F2527" s="15">
        <v>9.9299999999999999E-2</v>
      </c>
      <c r="G2527" s="15">
        <v>0.69330000000000003</v>
      </c>
      <c r="H2527" s="15">
        <v>2.87E-2</v>
      </c>
      <c r="I2527" s="15">
        <v>1.2800000000000001E-2</v>
      </c>
      <c r="J2527" s="15">
        <v>2.0746268656716418</v>
      </c>
    </row>
    <row r="2528" spans="1:10" x14ac:dyDescent="0.25">
      <c r="A2528" s="2" t="s">
        <v>7201</v>
      </c>
      <c r="B2528" s="2" t="s">
        <v>7007</v>
      </c>
      <c r="C2528" s="2" t="s">
        <v>7202</v>
      </c>
      <c r="D2528" s="2" t="s">
        <v>10055</v>
      </c>
      <c r="E2528" s="15">
        <v>-3.0000000000000001E-3</v>
      </c>
      <c r="F2528" s="15">
        <v>7.4300000000000005E-2</v>
      </c>
      <c r="G2528" s="15">
        <v>0.96799999999999997</v>
      </c>
      <c r="H2528" s="15">
        <v>5.3900000000000003E-2</v>
      </c>
      <c r="I2528" s="15">
        <v>1.38E-2</v>
      </c>
      <c r="J2528" s="15">
        <v>4.5530303030303028</v>
      </c>
    </row>
    <row r="2529" spans="1:10" x14ac:dyDescent="0.25">
      <c r="A2529" s="2" t="s">
        <v>7203</v>
      </c>
      <c r="B2529" s="2" t="s">
        <v>7007</v>
      </c>
      <c r="C2529" s="2" t="s">
        <v>7204</v>
      </c>
      <c r="D2529" s="2" t="s">
        <v>10055</v>
      </c>
      <c r="E2529" s="15">
        <v>0.1178</v>
      </c>
      <c r="F2529" s="15">
        <v>0.10390000000000001</v>
      </c>
      <c r="G2529" s="15">
        <v>0.25690000000000002</v>
      </c>
      <c r="H2529" s="15">
        <v>2.1700000000000001E-2</v>
      </c>
      <c r="I2529" s="15">
        <v>1.52E-2</v>
      </c>
      <c r="J2529" s="15">
        <v>1.1533333333333331</v>
      </c>
    </row>
    <row r="2530" spans="1:10" x14ac:dyDescent="0.25">
      <c r="A2530" s="2" t="s">
        <v>7205</v>
      </c>
      <c r="B2530" s="2" t="s">
        <v>7007</v>
      </c>
      <c r="C2530" s="2" t="s">
        <v>7206</v>
      </c>
      <c r="D2530" s="2" t="s">
        <v>10055</v>
      </c>
      <c r="E2530" s="15">
        <v>1.7000000000000001E-2</v>
      </c>
      <c r="F2530" s="15">
        <v>6.8099999999999994E-2</v>
      </c>
      <c r="G2530" s="15">
        <v>0.80269999999999997</v>
      </c>
      <c r="H2530" s="15">
        <v>6.2399999999999997E-2</v>
      </c>
      <c r="I2530" s="15">
        <v>1.8100000000000002E-2</v>
      </c>
      <c r="J2530" s="15">
        <v>3.2717391304347818</v>
      </c>
    </row>
    <row r="2531" spans="1:10" x14ac:dyDescent="0.25">
      <c r="A2531" s="2" t="s">
        <v>7207</v>
      </c>
      <c r="B2531" s="2" t="s">
        <v>7007</v>
      </c>
      <c r="C2531" s="2" t="s">
        <v>7208</v>
      </c>
      <c r="D2531" s="2" t="s">
        <v>10055</v>
      </c>
      <c r="E2531" s="15">
        <v>3.49E-2</v>
      </c>
      <c r="F2531" s="15">
        <v>6.5699999999999995E-2</v>
      </c>
      <c r="G2531" s="15">
        <v>0.59530000000000005</v>
      </c>
      <c r="H2531" s="15">
        <v>7.4200000000000002E-2</v>
      </c>
      <c r="I2531" s="15">
        <v>1.5699999999999999E-2</v>
      </c>
      <c r="J2531" s="15">
        <v>5.1578947368421053</v>
      </c>
    </row>
    <row r="2532" spans="1:10" x14ac:dyDescent="0.25">
      <c r="A2532" s="2" t="s">
        <v>7209</v>
      </c>
      <c r="B2532" s="2" t="s">
        <v>7007</v>
      </c>
      <c r="C2532" s="2" t="s">
        <v>7210</v>
      </c>
      <c r="D2532" s="2" t="s">
        <v>10055</v>
      </c>
      <c r="E2532" s="15">
        <v>-2.5000000000000001E-3</v>
      </c>
      <c r="F2532" s="15">
        <v>6.3500000000000001E-2</v>
      </c>
      <c r="G2532" s="15">
        <v>0.96860000000000002</v>
      </c>
      <c r="H2532" s="15">
        <v>8.5199999999999998E-2</v>
      </c>
      <c r="I2532" s="15">
        <v>1.8800000000000001E-2</v>
      </c>
      <c r="J2532" s="15">
        <v>4.9435028248587569</v>
      </c>
    </row>
    <row r="2533" spans="1:10" x14ac:dyDescent="0.25">
      <c r="A2533" s="2" t="s">
        <v>7211</v>
      </c>
      <c r="B2533" s="2" t="s">
        <v>7007</v>
      </c>
      <c r="C2533" s="2" t="s">
        <v>7212</v>
      </c>
      <c r="D2533" s="2" t="s">
        <v>10055</v>
      </c>
      <c r="E2533" s="15">
        <v>-7.3000000000000001E-3</v>
      </c>
      <c r="F2533" s="15">
        <v>7.7399999999999997E-2</v>
      </c>
      <c r="G2533" s="15">
        <v>0.92490000000000006</v>
      </c>
      <c r="H2533" s="15">
        <v>4.48E-2</v>
      </c>
      <c r="I2533" s="15">
        <v>1.5100000000000001E-2</v>
      </c>
      <c r="J2533" s="15">
        <v>3.05</v>
      </c>
    </row>
    <row r="2534" spans="1:10" x14ac:dyDescent="0.25">
      <c r="A2534" s="2" t="s">
        <v>7213</v>
      </c>
      <c r="B2534" s="2" t="s">
        <v>7007</v>
      </c>
      <c r="C2534" s="2" t="s">
        <v>7214</v>
      </c>
      <c r="D2534" s="2" t="s">
        <v>10055</v>
      </c>
      <c r="E2534" s="15">
        <v>3.3700000000000001E-2</v>
      </c>
      <c r="F2534" s="15">
        <v>7.9500000000000001E-2</v>
      </c>
      <c r="G2534" s="15">
        <v>0.67149999999999999</v>
      </c>
      <c r="H2534" s="15">
        <v>6.08E-2</v>
      </c>
      <c r="I2534" s="15">
        <v>1.7299999999999999E-2</v>
      </c>
      <c r="J2534" s="15">
        <v>3.8</v>
      </c>
    </row>
    <row r="2535" spans="1:10" x14ac:dyDescent="0.25">
      <c r="A2535" s="2" t="s">
        <v>7215</v>
      </c>
      <c r="B2535" s="2" t="s">
        <v>7007</v>
      </c>
      <c r="C2535" s="2" t="s">
        <v>7216</v>
      </c>
      <c r="D2535" s="2" t="s">
        <v>10055</v>
      </c>
      <c r="E2535" s="15">
        <v>-1.5100000000000001E-2</v>
      </c>
      <c r="F2535" s="15">
        <v>9.5600000000000004E-2</v>
      </c>
      <c r="G2535" s="15">
        <v>0.87409999999999999</v>
      </c>
      <c r="H2535" s="15">
        <v>2.9700000000000001E-2</v>
      </c>
      <c r="I2535" s="15">
        <v>1.5100000000000001E-2</v>
      </c>
      <c r="J2535" s="15">
        <v>1.5657894736842111</v>
      </c>
    </row>
    <row r="2536" spans="1:10" x14ac:dyDescent="0.25">
      <c r="A2536" s="2" t="s">
        <v>7217</v>
      </c>
      <c r="B2536" s="2" t="s">
        <v>7007</v>
      </c>
      <c r="C2536" s="2" t="s">
        <v>7218</v>
      </c>
      <c r="D2536" s="2" t="s">
        <v>10055</v>
      </c>
      <c r="E2536" s="15">
        <v>9.8500000000000004E-2</v>
      </c>
      <c r="F2536" s="15">
        <v>0.1177</v>
      </c>
      <c r="G2536" s="15">
        <v>0.40260000000000001</v>
      </c>
      <c r="H2536" s="15">
        <v>0.03</v>
      </c>
      <c r="I2536" s="15">
        <v>1.47E-2</v>
      </c>
      <c r="J2536" s="15">
        <v>1.9103448275862069</v>
      </c>
    </row>
    <row r="2537" spans="1:10" x14ac:dyDescent="0.25">
      <c r="A2537" s="2" t="s">
        <v>7219</v>
      </c>
      <c r="B2537" s="2" t="s">
        <v>7007</v>
      </c>
      <c r="C2537" s="2" t="s">
        <v>7220</v>
      </c>
      <c r="D2537" s="2" t="s">
        <v>10055</v>
      </c>
      <c r="E2537" s="15"/>
      <c r="F2537" s="15"/>
      <c r="G2537" s="15"/>
      <c r="H2537" s="15">
        <v>-1.43E-2</v>
      </c>
      <c r="I2537" s="15">
        <v>1.17E-2</v>
      </c>
      <c r="J2537" s="15">
        <v>-0.35897435897435892</v>
      </c>
    </row>
    <row r="2538" spans="1:10" x14ac:dyDescent="0.25">
      <c r="A2538" s="2" t="s">
        <v>7221</v>
      </c>
      <c r="B2538" s="2" t="s">
        <v>7007</v>
      </c>
      <c r="C2538" s="2" t="s">
        <v>7222</v>
      </c>
      <c r="D2538" s="2" t="s">
        <v>10055</v>
      </c>
      <c r="E2538" s="15">
        <v>3.0599999999999999E-2</v>
      </c>
      <c r="F2538" s="15">
        <v>7.3300000000000004E-2</v>
      </c>
      <c r="G2538" s="15">
        <v>0.67669999999999997</v>
      </c>
      <c r="H2538" s="15">
        <v>6.2799999999999995E-2</v>
      </c>
      <c r="I2538" s="15">
        <v>1.47E-2</v>
      </c>
      <c r="J2538" s="15">
        <v>3.7702702702702702</v>
      </c>
    </row>
    <row r="2539" spans="1:10" x14ac:dyDescent="0.25">
      <c r="A2539" s="2" t="s">
        <v>7223</v>
      </c>
      <c r="B2539" s="2" t="s">
        <v>7007</v>
      </c>
      <c r="C2539" s="2" t="s">
        <v>7224</v>
      </c>
      <c r="D2539" s="2" t="s">
        <v>10055</v>
      </c>
      <c r="E2539" s="15">
        <v>-1.7100000000000001E-2</v>
      </c>
      <c r="F2539" s="15">
        <v>0.1069</v>
      </c>
      <c r="G2539" s="15">
        <v>0.87270000000000003</v>
      </c>
      <c r="H2539" s="15">
        <v>2.24E-2</v>
      </c>
      <c r="I2539" s="15">
        <v>1.4800000000000001E-2</v>
      </c>
      <c r="J2539" s="15">
        <v>1.6733333333333329</v>
      </c>
    </row>
    <row r="2540" spans="1:10" x14ac:dyDescent="0.25">
      <c r="A2540" s="2" t="s">
        <v>7225</v>
      </c>
      <c r="B2540" s="2" t="s">
        <v>7007</v>
      </c>
      <c r="C2540" s="2" t="s">
        <v>7226</v>
      </c>
      <c r="D2540" s="2" t="s">
        <v>10055</v>
      </c>
      <c r="E2540" s="15">
        <v>-0.15379999999999999</v>
      </c>
      <c r="F2540" s="15">
        <v>0.1414</v>
      </c>
      <c r="G2540" s="15">
        <v>0.27679999999999999</v>
      </c>
      <c r="H2540" s="15">
        <v>2.01E-2</v>
      </c>
      <c r="I2540" s="15">
        <v>1.3100000000000001E-2</v>
      </c>
      <c r="J2540" s="15">
        <v>1.3956834532374101</v>
      </c>
    </row>
    <row r="2541" spans="1:10" x14ac:dyDescent="0.25">
      <c r="A2541" s="2" t="s">
        <v>7227</v>
      </c>
      <c r="B2541" s="2" t="s">
        <v>7007</v>
      </c>
      <c r="C2541" s="2" t="s">
        <v>7228</v>
      </c>
      <c r="D2541" s="2" t="s">
        <v>10055</v>
      </c>
      <c r="E2541" s="15">
        <v>-0.16370000000000001</v>
      </c>
      <c r="F2541" s="15">
        <v>0.2697</v>
      </c>
      <c r="G2541" s="15">
        <v>0.54379999999999995</v>
      </c>
      <c r="H2541" s="15">
        <v>7.1999999999999998E-3</v>
      </c>
      <c r="I2541" s="15">
        <v>1.41E-2</v>
      </c>
      <c r="J2541" s="15">
        <v>0.17808219178082191</v>
      </c>
    </row>
    <row r="2542" spans="1:10" x14ac:dyDescent="0.25">
      <c r="A2542" s="2" t="s">
        <v>7229</v>
      </c>
      <c r="B2542" s="2" t="s">
        <v>7007</v>
      </c>
      <c r="C2542" s="2" t="s">
        <v>7230</v>
      </c>
      <c r="D2542" s="2" t="s">
        <v>10055</v>
      </c>
      <c r="E2542" s="15"/>
      <c r="F2542" s="15"/>
      <c r="G2542" s="15"/>
      <c r="H2542" s="15">
        <v>-6.4999999999999997E-3</v>
      </c>
      <c r="I2542" s="15">
        <v>1.5100000000000001E-2</v>
      </c>
      <c r="J2542" s="15">
        <v>-0.21917808219178081</v>
      </c>
    </row>
    <row r="2543" spans="1:10" x14ac:dyDescent="0.25">
      <c r="A2543" s="2" t="s">
        <v>7231</v>
      </c>
      <c r="B2543" s="2" t="s">
        <v>7007</v>
      </c>
      <c r="C2543" s="2" t="s">
        <v>7232</v>
      </c>
      <c r="D2543" s="2" t="s">
        <v>10055</v>
      </c>
      <c r="E2543" s="15">
        <v>3.1899999999999998E-2</v>
      </c>
      <c r="F2543" s="15">
        <v>7.3499999999999996E-2</v>
      </c>
      <c r="G2543" s="15">
        <v>0.6643</v>
      </c>
      <c r="H2543" s="15">
        <v>6.2600000000000003E-2</v>
      </c>
      <c r="I2543" s="15">
        <v>1.4200000000000001E-2</v>
      </c>
      <c r="J2543" s="15">
        <v>4.4206896551724144</v>
      </c>
    </row>
    <row r="2544" spans="1:10" x14ac:dyDescent="0.25">
      <c r="A2544" s="2" t="s">
        <v>7233</v>
      </c>
      <c r="B2544" s="2" t="s">
        <v>7007</v>
      </c>
      <c r="C2544" s="2" t="s">
        <v>7234</v>
      </c>
      <c r="D2544" s="2" t="s">
        <v>10055</v>
      </c>
      <c r="E2544" s="15">
        <v>0.1663</v>
      </c>
      <c r="F2544" s="15">
        <v>0.14149999999999999</v>
      </c>
      <c r="G2544" s="15">
        <v>0.2399</v>
      </c>
      <c r="H2544" s="15">
        <v>1.6199999999999999E-2</v>
      </c>
      <c r="I2544" s="15">
        <v>1.29E-2</v>
      </c>
      <c r="J2544" s="15">
        <v>1.612403100775194</v>
      </c>
    </row>
    <row r="2545" spans="1:10" x14ac:dyDescent="0.25">
      <c r="A2545" s="2" t="s">
        <v>7235</v>
      </c>
      <c r="B2545" s="2" t="s">
        <v>7007</v>
      </c>
      <c r="C2545" s="2" t="s">
        <v>7236</v>
      </c>
      <c r="D2545" s="2" t="s">
        <v>10055</v>
      </c>
      <c r="E2545" s="15">
        <v>0.13070000000000001</v>
      </c>
      <c r="F2545" s="15">
        <v>0.22389999999999999</v>
      </c>
      <c r="G2545" s="15">
        <v>0.55940000000000001</v>
      </c>
      <c r="H2545" s="15">
        <v>7.1999999999999998E-3</v>
      </c>
      <c r="I2545" s="15">
        <v>1.4500000000000001E-2</v>
      </c>
      <c r="J2545" s="15">
        <v>0.2428571428571428</v>
      </c>
    </row>
    <row r="2546" spans="1:10" x14ac:dyDescent="0.25">
      <c r="A2546" s="2" t="s">
        <v>7237</v>
      </c>
      <c r="B2546" s="2" t="s">
        <v>7007</v>
      </c>
      <c r="C2546" s="2" t="s">
        <v>7238</v>
      </c>
      <c r="D2546" s="2" t="s">
        <v>10055</v>
      </c>
      <c r="E2546" s="15">
        <v>-0.20200000000000001</v>
      </c>
      <c r="F2546" s="15">
        <v>0.14910000000000001</v>
      </c>
      <c r="G2546" s="15">
        <v>0.17549999999999999</v>
      </c>
      <c r="H2546" s="15">
        <v>1.7600000000000001E-2</v>
      </c>
      <c r="I2546" s="15">
        <v>1.18E-2</v>
      </c>
      <c r="J2546" s="15">
        <v>1.3688524590163931</v>
      </c>
    </row>
    <row r="2547" spans="1:10" x14ac:dyDescent="0.25">
      <c r="A2547" s="2" t="s">
        <v>7239</v>
      </c>
      <c r="B2547" s="2" t="s">
        <v>7007</v>
      </c>
      <c r="C2547" s="2" t="s">
        <v>7240</v>
      </c>
      <c r="D2547" s="2" t="s">
        <v>10055</v>
      </c>
      <c r="E2547" s="15">
        <v>-0.1206</v>
      </c>
      <c r="F2547" s="15">
        <v>0.13500000000000001</v>
      </c>
      <c r="G2547" s="15">
        <v>0.37159999999999999</v>
      </c>
      <c r="H2547" s="15">
        <v>2.1399999999999999E-2</v>
      </c>
      <c r="I2547" s="15">
        <v>1.47E-2</v>
      </c>
      <c r="J2547" s="15">
        <v>1.4861111111111109</v>
      </c>
    </row>
    <row r="2548" spans="1:10" x14ac:dyDescent="0.25">
      <c r="A2548" s="2" t="s">
        <v>7241</v>
      </c>
      <c r="B2548" s="2" t="s">
        <v>7007</v>
      </c>
      <c r="C2548" s="2" t="s">
        <v>7242</v>
      </c>
      <c r="D2548" s="2" t="s">
        <v>10055</v>
      </c>
      <c r="E2548" s="15">
        <v>7.3499999999999996E-2</v>
      </c>
      <c r="F2548" s="15">
        <v>0.1484</v>
      </c>
      <c r="G2548" s="15">
        <v>0.62039999999999995</v>
      </c>
      <c r="H2548" s="15">
        <v>1.8100000000000002E-2</v>
      </c>
      <c r="I2548" s="15">
        <v>1.52E-2</v>
      </c>
      <c r="J2548" s="15">
        <v>1.241610738255033</v>
      </c>
    </row>
    <row r="2549" spans="1:10" x14ac:dyDescent="0.25">
      <c r="A2549" s="2" t="s">
        <v>7243</v>
      </c>
      <c r="B2549" s="2" t="s">
        <v>7007</v>
      </c>
      <c r="C2549" s="2" t="s">
        <v>7244</v>
      </c>
      <c r="D2549" s="2" t="s">
        <v>10055</v>
      </c>
      <c r="E2549" s="15">
        <v>1.0800000000000001E-2</v>
      </c>
      <c r="F2549" s="15">
        <v>9.7299999999999998E-2</v>
      </c>
      <c r="G2549" s="15">
        <v>0.91149999999999998</v>
      </c>
      <c r="H2549" s="15">
        <v>3.3399999999999999E-2</v>
      </c>
      <c r="I2549" s="15">
        <v>1.41E-2</v>
      </c>
      <c r="J2549" s="15">
        <v>2.563758389261745</v>
      </c>
    </row>
    <row r="2550" spans="1:10" x14ac:dyDescent="0.25">
      <c r="A2550" s="2" t="s">
        <v>7245</v>
      </c>
      <c r="B2550" s="2" t="s">
        <v>7007</v>
      </c>
      <c r="C2550" s="2" t="s">
        <v>7246</v>
      </c>
      <c r="D2550" s="2" t="s">
        <v>10055</v>
      </c>
      <c r="E2550" s="15"/>
      <c r="F2550" s="15"/>
      <c r="G2550" s="15"/>
      <c r="H2550" s="15"/>
      <c r="I2550" s="15"/>
      <c r="J2550" s="15">
        <v>0.51145038167938928</v>
      </c>
    </row>
    <row r="2551" spans="1:10" x14ac:dyDescent="0.25">
      <c r="A2551" s="2" t="s">
        <v>7247</v>
      </c>
      <c r="B2551" s="2" t="s">
        <v>7007</v>
      </c>
      <c r="C2551" s="2" t="s">
        <v>7248</v>
      </c>
      <c r="D2551" s="2" t="s">
        <v>10055</v>
      </c>
      <c r="E2551" s="15">
        <v>3.5200000000000002E-2</v>
      </c>
      <c r="F2551" s="15">
        <v>0.10249999999999999</v>
      </c>
      <c r="G2551" s="15">
        <v>0.73140000000000005</v>
      </c>
      <c r="H2551" s="15">
        <v>2.7900000000000001E-2</v>
      </c>
      <c r="I2551" s="15">
        <v>1.55E-2</v>
      </c>
      <c r="J2551" s="15">
        <v>2.083870967741936</v>
      </c>
    </row>
    <row r="2552" spans="1:10" x14ac:dyDescent="0.25">
      <c r="A2552" s="2" t="s">
        <v>7249</v>
      </c>
      <c r="B2552" s="2" t="s">
        <v>7007</v>
      </c>
      <c r="C2552" s="2" t="s">
        <v>7250</v>
      </c>
      <c r="D2552" s="2" t="s">
        <v>10055</v>
      </c>
      <c r="E2552" s="15">
        <v>7.6300000000000007E-2</v>
      </c>
      <c r="F2552" s="15">
        <v>9.5799999999999996E-2</v>
      </c>
      <c r="G2552" s="15">
        <v>0.42580000000000001</v>
      </c>
      <c r="H2552" s="15">
        <v>3.4299999999999997E-2</v>
      </c>
      <c r="I2552" s="15">
        <v>1.4800000000000001E-2</v>
      </c>
      <c r="J2552" s="15">
        <v>2.1888111888111892</v>
      </c>
    </row>
    <row r="2553" spans="1:10" x14ac:dyDescent="0.25">
      <c r="A2553" s="2" t="s">
        <v>7251</v>
      </c>
      <c r="B2553" s="2" t="s">
        <v>7007</v>
      </c>
      <c r="C2553" s="2" t="s">
        <v>7252</v>
      </c>
      <c r="D2553" s="2" t="s">
        <v>10055</v>
      </c>
      <c r="E2553" s="15">
        <v>-0.1502</v>
      </c>
      <c r="F2553" s="15">
        <v>0.28799999999999998</v>
      </c>
      <c r="G2553" s="15">
        <v>0.60199999999999998</v>
      </c>
      <c r="H2553" s="15">
        <v>5.8999999999999999E-3</v>
      </c>
      <c r="I2553" s="15">
        <v>1.3599999999999999E-2</v>
      </c>
      <c r="J2553" s="15">
        <v>0.33333333333333331</v>
      </c>
    </row>
    <row r="2554" spans="1:10" x14ac:dyDescent="0.25">
      <c r="A2554" s="2" t="s">
        <v>7253</v>
      </c>
      <c r="B2554" s="2" t="s">
        <v>7007</v>
      </c>
      <c r="C2554" s="2" t="s">
        <v>7254</v>
      </c>
      <c r="D2554" s="2" t="s">
        <v>10055</v>
      </c>
      <c r="E2554" s="15">
        <v>-0.1605</v>
      </c>
      <c r="F2554" s="15">
        <v>7.17E-2</v>
      </c>
      <c r="G2554" s="15">
        <v>2.52E-2</v>
      </c>
      <c r="H2554" s="15">
        <v>5.9499999999999997E-2</v>
      </c>
      <c r="I2554" s="15">
        <v>1.61E-2</v>
      </c>
      <c r="J2554" s="15">
        <v>3.433962264150944</v>
      </c>
    </row>
    <row r="2555" spans="1:10" x14ac:dyDescent="0.25">
      <c r="A2555" s="2" t="s">
        <v>7255</v>
      </c>
      <c r="B2555" s="2" t="s">
        <v>7007</v>
      </c>
      <c r="C2555" s="2" t="s">
        <v>7256</v>
      </c>
      <c r="D2555" s="2" t="s">
        <v>10055</v>
      </c>
      <c r="E2555" s="15"/>
      <c r="F2555" s="15"/>
      <c r="G2555" s="15"/>
      <c r="H2555" s="15"/>
      <c r="I2555" s="15"/>
      <c r="J2555" s="15">
        <v>1.1836734693877551</v>
      </c>
    </row>
    <row r="2556" spans="1:10" x14ac:dyDescent="0.25">
      <c r="A2556" s="2" t="s">
        <v>7257</v>
      </c>
      <c r="B2556" s="2" t="s">
        <v>7007</v>
      </c>
      <c r="C2556" s="2" t="s">
        <v>7258</v>
      </c>
      <c r="D2556" s="2" t="s">
        <v>10055</v>
      </c>
      <c r="E2556" s="15"/>
      <c r="F2556" s="15"/>
      <c r="G2556" s="15"/>
      <c r="H2556" s="15">
        <v>-8.0000000000000004E-4</v>
      </c>
      <c r="I2556" s="15">
        <v>1.43E-2</v>
      </c>
      <c r="J2556" s="15">
        <v>0.2</v>
      </c>
    </row>
    <row r="2557" spans="1:10" x14ac:dyDescent="0.25">
      <c r="A2557" s="2" t="s">
        <v>7259</v>
      </c>
      <c r="B2557" s="2" t="s">
        <v>7007</v>
      </c>
      <c r="C2557" s="2" t="s">
        <v>7260</v>
      </c>
      <c r="D2557" s="2" t="s">
        <v>10055</v>
      </c>
      <c r="E2557" s="15">
        <v>-2.8000000000000001E-2</v>
      </c>
      <c r="F2557" s="15">
        <v>8.4500000000000006E-2</v>
      </c>
      <c r="G2557" s="15">
        <v>0.74080000000000001</v>
      </c>
      <c r="H2557" s="15">
        <v>4.4600000000000001E-2</v>
      </c>
      <c r="I2557" s="15">
        <v>1.8200000000000001E-2</v>
      </c>
      <c r="J2557" s="15">
        <v>2.7738095238095242</v>
      </c>
    </row>
    <row r="2558" spans="1:10" x14ac:dyDescent="0.25">
      <c r="A2558" s="2" t="s">
        <v>7261</v>
      </c>
      <c r="B2558" s="2" t="s">
        <v>7007</v>
      </c>
      <c r="C2558" s="2" t="s">
        <v>7262</v>
      </c>
      <c r="D2558" s="2" t="s">
        <v>10055</v>
      </c>
      <c r="E2558" s="15">
        <v>-7.51E-2</v>
      </c>
      <c r="F2558" s="15">
        <v>0.1328</v>
      </c>
      <c r="G2558" s="15">
        <v>0.57179999999999997</v>
      </c>
      <c r="H2558" s="15">
        <v>1.6799999999999999E-2</v>
      </c>
      <c r="I2558" s="15">
        <v>1.5800000000000002E-2</v>
      </c>
      <c r="J2558" s="15">
        <v>1.2978723404255319</v>
      </c>
    </row>
    <row r="2559" spans="1:10" x14ac:dyDescent="0.25">
      <c r="A2559" s="2" t="s">
        <v>7263</v>
      </c>
      <c r="B2559" s="2" t="s">
        <v>7007</v>
      </c>
      <c r="C2559" s="2" t="s">
        <v>7264</v>
      </c>
      <c r="D2559" s="2" t="s">
        <v>10055</v>
      </c>
      <c r="E2559" s="15">
        <v>-9.7600000000000006E-2</v>
      </c>
      <c r="F2559" s="15">
        <v>0.12280000000000001</v>
      </c>
      <c r="G2559" s="15">
        <v>0.42670000000000002</v>
      </c>
      <c r="H2559" s="15">
        <v>2.0899999999999998E-2</v>
      </c>
      <c r="I2559" s="15">
        <v>1.3899999999999999E-2</v>
      </c>
      <c r="J2559" s="15">
        <v>1.802816901408451</v>
      </c>
    </row>
    <row r="2560" spans="1:10" x14ac:dyDescent="0.25">
      <c r="A2560" s="2" t="s">
        <v>7265</v>
      </c>
      <c r="B2560" s="2" t="s">
        <v>7007</v>
      </c>
      <c r="C2560" s="2" t="s">
        <v>7266</v>
      </c>
      <c r="D2560" s="2" t="s">
        <v>10055</v>
      </c>
      <c r="E2560" s="15">
        <v>5.7099999999999998E-2</v>
      </c>
      <c r="F2560" s="15">
        <v>0.1135</v>
      </c>
      <c r="G2560" s="15">
        <v>0.61480000000000001</v>
      </c>
      <c r="H2560" s="15">
        <v>2.18E-2</v>
      </c>
      <c r="I2560" s="15">
        <v>1.3899999999999999E-2</v>
      </c>
      <c r="J2560" s="15">
        <v>1.323741007194245</v>
      </c>
    </row>
    <row r="2561" spans="1:10" x14ac:dyDescent="0.25">
      <c r="A2561" s="2" t="s">
        <v>7267</v>
      </c>
      <c r="B2561" s="2" t="s">
        <v>7007</v>
      </c>
      <c r="C2561" s="2" t="s">
        <v>7268</v>
      </c>
      <c r="D2561" s="2" t="s">
        <v>10055</v>
      </c>
      <c r="E2561" s="15">
        <v>-0.1593</v>
      </c>
      <c r="F2561" s="15">
        <v>7.5600000000000001E-2</v>
      </c>
      <c r="G2561" s="15">
        <v>3.5200000000000002E-2</v>
      </c>
      <c r="H2561" s="15">
        <v>5.3400000000000003E-2</v>
      </c>
      <c r="I2561" s="15">
        <v>1.4500000000000001E-2</v>
      </c>
      <c r="J2561" s="15">
        <v>3.8759124087591239</v>
      </c>
    </row>
    <row r="2562" spans="1:10" x14ac:dyDescent="0.25">
      <c r="A2562" s="2" t="s">
        <v>7269</v>
      </c>
      <c r="B2562" s="2" t="s">
        <v>7007</v>
      </c>
      <c r="C2562" s="2" t="s">
        <v>7270</v>
      </c>
      <c r="D2562" s="2" t="s">
        <v>10055</v>
      </c>
      <c r="E2562" s="15">
        <v>-1.03E-2</v>
      </c>
      <c r="F2562" s="15">
        <v>8.3900000000000002E-2</v>
      </c>
      <c r="G2562" s="15">
        <v>0.90239999999999998</v>
      </c>
      <c r="H2562" s="15">
        <v>4.2500000000000003E-2</v>
      </c>
      <c r="I2562" s="15">
        <v>1.66E-2</v>
      </c>
      <c r="J2562" s="15">
        <v>2.276470588235294</v>
      </c>
    </row>
    <row r="2563" spans="1:10" x14ac:dyDescent="0.25">
      <c r="A2563" s="2" t="s">
        <v>7271</v>
      </c>
      <c r="B2563" s="2" t="s">
        <v>7007</v>
      </c>
      <c r="C2563" s="2" t="s">
        <v>7272</v>
      </c>
      <c r="D2563" s="2" t="s">
        <v>10055</v>
      </c>
      <c r="E2563" s="15">
        <v>-6.1800000000000001E-2</v>
      </c>
      <c r="F2563" s="15">
        <v>6.0400000000000002E-2</v>
      </c>
      <c r="G2563" s="15">
        <v>0.30659999999999998</v>
      </c>
      <c r="H2563" s="15">
        <v>9.0300000000000005E-2</v>
      </c>
      <c r="I2563" s="15">
        <v>1.7000000000000001E-2</v>
      </c>
      <c r="J2563" s="15">
        <v>5.1609195402298864</v>
      </c>
    </row>
    <row r="2564" spans="1:10" x14ac:dyDescent="0.25">
      <c r="A2564" s="2" t="s">
        <v>7273</v>
      </c>
      <c r="B2564" s="2" t="s">
        <v>7007</v>
      </c>
      <c r="C2564" s="2" t="s">
        <v>7274</v>
      </c>
      <c r="D2564" s="2" t="s">
        <v>10055</v>
      </c>
      <c r="E2564" s="15"/>
      <c r="F2564" s="15"/>
      <c r="G2564" s="15"/>
      <c r="H2564" s="15"/>
      <c r="I2564" s="15"/>
      <c r="J2564" s="15">
        <v>0.5</v>
      </c>
    </row>
    <row r="2565" spans="1:10" x14ac:dyDescent="0.25">
      <c r="A2565" s="2" t="s">
        <v>7275</v>
      </c>
      <c r="B2565" s="2" t="s">
        <v>7007</v>
      </c>
      <c r="C2565" s="2" t="s">
        <v>7276</v>
      </c>
      <c r="D2565" s="2" t="s">
        <v>10055</v>
      </c>
      <c r="E2565" s="15">
        <v>-9.4E-2</v>
      </c>
      <c r="F2565" s="15">
        <v>7.9899999999999999E-2</v>
      </c>
      <c r="G2565" s="15">
        <v>0.23960000000000001</v>
      </c>
      <c r="H2565" s="15">
        <v>5.57E-2</v>
      </c>
      <c r="I2565" s="15">
        <v>1.3899999999999999E-2</v>
      </c>
      <c r="J2565" s="15">
        <v>3.6716417910447761</v>
      </c>
    </row>
    <row r="2566" spans="1:10" x14ac:dyDescent="0.25">
      <c r="A2566" s="2" t="s">
        <v>7277</v>
      </c>
      <c r="B2566" s="2" t="s">
        <v>7007</v>
      </c>
      <c r="C2566" s="2" t="s">
        <v>7278</v>
      </c>
      <c r="D2566" s="2" t="s">
        <v>10055</v>
      </c>
      <c r="E2566" s="15">
        <v>-0.1391</v>
      </c>
      <c r="F2566" s="15">
        <v>0.108</v>
      </c>
      <c r="G2566" s="15">
        <v>0.19750000000000001</v>
      </c>
      <c r="H2566" s="15">
        <v>2.58E-2</v>
      </c>
      <c r="I2566" s="15">
        <v>1.29E-2</v>
      </c>
      <c r="J2566" s="15">
        <v>1.484126984126984</v>
      </c>
    </row>
    <row r="2567" spans="1:10" x14ac:dyDescent="0.25">
      <c r="A2567" s="2" t="s">
        <v>7279</v>
      </c>
      <c r="B2567" s="2" t="s">
        <v>7007</v>
      </c>
      <c r="C2567" s="2" t="s">
        <v>7280</v>
      </c>
      <c r="D2567" s="2" t="s">
        <v>10055</v>
      </c>
      <c r="E2567" s="15">
        <v>8.6199999999999999E-2</v>
      </c>
      <c r="F2567" s="15">
        <v>0.1145</v>
      </c>
      <c r="G2567" s="15">
        <v>0.45169999999999999</v>
      </c>
      <c r="H2567" s="15">
        <v>2.4799999999999999E-2</v>
      </c>
      <c r="I2567" s="15">
        <v>1.4500000000000001E-2</v>
      </c>
      <c r="J2567" s="15">
        <v>1.542253521126761</v>
      </c>
    </row>
    <row r="2568" spans="1:10" x14ac:dyDescent="0.25">
      <c r="A2568" s="2" t="s">
        <v>7281</v>
      </c>
      <c r="B2568" s="2" t="s">
        <v>7007</v>
      </c>
      <c r="C2568" s="2" t="s">
        <v>7282</v>
      </c>
      <c r="D2568" s="2" t="s">
        <v>10055</v>
      </c>
      <c r="E2568" s="15">
        <v>2.2800000000000001E-2</v>
      </c>
      <c r="F2568" s="15">
        <v>8.1900000000000001E-2</v>
      </c>
      <c r="G2568" s="15">
        <v>0.7802</v>
      </c>
      <c r="H2568" s="15">
        <v>4.5199999999999997E-2</v>
      </c>
      <c r="I2568" s="15">
        <v>1.6299999999999999E-2</v>
      </c>
      <c r="J2568" s="15">
        <v>3.1118012422360248</v>
      </c>
    </row>
    <row r="2569" spans="1:10" x14ac:dyDescent="0.25">
      <c r="A2569" s="2" t="s">
        <v>7283</v>
      </c>
      <c r="B2569" s="2" t="s">
        <v>7007</v>
      </c>
      <c r="C2569" s="2" t="s">
        <v>7284</v>
      </c>
      <c r="D2569" s="2" t="s">
        <v>10055</v>
      </c>
      <c r="E2569" s="15">
        <v>-0.1744</v>
      </c>
      <c r="F2569" s="15">
        <v>0.14810000000000001</v>
      </c>
      <c r="G2569" s="15">
        <v>0.2389</v>
      </c>
      <c r="H2569" s="15">
        <v>1.7500000000000002E-2</v>
      </c>
      <c r="I2569" s="15">
        <v>1.5900000000000001E-2</v>
      </c>
      <c r="J2569" s="15">
        <v>1.202614379084967</v>
      </c>
    </row>
    <row r="2570" spans="1:10" x14ac:dyDescent="0.25">
      <c r="A2570" s="2" t="s">
        <v>7285</v>
      </c>
      <c r="B2570" s="2" t="s">
        <v>7007</v>
      </c>
      <c r="C2570" s="2" t="s">
        <v>7286</v>
      </c>
      <c r="D2570" s="2" t="s">
        <v>10055</v>
      </c>
      <c r="E2570" s="15">
        <v>-2.4400000000000002E-2</v>
      </c>
      <c r="F2570" s="15">
        <v>6.9599999999999995E-2</v>
      </c>
      <c r="G2570" s="15">
        <v>0.72609999999999997</v>
      </c>
      <c r="H2570" s="15">
        <v>6.4100000000000004E-2</v>
      </c>
      <c r="I2570" s="15">
        <v>2.0299999999999999E-2</v>
      </c>
      <c r="J2570" s="15">
        <v>3.2797927461139889</v>
      </c>
    </row>
    <row r="2571" spans="1:10" x14ac:dyDescent="0.25">
      <c r="A2571" s="2" t="s">
        <v>7287</v>
      </c>
      <c r="B2571" s="2" t="s">
        <v>7007</v>
      </c>
      <c r="C2571" s="2" t="s">
        <v>7288</v>
      </c>
      <c r="D2571" s="2" t="s">
        <v>10055</v>
      </c>
      <c r="E2571" s="15">
        <v>-8.7800000000000003E-2</v>
      </c>
      <c r="F2571" s="15">
        <v>0.1671</v>
      </c>
      <c r="G2571" s="15">
        <v>0.59919999999999995</v>
      </c>
      <c r="H2571" s="15">
        <v>1.03E-2</v>
      </c>
      <c r="I2571" s="15">
        <v>1.4800000000000001E-2</v>
      </c>
      <c r="J2571" s="15">
        <v>0.94160583941605835</v>
      </c>
    </row>
    <row r="2572" spans="1:10" x14ac:dyDescent="0.25">
      <c r="A2572" s="2" t="s">
        <v>7289</v>
      </c>
      <c r="B2572" s="2" t="s">
        <v>7007</v>
      </c>
      <c r="C2572" s="2" t="s">
        <v>7290</v>
      </c>
      <c r="D2572" s="2" t="s">
        <v>10055</v>
      </c>
      <c r="E2572" s="15">
        <v>-0.1</v>
      </c>
      <c r="F2572" s="15">
        <v>0.1116</v>
      </c>
      <c r="G2572" s="15">
        <v>0.37019999999999997</v>
      </c>
      <c r="H2572" s="15">
        <v>2.2800000000000001E-2</v>
      </c>
      <c r="I2572" s="15">
        <v>1.54E-2</v>
      </c>
      <c r="J2572" s="15">
        <v>1.666666666666667</v>
      </c>
    </row>
    <row r="2573" spans="1:10" x14ac:dyDescent="0.25">
      <c r="A2573" s="2" t="s">
        <v>7291</v>
      </c>
      <c r="B2573" s="2" t="s">
        <v>7007</v>
      </c>
      <c r="C2573" s="2" t="s">
        <v>7292</v>
      </c>
      <c r="D2573" s="2" t="s">
        <v>10055</v>
      </c>
      <c r="E2573" s="15">
        <v>-2.5700000000000001E-2</v>
      </c>
      <c r="F2573" s="15">
        <v>7.0900000000000005E-2</v>
      </c>
      <c r="G2573" s="15">
        <v>0.71630000000000005</v>
      </c>
      <c r="H2573" s="15">
        <v>6.2399999999999997E-2</v>
      </c>
      <c r="I2573" s="15">
        <v>1.44E-2</v>
      </c>
      <c r="J2573" s="15">
        <v>4.2867647058823533</v>
      </c>
    </row>
    <row r="2574" spans="1:10" x14ac:dyDescent="0.25">
      <c r="A2574" s="2" t="s">
        <v>7293</v>
      </c>
      <c r="B2574" s="2" t="s">
        <v>7007</v>
      </c>
      <c r="C2574" s="2" t="s">
        <v>7294</v>
      </c>
      <c r="D2574" s="2" t="s">
        <v>10055</v>
      </c>
      <c r="E2574" s="15">
        <v>-0.1295</v>
      </c>
      <c r="F2574" s="15">
        <v>0.1139</v>
      </c>
      <c r="G2574" s="15">
        <v>0.25559999999999999</v>
      </c>
      <c r="H2574" s="15">
        <v>2.3800000000000002E-2</v>
      </c>
      <c r="I2574" s="15">
        <v>1.54E-2</v>
      </c>
      <c r="J2574" s="15">
        <v>1.536912751677852</v>
      </c>
    </row>
    <row r="2575" spans="1:10" x14ac:dyDescent="0.25">
      <c r="A2575" s="2" t="s">
        <v>7295</v>
      </c>
      <c r="B2575" s="2" t="s">
        <v>7007</v>
      </c>
      <c r="C2575" s="2" t="s">
        <v>7296</v>
      </c>
      <c r="D2575" s="2" t="s">
        <v>10055</v>
      </c>
      <c r="E2575" s="15">
        <v>-6.13E-2</v>
      </c>
      <c r="F2575" s="15">
        <v>6.7199999999999996E-2</v>
      </c>
      <c r="G2575" s="15">
        <v>0.3614</v>
      </c>
      <c r="H2575" s="15">
        <v>5.45E-2</v>
      </c>
      <c r="I2575" s="15">
        <v>1.38E-2</v>
      </c>
      <c r="J2575" s="15">
        <v>4.7121212121212119</v>
      </c>
    </row>
    <row r="2576" spans="1:10" x14ac:dyDescent="0.25">
      <c r="A2576" s="2" t="s">
        <v>7297</v>
      </c>
      <c r="B2576" s="2" t="s">
        <v>7007</v>
      </c>
      <c r="C2576" s="2" t="s">
        <v>7298</v>
      </c>
      <c r="D2576" s="2" t="s">
        <v>10055</v>
      </c>
      <c r="E2576" s="15">
        <v>0.13289999999999999</v>
      </c>
      <c r="F2576" s="15">
        <v>9.9299999999999999E-2</v>
      </c>
      <c r="G2576" s="15">
        <v>0.18049999999999999</v>
      </c>
      <c r="H2576" s="15">
        <v>3.3700000000000001E-2</v>
      </c>
      <c r="I2576" s="15">
        <v>1.7000000000000001E-2</v>
      </c>
      <c r="J2576" s="15">
        <v>2.8662420382165612</v>
      </c>
    </row>
    <row r="2577" spans="1:10" x14ac:dyDescent="0.25">
      <c r="A2577" s="2" t="s">
        <v>7299</v>
      </c>
      <c r="B2577" s="2" t="s">
        <v>7007</v>
      </c>
      <c r="C2577" s="2" t="s">
        <v>7300</v>
      </c>
      <c r="D2577" s="2" t="s">
        <v>10055</v>
      </c>
      <c r="E2577" s="15">
        <v>8.0299999999999996E-2</v>
      </c>
      <c r="F2577" s="15">
        <v>0.1091</v>
      </c>
      <c r="G2577" s="15">
        <v>0.4617</v>
      </c>
      <c r="H2577" s="15">
        <v>2.29E-2</v>
      </c>
      <c r="I2577" s="15">
        <v>1.4200000000000001E-2</v>
      </c>
      <c r="J2577" s="15">
        <v>1.5869565217391299</v>
      </c>
    </row>
    <row r="2578" spans="1:10" x14ac:dyDescent="0.25">
      <c r="A2578" s="2" t="s">
        <v>7301</v>
      </c>
      <c r="B2578" s="2" t="s">
        <v>7007</v>
      </c>
      <c r="C2578" s="2" t="s">
        <v>7302</v>
      </c>
      <c r="D2578" s="2" t="s">
        <v>10055</v>
      </c>
      <c r="E2578" s="15">
        <v>-8.3999999999999995E-3</v>
      </c>
      <c r="F2578" s="15">
        <v>0.1085</v>
      </c>
      <c r="G2578" s="15">
        <v>0.93840000000000001</v>
      </c>
      <c r="H2578" s="15">
        <v>3.4200000000000001E-2</v>
      </c>
      <c r="I2578" s="15">
        <v>1.43E-2</v>
      </c>
      <c r="J2578" s="15">
        <v>2.882352941176471</v>
      </c>
    </row>
    <row r="2579" spans="1:10" x14ac:dyDescent="0.25">
      <c r="A2579" s="2" t="s">
        <v>7303</v>
      </c>
      <c r="B2579" s="2" t="s">
        <v>7007</v>
      </c>
      <c r="C2579" s="2" t="s">
        <v>7304</v>
      </c>
      <c r="D2579" s="2" t="s">
        <v>10055</v>
      </c>
      <c r="E2579" s="15">
        <v>7.8E-2</v>
      </c>
      <c r="F2579" s="15">
        <v>9.74E-2</v>
      </c>
      <c r="G2579" s="15">
        <v>0.4229</v>
      </c>
      <c r="H2579" s="15">
        <v>2.8000000000000001E-2</v>
      </c>
      <c r="I2579" s="15">
        <v>1.52E-2</v>
      </c>
      <c r="J2579" s="15">
        <v>2.4726027397260268</v>
      </c>
    </row>
    <row r="2580" spans="1:10" x14ac:dyDescent="0.25">
      <c r="A2580" s="2" t="s">
        <v>7305</v>
      </c>
      <c r="B2580" s="2" t="s">
        <v>7007</v>
      </c>
      <c r="C2580" s="2" t="s">
        <v>7306</v>
      </c>
      <c r="D2580" s="2" t="s">
        <v>10055</v>
      </c>
      <c r="E2580" s="15">
        <v>4.0800000000000003E-2</v>
      </c>
      <c r="F2580" s="15">
        <v>0.12920000000000001</v>
      </c>
      <c r="G2580" s="15">
        <v>0.75239999999999996</v>
      </c>
      <c r="H2580" s="15">
        <v>1.95E-2</v>
      </c>
      <c r="I2580" s="15">
        <v>1.4200000000000001E-2</v>
      </c>
      <c r="J2580" s="15">
        <v>1.7463768115942031</v>
      </c>
    </row>
    <row r="2581" spans="1:10" x14ac:dyDescent="0.25">
      <c r="A2581" s="2" t="s">
        <v>7307</v>
      </c>
      <c r="B2581" s="2" t="s">
        <v>7007</v>
      </c>
      <c r="C2581" s="2" t="s">
        <v>7308</v>
      </c>
      <c r="D2581" s="2" t="s">
        <v>10055</v>
      </c>
      <c r="E2581" s="15">
        <v>-0.2409</v>
      </c>
      <c r="F2581" s="15">
        <v>0.11550000000000001</v>
      </c>
      <c r="G2581" s="15">
        <v>3.6999999999999998E-2</v>
      </c>
      <c r="H2581" s="15">
        <v>3.2199999999999999E-2</v>
      </c>
      <c r="I2581" s="15">
        <v>1.61E-2</v>
      </c>
      <c r="J2581" s="15">
        <v>2.125827814569536</v>
      </c>
    </row>
    <row r="2582" spans="1:10" x14ac:dyDescent="0.25">
      <c r="A2582" s="2" t="s">
        <v>7309</v>
      </c>
      <c r="B2582" s="2" t="s">
        <v>7007</v>
      </c>
      <c r="C2582" s="2" t="s">
        <v>7310</v>
      </c>
      <c r="D2582" s="2" t="s">
        <v>10055</v>
      </c>
      <c r="E2582" s="15"/>
      <c r="F2582" s="15"/>
      <c r="G2582" s="15"/>
      <c r="H2582" s="15">
        <v>-6.4000000000000003E-3</v>
      </c>
      <c r="I2582" s="15">
        <v>1.35E-2</v>
      </c>
      <c r="J2582" s="15">
        <v>0.22222222222222221</v>
      </c>
    </row>
    <row r="2583" spans="1:10" x14ac:dyDescent="0.25">
      <c r="A2583" s="2" t="s">
        <v>7311</v>
      </c>
      <c r="B2583" s="2" t="s">
        <v>7007</v>
      </c>
      <c r="C2583" s="2" t="s">
        <v>7312</v>
      </c>
      <c r="D2583" s="2" t="s">
        <v>10055</v>
      </c>
      <c r="E2583" s="15"/>
      <c r="F2583" s="15"/>
      <c r="G2583" s="15"/>
      <c r="H2583" s="15">
        <v>-3.2000000000000002E-3</v>
      </c>
      <c r="I2583" s="15">
        <v>1.37E-2</v>
      </c>
      <c r="J2583" s="15">
        <v>-0.20930232558139539</v>
      </c>
    </row>
    <row r="2584" spans="1:10" x14ac:dyDescent="0.25">
      <c r="A2584" s="2" t="s">
        <v>7313</v>
      </c>
      <c r="B2584" s="2" t="s">
        <v>7007</v>
      </c>
      <c r="C2584" s="2" t="s">
        <v>7314</v>
      </c>
      <c r="D2584" s="2" t="s">
        <v>10055</v>
      </c>
      <c r="E2584" s="15">
        <v>3.5200000000000002E-2</v>
      </c>
      <c r="F2584" s="15">
        <v>8.6599999999999996E-2</v>
      </c>
      <c r="G2584" s="15">
        <v>0.6845</v>
      </c>
      <c r="H2584" s="15">
        <v>3.4099999999999998E-2</v>
      </c>
      <c r="I2584" s="15">
        <v>1.49E-2</v>
      </c>
      <c r="J2584" s="15">
        <v>2.1678321678321679</v>
      </c>
    </row>
    <row r="2585" spans="1:10" x14ac:dyDescent="0.25">
      <c r="A2585" s="2" t="s">
        <v>7315</v>
      </c>
      <c r="B2585" s="2" t="s">
        <v>7007</v>
      </c>
      <c r="C2585" s="2" t="s">
        <v>7316</v>
      </c>
      <c r="D2585" s="2" t="s">
        <v>10055</v>
      </c>
      <c r="E2585" s="15">
        <v>7.6E-3</v>
      </c>
      <c r="F2585" s="15">
        <v>0.14879999999999999</v>
      </c>
      <c r="G2585" s="15">
        <v>0.95940000000000003</v>
      </c>
      <c r="H2585" s="15">
        <v>1.38E-2</v>
      </c>
      <c r="I2585" s="15">
        <v>1.4999999999999999E-2</v>
      </c>
      <c r="J2585" s="15">
        <v>0.83108108108108103</v>
      </c>
    </row>
    <row r="2586" spans="1:10" x14ac:dyDescent="0.25">
      <c r="A2586" s="2" t="s">
        <v>7317</v>
      </c>
      <c r="B2586" s="2" t="s">
        <v>7007</v>
      </c>
      <c r="C2586" s="2" t="s">
        <v>7318</v>
      </c>
      <c r="D2586" s="2" t="s">
        <v>10055</v>
      </c>
      <c r="E2586" s="15">
        <v>-0.16309999999999999</v>
      </c>
      <c r="F2586" s="15">
        <v>0.28860000000000002</v>
      </c>
      <c r="G2586" s="15">
        <v>0.57210000000000005</v>
      </c>
      <c r="H2586" s="15">
        <v>6.3E-3</v>
      </c>
      <c r="I2586" s="15">
        <v>1.3299999999999999E-2</v>
      </c>
      <c r="J2586" s="15">
        <v>0.22580645161290319</v>
      </c>
    </row>
    <row r="2587" spans="1:10" x14ac:dyDescent="0.25">
      <c r="A2587" s="2" t="s">
        <v>7319</v>
      </c>
      <c r="B2587" s="2" t="s">
        <v>7007</v>
      </c>
      <c r="C2587" s="2" t="s">
        <v>7320</v>
      </c>
      <c r="D2587" s="2" t="s">
        <v>10055</v>
      </c>
      <c r="E2587" s="15">
        <v>2.35E-2</v>
      </c>
      <c r="F2587" s="15">
        <v>0.1439</v>
      </c>
      <c r="G2587" s="15">
        <v>0.87009999999999998</v>
      </c>
      <c r="H2587" s="15">
        <v>1.2E-2</v>
      </c>
      <c r="I2587" s="15">
        <v>1.47E-2</v>
      </c>
      <c r="J2587" s="15">
        <v>1.050724637681159</v>
      </c>
    </row>
    <row r="2588" spans="1:10" x14ac:dyDescent="0.25">
      <c r="A2588" s="2" t="s">
        <v>7321</v>
      </c>
      <c r="B2588" s="2" t="s">
        <v>7007</v>
      </c>
      <c r="C2588" s="2" t="s">
        <v>7322</v>
      </c>
      <c r="D2588" s="2" t="s">
        <v>10055</v>
      </c>
      <c r="E2588" s="15">
        <v>-1.5E-3</v>
      </c>
      <c r="F2588" s="15">
        <v>7.4099999999999999E-2</v>
      </c>
      <c r="G2588" s="15">
        <v>0.98380000000000001</v>
      </c>
      <c r="H2588" s="15">
        <v>6.4899999999999999E-2</v>
      </c>
      <c r="I2588" s="15">
        <v>1.6899999999999998E-2</v>
      </c>
      <c r="J2588" s="15">
        <v>4.1358024691358031</v>
      </c>
    </row>
    <row r="2589" spans="1:10" x14ac:dyDescent="0.25">
      <c r="A2589" s="2" t="s">
        <v>7323</v>
      </c>
      <c r="B2589" s="2" t="s">
        <v>7007</v>
      </c>
      <c r="C2589" s="2" t="s">
        <v>7324</v>
      </c>
      <c r="D2589" s="2" t="s">
        <v>10055</v>
      </c>
      <c r="E2589" s="15">
        <v>-0.2611</v>
      </c>
      <c r="F2589" s="15">
        <v>0.1469</v>
      </c>
      <c r="G2589" s="15">
        <v>7.5399999999999995E-2</v>
      </c>
      <c r="H2589" s="15">
        <v>1.84E-2</v>
      </c>
      <c r="I2589" s="15">
        <v>1.4800000000000001E-2</v>
      </c>
      <c r="J2589" s="15">
        <v>0.91034482758620683</v>
      </c>
    </row>
    <row r="2590" spans="1:10" x14ac:dyDescent="0.25">
      <c r="A2590" s="2" t="s">
        <v>7325</v>
      </c>
      <c r="B2590" s="2" t="s">
        <v>7007</v>
      </c>
      <c r="C2590" s="2" t="s">
        <v>7326</v>
      </c>
      <c r="D2590" s="2" t="s">
        <v>10055</v>
      </c>
      <c r="E2590" s="15">
        <v>6.0100000000000001E-2</v>
      </c>
      <c r="F2590" s="15">
        <v>6.4799999999999996E-2</v>
      </c>
      <c r="G2590" s="15">
        <v>0.35360000000000003</v>
      </c>
      <c r="H2590" s="15">
        <v>6.2700000000000006E-2</v>
      </c>
      <c r="I2590" s="15">
        <v>1.37E-2</v>
      </c>
      <c r="J2590" s="15">
        <v>4.2740740740740746</v>
      </c>
    </row>
    <row r="2591" spans="1:10" x14ac:dyDescent="0.25">
      <c r="A2591" s="2" t="s">
        <v>7327</v>
      </c>
      <c r="B2591" s="2" t="s">
        <v>7007</v>
      </c>
      <c r="C2591" s="2" t="s">
        <v>7328</v>
      </c>
      <c r="D2591" s="2" t="s">
        <v>10055</v>
      </c>
      <c r="E2591" s="15">
        <v>0.1043</v>
      </c>
      <c r="F2591" s="15">
        <v>0.15110000000000001</v>
      </c>
      <c r="G2591" s="15">
        <v>0.4899</v>
      </c>
      <c r="H2591" s="15">
        <v>1.3100000000000001E-2</v>
      </c>
      <c r="I2591" s="15">
        <v>1.3899999999999999E-2</v>
      </c>
      <c r="J2591" s="15">
        <v>1.0588235294117649</v>
      </c>
    </row>
    <row r="2592" spans="1:10" x14ac:dyDescent="0.25">
      <c r="A2592" s="2" t="s">
        <v>7329</v>
      </c>
      <c r="B2592" s="2" t="s">
        <v>7007</v>
      </c>
      <c r="C2592" s="2" t="s">
        <v>7330</v>
      </c>
      <c r="D2592" s="2" t="s">
        <v>10055</v>
      </c>
      <c r="E2592" s="15">
        <v>4.3900000000000002E-2</v>
      </c>
      <c r="F2592" s="15">
        <v>6.3E-2</v>
      </c>
      <c r="G2592" s="15">
        <v>0.48599999999999999</v>
      </c>
      <c r="H2592" s="15">
        <v>6.9000000000000006E-2</v>
      </c>
      <c r="I2592" s="15">
        <v>1.55E-2</v>
      </c>
      <c r="J2592" s="15">
        <v>5.1400000000000006</v>
      </c>
    </row>
    <row r="2593" spans="1:10" x14ac:dyDescent="0.25">
      <c r="A2593" s="2" t="s">
        <v>7331</v>
      </c>
      <c r="B2593" s="2" t="s">
        <v>7007</v>
      </c>
      <c r="C2593" s="2" t="s">
        <v>7332</v>
      </c>
      <c r="D2593" s="2" t="s">
        <v>10055</v>
      </c>
      <c r="E2593" s="15">
        <v>-2.7799999999999998E-2</v>
      </c>
      <c r="F2593" s="15">
        <v>6.9699999999999998E-2</v>
      </c>
      <c r="G2593" s="15">
        <v>0.69</v>
      </c>
      <c r="H2593" s="15">
        <v>6.3200000000000006E-2</v>
      </c>
      <c r="I2593" s="15">
        <v>1.7299999999999999E-2</v>
      </c>
      <c r="J2593" s="15">
        <v>4.0864197530864192</v>
      </c>
    </row>
    <row r="2594" spans="1:10" x14ac:dyDescent="0.25">
      <c r="A2594" s="2" t="s">
        <v>7333</v>
      </c>
      <c r="B2594" s="2" t="s">
        <v>7007</v>
      </c>
      <c r="C2594" s="2" t="s">
        <v>7334</v>
      </c>
      <c r="D2594" s="2" t="s">
        <v>10055</v>
      </c>
      <c r="E2594" s="15">
        <v>6.2399999999999997E-2</v>
      </c>
      <c r="F2594" s="15">
        <v>6.0699999999999997E-2</v>
      </c>
      <c r="G2594" s="15">
        <v>0.30380000000000001</v>
      </c>
      <c r="H2594" s="15">
        <v>7.2700000000000001E-2</v>
      </c>
      <c r="I2594" s="15">
        <v>1.49E-2</v>
      </c>
      <c r="J2594" s="15">
        <v>5.7086092715231782</v>
      </c>
    </row>
    <row r="2595" spans="1:10" x14ac:dyDescent="0.25">
      <c r="A2595" s="2" t="s">
        <v>7335</v>
      </c>
      <c r="B2595" s="2" t="s">
        <v>7007</v>
      </c>
      <c r="C2595" s="2" t="s">
        <v>7336</v>
      </c>
      <c r="D2595" s="2" t="s">
        <v>10055</v>
      </c>
      <c r="E2595" s="15">
        <v>0.15590000000000001</v>
      </c>
      <c r="F2595" s="15">
        <v>0.1003</v>
      </c>
      <c r="G2595" s="15">
        <v>0.1203</v>
      </c>
      <c r="H2595" s="15">
        <v>3.0200000000000001E-2</v>
      </c>
      <c r="I2595" s="15">
        <v>1.29E-2</v>
      </c>
      <c r="J2595" s="15">
        <v>2.57258064516129</v>
      </c>
    </row>
    <row r="2596" spans="1:10" x14ac:dyDescent="0.25">
      <c r="A2596" s="2" t="s">
        <v>7337</v>
      </c>
      <c r="B2596" s="2" t="s">
        <v>7007</v>
      </c>
      <c r="C2596" s="2" t="s">
        <v>7338</v>
      </c>
      <c r="D2596" s="2" t="s">
        <v>10055</v>
      </c>
      <c r="E2596" s="15">
        <v>-4.1399999999999999E-2</v>
      </c>
      <c r="F2596" s="15">
        <v>7.4499999999999997E-2</v>
      </c>
      <c r="G2596" s="15">
        <v>0.57879999999999998</v>
      </c>
      <c r="H2596" s="15">
        <v>5.4600000000000003E-2</v>
      </c>
      <c r="I2596" s="15">
        <v>1.5100000000000001E-2</v>
      </c>
      <c r="J2596" s="15">
        <v>3.7635135135135132</v>
      </c>
    </row>
    <row r="2597" spans="1:10" x14ac:dyDescent="0.25">
      <c r="A2597" s="2" t="s">
        <v>7339</v>
      </c>
      <c r="B2597" s="2" t="s">
        <v>7007</v>
      </c>
      <c r="C2597" s="2" t="s">
        <v>7340</v>
      </c>
      <c r="D2597" s="2" t="s">
        <v>10055</v>
      </c>
      <c r="E2597" s="15"/>
      <c r="F2597" s="15"/>
      <c r="G2597" s="15"/>
      <c r="H2597" s="15">
        <v>-1.2800000000000001E-2</v>
      </c>
      <c r="I2597" s="15">
        <v>1.32E-2</v>
      </c>
      <c r="J2597" s="15">
        <v>-0.31159420289855072</v>
      </c>
    </row>
    <row r="2598" spans="1:10" x14ac:dyDescent="0.25">
      <c r="A2598" s="2" t="s">
        <v>7341</v>
      </c>
      <c r="B2598" s="2" t="s">
        <v>7007</v>
      </c>
      <c r="C2598" s="2" t="s">
        <v>7342</v>
      </c>
      <c r="D2598" s="2" t="s">
        <v>10055</v>
      </c>
      <c r="E2598" s="15">
        <v>9.7500000000000003E-2</v>
      </c>
      <c r="F2598" s="15">
        <v>9.2600000000000002E-2</v>
      </c>
      <c r="G2598" s="15">
        <v>0.29220000000000002</v>
      </c>
      <c r="H2598" s="15">
        <v>4.1799999999999997E-2</v>
      </c>
      <c r="I2598" s="15">
        <v>1.4800000000000001E-2</v>
      </c>
      <c r="J2598" s="15">
        <v>2.7094594594594592</v>
      </c>
    </row>
    <row r="2599" spans="1:10" x14ac:dyDescent="0.25">
      <c r="A2599" s="2" t="s">
        <v>7343</v>
      </c>
      <c r="B2599" s="2" t="s">
        <v>7007</v>
      </c>
      <c r="C2599" s="2" t="s">
        <v>7344</v>
      </c>
      <c r="D2599" s="2" t="s">
        <v>10055</v>
      </c>
      <c r="E2599" s="15">
        <v>-4.4299999999999999E-2</v>
      </c>
      <c r="F2599" s="15">
        <v>0.14729999999999999</v>
      </c>
      <c r="G2599" s="15">
        <v>0.76359999999999995</v>
      </c>
      <c r="H2599" s="15">
        <v>1.5699999999999999E-2</v>
      </c>
      <c r="I2599" s="15">
        <v>1.32E-2</v>
      </c>
      <c r="J2599" s="15">
        <v>1.092307692307692</v>
      </c>
    </row>
    <row r="2600" spans="1:10" x14ac:dyDescent="0.25">
      <c r="A2600" s="2" t="s">
        <v>7345</v>
      </c>
      <c r="B2600" s="2" t="s">
        <v>7007</v>
      </c>
      <c r="C2600" s="2" t="s">
        <v>7346</v>
      </c>
      <c r="D2600" s="2" t="s">
        <v>10055</v>
      </c>
      <c r="E2600" s="15">
        <v>0.11</v>
      </c>
      <c r="F2600" s="15">
        <v>8.43E-2</v>
      </c>
      <c r="G2600" s="15">
        <v>0.192</v>
      </c>
      <c r="H2600" s="15">
        <v>4.2599999999999999E-2</v>
      </c>
      <c r="I2600" s="15">
        <v>1.52E-2</v>
      </c>
      <c r="J2600" s="15">
        <v>3.0780141843971629</v>
      </c>
    </row>
    <row r="2601" spans="1:10" x14ac:dyDescent="0.25">
      <c r="A2601" s="2" t="s">
        <v>7347</v>
      </c>
      <c r="B2601" s="2" t="s">
        <v>7007</v>
      </c>
      <c r="C2601" s="2" t="s">
        <v>7348</v>
      </c>
      <c r="D2601" s="2" t="s">
        <v>10055</v>
      </c>
      <c r="E2601" s="15">
        <v>-1.01E-2</v>
      </c>
      <c r="F2601" s="15">
        <v>7.4200000000000002E-2</v>
      </c>
      <c r="G2601" s="15">
        <v>0.89170000000000005</v>
      </c>
      <c r="H2601" s="15">
        <v>4.9099999999999998E-2</v>
      </c>
      <c r="I2601" s="15">
        <v>1.47E-2</v>
      </c>
      <c r="J2601" s="15">
        <v>3.720930232558139</v>
      </c>
    </row>
    <row r="2602" spans="1:10" x14ac:dyDescent="0.25">
      <c r="A2602" s="2" t="s">
        <v>7349</v>
      </c>
      <c r="B2602" s="2" t="s">
        <v>7007</v>
      </c>
      <c r="C2602" s="2" t="s">
        <v>7350</v>
      </c>
      <c r="D2602" s="2" t="s">
        <v>10055</v>
      </c>
      <c r="E2602" s="15">
        <v>-1.9199999999999998E-2</v>
      </c>
      <c r="F2602" s="15">
        <v>0.13220000000000001</v>
      </c>
      <c r="G2602" s="15">
        <v>0.88449999999999995</v>
      </c>
      <c r="H2602" s="15">
        <v>1.78E-2</v>
      </c>
      <c r="I2602" s="15">
        <v>1.3299999999999999E-2</v>
      </c>
      <c r="J2602" s="15">
        <v>1.312977099236641</v>
      </c>
    </row>
    <row r="2603" spans="1:10" x14ac:dyDescent="0.25">
      <c r="A2603" s="2" t="s">
        <v>7351</v>
      </c>
      <c r="B2603" s="2" t="s">
        <v>7007</v>
      </c>
      <c r="C2603" s="2" t="s">
        <v>7352</v>
      </c>
      <c r="D2603" s="2" t="s">
        <v>10055</v>
      </c>
      <c r="E2603" s="15">
        <v>-3.4099999999999998E-2</v>
      </c>
      <c r="F2603" s="15">
        <v>0.1018</v>
      </c>
      <c r="G2603" s="15">
        <v>0.73740000000000006</v>
      </c>
      <c r="H2603" s="15">
        <v>2.7099999999999999E-2</v>
      </c>
      <c r="I2603" s="15">
        <v>1.3899999999999999E-2</v>
      </c>
      <c r="J2603" s="15">
        <v>2.4592592592592588</v>
      </c>
    </row>
    <row r="2604" spans="1:10" x14ac:dyDescent="0.25">
      <c r="A2604" s="2" t="s">
        <v>7353</v>
      </c>
      <c r="B2604" s="2" t="s">
        <v>7007</v>
      </c>
      <c r="C2604" s="2" t="s">
        <v>7354</v>
      </c>
      <c r="D2604" s="2" t="s">
        <v>10055</v>
      </c>
      <c r="E2604" s="15">
        <v>-6.6799999999999998E-2</v>
      </c>
      <c r="F2604" s="15">
        <v>0.13489999999999999</v>
      </c>
      <c r="G2604" s="15">
        <v>0.62029999999999996</v>
      </c>
      <c r="H2604" s="15">
        <v>1.78E-2</v>
      </c>
      <c r="I2604" s="15">
        <v>1.46E-2</v>
      </c>
      <c r="J2604" s="15">
        <v>1.1357142857142859</v>
      </c>
    </row>
    <row r="2605" spans="1:10" x14ac:dyDescent="0.25">
      <c r="A2605" s="2" t="s">
        <v>7355</v>
      </c>
      <c r="B2605" s="2" t="s">
        <v>7007</v>
      </c>
      <c r="C2605" s="2" t="s">
        <v>7356</v>
      </c>
      <c r="D2605" s="2" t="s">
        <v>10055</v>
      </c>
      <c r="E2605" s="15">
        <v>0.15509999999999999</v>
      </c>
      <c r="F2605" s="15">
        <v>9.7000000000000003E-2</v>
      </c>
      <c r="G2605" s="15">
        <v>0.10970000000000001</v>
      </c>
      <c r="H2605" s="15">
        <v>3.5700000000000003E-2</v>
      </c>
      <c r="I2605" s="15">
        <v>1.4999999999999999E-2</v>
      </c>
      <c r="J2605" s="15">
        <v>1.972972972972973</v>
      </c>
    </row>
    <row r="2606" spans="1:10" x14ac:dyDescent="0.25">
      <c r="A2606" s="2" t="s">
        <v>7357</v>
      </c>
      <c r="B2606" s="2" t="s">
        <v>7007</v>
      </c>
      <c r="C2606" s="2" t="s">
        <v>7358</v>
      </c>
      <c r="D2606" s="2" t="s">
        <v>10055</v>
      </c>
      <c r="E2606" s="15"/>
      <c r="F2606" s="15"/>
      <c r="G2606" s="15"/>
      <c r="H2606" s="15">
        <v>-5.0000000000000001E-4</v>
      </c>
      <c r="I2606" s="15">
        <v>1.38E-2</v>
      </c>
      <c r="J2606" s="15">
        <v>-0.1021897810218978</v>
      </c>
    </row>
    <row r="2607" spans="1:10" x14ac:dyDescent="0.25">
      <c r="A2607" s="2" t="s">
        <v>7359</v>
      </c>
      <c r="B2607" s="2" t="s">
        <v>7007</v>
      </c>
      <c r="C2607" s="2" t="s">
        <v>7360</v>
      </c>
      <c r="D2607" s="2" t="s">
        <v>10055</v>
      </c>
      <c r="E2607" s="15">
        <v>9.6100000000000005E-2</v>
      </c>
      <c r="F2607" s="15">
        <v>8.5999999999999993E-2</v>
      </c>
      <c r="G2607" s="15">
        <v>0.26390000000000002</v>
      </c>
      <c r="H2607" s="15">
        <v>3.4799999999999998E-2</v>
      </c>
      <c r="I2607" s="15">
        <v>1.47E-2</v>
      </c>
      <c r="J2607" s="15">
        <v>2.8102189781021898</v>
      </c>
    </row>
    <row r="2608" spans="1:10" x14ac:dyDescent="0.25">
      <c r="A2608" s="2" t="s">
        <v>7361</v>
      </c>
      <c r="B2608" s="2" t="s">
        <v>7007</v>
      </c>
      <c r="C2608" s="2" t="s">
        <v>7362</v>
      </c>
      <c r="D2608" s="2" t="s">
        <v>10055</v>
      </c>
      <c r="E2608" s="15"/>
      <c r="F2608" s="15"/>
      <c r="G2608" s="15"/>
      <c r="H2608" s="15">
        <v>-8.2000000000000007E-3</v>
      </c>
      <c r="I2608" s="15">
        <v>1.4200000000000001E-2</v>
      </c>
      <c r="J2608" s="15">
        <v>-8.3916083916083906E-2</v>
      </c>
    </row>
    <row r="2609" spans="1:10" x14ac:dyDescent="0.25">
      <c r="A2609" s="2" t="s">
        <v>7363</v>
      </c>
      <c r="B2609" s="2" t="s">
        <v>7007</v>
      </c>
      <c r="C2609" s="2" t="s">
        <v>7364</v>
      </c>
      <c r="D2609" s="2" t="s">
        <v>10055</v>
      </c>
      <c r="E2609" s="15"/>
      <c r="F2609" s="15"/>
      <c r="G2609" s="15"/>
      <c r="H2609" s="15"/>
      <c r="I2609" s="15"/>
      <c r="J2609" s="15">
        <v>0.1162790697674419</v>
      </c>
    </row>
    <row r="2610" spans="1:10" x14ac:dyDescent="0.25">
      <c r="A2610" s="2" t="s">
        <v>7365</v>
      </c>
      <c r="B2610" s="2" t="s">
        <v>7007</v>
      </c>
      <c r="C2610" s="2" t="s">
        <v>7366</v>
      </c>
      <c r="D2610" s="2" t="s">
        <v>10055</v>
      </c>
      <c r="E2610" s="15"/>
      <c r="F2610" s="15"/>
      <c r="G2610" s="15"/>
      <c r="H2610" s="15"/>
      <c r="I2610" s="15"/>
      <c r="J2610" s="15">
        <v>0.38686131386861311</v>
      </c>
    </row>
    <row r="2611" spans="1:10" x14ac:dyDescent="0.25">
      <c r="A2611" s="2" t="s">
        <v>7367</v>
      </c>
      <c r="B2611" s="2" t="s">
        <v>7007</v>
      </c>
      <c r="C2611" s="2" t="s">
        <v>7368</v>
      </c>
      <c r="D2611" s="2" t="s">
        <v>10055</v>
      </c>
      <c r="E2611" s="15">
        <v>-7.0300000000000001E-2</v>
      </c>
      <c r="F2611" s="15">
        <v>0.15179999999999999</v>
      </c>
      <c r="G2611" s="15">
        <v>0.64300000000000002</v>
      </c>
      <c r="H2611" s="15">
        <v>1.18E-2</v>
      </c>
      <c r="I2611" s="15">
        <v>1.37E-2</v>
      </c>
      <c r="J2611" s="15">
        <v>1.115384615384615</v>
      </c>
    </row>
    <row r="2612" spans="1:10" x14ac:dyDescent="0.25">
      <c r="A2612" s="2" t="s">
        <v>7369</v>
      </c>
      <c r="B2612" s="2" t="s">
        <v>7007</v>
      </c>
      <c r="C2612" s="2" t="s">
        <v>7370</v>
      </c>
      <c r="D2612" s="2" t="s">
        <v>10055</v>
      </c>
      <c r="E2612" s="15"/>
      <c r="F2612" s="15"/>
      <c r="G2612" s="15"/>
      <c r="H2612" s="15">
        <v>-1E-3</v>
      </c>
      <c r="I2612" s="15">
        <v>1.5299999999999999E-2</v>
      </c>
      <c r="J2612" s="15">
        <v>0.57516339869281052</v>
      </c>
    </row>
    <row r="2613" spans="1:10" x14ac:dyDescent="0.25">
      <c r="A2613" s="2" t="s">
        <v>7371</v>
      </c>
      <c r="B2613" s="2" t="s">
        <v>7007</v>
      </c>
      <c r="C2613" s="2" t="s">
        <v>7372</v>
      </c>
      <c r="D2613" s="2" t="s">
        <v>10055</v>
      </c>
      <c r="E2613" s="15"/>
      <c r="F2613" s="15"/>
      <c r="G2613" s="15"/>
      <c r="H2613" s="15">
        <v>-4.0000000000000002E-4</v>
      </c>
      <c r="I2613" s="15">
        <v>1.4500000000000001E-2</v>
      </c>
      <c r="J2613" s="15">
        <v>-0.27480916030534353</v>
      </c>
    </row>
    <row r="2614" spans="1:10" x14ac:dyDescent="0.25">
      <c r="A2614" s="2" t="s">
        <v>7373</v>
      </c>
      <c r="B2614" s="2" t="s">
        <v>7007</v>
      </c>
      <c r="C2614" s="2" t="s">
        <v>7374</v>
      </c>
      <c r="D2614" s="2" t="s">
        <v>10055</v>
      </c>
      <c r="E2614" s="15">
        <v>-0.12709999999999999</v>
      </c>
      <c r="F2614" s="15">
        <v>0.23080000000000001</v>
      </c>
      <c r="G2614" s="15">
        <v>0.58199999999999996</v>
      </c>
      <c r="H2614" s="15">
        <v>7.0000000000000001E-3</v>
      </c>
      <c r="I2614" s="15">
        <v>1.34E-2</v>
      </c>
      <c r="J2614" s="15">
        <v>0.46043165467625902</v>
      </c>
    </row>
    <row r="2615" spans="1:10" x14ac:dyDescent="0.25">
      <c r="A2615" s="2" t="s">
        <v>7375</v>
      </c>
      <c r="B2615" s="2" t="s">
        <v>7007</v>
      </c>
      <c r="C2615" s="2" t="s">
        <v>7376</v>
      </c>
      <c r="D2615" s="2" t="s">
        <v>10055</v>
      </c>
      <c r="E2615" s="15">
        <v>0.12479999999999999</v>
      </c>
      <c r="F2615" s="15">
        <v>0.26500000000000001</v>
      </c>
      <c r="G2615" s="15">
        <v>0.63759999999999994</v>
      </c>
      <c r="H2615" s="15">
        <v>7.1999999999999998E-3</v>
      </c>
      <c r="I2615" s="15">
        <v>1.3599999999999999E-2</v>
      </c>
      <c r="J2615" s="15">
        <v>0.1851851851851852</v>
      </c>
    </row>
    <row r="2616" spans="1:10" x14ac:dyDescent="0.25">
      <c r="A2616" s="2" t="s">
        <v>7377</v>
      </c>
      <c r="B2616" s="2" t="s">
        <v>7007</v>
      </c>
      <c r="C2616" s="2" t="s">
        <v>7378</v>
      </c>
      <c r="D2616" s="2" t="s">
        <v>10055</v>
      </c>
      <c r="E2616" s="15"/>
      <c r="F2616" s="15"/>
      <c r="G2616" s="15"/>
      <c r="H2616" s="15"/>
      <c r="I2616" s="15"/>
      <c r="J2616" s="15">
        <v>0.54966887417218546</v>
      </c>
    </row>
    <row r="2617" spans="1:10" x14ac:dyDescent="0.25">
      <c r="A2617" s="2" t="s">
        <v>7379</v>
      </c>
      <c r="B2617" s="2" t="s">
        <v>7007</v>
      </c>
      <c r="C2617" s="2" t="s">
        <v>7380</v>
      </c>
      <c r="D2617" s="2" t="s">
        <v>10055</v>
      </c>
      <c r="E2617" s="15"/>
      <c r="F2617" s="15"/>
      <c r="G2617" s="15"/>
      <c r="H2617" s="15"/>
      <c r="I2617" s="15"/>
      <c r="J2617" s="15">
        <v>-4.8484848484848478E-2</v>
      </c>
    </row>
    <row r="2618" spans="1:10" x14ac:dyDescent="0.25">
      <c r="A2618" s="2" t="s">
        <v>7381</v>
      </c>
      <c r="B2618" s="2" t="s">
        <v>7007</v>
      </c>
      <c r="C2618" s="2" t="s">
        <v>7382</v>
      </c>
      <c r="D2618" s="2" t="s">
        <v>10055</v>
      </c>
      <c r="E2618" s="15">
        <v>3.8899999999999997E-2</v>
      </c>
      <c r="F2618" s="15">
        <v>0.10059999999999999</v>
      </c>
      <c r="G2618" s="15">
        <v>0.69869999999999999</v>
      </c>
      <c r="H2618" s="15">
        <v>3.3399999999999999E-2</v>
      </c>
      <c r="I2618" s="15">
        <v>1.46E-2</v>
      </c>
      <c r="J2618" s="15">
        <v>2.1517241379310339</v>
      </c>
    </row>
    <row r="2619" spans="1:10" x14ac:dyDescent="0.25">
      <c r="A2619" s="2" t="s">
        <v>7383</v>
      </c>
      <c r="B2619" s="2" t="s">
        <v>7007</v>
      </c>
      <c r="C2619" s="2" t="s">
        <v>7384</v>
      </c>
      <c r="D2619" s="2" t="s">
        <v>10055</v>
      </c>
      <c r="E2619" s="15">
        <v>-0.1193</v>
      </c>
      <c r="F2619" s="15">
        <v>8.5599999999999996E-2</v>
      </c>
      <c r="G2619" s="15">
        <v>0.16320000000000001</v>
      </c>
      <c r="H2619" s="15">
        <v>5.3999999999999999E-2</v>
      </c>
      <c r="I2619" s="15">
        <v>1.3599999999999999E-2</v>
      </c>
      <c r="J2619" s="15">
        <v>4.125</v>
      </c>
    </row>
    <row r="2620" spans="1:10" x14ac:dyDescent="0.25">
      <c r="A2620" s="2" t="s">
        <v>7385</v>
      </c>
      <c r="B2620" s="2" t="s">
        <v>7007</v>
      </c>
      <c r="C2620" s="2" t="s">
        <v>7386</v>
      </c>
      <c r="D2620" s="2" t="s">
        <v>10055</v>
      </c>
      <c r="E2620" s="15">
        <v>5.5E-2</v>
      </c>
      <c r="F2620" s="15">
        <v>0.11700000000000001</v>
      </c>
      <c r="G2620" s="15">
        <v>0.63800000000000001</v>
      </c>
      <c r="H2620" s="15">
        <v>2.1700000000000001E-2</v>
      </c>
      <c r="I2620" s="15">
        <v>1.3599999999999999E-2</v>
      </c>
      <c r="J2620" s="15">
        <v>1.482014388489209</v>
      </c>
    </row>
    <row r="2621" spans="1:10" x14ac:dyDescent="0.25">
      <c r="A2621" s="2" t="s">
        <v>7387</v>
      </c>
      <c r="B2621" s="2" t="s">
        <v>7007</v>
      </c>
      <c r="C2621" s="2" t="s">
        <v>7388</v>
      </c>
      <c r="D2621" s="2" t="s">
        <v>10055</v>
      </c>
      <c r="E2621" s="15">
        <v>-0.2959</v>
      </c>
      <c r="F2621" s="15">
        <v>0.31019999999999998</v>
      </c>
      <c r="G2621" s="15">
        <v>0.3402</v>
      </c>
      <c r="H2621" s="15">
        <v>1.0500000000000001E-2</v>
      </c>
      <c r="I2621" s="15">
        <v>1.5100000000000001E-2</v>
      </c>
      <c r="J2621" s="15">
        <v>0.81081081081081074</v>
      </c>
    </row>
    <row r="2622" spans="1:10" x14ac:dyDescent="0.25">
      <c r="A2622" s="2" t="s">
        <v>7389</v>
      </c>
      <c r="B2622" s="2" t="s">
        <v>7007</v>
      </c>
      <c r="C2622" s="2" t="s">
        <v>7390</v>
      </c>
      <c r="D2622" s="2" t="s">
        <v>10055</v>
      </c>
      <c r="E2622" s="15">
        <v>-5.4800000000000001E-2</v>
      </c>
      <c r="F2622" s="15">
        <v>9.9699999999999997E-2</v>
      </c>
      <c r="G2622" s="15">
        <v>0.5827</v>
      </c>
      <c r="H2622" s="15">
        <v>2.7300000000000001E-2</v>
      </c>
      <c r="I2622" s="15">
        <v>1.47E-2</v>
      </c>
      <c r="J2622" s="15">
        <v>1.8243243243243239</v>
      </c>
    </row>
    <row r="2623" spans="1:10" x14ac:dyDescent="0.25">
      <c r="A2623" s="2" t="s">
        <v>7391</v>
      </c>
      <c r="B2623" s="2" t="s">
        <v>7007</v>
      </c>
      <c r="C2623" s="2" t="s">
        <v>7392</v>
      </c>
      <c r="D2623" s="2" t="s">
        <v>10055</v>
      </c>
      <c r="E2623" s="15">
        <v>8.1199999999999994E-2</v>
      </c>
      <c r="F2623" s="15">
        <v>6.7100000000000007E-2</v>
      </c>
      <c r="G2623" s="15">
        <v>0.2263</v>
      </c>
      <c r="H2623" s="15">
        <v>5.11E-2</v>
      </c>
      <c r="I2623" s="15">
        <v>1.38E-2</v>
      </c>
      <c r="J2623" s="15">
        <v>3.7559055118110241</v>
      </c>
    </row>
    <row r="2624" spans="1:10" x14ac:dyDescent="0.25">
      <c r="A2624" s="2" t="s">
        <v>7393</v>
      </c>
      <c r="B2624" s="2" t="s">
        <v>7007</v>
      </c>
      <c r="C2624" s="2" t="s">
        <v>7394</v>
      </c>
      <c r="D2624" s="2" t="s">
        <v>10055</v>
      </c>
      <c r="E2624" s="15">
        <v>-0.20880000000000001</v>
      </c>
      <c r="F2624" s="15">
        <v>0.16089999999999999</v>
      </c>
      <c r="G2624" s="15">
        <v>0.1943</v>
      </c>
      <c r="H2624" s="15">
        <v>1.5699999999999999E-2</v>
      </c>
      <c r="I2624" s="15">
        <v>1.37E-2</v>
      </c>
      <c r="J2624" s="15">
        <v>1.0222222222222219</v>
      </c>
    </row>
    <row r="2625" spans="1:10" x14ac:dyDescent="0.25">
      <c r="A2625" s="2" t="s">
        <v>7395</v>
      </c>
      <c r="B2625" s="2" t="s">
        <v>7007</v>
      </c>
      <c r="C2625" s="2" t="s">
        <v>7396</v>
      </c>
      <c r="D2625" s="2" t="s">
        <v>10055</v>
      </c>
      <c r="E2625" s="15">
        <v>-5.8799999999999998E-2</v>
      </c>
      <c r="F2625" s="15">
        <v>5.62E-2</v>
      </c>
      <c r="G2625" s="15">
        <v>0.29520000000000002</v>
      </c>
      <c r="H2625" s="15">
        <v>9.9199999999999997E-2</v>
      </c>
      <c r="I2625" s="15">
        <v>1.55E-2</v>
      </c>
      <c r="J2625" s="15">
        <v>6.2645161290322582</v>
      </c>
    </row>
    <row r="2626" spans="1:10" x14ac:dyDescent="0.25">
      <c r="A2626" s="2" t="s">
        <v>7397</v>
      </c>
      <c r="B2626" s="2" t="s">
        <v>7007</v>
      </c>
      <c r="C2626" s="2" t="s">
        <v>7398</v>
      </c>
      <c r="D2626" s="2" t="s">
        <v>10055</v>
      </c>
      <c r="E2626" s="15"/>
      <c r="F2626" s="15"/>
      <c r="G2626" s="15"/>
      <c r="H2626" s="15"/>
      <c r="I2626" s="15"/>
      <c r="J2626" s="15">
        <v>0.66298342541436461</v>
      </c>
    </row>
    <row r="2627" spans="1:10" x14ac:dyDescent="0.25">
      <c r="A2627" s="2" t="s">
        <v>7399</v>
      </c>
      <c r="B2627" s="2" t="s">
        <v>7007</v>
      </c>
      <c r="C2627" s="2" t="s">
        <v>7400</v>
      </c>
      <c r="D2627" s="2" t="s">
        <v>10055</v>
      </c>
      <c r="E2627" s="15">
        <v>-4.3E-3</v>
      </c>
      <c r="F2627" s="15">
        <v>6.7199999999999996E-2</v>
      </c>
      <c r="G2627" s="15">
        <v>0.94940000000000002</v>
      </c>
      <c r="H2627" s="15">
        <v>7.2999999999999995E-2</v>
      </c>
      <c r="I2627" s="15">
        <v>1.61E-2</v>
      </c>
      <c r="J2627" s="15">
        <v>4.5843373493975914</v>
      </c>
    </row>
    <row r="2628" spans="1:10" x14ac:dyDescent="0.25">
      <c r="A2628" s="2" t="s">
        <v>7401</v>
      </c>
      <c r="B2628" s="2" t="s">
        <v>7007</v>
      </c>
      <c r="C2628" s="2" t="s">
        <v>7402</v>
      </c>
      <c r="D2628" s="2" t="s">
        <v>10055</v>
      </c>
      <c r="E2628" s="15"/>
      <c r="F2628" s="15"/>
      <c r="G2628" s="15"/>
      <c r="H2628" s="15">
        <v>-0.01</v>
      </c>
      <c r="I2628" s="15">
        <v>1.37E-2</v>
      </c>
      <c r="J2628" s="15">
        <v>-0.88235294117647067</v>
      </c>
    </row>
    <row r="2629" spans="1:10" x14ac:dyDescent="0.25">
      <c r="A2629" s="2" t="s">
        <v>7403</v>
      </c>
      <c r="B2629" s="2" t="s">
        <v>7007</v>
      </c>
      <c r="C2629" s="2" t="s">
        <v>7404</v>
      </c>
      <c r="D2629" s="2" t="s">
        <v>10055</v>
      </c>
      <c r="E2629" s="15">
        <v>3.3999999999999998E-3</v>
      </c>
      <c r="F2629" s="15">
        <v>5.4800000000000001E-2</v>
      </c>
      <c r="G2629" s="15">
        <v>0.95030000000000003</v>
      </c>
      <c r="H2629" s="15">
        <v>0.13270000000000001</v>
      </c>
      <c r="I2629" s="15">
        <v>1.7000000000000001E-2</v>
      </c>
      <c r="J2629" s="15">
        <v>7.8888888888888884</v>
      </c>
    </row>
    <row r="2630" spans="1:10" x14ac:dyDescent="0.25">
      <c r="A2630" s="2" t="s">
        <v>7405</v>
      </c>
      <c r="B2630" s="2" t="s">
        <v>7007</v>
      </c>
      <c r="C2630" s="2" t="s">
        <v>7406</v>
      </c>
      <c r="D2630" s="2" t="s">
        <v>10055</v>
      </c>
      <c r="E2630" s="15">
        <v>-0.1066</v>
      </c>
      <c r="F2630" s="15">
        <v>6.3200000000000006E-2</v>
      </c>
      <c r="G2630" s="15">
        <v>9.1499999999999998E-2</v>
      </c>
      <c r="H2630" s="15">
        <v>7.5999999999999998E-2</v>
      </c>
      <c r="I2630" s="15">
        <v>1.5299999999999999E-2</v>
      </c>
      <c r="J2630" s="15">
        <v>5.6068965517241374</v>
      </c>
    </row>
    <row r="2631" spans="1:10" x14ac:dyDescent="0.25">
      <c r="A2631" s="2" t="s">
        <v>7407</v>
      </c>
      <c r="B2631" s="2" t="s">
        <v>7007</v>
      </c>
      <c r="C2631" s="2" t="s">
        <v>7408</v>
      </c>
      <c r="D2631" s="2" t="s">
        <v>10055</v>
      </c>
      <c r="E2631" s="15">
        <v>-2.07E-2</v>
      </c>
      <c r="F2631" s="15">
        <v>6.1899999999999997E-2</v>
      </c>
      <c r="G2631" s="15">
        <v>0.73780000000000001</v>
      </c>
      <c r="H2631" s="15">
        <v>8.7499999999999994E-2</v>
      </c>
      <c r="I2631" s="15">
        <v>1.6299999999999999E-2</v>
      </c>
      <c r="J2631" s="15">
        <v>5.6918238993710686</v>
      </c>
    </row>
    <row r="2632" spans="1:10" x14ac:dyDescent="0.25">
      <c r="A2632" s="2" t="s">
        <v>7409</v>
      </c>
      <c r="B2632" s="2" t="s">
        <v>7007</v>
      </c>
      <c r="C2632" s="2" t="s">
        <v>7410</v>
      </c>
      <c r="D2632" s="2" t="s">
        <v>10055</v>
      </c>
      <c r="E2632" s="15">
        <v>-1.35E-2</v>
      </c>
      <c r="F2632" s="15">
        <v>6.0400000000000002E-2</v>
      </c>
      <c r="G2632" s="15">
        <v>0.82279999999999998</v>
      </c>
      <c r="H2632" s="15">
        <v>8.3900000000000002E-2</v>
      </c>
      <c r="I2632" s="15">
        <v>1.5699999999999999E-2</v>
      </c>
      <c r="J2632" s="15">
        <v>5.5769230769230766</v>
      </c>
    </row>
    <row r="2633" spans="1:10" x14ac:dyDescent="0.25">
      <c r="A2633" s="2" t="s">
        <v>7411</v>
      </c>
      <c r="B2633" s="2" t="s">
        <v>7007</v>
      </c>
      <c r="C2633" s="2" t="s">
        <v>7412</v>
      </c>
      <c r="D2633" s="2" t="s">
        <v>10055</v>
      </c>
      <c r="E2633" s="15">
        <v>-7.7799999999999994E-2</v>
      </c>
      <c r="F2633" s="15">
        <v>6.1600000000000002E-2</v>
      </c>
      <c r="G2633" s="15">
        <v>0.20680000000000001</v>
      </c>
      <c r="H2633" s="15">
        <v>9.1899999999999996E-2</v>
      </c>
      <c r="I2633" s="15">
        <v>1.77E-2</v>
      </c>
      <c r="J2633" s="15">
        <v>5.7556818181818183</v>
      </c>
    </row>
    <row r="2634" spans="1:10" x14ac:dyDescent="0.25">
      <c r="A2634" s="2" t="s">
        <v>7413</v>
      </c>
      <c r="B2634" s="2" t="s">
        <v>7007</v>
      </c>
      <c r="C2634" s="2" t="s">
        <v>7414</v>
      </c>
      <c r="D2634" s="2" t="s">
        <v>10055</v>
      </c>
      <c r="E2634" s="15">
        <v>-0.19980000000000001</v>
      </c>
      <c r="F2634" s="15">
        <v>0.2157</v>
      </c>
      <c r="G2634" s="15">
        <v>0.3543</v>
      </c>
      <c r="H2634" s="15">
        <v>1.06E-2</v>
      </c>
      <c r="I2634" s="15">
        <v>1.4200000000000001E-2</v>
      </c>
      <c r="J2634" s="15">
        <v>0.34693877551020408</v>
      </c>
    </row>
    <row r="2635" spans="1:10" x14ac:dyDescent="0.25">
      <c r="A2635" s="2" t="s">
        <v>7415</v>
      </c>
      <c r="B2635" s="2" t="s">
        <v>7007</v>
      </c>
      <c r="C2635" s="2" t="s">
        <v>7416</v>
      </c>
      <c r="D2635" s="2" t="s">
        <v>10055</v>
      </c>
      <c r="E2635" s="15">
        <v>1.54E-2</v>
      </c>
      <c r="F2635" s="15">
        <v>6.4199999999999993E-2</v>
      </c>
      <c r="G2635" s="15">
        <v>0.8105</v>
      </c>
      <c r="H2635" s="15">
        <v>8.3199999999999996E-2</v>
      </c>
      <c r="I2635" s="15">
        <v>1.5900000000000001E-2</v>
      </c>
      <c r="J2635" s="15">
        <v>5.5063291139240498</v>
      </c>
    </row>
    <row r="2636" spans="1:10" x14ac:dyDescent="0.25">
      <c r="A2636" s="2" t="s">
        <v>7417</v>
      </c>
      <c r="B2636" s="2" t="s">
        <v>7007</v>
      </c>
      <c r="C2636" s="2" t="s">
        <v>7418</v>
      </c>
      <c r="D2636" s="2" t="s">
        <v>10055</v>
      </c>
      <c r="E2636" s="15">
        <v>9.5299999999999996E-2</v>
      </c>
      <c r="F2636" s="15">
        <v>9.9199999999999997E-2</v>
      </c>
      <c r="G2636" s="15">
        <v>0.33679999999999999</v>
      </c>
      <c r="H2636" s="15">
        <v>3.6499999999999998E-2</v>
      </c>
      <c r="I2636" s="15">
        <v>1.4500000000000001E-2</v>
      </c>
      <c r="J2636" s="15">
        <v>1.7586206896551719</v>
      </c>
    </row>
    <row r="2637" spans="1:10" x14ac:dyDescent="0.25">
      <c r="A2637" s="2" t="s">
        <v>7419</v>
      </c>
      <c r="B2637" s="2" t="s">
        <v>7007</v>
      </c>
      <c r="C2637" s="2" t="s">
        <v>7420</v>
      </c>
      <c r="D2637" s="2" t="s">
        <v>10055</v>
      </c>
      <c r="E2637" s="15">
        <v>8.5900000000000004E-2</v>
      </c>
      <c r="F2637" s="15">
        <v>7.8799999999999995E-2</v>
      </c>
      <c r="G2637" s="15">
        <v>0.27550000000000002</v>
      </c>
      <c r="H2637" s="15">
        <v>5.0200000000000002E-2</v>
      </c>
      <c r="I2637" s="15">
        <v>1.6400000000000001E-2</v>
      </c>
      <c r="J2637" s="15">
        <v>3.620915032679739</v>
      </c>
    </row>
    <row r="2638" spans="1:10" x14ac:dyDescent="0.25">
      <c r="A2638" s="2" t="s">
        <v>7421</v>
      </c>
      <c r="B2638" s="2" t="s">
        <v>7007</v>
      </c>
      <c r="C2638" s="2" t="s">
        <v>7422</v>
      </c>
      <c r="D2638" s="2" t="s">
        <v>10055</v>
      </c>
      <c r="E2638" s="15">
        <v>5.9700000000000003E-2</v>
      </c>
      <c r="F2638" s="15">
        <v>8.0100000000000005E-2</v>
      </c>
      <c r="G2638" s="15">
        <v>0.45660000000000001</v>
      </c>
      <c r="H2638" s="15">
        <v>4.4299999999999999E-2</v>
      </c>
      <c r="I2638" s="15">
        <v>1.37E-2</v>
      </c>
      <c r="J2638" s="15">
        <v>3.5496183206106871</v>
      </c>
    </row>
    <row r="2639" spans="1:10" x14ac:dyDescent="0.25">
      <c r="A2639" s="2" t="s">
        <v>7423</v>
      </c>
      <c r="B2639" s="2" t="s">
        <v>7007</v>
      </c>
      <c r="C2639" s="2" t="s">
        <v>7424</v>
      </c>
      <c r="D2639" s="2" t="s">
        <v>10055</v>
      </c>
      <c r="E2639" s="15">
        <v>5.1999999999999998E-3</v>
      </c>
      <c r="F2639" s="15">
        <v>7.6499999999999999E-2</v>
      </c>
      <c r="G2639" s="15">
        <v>0.94579999999999997</v>
      </c>
      <c r="H2639" s="15">
        <v>5.7799999999999997E-2</v>
      </c>
      <c r="I2639" s="15">
        <v>1.4200000000000001E-2</v>
      </c>
      <c r="J2639" s="15">
        <v>4.464788732394366</v>
      </c>
    </row>
    <row r="2640" spans="1:10" x14ac:dyDescent="0.25">
      <c r="A2640" s="2" t="s">
        <v>7425</v>
      </c>
      <c r="B2640" s="2" t="s">
        <v>7007</v>
      </c>
      <c r="C2640" s="2" t="s">
        <v>7426</v>
      </c>
      <c r="D2640" s="2" t="s">
        <v>10055</v>
      </c>
      <c r="E2640" s="15">
        <v>-0.1067</v>
      </c>
      <c r="F2640" s="15">
        <v>0.15720000000000001</v>
      </c>
      <c r="G2640" s="15">
        <v>0.49730000000000002</v>
      </c>
      <c r="H2640" s="15">
        <v>1.6199999999999999E-2</v>
      </c>
      <c r="I2640" s="15">
        <v>1.4E-2</v>
      </c>
      <c r="J2640" s="15">
        <v>1.4135338345864661</v>
      </c>
    </row>
    <row r="2641" spans="1:10" x14ac:dyDescent="0.25">
      <c r="A2641" s="2" t="s">
        <v>7427</v>
      </c>
      <c r="B2641" s="2" t="s">
        <v>7007</v>
      </c>
      <c r="C2641" s="2" t="s">
        <v>7428</v>
      </c>
      <c r="D2641" s="2" t="s">
        <v>10055</v>
      </c>
      <c r="E2641" s="15"/>
      <c r="F2641" s="15"/>
      <c r="G2641" s="15"/>
      <c r="H2641" s="15"/>
      <c r="I2641" s="15"/>
      <c r="J2641" s="15">
        <v>0.7578125</v>
      </c>
    </row>
    <row r="2642" spans="1:10" x14ac:dyDescent="0.25">
      <c r="A2642" s="2" t="s">
        <v>7429</v>
      </c>
      <c r="B2642" s="2" t="s">
        <v>7007</v>
      </c>
      <c r="C2642" s="2" t="s">
        <v>7430</v>
      </c>
      <c r="D2642" s="2" t="s">
        <v>10055</v>
      </c>
      <c r="E2642" s="15">
        <v>-8.8900000000000007E-2</v>
      </c>
      <c r="F2642" s="15">
        <v>0.12570000000000001</v>
      </c>
      <c r="G2642" s="15">
        <v>0.47949999999999998</v>
      </c>
      <c r="H2642" s="15">
        <v>1.9800000000000002E-2</v>
      </c>
      <c r="I2642" s="15">
        <v>1.43E-2</v>
      </c>
      <c r="J2642" s="15">
        <v>1.899280575539569</v>
      </c>
    </row>
    <row r="2643" spans="1:10" x14ac:dyDescent="0.25">
      <c r="A2643" s="2" t="s">
        <v>7431</v>
      </c>
      <c r="B2643" s="2" t="s">
        <v>7007</v>
      </c>
      <c r="C2643" s="2" t="s">
        <v>7432</v>
      </c>
      <c r="D2643" s="2" t="s">
        <v>10055</v>
      </c>
      <c r="E2643" s="15">
        <v>0.1052</v>
      </c>
      <c r="F2643" s="15">
        <v>0.16039999999999999</v>
      </c>
      <c r="G2643" s="15">
        <v>0.51180000000000003</v>
      </c>
      <c r="H2643" s="15">
        <v>1.5100000000000001E-2</v>
      </c>
      <c r="I2643" s="15">
        <v>1.4200000000000001E-2</v>
      </c>
      <c r="J2643" s="15">
        <v>0.68345323741007191</v>
      </c>
    </row>
    <row r="2644" spans="1:10" x14ac:dyDescent="0.25">
      <c r="A2644" s="2" t="s">
        <v>7433</v>
      </c>
      <c r="B2644" s="2" t="s">
        <v>7007</v>
      </c>
      <c r="C2644" s="2" t="s">
        <v>7434</v>
      </c>
      <c r="D2644" s="2" t="s">
        <v>10055</v>
      </c>
      <c r="E2644" s="15">
        <v>9.5500000000000002E-2</v>
      </c>
      <c r="F2644" s="15">
        <v>0.1139</v>
      </c>
      <c r="G2644" s="15">
        <v>0.40160000000000001</v>
      </c>
      <c r="H2644" s="15">
        <v>3.4200000000000001E-2</v>
      </c>
      <c r="I2644" s="15">
        <v>2.24E-2</v>
      </c>
      <c r="J2644" s="15">
        <v>1.490825688073395</v>
      </c>
    </row>
    <row r="2645" spans="1:10" x14ac:dyDescent="0.25">
      <c r="A2645" s="2" t="s">
        <v>7435</v>
      </c>
      <c r="B2645" s="2" t="s">
        <v>7007</v>
      </c>
      <c r="C2645" s="2" t="s">
        <v>7436</v>
      </c>
      <c r="D2645" s="2" t="s">
        <v>10055</v>
      </c>
      <c r="E2645" s="15">
        <v>0.17929999999999999</v>
      </c>
      <c r="F2645" s="15">
        <v>0.10539999999999999</v>
      </c>
      <c r="G2645" s="15">
        <v>8.8800000000000004E-2</v>
      </c>
      <c r="H2645" s="15">
        <v>2.5600000000000001E-2</v>
      </c>
      <c r="I2645" s="15">
        <v>1.55E-2</v>
      </c>
      <c r="J2645" s="15">
        <v>2.0259740259740262</v>
      </c>
    </row>
    <row r="2646" spans="1:10" x14ac:dyDescent="0.25">
      <c r="A2646" s="2" t="s">
        <v>7437</v>
      </c>
      <c r="B2646" s="2" t="s">
        <v>7007</v>
      </c>
      <c r="C2646" s="2" t="s">
        <v>7438</v>
      </c>
      <c r="D2646" s="2" t="s">
        <v>10055</v>
      </c>
      <c r="E2646" s="15">
        <v>-0.1173</v>
      </c>
      <c r="F2646" s="15">
        <v>0.1288</v>
      </c>
      <c r="G2646" s="15">
        <v>0.36230000000000001</v>
      </c>
      <c r="H2646" s="15">
        <v>2.2599999999999999E-2</v>
      </c>
      <c r="I2646" s="15">
        <v>1.34E-2</v>
      </c>
      <c r="J2646" s="15">
        <v>1.6015625</v>
      </c>
    </row>
    <row r="2647" spans="1:10" x14ac:dyDescent="0.25">
      <c r="A2647" s="2" t="s">
        <v>7439</v>
      </c>
      <c r="B2647" s="2" t="s">
        <v>7007</v>
      </c>
      <c r="C2647" s="2" t="s">
        <v>7440</v>
      </c>
      <c r="D2647" s="2" t="s">
        <v>10055</v>
      </c>
      <c r="E2647" s="15">
        <v>2.69E-2</v>
      </c>
      <c r="F2647" s="15">
        <v>9.5500000000000002E-2</v>
      </c>
      <c r="G2647" s="15">
        <v>0.77810000000000001</v>
      </c>
      <c r="H2647" s="15">
        <v>3.09E-2</v>
      </c>
      <c r="I2647" s="15">
        <v>1.55E-2</v>
      </c>
      <c r="J2647" s="15">
        <v>2.657534246575342</v>
      </c>
    </row>
    <row r="2648" spans="1:10" x14ac:dyDescent="0.25">
      <c r="A2648" s="2" t="s">
        <v>7441</v>
      </c>
      <c r="B2648" s="2" t="s">
        <v>7007</v>
      </c>
      <c r="C2648" s="2" t="s">
        <v>7442</v>
      </c>
      <c r="D2648" s="2" t="s">
        <v>10055</v>
      </c>
      <c r="E2648" s="15">
        <v>-0.16450000000000001</v>
      </c>
      <c r="F2648" s="15">
        <v>0.14949999999999999</v>
      </c>
      <c r="G2648" s="15">
        <v>0.27129999999999999</v>
      </c>
      <c r="H2648" s="15">
        <v>1.7000000000000001E-2</v>
      </c>
      <c r="I2648" s="15">
        <v>1.3899999999999999E-2</v>
      </c>
      <c r="J2648" s="15">
        <v>2.0592592592592589</v>
      </c>
    </row>
    <row r="2649" spans="1:10" x14ac:dyDescent="0.25">
      <c r="A2649" s="2" t="s">
        <v>7443</v>
      </c>
      <c r="B2649" s="2" t="s">
        <v>7007</v>
      </c>
      <c r="C2649" s="2" t="s">
        <v>7444</v>
      </c>
      <c r="D2649" s="2" t="s">
        <v>10055</v>
      </c>
      <c r="E2649" s="15">
        <v>-3.0499999999999999E-2</v>
      </c>
      <c r="F2649" s="15">
        <v>6.2700000000000006E-2</v>
      </c>
      <c r="G2649" s="15">
        <v>0.62690000000000001</v>
      </c>
      <c r="H2649" s="15">
        <v>9.0899999999999995E-2</v>
      </c>
      <c r="I2649" s="15">
        <v>2.2800000000000001E-2</v>
      </c>
      <c r="J2649" s="15">
        <v>4.3397129186602879</v>
      </c>
    </row>
    <row r="2650" spans="1:10" x14ac:dyDescent="0.25">
      <c r="A2650" s="2" t="s">
        <v>7445</v>
      </c>
      <c r="B2650" s="2" t="s">
        <v>7007</v>
      </c>
      <c r="C2650" s="2" t="s">
        <v>7446</v>
      </c>
      <c r="D2650" s="2" t="s">
        <v>10055</v>
      </c>
      <c r="E2650" s="15">
        <v>-0.1018</v>
      </c>
      <c r="F2650" s="15">
        <v>7.4800000000000005E-2</v>
      </c>
      <c r="G2650" s="15">
        <v>0.1731</v>
      </c>
      <c r="H2650" s="15">
        <v>4.7199999999999999E-2</v>
      </c>
      <c r="I2650" s="15">
        <v>1.3299999999999999E-2</v>
      </c>
      <c r="J2650" s="15">
        <v>4.2651515151515156</v>
      </c>
    </row>
    <row r="2651" spans="1:10" x14ac:dyDescent="0.25">
      <c r="A2651" s="2" t="s">
        <v>7447</v>
      </c>
      <c r="B2651" s="2" t="s">
        <v>7007</v>
      </c>
      <c r="C2651" s="2" t="s">
        <v>7448</v>
      </c>
      <c r="D2651" s="2" t="s">
        <v>10055</v>
      </c>
      <c r="E2651" s="15">
        <v>0.11459999999999999</v>
      </c>
      <c r="F2651" s="15">
        <v>6.9500000000000006E-2</v>
      </c>
      <c r="G2651" s="15">
        <v>9.9400000000000002E-2</v>
      </c>
      <c r="H2651" s="15">
        <v>6.2600000000000003E-2</v>
      </c>
      <c r="I2651" s="15">
        <v>1.6500000000000001E-2</v>
      </c>
      <c r="J2651" s="15">
        <v>4.1923076923076934</v>
      </c>
    </row>
    <row r="2652" spans="1:10" x14ac:dyDescent="0.25">
      <c r="A2652" s="2" t="s">
        <v>7449</v>
      </c>
      <c r="B2652" s="2" t="s">
        <v>7007</v>
      </c>
      <c r="C2652" s="2" t="s">
        <v>7450</v>
      </c>
      <c r="D2652" s="2" t="s">
        <v>10055</v>
      </c>
      <c r="E2652" s="15">
        <v>9.4E-2</v>
      </c>
      <c r="F2652" s="15">
        <v>0.17860000000000001</v>
      </c>
      <c r="G2652" s="15">
        <v>0.59870000000000001</v>
      </c>
      <c r="H2652" s="15">
        <v>0.01</v>
      </c>
      <c r="I2652" s="15">
        <v>1.35E-2</v>
      </c>
      <c r="J2652" s="15">
        <v>0.81159420289855078</v>
      </c>
    </row>
    <row r="2653" spans="1:10" x14ac:dyDescent="0.25">
      <c r="A2653" s="2" t="s">
        <v>7451</v>
      </c>
      <c r="B2653" s="2" t="s">
        <v>7007</v>
      </c>
      <c r="C2653" s="2" t="s">
        <v>7452</v>
      </c>
      <c r="D2653" s="2" t="s">
        <v>10055</v>
      </c>
      <c r="E2653" s="15">
        <v>0.2031</v>
      </c>
      <c r="F2653" s="15">
        <v>0.15049999999999999</v>
      </c>
      <c r="G2653" s="15">
        <v>0.17730000000000001</v>
      </c>
      <c r="H2653" s="15">
        <v>2.06E-2</v>
      </c>
      <c r="I2653" s="15">
        <v>1.49E-2</v>
      </c>
      <c r="J2653" s="15">
        <v>2.0344827586206899</v>
      </c>
    </row>
    <row r="2654" spans="1:10" x14ac:dyDescent="0.25">
      <c r="A2654" s="2" t="s">
        <v>7453</v>
      </c>
      <c r="B2654" s="2" t="s">
        <v>7007</v>
      </c>
      <c r="C2654" s="2" t="s">
        <v>7454</v>
      </c>
      <c r="D2654" s="2" t="s">
        <v>10055</v>
      </c>
      <c r="E2654" s="15">
        <v>-0.1105</v>
      </c>
      <c r="F2654" s="15">
        <v>0.6764</v>
      </c>
      <c r="G2654" s="15">
        <v>0.87019999999999997</v>
      </c>
      <c r="H2654" s="15">
        <v>3.8999999999999998E-3</v>
      </c>
      <c r="I2654" s="15">
        <v>1.37E-2</v>
      </c>
      <c r="J2654" s="15">
        <v>0.52142857142857146</v>
      </c>
    </row>
    <row r="2655" spans="1:10" x14ac:dyDescent="0.25">
      <c r="A2655" s="2" t="s">
        <v>7455</v>
      </c>
      <c r="B2655" s="2" t="s">
        <v>7007</v>
      </c>
      <c r="C2655" s="2" t="s">
        <v>7456</v>
      </c>
      <c r="D2655" s="2" t="s">
        <v>10055</v>
      </c>
      <c r="E2655" s="15">
        <v>2.8199999999999999E-2</v>
      </c>
      <c r="F2655" s="15">
        <v>9.4E-2</v>
      </c>
      <c r="G2655" s="15">
        <v>0.76439999999999997</v>
      </c>
      <c r="H2655" s="15">
        <v>3.4500000000000003E-2</v>
      </c>
      <c r="I2655" s="15">
        <v>1.46E-2</v>
      </c>
      <c r="J2655" s="15">
        <v>2.6223776223776221</v>
      </c>
    </row>
    <row r="2656" spans="1:10" x14ac:dyDescent="0.25">
      <c r="A2656" s="2" t="s">
        <v>7457</v>
      </c>
      <c r="B2656" s="2" t="s">
        <v>7007</v>
      </c>
      <c r="C2656" s="2" t="s">
        <v>7458</v>
      </c>
      <c r="D2656" s="2" t="s">
        <v>10055</v>
      </c>
      <c r="E2656" s="15"/>
      <c r="F2656" s="15"/>
      <c r="G2656" s="15"/>
      <c r="H2656" s="15">
        <v>-9.2101999999999993E-5</v>
      </c>
      <c r="I2656" s="15">
        <v>1.52E-2</v>
      </c>
      <c r="J2656" s="15">
        <v>0.66891891891891897</v>
      </c>
    </row>
    <row r="2657" spans="1:10" x14ac:dyDescent="0.25">
      <c r="A2657" s="2" t="s">
        <v>7459</v>
      </c>
      <c r="B2657" s="2" t="s">
        <v>7007</v>
      </c>
      <c r="C2657" s="2" t="s">
        <v>7460</v>
      </c>
      <c r="D2657" s="2" t="s">
        <v>10055</v>
      </c>
      <c r="E2657" s="15">
        <v>2.7799999999999998E-2</v>
      </c>
      <c r="F2657" s="15">
        <v>8.4599999999999995E-2</v>
      </c>
      <c r="G2657" s="15">
        <v>0.7419</v>
      </c>
      <c r="H2657" s="15">
        <v>4.1000000000000002E-2</v>
      </c>
      <c r="I2657" s="15">
        <v>1.78E-2</v>
      </c>
      <c r="J2657" s="15">
        <v>2.3491124260355032</v>
      </c>
    </row>
    <row r="2658" spans="1:10" x14ac:dyDescent="0.25">
      <c r="A2658" s="2" t="s">
        <v>7461</v>
      </c>
      <c r="B2658" s="2" t="s">
        <v>7007</v>
      </c>
      <c r="C2658" s="2" t="s">
        <v>7462</v>
      </c>
      <c r="D2658" s="2" t="s">
        <v>10055</v>
      </c>
      <c r="E2658" s="15">
        <v>-9.8199999999999996E-2</v>
      </c>
      <c r="F2658" s="15">
        <v>0.1241</v>
      </c>
      <c r="G2658" s="15">
        <v>0.42880000000000001</v>
      </c>
      <c r="H2658" s="15">
        <v>0.02</v>
      </c>
      <c r="I2658" s="15">
        <v>1.3100000000000001E-2</v>
      </c>
      <c r="J2658" s="15">
        <v>1.345864661654135</v>
      </c>
    </row>
    <row r="2659" spans="1:10" x14ac:dyDescent="0.25">
      <c r="A2659" s="2" t="s">
        <v>7463</v>
      </c>
      <c r="B2659" s="2" t="s">
        <v>7007</v>
      </c>
      <c r="C2659" s="2" t="s">
        <v>7464</v>
      </c>
      <c r="D2659" s="2" t="s">
        <v>10055</v>
      </c>
      <c r="E2659" s="15">
        <v>-7.1099999999999997E-2</v>
      </c>
      <c r="F2659" s="15">
        <v>8.8700000000000001E-2</v>
      </c>
      <c r="G2659" s="15">
        <v>0.42270000000000002</v>
      </c>
      <c r="H2659" s="15">
        <v>4.1700000000000001E-2</v>
      </c>
      <c r="I2659" s="15">
        <v>1.5599999999999999E-2</v>
      </c>
      <c r="J2659" s="15">
        <v>2.4256756756756759</v>
      </c>
    </row>
    <row r="2660" spans="1:10" x14ac:dyDescent="0.25">
      <c r="A2660" s="2" t="s">
        <v>7465</v>
      </c>
      <c r="B2660" s="2" t="s">
        <v>7007</v>
      </c>
      <c r="C2660" s="2" t="s">
        <v>7466</v>
      </c>
      <c r="D2660" s="2" t="s">
        <v>10055</v>
      </c>
      <c r="E2660" s="15">
        <v>9.74E-2</v>
      </c>
      <c r="F2660" s="15">
        <v>0.26679999999999998</v>
      </c>
      <c r="G2660" s="15">
        <v>0.71509999999999996</v>
      </c>
      <c r="H2660" s="15">
        <v>6.4999999999999997E-3</v>
      </c>
      <c r="I2660" s="15">
        <v>1.5100000000000001E-2</v>
      </c>
      <c r="J2660" s="15">
        <v>0.4375</v>
      </c>
    </row>
    <row r="2661" spans="1:10" x14ac:dyDescent="0.25">
      <c r="A2661" s="2" t="s">
        <v>7467</v>
      </c>
      <c r="B2661" s="2" t="s">
        <v>7007</v>
      </c>
      <c r="C2661" s="2" t="s">
        <v>7468</v>
      </c>
      <c r="D2661" s="2" t="s">
        <v>10055</v>
      </c>
      <c r="E2661" s="15">
        <v>4.7899999999999998E-2</v>
      </c>
      <c r="F2661" s="15">
        <v>8.7499999999999994E-2</v>
      </c>
      <c r="G2661" s="15">
        <v>0.58379999999999999</v>
      </c>
      <c r="H2661" s="15">
        <v>4.19E-2</v>
      </c>
      <c r="I2661" s="15">
        <v>1.4500000000000001E-2</v>
      </c>
      <c r="J2661" s="15">
        <v>2.9510489510489508</v>
      </c>
    </row>
    <row r="2662" spans="1:10" x14ac:dyDescent="0.25">
      <c r="A2662" s="2" t="s">
        <v>7469</v>
      </c>
      <c r="B2662" s="2" t="s">
        <v>7007</v>
      </c>
      <c r="C2662" s="2" t="s">
        <v>7470</v>
      </c>
      <c r="D2662" s="2" t="s">
        <v>10055</v>
      </c>
      <c r="E2662" s="15">
        <v>0.4299</v>
      </c>
      <c r="F2662" s="15">
        <v>0.28010000000000002</v>
      </c>
      <c r="G2662" s="15">
        <v>0.12479999999999999</v>
      </c>
      <c r="H2662" s="15">
        <v>1.1900000000000001E-2</v>
      </c>
      <c r="I2662" s="15">
        <v>1.2999999999999999E-2</v>
      </c>
      <c r="J2662" s="15">
        <v>1.278195488721805</v>
      </c>
    </row>
    <row r="2663" spans="1:10" x14ac:dyDescent="0.25">
      <c r="A2663" s="2" t="s">
        <v>7471</v>
      </c>
      <c r="B2663" s="2" t="s">
        <v>7007</v>
      </c>
      <c r="C2663" s="2" t="s">
        <v>7472</v>
      </c>
      <c r="D2663" s="2" t="s">
        <v>10055</v>
      </c>
      <c r="E2663" s="15">
        <v>-0.12989999999999999</v>
      </c>
      <c r="F2663" s="15">
        <v>0.09</v>
      </c>
      <c r="G2663" s="15">
        <v>0.1492</v>
      </c>
      <c r="H2663" s="15">
        <v>4.0899999999999999E-2</v>
      </c>
      <c r="I2663" s="15">
        <v>1.4500000000000001E-2</v>
      </c>
      <c r="J2663" s="15">
        <v>3.0780141843971629</v>
      </c>
    </row>
    <row r="2664" spans="1:10" x14ac:dyDescent="0.25">
      <c r="A2664" s="2" t="s">
        <v>7473</v>
      </c>
      <c r="B2664" s="2" t="s">
        <v>7007</v>
      </c>
      <c r="C2664" s="2" t="s">
        <v>7474</v>
      </c>
      <c r="D2664" s="2" t="s">
        <v>10055</v>
      </c>
      <c r="E2664" s="15"/>
      <c r="F2664" s="15"/>
      <c r="G2664" s="15"/>
      <c r="H2664" s="15"/>
      <c r="I2664" s="15"/>
      <c r="J2664" s="15">
        <v>6.7669172932330823E-2</v>
      </c>
    </row>
    <row r="2665" spans="1:10" x14ac:dyDescent="0.25">
      <c r="A2665" s="2" t="s">
        <v>7475</v>
      </c>
      <c r="B2665" s="2" t="s">
        <v>7007</v>
      </c>
      <c r="C2665" s="2" t="s">
        <v>7476</v>
      </c>
      <c r="D2665" s="2" t="s">
        <v>10055</v>
      </c>
      <c r="E2665" s="15">
        <v>7.7000000000000002E-3</v>
      </c>
      <c r="F2665" s="15">
        <v>8.3900000000000002E-2</v>
      </c>
      <c r="G2665" s="15">
        <v>0.92710000000000004</v>
      </c>
      <c r="H2665" s="15">
        <v>4.07E-2</v>
      </c>
      <c r="I2665" s="15">
        <v>1.2999999999999999E-2</v>
      </c>
      <c r="J2665" s="15">
        <v>3.5114503816793889</v>
      </c>
    </row>
    <row r="2666" spans="1:10" x14ac:dyDescent="0.25">
      <c r="A2666" s="2" t="s">
        <v>7477</v>
      </c>
      <c r="B2666" s="2" t="s">
        <v>7007</v>
      </c>
      <c r="C2666" s="2" t="s">
        <v>7478</v>
      </c>
      <c r="D2666" s="2" t="s">
        <v>10055</v>
      </c>
      <c r="E2666" s="15">
        <v>-2.3099999999999999E-2</v>
      </c>
      <c r="F2666" s="15">
        <v>0.15939999999999999</v>
      </c>
      <c r="G2666" s="15">
        <v>0.88500000000000001</v>
      </c>
      <c r="H2666" s="15">
        <v>1.2999999999999999E-2</v>
      </c>
      <c r="I2666" s="15">
        <v>1.46E-2</v>
      </c>
      <c r="J2666" s="15">
        <v>1.492753623188406</v>
      </c>
    </row>
    <row r="2667" spans="1:10" x14ac:dyDescent="0.25">
      <c r="A2667" s="2" t="s">
        <v>7479</v>
      </c>
      <c r="B2667" s="2" t="s">
        <v>7007</v>
      </c>
      <c r="C2667" s="2" t="s">
        <v>7480</v>
      </c>
      <c r="D2667" s="2" t="s">
        <v>10055</v>
      </c>
      <c r="E2667" s="15">
        <v>-8.6400000000000005E-2</v>
      </c>
      <c r="F2667" s="15">
        <v>8.8400000000000006E-2</v>
      </c>
      <c r="G2667" s="15">
        <v>0.32840000000000003</v>
      </c>
      <c r="H2667" s="15">
        <v>3.5400000000000001E-2</v>
      </c>
      <c r="I2667" s="15">
        <v>1.4500000000000001E-2</v>
      </c>
      <c r="J2667" s="15">
        <v>2.8811188811188808</v>
      </c>
    </row>
    <row r="2668" spans="1:10" x14ac:dyDescent="0.25">
      <c r="A2668" s="2" t="s">
        <v>7481</v>
      </c>
      <c r="B2668" s="2" t="s">
        <v>7007</v>
      </c>
      <c r="C2668" s="2" t="s">
        <v>7482</v>
      </c>
      <c r="D2668" s="2" t="s">
        <v>10055</v>
      </c>
      <c r="E2668" s="15">
        <v>-1.4999999999999999E-2</v>
      </c>
      <c r="F2668" s="15">
        <v>8.4699999999999998E-2</v>
      </c>
      <c r="G2668" s="15">
        <v>0.85899999999999999</v>
      </c>
      <c r="H2668" s="15">
        <v>4.82E-2</v>
      </c>
      <c r="I2668" s="15">
        <v>1.4800000000000001E-2</v>
      </c>
      <c r="J2668" s="15">
        <v>2.9729729729729728</v>
      </c>
    </row>
    <row r="2669" spans="1:10" x14ac:dyDescent="0.25">
      <c r="A2669" s="2" t="s">
        <v>7483</v>
      </c>
      <c r="B2669" s="2" t="s">
        <v>7007</v>
      </c>
      <c r="C2669" s="2" t="s">
        <v>7484</v>
      </c>
      <c r="D2669" s="2" t="s">
        <v>10055</v>
      </c>
      <c r="E2669" s="15">
        <v>8.2600000000000007E-2</v>
      </c>
      <c r="F2669" s="15">
        <v>0.1167</v>
      </c>
      <c r="G2669" s="15">
        <v>0.47920000000000001</v>
      </c>
      <c r="H2669" s="15">
        <v>2.5499999999999998E-2</v>
      </c>
      <c r="I2669" s="15">
        <v>1.5599999999999999E-2</v>
      </c>
      <c r="J2669" s="15">
        <v>2.4025974025974031</v>
      </c>
    </row>
    <row r="2670" spans="1:10" x14ac:dyDescent="0.25">
      <c r="A2670" s="2" t="s">
        <v>7485</v>
      </c>
      <c r="B2670" s="2" t="s">
        <v>7007</v>
      </c>
      <c r="C2670" s="2" t="s">
        <v>7486</v>
      </c>
      <c r="D2670" s="2" t="s">
        <v>10055</v>
      </c>
      <c r="E2670" s="15">
        <v>0.22459999999999999</v>
      </c>
      <c r="F2670" s="15">
        <v>0.13769999999999999</v>
      </c>
      <c r="G2670" s="15">
        <v>0.1028</v>
      </c>
      <c r="H2670" s="15">
        <v>2.47E-2</v>
      </c>
      <c r="I2670" s="15">
        <v>1.8499999999999999E-2</v>
      </c>
      <c r="J2670" s="15">
        <v>1.410112359550562</v>
      </c>
    </row>
    <row r="2671" spans="1:10" x14ac:dyDescent="0.25">
      <c r="A2671" s="2" t="s">
        <v>7487</v>
      </c>
      <c r="B2671" s="2" t="s">
        <v>7007</v>
      </c>
      <c r="C2671" s="2" t="s">
        <v>7488</v>
      </c>
      <c r="D2671" s="2" t="s">
        <v>10055</v>
      </c>
      <c r="E2671" s="15"/>
      <c r="F2671" s="15"/>
      <c r="G2671" s="15"/>
      <c r="H2671" s="15">
        <v>-1.9E-3</v>
      </c>
      <c r="I2671" s="15">
        <v>1.37E-2</v>
      </c>
      <c r="J2671" s="15">
        <v>-0.42748091603053429</v>
      </c>
    </row>
    <row r="2672" spans="1:10" x14ac:dyDescent="0.25">
      <c r="A2672" s="2" t="s">
        <v>7489</v>
      </c>
      <c r="B2672" s="2" t="s">
        <v>7007</v>
      </c>
      <c r="C2672" s="2" t="s">
        <v>7490</v>
      </c>
      <c r="D2672" s="2" t="s">
        <v>10055</v>
      </c>
      <c r="E2672" s="15">
        <v>-1.4800000000000001E-2</v>
      </c>
      <c r="F2672" s="15">
        <v>8.9599999999999999E-2</v>
      </c>
      <c r="G2672" s="15">
        <v>0.86899999999999999</v>
      </c>
      <c r="H2672" s="15">
        <v>4.1700000000000001E-2</v>
      </c>
      <c r="I2672" s="15">
        <v>1.47E-2</v>
      </c>
      <c r="J2672" s="15">
        <v>2.4888888888888889</v>
      </c>
    </row>
    <row r="2673" spans="1:10" x14ac:dyDescent="0.25">
      <c r="A2673" s="2" t="s">
        <v>7491</v>
      </c>
      <c r="B2673" s="2" t="s">
        <v>7007</v>
      </c>
      <c r="C2673" s="2" t="s">
        <v>7492</v>
      </c>
      <c r="D2673" s="2" t="s">
        <v>10055</v>
      </c>
      <c r="E2673" s="15">
        <v>-9.3100000000000002E-2</v>
      </c>
      <c r="F2673" s="15">
        <v>0.15690000000000001</v>
      </c>
      <c r="G2673" s="15">
        <v>0.55279999999999996</v>
      </c>
      <c r="H2673" s="15">
        <v>1.34E-2</v>
      </c>
      <c r="I2673" s="15">
        <v>1.3599999999999999E-2</v>
      </c>
      <c r="J2673" s="15">
        <v>1.666666666666667</v>
      </c>
    </row>
    <row r="2674" spans="1:10" x14ac:dyDescent="0.25">
      <c r="A2674" s="2" t="s">
        <v>7493</v>
      </c>
      <c r="B2674" s="2" t="s">
        <v>7007</v>
      </c>
      <c r="C2674" s="2" t="s">
        <v>7494</v>
      </c>
      <c r="D2674" s="2" t="s">
        <v>10055</v>
      </c>
      <c r="E2674" s="15">
        <v>0.1067</v>
      </c>
      <c r="F2674" s="15">
        <v>0.13439999999999999</v>
      </c>
      <c r="G2674" s="15">
        <v>0.42730000000000001</v>
      </c>
      <c r="H2674" s="15">
        <v>2.0199999999999999E-2</v>
      </c>
      <c r="I2674" s="15">
        <v>1.46E-2</v>
      </c>
      <c r="J2674" s="15">
        <v>1.430555555555556</v>
      </c>
    </row>
    <row r="2675" spans="1:10" x14ac:dyDescent="0.25">
      <c r="A2675" s="2" t="s">
        <v>7495</v>
      </c>
      <c r="B2675" s="2" t="s">
        <v>7007</v>
      </c>
      <c r="C2675" s="2" t="s">
        <v>7496</v>
      </c>
      <c r="D2675" s="2" t="s">
        <v>10055</v>
      </c>
      <c r="E2675" s="15">
        <v>3.8100000000000002E-2</v>
      </c>
      <c r="F2675" s="15">
        <v>0.1817</v>
      </c>
      <c r="G2675" s="15">
        <v>0.83399999999999996</v>
      </c>
      <c r="H2675" s="15">
        <v>7.6E-3</v>
      </c>
      <c r="I2675" s="15">
        <v>1.2699999999999999E-2</v>
      </c>
      <c r="J2675" s="15">
        <v>0.87903225806451613</v>
      </c>
    </row>
    <row r="2676" spans="1:10" x14ac:dyDescent="0.25">
      <c r="A2676" s="2" t="s">
        <v>7497</v>
      </c>
      <c r="B2676" s="2" t="s">
        <v>7007</v>
      </c>
      <c r="C2676" s="2" t="s">
        <v>7498</v>
      </c>
      <c r="D2676" s="2" t="s">
        <v>10055</v>
      </c>
      <c r="E2676" s="15">
        <v>2.2000000000000001E-3</v>
      </c>
      <c r="F2676" s="15">
        <v>0.10440000000000001</v>
      </c>
      <c r="G2676" s="15">
        <v>0.98350000000000004</v>
      </c>
      <c r="H2676" s="15">
        <v>2.7E-2</v>
      </c>
      <c r="I2676" s="15">
        <v>1.34E-2</v>
      </c>
      <c r="J2676" s="15">
        <v>1.446969696969697</v>
      </c>
    </row>
    <row r="2677" spans="1:10" x14ac:dyDescent="0.25">
      <c r="A2677" s="2" t="s">
        <v>7499</v>
      </c>
      <c r="B2677" s="2" t="s">
        <v>7007</v>
      </c>
      <c r="C2677" s="2" t="s">
        <v>7500</v>
      </c>
      <c r="D2677" s="2" t="s">
        <v>10055</v>
      </c>
      <c r="E2677" s="15">
        <v>-0.14510000000000001</v>
      </c>
      <c r="F2677" s="15">
        <v>0.1784</v>
      </c>
      <c r="G2677" s="15">
        <v>0.41599999999999998</v>
      </c>
      <c r="H2677" s="15">
        <v>1.37E-2</v>
      </c>
      <c r="I2677" s="15">
        <v>1.54E-2</v>
      </c>
      <c r="J2677" s="15">
        <v>1</v>
      </c>
    </row>
    <row r="2678" spans="1:10" x14ac:dyDescent="0.25">
      <c r="A2678" s="2" t="s">
        <v>7501</v>
      </c>
      <c r="B2678" s="2" t="s">
        <v>7007</v>
      </c>
      <c r="C2678" s="2" t="s">
        <v>7502</v>
      </c>
      <c r="D2678" s="2" t="s">
        <v>10055</v>
      </c>
      <c r="E2678" s="15">
        <v>-9.1700000000000004E-2</v>
      </c>
      <c r="F2678" s="15">
        <v>7.0999999999999994E-2</v>
      </c>
      <c r="G2678" s="15">
        <v>0.19620000000000001</v>
      </c>
      <c r="H2678" s="15">
        <v>7.8600000000000003E-2</v>
      </c>
      <c r="I2678" s="15">
        <v>1.7899999999999999E-2</v>
      </c>
      <c r="J2678" s="15">
        <v>4.4488636363636358</v>
      </c>
    </row>
    <row r="2679" spans="1:10" x14ac:dyDescent="0.25">
      <c r="A2679" s="2" t="s">
        <v>7503</v>
      </c>
      <c r="B2679" s="2" t="s">
        <v>7007</v>
      </c>
      <c r="C2679" s="2" t="s">
        <v>7504</v>
      </c>
      <c r="D2679" s="2" t="s">
        <v>10055</v>
      </c>
      <c r="E2679" s="15">
        <v>1.7299999999999999E-2</v>
      </c>
      <c r="F2679" s="15">
        <v>0.13950000000000001</v>
      </c>
      <c r="G2679" s="15">
        <v>0.90110000000000001</v>
      </c>
      <c r="H2679" s="15">
        <v>1.43E-2</v>
      </c>
      <c r="I2679" s="15">
        <v>1.37E-2</v>
      </c>
      <c r="J2679" s="15">
        <v>1.220588235294118</v>
      </c>
    </row>
    <row r="2680" spans="1:10" x14ac:dyDescent="0.25">
      <c r="A2680" s="2" t="s">
        <v>7505</v>
      </c>
      <c r="B2680" s="2" t="s">
        <v>7007</v>
      </c>
      <c r="C2680" s="2" t="s">
        <v>7506</v>
      </c>
      <c r="D2680" s="2" t="s">
        <v>10055</v>
      </c>
      <c r="E2680" s="15">
        <v>-4.2000000000000003E-2</v>
      </c>
      <c r="F2680" s="15">
        <v>0.1032</v>
      </c>
      <c r="G2680" s="15">
        <v>0.68410000000000004</v>
      </c>
      <c r="H2680" s="15">
        <v>2.87E-2</v>
      </c>
      <c r="I2680" s="15">
        <v>1.3299999999999999E-2</v>
      </c>
      <c r="J2680" s="15">
        <v>2.810606060606061</v>
      </c>
    </row>
    <row r="2681" spans="1:10" x14ac:dyDescent="0.25">
      <c r="A2681" s="2" t="s">
        <v>7507</v>
      </c>
      <c r="B2681" s="2" t="s">
        <v>7007</v>
      </c>
      <c r="C2681" s="2" t="s">
        <v>7508</v>
      </c>
      <c r="D2681" s="2" t="s">
        <v>10055</v>
      </c>
      <c r="E2681" s="15">
        <v>-8.0600000000000005E-2</v>
      </c>
      <c r="F2681" s="15">
        <v>7.4399999999999994E-2</v>
      </c>
      <c r="G2681" s="15">
        <v>0.27910000000000001</v>
      </c>
      <c r="H2681" s="15">
        <v>5.5899999999999998E-2</v>
      </c>
      <c r="I2681" s="15">
        <v>1.44E-2</v>
      </c>
      <c r="J2681" s="15">
        <v>3.6344827586206891</v>
      </c>
    </row>
    <row r="2682" spans="1:10" x14ac:dyDescent="0.25">
      <c r="A2682" s="2" t="s">
        <v>7509</v>
      </c>
      <c r="B2682" s="2" t="s">
        <v>7007</v>
      </c>
      <c r="C2682" s="2" t="s">
        <v>7510</v>
      </c>
      <c r="D2682" s="2" t="s">
        <v>10055</v>
      </c>
      <c r="E2682" s="15">
        <v>-4.1500000000000002E-2</v>
      </c>
      <c r="F2682" s="15">
        <v>9.1800000000000007E-2</v>
      </c>
      <c r="G2682" s="15">
        <v>0.6512</v>
      </c>
      <c r="H2682" s="15">
        <v>3.3000000000000002E-2</v>
      </c>
      <c r="I2682" s="15">
        <v>1.41E-2</v>
      </c>
      <c r="J2682" s="15">
        <v>2.3576642335766418</v>
      </c>
    </row>
    <row r="2683" spans="1:10" x14ac:dyDescent="0.25">
      <c r="A2683" s="2" t="s">
        <v>7511</v>
      </c>
      <c r="B2683" s="2" t="s">
        <v>7007</v>
      </c>
      <c r="C2683" s="2" t="s">
        <v>7512</v>
      </c>
      <c r="D2683" s="2" t="s">
        <v>10055</v>
      </c>
      <c r="E2683" s="15">
        <v>2.4500000000000001E-2</v>
      </c>
      <c r="F2683" s="15">
        <v>8.14E-2</v>
      </c>
      <c r="G2683" s="15">
        <v>0.76300000000000001</v>
      </c>
      <c r="H2683" s="15">
        <v>3.7999999999999999E-2</v>
      </c>
      <c r="I2683" s="15">
        <v>2.35E-2</v>
      </c>
      <c r="J2683" s="15">
        <v>1.876712328767123</v>
      </c>
    </row>
    <row r="2684" spans="1:10" x14ac:dyDescent="0.25">
      <c r="A2684" s="2" t="s">
        <v>7513</v>
      </c>
      <c r="B2684" s="2" t="s">
        <v>7007</v>
      </c>
      <c r="C2684" s="2" t="s">
        <v>7514</v>
      </c>
      <c r="D2684" s="2" t="s">
        <v>10055</v>
      </c>
      <c r="E2684" s="15">
        <v>2.8500000000000001E-2</v>
      </c>
      <c r="F2684" s="15">
        <v>9.9099999999999994E-2</v>
      </c>
      <c r="G2684" s="15">
        <v>0.77339999999999998</v>
      </c>
      <c r="H2684" s="15">
        <v>2.6499999999999999E-2</v>
      </c>
      <c r="I2684" s="15">
        <v>1.43E-2</v>
      </c>
      <c r="J2684" s="15">
        <v>1.645390070921986</v>
      </c>
    </row>
    <row r="2685" spans="1:10" x14ac:dyDescent="0.25">
      <c r="A2685" s="2" t="s">
        <v>7515</v>
      </c>
      <c r="B2685" s="2" t="s">
        <v>7007</v>
      </c>
      <c r="C2685" s="2" t="s">
        <v>7516</v>
      </c>
      <c r="D2685" s="2" t="s">
        <v>10055</v>
      </c>
      <c r="E2685" s="15">
        <v>-2.5100000000000001E-2</v>
      </c>
      <c r="F2685" s="15">
        <v>9.4299999999999995E-2</v>
      </c>
      <c r="G2685" s="15">
        <v>0.79010000000000002</v>
      </c>
      <c r="H2685" s="15">
        <v>4.0899999999999999E-2</v>
      </c>
      <c r="I2685" s="15">
        <v>1.43E-2</v>
      </c>
      <c r="J2685" s="15">
        <v>3.0069930069930071</v>
      </c>
    </row>
    <row r="2686" spans="1:10" x14ac:dyDescent="0.25">
      <c r="A2686" s="2" t="s">
        <v>7517</v>
      </c>
      <c r="B2686" s="2" t="s">
        <v>7007</v>
      </c>
      <c r="C2686" s="2" t="s">
        <v>7518</v>
      </c>
      <c r="D2686" s="2" t="s">
        <v>10055</v>
      </c>
      <c r="E2686" s="15">
        <v>2.0199999999999999E-2</v>
      </c>
      <c r="F2686" s="15">
        <v>7.17E-2</v>
      </c>
      <c r="G2686" s="15">
        <v>0.77780000000000005</v>
      </c>
      <c r="H2686" s="15">
        <v>7.3999999999999996E-2</v>
      </c>
      <c r="I2686" s="15">
        <v>1.3599999999999999E-2</v>
      </c>
      <c r="J2686" s="15">
        <v>5.5496183206106871</v>
      </c>
    </row>
    <row r="2687" spans="1:10" x14ac:dyDescent="0.25">
      <c r="A2687" s="2" t="s">
        <v>7519</v>
      </c>
      <c r="B2687" s="2" t="s">
        <v>7007</v>
      </c>
      <c r="C2687" s="2" t="s">
        <v>7520</v>
      </c>
      <c r="D2687" s="2" t="s">
        <v>10055</v>
      </c>
      <c r="E2687" s="15">
        <v>-3.1600000000000003E-2</v>
      </c>
      <c r="F2687" s="15">
        <v>0.1225</v>
      </c>
      <c r="G2687" s="15">
        <v>0.79649999999999999</v>
      </c>
      <c r="H2687" s="15">
        <v>2.4500000000000001E-2</v>
      </c>
      <c r="I2687" s="15">
        <v>1.52E-2</v>
      </c>
      <c r="J2687" s="15">
        <v>1.84</v>
      </c>
    </row>
    <row r="2688" spans="1:10" x14ac:dyDescent="0.25">
      <c r="A2688" s="2" t="s">
        <v>7521</v>
      </c>
      <c r="B2688" s="2" t="s">
        <v>7007</v>
      </c>
      <c r="C2688" s="2" t="s">
        <v>7522</v>
      </c>
      <c r="D2688" s="2" t="s">
        <v>10055</v>
      </c>
      <c r="E2688" s="15">
        <v>-1.3599999999999999E-2</v>
      </c>
      <c r="F2688" s="15">
        <v>0.11119999999999999</v>
      </c>
      <c r="G2688" s="15">
        <v>0.90290000000000004</v>
      </c>
      <c r="H2688" s="15">
        <v>2.5700000000000001E-2</v>
      </c>
      <c r="I2688" s="15">
        <v>1.43E-2</v>
      </c>
      <c r="J2688" s="15">
        <v>2.150684931506849</v>
      </c>
    </row>
    <row r="2689" spans="1:10" x14ac:dyDescent="0.25">
      <c r="A2689" s="2" t="s">
        <v>7523</v>
      </c>
      <c r="B2689" s="2" t="s">
        <v>7007</v>
      </c>
      <c r="C2689" s="2" t="s">
        <v>7524</v>
      </c>
      <c r="D2689" s="2" t="s">
        <v>10055</v>
      </c>
      <c r="E2689" s="15">
        <v>0.13239999999999999</v>
      </c>
      <c r="F2689" s="15">
        <v>0.151</v>
      </c>
      <c r="G2689" s="15">
        <v>0.38059999999999999</v>
      </c>
      <c r="H2689" s="15">
        <v>1.3899999999999999E-2</v>
      </c>
      <c r="I2689" s="15">
        <v>1.29E-2</v>
      </c>
      <c r="J2689" s="15">
        <v>0.80597014925373134</v>
      </c>
    </row>
    <row r="2690" spans="1:10" x14ac:dyDescent="0.25">
      <c r="A2690" s="2" t="s">
        <v>7525</v>
      </c>
      <c r="B2690" s="2" t="s">
        <v>7007</v>
      </c>
      <c r="C2690" s="2" t="s">
        <v>7526</v>
      </c>
      <c r="D2690" s="2" t="s">
        <v>10055</v>
      </c>
      <c r="E2690" s="15">
        <v>-3.61E-2</v>
      </c>
      <c r="F2690" s="15">
        <v>8.9499999999999996E-2</v>
      </c>
      <c r="G2690" s="15">
        <v>0.68679999999999997</v>
      </c>
      <c r="H2690" s="15">
        <v>3.3599999999999998E-2</v>
      </c>
      <c r="I2690" s="15">
        <v>1.6899999999999998E-2</v>
      </c>
      <c r="J2690" s="15">
        <v>2.4691358024691361</v>
      </c>
    </row>
    <row r="2691" spans="1:10" x14ac:dyDescent="0.25">
      <c r="A2691" s="2" t="s">
        <v>7527</v>
      </c>
      <c r="B2691" s="2" t="s">
        <v>7007</v>
      </c>
      <c r="C2691" s="2" t="s">
        <v>7528</v>
      </c>
      <c r="D2691" s="2" t="s">
        <v>10055</v>
      </c>
      <c r="E2691" s="15">
        <v>-8.0000000000000004E-4</v>
      </c>
      <c r="F2691" s="15">
        <v>8.7099999999999997E-2</v>
      </c>
      <c r="G2691" s="15">
        <v>0.99309999999999998</v>
      </c>
      <c r="H2691" s="15">
        <v>4.2999999999999997E-2</v>
      </c>
      <c r="I2691" s="15">
        <v>1.5299999999999999E-2</v>
      </c>
      <c r="J2691" s="15">
        <v>3.238095238095239</v>
      </c>
    </row>
    <row r="2692" spans="1:10" x14ac:dyDescent="0.25">
      <c r="A2692" s="2" t="s">
        <v>7529</v>
      </c>
      <c r="B2692" s="2" t="s">
        <v>7007</v>
      </c>
      <c r="C2692" s="2" t="s">
        <v>7530</v>
      </c>
      <c r="D2692" s="2" t="s">
        <v>10055</v>
      </c>
      <c r="E2692" s="15">
        <v>-3.3000000000000002E-2</v>
      </c>
      <c r="F2692" s="15">
        <v>7.9500000000000001E-2</v>
      </c>
      <c r="G2692" s="15">
        <v>0.67800000000000005</v>
      </c>
      <c r="H2692" s="15">
        <v>5.5199999999999999E-2</v>
      </c>
      <c r="I2692" s="15">
        <v>1.54E-2</v>
      </c>
      <c r="J2692" s="15">
        <v>3.6689189189189189</v>
      </c>
    </row>
    <row r="2693" spans="1:10" x14ac:dyDescent="0.25">
      <c r="A2693" s="2" t="s">
        <v>7531</v>
      </c>
      <c r="B2693" s="2" t="s">
        <v>7007</v>
      </c>
      <c r="C2693" s="2" t="s">
        <v>7532</v>
      </c>
      <c r="D2693" s="2" t="s">
        <v>10055</v>
      </c>
      <c r="E2693" s="15">
        <v>2.1499999999999998E-2</v>
      </c>
      <c r="F2693" s="15">
        <v>7.5399999999999995E-2</v>
      </c>
      <c r="G2693" s="15">
        <v>0.77549999999999997</v>
      </c>
      <c r="H2693" s="15">
        <v>6.1199999999999997E-2</v>
      </c>
      <c r="I2693" s="15">
        <v>1.4999999999999999E-2</v>
      </c>
      <c r="J2693" s="15">
        <v>5.333333333333333</v>
      </c>
    </row>
    <row r="2694" spans="1:10" x14ac:dyDescent="0.25">
      <c r="A2694" s="2" t="s">
        <v>7533</v>
      </c>
      <c r="B2694" s="2" t="s">
        <v>7007</v>
      </c>
      <c r="C2694" s="2" t="s">
        <v>7534</v>
      </c>
      <c r="D2694" s="2" t="s">
        <v>10055</v>
      </c>
      <c r="E2694" s="15">
        <v>-1.38E-2</v>
      </c>
      <c r="F2694" s="15">
        <v>7.5200000000000003E-2</v>
      </c>
      <c r="G2694" s="15">
        <v>0.85409999999999997</v>
      </c>
      <c r="H2694" s="15">
        <v>4.9500000000000002E-2</v>
      </c>
      <c r="I2694" s="15">
        <v>1.3899999999999999E-2</v>
      </c>
      <c r="J2694" s="15">
        <v>3.3</v>
      </c>
    </row>
    <row r="2695" spans="1:10" x14ac:dyDescent="0.25">
      <c r="A2695" s="2" t="s">
        <v>7535</v>
      </c>
      <c r="B2695" s="2" t="s">
        <v>7007</v>
      </c>
      <c r="C2695" s="2" t="s">
        <v>7536</v>
      </c>
      <c r="D2695" s="2" t="s">
        <v>10055</v>
      </c>
      <c r="E2695" s="15">
        <v>0.11169999999999999</v>
      </c>
      <c r="F2695" s="15">
        <v>6.6199999999999995E-2</v>
      </c>
      <c r="G2695" s="15">
        <v>9.1399999999999995E-2</v>
      </c>
      <c r="H2695" s="15">
        <v>6.1400000000000003E-2</v>
      </c>
      <c r="I2695" s="15">
        <v>1.6500000000000001E-2</v>
      </c>
      <c r="J2695" s="15">
        <v>3.981366459627329</v>
      </c>
    </row>
    <row r="2696" spans="1:10" x14ac:dyDescent="0.25">
      <c r="A2696" s="2" t="s">
        <v>7537</v>
      </c>
      <c r="B2696" s="2" t="s">
        <v>7007</v>
      </c>
      <c r="C2696" s="2" t="s">
        <v>7538</v>
      </c>
      <c r="D2696" s="2" t="s">
        <v>10055</v>
      </c>
      <c r="E2696" s="15">
        <v>1.1000000000000001E-3</v>
      </c>
      <c r="F2696" s="15">
        <v>5.3499999999999999E-2</v>
      </c>
      <c r="G2696" s="15">
        <v>0.98309999999999997</v>
      </c>
      <c r="H2696" s="15">
        <v>0.1106</v>
      </c>
      <c r="I2696" s="15">
        <v>2.29E-2</v>
      </c>
      <c r="J2696" s="15">
        <v>5.2850467289719631</v>
      </c>
    </row>
    <row r="2697" spans="1:10" x14ac:dyDescent="0.25">
      <c r="A2697" s="2" t="s">
        <v>7539</v>
      </c>
      <c r="B2697" s="2" t="s">
        <v>7007</v>
      </c>
      <c r="C2697" s="2" t="s">
        <v>7540</v>
      </c>
      <c r="D2697" s="2" t="s">
        <v>10055</v>
      </c>
      <c r="E2697" s="15">
        <v>-1.8200000000000001E-2</v>
      </c>
      <c r="F2697" s="15">
        <v>0.1022</v>
      </c>
      <c r="G2697" s="15">
        <v>0.85860000000000003</v>
      </c>
      <c r="H2697" s="15">
        <v>3.09E-2</v>
      </c>
      <c r="I2697" s="15">
        <v>1.5900000000000001E-2</v>
      </c>
      <c r="J2697" s="15">
        <v>2.2448979591836742</v>
      </c>
    </row>
    <row r="2698" spans="1:10" x14ac:dyDescent="0.25">
      <c r="A2698" s="2" t="s">
        <v>7541</v>
      </c>
      <c r="B2698" s="2" t="s">
        <v>7007</v>
      </c>
      <c r="C2698" s="2" t="s">
        <v>7542</v>
      </c>
      <c r="D2698" s="2" t="s">
        <v>10055</v>
      </c>
      <c r="E2698" s="15">
        <v>2.8E-3</v>
      </c>
      <c r="F2698" s="15">
        <v>8.8999999999999996E-2</v>
      </c>
      <c r="G2698" s="15">
        <v>0.9748</v>
      </c>
      <c r="H2698" s="15">
        <v>3.7100000000000001E-2</v>
      </c>
      <c r="I2698" s="15">
        <v>1.4E-2</v>
      </c>
      <c r="J2698" s="15">
        <v>3.117647058823529</v>
      </c>
    </row>
    <row r="2699" spans="1:10" x14ac:dyDescent="0.25">
      <c r="A2699" s="2" t="s">
        <v>7543</v>
      </c>
      <c r="B2699" s="2" t="s">
        <v>7007</v>
      </c>
      <c r="C2699" s="2" t="s">
        <v>7544</v>
      </c>
      <c r="D2699" s="2" t="s">
        <v>10055</v>
      </c>
      <c r="E2699" s="15">
        <v>-0.28220000000000001</v>
      </c>
      <c r="F2699" s="15">
        <v>0.38119999999999998</v>
      </c>
      <c r="G2699" s="15">
        <v>0.45910000000000001</v>
      </c>
      <c r="H2699" s="15">
        <v>8.8999999999999999E-3</v>
      </c>
      <c r="I2699" s="15">
        <v>1.4999999999999999E-2</v>
      </c>
      <c r="J2699" s="15">
        <v>0.61702127659574468</v>
      </c>
    </row>
    <row r="2700" spans="1:10" x14ac:dyDescent="0.25">
      <c r="A2700" s="2" t="s">
        <v>7545</v>
      </c>
      <c r="B2700" s="2" t="s">
        <v>7007</v>
      </c>
      <c r="C2700" s="2" t="s">
        <v>7546</v>
      </c>
      <c r="D2700" s="2" t="s">
        <v>10055</v>
      </c>
      <c r="E2700" s="15">
        <v>-2.1000000000000001E-2</v>
      </c>
      <c r="F2700" s="15">
        <v>9.6500000000000002E-2</v>
      </c>
      <c r="G2700" s="15">
        <v>0.8276</v>
      </c>
      <c r="H2700" s="15">
        <v>3.5700000000000003E-2</v>
      </c>
      <c r="I2700" s="15">
        <v>1.61E-2</v>
      </c>
      <c r="J2700" s="15">
        <v>2.2341772151898729</v>
      </c>
    </row>
    <row r="2701" spans="1:10" x14ac:dyDescent="0.25">
      <c r="A2701" s="2" t="s">
        <v>7547</v>
      </c>
      <c r="B2701" s="2" t="s">
        <v>7007</v>
      </c>
      <c r="C2701" s="2" t="s">
        <v>7548</v>
      </c>
      <c r="D2701" s="2" t="s">
        <v>10055</v>
      </c>
      <c r="E2701" s="15">
        <v>5.7099999999999998E-2</v>
      </c>
      <c r="F2701" s="15">
        <v>6.0600000000000001E-2</v>
      </c>
      <c r="G2701" s="15">
        <v>0.3468</v>
      </c>
      <c r="H2701" s="15">
        <v>7.9299999999999995E-2</v>
      </c>
      <c r="I2701" s="15">
        <v>1.44E-2</v>
      </c>
      <c r="J2701" s="15">
        <v>5.5434782608695654</v>
      </c>
    </row>
    <row r="2702" spans="1:10" x14ac:dyDescent="0.25">
      <c r="A2702" s="2" t="s">
        <v>7549</v>
      </c>
      <c r="B2702" s="2" t="s">
        <v>7007</v>
      </c>
      <c r="C2702" s="2" t="s">
        <v>7550</v>
      </c>
      <c r="D2702" s="2" t="s">
        <v>10055</v>
      </c>
      <c r="E2702" s="15">
        <v>8.6E-3</v>
      </c>
      <c r="F2702" s="15">
        <v>5.8700000000000002E-2</v>
      </c>
      <c r="G2702" s="15">
        <v>0.88400000000000001</v>
      </c>
      <c r="H2702" s="15">
        <v>0.1114</v>
      </c>
      <c r="I2702" s="15">
        <v>1.72E-2</v>
      </c>
      <c r="J2702" s="15">
        <v>7.4969325153374244</v>
      </c>
    </row>
    <row r="2703" spans="1:10" x14ac:dyDescent="0.25">
      <c r="A2703" s="2" t="s">
        <v>7551</v>
      </c>
      <c r="B2703" s="2" t="s">
        <v>7007</v>
      </c>
      <c r="C2703" s="2" t="s">
        <v>7552</v>
      </c>
      <c r="D2703" s="2" t="s">
        <v>10055</v>
      </c>
      <c r="E2703" s="15">
        <v>0.2114</v>
      </c>
      <c r="F2703" s="15">
        <v>0.10299999999999999</v>
      </c>
      <c r="G2703" s="15">
        <v>4.0099999999999997E-2</v>
      </c>
      <c r="H2703" s="15">
        <v>3.3700000000000001E-2</v>
      </c>
      <c r="I2703" s="15">
        <v>1.67E-2</v>
      </c>
      <c r="J2703" s="15">
        <v>2.2111801242236031</v>
      </c>
    </row>
    <row r="2704" spans="1:10" x14ac:dyDescent="0.25">
      <c r="A2704" s="2" t="s">
        <v>7553</v>
      </c>
      <c r="B2704" s="2" t="s">
        <v>7007</v>
      </c>
      <c r="C2704" s="2" t="s">
        <v>7554</v>
      </c>
      <c r="D2704" s="2" t="s">
        <v>10055</v>
      </c>
      <c r="E2704" s="15">
        <v>1.0500000000000001E-2</v>
      </c>
      <c r="F2704" s="15">
        <v>6.3500000000000001E-2</v>
      </c>
      <c r="G2704" s="15">
        <v>0.86839999999999995</v>
      </c>
      <c r="H2704" s="15">
        <v>7.8E-2</v>
      </c>
      <c r="I2704" s="15">
        <v>1.52E-2</v>
      </c>
      <c r="J2704" s="15">
        <v>5.7094594594594597</v>
      </c>
    </row>
    <row r="2705" spans="1:10" x14ac:dyDescent="0.25">
      <c r="A2705" s="2" t="s">
        <v>7555</v>
      </c>
      <c r="B2705" s="2" t="s">
        <v>7007</v>
      </c>
      <c r="C2705" s="2" t="s">
        <v>7556</v>
      </c>
      <c r="D2705" s="2" t="s">
        <v>10055</v>
      </c>
      <c r="E2705" s="15">
        <v>3.2500000000000001E-2</v>
      </c>
      <c r="F2705" s="15">
        <v>0.13519999999999999</v>
      </c>
      <c r="G2705" s="15">
        <v>0.81010000000000004</v>
      </c>
      <c r="H2705" s="15">
        <v>1.7399999999999999E-2</v>
      </c>
      <c r="I2705" s="15">
        <v>1.43E-2</v>
      </c>
      <c r="J2705" s="15">
        <v>1.104895104895105</v>
      </c>
    </row>
    <row r="2706" spans="1:10" x14ac:dyDescent="0.25">
      <c r="A2706" s="2" t="s">
        <v>7557</v>
      </c>
      <c r="B2706" s="2" t="s">
        <v>7007</v>
      </c>
      <c r="C2706" s="2" t="s">
        <v>7558</v>
      </c>
      <c r="D2706" s="2" t="s">
        <v>10055</v>
      </c>
      <c r="E2706" s="15">
        <v>-0.1517</v>
      </c>
      <c r="F2706" s="15">
        <v>0.16669999999999999</v>
      </c>
      <c r="G2706" s="15">
        <v>0.36280000000000001</v>
      </c>
      <c r="H2706" s="15">
        <v>1.5900000000000001E-2</v>
      </c>
      <c r="I2706" s="15">
        <v>1.55E-2</v>
      </c>
      <c r="J2706" s="15">
        <v>1.0486111111111109</v>
      </c>
    </row>
    <row r="2707" spans="1:10" x14ac:dyDescent="0.25">
      <c r="A2707" s="2" t="s">
        <v>7559</v>
      </c>
      <c r="B2707" s="2" t="s">
        <v>7007</v>
      </c>
      <c r="C2707" s="2" t="s">
        <v>7560</v>
      </c>
      <c r="D2707" s="2" t="s">
        <v>10055</v>
      </c>
      <c r="E2707" s="15">
        <v>7.4200000000000002E-2</v>
      </c>
      <c r="F2707" s="15">
        <v>0.16320000000000001</v>
      </c>
      <c r="G2707" s="15">
        <v>0.64949999999999997</v>
      </c>
      <c r="H2707" s="15">
        <v>1.23E-2</v>
      </c>
      <c r="I2707" s="15">
        <v>1.35E-2</v>
      </c>
      <c r="J2707" s="15">
        <v>0.93023255813953487</v>
      </c>
    </row>
    <row r="2708" spans="1:10" x14ac:dyDescent="0.25">
      <c r="A2708" s="2" t="s">
        <v>7561</v>
      </c>
      <c r="B2708" s="2" t="s">
        <v>7007</v>
      </c>
      <c r="C2708" s="2" t="s">
        <v>7562</v>
      </c>
      <c r="D2708" s="2" t="s">
        <v>10055</v>
      </c>
      <c r="E2708" s="15">
        <v>2.7000000000000001E-3</v>
      </c>
      <c r="F2708" s="15">
        <v>9.2700000000000005E-2</v>
      </c>
      <c r="G2708" s="15">
        <v>0.9768</v>
      </c>
      <c r="H2708" s="15">
        <v>4.5199999999999997E-2</v>
      </c>
      <c r="I2708" s="15">
        <v>1.54E-2</v>
      </c>
      <c r="J2708" s="15">
        <v>2.9675324675324668</v>
      </c>
    </row>
    <row r="2709" spans="1:10" x14ac:dyDescent="0.25">
      <c r="A2709" s="2" t="s">
        <v>7563</v>
      </c>
      <c r="B2709" s="2" t="s">
        <v>7007</v>
      </c>
      <c r="C2709" s="2" t="s">
        <v>7564</v>
      </c>
      <c r="D2709" s="2" t="s">
        <v>10055</v>
      </c>
      <c r="E2709" s="15">
        <v>3.8100000000000002E-2</v>
      </c>
      <c r="F2709" s="15">
        <v>8.8499999999999995E-2</v>
      </c>
      <c r="G2709" s="15">
        <v>0.6673</v>
      </c>
      <c r="H2709" s="15">
        <v>3.2199999999999999E-2</v>
      </c>
      <c r="I2709" s="15">
        <v>1.3599999999999999E-2</v>
      </c>
      <c r="J2709" s="15">
        <v>1.869230769230769</v>
      </c>
    </row>
    <row r="2710" spans="1:10" x14ac:dyDescent="0.25">
      <c r="A2710" s="2" t="s">
        <v>7565</v>
      </c>
      <c r="B2710" s="2" t="s">
        <v>7007</v>
      </c>
      <c r="C2710" s="2" t="s">
        <v>7566</v>
      </c>
      <c r="D2710" s="2" t="s">
        <v>10055</v>
      </c>
      <c r="E2710" s="15">
        <v>-0.15160000000000001</v>
      </c>
      <c r="F2710" s="15">
        <v>7.9899999999999999E-2</v>
      </c>
      <c r="G2710" s="15">
        <v>5.7799999999999997E-2</v>
      </c>
      <c r="H2710" s="15">
        <v>6.08E-2</v>
      </c>
      <c r="I2710" s="15">
        <v>2.0199999999999999E-2</v>
      </c>
      <c r="J2710" s="15">
        <v>2.989690721649485</v>
      </c>
    </row>
    <row r="2711" spans="1:10" x14ac:dyDescent="0.25">
      <c r="A2711" s="2" t="s">
        <v>7567</v>
      </c>
      <c r="B2711" s="2" t="s">
        <v>7007</v>
      </c>
      <c r="C2711" s="2" t="s">
        <v>7568</v>
      </c>
      <c r="D2711" s="2" t="s">
        <v>10055</v>
      </c>
      <c r="E2711" s="15">
        <v>-0.1176</v>
      </c>
      <c r="F2711" s="15">
        <v>8.3099999999999993E-2</v>
      </c>
      <c r="G2711" s="15">
        <v>0.15709999999999999</v>
      </c>
      <c r="H2711" s="15">
        <v>4.5900000000000003E-2</v>
      </c>
      <c r="I2711" s="15">
        <v>1.84E-2</v>
      </c>
      <c r="J2711" s="15">
        <v>3</v>
      </c>
    </row>
    <row r="2712" spans="1:10" x14ac:dyDescent="0.25">
      <c r="A2712" s="2" t="s">
        <v>7569</v>
      </c>
      <c r="B2712" s="2" t="s">
        <v>7007</v>
      </c>
      <c r="C2712" s="2" t="s">
        <v>7570</v>
      </c>
      <c r="D2712" s="2" t="s">
        <v>10055</v>
      </c>
      <c r="E2712" s="15"/>
      <c r="F2712" s="15"/>
      <c r="G2712" s="15"/>
      <c r="H2712" s="15"/>
      <c r="I2712" s="15"/>
      <c r="J2712" s="15">
        <v>0.32374100719424459</v>
      </c>
    </row>
    <row r="2713" spans="1:10" x14ac:dyDescent="0.25">
      <c r="A2713" s="2" t="s">
        <v>7571</v>
      </c>
      <c r="B2713" s="2" t="s">
        <v>7007</v>
      </c>
      <c r="C2713" s="2" t="s">
        <v>7572</v>
      </c>
      <c r="D2713" s="2" t="s">
        <v>10055</v>
      </c>
      <c r="E2713" s="15">
        <v>-4.4000000000000003E-3</v>
      </c>
      <c r="F2713" s="15">
        <v>7.4999999999999997E-2</v>
      </c>
      <c r="G2713" s="15">
        <v>0.95289999999999997</v>
      </c>
      <c r="H2713" s="15">
        <v>5.62E-2</v>
      </c>
      <c r="I2713" s="15">
        <v>1.49E-2</v>
      </c>
      <c r="J2713" s="15">
        <v>4.4391891891891886</v>
      </c>
    </row>
    <row r="2714" spans="1:10" x14ac:dyDescent="0.25">
      <c r="A2714" s="2" t="s">
        <v>7573</v>
      </c>
      <c r="B2714" s="2" t="s">
        <v>7007</v>
      </c>
      <c r="C2714" s="2" t="s">
        <v>7574</v>
      </c>
      <c r="D2714" s="2" t="s">
        <v>10055</v>
      </c>
      <c r="E2714" s="15">
        <v>0.16869999999999999</v>
      </c>
      <c r="F2714" s="15">
        <v>0.1014</v>
      </c>
      <c r="G2714" s="15">
        <v>9.6000000000000002E-2</v>
      </c>
      <c r="H2714" s="15">
        <v>3.8300000000000001E-2</v>
      </c>
      <c r="I2714" s="15">
        <v>1.35E-2</v>
      </c>
      <c r="J2714" s="15">
        <v>2.7463768115942031</v>
      </c>
    </row>
    <row r="2715" spans="1:10" x14ac:dyDescent="0.25">
      <c r="A2715" s="2" t="s">
        <v>7575</v>
      </c>
      <c r="B2715" s="2" t="s">
        <v>7007</v>
      </c>
      <c r="C2715" s="2" t="s">
        <v>7576</v>
      </c>
      <c r="D2715" s="2" t="s">
        <v>10055</v>
      </c>
      <c r="E2715" s="15">
        <v>3.4099999999999998E-2</v>
      </c>
      <c r="F2715" s="15">
        <v>5.3400000000000003E-2</v>
      </c>
      <c r="G2715" s="15">
        <v>0.52249999999999996</v>
      </c>
      <c r="H2715" s="15">
        <v>9.6500000000000002E-2</v>
      </c>
      <c r="I2715" s="15">
        <v>1.6500000000000001E-2</v>
      </c>
      <c r="J2715" s="15">
        <v>5.7100591715976341</v>
      </c>
    </row>
    <row r="2716" spans="1:10" x14ac:dyDescent="0.25">
      <c r="A2716" s="2" t="s">
        <v>7577</v>
      </c>
      <c r="B2716" s="2" t="s">
        <v>7007</v>
      </c>
      <c r="C2716" s="2" t="s">
        <v>7578</v>
      </c>
      <c r="D2716" s="2" t="s">
        <v>10055</v>
      </c>
      <c r="E2716" s="15">
        <v>-6.3200000000000006E-2</v>
      </c>
      <c r="F2716" s="15">
        <v>5.7700000000000001E-2</v>
      </c>
      <c r="G2716" s="15">
        <v>0.27350000000000002</v>
      </c>
      <c r="H2716" s="15">
        <v>0.10539999999999999</v>
      </c>
      <c r="I2716" s="15">
        <v>1.5900000000000001E-2</v>
      </c>
      <c r="J2716" s="15">
        <v>7.2101910828025479</v>
      </c>
    </row>
    <row r="2717" spans="1:10" x14ac:dyDescent="0.25">
      <c r="A2717" s="2" t="s">
        <v>7579</v>
      </c>
      <c r="B2717" s="2" t="s">
        <v>7007</v>
      </c>
      <c r="C2717" s="2" t="s">
        <v>7580</v>
      </c>
      <c r="D2717" s="2" t="s">
        <v>10055</v>
      </c>
      <c r="E2717" s="15">
        <v>-4.3700000000000003E-2</v>
      </c>
      <c r="F2717" s="15">
        <v>6.2E-2</v>
      </c>
      <c r="G2717" s="15">
        <v>0.48070000000000002</v>
      </c>
      <c r="H2717" s="15">
        <v>6.88E-2</v>
      </c>
      <c r="I2717" s="15">
        <v>1.55E-2</v>
      </c>
      <c r="J2717" s="15">
        <v>4.5</v>
      </c>
    </row>
    <row r="2718" spans="1:10" x14ac:dyDescent="0.25">
      <c r="A2718" s="2" t="s">
        <v>7581</v>
      </c>
      <c r="B2718" s="2" t="s">
        <v>7007</v>
      </c>
      <c r="C2718" s="2" t="s">
        <v>7582</v>
      </c>
      <c r="D2718" s="2" t="s">
        <v>10055</v>
      </c>
      <c r="E2718" s="15">
        <v>-3.7000000000000002E-3</v>
      </c>
      <c r="F2718" s="15">
        <v>6.9199999999999998E-2</v>
      </c>
      <c r="G2718" s="15">
        <v>0.95720000000000005</v>
      </c>
      <c r="H2718" s="15">
        <v>7.3899999999999993E-2</v>
      </c>
      <c r="I2718" s="15">
        <v>1.7299999999999999E-2</v>
      </c>
      <c r="J2718" s="15">
        <v>4.916666666666667</v>
      </c>
    </row>
    <row r="2719" spans="1:10" x14ac:dyDescent="0.25">
      <c r="A2719" s="2" t="s">
        <v>7583</v>
      </c>
      <c r="B2719" s="2" t="s">
        <v>7007</v>
      </c>
      <c r="C2719" s="2" t="s">
        <v>7584</v>
      </c>
      <c r="D2719" s="2" t="s">
        <v>10055</v>
      </c>
      <c r="E2719" s="15">
        <v>-8.0299999999999996E-2</v>
      </c>
      <c r="F2719" s="15">
        <v>8.5699999999999998E-2</v>
      </c>
      <c r="G2719" s="15">
        <v>0.34899999999999998</v>
      </c>
      <c r="H2719" s="15">
        <v>4.53E-2</v>
      </c>
      <c r="I2719" s="15">
        <v>1.5900000000000001E-2</v>
      </c>
      <c r="J2719" s="15">
        <v>2.9693251533742329</v>
      </c>
    </row>
    <row r="2720" spans="1:10" x14ac:dyDescent="0.25">
      <c r="A2720" s="2" t="s">
        <v>7585</v>
      </c>
      <c r="B2720" s="2" t="s">
        <v>7007</v>
      </c>
      <c r="C2720" s="2" t="s">
        <v>7586</v>
      </c>
      <c r="D2720" s="2" t="s">
        <v>10055</v>
      </c>
      <c r="E2720" s="15">
        <v>-0.1343</v>
      </c>
      <c r="F2720" s="15">
        <v>0.15129999999999999</v>
      </c>
      <c r="G2720" s="15">
        <v>0.37469999999999998</v>
      </c>
      <c r="H2720" s="15">
        <v>1.8200000000000001E-2</v>
      </c>
      <c r="I2720" s="15">
        <v>1.9E-2</v>
      </c>
      <c r="J2720" s="15">
        <v>1.104046242774567</v>
      </c>
    </row>
    <row r="2721" spans="1:10" x14ac:dyDescent="0.25">
      <c r="A2721" s="2" t="s">
        <v>7587</v>
      </c>
      <c r="B2721" s="2" t="s">
        <v>7007</v>
      </c>
      <c r="C2721" s="2" t="s">
        <v>7588</v>
      </c>
      <c r="D2721" s="2" t="s">
        <v>10055</v>
      </c>
      <c r="E2721" s="15">
        <v>4.0000000000000002E-4</v>
      </c>
      <c r="F2721" s="15">
        <v>7.0199999999999999E-2</v>
      </c>
      <c r="G2721" s="15">
        <v>0.99560000000000004</v>
      </c>
      <c r="H2721" s="15">
        <v>6.6799999999999998E-2</v>
      </c>
      <c r="I2721" s="15">
        <v>1.4500000000000001E-2</v>
      </c>
      <c r="J2721" s="15">
        <v>5.3986013986013992</v>
      </c>
    </row>
    <row r="2722" spans="1:10" x14ac:dyDescent="0.25">
      <c r="A2722" s="2" t="s">
        <v>7589</v>
      </c>
      <c r="B2722" s="2" t="s">
        <v>7007</v>
      </c>
      <c r="C2722" s="2" t="s">
        <v>7590</v>
      </c>
      <c r="D2722" s="2" t="s">
        <v>10055</v>
      </c>
      <c r="E2722" s="15">
        <v>0.16950000000000001</v>
      </c>
      <c r="F2722" s="15">
        <v>0.1021</v>
      </c>
      <c r="G2722" s="15">
        <v>9.6699999999999994E-2</v>
      </c>
      <c r="H2722" s="15">
        <v>3.5099999999999999E-2</v>
      </c>
      <c r="I2722" s="15">
        <v>1.44E-2</v>
      </c>
      <c r="J2722" s="15">
        <v>2.2702702702702702</v>
      </c>
    </row>
    <row r="2723" spans="1:10" x14ac:dyDescent="0.25">
      <c r="A2723" s="2" t="s">
        <v>7591</v>
      </c>
      <c r="B2723" s="2" t="s">
        <v>7007</v>
      </c>
      <c r="C2723" s="2" t="s">
        <v>7592</v>
      </c>
      <c r="D2723" s="2" t="s">
        <v>10055</v>
      </c>
      <c r="E2723" s="15">
        <v>-0.104</v>
      </c>
      <c r="F2723" s="15">
        <v>8.2500000000000004E-2</v>
      </c>
      <c r="G2723" s="15">
        <v>0.20710000000000001</v>
      </c>
      <c r="H2723" s="15">
        <v>5.21E-2</v>
      </c>
      <c r="I2723" s="15">
        <v>1.55E-2</v>
      </c>
      <c r="J2723" s="15">
        <v>3.375</v>
      </c>
    </row>
    <row r="2724" spans="1:10" x14ac:dyDescent="0.25">
      <c r="A2724" s="2" t="s">
        <v>7593</v>
      </c>
      <c r="B2724" s="2" t="s">
        <v>7007</v>
      </c>
      <c r="C2724" s="2" t="s">
        <v>7594</v>
      </c>
      <c r="D2724" s="2" t="s">
        <v>10055</v>
      </c>
      <c r="E2724" s="15">
        <v>-1.17E-2</v>
      </c>
      <c r="F2724" s="15">
        <v>7.5600000000000001E-2</v>
      </c>
      <c r="G2724" s="15">
        <v>0.87649999999999995</v>
      </c>
      <c r="H2724" s="15">
        <v>5.8799999999999998E-2</v>
      </c>
      <c r="I2724" s="15">
        <v>1.55E-2</v>
      </c>
      <c r="J2724" s="15">
        <v>4.4117647058823533</v>
      </c>
    </row>
    <row r="2725" spans="1:10" x14ac:dyDescent="0.25">
      <c r="A2725" s="2" t="s">
        <v>7595</v>
      </c>
      <c r="B2725" s="2" t="s">
        <v>7007</v>
      </c>
      <c r="C2725" s="2" t="s">
        <v>7596</v>
      </c>
      <c r="D2725" s="2" t="s">
        <v>10055</v>
      </c>
      <c r="E2725" s="15">
        <v>0.10630000000000001</v>
      </c>
      <c r="F2725" s="15">
        <v>6.8400000000000002E-2</v>
      </c>
      <c r="G2725" s="15">
        <v>0.1202</v>
      </c>
      <c r="H2725" s="15">
        <v>7.6700000000000004E-2</v>
      </c>
      <c r="I2725" s="15">
        <v>1.6E-2</v>
      </c>
      <c r="J2725" s="15">
        <v>5.3773584905660377</v>
      </c>
    </row>
    <row r="2726" spans="1:10" x14ac:dyDescent="0.25">
      <c r="A2726" s="2" t="s">
        <v>7597</v>
      </c>
      <c r="B2726" s="2" t="s">
        <v>7007</v>
      </c>
      <c r="C2726" s="2" t="s">
        <v>7598</v>
      </c>
      <c r="D2726" s="2" t="s">
        <v>10055</v>
      </c>
      <c r="E2726" s="15">
        <v>0.158</v>
      </c>
      <c r="F2726" s="15">
        <v>0.13270000000000001</v>
      </c>
      <c r="G2726" s="15">
        <v>0.2339</v>
      </c>
      <c r="H2726" s="15">
        <v>1.9199999999999998E-2</v>
      </c>
      <c r="I2726" s="15">
        <v>1.38E-2</v>
      </c>
      <c r="J2726" s="15">
        <v>1.5153846153846151</v>
      </c>
    </row>
    <row r="2727" spans="1:10" x14ac:dyDescent="0.25">
      <c r="A2727" s="2" t="s">
        <v>7599</v>
      </c>
      <c r="B2727" s="2" t="s">
        <v>7007</v>
      </c>
      <c r="C2727" s="2" t="s">
        <v>7600</v>
      </c>
      <c r="D2727" s="2" t="s">
        <v>10055</v>
      </c>
      <c r="E2727" s="15">
        <v>3.0200000000000001E-2</v>
      </c>
      <c r="F2727" s="15">
        <v>5.2699999999999997E-2</v>
      </c>
      <c r="G2727" s="15">
        <v>0.56720000000000004</v>
      </c>
      <c r="H2727" s="15">
        <v>0.1118</v>
      </c>
      <c r="I2727" s="15">
        <v>1.8200000000000001E-2</v>
      </c>
      <c r="J2727" s="15">
        <v>6.5081967213114753</v>
      </c>
    </row>
    <row r="2728" spans="1:10" x14ac:dyDescent="0.25">
      <c r="A2728" s="2" t="s">
        <v>7601</v>
      </c>
      <c r="B2728" s="2" t="s">
        <v>7007</v>
      </c>
      <c r="C2728" s="2" t="s">
        <v>7602</v>
      </c>
      <c r="D2728" s="2" t="s">
        <v>10055</v>
      </c>
      <c r="E2728" s="15">
        <v>4.8300000000000003E-2</v>
      </c>
      <c r="F2728" s="15">
        <v>8.0600000000000005E-2</v>
      </c>
      <c r="G2728" s="15">
        <v>0.54890000000000005</v>
      </c>
      <c r="H2728" s="15">
        <v>4.5999999999999999E-2</v>
      </c>
      <c r="I2728" s="15">
        <v>1.55E-2</v>
      </c>
      <c r="J2728" s="15">
        <v>3.422818791946308</v>
      </c>
    </row>
    <row r="2729" spans="1:10" x14ac:dyDescent="0.25">
      <c r="A2729" s="2" t="s">
        <v>7603</v>
      </c>
      <c r="B2729" s="2" t="s">
        <v>7007</v>
      </c>
      <c r="C2729" s="2" t="s">
        <v>7604</v>
      </c>
      <c r="D2729" s="2" t="s">
        <v>10055</v>
      </c>
      <c r="E2729" s="15">
        <v>-2.2200000000000001E-2</v>
      </c>
      <c r="F2729" s="15">
        <v>9.9299999999999999E-2</v>
      </c>
      <c r="G2729" s="15">
        <v>0.82330000000000003</v>
      </c>
      <c r="H2729" s="15">
        <v>3.0099999999999998E-2</v>
      </c>
      <c r="I2729" s="15">
        <v>1.47E-2</v>
      </c>
      <c r="J2729" s="15">
        <v>2.1407407407407408</v>
      </c>
    </row>
    <row r="2730" spans="1:10" x14ac:dyDescent="0.25">
      <c r="A2730" s="2" t="s">
        <v>7605</v>
      </c>
      <c r="B2730" s="2" t="s">
        <v>7007</v>
      </c>
      <c r="C2730" s="2" t="s">
        <v>7606</v>
      </c>
      <c r="D2730" s="2" t="s">
        <v>10055</v>
      </c>
      <c r="E2730" s="15">
        <v>-8.4699999999999998E-2</v>
      </c>
      <c r="F2730" s="15">
        <v>4.9200000000000001E-2</v>
      </c>
      <c r="G2730" s="15">
        <v>8.5099999999999995E-2</v>
      </c>
      <c r="H2730" s="15">
        <v>0.14360000000000001</v>
      </c>
      <c r="I2730" s="15">
        <v>1.5900000000000001E-2</v>
      </c>
      <c r="J2730" s="15">
        <v>10.25</v>
      </c>
    </row>
    <row r="2731" spans="1:10" x14ac:dyDescent="0.25">
      <c r="A2731" s="2" t="s">
        <v>7607</v>
      </c>
      <c r="B2731" s="2" t="s">
        <v>7007</v>
      </c>
      <c r="C2731" s="2" t="s">
        <v>7608</v>
      </c>
      <c r="D2731" s="2" t="s">
        <v>10055</v>
      </c>
      <c r="E2731" s="15">
        <v>-7.1000000000000004E-3</v>
      </c>
      <c r="F2731" s="15">
        <v>8.1000000000000003E-2</v>
      </c>
      <c r="G2731" s="15">
        <v>0.93020000000000003</v>
      </c>
      <c r="H2731" s="15">
        <v>4.9200000000000001E-2</v>
      </c>
      <c r="I2731" s="15">
        <v>1.52E-2</v>
      </c>
      <c r="J2731" s="15">
        <v>3.5714285714285721</v>
      </c>
    </row>
    <row r="2732" spans="1:10" x14ac:dyDescent="0.25">
      <c r="A2732" s="2" t="s">
        <v>7609</v>
      </c>
      <c r="B2732" s="2" t="s">
        <v>7007</v>
      </c>
      <c r="C2732" s="2" t="s">
        <v>7610</v>
      </c>
      <c r="D2732" s="2" t="s">
        <v>10055</v>
      </c>
      <c r="E2732" s="15">
        <v>5.8500000000000003E-2</v>
      </c>
      <c r="F2732" s="15">
        <v>0.1133</v>
      </c>
      <c r="G2732" s="15">
        <v>0.60589999999999999</v>
      </c>
      <c r="H2732" s="15">
        <v>2.1700000000000001E-2</v>
      </c>
      <c r="I2732" s="15">
        <v>1.55E-2</v>
      </c>
      <c r="J2732" s="15">
        <v>1.383561643835616</v>
      </c>
    </row>
    <row r="2733" spans="1:10" x14ac:dyDescent="0.25">
      <c r="A2733" s="2" t="s">
        <v>7611</v>
      </c>
      <c r="B2733" s="2" t="s">
        <v>7007</v>
      </c>
      <c r="C2733" s="2" t="s">
        <v>7612</v>
      </c>
      <c r="D2733" s="2" t="s">
        <v>10055</v>
      </c>
      <c r="E2733" s="15">
        <v>0.13689999999999999</v>
      </c>
      <c r="F2733" s="15">
        <v>0.4879</v>
      </c>
      <c r="G2733" s="15">
        <v>0.77910000000000001</v>
      </c>
      <c r="H2733" s="15">
        <v>3.2000000000000002E-3</v>
      </c>
      <c r="I2733" s="15">
        <v>1.3100000000000001E-2</v>
      </c>
      <c r="J2733" s="15">
        <v>0.49180327868852458</v>
      </c>
    </row>
    <row r="2734" spans="1:10" x14ac:dyDescent="0.25">
      <c r="A2734" s="2" t="s">
        <v>7613</v>
      </c>
      <c r="B2734" s="2" t="s">
        <v>7007</v>
      </c>
      <c r="C2734" s="2" t="s">
        <v>7614</v>
      </c>
      <c r="D2734" s="2" t="s">
        <v>10055</v>
      </c>
      <c r="E2734" s="15">
        <v>-1.95E-2</v>
      </c>
      <c r="F2734" s="15">
        <v>6.6600000000000006E-2</v>
      </c>
      <c r="G2734" s="15">
        <v>0.76910000000000001</v>
      </c>
      <c r="H2734" s="15">
        <v>6.2199999999999998E-2</v>
      </c>
      <c r="I2734" s="15">
        <v>1.9900000000000001E-2</v>
      </c>
      <c r="J2734" s="15">
        <v>3.2962962962962958</v>
      </c>
    </row>
    <row r="2735" spans="1:10" x14ac:dyDescent="0.25">
      <c r="A2735" s="2" t="s">
        <v>7615</v>
      </c>
      <c r="B2735" s="2" t="s">
        <v>7007</v>
      </c>
      <c r="C2735" s="2" t="s">
        <v>7616</v>
      </c>
      <c r="D2735" s="2" t="s">
        <v>10055</v>
      </c>
      <c r="E2735" s="15">
        <v>-1.15E-2</v>
      </c>
      <c r="F2735" s="15">
        <v>8.9700000000000002E-2</v>
      </c>
      <c r="G2735" s="15">
        <v>0.8982</v>
      </c>
      <c r="H2735" s="15">
        <v>3.3500000000000002E-2</v>
      </c>
      <c r="I2735" s="15">
        <v>1.49E-2</v>
      </c>
      <c r="J2735" s="15">
        <v>2.3680555555555549</v>
      </c>
    </row>
    <row r="2736" spans="1:10" x14ac:dyDescent="0.25">
      <c r="A2736" s="2" t="s">
        <v>7617</v>
      </c>
      <c r="B2736" s="2" t="s">
        <v>7007</v>
      </c>
      <c r="C2736" s="2" t="s">
        <v>7618</v>
      </c>
      <c r="D2736" s="2" t="s">
        <v>10055</v>
      </c>
      <c r="E2736" s="15">
        <v>3.8399999999999997E-2</v>
      </c>
      <c r="F2736" s="15">
        <v>0.16370000000000001</v>
      </c>
      <c r="G2736" s="15">
        <v>0.81459999999999999</v>
      </c>
      <c r="H2736" s="15">
        <v>8.9999999999999993E-3</v>
      </c>
      <c r="I2736" s="15">
        <v>1.34E-2</v>
      </c>
      <c r="J2736" s="15">
        <v>0.16666666666666671</v>
      </c>
    </row>
    <row r="2737" spans="1:10" x14ac:dyDescent="0.25">
      <c r="A2737" s="2" t="s">
        <v>7619</v>
      </c>
      <c r="B2737" s="2" t="s">
        <v>7007</v>
      </c>
      <c r="C2737" s="2" t="s">
        <v>7620</v>
      </c>
      <c r="D2737" s="2" t="s">
        <v>10055</v>
      </c>
      <c r="E2737" s="15">
        <v>7.4000000000000003E-3</v>
      </c>
      <c r="F2737" s="15">
        <v>7.3099999999999998E-2</v>
      </c>
      <c r="G2737" s="15">
        <v>0.91979999999999995</v>
      </c>
      <c r="H2737" s="15">
        <v>5.0700000000000002E-2</v>
      </c>
      <c r="I2737" s="15">
        <v>1.49E-2</v>
      </c>
      <c r="J2737" s="15">
        <v>3.3426573426573429</v>
      </c>
    </row>
    <row r="2738" spans="1:10" x14ac:dyDescent="0.25">
      <c r="A2738" s="2" t="s">
        <v>7621</v>
      </c>
      <c r="B2738" s="2" t="s">
        <v>7007</v>
      </c>
      <c r="C2738" s="2" t="s">
        <v>7622</v>
      </c>
      <c r="D2738" s="2" t="s">
        <v>10055</v>
      </c>
      <c r="E2738" s="15">
        <v>-9.69E-2</v>
      </c>
      <c r="F2738" s="15">
        <v>0.371</v>
      </c>
      <c r="G2738" s="15">
        <v>0.79400000000000004</v>
      </c>
      <c r="H2738" s="15">
        <v>3.8E-3</v>
      </c>
      <c r="I2738" s="15">
        <v>1.2200000000000001E-2</v>
      </c>
      <c r="J2738" s="15">
        <v>0.82905982905982911</v>
      </c>
    </row>
    <row r="2739" spans="1:10" x14ac:dyDescent="0.25">
      <c r="A2739" s="2" t="s">
        <v>7623</v>
      </c>
      <c r="B2739" s="2" t="s">
        <v>7007</v>
      </c>
      <c r="C2739" s="2" t="s">
        <v>7624</v>
      </c>
      <c r="D2739" s="2" t="s">
        <v>10055</v>
      </c>
      <c r="E2739" s="15">
        <v>0.16889999999999999</v>
      </c>
      <c r="F2739" s="15">
        <v>0.10639999999999999</v>
      </c>
      <c r="G2739" s="15">
        <v>0.1124</v>
      </c>
      <c r="H2739" s="15">
        <v>3.04E-2</v>
      </c>
      <c r="I2739" s="15">
        <v>1.3100000000000001E-2</v>
      </c>
      <c r="J2739" s="15">
        <v>2.6929133858267722</v>
      </c>
    </row>
    <row r="2740" spans="1:10" x14ac:dyDescent="0.25">
      <c r="A2740" s="2" t="s">
        <v>7625</v>
      </c>
      <c r="B2740" s="2" t="s">
        <v>7007</v>
      </c>
      <c r="C2740" s="2" t="s">
        <v>7626</v>
      </c>
      <c r="D2740" s="2" t="s">
        <v>10055</v>
      </c>
      <c r="E2740" s="15">
        <v>2.93E-2</v>
      </c>
      <c r="F2740" s="15">
        <v>0.1021</v>
      </c>
      <c r="G2740" s="15">
        <v>0.77410000000000001</v>
      </c>
      <c r="H2740" s="15">
        <v>2.6499999999999999E-2</v>
      </c>
      <c r="I2740" s="15">
        <v>1.41E-2</v>
      </c>
      <c r="J2740" s="15">
        <v>1.8307692307692309</v>
      </c>
    </row>
    <row r="2741" spans="1:10" x14ac:dyDescent="0.25">
      <c r="A2741" s="2" t="s">
        <v>7627</v>
      </c>
      <c r="B2741" s="2" t="s">
        <v>7007</v>
      </c>
      <c r="C2741" s="2" t="s">
        <v>7628</v>
      </c>
      <c r="D2741" s="2" t="s">
        <v>10055</v>
      </c>
      <c r="E2741" s="15">
        <v>-5.3600000000000002E-2</v>
      </c>
      <c r="F2741" s="15">
        <v>6.6799999999999998E-2</v>
      </c>
      <c r="G2741" s="15">
        <v>0.42199999999999999</v>
      </c>
      <c r="H2741" s="15">
        <v>6.4299999999999996E-2</v>
      </c>
      <c r="I2741" s="15">
        <v>1.7299999999999999E-2</v>
      </c>
      <c r="J2741" s="15">
        <v>3.660714285714286</v>
      </c>
    </row>
    <row r="2742" spans="1:10" x14ac:dyDescent="0.25">
      <c r="A2742" s="2" t="s">
        <v>7629</v>
      </c>
      <c r="B2742" s="2" t="s">
        <v>7007</v>
      </c>
      <c r="C2742" s="2" t="s">
        <v>7630</v>
      </c>
      <c r="D2742" s="2" t="s">
        <v>10055</v>
      </c>
      <c r="E2742" s="15">
        <v>-2.8500000000000001E-2</v>
      </c>
      <c r="F2742" s="15">
        <v>6.1600000000000002E-2</v>
      </c>
      <c r="G2742" s="15">
        <v>0.64400000000000002</v>
      </c>
      <c r="H2742" s="15">
        <v>7.7700000000000005E-2</v>
      </c>
      <c r="I2742" s="15">
        <v>1.5299999999999999E-2</v>
      </c>
      <c r="J2742" s="15">
        <v>5.4093959731543624</v>
      </c>
    </row>
    <row r="2743" spans="1:10" x14ac:dyDescent="0.25">
      <c r="A2743" s="2" t="s">
        <v>7631</v>
      </c>
      <c r="B2743" s="2" t="s">
        <v>7007</v>
      </c>
      <c r="C2743" s="2" t="s">
        <v>7632</v>
      </c>
      <c r="D2743" s="2" t="s">
        <v>10055</v>
      </c>
      <c r="E2743" s="15">
        <v>0.17119999999999999</v>
      </c>
      <c r="F2743" s="15">
        <v>0.1043</v>
      </c>
      <c r="G2743" s="15">
        <v>0.10059999999999999</v>
      </c>
      <c r="H2743" s="15">
        <v>2.98E-2</v>
      </c>
      <c r="I2743" s="15">
        <v>1.3100000000000001E-2</v>
      </c>
      <c r="J2743" s="15">
        <v>2.6119402985074629</v>
      </c>
    </row>
    <row r="2744" spans="1:10" x14ac:dyDescent="0.25">
      <c r="A2744" s="2" t="s">
        <v>7633</v>
      </c>
      <c r="B2744" s="2" t="s">
        <v>7007</v>
      </c>
      <c r="C2744" s="2" t="s">
        <v>7634</v>
      </c>
      <c r="D2744" s="2" t="s">
        <v>10055</v>
      </c>
      <c r="E2744" s="15">
        <v>7.3400000000000007E-2</v>
      </c>
      <c r="F2744" s="15">
        <v>0.21049999999999999</v>
      </c>
      <c r="G2744" s="15">
        <v>0.72740000000000005</v>
      </c>
      <c r="H2744" s="15">
        <v>9.2999999999999992E-3</v>
      </c>
      <c r="I2744" s="15">
        <v>1.5299999999999999E-2</v>
      </c>
      <c r="J2744" s="15">
        <v>-2.1449668874172182E-3</v>
      </c>
    </row>
    <row r="2745" spans="1:10" x14ac:dyDescent="0.25">
      <c r="A2745" s="2" t="s">
        <v>7635</v>
      </c>
      <c r="B2745" s="2" t="s">
        <v>7007</v>
      </c>
      <c r="C2745" s="2" t="s">
        <v>7636</v>
      </c>
      <c r="D2745" s="2" t="s">
        <v>10055</v>
      </c>
      <c r="E2745" s="15">
        <v>-0.1051</v>
      </c>
      <c r="F2745" s="15">
        <v>0.17810000000000001</v>
      </c>
      <c r="G2745" s="15">
        <v>0.55500000000000005</v>
      </c>
      <c r="H2745" s="15">
        <v>1.0800000000000001E-2</v>
      </c>
      <c r="I2745" s="15">
        <v>1.61E-2</v>
      </c>
      <c r="J2745" s="15">
        <v>0.9559748427672955</v>
      </c>
    </row>
    <row r="2746" spans="1:10" x14ac:dyDescent="0.25">
      <c r="A2746" s="2" t="s">
        <v>7637</v>
      </c>
      <c r="B2746" s="2" t="s">
        <v>7007</v>
      </c>
      <c r="C2746" s="2" t="s">
        <v>7638</v>
      </c>
      <c r="D2746" s="2" t="s">
        <v>10055</v>
      </c>
      <c r="E2746" s="15"/>
      <c r="F2746" s="15"/>
      <c r="G2746" s="15"/>
      <c r="H2746" s="15">
        <v>-4.7000000000000002E-3</v>
      </c>
      <c r="I2746" s="15">
        <v>1.34E-2</v>
      </c>
      <c r="J2746" s="15">
        <v>-0.5</v>
      </c>
    </row>
    <row r="2747" spans="1:10" x14ac:dyDescent="0.25">
      <c r="A2747" s="2" t="s">
        <v>7639</v>
      </c>
      <c r="B2747" s="2" t="s">
        <v>7007</v>
      </c>
      <c r="C2747" s="2" t="s">
        <v>7640</v>
      </c>
      <c r="D2747" s="2" t="s">
        <v>10055</v>
      </c>
      <c r="E2747" s="15"/>
      <c r="F2747" s="15"/>
      <c r="G2747" s="15"/>
      <c r="H2747" s="15">
        <v>-2.5000000000000001E-3</v>
      </c>
      <c r="I2747" s="15">
        <v>1.4200000000000001E-2</v>
      </c>
      <c r="J2747" s="15">
        <v>4.3795620437956199E-2</v>
      </c>
    </row>
    <row r="2748" spans="1:10" x14ac:dyDescent="0.25">
      <c r="A2748" s="2" t="s">
        <v>7641</v>
      </c>
      <c r="B2748" s="2" t="s">
        <v>7007</v>
      </c>
      <c r="C2748" s="2" t="s">
        <v>7642</v>
      </c>
      <c r="D2748" s="2" t="s">
        <v>10055</v>
      </c>
      <c r="E2748" s="15">
        <v>-3.3099999999999997E-2</v>
      </c>
      <c r="F2748" s="15">
        <v>8.2000000000000003E-2</v>
      </c>
      <c r="G2748" s="15">
        <v>0.68679999999999997</v>
      </c>
      <c r="H2748" s="15">
        <v>4.8300000000000003E-2</v>
      </c>
      <c r="I2748" s="15">
        <v>1.35E-2</v>
      </c>
      <c r="J2748" s="15">
        <v>4.4682539682539684</v>
      </c>
    </row>
    <row r="2749" spans="1:10" x14ac:dyDescent="0.25">
      <c r="A2749" s="2" t="s">
        <v>7643</v>
      </c>
      <c r="B2749" s="2" t="s">
        <v>7007</v>
      </c>
      <c r="C2749" s="2" t="s">
        <v>7644</v>
      </c>
      <c r="D2749" s="2" t="s">
        <v>10055</v>
      </c>
      <c r="E2749" s="15">
        <v>2.6100000000000002E-2</v>
      </c>
      <c r="F2749" s="15">
        <v>6.93E-2</v>
      </c>
      <c r="G2749" s="15">
        <v>0.70630000000000004</v>
      </c>
      <c r="H2749" s="15">
        <v>6.3600000000000004E-2</v>
      </c>
      <c r="I2749" s="15">
        <v>1.7299999999999999E-2</v>
      </c>
      <c r="J2749" s="15">
        <v>4.81012658227848</v>
      </c>
    </row>
    <row r="2750" spans="1:10" x14ac:dyDescent="0.25">
      <c r="A2750" s="2" t="s">
        <v>7645</v>
      </c>
      <c r="B2750" s="2" t="s">
        <v>7007</v>
      </c>
      <c r="C2750" s="2" t="s">
        <v>7646</v>
      </c>
      <c r="D2750" s="2" t="s">
        <v>10055</v>
      </c>
      <c r="E2750" s="15">
        <v>-0.1045</v>
      </c>
      <c r="F2750" s="15">
        <v>0.1613</v>
      </c>
      <c r="G2750" s="15">
        <v>0.51700000000000002</v>
      </c>
      <c r="H2750" s="15">
        <v>1.21E-2</v>
      </c>
      <c r="I2750" s="15">
        <v>1.38E-2</v>
      </c>
      <c r="J2750" s="15">
        <v>1.4772727272727271</v>
      </c>
    </row>
    <row r="2751" spans="1:10" x14ac:dyDescent="0.25">
      <c r="A2751" s="2" t="s">
        <v>7647</v>
      </c>
      <c r="B2751" s="2" t="s">
        <v>7007</v>
      </c>
      <c r="C2751" s="2" t="s">
        <v>7648</v>
      </c>
      <c r="D2751" s="2" t="s">
        <v>10055</v>
      </c>
      <c r="E2751" s="15">
        <v>0.22700000000000001</v>
      </c>
      <c r="F2751" s="15">
        <v>0.1855</v>
      </c>
      <c r="G2751" s="15">
        <v>0.22109999999999999</v>
      </c>
      <c r="H2751" s="15">
        <v>1.66E-2</v>
      </c>
      <c r="I2751" s="15">
        <v>1.5599999999999999E-2</v>
      </c>
      <c r="J2751" s="15">
        <v>1.965034965034965</v>
      </c>
    </row>
    <row r="2752" spans="1:10" x14ac:dyDescent="0.25">
      <c r="A2752" s="2" t="s">
        <v>7649</v>
      </c>
      <c r="B2752" s="2" t="s">
        <v>7007</v>
      </c>
      <c r="C2752" s="2" t="s">
        <v>7650</v>
      </c>
      <c r="D2752" s="2" t="s">
        <v>10055</v>
      </c>
      <c r="E2752" s="15">
        <v>7.3599999999999999E-2</v>
      </c>
      <c r="F2752" s="15">
        <v>0.106</v>
      </c>
      <c r="G2752" s="15">
        <v>0.48770000000000002</v>
      </c>
      <c r="H2752" s="15">
        <v>3.0499999999999999E-2</v>
      </c>
      <c r="I2752" s="15">
        <v>1.4200000000000001E-2</v>
      </c>
      <c r="J2752" s="15">
        <v>2.1369863013698631</v>
      </c>
    </row>
    <row r="2753" spans="1:10" x14ac:dyDescent="0.25">
      <c r="A2753" s="2" t="s">
        <v>7651</v>
      </c>
      <c r="B2753" s="2" t="s">
        <v>7007</v>
      </c>
      <c r="C2753" s="2" t="s">
        <v>7652</v>
      </c>
      <c r="D2753" s="2" t="s">
        <v>10055</v>
      </c>
      <c r="E2753" s="15">
        <v>4.0000000000000002E-4</v>
      </c>
      <c r="F2753" s="15">
        <v>0.15240000000000001</v>
      </c>
      <c r="G2753" s="15">
        <v>0.99780000000000002</v>
      </c>
      <c r="H2753" s="15">
        <v>1.14E-2</v>
      </c>
      <c r="I2753" s="15">
        <v>1.4800000000000001E-2</v>
      </c>
      <c r="J2753" s="15">
        <v>1.47972972972973</v>
      </c>
    </row>
    <row r="2754" spans="1:10" x14ac:dyDescent="0.25">
      <c r="A2754" s="2" t="s">
        <v>7653</v>
      </c>
      <c r="B2754" s="2" t="s">
        <v>7007</v>
      </c>
      <c r="C2754" s="2" t="s">
        <v>7654</v>
      </c>
      <c r="D2754" s="2" t="s">
        <v>10055</v>
      </c>
      <c r="E2754" s="15">
        <v>-2.1700000000000001E-2</v>
      </c>
      <c r="F2754" s="15">
        <v>0.1076</v>
      </c>
      <c r="G2754" s="15">
        <v>0.84060000000000001</v>
      </c>
      <c r="H2754" s="15">
        <v>2.5700000000000001E-2</v>
      </c>
      <c r="I2754" s="15">
        <v>1.44E-2</v>
      </c>
      <c r="J2754" s="15">
        <v>2.1928571428571431</v>
      </c>
    </row>
    <row r="2755" spans="1:10" x14ac:dyDescent="0.25">
      <c r="A2755" s="2" t="s">
        <v>7655</v>
      </c>
      <c r="B2755" s="2" t="s">
        <v>7007</v>
      </c>
      <c r="C2755" s="2" t="s">
        <v>7656</v>
      </c>
      <c r="D2755" s="2" t="s">
        <v>10055</v>
      </c>
      <c r="E2755" s="15">
        <v>-6.7400000000000002E-2</v>
      </c>
      <c r="F2755" s="15">
        <v>8.3799999999999999E-2</v>
      </c>
      <c r="G2755" s="15">
        <v>0.42099999999999999</v>
      </c>
      <c r="H2755" s="15">
        <v>3.85E-2</v>
      </c>
      <c r="I2755" s="15">
        <v>1.66E-2</v>
      </c>
      <c r="J2755" s="15">
        <v>2.524096385542169</v>
      </c>
    </row>
    <row r="2756" spans="1:10" x14ac:dyDescent="0.25">
      <c r="A2756" s="2" t="s">
        <v>7657</v>
      </c>
      <c r="B2756" s="2" t="s">
        <v>7007</v>
      </c>
      <c r="C2756" s="2" t="s">
        <v>7658</v>
      </c>
      <c r="D2756" s="2" t="s">
        <v>10055</v>
      </c>
      <c r="E2756" s="15">
        <v>-1.8100000000000002E-2</v>
      </c>
      <c r="F2756" s="15">
        <v>0.1497</v>
      </c>
      <c r="G2756" s="15">
        <v>0.90369999999999995</v>
      </c>
      <c r="H2756" s="15">
        <v>1.2800000000000001E-2</v>
      </c>
      <c r="I2756" s="15">
        <v>1.4999999999999999E-2</v>
      </c>
      <c r="J2756" s="15">
        <v>1</v>
      </c>
    </row>
    <row r="2757" spans="1:10" x14ac:dyDescent="0.25">
      <c r="A2757" s="2" t="s">
        <v>7659</v>
      </c>
      <c r="B2757" s="2" t="s">
        <v>7007</v>
      </c>
      <c r="C2757" s="2" t="s">
        <v>7660</v>
      </c>
      <c r="D2757" s="2" t="s">
        <v>10055</v>
      </c>
      <c r="E2757" s="15">
        <v>-8.7900000000000006E-2</v>
      </c>
      <c r="F2757" s="15">
        <v>5.3900000000000003E-2</v>
      </c>
      <c r="G2757" s="15">
        <v>0.1028</v>
      </c>
      <c r="H2757" s="15">
        <v>9.4100000000000003E-2</v>
      </c>
      <c r="I2757" s="15">
        <v>1.5299999999999999E-2</v>
      </c>
      <c r="J2757" s="15">
        <v>6.8027210884353746</v>
      </c>
    </row>
    <row r="2758" spans="1:10" x14ac:dyDescent="0.25">
      <c r="A2758" s="2" t="s">
        <v>7661</v>
      </c>
      <c r="B2758" s="2" t="s">
        <v>7007</v>
      </c>
      <c r="C2758" s="2" t="s">
        <v>7662</v>
      </c>
      <c r="D2758" s="2" t="s">
        <v>10055</v>
      </c>
      <c r="E2758" s="15">
        <v>3.6600000000000001E-2</v>
      </c>
      <c r="F2758" s="15">
        <v>0.1096</v>
      </c>
      <c r="G2758" s="15">
        <v>0.73829999999999996</v>
      </c>
      <c r="H2758" s="15">
        <v>2.1299999999999999E-2</v>
      </c>
      <c r="I2758" s="15">
        <v>1.46E-2</v>
      </c>
      <c r="J2758" s="15">
        <v>1.5177304964539009</v>
      </c>
    </row>
    <row r="2759" spans="1:10" x14ac:dyDescent="0.25">
      <c r="A2759" s="2" t="s">
        <v>7663</v>
      </c>
      <c r="B2759" s="2" t="s">
        <v>7007</v>
      </c>
      <c r="C2759" s="2" t="s">
        <v>7664</v>
      </c>
      <c r="D2759" s="2" t="s">
        <v>10055</v>
      </c>
      <c r="E2759" s="15">
        <v>2.8999999999999998E-3</v>
      </c>
      <c r="F2759" s="15">
        <v>0.14030000000000001</v>
      </c>
      <c r="G2759" s="15">
        <v>0.98360000000000003</v>
      </c>
      <c r="H2759" s="15">
        <v>1.89E-2</v>
      </c>
      <c r="I2759" s="15">
        <v>1.46E-2</v>
      </c>
      <c r="J2759" s="15">
        <v>1.5106382978723401</v>
      </c>
    </row>
    <row r="2760" spans="1:10" x14ac:dyDescent="0.25">
      <c r="A2760" s="2" t="s">
        <v>7665</v>
      </c>
      <c r="B2760" s="2" t="s">
        <v>7007</v>
      </c>
      <c r="C2760" s="2" t="s">
        <v>7666</v>
      </c>
      <c r="D2760" s="2" t="s">
        <v>10055</v>
      </c>
      <c r="E2760" s="15">
        <v>9.5500000000000002E-2</v>
      </c>
      <c r="F2760" s="15">
        <v>7.9699999999999993E-2</v>
      </c>
      <c r="G2760" s="15">
        <v>0.23080000000000001</v>
      </c>
      <c r="H2760" s="15">
        <v>5.1900000000000002E-2</v>
      </c>
      <c r="I2760" s="15">
        <v>1.2699999999999999E-2</v>
      </c>
      <c r="J2760" s="15">
        <v>4.080645161290323</v>
      </c>
    </row>
    <row r="2761" spans="1:10" x14ac:dyDescent="0.25">
      <c r="A2761" s="2" t="s">
        <v>7667</v>
      </c>
      <c r="B2761" s="2" t="s">
        <v>7007</v>
      </c>
      <c r="C2761" s="2" t="s">
        <v>7668</v>
      </c>
      <c r="D2761" s="2" t="s">
        <v>10055</v>
      </c>
      <c r="E2761" s="15">
        <v>1.04E-2</v>
      </c>
      <c r="F2761" s="15">
        <v>0.10970000000000001</v>
      </c>
      <c r="G2761" s="15">
        <v>0.92459999999999998</v>
      </c>
      <c r="H2761" s="15">
        <v>2.64E-2</v>
      </c>
      <c r="I2761" s="15">
        <v>1.2800000000000001E-2</v>
      </c>
      <c r="J2761" s="15">
        <v>2.2362204724409449</v>
      </c>
    </row>
    <row r="2762" spans="1:10" x14ac:dyDescent="0.25">
      <c r="A2762" s="2" t="s">
        <v>7669</v>
      </c>
      <c r="B2762" s="2" t="s">
        <v>7007</v>
      </c>
      <c r="C2762" s="2" t="s">
        <v>7670</v>
      </c>
      <c r="D2762" s="2" t="s">
        <v>10055</v>
      </c>
      <c r="E2762" s="15">
        <v>0.1147</v>
      </c>
      <c r="F2762" s="15">
        <v>0.1343</v>
      </c>
      <c r="G2762" s="15">
        <v>0.39290000000000003</v>
      </c>
      <c r="H2762" s="15">
        <v>1.9900000000000001E-2</v>
      </c>
      <c r="I2762" s="15">
        <v>1.4200000000000001E-2</v>
      </c>
      <c r="J2762" s="15">
        <v>1.56934306569343</v>
      </c>
    </row>
    <row r="2763" spans="1:10" x14ac:dyDescent="0.25">
      <c r="A2763" s="2" t="s">
        <v>7671</v>
      </c>
      <c r="B2763" s="2" t="s">
        <v>7007</v>
      </c>
      <c r="C2763" s="2" t="s">
        <v>7672</v>
      </c>
      <c r="D2763" s="2" t="s">
        <v>10055</v>
      </c>
      <c r="E2763" s="15">
        <v>0.1661</v>
      </c>
      <c r="F2763" s="15">
        <v>0.1221</v>
      </c>
      <c r="G2763" s="15">
        <v>0.17369999999999999</v>
      </c>
      <c r="H2763" s="15">
        <v>2.58E-2</v>
      </c>
      <c r="I2763" s="15">
        <v>1.41E-2</v>
      </c>
      <c r="J2763" s="15">
        <v>1.5483870967741939</v>
      </c>
    </row>
    <row r="2764" spans="1:10" x14ac:dyDescent="0.25">
      <c r="A2764" s="2" t="s">
        <v>7673</v>
      </c>
      <c r="B2764" s="2" t="s">
        <v>7007</v>
      </c>
      <c r="C2764" s="2" t="s">
        <v>7674</v>
      </c>
      <c r="D2764" s="2" t="s">
        <v>10055</v>
      </c>
      <c r="E2764" s="15">
        <v>8.7999999999999995E-2</v>
      </c>
      <c r="F2764" s="15">
        <v>0.1017</v>
      </c>
      <c r="G2764" s="15">
        <v>0.38679999999999998</v>
      </c>
      <c r="H2764" s="15">
        <v>3.6799999999999999E-2</v>
      </c>
      <c r="I2764" s="15">
        <v>1.5900000000000001E-2</v>
      </c>
      <c r="J2764" s="15">
        <v>2.5657894736842111</v>
      </c>
    </row>
    <row r="2765" spans="1:10" x14ac:dyDescent="0.25">
      <c r="A2765" s="2" t="s">
        <v>7675</v>
      </c>
      <c r="B2765" s="2" t="s">
        <v>7007</v>
      </c>
      <c r="C2765" s="2" t="s">
        <v>7676</v>
      </c>
      <c r="D2765" s="2" t="s">
        <v>10055</v>
      </c>
      <c r="E2765" s="15">
        <v>-1.47E-2</v>
      </c>
      <c r="F2765" s="15">
        <v>8.2400000000000001E-2</v>
      </c>
      <c r="G2765" s="15">
        <v>0.85829999999999995</v>
      </c>
      <c r="H2765" s="15">
        <v>4.7100000000000003E-2</v>
      </c>
      <c r="I2765" s="15">
        <v>1.5299999999999999E-2</v>
      </c>
      <c r="J2765" s="15">
        <v>3.676056338028169</v>
      </c>
    </row>
    <row r="2766" spans="1:10" x14ac:dyDescent="0.25">
      <c r="A2766" s="2" t="s">
        <v>7677</v>
      </c>
      <c r="B2766" s="2" t="s">
        <v>7007</v>
      </c>
      <c r="C2766" s="2" t="s">
        <v>7678</v>
      </c>
      <c r="D2766" s="2" t="s">
        <v>10055</v>
      </c>
      <c r="E2766" s="15">
        <v>0.1341</v>
      </c>
      <c r="F2766" s="15">
        <v>6.4000000000000001E-2</v>
      </c>
      <c r="G2766" s="15">
        <v>3.6200000000000003E-2</v>
      </c>
      <c r="H2766" s="15">
        <v>8.1000000000000003E-2</v>
      </c>
      <c r="I2766" s="15">
        <v>1.5599999999999999E-2</v>
      </c>
      <c r="J2766" s="15">
        <v>5.1677018633540373</v>
      </c>
    </row>
    <row r="2767" spans="1:10" x14ac:dyDescent="0.25">
      <c r="A2767" s="2" t="s">
        <v>7679</v>
      </c>
      <c r="B2767" s="2" t="s">
        <v>7007</v>
      </c>
      <c r="C2767" s="2" t="s">
        <v>7680</v>
      </c>
      <c r="D2767" s="2" t="s">
        <v>10055</v>
      </c>
      <c r="E2767" s="15">
        <v>4.2000000000000003E-2</v>
      </c>
      <c r="F2767" s="15">
        <v>9.8900000000000002E-2</v>
      </c>
      <c r="G2767" s="15">
        <v>0.67110000000000003</v>
      </c>
      <c r="H2767" s="15">
        <v>2.8899999999999999E-2</v>
      </c>
      <c r="I2767" s="15">
        <v>1.4200000000000001E-2</v>
      </c>
      <c r="J2767" s="15">
        <v>2.085106382978724</v>
      </c>
    </row>
    <row r="2768" spans="1:10" x14ac:dyDescent="0.25">
      <c r="A2768" s="2" t="s">
        <v>7681</v>
      </c>
      <c r="B2768" s="2" t="s">
        <v>7007</v>
      </c>
      <c r="C2768" s="2" t="s">
        <v>7682</v>
      </c>
      <c r="D2768" s="2" t="s">
        <v>10055</v>
      </c>
      <c r="E2768" s="15">
        <v>-2.8E-3</v>
      </c>
      <c r="F2768" s="15">
        <v>7.7299999999999994E-2</v>
      </c>
      <c r="G2768" s="15">
        <v>0.97150000000000003</v>
      </c>
      <c r="H2768" s="15">
        <v>5.0200000000000002E-2</v>
      </c>
      <c r="I2768" s="15">
        <v>1.4999999999999999E-2</v>
      </c>
      <c r="J2768" s="15">
        <v>2.9</v>
      </c>
    </row>
    <row r="2769" spans="1:10" x14ac:dyDescent="0.25">
      <c r="A2769" s="2" t="s">
        <v>7683</v>
      </c>
      <c r="B2769" s="2" t="s">
        <v>7007</v>
      </c>
      <c r="C2769" s="2" t="s">
        <v>7684</v>
      </c>
      <c r="D2769" s="2" t="s">
        <v>10055</v>
      </c>
      <c r="E2769" s="15">
        <v>0.26029999999999998</v>
      </c>
      <c r="F2769" s="15">
        <v>0.53790000000000004</v>
      </c>
      <c r="G2769" s="15">
        <v>0.62839999999999996</v>
      </c>
      <c r="H2769" s="15">
        <v>5.0000000000000001E-3</v>
      </c>
      <c r="I2769" s="15">
        <v>1.4E-2</v>
      </c>
      <c r="J2769" s="15">
        <v>0.32307692307692309</v>
      </c>
    </row>
    <row r="2770" spans="1:10" x14ac:dyDescent="0.25">
      <c r="A2770" s="2" t="s">
        <v>7685</v>
      </c>
      <c r="B2770" s="2" t="s">
        <v>7007</v>
      </c>
      <c r="C2770" s="2" t="s">
        <v>7686</v>
      </c>
      <c r="D2770" s="2" t="s">
        <v>10055</v>
      </c>
      <c r="E2770" s="15">
        <v>5.4899999999999997E-2</v>
      </c>
      <c r="F2770" s="15">
        <v>0.11360000000000001</v>
      </c>
      <c r="G2770" s="15">
        <v>0.62870000000000004</v>
      </c>
      <c r="H2770" s="15">
        <v>2.7900000000000001E-2</v>
      </c>
      <c r="I2770" s="15">
        <v>1.37E-2</v>
      </c>
      <c r="J2770" s="15">
        <v>2.5441176470588229</v>
      </c>
    </row>
    <row r="2771" spans="1:10" x14ac:dyDescent="0.25">
      <c r="A2771" s="2" t="s">
        <v>7687</v>
      </c>
      <c r="B2771" s="2" t="s">
        <v>7007</v>
      </c>
      <c r="C2771" s="2" t="s">
        <v>7688</v>
      </c>
      <c r="D2771" s="2" t="s">
        <v>10055</v>
      </c>
      <c r="E2771" s="15">
        <v>1.8800000000000001E-2</v>
      </c>
      <c r="F2771" s="15">
        <v>0.1212</v>
      </c>
      <c r="G2771" s="15">
        <v>0.87670000000000003</v>
      </c>
      <c r="H2771" s="15">
        <v>1.83E-2</v>
      </c>
      <c r="I2771" s="15">
        <v>1.4999999999999999E-2</v>
      </c>
      <c r="J2771" s="15">
        <v>1.0571428571428569</v>
      </c>
    </row>
    <row r="2772" spans="1:10" x14ac:dyDescent="0.25">
      <c r="A2772" s="2" t="s">
        <v>7689</v>
      </c>
      <c r="B2772" s="2" t="s">
        <v>7007</v>
      </c>
      <c r="C2772" s="2" t="s">
        <v>7690</v>
      </c>
      <c r="D2772" s="2" t="s">
        <v>10055</v>
      </c>
      <c r="E2772" s="15">
        <v>-6.9800000000000001E-2</v>
      </c>
      <c r="F2772" s="15">
        <v>7.8799999999999995E-2</v>
      </c>
      <c r="G2772" s="15">
        <v>0.37580000000000002</v>
      </c>
      <c r="H2772" s="15">
        <v>5.1900000000000002E-2</v>
      </c>
      <c r="I2772" s="15">
        <v>1.6E-2</v>
      </c>
      <c r="J2772" s="15">
        <v>3.0828025477707008</v>
      </c>
    </row>
    <row r="2773" spans="1:10" x14ac:dyDescent="0.25">
      <c r="A2773" s="2" t="s">
        <v>7691</v>
      </c>
      <c r="B2773" s="2" t="s">
        <v>7007</v>
      </c>
      <c r="C2773" s="2" t="s">
        <v>7692</v>
      </c>
      <c r="D2773" s="2" t="s">
        <v>10055</v>
      </c>
      <c r="E2773" s="15">
        <v>-0.14449999999999999</v>
      </c>
      <c r="F2773" s="15">
        <v>7.9899999999999999E-2</v>
      </c>
      <c r="G2773" s="15">
        <v>7.0499999999999993E-2</v>
      </c>
      <c r="H2773" s="15">
        <v>5.3499999999999999E-2</v>
      </c>
      <c r="I2773" s="15">
        <v>1.4500000000000001E-2</v>
      </c>
      <c r="J2773" s="15">
        <v>4.2</v>
      </c>
    </row>
    <row r="2774" spans="1:10" x14ac:dyDescent="0.25">
      <c r="A2774" s="2" t="s">
        <v>7693</v>
      </c>
      <c r="B2774" s="2" t="s">
        <v>7007</v>
      </c>
      <c r="C2774" s="2" t="s">
        <v>7694</v>
      </c>
      <c r="D2774" s="2" t="s">
        <v>10055</v>
      </c>
      <c r="E2774" s="15">
        <v>7.7000000000000002E-3</v>
      </c>
      <c r="F2774" s="15">
        <v>0.1113</v>
      </c>
      <c r="G2774" s="15">
        <v>0.94489999999999996</v>
      </c>
      <c r="H2774" s="15">
        <v>2.2700000000000001E-2</v>
      </c>
      <c r="I2774" s="15">
        <v>1.44E-2</v>
      </c>
      <c r="J2774" s="15">
        <v>1.76056338028169</v>
      </c>
    </row>
    <row r="2775" spans="1:10" x14ac:dyDescent="0.25">
      <c r="A2775" s="2" t="s">
        <v>7695</v>
      </c>
      <c r="B2775" s="2" t="s">
        <v>7007</v>
      </c>
      <c r="C2775" s="2" t="s">
        <v>7696</v>
      </c>
      <c r="D2775" s="2" t="s">
        <v>10055</v>
      </c>
      <c r="E2775" s="15">
        <v>-6.4000000000000001E-2</v>
      </c>
      <c r="F2775" s="15">
        <v>6.8400000000000002E-2</v>
      </c>
      <c r="G2775" s="15">
        <v>0.35010000000000002</v>
      </c>
      <c r="H2775" s="15">
        <v>5.8299999999999998E-2</v>
      </c>
      <c r="I2775" s="15">
        <v>1.6199999999999999E-2</v>
      </c>
      <c r="J2775" s="15">
        <v>3.9741935483870972</v>
      </c>
    </row>
    <row r="2776" spans="1:10" x14ac:dyDescent="0.25">
      <c r="A2776" s="2" t="s">
        <v>7697</v>
      </c>
      <c r="B2776" s="2" t="s">
        <v>7007</v>
      </c>
      <c r="C2776" s="2" t="s">
        <v>7698</v>
      </c>
      <c r="D2776" s="2" t="s">
        <v>10055</v>
      </c>
      <c r="E2776" s="15">
        <v>0.13</v>
      </c>
      <c r="F2776" s="15">
        <v>0.10489999999999999</v>
      </c>
      <c r="G2776" s="15">
        <v>0.215</v>
      </c>
      <c r="H2776" s="15">
        <v>3.1899999999999998E-2</v>
      </c>
      <c r="I2776" s="15">
        <v>1.43E-2</v>
      </c>
      <c r="J2776" s="15">
        <v>2.429577464788732</v>
      </c>
    </row>
    <row r="2777" spans="1:10" x14ac:dyDescent="0.25">
      <c r="A2777" s="2" t="s">
        <v>7699</v>
      </c>
      <c r="B2777" s="2" t="s">
        <v>7007</v>
      </c>
      <c r="C2777" s="2" t="s">
        <v>7700</v>
      </c>
      <c r="D2777" s="2" t="s">
        <v>10055</v>
      </c>
      <c r="E2777" s="15">
        <v>6.0199999999999997E-2</v>
      </c>
      <c r="F2777" s="15">
        <v>7.6300000000000007E-2</v>
      </c>
      <c r="G2777" s="15">
        <v>0.43049999999999999</v>
      </c>
      <c r="H2777" s="15">
        <v>3.78E-2</v>
      </c>
      <c r="I2777" s="15">
        <v>1.5100000000000001E-2</v>
      </c>
      <c r="J2777" s="15">
        <v>2.5238095238095242</v>
      </c>
    </row>
    <row r="2778" spans="1:10" x14ac:dyDescent="0.25">
      <c r="A2778" s="2" t="s">
        <v>7701</v>
      </c>
      <c r="B2778" s="2" t="s">
        <v>7007</v>
      </c>
      <c r="C2778" s="2" t="s">
        <v>7702</v>
      </c>
      <c r="D2778" s="2" t="s">
        <v>10055</v>
      </c>
      <c r="E2778" s="15">
        <v>-9.9199999999999997E-2</v>
      </c>
      <c r="F2778" s="15">
        <v>0.112</v>
      </c>
      <c r="G2778" s="15">
        <v>0.37580000000000002</v>
      </c>
      <c r="H2778" s="15">
        <v>2.58E-2</v>
      </c>
      <c r="I2778" s="15">
        <v>1.3899999999999999E-2</v>
      </c>
      <c r="J2778" s="15">
        <v>1.544776119402985</v>
      </c>
    </row>
    <row r="2779" spans="1:10" x14ac:dyDescent="0.25">
      <c r="A2779" s="2" t="s">
        <v>7703</v>
      </c>
      <c r="B2779" s="2" t="s">
        <v>7007</v>
      </c>
      <c r="C2779" s="2" t="s">
        <v>7704</v>
      </c>
      <c r="D2779" s="2" t="s">
        <v>10055</v>
      </c>
      <c r="E2779" s="15">
        <v>9.8199999999999996E-2</v>
      </c>
      <c r="F2779" s="15">
        <v>8.9399999999999993E-2</v>
      </c>
      <c r="G2779" s="15">
        <v>0.27200000000000002</v>
      </c>
      <c r="H2779" s="15">
        <v>4.07E-2</v>
      </c>
      <c r="I2779" s="15">
        <v>1.43E-2</v>
      </c>
      <c r="J2779" s="15">
        <v>3.8721804511278202</v>
      </c>
    </row>
    <row r="2780" spans="1:10" x14ac:dyDescent="0.25">
      <c r="A2780" s="2" t="s">
        <v>7705</v>
      </c>
      <c r="B2780" s="2" t="s">
        <v>7007</v>
      </c>
      <c r="C2780" s="2" t="s">
        <v>7706</v>
      </c>
      <c r="D2780" s="2" t="s">
        <v>10055</v>
      </c>
      <c r="E2780" s="15">
        <v>5.8099999999999999E-2</v>
      </c>
      <c r="F2780" s="15">
        <v>0.1053</v>
      </c>
      <c r="G2780" s="15">
        <v>0.58160000000000001</v>
      </c>
      <c r="H2780" s="15">
        <v>2.81E-2</v>
      </c>
      <c r="I2780" s="15">
        <v>1.5100000000000001E-2</v>
      </c>
      <c r="J2780" s="15">
        <v>2.1180555555555549</v>
      </c>
    </row>
    <row r="2781" spans="1:10" x14ac:dyDescent="0.25">
      <c r="A2781" s="2" t="s">
        <v>7707</v>
      </c>
      <c r="B2781" s="2" t="s">
        <v>7007</v>
      </c>
      <c r="C2781" s="2" t="s">
        <v>7708</v>
      </c>
      <c r="D2781" s="2" t="s">
        <v>10055</v>
      </c>
      <c r="E2781" s="15">
        <v>-4.7199999999999999E-2</v>
      </c>
      <c r="F2781" s="15">
        <v>8.3900000000000002E-2</v>
      </c>
      <c r="G2781" s="15">
        <v>0.57389999999999997</v>
      </c>
      <c r="H2781" s="15">
        <v>0.04</v>
      </c>
      <c r="I2781" s="15">
        <v>1.52E-2</v>
      </c>
      <c r="J2781" s="15">
        <v>2.9109589041095889</v>
      </c>
    </row>
    <row r="2782" spans="1:10" x14ac:dyDescent="0.25">
      <c r="A2782" s="2" t="s">
        <v>7709</v>
      </c>
      <c r="B2782" s="2" t="s">
        <v>7007</v>
      </c>
      <c r="C2782" s="2" t="s">
        <v>7710</v>
      </c>
      <c r="D2782" s="2" t="s">
        <v>10055</v>
      </c>
      <c r="E2782" s="15">
        <v>0.23519999999999999</v>
      </c>
      <c r="F2782" s="15">
        <v>0.23</v>
      </c>
      <c r="G2782" s="15">
        <v>0.30630000000000002</v>
      </c>
      <c r="H2782" s="15">
        <v>9.1000000000000004E-3</v>
      </c>
      <c r="I2782" s="15">
        <v>1.32E-2</v>
      </c>
      <c r="J2782" s="15">
        <v>0.6742424242424242</v>
      </c>
    </row>
    <row r="2783" spans="1:10" x14ac:dyDescent="0.25">
      <c r="A2783" s="2" t="s">
        <v>7711</v>
      </c>
      <c r="B2783" s="2" t="s">
        <v>7007</v>
      </c>
      <c r="C2783" s="2" t="s">
        <v>7712</v>
      </c>
      <c r="D2783" s="2" t="s">
        <v>10055</v>
      </c>
      <c r="E2783" s="15">
        <v>-2.0400000000000001E-2</v>
      </c>
      <c r="F2783" s="15">
        <v>7.7399999999999997E-2</v>
      </c>
      <c r="G2783" s="15">
        <v>0.79249999999999998</v>
      </c>
      <c r="H2783" s="15">
        <v>4.7199999999999999E-2</v>
      </c>
      <c r="I2783" s="15">
        <v>1.6E-2</v>
      </c>
      <c r="J2783" s="15">
        <v>3.436241610738255</v>
      </c>
    </row>
    <row r="2784" spans="1:10" x14ac:dyDescent="0.25">
      <c r="A2784" s="2" t="s">
        <v>7713</v>
      </c>
      <c r="B2784" s="2" t="s">
        <v>7007</v>
      </c>
      <c r="C2784" s="2" t="s">
        <v>7714</v>
      </c>
      <c r="D2784" s="2" t="s">
        <v>10055</v>
      </c>
      <c r="E2784" s="15">
        <v>-0.26269999999999999</v>
      </c>
      <c r="F2784" s="15">
        <v>0.27829999999999999</v>
      </c>
      <c r="G2784" s="15">
        <v>0.34510000000000002</v>
      </c>
      <c r="H2784" s="15">
        <v>1.06E-2</v>
      </c>
      <c r="I2784" s="15">
        <v>1.3299999999999999E-2</v>
      </c>
      <c r="J2784" s="15">
        <v>0.82113821138211374</v>
      </c>
    </row>
    <row r="2785" spans="1:10" x14ac:dyDescent="0.25">
      <c r="A2785" s="2" t="s">
        <v>7715</v>
      </c>
      <c r="B2785" s="2" t="s">
        <v>7007</v>
      </c>
      <c r="C2785" s="2" t="s">
        <v>7716</v>
      </c>
      <c r="D2785" s="2" t="s">
        <v>10055</v>
      </c>
      <c r="E2785" s="15"/>
      <c r="F2785" s="15"/>
      <c r="G2785" s="15"/>
      <c r="H2785" s="15">
        <v>-2.8999999999999998E-3</v>
      </c>
      <c r="I2785" s="15">
        <v>1.2999999999999999E-2</v>
      </c>
      <c r="J2785" s="15">
        <v>1.5873015873015869E-2</v>
      </c>
    </row>
    <row r="2786" spans="1:10" x14ac:dyDescent="0.25">
      <c r="A2786" s="2" t="s">
        <v>7717</v>
      </c>
      <c r="B2786" s="2" t="s">
        <v>7007</v>
      </c>
      <c r="C2786" s="2" t="s">
        <v>7718</v>
      </c>
      <c r="D2786" s="2" t="s">
        <v>10055</v>
      </c>
      <c r="E2786" s="15">
        <v>7.0400000000000004E-2</v>
      </c>
      <c r="F2786" s="15">
        <v>0.10349999999999999</v>
      </c>
      <c r="G2786" s="15">
        <v>0.49609999999999999</v>
      </c>
      <c r="H2786" s="15">
        <v>3.4299999999999997E-2</v>
      </c>
      <c r="I2786" s="15">
        <v>1.7100000000000001E-2</v>
      </c>
      <c r="J2786" s="15">
        <v>2.8170731707317072</v>
      </c>
    </row>
    <row r="2787" spans="1:10" x14ac:dyDescent="0.25">
      <c r="A2787" s="2" t="s">
        <v>7719</v>
      </c>
      <c r="B2787" s="2" t="s">
        <v>7007</v>
      </c>
      <c r="C2787" s="2" t="s">
        <v>7720</v>
      </c>
      <c r="D2787" s="2" t="s">
        <v>10055</v>
      </c>
      <c r="E2787" s="15">
        <v>-0.2087</v>
      </c>
      <c r="F2787" s="15">
        <v>0.1477</v>
      </c>
      <c r="G2787" s="15">
        <v>0.1575</v>
      </c>
      <c r="H2787" s="15">
        <v>1.84E-2</v>
      </c>
      <c r="I2787" s="15">
        <v>1.5299999999999999E-2</v>
      </c>
      <c r="J2787" s="15">
        <v>1.2137931034482761</v>
      </c>
    </row>
    <row r="2788" spans="1:10" x14ac:dyDescent="0.25">
      <c r="A2788" s="2" t="s">
        <v>7721</v>
      </c>
      <c r="B2788" s="2" t="s">
        <v>7007</v>
      </c>
      <c r="C2788" s="2" t="s">
        <v>7722</v>
      </c>
      <c r="D2788" s="2" t="s">
        <v>10055</v>
      </c>
      <c r="E2788" s="15">
        <v>0.1116</v>
      </c>
      <c r="F2788" s="15">
        <v>7.8700000000000006E-2</v>
      </c>
      <c r="G2788" s="15">
        <v>0.15609999999999999</v>
      </c>
      <c r="H2788" s="15">
        <v>4.9399999999999999E-2</v>
      </c>
      <c r="I2788" s="15">
        <v>1.46E-2</v>
      </c>
      <c r="J2788" s="15">
        <v>3.8986486486486491</v>
      </c>
    </row>
    <row r="2789" spans="1:10" x14ac:dyDescent="0.25">
      <c r="A2789" s="2" t="s">
        <v>7723</v>
      </c>
      <c r="B2789" s="2" t="s">
        <v>7007</v>
      </c>
      <c r="C2789" s="2" t="s">
        <v>7724</v>
      </c>
      <c r="D2789" s="2" t="s">
        <v>10055</v>
      </c>
      <c r="E2789" s="15"/>
      <c r="F2789" s="15"/>
      <c r="G2789" s="15"/>
      <c r="H2789" s="15">
        <v>-9.9000000000000008E-3</v>
      </c>
      <c r="I2789" s="15">
        <v>1.2699999999999999E-2</v>
      </c>
      <c r="J2789" s="15">
        <v>-0.82500000000000007</v>
      </c>
    </row>
    <row r="2790" spans="1:10" x14ac:dyDescent="0.25">
      <c r="A2790" s="2" t="s">
        <v>7725</v>
      </c>
      <c r="B2790" s="2" t="s">
        <v>7007</v>
      </c>
      <c r="C2790" s="2" t="s">
        <v>7726</v>
      </c>
      <c r="D2790" s="2" t="s">
        <v>10055</v>
      </c>
      <c r="E2790" s="15">
        <v>7.2999999999999995E-2</v>
      </c>
      <c r="F2790" s="15">
        <v>6.5799999999999997E-2</v>
      </c>
      <c r="G2790" s="15">
        <v>0.26729999999999998</v>
      </c>
      <c r="H2790" s="15">
        <v>7.9299999999999995E-2</v>
      </c>
      <c r="I2790" s="15">
        <v>1.7899999999999999E-2</v>
      </c>
      <c r="J2790" s="15">
        <v>5.2514619883040936</v>
      </c>
    </row>
    <row r="2791" spans="1:10" x14ac:dyDescent="0.25">
      <c r="A2791" s="2" t="s">
        <v>7727</v>
      </c>
      <c r="B2791" s="2" t="s">
        <v>7007</v>
      </c>
      <c r="C2791" s="2" t="s">
        <v>7728</v>
      </c>
      <c r="D2791" s="2" t="s">
        <v>10055</v>
      </c>
      <c r="E2791" s="15">
        <v>-6.2300000000000001E-2</v>
      </c>
      <c r="F2791" s="15">
        <v>8.0600000000000005E-2</v>
      </c>
      <c r="G2791" s="15">
        <v>0.43980000000000002</v>
      </c>
      <c r="H2791" s="15">
        <v>4.3999999999999997E-2</v>
      </c>
      <c r="I2791" s="15">
        <v>1.61E-2</v>
      </c>
      <c r="J2791" s="15">
        <v>3.0769230769230771</v>
      </c>
    </row>
    <row r="2792" spans="1:10" x14ac:dyDescent="0.25">
      <c r="A2792" s="2" t="s">
        <v>7729</v>
      </c>
      <c r="B2792" s="2" t="s">
        <v>7007</v>
      </c>
      <c r="C2792" s="2" t="s">
        <v>7730</v>
      </c>
      <c r="D2792" s="2" t="s">
        <v>10055</v>
      </c>
      <c r="E2792" s="15">
        <v>-9.5200000000000007E-2</v>
      </c>
      <c r="F2792" s="15">
        <v>7.5700000000000003E-2</v>
      </c>
      <c r="G2792" s="15">
        <v>0.2084</v>
      </c>
      <c r="H2792" s="15">
        <v>5.1999999999999998E-2</v>
      </c>
      <c r="I2792" s="15">
        <v>1.46E-2</v>
      </c>
      <c r="J2792" s="15">
        <v>3.5902777777777781</v>
      </c>
    </row>
    <row r="2793" spans="1:10" x14ac:dyDescent="0.25">
      <c r="A2793" s="2" t="s">
        <v>7731</v>
      </c>
      <c r="B2793" s="2" t="s">
        <v>7007</v>
      </c>
      <c r="C2793" s="2" t="s">
        <v>7732</v>
      </c>
      <c r="D2793" s="2" t="s">
        <v>10055</v>
      </c>
      <c r="E2793" s="15">
        <v>-4.6800000000000001E-2</v>
      </c>
      <c r="F2793" s="15">
        <v>7.8200000000000006E-2</v>
      </c>
      <c r="G2793" s="15">
        <v>0.54920000000000002</v>
      </c>
      <c r="H2793" s="15">
        <v>5.1200000000000002E-2</v>
      </c>
      <c r="I2793" s="15">
        <v>1.5100000000000001E-2</v>
      </c>
      <c r="J2793" s="15">
        <v>4.1459854014598543</v>
      </c>
    </row>
    <row r="2794" spans="1:10" x14ac:dyDescent="0.25">
      <c r="A2794" s="2" t="s">
        <v>7733</v>
      </c>
      <c r="B2794" s="2" t="s">
        <v>7007</v>
      </c>
      <c r="C2794" s="2" t="s">
        <v>7734</v>
      </c>
      <c r="D2794" s="2" t="s">
        <v>10055</v>
      </c>
      <c r="E2794" s="15">
        <v>-0.11310000000000001</v>
      </c>
      <c r="F2794" s="15">
        <v>7.4399999999999994E-2</v>
      </c>
      <c r="G2794" s="15">
        <v>0.12859999999999999</v>
      </c>
      <c r="H2794" s="15">
        <v>7.9799999999999996E-2</v>
      </c>
      <c r="I2794" s="15">
        <v>1.5599999999999999E-2</v>
      </c>
      <c r="J2794" s="15">
        <v>5.2922077922077921</v>
      </c>
    </row>
    <row r="2795" spans="1:10" x14ac:dyDescent="0.25">
      <c r="A2795" s="2" t="s">
        <v>7735</v>
      </c>
      <c r="B2795" s="2" t="s">
        <v>7007</v>
      </c>
      <c r="C2795" s="2" t="s">
        <v>7736</v>
      </c>
      <c r="D2795" s="2" t="s">
        <v>10055</v>
      </c>
      <c r="E2795" s="15">
        <v>4.3900000000000002E-2</v>
      </c>
      <c r="F2795" s="15">
        <v>0.1036</v>
      </c>
      <c r="G2795" s="15">
        <v>0.67179999999999995</v>
      </c>
      <c r="H2795" s="15">
        <v>2.8199999999999999E-2</v>
      </c>
      <c r="I2795" s="15">
        <v>1.46E-2</v>
      </c>
      <c r="J2795" s="15">
        <v>1.915492957746479</v>
      </c>
    </row>
    <row r="2796" spans="1:10" x14ac:dyDescent="0.25">
      <c r="A2796" s="2" t="s">
        <v>7737</v>
      </c>
      <c r="B2796" s="2" t="s">
        <v>7007</v>
      </c>
      <c r="C2796" s="2" t="s">
        <v>7738</v>
      </c>
      <c r="D2796" s="2" t="s">
        <v>10055</v>
      </c>
      <c r="E2796" s="15">
        <v>7.8299999999999995E-2</v>
      </c>
      <c r="F2796" s="15">
        <v>0.17510000000000001</v>
      </c>
      <c r="G2796" s="15">
        <v>0.65500000000000003</v>
      </c>
      <c r="H2796" s="15">
        <v>1.14E-2</v>
      </c>
      <c r="I2796" s="15">
        <v>1.38E-2</v>
      </c>
      <c r="J2796" s="15">
        <v>0.67883211678832112</v>
      </c>
    </row>
    <row r="2797" spans="1:10" x14ac:dyDescent="0.25">
      <c r="A2797" s="2" t="s">
        <v>7739</v>
      </c>
      <c r="B2797" s="2" t="s">
        <v>7007</v>
      </c>
      <c r="C2797" s="2" t="s">
        <v>7740</v>
      </c>
      <c r="D2797" s="2" t="s">
        <v>10055</v>
      </c>
      <c r="E2797" s="15"/>
      <c r="F2797" s="15"/>
      <c r="G2797" s="15"/>
      <c r="H2797" s="15"/>
      <c r="I2797" s="15"/>
      <c r="J2797" s="15">
        <v>0.94444444444444442</v>
      </c>
    </row>
    <row r="2798" spans="1:10" x14ac:dyDescent="0.25">
      <c r="A2798" s="2" t="s">
        <v>7741</v>
      </c>
      <c r="B2798" s="2" t="s">
        <v>7007</v>
      </c>
      <c r="C2798" s="2" t="s">
        <v>7742</v>
      </c>
      <c r="D2798" s="2" t="s">
        <v>10055</v>
      </c>
      <c r="E2798" s="15">
        <v>-9.69E-2</v>
      </c>
      <c r="F2798" s="15">
        <v>8.5500000000000007E-2</v>
      </c>
      <c r="G2798" s="15">
        <v>0.2571</v>
      </c>
      <c r="H2798" s="15">
        <v>4.0500000000000001E-2</v>
      </c>
      <c r="I2798" s="15">
        <v>1.7100000000000001E-2</v>
      </c>
      <c r="J2798" s="15">
        <v>2.6687116564417179</v>
      </c>
    </row>
    <row r="2799" spans="1:10" x14ac:dyDescent="0.25">
      <c r="A2799" s="2" t="s">
        <v>7743</v>
      </c>
      <c r="B2799" s="2" t="s">
        <v>7007</v>
      </c>
      <c r="C2799" s="2" t="s">
        <v>7744</v>
      </c>
      <c r="D2799" s="2" t="s">
        <v>10055</v>
      </c>
      <c r="E2799" s="15">
        <v>7.8399999999999997E-2</v>
      </c>
      <c r="F2799" s="15">
        <v>0.13200000000000001</v>
      </c>
      <c r="G2799" s="15">
        <v>0.55289999999999995</v>
      </c>
      <c r="H2799" s="15">
        <v>2.2100000000000002E-2</v>
      </c>
      <c r="I2799" s="15">
        <v>1.29E-2</v>
      </c>
      <c r="J2799" s="15">
        <v>2.2992125984251972</v>
      </c>
    </row>
    <row r="2800" spans="1:10" x14ac:dyDescent="0.25">
      <c r="A2800" s="2" t="s">
        <v>7745</v>
      </c>
      <c r="B2800" s="2" t="s">
        <v>7007</v>
      </c>
      <c r="C2800" s="2" t="s">
        <v>7746</v>
      </c>
      <c r="D2800" s="2" t="s">
        <v>10055</v>
      </c>
      <c r="E2800" s="15">
        <v>1.23E-2</v>
      </c>
      <c r="F2800" s="15">
        <v>7.0699999999999999E-2</v>
      </c>
      <c r="G2800" s="15">
        <v>0.86140000000000005</v>
      </c>
      <c r="H2800" s="15">
        <v>5.5E-2</v>
      </c>
      <c r="I2800" s="15">
        <v>1.67E-2</v>
      </c>
      <c r="J2800" s="15">
        <v>3.5421686746987948</v>
      </c>
    </row>
    <row r="2801" spans="1:10" x14ac:dyDescent="0.25">
      <c r="A2801" s="2" t="s">
        <v>7747</v>
      </c>
      <c r="B2801" s="2" t="s">
        <v>7007</v>
      </c>
      <c r="C2801" s="2" t="s">
        <v>7748</v>
      </c>
      <c r="D2801" s="2" t="s">
        <v>10055</v>
      </c>
      <c r="E2801" s="15">
        <v>1.89E-2</v>
      </c>
      <c r="F2801" s="15">
        <v>0.1076</v>
      </c>
      <c r="G2801" s="15">
        <v>0.86060000000000003</v>
      </c>
      <c r="H2801" s="15">
        <v>2.64E-2</v>
      </c>
      <c r="I2801" s="15">
        <v>1.5699999999999999E-2</v>
      </c>
      <c r="J2801" s="15">
        <v>2.3288590604026851</v>
      </c>
    </row>
    <row r="2802" spans="1:10" x14ac:dyDescent="0.25">
      <c r="A2802" s="2" t="s">
        <v>7749</v>
      </c>
      <c r="B2802" s="2" t="s">
        <v>7007</v>
      </c>
      <c r="C2802" s="2" t="s">
        <v>7750</v>
      </c>
      <c r="D2802" s="2" t="s">
        <v>10055</v>
      </c>
      <c r="E2802" s="15">
        <v>1.6799999999999999E-2</v>
      </c>
      <c r="F2802" s="15">
        <v>5.3400000000000003E-2</v>
      </c>
      <c r="G2802" s="15">
        <v>0.75239999999999996</v>
      </c>
      <c r="H2802" s="15">
        <v>0.1226</v>
      </c>
      <c r="I2802" s="15">
        <v>1.7399999999999999E-2</v>
      </c>
      <c r="J2802" s="15">
        <v>7.5263157894736841</v>
      </c>
    </row>
    <row r="2803" spans="1:10" x14ac:dyDescent="0.25">
      <c r="A2803" s="2" t="s">
        <v>7751</v>
      </c>
      <c r="B2803" s="2" t="s">
        <v>7007</v>
      </c>
      <c r="C2803" s="2" t="s">
        <v>7752</v>
      </c>
      <c r="D2803" s="2" t="s">
        <v>10055</v>
      </c>
      <c r="E2803" s="15">
        <v>0.15479999999999999</v>
      </c>
      <c r="F2803" s="15">
        <v>8.0199999999999994E-2</v>
      </c>
      <c r="G2803" s="15">
        <v>5.3499999999999999E-2</v>
      </c>
      <c r="H2803" s="15">
        <v>5.21E-2</v>
      </c>
      <c r="I2803" s="15">
        <v>1.47E-2</v>
      </c>
      <c r="J2803" s="15">
        <v>3.3286713286713292</v>
      </c>
    </row>
    <row r="2804" spans="1:10" x14ac:dyDescent="0.25">
      <c r="A2804" s="2" t="s">
        <v>7753</v>
      </c>
      <c r="B2804" s="2" t="s">
        <v>7007</v>
      </c>
      <c r="C2804" s="2" t="s">
        <v>7754</v>
      </c>
      <c r="D2804" s="2" t="s">
        <v>10055</v>
      </c>
      <c r="E2804" s="15">
        <v>0.14080000000000001</v>
      </c>
      <c r="F2804" s="15">
        <v>9.0300000000000005E-2</v>
      </c>
      <c r="G2804" s="15">
        <v>0.1188</v>
      </c>
      <c r="H2804" s="15">
        <v>4.0899999999999999E-2</v>
      </c>
      <c r="I2804" s="15">
        <v>1.3599999999999999E-2</v>
      </c>
      <c r="J2804" s="15">
        <v>2.7625899280575541</v>
      </c>
    </row>
    <row r="2805" spans="1:10" x14ac:dyDescent="0.25">
      <c r="A2805" s="2" t="s">
        <v>7755</v>
      </c>
      <c r="B2805" s="2" t="s">
        <v>7007</v>
      </c>
      <c r="C2805" s="2" t="s">
        <v>7756</v>
      </c>
      <c r="D2805" s="2" t="s">
        <v>10055</v>
      </c>
      <c r="E2805" s="15">
        <v>-0.14760000000000001</v>
      </c>
      <c r="F2805" s="15">
        <v>9.9199999999999997E-2</v>
      </c>
      <c r="G2805" s="15">
        <v>0.1366</v>
      </c>
      <c r="H2805" s="15">
        <v>3.6299999999999999E-2</v>
      </c>
      <c r="I2805" s="15">
        <v>1.5299999999999999E-2</v>
      </c>
      <c r="J2805" s="15">
        <v>3.151079136690647</v>
      </c>
    </row>
    <row r="2806" spans="1:10" x14ac:dyDescent="0.25">
      <c r="A2806" s="2" t="s">
        <v>7757</v>
      </c>
      <c r="B2806" s="2" t="s">
        <v>7007</v>
      </c>
      <c r="C2806" s="2" t="s">
        <v>7758</v>
      </c>
      <c r="D2806" s="2" t="s">
        <v>10055</v>
      </c>
      <c r="E2806" s="15">
        <v>9.5999999999999992E-3</v>
      </c>
      <c r="F2806" s="15">
        <v>6.7500000000000004E-2</v>
      </c>
      <c r="G2806" s="15">
        <v>0.88660000000000005</v>
      </c>
      <c r="H2806" s="15">
        <v>7.2999999999999995E-2</v>
      </c>
      <c r="I2806" s="15">
        <v>1.5900000000000001E-2</v>
      </c>
      <c r="J2806" s="15">
        <v>4.9794520547945202</v>
      </c>
    </row>
    <row r="2807" spans="1:10" x14ac:dyDescent="0.25">
      <c r="A2807" s="2" t="s">
        <v>7759</v>
      </c>
      <c r="B2807" s="2" t="s">
        <v>7007</v>
      </c>
      <c r="C2807" s="2" t="s">
        <v>7760</v>
      </c>
      <c r="D2807" s="2" t="s">
        <v>10055</v>
      </c>
      <c r="E2807" s="15">
        <v>0.1123</v>
      </c>
      <c r="F2807" s="15">
        <v>9.9900000000000003E-2</v>
      </c>
      <c r="G2807" s="15">
        <v>0.2611</v>
      </c>
      <c r="H2807" s="15">
        <v>2.6599999999999999E-2</v>
      </c>
      <c r="I2807" s="15">
        <v>1.4E-2</v>
      </c>
      <c r="J2807" s="15">
        <v>2.481203007518797</v>
      </c>
    </row>
    <row r="2808" spans="1:10" x14ac:dyDescent="0.25">
      <c r="A2808" s="2" t="s">
        <v>7761</v>
      </c>
      <c r="B2808" s="2" t="s">
        <v>7007</v>
      </c>
      <c r="C2808" s="2" t="s">
        <v>7762</v>
      </c>
      <c r="D2808" s="2" t="s">
        <v>10055</v>
      </c>
      <c r="E2808" s="15">
        <v>0.1167</v>
      </c>
      <c r="F2808" s="15">
        <v>9.4200000000000006E-2</v>
      </c>
      <c r="G2808" s="15">
        <v>0.21540000000000001</v>
      </c>
      <c r="H2808" s="15">
        <v>4.2000000000000003E-2</v>
      </c>
      <c r="I2808" s="15">
        <v>1.7299999999999999E-2</v>
      </c>
      <c r="J2808" s="15">
        <v>2.518987341772152</v>
      </c>
    </row>
    <row r="2809" spans="1:10" x14ac:dyDescent="0.25">
      <c r="A2809" s="2" t="s">
        <v>7763</v>
      </c>
      <c r="B2809" s="2" t="s">
        <v>7007</v>
      </c>
      <c r="C2809" s="2" t="s">
        <v>7764</v>
      </c>
      <c r="D2809" s="2" t="s">
        <v>10055</v>
      </c>
      <c r="E2809" s="15">
        <v>-0.188</v>
      </c>
      <c r="F2809" s="15">
        <v>0.14710000000000001</v>
      </c>
      <c r="G2809" s="15">
        <v>0.20130000000000001</v>
      </c>
      <c r="H2809" s="15">
        <v>1.9699999999999999E-2</v>
      </c>
      <c r="I2809" s="15">
        <v>1.44E-2</v>
      </c>
      <c r="J2809" s="15">
        <v>1.3985507246376809</v>
      </c>
    </row>
    <row r="2810" spans="1:10" x14ac:dyDescent="0.25">
      <c r="A2810" s="2" t="s">
        <v>7765</v>
      </c>
      <c r="B2810" s="2" t="s">
        <v>7007</v>
      </c>
      <c r="C2810" s="2" t="s">
        <v>7766</v>
      </c>
      <c r="D2810" s="2" t="s">
        <v>10055</v>
      </c>
      <c r="E2810" s="15">
        <v>3.3099999999999997E-2</v>
      </c>
      <c r="F2810" s="15">
        <v>5.5500000000000001E-2</v>
      </c>
      <c r="G2810" s="15">
        <v>0.55179999999999996</v>
      </c>
      <c r="H2810" s="15">
        <v>0.1225</v>
      </c>
      <c r="I2810" s="15">
        <v>2.3300000000000001E-2</v>
      </c>
      <c r="J2810" s="15">
        <v>6.7886597938144337</v>
      </c>
    </row>
    <row r="2811" spans="1:10" x14ac:dyDescent="0.25">
      <c r="A2811" s="2" t="s">
        <v>7767</v>
      </c>
      <c r="B2811" s="2" t="s">
        <v>7007</v>
      </c>
      <c r="C2811" s="2" t="s">
        <v>7768</v>
      </c>
      <c r="D2811" s="2" t="s">
        <v>10055</v>
      </c>
      <c r="E2811" s="15">
        <v>-9.0399999999999994E-2</v>
      </c>
      <c r="F2811" s="15">
        <v>0.1095</v>
      </c>
      <c r="G2811" s="15">
        <v>0.40920000000000001</v>
      </c>
      <c r="H2811" s="15">
        <v>2.23E-2</v>
      </c>
      <c r="I2811" s="15">
        <v>1.3899999999999999E-2</v>
      </c>
      <c r="J2811" s="15">
        <v>1.842857142857143</v>
      </c>
    </row>
    <row r="2812" spans="1:10" x14ac:dyDescent="0.25">
      <c r="A2812" s="2" t="s">
        <v>7769</v>
      </c>
      <c r="B2812" s="2" t="s">
        <v>7007</v>
      </c>
      <c r="C2812" s="2" t="s">
        <v>7770</v>
      </c>
      <c r="D2812" s="2" t="s">
        <v>10055</v>
      </c>
      <c r="E2812" s="15">
        <v>-7.5499999999999998E-2</v>
      </c>
      <c r="F2812" s="15">
        <v>8.1100000000000005E-2</v>
      </c>
      <c r="G2812" s="15">
        <v>0.35199999999999998</v>
      </c>
      <c r="H2812" s="15">
        <v>4.7600000000000003E-2</v>
      </c>
      <c r="I2812" s="15">
        <v>1.9199999999999998E-2</v>
      </c>
      <c r="J2812" s="15">
        <v>2.8295454545454541</v>
      </c>
    </row>
    <row r="2813" spans="1:10" x14ac:dyDescent="0.25">
      <c r="A2813" s="2" t="s">
        <v>7771</v>
      </c>
      <c r="B2813" s="2" t="s">
        <v>7007</v>
      </c>
      <c r="C2813" s="2" t="s">
        <v>7772</v>
      </c>
      <c r="D2813" s="2" t="s">
        <v>10055</v>
      </c>
      <c r="E2813" s="15">
        <v>-9.7799999999999998E-2</v>
      </c>
      <c r="F2813" s="15">
        <v>5.7200000000000001E-2</v>
      </c>
      <c r="G2813" s="15">
        <v>8.7400000000000005E-2</v>
      </c>
      <c r="H2813" s="15">
        <v>0.11219999999999999</v>
      </c>
      <c r="I2813" s="15">
        <v>2.58E-2</v>
      </c>
      <c r="J2813" s="15">
        <v>5.6620370370370372</v>
      </c>
    </row>
    <row r="2814" spans="1:10" x14ac:dyDescent="0.25">
      <c r="A2814" s="2" t="s">
        <v>7773</v>
      </c>
      <c r="B2814" s="2" t="s">
        <v>7007</v>
      </c>
      <c r="C2814" s="2" t="s">
        <v>7774</v>
      </c>
      <c r="D2814" s="2" t="s">
        <v>10055</v>
      </c>
      <c r="E2814" s="15"/>
      <c r="F2814" s="15"/>
      <c r="G2814" s="15"/>
      <c r="H2814" s="15">
        <v>-1.95E-2</v>
      </c>
      <c r="I2814" s="15">
        <v>1.5699999999999999E-2</v>
      </c>
      <c r="J2814" s="15">
        <v>-1.369127516778524</v>
      </c>
    </row>
    <row r="2815" spans="1:10" x14ac:dyDescent="0.25">
      <c r="A2815" s="2" t="s">
        <v>7775</v>
      </c>
      <c r="B2815" s="2" t="s">
        <v>7007</v>
      </c>
      <c r="C2815" s="2" t="s">
        <v>7776</v>
      </c>
      <c r="D2815" s="2" t="s">
        <v>10055</v>
      </c>
      <c r="E2815" s="15">
        <v>-6.7299999999999999E-2</v>
      </c>
      <c r="F2815" s="15">
        <v>5.91E-2</v>
      </c>
      <c r="G2815" s="15">
        <v>0.25490000000000002</v>
      </c>
      <c r="H2815" s="15">
        <v>8.3299999999999999E-2</v>
      </c>
      <c r="I2815" s="15">
        <v>1.55E-2</v>
      </c>
      <c r="J2815" s="15">
        <v>5.6808510638297873</v>
      </c>
    </row>
    <row r="2816" spans="1:10" x14ac:dyDescent="0.25">
      <c r="A2816" s="2" t="s">
        <v>7777</v>
      </c>
      <c r="B2816" s="2" t="s">
        <v>7007</v>
      </c>
      <c r="C2816" s="2" t="s">
        <v>7778</v>
      </c>
      <c r="D2816" s="2" t="s">
        <v>10055</v>
      </c>
      <c r="E2816" s="15">
        <v>-6.7400000000000002E-2</v>
      </c>
      <c r="F2816" s="15">
        <v>0.1396</v>
      </c>
      <c r="G2816" s="15">
        <v>0.62919999999999998</v>
      </c>
      <c r="H2816" s="15">
        <v>1.7399999999999999E-2</v>
      </c>
      <c r="I2816" s="15">
        <v>1.26E-2</v>
      </c>
      <c r="J2816" s="15">
        <v>1.8125</v>
      </c>
    </row>
    <row r="2817" spans="1:10" x14ac:dyDescent="0.25">
      <c r="A2817" s="2" t="s">
        <v>7779</v>
      </c>
      <c r="B2817" s="2" t="s">
        <v>7007</v>
      </c>
      <c r="C2817" s="2" t="s">
        <v>7780</v>
      </c>
      <c r="D2817" s="2" t="s">
        <v>10055</v>
      </c>
      <c r="E2817" s="15">
        <v>-3.5299999999999998E-2</v>
      </c>
      <c r="F2817" s="15">
        <v>3.8800000000000001E-2</v>
      </c>
      <c r="G2817" s="15">
        <v>0.36359999999999998</v>
      </c>
      <c r="H2817" s="15">
        <v>0.20910000000000001</v>
      </c>
      <c r="I2817" s="15">
        <v>3.9800000000000002E-2</v>
      </c>
      <c r="J2817" s="15">
        <v>6.6148867313915858</v>
      </c>
    </row>
    <row r="2818" spans="1:10" x14ac:dyDescent="0.25">
      <c r="A2818" s="2" t="s">
        <v>7781</v>
      </c>
      <c r="B2818" s="2" t="s">
        <v>7007</v>
      </c>
      <c r="C2818" s="2" t="s">
        <v>7782</v>
      </c>
      <c r="D2818" s="2" t="s">
        <v>10055</v>
      </c>
      <c r="E2818" s="15">
        <v>-6.6E-3</v>
      </c>
      <c r="F2818" s="15">
        <v>6.13E-2</v>
      </c>
      <c r="G2818" s="15">
        <v>0.91369999999999996</v>
      </c>
      <c r="H2818" s="15">
        <v>8.3400000000000002E-2</v>
      </c>
      <c r="I2818" s="15">
        <v>1.54E-2</v>
      </c>
      <c r="J2818" s="15">
        <v>5.7124183006535958</v>
      </c>
    </row>
    <row r="2819" spans="1:10" x14ac:dyDescent="0.25">
      <c r="A2819" s="2" t="s">
        <v>7783</v>
      </c>
      <c r="B2819" s="2" t="s">
        <v>7007</v>
      </c>
      <c r="C2819" s="2" t="s">
        <v>7784</v>
      </c>
      <c r="D2819" s="2" t="s">
        <v>10055</v>
      </c>
      <c r="E2819" s="15">
        <v>-3.5700000000000003E-2</v>
      </c>
      <c r="F2819" s="15">
        <v>6.3100000000000003E-2</v>
      </c>
      <c r="G2819" s="15">
        <v>0.57150000000000001</v>
      </c>
      <c r="H2819" s="15">
        <v>9.5600000000000004E-2</v>
      </c>
      <c r="I2819" s="15">
        <v>1.7000000000000001E-2</v>
      </c>
      <c r="J2819" s="15">
        <v>6.0981595092024543</v>
      </c>
    </row>
    <row r="2820" spans="1:10" x14ac:dyDescent="0.25">
      <c r="A2820" s="2" t="s">
        <v>7785</v>
      </c>
      <c r="B2820" s="2" t="s">
        <v>7007</v>
      </c>
      <c r="C2820" s="2" t="s">
        <v>7786</v>
      </c>
      <c r="D2820" s="2" t="s">
        <v>10055</v>
      </c>
      <c r="E2820" s="15">
        <v>-5.2499999999999998E-2</v>
      </c>
      <c r="F2820" s="15">
        <v>5.6599999999999998E-2</v>
      </c>
      <c r="G2820" s="15">
        <v>0.35370000000000001</v>
      </c>
      <c r="H2820" s="15">
        <v>0.1043</v>
      </c>
      <c r="I2820" s="15">
        <v>1.77E-2</v>
      </c>
      <c r="J2820" s="15">
        <v>5.9470588235294111</v>
      </c>
    </row>
    <row r="2821" spans="1:10" x14ac:dyDescent="0.25">
      <c r="A2821" s="2" t="s">
        <v>7787</v>
      </c>
      <c r="B2821" s="2" t="s">
        <v>7007</v>
      </c>
      <c r="C2821" s="2" t="s">
        <v>7788</v>
      </c>
      <c r="D2821" s="2" t="s">
        <v>10055</v>
      </c>
      <c r="E2821" s="15">
        <v>-4.2000000000000003E-2</v>
      </c>
      <c r="F2821" s="15">
        <v>5.5100000000000003E-2</v>
      </c>
      <c r="G2821" s="15">
        <v>0.4461</v>
      </c>
      <c r="H2821" s="15">
        <v>0.12670000000000001</v>
      </c>
      <c r="I2821" s="15">
        <v>2.12E-2</v>
      </c>
      <c r="J2821" s="15">
        <v>6.8115183246073299</v>
      </c>
    </row>
    <row r="2822" spans="1:10" x14ac:dyDescent="0.25">
      <c r="A2822" s="2" t="s">
        <v>7789</v>
      </c>
      <c r="B2822" s="2" t="s">
        <v>7007</v>
      </c>
      <c r="C2822" s="2" t="s">
        <v>7790</v>
      </c>
      <c r="D2822" s="2" t="s">
        <v>10055</v>
      </c>
      <c r="E2822" s="15"/>
      <c r="F2822" s="15"/>
      <c r="G2822" s="15"/>
      <c r="H2822" s="15">
        <v>-2.5999999999999999E-3</v>
      </c>
      <c r="I2822" s="15">
        <v>1.4200000000000001E-2</v>
      </c>
      <c r="J2822" s="15">
        <v>-0.18796992481203009</v>
      </c>
    </row>
    <row r="2823" spans="1:10" x14ac:dyDescent="0.25">
      <c r="A2823" s="2" t="s">
        <v>7791</v>
      </c>
      <c r="B2823" s="2" t="s">
        <v>7007</v>
      </c>
      <c r="C2823" s="2" t="s">
        <v>7792</v>
      </c>
      <c r="D2823" s="2" t="s">
        <v>10055</v>
      </c>
      <c r="E2823" s="15">
        <v>4.41E-2</v>
      </c>
      <c r="F2823" s="15">
        <v>8.9800000000000005E-2</v>
      </c>
      <c r="G2823" s="15">
        <v>0.62380000000000002</v>
      </c>
      <c r="H2823" s="15">
        <v>3.73E-2</v>
      </c>
      <c r="I2823" s="15">
        <v>1.46E-2</v>
      </c>
      <c r="J2823" s="15">
        <v>2.9503546099290778</v>
      </c>
    </row>
    <row r="2824" spans="1:10" x14ac:dyDescent="0.25">
      <c r="A2824" s="2" t="s">
        <v>7793</v>
      </c>
      <c r="B2824" s="2" t="s">
        <v>7007</v>
      </c>
      <c r="C2824" s="2" t="s">
        <v>7794</v>
      </c>
      <c r="D2824" s="2" t="s">
        <v>10055</v>
      </c>
      <c r="E2824" s="15">
        <v>-4.3999999999999997E-2</v>
      </c>
      <c r="F2824" s="15">
        <v>0.13950000000000001</v>
      </c>
      <c r="G2824" s="15">
        <v>0.75270000000000004</v>
      </c>
      <c r="H2824" s="15">
        <v>1.41E-2</v>
      </c>
      <c r="I2824" s="15">
        <v>1.4E-2</v>
      </c>
      <c r="J2824" s="15">
        <v>0.8110236220472441</v>
      </c>
    </row>
    <row r="2825" spans="1:10" x14ac:dyDescent="0.25">
      <c r="A2825" s="2" t="s">
        <v>7795</v>
      </c>
      <c r="B2825" s="2" t="s">
        <v>7007</v>
      </c>
      <c r="C2825" s="2" t="s">
        <v>7796</v>
      </c>
      <c r="D2825" s="2" t="s">
        <v>10055</v>
      </c>
      <c r="E2825" s="15">
        <v>-9.5100000000000004E-2</v>
      </c>
      <c r="F2825" s="15">
        <v>0.1123</v>
      </c>
      <c r="G2825" s="15">
        <v>0.39700000000000002</v>
      </c>
      <c r="H2825" s="15">
        <v>2.53E-2</v>
      </c>
      <c r="I2825" s="15">
        <v>1.38E-2</v>
      </c>
      <c r="J2825" s="15">
        <v>2.0381679389312981</v>
      </c>
    </row>
    <row r="2826" spans="1:10" x14ac:dyDescent="0.25">
      <c r="A2826" s="2" t="s">
        <v>7797</v>
      </c>
      <c r="B2826" s="2" t="s">
        <v>7007</v>
      </c>
      <c r="C2826" s="2" t="s">
        <v>7798</v>
      </c>
      <c r="D2826" s="2" t="s">
        <v>10055</v>
      </c>
      <c r="E2826" s="15">
        <v>8.3699999999999997E-2</v>
      </c>
      <c r="F2826" s="15">
        <v>7.4899999999999994E-2</v>
      </c>
      <c r="G2826" s="15">
        <v>0.26419999999999999</v>
      </c>
      <c r="H2826" s="15">
        <v>5.8299999999999998E-2</v>
      </c>
      <c r="I2826" s="15">
        <v>1.7399999999999999E-2</v>
      </c>
      <c r="J2826" s="15">
        <v>3.6481481481481479</v>
      </c>
    </row>
    <row r="2827" spans="1:10" x14ac:dyDescent="0.25">
      <c r="A2827" s="2" t="s">
        <v>7799</v>
      </c>
      <c r="B2827" s="2" t="s">
        <v>7007</v>
      </c>
      <c r="C2827" s="2" t="s">
        <v>7800</v>
      </c>
      <c r="D2827" s="2" t="s">
        <v>10055</v>
      </c>
      <c r="E2827" s="15">
        <v>-4.9399999999999999E-2</v>
      </c>
      <c r="F2827" s="15">
        <v>6.4699999999999994E-2</v>
      </c>
      <c r="G2827" s="15">
        <v>0.4451</v>
      </c>
      <c r="H2827" s="15">
        <v>9.7600000000000006E-2</v>
      </c>
      <c r="I2827" s="15">
        <v>1.7100000000000001E-2</v>
      </c>
      <c r="J2827" s="15">
        <v>6.2662721893491131</v>
      </c>
    </row>
    <row r="2828" spans="1:10" x14ac:dyDescent="0.25">
      <c r="A2828" s="2" t="s">
        <v>7801</v>
      </c>
      <c r="B2828" s="2" t="s">
        <v>7007</v>
      </c>
      <c r="C2828" s="2" t="s">
        <v>7802</v>
      </c>
      <c r="D2828" s="2" t="s">
        <v>10055</v>
      </c>
      <c r="E2828" s="15">
        <v>1.21E-2</v>
      </c>
      <c r="F2828" s="15">
        <v>9.7299999999999998E-2</v>
      </c>
      <c r="G2828" s="15">
        <v>0.90129999999999999</v>
      </c>
      <c r="H2828" s="15">
        <v>3.27E-2</v>
      </c>
      <c r="I2828" s="15">
        <v>1.5599999999999999E-2</v>
      </c>
      <c r="J2828" s="15">
        <v>2.714285714285714</v>
      </c>
    </row>
    <row r="2829" spans="1:10" x14ac:dyDescent="0.25">
      <c r="A2829" s="2" t="s">
        <v>7803</v>
      </c>
      <c r="B2829" s="2" t="s">
        <v>7007</v>
      </c>
      <c r="C2829" s="2" t="s">
        <v>7804</v>
      </c>
      <c r="D2829" s="2" t="s">
        <v>10055</v>
      </c>
      <c r="E2829" s="15">
        <v>-0.11</v>
      </c>
      <c r="F2829" s="15">
        <v>5.04E-2</v>
      </c>
      <c r="G2829" s="15">
        <v>2.9000000000000001E-2</v>
      </c>
      <c r="H2829" s="15">
        <v>0.1326</v>
      </c>
      <c r="I2829" s="15">
        <v>2.23E-2</v>
      </c>
      <c r="J2829" s="15">
        <v>7.195876288659794</v>
      </c>
    </row>
    <row r="2830" spans="1:10" x14ac:dyDescent="0.25">
      <c r="A2830" s="2" t="s">
        <v>7805</v>
      </c>
      <c r="B2830" s="2" t="s">
        <v>7007</v>
      </c>
      <c r="C2830" s="2" t="s">
        <v>7806</v>
      </c>
      <c r="D2830" s="2" t="s">
        <v>10055</v>
      </c>
      <c r="E2830" s="15">
        <v>-7.0699999999999999E-2</v>
      </c>
      <c r="F2830" s="15">
        <v>0.1368</v>
      </c>
      <c r="G2830" s="15">
        <v>0.60519999999999996</v>
      </c>
      <c r="H2830" s="15">
        <v>1.7600000000000001E-2</v>
      </c>
      <c r="I2830" s="15">
        <v>1.5800000000000002E-2</v>
      </c>
      <c r="J2830" s="15">
        <v>1.2236842105263159</v>
      </c>
    </row>
    <row r="2831" spans="1:10" x14ac:dyDescent="0.25">
      <c r="A2831" s="2" t="s">
        <v>7807</v>
      </c>
      <c r="B2831" s="2" t="s">
        <v>7007</v>
      </c>
      <c r="C2831" s="2" t="s">
        <v>7808</v>
      </c>
      <c r="D2831" s="2" t="s">
        <v>10055</v>
      </c>
      <c r="E2831" s="15">
        <v>0.1134</v>
      </c>
      <c r="F2831" s="15">
        <v>9.2899999999999996E-2</v>
      </c>
      <c r="G2831" s="15">
        <v>0.22220000000000001</v>
      </c>
      <c r="H2831" s="15">
        <v>3.1899999999999998E-2</v>
      </c>
      <c r="I2831" s="15">
        <v>1.5599999999999999E-2</v>
      </c>
      <c r="J2831" s="15">
        <v>2.1920529801324502</v>
      </c>
    </row>
    <row r="2832" spans="1:10" x14ac:dyDescent="0.25">
      <c r="A2832" s="2" t="s">
        <v>7809</v>
      </c>
      <c r="B2832" s="2" t="s">
        <v>7007</v>
      </c>
      <c r="C2832" s="2" t="s">
        <v>7810</v>
      </c>
      <c r="D2832" s="2" t="s">
        <v>10055</v>
      </c>
      <c r="E2832" s="15">
        <v>-3.1899999999999998E-2</v>
      </c>
      <c r="F2832" s="15">
        <v>5.7500000000000002E-2</v>
      </c>
      <c r="G2832" s="15">
        <v>0.57909999999999995</v>
      </c>
      <c r="H2832" s="15">
        <v>8.6999999999999994E-2</v>
      </c>
      <c r="I2832" s="15">
        <v>1.67E-2</v>
      </c>
      <c r="J2832" s="15">
        <v>4.8461538461538467</v>
      </c>
    </row>
    <row r="2833" spans="1:10" x14ac:dyDescent="0.25">
      <c r="A2833" s="2" t="s">
        <v>7811</v>
      </c>
      <c r="B2833" s="2" t="s">
        <v>7007</v>
      </c>
      <c r="C2833" s="2" t="s">
        <v>7812</v>
      </c>
      <c r="D2833" s="2" t="s">
        <v>10055</v>
      </c>
      <c r="E2833" s="15">
        <v>-1.38E-2</v>
      </c>
      <c r="F2833" s="15">
        <v>5.33E-2</v>
      </c>
      <c r="G2833" s="15">
        <v>0.79579999999999995</v>
      </c>
      <c r="H2833" s="15">
        <v>0.1313</v>
      </c>
      <c r="I2833" s="15">
        <v>1.8200000000000001E-2</v>
      </c>
      <c r="J2833" s="15">
        <v>7.8000000000000007</v>
      </c>
    </row>
    <row r="2834" spans="1:10" x14ac:dyDescent="0.25">
      <c r="A2834" s="2" t="s">
        <v>7813</v>
      </c>
      <c r="B2834" s="2" t="s">
        <v>7007</v>
      </c>
      <c r="C2834" s="2" t="s">
        <v>7814</v>
      </c>
      <c r="D2834" s="2" t="s">
        <v>10055</v>
      </c>
      <c r="E2834" s="15">
        <v>-3.9899999999999998E-2</v>
      </c>
      <c r="F2834" s="15">
        <v>6.08E-2</v>
      </c>
      <c r="G2834" s="15">
        <v>0.51090000000000002</v>
      </c>
      <c r="H2834" s="15">
        <v>8.6999999999999994E-2</v>
      </c>
      <c r="I2834" s="15">
        <v>1.8599999999999998E-2</v>
      </c>
      <c r="J2834" s="15">
        <v>4.9226519337016574</v>
      </c>
    </row>
    <row r="2835" spans="1:10" x14ac:dyDescent="0.25">
      <c r="A2835" s="2" t="s">
        <v>7815</v>
      </c>
      <c r="B2835" s="2" t="s">
        <v>7007</v>
      </c>
      <c r="C2835" s="2" t="s">
        <v>7816</v>
      </c>
      <c r="D2835" s="2" t="s">
        <v>10055</v>
      </c>
      <c r="E2835" s="15">
        <v>3.9699999999999999E-2</v>
      </c>
      <c r="F2835" s="15">
        <v>6.5000000000000002E-2</v>
      </c>
      <c r="G2835" s="15">
        <v>0.54139999999999999</v>
      </c>
      <c r="H2835" s="15">
        <v>8.09E-2</v>
      </c>
      <c r="I2835" s="15">
        <v>1.8100000000000002E-2</v>
      </c>
      <c r="J2835" s="15">
        <v>4.7529411764705873</v>
      </c>
    </row>
    <row r="2836" spans="1:10" x14ac:dyDescent="0.25">
      <c r="A2836" s="2" t="s">
        <v>7817</v>
      </c>
      <c r="B2836" s="2" t="s">
        <v>7007</v>
      </c>
      <c r="C2836" s="2" t="s">
        <v>7818</v>
      </c>
      <c r="D2836" s="2" t="s">
        <v>10055</v>
      </c>
      <c r="E2836" s="15">
        <v>-0.1181</v>
      </c>
      <c r="F2836" s="15">
        <v>6.2199999999999998E-2</v>
      </c>
      <c r="G2836" s="15">
        <v>5.74E-2</v>
      </c>
      <c r="H2836" s="15">
        <v>8.1000000000000003E-2</v>
      </c>
      <c r="I2836" s="15">
        <v>1.5599999999999999E-2</v>
      </c>
      <c r="J2836" s="15">
        <v>5.0625</v>
      </c>
    </row>
    <row r="2837" spans="1:10" x14ac:dyDescent="0.25">
      <c r="A2837" s="2" t="s">
        <v>7819</v>
      </c>
      <c r="B2837" s="2" t="s">
        <v>7007</v>
      </c>
      <c r="C2837" s="2" t="s">
        <v>7820</v>
      </c>
      <c r="D2837" s="2" t="s">
        <v>10055</v>
      </c>
      <c r="E2837" s="15">
        <v>-5.7299999999999997E-2</v>
      </c>
      <c r="F2837" s="15">
        <v>0.10539999999999999</v>
      </c>
      <c r="G2837" s="15">
        <v>0.58689999999999998</v>
      </c>
      <c r="H2837" s="15">
        <v>3.04E-2</v>
      </c>
      <c r="I2837" s="15">
        <v>1.44E-2</v>
      </c>
      <c r="J2837" s="15">
        <v>1.985714285714286</v>
      </c>
    </row>
    <row r="2838" spans="1:10" x14ac:dyDescent="0.25">
      <c r="A2838" s="2" t="s">
        <v>7821</v>
      </c>
      <c r="B2838" s="2" t="s">
        <v>7007</v>
      </c>
      <c r="C2838" s="2" t="s">
        <v>7822</v>
      </c>
      <c r="D2838" s="2" t="s">
        <v>10055</v>
      </c>
      <c r="E2838" s="15">
        <v>8.3799999999999999E-2</v>
      </c>
      <c r="F2838" s="15">
        <v>7.7299999999999994E-2</v>
      </c>
      <c r="G2838" s="15">
        <v>0.2782</v>
      </c>
      <c r="H2838" s="15">
        <v>5.3999999999999999E-2</v>
      </c>
      <c r="I2838" s="15">
        <v>1.6E-2</v>
      </c>
      <c r="J2838" s="15">
        <v>3.7628205128205132</v>
      </c>
    </row>
    <row r="2839" spans="1:10" x14ac:dyDescent="0.25">
      <c r="A2839" s="2" t="s">
        <v>7823</v>
      </c>
      <c r="B2839" s="2" t="s">
        <v>7007</v>
      </c>
      <c r="C2839" s="2" t="s">
        <v>7824</v>
      </c>
      <c r="D2839" s="2" t="s">
        <v>10055</v>
      </c>
      <c r="E2839" s="15">
        <v>-0.38579999999999998</v>
      </c>
      <c r="F2839" s="15">
        <v>0.49280000000000002</v>
      </c>
      <c r="G2839" s="15">
        <v>0.43380000000000002</v>
      </c>
      <c r="H2839" s="15">
        <v>6.0000000000000001E-3</v>
      </c>
      <c r="I2839" s="15">
        <v>1.26E-2</v>
      </c>
      <c r="J2839" s="15">
        <v>0.66386554621848737</v>
      </c>
    </row>
    <row r="2840" spans="1:10" x14ac:dyDescent="0.25">
      <c r="A2840" s="2" t="s">
        <v>7825</v>
      </c>
      <c r="B2840" s="2" t="s">
        <v>7007</v>
      </c>
      <c r="C2840" s="2" t="s">
        <v>7826</v>
      </c>
      <c r="D2840" s="2" t="s">
        <v>10055</v>
      </c>
      <c r="E2840" s="15">
        <v>1.83E-2</v>
      </c>
      <c r="F2840" s="15">
        <v>9.6699999999999994E-2</v>
      </c>
      <c r="G2840" s="15">
        <v>0.85019999999999996</v>
      </c>
      <c r="H2840" s="15">
        <v>2.47E-2</v>
      </c>
      <c r="I2840" s="15">
        <v>1.46E-2</v>
      </c>
      <c r="J2840" s="15">
        <v>1.8827586206896549</v>
      </c>
    </row>
    <row r="2841" spans="1:10" x14ac:dyDescent="0.25">
      <c r="A2841" s="2" t="s">
        <v>7827</v>
      </c>
      <c r="B2841" s="2" t="s">
        <v>7007</v>
      </c>
      <c r="C2841" s="2" t="s">
        <v>7828</v>
      </c>
      <c r="D2841" s="2" t="s">
        <v>10055</v>
      </c>
      <c r="E2841" s="15">
        <v>0.112</v>
      </c>
      <c r="F2841" s="15">
        <v>0.24260000000000001</v>
      </c>
      <c r="G2841" s="15">
        <v>0.64439999999999997</v>
      </c>
      <c r="H2841" s="15">
        <v>6.7000000000000002E-3</v>
      </c>
      <c r="I2841" s="15">
        <v>1.46E-2</v>
      </c>
      <c r="J2841" s="15">
        <v>0.57638888888888895</v>
      </c>
    </row>
    <row r="2842" spans="1:10" x14ac:dyDescent="0.25">
      <c r="A2842" s="2" t="s">
        <v>7829</v>
      </c>
      <c r="B2842" s="2" t="s">
        <v>7007</v>
      </c>
      <c r="C2842" s="2" t="s">
        <v>7830</v>
      </c>
      <c r="D2842" s="2" t="s">
        <v>10055</v>
      </c>
      <c r="E2842" s="15">
        <v>-2.1000000000000001E-2</v>
      </c>
      <c r="F2842" s="15">
        <v>7.6499999999999999E-2</v>
      </c>
      <c r="G2842" s="15">
        <v>0.78320000000000001</v>
      </c>
      <c r="H2842" s="15">
        <v>4.8500000000000001E-2</v>
      </c>
      <c r="I2842" s="15">
        <v>1.5100000000000001E-2</v>
      </c>
      <c r="J2842" s="15">
        <v>3.2671232876712328</v>
      </c>
    </row>
    <row r="2843" spans="1:10" x14ac:dyDescent="0.25">
      <c r="A2843" s="2" t="s">
        <v>7831</v>
      </c>
      <c r="B2843" s="2" t="s">
        <v>7007</v>
      </c>
      <c r="C2843" s="2" t="s">
        <v>7832</v>
      </c>
      <c r="D2843" s="2" t="s">
        <v>10055</v>
      </c>
      <c r="E2843" s="15">
        <v>3.2199999999999999E-2</v>
      </c>
      <c r="F2843" s="15">
        <v>0.13109999999999999</v>
      </c>
      <c r="G2843" s="15">
        <v>0.80579999999999996</v>
      </c>
      <c r="H2843" s="15">
        <v>1.32E-2</v>
      </c>
      <c r="I2843" s="15">
        <v>1.34E-2</v>
      </c>
      <c r="J2843" s="15">
        <v>1.5522388059701491</v>
      </c>
    </row>
    <row r="2844" spans="1:10" x14ac:dyDescent="0.25">
      <c r="A2844" s="2" t="s">
        <v>7833</v>
      </c>
      <c r="B2844" s="2" t="s">
        <v>7007</v>
      </c>
      <c r="C2844" s="2" t="s">
        <v>7834</v>
      </c>
      <c r="D2844" s="2" t="s">
        <v>10055</v>
      </c>
      <c r="E2844" s="15">
        <v>0.1158</v>
      </c>
      <c r="F2844" s="15">
        <v>0.1411</v>
      </c>
      <c r="G2844" s="15">
        <v>0.4118</v>
      </c>
      <c r="H2844" s="15">
        <v>1.6199999999999999E-2</v>
      </c>
      <c r="I2844" s="15">
        <v>1.4E-2</v>
      </c>
      <c r="J2844" s="15">
        <v>1.9850746268656709</v>
      </c>
    </row>
    <row r="2845" spans="1:10" x14ac:dyDescent="0.25">
      <c r="A2845" s="2" t="s">
        <v>7835</v>
      </c>
      <c r="B2845" s="2" t="s">
        <v>7007</v>
      </c>
      <c r="C2845" s="2" t="s">
        <v>7836</v>
      </c>
      <c r="D2845" s="2" t="s">
        <v>10055</v>
      </c>
      <c r="E2845" s="15">
        <v>-0.23849999999999999</v>
      </c>
      <c r="F2845" s="15">
        <v>0.24249999999999999</v>
      </c>
      <c r="G2845" s="15">
        <v>0.32529999999999998</v>
      </c>
      <c r="H2845" s="15">
        <v>9.7000000000000003E-3</v>
      </c>
      <c r="I2845" s="15">
        <v>1.52E-2</v>
      </c>
      <c r="J2845" s="15">
        <v>0.82000000000000006</v>
      </c>
    </row>
    <row r="2846" spans="1:10" x14ac:dyDescent="0.25">
      <c r="A2846" s="2" t="s">
        <v>7837</v>
      </c>
      <c r="B2846" s="2" t="s">
        <v>7007</v>
      </c>
      <c r="C2846" s="2" t="s">
        <v>7838</v>
      </c>
      <c r="D2846" s="2" t="s">
        <v>10055</v>
      </c>
      <c r="E2846" s="15">
        <v>6.7000000000000002E-3</v>
      </c>
      <c r="F2846" s="15">
        <v>0.11119999999999999</v>
      </c>
      <c r="G2846" s="15">
        <v>0.95179999999999998</v>
      </c>
      <c r="H2846" s="15">
        <v>2.9600000000000001E-2</v>
      </c>
      <c r="I2846" s="15">
        <v>1.46E-2</v>
      </c>
      <c r="J2846" s="15">
        <v>1.908450704225352</v>
      </c>
    </row>
    <row r="2847" spans="1:10" x14ac:dyDescent="0.25">
      <c r="A2847" s="2" t="s">
        <v>7839</v>
      </c>
      <c r="B2847" s="2" t="s">
        <v>7007</v>
      </c>
      <c r="C2847" s="2" t="s">
        <v>7840</v>
      </c>
      <c r="D2847" s="2" t="s">
        <v>10055</v>
      </c>
      <c r="E2847" s="15">
        <v>6.25E-2</v>
      </c>
      <c r="F2847" s="15">
        <v>0.1174</v>
      </c>
      <c r="G2847" s="15">
        <v>0.59440000000000004</v>
      </c>
      <c r="H2847" s="15">
        <v>2.4799999999999999E-2</v>
      </c>
      <c r="I2847" s="15">
        <v>1.6400000000000001E-2</v>
      </c>
      <c r="J2847" s="15">
        <v>1.363636363636364</v>
      </c>
    </row>
    <row r="2848" spans="1:10" x14ac:dyDescent="0.25">
      <c r="A2848" s="2" t="s">
        <v>7841</v>
      </c>
      <c r="B2848" s="2" t="s">
        <v>7007</v>
      </c>
      <c r="C2848" s="2" t="s">
        <v>7842</v>
      </c>
      <c r="D2848" s="2" t="s">
        <v>10055</v>
      </c>
      <c r="E2848" s="15"/>
      <c r="F2848" s="15"/>
      <c r="G2848" s="15"/>
      <c r="H2848" s="15"/>
      <c r="I2848" s="15"/>
      <c r="J2848" s="15">
        <v>-0.4206896551724138</v>
      </c>
    </row>
    <row r="2849" spans="1:10" x14ac:dyDescent="0.25">
      <c r="A2849" s="2" t="s">
        <v>7843</v>
      </c>
      <c r="B2849" s="2" t="s">
        <v>7007</v>
      </c>
      <c r="C2849" s="2" t="s">
        <v>7844</v>
      </c>
      <c r="D2849" s="2" t="s">
        <v>10055</v>
      </c>
      <c r="E2849" s="15"/>
      <c r="F2849" s="15"/>
      <c r="G2849" s="15"/>
      <c r="H2849" s="15">
        <v>-7.4999999999999997E-3</v>
      </c>
      <c r="I2849" s="15">
        <v>1.2999999999999999E-2</v>
      </c>
      <c r="J2849" s="15">
        <v>-0.23015873015873009</v>
      </c>
    </row>
    <row r="2850" spans="1:10" x14ac:dyDescent="0.25">
      <c r="A2850" s="2" t="s">
        <v>7845</v>
      </c>
      <c r="B2850" s="2" t="s">
        <v>7007</v>
      </c>
      <c r="C2850" s="2" t="s">
        <v>7846</v>
      </c>
      <c r="D2850" s="2" t="s">
        <v>10055</v>
      </c>
      <c r="E2850" s="15"/>
      <c r="F2850" s="15"/>
      <c r="G2850" s="15"/>
      <c r="H2850" s="15">
        <v>-8.0000000000000004E-4</v>
      </c>
      <c r="I2850" s="15">
        <v>1.5100000000000001E-2</v>
      </c>
      <c r="J2850" s="15">
        <v>-0.21323529411764711</v>
      </c>
    </row>
    <row r="2851" spans="1:10" x14ac:dyDescent="0.25">
      <c r="A2851" s="2" t="s">
        <v>7847</v>
      </c>
      <c r="B2851" s="2" t="s">
        <v>7007</v>
      </c>
      <c r="C2851" s="2" t="s">
        <v>7848</v>
      </c>
      <c r="D2851" s="2" t="s">
        <v>10055</v>
      </c>
      <c r="E2851" s="15">
        <v>3.5799999999999998E-2</v>
      </c>
      <c r="F2851" s="15">
        <v>0.1061</v>
      </c>
      <c r="G2851" s="15">
        <v>0.73580000000000001</v>
      </c>
      <c r="H2851" s="15">
        <v>3.3599999999999998E-2</v>
      </c>
      <c r="I2851" s="15">
        <v>1.37E-2</v>
      </c>
      <c r="J2851" s="15">
        <v>2.7058823529411771</v>
      </c>
    </row>
    <row r="2852" spans="1:10" x14ac:dyDescent="0.25">
      <c r="A2852" s="2" t="s">
        <v>7849</v>
      </c>
      <c r="B2852" s="2" t="s">
        <v>7007</v>
      </c>
      <c r="C2852" s="2" t="s">
        <v>7850</v>
      </c>
      <c r="D2852" s="2" t="s">
        <v>10055</v>
      </c>
      <c r="E2852" s="15">
        <v>0.27410000000000001</v>
      </c>
      <c r="F2852" s="15">
        <v>0.49980000000000002</v>
      </c>
      <c r="G2852" s="15">
        <v>0.58340000000000003</v>
      </c>
      <c r="H2852" s="15">
        <v>4.7999999999999996E-3</v>
      </c>
      <c r="I2852" s="15">
        <v>1.26E-2</v>
      </c>
      <c r="J2852" s="15">
        <v>-0.1102362204724409</v>
      </c>
    </row>
    <row r="2853" spans="1:10" x14ac:dyDescent="0.25">
      <c r="A2853" s="2" t="s">
        <v>7851</v>
      </c>
      <c r="B2853" s="2" t="s">
        <v>7007</v>
      </c>
      <c r="C2853" s="2" t="s">
        <v>7852</v>
      </c>
      <c r="D2853" s="2" t="s">
        <v>10055</v>
      </c>
      <c r="E2853" s="15"/>
      <c r="F2853" s="15"/>
      <c r="G2853" s="15"/>
      <c r="H2853" s="15">
        <v>-4.7999999999999996E-3</v>
      </c>
      <c r="I2853" s="15">
        <v>1.2999999999999999E-2</v>
      </c>
      <c r="J2853" s="15">
        <v>-0.51219512195121952</v>
      </c>
    </row>
    <row r="2854" spans="1:10" x14ac:dyDescent="0.25">
      <c r="A2854" s="2" t="s">
        <v>7853</v>
      </c>
      <c r="B2854" s="2" t="s">
        <v>7007</v>
      </c>
      <c r="C2854" s="2" t="s">
        <v>7854</v>
      </c>
      <c r="D2854" s="2" t="s">
        <v>10055</v>
      </c>
      <c r="E2854" s="15">
        <v>5.8099999999999999E-2</v>
      </c>
      <c r="F2854" s="15">
        <v>7.1999999999999995E-2</v>
      </c>
      <c r="G2854" s="15">
        <v>0.41980000000000001</v>
      </c>
      <c r="H2854" s="15">
        <v>5.62E-2</v>
      </c>
      <c r="I2854" s="15">
        <v>1.4E-2</v>
      </c>
      <c r="J2854" s="15">
        <v>3.5510204081632661</v>
      </c>
    </row>
    <row r="2855" spans="1:10" x14ac:dyDescent="0.25">
      <c r="A2855" s="2" t="s">
        <v>7855</v>
      </c>
      <c r="B2855" s="2" t="s">
        <v>7007</v>
      </c>
      <c r="C2855" s="2" t="s">
        <v>7856</v>
      </c>
      <c r="D2855" s="2" t="s">
        <v>10055</v>
      </c>
      <c r="E2855" s="15">
        <v>-0.21820000000000001</v>
      </c>
      <c r="F2855" s="15">
        <v>0.1072</v>
      </c>
      <c r="G2855" s="15">
        <v>4.1700000000000001E-2</v>
      </c>
      <c r="H2855" s="15">
        <v>2.9399999999999999E-2</v>
      </c>
      <c r="I2855" s="15">
        <v>1.4800000000000001E-2</v>
      </c>
      <c r="J2855" s="15">
        <v>2.5507246376811601</v>
      </c>
    </row>
    <row r="2856" spans="1:10" x14ac:dyDescent="0.25">
      <c r="A2856" s="2" t="s">
        <v>7857</v>
      </c>
      <c r="B2856" s="2" t="s">
        <v>7007</v>
      </c>
      <c r="C2856" s="2" t="s">
        <v>7858</v>
      </c>
      <c r="D2856" s="2" t="s">
        <v>10055</v>
      </c>
      <c r="E2856" s="15">
        <v>2.2100000000000002E-2</v>
      </c>
      <c r="F2856" s="15">
        <v>7.46E-2</v>
      </c>
      <c r="G2856" s="15">
        <v>0.76700000000000002</v>
      </c>
      <c r="H2856" s="15">
        <v>5.0999999999999997E-2</v>
      </c>
      <c r="I2856" s="15">
        <v>1.3599999999999999E-2</v>
      </c>
      <c r="J2856" s="15">
        <v>3.8759124087591239</v>
      </c>
    </row>
    <row r="2857" spans="1:10" x14ac:dyDescent="0.25">
      <c r="A2857" s="2" t="s">
        <v>7859</v>
      </c>
      <c r="B2857" s="2" t="s">
        <v>7007</v>
      </c>
      <c r="C2857" s="2" t="s">
        <v>7860</v>
      </c>
      <c r="D2857" s="2" t="s">
        <v>10055</v>
      </c>
      <c r="E2857" s="15"/>
      <c r="F2857" s="15"/>
      <c r="G2857" s="15"/>
      <c r="H2857" s="15">
        <v>-1.8100000000000002E-2</v>
      </c>
      <c r="I2857" s="15">
        <v>1.18E-2</v>
      </c>
      <c r="J2857" s="15">
        <v>-1.0756302521008401</v>
      </c>
    </row>
    <row r="2858" spans="1:10" x14ac:dyDescent="0.25">
      <c r="A2858" s="2" t="s">
        <v>7861</v>
      </c>
      <c r="B2858" s="2" t="s">
        <v>7007</v>
      </c>
      <c r="C2858" s="2" t="s">
        <v>7862</v>
      </c>
      <c r="D2858" s="2" t="s">
        <v>10055</v>
      </c>
      <c r="E2858" s="15">
        <v>-7.3400000000000007E-2</v>
      </c>
      <c r="F2858" s="15">
        <v>0.115</v>
      </c>
      <c r="G2858" s="15">
        <v>0.5232</v>
      </c>
      <c r="H2858" s="15">
        <v>2.69E-2</v>
      </c>
      <c r="I2858" s="15">
        <v>1.5100000000000001E-2</v>
      </c>
      <c r="J2858" s="15">
        <v>1.6143790849673201</v>
      </c>
    </row>
    <row r="2859" spans="1:10" x14ac:dyDescent="0.25">
      <c r="A2859" s="2" t="s">
        <v>7863</v>
      </c>
      <c r="B2859" s="2" t="s">
        <v>7007</v>
      </c>
      <c r="C2859" s="2" t="s">
        <v>7864</v>
      </c>
      <c r="D2859" s="2" t="s">
        <v>10055</v>
      </c>
      <c r="E2859" s="15">
        <v>7.9500000000000001E-2</v>
      </c>
      <c r="F2859" s="15">
        <v>6.3600000000000004E-2</v>
      </c>
      <c r="G2859" s="15">
        <v>0.2112</v>
      </c>
      <c r="H2859" s="15">
        <v>7.0800000000000002E-2</v>
      </c>
      <c r="I2859" s="15">
        <v>1.4200000000000001E-2</v>
      </c>
      <c r="J2859" s="15">
        <v>5.5851851851851846</v>
      </c>
    </row>
    <row r="2860" spans="1:10" x14ac:dyDescent="0.25">
      <c r="A2860" s="2" t="s">
        <v>7865</v>
      </c>
      <c r="B2860" s="2" t="s">
        <v>7007</v>
      </c>
      <c r="C2860" s="2" t="s">
        <v>7866</v>
      </c>
      <c r="D2860" s="2" t="s">
        <v>10055</v>
      </c>
      <c r="E2860" s="15"/>
      <c r="F2860" s="15"/>
      <c r="G2860" s="15"/>
      <c r="H2860" s="15">
        <v>-5.0000000000000001E-4</v>
      </c>
      <c r="I2860" s="15">
        <v>1.24E-2</v>
      </c>
      <c r="J2860" s="15">
        <v>0.23770491803278679</v>
      </c>
    </row>
    <row r="2861" spans="1:10" x14ac:dyDescent="0.25">
      <c r="A2861" s="2" t="s">
        <v>7867</v>
      </c>
      <c r="B2861" s="2" t="s">
        <v>7007</v>
      </c>
      <c r="C2861" s="2" t="s">
        <v>7868</v>
      </c>
      <c r="D2861" s="2" t="s">
        <v>10055</v>
      </c>
      <c r="E2861" s="15">
        <v>0.13650000000000001</v>
      </c>
      <c r="F2861" s="15">
        <v>0.12089999999999999</v>
      </c>
      <c r="G2861" s="15">
        <v>0.25879999999999997</v>
      </c>
      <c r="H2861" s="15">
        <v>2.1999999999999999E-2</v>
      </c>
      <c r="I2861" s="15">
        <v>1.4E-2</v>
      </c>
      <c r="J2861" s="15">
        <v>1.330985915492958</v>
      </c>
    </row>
    <row r="2862" spans="1:10" x14ac:dyDescent="0.25">
      <c r="A2862" s="2" t="s">
        <v>7869</v>
      </c>
      <c r="B2862" s="2" t="s">
        <v>7007</v>
      </c>
      <c r="C2862" s="2" t="s">
        <v>7870</v>
      </c>
      <c r="D2862" s="2" t="s">
        <v>10055</v>
      </c>
      <c r="E2862" s="15">
        <v>0.1275</v>
      </c>
      <c r="F2862" s="15">
        <v>0.10290000000000001</v>
      </c>
      <c r="G2862" s="15">
        <v>0.21529999999999999</v>
      </c>
      <c r="H2862" s="15">
        <v>3.2399999999999998E-2</v>
      </c>
      <c r="I2862" s="15">
        <v>1.4500000000000001E-2</v>
      </c>
      <c r="J2862" s="15">
        <v>1.5174825174825179</v>
      </c>
    </row>
    <row r="2863" spans="1:10" x14ac:dyDescent="0.25">
      <c r="A2863" s="2" t="s">
        <v>7871</v>
      </c>
      <c r="B2863" s="2" t="s">
        <v>7007</v>
      </c>
      <c r="C2863" s="2" t="s">
        <v>7872</v>
      </c>
      <c r="D2863" s="2" t="s">
        <v>10055</v>
      </c>
      <c r="E2863" s="15">
        <v>-9.2200000000000004E-2</v>
      </c>
      <c r="F2863" s="15">
        <v>8.0399999999999999E-2</v>
      </c>
      <c r="G2863" s="15">
        <v>0.2515</v>
      </c>
      <c r="H2863" s="15">
        <v>4.4699999999999997E-2</v>
      </c>
      <c r="I2863" s="15">
        <v>1.5699999999999999E-2</v>
      </c>
      <c r="J2863" s="15">
        <v>3.3310344827586209</v>
      </c>
    </row>
    <row r="2864" spans="1:10" x14ac:dyDescent="0.25">
      <c r="A2864" s="2" t="s">
        <v>7873</v>
      </c>
      <c r="B2864" s="2" t="s">
        <v>7007</v>
      </c>
      <c r="C2864" s="2" t="s">
        <v>7874</v>
      </c>
      <c r="D2864" s="2" t="s">
        <v>10055</v>
      </c>
      <c r="E2864" s="15">
        <v>-0.29370000000000002</v>
      </c>
      <c r="F2864" s="15">
        <v>0.48549999999999999</v>
      </c>
      <c r="G2864" s="15">
        <v>0.54530000000000001</v>
      </c>
      <c r="H2864" s="15">
        <v>6.1000000000000004E-3</v>
      </c>
      <c r="I2864" s="15">
        <v>1.47E-2</v>
      </c>
      <c r="J2864" s="15">
        <v>0.27083333333333331</v>
      </c>
    </row>
    <row r="2865" spans="1:10" x14ac:dyDescent="0.25">
      <c r="A2865" s="2" t="s">
        <v>7875</v>
      </c>
      <c r="B2865" s="2" t="s">
        <v>7007</v>
      </c>
      <c r="C2865" s="2" t="s">
        <v>7876</v>
      </c>
      <c r="D2865" s="2" t="s">
        <v>10055</v>
      </c>
      <c r="E2865" s="15">
        <v>-5.8299999999999998E-2</v>
      </c>
      <c r="F2865" s="15">
        <v>0.13739999999999999</v>
      </c>
      <c r="G2865" s="15">
        <v>0.67110000000000003</v>
      </c>
      <c r="H2865" s="15">
        <v>1.44E-2</v>
      </c>
      <c r="I2865" s="15">
        <v>1.35E-2</v>
      </c>
      <c r="J2865" s="15">
        <v>1.5984848484848491</v>
      </c>
    </row>
    <row r="2866" spans="1:10" x14ac:dyDescent="0.25">
      <c r="A2866" s="2" t="s">
        <v>7877</v>
      </c>
      <c r="B2866" s="2" t="s">
        <v>7007</v>
      </c>
      <c r="C2866" s="2" t="s">
        <v>7878</v>
      </c>
      <c r="D2866" s="2" t="s">
        <v>10055</v>
      </c>
      <c r="E2866" s="15">
        <v>-0.12720000000000001</v>
      </c>
      <c r="F2866" s="15">
        <v>0.1792</v>
      </c>
      <c r="G2866" s="15">
        <v>0.47770000000000001</v>
      </c>
      <c r="H2866" s="15">
        <v>1.24E-2</v>
      </c>
      <c r="I2866" s="15">
        <v>1.4E-2</v>
      </c>
      <c r="J2866" s="15">
        <v>0.94244604316546776</v>
      </c>
    </row>
    <row r="2867" spans="1:10" x14ac:dyDescent="0.25">
      <c r="A2867" s="2" t="s">
        <v>7879</v>
      </c>
      <c r="B2867" s="2" t="s">
        <v>7007</v>
      </c>
      <c r="C2867" s="2" t="s">
        <v>7880</v>
      </c>
      <c r="D2867" s="2" t="s">
        <v>10055</v>
      </c>
      <c r="E2867" s="15">
        <v>-0.12230000000000001</v>
      </c>
      <c r="F2867" s="15">
        <v>6.93E-2</v>
      </c>
      <c r="G2867" s="15">
        <v>7.7600000000000002E-2</v>
      </c>
      <c r="H2867" s="15">
        <v>5.4399999999999997E-2</v>
      </c>
      <c r="I2867" s="15">
        <v>1.5100000000000001E-2</v>
      </c>
      <c r="J2867" s="15">
        <v>3.604166666666667</v>
      </c>
    </row>
    <row r="2868" spans="1:10" x14ac:dyDescent="0.25">
      <c r="A2868" s="2" t="s">
        <v>7881</v>
      </c>
      <c r="B2868" s="2" t="s">
        <v>7007</v>
      </c>
      <c r="C2868" s="2" t="s">
        <v>7882</v>
      </c>
      <c r="D2868" s="2" t="s">
        <v>10055</v>
      </c>
      <c r="E2868" s="15">
        <v>-3.04E-2</v>
      </c>
      <c r="F2868" s="15">
        <v>0.1182</v>
      </c>
      <c r="G2868" s="15">
        <v>0.79720000000000002</v>
      </c>
      <c r="H2868" s="15">
        <v>1.77E-2</v>
      </c>
      <c r="I2868" s="15">
        <v>1.29E-2</v>
      </c>
      <c r="J2868" s="15">
        <v>1.48</v>
      </c>
    </row>
    <row r="2869" spans="1:10" x14ac:dyDescent="0.25">
      <c r="A2869" s="2" t="s">
        <v>7883</v>
      </c>
      <c r="B2869" s="2" t="s">
        <v>7007</v>
      </c>
      <c r="C2869" s="2" t="s">
        <v>7884</v>
      </c>
      <c r="D2869" s="2" t="s">
        <v>10055</v>
      </c>
      <c r="E2869" s="15"/>
      <c r="F2869" s="15"/>
      <c r="G2869" s="15"/>
      <c r="H2869" s="15">
        <v>-5.7000000000000002E-3</v>
      </c>
      <c r="I2869" s="15">
        <v>1.44E-2</v>
      </c>
      <c r="J2869" s="15">
        <v>-0.20547945205479451</v>
      </c>
    </row>
    <row r="2870" spans="1:10" x14ac:dyDescent="0.25">
      <c r="A2870" s="2" t="s">
        <v>7885</v>
      </c>
      <c r="B2870" s="2" t="s">
        <v>7007</v>
      </c>
      <c r="C2870" s="2" t="s">
        <v>7886</v>
      </c>
      <c r="D2870" s="2" t="s">
        <v>10055</v>
      </c>
      <c r="E2870" s="15">
        <v>0.10290000000000001</v>
      </c>
      <c r="F2870" s="15">
        <v>6.25E-2</v>
      </c>
      <c r="G2870" s="15">
        <v>9.9900000000000003E-2</v>
      </c>
      <c r="H2870" s="15">
        <v>8.6699999999999999E-2</v>
      </c>
      <c r="I2870" s="15">
        <v>1.6199999999999999E-2</v>
      </c>
      <c r="J2870" s="15">
        <v>5.2546583850931672</v>
      </c>
    </row>
    <row r="2871" spans="1:10" x14ac:dyDescent="0.25">
      <c r="A2871" s="2" t="s">
        <v>7887</v>
      </c>
      <c r="B2871" s="2" t="s">
        <v>7007</v>
      </c>
      <c r="C2871" s="2" t="s">
        <v>7888</v>
      </c>
      <c r="D2871" s="2" t="s">
        <v>10055</v>
      </c>
      <c r="E2871" s="15">
        <v>6.0499999999999998E-2</v>
      </c>
      <c r="F2871" s="15">
        <v>9.5000000000000001E-2</v>
      </c>
      <c r="G2871" s="15">
        <v>0.5242</v>
      </c>
      <c r="H2871" s="15">
        <v>3.61E-2</v>
      </c>
      <c r="I2871" s="15">
        <v>1.5299999999999999E-2</v>
      </c>
      <c r="J2871" s="15">
        <v>2.2810457516339868</v>
      </c>
    </row>
    <row r="2872" spans="1:10" x14ac:dyDescent="0.25">
      <c r="A2872" s="2" t="s">
        <v>7889</v>
      </c>
      <c r="B2872" s="2" t="s">
        <v>7007</v>
      </c>
      <c r="C2872" s="2" t="s">
        <v>7890</v>
      </c>
      <c r="D2872" s="2" t="s">
        <v>10055</v>
      </c>
      <c r="E2872" s="15">
        <v>3.61E-2</v>
      </c>
      <c r="F2872" s="15">
        <v>8.5000000000000006E-2</v>
      </c>
      <c r="G2872" s="15">
        <v>0.67079999999999995</v>
      </c>
      <c r="H2872" s="15">
        <v>5.2499999999999998E-2</v>
      </c>
      <c r="I2872" s="15">
        <v>1.5299999999999999E-2</v>
      </c>
      <c r="J2872" s="15">
        <v>4.2464788732394361</v>
      </c>
    </row>
    <row r="2873" spans="1:10" x14ac:dyDescent="0.25">
      <c r="A2873" s="2" t="s">
        <v>7891</v>
      </c>
      <c r="B2873" s="2" t="s">
        <v>7007</v>
      </c>
      <c r="C2873" s="2" t="s">
        <v>7892</v>
      </c>
      <c r="D2873" s="2" t="s">
        <v>10055</v>
      </c>
      <c r="E2873" s="15"/>
      <c r="F2873" s="15"/>
      <c r="G2873" s="15"/>
      <c r="H2873" s="15">
        <v>-6.1000000000000004E-3</v>
      </c>
      <c r="I2873" s="15">
        <v>1.32E-2</v>
      </c>
      <c r="J2873" s="15">
        <v>-1.5748031496062988E-2</v>
      </c>
    </row>
    <row r="2874" spans="1:10" x14ac:dyDescent="0.25">
      <c r="A2874" s="2" t="s">
        <v>7893</v>
      </c>
      <c r="B2874" s="2" t="s">
        <v>7007</v>
      </c>
      <c r="C2874" s="2" t="s">
        <v>7894</v>
      </c>
      <c r="D2874" s="2" t="s">
        <v>10055</v>
      </c>
      <c r="E2874" s="15">
        <v>-5.16E-2</v>
      </c>
      <c r="F2874" s="15">
        <v>7.3899999999999993E-2</v>
      </c>
      <c r="G2874" s="15">
        <v>0.48520000000000002</v>
      </c>
      <c r="H2874" s="15">
        <v>5.5300000000000002E-2</v>
      </c>
      <c r="I2874" s="15">
        <v>1.67E-2</v>
      </c>
      <c r="J2874" s="15">
        <v>3.8205128205128212</v>
      </c>
    </row>
    <row r="2875" spans="1:10" x14ac:dyDescent="0.25">
      <c r="A2875" s="2" t="s">
        <v>7895</v>
      </c>
      <c r="B2875" s="2" t="s">
        <v>7007</v>
      </c>
      <c r="C2875" s="2" t="s">
        <v>7896</v>
      </c>
      <c r="D2875" s="2" t="s">
        <v>10055</v>
      </c>
      <c r="E2875" s="15">
        <v>3.09E-2</v>
      </c>
      <c r="F2875" s="15">
        <v>9.4500000000000001E-2</v>
      </c>
      <c r="G2875" s="15">
        <v>0.74339999999999995</v>
      </c>
      <c r="H2875" s="15">
        <v>4.0599999999999997E-2</v>
      </c>
      <c r="I2875" s="15">
        <v>1.35E-2</v>
      </c>
      <c r="J2875" s="15">
        <v>3.4923076923076928</v>
      </c>
    </row>
    <row r="2876" spans="1:10" x14ac:dyDescent="0.25">
      <c r="A2876" s="2" t="s">
        <v>7897</v>
      </c>
      <c r="B2876" s="2" t="s">
        <v>7007</v>
      </c>
      <c r="C2876" s="2" t="s">
        <v>7898</v>
      </c>
      <c r="D2876" s="2" t="s">
        <v>10055</v>
      </c>
      <c r="E2876" s="15">
        <v>-4.7000000000000002E-3</v>
      </c>
      <c r="F2876" s="15">
        <v>7.0699999999999999E-2</v>
      </c>
      <c r="G2876" s="15">
        <v>0.94750000000000001</v>
      </c>
      <c r="H2876" s="15">
        <v>5.5599999999999997E-2</v>
      </c>
      <c r="I2876" s="15">
        <v>1.4999999999999999E-2</v>
      </c>
      <c r="J2876" s="15">
        <v>4.072847682119205</v>
      </c>
    </row>
    <row r="2877" spans="1:10" x14ac:dyDescent="0.25">
      <c r="A2877" s="2" t="s">
        <v>7899</v>
      </c>
      <c r="B2877" s="2" t="s">
        <v>7007</v>
      </c>
      <c r="C2877" s="2" t="s">
        <v>7900</v>
      </c>
      <c r="D2877" s="2" t="s">
        <v>10055</v>
      </c>
      <c r="E2877" s="15">
        <v>-4.5699999999999998E-2</v>
      </c>
      <c r="F2877" s="15">
        <v>7.8899999999999998E-2</v>
      </c>
      <c r="G2877" s="15">
        <v>0.56240000000000001</v>
      </c>
      <c r="H2877" s="15">
        <v>4.2999999999999997E-2</v>
      </c>
      <c r="I2877" s="15">
        <v>1.38E-2</v>
      </c>
      <c r="J2877" s="15">
        <v>3.8872180451127818</v>
      </c>
    </row>
    <row r="2878" spans="1:10" x14ac:dyDescent="0.25">
      <c r="A2878" s="2" t="s">
        <v>7901</v>
      </c>
      <c r="B2878" s="2" t="s">
        <v>7007</v>
      </c>
      <c r="C2878" s="2" t="s">
        <v>7902</v>
      </c>
      <c r="D2878" s="2" t="s">
        <v>10055</v>
      </c>
      <c r="E2878" s="15">
        <v>3.2099999999999997E-2</v>
      </c>
      <c r="F2878" s="15">
        <v>9.3299999999999994E-2</v>
      </c>
      <c r="G2878" s="15">
        <v>0.73080000000000001</v>
      </c>
      <c r="H2878" s="15">
        <v>4.1300000000000003E-2</v>
      </c>
      <c r="I2878" s="15">
        <v>1.47E-2</v>
      </c>
      <c r="J2878" s="15">
        <v>2.8741258741258742</v>
      </c>
    </row>
    <row r="2879" spans="1:10" x14ac:dyDescent="0.25">
      <c r="A2879" s="2" t="s">
        <v>7903</v>
      </c>
      <c r="B2879" s="2" t="s">
        <v>7007</v>
      </c>
      <c r="C2879" s="2" t="s">
        <v>7904</v>
      </c>
      <c r="D2879" s="2" t="s">
        <v>10055</v>
      </c>
      <c r="E2879" s="15"/>
      <c r="F2879" s="15"/>
      <c r="G2879" s="15"/>
      <c r="H2879" s="15"/>
      <c r="I2879" s="15"/>
      <c r="J2879" s="15">
        <v>-0.57599999999999996</v>
      </c>
    </row>
    <row r="2880" spans="1:10" x14ac:dyDescent="0.25">
      <c r="A2880" s="2" t="s">
        <v>7905</v>
      </c>
      <c r="B2880" s="2" t="s">
        <v>7007</v>
      </c>
      <c r="C2880" s="2" t="s">
        <v>7906</v>
      </c>
      <c r="D2880" s="2" t="s">
        <v>10055</v>
      </c>
      <c r="E2880" s="15">
        <v>-0.1119</v>
      </c>
      <c r="F2880" s="15">
        <v>6.5299999999999997E-2</v>
      </c>
      <c r="G2880" s="15">
        <v>8.6699999999999999E-2</v>
      </c>
      <c r="H2880" s="15">
        <v>8.0100000000000005E-2</v>
      </c>
      <c r="I2880" s="15">
        <v>1.54E-2</v>
      </c>
      <c r="J2880" s="15">
        <v>5.6103896103896096</v>
      </c>
    </row>
    <row r="2881" spans="1:10" x14ac:dyDescent="0.25">
      <c r="A2881" s="2" t="s">
        <v>7907</v>
      </c>
      <c r="B2881" s="2" t="s">
        <v>7007</v>
      </c>
      <c r="C2881" s="2" t="s">
        <v>7908</v>
      </c>
      <c r="D2881" s="2" t="s">
        <v>10055</v>
      </c>
      <c r="E2881" s="15">
        <v>8.8800000000000004E-2</v>
      </c>
      <c r="F2881" s="15">
        <v>0.14499999999999999</v>
      </c>
      <c r="G2881" s="15">
        <v>0.54039999999999999</v>
      </c>
      <c r="H2881" s="15">
        <v>1.4E-2</v>
      </c>
      <c r="I2881" s="15">
        <v>1.3599999999999999E-2</v>
      </c>
      <c r="J2881" s="15">
        <v>1.028776978417266</v>
      </c>
    </row>
    <row r="2882" spans="1:10" x14ac:dyDescent="0.25">
      <c r="A2882" s="2" t="s">
        <v>7909</v>
      </c>
      <c r="B2882" s="2" t="s">
        <v>7007</v>
      </c>
      <c r="C2882" s="2" t="s">
        <v>7910</v>
      </c>
      <c r="D2882" s="2" t="s">
        <v>10055</v>
      </c>
      <c r="E2882" s="15">
        <v>-0.1077</v>
      </c>
      <c r="F2882" s="15">
        <v>0.13819999999999999</v>
      </c>
      <c r="G2882" s="15">
        <v>0.43590000000000001</v>
      </c>
      <c r="H2882" s="15">
        <v>1.7100000000000001E-2</v>
      </c>
      <c r="I2882" s="15">
        <v>1.4E-2</v>
      </c>
      <c r="J2882" s="15">
        <v>1.364341085271318</v>
      </c>
    </row>
    <row r="2883" spans="1:10" x14ac:dyDescent="0.25">
      <c r="A2883" s="2" t="s">
        <v>7911</v>
      </c>
      <c r="B2883" s="2" t="s">
        <v>7007</v>
      </c>
      <c r="C2883" s="2" t="s">
        <v>7912</v>
      </c>
      <c r="D2883" s="2" t="s">
        <v>10055</v>
      </c>
      <c r="E2883" s="15">
        <v>5.5199999999999999E-2</v>
      </c>
      <c r="F2883" s="15">
        <v>9.5600000000000004E-2</v>
      </c>
      <c r="G2883" s="15">
        <v>0.56379999999999997</v>
      </c>
      <c r="H2883" s="15">
        <v>3.7699999999999997E-2</v>
      </c>
      <c r="I2883" s="15">
        <v>1.44E-2</v>
      </c>
      <c r="J2883" s="15">
        <v>2.542253521126761</v>
      </c>
    </row>
    <row r="2884" spans="1:10" x14ac:dyDescent="0.25">
      <c r="A2884" s="2" t="s">
        <v>7913</v>
      </c>
      <c r="B2884" s="2" t="s">
        <v>7007</v>
      </c>
      <c r="C2884" s="2" t="s">
        <v>7914</v>
      </c>
      <c r="D2884" s="2" t="s">
        <v>10055</v>
      </c>
      <c r="E2884" s="15">
        <v>6.7999999999999996E-3</v>
      </c>
      <c r="F2884" s="15">
        <v>6.3500000000000001E-2</v>
      </c>
      <c r="G2884" s="15">
        <v>0.91479999999999995</v>
      </c>
      <c r="H2884" s="15">
        <v>6.9599999999999995E-2</v>
      </c>
      <c r="I2884" s="15">
        <v>2.12E-2</v>
      </c>
      <c r="J2884" s="15">
        <v>3.6975609756097558</v>
      </c>
    </row>
    <row r="2885" spans="1:10" x14ac:dyDescent="0.25">
      <c r="A2885" s="2" t="s">
        <v>7915</v>
      </c>
      <c r="B2885" s="2" t="s">
        <v>7007</v>
      </c>
      <c r="C2885" s="2" t="s">
        <v>7916</v>
      </c>
      <c r="D2885" s="2" t="s">
        <v>10055</v>
      </c>
      <c r="E2885" s="15">
        <v>1.66E-2</v>
      </c>
      <c r="F2885" s="15">
        <v>0.25600000000000001</v>
      </c>
      <c r="G2885" s="15">
        <v>0.94820000000000004</v>
      </c>
      <c r="H2885" s="15">
        <v>5.1999999999999998E-3</v>
      </c>
      <c r="I2885" s="15">
        <v>1.32E-2</v>
      </c>
      <c r="J2885" s="15">
        <v>0.45038167938931289</v>
      </c>
    </row>
    <row r="2886" spans="1:10" x14ac:dyDescent="0.25">
      <c r="A2886" s="2" t="s">
        <v>7917</v>
      </c>
      <c r="B2886" s="2" t="s">
        <v>7007</v>
      </c>
      <c r="C2886" s="2" t="s">
        <v>7918</v>
      </c>
      <c r="D2886" s="2" t="s">
        <v>10055</v>
      </c>
      <c r="E2886" s="15">
        <v>-2.1000000000000001E-2</v>
      </c>
      <c r="F2886" s="15">
        <v>5.5300000000000002E-2</v>
      </c>
      <c r="G2886" s="15">
        <v>0.70379999999999998</v>
      </c>
      <c r="H2886" s="15">
        <v>0.12920000000000001</v>
      </c>
      <c r="I2886" s="15">
        <v>1.6400000000000001E-2</v>
      </c>
      <c r="J2886" s="15">
        <v>8.1419753086419746</v>
      </c>
    </row>
    <row r="2887" spans="1:10" x14ac:dyDescent="0.25">
      <c r="A2887" s="2" t="s">
        <v>7919</v>
      </c>
      <c r="B2887" s="2" t="s">
        <v>7007</v>
      </c>
      <c r="C2887" s="2" t="s">
        <v>7920</v>
      </c>
      <c r="D2887" s="2" t="s">
        <v>10055</v>
      </c>
      <c r="E2887" s="15">
        <v>5.6599999999999998E-2</v>
      </c>
      <c r="F2887" s="15">
        <v>9.5500000000000002E-2</v>
      </c>
      <c r="G2887" s="15">
        <v>0.55300000000000005</v>
      </c>
      <c r="H2887" s="15">
        <v>3.2599999999999997E-2</v>
      </c>
      <c r="I2887" s="15">
        <v>1.49E-2</v>
      </c>
      <c r="J2887" s="15">
        <v>2.1338028169014081</v>
      </c>
    </row>
    <row r="2888" spans="1:10" x14ac:dyDescent="0.25">
      <c r="A2888" s="2" t="s">
        <v>7921</v>
      </c>
      <c r="B2888" s="2" t="s">
        <v>7007</v>
      </c>
      <c r="C2888" s="2" t="s">
        <v>7922</v>
      </c>
      <c r="D2888" s="2" t="s">
        <v>10055</v>
      </c>
      <c r="E2888" s="15"/>
      <c r="F2888" s="15"/>
      <c r="G2888" s="15"/>
      <c r="H2888" s="15">
        <v>-2.0999999999999999E-3</v>
      </c>
      <c r="I2888" s="15">
        <v>1.34E-2</v>
      </c>
      <c r="J2888" s="15">
        <v>0.69852941176470595</v>
      </c>
    </row>
    <row r="2889" spans="1:10" x14ac:dyDescent="0.25">
      <c r="A2889" s="2" t="s">
        <v>7923</v>
      </c>
      <c r="B2889" s="2" t="s">
        <v>7007</v>
      </c>
      <c r="C2889" s="2" t="s">
        <v>7924</v>
      </c>
      <c r="D2889" s="2" t="s">
        <v>10055</v>
      </c>
      <c r="E2889" s="15">
        <v>7.1999999999999998E-3</v>
      </c>
      <c r="F2889" s="15">
        <v>5.5399999999999998E-2</v>
      </c>
      <c r="G2889" s="15">
        <v>0.89659999999999995</v>
      </c>
      <c r="H2889" s="15">
        <v>9.8699999999999996E-2</v>
      </c>
      <c r="I2889" s="15">
        <v>1.46E-2</v>
      </c>
      <c r="J2889" s="15">
        <v>7.0620689655172413</v>
      </c>
    </row>
    <row r="2890" spans="1:10" x14ac:dyDescent="0.25">
      <c r="A2890" s="2" t="s">
        <v>7925</v>
      </c>
      <c r="B2890" s="2" t="s">
        <v>7007</v>
      </c>
      <c r="C2890" s="2" t="s">
        <v>7926</v>
      </c>
      <c r="D2890" s="2" t="s">
        <v>10055</v>
      </c>
      <c r="E2890" s="15">
        <v>-0.10340000000000001</v>
      </c>
      <c r="F2890" s="15">
        <v>6.4600000000000005E-2</v>
      </c>
      <c r="G2890" s="15">
        <v>0.1096</v>
      </c>
      <c r="H2890" s="15">
        <v>7.1099999999999997E-2</v>
      </c>
      <c r="I2890" s="15">
        <v>1.6899999999999998E-2</v>
      </c>
      <c r="J2890" s="15">
        <v>4.8819875776397517</v>
      </c>
    </row>
    <row r="2891" spans="1:10" x14ac:dyDescent="0.25">
      <c r="A2891" s="2" t="s">
        <v>7927</v>
      </c>
      <c r="B2891" s="2" t="s">
        <v>7007</v>
      </c>
      <c r="C2891" s="2" t="s">
        <v>7928</v>
      </c>
      <c r="D2891" s="2" t="s">
        <v>10055</v>
      </c>
      <c r="E2891" s="15">
        <v>7.9899999999999999E-2</v>
      </c>
      <c r="F2891" s="15">
        <v>7.1499999999999994E-2</v>
      </c>
      <c r="G2891" s="15">
        <v>0.26379999999999998</v>
      </c>
      <c r="H2891" s="15">
        <v>4.6300000000000001E-2</v>
      </c>
      <c r="I2891" s="15">
        <v>1.5100000000000001E-2</v>
      </c>
      <c r="J2891" s="15">
        <v>3.1793103448275861</v>
      </c>
    </row>
    <row r="2892" spans="1:10" x14ac:dyDescent="0.25">
      <c r="A2892" s="2" t="s">
        <v>7929</v>
      </c>
      <c r="B2892" s="2" t="s">
        <v>7007</v>
      </c>
      <c r="C2892" s="2" t="s">
        <v>7930</v>
      </c>
      <c r="D2892" s="2" t="s">
        <v>10055</v>
      </c>
      <c r="E2892" s="15">
        <v>-6.7799999999999999E-2</v>
      </c>
      <c r="F2892" s="15">
        <v>8.3199999999999996E-2</v>
      </c>
      <c r="G2892" s="15">
        <v>0.41489999999999999</v>
      </c>
      <c r="H2892" s="15">
        <v>4.2900000000000001E-2</v>
      </c>
      <c r="I2892" s="15">
        <v>1.67E-2</v>
      </c>
      <c r="J2892" s="15">
        <v>2.3765432098765431</v>
      </c>
    </row>
    <row r="2893" spans="1:10" x14ac:dyDescent="0.25">
      <c r="A2893" s="2" t="s">
        <v>7931</v>
      </c>
      <c r="B2893" s="2" t="s">
        <v>7007</v>
      </c>
      <c r="C2893" s="2" t="s">
        <v>7932</v>
      </c>
      <c r="D2893" s="2" t="s">
        <v>10055</v>
      </c>
      <c r="E2893" s="15">
        <v>5.5899999999999998E-2</v>
      </c>
      <c r="F2893" s="15">
        <v>7.2999999999999995E-2</v>
      </c>
      <c r="G2893" s="15">
        <v>0.44390000000000002</v>
      </c>
      <c r="H2893" s="15">
        <v>4.5699999999999998E-2</v>
      </c>
      <c r="I2893" s="15">
        <v>1.3599999999999999E-2</v>
      </c>
      <c r="J2893" s="15">
        <v>3.2878787878787881</v>
      </c>
    </row>
    <row r="2894" spans="1:10" x14ac:dyDescent="0.25">
      <c r="A2894" s="2" t="s">
        <v>7933</v>
      </c>
      <c r="B2894" s="2" t="s">
        <v>7007</v>
      </c>
      <c r="C2894" s="2" t="s">
        <v>7934</v>
      </c>
      <c r="D2894" s="2" t="s">
        <v>10055</v>
      </c>
      <c r="E2894" s="15">
        <v>-0.15090000000000001</v>
      </c>
      <c r="F2894" s="15">
        <v>6.0199999999999997E-2</v>
      </c>
      <c r="G2894" s="15">
        <v>1.23E-2</v>
      </c>
      <c r="H2894" s="15">
        <v>8.5300000000000001E-2</v>
      </c>
      <c r="I2894" s="15">
        <v>1.8100000000000002E-2</v>
      </c>
      <c r="J2894" s="15">
        <v>5.7888198757763982</v>
      </c>
    </row>
    <row r="2895" spans="1:10" x14ac:dyDescent="0.25">
      <c r="A2895" s="2" t="s">
        <v>7935</v>
      </c>
      <c r="B2895" s="2" t="s">
        <v>7007</v>
      </c>
      <c r="C2895" s="2" t="s">
        <v>7936</v>
      </c>
      <c r="D2895" s="2" t="s">
        <v>10055</v>
      </c>
      <c r="E2895" s="15"/>
      <c r="F2895" s="15"/>
      <c r="G2895" s="15"/>
      <c r="H2895" s="15">
        <v>-4.4000000000000003E-3</v>
      </c>
      <c r="I2895" s="15">
        <v>1.2699999999999999E-2</v>
      </c>
      <c r="J2895" s="15">
        <v>-4.7999999999999987E-2</v>
      </c>
    </row>
    <row r="2896" spans="1:10" x14ac:dyDescent="0.25">
      <c r="A2896" s="2" t="s">
        <v>7937</v>
      </c>
      <c r="B2896" s="2" t="s">
        <v>7007</v>
      </c>
      <c r="C2896" s="2" t="s">
        <v>7938</v>
      </c>
      <c r="D2896" s="2" t="s">
        <v>10055</v>
      </c>
      <c r="E2896" s="15">
        <v>0.1056</v>
      </c>
      <c r="F2896" s="15">
        <v>0.12239999999999999</v>
      </c>
      <c r="G2896" s="15">
        <v>0.38819999999999999</v>
      </c>
      <c r="H2896" s="15">
        <v>1.95E-2</v>
      </c>
      <c r="I2896" s="15">
        <v>1.5800000000000002E-2</v>
      </c>
      <c r="J2896" s="15">
        <v>1.5962732919254661</v>
      </c>
    </row>
    <row r="2897" spans="1:10" x14ac:dyDescent="0.25">
      <c r="A2897" s="2" t="s">
        <v>7939</v>
      </c>
      <c r="B2897" s="2" t="s">
        <v>7007</v>
      </c>
      <c r="C2897" s="2" t="s">
        <v>7940</v>
      </c>
      <c r="D2897" s="2" t="s">
        <v>10055</v>
      </c>
      <c r="E2897" s="15">
        <v>-5.6599999999999998E-2</v>
      </c>
      <c r="F2897" s="15">
        <v>8.2900000000000001E-2</v>
      </c>
      <c r="G2897" s="15">
        <v>0.49509999999999998</v>
      </c>
      <c r="H2897" s="15">
        <v>4.0399999999999998E-2</v>
      </c>
      <c r="I2897" s="15">
        <v>1.46E-2</v>
      </c>
      <c r="J2897" s="15">
        <v>3.0719424460431659</v>
      </c>
    </row>
    <row r="2898" spans="1:10" x14ac:dyDescent="0.25">
      <c r="A2898" s="2" t="s">
        <v>7941</v>
      </c>
      <c r="B2898" s="2" t="s">
        <v>7007</v>
      </c>
      <c r="C2898" s="2" t="s">
        <v>7942</v>
      </c>
      <c r="D2898" s="2" t="s">
        <v>10055</v>
      </c>
      <c r="E2898" s="15"/>
      <c r="F2898" s="15"/>
      <c r="G2898" s="15"/>
      <c r="H2898" s="15">
        <v>-1.01E-2</v>
      </c>
      <c r="I2898" s="15">
        <v>1.2800000000000001E-2</v>
      </c>
      <c r="J2898" s="15">
        <v>-1.016</v>
      </c>
    </row>
    <row r="2899" spans="1:10" x14ac:dyDescent="0.25">
      <c r="A2899" s="2" t="s">
        <v>7943</v>
      </c>
      <c r="B2899" s="2" t="s">
        <v>7007</v>
      </c>
      <c r="C2899" s="2" t="s">
        <v>7944</v>
      </c>
      <c r="D2899" s="2" t="s">
        <v>10055</v>
      </c>
      <c r="E2899" s="15">
        <v>4.4200000000000003E-2</v>
      </c>
      <c r="F2899" s="15">
        <v>0.1038</v>
      </c>
      <c r="G2899" s="15">
        <v>0.67</v>
      </c>
      <c r="H2899" s="15">
        <v>3.6999999999999998E-2</v>
      </c>
      <c r="I2899" s="15">
        <v>1.55E-2</v>
      </c>
      <c r="J2899" s="15">
        <v>2.729166666666667</v>
      </c>
    </row>
    <row r="2900" spans="1:10" x14ac:dyDescent="0.25">
      <c r="A2900" s="2" t="s">
        <v>7945</v>
      </c>
      <c r="B2900" s="2" t="s">
        <v>7007</v>
      </c>
      <c r="C2900" s="2" t="s">
        <v>7946</v>
      </c>
      <c r="D2900" s="2" t="s">
        <v>10055</v>
      </c>
      <c r="E2900" s="15">
        <v>0.25090000000000001</v>
      </c>
      <c r="F2900" s="15">
        <v>0.21690000000000001</v>
      </c>
      <c r="G2900" s="15">
        <v>0.2475</v>
      </c>
      <c r="H2900" s="15">
        <v>1.0999999999999999E-2</v>
      </c>
      <c r="I2900" s="15">
        <v>1.35E-2</v>
      </c>
      <c r="J2900" s="15">
        <v>1.2362204724409449</v>
      </c>
    </row>
    <row r="2901" spans="1:10" x14ac:dyDescent="0.25">
      <c r="A2901" s="2" t="s">
        <v>7947</v>
      </c>
      <c r="B2901" s="2" t="s">
        <v>7007</v>
      </c>
      <c r="C2901" s="2" t="s">
        <v>7948</v>
      </c>
      <c r="D2901" s="2" t="s">
        <v>10055</v>
      </c>
      <c r="E2901" s="15">
        <v>7.4800000000000005E-2</v>
      </c>
      <c r="F2901" s="15">
        <v>8.8400000000000006E-2</v>
      </c>
      <c r="G2901" s="15">
        <v>0.3977</v>
      </c>
      <c r="H2901" s="15">
        <v>3.9199999999999999E-2</v>
      </c>
      <c r="I2901" s="15">
        <v>1.35E-2</v>
      </c>
      <c r="J2901" s="15">
        <v>3.2592592592592591</v>
      </c>
    </row>
    <row r="2902" spans="1:10" x14ac:dyDescent="0.25">
      <c r="A2902" s="2" t="s">
        <v>7949</v>
      </c>
      <c r="B2902" s="2" t="s">
        <v>7007</v>
      </c>
      <c r="C2902" s="2" t="s">
        <v>7950</v>
      </c>
      <c r="D2902" s="2" t="s">
        <v>10055</v>
      </c>
      <c r="E2902" s="15">
        <v>-1.5599999999999999E-2</v>
      </c>
      <c r="F2902" s="15">
        <v>0.18140000000000001</v>
      </c>
      <c r="G2902" s="15">
        <v>0.93149999999999999</v>
      </c>
      <c r="H2902" s="15">
        <v>7.4999999999999997E-3</v>
      </c>
      <c r="I2902" s="15">
        <v>1.35E-2</v>
      </c>
      <c r="J2902" s="15">
        <v>0.34090909090909088</v>
      </c>
    </row>
    <row r="2903" spans="1:10" x14ac:dyDescent="0.25">
      <c r="A2903" s="2" t="s">
        <v>7951</v>
      </c>
      <c r="B2903" s="2" t="s">
        <v>7007</v>
      </c>
      <c r="C2903" s="2" t="s">
        <v>7952</v>
      </c>
      <c r="D2903" s="2" t="s">
        <v>10055</v>
      </c>
      <c r="E2903" s="15">
        <v>1.83E-2</v>
      </c>
      <c r="F2903" s="15">
        <v>9.4200000000000006E-2</v>
      </c>
      <c r="G2903" s="15">
        <v>0.84619999999999995</v>
      </c>
      <c r="H2903" s="15">
        <v>4.0899999999999999E-2</v>
      </c>
      <c r="I2903" s="15">
        <v>1.4500000000000001E-2</v>
      </c>
      <c r="J2903" s="15">
        <v>3.4740740740740739</v>
      </c>
    </row>
    <row r="2904" spans="1:10" x14ac:dyDescent="0.25">
      <c r="A2904" s="2" t="s">
        <v>7953</v>
      </c>
      <c r="B2904" s="2" t="s">
        <v>7007</v>
      </c>
      <c r="C2904" s="2" t="s">
        <v>7954</v>
      </c>
      <c r="D2904" s="2" t="s">
        <v>10055</v>
      </c>
      <c r="E2904" s="15">
        <v>-0.57579999999999998</v>
      </c>
      <c r="F2904" s="15">
        <v>1.3546</v>
      </c>
      <c r="G2904" s="15">
        <v>0.67079999999999995</v>
      </c>
      <c r="H2904" s="15">
        <v>3.7000000000000002E-3</v>
      </c>
      <c r="I2904" s="15">
        <v>1.2699999999999999E-2</v>
      </c>
      <c r="J2904" s="15">
        <v>0.48837209302325579</v>
      </c>
    </row>
    <row r="2905" spans="1:10" x14ac:dyDescent="0.25">
      <c r="A2905" s="2" t="s">
        <v>7955</v>
      </c>
      <c r="B2905" s="2" t="s">
        <v>7007</v>
      </c>
      <c r="C2905" s="2" t="s">
        <v>7956</v>
      </c>
      <c r="D2905" s="2" t="s">
        <v>10055</v>
      </c>
      <c r="E2905" s="15">
        <v>-1.15E-2</v>
      </c>
      <c r="F2905" s="15">
        <v>0.1202</v>
      </c>
      <c r="G2905" s="15">
        <v>0.92349999999999999</v>
      </c>
      <c r="H2905" s="15">
        <v>1.8599999999999998E-2</v>
      </c>
      <c r="I2905" s="15">
        <v>1.37E-2</v>
      </c>
      <c r="J2905" s="15">
        <v>1.782945736434109</v>
      </c>
    </row>
    <row r="2906" spans="1:10" x14ac:dyDescent="0.25">
      <c r="A2906" s="2" t="s">
        <v>7957</v>
      </c>
      <c r="B2906" s="2" t="s">
        <v>7007</v>
      </c>
      <c r="C2906" s="2" t="s">
        <v>7958</v>
      </c>
      <c r="D2906" s="2" t="s">
        <v>10055</v>
      </c>
      <c r="E2906" s="15">
        <v>0.1119</v>
      </c>
      <c r="F2906" s="15">
        <v>9.1800000000000007E-2</v>
      </c>
      <c r="G2906" s="15">
        <v>0.2228</v>
      </c>
      <c r="H2906" s="15">
        <v>4.0500000000000001E-2</v>
      </c>
      <c r="I2906" s="15">
        <v>1.5299999999999999E-2</v>
      </c>
      <c r="J2906" s="15">
        <v>2.9705882352941182</v>
      </c>
    </row>
    <row r="2907" spans="1:10" x14ac:dyDescent="0.25">
      <c r="A2907" s="2" t="s">
        <v>7959</v>
      </c>
      <c r="B2907" s="2" t="s">
        <v>7007</v>
      </c>
      <c r="C2907" s="2" t="s">
        <v>7960</v>
      </c>
      <c r="D2907" s="2" t="s">
        <v>10055</v>
      </c>
      <c r="E2907" s="15">
        <v>-0.2392</v>
      </c>
      <c r="F2907" s="15">
        <v>0.20780000000000001</v>
      </c>
      <c r="G2907" s="15">
        <v>0.24970000000000001</v>
      </c>
      <c r="H2907" s="15">
        <v>1.35E-2</v>
      </c>
      <c r="I2907" s="15">
        <v>1.52E-2</v>
      </c>
      <c r="J2907" s="15">
        <v>0.86986301369863006</v>
      </c>
    </row>
    <row r="2908" spans="1:10" x14ac:dyDescent="0.25">
      <c r="A2908" s="2" t="s">
        <v>7961</v>
      </c>
      <c r="B2908" s="2" t="s">
        <v>7007</v>
      </c>
      <c r="C2908" s="2" t="s">
        <v>7962</v>
      </c>
      <c r="D2908" s="2" t="s">
        <v>10055</v>
      </c>
      <c r="E2908" s="15">
        <v>-0.1497</v>
      </c>
      <c r="F2908" s="15">
        <v>0.1386</v>
      </c>
      <c r="G2908" s="15">
        <v>0.28010000000000002</v>
      </c>
      <c r="H2908" s="15">
        <v>1.8200000000000001E-2</v>
      </c>
      <c r="I2908" s="15">
        <v>1.3100000000000001E-2</v>
      </c>
      <c r="J2908" s="15">
        <v>1.136363636363636</v>
      </c>
    </row>
    <row r="2909" spans="1:10" x14ac:dyDescent="0.25">
      <c r="A2909" s="2" t="s">
        <v>7963</v>
      </c>
      <c r="B2909" s="2" t="s">
        <v>7007</v>
      </c>
      <c r="C2909" s="2" t="s">
        <v>7964</v>
      </c>
      <c r="D2909" s="2" t="s">
        <v>10055</v>
      </c>
      <c r="E2909" s="15">
        <v>-0.3569</v>
      </c>
      <c r="F2909" s="15">
        <v>0.60219999999999996</v>
      </c>
      <c r="G2909" s="15">
        <v>0.5534</v>
      </c>
      <c r="H2909" s="15">
        <v>5.1999999999999998E-3</v>
      </c>
      <c r="I2909" s="15">
        <v>1.41E-2</v>
      </c>
      <c r="J2909" s="15">
        <v>0.53103448275862064</v>
      </c>
    </row>
    <row r="2910" spans="1:10" x14ac:dyDescent="0.25">
      <c r="A2910" s="2" t="s">
        <v>7965</v>
      </c>
      <c r="B2910" s="2" t="s">
        <v>7007</v>
      </c>
      <c r="C2910" s="2" t="s">
        <v>7966</v>
      </c>
      <c r="D2910" s="2" t="s">
        <v>10055</v>
      </c>
      <c r="E2910" s="15"/>
      <c r="F2910" s="15"/>
      <c r="G2910" s="15"/>
      <c r="H2910" s="15">
        <v>-2.2000000000000001E-3</v>
      </c>
      <c r="I2910" s="15">
        <v>1.32E-2</v>
      </c>
      <c r="J2910" s="15">
        <v>0.30434782608695649</v>
      </c>
    </row>
    <row r="2911" spans="1:10" x14ac:dyDescent="0.25">
      <c r="A2911" s="2" t="s">
        <v>7967</v>
      </c>
      <c r="B2911" s="2" t="s">
        <v>7007</v>
      </c>
      <c r="C2911" s="2" t="s">
        <v>7968</v>
      </c>
      <c r="D2911" s="2" t="s">
        <v>10055</v>
      </c>
      <c r="E2911" s="15">
        <v>-0.2336</v>
      </c>
      <c r="F2911" s="15">
        <v>0.16439999999999999</v>
      </c>
      <c r="G2911" s="15">
        <v>0.15529999999999999</v>
      </c>
      <c r="H2911" s="15">
        <v>1.7500000000000002E-2</v>
      </c>
      <c r="I2911" s="15">
        <v>1.47E-2</v>
      </c>
      <c r="J2911" s="15">
        <v>1.02158273381295</v>
      </c>
    </row>
    <row r="2912" spans="1:10" x14ac:dyDescent="0.25">
      <c r="A2912" s="2" t="s">
        <v>7969</v>
      </c>
      <c r="B2912" s="2" t="s">
        <v>7007</v>
      </c>
      <c r="C2912" s="2" t="s">
        <v>7970</v>
      </c>
      <c r="D2912" s="2" t="s">
        <v>10055</v>
      </c>
      <c r="E2912" s="15">
        <v>-1.03E-2</v>
      </c>
      <c r="F2912" s="15">
        <v>0.10009999999999999</v>
      </c>
      <c r="G2912" s="15">
        <v>0.91790000000000005</v>
      </c>
      <c r="H2912" s="15">
        <v>2.7300000000000001E-2</v>
      </c>
      <c r="I2912" s="15">
        <v>1.4E-2</v>
      </c>
      <c r="J2912" s="15">
        <v>2.907692307692308</v>
      </c>
    </row>
    <row r="2913" spans="1:10" x14ac:dyDescent="0.25">
      <c r="A2913" s="2" t="s">
        <v>7971</v>
      </c>
      <c r="B2913" s="2" t="s">
        <v>7007</v>
      </c>
      <c r="C2913" s="2" t="s">
        <v>7972</v>
      </c>
      <c r="D2913" s="2" t="s">
        <v>10055</v>
      </c>
      <c r="E2913" s="15">
        <v>-0.1958</v>
      </c>
      <c r="F2913" s="15">
        <v>0.108</v>
      </c>
      <c r="G2913" s="15">
        <v>7.0000000000000007E-2</v>
      </c>
      <c r="H2913" s="15">
        <v>2.7400000000000001E-2</v>
      </c>
      <c r="I2913" s="15">
        <v>1.4200000000000001E-2</v>
      </c>
      <c r="J2913" s="15">
        <v>1.7397260273972599</v>
      </c>
    </row>
    <row r="2914" spans="1:10" x14ac:dyDescent="0.25">
      <c r="A2914" s="2" t="s">
        <v>7973</v>
      </c>
      <c r="B2914" s="2" t="s">
        <v>7007</v>
      </c>
      <c r="C2914" s="2" t="s">
        <v>7974</v>
      </c>
      <c r="D2914" s="2" t="s">
        <v>10055</v>
      </c>
      <c r="E2914" s="15">
        <v>0.1094</v>
      </c>
      <c r="F2914" s="15">
        <v>0.1109</v>
      </c>
      <c r="G2914" s="15">
        <v>0.32379999999999998</v>
      </c>
      <c r="H2914" s="15">
        <v>2.5600000000000001E-2</v>
      </c>
      <c r="I2914" s="15">
        <v>1.4E-2</v>
      </c>
      <c r="J2914" s="15">
        <v>1.695652173913043</v>
      </c>
    </row>
    <row r="2915" spans="1:10" x14ac:dyDescent="0.25">
      <c r="A2915" s="2" t="s">
        <v>7975</v>
      </c>
      <c r="B2915" s="2" t="s">
        <v>7007</v>
      </c>
      <c r="C2915" s="2" t="s">
        <v>7976</v>
      </c>
      <c r="D2915" s="2" t="s">
        <v>10055</v>
      </c>
      <c r="E2915" s="15">
        <v>-0.14810000000000001</v>
      </c>
      <c r="F2915" s="15">
        <v>7.5899999999999995E-2</v>
      </c>
      <c r="G2915" s="15">
        <v>5.1200000000000002E-2</v>
      </c>
      <c r="H2915" s="15">
        <v>4.6800000000000001E-2</v>
      </c>
      <c r="I2915" s="15">
        <v>1.4500000000000001E-2</v>
      </c>
      <c r="J2915" s="15">
        <v>3.631205673758866</v>
      </c>
    </row>
    <row r="2916" spans="1:10" x14ac:dyDescent="0.25">
      <c r="A2916" s="2" t="s">
        <v>7977</v>
      </c>
      <c r="B2916" s="2" t="s">
        <v>7007</v>
      </c>
      <c r="C2916" s="2" t="s">
        <v>7978</v>
      </c>
      <c r="D2916" s="2" t="s">
        <v>10055</v>
      </c>
      <c r="E2916" s="15"/>
      <c r="F2916" s="15"/>
      <c r="G2916" s="15"/>
      <c r="H2916" s="15"/>
      <c r="I2916" s="15"/>
      <c r="J2916" s="15">
        <v>-0.2170542635658915</v>
      </c>
    </row>
    <row r="2917" spans="1:10" x14ac:dyDescent="0.25">
      <c r="A2917" s="2" t="s">
        <v>7979</v>
      </c>
      <c r="B2917" s="2" t="s">
        <v>7007</v>
      </c>
      <c r="C2917" s="2" t="s">
        <v>7980</v>
      </c>
      <c r="D2917" s="2" t="s">
        <v>10055</v>
      </c>
      <c r="E2917" s="15">
        <v>0.21929999999999999</v>
      </c>
      <c r="F2917" s="15">
        <v>0.20610000000000001</v>
      </c>
      <c r="G2917" s="15">
        <v>0.2873</v>
      </c>
      <c r="H2917" s="15">
        <v>1.21E-2</v>
      </c>
      <c r="I2917" s="15">
        <v>1.32E-2</v>
      </c>
      <c r="J2917" s="15">
        <v>0.96850393700787407</v>
      </c>
    </row>
    <row r="2918" spans="1:10" x14ac:dyDescent="0.25">
      <c r="A2918" s="2" t="s">
        <v>7981</v>
      </c>
      <c r="B2918" s="2" t="s">
        <v>7007</v>
      </c>
      <c r="C2918" s="2" t="s">
        <v>7982</v>
      </c>
      <c r="D2918" s="2" t="s">
        <v>10055</v>
      </c>
      <c r="E2918" s="15">
        <v>-4.4999999999999998E-2</v>
      </c>
      <c r="F2918" s="15">
        <v>8.3699999999999997E-2</v>
      </c>
      <c r="G2918" s="15">
        <v>0.59109999999999996</v>
      </c>
      <c r="H2918" s="15">
        <v>4.7399999999999998E-2</v>
      </c>
      <c r="I2918" s="15">
        <v>1.89E-2</v>
      </c>
      <c r="J2918" s="15">
        <v>2.7541899441340778</v>
      </c>
    </row>
    <row r="2919" spans="1:10" x14ac:dyDescent="0.25">
      <c r="A2919" s="2" t="s">
        <v>7983</v>
      </c>
      <c r="B2919" s="2" t="s">
        <v>7007</v>
      </c>
      <c r="C2919" s="2" t="s">
        <v>7984</v>
      </c>
      <c r="D2919" s="2" t="s">
        <v>10055</v>
      </c>
      <c r="E2919" s="15">
        <v>-1.4999999999999999E-2</v>
      </c>
      <c r="F2919" s="15">
        <v>0.12529999999999999</v>
      </c>
      <c r="G2919" s="15">
        <v>0.90469999999999995</v>
      </c>
      <c r="H2919" s="15">
        <v>2.0500000000000001E-2</v>
      </c>
      <c r="I2919" s="15">
        <v>1.3899999999999999E-2</v>
      </c>
      <c r="J2919" s="15">
        <v>1.928571428571429</v>
      </c>
    </row>
    <row r="2920" spans="1:10" x14ac:dyDescent="0.25">
      <c r="A2920" s="2" t="s">
        <v>7985</v>
      </c>
      <c r="B2920" s="2" t="s">
        <v>7007</v>
      </c>
      <c r="C2920" s="2" t="s">
        <v>7986</v>
      </c>
      <c r="D2920" s="2" t="s">
        <v>10055</v>
      </c>
      <c r="E2920" s="15"/>
      <c r="F2920" s="15"/>
      <c r="G2920" s="15"/>
      <c r="H2920" s="15"/>
      <c r="I2920" s="15"/>
      <c r="J2920" s="15">
        <v>-9.9290780141843976E-2</v>
      </c>
    </row>
    <row r="2921" spans="1:10" x14ac:dyDescent="0.25">
      <c r="A2921" s="2" t="s">
        <v>7987</v>
      </c>
      <c r="B2921" s="2" t="s">
        <v>7007</v>
      </c>
      <c r="C2921" s="2" t="s">
        <v>7988</v>
      </c>
      <c r="D2921" s="2" t="s">
        <v>10055</v>
      </c>
      <c r="E2921" s="15">
        <v>6.0199999999999997E-2</v>
      </c>
      <c r="F2921" s="15">
        <v>0.1168</v>
      </c>
      <c r="G2921" s="15">
        <v>0.60609999999999997</v>
      </c>
      <c r="H2921" s="15">
        <v>2.1000000000000001E-2</v>
      </c>
      <c r="I2921" s="15">
        <v>1.3899999999999999E-2</v>
      </c>
      <c r="J2921" s="15">
        <v>1.2222222222222221</v>
      </c>
    </row>
    <row r="2922" spans="1:10" x14ac:dyDescent="0.25">
      <c r="A2922" s="2" t="s">
        <v>7989</v>
      </c>
      <c r="B2922" s="2" t="s">
        <v>7007</v>
      </c>
      <c r="C2922" s="2" t="s">
        <v>7990</v>
      </c>
      <c r="D2922" s="2" t="s">
        <v>10055</v>
      </c>
      <c r="E2922" s="15">
        <v>-0.1075</v>
      </c>
      <c r="F2922" s="15">
        <v>0.1007</v>
      </c>
      <c r="G2922" s="15">
        <v>0.28599999999999998</v>
      </c>
      <c r="H2922" s="15">
        <v>3.8399999999999997E-2</v>
      </c>
      <c r="I2922" s="15">
        <v>1.41E-2</v>
      </c>
      <c r="J2922" s="15">
        <v>3.5827338129496402</v>
      </c>
    </row>
    <row r="2923" spans="1:10" x14ac:dyDescent="0.25">
      <c r="A2923" s="2" t="s">
        <v>7991</v>
      </c>
      <c r="B2923" s="2" t="s">
        <v>7007</v>
      </c>
      <c r="C2923" s="2" t="s">
        <v>7992</v>
      </c>
      <c r="D2923" s="2" t="s">
        <v>10055</v>
      </c>
      <c r="E2923" s="15">
        <v>9.2999999999999992E-3</v>
      </c>
      <c r="F2923" s="15">
        <v>0.21360000000000001</v>
      </c>
      <c r="G2923" s="15">
        <v>0.96509999999999996</v>
      </c>
      <c r="H2923" s="15">
        <v>6.1999999999999998E-3</v>
      </c>
      <c r="I2923" s="15">
        <v>1.44E-2</v>
      </c>
      <c r="J2923" s="15">
        <v>0.48979591836734693</v>
      </c>
    </row>
    <row r="2924" spans="1:10" x14ac:dyDescent="0.25">
      <c r="A2924" s="2" t="s">
        <v>7993</v>
      </c>
      <c r="B2924" s="2" t="s">
        <v>7007</v>
      </c>
      <c r="C2924" s="2" t="s">
        <v>7994</v>
      </c>
      <c r="D2924" s="2" t="s">
        <v>10055</v>
      </c>
      <c r="E2924" s="15">
        <v>0.1087</v>
      </c>
      <c r="F2924" s="15">
        <v>9.4399999999999998E-2</v>
      </c>
      <c r="G2924" s="15">
        <v>0.24940000000000001</v>
      </c>
      <c r="H2924" s="15">
        <v>3.0499999999999999E-2</v>
      </c>
      <c r="I2924" s="15">
        <v>1.72E-2</v>
      </c>
      <c r="J2924" s="15">
        <v>2.1840490797546011</v>
      </c>
    </row>
    <row r="2925" spans="1:10" x14ac:dyDescent="0.25">
      <c r="A2925" s="2" t="s">
        <v>7995</v>
      </c>
      <c r="B2925" s="2" t="s">
        <v>7007</v>
      </c>
      <c r="C2925" s="2" t="s">
        <v>7996</v>
      </c>
      <c r="D2925" s="2" t="s">
        <v>10055</v>
      </c>
      <c r="E2925" s="15">
        <v>-9.3100000000000002E-2</v>
      </c>
      <c r="F2925" s="15">
        <v>5.6099999999999997E-2</v>
      </c>
      <c r="G2925" s="15">
        <v>9.69E-2</v>
      </c>
      <c r="H2925" s="15">
        <v>7.4499999999999997E-2</v>
      </c>
      <c r="I2925" s="15">
        <v>1.3899999999999999E-2</v>
      </c>
      <c r="J2925" s="15">
        <v>5.5144927536231876</v>
      </c>
    </row>
    <row r="2926" spans="1:10" x14ac:dyDescent="0.25">
      <c r="A2926" s="2" t="s">
        <v>7997</v>
      </c>
      <c r="B2926" s="2" t="s">
        <v>7007</v>
      </c>
      <c r="C2926" s="2" t="s">
        <v>7998</v>
      </c>
      <c r="D2926" s="2" t="s">
        <v>10055</v>
      </c>
      <c r="E2926" s="15"/>
      <c r="F2926" s="15"/>
      <c r="G2926" s="15"/>
      <c r="H2926" s="15">
        <v>-5.7000000000000002E-3</v>
      </c>
      <c r="I2926" s="15">
        <v>1.34E-2</v>
      </c>
      <c r="J2926" s="15">
        <v>-9.0225563909774431E-2</v>
      </c>
    </row>
    <row r="2927" spans="1:10" x14ac:dyDescent="0.25">
      <c r="A2927" s="2" t="s">
        <v>7999</v>
      </c>
      <c r="B2927" s="2" t="s">
        <v>7007</v>
      </c>
      <c r="C2927" s="2" t="s">
        <v>8000</v>
      </c>
      <c r="D2927" s="2" t="s">
        <v>10055</v>
      </c>
      <c r="E2927" s="15">
        <v>-5.6399999999999999E-2</v>
      </c>
      <c r="F2927" s="15">
        <v>0.1056</v>
      </c>
      <c r="G2927" s="15">
        <v>0.59299999999999997</v>
      </c>
      <c r="H2927" s="15">
        <v>3.0099999999999998E-2</v>
      </c>
      <c r="I2927" s="15">
        <v>1.5699999999999999E-2</v>
      </c>
      <c r="J2927" s="15">
        <v>1.98</v>
      </c>
    </row>
    <row r="2928" spans="1:10" x14ac:dyDescent="0.25">
      <c r="A2928" s="2" t="s">
        <v>8001</v>
      </c>
      <c r="B2928" s="2" t="s">
        <v>7007</v>
      </c>
      <c r="C2928" s="2" t="s">
        <v>8002</v>
      </c>
      <c r="D2928" s="2" t="s">
        <v>10055</v>
      </c>
      <c r="E2928" s="15">
        <v>4.8599999999999997E-2</v>
      </c>
      <c r="F2928" s="15">
        <v>6.8500000000000005E-2</v>
      </c>
      <c r="G2928" s="15">
        <v>0.47820000000000001</v>
      </c>
      <c r="H2928" s="15">
        <v>7.6600000000000001E-2</v>
      </c>
      <c r="I2928" s="15">
        <v>1.5900000000000001E-2</v>
      </c>
      <c r="J2928" s="15">
        <v>5.1788079470198678</v>
      </c>
    </row>
    <row r="2929" spans="1:10" x14ac:dyDescent="0.25">
      <c r="A2929" s="2" t="s">
        <v>8003</v>
      </c>
      <c r="B2929" s="2" t="s">
        <v>7007</v>
      </c>
      <c r="C2929" s="2" t="s">
        <v>8004</v>
      </c>
      <c r="D2929" s="2" t="s">
        <v>10055</v>
      </c>
      <c r="E2929" s="15">
        <v>0.24329999999999999</v>
      </c>
      <c r="F2929" s="15">
        <v>0.1487</v>
      </c>
      <c r="G2929" s="15">
        <v>0.1019</v>
      </c>
      <c r="H2929" s="15">
        <v>1.78E-2</v>
      </c>
      <c r="I2929" s="15">
        <v>1.23E-2</v>
      </c>
      <c r="J2929" s="15">
        <v>0.9</v>
      </c>
    </row>
    <row r="2930" spans="1:10" x14ac:dyDescent="0.25">
      <c r="A2930" s="2" t="s">
        <v>8005</v>
      </c>
      <c r="B2930" s="2" t="s">
        <v>7007</v>
      </c>
      <c r="C2930" s="2" t="s">
        <v>8006</v>
      </c>
      <c r="D2930" s="2" t="s">
        <v>10055</v>
      </c>
      <c r="E2930" s="15">
        <v>-9.9699999999999997E-2</v>
      </c>
      <c r="F2930" s="15">
        <v>7.8399999999999997E-2</v>
      </c>
      <c r="G2930" s="15">
        <v>0.20369999999999999</v>
      </c>
      <c r="H2930" s="15">
        <v>5.0599999999999999E-2</v>
      </c>
      <c r="I2930" s="15">
        <v>1.55E-2</v>
      </c>
      <c r="J2930" s="15">
        <v>3.8613138686131392</v>
      </c>
    </row>
    <row r="2931" spans="1:10" x14ac:dyDescent="0.25">
      <c r="A2931" s="2" t="s">
        <v>8007</v>
      </c>
      <c r="B2931" s="2" t="s">
        <v>7007</v>
      </c>
      <c r="C2931" s="2" t="s">
        <v>8008</v>
      </c>
      <c r="D2931" s="2" t="s">
        <v>10055</v>
      </c>
      <c r="E2931" s="15">
        <v>2.1600000000000001E-2</v>
      </c>
      <c r="F2931" s="15">
        <v>6.9400000000000003E-2</v>
      </c>
      <c r="G2931" s="15">
        <v>0.75549999999999995</v>
      </c>
      <c r="H2931" s="15">
        <v>8.1199999999999994E-2</v>
      </c>
      <c r="I2931" s="15">
        <v>1.83E-2</v>
      </c>
      <c r="J2931" s="15">
        <v>4.6353591160220988</v>
      </c>
    </row>
    <row r="2932" spans="1:10" x14ac:dyDescent="0.25">
      <c r="A2932" s="2" t="s">
        <v>8009</v>
      </c>
      <c r="B2932" s="2" t="s">
        <v>7007</v>
      </c>
      <c r="C2932" s="2" t="s">
        <v>8010</v>
      </c>
      <c r="D2932" s="2" t="s">
        <v>10055</v>
      </c>
      <c r="E2932" s="15"/>
      <c r="F2932" s="15"/>
      <c r="G2932" s="15"/>
      <c r="H2932" s="15">
        <v>-4.0000000000000001E-3</v>
      </c>
      <c r="I2932" s="15">
        <v>1.3899999999999999E-2</v>
      </c>
      <c r="J2932" s="15">
        <v>-0.5</v>
      </c>
    </row>
    <row r="2933" spans="1:10" x14ac:dyDescent="0.25">
      <c r="A2933" s="2" t="s">
        <v>8011</v>
      </c>
      <c r="B2933" s="2" t="s">
        <v>7007</v>
      </c>
      <c r="C2933" s="2" t="s">
        <v>8012</v>
      </c>
      <c r="D2933" s="2" t="s">
        <v>10055</v>
      </c>
      <c r="E2933" s="15">
        <v>0.13159999999999999</v>
      </c>
      <c r="F2933" s="15">
        <v>7.0000000000000007E-2</v>
      </c>
      <c r="G2933" s="15">
        <v>0.06</v>
      </c>
      <c r="H2933" s="15">
        <v>7.22E-2</v>
      </c>
      <c r="I2933" s="15">
        <v>1.38E-2</v>
      </c>
      <c r="J2933" s="15">
        <v>4.9064748201438846</v>
      </c>
    </row>
    <row r="2934" spans="1:10" x14ac:dyDescent="0.25">
      <c r="A2934" s="2" t="s">
        <v>8013</v>
      </c>
      <c r="B2934" s="2" t="s">
        <v>7007</v>
      </c>
      <c r="C2934" s="2" t="s">
        <v>8014</v>
      </c>
      <c r="D2934" s="2" t="s">
        <v>10055</v>
      </c>
      <c r="E2934" s="15">
        <v>-0.10639999999999999</v>
      </c>
      <c r="F2934" s="15">
        <v>0.21299999999999999</v>
      </c>
      <c r="G2934" s="15">
        <v>0.61739999999999995</v>
      </c>
      <c r="H2934" s="15">
        <v>7.4999999999999997E-3</v>
      </c>
      <c r="I2934" s="15">
        <v>1.32E-2</v>
      </c>
      <c r="J2934" s="15">
        <v>0.44094488188976377</v>
      </c>
    </row>
    <row r="2935" spans="1:10" x14ac:dyDescent="0.25">
      <c r="A2935" s="2" t="s">
        <v>8015</v>
      </c>
      <c r="B2935" s="2" t="s">
        <v>7007</v>
      </c>
      <c r="C2935" s="2" t="s">
        <v>8016</v>
      </c>
      <c r="D2935" s="2" t="s">
        <v>10055</v>
      </c>
      <c r="E2935" s="15">
        <v>-5.33E-2</v>
      </c>
      <c r="F2935" s="15">
        <v>7.6600000000000001E-2</v>
      </c>
      <c r="G2935" s="15">
        <v>0.4864</v>
      </c>
      <c r="H2935" s="15">
        <v>5.7299999999999997E-2</v>
      </c>
      <c r="I2935" s="15">
        <v>1.4800000000000001E-2</v>
      </c>
      <c r="J2935" s="15">
        <v>4.5586206896551724</v>
      </c>
    </row>
    <row r="2936" spans="1:10" x14ac:dyDescent="0.25">
      <c r="A2936" s="2" t="s">
        <v>8017</v>
      </c>
      <c r="B2936" s="2" t="s">
        <v>7007</v>
      </c>
      <c r="C2936" s="2" t="s">
        <v>8018</v>
      </c>
      <c r="D2936" s="2" t="s">
        <v>10055</v>
      </c>
      <c r="E2936" s="15">
        <v>-0.1439</v>
      </c>
      <c r="F2936" s="15">
        <v>0.10290000000000001</v>
      </c>
      <c r="G2936" s="15">
        <v>0.1618</v>
      </c>
      <c r="H2936" s="15">
        <v>3.5099999999999999E-2</v>
      </c>
      <c r="I2936" s="15">
        <v>1.46E-2</v>
      </c>
      <c r="J2936" s="15">
        <v>3.3255813953488369</v>
      </c>
    </row>
    <row r="2937" spans="1:10" x14ac:dyDescent="0.25">
      <c r="A2937" s="2" t="s">
        <v>8019</v>
      </c>
      <c r="B2937" s="2" t="s">
        <v>7007</v>
      </c>
      <c r="C2937" s="2" t="s">
        <v>8020</v>
      </c>
      <c r="D2937" s="2" t="s">
        <v>10055</v>
      </c>
      <c r="E2937" s="15">
        <v>0.12889999999999999</v>
      </c>
      <c r="F2937" s="15">
        <v>7.4700000000000003E-2</v>
      </c>
      <c r="G2937" s="15">
        <v>8.43E-2</v>
      </c>
      <c r="H2937" s="15">
        <v>5.4300000000000001E-2</v>
      </c>
      <c r="I2937" s="15">
        <v>1.52E-2</v>
      </c>
      <c r="J2937" s="15">
        <v>3.541666666666667</v>
      </c>
    </row>
    <row r="2938" spans="1:10" x14ac:dyDescent="0.25">
      <c r="A2938" s="2" t="s">
        <v>8021</v>
      </c>
      <c r="B2938" s="2" t="s">
        <v>7007</v>
      </c>
      <c r="C2938" s="2" t="s">
        <v>8022</v>
      </c>
      <c r="D2938" s="2" t="s">
        <v>10055</v>
      </c>
      <c r="E2938" s="15">
        <v>-3.6700000000000003E-2</v>
      </c>
      <c r="F2938" s="15">
        <v>6.8900000000000003E-2</v>
      </c>
      <c r="G2938" s="15">
        <v>0.59460000000000002</v>
      </c>
      <c r="H2938" s="15">
        <v>6.3700000000000007E-2</v>
      </c>
      <c r="I2938" s="15">
        <v>1.4800000000000001E-2</v>
      </c>
      <c r="J2938" s="15">
        <v>4.5</v>
      </c>
    </row>
    <row r="2939" spans="1:10" x14ac:dyDescent="0.25">
      <c r="A2939" s="2" t="s">
        <v>8023</v>
      </c>
      <c r="B2939" s="2" t="s">
        <v>7007</v>
      </c>
      <c r="C2939" s="2" t="s">
        <v>8024</v>
      </c>
      <c r="D2939" s="2" t="s">
        <v>10055</v>
      </c>
      <c r="E2939" s="15">
        <v>-6.8500000000000005E-2</v>
      </c>
      <c r="F2939" s="15">
        <v>5.8000000000000003E-2</v>
      </c>
      <c r="G2939" s="15">
        <v>0.23730000000000001</v>
      </c>
      <c r="H2939" s="15">
        <v>0.1019</v>
      </c>
      <c r="I2939" s="15">
        <v>1.4999999999999999E-2</v>
      </c>
      <c r="J2939" s="15">
        <v>6.1730769230769234</v>
      </c>
    </row>
    <row r="2940" spans="1:10" x14ac:dyDescent="0.25">
      <c r="A2940" s="2" t="s">
        <v>8025</v>
      </c>
      <c r="B2940" s="2" t="s">
        <v>7007</v>
      </c>
      <c r="C2940" s="2" t="s">
        <v>8026</v>
      </c>
      <c r="D2940" s="2" t="s">
        <v>10055</v>
      </c>
      <c r="E2940" s="15">
        <v>-3.8100000000000002E-2</v>
      </c>
      <c r="F2940" s="15">
        <v>0.12570000000000001</v>
      </c>
      <c r="G2940" s="15">
        <v>0.76160000000000005</v>
      </c>
      <c r="H2940" s="15">
        <v>2.1000000000000001E-2</v>
      </c>
      <c r="I2940" s="15">
        <v>1.4E-2</v>
      </c>
      <c r="J2940" s="15">
        <v>1.0671641791044779</v>
      </c>
    </row>
    <row r="2941" spans="1:10" x14ac:dyDescent="0.25">
      <c r="A2941" s="2" t="s">
        <v>8027</v>
      </c>
      <c r="B2941" s="2" t="s">
        <v>7007</v>
      </c>
      <c r="C2941" s="2" t="s">
        <v>8028</v>
      </c>
      <c r="D2941" s="2" t="s">
        <v>10055</v>
      </c>
      <c r="E2941" s="15">
        <v>0.23169999999999999</v>
      </c>
      <c r="F2941" s="15">
        <v>9.8100000000000007E-2</v>
      </c>
      <c r="G2941" s="15">
        <v>1.8200000000000001E-2</v>
      </c>
      <c r="H2941" s="15">
        <v>0.04</v>
      </c>
      <c r="I2941" s="15">
        <v>1.46E-2</v>
      </c>
      <c r="J2941" s="15">
        <v>2.7794117647058831</v>
      </c>
    </row>
    <row r="2942" spans="1:10" x14ac:dyDescent="0.25">
      <c r="A2942" s="2" t="s">
        <v>8029</v>
      </c>
      <c r="B2942" s="2" t="s">
        <v>7007</v>
      </c>
      <c r="C2942" s="2" t="s">
        <v>8030</v>
      </c>
      <c r="D2942" s="2" t="s">
        <v>10055</v>
      </c>
      <c r="E2942" s="15">
        <v>4.2900000000000001E-2</v>
      </c>
      <c r="F2942" s="15">
        <v>0.12859999999999999</v>
      </c>
      <c r="G2942" s="15">
        <v>0.73860000000000003</v>
      </c>
      <c r="H2942" s="15">
        <v>1.8200000000000001E-2</v>
      </c>
      <c r="I2942" s="15">
        <v>1.38E-2</v>
      </c>
      <c r="J2942" s="15">
        <v>0.97101449275362328</v>
      </c>
    </row>
    <row r="2943" spans="1:10" x14ac:dyDescent="0.25">
      <c r="A2943" s="2" t="s">
        <v>8031</v>
      </c>
      <c r="B2943" s="2" t="s">
        <v>7007</v>
      </c>
      <c r="C2943" s="2" t="s">
        <v>8032</v>
      </c>
      <c r="D2943" s="2" t="s">
        <v>10055</v>
      </c>
      <c r="E2943" s="15"/>
      <c r="F2943" s="15"/>
      <c r="G2943" s="15"/>
      <c r="H2943" s="15">
        <v>-5.7000000000000002E-3</v>
      </c>
      <c r="I2943" s="15">
        <v>1.35E-2</v>
      </c>
      <c r="J2943" s="15">
        <v>-0.1068702290076336</v>
      </c>
    </row>
    <row r="2944" spans="1:10" x14ac:dyDescent="0.25">
      <c r="A2944" s="2" t="s">
        <v>8033</v>
      </c>
      <c r="B2944" s="2" t="s">
        <v>7007</v>
      </c>
      <c r="C2944" s="2" t="s">
        <v>8034</v>
      </c>
      <c r="D2944" s="2" t="s">
        <v>10055</v>
      </c>
      <c r="E2944" s="15">
        <v>-0.1172</v>
      </c>
      <c r="F2944" s="15">
        <v>8.2000000000000003E-2</v>
      </c>
      <c r="G2944" s="15">
        <v>0.153</v>
      </c>
      <c r="H2944" s="15">
        <v>4.6899999999999997E-2</v>
      </c>
      <c r="I2944" s="15">
        <v>1.6299999999999999E-2</v>
      </c>
      <c r="J2944" s="15">
        <v>3.0588235294117649</v>
      </c>
    </row>
    <row r="2945" spans="1:10" x14ac:dyDescent="0.25">
      <c r="A2945" s="2" t="s">
        <v>8035</v>
      </c>
      <c r="B2945" s="2" t="s">
        <v>7007</v>
      </c>
      <c r="C2945" s="2" t="s">
        <v>8036</v>
      </c>
      <c r="D2945" s="2" t="s">
        <v>10055</v>
      </c>
      <c r="E2945" s="15">
        <v>1.06E-2</v>
      </c>
      <c r="F2945" s="15">
        <v>8.1900000000000001E-2</v>
      </c>
      <c r="G2945" s="15">
        <v>0.89729999999999999</v>
      </c>
      <c r="H2945" s="15">
        <v>4.6699999999999998E-2</v>
      </c>
      <c r="I2945" s="15">
        <v>1.46E-2</v>
      </c>
      <c r="J2945" s="15">
        <v>3.3923076923076931</v>
      </c>
    </row>
    <row r="2946" spans="1:10" x14ac:dyDescent="0.25">
      <c r="A2946" s="2" t="s">
        <v>8037</v>
      </c>
      <c r="B2946" s="2" t="s">
        <v>7007</v>
      </c>
      <c r="C2946" s="2" t="s">
        <v>8038</v>
      </c>
      <c r="D2946" s="2" t="s">
        <v>10055</v>
      </c>
      <c r="E2946" s="15">
        <v>0.15579999999999999</v>
      </c>
      <c r="F2946" s="15">
        <v>0.1032</v>
      </c>
      <c r="G2946" s="15">
        <v>0.13109999999999999</v>
      </c>
      <c r="H2946" s="15">
        <v>3.15E-2</v>
      </c>
      <c r="I2946" s="15">
        <v>1.3100000000000001E-2</v>
      </c>
      <c r="J2946" s="15">
        <v>2.5227272727272729</v>
      </c>
    </row>
    <row r="2947" spans="1:10" x14ac:dyDescent="0.25">
      <c r="A2947" s="2" t="s">
        <v>8039</v>
      </c>
      <c r="B2947" s="2" t="s">
        <v>7007</v>
      </c>
      <c r="C2947" s="2" t="s">
        <v>8040</v>
      </c>
      <c r="D2947" s="2" t="s">
        <v>10055</v>
      </c>
      <c r="E2947" s="15">
        <v>-3.8100000000000002E-2</v>
      </c>
      <c r="F2947" s="15">
        <v>6.5000000000000002E-2</v>
      </c>
      <c r="G2947" s="15">
        <v>0.55759999999999998</v>
      </c>
      <c r="H2947" s="15">
        <v>8.2900000000000001E-2</v>
      </c>
      <c r="I2947" s="15">
        <v>1.7000000000000001E-2</v>
      </c>
      <c r="J2947" s="15">
        <v>4.875</v>
      </c>
    </row>
    <row r="2948" spans="1:10" x14ac:dyDescent="0.25">
      <c r="A2948" s="2" t="s">
        <v>8041</v>
      </c>
      <c r="B2948" s="2" t="s">
        <v>7007</v>
      </c>
      <c r="C2948" s="2" t="s">
        <v>8042</v>
      </c>
      <c r="D2948" s="2" t="s">
        <v>10055</v>
      </c>
      <c r="E2948" s="15">
        <v>-0.1116</v>
      </c>
      <c r="F2948" s="15">
        <v>7.8299999999999995E-2</v>
      </c>
      <c r="G2948" s="15">
        <v>0.15390000000000001</v>
      </c>
      <c r="H2948" s="15">
        <v>5.3999999999999999E-2</v>
      </c>
      <c r="I2948" s="15">
        <v>1.5299999999999999E-2</v>
      </c>
      <c r="J2948" s="15">
        <v>4.2534246575342456</v>
      </c>
    </row>
    <row r="2949" spans="1:10" x14ac:dyDescent="0.25">
      <c r="A2949" s="2" t="s">
        <v>8043</v>
      </c>
      <c r="B2949" s="2" t="s">
        <v>7007</v>
      </c>
      <c r="C2949" s="2" t="s">
        <v>8044</v>
      </c>
      <c r="D2949" s="2" t="s">
        <v>10055</v>
      </c>
      <c r="E2949" s="15">
        <v>1.7600000000000001E-2</v>
      </c>
      <c r="F2949" s="15">
        <v>0.24779999999999999</v>
      </c>
      <c r="G2949" s="15">
        <v>0.94330000000000003</v>
      </c>
      <c r="H2949" s="15">
        <v>5.1999999999999998E-3</v>
      </c>
      <c r="I2949" s="15">
        <v>1.4200000000000001E-2</v>
      </c>
      <c r="J2949" s="15">
        <v>5.4736956521739136E-4</v>
      </c>
    </row>
    <row r="2950" spans="1:10" x14ac:dyDescent="0.25">
      <c r="A2950" s="2" t="s">
        <v>8045</v>
      </c>
      <c r="B2950" s="2" t="s">
        <v>7007</v>
      </c>
      <c r="C2950" s="2" t="s">
        <v>8046</v>
      </c>
      <c r="D2950" s="2" t="s">
        <v>10055</v>
      </c>
      <c r="E2950" s="15">
        <v>8.3500000000000005E-2</v>
      </c>
      <c r="F2950" s="15">
        <v>0.1053</v>
      </c>
      <c r="G2950" s="15">
        <v>0.4279</v>
      </c>
      <c r="H2950" s="15">
        <v>2.6700000000000002E-2</v>
      </c>
      <c r="I2950" s="15">
        <v>1.5100000000000001E-2</v>
      </c>
      <c r="J2950" s="15">
        <v>1.774647887323944</v>
      </c>
    </row>
    <row r="2951" spans="1:10" x14ac:dyDescent="0.25">
      <c r="A2951" s="2" t="s">
        <v>8047</v>
      </c>
      <c r="B2951" s="2" t="s">
        <v>7007</v>
      </c>
      <c r="C2951" s="2" t="s">
        <v>8048</v>
      </c>
      <c r="D2951" s="2" t="s">
        <v>10055</v>
      </c>
      <c r="E2951" s="15">
        <v>6.9199999999999998E-2</v>
      </c>
      <c r="F2951" s="15">
        <v>6.08E-2</v>
      </c>
      <c r="G2951" s="15">
        <v>0.25569999999999998</v>
      </c>
      <c r="H2951" s="15">
        <v>9.4E-2</v>
      </c>
      <c r="I2951" s="15">
        <v>1.7500000000000002E-2</v>
      </c>
      <c r="J2951" s="15">
        <v>5.8323353293413174</v>
      </c>
    </row>
    <row r="2952" spans="1:10" x14ac:dyDescent="0.25">
      <c r="A2952" s="2" t="s">
        <v>8049</v>
      </c>
      <c r="B2952" s="2" t="s">
        <v>7007</v>
      </c>
      <c r="C2952" s="2" t="s">
        <v>8050</v>
      </c>
      <c r="D2952" s="2" t="s">
        <v>10055</v>
      </c>
      <c r="E2952" s="15">
        <v>-3.6600000000000001E-2</v>
      </c>
      <c r="F2952" s="15">
        <v>7.7200000000000005E-2</v>
      </c>
      <c r="G2952" s="15">
        <v>0.63560000000000005</v>
      </c>
      <c r="H2952" s="15">
        <v>5.5500000000000001E-2</v>
      </c>
      <c r="I2952" s="15">
        <v>1.52E-2</v>
      </c>
      <c r="J2952" s="15">
        <v>4.1888111888111892</v>
      </c>
    </row>
    <row r="2953" spans="1:10" x14ac:dyDescent="0.25">
      <c r="A2953" s="2" t="s">
        <v>8051</v>
      </c>
      <c r="B2953" s="2" t="s">
        <v>7007</v>
      </c>
      <c r="C2953" s="2" t="s">
        <v>8052</v>
      </c>
      <c r="D2953" s="2" t="s">
        <v>10055</v>
      </c>
      <c r="E2953" s="15">
        <v>-8.9999999999999998E-4</v>
      </c>
      <c r="F2953" s="15">
        <v>9.1200000000000003E-2</v>
      </c>
      <c r="G2953" s="15">
        <v>0.99180000000000001</v>
      </c>
      <c r="H2953" s="15">
        <v>3.6799999999999999E-2</v>
      </c>
      <c r="I2953" s="15">
        <v>1.5299999999999999E-2</v>
      </c>
      <c r="J2953" s="15">
        <v>2.2721088435374148</v>
      </c>
    </row>
    <row r="2954" spans="1:10" x14ac:dyDescent="0.25">
      <c r="A2954" s="2" t="s">
        <v>8053</v>
      </c>
      <c r="B2954" s="2" t="s">
        <v>7007</v>
      </c>
      <c r="C2954" s="2" t="s">
        <v>8054</v>
      </c>
      <c r="D2954" s="2" t="s">
        <v>10055</v>
      </c>
      <c r="E2954" s="15">
        <v>-7.9399999999999998E-2</v>
      </c>
      <c r="F2954" s="15">
        <v>7.0400000000000004E-2</v>
      </c>
      <c r="G2954" s="15">
        <v>0.25919999999999999</v>
      </c>
      <c r="H2954" s="15">
        <v>5.7500000000000002E-2</v>
      </c>
      <c r="I2954" s="15">
        <v>1.6400000000000001E-2</v>
      </c>
      <c r="J2954" s="15">
        <v>3.8404907975460132</v>
      </c>
    </row>
    <row r="2955" spans="1:10" x14ac:dyDescent="0.25">
      <c r="A2955" s="2" t="s">
        <v>8055</v>
      </c>
      <c r="B2955" s="2" t="s">
        <v>7007</v>
      </c>
      <c r="C2955" s="2" t="s">
        <v>8056</v>
      </c>
      <c r="D2955" s="2" t="s">
        <v>10055</v>
      </c>
      <c r="E2955" s="15">
        <v>5.8900000000000001E-2</v>
      </c>
      <c r="F2955" s="15">
        <v>7.7600000000000002E-2</v>
      </c>
      <c r="G2955" s="15">
        <v>0.44729999999999998</v>
      </c>
      <c r="H2955" s="15">
        <v>4.2900000000000001E-2</v>
      </c>
      <c r="I2955" s="15">
        <v>1.5900000000000001E-2</v>
      </c>
      <c r="J2955" s="15">
        <v>2.7333333333333329</v>
      </c>
    </row>
    <row r="2956" spans="1:10" x14ac:dyDescent="0.25">
      <c r="A2956" s="2" t="s">
        <v>8057</v>
      </c>
      <c r="B2956" s="2" t="s">
        <v>7007</v>
      </c>
      <c r="C2956" s="2" t="s">
        <v>8058</v>
      </c>
      <c r="D2956" s="2" t="s">
        <v>10055</v>
      </c>
      <c r="E2956" s="15">
        <v>-8.3799999999999999E-2</v>
      </c>
      <c r="F2956" s="15">
        <v>0.12089999999999999</v>
      </c>
      <c r="G2956" s="15">
        <v>0.48820000000000002</v>
      </c>
      <c r="H2956" s="15">
        <v>2.1299999999999999E-2</v>
      </c>
      <c r="I2956" s="15">
        <v>1.3599999999999999E-2</v>
      </c>
      <c r="J2956" s="15">
        <v>1.458646616541353</v>
      </c>
    </row>
    <row r="2957" spans="1:10" x14ac:dyDescent="0.25">
      <c r="A2957" s="2" t="s">
        <v>8059</v>
      </c>
      <c r="B2957" s="2" t="s">
        <v>7007</v>
      </c>
      <c r="C2957" s="2" t="s">
        <v>8060</v>
      </c>
      <c r="D2957" s="2" t="s">
        <v>10055</v>
      </c>
      <c r="E2957" s="15">
        <v>-5.4000000000000003E-3</v>
      </c>
      <c r="F2957" s="15">
        <v>8.5800000000000001E-2</v>
      </c>
      <c r="G2957" s="15">
        <v>0.95</v>
      </c>
      <c r="H2957" s="15">
        <v>4.3499999999999997E-2</v>
      </c>
      <c r="I2957" s="15">
        <v>1.5599999999999999E-2</v>
      </c>
      <c r="J2957" s="15">
        <v>3.675675675675675</v>
      </c>
    </row>
    <row r="2958" spans="1:10" x14ac:dyDescent="0.25">
      <c r="A2958" s="2" t="s">
        <v>8061</v>
      </c>
      <c r="B2958" s="2" t="s">
        <v>7007</v>
      </c>
      <c r="C2958" s="2" t="s">
        <v>8062</v>
      </c>
      <c r="D2958" s="2" t="s">
        <v>10055</v>
      </c>
      <c r="E2958" s="15">
        <v>6.1100000000000002E-2</v>
      </c>
      <c r="F2958" s="15">
        <v>0.1</v>
      </c>
      <c r="G2958" s="15">
        <v>0.54100000000000004</v>
      </c>
      <c r="H2958" s="15">
        <v>2.8500000000000001E-2</v>
      </c>
      <c r="I2958" s="15">
        <v>1.4800000000000001E-2</v>
      </c>
      <c r="J2958" s="15">
        <v>2.2123287671232879</v>
      </c>
    </row>
    <row r="2959" spans="1:10" x14ac:dyDescent="0.25">
      <c r="A2959" s="2" t="s">
        <v>8063</v>
      </c>
      <c r="B2959" s="2" t="s">
        <v>7007</v>
      </c>
      <c r="C2959" s="2" t="s">
        <v>8064</v>
      </c>
      <c r="D2959" s="2" t="s">
        <v>10055</v>
      </c>
      <c r="E2959" s="15">
        <v>-4.8800000000000003E-2</v>
      </c>
      <c r="F2959" s="15">
        <v>0.1077</v>
      </c>
      <c r="G2959" s="15">
        <v>0.65010000000000001</v>
      </c>
      <c r="H2959" s="15">
        <v>3.0300000000000001E-2</v>
      </c>
      <c r="I2959" s="15">
        <v>1.4500000000000001E-2</v>
      </c>
      <c r="J2959" s="15">
        <v>2.1353383458646622</v>
      </c>
    </row>
    <row r="2960" spans="1:10" x14ac:dyDescent="0.25">
      <c r="A2960" s="2" t="s">
        <v>8065</v>
      </c>
      <c r="B2960" s="2" t="s">
        <v>7007</v>
      </c>
      <c r="C2960" s="2" t="s">
        <v>8066</v>
      </c>
      <c r="D2960" s="2" t="s">
        <v>10055</v>
      </c>
      <c r="E2960" s="15">
        <v>0.18659999999999999</v>
      </c>
      <c r="F2960" s="15">
        <v>7.6399999999999996E-2</v>
      </c>
      <c r="G2960" s="15">
        <v>1.47E-2</v>
      </c>
      <c r="H2960" s="15">
        <v>5.4399999999999997E-2</v>
      </c>
      <c r="I2960" s="15">
        <v>1.5100000000000001E-2</v>
      </c>
      <c r="J2960" s="15">
        <v>4.7777777777777777</v>
      </c>
    </row>
    <row r="2961" spans="1:10" x14ac:dyDescent="0.25">
      <c r="A2961" s="2" t="s">
        <v>8067</v>
      </c>
      <c r="B2961" s="2" t="s">
        <v>7007</v>
      </c>
      <c r="C2961" s="2" t="s">
        <v>8068</v>
      </c>
      <c r="D2961" s="2" t="s">
        <v>10055</v>
      </c>
      <c r="E2961" s="15">
        <v>-0.1308</v>
      </c>
      <c r="F2961" s="15">
        <v>0.15740000000000001</v>
      </c>
      <c r="G2961" s="15">
        <v>0.40579999999999999</v>
      </c>
      <c r="H2961" s="15">
        <v>1.5699999999999999E-2</v>
      </c>
      <c r="I2961" s="15">
        <v>1.54E-2</v>
      </c>
      <c r="J2961" s="15">
        <v>1.06993006993007</v>
      </c>
    </row>
    <row r="2962" spans="1:10" x14ac:dyDescent="0.25">
      <c r="A2962" s="2" t="s">
        <v>8069</v>
      </c>
      <c r="B2962" s="2" t="s">
        <v>7007</v>
      </c>
      <c r="C2962" s="2" t="s">
        <v>8070</v>
      </c>
      <c r="D2962" s="2" t="s">
        <v>10055</v>
      </c>
      <c r="E2962" s="15">
        <v>-3.9199999999999999E-2</v>
      </c>
      <c r="F2962" s="15">
        <v>6.4399999999999999E-2</v>
      </c>
      <c r="G2962" s="15">
        <v>0.54290000000000005</v>
      </c>
      <c r="H2962" s="15">
        <v>7.0400000000000004E-2</v>
      </c>
      <c r="I2962" s="15">
        <v>1.5299999999999999E-2</v>
      </c>
      <c r="J2962" s="15">
        <v>4.7837837837837833</v>
      </c>
    </row>
    <row r="2963" spans="1:10" x14ac:dyDescent="0.25">
      <c r="A2963" s="2" t="s">
        <v>8071</v>
      </c>
      <c r="B2963" s="2" t="s">
        <v>7007</v>
      </c>
      <c r="C2963" s="2" t="s">
        <v>8072</v>
      </c>
      <c r="D2963" s="2" t="s">
        <v>10055</v>
      </c>
      <c r="E2963" s="15">
        <v>-0.23169999999999999</v>
      </c>
      <c r="F2963" s="15">
        <v>0.43180000000000002</v>
      </c>
      <c r="G2963" s="15">
        <v>0.59160000000000001</v>
      </c>
      <c r="H2963" s="15">
        <v>6.4000000000000003E-3</v>
      </c>
      <c r="I2963" s="15">
        <v>1.47E-2</v>
      </c>
      <c r="J2963" s="15">
        <v>0.37931034482758619</v>
      </c>
    </row>
    <row r="2964" spans="1:10" x14ac:dyDescent="0.25">
      <c r="A2964" s="2" t="s">
        <v>8073</v>
      </c>
      <c r="B2964" s="2" t="s">
        <v>7007</v>
      </c>
      <c r="C2964" s="2" t="s">
        <v>8074</v>
      </c>
      <c r="D2964" s="2" t="s">
        <v>10055</v>
      </c>
      <c r="E2964" s="15">
        <v>8.3099999999999993E-2</v>
      </c>
      <c r="F2964" s="15">
        <v>8.3199999999999996E-2</v>
      </c>
      <c r="G2964" s="15">
        <v>0.31790000000000002</v>
      </c>
      <c r="H2964" s="15">
        <v>5.0900000000000001E-2</v>
      </c>
      <c r="I2964" s="15">
        <v>1.4800000000000001E-2</v>
      </c>
      <c r="J2964" s="15">
        <v>3.623376623376624</v>
      </c>
    </row>
    <row r="2965" spans="1:10" x14ac:dyDescent="0.25">
      <c r="A2965" s="2" t="s">
        <v>8075</v>
      </c>
      <c r="B2965" s="2" t="s">
        <v>7007</v>
      </c>
      <c r="C2965" s="2" t="s">
        <v>8076</v>
      </c>
      <c r="D2965" s="2" t="s">
        <v>10055</v>
      </c>
      <c r="E2965" s="15">
        <v>3.3999999999999998E-3</v>
      </c>
      <c r="F2965" s="15">
        <v>0.15210000000000001</v>
      </c>
      <c r="G2965" s="15">
        <v>0.98209999999999997</v>
      </c>
      <c r="H2965" s="15">
        <v>1.1900000000000001E-2</v>
      </c>
      <c r="I2965" s="15">
        <v>1.32E-2</v>
      </c>
      <c r="J2965" s="15">
        <v>1.359375</v>
      </c>
    </row>
    <row r="2966" spans="1:10" x14ac:dyDescent="0.25">
      <c r="A2966" s="2" t="s">
        <v>8077</v>
      </c>
      <c r="B2966" s="2" t="s">
        <v>7007</v>
      </c>
      <c r="C2966" s="2" t="s">
        <v>8078</v>
      </c>
      <c r="D2966" s="2" t="s">
        <v>10055</v>
      </c>
      <c r="E2966" s="15">
        <v>-4.6300000000000001E-2</v>
      </c>
      <c r="F2966" s="15">
        <v>0.1108</v>
      </c>
      <c r="G2966" s="15">
        <v>0.67600000000000005</v>
      </c>
      <c r="H2966" s="15">
        <v>2.7E-2</v>
      </c>
      <c r="I2966" s="15">
        <v>1.38E-2</v>
      </c>
      <c r="J2966" s="15">
        <v>2.3511450381679388</v>
      </c>
    </row>
    <row r="2967" spans="1:10" x14ac:dyDescent="0.25">
      <c r="A2967" s="2" t="s">
        <v>8079</v>
      </c>
      <c r="B2967" s="2" t="s">
        <v>7007</v>
      </c>
      <c r="C2967" s="2" t="s">
        <v>8080</v>
      </c>
      <c r="D2967" s="2" t="s">
        <v>10055</v>
      </c>
      <c r="E2967" s="15">
        <v>2.81E-2</v>
      </c>
      <c r="F2967" s="15">
        <v>0.115</v>
      </c>
      <c r="G2967" s="15">
        <v>0.80669999999999997</v>
      </c>
      <c r="H2967" s="15">
        <v>2.4E-2</v>
      </c>
      <c r="I2967" s="15">
        <v>1.54E-2</v>
      </c>
      <c r="J2967" s="15">
        <v>1.772413793103448</v>
      </c>
    </row>
    <row r="2968" spans="1:10" x14ac:dyDescent="0.25">
      <c r="A2968" s="2" t="s">
        <v>8081</v>
      </c>
      <c r="B2968" s="2" t="s">
        <v>7007</v>
      </c>
      <c r="C2968" s="2" t="s">
        <v>8082</v>
      </c>
      <c r="D2968" s="2" t="s">
        <v>10055</v>
      </c>
      <c r="E2968" s="15">
        <v>8.6999999999999994E-3</v>
      </c>
      <c r="F2968" s="15">
        <v>8.8300000000000003E-2</v>
      </c>
      <c r="G2968" s="15">
        <v>0.92149999999999999</v>
      </c>
      <c r="H2968" s="15">
        <v>3.8300000000000001E-2</v>
      </c>
      <c r="I2968" s="15">
        <v>1.4800000000000001E-2</v>
      </c>
      <c r="J2968" s="15">
        <v>3.1029411764705879</v>
      </c>
    </row>
    <row r="2969" spans="1:10" x14ac:dyDescent="0.25">
      <c r="A2969" s="2" t="s">
        <v>8083</v>
      </c>
      <c r="B2969" s="2" t="s">
        <v>7007</v>
      </c>
      <c r="C2969" s="2" t="s">
        <v>8084</v>
      </c>
      <c r="D2969" s="2" t="s">
        <v>10055</v>
      </c>
      <c r="E2969" s="15">
        <v>-0.22750000000000001</v>
      </c>
      <c r="F2969" s="15">
        <v>0.2477</v>
      </c>
      <c r="G2969" s="15">
        <v>0.3584</v>
      </c>
      <c r="H2969" s="15">
        <v>1.2E-2</v>
      </c>
      <c r="I2969" s="15">
        <v>1.6E-2</v>
      </c>
      <c r="J2969" s="15">
        <v>0.9</v>
      </c>
    </row>
    <row r="2970" spans="1:10" x14ac:dyDescent="0.25">
      <c r="A2970" s="2" t="s">
        <v>8085</v>
      </c>
      <c r="B2970" s="2" t="s">
        <v>7007</v>
      </c>
      <c r="C2970" s="2" t="s">
        <v>8086</v>
      </c>
      <c r="D2970" s="2" t="s">
        <v>10055</v>
      </c>
      <c r="E2970" s="15">
        <v>9.4500000000000001E-2</v>
      </c>
      <c r="F2970" s="15">
        <v>0.20219999999999999</v>
      </c>
      <c r="G2970" s="15">
        <v>0.64039999999999997</v>
      </c>
      <c r="H2970" s="15">
        <v>9.2999999999999992E-3</v>
      </c>
      <c r="I2970" s="15">
        <v>1.52E-2</v>
      </c>
      <c r="J2970" s="15">
        <v>1.0279720279720279</v>
      </c>
    </row>
    <row r="2971" spans="1:10" x14ac:dyDescent="0.25">
      <c r="A2971" s="2" t="s">
        <v>8087</v>
      </c>
      <c r="B2971" s="2" t="s">
        <v>7007</v>
      </c>
      <c r="C2971" s="2" t="s">
        <v>8088</v>
      </c>
      <c r="D2971" s="2" t="s">
        <v>10055</v>
      </c>
      <c r="E2971" s="15">
        <v>1.8499999999999999E-2</v>
      </c>
      <c r="F2971" s="15">
        <v>8.7999999999999995E-2</v>
      </c>
      <c r="G2971" s="15">
        <v>0.83360000000000001</v>
      </c>
      <c r="H2971" s="15">
        <v>3.61E-2</v>
      </c>
      <c r="I2971" s="15">
        <v>1.5699999999999999E-2</v>
      </c>
      <c r="J2971" s="15">
        <v>2.5424836601307188</v>
      </c>
    </row>
    <row r="2972" spans="1:10" x14ac:dyDescent="0.25">
      <c r="A2972" s="2" t="s">
        <v>8089</v>
      </c>
      <c r="B2972" s="2" t="s">
        <v>7007</v>
      </c>
      <c r="C2972" s="2" t="s">
        <v>8090</v>
      </c>
      <c r="D2972" s="2" t="s">
        <v>10055</v>
      </c>
      <c r="E2972" s="15">
        <v>-0.2747</v>
      </c>
      <c r="F2972" s="15">
        <v>0.17050000000000001</v>
      </c>
      <c r="G2972" s="15">
        <v>0.1071</v>
      </c>
      <c r="H2972" s="15">
        <v>1.5800000000000002E-2</v>
      </c>
      <c r="I2972" s="15">
        <v>1.26E-2</v>
      </c>
      <c r="J2972" s="15">
        <v>1.2265625</v>
      </c>
    </row>
    <row r="2973" spans="1:10" x14ac:dyDescent="0.25">
      <c r="A2973" s="2" t="s">
        <v>8091</v>
      </c>
      <c r="B2973" s="2" t="s">
        <v>7007</v>
      </c>
      <c r="C2973" s="2" t="s">
        <v>8092</v>
      </c>
      <c r="D2973" s="2" t="s">
        <v>10055</v>
      </c>
      <c r="E2973" s="15">
        <v>3.0000000000000001E-3</v>
      </c>
      <c r="F2973" s="15">
        <v>7.3400000000000007E-2</v>
      </c>
      <c r="G2973" s="15">
        <v>0.96730000000000005</v>
      </c>
      <c r="H2973" s="15">
        <v>5.4899999999999997E-2</v>
      </c>
      <c r="I2973" s="15">
        <v>1.3100000000000001E-2</v>
      </c>
      <c r="J2973" s="15">
        <v>4.7829457364341081</v>
      </c>
    </row>
    <row r="2974" spans="1:10" x14ac:dyDescent="0.25">
      <c r="A2974" s="2" t="s">
        <v>8093</v>
      </c>
      <c r="B2974" s="2" t="s">
        <v>7007</v>
      </c>
      <c r="C2974" s="2" t="s">
        <v>8094</v>
      </c>
      <c r="D2974" s="2" t="s">
        <v>10055</v>
      </c>
      <c r="E2974" s="15"/>
      <c r="F2974" s="15"/>
      <c r="G2974" s="15"/>
      <c r="H2974" s="15">
        <v>-1E-3</v>
      </c>
      <c r="I2974" s="15">
        <v>1.43E-2</v>
      </c>
      <c r="J2974" s="15">
        <v>-0.1214285714285714</v>
      </c>
    </row>
    <row r="2975" spans="1:10" x14ac:dyDescent="0.25">
      <c r="A2975" s="2" t="s">
        <v>8095</v>
      </c>
      <c r="B2975" s="2" t="s">
        <v>7007</v>
      </c>
      <c r="C2975" s="2" t="s">
        <v>8096</v>
      </c>
      <c r="D2975" s="2" t="s">
        <v>10055</v>
      </c>
      <c r="E2975" s="15">
        <v>1.7999999999999999E-2</v>
      </c>
      <c r="F2975" s="15">
        <v>0.15110000000000001</v>
      </c>
      <c r="G2975" s="15">
        <v>0.90539999999999998</v>
      </c>
      <c r="H2975" s="15">
        <v>1.1299999999999999E-2</v>
      </c>
      <c r="I2975" s="15">
        <v>1.47E-2</v>
      </c>
      <c r="J2975" s="15">
        <v>1.117647058823529</v>
      </c>
    </row>
    <row r="2976" spans="1:10" x14ac:dyDescent="0.25">
      <c r="A2976" s="2" t="s">
        <v>8097</v>
      </c>
      <c r="B2976" s="2" t="s">
        <v>7007</v>
      </c>
      <c r="C2976" s="2" t="s">
        <v>8098</v>
      </c>
      <c r="D2976" s="2" t="s">
        <v>10055</v>
      </c>
      <c r="E2976" s="15">
        <v>0.1108</v>
      </c>
      <c r="F2976" s="15">
        <v>0.1193</v>
      </c>
      <c r="G2976" s="15">
        <v>0.35289999999999999</v>
      </c>
      <c r="H2976" s="15">
        <v>2.0799999999999999E-2</v>
      </c>
      <c r="I2976" s="15">
        <v>1.37E-2</v>
      </c>
      <c r="J2976" s="15">
        <v>2.211678832116788</v>
      </c>
    </row>
    <row r="2977" spans="1:10" x14ac:dyDescent="0.25">
      <c r="A2977" s="2" t="s">
        <v>8099</v>
      </c>
      <c r="B2977" s="2" t="s">
        <v>7007</v>
      </c>
      <c r="C2977" s="2" t="s">
        <v>8100</v>
      </c>
      <c r="D2977" s="2" t="s">
        <v>10055</v>
      </c>
      <c r="E2977" s="15">
        <v>0.12180000000000001</v>
      </c>
      <c r="F2977" s="15">
        <v>0.1032</v>
      </c>
      <c r="G2977" s="15">
        <v>0.2379</v>
      </c>
      <c r="H2977" s="15">
        <v>2.6700000000000002E-2</v>
      </c>
      <c r="I2977" s="15">
        <v>1.38E-2</v>
      </c>
      <c r="J2977" s="15">
        <v>2.3550724637681162</v>
      </c>
    </row>
    <row r="2978" spans="1:10" x14ac:dyDescent="0.25">
      <c r="A2978" s="2" t="s">
        <v>8101</v>
      </c>
      <c r="B2978" s="2" t="s">
        <v>7007</v>
      </c>
      <c r="C2978" s="2" t="s">
        <v>8102</v>
      </c>
      <c r="D2978" s="2" t="s">
        <v>10055</v>
      </c>
      <c r="E2978" s="15">
        <v>-0.13250000000000001</v>
      </c>
      <c r="F2978" s="15">
        <v>0.26719999999999999</v>
      </c>
      <c r="G2978" s="15">
        <v>0.62</v>
      </c>
      <c r="H2978" s="15">
        <v>6.7999999999999996E-3</v>
      </c>
      <c r="I2978" s="15">
        <v>1.3899999999999999E-2</v>
      </c>
      <c r="J2978" s="15">
        <v>0.76086956521739135</v>
      </c>
    </row>
    <row r="2979" spans="1:10" x14ac:dyDescent="0.25">
      <c r="A2979" s="2" t="s">
        <v>8103</v>
      </c>
      <c r="B2979" s="2" t="s">
        <v>7007</v>
      </c>
      <c r="C2979" s="2" t="s">
        <v>8104</v>
      </c>
      <c r="D2979" s="2" t="s">
        <v>10055</v>
      </c>
      <c r="E2979" s="15">
        <v>-5.9400000000000001E-2</v>
      </c>
      <c r="F2979" s="15">
        <v>0.23039999999999999</v>
      </c>
      <c r="G2979" s="15">
        <v>0.79659999999999997</v>
      </c>
      <c r="H2979" s="15">
        <v>5.7000000000000002E-3</v>
      </c>
      <c r="I2979" s="15">
        <v>1.35E-2</v>
      </c>
      <c r="J2979" s="15">
        <v>0.43181818181818182</v>
      </c>
    </row>
    <row r="2980" spans="1:10" x14ac:dyDescent="0.25">
      <c r="A2980" s="2" t="s">
        <v>8105</v>
      </c>
      <c r="B2980" s="2" t="s">
        <v>7007</v>
      </c>
      <c r="C2980" s="2" t="s">
        <v>8106</v>
      </c>
      <c r="D2980" s="2" t="s">
        <v>10055</v>
      </c>
      <c r="E2980" s="15">
        <v>0.18840000000000001</v>
      </c>
      <c r="F2980" s="15">
        <v>0.18049999999999999</v>
      </c>
      <c r="G2980" s="15">
        <v>0.29659999999999997</v>
      </c>
      <c r="H2980" s="15">
        <v>1.34E-2</v>
      </c>
      <c r="I2980" s="15">
        <v>1.5900000000000001E-2</v>
      </c>
      <c r="J2980" s="15">
        <v>1.0878378378378379</v>
      </c>
    </row>
    <row r="2981" spans="1:10" x14ac:dyDescent="0.25">
      <c r="A2981" s="2" t="s">
        <v>8107</v>
      </c>
      <c r="B2981" s="2" t="s">
        <v>7007</v>
      </c>
      <c r="C2981" s="2" t="s">
        <v>8108</v>
      </c>
      <c r="D2981" s="2" t="s">
        <v>10055</v>
      </c>
      <c r="E2981" s="15">
        <v>-9.4000000000000004E-3</v>
      </c>
      <c r="F2981" s="15">
        <v>8.3599999999999994E-2</v>
      </c>
      <c r="G2981" s="15">
        <v>0.91020000000000001</v>
      </c>
      <c r="H2981" s="15">
        <v>3.4000000000000002E-2</v>
      </c>
      <c r="I2981" s="15">
        <v>1.4E-2</v>
      </c>
      <c r="J2981" s="15">
        <v>1.9007092198581561</v>
      </c>
    </row>
    <row r="2982" spans="1:10" x14ac:dyDescent="0.25">
      <c r="A2982" s="2" t="s">
        <v>8109</v>
      </c>
      <c r="B2982" s="2" t="s">
        <v>7007</v>
      </c>
      <c r="C2982" s="2" t="s">
        <v>8110</v>
      </c>
      <c r="D2982" s="2" t="s">
        <v>10055</v>
      </c>
      <c r="E2982" s="15">
        <v>-1.3899999999999999E-2</v>
      </c>
      <c r="F2982" s="15">
        <v>6.4100000000000004E-2</v>
      </c>
      <c r="G2982" s="15">
        <v>0.82840000000000003</v>
      </c>
      <c r="H2982" s="15">
        <v>7.3200000000000001E-2</v>
      </c>
      <c r="I2982" s="15">
        <v>1.5699999999999999E-2</v>
      </c>
      <c r="J2982" s="15">
        <v>4.3924050632911387</v>
      </c>
    </row>
    <row r="2983" spans="1:10" x14ac:dyDescent="0.25">
      <c r="A2983" s="2" t="s">
        <v>8111</v>
      </c>
      <c r="B2983" s="2" t="s">
        <v>7007</v>
      </c>
      <c r="C2983" s="2" t="s">
        <v>8112</v>
      </c>
      <c r="D2983" s="2" t="s">
        <v>10055</v>
      </c>
      <c r="E2983" s="15">
        <v>7.7700000000000005E-2</v>
      </c>
      <c r="F2983" s="15">
        <v>7.3499999999999996E-2</v>
      </c>
      <c r="G2983" s="15">
        <v>0.29060000000000002</v>
      </c>
      <c r="H2983" s="15">
        <v>5.6599999999999998E-2</v>
      </c>
      <c r="I2983" s="15">
        <v>1.6400000000000001E-2</v>
      </c>
      <c r="J2983" s="15">
        <v>3.5065789473684208</v>
      </c>
    </row>
    <row r="2984" spans="1:10" x14ac:dyDescent="0.25">
      <c r="A2984" s="2" t="s">
        <v>8113</v>
      </c>
      <c r="B2984" s="2" t="s">
        <v>7007</v>
      </c>
      <c r="C2984" s="2" t="s">
        <v>8114</v>
      </c>
      <c r="D2984" s="2" t="s">
        <v>10055</v>
      </c>
      <c r="E2984" s="15">
        <v>0.2611</v>
      </c>
      <c r="F2984" s="15">
        <v>0.20699999999999999</v>
      </c>
      <c r="G2984" s="15">
        <v>0.20730000000000001</v>
      </c>
      <c r="H2984" s="15">
        <v>1.44E-2</v>
      </c>
      <c r="I2984" s="15">
        <v>1.5100000000000001E-2</v>
      </c>
      <c r="J2984" s="15">
        <v>2.0863309352517989</v>
      </c>
    </row>
    <row r="2985" spans="1:10" x14ac:dyDescent="0.25">
      <c r="A2985" s="2" t="s">
        <v>8115</v>
      </c>
      <c r="B2985" s="2" t="s">
        <v>7007</v>
      </c>
      <c r="C2985" s="2" t="s">
        <v>8116</v>
      </c>
      <c r="D2985" s="2" t="s">
        <v>10055</v>
      </c>
      <c r="E2985" s="15">
        <v>-0.2205</v>
      </c>
      <c r="F2985" s="15">
        <v>0.1236</v>
      </c>
      <c r="G2985" s="15">
        <v>7.4499999999999997E-2</v>
      </c>
      <c r="H2985" s="15">
        <v>3.1300000000000001E-2</v>
      </c>
      <c r="I2985" s="15">
        <v>1.52E-2</v>
      </c>
      <c r="J2985" s="15">
        <v>2.594405594405595</v>
      </c>
    </row>
    <row r="2986" spans="1:10" x14ac:dyDescent="0.25">
      <c r="A2986" s="2" t="s">
        <v>8117</v>
      </c>
      <c r="B2986" s="2" t="s">
        <v>7007</v>
      </c>
      <c r="C2986" s="2" t="s">
        <v>8118</v>
      </c>
      <c r="D2986" s="2" t="s">
        <v>10055</v>
      </c>
      <c r="E2986" s="15">
        <v>-4.3400000000000001E-2</v>
      </c>
      <c r="F2986" s="15">
        <v>7.6300000000000007E-2</v>
      </c>
      <c r="G2986" s="15">
        <v>0.56910000000000005</v>
      </c>
      <c r="H2986" s="15">
        <v>5.3699999999999998E-2</v>
      </c>
      <c r="I2986" s="15">
        <v>1.5299999999999999E-2</v>
      </c>
      <c r="J2986" s="15">
        <v>2.8187919463087252</v>
      </c>
    </row>
    <row r="2987" spans="1:10" x14ac:dyDescent="0.25">
      <c r="A2987" s="2" t="s">
        <v>8119</v>
      </c>
      <c r="B2987" s="2" t="s">
        <v>7007</v>
      </c>
      <c r="C2987" s="2" t="s">
        <v>8120</v>
      </c>
      <c r="D2987" s="2" t="s">
        <v>10055</v>
      </c>
      <c r="E2987" s="15">
        <v>-2.0271E-5</v>
      </c>
      <c r="F2987" s="15">
        <v>9.0200000000000002E-2</v>
      </c>
      <c r="G2987" s="15">
        <v>0.99980000000000002</v>
      </c>
      <c r="H2987" s="15">
        <v>4.24E-2</v>
      </c>
      <c r="I2987" s="15">
        <v>1.7000000000000001E-2</v>
      </c>
      <c r="J2987" s="15">
        <v>2.8597560975609748</v>
      </c>
    </row>
    <row r="2988" spans="1:10" x14ac:dyDescent="0.25">
      <c r="A2988" s="2" t="s">
        <v>8121</v>
      </c>
      <c r="B2988" s="2" t="s">
        <v>7007</v>
      </c>
      <c r="C2988" s="2" t="s">
        <v>8122</v>
      </c>
      <c r="D2988" s="2" t="s">
        <v>10055</v>
      </c>
      <c r="E2988" s="15">
        <v>-2.7000000000000001E-3</v>
      </c>
      <c r="F2988" s="15">
        <v>0.1341</v>
      </c>
      <c r="G2988" s="15">
        <v>0.98370000000000002</v>
      </c>
      <c r="H2988" s="15">
        <v>2.0299999999999999E-2</v>
      </c>
      <c r="I2988" s="15">
        <v>1.3100000000000001E-2</v>
      </c>
      <c r="J2988" s="15">
        <v>2.2421875</v>
      </c>
    </row>
    <row r="2989" spans="1:10" x14ac:dyDescent="0.25">
      <c r="A2989" s="2" t="s">
        <v>8123</v>
      </c>
      <c r="B2989" s="2" t="s">
        <v>7007</v>
      </c>
      <c r="C2989" s="2" t="s">
        <v>8124</v>
      </c>
      <c r="D2989" s="2" t="s">
        <v>10055</v>
      </c>
      <c r="E2989" s="15">
        <v>-8.1500000000000003E-2</v>
      </c>
      <c r="F2989" s="15">
        <v>8.3799999999999999E-2</v>
      </c>
      <c r="G2989" s="15">
        <v>0.33110000000000001</v>
      </c>
      <c r="H2989" s="15">
        <v>4.1099999999999998E-2</v>
      </c>
      <c r="I2989" s="15">
        <v>1.35E-2</v>
      </c>
      <c r="J2989" s="15">
        <v>4</v>
      </c>
    </row>
    <row r="2990" spans="1:10" x14ac:dyDescent="0.25">
      <c r="A2990" s="2" t="s">
        <v>8125</v>
      </c>
      <c r="B2990" s="2" t="s">
        <v>7007</v>
      </c>
      <c r="C2990" s="2" t="s">
        <v>8126</v>
      </c>
      <c r="D2990" s="2" t="s">
        <v>10055</v>
      </c>
      <c r="E2990" s="15">
        <v>-0.24340000000000001</v>
      </c>
      <c r="F2990" s="15">
        <v>8.6099999999999996E-2</v>
      </c>
      <c r="G2990" s="15">
        <v>4.7000000000000002E-3</v>
      </c>
      <c r="H2990" s="15">
        <v>4.6399999999999997E-2</v>
      </c>
      <c r="I2990" s="15">
        <v>1.49E-2</v>
      </c>
      <c r="J2990" s="15">
        <v>3.9852941176470589</v>
      </c>
    </row>
    <row r="2991" spans="1:10" x14ac:dyDescent="0.25">
      <c r="A2991" s="2" t="s">
        <v>8127</v>
      </c>
      <c r="B2991" s="2" t="s">
        <v>7007</v>
      </c>
      <c r="C2991" s="2" t="s">
        <v>8128</v>
      </c>
      <c r="D2991" s="2" t="s">
        <v>10055</v>
      </c>
      <c r="E2991" s="15">
        <v>3.8600000000000002E-2</v>
      </c>
      <c r="F2991" s="15">
        <v>0.1128</v>
      </c>
      <c r="G2991" s="15">
        <v>0.73219999999999996</v>
      </c>
      <c r="H2991" s="15">
        <v>2.1899999999999999E-2</v>
      </c>
      <c r="I2991" s="15">
        <v>1.3299999999999999E-2</v>
      </c>
      <c r="J2991" s="15">
        <v>1.8409090909090911</v>
      </c>
    </row>
    <row r="2992" spans="1:10" x14ac:dyDescent="0.25">
      <c r="A2992" s="2" t="s">
        <v>8129</v>
      </c>
      <c r="B2992" s="2" t="s">
        <v>7007</v>
      </c>
      <c r="C2992" s="2" t="s">
        <v>8130</v>
      </c>
      <c r="D2992" s="2" t="s">
        <v>10055</v>
      </c>
      <c r="E2992" s="15">
        <v>-0.1396</v>
      </c>
      <c r="F2992" s="15">
        <v>0.10050000000000001</v>
      </c>
      <c r="G2992" s="15">
        <v>0.16500000000000001</v>
      </c>
      <c r="H2992" s="15">
        <v>2.9700000000000001E-2</v>
      </c>
      <c r="I2992" s="15">
        <v>1.5299999999999999E-2</v>
      </c>
      <c r="J2992" s="15">
        <v>1.931034482758621</v>
      </c>
    </row>
    <row r="2993" spans="1:10" x14ac:dyDescent="0.25">
      <c r="A2993" s="2" t="s">
        <v>8131</v>
      </c>
      <c r="B2993" s="2" t="s">
        <v>7007</v>
      </c>
      <c r="C2993" s="2" t="s">
        <v>8132</v>
      </c>
      <c r="D2993" s="2" t="s">
        <v>10055</v>
      </c>
      <c r="E2993" s="15">
        <v>1.7899999999999999E-2</v>
      </c>
      <c r="F2993" s="15">
        <v>5.8599999999999999E-2</v>
      </c>
      <c r="G2993" s="15">
        <v>0.75949999999999995</v>
      </c>
      <c r="H2993" s="15">
        <v>9.0200000000000002E-2</v>
      </c>
      <c r="I2993" s="15">
        <v>1.9199999999999998E-2</v>
      </c>
      <c r="J2993" s="15">
        <v>4.8688524590163933</v>
      </c>
    </row>
    <row r="2994" spans="1:10" x14ac:dyDescent="0.25">
      <c r="A2994" s="2" t="s">
        <v>8133</v>
      </c>
      <c r="B2994" s="2" t="s">
        <v>7007</v>
      </c>
      <c r="C2994" s="2" t="s">
        <v>8134</v>
      </c>
      <c r="D2994" s="2" t="s">
        <v>10055</v>
      </c>
      <c r="E2994" s="15">
        <v>0.12039999999999999</v>
      </c>
      <c r="F2994" s="15">
        <v>0.3221</v>
      </c>
      <c r="G2994" s="15">
        <v>0.70850000000000002</v>
      </c>
      <c r="H2994" s="15">
        <v>4.7999999999999996E-3</v>
      </c>
      <c r="I2994" s="15">
        <v>1.35E-2</v>
      </c>
      <c r="J2994" s="15">
        <v>-0.26153846153846161</v>
      </c>
    </row>
    <row r="2995" spans="1:10" x14ac:dyDescent="0.25">
      <c r="A2995" s="2" t="s">
        <v>8135</v>
      </c>
      <c r="B2995" s="2" t="s">
        <v>7007</v>
      </c>
      <c r="C2995" s="2" t="s">
        <v>8136</v>
      </c>
      <c r="D2995" s="2" t="s">
        <v>10055</v>
      </c>
      <c r="E2995" s="15">
        <v>0.19020000000000001</v>
      </c>
      <c r="F2995" s="15">
        <v>0.1767</v>
      </c>
      <c r="G2995" s="15">
        <v>0.28179999999999999</v>
      </c>
      <c r="H2995" s="15">
        <v>1.6199999999999999E-2</v>
      </c>
      <c r="I2995" s="15">
        <v>1.5800000000000002E-2</v>
      </c>
      <c r="J2995" s="15">
        <v>1.5921052631578949</v>
      </c>
    </row>
    <row r="2996" spans="1:10" x14ac:dyDescent="0.25">
      <c r="A2996" s="2" t="s">
        <v>8137</v>
      </c>
      <c r="B2996" s="2" t="s">
        <v>7007</v>
      </c>
      <c r="C2996" s="2" t="s">
        <v>8138</v>
      </c>
      <c r="D2996" s="2" t="s">
        <v>10055</v>
      </c>
      <c r="E2996" s="15">
        <v>2.9000000000000001E-2</v>
      </c>
      <c r="F2996" s="15">
        <v>0.20569999999999999</v>
      </c>
      <c r="G2996" s="15">
        <v>0.88800000000000001</v>
      </c>
      <c r="H2996" s="15">
        <v>8.3000000000000001E-3</v>
      </c>
      <c r="I2996" s="15">
        <v>1.3299999999999999E-2</v>
      </c>
      <c r="J2996" s="15">
        <v>1.069767441860465</v>
      </c>
    </row>
    <row r="2997" spans="1:10" x14ac:dyDescent="0.25">
      <c r="A2997" s="2" t="s">
        <v>8139</v>
      </c>
      <c r="B2997" s="2" t="s">
        <v>7007</v>
      </c>
      <c r="C2997" s="2" t="s">
        <v>8140</v>
      </c>
      <c r="D2997" s="2" t="s">
        <v>10055</v>
      </c>
      <c r="E2997" s="15">
        <v>1.49E-2</v>
      </c>
      <c r="F2997" s="15">
        <v>9.69E-2</v>
      </c>
      <c r="G2997" s="15">
        <v>0.87739999999999996</v>
      </c>
      <c r="H2997" s="15">
        <v>3.44E-2</v>
      </c>
      <c r="I2997" s="15">
        <v>1.6E-2</v>
      </c>
      <c r="J2997" s="15">
        <v>2.5430463576158941</v>
      </c>
    </row>
    <row r="2998" spans="1:10" x14ac:dyDescent="0.25">
      <c r="A2998" s="2" t="s">
        <v>8141</v>
      </c>
      <c r="B2998" s="2" t="s">
        <v>7007</v>
      </c>
      <c r="C2998" s="2" t="s">
        <v>8142</v>
      </c>
      <c r="D2998" s="2" t="s">
        <v>10055</v>
      </c>
      <c r="E2998" s="15">
        <v>1.5100000000000001E-2</v>
      </c>
      <c r="F2998" s="15">
        <v>0.1099</v>
      </c>
      <c r="G2998" s="15">
        <v>0.89070000000000005</v>
      </c>
      <c r="H2998" s="15">
        <v>2.24E-2</v>
      </c>
      <c r="I2998" s="15">
        <v>1.6400000000000001E-2</v>
      </c>
      <c r="J2998" s="15">
        <v>1.883561643835616</v>
      </c>
    </row>
    <row r="2999" spans="1:10" x14ac:dyDescent="0.25">
      <c r="A2999" s="2" t="s">
        <v>8143</v>
      </c>
      <c r="B2999" s="2" t="s">
        <v>7007</v>
      </c>
      <c r="C2999" s="2" t="s">
        <v>8144</v>
      </c>
      <c r="D2999" s="2" t="s">
        <v>10055</v>
      </c>
      <c r="E2999" s="15">
        <v>-5.4999999999999997E-3</v>
      </c>
      <c r="F2999" s="15">
        <v>0.1061</v>
      </c>
      <c r="G2999" s="15">
        <v>0.95840000000000003</v>
      </c>
      <c r="H2999" s="15">
        <v>2.5899999999999999E-2</v>
      </c>
      <c r="I2999" s="15">
        <v>1.35E-2</v>
      </c>
      <c r="J2999" s="15">
        <v>2.1052631578947372</v>
      </c>
    </row>
    <row r="3000" spans="1:10" x14ac:dyDescent="0.25">
      <c r="A3000" s="2" t="s">
        <v>8145</v>
      </c>
      <c r="B3000" s="2" t="s">
        <v>7007</v>
      </c>
      <c r="C3000" s="2" t="s">
        <v>8146</v>
      </c>
      <c r="D3000" s="2" t="s">
        <v>10055</v>
      </c>
      <c r="E3000" s="15"/>
      <c r="F3000" s="15"/>
      <c r="G3000" s="15"/>
      <c r="H3000" s="15">
        <v>-8.8000000000000005E-3</v>
      </c>
      <c r="I3000" s="15">
        <v>1.34E-2</v>
      </c>
      <c r="J3000" s="15">
        <v>-0.26515151515151508</v>
      </c>
    </row>
    <row r="3001" spans="1:10" x14ac:dyDescent="0.25">
      <c r="A3001" s="2" t="s">
        <v>8147</v>
      </c>
      <c r="B3001" s="2" t="s">
        <v>7007</v>
      </c>
      <c r="C3001" s="2" t="s">
        <v>8148</v>
      </c>
      <c r="D3001" s="2" t="s">
        <v>10055</v>
      </c>
      <c r="E3001" s="15">
        <v>3.9899999999999998E-2</v>
      </c>
      <c r="F3001" s="15">
        <v>0.19489999999999999</v>
      </c>
      <c r="G3001" s="15">
        <v>0.8377</v>
      </c>
      <c r="H3001" s="15">
        <v>7.7000000000000002E-3</v>
      </c>
      <c r="I3001" s="15">
        <v>1.2800000000000001E-2</v>
      </c>
      <c r="J3001" s="15">
        <v>0.40909090909090912</v>
      </c>
    </row>
    <row r="3002" spans="1:10" x14ac:dyDescent="0.25">
      <c r="A3002" s="2" t="s">
        <v>8149</v>
      </c>
      <c r="B3002" s="2" t="s">
        <v>7007</v>
      </c>
      <c r="C3002" s="2" t="s">
        <v>8150</v>
      </c>
      <c r="D3002" s="2" t="s">
        <v>10055</v>
      </c>
      <c r="E3002" s="15"/>
      <c r="F3002" s="15"/>
      <c r="G3002" s="15"/>
      <c r="H3002" s="15">
        <v>-1.29E-2</v>
      </c>
      <c r="I3002" s="15">
        <v>1.2699999999999999E-2</v>
      </c>
      <c r="J3002" s="15">
        <v>-0.62992125984251968</v>
      </c>
    </row>
    <row r="3003" spans="1:10" x14ac:dyDescent="0.25">
      <c r="A3003" s="2" t="s">
        <v>8151</v>
      </c>
      <c r="B3003" s="2" t="s">
        <v>7007</v>
      </c>
      <c r="C3003" s="2" t="s">
        <v>8152</v>
      </c>
      <c r="D3003" s="2" t="s">
        <v>10055</v>
      </c>
      <c r="E3003" s="15"/>
      <c r="F3003" s="15"/>
      <c r="G3003" s="15"/>
      <c r="H3003" s="15">
        <v>-3.5000000000000001E-3</v>
      </c>
      <c r="I3003" s="15">
        <v>1.3100000000000001E-2</v>
      </c>
      <c r="J3003" s="15">
        <v>0.19379844961240311</v>
      </c>
    </row>
    <row r="3004" spans="1:10" x14ac:dyDescent="0.25">
      <c r="A3004" s="2" t="s">
        <v>8153</v>
      </c>
      <c r="B3004" s="2" t="s">
        <v>7007</v>
      </c>
      <c r="C3004" s="2" t="s">
        <v>8154</v>
      </c>
      <c r="D3004" s="2" t="s">
        <v>10055</v>
      </c>
      <c r="E3004" s="15">
        <v>1.32E-2</v>
      </c>
      <c r="F3004" s="15">
        <v>0.14410000000000001</v>
      </c>
      <c r="G3004" s="15">
        <v>0.92710000000000004</v>
      </c>
      <c r="H3004" s="15">
        <v>1.35E-2</v>
      </c>
      <c r="I3004" s="15">
        <v>1.54E-2</v>
      </c>
      <c r="J3004" s="15">
        <v>1.0890410958904111</v>
      </c>
    </row>
    <row r="3005" spans="1:10" x14ac:dyDescent="0.25">
      <c r="A3005" s="2" t="s">
        <v>8155</v>
      </c>
      <c r="B3005" s="2" t="s">
        <v>7007</v>
      </c>
      <c r="C3005" s="2" t="s">
        <v>8156</v>
      </c>
      <c r="D3005" s="2" t="s">
        <v>10055</v>
      </c>
      <c r="E3005" s="15"/>
      <c r="F3005" s="15"/>
      <c r="G3005" s="15"/>
      <c r="H3005" s="15">
        <v>-7.4999999999999997E-3</v>
      </c>
      <c r="I3005" s="15">
        <v>1.29E-2</v>
      </c>
      <c r="J3005" s="15">
        <v>-0.3968253968253968</v>
      </c>
    </row>
    <row r="3006" spans="1:10" x14ac:dyDescent="0.25">
      <c r="A3006" s="2" t="s">
        <v>8157</v>
      </c>
      <c r="B3006" s="2" t="s">
        <v>7007</v>
      </c>
      <c r="C3006" s="2" t="s">
        <v>8158</v>
      </c>
      <c r="D3006" s="2" t="s">
        <v>10055</v>
      </c>
      <c r="E3006" s="15">
        <v>-1.5800000000000002E-2</v>
      </c>
      <c r="F3006" s="15">
        <v>0.12939999999999999</v>
      </c>
      <c r="G3006" s="15">
        <v>0.90269999999999995</v>
      </c>
      <c r="H3006" s="15">
        <v>1.9199999999999998E-2</v>
      </c>
      <c r="I3006" s="15">
        <v>1.4200000000000001E-2</v>
      </c>
      <c r="J3006" s="15">
        <v>1.281481481481481</v>
      </c>
    </row>
    <row r="3007" spans="1:10" x14ac:dyDescent="0.25">
      <c r="A3007" s="2" t="s">
        <v>8159</v>
      </c>
      <c r="B3007" s="2" t="s">
        <v>7007</v>
      </c>
      <c r="C3007" s="2" t="s">
        <v>8160</v>
      </c>
      <c r="D3007" s="2" t="s">
        <v>10055</v>
      </c>
      <c r="E3007" s="15">
        <v>-0.1119</v>
      </c>
      <c r="F3007" s="15">
        <v>0.1348</v>
      </c>
      <c r="G3007" s="15">
        <v>0.40660000000000002</v>
      </c>
      <c r="H3007" s="15">
        <v>1.9199999999999998E-2</v>
      </c>
      <c r="I3007" s="15">
        <v>1.3899999999999999E-2</v>
      </c>
      <c r="J3007" s="15">
        <v>0.4351145038167939</v>
      </c>
    </row>
    <row r="3008" spans="1:10" x14ac:dyDescent="0.25">
      <c r="A3008" s="2" t="s">
        <v>8161</v>
      </c>
      <c r="B3008" s="2" t="s">
        <v>7007</v>
      </c>
      <c r="C3008" s="2" t="s">
        <v>8162</v>
      </c>
      <c r="D3008" s="2" t="s">
        <v>10055</v>
      </c>
      <c r="E3008" s="15">
        <v>-0.15559999999999999</v>
      </c>
      <c r="F3008" s="15">
        <v>0.18179999999999999</v>
      </c>
      <c r="G3008" s="15">
        <v>0.39200000000000002</v>
      </c>
      <c r="H3008" s="15">
        <v>1.23E-2</v>
      </c>
      <c r="I3008" s="15">
        <v>1.43E-2</v>
      </c>
      <c r="J3008" s="15">
        <v>0.63013698630136983</v>
      </c>
    </row>
    <row r="3009" spans="1:10" x14ac:dyDescent="0.25">
      <c r="A3009" s="2" t="s">
        <v>8163</v>
      </c>
      <c r="B3009" s="2" t="s">
        <v>7007</v>
      </c>
      <c r="C3009" s="2" t="s">
        <v>8164</v>
      </c>
      <c r="D3009" s="2" t="s">
        <v>10055</v>
      </c>
      <c r="E3009" s="15">
        <v>0.1699</v>
      </c>
      <c r="F3009" s="15">
        <v>6.3399999999999998E-2</v>
      </c>
      <c r="G3009" s="15">
        <v>7.4000000000000003E-3</v>
      </c>
      <c r="H3009" s="15">
        <v>7.0699999999999999E-2</v>
      </c>
      <c r="I3009" s="15">
        <v>1.46E-2</v>
      </c>
      <c r="J3009" s="15">
        <v>4.5</v>
      </c>
    </row>
    <row r="3010" spans="1:10" x14ac:dyDescent="0.25">
      <c r="A3010" s="2" t="s">
        <v>8165</v>
      </c>
      <c r="B3010" s="2" t="s">
        <v>7007</v>
      </c>
      <c r="C3010" s="2" t="s">
        <v>8166</v>
      </c>
      <c r="D3010" s="2" t="s">
        <v>10055</v>
      </c>
      <c r="E3010" s="15">
        <v>-0.1021</v>
      </c>
      <c r="F3010" s="15">
        <v>0.1588</v>
      </c>
      <c r="G3010" s="15">
        <v>0.52049999999999996</v>
      </c>
      <c r="H3010" s="15">
        <v>1.5100000000000001E-2</v>
      </c>
      <c r="I3010" s="15">
        <v>1.47E-2</v>
      </c>
      <c r="J3010" s="15">
        <v>1.318518518518518</v>
      </c>
    </row>
    <row r="3011" spans="1:10" x14ac:dyDescent="0.25">
      <c r="A3011" s="2" t="s">
        <v>8167</v>
      </c>
      <c r="B3011" s="2" t="s">
        <v>7007</v>
      </c>
      <c r="C3011" s="2" t="s">
        <v>8168</v>
      </c>
      <c r="D3011" s="2" t="s">
        <v>10055</v>
      </c>
      <c r="E3011" s="15">
        <v>0.16020000000000001</v>
      </c>
      <c r="F3011" s="15">
        <v>0.1198</v>
      </c>
      <c r="G3011" s="15">
        <v>0.18099999999999999</v>
      </c>
      <c r="H3011" s="15">
        <v>2.4400000000000002E-2</v>
      </c>
      <c r="I3011" s="15">
        <v>1.4200000000000001E-2</v>
      </c>
      <c r="J3011" s="15">
        <v>1.9580419580419579</v>
      </c>
    </row>
    <row r="3012" spans="1:10" x14ac:dyDescent="0.25">
      <c r="A3012" s="2" t="s">
        <v>8169</v>
      </c>
      <c r="B3012" s="2" t="s">
        <v>7007</v>
      </c>
      <c r="C3012" s="2" t="s">
        <v>8170</v>
      </c>
      <c r="D3012" s="2" t="s">
        <v>10055</v>
      </c>
      <c r="E3012" s="15">
        <v>-0.13669999999999999</v>
      </c>
      <c r="F3012" s="15">
        <v>0.13980000000000001</v>
      </c>
      <c r="G3012" s="15">
        <v>0.3281</v>
      </c>
      <c r="H3012" s="15">
        <v>1.8499999999999999E-2</v>
      </c>
      <c r="I3012" s="15">
        <v>1.32E-2</v>
      </c>
      <c r="J3012" s="15">
        <v>2.3125</v>
      </c>
    </row>
    <row r="3013" spans="1:10" x14ac:dyDescent="0.25">
      <c r="A3013" s="2" t="s">
        <v>8171</v>
      </c>
      <c r="B3013" s="2" t="s">
        <v>7007</v>
      </c>
      <c r="C3013" s="2" t="s">
        <v>8172</v>
      </c>
      <c r="D3013" s="2" t="s">
        <v>10055</v>
      </c>
      <c r="E3013" s="15">
        <v>0.13950000000000001</v>
      </c>
      <c r="F3013" s="15">
        <v>0.10680000000000001</v>
      </c>
      <c r="G3013" s="15">
        <v>0.1915</v>
      </c>
      <c r="H3013" s="15">
        <v>3.2500000000000001E-2</v>
      </c>
      <c r="I3013" s="15">
        <v>1.32E-2</v>
      </c>
      <c r="J3013" s="15">
        <v>1.774436090225564</v>
      </c>
    </row>
    <row r="3014" spans="1:10" x14ac:dyDescent="0.25">
      <c r="A3014" s="2" t="s">
        <v>8173</v>
      </c>
      <c r="B3014" s="2" t="s">
        <v>7007</v>
      </c>
      <c r="C3014" s="2" t="s">
        <v>8174</v>
      </c>
      <c r="D3014" s="2" t="s">
        <v>10055</v>
      </c>
      <c r="E3014" s="15">
        <v>-1.46E-2</v>
      </c>
      <c r="F3014" s="15">
        <v>0.1193</v>
      </c>
      <c r="G3014" s="15">
        <v>0.90259999999999996</v>
      </c>
      <c r="H3014" s="15">
        <v>2.4500000000000001E-2</v>
      </c>
      <c r="I3014" s="15">
        <v>1.52E-2</v>
      </c>
      <c r="J3014" s="15">
        <v>2.375886524822695</v>
      </c>
    </row>
    <row r="3015" spans="1:10" x14ac:dyDescent="0.25">
      <c r="A3015" s="2" t="s">
        <v>8175</v>
      </c>
      <c r="B3015" s="2" t="s">
        <v>7007</v>
      </c>
      <c r="C3015" s="2" t="s">
        <v>8176</v>
      </c>
      <c r="D3015" s="2" t="s">
        <v>10055</v>
      </c>
      <c r="E3015" s="15"/>
      <c r="F3015" s="15"/>
      <c r="G3015" s="15"/>
      <c r="H3015" s="15">
        <v>-6.9999999999999999E-4</v>
      </c>
      <c r="I3015" s="15">
        <v>1.4E-2</v>
      </c>
      <c r="J3015" s="15">
        <v>7.8125E-2</v>
      </c>
    </row>
    <row r="3016" spans="1:10" x14ac:dyDescent="0.25">
      <c r="A3016" s="2" t="s">
        <v>8177</v>
      </c>
      <c r="B3016" s="2" t="s">
        <v>7007</v>
      </c>
      <c r="C3016" s="2" t="s">
        <v>8178</v>
      </c>
      <c r="D3016" s="2" t="s">
        <v>10055</v>
      </c>
      <c r="E3016" s="15">
        <v>-6.1999999999999998E-3</v>
      </c>
      <c r="F3016" s="15">
        <v>7.1099999999999997E-2</v>
      </c>
      <c r="G3016" s="15">
        <v>0.93</v>
      </c>
      <c r="H3016" s="15">
        <v>5.5199999999999999E-2</v>
      </c>
      <c r="I3016" s="15">
        <v>1.6199999999999999E-2</v>
      </c>
      <c r="J3016" s="15">
        <v>3.3221476510067109</v>
      </c>
    </row>
    <row r="3017" spans="1:10" x14ac:dyDescent="0.25">
      <c r="A3017" s="2" t="s">
        <v>8179</v>
      </c>
      <c r="B3017" s="2" t="s">
        <v>7007</v>
      </c>
      <c r="C3017" s="2" t="s">
        <v>8180</v>
      </c>
      <c r="D3017" s="2" t="s">
        <v>10055</v>
      </c>
      <c r="E3017" s="15">
        <v>-6.3100000000000003E-2</v>
      </c>
      <c r="F3017" s="15">
        <v>0.1699</v>
      </c>
      <c r="G3017" s="15">
        <v>0.71030000000000004</v>
      </c>
      <c r="H3017" s="15">
        <v>1.2E-2</v>
      </c>
      <c r="I3017" s="15">
        <v>1.29E-2</v>
      </c>
      <c r="J3017" s="15">
        <v>1.053435114503817</v>
      </c>
    </row>
    <row r="3018" spans="1:10" x14ac:dyDescent="0.25">
      <c r="A3018" s="2" t="s">
        <v>8181</v>
      </c>
      <c r="B3018" s="2" t="s">
        <v>7007</v>
      </c>
      <c r="C3018" s="2" t="s">
        <v>8182</v>
      </c>
      <c r="D3018" s="2" t="s">
        <v>10055</v>
      </c>
      <c r="E3018" s="15">
        <v>-3.2399999999999998E-2</v>
      </c>
      <c r="F3018" s="15">
        <v>6.7400000000000002E-2</v>
      </c>
      <c r="G3018" s="15">
        <v>0.63100000000000001</v>
      </c>
      <c r="H3018" s="15">
        <v>6.7400000000000002E-2</v>
      </c>
      <c r="I3018" s="15">
        <v>1.7299999999999999E-2</v>
      </c>
      <c r="J3018" s="15">
        <v>4.6012658227848098</v>
      </c>
    </row>
    <row r="3019" spans="1:10" x14ac:dyDescent="0.25">
      <c r="A3019" s="2" t="s">
        <v>8183</v>
      </c>
      <c r="B3019" s="2" t="s">
        <v>7007</v>
      </c>
      <c r="C3019" s="2" t="s">
        <v>8184</v>
      </c>
      <c r="D3019" s="2" t="s">
        <v>10055</v>
      </c>
      <c r="E3019" s="15"/>
      <c r="F3019" s="15"/>
      <c r="G3019" s="15"/>
      <c r="H3019" s="15"/>
      <c r="I3019" s="15"/>
      <c r="J3019" s="15">
        <v>0.43410852713178288</v>
      </c>
    </row>
    <row r="3020" spans="1:10" x14ac:dyDescent="0.25">
      <c r="A3020" s="2" t="s">
        <v>8185</v>
      </c>
      <c r="B3020" s="2" t="s">
        <v>7007</v>
      </c>
      <c r="C3020" s="2" t="s">
        <v>8186</v>
      </c>
      <c r="D3020" s="2" t="s">
        <v>10055</v>
      </c>
      <c r="E3020" s="15">
        <v>6.6199999999999995E-2</v>
      </c>
      <c r="F3020" s="15">
        <v>0.10349999999999999</v>
      </c>
      <c r="G3020" s="15">
        <v>0.52239999999999998</v>
      </c>
      <c r="H3020" s="15">
        <v>3.2899999999999999E-2</v>
      </c>
      <c r="I3020" s="15">
        <v>1.54E-2</v>
      </c>
      <c r="J3020" s="15">
        <v>2.3529411764705879</v>
      </c>
    </row>
    <row r="3021" spans="1:10" x14ac:dyDescent="0.25">
      <c r="A3021" s="2" t="s">
        <v>8187</v>
      </c>
      <c r="B3021" s="2" t="s">
        <v>7007</v>
      </c>
      <c r="C3021" s="2" t="s">
        <v>8188</v>
      </c>
      <c r="D3021" s="2" t="s">
        <v>10055</v>
      </c>
      <c r="E3021" s="15">
        <v>-0.1003</v>
      </c>
      <c r="F3021" s="15">
        <v>8.6099999999999996E-2</v>
      </c>
      <c r="G3021" s="15">
        <v>0.24429999999999999</v>
      </c>
      <c r="H3021" s="15">
        <v>4.6600000000000003E-2</v>
      </c>
      <c r="I3021" s="15">
        <v>1.5800000000000002E-2</v>
      </c>
      <c r="J3021" s="15">
        <v>3.1533333333333342</v>
      </c>
    </row>
    <row r="3022" spans="1:10" x14ac:dyDescent="0.25">
      <c r="A3022" s="2" t="s">
        <v>8189</v>
      </c>
      <c r="B3022" s="2" t="s">
        <v>7007</v>
      </c>
      <c r="C3022" s="2" t="s">
        <v>8190</v>
      </c>
      <c r="D3022" s="2" t="s">
        <v>10055</v>
      </c>
      <c r="E3022" s="15"/>
      <c r="F3022" s="15"/>
      <c r="G3022" s="15"/>
      <c r="H3022" s="15"/>
      <c r="I3022" s="15"/>
      <c r="J3022" s="15">
        <v>0.1775147928994083</v>
      </c>
    </row>
    <row r="3023" spans="1:10" x14ac:dyDescent="0.25">
      <c r="A3023" s="2" t="s">
        <v>8191</v>
      </c>
      <c r="B3023" s="2" t="s">
        <v>7007</v>
      </c>
      <c r="C3023" s="2" t="s">
        <v>8192</v>
      </c>
      <c r="D3023" s="2" t="s">
        <v>10055</v>
      </c>
      <c r="E3023" s="15">
        <v>-7.7899999999999997E-2</v>
      </c>
      <c r="F3023" s="15">
        <v>7.6499999999999999E-2</v>
      </c>
      <c r="G3023" s="15">
        <v>0.30840000000000001</v>
      </c>
      <c r="H3023" s="15">
        <v>5.9900000000000002E-2</v>
      </c>
      <c r="I3023" s="15">
        <v>1.72E-2</v>
      </c>
      <c r="J3023" s="15">
        <v>3.9225806451612901</v>
      </c>
    </row>
    <row r="3024" spans="1:10" x14ac:dyDescent="0.25">
      <c r="A3024" s="2" t="s">
        <v>8193</v>
      </c>
      <c r="B3024" s="2" t="s">
        <v>7007</v>
      </c>
      <c r="C3024" s="2" t="s">
        <v>8194</v>
      </c>
      <c r="D3024" s="2" t="s">
        <v>10055</v>
      </c>
      <c r="E3024" s="15">
        <v>-7.2700000000000001E-2</v>
      </c>
      <c r="F3024" s="15">
        <v>0.1012</v>
      </c>
      <c r="G3024" s="15">
        <v>0.4728</v>
      </c>
      <c r="H3024" s="15">
        <v>3.15E-2</v>
      </c>
      <c r="I3024" s="15">
        <v>1.54E-2</v>
      </c>
      <c r="J3024" s="15">
        <v>1.97972972972973</v>
      </c>
    </row>
    <row r="3025" spans="1:10" x14ac:dyDescent="0.25">
      <c r="A3025" s="2" t="s">
        <v>8195</v>
      </c>
      <c r="B3025" s="2" t="s">
        <v>7007</v>
      </c>
      <c r="C3025" s="2" t="s">
        <v>8196</v>
      </c>
      <c r="D3025" s="2" t="s">
        <v>10055</v>
      </c>
      <c r="E3025" s="15">
        <v>-4.6699999999999998E-2</v>
      </c>
      <c r="F3025" s="15">
        <v>0.11600000000000001</v>
      </c>
      <c r="G3025" s="15">
        <v>0.68720000000000003</v>
      </c>
      <c r="H3025" s="15">
        <v>1.8599999999999998E-2</v>
      </c>
      <c r="I3025" s="15">
        <v>1.5699999999999999E-2</v>
      </c>
      <c r="J3025" s="15">
        <v>1.612903225806452</v>
      </c>
    </row>
    <row r="3026" spans="1:10" x14ac:dyDescent="0.25">
      <c r="A3026" s="2" t="s">
        <v>8197</v>
      </c>
      <c r="B3026" s="2" t="s">
        <v>7007</v>
      </c>
      <c r="C3026" s="2" t="s">
        <v>8198</v>
      </c>
      <c r="D3026" s="2" t="s">
        <v>10055</v>
      </c>
      <c r="E3026" s="15">
        <v>7.0000000000000007E-2</v>
      </c>
      <c r="F3026" s="15">
        <v>9.8799999999999999E-2</v>
      </c>
      <c r="G3026" s="15">
        <v>0.47860000000000003</v>
      </c>
      <c r="H3026" s="15">
        <v>0.03</v>
      </c>
      <c r="I3026" s="15">
        <v>1.3899999999999999E-2</v>
      </c>
      <c r="J3026" s="15">
        <v>2.257352941176471</v>
      </c>
    </row>
    <row r="3027" spans="1:10" x14ac:dyDescent="0.25">
      <c r="A3027" s="2" t="s">
        <v>8199</v>
      </c>
      <c r="B3027" s="2" t="s">
        <v>7007</v>
      </c>
      <c r="C3027" s="2" t="s">
        <v>8200</v>
      </c>
      <c r="D3027" s="2" t="s">
        <v>10055</v>
      </c>
      <c r="E3027" s="15">
        <v>-6.9199999999999998E-2</v>
      </c>
      <c r="F3027" s="15">
        <v>0.1171</v>
      </c>
      <c r="G3027" s="15">
        <v>0.5544</v>
      </c>
      <c r="H3027" s="15">
        <v>2.1700000000000001E-2</v>
      </c>
      <c r="I3027" s="15">
        <v>1.4800000000000001E-2</v>
      </c>
      <c r="J3027" s="15">
        <v>1.978102189781022</v>
      </c>
    </row>
    <row r="3028" spans="1:10" x14ac:dyDescent="0.25">
      <c r="A3028" s="2" t="s">
        <v>8201</v>
      </c>
      <c r="B3028" s="2" t="s">
        <v>7007</v>
      </c>
      <c r="C3028" s="2" t="s">
        <v>8202</v>
      </c>
      <c r="D3028" s="2" t="s">
        <v>10055</v>
      </c>
      <c r="E3028" s="15"/>
      <c r="F3028" s="15"/>
      <c r="G3028" s="15"/>
      <c r="H3028" s="15"/>
      <c r="I3028" s="15"/>
      <c r="J3028" s="15">
        <v>0.16233766233766231</v>
      </c>
    </row>
    <row r="3029" spans="1:10" x14ac:dyDescent="0.25">
      <c r="A3029" s="2" t="s">
        <v>8203</v>
      </c>
      <c r="B3029" s="2" t="s">
        <v>7007</v>
      </c>
      <c r="C3029" s="2" t="s">
        <v>8204</v>
      </c>
      <c r="D3029" s="2" t="s">
        <v>10055</v>
      </c>
      <c r="E3029" s="15">
        <v>3.1300000000000001E-2</v>
      </c>
      <c r="F3029" s="15">
        <v>6.3799999999999996E-2</v>
      </c>
      <c r="G3029" s="15">
        <v>0.62329999999999997</v>
      </c>
      <c r="H3029" s="15">
        <v>8.2299999999999998E-2</v>
      </c>
      <c r="I3029" s="15">
        <v>1.77E-2</v>
      </c>
      <c r="J3029" s="15">
        <v>5.2958579881656807</v>
      </c>
    </row>
    <row r="3030" spans="1:10" x14ac:dyDescent="0.25">
      <c r="A3030" s="2" t="s">
        <v>8205</v>
      </c>
      <c r="B3030" s="2" t="s">
        <v>7007</v>
      </c>
      <c r="C3030" s="2" t="s">
        <v>8206</v>
      </c>
      <c r="D3030" s="2" t="s">
        <v>10055</v>
      </c>
      <c r="E3030" s="15">
        <v>-2.7799999999999998E-2</v>
      </c>
      <c r="F3030" s="15">
        <v>5.2499999999999998E-2</v>
      </c>
      <c r="G3030" s="15">
        <v>0.5968</v>
      </c>
      <c r="H3030" s="15">
        <v>0.1217</v>
      </c>
      <c r="I3030" s="15">
        <v>1.66E-2</v>
      </c>
      <c r="J3030" s="15">
        <v>7.7124999999999986</v>
      </c>
    </row>
    <row r="3031" spans="1:10" x14ac:dyDescent="0.25">
      <c r="A3031" s="2" t="s">
        <v>8207</v>
      </c>
      <c r="B3031" s="2" t="s">
        <v>7007</v>
      </c>
      <c r="C3031" s="2" t="s">
        <v>8208</v>
      </c>
      <c r="D3031" s="2" t="s">
        <v>10055</v>
      </c>
      <c r="E3031" s="15"/>
      <c r="F3031" s="15"/>
      <c r="G3031" s="15"/>
      <c r="H3031" s="15">
        <v>-4.1000000000000003E-3</v>
      </c>
      <c r="I3031" s="15">
        <v>1.44E-2</v>
      </c>
      <c r="J3031" s="15">
        <v>-0.59183673469387754</v>
      </c>
    </row>
    <row r="3032" spans="1:10" x14ac:dyDescent="0.25">
      <c r="A3032" s="2" t="s">
        <v>8209</v>
      </c>
      <c r="B3032" s="2" t="s">
        <v>7007</v>
      </c>
      <c r="C3032" s="2" t="s">
        <v>8210</v>
      </c>
      <c r="D3032" s="2" t="s">
        <v>10055</v>
      </c>
      <c r="E3032" s="15">
        <v>-2.4899999999999999E-2</v>
      </c>
      <c r="F3032" s="15">
        <v>6.1899999999999997E-2</v>
      </c>
      <c r="G3032" s="15">
        <v>0.68740000000000001</v>
      </c>
      <c r="H3032" s="15">
        <v>7.4300000000000005E-2</v>
      </c>
      <c r="I3032" s="15">
        <v>1.6E-2</v>
      </c>
      <c r="J3032" s="15">
        <v>5.0138888888888893</v>
      </c>
    </row>
    <row r="3033" spans="1:10" x14ac:dyDescent="0.25">
      <c r="A3033" s="2" t="s">
        <v>8211</v>
      </c>
      <c r="B3033" s="2" t="s">
        <v>7007</v>
      </c>
      <c r="C3033" s="2" t="s">
        <v>8212</v>
      </c>
      <c r="D3033" s="2" t="s">
        <v>10055</v>
      </c>
      <c r="E3033" s="15">
        <v>-8.3000000000000004E-2</v>
      </c>
      <c r="F3033" s="15">
        <v>0.18909999999999999</v>
      </c>
      <c r="G3033" s="15">
        <v>0.66100000000000003</v>
      </c>
      <c r="H3033" s="15">
        <v>8.8999999999999999E-3</v>
      </c>
      <c r="I3033" s="15">
        <v>1.41E-2</v>
      </c>
      <c r="J3033" s="15">
        <v>0.77862595419847336</v>
      </c>
    </row>
    <row r="3034" spans="1:10" x14ac:dyDescent="0.25">
      <c r="A3034" s="2" t="s">
        <v>8213</v>
      </c>
      <c r="B3034" s="2" t="s">
        <v>7007</v>
      </c>
      <c r="C3034" s="2" t="s">
        <v>8214</v>
      </c>
      <c r="D3034" s="2" t="s">
        <v>10055</v>
      </c>
      <c r="E3034" s="15">
        <v>-0.1898</v>
      </c>
      <c r="F3034" s="15">
        <v>5.9200000000000003E-2</v>
      </c>
      <c r="G3034" s="15">
        <v>1.4E-3</v>
      </c>
      <c r="H3034" s="15">
        <v>7.7600000000000002E-2</v>
      </c>
      <c r="I3034" s="15">
        <v>1.54E-2</v>
      </c>
      <c r="J3034" s="15">
        <v>5.7046979865771812</v>
      </c>
    </row>
    <row r="3035" spans="1:10" x14ac:dyDescent="0.25">
      <c r="A3035" s="2" t="s">
        <v>8215</v>
      </c>
      <c r="B3035" s="2" t="s">
        <v>7007</v>
      </c>
      <c r="C3035" s="2" t="s">
        <v>8216</v>
      </c>
      <c r="D3035" s="2" t="s">
        <v>10055</v>
      </c>
      <c r="E3035" s="15">
        <v>5.4800000000000001E-2</v>
      </c>
      <c r="F3035" s="15">
        <v>5.2499999999999998E-2</v>
      </c>
      <c r="G3035" s="15">
        <v>0.29699999999999999</v>
      </c>
      <c r="H3035" s="15">
        <v>0.1419</v>
      </c>
      <c r="I3035" s="15">
        <v>1.6899999999999998E-2</v>
      </c>
      <c r="J3035" s="15">
        <v>8.9529411764705884</v>
      </c>
    </row>
    <row r="3036" spans="1:10" x14ac:dyDescent="0.25">
      <c r="A3036" s="2" t="s">
        <v>8217</v>
      </c>
      <c r="B3036" s="2" t="s">
        <v>7007</v>
      </c>
      <c r="C3036" s="2" t="s">
        <v>8218</v>
      </c>
      <c r="D3036" s="2" t="s">
        <v>10055</v>
      </c>
      <c r="E3036" s="15">
        <v>5.1700000000000003E-2</v>
      </c>
      <c r="F3036" s="15">
        <v>6.1100000000000002E-2</v>
      </c>
      <c r="G3036" s="15">
        <v>0.39750000000000002</v>
      </c>
      <c r="H3036" s="15">
        <v>8.2799999999999999E-2</v>
      </c>
      <c r="I3036" s="15">
        <v>1.47E-2</v>
      </c>
      <c r="J3036" s="15">
        <v>6.1184210526315788</v>
      </c>
    </row>
    <row r="3037" spans="1:10" x14ac:dyDescent="0.25">
      <c r="A3037" s="2" t="s">
        <v>8219</v>
      </c>
      <c r="B3037" s="2" t="s">
        <v>7007</v>
      </c>
      <c r="C3037" s="2" t="s">
        <v>8220</v>
      </c>
      <c r="D3037" s="2" t="s">
        <v>10055</v>
      </c>
      <c r="E3037" s="15">
        <v>-2.4799999999999999E-2</v>
      </c>
      <c r="F3037" s="15">
        <v>6.6299999999999998E-2</v>
      </c>
      <c r="G3037" s="15">
        <v>0.70779999999999998</v>
      </c>
      <c r="H3037" s="15">
        <v>8.2299999999999998E-2</v>
      </c>
      <c r="I3037" s="15">
        <v>1.6299999999999999E-2</v>
      </c>
      <c r="J3037" s="15">
        <v>5.1366459627329188</v>
      </c>
    </row>
    <row r="3038" spans="1:10" x14ac:dyDescent="0.25">
      <c r="A3038" s="2" t="s">
        <v>8221</v>
      </c>
      <c r="B3038" s="2" t="s">
        <v>7007</v>
      </c>
      <c r="C3038" s="2" t="s">
        <v>8222</v>
      </c>
      <c r="D3038" s="2" t="s">
        <v>10055</v>
      </c>
      <c r="E3038" s="15">
        <v>-2.07E-2</v>
      </c>
      <c r="F3038" s="15">
        <v>6.2799999999999995E-2</v>
      </c>
      <c r="G3038" s="15">
        <v>0.74139999999999995</v>
      </c>
      <c r="H3038" s="15">
        <v>7.9600000000000004E-2</v>
      </c>
      <c r="I3038" s="15">
        <v>1.67E-2</v>
      </c>
      <c r="J3038" s="15">
        <v>4.8475609756097562</v>
      </c>
    </row>
    <row r="3039" spans="1:10" x14ac:dyDescent="0.25">
      <c r="A3039" s="2" t="s">
        <v>8223</v>
      </c>
      <c r="B3039" s="2" t="s">
        <v>7007</v>
      </c>
      <c r="C3039" s="2" t="s">
        <v>8224</v>
      </c>
      <c r="D3039" s="2" t="s">
        <v>10055</v>
      </c>
      <c r="E3039" s="15">
        <v>-0.13919999999999999</v>
      </c>
      <c r="F3039" s="15">
        <v>0.1419</v>
      </c>
      <c r="G3039" s="15">
        <v>0.32669999999999999</v>
      </c>
      <c r="H3039" s="15">
        <v>1.8700000000000001E-2</v>
      </c>
      <c r="I3039" s="15">
        <v>1.37E-2</v>
      </c>
      <c r="J3039" s="15">
        <v>1.666666666666667</v>
      </c>
    </row>
    <row r="3040" spans="1:10" x14ac:dyDescent="0.25">
      <c r="A3040" s="2" t="s">
        <v>8225</v>
      </c>
      <c r="B3040" s="2" t="s">
        <v>7007</v>
      </c>
      <c r="C3040" s="2" t="s">
        <v>8226</v>
      </c>
      <c r="D3040" s="2" t="s">
        <v>10055</v>
      </c>
      <c r="E3040" s="15">
        <v>-3.32E-2</v>
      </c>
      <c r="F3040" s="15">
        <v>6.8199999999999997E-2</v>
      </c>
      <c r="G3040" s="15">
        <v>0.62690000000000001</v>
      </c>
      <c r="H3040" s="15">
        <v>5.11E-2</v>
      </c>
      <c r="I3040" s="15">
        <v>1.49E-2</v>
      </c>
      <c r="J3040" s="15">
        <v>3.9710144927536239</v>
      </c>
    </row>
    <row r="3041" spans="1:10" x14ac:dyDescent="0.25">
      <c r="A3041" s="2" t="s">
        <v>8227</v>
      </c>
      <c r="B3041" s="2" t="s">
        <v>7007</v>
      </c>
      <c r="C3041" s="2" t="s">
        <v>8228</v>
      </c>
      <c r="D3041" s="2" t="s">
        <v>10055</v>
      </c>
      <c r="E3041" s="15">
        <v>-7.2900000000000006E-2</v>
      </c>
      <c r="F3041" s="15">
        <v>7.2099999999999997E-2</v>
      </c>
      <c r="G3041" s="15">
        <v>0.312</v>
      </c>
      <c r="H3041" s="15">
        <v>5.8500000000000003E-2</v>
      </c>
      <c r="I3041" s="15">
        <v>1.61E-2</v>
      </c>
      <c r="J3041" s="15">
        <v>3.464052287581699</v>
      </c>
    </row>
    <row r="3042" spans="1:10" x14ac:dyDescent="0.25">
      <c r="A3042" s="2" t="s">
        <v>8229</v>
      </c>
      <c r="B3042" s="2" t="s">
        <v>7007</v>
      </c>
      <c r="C3042" s="2" t="s">
        <v>8230</v>
      </c>
      <c r="D3042" s="2" t="s">
        <v>10055</v>
      </c>
      <c r="E3042" s="15">
        <v>-7.2599999999999998E-2</v>
      </c>
      <c r="F3042" s="15">
        <v>6.4699999999999994E-2</v>
      </c>
      <c r="G3042" s="15">
        <v>0.26169999999999999</v>
      </c>
      <c r="H3042" s="15">
        <v>5.3100000000000001E-2</v>
      </c>
      <c r="I3042" s="15">
        <v>1.5299999999999999E-2</v>
      </c>
      <c r="J3042" s="15">
        <v>4</v>
      </c>
    </row>
    <row r="3043" spans="1:10" x14ac:dyDescent="0.25">
      <c r="A3043" s="2" t="s">
        <v>8231</v>
      </c>
      <c r="B3043" s="2" t="s">
        <v>7007</v>
      </c>
      <c r="C3043" s="2" t="s">
        <v>8232</v>
      </c>
      <c r="D3043" s="2" t="s">
        <v>10055</v>
      </c>
      <c r="E3043" s="15">
        <v>3.8399999999999997E-2</v>
      </c>
      <c r="F3043" s="15">
        <v>9.0999999999999998E-2</v>
      </c>
      <c r="G3043" s="15">
        <v>0.67269999999999996</v>
      </c>
      <c r="H3043" s="15">
        <v>3.5299999999999998E-2</v>
      </c>
      <c r="I3043" s="15">
        <v>1.52E-2</v>
      </c>
      <c r="J3043" s="15">
        <v>2.3377483443708611</v>
      </c>
    </row>
    <row r="3044" spans="1:10" x14ac:dyDescent="0.25">
      <c r="A3044" s="2" t="s">
        <v>8233</v>
      </c>
      <c r="B3044" s="2" t="s">
        <v>7007</v>
      </c>
      <c r="C3044" s="2" t="s">
        <v>8234</v>
      </c>
      <c r="D3044" s="2" t="s">
        <v>10055</v>
      </c>
      <c r="E3044" s="15">
        <v>-5.4100000000000002E-2</v>
      </c>
      <c r="F3044" s="15">
        <v>5.04E-2</v>
      </c>
      <c r="G3044" s="15">
        <v>0.28299999999999997</v>
      </c>
      <c r="H3044" s="15">
        <v>0.16689999999999999</v>
      </c>
      <c r="I3044" s="15">
        <v>2.0500000000000001E-2</v>
      </c>
      <c r="J3044" s="15">
        <v>8.4358974358974361</v>
      </c>
    </row>
    <row r="3045" spans="1:10" x14ac:dyDescent="0.25">
      <c r="A3045" s="2" t="s">
        <v>8235</v>
      </c>
      <c r="B3045" s="2" t="s">
        <v>7007</v>
      </c>
      <c r="C3045" s="2" t="s">
        <v>8236</v>
      </c>
      <c r="D3045" s="2" t="s">
        <v>10055</v>
      </c>
      <c r="E3045" s="15">
        <v>0.24890000000000001</v>
      </c>
      <c r="F3045" s="15">
        <v>0.35270000000000001</v>
      </c>
      <c r="G3045" s="15">
        <v>0.48039999999999999</v>
      </c>
      <c r="H3045" s="15">
        <v>1.2500000000000001E-2</v>
      </c>
      <c r="I3045" s="15">
        <v>1.61E-2</v>
      </c>
      <c r="J3045" s="15">
        <v>0.76582278481012644</v>
      </c>
    </row>
    <row r="3046" spans="1:10" x14ac:dyDescent="0.25">
      <c r="A3046" s="2" t="s">
        <v>8237</v>
      </c>
      <c r="B3046" s="2" t="s">
        <v>7007</v>
      </c>
      <c r="C3046" s="2" t="s">
        <v>8238</v>
      </c>
      <c r="D3046" s="2" t="s">
        <v>10055</v>
      </c>
      <c r="E3046" s="15">
        <v>-4.19E-2</v>
      </c>
      <c r="F3046" s="15">
        <v>6.1800000000000001E-2</v>
      </c>
      <c r="G3046" s="15">
        <v>0.498</v>
      </c>
      <c r="H3046" s="15">
        <v>8.3799999999999999E-2</v>
      </c>
      <c r="I3046" s="15">
        <v>1.7000000000000001E-2</v>
      </c>
      <c r="J3046" s="15">
        <v>4.7470588235294109</v>
      </c>
    </row>
    <row r="3047" spans="1:10" x14ac:dyDescent="0.25">
      <c r="A3047" s="2" t="s">
        <v>8239</v>
      </c>
      <c r="B3047" s="2" t="s">
        <v>7007</v>
      </c>
      <c r="C3047" s="2" t="s">
        <v>8240</v>
      </c>
      <c r="D3047" s="2" t="s">
        <v>10055</v>
      </c>
      <c r="E3047" s="15">
        <v>-0.1384</v>
      </c>
      <c r="F3047" s="15">
        <v>0.155</v>
      </c>
      <c r="G3047" s="15">
        <v>0.37190000000000001</v>
      </c>
      <c r="H3047" s="15">
        <v>1.35E-2</v>
      </c>
      <c r="I3047" s="15">
        <v>1.2699999999999999E-2</v>
      </c>
      <c r="J3047" s="15">
        <v>0.81395348837209303</v>
      </c>
    </row>
    <row r="3048" spans="1:10" x14ac:dyDescent="0.25">
      <c r="A3048" s="2" t="s">
        <v>8241</v>
      </c>
      <c r="B3048" s="2" t="s">
        <v>7007</v>
      </c>
      <c r="C3048" s="2" t="s">
        <v>8242</v>
      </c>
      <c r="D3048" s="2" t="s">
        <v>10055</v>
      </c>
      <c r="E3048" s="15"/>
      <c r="F3048" s="15"/>
      <c r="G3048" s="15"/>
      <c r="H3048" s="15"/>
      <c r="I3048" s="15"/>
      <c r="J3048" s="15">
        <v>0.25170068027210879</v>
      </c>
    </row>
    <row r="3049" spans="1:10" x14ac:dyDescent="0.25">
      <c r="A3049" s="2" t="s">
        <v>8243</v>
      </c>
      <c r="B3049" s="2" t="s">
        <v>7007</v>
      </c>
      <c r="C3049" s="2" t="s">
        <v>8244</v>
      </c>
      <c r="D3049" s="2" t="s">
        <v>10055</v>
      </c>
      <c r="E3049" s="15">
        <v>-9.0499999999999997E-2</v>
      </c>
      <c r="F3049" s="15">
        <v>5.74E-2</v>
      </c>
      <c r="G3049" s="15">
        <v>0.115</v>
      </c>
      <c r="H3049" s="15">
        <v>0.1021</v>
      </c>
      <c r="I3049" s="15">
        <v>1.78E-2</v>
      </c>
      <c r="J3049" s="15">
        <v>6.7393939393939384</v>
      </c>
    </row>
    <row r="3050" spans="1:10" x14ac:dyDescent="0.25">
      <c r="A3050" s="2" t="s">
        <v>8245</v>
      </c>
      <c r="B3050" s="2" t="s">
        <v>7007</v>
      </c>
      <c r="C3050" s="2" t="s">
        <v>8246</v>
      </c>
      <c r="D3050" s="2" t="s">
        <v>10055</v>
      </c>
      <c r="E3050" s="15">
        <v>5.8900000000000001E-2</v>
      </c>
      <c r="F3050" s="15">
        <v>7.8899999999999998E-2</v>
      </c>
      <c r="G3050" s="15">
        <v>0.45529999999999998</v>
      </c>
      <c r="H3050" s="15">
        <v>4.7100000000000003E-2</v>
      </c>
      <c r="I3050" s="15">
        <v>1.3299999999999999E-2</v>
      </c>
      <c r="J3050" s="15">
        <v>3.8828125</v>
      </c>
    </row>
    <row r="3051" spans="1:10" x14ac:dyDescent="0.25">
      <c r="A3051" s="2" t="s">
        <v>8247</v>
      </c>
      <c r="B3051" s="2" t="s">
        <v>7007</v>
      </c>
      <c r="C3051" s="2" t="s">
        <v>8248</v>
      </c>
      <c r="D3051" s="2" t="s">
        <v>10055</v>
      </c>
      <c r="E3051" s="15">
        <v>-0.13969999999999999</v>
      </c>
      <c r="F3051" s="15">
        <v>7.2300000000000003E-2</v>
      </c>
      <c r="G3051" s="15">
        <v>5.33E-2</v>
      </c>
      <c r="H3051" s="15">
        <v>5.67E-2</v>
      </c>
      <c r="I3051" s="15">
        <v>1.52E-2</v>
      </c>
      <c r="J3051" s="15">
        <v>3.6438356164383561</v>
      </c>
    </row>
    <row r="3052" spans="1:10" x14ac:dyDescent="0.25">
      <c r="A3052" s="2" t="s">
        <v>8249</v>
      </c>
      <c r="B3052" s="2" t="s">
        <v>7007</v>
      </c>
      <c r="C3052" s="2" t="s">
        <v>8250</v>
      </c>
      <c r="D3052" s="2" t="s">
        <v>10055</v>
      </c>
      <c r="E3052" s="15">
        <v>2.5899999999999999E-2</v>
      </c>
      <c r="F3052" s="15">
        <v>7.3700000000000002E-2</v>
      </c>
      <c r="G3052" s="15">
        <v>0.72489999999999999</v>
      </c>
      <c r="H3052" s="15">
        <v>4.8000000000000001E-2</v>
      </c>
      <c r="I3052" s="15">
        <v>1.5599999999999999E-2</v>
      </c>
      <c r="J3052" s="15">
        <v>3.0580645161290319</v>
      </c>
    </row>
    <row r="3053" spans="1:10" x14ac:dyDescent="0.25">
      <c r="A3053" s="2" t="s">
        <v>8251</v>
      </c>
      <c r="B3053" s="2" t="s">
        <v>7007</v>
      </c>
      <c r="C3053" s="2" t="s">
        <v>8252</v>
      </c>
      <c r="D3053" s="2" t="s">
        <v>10055</v>
      </c>
      <c r="E3053" s="15">
        <v>-0.13150000000000001</v>
      </c>
      <c r="F3053" s="15">
        <v>0.16139999999999999</v>
      </c>
      <c r="G3053" s="15">
        <v>0.4153</v>
      </c>
      <c r="H3053" s="15">
        <v>1.38E-2</v>
      </c>
      <c r="I3053" s="15">
        <v>1.44E-2</v>
      </c>
      <c r="J3053" s="15">
        <v>1.1768707482993199</v>
      </c>
    </row>
    <row r="3054" spans="1:10" x14ac:dyDescent="0.25">
      <c r="A3054" s="2" t="s">
        <v>8253</v>
      </c>
      <c r="B3054" s="2" t="s">
        <v>7007</v>
      </c>
      <c r="C3054" s="2" t="s">
        <v>8254</v>
      </c>
      <c r="D3054" s="2" t="s">
        <v>10055</v>
      </c>
      <c r="E3054" s="15">
        <v>-7.3400000000000007E-2</v>
      </c>
      <c r="F3054" s="15">
        <v>5.3800000000000001E-2</v>
      </c>
      <c r="G3054" s="15">
        <v>0.17280000000000001</v>
      </c>
      <c r="H3054" s="15">
        <v>9.6799999999999997E-2</v>
      </c>
      <c r="I3054" s="15">
        <v>1.6899999999999998E-2</v>
      </c>
      <c r="J3054" s="15">
        <v>6.6951219512195106</v>
      </c>
    </row>
    <row r="3055" spans="1:10" x14ac:dyDescent="0.25">
      <c r="A3055" s="2" t="s">
        <v>8255</v>
      </c>
      <c r="B3055" s="2" t="s">
        <v>7007</v>
      </c>
      <c r="C3055" s="2" t="s">
        <v>8256</v>
      </c>
      <c r="D3055" s="2" t="s">
        <v>10055</v>
      </c>
      <c r="E3055" s="15"/>
      <c r="F3055" s="15"/>
      <c r="G3055" s="15"/>
      <c r="H3055" s="15">
        <v>-2.7900000000000001E-2</v>
      </c>
      <c r="I3055" s="15">
        <v>1.34E-2</v>
      </c>
      <c r="J3055" s="15">
        <v>-1.5111111111111111</v>
      </c>
    </row>
    <row r="3056" spans="1:10" x14ac:dyDescent="0.25">
      <c r="A3056" s="2" t="s">
        <v>8257</v>
      </c>
      <c r="B3056" s="2" t="s">
        <v>7007</v>
      </c>
      <c r="C3056" s="2" t="s">
        <v>8258</v>
      </c>
      <c r="D3056" s="2" t="s">
        <v>10055</v>
      </c>
      <c r="E3056" s="15">
        <v>1.72E-2</v>
      </c>
      <c r="F3056" s="15">
        <v>6.9000000000000006E-2</v>
      </c>
      <c r="G3056" s="15">
        <v>0.80359999999999998</v>
      </c>
      <c r="H3056" s="15">
        <v>6.5699999999999995E-2</v>
      </c>
      <c r="I3056" s="15">
        <v>1.5900000000000001E-2</v>
      </c>
      <c r="J3056" s="15">
        <v>4.2515723270440242</v>
      </c>
    </row>
    <row r="3057" spans="1:10" x14ac:dyDescent="0.25">
      <c r="A3057" s="2" t="s">
        <v>8259</v>
      </c>
      <c r="B3057" s="2" t="s">
        <v>7007</v>
      </c>
      <c r="C3057" s="2" t="s">
        <v>8260</v>
      </c>
      <c r="D3057" s="2" t="s">
        <v>10055</v>
      </c>
      <c r="E3057" s="15">
        <v>2.3199999999999998E-2</v>
      </c>
      <c r="F3057" s="15">
        <v>0.1007</v>
      </c>
      <c r="G3057" s="15">
        <v>0.81789999999999996</v>
      </c>
      <c r="H3057" s="15">
        <v>3.2599999999999997E-2</v>
      </c>
      <c r="I3057" s="15">
        <v>1.2699999999999999E-2</v>
      </c>
      <c r="J3057" s="15">
        <v>2.6583333333333332</v>
      </c>
    </row>
    <row r="3058" spans="1:10" x14ac:dyDescent="0.25">
      <c r="A3058" s="2" t="s">
        <v>8261</v>
      </c>
      <c r="B3058" s="2" t="s">
        <v>7007</v>
      </c>
      <c r="C3058" s="2" t="s">
        <v>8262</v>
      </c>
      <c r="D3058" s="2" t="s">
        <v>10055</v>
      </c>
      <c r="E3058" s="15">
        <v>0.1011</v>
      </c>
      <c r="F3058" s="15">
        <v>6.9199999999999998E-2</v>
      </c>
      <c r="G3058" s="15">
        <v>0.1439</v>
      </c>
      <c r="H3058" s="15">
        <v>6.9000000000000006E-2</v>
      </c>
      <c r="I3058" s="15">
        <v>1.4200000000000001E-2</v>
      </c>
      <c r="J3058" s="15">
        <v>5.1571428571428566</v>
      </c>
    </row>
    <row r="3059" spans="1:10" x14ac:dyDescent="0.25">
      <c r="A3059" s="2" t="s">
        <v>8263</v>
      </c>
      <c r="B3059" s="2" t="s">
        <v>7007</v>
      </c>
      <c r="C3059" s="2" t="s">
        <v>8264</v>
      </c>
      <c r="D3059" s="2" t="s">
        <v>10055</v>
      </c>
      <c r="E3059" s="15">
        <v>6.5100000000000005E-2</v>
      </c>
      <c r="F3059" s="15">
        <v>6.2700000000000006E-2</v>
      </c>
      <c r="G3059" s="15">
        <v>0.2989</v>
      </c>
      <c r="H3059" s="15">
        <v>8.5699999999999998E-2</v>
      </c>
      <c r="I3059" s="15">
        <v>1.3899999999999999E-2</v>
      </c>
      <c r="J3059" s="15">
        <v>6.386206896551724</v>
      </c>
    </row>
    <row r="3060" spans="1:10" x14ac:dyDescent="0.25">
      <c r="A3060" s="2" t="s">
        <v>8265</v>
      </c>
      <c r="B3060" s="2" t="s">
        <v>7007</v>
      </c>
      <c r="C3060" s="2" t="s">
        <v>8266</v>
      </c>
      <c r="D3060" s="2" t="s">
        <v>10055</v>
      </c>
      <c r="E3060" s="15">
        <v>0.48849999999999999</v>
      </c>
      <c r="F3060" s="15">
        <v>1.4743999999999999</v>
      </c>
      <c r="G3060" s="15">
        <v>0.74039999999999995</v>
      </c>
      <c r="H3060" s="15">
        <v>3.3999999999999998E-3</v>
      </c>
      <c r="I3060" s="15">
        <v>1.3100000000000001E-2</v>
      </c>
      <c r="J3060" s="15">
        <v>0.32116788321167877</v>
      </c>
    </row>
    <row r="3061" spans="1:10" x14ac:dyDescent="0.25">
      <c r="A3061" s="2" t="s">
        <v>8267</v>
      </c>
      <c r="B3061" s="2" t="s">
        <v>7007</v>
      </c>
      <c r="C3061" s="2" t="s">
        <v>8268</v>
      </c>
      <c r="D3061" s="2" t="s">
        <v>10055</v>
      </c>
      <c r="E3061" s="15">
        <v>5.57E-2</v>
      </c>
      <c r="F3061" s="15">
        <v>9.1300000000000006E-2</v>
      </c>
      <c r="G3061" s="15">
        <v>0.54149999999999998</v>
      </c>
      <c r="H3061" s="15">
        <v>3.6200000000000003E-2</v>
      </c>
      <c r="I3061" s="15">
        <v>1.46E-2</v>
      </c>
      <c r="J3061" s="15">
        <v>2.439393939393939</v>
      </c>
    </row>
    <row r="3062" spans="1:10" x14ac:dyDescent="0.25">
      <c r="A3062" s="2" t="s">
        <v>8269</v>
      </c>
      <c r="B3062" s="2" t="s">
        <v>7007</v>
      </c>
      <c r="C3062" s="2" t="s">
        <v>8270</v>
      </c>
      <c r="D3062" s="2" t="s">
        <v>10055</v>
      </c>
      <c r="E3062" s="15">
        <v>-5.6800000000000003E-2</v>
      </c>
      <c r="F3062" s="15">
        <v>8.7800000000000003E-2</v>
      </c>
      <c r="G3062" s="15">
        <v>0.5181</v>
      </c>
      <c r="H3062" s="15">
        <v>4.1200000000000001E-2</v>
      </c>
      <c r="I3062" s="15">
        <v>1.5299999999999999E-2</v>
      </c>
      <c r="J3062" s="15">
        <v>3.0136054421768712</v>
      </c>
    </row>
    <row r="3063" spans="1:10" x14ac:dyDescent="0.25">
      <c r="A3063" s="2" t="s">
        <v>8271</v>
      </c>
      <c r="B3063" s="2" t="s">
        <v>7007</v>
      </c>
      <c r="C3063" s="2" t="s">
        <v>8272</v>
      </c>
      <c r="D3063" s="2" t="s">
        <v>10055</v>
      </c>
      <c r="E3063" s="15">
        <v>0.20949999999999999</v>
      </c>
      <c r="F3063" s="15">
        <v>0.15920000000000001</v>
      </c>
      <c r="G3063" s="15">
        <v>0.18820000000000001</v>
      </c>
      <c r="H3063" s="15">
        <v>1.4999999999999999E-2</v>
      </c>
      <c r="I3063" s="15">
        <v>1.44E-2</v>
      </c>
      <c r="J3063" s="15">
        <v>1.2803030303030301</v>
      </c>
    </row>
    <row r="3064" spans="1:10" x14ac:dyDescent="0.25">
      <c r="A3064" s="2" t="s">
        <v>8273</v>
      </c>
      <c r="B3064" s="2" t="s">
        <v>7007</v>
      </c>
      <c r="C3064" s="2" t="s">
        <v>8274</v>
      </c>
      <c r="D3064" s="2" t="s">
        <v>10055</v>
      </c>
      <c r="E3064" s="15">
        <v>-7.4200000000000002E-2</v>
      </c>
      <c r="F3064" s="15">
        <v>0.124</v>
      </c>
      <c r="G3064" s="15">
        <v>0.5494</v>
      </c>
      <c r="H3064" s="15">
        <v>1.84E-2</v>
      </c>
      <c r="I3064" s="15">
        <v>1.3599999999999999E-2</v>
      </c>
      <c r="J3064" s="15">
        <v>0.93893129770992367</v>
      </c>
    </row>
    <row r="3065" spans="1:10" x14ac:dyDescent="0.25">
      <c r="A3065" s="2" t="s">
        <v>8275</v>
      </c>
      <c r="B3065" s="2" t="s">
        <v>7007</v>
      </c>
      <c r="C3065" s="2" t="s">
        <v>8276</v>
      </c>
      <c r="D3065" s="2" t="s">
        <v>10055</v>
      </c>
      <c r="E3065" s="15">
        <v>-2.4299999999999999E-2</v>
      </c>
      <c r="F3065" s="15">
        <v>5.1400000000000001E-2</v>
      </c>
      <c r="G3065" s="15">
        <v>0.63700000000000001</v>
      </c>
      <c r="H3065" s="15">
        <v>0.1076</v>
      </c>
      <c r="I3065" s="15">
        <v>1.84E-2</v>
      </c>
      <c r="J3065" s="15">
        <v>6.7176470588235286</v>
      </c>
    </row>
    <row r="3066" spans="1:10" x14ac:dyDescent="0.25">
      <c r="A3066" s="2" t="s">
        <v>8277</v>
      </c>
      <c r="B3066" s="2" t="s">
        <v>7007</v>
      </c>
      <c r="C3066" s="2" t="s">
        <v>8278</v>
      </c>
      <c r="D3066" s="2" t="s">
        <v>10055</v>
      </c>
      <c r="E3066" s="15">
        <v>-8.8200000000000001E-2</v>
      </c>
      <c r="F3066" s="15">
        <v>0.1103</v>
      </c>
      <c r="G3066" s="15">
        <v>0.42399999999999999</v>
      </c>
      <c r="H3066" s="15">
        <v>3.0599999999999999E-2</v>
      </c>
      <c r="I3066" s="15">
        <v>1.38E-2</v>
      </c>
      <c r="J3066" s="15">
        <v>2.9847328244274811</v>
      </c>
    </row>
    <row r="3067" spans="1:10" x14ac:dyDescent="0.25">
      <c r="A3067" s="2" t="s">
        <v>8279</v>
      </c>
      <c r="B3067" s="2" t="s">
        <v>7007</v>
      </c>
      <c r="C3067" s="2" t="s">
        <v>8280</v>
      </c>
      <c r="D3067" s="2" t="s">
        <v>10055</v>
      </c>
      <c r="E3067" s="15">
        <v>2.3900000000000001E-2</v>
      </c>
      <c r="F3067" s="15">
        <v>6.1899999999999997E-2</v>
      </c>
      <c r="G3067" s="15">
        <v>0.69869999999999999</v>
      </c>
      <c r="H3067" s="15">
        <v>8.2000000000000003E-2</v>
      </c>
      <c r="I3067" s="15">
        <v>1.8100000000000002E-2</v>
      </c>
      <c r="J3067" s="15">
        <v>4.6184971098265901</v>
      </c>
    </row>
    <row r="3068" spans="1:10" x14ac:dyDescent="0.25">
      <c r="A3068" s="2" t="s">
        <v>8281</v>
      </c>
      <c r="B3068" s="2" t="s">
        <v>7007</v>
      </c>
      <c r="C3068" s="2" t="s">
        <v>8282</v>
      </c>
      <c r="D3068" s="2" t="s">
        <v>10055</v>
      </c>
      <c r="E3068" s="15"/>
      <c r="F3068" s="15"/>
      <c r="G3068" s="15"/>
      <c r="H3068" s="15">
        <v>-1.2999999999999999E-3</v>
      </c>
      <c r="I3068" s="15">
        <v>1.4800000000000001E-2</v>
      </c>
      <c r="J3068" s="15">
        <v>-0.1970802919708029</v>
      </c>
    </row>
    <row r="3069" spans="1:10" x14ac:dyDescent="0.25">
      <c r="A3069" s="2" t="s">
        <v>8283</v>
      </c>
      <c r="B3069" s="2" t="s">
        <v>7007</v>
      </c>
      <c r="C3069" s="2" t="s">
        <v>8284</v>
      </c>
      <c r="D3069" s="2" t="s">
        <v>10055</v>
      </c>
      <c r="E3069" s="15">
        <v>-0.124</v>
      </c>
      <c r="F3069" s="15">
        <v>9.2399999999999996E-2</v>
      </c>
      <c r="G3069" s="15">
        <v>0.1794</v>
      </c>
      <c r="H3069" s="15">
        <v>4.5900000000000003E-2</v>
      </c>
      <c r="I3069" s="15">
        <v>1.6400000000000001E-2</v>
      </c>
      <c r="J3069" s="15">
        <v>3.1524390243902438</v>
      </c>
    </row>
    <row r="3070" spans="1:10" x14ac:dyDescent="0.25">
      <c r="A3070" s="2" t="s">
        <v>8285</v>
      </c>
      <c r="B3070" s="2" t="s">
        <v>7007</v>
      </c>
      <c r="C3070" s="2" t="s">
        <v>8286</v>
      </c>
      <c r="D3070" s="2" t="s">
        <v>10055</v>
      </c>
      <c r="E3070" s="15">
        <v>1.37E-2</v>
      </c>
      <c r="F3070" s="15">
        <v>7.6100000000000001E-2</v>
      </c>
      <c r="G3070" s="15">
        <v>0.85750000000000004</v>
      </c>
      <c r="H3070" s="15">
        <v>4.7100000000000003E-2</v>
      </c>
      <c r="I3070" s="15">
        <v>1.5599999999999999E-2</v>
      </c>
      <c r="J3070" s="15">
        <v>3.1677852348993292</v>
      </c>
    </row>
    <row r="3071" spans="1:10" x14ac:dyDescent="0.25">
      <c r="A3071" s="2" t="s">
        <v>8287</v>
      </c>
      <c r="B3071" s="2" t="s">
        <v>7007</v>
      </c>
      <c r="C3071" s="2" t="s">
        <v>8288</v>
      </c>
      <c r="D3071" s="2" t="s">
        <v>10055</v>
      </c>
      <c r="E3071" s="15">
        <v>-6.5299999999999997E-2</v>
      </c>
      <c r="F3071" s="15">
        <v>6.8199999999999997E-2</v>
      </c>
      <c r="G3071" s="15">
        <v>0.3382</v>
      </c>
      <c r="H3071" s="15">
        <v>5.9900000000000002E-2</v>
      </c>
      <c r="I3071" s="15">
        <v>1.4800000000000001E-2</v>
      </c>
      <c r="J3071" s="15">
        <v>4.2307692307692308</v>
      </c>
    </row>
    <row r="3072" spans="1:10" x14ac:dyDescent="0.25">
      <c r="A3072" s="2" t="s">
        <v>8289</v>
      </c>
      <c r="B3072" s="2" t="s">
        <v>7007</v>
      </c>
      <c r="C3072" s="2" t="s">
        <v>8290</v>
      </c>
      <c r="D3072" s="2" t="s">
        <v>10055</v>
      </c>
      <c r="E3072" s="15">
        <v>8.09E-2</v>
      </c>
      <c r="F3072" s="15">
        <v>7.2900000000000006E-2</v>
      </c>
      <c r="G3072" s="15">
        <v>0.26740000000000003</v>
      </c>
      <c r="H3072" s="15">
        <v>6.0299999999999999E-2</v>
      </c>
      <c r="I3072" s="15">
        <v>1.6799999999999999E-2</v>
      </c>
      <c r="J3072" s="15">
        <v>3.624242424242424</v>
      </c>
    </row>
    <row r="3073" spans="1:10" x14ac:dyDescent="0.25">
      <c r="A3073" s="2" t="s">
        <v>8291</v>
      </c>
      <c r="B3073" s="2" t="s">
        <v>7007</v>
      </c>
      <c r="C3073" s="2" t="s">
        <v>8292</v>
      </c>
      <c r="D3073" s="2" t="s">
        <v>10055</v>
      </c>
      <c r="E3073" s="15">
        <v>-1.49E-2</v>
      </c>
      <c r="F3073" s="15">
        <v>6.1600000000000002E-2</v>
      </c>
      <c r="G3073" s="15">
        <v>0.80879999999999996</v>
      </c>
      <c r="H3073" s="15">
        <v>0.10290000000000001</v>
      </c>
      <c r="I3073" s="15">
        <v>1.67E-2</v>
      </c>
      <c r="J3073" s="15">
        <v>6.0188679245283012</v>
      </c>
    </row>
    <row r="3074" spans="1:10" x14ac:dyDescent="0.25">
      <c r="A3074" s="2" t="s">
        <v>8293</v>
      </c>
      <c r="B3074" s="2" t="s">
        <v>7007</v>
      </c>
      <c r="C3074" s="2" t="s">
        <v>8294</v>
      </c>
      <c r="D3074" s="2" t="s">
        <v>10055</v>
      </c>
      <c r="E3074" s="15">
        <v>2.0199999999999999E-2</v>
      </c>
      <c r="F3074" s="15">
        <v>8.8499999999999995E-2</v>
      </c>
      <c r="G3074" s="15">
        <v>0.81910000000000005</v>
      </c>
      <c r="H3074" s="15">
        <v>4.2700000000000002E-2</v>
      </c>
      <c r="I3074" s="15">
        <v>1.52E-2</v>
      </c>
      <c r="J3074" s="15">
        <v>2.166666666666667</v>
      </c>
    </row>
    <row r="3075" spans="1:10" x14ac:dyDescent="0.25">
      <c r="A3075" s="2" t="s">
        <v>8295</v>
      </c>
      <c r="B3075" s="2" t="s">
        <v>7007</v>
      </c>
      <c r="C3075" s="2" t="s">
        <v>8296</v>
      </c>
      <c r="D3075" s="2" t="s">
        <v>10055</v>
      </c>
      <c r="E3075" s="15">
        <v>-0.1087</v>
      </c>
      <c r="F3075" s="15">
        <v>6.54E-2</v>
      </c>
      <c r="G3075" s="15">
        <v>9.6600000000000005E-2</v>
      </c>
      <c r="H3075" s="15">
        <v>8.6400000000000005E-2</v>
      </c>
      <c r="I3075" s="15">
        <v>1.6400000000000001E-2</v>
      </c>
      <c r="J3075" s="15">
        <v>5.8974358974358978</v>
      </c>
    </row>
    <row r="3076" spans="1:10" x14ac:dyDescent="0.25">
      <c r="A3076" s="2" t="s">
        <v>8297</v>
      </c>
      <c r="B3076" s="2" t="s">
        <v>7007</v>
      </c>
      <c r="C3076" s="2" t="s">
        <v>8298</v>
      </c>
      <c r="D3076" s="2" t="s">
        <v>10055</v>
      </c>
      <c r="E3076" s="15"/>
      <c r="F3076" s="15"/>
      <c r="G3076" s="15"/>
      <c r="H3076" s="15">
        <v>-6.4000000000000003E-3</v>
      </c>
      <c r="I3076" s="15">
        <v>1.29E-2</v>
      </c>
      <c r="J3076" s="15">
        <v>-0.62043795620437958</v>
      </c>
    </row>
    <row r="3077" spans="1:10" x14ac:dyDescent="0.25">
      <c r="A3077" s="2" t="s">
        <v>8299</v>
      </c>
      <c r="B3077" s="2" t="s">
        <v>7007</v>
      </c>
      <c r="C3077" s="2" t="s">
        <v>8300</v>
      </c>
      <c r="D3077" s="2" t="s">
        <v>10055</v>
      </c>
      <c r="E3077" s="15">
        <v>0.1021</v>
      </c>
      <c r="F3077" s="15">
        <v>0.14330000000000001</v>
      </c>
      <c r="G3077" s="15">
        <v>0.4763</v>
      </c>
      <c r="H3077" s="15">
        <v>1.8599999999999998E-2</v>
      </c>
      <c r="I3077" s="15">
        <v>1.2699999999999999E-2</v>
      </c>
      <c r="J3077" s="15">
        <v>1.88</v>
      </c>
    </row>
    <row r="3078" spans="1:10" x14ac:dyDescent="0.25">
      <c r="A3078" s="2" t="s">
        <v>8301</v>
      </c>
      <c r="B3078" s="2" t="s">
        <v>7007</v>
      </c>
      <c r="C3078" s="2" t="s">
        <v>8302</v>
      </c>
      <c r="D3078" s="2" t="s">
        <v>10055</v>
      </c>
      <c r="E3078" s="15">
        <v>-0.15959999999999999</v>
      </c>
      <c r="F3078" s="15">
        <v>0.1132</v>
      </c>
      <c r="G3078" s="15">
        <v>0.15870000000000001</v>
      </c>
      <c r="H3078" s="15">
        <v>2.8799999999999999E-2</v>
      </c>
      <c r="I3078" s="15">
        <v>1.38E-2</v>
      </c>
      <c r="J3078" s="15">
        <v>2.566929133858268</v>
      </c>
    </row>
    <row r="3079" spans="1:10" x14ac:dyDescent="0.25">
      <c r="A3079" s="2" t="s">
        <v>8303</v>
      </c>
      <c r="B3079" s="2" t="s">
        <v>7007</v>
      </c>
      <c r="C3079" s="2" t="s">
        <v>8304</v>
      </c>
      <c r="D3079" s="2" t="s">
        <v>10055</v>
      </c>
      <c r="E3079" s="15">
        <v>2.9999999999999997E-4</v>
      </c>
      <c r="F3079" s="15">
        <v>8.5199999999999998E-2</v>
      </c>
      <c r="G3079" s="15">
        <v>0.99739999999999995</v>
      </c>
      <c r="H3079" s="15">
        <v>5.2600000000000001E-2</v>
      </c>
      <c r="I3079" s="15">
        <v>1.5299999999999999E-2</v>
      </c>
      <c r="J3079" s="15">
        <v>3.8666666666666671</v>
      </c>
    </row>
    <row r="3080" spans="1:10" x14ac:dyDescent="0.25">
      <c r="A3080" s="2" t="s">
        <v>8305</v>
      </c>
      <c r="B3080" s="2" t="s">
        <v>7007</v>
      </c>
      <c r="C3080" s="2" t="s">
        <v>8306</v>
      </c>
      <c r="D3080" s="2" t="s">
        <v>10055</v>
      </c>
      <c r="E3080" s="15">
        <v>2.5100000000000001E-2</v>
      </c>
      <c r="F3080" s="15">
        <v>0.1142</v>
      </c>
      <c r="G3080" s="15">
        <v>0.82569999999999999</v>
      </c>
      <c r="H3080" s="15">
        <v>2.7199999999999998E-2</v>
      </c>
      <c r="I3080" s="15">
        <v>1.3599999999999999E-2</v>
      </c>
      <c r="J3080" s="15">
        <v>2.0451127819548871</v>
      </c>
    </row>
    <row r="3081" spans="1:10" x14ac:dyDescent="0.25">
      <c r="A3081" s="2" t="s">
        <v>8307</v>
      </c>
      <c r="B3081" s="2" t="s">
        <v>7007</v>
      </c>
      <c r="C3081" s="2" t="s">
        <v>8308</v>
      </c>
      <c r="D3081" s="2" t="s">
        <v>10055</v>
      </c>
      <c r="E3081" s="15">
        <v>-9.5699999999999993E-2</v>
      </c>
      <c r="F3081" s="15">
        <v>7.5300000000000006E-2</v>
      </c>
      <c r="G3081" s="15">
        <v>0.2041</v>
      </c>
      <c r="H3081" s="15">
        <v>6.2100000000000002E-2</v>
      </c>
      <c r="I3081" s="15">
        <v>1.7999999999999999E-2</v>
      </c>
      <c r="J3081" s="15">
        <v>3.6058823529411761</v>
      </c>
    </row>
    <row r="3082" spans="1:10" x14ac:dyDescent="0.25">
      <c r="A3082" s="2" t="s">
        <v>8309</v>
      </c>
      <c r="B3082" s="2" t="s">
        <v>7007</v>
      </c>
      <c r="C3082" s="2" t="s">
        <v>8310</v>
      </c>
      <c r="D3082" s="2" t="s">
        <v>10055</v>
      </c>
      <c r="E3082" s="15">
        <v>9.9000000000000008E-3</v>
      </c>
      <c r="F3082" s="15">
        <v>9.35E-2</v>
      </c>
      <c r="G3082" s="15">
        <v>0.91600000000000004</v>
      </c>
      <c r="H3082" s="15">
        <v>4.0300000000000002E-2</v>
      </c>
      <c r="I3082" s="15">
        <v>1.8700000000000001E-2</v>
      </c>
      <c r="J3082" s="15">
        <v>2.2947976878612719</v>
      </c>
    </row>
    <row r="3083" spans="1:10" x14ac:dyDescent="0.25">
      <c r="A3083" s="2" t="s">
        <v>8311</v>
      </c>
      <c r="B3083" s="2" t="s">
        <v>7007</v>
      </c>
      <c r="C3083" s="2" t="s">
        <v>8312</v>
      </c>
      <c r="D3083" s="2" t="s">
        <v>10055</v>
      </c>
      <c r="E3083" s="15">
        <v>1.6799999999999999E-2</v>
      </c>
      <c r="F3083" s="15">
        <v>8.7900000000000006E-2</v>
      </c>
      <c r="G3083" s="15">
        <v>0.84830000000000005</v>
      </c>
      <c r="H3083" s="15">
        <v>3.5400000000000001E-2</v>
      </c>
      <c r="I3083" s="15">
        <v>1.4800000000000001E-2</v>
      </c>
      <c r="J3083" s="15">
        <v>2.6180555555555549</v>
      </c>
    </row>
    <row r="3084" spans="1:10" x14ac:dyDescent="0.25">
      <c r="A3084" s="2" t="s">
        <v>8313</v>
      </c>
      <c r="B3084" s="2" t="s">
        <v>7007</v>
      </c>
      <c r="C3084" s="2" t="s">
        <v>8314</v>
      </c>
      <c r="D3084" s="2" t="s">
        <v>10055</v>
      </c>
      <c r="E3084" s="15">
        <v>-2.5000000000000001E-2</v>
      </c>
      <c r="F3084" s="15">
        <v>5.6899999999999999E-2</v>
      </c>
      <c r="G3084" s="15">
        <v>0.66039999999999999</v>
      </c>
      <c r="H3084" s="15">
        <v>0.1192</v>
      </c>
      <c r="I3084" s="15">
        <v>1.72E-2</v>
      </c>
      <c r="J3084" s="15">
        <v>7.3086419753086416</v>
      </c>
    </row>
    <row r="3085" spans="1:10" x14ac:dyDescent="0.25">
      <c r="A3085" s="2" t="s">
        <v>8315</v>
      </c>
      <c r="B3085" s="2" t="s">
        <v>7007</v>
      </c>
      <c r="C3085" s="2" t="s">
        <v>8316</v>
      </c>
      <c r="D3085" s="2" t="s">
        <v>10055</v>
      </c>
      <c r="E3085" s="15">
        <v>5.5300000000000002E-2</v>
      </c>
      <c r="F3085" s="15">
        <v>4.9799999999999997E-2</v>
      </c>
      <c r="G3085" s="15">
        <v>0.2671</v>
      </c>
      <c r="H3085" s="15">
        <v>0.12379999999999999</v>
      </c>
      <c r="I3085" s="15">
        <v>1.7100000000000001E-2</v>
      </c>
      <c r="J3085" s="15">
        <v>7.9390243902439028</v>
      </c>
    </row>
    <row r="3086" spans="1:10" x14ac:dyDescent="0.25">
      <c r="A3086" s="2" t="s">
        <v>8317</v>
      </c>
      <c r="B3086" s="2" t="s">
        <v>7007</v>
      </c>
      <c r="C3086" s="2" t="s">
        <v>8318</v>
      </c>
      <c r="D3086" s="2" t="s">
        <v>10055</v>
      </c>
      <c r="E3086" s="15">
        <v>-2.4799999999999999E-2</v>
      </c>
      <c r="F3086" s="15">
        <v>9.8000000000000004E-2</v>
      </c>
      <c r="G3086" s="15">
        <v>0.79990000000000006</v>
      </c>
      <c r="H3086" s="15">
        <v>3.1800000000000002E-2</v>
      </c>
      <c r="I3086" s="15">
        <v>1.6199999999999999E-2</v>
      </c>
      <c r="J3086" s="15">
        <v>2.8098159509202461</v>
      </c>
    </row>
    <row r="3087" spans="1:10" x14ac:dyDescent="0.25">
      <c r="A3087" s="2" t="s">
        <v>8319</v>
      </c>
      <c r="B3087" s="2" t="s">
        <v>7007</v>
      </c>
      <c r="C3087" s="2" t="s">
        <v>8320</v>
      </c>
      <c r="D3087" s="2" t="s">
        <v>10055</v>
      </c>
      <c r="E3087" s="15">
        <v>-7.1099999999999997E-2</v>
      </c>
      <c r="F3087" s="15">
        <v>6.3799999999999996E-2</v>
      </c>
      <c r="G3087" s="15">
        <v>0.26540000000000002</v>
      </c>
      <c r="H3087" s="15">
        <v>8.1199999999999994E-2</v>
      </c>
      <c r="I3087" s="15">
        <v>1.7000000000000001E-2</v>
      </c>
      <c r="J3087" s="15">
        <v>4.9192546583850936</v>
      </c>
    </row>
    <row r="3088" spans="1:10" x14ac:dyDescent="0.25">
      <c r="A3088" s="2" t="s">
        <v>8321</v>
      </c>
      <c r="B3088" s="2" t="s">
        <v>7007</v>
      </c>
      <c r="C3088" s="2" t="s">
        <v>8322</v>
      </c>
      <c r="D3088" s="2" t="s">
        <v>10055</v>
      </c>
      <c r="E3088" s="15">
        <v>3.0300000000000001E-2</v>
      </c>
      <c r="F3088" s="15">
        <v>6.6199999999999995E-2</v>
      </c>
      <c r="G3088" s="15">
        <v>0.64659999999999995</v>
      </c>
      <c r="H3088" s="15">
        <v>6.5600000000000006E-2</v>
      </c>
      <c r="I3088" s="15">
        <v>1.5800000000000002E-2</v>
      </c>
      <c r="J3088" s="15">
        <v>4.8219178082191787</v>
      </c>
    </row>
    <row r="3089" spans="1:10" x14ac:dyDescent="0.25">
      <c r="A3089" s="2" t="s">
        <v>8323</v>
      </c>
      <c r="B3089" s="2" t="s">
        <v>7007</v>
      </c>
      <c r="C3089" s="2" t="s">
        <v>8324</v>
      </c>
      <c r="D3089" s="2" t="s">
        <v>10055</v>
      </c>
      <c r="E3089" s="15">
        <v>3.3099999999999997E-2</v>
      </c>
      <c r="F3089" s="15">
        <v>4.6899999999999997E-2</v>
      </c>
      <c r="G3089" s="15">
        <v>0.48130000000000001</v>
      </c>
      <c r="H3089" s="15">
        <v>0.15640000000000001</v>
      </c>
      <c r="I3089" s="15">
        <v>2.3800000000000002E-2</v>
      </c>
      <c r="J3089" s="15">
        <v>7.5652173913043477</v>
      </c>
    </row>
    <row r="3090" spans="1:10" x14ac:dyDescent="0.25">
      <c r="A3090" s="2" t="s">
        <v>8325</v>
      </c>
      <c r="B3090" s="2" t="s">
        <v>7007</v>
      </c>
      <c r="C3090" s="2" t="s">
        <v>8326</v>
      </c>
      <c r="D3090" s="2" t="s">
        <v>10055</v>
      </c>
      <c r="E3090" s="15">
        <v>3.4299999999999997E-2</v>
      </c>
      <c r="F3090" s="15">
        <v>9.1899999999999996E-2</v>
      </c>
      <c r="G3090" s="15">
        <v>0.70879999999999999</v>
      </c>
      <c r="H3090" s="15">
        <v>3.8399999999999997E-2</v>
      </c>
      <c r="I3090" s="15">
        <v>1.5599999999999999E-2</v>
      </c>
      <c r="J3090" s="15">
        <v>2.912751677852349</v>
      </c>
    </row>
    <row r="3091" spans="1:10" x14ac:dyDescent="0.25">
      <c r="A3091" s="2" t="s">
        <v>8327</v>
      </c>
      <c r="B3091" s="2" t="s">
        <v>7007</v>
      </c>
      <c r="C3091" s="2" t="s">
        <v>8328</v>
      </c>
      <c r="D3091" s="2" t="s">
        <v>10055</v>
      </c>
      <c r="E3091" s="15">
        <v>-4.48E-2</v>
      </c>
      <c r="F3091" s="15">
        <v>6.5500000000000003E-2</v>
      </c>
      <c r="G3091" s="15">
        <v>0.49469999999999997</v>
      </c>
      <c r="H3091" s="15">
        <v>6.3299999999999995E-2</v>
      </c>
      <c r="I3091" s="15">
        <v>1.54E-2</v>
      </c>
      <c r="J3091" s="15">
        <v>4.3660130718954253</v>
      </c>
    </row>
    <row r="3092" spans="1:10" x14ac:dyDescent="0.25">
      <c r="A3092" s="2" t="s">
        <v>8329</v>
      </c>
      <c r="B3092" s="2" t="s">
        <v>7007</v>
      </c>
      <c r="C3092" s="2" t="s">
        <v>8330</v>
      </c>
      <c r="D3092" s="2" t="s">
        <v>10055</v>
      </c>
      <c r="E3092" s="15">
        <v>1.4999999999999999E-2</v>
      </c>
      <c r="F3092" s="15">
        <v>0.1673</v>
      </c>
      <c r="G3092" s="15">
        <v>0.92849999999999999</v>
      </c>
      <c r="H3092" s="15">
        <v>1.18E-2</v>
      </c>
      <c r="I3092" s="15">
        <v>1.32E-2</v>
      </c>
      <c r="J3092" s="15">
        <v>1.0423728813559321</v>
      </c>
    </row>
    <row r="3093" spans="1:10" x14ac:dyDescent="0.25">
      <c r="A3093" s="2" t="s">
        <v>8331</v>
      </c>
      <c r="B3093" s="2" t="s">
        <v>7007</v>
      </c>
      <c r="C3093" s="2" t="s">
        <v>8332</v>
      </c>
      <c r="D3093" s="2" t="s">
        <v>10055</v>
      </c>
      <c r="E3093" s="15">
        <v>3.2099999999999997E-2</v>
      </c>
      <c r="F3093" s="15">
        <v>5.5E-2</v>
      </c>
      <c r="G3093" s="15">
        <v>0.55969999999999998</v>
      </c>
      <c r="H3093" s="15">
        <v>0.1042</v>
      </c>
      <c r="I3093" s="15">
        <v>1.5800000000000002E-2</v>
      </c>
      <c r="J3093" s="15">
        <v>6.7727272727272716</v>
      </c>
    </row>
    <row r="3094" spans="1:10" x14ac:dyDescent="0.25">
      <c r="A3094" s="2" t="s">
        <v>8333</v>
      </c>
      <c r="B3094" s="2" t="s">
        <v>7007</v>
      </c>
      <c r="C3094" s="2" t="s">
        <v>8334</v>
      </c>
      <c r="D3094" s="2" t="s">
        <v>10055</v>
      </c>
      <c r="E3094" s="15">
        <v>7.3400000000000007E-2</v>
      </c>
      <c r="F3094" s="15">
        <v>7.4499999999999997E-2</v>
      </c>
      <c r="G3094" s="15">
        <v>0.32440000000000002</v>
      </c>
      <c r="H3094" s="15">
        <v>5.3999999999999999E-2</v>
      </c>
      <c r="I3094" s="15">
        <v>1.6899999999999998E-2</v>
      </c>
      <c r="J3094" s="15">
        <v>2.9570552147239271</v>
      </c>
    </row>
    <row r="3095" spans="1:10" x14ac:dyDescent="0.25">
      <c r="A3095" s="2" t="s">
        <v>8335</v>
      </c>
      <c r="B3095" s="2" t="s">
        <v>7007</v>
      </c>
      <c r="C3095" s="2" t="s">
        <v>8336</v>
      </c>
      <c r="D3095" s="2" t="s">
        <v>10055</v>
      </c>
      <c r="E3095" s="15">
        <v>-0.21490000000000001</v>
      </c>
      <c r="F3095" s="15">
        <v>0.1212</v>
      </c>
      <c r="G3095" s="15">
        <v>7.6100000000000001E-2</v>
      </c>
      <c r="H3095" s="15">
        <v>2.5000000000000001E-2</v>
      </c>
      <c r="I3095" s="15">
        <v>1.49E-2</v>
      </c>
      <c r="J3095" s="15">
        <v>1.574468085106383</v>
      </c>
    </row>
    <row r="3096" spans="1:10" x14ac:dyDescent="0.25">
      <c r="A3096" s="2" t="s">
        <v>8337</v>
      </c>
      <c r="B3096" s="2" t="s">
        <v>7007</v>
      </c>
      <c r="C3096" s="2" t="s">
        <v>8338</v>
      </c>
      <c r="D3096" s="2" t="s">
        <v>10055</v>
      </c>
      <c r="E3096" s="15">
        <v>-3.2099999999999997E-2</v>
      </c>
      <c r="F3096" s="15">
        <v>6.1800000000000001E-2</v>
      </c>
      <c r="G3096" s="15">
        <v>0.60370000000000001</v>
      </c>
      <c r="H3096" s="15">
        <v>8.0500000000000002E-2</v>
      </c>
      <c r="I3096" s="15">
        <v>1.66E-2</v>
      </c>
      <c r="J3096" s="15">
        <v>5.2088607594936702</v>
      </c>
    </row>
    <row r="3097" spans="1:10" x14ac:dyDescent="0.25">
      <c r="A3097" s="2" t="s">
        <v>8339</v>
      </c>
      <c r="B3097" s="2" t="s">
        <v>7007</v>
      </c>
      <c r="C3097" s="2" t="s">
        <v>8340</v>
      </c>
      <c r="D3097" s="2" t="s">
        <v>10055</v>
      </c>
      <c r="E3097" s="15">
        <v>0.16739999999999999</v>
      </c>
      <c r="F3097" s="15">
        <v>0.2165</v>
      </c>
      <c r="G3097" s="15">
        <v>0.43940000000000001</v>
      </c>
      <c r="H3097" s="15">
        <v>1.06E-2</v>
      </c>
      <c r="I3097" s="15">
        <v>1.4E-2</v>
      </c>
      <c r="J3097" s="15">
        <v>0.95744680851063835</v>
      </c>
    </row>
    <row r="3098" spans="1:10" x14ac:dyDescent="0.25">
      <c r="A3098" s="2" t="s">
        <v>8341</v>
      </c>
      <c r="B3098" s="2" t="s">
        <v>7007</v>
      </c>
      <c r="C3098" s="2" t="s">
        <v>8342</v>
      </c>
      <c r="D3098" s="2" t="s">
        <v>10055</v>
      </c>
      <c r="E3098" s="15">
        <v>7.3800000000000004E-2</v>
      </c>
      <c r="F3098" s="15">
        <v>0.11070000000000001</v>
      </c>
      <c r="G3098" s="15">
        <v>0.50519999999999998</v>
      </c>
      <c r="H3098" s="15">
        <v>2.9000000000000001E-2</v>
      </c>
      <c r="I3098" s="15">
        <v>1.3599999999999999E-2</v>
      </c>
      <c r="J3098" s="15">
        <v>2.6515151515151518</v>
      </c>
    </row>
    <row r="3099" spans="1:10" x14ac:dyDescent="0.25">
      <c r="A3099" s="2" t="s">
        <v>8343</v>
      </c>
      <c r="B3099" s="2" t="s">
        <v>7007</v>
      </c>
      <c r="C3099" s="2" t="s">
        <v>8344</v>
      </c>
      <c r="D3099" s="2" t="s">
        <v>10055</v>
      </c>
      <c r="E3099" s="15">
        <v>0.16400000000000001</v>
      </c>
      <c r="F3099" s="15">
        <v>0.12889999999999999</v>
      </c>
      <c r="G3099" s="15">
        <v>0.20330000000000001</v>
      </c>
      <c r="H3099" s="15">
        <v>1.9400000000000001E-2</v>
      </c>
      <c r="I3099" s="15">
        <v>1.2800000000000001E-2</v>
      </c>
      <c r="J3099" s="15">
        <v>1.308943089430894</v>
      </c>
    </row>
    <row r="3100" spans="1:10" x14ac:dyDescent="0.25">
      <c r="A3100" s="2" t="s">
        <v>8345</v>
      </c>
      <c r="B3100" s="2" t="s">
        <v>7007</v>
      </c>
      <c r="C3100" s="2" t="s">
        <v>8346</v>
      </c>
      <c r="D3100" s="2" t="s">
        <v>10055</v>
      </c>
      <c r="E3100" s="15"/>
      <c r="F3100" s="15"/>
      <c r="G3100" s="15"/>
      <c r="H3100" s="15">
        <v>-2.3099999999999999E-2</v>
      </c>
      <c r="I3100" s="15">
        <v>1.5599999999999999E-2</v>
      </c>
      <c r="J3100" s="15">
        <v>-1.65359477124183</v>
      </c>
    </row>
    <row r="3101" spans="1:10" x14ac:dyDescent="0.25">
      <c r="A3101" s="2" t="s">
        <v>8347</v>
      </c>
      <c r="B3101" s="2" t="s">
        <v>7007</v>
      </c>
      <c r="C3101" s="2" t="s">
        <v>8348</v>
      </c>
      <c r="D3101" s="2" t="s">
        <v>10055</v>
      </c>
      <c r="E3101" s="15">
        <v>-7.8299999999999995E-2</v>
      </c>
      <c r="F3101" s="15">
        <v>0.108</v>
      </c>
      <c r="G3101" s="15">
        <v>0.46860000000000002</v>
      </c>
      <c r="H3101" s="15">
        <v>2.4500000000000001E-2</v>
      </c>
      <c r="I3101" s="15">
        <v>1.37E-2</v>
      </c>
      <c r="J3101" s="15">
        <v>1.8307692307692309</v>
      </c>
    </row>
    <row r="3102" spans="1:10" x14ac:dyDescent="0.25">
      <c r="A3102" s="2" t="s">
        <v>8349</v>
      </c>
      <c r="B3102" s="2" t="s">
        <v>7007</v>
      </c>
      <c r="C3102" s="2" t="s">
        <v>8350</v>
      </c>
      <c r="D3102" s="2" t="s">
        <v>10055</v>
      </c>
      <c r="E3102" s="15">
        <v>0.24809999999999999</v>
      </c>
      <c r="F3102" s="15">
        <v>0.28770000000000001</v>
      </c>
      <c r="G3102" s="15">
        <v>0.38850000000000001</v>
      </c>
      <c r="H3102" s="15">
        <v>9.4000000000000004E-3</v>
      </c>
      <c r="I3102" s="15">
        <v>1.55E-2</v>
      </c>
      <c r="J3102" s="15">
        <v>0.55172413793103448</v>
      </c>
    </row>
    <row r="3103" spans="1:10" x14ac:dyDescent="0.25">
      <c r="A3103" s="2" t="s">
        <v>8351</v>
      </c>
      <c r="B3103" s="2" t="s">
        <v>7007</v>
      </c>
      <c r="C3103" s="2" t="s">
        <v>8352</v>
      </c>
      <c r="D3103" s="2" t="s">
        <v>10055</v>
      </c>
      <c r="E3103" s="15"/>
      <c r="F3103" s="15"/>
      <c r="G3103" s="15"/>
      <c r="H3103" s="15"/>
      <c r="I3103" s="15"/>
      <c r="J3103" s="15">
        <v>-1.526717557251908E-2</v>
      </c>
    </row>
    <row r="3104" spans="1:10" x14ac:dyDescent="0.25">
      <c r="A3104" s="2" t="s">
        <v>8353</v>
      </c>
      <c r="B3104" s="2" t="s">
        <v>7007</v>
      </c>
      <c r="C3104" s="2" t="s">
        <v>8354</v>
      </c>
      <c r="D3104" s="2" t="s">
        <v>10055</v>
      </c>
      <c r="E3104" s="15">
        <v>0.21049999999999999</v>
      </c>
      <c r="F3104" s="15">
        <v>0.1258</v>
      </c>
      <c r="G3104" s="15">
        <v>9.4299999999999995E-2</v>
      </c>
      <c r="H3104" s="15">
        <v>2.64E-2</v>
      </c>
      <c r="I3104" s="15">
        <v>1.5800000000000002E-2</v>
      </c>
      <c r="J3104" s="15">
        <v>1.5135135135135129</v>
      </c>
    </row>
    <row r="3105" spans="1:10" x14ac:dyDescent="0.25">
      <c r="A3105" s="2" t="s">
        <v>8355</v>
      </c>
      <c r="B3105" s="2" t="s">
        <v>7007</v>
      </c>
      <c r="C3105" s="2" t="s">
        <v>8356</v>
      </c>
      <c r="D3105" s="2" t="s">
        <v>10055</v>
      </c>
      <c r="E3105" s="15">
        <v>9.1200000000000003E-2</v>
      </c>
      <c r="F3105" s="15">
        <v>0.1057</v>
      </c>
      <c r="G3105" s="15">
        <v>0.38819999999999999</v>
      </c>
      <c r="H3105" s="15">
        <v>2.53E-2</v>
      </c>
      <c r="I3105" s="15">
        <v>1.5100000000000001E-2</v>
      </c>
      <c r="J3105" s="15">
        <v>1.459459459459459</v>
      </c>
    </row>
    <row r="3106" spans="1:10" x14ac:dyDescent="0.25">
      <c r="A3106" s="2" t="s">
        <v>8357</v>
      </c>
      <c r="B3106" s="2" t="s">
        <v>7007</v>
      </c>
      <c r="C3106" s="2" t="s">
        <v>8358</v>
      </c>
      <c r="D3106" s="2" t="s">
        <v>10055</v>
      </c>
      <c r="E3106" s="15">
        <v>3.3799999999999997E-2</v>
      </c>
      <c r="F3106" s="15">
        <v>0.19</v>
      </c>
      <c r="G3106" s="15">
        <v>0.85870000000000002</v>
      </c>
      <c r="H3106" s="15">
        <v>8.6E-3</v>
      </c>
      <c r="I3106" s="15">
        <v>1.46E-2</v>
      </c>
      <c r="J3106" s="15">
        <v>1.4388489208633091E-2</v>
      </c>
    </row>
    <row r="3107" spans="1:10" x14ac:dyDescent="0.25">
      <c r="A3107" s="2" t="s">
        <v>8359</v>
      </c>
      <c r="B3107" s="2" t="s">
        <v>7007</v>
      </c>
      <c r="C3107" s="2" t="s">
        <v>8360</v>
      </c>
      <c r="D3107" s="2" t="s">
        <v>10055</v>
      </c>
      <c r="E3107" s="15">
        <v>0.14549999999999999</v>
      </c>
      <c r="F3107" s="15">
        <v>0.2155</v>
      </c>
      <c r="G3107" s="15">
        <v>0.49969999999999998</v>
      </c>
      <c r="H3107" s="15">
        <v>8.8999999999999999E-3</v>
      </c>
      <c r="I3107" s="15">
        <v>1.4E-2</v>
      </c>
      <c r="J3107" s="15">
        <v>0.3214285714285714</v>
      </c>
    </row>
    <row r="3108" spans="1:10" x14ac:dyDescent="0.25">
      <c r="A3108" s="2" t="s">
        <v>8361</v>
      </c>
      <c r="B3108" s="2" t="s">
        <v>7007</v>
      </c>
      <c r="C3108" s="2" t="s">
        <v>8362</v>
      </c>
      <c r="D3108" s="2" t="s">
        <v>10055</v>
      </c>
      <c r="E3108" s="15">
        <v>-6.2E-2</v>
      </c>
      <c r="F3108" s="15">
        <v>0.1012</v>
      </c>
      <c r="G3108" s="15">
        <v>0.53979999999999995</v>
      </c>
      <c r="H3108" s="15">
        <v>3.1300000000000001E-2</v>
      </c>
      <c r="I3108" s="15">
        <v>1.3899999999999999E-2</v>
      </c>
      <c r="J3108" s="15">
        <v>2.7007874015748028</v>
      </c>
    </row>
    <row r="3109" spans="1:10" x14ac:dyDescent="0.25">
      <c r="A3109" s="2" t="s">
        <v>8363</v>
      </c>
      <c r="B3109" s="2" t="s">
        <v>7007</v>
      </c>
      <c r="C3109" s="2" t="s">
        <v>8364</v>
      </c>
      <c r="D3109" s="2" t="s">
        <v>10055</v>
      </c>
      <c r="E3109" s="15"/>
      <c r="F3109" s="15"/>
      <c r="G3109" s="15"/>
      <c r="H3109" s="15"/>
      <c r="I3109" s="15"/>
      <c r="J3109" s="15">
        <v>0.1736111111111111</v>
      </c>
    </row>
    <row r="3110" spans="1:10" x14ac:dyDescent="0.25">
      <c r="A3110" s="2" t="s">
        <v>8365</v>
      </c>
      <c r="B3110" s="2" t="s">
        <v>7007</v>
      </c>
      <c r="C3110" s="2" t="s">
        <v>8366</v>
      </c>
      <c r="D3110" s="2" t="s">
        <v>10055</v>
      </c>
      <c r="E3110" s="15"/>
      <c r="F3110" s="15"/>
      <c r="G3110" s="15"/>
      <c r="H3110" s="15"/>
      <c r="I3110" s="15"/>
      <c r="J3110" s="15">
        <v>0.27642276422764228</v>
      </c>
    </row>
    <row r="3111" spans="1:10" x14ac:dyDescent="0.25">
      <c r="A3111" s="2" t="s">
        <v>8367</v>
      </c>
      <c r="B3111" s="2" t="s">
        <v>7007</v>
      </c>
      <c r="C3111" s="2" t="s">
        <v>8368</v>
      </c>
      <c r="D3111" s="2" t="s">
        <v>10055</v>
      </c>
      <c r="E3111" s="15">
        <v>-7.4700000000000003E-2</v>
      </c>
      <c r="F3111" s="15">
        <v>9.4399999999999998E-2</v>
      </c>
      <c r="G3111" s="15">
        <v>0.42859999999999998</v>
      </c>
      <c r="H3111" s="15">
        <v>3.9800000000000002E-2</v>
      </c>
      <c r="I3111" s="15">
        <v>1.4500000000000001E-2</v>
      </c>
      <c r="J3111" s="15">
        <v>2.4652777777777781</v>
      </c>
    </row>
    <row r="3112" spans="1:10" x14ac:dyDescent="0.25">
      <c r="A3112" s="2" t="s">
        <v>8369</v>
      </c>
      <c r="B3112" s="2" t="s">
        <v>7007</v>
      </c>
      <c r="C3112" s="2" t="s">
        <v>8370</v>
      </c>
      <c r="D3112" s="2" t="s">
        <v>10055</v>
      </c>
      <c r="E3112" s="15">
        <v>2.92E-2</v>
      </c>
      <c r="F3112" s="15">
        <v>0.14940000000000001</v>
      </c>
      <c r="G3112" s="15">
        <v>0.84489999999999998</v>
      </c>
      <c r="H3112" s="15">
        <v>1.4800000000000001E-2</v>
      </c>
      <c r="I3112" s="15">
        <v>1.38E-2</v>
      </c>
      <c r="J3112" s="15">
        <v>0.82758620689655171</v>
      </c>
    </row>
    <row r="3113" spans="1:10" x14ac:dyDescent="0.25">
      <c r="A3113" s="2" t="s">
        <v>8371</v>
      </c>
      <c r="B3113" s="2" t="s">
        <v>7007</v>
      </c>
      <c r="C3113" s="2" t="s">
        <v>8372</v>
      </c>
      <c r="D3113" s="2" t="s">
        <v>10055</v>
      </c>
      <c r="E3113" s="15">
        <v>-0.2833</v>
      </c>
      <c r="F3113" s="15">
        <v>0.14180000000000001</v>
      </c>
      <c r="G3113" s="15">
        <v>4.5699999999999998E-2</v>
      </c>
      <c r="H3113" s="15">
        <v>2.4E-2</v>
      </c>
      <c r="I3113" s="15">
        <v>1.67E-2</v>
      </c>
      <c r="J3113" s="15">
        <v>1.602649006622517</v>
      </c>
    </row>
    <row r="3114" spans="1:10" x14ac:dyDescent="0.25">
      <c r="A3114" s="2" t="s">
        <v>8373</v>
      </c>
      <c r="B3114" s="2" t="s">
        <v>7007</v>
      </c>
      <c r="C3114" s="2" t="s">
        <v>8374</v>
      </c>
      <c r="D3114" s="2" t="s">
        <v>10055</v>
      </c>
      <c r="E3114" s="15">
        <v>-9.74E-2</v>
      </c>
      <c r="F3114" s="15">
        <v>0.1089</v>
      </c>
      <c r="G3114" s="15">
        <v>0.37119999999999997</v>
      </c>
      <c r="H3114" s="15">
        <v>2.69E-2</v>
      </c>
      <c r="I3114" s="15">
        <v>1.49E-2</v>
      </c>
      <c r="J3114" s="15">
        <v>1.4294478527607359</v>
      </c>
    </row>
    <row r="3115" spans="1:10" x14ac:dyDescent="0.25">
      <c r="A3115" s="2" t="s">
        <v>8375</v>
      </c>
      <c r="B3115" s="2" t="s">
        <v>7007</v>
      </c>
      <c r="C3115" s="2" t="s">
        <v>8376</v>
      </c>
      <c r="D3115" s="2" t="s">
        <v>10055</v>
      </c>
      <c r="E3115" s="15">
        <v>-9.4100000000000003E-2</v>
      </c>
      <c r="F3115" s="15">
        <v>0.24049999999999999</v>
      </c>
      <c r="G3115" s="15">
        <v>0.69550000000000001</v>
      </c>
      <c r="H3115" s="15">
        <v>5.4999999999999997E-3</v>
      </c>
      <c r="I3115" s="15">
        <v>1.3899999999999999E-2</v>
      </c>
      <c r="J3115" s="15">
        <v>0.79411764705882359</v>
      </c>
    </row>
    <row r="3116" spans="1:10" x14ac:dyDescent="0.25">
      <c r="A3116" s="2" t="s">
        <v>8377</v>
      </c>
      <c r="B3116" s="2" t="s">
        <v>7007</v>
      </c>
      <c r="C3116" s="2" t="s">
        <v>8378</v>
      </c>
      <c r="D3116" s="2" t="s">
        <v>10055</v>
      </c>
      <c r="E3116" s="15">
        <v>-2.3300000000000001E-2</v>
      </c>
      <c r="F3116" s="15">
        <v>9.6299999999999997E-2</v>
      </c>
      <c r="G3116" s="15">
        <v>0.80889999999999995</v>
      </c>
      <c r="H3116" s="15">
        <v>2.8500000000000001E-2</v>
      </c>
      <c r="I3116" s="15">
        <v>1.5100000000000001E-2</v>
      </c>
      <c r="J3116" s="15">
        <v>2.5652173913043481</v>
      </c>
    </row>
    <row r="3117" spans="1:10" x14ac:dyDescent="0.25">
      <c r="A3117" s="2" t="s">
        <v>8379</v>
      </c>
      <c r="B3117" s="2" t="s">
        <v>7007</v>
      </c>
      <c r="C3117" s="2" t="s">
        <v>8380</v>
      </c>
      <c r="D3117" s="2" t="s">
        <v>10055</v>
      </c>
      <c r="E3117" s="15">
        <v>-0.12859999999999999</v>
      </c>
      <c r="F3117" s="15">
        <v>9.5600000000000004E-2</v>
      </c>
      <c r="G3117" s="15">
        <v>0.1782</v>
      </c>
      <c r="H3117" s="15">
        <v>3.4000000000000002E-2</v>
      </c>
      <c r="I3117" s="15">
        <v>1.3599999999999999E-2</v>
      </c>
      <c r="J3117" s="15">
        <v>2.3777777777777782</v>
      </c>
    </row>
    <row r="3118" spans="1:10" x14ac:dyDescent="0.25">
      <c r="A3118" s="2" t="s">
        <v>8381</v>
      </c>
      <c r="B3118" s="2" t="s">
        <v>7007</v>
      </c>
      <c r="C3118" s="2" t="s">
        <v>8382</v>
      </c>
      <c r="D3118" s="2" t="s">
        <v>10055</v>
      </c>
      <c r="E3118" s="15">
        <v>-8.5099999999999995E-2</v>
      </c>
      <c r="F3118" s="15">
        <v>0.13009999999999999</v>
      </c>
      <c r="G3118" s="15">
        <v>0.5131</v>
      </c>
      <c r="H3118" s="15">
        <v>2.01E-2</v>
      </c>
      <c r="I3118" s="15">
        <v>1.4200000000000001E-2</v>
      </c>
      <c r="J3118" s="15">
        <v>1.7342657342657339</v>
      </c>
    </row>
    <row r="3119" spans="1:10" x14ac:dyDescent="0.25">
      <c r="A3119" s="2" t="s">
        <v>8383</v>
      </c>
      <c r="B3119" s="2" t="s">
        <v>7007</v>
      </c>
      <c r="C3119" s="2" t="s">
        <v>8384</v>
      </c>
      <c r="D3119" s="2" t="s">
        <v>10055</v>
      </c>
      <c r="E3119" s="15">
        <v>-0.1391</v>
      </c>
      <c r="F3119" s="15">
        <v>7.8899999999999998E-2</v>
      </c>
      <c r="G3119" s="15">
        <v>7.8E-2</v>
      </c>
      <c r="H3119" s="15">
        <v>4.3099999999999999E-2</v>
      </c>
      <c r="I3119" s="15">
        <v>1.2999999999999999E-2</v>
      </c>
      <c r="J3119" s="15">
        <v>3.1007751937984498</v>
      </c>
    </row>
    <row r="3120" spans="1:10" x14ac:dyDescent="0.25">
      <c r="A3120" s="2" t="s">
        <v>8385</v>
      </c>
      <c r="B3120" s="2" t="s">
        <v>7007</v>
      </c>
      <c r="C3120" s="2" t="s">
        <v>8386</v>
      </c>
      <c r="D3120" s="2" t="s">
        <v>10055</v>
      </c>
      <c r="E3120" s="15">
        <v>-7.2400000000000006E-2</v>
      </c>
      <c r="F3120" s="15">
        <v>0.1409</v>
      </c>
      <c r="G3120" s="15">
        <v>0.60740000000000005</v>
      </c>
      <c r="H3120" s="15">
        <v>1.84E-2</v>
      </c>
      <c r="I3120" s="15">
        <v>1.5599999999999999E-2</v>
      </c>
      <c r="J3120" s="15">
        <v>1.065359477124183</v>
      </c>
    </row>
    <row r="3121" spans="1:10" x14ac:dyDescent="0.25">
      <c r="A3121" s="2" t="s">
        <v>8387</v>
      </c>
      <c r="B3121" s="2" t="s">
        <v>7007</v>
      </c>
      <c r="C3121" s="2" t="s">
        <v>8388</v>
      </c>
      <c r="D3121" s="2" t="s">
        <v>10055</v>
      </c>
      <c r="E3121" s="15">
        <v>-5.96E-2</v>
      </c>
      <c r="F3121" s="15">
        <v>0.2351</v>
      </c>
      <c r="G3121" s="15">
        <v>0.80010000000000003</v>
      </c>
      <c r="H3121" s="15">
        <v>6.7000000000000002E-3</v>
      </c>
      <c r="I3121" s="15">
        <v>1.41E-2</v>
      </c>
      <c r="J3121" s="15">
        <v>0.64444444444444438</v>
      </c>
    </row>
    <row r="3122" spans="1:10" x14ac:dyDescent="0.25">
      <c r="A3122" s="2" t="s">
        <v>8389</v>
      </c>
      <c r="B3122" s="2" t="s">
        <v>7007</v>
      </c>
      <c r="C3122" s="2" t="s">
        <v>8390</v>
      </c>
      <c r="D3122" s="2" t="s">
        <v>10055</v>
      </c>
      <c r="E3122" s="15"/>
      <c r="F3122" s="15"/>
      <c r="G3122" s="15"/>
      <c r="H3122" s="15">
        <v>-4.1000000000000003E-3</v>
      </c>
      <c r="I3122" s="15">
        <v>1.29E-2</v>
      </c>
      <c r="J3122" s="15">
        <v>0.234375</v>
      </c>
    </row>
    <row r="3123" spans="1:10" x14ac:dyDescent="0.25">
      <c r="A3123" s="2" t="s">
        <v>8391</v>
      </c>
      <c r="B3123" s="2" t="s">
        <v>7007</v>
      </c>
      <c r="C3123" s="2" t="s">
        <v>8392</v>
      </c>
      <c r="D3123" s="2" t="s">
        <v>10055</v>
      </c>
      <c r="E3123" s="15">
        <v>-7.8899999999999998E-2</v>
      </c>
      <c r="F3123" s="15">
        <v>0.1028</v>
      </c>
      <c r="G3123" s="15">
        <v>0.44290000000000002</v>
      </c>
      <c r="H3123" s="15">
        <v>3.6299999999999999E-2</v>
      </c>
      <c r="I3123" s="15">
        <v>1.66E-2</v>
      </c>
      <c r="J3123" s="15">
        <v>2.8301886792452828</v>
      </c>
    </row>
    <row r="3124" spans="1:10" x14ac:dyDescent="0.25">
      <c r="A3124" s="2" t="s">
        <v>8393</v>
      </c>
      <c r="B3124" s="2" t="s">
        <v>7007</v>
      </c>
      <c r="C3124" s="2" t="s">
        <v>8394</v>
      </c>
      <c r="D3124" s="2" t="s">
        <v>10055</v>
      </c>
      <c r="E3124" s="15">
        <v>2.1899999999999999E-2</v>
      </c>
      <c r="F3124" s="15">
        <v>9.2100000000000001E-2</v>
      </c>
      <c r="G3124" s="15">
        <v>0.81230000000000002</v>
      </c>
      <c r="H3124" s="15">
        <v>4.0399999999999998E-2</v>
      </c>
      <c r="I3124" s="15">
        <v>1.66E-2</v>
      </c>
      <c r="J3124" s="15">
        <v>2.723926380368098</v>
      </c>
    </row>
    <row r="3125" spans="1:10" x14ac:dyDescent="0.25">
      <c r="A3125" s="2" t="s">
        <v>8395</v>
      </c>
      <c r="B3125" s="2" t="s">
        <v>7007</v>
      </c>
      <c r="C3125" s="2" t="s">
        <v>8396</v>
      </c>
      <c r="D3125" s="2" t="s">
        <v>10055</v>
      </c>
      <c r="E3125" s="15">
        <v>-9.1300000000000006E-2</v>
      </c>
      <c r="F3125" s="15">
        <v>0.1925</v>
      </c>
      <c r="G3125" s="15">
        <v>0.63529999999999998</v>
      </c>
      <c r="H3125" s="15">
        <v>1.0999999999999999E-2</v>
      </c>
      <c r="I3125" s="15">
        <v>1.4800000000000001E-2</v>
      </c>
      <c r="J3125" s="15">
        <v>0.55944055944055948</v>
      </c>
    </row>
    <row r="3126" spans="1:10" x14ac:dyDescent="0.25">
      <c r="A3126" s="2" t="s">
        <v>8397</v>
      </c>
      <c r="B3126" s="2" t="s">
        <v>7007</v>
      </c>
      <c r="C3126" s="2" t="s">
        <v>8398</v>
      </c>
      <c r="D3126" s="2" t="s">
        <v>10055</v>
      </c>
      <c r="E3126" s="15"/>
      <c r="F3126" s="15"/>
      <c r="G3126" s="15"/>
      <c r="H3126" s="15">
        <v>-3.0999999999999999E-3</v>
      </c>
      <c r="I3126" s="15">
        <v>1.3299999999999999E-2</v>
      </c>
      <c r="J3126" s="15">
        <v>-0.15909090909090909</v>
      </c>
    </row>
    <row r="3127" spans="1:10" x14ac:dyDescent="0.25">
      <c r="A3127" s="2" t="s">
        <v>8399</v>
      </c>
      <c r="B3127" s="2" t="s">
        <v>7007</v>
      </c>
      <c r="C3127" s="2" t="s">
        <v>8400</v>
      </c>
      <c r="D3127" s="2" t="s">
        <v>10055</v>
      </c>
      <c r="E3127" s="15">
        <v>1.83E-2</v>
      </c>
      <c r="F3127" s="15">
        <v>0.1096</v>
      </c>
      <c r="G3127" s="15">
        <v>0.86709999999999998</v>
      </c>
      <c r="H3127" s="15">
        <v>2.1499999999999998E-2</v>
      </c>
      <c r="I3127" s="15">
        <v>1.43E-2</v>
      </c>
      <c r="J3127" s="15">
        <v>1.169117647058824</v>
      </c>
    </row>
    <row r="3128" spans="1:10" x14ac:dyDescent="0.25">
      <c r="A3128" s="2" t="s">
        <v>8401</v>
      </c>
      <c r="B3128" s="2" t="s">
        <v>7007</v>
      </c>
      <c r="C3128" s="2" t="s">
        <v>8402</v>
      </c>
      <c r="D3128" s="2" t="s">
        <v>10055</v>
      </c>
      <c r="E3128" s="15">
        <v>-1.21E-2</v>
      </c>
      <c r="F3128" s="15">
        <v>9.98E-2</v>
      </c>
      <c r="G3128" s="15">
        <v>0.9032</v>
      </c>
      <c r="H3128" s="15">
        <v>2.4299999999999999E-2</v>
      </c>
      <c r="I3128" s="15">
        <v>1.4E-2</v>
      </c>
      <c r="J3128" s="15">
        <v>1.826086956521739</v>
      </c>
    </row>
    <row r="3129" spans="1:10" x14ac:dyDescent="0.25">
      <c r="A3129" s="2" t="s">
        <v>8403</v>
      </c>
      <c r="B3129" s="2" t="s">
        <v>7007</v>
      </c>
      <c r="C3129" s="2" t="s">
        <v>8404</v>
      </c>
      <c r="D3129" s="2" t="s">
        <v>10055</v>
      </c>
      <c r="E3129" s="15"/>
      <c r="F3129" s="15"/>
      <c r="G3129" s="15"/>
      <c r="H3129" s="15">
        <v>-2.7000000000000001E-3</v>
      </c>
      <c r="I3129" s="15">
        <v>1.32E-2</v>
      </c>
      <c r="J3129" s="15">
        <v>0.11347517730496461</v>
      </c>
    </row>
    <row r="3130" spans="1:10" x14ac:dyDescent="0.25">
      <c r="A3130" s="2" t="s">
        <v>8405</v>
      </c>
      <c r="B3130" s="2" t="s">
        <v>7007</v>
      </c>
      <c r="C3130" s="2" t="s">
        <v>8406</v>
      </c>
      <c r="D3130" s="2" t="s">
        <v>10055</v>
      </c>
      <c r="E3130" s="15">
        <v>-7.6700000000000004E-2</v>
      </c>
      <c r="F3130" s="15">
        <v>0.1024</v>
      </c>
      <c r="G3130" s="15">
        <v>0.45369999999999999</v>
      </c>
      <c r="H3130" s="15">
        <v>3.3300000000000003E-2</v>
      </c>
      <c r="I3130" s="15">
        <v>1.49E-2</v>
      </c>
      <c r="J3130" s="15">
        <v>2.2244897959183669</v>
      </c>
    </row>
    <row r="3131" spans="1:10" x14ac:dyDescent="0.25">
      <c r="A3131" s="2" t="s">
        <v>8407</v>
      </c>
      <c r="B3131" s="2" t="s">
        <v>7007</v>
      </c>
      <c r="C3131" s="2" t="s">
        <v>8408</v>
      </c>
      <c r="D3131" s="2" t="s">
        <v>10055</v>
      </c>
      <c r="E3131" s="15">
        <v>6.4899999999999999E-2</v>
      </c>
      <c r="F3131" s="15">
        <v>7.7499999999999999E-2</v>
      </c>
      <c r="G3131" s="15">
        <v>0.40239999999999998</v>
      </c>
      <c r="H3131" s="15">
        <v>5.0299999999999997E-2</v>
      </c>
      <c r="I3131" s="15">
        <v>1.46E-2</v>
      </c>
      <c r="J3131" s="15">
        <v>3.7551020408163271</v>
      </c>
    </row>
    <row r="3132" spans="1:10" x14ac:dyDescent="0.25">
      <c r="A3132" s="2" t="s">
        <v>8409</v>
      </c>
      <c r="B3132" s="2" t="s">
        <v>7007</v>
      </c>
      <c r="C3132" s="2" t="s">
        <v>8410</v>
      </c>
      <c r="D3132" s="2" t="s">
        <v>10055</v>
      </c>
      <c r="E3132" s="15"/>
      <c r="F3132" s="15"/>
      <c r="G3132" s="15"/>
      <c r="H3132" s="15"/>
      <c r="I3132" s="15"/>
      <c r="J3132" s="15">
        <v>0.30496453900709219</v>
      </c>
    </row>
    <row r="3133" spans="1:10" x14ac:dyDescent="0.25">
      <c r="A3133" s="2" t="s">
        <v>8411</v>
      </c>
      <c r="B3133" s="2" t="s">
        <v>7007</v>
      </c>
      <c r="C3133" s="2" t="s">
        <v>8412</v>
      </c>
      <c r="D3133" s="2" t="s">
        <v>10055</v>
      </c>
      <c r="E3133" s="15">
        <v>-2.0000000000000001E-4</v>
      </c>
      <c r="F3133" s="15">
        <v>0.1197</v>
      </c>
      <c r="G3133" s="15">
        <v>0.999</v>
      </c>
      <c r="H3133" s="15">
        <v>1.8599999999999998E-2</v>
      </c>
      <c r="I3133" s="15">
        <v>1.4200000000000001E-2</v>
      </c>
      <c r="J3133" s="15">
        <v>2.064748201438849</v>
      </c>
    </row>
    <row r="3134" spans="1:10" x14ac:dyDescent="0.25">
      <c r="A3134" s="2" t="s">
        <v>8413</v>
      </c>
      <c r="B3134" s="2" t="s">
        <v>7007</v>
      </c>
      <c r="C3134" s="2" t="s">
        <v>8414</v>
      </c>
      <c r="D3134" s="2" t="s">
        <v>10055</v>
      </c>
      <c r="E3134" s="15">
        <v>-4.3200000000000002E-2</v>
      </c>
      <c r="F3134" s="15">
        <v>0.10199999999999999</v>
      </c>
      <c r="G3134" s="15">
        <v>0.67169999999999996</v>
      </c>
      <c r="H3134" s="15">
        <v>4.41E-2</v>
      </c>
      <c r="I3134" s="15">
        <v>1.5299999999999999E-2</v>
      </c>
      <c r="J3134" s="15">
        <v>2.6842105263157898</v>
      </c>
    </row>
    <row r="3135" spans="1:10" x14ac:dyDescent="0.25">
      <c r="A3135" s="2" t="s">
        <v>8415</v>
      </c>
      <c r="B3135" s="2" t="s">
        <v>7007</v>
      </c>
      <c r="C3135" s="2" t="s">
        <v>8416</v>
      </c>
      <c r="D3135" s="2" t="s">
        <v>10055</v>
      </c>
      <c r="E3135" s="15">
        <v>-0.1202</v>
      </c>
      <c r="F3135" s="15">
        <v>8.4599999999999995E-2</v>
      </c>
      <c r="G3135" s="15">
        <v>0.1552</v>
      </c>
      <c r="H3135" s="15">
        <v>4.3700000000000003E-2</v>
      </c>
      <c r="I3135" s="15">
        <v>1.44E-2</v>
      </c>
      <c r="J3135" s="15">
        <v>3.3776223776223779</v>
      </c>
    </row>
    <row r="3136" spans="1:10" x14ac:dyDescent="0.25">
      <c r="A3136" s="2" t="s">
        <v>8417</v>
      </c>
      <c r="B3136" s="2" t="s">
        <v>7007</v>
      </c>
      <c r="C3136" s="2" t="s">
        <v>8418</v>
      </c>
      <c r="D3136" s="2" t="s">
        <v>10055</v>
      </c>
      <c r="E3136" s="15">
        <v>-8.7900000000000006E-2</v>
      </c>
      <c r="F3136" s="15">
        <v>0.10349999999999999</v>
      </c>
      <c r="G3136" s="15">
        <v>0.39589999999999997</v>
      </c>
      <c r="H3136" s="15">
        <v>2.9000000000000001E-2</v>
      </c>
      <c r="I3136" s="15">
        <v>1.4E-2</v>
      </c>
      <c r="J3136" s="15">
        <v>2.6771653543307088</v>
      </c>
    </row>
    <row r="3137" spans="1:10" x14ac:dyDescent="0.25">
      <c r="A3137" s="2" t="s">
        <v>8419</v>
      </c>
      <c r="B3137" s="2" t="s">
        <v>7007</v>
      </c>
      <c r="C3137" s="2" t="s">
        <v>8420</v>
      </c>
      <c r="D3137" s="2" t="s">
        <v>10055</v>
      </c>
      <c r="E3137" s="15">
        <v>-4.5999999999999999E-3</v>
      </c>
      <c r="F3137" s="15">
        <v>5.8999999999999997E-2</v>
      </c>
      <c r="G3137" s="15">
        <v>0.9385</v>
      </c>
      <c r="H3137" s="15">
        <v>8.8900000000000007E-2</v>
      </c>
      <c r="I3137" s="15">
        <v>1.34E-2</v>
      </c>
      <c r="J3137" s="15">
        <v>7.0916030534351142</v>
      </c>
    </row>
    <row r="3138" spans="1:10" x14ac:dyDescent="0.25">
      <c r="A3138" s="2" t="s">
        <v>8421</v>
      </c>
      <c r="B3138" s="2" t="s">
        <v>7007</v>
      </c>
      <c r="C3138" s="2" t="s">
        <v>8422</v>
      </c>
      <c r="D3138" s="2" t="s">
        <v>10055</v>
      </c>
      <c r="E3138" s="15">
        <v>-6.0999999999999999E-2</v>
      </c>
      <c r="F3138" s="15">
        <v>6.9500000000000006E-2</v>
      </c>
      <c r="G3138" s="15">
        <v>0.38019999999999998</v>
      </c>
      <c r="H3138" s="15">
        <v>7.1499999999999994E-2</v>
      </c>
      <c r="I3138" s="15">
        <v>1.5299999999999999E-2</v>
      </c>
      <c r="J3138" s="15">
        <v>4.2171052631578947</v>
      </c>
    </row>
    <row r="3139" spans="1:10" x14ac:dyDescent="0.25">
      <c r="A3139" s="2" t="s">
        <v>8423</v>
      </c>
      <c r="B3139" s="2" t="s">
        <v>7007</v>
      </c>
      <c r="C3139" s="2" t="s">
        <v>8424</v>
      </c>
      <c r="D3139" s="2" t="s">
        <v>10055</v>
      </c>
      <c r="E3139" s="15"/>
      <c r="F3139" s="15"/>
      <c r="G3139" s="15"/>
      <c r="H3139" s="15">
        <v>-8.3000000000000001E-3</v>
      </c>
      <c r="I3139" s="15">
        <v>1.23E-2</v>
      </c>
      <c r="J3139" s="15">
        <v>-1.0708661417322829</v>
      </c>
    </row>
    <row r="3140" spans="1:10" x14ac:dyDescent="0.25">
      <c r="A3140" s="2" t="s">
        <v>8425</v>
      </c>
      <c r="B3140" s="2" t="s">
        <v>7007</v>
      </c>
      <c r="C3140" s="2" t="s">
        <v>8426</v>
      </c>
      <c r="D3140" s="2" t="s">
        <v>10055</v>
      </c>
      <c r="E3140" s="15"/>
      <c r="F3140" s="15"/>
      <c r="G3140" s="15"/>
      <c r="H3140" s="15">
        <v>-1.5E-3</v>
      </c>
      <c r="I3140" s="15">
        <v>1.3899999999999999E-2</v>
      </c>
      <c r="J3140" s="15">
        <v>0.33093525179856109</v>
      </c>
    </row>
    <row r="3141" spans="1:10" x14ac:dyDescent="0.25">
      <c r="A3141" s="2" t="s">
        <v>8427</v>
      </c>
      <c r="B3141" s="2" t="s">
        <v>7007</v>
      </c>
      <c r="C3141" s="2" t="s">
        <v>8428</v>
      </c>
      <c r="D3141" s="2" t="s">
        <v>10055</v>
      </c>
      <c r="E3141" s="15">
        <v>-0.34610000000000002</v>
      </c>
      <c r="F3141" s="15">
        <v>0.32800000000000001</v>
      </c>
      <c r="G3141" s="15">
        <v>0.29139999999999999</v>
      </c>
      <c r="H3141" s="15">
        <v>9.1000000000000004E-3</v>
      </c>
      <c r="I3141" s="15">
        <v>1.38E-2</v>
      </c>
      <c r="J3141" s="15">
        <v>1.345864661654135</v>
      </c>
    </row>
    <row r="3142" spans="1:10" x14ac:dyDescent="0.25">
      <c r="A3142" s="2" t="s">
        <v>8429</v>
      </c>
      <c r="B3142" s="2" t="s">
        <v>7007</v>
      </c>
      <c r="C3142" s="2" t="s">
        <v>8430</v>
      </c>
      <c r="D3142" s="2" t="s">
        <v>10055</v>
      </c>
      <c r="E3142" s="15">
        <v>2.47E-2</v>
      </c>
      <c r="F3142" s="15">
        <v>0.1205</v>
      </c>
      <c r="G3142" s="15">
        <v>0.83750000000000002</v>
      </c>
      <c r="H3142" s="15">
        <v>1.8800000000000001E-2</v>
      </c>
      <c r="I3142" s="15">
        <v>1.55E-2</v>
      </c>
      <c r="J3142" s="15">
        <v>1.2625</v>
      </c>
    </row>
    <row r="3143" spans="1:10" x14ac:dyDescent="0.25">
      <c r="A3143" s="2" t="s">
        <v>8431</v>
      </c>
      <c r="B3143" s="2" t="s">
        <v>7007</v>
      </c>
      <c r="C3143" s="2" t="s">
        <v>8432</v>
      </c>
      <c r="D3143" s="2" t="s">
        <v>10055</v>
      </c>
      <c r="E3143" s="15">
        <v>-8.3599999999999994E-2</v>
      </c>
      <c r="F3143" s="15">
        <v>8.09E-2</v>
      </c>
      <c r="G3143" s="15">
        <v>0.30170000000000002</v>
      </c>
      <c r="H3143" s="15">
        <v>5.1999999999999998E-2</v>
      </c>
      <c r="I3143" s="15">
        <v>1.43E-2</v>
      </c>
      <c r="J3143" s="15">
        <v>4.1188811188811192</v>
      </c>
    </row>
    <row r="3144" spans="1:10" x14ac:dyDescent="0.25">
      <c r="A3144" s="2" t="s">
        <v>8433</v>
      </c>
      <c r="B3144" s="2" t="s">
        <v>7007</v>
      </c>
      <c r="C3144" s="2" t="s">
        <v>8434</v>
      </c>
      <c r="D3144" s="2" t="s">
        <v>10055</v>
      </c>
      <c r="E3144" s="15">
        <v>-0.17399999999999999</v>
      </c>
      <c r="F3144" s="15">
        <v>8.4699999999999998E-2</v>
      </c>
      <c r="G3144" s="15">
        <v>0.04</v>
      </c>
      <c r="H3144" s="15">
        <v>4.6699999999999998E-2</v>
      </c>
      <c r="I3144" s="15">
        <v>1.5800000000000002E-2</v>
      </c>
      <c r="J3144" s="15">
        <v>3.333333333333333</v>
      </c>
    </row>
    <row r="3145" spans="1:10" x14ac:dyDescent="0.25">
      <c r="A3145" s="2" t="s">
        <v>8435</v>
      </c>
      <c r="B3145" s="2" t="s">
        <v>7007</v>
      </c>
      <c r="C3145" s="2" t="s">
        <v>8436</v>
      </c>
      <c r="D3145" s="2" t="s">
        <v>10055</v>
      </c>
      <c r="E3145" s="15">
        <v>-0.108</v>
      </c>
      <c r="F3145" s="15">
        <v>6.9000000000000006E-2</v>
      </c>
      <c r="G3145" s="15">
        <v>0.11749999999999999</v>
      </c>
      <c r="H3145" s="15">
        <v>5.9499999999999997E-2</v>
      </c>
      <c r="I3145" s="15">
        <v>1.7000000000000001E-2</v>
      </c>
      <c r="J3145" s="15">
        <v>3.7826086956521738</v>
      </c>
    </row>
    <row r="3146" spans="1:10" x14ac:dyDescent="0.25">
      <c r="A3146" s="2" t="s">
        <v>8437</v>
      </c>
      <c r="B3146" s="2" t="s">
        <v>7007</v>
      </c>
      <c r="C3146" s="2" t="s">
        <v>8438</v>
      </c>
      <c r="D3146" s="2" t="s">
        <v>10055</v>
      </c>
      <c r="E3146" s="15">
        <v>7.2099999999999997E-2</v>
      </c>
      <c r="F3146" s="15">
        <v>0.1077</v>
      </c>
      <c r="G3146" s="15">
        <v>0.50309999999999999</v>
      </c>
      <c r="H3146" s="15">
        <v>3.1399999999999997E-2</v>
      </c>
      <c r="I3146" s="15">
        <v>1.4500000000000001E-2</v>
      </c>
      <c r="J3146" s="15">
        <v>2.5323741007194251</v>
      </c>
    </row>
    <row r="3147" spans="1:10" x14ac:dyDescent="0.25">
      <c r="A3147" s="2" t="s">
        <v>8439</v>
      </c>
      <c r="B3147" s="2" t="s">
        <v>7007</v>
      </c>
      <c r="C3147" s="2" t="s">
        <v>8440</v>
      </c>
      <c r="D3147" s="2" t="s">
        <v>10055</v>
      </c>
      <c r="E3147" s="15">
        <v>-3.8999999999999998E-3</v>
      </c>
      <c r="F3147" s="15">
        <v>0.1195</v>
      </c>
      <c r="G3147" s="15">
        <v>0.97389999999999999</v>
      </c>
      <c r="H3147" s="15">
        <v>2.4E-2</v>
      </c>
      <c r="I3147" s="15">
        <v>1.49E-2</v>
      </c>
      <c r="J3147" s="15">
        <v>1.6111111111111109</v>
      </c>
    </row>
    <row r="3148" spans="1:10" x14ac:dyDescent="0.25">
      <c r="A3148" s="2" t="s">
        <v>8441</v>
      </c>
      <c r="B3148" s="2" t="s">
        <v>7007</v>
      </c>
      <c r="C3148" s="2" t="s">
        <v>8442</v>
      </c>
      <c r="D3148" s="2" t="s">
        <v>10055</v>
      </c>
      <c r="E3148" s="15">
        <v>8.2500000000000004E-2</v>
      </c>
      <c r="F3148" s="15">
        <v>8.3699999999999997E-2</v>
      </c>
      <c r="G3148" s="15">
        <v>0.3241</v>
      </c>
      <c r="H3148" s="15">
        <v>5.0700000000000002E-2</v>
      </c>
      <c r="I3148" s="15">
        <v>1.44E-2</v>
      </c>
      <c r="J3148" s="15">
        <v>3.8888888888888888</v>
      </c>
    </row>
    <row r="3149" spans="1:10" x14ac:dyDescent="0.25">
      <c r="A3149" s="2" t="s">
        <v>8443</v>
      </c>
      <c r="B3149" s="2" t="s">
        <v>7007</v>
      </c>
      <c r="C3149" s="2" t="s">
        <v>8444</v>
      </c>
      <c r="D3149" s="2" t="s">
        <v>10055</v>
      </c>
      <c r="E3149" s="15"/>
      <c r="F3149" s="15"/>
      <c r="G3149" s="15"/>
      <c r="H3149" s="15">
        <v>-5.0000000000000001E-3</v>
      </c>
      <c r="I3149" s="15">
        <v>1.2999999999999999E-2</v>
      </c>
      <c r="J3149" s="15">
        <v>-8.1300813008130079E-2</v>
      </c>
    </row>
    <row r="3150" spans="1:10" x14ac:dyDescent="0.25">
      <c r="A3150" s="2" t="s">
        <v>8445</v>
      </c>
      <c r="B3150" s="2" t="s">
        <v>7007</v>
      </c>
      <c r="C3150" s="2" t="s">
        <v>8446</v>
      </c>
      <c r="D3150" s="2" t="s">
        <v>10055</v>
      </c>
      <c r="E3150" s="15"/>
      <c r="F3150" s="15"/>
      <c r="G3150" s="15"/>
      <c r="H3150" s="15"/>
      <c r="I3150" s="15"/>
      <c r="J3150" s="15">
        <v>0.76119402985074625</v>
      </c>
    </row>
    <row r="3151" spans="1:10" x14ac:dyDescent="0.25">
      <c r="A3151" s="2" t="s">
        <v>8447</v>
      </c>
      <c r="B3151" s="2" t="s">
        <v>7007</v>
      </c>
      <c r="C3151" s="2" t="s">
        <v>8448</v>
      </c>
      <c r="D3151" s="2" t="s">
        <v>10055</v>
      </c>
      <c r="E3151" s="15">
        <v>2.2200000000000001E-2</v>
      </c>
      <c r="F3151" s="15">
        <v>7.2700000000000001E-2</v>
      </c>
      <c r="G3151" s="15">
        <v>0.75980000000000003</v>
      </c>
      <c r="H3151" s="15">
        <v>7.2400000000000006E-2</v>
      </c>
      <c r="I3151" s="15">
        <v>1.4800000000000001E-2</v>
      </c>
      <c r="J3151" s="15">
        <v>5.3525179856115104</v>
      </c>
    </row>
    <row r="3152" spans="1:10" x14ac:dyDescent="0.25">
      <c r="A3152" s="2" t="s">
        <v>8449</v>
      </c>
      <c r="B3152" s="2" t="s">
        <v>7007</v>
      </c>
      <c r="C3152" s="2" t="s">
        <v>8450</v>
      </c>
      <c r="D3152" s="2" t="s">
        <v>10055</v>
      </c>
      <c r="E3152" s="15">
        <v>-6.4100000000000004E-2</v>
      </c>
      <c r="F3152" s="15">
        <v>0.06</v>
      </c>
      <c r="G3152" s="15">
        <v>0.28539999999999999</v>
      </c>
      <c r="H3152" s="15">
        <v>9.8500000000000004E-2</v>
      </c>
      <c r="I3152" s="15">
        <v>1.7000000000000001E-2</v>
      </c>
      <c r="J3152" s="15">
        <v>6.0470588235294116</v>
      </c>
    </row>
    <row r="3153" spans="1:10" x14ac:dyDescent="0.25">
      <c r="A3153" s="2" t="s">
        <v>8451</v>
      </c>
      <c r="B3153" s="2" t="s">
        <v>7007</v>
      </c>
      <c r="C3153" s="2" t="s">
        <v>8452</v>
      </c>
      <c r="D3153" s="2" t="s">
        <v>10055</v>
      </c>
      <c r="E3153" s="15">
        <v>3.8399999999999997E-2</v>
      </c>
      <c r="F3153" s="15">
        <v>9.8900000000000002E-2</v>
      </c>
      <c r="G3153" s="15">
        <v>0.69799999999999995</v>
      </c>
      <c r="H3153" s="15">
        <v>2.9499999999999998E-2</v>
      </c>
      <c r="I3153" s="15">
        <v>1.4200000000000001E-2</v>
      </c>
      <c r="J3153" s="15">
        <v>2.6119402985074629</v>
      </c>
    </row>
    <row r="3154" spans="1:10" x14ac:dyDescent="0.25">
      <c r="A3154" s="2" t="s">
        <v>8453</v>
      </c>
      <c r="B3154" s="2" t="s">
        <v>7007</v>
      </c>
      <c r="C3154" s="2" t="s">
        <v>8454</v>
      </c>
      <c r="D3154" s="2" t="s">
        <v>10055</v>
      </c>
      <c r="E3154" s="15">
        <v>8.3400000000000002E-2</v>
      </c>
      <c r="F3154" s="15">
        <v>7.8899999999999998E-2</v>
      </c>
      <c r="G3154" s="15">
        <v>0.29060000000000002</v>
      </c>
      <c r="H3154" s="15">
        <v>4.8899999999999999E-2</v>
      </c>
      <c r="I3154" s="15">
        <v>1.55E-2</v>
      </c>
      <c r="J3154" s="15">
        <v>3.3419354838709681</v>
      </c>
    </row>
    <row r="3155" spans="1:10" x14ac:dyDescent="0.25">
      <c r="A3155" s="2" t="s">
        <v>8455</v>
      </c>
      <c r="B3155" s="2" t="s">
        <v>7007</v>
      </c>
      <c r="C3155" s="2" t="s">
        <v>8456</v>
      </c>
      <c r="D3155" s="2" t="s">
        <v>10055</v>
      </c>
      <c r="E3155" s="15">
        <v>9.7699999999999995E-2</v>
      </c>
      <c r="F3155" s="15">
        <v>7.9500000000000001E-2</v>
      </c>
      <c r="G3155" s="15">
        <v>0.2195</v>
      </c>
      <c r="H3155" s="15">
        <v>0.05</v>
      </c>
      <c r="I3155" s="15">
        <v>1.5100000000000001E-2</v>
      </c>
      <c r="J3155" s="15">
        <v>3.65359477124183</v>
      </c>
    </row>
    <row r="3156" spans="1:10" x14ac:dyDescent="0.25">
      <c r="A3156" s="2" t="s">
        <v>8457</v>
      </c>
      <c r="B3156" s="2" t="s">
        <v>7007</v>
      </c>
      <c r="C3156" s="2" t="s">
        <v>8458</v>
      </c>
      <c r="D3156" s="2" t="s">
        <v>10055</v>
      </c>
      <c r="E3156" s="15">
        <v>4.6800000000000001E-2</v>
      </c>
      <c r="F3156" s="15">
        <v>9.0800000000000006E-2</v>
      </c>
      <c r="G3156" s="15">
        <v>0.60650000000000004</v>
      </c>
      <c r="H3156" s="15">
        <v>3.3300000000000003E-2</v>
      </c>
      <c r="I3156" s="15">
        <v>1.5599999999999999E-2</v>
      </c>
      <c r="J3156" s="15">
        <v>2.2653061224489801</v>
      </c>
    </row>
    <row r="3157" spans="1:10" x14ac:dyDescent="0.25">
      <c r="A3157" s="2" t="s">
        <v>8459</v>
      </c>
      <c r="B3157" s="2" t="s">
        <v>7007</v>
      </c>
      <c r="C3157" s="2" t="s">
        <v>8460</v>
      </c>
      <c r="D3157" s="2" t="s">
        <v>10055</v>
      </c>
      <c r="E3157" s="15">
        <v>2.8400000000000002E-2</v>
      </c>
      <c r="F3157" s="15">
        <v>7.6600000000000001E-2</v>
      </c>
      <c r="G3157" s="15">
        <v>0.71109999999999995</v>
      </c>
      <c r="H3157" s="15">
        <v>5.5199999999999999E-2</v>
      </c>
      <c r="I3157" s="15">
        <v>1.41E-2</v>
      </c>
      <c r="J3157" s="15">
        <v>4.5</v>
      </c>
    </row>
    <row r="3158" spans="1:10" x14ac:dyDescent="0.25">
      <c r="A3158" s="2" t="s">
        <v>8461</v>
      </c>
      <c r="B3158" s="2" t="s">
        <v>7007</v>
      </c>
      <c r="C3158" s="2" t="s">
        <v>8462</v>
      </c>
      <c r="D3158" s="2" t="s">
        <v>10055</v>
      </c>
      <c r="E3158" s="15">
        <v>-3.1399999999999997E-2</v>
      </c>
      <c r="F3158" s="15">
        <v>6.8500000000000005E-2</v>
      </c>
      <c r="G3158" s="15">
        <v>0.64629999999999999</v>
      </c>
      <c r="H3158" s="15">
        <v>6.1899999999999997E-2</v>
      </c>
      <c r="I3158" s="15">
        <v>1.46E-2</v>
      </c>
      <c r="J3158" s="15">
        <v>4.1726618705035978</v>
      </c>
    </row>
    <row r="3159" spans="1:10" x14ac:dyDescent="0.25">
      <c r="A3159" s="2" t="s">
        <v>8463</v>
      </c>
      <c r="B3159" s="2" t="s">
        <v>7007</v>
      </c>
      <c r="C3159" s="2" t="s">
        <v>8464</v>
      </c>
      <c r="D3159" s="2" t="s">
        <v>10055</v>
      </c>
      <c r="E3159" s="15">
        <v>4.3400000000000001E-2</v>
      </c>
      <c r="F3159" s="15">
        <v>7.7499999999999999E-2</v>
      </c>
      <c r="G3159" s="15">
        <v>0.57550000000000001</v>
      </c>
      <c r="H3159" s="15">
        <v>6.2E-2</v>
      </c>
      <c r="I3159" s="15">
        <v>1.43E-2</v>
      </c>
      <c r="J3159" s="15">
        <v>4</v>
      </c>
    </row>
    <row r="3160" spans="1:10" x14ac:dyDescent="0.25">
      <c r="A3160" s="2" t="s">
        <v>8465</v>
      </c>
      <c r="B3160" s="2" t="s">
        <v>7007</v>
      </c>
      <c r="C3160" s="2" t="s">
        <v>8466</v>
      </c>
      <c r="D3160" s="2" t="s">
        <v>10055</v>
      </c>
      <c r="E3160" s="15">
        <v>9.8699999999999996E-2</v>
      </c>
      <c r="F3160" s="15">
        <v>6.7000000000000004E-2</v>
      </c>
      <c r="G3160" s="15">
        <v>0.1411</v>
      </c>
      <c r="H3160" s="15">
        <v>6.7599999999999993E-2</v>
      </c>
      <c r="I3160" s="15">
        <v>1.61E-2</v>
      </c>
      <c r="J3160" s="15">
        <v>5.1907894736842106</v>
      </c>
    </row>
    <row r="3161" spans="1:10" x14ac:dyDescent="0.25">
      <c r="A3161" s="2" t="s">
        <v>8467</v>
      </c>
      <c r="B3161" s="2" t="s">
        <v>7007</v>
      </c>
      <c r="C3161" s="2" t="s">
        <v>8468</v>
      </c>
      <c r="D3161" s="2" t="s">
        <v>10055</v>
      </c>
      <c r="E3161" s="15">
        <v>0.1411</v>
      </c>
      <c r="F3161" s="15">
        <v>0.14050000000000001</v>
      </c>
      <c r="G3161" s="15">
        <v>0.31519999999999998</v>
      </c>
      <c r="H3161" s="15">
        <v>1.7999999999999999E-2</v>
      </c>
      <c r="I3161" s="15">
        <v>1.4E-2</v>
      </c>
      <c r="J3161" s="15">
        <v>1.0375939849624061</v>
      </c>
    </row>
    <row r="3162" spans="1:10" x14ac:dyDescent="0.25">
      <c r="A3162" s="2" t="s">
        <v>8469</v>
      </c>
      <c r="B3162" s="2" t="s">
        <v>7007</v>
      </c>
      <c r="C3162" s="2" t="s">
        <v>8470</v>
      </c>
      <c r="D3162" s="2" t="s">
        <v>10055</v>
      </c>
      <c r="E3162" s="15">
        <v>5.7099999999999998E-2</v>
      </c>
      <c r="F3162" s="15">
        <v>4.5199999999999997E-2</v>
      </c>
      <c r="G3162" s="15">
        <v>0.2069</v>
      </c>
      <c r="H3162" s="15">
        <v>0.14990000000000001</v>
      </c>
      <c r="I3162" s="15">
        <v>2.35E-2</v>
      </c>
      <c r="J3162" s="15">
        <v>7.0181818181818194</v>
      </c>
    </row>
    <row r="3163" spans="1:10" x14ac:dyDescent="0.25">
      <c r="A3163" s="2" t="s">
        <v>8471</v>
      </c>
      <c r="B3163" s="2" t="s">
        <v>7007</v>
      </c>
      <c r="C3163" s="2" t="s">
        <v>8472</v>
      </c>
      <c r="D3163" s="2" t="s">
        <v>10055</v>
      </c>
      <c r="E3163" s="15">
        <v>-1.7600000000000001E-2</v>
      </c>
      <c r="F3163" s="15">
        <v>0.13250000000000001</v>
      </c>
      <c r="G3163" s="15">
        <v>0.89429999999999998</v>
      </c>
      <c r="H3163" s="15">
        <v>1.4E-2</v>
      </c>
      <c r="I3163" s="15">
        <v>1.41E-2</v>
      </c>
      <c r="J3163" s="15">
        <v>0.84558823529411764</v>
      </c>
    </row>
    <row r="3164" spans="1:10" x14ac:dyDescent="0.25">
      <c r="A3164" s="2" t="s">
        <v>8473</v>
      </c>
      <c r="B3164" s="2" t="s">
        <v>7007</v>
      </c>
      <c r="C3164" s="2" t="s">
        <v>8474</v>
      </c>
      <c r="D3164" s="2" t="s">
        <v>10055</v>
      </c>
      <c r="E3164" s="15">
        <v>-2.6700000000000002E-2</v>
      </c>
      <c r="F3164" s="15">
        <v>0.1237</v>
      </c>
      <c r="G3164" s="15">
        <v>0.82889999999999997</v>
      </c>
      <c r="H3164" s="15">
        <v>2.07E-2</v>
      </c>
      <c r="I3164" s="15">
        <v>1.3899999999999999E-2</v>
      </c>
      <c r="J3164" s="15">
        <v>2.0785714285714292</v>
      </c>
    </row>
    <row r="3165" spans="1:10" x14ac:dyDescent="0.25">
      <c r="A3165" s="2" t="s">
        <v>8475</v>
      </c>
      <c r="B3165" s="2" t="s">
        <v>7007</v>
      </c>
      <c r="C3165" s="2" t="s">
        <v>8476</v>
      </c>
      <c r="D3165" s="2" t="s">
        <v>10055</v>
      </c>
      <c r="E3165" s="15">
        <v>-0.2452</v>
      </c>
      <c r="F3165" s="15">
        <v>0.36870000000000003</v>
      </c>
      <c r="G3165" s="15">
        <v>0.50590000000000002</v>
      </c>
      <c r="H3165" s="15">
        <v>6.4000000000000003E-3</v>
      </c>
      <c r="I3165" s="15">
        <v>1.43E-2</v>
      </c>
      <c r="J3165" s="15">
        <v>0.4</v>
      </c>
    </row>
    <row r="3166" spans="1:10" x14ac:dyDescent="0.25">
      <c r="A3166" s="2" t="s">
        <v>8477</v>
      </c>
      <c r="B3166" s="2" t="s">
        <v>7007</v>
      </c>
      <c r="C3166" s="2" t="s">
        <v>8478</v>
      </c>
      <c r="D3166" s="2" t="s">
        <v>10055</v>
      </c>
      <c r="E3166" s="15">
        <v>-0.12089999999999999</v>
      </c>
      <c r="F3166" s="15">
        <v>7.0900000000000005E-2</v>
      </c>
      <c r="G3166" s="15">
        <v>8.7999999999999995E-2</v>
      </c>
      <c r="H3166" s="15">
        <v>7.1800000000000003E-2</v>
      </c>
      <c r="I3166" s="15">
        <v>1.54E-2</v>
      </c>
      <c r="J3166" s="15">
        <v>5.0890410958904111</v>
      </c>
    </row>
    <row r="3167" spans="1:10" x14ac:dyDescent="0.25">
      <c r="A3167" s="2" t="s">
        <v>8479</v>
      </c>
      <c r="B3167" s="2" t="s">
        <v>7007</v>
      </c>
      <c r="C3167" s="2" t="s">
        <v>8480</v>
      </c>
      <c r="D3167" s="2" t="s">
        <v>10055</v>
      </c>
      <c r="E3167" s="15">
        <v>2.9700000000000001E-2</v>
      </c>
      <c r="F3167" s="15">
        <v>8.6800000000000002E-2</v>
      </c>
      <c r="G3167" s="15">
        <v>0.73270000000000002</v>
      </c>
      <c r="H3167" s="15">
        <v>4.1300000000000003E-2</v>
      </c>
      <c r="I3167" s="15">
        <v>1.54E-2</v>
      </c>
      <c r="J3167" s="15">
        <v>2.638157894736842</v>
      </c>
    </row>
    <row r="3168" spans="1:10" x14ac:dyDescent="0.25">
      <c r="A3168" s="2" t="s">
        <v>8481</v>
      </c>
      <c r="B3168" s="2" t="s">
        <v>7007</v>
      </c>
      <c r="C3168" s="2" t="s">
        <v>8482</v>
      </c>
      <c r="D3168" s="2" t="s">
        <v>10055</v>
      </c>
      <c r="E3168" s="15">
        <v>0.20930000000000001</v>
      </c>
      <c r="F3168" s="15">
        <v>0.57099999999999995</v>
      </c>
      <c r="G3168" s="15">
        <v>0.71399999999999997</v>
      </c>
      <c r="H3168" s="15">
        <v>4.4000000000000003E-3</v>
      </c>
      <c r="I3168" s="15">
        <v>1.3100000000000001E-2</v>
      </c>
      <c r="J3168" s="15">
        <v>0.31578947368421051</v>
      </c>
    </row>
    <row r="3169" spans="1:10" x14ac:dyDescent="0.25">
      <c r="A3169" s="2" t="s">
        <v>8483</v>
      </c>
      <c r="B3169" s="2" t="s">
        <v>7007</v>
      </c>
      <c r="C3169" s="2" t="s">
        <v>8484</v>
      </c>
      <c r="D3169" s="2" t="s">
        <v>10055</v>
      </c>
      <c r="E3169" s="15">
        <v>0.13880000000000001</v>
      </c>
      <c r="F3169" s="15">
        <v>9.2299999999999993E-2</v>
      </c>
      <c r="G3169" s="15">
        <v>0.1328</v>
      </c>
      <c r="H3169" s="15">
        <v>3.8300000000000001E-2</v>
      </c>
      <c r="I3169" s="15">
        <v>1.6E-2</v>
      </c>
      <c r="J3169" s="15">
        <v>3.025641025641026</v>
      </c>
    </row>
    <row r="3170" spans="1:10" x14ac:dyDescent="0.25">
      <c r="A3170" s="2" t="s">
        <v>8485</v>
      </c>
      <c r="B3170" s="2" t="s">
        <v>7007</v>
      </c>
      <c r="C3170" s="2" t="s">
        <v>8486</v>
      </c>
      <c r="D3170" s="2" t="s">
        <v>10055</v>
      </c>
      <c r="E3170" s="15">
        <v>-5.21E-2</v>
      </c>
      <c r="F3170" s="15">
        <v>7.17E-2</v>
      </c>
      <c r="G3170" s="15">
        <v>0.46689999999999998</v>
      </c>
      <c r="H3170" s="15">
        <v>6.9000000000000006E-2</v>
      </c>
      <c r="I3170" s="15">
        <v>1.6E-2</v>
      </c>
      <c r="J3170" s="15">
        <v>4.8701298701298699</v>
      </c>
    </row>
    <row r="3171" spans="1:10" x14ac:dyDescent="0.25">
      <c r="A3171" s="2" t="s">
        <v>8487</v>
      </c>
      <c r="B3171" s="2" t="s">
        <v>7007</v>
      </c>
      <c r="C3171" s="2" t="s">
        <v>8488</v>
      </c>
      <c r="D3171" s="2" t="s">
        <v>10055</v>
      </c>
      <c r="E3171" s="15">
        <v>-6.9599999999999995E-2</v>
      </c>
      <c r="F3171" s="15">
        <v>0.11849999999999999</v>
      </c>
      <c r="G3171" s="15">
        <v>0.55679999999999996</v>
      </c>
      <c r="H3171" s="15">
        <v>2.2200000000000001E-2</v>
      </c>
      <c r="I3171" s="15">
        <v>1.35E-2</v>
      </c>
      <c r="J3171" s="15">
        <v>1.5343511450381679</v>
      </c>
    </row>
    <row r="3172" spans="1:10" x14ac:dyDescent="0.25">
      <c r="A3172" s="2" t="s">
        <v>8489</v>
      </c>
      <c r="B3172" s="2" t="s">
        <v>7007</v>
      </c>
      <c r="C3172" s="2" t="s">
        <v>8490</v>
      </c>
      <c r="D3172" s="2" t="s">
        <v>10055</v>
      </c>
      <c r="E3172" s="15">
        <v>-0.16880000000000001</v>
      </c>
      <c r="F3172" s="15">
        <v>0.16420000000000001</v>
      </c>
      <c r="G3172" s="15">
        <v>0.30399999999999999</v>
      </c>
      <c r="H3172" s="15">
        <v>1.7500000000000002E-2</v>
      </c>
      <c r="I3172" s="15">
        <v>1.4800000000000001E-2</v>
      </c>
      <c r="J3172" s="15">
        <v>0.97142857142857131</v>
      </c>
    </row>
    <row r="3173" spans="1:10" x14ac:dyDescent="0.25">
      <c r="A3173" s="2" t="s">
        <v>8491</v>
      </c>
      <c r="B3173" s="2" t="s">
        <v>7007</v>
      </c>
      <c r="C3173" s="2" t="s">
        <v>8492</v>
      </c>
      <c r="D3173" s="2" t="s">
        <v>10055</v>
      </c>
      <c r="E3173" s="15">
        <v>-7.9500000000000001E-2</v>
      </c>
      <c r="F3173" s="15">
        <v>7.0599999999999996E-2</v>
      </c>
      <c r="G3173" s="15">
        <v>0.26</v>
      </c>
      <c r="H3173" s="15">
        <v>5.9299999999999999E-2</v>
      </c>
      <c r="I3173" s="15">
        <v>1.61E-2</v>
      </c>
      <c r="J3173" s="15">
        <v>3.5652173913043481</v>
      </c>
    </row>
    <row r="3174" spans="1:10" x14ac:dyDescent="0.25">
      <c r="A3174" s="2" t="s">
        <v>8493</v>
      </c>
      <c r="B3174" s="2" t="s">
        <v>7007</v>
      </c>
      <c r="C3174" s="2" t="s">
        <v>8494</v>
      </c>
      <c r="D3174" s="2" t="s">
        <v>10055</v>
      </c>
      <c r="E3174" s="15">
        <v>0.08</v>
      </c>
      <c r="F3174" s="15">
        <v>0.11269999999999999</v>
      </c>
      <c r="G3174" s="15">
        <v>0.4778</v>
      </c>
      <c r="H3174" s="15">
        <v>2.2800000000000001E-2</v>
      </c>
      <c r="I3174" s="15">
        <v>1.5299999999999999E-2</v>
      </c>
      <c r="J3174" s="15">
        <v>1.64</v>
      </c>
    </row>
    <row r="3175" spans="1:10" x14ac:dyDescent="0.25">
      <c r="A3175" s="2" t="s">
        <v>8495</v>
      </c>
      <c r="B3175" s="2" t="s">
        <v>7007</v>
      </c>
      <c r="C3175" s="2" t="s">
        <v>8496</v>
      </c>
      <c r="D3175" s="2" t="s">
        <v>10055</v>
      </c>
      <c r="E3175" s="15">
        <v>4.8300000000000003E-2</v>
      </c>
      <c r="F3175" s="15">
        <v>7.9799999999999996E-2</v>
      </c>
      <c r="G3175" s="15">
        <v>0.54490000000000005</v>
      </c>
      <c r="H3175" s="15">
        <v>4.3400000000000001E-2</v>
      </c>
      <c r="I3175" s="15">
        <v>1.5299999999999999E-2</v>
      </c>
      <c r="J3175" s="15">
        <v>3.3486842105263159</v>
      </c>
    </row>
    <row r="3176" spans="1:10" x14ac:dyDescent="0.25">
      <c r="A3176" s="2" t="s">
        <v>8497</v>
      </c>
      <c r="B3176" s="2" t="s">
        <v>7007</v>
      </c>
      <c r="C3176" s="2" t="s">
        <v>8498</v>
      </c>
      <c r="D3176" s="2" t="s">
        <v>10055</v>
      </c>
      <c r="E3176" s="15">
        <v>1.7899999999999999E-2</v>
      </c>
      <c r="F3176" s="15">
        <v>6.3E-2</v>
      </c>
      <c r="G3176" s="15">
        <v>0.77659999999999996</v>
      </c>
      <c r="H3176" s="15">
        <v>7.8799999999999995E-2</v>
      </c>
      <c r="I3176" s="15">
        <v>2.1399999999999999E-2</v>
      </c>
      <c r="J3176" s="15">
        <v>4.4381443298969074</v>
      </c>
    </row>
    <row r="3177" spans="1:10" x14ac:dyDescent="0.25">
      <c r="A3177" s="2" t="s">
        <v>8499</v>
      </c>
      <c r="B3177" s="2" t="s">
        <v>7007</v>
      </c>
      <c r="C3177" s="2" t="s">
        <v>8500</v>
      </c>
      <c r="D3177" s="2" t="s">
        <v>10055</v>
      </c>
      <c r="E3177" s="15">
        <v>-2.9899999999999999E-2</v>
      </c>
      <c r="F3177" s="15">
        <v>8.77E-2</v>
      </c>
      <c r="G3177" s="15">
        <v>0.73299999999999998</v>
      </c>
      <c r="H3177" s="15">
        <v>3.5299999999999998E-2</v>
      </c>
      <c r="I3177" s="15">
        <v>1.5699999999999999E-2</v>
      </c>
      <c r="J3177" s="15">
        <v>2.2077922077922079</v>
      </c>
    </row>
    <row r="3178" spans="1:10" x14ac:dyDescent="0.25">
      <c r="A3178" s="2" t="s">
        <v>8501</v>
      </c>
      <c r="B3178" s="2" t="s">
        <v>7007</v>
      </c>
      <c r="C3178" s="2" t="s">
        <v>8502</v>
      </c>
      <c r="D3178" s="2" t="s">
        <v>10055</v>
      </c>
      <c r="E3178" s="15">
        <v>-3.2099999999999997E-2</v>
      </c>
      <c r="F3178" s="15">
        <v>9.2100000000000001E-2</v>
      </c>
      <c r="G3178" s="15">
        <v>0.72760000000000002</v>
      </c>
      <c r="H3178" s="15">
        <v>4.5900000000000003E-2</v>
      </c>
      <c r="I3178" s="15">
        <v>1.46E-2</v>
      </c>
      <c r="J3178" s="15">
        <v>3.2374100719424459</v>
      </c>
    </row>
    <row r="3179" spans="1:10" x14ac:dyDescent="0.25">
      <c r="A3179" s="2" t="s">
        <v>8503</v>
      </c>
      <c r="B3179" s="2" t="s">
        <v>7007</v>
      </c>
      <c r="C3179" s="2" t="s">
        <v>8504</v>
      </c>
      <c r="D3179" s="2" t="s">
        <v>10055</v>
      </c>
      <c r="E3179" s="15">
        <v>0.30640000000000001</v>
      </c>
      <c r="F3179" s="15">
        <v>0.2238</v>
      </c>
      <c r="G3179" s="15">
        <v>0.17080000000000001</v>
      </c>
      <c r="H3179" s="15">
        <v>1.3599999999999999E-2</v>
      </c>
      <c r="I3179" s="15">
        <v>1.43E-2</v>
      </c>
      <c r="J3179" s="15">
        <v>1.24822695035461</v>
      </c>
    </row>
    <row r="3180" spans="1:10" x14ac:dyDescent="0.25">
      <c r="A3180" s="2" t="s">
        <v>8505</v>
      </c>
      <c r="B3180" s="2" t="s">
        <v>7007</v>
      </c>
      <c r="C3180" s="2" t="s">
        <v>8506</v>
      </c>
      <c r="D3180" s="2" t="s">
        <v>10055</v>
      </c>
      <c r="E3180" s="15">
        <v>-3.73E-2</v>
      </c>
      <c r="F3180" s="15">
        <v>9.9599999999999994E-2</v>
      </c>
      <c r="G3180" s="15">
        <v>0.70789999999999997</v>
      </c>
      <c r="H3180" s="15">
        <v>3.0700000000000002E-2</v>
      </c>
      <c r="I3180" s="15">
        <v>1.6E-2</v>
      </c>
      <c r="J3180" s="15">
        <v>2.0909090909090908</v>
      </c>
    </row>
    <row r="3181" spans="1:10" x14ac:dyDescent="0.25">
      <c r="A3181" s="2" t="s">
        <v>8507</v>
      </c>
      <c r="B3181" s="2" t="s">
        <v>7007</v>
      </c>
      <c r="C3181" s="2" t="s">
        <v>8508</v>
      </c>
      <c r="D3181" s="2" t="s">
        <v>10055</v>
      </c>
      <c r="E3181" s="15">
        <v>0.1143</v>
      </c>
      <c r="F3181" s="15">
        <v>0.10100000000000001</v>
      </c>
      <c r="G3181" s="15">
        <v>0.25740000000000002</v>
      </c>
      <c r="H3181" s="15">
        <v>3.5400000000000001E-2</v>
      </c>
      <c r="I3181" s="15">
        <v>1.38E-2</v>
      </c>
      <c r="J3181" s="15">
        <v>2.6119402985074629</v>
      </c>
    </row>
    <row r="3182" spans="1:10" x14ac:dyDescent="0.25">
      <c r="A3182" s="2" t="s">
        <v>8509</v>
      </c>
      <c r="B3182" s="2" t="s">
        <v>7007</v>
      </c>
      <c r="C3182" s="2" t="s">
        <v>8510</v>
      </c>
      <c r="D3182" s="2" t="s">
        <v>10055</v>
      </c>
      <c r="E3182" s="15">
        <v>-5.04E-2</v>
      </c>
      <c r="F3182" s="15">
        <v>5.1299999999999998E-2</v>
      </c>
      <c r="G3182" s="15">
        <v>0.3261</v>
      </c>
      <c r="H3182" s="15">
        <v>0.11219999999999999</v>
      </c>
      <c r="I3182" s="15">
        <v>1.46E-2</v>
      </c>
      <c r="J3182" s="15">
        <v>8.3450704225352101</v>
      </c>
    </row>
    <row r="3183" spans="1:10" x14ac:dyDescent="0.25">
      <c r="A3183" s="2" t="s">
        <v>8511</v>
      </c>
      <c r="B3183" s="2" t="s">
        <v>7007</v>
      </c>
      <c r="C3183" s="2" t="s">
        <v>8512</v>
      </c>
      <c r="D3183" s="2" t="s">
        <v>10055</v>
      </c>
      <c r="E3183" s="15">
        <v>-8.9099999999999999E-2</v>
      </c>
      <c r="F3183" s="15">
        <v>7.1599999999999997E-2</v>
      </c>
      <c r="G3183" s="15">
        <v>0.2137</v>
      </c>
      <c r="H3183" s="15">
        <v>5.6300000000000003E-2</v>
      </c>
      <c r="I3183" s="15">
        <v>1.6400000000000001E-2</v>
      </c>
      <c r="J3183" s="15">
        <v>3.7687499999999998</v>
      </c>
    </row>
    <row r="3184" spans="1:10" x14ac:dyDescent="0.25">
      <c r="A3184" s="2" t="s">
        <v>8513</v>
      </c>
      <c r="B3184" s="2" t="s">
        <v>7007</v>
      </c>
      <c r="C3184" s="2" t="s">
        <v>8514</v>
      </c>
      <c r="D3184" s="2" t="s">
        <v>10055</v>
      </c>
      <c r="E3184" s="15">
        <v>3.3000000000000002E-2</v>
      </c>
      <c r="F3184" s="15">
        <v>6.7900000000000002E-2</v>
      </c>
      <c r="G3184" s="15">
        <v>0.62749999999999995</v>
      </c>
      <c r="H3184" s="15">
        <v>7.3800000000000004E-2</v>
      </c>
      <c r="I3184" s="15">
        <v>1.4800000000000001E-2</v>
      </c>
      <c r="J3184" s="15">
        <v>5.732394366197183</v>
      </c>
    </row>
    <row r="3185" spans="1:10" x14ac:dyDescent="0.25">
      <c r="A3185" s="2" t="s">
        <v>8515</v>
      </c>
      <c r="B3185" s="2" t="s">
        <v>7007</v>
      </c>
      <c r="C3185" s="2" t="s">
        <v>8516</v>
      </c>
      <c r="D3185" s="2" t="s">
        <v>10055</v>
      </c>
      <c r="E3185" s="15">
        <v>8.1900000000000001E-2</v>
      </c>
      <c r="F3185" s="15">
        <v>0.1023</v>
      </c>
      <c r="G3185" s="15">
        <v>0.42309999999999998</v>
      </c>
      <c r="H3185" s="15">
        <v>2.7099999999999999E-2</v>
      </c>
      <c r="I3185" s="15">
        <v>1.4500000000000001E-2</v>
      </c>
      <c r="J3185" s="15">
        <v>1.2054794520547949</v>
      </c>
    </row>
    <row r="3186" spans="1:10" x14ac:dyDescent="0.25">
      <c r="A3186" s="2" t="s">
        <v>8517</v>
      </c>
      <c r="B3186" s="2" t="s">
        <v>7007</v>
      </c>
      <c r="C3186" s="2" t="s">
        <v>8518</v>
      </c>
      <c r="D3186" s="2" t="s">
        <v>10055</v>
      </c>
      <c r="E3186" s="15">
        <v>-8.1699999999999995E-2</v>
      </c>
      <c r="F3186" s="15">
        <v>7.2499999999999995E-2</v>
      </c>
      <c r="G3186" s="15">
        <v>0.25950000000000001</v>
      </c>
      <c r="H3186" s="15">
        <v>6.2600000000000003E-2</v>
      </c>
      <c r="I3186" s="15">
        <v>1.47E-2</v>
      </c>
      <c r="J3186" s="15">
        <v>4.7278911564625856</v>
      </c>
    </row>
    <row r="3187" spans="1:10" x14ac:dyDescent="0.25">
      <c r="A3187" s="2" t="s">
        <v>8519</v>
      </c>
      <c r="B3187" s="2" t="s">
        <v>7007</v>
      </c>
      <c r="C3187" s="2" t="s">
        <v>8520</v>
      </c>
      <c r="D3187" s="2" t="s">
        <v>10055</v>
      </c>
      <c r="E3187" s="15">
        <v>-9.7999999999999997E-3</v>
      </c>
      <c r="F3187" s="15">
        <v>0.1239</v>
      </c>
      <c r="G3187" s="15">
        <v>0.93679999999999997</v>
      </c>
      <c r="H3187" s="15">
        <v>2.2499999999999999E-2</v>
      </c>
      <c r="I3187" s="15">
        <v>1.37E-2</v>
      </c>
      <c r="J3187" s="15">
        <v>1.875</v>
      </c>
    </row>
    <row r="3188" spans="1:10" x14ac:dyDescent="0.25">
      <c r="A3188" s="2" t="s">
        <v>8521</v>
      </c>
      <c r="B3188" s="2" t="s">
        <v>7007</v>
      </c>
      <c r="C3188" s="2" t="s">
        <v>8522</v>
      </c>
      <c r="D3188" s="2" t="s">
        <v>10055</v>
      </c>
      <c r="E3188" s="15"/>
      <c r="F3188" s="15"/>
      <c r="G3188" s="15"/>
      <c r="H3188" s="15">
        <v>-4.1999999999999997E-3</v>
      </c>
      <c r="I3188" s="15">
        <v>1.3100000000000001E-2</v>
      </c>
      <c r="J3188" s="15">
        <v>-3.1746031746031737E-2</v>
      </c>
    </row>
    <row r="3189" spans="1:10" x14ac:dyDescent="0.25">
      <c r="A3189" s="2" t="s">
        <v>8523</v>
      </c>
      <c r="B3189" s="2" t="s">
        <v>7007</v>
      </c>
      <c r="C3189" s="2" t="s">
        <v>8524</v>
      </c>
      <c r="D3189" s="2" t="s">
        <v>10055</v>
      </c>
      <c r="E3189" s="15">
        <v>8.9800000000000005E-2</v>
      </c>
      <c r="F3189" s="15">
        <v>7.9000000000000001E-2</v>
      </c>
      <c r="G3189" s="15">
        <v>0.25590000000000002</v>
      </c>
      <c r="H3189" s="15">
        <v>4.53E-2</v>
      </c>
      <c r="I3189" s="15">
        <v>1.5599999999999999E-2</v>
      </c>
      <c r="J3189" s="15">
        <v>3.359477124183007</v>
      </c>
    </row>
    <row r="3190" spans="1:10" x14ac:dyDescent="0.25">
      <c r="A3190" s="2" t="s">
        <v>8525</v>
      </c>
      <c r="B3190" s="2" t="s">
        <v>7007</v>
      </c>
      <c r="C3190" s="2" t="s">
        <v>8526</v>
      </c>
      <c r="D3190" s="2" t="s">
        <v>10055</v>
      </c>
      <c r="E3190" s="15">
        <v>7.3000000000000001E-3</v>
      </c>
      <c r="F3190" s="15">
        <v>7.85E-2</v>
      </c>
      <c r="G3190" s="15">
        <v>0.92549999999999999</v>
      </c>
      <c r="H3190" s="15">
        <v>6.3500000000000001E-2</v>
      </c>
      <c r="I3190" s="15">
        <v>1.6299999999999999E-2</v>
      </c>
      <c r="J3190" s="15">
        <v>4.4968152866242042</v>
      </c>
    </row>
    <row r="3191" spans="1:10" x14ac:dyDescent="0.25">
      <c r="A3191" s="2" t="s">
        <v>8527</v>
      </c>
      <c r="B3191" s="2" t="s">
        <v>7007</v>
      </c>
      <c r="C3191" s="2" t="s">
        <v>8528</v>
      </c>
      <c r="D3191" s="2" t="s">
        <v>10055</v>
      </c>
      <c r="E3191" s="15">
        <v>-8.8099999999999998E-2</v>
      </c>
      <c r="F3191" s="15">
        <v>0.1082</v>
      </c>
      <c r="G3191" s="15">
        <v>0.41539999999999999</v>
      </c>
      <c r="H3191" s="15">
        <v>2.5899999999999999E-2</v>
      </c>
      <c r="I3191" s="15">
        <v>1.5699999999999999E-2</v>
      </c>
      <c r="J3191" s="15">
        <v>2.1045751633986929</v>
      </c>
    </row>
    <row r="3192" spans="1:10" x14ac:dyDescent="0.25">
      <c r="A3192" s="2" t="s">
        <v>8529</v>
      </c>
      <c r="B3192" s="2" t="s">
        <v>7007</v>
      </c>
      <c r="C3192" s="2" t="s">
        <v>8530</v>
      </c>
      <c r="D3192" s="2" t="s">
        <v>10055</v>
      </c>
      <c r="E3192" s="15">
        <v>-2.01E-2</v>
      </c>
      <c r="F3192" s="15">
        <v>5.8599999999999999E-2</v>
      </c>
      <c r="G3192" s="15">
        <v>0.7319</v>
      </c>
      <c r="H3192" s="15">
        <v>9.3700000000000006E-2</v>
      </c>
      <c r="I3192" s="15">
        <v>1.77E-2</v>
      </c>
      <c r="J3192" s="15">
        <v>5.7988165680473376</v>
      </c>
    </row>
    <row r="3193" spans="1:10" x14ac:dyDescent="0.25">
      <c r="A3193" s="2" t="s">
        <v>8531</v>
      </c>
      <c r="B3193" s="2" t="s">
        <v>7007</v>
      </c>
      <c r="C3193" s="2" t="s">
        <v>8532</v>
      </c>
      <c r="D3193" s="2" t="s">
        <v>10055</v>
      </c>
      <c r="E3193" s="15">
        <v>-5.0200000000000002E-2</v>
      </c>
      <c r="F3193" s="15">
        <v>0.2195</v>
      </c>
      <c r="G3193" s="15">
        <v>0.81920000000000004</v>
      </c>
      <c r="H3193" s="15">
        <v>6.7999999999999996E-3</v>
      </c>
      <c r="I3193" s="15">
        <v>1.55E-2</v>
      </c>
      <c r="J3193" s="15">
        <v>1.25974025974026</v>
      </c>
    </row>
    <row r="3194" spans="1:10" x14ac:dyDescent="0.25">
      <c r="A3194" s="2" t="s">
        <v>8533</v>
      </c>
      <c r="B3194" s="2" t="s">
        <v>7007</v>
      </c>
      <c r="C3194" s="2" t="s">
        <v>8534</v>
      </c>
      <c r="D3194" s="2" t="s">
        <v>10055</v>
      </c>
      <c r="E3194" s="15">
        <v>8.2000000000000007E-3</v>
      </c>
      <c r="F3194" s="15">
        <v>0.16009999999999999</v>
      </c>
      <c r="G3194" s="15">
        <v>0.95899999999999996</v>
      </c>
      <c r="H3194" s="15">
        <v>1.06E-2</v>
      </c>
      <c r="I3194" s="15">
        <v>1.4999999999999999E-2</v>
      </c>
      <c r="J3194" s="15">
        <v>0.81506849315068497</v>
      </c>
    </row>
    <row r="3195" spans="1:10" x14ac:dyDescent="0.25">
      <c r="A3195" s="2" t="s">
        <v>8535</v>
      </c>
      <c r="B3195" s="2" t="s">
        <v>7007</v>
      </c>
      <c r="C3195" s="2" t="s">
        <v>8536</v>
      </c>
      <c r="D3195" s="2" t="s">
        <v>10055</v>
      </c>
      <c r="E3195" s="15">
        <v>-3.6299999999999999E-2</v>
      </c>
      <c r="F3195" s="15">
        <v>6.7400000000000002E-2</v>
      </c>
      <c r="G3195" s="15">
        <v>0.59050000000000002</v>
      </c>
      <c r="H3195" s="15">
        <v>7.5600000000000001E-2</v>
      </c>
      <c r="I3195" s="15">
        <v>1.5699999999999999E-2</v>
      </c>
      <c r="J3195" s="15">
        <v>5.0974025974025974</v>
      </c>
    </row>
    <row r="3196" spans="1:10" x14ac:dyDescent="0.25">
      <c r="A3196" s="2" t="s">
        <v>8537</v>
      </c>
      <c r="B3196" s="2" t="s">
        <v>7007</v>
      </c>
      <c r="C3196" s="2" t="s">
        <v>8538</v>
      </c>
      <c r="D3196" s="2" t="s">
        <v>10055</v>
      </c>
      <c r="E3196" s="15">
        <v>-7.51E-2</v>
      </c>
      <c r="F3196" s="15">
        <v>5.3900000000000003E-2</v>
      </c>
      <c r="G3196" s="15">
        <v>0.16350000000000001</v>
      </c>
      <c r="H3196" s="15">
        <v>0.11310000000000001</v>
      </c>
      <c r="I3196" s="15">
        <v>1.89E-2</v>
      </c>
      <c r="J3196" s="15">
        <v>6.9887005649717517</v>
      </c>
    </row>
    <row r="3197" spans="1:10" x14ac:dyDescent="0.25">
      <c r="A3197" s="2" t="s">
        <v>8539</v>
      </c>
      <c r="B3197" s="2" t="s">
        <v>7007</v>
      </c>
      <c r="C3197" s="2" t="s">
        <v>8540</v>
      </c>
      <c r="D3197" s="2" t="s">
        <v>10055</v>
      </c>
      <c r="E3197" s="15">
        <v>-9.6500000000000002E-2</v>
      </c>
      <c r="F3197" s="15">
        <v>0.10100000000000001</v>
      </c>
      <c r="G3197" s="15">
        <v>0.3392</v>
      </c>
      <c r="H3197" s="15">
        <v>3.1199999999999999E-2</v>
      </c>
      <c r="I3197" s="15">
        <v>1.4500000000000001E-2</v>
      </c>
      <c r="J3197" s="15">
        <v>2.6917293233082709</v>
      </c>
    </row>
    <row r="3198" spans="1:10" x14ac:dyDescent="0.25">
      <c r="A3198" s="2" t="s">
        <v>8541</v>
      </c>
      <c r="B3198" s="2" t="s">
        <v>7007</v>
      </c>
      <c r="C3198" s="2" t="s">
        <v>8542</v>
      </c>
      <c r="D3198" s="2" t="s">
        <v>10055</v>
      </c>
      <c r="E3198" s="15">
        <v>7.2999999999999995E-2</v>
      </c>
      <c r="F3198" s="15">
        <v>8.1699999999999995E-2</v>
      </c>
      <c r="G3198" s="15">
        <v>0.371</v>
      </c>
      <c r="H3198" s="15">
        <v>4.02E-2</v>
      </c>
      <c r="I3198" s="15">
        <v>1.44E-2</v>
      </c>
      <c r="J3198" s="15">
        <v>1.957746478873239</v>
      </c>
    </row>
    <row r="3199" spans="1:10" x14ac:dyDescent="0.25">
      <c r="A3199" s="2" t="s">
        <v>8543</v>
      </c>
      <c r="B3199" s="2" t="s">
        <v>7007</v>
      </c>
      <c r="C3199" s="2" t="s">
        <v>8544</v>
      </c>
      <c r="D3199" s="2" t="s">
        <v>10055</v>
      </c>
      <c r="E3199" s="15">
        <v>-0.1603</v>
      </c>
      <c r="F3199" s="15">
        <v>0.1177</v>
      </c>
      <c r="G3199" s="15">
        <v>0.1731</v>
      </c>
      <c r="H3199" s="15">
        <v>2.7900000000000001E-2</v>
      </c>
      <c r="I3199" s="15">
        <v>1.4200000000000001E-2</v>
      </c>
      <c r="J3199" s="15">
        <v>2.1972789115646258</v>
      </c>
    </row>
    <row r="3200" spans="1:10" x14ac:dyDescent="0.25">
      <c r="A3200" s="2" t="s">
        <v>8545</v>
      </c>
      <c r="B3200" s="2" t="s">
        <v>7007</v>
      </c>
      <c r="C3200" s="2" t="s">
        <v>8546</v>
      </c>
      <c r="D3200" s="2" t="s">
        <v>10055</v>
      </c>
      <c r="E3200" s="15">
        <v>-6.1699999999999998E-2</v>
      </c>
      <c r="F3200" s="15">
        <v>6.2100000000000002E-2</v>
      </c>
      <c r="G3200" s="15">
        <v>0.32050000000000001</v>
      </c>
      <c r="H3200" s="15">
        <v>8.5300000000000001E-2</v>
      </c>
      <c r="I3200" s="15">
        <v>1.47E-2</v>
      </c>
      <c r="J3200" s="15">
        <v>5.227586206896552</v>
      </c>
    </row>
    <row r="3201" spans="1:10" x14ac:dyDescent="0.25">
      <c r="A3201" s="2" t="s">
        <v>8547</v>
      </c>
      <c r="B3201" s="2" t="s">
        <v>7007</v>
      </c>
      <c r="C3201" s="2" t="s">
        <v>8548</v>
      </c>
      <c r="D3201" s="2" t="s">
        <v>10055</v>
      </c>
      <c r="E3201" s="15">
        <v>-0.26119999999999999</v>
      </c>
      <c r="F3201" s="15">
        <v>0.2465</v>
      </c>
      <c r="G3201" s="15">
        <v>0.28949999999999998</v>
      </c>
      <c r="H3201" s="15">
        <v>1.09E-2</v>
      </c>
      <c r="I3201" s="15">
        <v>1.3599999999999999E-2</v>
      </c>
      <c r="J3201" s="15">
        <v>1.110236220472441</v>
      </c>
    </row>
    <row r="3202" spans="1:10" x14ac:dyDescent="0.25">
      <c r="A3202" s="2" t="s">
        <v>8549</v>
      </c>
      <c r="B3202" s="2" t="s">
        <v>7007</v>
      </c>
      <c r="C3202" s="2" t="s">
        <v>8550</v>
      </c>
      <c r="D3202" s="2" t="s">
        <v>10055</v>
      </c>
      <c r="E3202" s="15">
        <v>-6.2100000000000002E-2</v>
      </c>
      <c r="F3202" s="15">
        <v>7.85E-2</v>
      </c>
      <c r="G3202" s="15">
        <v>0.42859999999999998</v>
      </c>
      <c r="H3202" s="15">
        <v>5.1999999999999998E-2</v>
      </c>
      <c r="I3202" s="15">
        <v>1.6400000000000001E-2</v>
      </c>
      <c r="J3202" s="15">
        <v>4.1812080536912752</v>
      </c>
    </row>
    <row r="3203" spans="1:10" x14ac:dyDescent="0.25">
      <c r="A3203" s="2" t="s">
        <v>8551</v>
      </c>
      <c r="B3203" s="2" t="s">
        <v>7007</v>
      </c>
      <c r="C3203" s="2" t="s">
        <v>8552</v>
      </c>
      <c r="D3203" s="2" t="s">
        <v>10055</v>
      </c>
      <c r="E3203" s="15">
        <v>-0.18429999999999999</v>
      </c>
      <c r="F3203" s="15">
        <v>0.109</v>
      </c>
      <c r="G3203" s="15">
        <v>9.0999999999999998E-2</v>
      </c>
      <c r="H3203" s="15">
        <v>2.93E-2</v>
      </c>
      <c r="I3203" s="15">
        <v>1.37E-2</v>
      </c>
      <c r="J3203" s="15">
        <v>2.151079136690647</v>
      </c>
    </row>
    <row r="3204" spans="1:10" x14ac:dyDescent="0.25">
      <c r="A3204" s="2" t="s">
        <v>8553</v>
      </c>
      <c r="B3204" s="2" t="s">
        <v>7007</v>
      </c>
      <c r="C3204" s="2" t="s">
        <v>8554</v>
      </c>
      <c r="D3204" s="2" t="s">
        <v>10055</v>
      </c>
      <c r="E3204" s="15">
        <v>3.5999999999999999E-3</v>
      </c>
      <c r="F3204" s="15">
        <v>9.4899999999999998E-2</v>
      </c>
      <c r="G3204" s="15">
        <v>0.96960000000000002</v>
      </c>
      <c r="H3204" s="15">
        <v>2.8299999999999999E-2</v>
      </c>
      <c r="I3204" s="15">
        <v>1.35E-2</v>
      </c>
      <c r="J3204" s="15">
        <v>2.6390977443609018</v>
      </c>
    </row>
    <row r="3205" spans="1:10" x14ac:dyDescent="0.25">
      <c r="A3205" s="2" t="s">
        <v>8555</v>
      </c>
      <c r="B3205" s="2" t="s">
        <v>7007</v>
      </c>
      <c r="C3205" s="2" t="s">
        <v>8556</v>
      </c>
      <c r="D3205" s="2" t="s">
        <v>10055</v>
      </c>
      <c r="E3205" s="15">
        <v>-4.41E-2</v>
      </c>
      <c r="F3205" s="15">
        <v>9.5000000000000001E-2</v>
      </c>
      <c r="G3205" s="15">
        <v>0.64249999999999996</v>
      </c>
      <c r="H3205" s="15">
        <v>2.8000000000000001E-2</v>
      </c>
      <c r="I3205" s="15">
        <v>1.35E-2</v>
      </c>
      <c r="J3205" s="15">
        <v>2.5074626865671639</v>
      </c>
    </row>
    <row r="3206" spans="1:10" x14ac:dyDescent="0.25">
      <c r="A3206" s="2" t="s">
        <v>8557</v>
      </c>
      <c r="B3206" s="2" t="s">
        <v>7007</v>
      </c>
      <c r="C3206" s="2" t="s">
        <v>8558</v>
      </c>
      <c r="D3206" s="2" t="s">
        <v>10055</v>
      </c>
      <c r="E3206" s="15">
        <v>-0.2432</v>
      </c>
      <c r="F3206" s="15">
        <v>0.18090000000000001</v>
      </c>
      <c r="G3206" s="15">
        <v>0.17879999999999999</v>
      </c>
      <c r="H3206" s="15">
        <v>1.5800000000000002E-2</v>
      </c>
      <c r="I3206" s="15">
        <v>1.4200000000000001E-2</v>
      </c>
      <c r="J3206" s="15">
        <v>1.3472222222222221</v>
      </c>
    </row>
    <row r="3207" spans="1:10" x14ac:dyDescent="0.25">
      <c r="A3207" s="2" t="s">
        <v>8559</v>
      </c>
      <c r="B3207" s="2" t="s">
        <v>7007</v>
      </c>
      <c r="C3207" s="2" t="s">
        <v>8560</v>
      </c>
      <c r="D3207" s="2" t="s">
        <v>10055</v>
      </c>
      <c r="E3207" s="15">
        <v>0.22819999999999999</v>
      </c>
      <c r="F3207" s="15">
        <v>0.1094</v>
      </c>
      <c r="G3207" s="15">
        <v>3.6900000000000002E-2</v>
      </c>
      <c r="H3207" s="15">
        <v>3.5200000000000002E-2</v>
      </c>
      <c r="I3207" s="15">
        <v>1.5699999999999999E-2</v>
      </c>
      <c r="J3207" s="15">
        <v>2.960526315789473</v>
      </c>
    </row>
    <row r="3208" spans="1:10" x14ac:dyDescent="0.25">
      <c r="A3208" s="2" t="s">
        <v>8561</v>
      </c>
      <c r="B3208" s="2" t="s">
        <v>7007</v>
      </c>
      <c r="C3208" s="2" t="s">
        <v>8562</v>
      </c>
      <c r="D3208" s="2" t="s">
        <v>10055</v>
      </c>
      <c r="E3208" s="15">
        <v>-1.3299999999999999E-2</v>
      </c>
      <c r="F3208" s="15">
        <v>5.3600000000000002E-2</v>
      </c>
      <c r="G3208" s="15">
        <v>0.80459999999999998</v>
      </c>
      <c r="H3208" s="15">
        <v>9.8900000000000002E-2</v>
      </c>
      <c r="I3208" s="15">
        <v>1.7299999999999999E-2</v>
      </c>
      <c r="J3208" s="15">
        <v>5.6936416184971099</v>
      </c>
    </row>
    <row r="3209" spans="1:10" x14ac:dyDescent="0.25">
      <c r="A3209" s="2" t="s">
        <v>8563</v>
      </c>
      <c r="B3209" s="2" t="s">
        <v>7007</v>
      </c>
      <c r="C3209" s="2" t="s">
        <v>8564</v>
      </c>
      <c r="D3209" s="2" t="s">
        <v>10055</v>
      </c>
      <c r="E3209" s="15">
        <v>-4.8000000000000001E-2</v>
      </c>
      <c r="F3209" s="15">
        <v>0.17130000000000001</v>
      </c>
      <c r="G3209" s="15">
        <v>0.77939999999999998</v>
      </c>
      <c r="H3209" s="15">
        <v>1.3599999999999999E-2</v>
      </c>
      <c r="I3209" s="15">
        <v>1.4999999999999999E-2</v>
      </c>
      <c r="J3209" s="15">
        <v>7.0921985815602842E-2</v>
      </c>
    </row>
    <row r="3210" spans="1:10" x14ac:dyDescent="0.25">
      <c r="A3210" s="2" t="s">
        <v>8565</v>
      </c>
      <c r="B3210" s="2" t="s">
        <v>7007</v>
      </c>
      <c r="C3210" s="2" t="s">
        <v>8566</v>
      </c>
      <c r="D3210" s="2" t="s">
        <v>10055</v>
      </c>
      <c r="E3210" s="15">
        <v>7.0000000000000001E-3</v>
      </c>
      <c r="F3210" s="15">
        <v>7.1599999999999997E-2</v>
      </c>
      <c r="G3210" s="15">
        <v>0.92169999999999996</v>
      </c>
      <c r="H3210" s="15">
        <v>7.0999999999999994E-2</v>
      </c>
      <c r="I3210" s="15">
        <v>1.4500000000000001E-2</v>
      </c>
      <c r="J3210" s="15">
        <v>5.0704225352112671</v>
      </c>
    </row>
    <row r="3211" spans="1:10" x14ac:dyDescent="0.25">
      <c r="A3211" s="2" t="s">
        <v>8567</v>
      </c>
      <c r="B3211" s="2" t="s">
        <v>7007</v>
      </c>
      <c r="C3211" s="2" t="s">
        <v>8568</v>
      </c>
      <c r="D3211" s="2" t="s">
        <v>10055</v>
      </c>
      <c r="E3211" s="15">
        <v>1.1999999999999999E-3</v>
      </c>
      <c r="F3211" s="15">
        <v>7.5700000000000003E-2</v>
      </c>
      <c r="G3211" s="15">
        <v>0.98740000000000006</v>
      </c>
      <c r="H3211" s="15">
        <v>4.6699999999999998E-2</v>
      </c>
      <c r="I3211" s="15">
        <v>1.4200000000000001E-2</v>
      </c>
      <c r="J3211" s="15">
        <v>3.105633802816901</v>
      </c>
    </row>
    <row r="3212" spans="1:10" x14ac:dyDescent="0.25">
      <c r="A3212" s="2" t="s">
        <v>8569</v>
      </c>
      <c r="B3212" s="2" t="s">
        <v>7007</v>
      </c>
      <c r="C3212" s="2" t="s">
        <v>8570</v>
      </c>
      <c r="D3212" s="2" t="s">
        <v>10055</v>
      </c>
      <c r="E3212" s="15">
        <v>9.9299999999999999E-2</v>
      </c>
      <c r="F3212" s="15">
        <v>8.8900000000000007E-2</v>
      </c>
      <c r="G3212" s="15">
        <v>0.26419999999999999</v>
      </c>
      <c r="H3212" s="15">
        <v>4.41E-2</v>
      </c>
      <c r="I3212" s="15">
        <v>1.55E-2</v>
      </c>
      <c r="J3212" s="15">
        <v>3.191780821917809</v>
      </c>
    </row>
    <row r="3213" spans="1:10" x14ac:dyDescent="0.25">
      <c r="A3213" s="2" t="s">
        <v>8571</v>
      </c>
      <c r="B3213" s="2" t="s">
        <v>7007</v>
      </c>
      <c r="C3213" s="2" t="s">
        <v>8572</v>
      </c>
      <c r="D3213" s="2" t="s">
        <v>10055</v>
      </c>
      <c r="E3213" s="15">
        <v>-0.10440000000000001</v>
      </c>
      <c r="F3213" s="15">
        <v>0.10059999999999999</v>
      </c>
      <c r="G3213" s="15">
        <v>0.29899999999999999</v>
      </c>
      <c r="H3213" s="15">
        <v>3.2399999999999998E-2</v>
      </c>
      <c r="I3213" s="15">
        <v>1.37E-2</v>
      </c>
      <c r="J3213" s="15">
        <v>2.6115107913669071</v>
      </c>
    </row>
    <row r="3214" spans="1:10" x14ac:dyDescent="0.25">
      <c r="A3214" s="2" t="s">
        <v>8573</v>
      </c>
      <c r="B3214" s="2" t="s">
        <v>7007</v>
      </c>
      <c r="C3214" s="2" t="s">
        <v>8574</v>
      </c>
      <c r="D3214" s="2" t="s">
        <v>10055</v>
      </c>
      <c r="E3214" s="15">
        <v>4.1700000000000001E-2</v>
      </c>
      <c r="F3214" s="15">
        <v>0.1002</v>
      </c>
      <c r="G3214" s="15">
        <v>0.67679999999999996</v>
      </c>
      <c r="H3214" s="15">
        <v>3.1199999999999999E-2</v>
      </c>
      <c r="I3214" s="15">
        <v>1.38E-2</v>
      </c>
      <c r="J3214" s="15">
        <v>2.035971223021583</v>
      </c>
    </row>
    <row r="3215" spans="1:10" x14ac:dyDescent="0.25">
      <c r="A3215" s="2" t="s">
        <v>8575</v>
      </c>
      <c r="B3215" s="2" t="s">
        <v>7007</v>
      </c>
      <c r="C3215" s="2" t="s">
        <v>8576</v>
      </c>
      <c r="D3215" s="2" t="s">
        <v>10055</v>
      </c>
      <c r="E3215" s="15">
        <v>-5.2499999999999998E-2</v>
      </c>
      <c r="F3215" s="15">
        <v>0.11890000000000001</v>
      </c>
      <c r="G3215" s="15">
        <v>0.65849999999999997</v>
      </c>
      <c r="H3215" s="15">
        <v>2.18E-2</v>
      </c>
      <c r="I3215" s="15">
        <v>1.4E-2</v>
      </c>
      <c r="J3215" s="15">
        <v>2.3138686131386859</v>
      </c>
    </row>
    <row r="3216" spans="1:10" x14ac:dyDescent="0.25">
      <c r="A3216" s="2" t="s">
        <v>8577</v>
      </c>
      <c r="B3216" s="2" t="s">
        <v>7007</v>
      </c>
      <c r="C3216" s="2" t="s">
        <v>8578</v>
      </c>
      <c r="D3216" s="2" t="s">
        <v>10055</v>
      </c>
      <c r="E3216" s="15">
        <v>-1.1000000000000001E-3</v>
      </c>
      <c r="F3216" s="15">
        <v>0.1023</v>
      </c>
      <c r="G3216" s="15">
        <v>0.99170000000000003</v>
      </c>
      <c r="H3216" s="15">
        <v>2.6200000000000001E-2</v>
      </c>
      <c r="I3216" s="15">
        <v>1.41E-2</v>
      </c>
      <c r="J3216" s="15">
        <v>2.685314685314685</v>
      </c>
    </row>
    <row r="3217" spans="1:10" x14ac:dyDescent="0.25">
      <c r="A3217" s="2" t="s">
        <v>8579</v>
      </c>
      <c r="B3217" s="2" t="s">
        <v>7007</v>
      </c>
      <c r="C3217" s="2" t="s">
        <v>8580</v>
      </c>
      <c r="D3217" s="2" t="s">
        <v>10055</v>
      </c>
      <c r="E3217" s="15">
        <v>0.1037</v>
      </c>
      <c r="F3217" s="15">
        <v>0.1137</v>
      </c>
      <c r="G3217" s="15">
        <v>0.36149999999999999</v>
      </c>
      <c r="H3217" s="15">
        <v>2.7900000000000001E-2</v>
      </c>
      <c r="I3217" s="15">
        <v>1.54E-2</v>
      </c>
      <c r="J3217" s="15">
        <v>2.2649006622516561</v>
      </c>
    </row>
    <row r="3218" spans="1:10" x14ac:dyDescent="0.25">
      <c r="A3218" s="2" t="s">
        <v>8581</v>
      </c>
      <c r="B3218" s="2" t="s">
        <v>7007</v>
      </c>
      <c r="C3218" s="2" t="s">
        <v>8582</v>
      </c>
      <c r="D3218" s="2" t="s">
        <v>10055</v>
      </c>
      <c r="E3218" s="15">
        <v>1.01E-2</v>
      </c>
      <c r="F3218" s="15">
        <v>7.7499999999999999E-2</v>
      </c>
      <c r="G3218" s="15">
        <v>0.89649999999999996</v>
      </c>
      <c r="H3218" s="15">
        <v>4.9799999999999997E-2</v>
      </c>
      <c r="I3218" s="15">
        <v>1.34E-2</v>
      </c>
      <c r="J3218" s="15">
        <v>3.5801526717557248</v>
      </c>
    </row>
    <row r="3219" spans="1:10" x14ac:dyDescent="0.25">
      <c r="A3219" s="2" t="s">
        <v>8583</v>
      </c>
      <c r="B3219" s="2" t="s">
        <v>7007</v>
      </c>
      <c r="C3219" s="2" t="s">
        <v>8584</v>
      </c>
      <c r="D3219" s="2" t="s">
        <v>10055</v>
      </c>
      <c r="E3219" s="15">
        <v>-4.5999999999999999E-2</v>
      </c>
      <c r="F3219" s="15">
        <v>8.6599999999999996E-2</v>
      </c>
      <c r="G3219" s="15">
        <v>0.59540000000000004</v>
      </c>
      <c r="H3219" s="15">
        <v>3.2899999999999999E-2</v>
      </c>
      <c r="I3219" s="15">
        <v>1.47E-2</v>
      </c>
      <c r="J3219" s="15">
        <v>2.1489361702127661</v>
      </c>
    </row>
    <row r="3220" spans="1:10" x14ac:dyDescent="0.25">
      <c r="A3220" s="2" t="s">
        <v>8585</v>
      </c>
      <c r="B3220" s="2" t="s">
        <v>7007</v>
      </c>
      <c r="C3220" s="2" t="s">
        <v>8586</v>
      </c>
      <c r="D3220" s="2" t="s">
        <v>10055</v>
      </c>
      <c r="E3220" s="15">
        <v>1.29E-2</v>
      </c>
      <c r="F3220" s="15">
        <v>7.1499999999999994E-2</v>
      </c>
      <c r="G3220" s="15">
        <v>0.85719999999999996</v>
      </c>
      <c r="H3220" s="15">
        <v>5.2900000000000003E-2</v>
      </c>
      <c r="I3220" s="15">
        <v>1.78E-2</v>
      </c>
      <c r="J3220" s="15">
        <v>3.0493827160493829</v>
      </c>
    </row>
    <row r="3221" spans="1:10" x14ac:dyDescent="0.25">
      <c r="A3221" s="2" t="s">
        <v>8587</v>
      </c>
      <c r="B3221" s="2" t="s">
        <v>7007</v>
      </c>
      <c r="C3221" s="2" t="s">
        <v>8588</v>
      </c>
      <c r="D3221" s="2" t="s">
        <v>10055</v>
      </c>
      <c r="E3221" s="15"/>
      <c r="F3221" s="15"/>
      <c r="G3221" s="15"/>
      <c r="H3221" s="15"/>
      <c r="I3221" s="15"/>
      <c r="J3221" s="15">
        <v>0.38759689922480622</v>
      </c>
    </row>
    <row r="3222" spans="1:10" x14ac:dyDescent="0.25">
      <c r="A3222" s="2" t="s">
        <v>8589</v>
      </c>
      <c r="B3222" s="2" t="s">
        <v>7007</v>
      </c>
      <c r="C3222" s="2" t="s">
        <v>8590</v>
      </c>
      <c r="D3222" s="2" t="s">
        <v>10055</v>
      </c>
      <c r="E3222" s="15">
        <v>-2.0299999999999999E-2</v>
      </c>
      <c r="F3222" s="15">
        <v>0.129</v>
      </c>
      <c r="G3222" s="15">
        <v>0.87470000000000003</v>
      </c>
      <c r="H3222" s="15">
        <v>1.6400000000000001E-2</v>
      </c>
      <c r="I3222" s="15">
        <v>1.3299999999999999E-2</v>
      </c>
      <c r="J3222" s="15">
        <v>1.104838709677419</v>
      </c>
    </row>
    <row r="3223" spans="1:10" x14ac:dyDescent="0.25">
      <c r="A3223" s="2" t="s">
        <v>8591</v>
      </c>
      <c r="B3223" s="2" t="s">
        <v>7007</v>
      </c>
      <c r="C3223" s="2" t="s">
        <v>8592</v>
      </c>
      <c r="D3223" s="2" t="s">
        <v>10055</v>
      </c>
      <c r="E3223" s="15">
        <v>1.7500000000000002E-2</v>
      </c>
      <c r="F3223" s="15">
        <v>7.5800000000000006E-2</v>
      </c>
      <c r="G3223" s="15">
        <v>0.81759999999999999</v>
      </c>
      <c r="H3223" s="15">
        <v>4.6100000000000002E-2</v>
      </c>
      <c r="I3223" s="15">
        <v>1.5100000000000001E-2</v>
      </c>
      <c r="J3223" s="15">
        <v>3.25</v>
      </c>
    </row>
    <row r="3224" spans="1:10" x14ac:dyDescent="0.25">
      <c r="A3224" s="2" t="s">
        <v>8593</v>
      </c>
      <c r="B3224" s="2" t="s">
        <v>7007</v>
      </c>
      <c r="C3224" s="2" t="s">
        <v>8594</v>
      </c>
      <c r="D3224" s="2" t="s">
        <v>10055</v>
      </c>
      <c r="E3224" s="15">
        <v>-0.16669999999999999</v>
      </c>
      <c r="F3224" s="15">
        <v>0.17799999999999999</v>
      </c>
      <c r="G3224" s="15">
        <v>0.34899999999999998</v>
      </c>
      <c r="H3224" s="15">
        <v>1.4E-2</v>
      </c>
      <c r="I3224" s="15">
        <v>1.6899999999999998E-2</v>
      </c>
      <c r="J3224" s="15">
        <v>0.79289940828402372</v>
      </c>
    </row>
    <row r="3225" spans="1:10" x14ac:dyDescent="0.25">
      <c r="A3225" s="2" t="s">
        <v>8595</v>
      </c>
      <c r="B3225" s="2" t="s">
        <v>7007</v>
      </c>
      <c r="C3225" s="2" t="s">
        <v>8596</v>
      </c>
      <c r="D3225" s="2" t="s">
        <v>10055</v>
      </c>
      <c r="E3225" s="15">
        <v>-0.1119</v>
      </c>
      <c r="F3225" s="15">
        <v>0.12759999999999999</v>
      </c>
      <c r="G3225" s="15">
        <v>0.38069999999999998</v>
      </c>
      <c r="H3225" s="15">
        <v>2.53E-2</v>
      </c>
      <c r="I3225" s="15">
        <v>1.44E-2</v>
      </c>
      <c r="J3225" s="15">
        <v>1.8702290076335879</v>
      </c>
    </row>
    <row r="3226" spans="1:10" x14ac:dyDescent="0.25">
      <c r="A3226" s="2" t="s">
        <v>8597</v>
      </c>
      <c r="B3226" s="2" t="s">
        <v>7007</v>
      </c>
      <c r="C3226" s="2" t="s">
        <v>8598</v>
      </c>
      <c r="D3226" s="2" t="s">
        <v>10055</v>
      </c>
      <c r="E3226" s="15">
        <v>-0.17949999999999999</v>
      </c>
      <c r="F3226" s="15">
        <v>0.11700000000000001</v>
      </c>
      <c r="G3226" s="15">
        <v>0.12520000000000001</v>
      </c>
      <c r="H3226" s="15">
        <v>2.7900000000000001E-2</v>
      </c>
      <c r="I3226" s="15">
        <v>1.5900000000000001E-2</v>
      </c>
      <c r="J3226" s="15">
        <v>2.0555555555555558</v>
      </c>
    </row>
    <row r="3227" spans="1:10" x14ac:dyDescent="0.25">
      <c r="A3227" s="2" t="s">
        <v>8599</v>
      </c>
      <c r="B3227" s="2" t="s">
        <v>7007</v>
      </c>
      <c r="C3227" s="2" t="s">
        <v>8600</v>
      </c>
      <c r="D3227" s="2" t="s">
        <v>10055</v>
      </c>
      <c r="E3227" s="15">
        <v>-0.2117</v>
      </c>
      <c r="F3227" s="15">
        <v>9.5899999999999999E-2</v>
      </c>
      <c r="G3227" s="15">
        <v>2.7300000000000001E-2</v>
      </c>
      <c r="H3227" s="15">
        <v>4.1500000000000002E-2</v>
      </c>
      <c r="I3227" s="15">
        <v>1.35E-2</v>
      </c>
      <c r="J3227" s="15">
        <v>3.727272727272728</v>
      </c>
    </row>
    <row r="3228" spans="1:10" x14ac:dyDescent="0.25">
      <c r="A3228" s="2" t="s">
        <v>8601</v>
      </c>
      <c r="B3228" s="2" t="s">
        <v>7007</v>
      </c>
      <c r="C3228" s="2" t="s">
        <v>8602</v>
      </c>
      <c r="D3228" s="2" t="s">
        <v>10055</v>
      </c>
      <c r="E3228" s="15">
        <v>4.5600000000000002E-2</v>
      </c>
      <c r="F3228" s="15">
        <v>7.4399999999999994E-2</v>
      </c>
      <c r="G3228" s="15">
        <v>0.54020000000000001</v>
      </c>
      <c r="H3228" s="15">
        <v>5.57E-2</v>
      </c>
      <c r="I3228" s="15">
        <v>1.4800000000000001E-2</v>
      </c>
      <c r="J3228" s="15">
        <v>3.875862068965517</v>
      </c>
    </row>
    <row r="3229" spans="1:10" x14ac:dyDescent="0.25">
      <c r="A3229" s="2" t="s">
        <v>8603</v>
      </c>
      <c r="B3229" s="2" t="s">
        <v>7007</v>
      </c>
      <c r="C3229" s="2" t="s">
        <v>8604</v>
      </c>
      <c r="D3229" s="2" t="s">
        <v>10055</v>
      </c>
      <c r="E3229" s="15">
        <v>3.0499999999999999E-2</v>
      </c>
      <c r="F3229" s="15">
        <v>0.1118</v>
      </c>
      <c r="G3229" s="15">
        <v>0.78520000000000001</v>
      </c>
      <c r="H3229" s="15">
        <v>2.69E-2</v>
      </c>
      <c r="I3229" s="15">
        <v>1.4800000000000001E-2</v>
      </c>
      <c r="J3229" s="15">
        <v>2.093525179856115</v>
      </c>
    </row>
    <row r="3230" spans="1:10" x14ac:dyDescent="0.25">
      <c r="A3230" s="2" t="s">
        <v>8605</v>
      </c>
      <c r="B3230" s="2" t="s">
        <v>7007</v>
      </c>
      <c r="C3230" s="2" t="s">
        <v>8606</v>
      </c>
      <c r="D3230" s="2" t="s">
        <v>10055</v>
      </c>
      <c r="E3230" s="15">
        <v>5.74E-2</v>
      </c>
      <c r="F3230" s="15">
        <v>0.13339999999999999</v>
      </c>
      <c r="G3230" s="15">
        <v>0.66700000000000004</v>
      </c>
      <c r="H3230" s="15">
        <v>1.7299999999999999E-2</v>
      </c>
      <c r="I3230" s="15">
        <v>1.38E-2</v>
      </c>
      <c r="J3230" s="15">
        <v>1.044117647058824</v>
      </c>
    </row>
    <row r="3231" spans="1:10" x14ac:dyDescent="0.25">
      <c r="A3231" s="2" t="s">
        <v>8607</v>
      </c>
      <c r="B3231" s="2" t="s">
        <v>7007</v>
      </c>
      <c r="C3231" s="2" t="s">
        <v>8608</v>
      </c>
      <c r="D3231" s="2" t="s">
        <v>10055</v>
      </c>
      <c r="E3231" s="15">
        <v>-0.13250000000000001</v>
      </c>
      <c r="F3231" s="15">
        <v>9.2999999999999999E-2</v>
      </c>
      <c r="G3231" s="15">
        <v>0.15429999999999999</v>
      </c>
      <c r="H3231" s="15">
        <v>3.1899999999999998E-2</v>
      </c>
      <c r="I3231" s="15">
        <v>1.46E-2</v>
      </c>
      <c r="J3231" s="15">
        <v>2.5217391304347818</v>
      </c>
    </row>
    <row r="3232" spans="1:10" x14ac:dyDescent="0.25">
      <c r="A3232" s="2" t="s">
        <v>8609</v>
      </c>
      <c r="B3232" s="2" t="s">
        <v>7007</v>
      </c>
      <c r="C3232" s="2" t="s">
        <v>8610</v>
      </c>
      <c r="D3232" s="2" t="s">
        <v>10055</v>
      </c>
      <c r="E3232" s="15">
        <v>-3.2399999999999998E-2</v>
      </c>
      <c r="F3232" s="15">
        <v>9.9599999999999994E-2</v>
      </c>
      <c r="G3232" s="15">
        <v>0.74470000000000003</v>
      </c>
      <c r="H3232" s="15">
        <v>3.4700000000000002E-2</v>
      </c>
      <c r="I3232" s="15">
        <v>1.43E-2</v>
      </c>
      <c r="J3232" s="15">
        <v>2.1785714285714279</v>
      </c>
    </row>
    <row r="3233" spans="1:10" x14ac:dyDescent="0.25">
      <c r="A3233" s="2" t="s">
        <v>8611</v>
      </c>
      <c r="B3233" s="2" t="s">
        <v>7007</v>
      </c>
      <c r="C3233" s="2" t="s">
        <v>8612</v>
      </c>
      <c r="D3233" s="2" t="s">
        <v>10055</v>
      </c>
      <c r="E3233" s="15">
        <v>-0.13789999999999999</v>
      </c>
      <c r="F3233" s="15">
        <v>8.1100000000000005E-2</v>
      </c>
      <c r="G3233" s="15">
        <v>8.9200000000000002E-2</v>
      </c>
      <c r="H3233" s="15">
        <v>4.6899999999999997E-2</v>
      </c>
      <c r="I3233" s="15">
        <v>1.3899999999999999E-2</v>
      </c>
      <c r="J3233" s="15">
        <v>4.0375939849624061</v>
      </c>
    </row>
    <row r="3234" spans="1:10" x14ac:dyDescent="0.25">
      <c r="A3234" s="2" t="s">
        <v>8613</v>
      </c>
      <c r="B3234" s="2" t="s">
        <v>7007</v>
      </c>
      <c r="C3234" s="2" t="s">
        <v>8614</v>
      </c>
      <c r="D3234" s="2" t="s">
        <v>10055</v>
      </c>
      <c r="E3234" s="15">
        <v>-1.2500000000000001E-2</v>
      </c>
      <c r="F3234" s="15">
        <v>9.0300000000000005E-2</v>
      </c>
      <c r="G3234" s="15">
        <v>0.88990000000000002</v>
      </c>
      <c r="H3234" s="15">
        <v>4.3999999999999997E-2</v>
      </c>
      <c r="I3234" s="15">
        <v>1.46E-2</v>
      </c>
      <c r="J3234" s="15">
        <v>3.239130434782608</v>
      </c>
    </row>
    <row r="3235" spans="1:10" x14ac:dyDescent="0.25">
      <c r="A3235" s="2" t="s">
        <v>8615</v>
      </c>
      <c r="B3235" s="2" t="s">
        <v>7007</v>
      </c>
      <c r="C3235" s="2" t="s">
        <v>8616</v>
      </c>
      <c r="D3235" s="2" t="s">
        <v>10055</v>
      </c>
      <c r="E3235" s="15">
        <v>0.16289999999999999</v>
      </c>
      <c r="F3235" s="15">
        <v>0.1242</v>
      </c>
      <c r="G3235" s="15">
        <v>0.1898</v>
      </c>
      <c r="H3235" s="15">
        <v>2.5000000000000001E-2</v>
      </c>
      <c r="I3235" s="15">
        <v>1.6799999999999999E-2</v>
      </c>
      <c r="J3235" s="15">
        <v>2.0555555555555558</v>
      </c>
    </row>
    <row r="3236" spans="1:10" x14ac:dyDescent="0.25">
      <c r="A3236" s="2" t="s">
        <v>8617</v>
      </c>
      <c r="B3236" s="2" t="s">
        <v>7007</v>
      </c>
      <c r="C3236" s="2" t="s">
        <v>8618</v>
      </c>
      <c r="D3236" s="2" t="s">
        <v>10055</v>
      </c>
      <c r="E3236" s="15">
        <v>0.18490000000000001</v>
      </c>
      <c r="F3236" s="15">
        <v>0.10639999999999999</v>
      </c>
      <c r="G3236" s="15">
        <v>8.2299999999999998E-2</v>
      </c>
      <c r="H3236" s="15">
        <v>3.2000000000000001E-2</v>
      </c>
      <c r="I3236" s="15">
        <v>1.6E-2</v>
      </c>
      <c r="J3236" s="15">
        <v>1.795918367346939</v>
      </c>
    </row>
    <row r="3237" spans="1:10" x14ac:dyDescent="0.25">
      <c r="A3237" s="2" t="s">
        <v>8619</v>
      </c>
      <c r="B3237" s="2" t="s">
        <v>7007</v>
      </c>
      <c r="C3237" s="2" t="s">
        <v>8620</v>
      </c>
      <c r="D3237" s="2" t="s">
        <v>10055</v>
      </c>
      <c r="E3237" s="15">
        <v>-0.1069</v>
      </c>
      <c r="F3237" s="15">
        <v>0.1515</v>
      </c>
      <c r="G3237" s="15">
        <v>0.48049999999999998</v>
      </c>
      <c r="H3237" s="15">
        <v>1.4E-2</v>
      </c>
      <c r="I3237" s="15">
        <v>1.32E-2</v>
      </c>
      <c r="J3237" s="15">
        <v>0.96062992125984259</v>
      </c>
    </row>
    <row r="3238" spans="1:10" x14ac:dyDescent="0.25">
      <c r="A3238" s="2" t="s">
        <v>8621</v>
      </c>
      <c r="B3238" s="2" t="s">
        <v>7007</v>
      </c>
      <c r="C3238" s="2" t="s">
        <v>8622</v>
      </c>
      <c r="D3238" s="2" t="s">
        <v>10055</v>
      </c>
      <c r="E3238" s="15">
        <v>-0.1169</v>
      </c>
      <c r="F3238" s="15">
        <v>0.1363</v>
      </c>
      <c r="G3238" s="15">
        <v>0.3911</v>
      </c>
      <c r="H3238" s="15">
        <v>1.9E-2</v>
      </c>
      <c r="I3238" s="15">
        <v>1.4800000000000001E-2</v>
      </c>
      <c r="J3238" s="15">
        <v>1.285714285714286</v>
      </c>
    </row>
    <row r="3239" spans="1:10" x14ac:dyDescent="0.25">
      <c r="A3239" s="2" t="s">
        <v>8623</v>
      </c>
      <c r="B3239" s="2" t="s">
        <v>7007</v>
      </c>
      <c r="C3239" s="2" t="s">
        <v>8624</v>
      </c>
      <c r="D3239" s="2" t="s">
        <v>10055</v>
      </c>
      <c r="E3239" s="15">
        <v>3.15E-2</v>
      </c>
      <c r="F3239" s="15">
        <v>6.2899999999999998E-2</v>
      </c>
      <c r="G3239" s="15">
        <v>0.61680000000000001</v>
      </c>
      <c r="H3239" s="15">
        <v>7.5200000000000003E-2</v>
      </c>
      <c r="I3239" s="15">
        <v>1.6199999999999999E-2</v>
      </c>
      <c r="J3239" s="15">
        <v>5.161290322580645</v>
      </c>
    </row>
    <row r="3240" spans="1:10" x14ac:dyDescent="0.25">
      <c r="A3240" s="2" t="s">
        <v>8625</v>
      </c>
      <c r="B3240" s="2" t="s">
        <v>7007</v>
      </c>
      <c r="C3240" s="2" t="s">
        <v>8626</v>
      </c>
      <c r="D3240" s="2" t="s">
        <v>10055</v>
      </c>
      <c r="E3240" s="15">
        <v>-2.63E-2</v>
      </c>
      <c r="F3240" s="15">
        <v>0.1226</v>
      </c>
      <c r="G3240" s="15">
        <v>0.83020000000000005</v>
      </c>
      <c r="H3240" s="15">
        <v>1.8700000000000001E-2</v>
      </c>
      <c r="I3240" s="15">
        <v>1.3899999999999999E-2</v>
      </c>
      <c r="J3240" s="15">
        <v>1.625</v>
      </c>
    </row>
    <row r="3241" spans="1:10" x14ac:dyDescent="0.25">
      <c r="A3241" s="2" t="s">
        <v>8627</v>
      </c>
      <c r="B3241" s="2" t="s">
        <v>7007</v>
      </c>
      <c r="C3241" s="2" t="s">
        <v>8628</v>
      </c>
      <c r="D3241" s="2" t="s">
        <v>10055</v>
      </c>
      <c r="E3241" s="15">
        <v>-5.8900000000000001E-2</v>
      </c>
      <c r="F3241" s="15">
        <v>8.09E-2</v>
      </c>
      <c r="G3241" s="15">
        <v>0.46639999999999998</v>
      </c>
      <c r="H3241" s="15">
        <v>4.5699999999999998E-2</v>
      </c>
      <c r="I3241" s="15">
        <v>1.5299999999999999E-2</v>
      </c>
      <c r="J3241" s="15">
        <v>2.8815789473684208</v>
      </c>
    </row>
    <row r="3242" spans="1:10" x14ac:dyDescent="0.25">
      <c r="A3242" s="2" t="s">
        <v>8629</v>
      </c>
      <c r="B3242" s="2" t="s">
        <v>7007</v>
      </c>
      <c r="C3242" s="2" t="s">
        <v>8630</v>
      </c>
      <c r="D3242" s="2" t="s">
        <v>10055</v>
      </c>
      <c r="E3242" s="15">
        <v>-1.8E-3</v>
      </c>
      <c r="F3242" s="15">
        <v>8.7499999999999994E-2</v>
      </c>
      <c r="G3242" s="15">
        <v>0.98309999999999997</v>
      </c>
      <c r="H3242" s="15">
        <v>3.9300000000000002E-2</v>
      </c>
      <c r="I3242" s="15">
        <v>1.55E-2</v>
      </c>
      <c r="J3242" s="15">
        <v>2.5866666666666669</v>
      </c>
    </row>
    <row r="3243" spans="1:10" x14ac:dyDescent="0.25">
      <c r="A3243" s="2" t="s">
        <v>8631</v>
      </c>
      <c r="B3243" s="2" t="s">
        <v>7007</v>
      </c>
      <c r="C3243" s="2" t="s">
        <v>8632</v>
      </c>
      <c r="D3243" s="2" t="s">
        <v>10055</v>
      </c>
      <c r="E3243" s="15">
        <v>0.32569999999999999</v>
      </c>
      <c r="F3243" s="15">
        <v>0.55200000000000005</v>
      </c>
      <c r="G3243" s="15">
        <v>0.55520000000000003</v>
      </c>
      <c r="H3243" s="15">
        <v>5.1999999999999998E-3</v>
      </c>
      <c r="I3243" s="15">
        <v>1.35E-2</v>
      </c>
      <c r="J3243" s="15">
        <v>0.77165354330708658</v>
      </c>
    </row>
    <row r="3244" spans="1:10" x14ac:dyDescent="0.25">
      <c r="A3244" s="2" t="s">
        <v>8633</v>
      </c>
      <c r="B3244" s="2" t="s">
        <v>7007</v>
      </c>
      <c r="C3244" s="2" t="s">
        <v>8634</v>
      </c>
      <c r="D3244" s="2" t="s">
        <v>10055</v>
      </c>
      <c r="E3244" s="15">
        <v>9.8100000000000007E-2</v>
      </c>
      <c r="F3244" s="15">
        <v>7.0599999999999996E-2</v>
      </c>
      <c r="G3244" s="15">
        <v>0.16489999999999999</v>
      </c>
      <c r="H3244" s="15">
        <v>5.8500000000000003E-2</v>
      </c>
      <c r="I3244" s="15">
        <v>1.52E-2</v>
      </c>
      <c r="J3244" s="15">
        <v>3.6987179487179489</v>
      </c>
    </row>
    <row r="3245" spans="1:10" x14ac:dyDescent="0.25">
      <c r="A3245" s="2" t="s">
        <v>8635</v>
      </c>
      <c r="B3245" s="2" t="s">
        <v>7007</v>
      </c>
      <c r="C3245" s="2" t="s">
        <v>8636</v>
      </c>
      <c r="D3245" s="2" t="s">
        <v>10055</v>
      </c>
      <c r="E3245" s="15"/>
      <c r="F3245" s="15"/>
      <c r="G3245" s="15"/>
      <c r="H3245" s="15"/>
      <c r="I3245" s="15"/>
      <c r="J3245" s="15">
        <v>0.87074829931972797</v>
      </c>
    </row>
    <row r="3246" spans="1:10" x14ac:dyDescent="0.25">
      <c r="A3246" s="2" t="s">
        <v>8637</v>
      </c>
      <c r="B3246" s="2" t="s">
        <v>7007</v>
      </c>
      <c r="C3246" s="2" t="s">
        <v>8638</v>
      </c>
      <c r="D3246" s="2" t="s">
        <v>10055</v>
      </c>
      <c r="E3246" s="15">
        <v>4.7699999999999999E-2</v>
      </c>
      <c r="F3246" s="15">
        <v>6.7199999999999996E-2</v>
      </c>
      <c r="G3246" s="15">
        <v>0.47820000000000001</v>
      </c>
      <c r="H3246" s="15">
        <v>7.51E-2</v>
      </c>
      <c r="I3246" s="15">
        <v>1.7399999999999999E-2</v>
      </c>
      <c r="J3246" s="15">
        <v>4.3238636363636358</v>
      </c>
    </row>
    <row r="3247" spans="1:10" x14ac:dyDescent="0.25">
      <c r="A3247" s="2" t="s">
        <v>8639</v>
      </c>
      <c r="B3247" s="2" t="s">
        <v>7007</v>
      </c>
      <c r="C3247" s="2" t="s">
        <v>8640</v>
      </c>
      <c r="D3247" s="2" t="s">
        <v>10055</v>
      </c>
      <c r="E3247" s="15">
        <v>-4.0099999999999997E-2</v>
      </c>
      <c r="F3247" s="15">
        <v>7.17E-2</v>
      </c>
      <c r="G3247" s="15">
        <v>0.5756</v>
      </c>
      <c r="H3247" s="15">
        <v>6.3399999999999998E-2</v>
      </c>
      <c r="I3247" s="15">
        <v>1.4800000000000001E-2</v>
      </c>
      <c r="J3247" s="15">
        <v>4.386206896551724</v>
      </c>
    </row>
    <row r="3248" spans="1:10" x14ac:dyDescent="0.25">
      <c r="A3248" s="2" t="s">
        <v>8641</v>
      </c>
      <c r="B3248" s="2" t="s">
        <v>7007</v>
      </c>
      <c r="C3248" s="2" t="s">
        <v>8642</v>
      </c>
      <c r="D3248" s="2" t="s">
        <v>10055</v>
      </c>
      <c r="E3248" s="15">
        <v>-6.0100000000000001E-2</v>
      </c>
      <c r="F3248" s="15">
        <v>0.128</v>
      </c>
      <c r="G3248" s="15">
        <v>0.63880000000000003</v>
      </c>
      <c r="H3248" s="15">
        <v>2.0199999999999999E-2</v>
      </c>
      <c r="I3248" s="15">
        <v>1.3100000000000001E-2</v>
      </c>
      <c r="J3248" s="15">
        <v>1.282442748091603</v>
      </c>
    </row>
    <row r="3249" spans="1:10" x14ac:dyDescent="0.25">
      <c r="A3249" s="2" t="s">
        <v>8643</v>
      </c>
      <c r="B3249" s="2" t="s">
        <v>7007</v>
      </c>
      <c r="C3249" s="2" t="s">
        <v>8644</v>
      </c>
      <c r="D3249" s="2" t="s">
        <v>10055</v>
      </c>
      <c r="E3249" s="15">
        <v>3.3399999999999999E-2</v>
      </c>
      <c r="F3249" s="15">
        <v>6.2399999999999997E-2</v>
      </c>
      <c r="G3249" s="15">
        <v>0.59209999999999996</v>
      </c>
      <c r="H3249" s="15">
        <v>7.9699999999999993E-2</v>
      </c>
      <c r="I3249" s="15">
        <v>1.6899999999999998E-2</v>
      </c>
      <c r="J3249" s="15">
        <v>4.7106918238993707</v>
      </c>
    </row>
    <row r="3250" spans="1:10" x14ac:dyDescent="0.25">
      <c r="A3250" s="2" t="s">
        <v>8645</v>
      </c>
      <c r="B3250" s="2" t="s">
        <v>7007</v>
      </c>
      <c r="C3250" s="2" t="s">
        <v>8646</v>
      </c>
      <c r="D3250" s="2" t="s">
        <v>10055</v>
      </c>
      <c r="E3250" s="15">
        <v>-0.1031</v>
      </c>
      <c r="F3250" s="15">
        <v>9.4E-2</v>
      </c>
      <c r="G3250" s="15">
        <v>0.27260000000000001</v>
      </c>
      <c r="H3250" s="15">
        <v>3.7199999999999997E-2</v>
      </c>
      <c r="I3250" s="15">
        <v>1.37E-2</v>
      </c>
      <c r="J3250" s="15">
        <v>3.0588235294117649</v>
      </c>
    </row>
    <row r="3251" spans="1:10" x14ac:dyDescent="0.25">
      <c r="A3251" s="2" t="s">
        <v>8647</v>
      </c>
      <c r="B3251" s="2" t="s">
        <v>7007</v>
      </c>
      <c r="C3251" s="2" t="s">
        <v>8648</v>
      </c>
      <c r="D3251" s="2" t="s">
        <v>10055</v>
      </c>
      <c r="E3251" s="15">
        <v>5.8299999999999998E-2</v>
      </c>
      <c r="F3251" s="15">
        <v>9.6500000000000002E-2</v>
      </c>
      <c r="G3251" s="15">
        <v>0.54579999999999995</v>
      </c>
      <c r="H3251" s="15">
        <v>4.1500000000000002E-2</v>
      </c>
      <c r="I3251" s="15">
        <v>1.6E-2</v>
      </c>
      <c r="J3251" s="15">
        <v>2.2147651006711411</v>
      </c>
    </row>
    <row r="3252" spans="1:10" x14ac:dyDescent="0.25">
      <c r="A3252" s="2" t="s">
        <v>8649</v>
      </c>
      <c r="B3252" s="2" t="s">
        <v>7007</v>
      </c>
      <c r="C3252" s="2" t="s">
        <v>8650</v>
      </c>
      <c r="D3252" s="2" t="s">
        <v>10055</v>
      </c>
      <c r="E3252" s="15">
        <v>0.14119999999999999</v>
      </c>
      <c r="F3252" s="15">
        <v>8.9300000000000004E-2</v>
      </c>
      <c r="G3252" s="15">
        <v>0.1137</v>
      </c>
      <c r="H3252" s="15">
        <v>4.41E-2</v>
      </c>
      <c r="I3252" s="15">
        <v>1.4800000000000001E-2</v>
      </c>
      <c r="J3252" s="15">
        <v>3.246478873239437</v>
      </c>
    </row>
    <row r="3253" spans="1:10" x14ac:dyDescent="0.25">
      <c r="A3253" s="2" t="s">
        <v>8651</v>
      </c>
      <c r="B3253" s="2" t="s">
        <v>7007</v>
      </c>
      <c r="C3253" s="2" t="s">
        <v>8652</v>
      </c>
      <c r="D3253" s="2" t="s">
        <v>10055</v>
      </c>
      <c r="E3253" s="15"/>
      <c r="F3253" s="15"/>
      <c r="G3253" s="15"/>
      <c r="H3253" s="15">
        <v>-1.4E-2</v>
      </c>
      <c r="I3253" s="15">
        <v>1.4E-2</v>
      </c>
      <c r="J3253" s="15">
        <v>-1.0579710144927541</v>
      </c>
    </row>
    <row r="3254" spans="1:10" x14ac:dyDescent="0.25">
      <c r="A3254" s="2" t="s">
        <v>8653</v>
      </c>
      <c r="B3254" s="2" t="s">
        <v>7007</v>
      </c>
      <c r="C3254" s="2" t="s">
        <v>8654</v>
      </c>
      <c r="D3254" s="2" t="s">
        <v>10055</v>
      </c>
      <c r="E3254" s="15">
        <v>3.6600000000000001E-2</v>
      </c>
      <c r="F3254" s="15">
        <v>0.13439999999999999</v>
      </c>
      <c r="G3254" s="15">
        <v>0.78549999999999998</v>
      </c>
      <c r="H3254" s="15">
        <v>1.8100000000000002E-2</v>
      </c>
      <c r="I3254" s="15">
        <v>1.3599999999999999E-2</v>
      </c>
      <c r="J3254" s="15">
        <v>1.5972222222222221</v>
      </c>
    </row>
    <row r="3255" spans="1:10" x14ac:dyDescent="0.25">
      <c r="A3255" s="2" t="s">
        <v>8655</v>
      </c>
      <c r="B3255" s="2" t="s">
        <v>7007</v>
      </c>
      <c r="C3255" s="2" t="s">
        <v>8656</v>
      </c>
      <c r="D3255" s="2" t="s">
        <v>10055</v>
      </c>
      <c r="E3255" s="15">
        <v>-2.9600000000000001E-2</v>
      </c>
      <c r="F3255" s="15">
        <v>7.6499999999999999E-2</v>
      </c>
      <c r="G3255" s="15">
        <v>0.69910000000000005</v>
      </c>
      <c r="H3255" s="15">
        <v>5.7799999999999997E-2</v>
      </c>
      <c r="I3255" s="15">
        <v>1.5800000000000002E-2</v>
      </c>
      <c r="J3255" s="15">
        <v>3.95483870967742</v>
      </c>
    </row>
    <row r="3256" spans="1:10" x14ac:dyDescent="0.25">
      <c r="A3256" s="2" t="s">
        <v>8657</v>
      </c>
      <c r="B3256" s="2" t="s">
        <v>7007</v>
      </c>
      <c r="C3256" s="2" t="s">
        <v>8658</v>
      </c>
      <c r="D3256" s="2" t="s">
        <v>10055</v>
      </c>
      <c r="E3256" s="15">
        <v>0.42559999999999998</v>
      </c>
      <c r="F3256" s="15">
        <v>0.23930000000000001</v>
      </c>
      <c r="G3256" s="15">
        <v>7.5300000000000006E-2</v>
      </c>
      <c r="H3256" s="15">
        <v>1.34E-2</v>
      </c>
      <c r="I3256" s="15">
        <v>1.3899999999999999E-2</v>
      </c>
      <c r="J3256" s="15">
        <v>0.94964028776978426</v>
      </c>
    </row>
    <row r="3257" spans="1:10" x14ac:dyDescent="0.25">
      <c r="A3257" s="2" t="s">
        <v>8659</v>
      </c>
      <c r="B3257" s="2" t="s">
        <v>7007</v>
      </c>
      <c r="C3257" s="2" t="s">
        <v>8660</v>
      </c>
      <c r="D3257" s="2" t="s">
        <v>10055</v>
      </c>
      <c r="E3257" s="15">
        <v>-0.30259999999999998</v>
      </c>
      <c r="F3257" s="15">
        <v>0.1474</v>
      </c>
      <c r="G3257" s="15">
        <v>4.0099999999999997E-2</v>
      </c>
      <c r="H3257" s="15">
        <v>2.1399999999999999E-2</v>
      </c>
      <c r="I3257" s="15">
        <v>1.4500000000000001E-2</v>
      </c>
      <c r="J3257" s="15">
        <v>1.333333333333333</v>
      </c>
    </row>
    <row r="3258" spans="1:10" x14ac:dyDescent="0.25">
      <c r="A3258" s="2" t="s">
        <v>8661</v>
      </c>
      <c r="B3258" s="2" t="s">
        <v>7007</v>
      </c>
      <c r="C3258" s="2" t="s">
        <v>8662</v>
      </c>
      <c r="D3258" s="2" t="s">
        <v>10055</v>
      </c>
      <c r="E3258" s="15">
        <v>-0.1835</v>
      </c>
      <c r="F3258" s="15">
        <v>0.124</v>
      </c>
      <c r="G3258" s="15">
        <v>0.13900000000000001</v>
      </c>
      <c r="H3258" s="15">
        <v>2.46E-2</v>
      </c>
      <c r="I3258" s="15">
        <v>1.5900000000000001E-2</v>
      </c>
      <c r="J3258" s="15">
        <v>1.7619047619047621</v>
      </c>
    </row>
    <row r="3259" spans="1:10" x14ac:dyDescent="0.25">
      <c r="A3259" s="2" t="s">
        <v>8663</v>
      </c>
      <c r="B3259" s="2" t="s">
        <v>7007</v>
      </c>
      <c r="C3259" s="2" t="s">
        <v>8664</v>
      </c>
      <c r="D3259" s="2" t="s">
        <v>10055</v>
      </c>
      <c r="E3259" s="15">
        <v>-0.1268</v>
      </c>
      <c r="F3259" s="15">
        <v>0.1681</v>
      </c>
      <c r="G3259" s="15">
        <v>0.4506</v>
      </c>
      <c r="H3259" s="15">
        <v>1.23E-2</v>
      </c>
      <c r="I3259" s="15">
        <v>1.4800000000000001E-2</v>
      </c>
      <c r="J3259" s="15">
        <v>0.92567567567567566</v>
      </c>
    </row>
    <row r="3260" spans="1:10" x14ac:dyDescent="0.25">
      <c r="A3260" s="2" t="s">
        <v>8665</v>
      </c>
      <c r="B3260" s="2" t="s">
        <v>7007</v>
      </c>
      <c r="C3260" s="2" t="s">
        <v>8666</v>
      </c>
      <c r="D3260" s="2" t="s">
        <v>10055</v>
      </c>
      <c r="E3260" s="15">
        <v>-0.1002</v>
      </c>
      <c r="F3260" s="15">
        <v>8.8099999999999998E-2</v>
      </c>
      <c r="G3260" s="15">
        <v>0.25519999999999998</v>
      </c>
      <c r="H3260" s="15">
        <v>5.3400000000000003E-2</v>
      </c>
      <c r="I3260" s="15">
        <v>1.4999999999999999E-2</v>
      </c>
      <c r="J3260" s="15">
        <v>3.9662162162162158</v>
      </c>
    </row>
    <row r="3261" spans="1:10" x14ac:dyDescent="0.25">
      <c r="A3261" s="2" t="s">
        <v>8667</v>
      </c>
      <c r="B3261" s="2" t="s">
        <v>7007</v>
      </c>
      <c r="C3261" s="2" t="s">
        <v>8668</v>
      </c>
      <c r="D3261" s="2" t="s">
        <v>10055</v>
      </c>
      <c r="E3261" s="15">
        <v>-8.2100000000000006E-2</v>
      </c>
      <c r="F3261" s="15">
        <v>9.0700000000000003E-2</v>
      </c>
      <c r="G3261" s="15">
        <v>0.36509999999999998</v>
      </c>
      <c r="H3261" s="15">
        <v>4.1300000000000003E-2</v>
      </c>
      <c r="I3261" s="15">
        <v>1.49E-2</v>
      </c>
      <c r="J3261" s="15">
        <v>2.9530201342281881</v>
      </c>
    </row>
    <row r="3262" spans="1:10" x14ac:dyDescent="0.25">
      <c r="A3262" s="2" t="s">
        <v>8669</v>
      </c>
      <c r="B3262" s="2" t="s">
        <v>7007</v>
      </c>
      <c r="C3262" s="2" t="s">
        <v>8670</v>
      </c>
      <c r="D3262" s="2" t="s">
        <v>10055</v>
      </c>
      <c r="E3262" s="15">
        <v>-7.9000000000000001E-2</v>
      </c>
      <c r="F3262" s="15">
        <v>9.06E-2</v>
      </c>
      <c r="G3262" s="15">
        <v>0.38340000000000002</v>
      </c>
      <c r="H3262" s="15">
        <v>3.73E-2</v>
      </c>
      <c r="I3262" s="15">
        <v>1.46E-2</v>
      </c>
      <c r="J3262" s="15">
        <v>2.4598540145985401</v>
      </c>
    </row>
    <row r="3263" spans="1:10" x14ac:dyDescent="0.25">
      <c r="A3263" s="2" t="s">
        <v>8671</v>
      </c>
      <c r="B3263" s="2" t="s">
        <v>7007</v>
      </c>
      <c r="C3263" s="2" t="s">
        <v>8672</v>
      </c>
      <c r="D3263" s="2" t="s">
        <v>10055</v>
      </c>
      <c r="E3263" s="15">
        <v>-0.14349999999999999</v>
      </c>
      <c r="F3263" s="15">
        <v>7.6200000000000004E-2</v>
      </c>
      <c r="G3263" s="15">
        <v>5.9700000000000003E-2</v>
      </c>
      <c r="H3263" s="15">
        <v>5.7200000000000001E-2</v>
      </c>
      <c r="I3263" s="15">
        <v>1.61E-2</v>
      </c>
      <c r="J3263" s="15">
        <v>3.5093167701863361</v>
      </c>
    </row>
    <row r="3264" spans="1:10" x14ac:dyDescent="0.25">
      <c r="A3264" s="2" t="s">
        <v>8673</v>
      </c>
      <c r="B3264" s="2" t="s">
        <v>7007</v>
      </c>
      <c r="C3264" s="2" t="s">
        <v>8674</v>
      </c>
      <c r="D3264" s="2" t="s">
        <v>10055</v>
      </c>
      <c r="E3264" s="15">
        <v>-0.13450000000000001</v>
      </c>
      <c r="F3264" s="15">
        <v>8.0100000000000005E-2</v>
      </c>
      <c r="G3264" s="15">
        <v>9.3299999999999994E-2</v>
      </c>
      <c r="H3264" s="15">
        <v>5.0799999999999998E-2</v>
      </c>
      <c r="I3264" s="15">
        <v>1.5699999999999999E-2</v>
      </c>
      <c r="J3264" s="15">
        <v>3.5668789808917198</v>
      </c>
    </row>
    <row r="3265" spans="1:10" x14ac:dyDescent="0.25">
      <c r="A3265" s="2" t="s">
        <v>8675</v>
      </c>
      <c r="B3265" s="2" t="s">
        <v>7007</v>
      </c>
      <c r="C3265" s="2" t="s">
        <v>8676</v>
      </c>
      <c r="D3265" s="2" t="s">
        <v>10055</v>
      </c>
      <c r="E3265" s="15">
        <v>-4.2200000000000001E-2</v>
      </c>
      <c r="F3265" s="15">
        <v>9.9099999999999994E-2</v>
      </c>
      <c r="G3265" s="15">
        <v>0.67</v>
      </c>
      <c r="H3265" s="15">
        <v>3.1199999999999999E-2</v>
      </c>
      <c r="I3265" s="15">
        <v>1.54E-2</v>
      </c>
      <c r="J3265" s="15">
        <v>1.8</v>
      </c>
    </row>
    <row r="3266" spans="1:10" x14ac:dyDescent="0.25">
      <c r="A3266" s="2" t="s">
        <v>8677</v>
      </c>
      <c r="B3266" s="2" t="s">
        <v>7007</v>
      </c>
      <c r="C3266" s="2" t="s">
        <v>8678</v>
      </c>
      <c r="D3266" s="2" t="s">
        <v>10055</v>
      </c>
      <c r="E3266" s="15">
        <v>6.2799999999999995E-2</v>
      </c>
      <c r="F3266" s="15">
        <v>9.5100000000000004E-2</v>
      </c>
      <c r="G3266" s="15">
        <v>0.50919999999999999</v>
      </c>
      <c r="H3266" s="15">
        <v>4.1700000000000001E-2</v>
      </c>
      <c r="I3266" s="15">
        <v>1.47E-2</v>
      </c>
      <c r="J3266" s="15">
        <v>3.087248322147651</v>
      </c>
    </row>
    <row r="3267" spans="1:10" x14ac:dyDescent="0.25">
      <c r="A3267" s="2" t="s">
        <v>8679</v>
      </c>
      <c r="B3267" s="2" t="s">
        <v>7007</v>
      </c>
      <c r="C3267" s="2" t="s">
        <v>8680</v>
      </c>
      <c r="D3267" s="2" t="s">
        <v>10055</v>
      </c>
      <c r="E3267" s="15">
        <v>-1.4800000000000001E-2</v>
      </c>
      <c r="F3267" s="15">
        <v>0.1484</v>
      </c>
      <c r="G3267" s="15">
        <v>0.92069999999999996</v>
      </c>
      <c r="H3267" s="15">
        <v>1.8599999999999998E-2</v>
      </c>
      <c r="I3267" s="15">
        <v>1.29E-2</v>
      </c>
      <c r="J3267" s="15">
        <v>1.4580152671755719</v>
      </c>
    </row>
    <row r="3268" spans="1:10" x14ac:dyDescent="0.25">
      <c r="A3268" s="2" t="s">
        <v>8681</v>
      </c>
      <c r="B3268" s="2" t="s">
        <v>7007</v>
      </c>
      <c r="C3268" s="2" t="s">
        <v>8682</v>
      </c>
      <c r="D3268" s="2" t="s">
        <v>10055</v>
      </c>
      <c r="E3268" s="15">
        <v>2.1499999999999998E-2</v>
      </c>
      <c r="F3268" s="15">
        <v>8.2600000000000007E-2</v>
      </c>
      <c r="G3268" s="15">
        <v>0.79430000000000001</v>
      </c>
      <c r="H3268" s="15">
        <v>5.0900000000000001E-2</v>
      </c>
      <c r="I3268" s="15">
        <v>1.5100000000000001E-2</v>
      </c>
      <c r="J3268" s="15">
        <v>3.7430555555555558</v>
      </c>
    </row>
    <row r="3269" spans="1:10" x14ac:dyDescent="0.25">
      <c r="A3269" s="2" t="s">
        <v>8683</v>
      </c>
      <c r="B3269" s="2" t="s">
        <v>7007</v>
      </c>
      <c r="C3269" s="2" t="s">
        <v>8684</v>
      </c>
      <c r="D3269" s="2" t="s">
        <v>10055</v>
      </c>
      <c r="E3269" s="15">
        <v>-2.2599999999999999E-2</v>
      </c>
      <c r="F3269" s="15">
        <v>9.8500000000000004E-2</v>
      </c>
      <c r="G3269" s="15">
        <v>0.81820000000000004</v>
      </c>
      <c r="H3269" s="15">
        <v>3.8300000000000001E-2</v>
      </c>
      <c r="I3269" s="15">
        <v>1.6199999999999999E-2</v>
      </c>
      <c r="J3269" s="15">
        <v>2.4645161290322579</v>
      </c>
    </row>
    <row r="3270" spans="1:10" x14ac:dyDescent="0.25">
      <c r="A3270" s="2" t="s">
        <v>8685</v>
      </c>
      <c r="B3270" s="2" t="s">
        <v>7007</v>
      </c>
      <c r="C3270" s="2" t="s">
        <v>8686</v>
      </c>
      <c r="D3270" s="2" t="s">
        <v>10055</v>
      </c>
      <c r="E3270" s="15">
        <v>-9.4700000000000006E-2</v>
      </c>
      <c r="F3270" s="15">
        <v>7.6700000000000004E-2</v>
      </c>
      <c r="G3270" s="15">
        <v>0.2167</v>
      </c>
      <c r="H3270" s="15">
        <v>5.0999999999999997E-2</v>
      </c>
      <c r="I3270" s="15">
        <v>1.5800000000000002E-2</v>
      </c>
      <c r="J3270" s="15">
        <v>4.4895104895104891</v>
      </c>
    </row>
    <row r="3271" spans="1:10" x14ac:dyDescent="0.25">
      <c r="A3271" s="2" t="s">
        <v>8687</v>
      </c>
      <c r="B3271" s="2" t="s">
        <v>7007</v>
      </c>
      <c r="C3271" s="2" t="s">
        <v>8688</v>
      </c>
      <c r="D3271" s="2" t="s">
        <v>10055</v>
      </c>
      <c r="E3271" s="15">
        <v>3.1E-2</v>
      </c>
      <c r="F3271" s="15">
        <v>7.4200000000000002E-2</v>
      </c>
      <c r="G3271" s="15">
        <v>0.67600000000000005</v>
      </c>
      <c r="H3271" s="15">
        <v>5.3699999999999998E-2</v>
      </c>
      <c r="I3271" s="15">
        <v>1.4500000000000001E-2</v>
      </c>
      <c r="J3271" s="15">
        <v>3.8235294117647061</v>
      </c>
    </row>
    <row r="3272" spans="1:10" x14ac:dyDescent="0.25">
      <c r="A3272" s="2" t="s">
        <v>8689</v>
      </c>
      <c r="B3272" s="2" t="s">
        <v>7007</v>
      </c>
      <c r="C3272" s="2" t="s">
        <v>8690</v>
      </c>
      <c r="D3272" s="2" t="s">
        <v>10055</v>
      </c>
      <c r="E3272" s="15">
        <v>-5.6899999999999999E-2</v>
      </c>
      <c r="F3272" s="15">
        <v>7.3899999999999993E-2</v>
      </c>
      <c r="G3272" s="15">
        <v>0.441</v>
      </c>
      <c r="H3272" s="15">
        <v>6.3600000000000004E-2</v>
      </c>
      <c r="I3272" s="15">
        <v>1.5900000000000001E-2</v>
      </c>
      <c r="J3272" s="15">
        <v>4.4966887417218544</v>
      </c>
    </row>
    <row r="3273" spans="1:10" x14ac:dyDescent="0.25">
      <c r="A3273" s="2" t="s">
        <v>8691</v>
      </c>
      <c r="B3273" s="2" t="s">
        <v>7007</v>
      </c>
      <c r="C3273" s="2" t="s">
        <v>8692</v>
      </c>
      <c r="D3273" s="2" t="s">
        <v>10055</v>
      </c>
      <c r="E3273" s="15">
        <v>3.7699999999999997E-2</v>
      </c>
      <c r="F3273" s="15">
        <v>9.0399999999999994E-2</v>
      </c>
      <c r="G3273" s="15">
        <v>0.67689999999999995</v>
      </c>
      <c r="H3273" s="15">
        <v>3.8199999999999998E-2</v>
      </c>
      <c r="I3273" s="15">
        <v>1.4200000000000001E-2</v>
      </c>
      <c r="J3273" s="15">
        <v>2.893939393939394</v>
      </c>
    </row>
    <row r="3274" spans="1:10" x14ac:dyDescent="0.25">
      <c r="A3274" s="2" t="s">
        <v>8693</v>
      </c>
      <c r="B3274" s="2" t="s">
        <v>7007</v>
      </c>
      <c r="C3274" s="2" t="s">
        <v>8694</v>
      </c>
      <c r="D3274" s="2" t="s">
        <v>10055</v>
      </c>
      <c r="E3274" s="15">
        <v>8.9399999999999993E-2</v>
      </c>
      <c r="F3274" s="15">
        <v>6.9000000000000006E-2</v>
      </c>
      <c r="G3274" s="15">
        <v>0.19500000000000001</v>
      </c>
      <c r="H3274" s="15">
        <v>7.5600000000000001E-2</v>
      </c>
      <c r="I3274" s="15">
        <v>1.5699999999999999E-2</v>
      </c>
      <c r="J3274" s="15">
        <v>5.4666666666666668</v>
      </c>
    </row>
    <row r="3275" spans="1:10" x14ac:dyDescent="0.25">
      <c r="A3275" s="2" t="s">
        <v>8695</v>
      </c>
      <c r="B3275" s="2" t="s">
        <v>7007</v>
      </c>
      <c r="C3275" s="2" t="s">
        <v>8696</v>
      </c>
      <c r="D3275" s="2" t="s">
        <v>10055</v>
      </c>
      <c r="E3275" s="15">
        <v>0.11409999999999999</v>
      </c>
      <c r="F3275" s="15">
        <v>6.0499999999999998E-2</v>
      </c>
      <c r="G3275" s="15">
        <v>5.9299999999999999E-2</v>
      </c>
      <c r="H3275" s="15">
        <v>0.1021</v>
      </c>
      <c r="I3275" s="15">
        <v>1.6299999999999999E-2</v>
      </c>
      <c r="J3275" s="15">
        <v>6.481012658227848</v>
      </c>
    </row>
    <row r="3276" spans="1:10" x14ac:dyDescent="0.25">
      <c r="A3276" s="2" t="s">
        <v>8697</v>
      </c>
      <c r="B3276" s="2" t="s">
        <v>7007</v>
      </c>
      <c r="C3276" s="2" t="s">
        <v>8698</v>
      </c>
      <c r="D3276" s="2" t="s">
        <v>10055</v>
      </c>
      <c r="E3276" s="15">
        <v>0.10199999999999999</v>
      </c>
      <c r="F3276" s="15">
        <v>7.9899999999999999E-2</v>
      </c>
      <c r="G3276" s="15">
        <v>0.2019</v>
      </c>
      <c r="H3276" s="15">
        <v>4.8800000000000003E-2</v>
      </c>
      <c r="I3276" s="15">
        <v>1.4999999999999999E-2</v>
      </c>
      <c r="J3276" s="15">
        <v>3.3866666666666672</v>
      </c>
    </row>
    <row r="3277" spans="1:10" x14ac:dyDescent="0.25">
      <c r="A3277" s="2" t="s">
        <v>8699</v>
      </c>
      <c r="B3277" s="2" t="s">
        <v>7007</v>
      </c>
      <c r="C3277" s="2" t="s">
        <v>8700</v>
      </c>
      <c r="D3277" s="2" t="s">
        <v>10055</v>
      </c>
      <c r="E3277" s="15">
        <v>9.64E-2</v>
      </c>
      <c r="F3277" s="15">
        <v>0.10580000000000001</v>
      </c>
      <c r="G3277" s="15">
        <v>0.36230000000000001</v>
      </c>
      <c r="H3277" s="15">
        <v>3.1199999999999999E-2</v>
      </c>
      <c r="I3277" s="15">
        <v>1.4E-2</v>
      </c>
      <c r="J3277" s="15">
        <v>2.1357142857142861</v>
      </c>
    </row>
    <row r="3278" spans="1:10" x14ac:dyDescent="0.25">
      <c r="A3278" s="2" t="s">
        <v>8701</v>
      </c>
      <c r="B3278" s="2" t="s">
        <v>7007</v>
      </c>
      <c r="C3278" s="2" t="s">
        <v>8702</v>
      </c>
      <c r="D3278" s="2" t="s">
        <v>10055</v>
      </c>
      <c r="E3278" s="15">
        <v>1.8800000000000001E-2</v>
      </c>
      <c r="F3278" s="15">
        <v>8.5900000000000004E-2</v>
      </c>
      <c r="G3278" s="15">
        <v>0.8266</v>
      </c>
      <c r="H3278" s="15">
        <v>4.7100000000000003E-2</v>
      </c>
      <c r="I3278" s="15">
        <v>1.4800000000000001E-2</v>
      </c>
      <c r="J3278" s="15">
        <v>2.7986111111111112</v>
      </c>
    </row>
    <row r="3279" spans="1:10" x14ac:dyDescent="0.25">
      <c r="A3279" s="2" t="s">
        <v>8703</v>
      </c>
      <c r="B3279" s="2" t="s">
        <v>7007</v>
      </c>
      <c r="C3279" s="2" t="s">
        <v>8704</v>
      </c>
      <c r="D3279" s="2" t="s">
        <v>10055</v>
      </c>
      <c r="E3279" s="15">
        <v>-2.6100000000000002E-2</v>
      </c>
      <c r="F3279" s="15">
        <v>6.6600000000000006E-2</v>
      </c>
      <c r="G3279" s="15">
        <v>0.69550000000000001</v>
      </c>
      <c r="H3279" s="15">
        <v>6.6900000000000001E-2</v>
      </c>
      <c r="I3279" s="15">
        <v>1.6400000000000001E-2</v>
      </c>
      <c r="J3279" s="15">
        <v>4.1288343558282206</v>
      </c>
    </row>
    <row r="3280" spans="1:10" x14ac:dyDescent="0.25">
      <c r="A3280" s="2" t="s">
        <v>8705</v>
      </c>
      <c r="B3280" s="2" t="s">
        <v>7007</v>
      </c>
      <c r="C3280" s="2" t="s">
        <v>8706</v>
      </c>
      <c r="D3280" s="2" t="s">
        <v>10055</v>
      </c>
      <c r="E3280" s="15"/>
      <c r="F3280" s="15"/>
      <c r="G3280" s="15"/>
      <c r="H3280" s="15"/>
      <c r="I3280" s="15"/>
      <c r="J3280" s="15">
        <v>0.1095890410958904</v>
      </c>
    </row>
    <row r="3281" spans="1:10" x14ac:dyDescent="0.25">
      <c r="A3281" s="2" t="s">
        <v>8707</v>
      </c>
      <c r="B3281" s="2" t="s">
        <v>7007</v>
      </c>
      <c r="C3281" s="2" t="s">
        <v>8708</v>
      </c>
      <c r="D3281" s="2" t="s">
        <v>10055</v>
      </c>
      <c r="E3281" s="15">
        <v>0.1426</v>
      </c>
      <c r="F3281" s="15">
        <v>8.1000000000000003E-2</v>
      </c>
      <c r="G3281" s="15">
        <v>7.8299999999999995E-2</v>
      </c>
      <c r="H3281" s="15">
        <v>5.0099999999999999E-2</v>
      </c>
      <c r="I3281" s="15">
        <v>1.4999999999999999E-2</v>
      </c>
      <c r="J3281" s="15">
        <v>3.9144736842105261</v>
      </c>
    </row>
    <row r="3282" spans="1:10" x14ac:dyDescent="0.25">
      <c r="A3282" s="2" t="s">
        <v>8709</v>
      </c>
      <c r="B3282" s="2" t="s">
        <v>7007</v>
      </c>
      <c r="C3282" s="2" t="s">
        <v>8710</v>
      </c>
      <c r="D3282" s="2" t="s">
        <v>10055</v>
      </c>
      <c r="E3282" s="15">
        <v>-0.12590000000000001</v>
      </c>
      <c r="F3282" s="15">
        <v>0.1008</v>
      </c>
      <c r="G3282" s="15">
        <v>0.21160000000000001</v>
      </c>
      <c r="H3282" s="15">
        <v>3.1699999999999999E-2</v>
      </c>
      <c r="I3282" s="15">
        <v>1.6400000000000001E-2</v>
      </c>
      <c r="J3282" s="15">
        <v>1.879746835443038</v>
      </c>
    </row>
    <row r="3283" spans="1:10" x14ac:dyDescent="0.25">
      <c r="A3283" s="2" t="s">
        <v>8711</v>
      </c>
      <c r="B3283" s="2" t="s">
        <v>7007</v>
      </c>
      <c r="C3283" s="2" t="s">
        <v>8712</v>
      </c>
      <c r="D3283" s="2" t="s">
        <v>10055</v>
      </c>
      <c r="E3283" s="15">
        <v>-0.16200000000000001</v>
      </c>
      <c r="F3283" s="15">
        <v>0.12509999999999999</v>
      </c>
      <c r="G3283" s="15">
        <v>0.19539999999999999</v>
      </c>
      <c r="H3283" s="15">
        <v>2.4400000000000002E-2</v>
      </c>
      <c r="I3283" s="15">
        <v>1.5100000000000001E-2</v>
      </c>
      <c r="J3283" s="15">
        <v>1.533333333333333</v>
      </c>
    </row>
    <row r="3284" spans="1:10" x14ac:dyDescent="0.25">
      <c r="A3284" s="2" t="s">
        <v>8713</v>
      </c>
      <c r="B3284" s="2" t="s">
        <v>7007</v>
      </c>
      <c r="C3284" s="2" t="s">
        <v>8714</v>
      </c>
      <c r="D3284" s="2" t="s">
        <v>10055</v>
      </c>
      <c r="E3284" s="15">
        <v>-3.9800000000000002E-2</v>
      </c>
      <c r="F3284" s="15">
        <v>8.0399999999999999E-2</v>
      </c>
      <c r="G3284" s="15">
        <v>0.62019999999999997</v>
      </c>
      <c r="H3284" s="15">
        <v>4.4400000000000002E-2</v>
      </c>
      <c r="I3284" s="15">
        <v>1.37E-2</v>
      </c>
      <c r="J3284" s="15">
        <v>3.7681159420289849</v>
      </c>
    </row>
    <row r="3285" spans="1:10" x14ac:dyDescent="0.25">
      <c r="A3285" s="2" t="s">
        <v>8715</v>
      </c>
      <c r="B3285" s="2" t="s">
        <v>7007</v>
      </c>
      <c r="C3285" s="2" t="s">
        <v>8716</v>
      </c>
      <c r="D3285" s="2" t="s">
        <v>10055</v>
      </c>
      <c r="E3285" s="15"/>
      <c r="F3285" s="15"/>
      <c r="G3285" s="15"/>
      <c r="H3285" s="15">
        <v>-1.12E-2</v>
      </c>
      <c r="I3285" s="15">
        <v>1.44E-2</v>
      </c>
      <c r="J3285" s="15">
        <v>-0.35971223021582738</v>
      </c>
    </row>
    <row r="3286" spans="1:10" x14ac:dyDescent="0.25">
      <c r="A3286" s="2" t="s">
        <v>8717</v>
      </c>
      <c r="B3286" s="2" t="s">
        <v>7007</v>
      </c>
      <c r="C3286" s="2" t="s">
        <v>8718</v>
      </c>
      <c r="D3286" s="2" t="s">
        <v>10055</v>
      </c>
      <c r="E3286" s="15">
        <v>-1.9900000000000001E-2</v>
      </c>
      <c r="F3286" s="15">
        <v>7.0000000000000007E-2</v>
      </c>
      <c r="G3286" s="15">
        <v>0.77669999999999995</v>
      </c>
      <c r="H3286" s="15">
        <v>5.1200000000000002E-2</v>
      </c>
      <c r="I3286" s="15">
        <v>1.54E-2</v>
      </c>
      <c r="J3286" s="15">
        <v>3.769784172661871</v>
      </c>
    </row>
    <row r="3287" spans="1:10" x14ac:dyDescent="0.25">
      <c r="A3287" s="2" t="s">
        <v>8719</v>
      </c>
      <c r="B3287" s="2" t="s">
        <v>7007</v>
      </c>
      <c r="C3287" s="2" t="s">
        <v>8720</v>
      </c>
      <c r="D3287" s="2" t="s">
        <v>10055</v>
      </c>
      <c r="E3287" s="15">
        <v>-0.1077</v>
      </c>
      <c r="F3287" s="15">
        <v>7.4800000000000005E-2</v>
      </c>
      <c r="G3287" s="15">
        <v>0.14960000000000001</v>
      </c>
      <c r="H3287" s="15">
        <v>6.3799999999999996E-2</v>
      </c>
      <c r="I3287" s="15">
        <v>1.5900000000000001E-2</v>
      </c>
      <c r="J3287" s="15">
        <v>4.629139072847682</v>
      </c>
    </row>
    <row r="3288" spans="1:10" x14ac:dyDescent="0.25">
      <c r="A3288" s="2" t="s">
        <v>8721</v>
      </c>
      <c r="B3288" s="2" t="s">
        <v>7007</v>
      </c>
      <c r="C3288" s="2" t="s">
        <v>8722</v>
      </c>
      <c r="D3288" s="2" t="s">
        <v>10055</v>
      </c>
      <c r="E3288" s="15"/>
      <c r="F3288" s="15"/>
      <c r="G3288" s="15"/>
      <c r="H3288" s="15">
        <v>-0.02</v>
      </c>
      <c r="I3288" s="15">
        <v>1.3599999999999999E-2</v>
      </c>
      <c r="J3288" s="15">
        <v>-1.384615384615385</v>
      </c>
    </row>
    <row r="3289" spans="1:10" x14ac:dyDescent="0.25">
      <c r="A3289" s="2" t="s">
        <v>8723</v>
      </c>
      <c r="B3289" s="2" t="s">
        <v>7007</v>
      </c>
      <c r="C3289" s="2" t="s">
        <v>8724</v>
      </c>
      <c r="D3289" s="2" t="s">
        <v>10055</v>
      </c>
      <c r="E3289" s="15">
        <v>-3.2099999999999997E-2</v>
      </c>
      <c r="F3289" s="15">
        <v>6.5100000000000005E-2</v>
      </c>
      <c r="G3289" s="15">
        <v>0.62229999999999996</v>
      </c>
      <c r="H3289" s="15">
        <v>7.6899999999999996E-2</v>
      </c>
      <c r="I3289" s="15">
        <v>1.9300000000000001E-2</v>
      </c>
      <c r="J3289" s="15">
        <v>4.75</v>
      </c>
    </row>
    <row r="3290" spans="1:10" x14ac:dyDescent="0.25">
      <c r="A3290" s="2" t="s">
        <v>8725</v>
      </c>
      <c r="B3290" s="2" t="s">
        <v>7007</v>
      </c>
      <c r="C3290" s="2" t="s">
        <v>8726</v>
      </c>
      <c r="D3290" s="2" t="s">
        <v>10055</v>
      </c>
      <c r="E3290" s="15">
        <v>8.1799999999999998E-2</v>
      </c>
      <c r="F3290" s="15">
        <v>7.9000000000000001E-2</v>
      </c>
      <c r="G3290" s="15">
        <v>0.30059999999999998</v>
      </c>
      <c r="H3290" s="15">
        <v>4.4699999999999997E-2</v>
      </c>
      <c r="I3290" s="15">
        <v>1.7100000000000001E-2</v>
      </c>
      <c r="J3290" s="15">
        <v>2.6380368098159508</v>
      </c>
    </row>
    <row r="3291" spans="1:10" x14ac:dyDescent="0.25">
      <c r="A3291" s="2" t="s">
        <v>8727</v>
      </c>
      <c r="B3291" s="2" t="s">
        <v>7007</v>
      </c>
      <c r="C3291" s="2" t="s">
        <v>8728</v>
      </c>
      <c r="D3291" s="2" t="s">
        <v>10055</v>
      </c>
      <c r="E3291" s="15">
        <v>-5.3600000000000002E-2</v>
      </c>
      <c r="F3291" s="15">
        <v>7.3599999999999999E-2</v>
      </c>
      <c r="G3291" s="15">
        <v>0.46629999999999999</v>
      </c>
      <c r="H3291" s="15">
        <v>5.7299999999999997E-2</v>
      </c>
      <c r="I3291" s="15">
        <v>1.5900000000000001E-2</v>
      </c>
      <c r="J3291" s="15">
        <v>3.9006622516556289</v>
      </c>
    </row>
    <row r="3292" spans="1:10" x14ac:dyDescent="0.25">
      <c r="A3292" s="2" t="s">
        <v>8729</v>
      </c>
      <c r="B3292" s="2" t="s">
        <v>7007</v>
      </c>
      <c r="C3292" s="2" t="s">
        <v>8730</v>
      </c>
      <c r="D3292" s="2" t="s">
        <v>10055</v>
      </c>
      <c r="E3292" s="15">
        <v>0.11799999999999999</v>
      </c>
      <c r="F3292" s="15">
        <v>0.18429999999999999</v>
      </c>
      <c r="G3292" s="15">
        <v>0.52200000000000002</v>
      </c>
      <c r="H3292" s="15">
        <v>1.04E-2</v>
      </c>
      <c r="I3292" s="15">
        <v>1.38E-2</v>
      </c>
      <c r="J3292" s="15">
        <v>0.15441176470588239</v>
      </c>
    </row>
    <row r="3293" spans="1:10" x14ac:dyDescent="0.25">
      <c r="A3293" s="2" t="s">
        <v>8731</v>
      </c>
      <c r="B3293" s="2" t="s">
        <v>7007</v>
      </c>
      <c r="C3293" s="2" t="s">
        <v>8732</v>
      </c>
      <c r="D3293" s="2" t="s">
        <v>10055</v>
      </c>
      <c r="E3293" s="15">
        <v>2.6200000000000001E-2</v>
      </c>
      <c r="F3293" s="15">
        <v>0.1072</v>
      </c>
      <c r="G3293" s="15">
        <v>0.80730000000000002</v>
      </c>
      <c r="H3293" s="15">
        <v>2.9899999999999999E-2</v>
      </c>
      <c r="I3293" s="15">
        <v>1.6199999999999999E-2</v>
      </c>
      <c r="J3293" s="15">
        <v>1.636942675159236</v>
      </c>
    </row>
    <row r="3294" spans="1:10" x14ac:dyDescent="0.25">
      <c r="A3294" s="2" t="s">
        <v>8733</v>
      </c>
      <c r="B3294" s="2" t="s">
        <v>7007</v>
      </c>
      <c r="C3294" s="2" t="s">
        <v>8734</v>
      </c>
      <c r="D3294" s="2" t="s">
        <v>10055</v>
      </c>
      <c r="E3294" s="15"/>
      <c r="F3294" s="15"/>
      <c r="G3294" s="15"/>
      <c r="H3294" s="15">
        <v>-3.0999999999999999E-3</v>
      </c>
      <c r="I3294" s="15">
        <v>1.35E-2</v>
      </c>
      <c r="J3294" s="15">
        <v>-0.421875</v>
      </c>
    </row>
    <row r="3295" spans="1:10" x14ac:dyDescent="0.25">
      <c r="A3295" s="2" t="s">
        <v>8735</v>
      </c>
      <c r="B3295" s="2" t="s">
        <v>7007</v>
      </c>
      <c r="C3295" s="2" t="s">
        <v>8736</v>
      </c>
      <c r="D3295" s="2" t="s">
        <v>10055</v>
      </c>
      <c r="E3295" s="15"/>
      <c r="F3295" s="15"/>
      <c r="G3295" s="15"/>
      <c r="H3295" s="15">
        <v>-1.52E-2</v>
      </c>
      <c r="I3295" s="15">
        <v>1.5100000000000001E-2</v>
      </c>
      <c r="J3295" s="15">
        <v>-1.014285714285714</v>
      </c>
    </row>
    <row r="3296" spans="1:10" x14ac:dyDescent="0.25">
      <c r="A3296" s="2" t="s">
        <v>8737</v>
      </c>
      <c r="B3296" s="2" t="s">
        <v>7007</v>
      </c>
      <c r="C3296" s="2" t="s">
        <v>8738</v>
      </c>
      <c r="D3296" s="2" t="s">
        <v>10055</v>
      </c>
      <c r="E3296" s="15">
        <v>-6.1800000000000001E-2</v>
      </c>
      <c r="F3296" s="15">
        <v>0.1163</v>
      </c>
      <c r="G3296" s="15">
        <v>0.59509999999999996</v>
      </c>
      <c r="H3296" s="15">
        <v>1.9699999999999999E-2</v>
      </c>
      <c r="I3296" s="15">
        <v>1.5100000000000001E-2</v>
      </c>
      <c r="J3296" s="15">
        <v>1.38961038961039</v>
      </c>
    </row>
    <row r="3297" spans="1:10" x14ac:dyDescent="0.25">
      <c r="A3297" s="2" t="s">
        <v>8739</v>
      </c>
      <c r="B3297" s="2" t="s">
        <v>7007</v>
      </c>
      <c r="C3297" s="2" t="s">
        <v>8740</v>
      </c>
      <c r="D3297" s="2" t="s">
        <v>10055</v>
      </c>
      <c r="E3297" s="15">
        <v>0.20130000000000001</v>
      </c>
      <c r="F3297" s="15">
        <v>0.14169999999999999</v>
      </c>
      <c r="G3297" s="15">
        <v>0.1555</v>
      </c>
      <c r="H3297" s="15">
        <v>1.9800000000000002E-2</v>
      </c>
      <c r="I3297" s="15">
        <v>1.5900000000000001E-2</v>
      </c>
      <c r="J3297" s="15">
        <v>1.20754716981132</v>
      </c>
    </row>
    <row r="3298" spans="1:10" x14ac:dyDescent="0.25">
      <c r="A3298" s="2" t="s">
        <v>8741</v>
      </c>
      <c r="B3298" s="2" t="s">
        <v>7007</v>
      </c>
      <c r="C3298" s="2" t="s">
        <v>8742</v>
      </c>
      <c r="D3298" s="2" t="s">
        <v>10055</v>
      </c>
      <c r="E3298" s="15">
        <v>-0.13</v>
      </c>
      <c r="F3298" s="15">
        <v>8.7900000000000006E-2</v>
      </c>
      <c r="G3298" s="15">
        <v>0.13930000000000001</v>
      </c>
      <c r="H3298" s="15">
        <v>4.3799999999999999E-2</v>
      </c>
      <c r="I3298" s="15">
        <v>1.5100000000000001E-2</v>
      </c>
      <c r="J3298" s="15">
        <v>3.166666666666667</v>
      </c>
    </row>
    <row r="3299" spans="1:10" x14ac:dyDescent="0.25">
      <c r="A3299" s="2" t="s">
        <v>8743</v>
      </c>
      <c r="B3299" s="2" t="s">
        <v>7007</v>
      </c>
      <c r="C3299" s="2" t="s">
        <v>8744</v>
      </c>
      <c r="D3299" s="2" t="s">
        <v>10055</v>
      </c>
      <c r="E3299" s="15">
        <v>8.6199999999999999E-2</v>
      </c>
      <c r="F3299" s="15">
        <v>0.13639999999999999</v>
      </c>
      <c r="G3299" s="15">
        <v>0.52710000000000001</v>
      </c>
      <c r="H3299" s="15">
        <v>1.52E-2</v>
      </c>
      <c r="I3299" s="15">
        <v>1.4800000000000001E-2</v>
      </c>
      <c r="J3299" s="15">
        <v>1.2714285714285709</v>
      </c>
    </row>
    <row r="3300" spans="1:10" x14ac:dyDescent="0.25">
      <c r="A3300" s="2" t="s">
        <v>8745</v>
      </c>
      <c r="B3300" s="2" t="s">
        <v>7007</v>
      </c>
      <c r="C3300" s="2" t="s">
        <v>8746</v>
      </c>
      <c r="D3300" s="2" t="s">
        <v>10055</v>
      </c>
      <c r="E3300" s="15">
        <v>2.6599999999999999E-2</v>
      </c>
      <c r="F3300" s="15">
        <v>0.1051</v>
      </c>
      <c r="G3300" s="15">
        <v>0.80049999999999999</v>
      </c>
      <c r="H3300" s="15">
        <v>2.8199999999999999E-2</v>
      </c>
      <c r="I3300" s="15">
        <v>1.5299999999999999E-2</v>
      </c>
      <c r="J3300" s="15">
        <v>2.5172413793103452</v>
      </c>
    </row>
    <row r="3301" spans="1:10" x14ac:dyDescent="0.25">
      <c r="A3301" s="2" t="s">
        <v>8747</v>
      </c>
      <c r="B3301" s="2" t="s">
        <v>7007</v>
      </c>
      <c r="C3301" s="2" t="s">
        <v>8748</v>
      </c>
      <c r="D3301" s="2" t="s">
        <v>10055</v>
      </c>
      <c r="E3301" s="15">
        <v>6.6400000000000001E-2</v>
      </c>
      <c r="F3301" s="15">
        <v>8.8400000000000006E-2</v>
      </c>
      <c r="G3301" s="15">
        <v>0.45229999999999998</v>
      </c>
      <c r="H3301" s="15">
        <v>3.6799999999999999E-2</v>
      </c>
      <c r="I3301" s="15">
        <v>1.49E-2</v>
      </c>
      <c r="J3301" s="15">
        <v>2.647887323943662</v>
      </c>
    </row>
    <row r="3302" spans="1:10" x14ac:dyDescent="0.25">
      <c r="A3302" s="2" t="s">
        <v>8749</v>
      </c>
      <c r="B3302" s="2" t="s">
        <v>7007</v>
      </c>
      <c r="C3302" s="2" t="s">
        <v>8750</v>
      </c>
      <c r="D3302" s="2" t="s">
        <v>10055</v>
      </c>
      <c r="E3302" s="15">
        <v>0.1176</v>
      </c>
      <c r="F3302" s="15">
        <v>0.30230000000000001</v>
      </c>
      <c r="G3302" s="15">
        <v>0.69730000000000003</v>
      </c>
      <c r="H3302" s="15">
        <v>5.1000000000000004E-3</v>
      </c>
      <c r="I3302" s="15">
        <v>1.35E-2</v>
      </c>
      <c r="J3302" s="15">
        <v>0.56153846153846154</v>
      </c>
    </row>
    <row r="3303" spans="1:10" x14ac:dyDescent="0.25">
      <c r="A3303" s="2" t="s">
        <v>8751</v>
      </c>
      <c r="B3303" s="2" t="s">
        <v>7007</v>
      </c>
      <c r="C3303" s="2" t="s">
        <v>8752</v>
      </c>
      <c r="D3303" s="2" t="s">
        <v>10055</v>
      </c>
      <c r="E3303" s="15">
        <v>6.93E-2</v>
      </c>
      <c r="F3303" s="15">
        <v>8.09E-2</v>
      </c>
      <c r="G3303" s="15">
        <v>0.39129999999999998</v>
      </c>
      <c r="H3303" s="15">
        <v>4.5499999999999999E-2</v>
      </c>
      <c r="I3303" s="15">
        <v>1.5599999999999999E-2</v>
      </c>
      <c r="J3303" s="15">
        <v>2.8445945945945939</v>
      </c>
    </row>
    <row r="3304" spans="1:10" x14ac:dyDescent="0.25">
      <c r="A3304" s="2" t="s">
        <v>8753</v>
      </c>
      <c r="B3304" s="2" t="s">
        <v>7007</v>
      </c>
      <c r="C3304" s="2" t="s">
        <v>8754</v>
      </c>
      <c r="D3304" s="2" t="s">
        <v>10055</v>
      </c>
      <c r="E3304" s="15">
        <v>-0.25690000000000002</v>
      </c>
      <c r="F3304" s="15">
        <v>0.13059999999999999</v>
      </c>
      <c r="G3304" s="15">
        <v>4.9299999999999997E-2</v>
      </c>
      <c r="H3304" s="15">
        <v>2.2700000000000001E-2</v>
      </c>
      <c r="I3304" s="15">
        <v>1.5599999999999999E-2</v>
      </c>
      <c r="J3304" s="15">
        <v>1.7880794701986751</v>
      </c>
    </row>
    <row r="3305" spans="1:10" x14ac:dyDescent="0.25">
      <c r="A3305" s="2" t="s">
        <v>8755</v>
      </c>
      <c r="B3305" s="2" t="s">
        <v>7007</v>
      </c>
      <c r="C3305" s="2" t="s">
        <v>8756</v>
      </c>
      <c r="D3305" s="2" t="s">
        <v>10055</v>
      </c>
      <c r="E3305" s="15"/>
      <c r="F3305" s="15"/>
      <c r="G3305" s="15"/>
      <c r="H3305" s="15">
        <v>-9.7999999999999997E-3</v>
      </c>
      <c r="I3305" s="15">
        <v>1.3899999999999999E-2</v>
      </c>
      <c r="J3305" s="15">
        <v>-0.1212121212121212</v>
      </c>
    </row>
    <row r="3306" spans="1:10" x14ac:dyDescent="0.25">
      <c r="A3306" s="2" t="s">
        <v>8757</v>
      </c>
      <c r="B3306" s="2" t="s">
        <v>7007</v>
      </c>
      <c r="C3306" s="2" t="s">
        <v>8758</v>
      </c>
      <c r="D3306" s="2" t="s">
        <v>10055</v>
      </c>
      <c r="E3306" s="15">
        <v>-0.26200000000000001</v>
      </c>
      <c r="F3306" s="15">
        <v>0.1699</v>
      </c>
      <c r="G3306" s="15">
        <v>0.123</v>
      </c>
      <c r="H3306" s="15">
        <v>1.9400000000000001E-2</v>
      </c>
      <c r="I3306" s="15">
        <v>1.54E-2</v>
      </c>
      <c r="J3306" s="15">
        <v>1.1710526315789469</v>
      </c>
    </row>
    <row r="3307" spans="1:10" x14ac:dyDescent="0.25">
      <c r="A3307" s="2" t="s">
        <v>8759</v>
      </c>
      <c r="B3307" s="2" t="s">
        <v>7007</v>
      </c>
      <c r="C3307" s="2" t="s">
        <v>8760</v>
      </c>
      <c r="D3307" s="2" t="s">
        <v>10055</v>
      </c>
      <c r="E3307" s="15">
        <v>0.14630000000000001</v>
      </c>
      <c r="F3307" s="15">
        <v>0.67810000000000004</v>
      </c>
      <c r="G3307" s="15">
        <v>0.82920000000000005</v>
      </c>
      <c r="H3307" s="15">
        <v>3.0999999999999999E-3</v>
      </c>
      <c r="I3307" s="15">
        <v>1.43E-2</v>
      </c>
      <c r="J3307" s="15">
        <v>-0.36231884057971009</v>
      </c>
    </row>
    <row r="3308" spans="1:10" x14ac:dyDescent="0.25">
      <c r="A3308" s="2" t="s">
        <v>8761</v>
      </c>
      <c r="B3308" s="2" t="s">
        <v>7007</v>
      </c>
      <c r="C3308" s="2" t="s">
        <v>8762</v>
      </c>
      <c r="D3308" s="2" t="s">
        <v>10055</v>
      </c>
      <c r="E3308" s="15">
        <v>-0.19700000000000001</v>
      </c>
      <c r="F3308" s="15">
        <v>0.23699999999999999</v>
      </c>
      <c r="G3308" s="15">
        <v>0.40600000000000003</v>
      </c>
      <c r="H3308" s="15">
        <v>1.04E-2</v>
      </c>
      <c r="I3308" s="15">
        <v>1.4999999999999999E-2</v>
      </c>
      <c r="J3308" s="15">
        <v>1.4863013698630141</v>
      </c>
    </row>
    <row r="3309" spans="1:10" x14ac:dyDescent="0.25">
      <c r="A3309" s="2" t="s">
        <v>8763</v>
      </c>
      <c r="B3309" s="2" t="s">
        <v>7007</v>
      </c>
      <c r="C3309" s="2" t="s">
        <v>8764</v>
      </c>
      <c r="D3309" s="2" t="s">
        <v>10055</v>
      </c>
      <c r="E3309" s="15"/>
      <c r="F3309" s="15"/>
      <c r="G3309" s="15"/>
      <c r="H3309" s="15">
        <v>-1.4800000000000001E-2</v>
      </c>
      <c r="I3309" s="15">
        <v>1.2200000000000001E-2</v>
      </c>
      <c r="J3309" s="15">
        <v>-0.69166666666666665</v>
      </c>
    </row>
    <row r="3310" spans="1:10" x14ac:dyDescent="0.25">
      <c r="A3310" s="2" t="s">
        <v>8765</v>
      </c>
      <c r="B3310" s="2" t="s">
        <v>7007</v>
      </c>
      <c r="C3310" s="2" t="s">
        <v>8766</v>
      </c>
      <c r="D3310" s="2" t="s">
        <v>10055</v>
      </c>
      <c r="E3310" s="15">
        <v>-7.1900000000000006E-2</v>
      </c>
      <c r="F3310" s="15">
        <v>9.9299999999999999E-2</v>
      </c>
      <c r="G3310" s="15">
        <v>0.46899999999999997</v>
      </c>
      <c r="H3310" s="15">
        <v>3.39E-2</v>
      </c>
      <c r="I3310" s="15">
        <v>1.41E-2</v>
      </c>
      <c r="J3310" s="15">
        <v>2.6319444444444451</v>
      </c>
    </row>
    <row r="3311" spans="1:10" x14ac:dyDescent="0.25">
      <c r="A3311" s="2" t="s">
        <v>8767</v>
      </c>
      <c r="B3311" s="2" t="s">
        <v>7007</v>
      </c>
      <c r="C3311" s="2" t="s">
        <v>8768</v>
      </c>
      <c r="D3311" s="2" t="s">
        <v>10055</v>
      </c>
      <c r="E3311" s="15">
        <v>0.25800000000000001</v>
      </c>
      <c r="F3311" s="15">
        <v>0.25130000000000002</v>
      </c>
      <c r="G3311" s="15">
        <v>0.30449999999999999</v>
      </c>
      <c r="H3311" s="15">
        <v>1.1900000000000001E-2</v>
      </c>
      <c r="I3311" s="15">
        <v>1.7000000000000001E-2</v>
      </c>
      <c r="J3311" s="15">
        <v>0.83544303797468344</v>
      </c>
    </row>
    <row r="3312" spans="1:10" x14ac:dyDescent="0.25">
      <c r="A3312" s="2" t="s">
        <v>8769</v>
      </c>
      <c r="B3312" s="2" t="s">
        <v>7007</v>
      </c>
      <c r="C3312" s="2" t="s">
        <v>8770</v>
      </c>
      <c r="D3312" s="2" t="s">
        <v>10055</v>
      </c>
      <c r="E3312" s="15">
        <v>2.1899999999999999E-2</v>
      </c>
      <c r="F3312" s="15">
        <v>0.1113</v>
      </c>
      <c r="G3312" s="15">
        <v>0.84370000000000001</v>
      </c>
      <c r="H3312" s="15">
        <v>2.4899999999999999E-2</v>
      </c>
      <c r="I3312" s="15">
        <v>1.3599999999999999E-2</v>
      </c>
      <c r="J3312" s="15">
        <v>1.220588235294118</v>
      </c>
    </row>
    <row r="3313" spans="1:10" x14ac:dyDescent="0.25">
      <c r="A3313" s="2" t="s">
        <v>8771</v>
      </c>
      <c r="B3313" s="2" t="s">
        <v>7007</v>
      </c>
      <c r="C3313" s="2" t="s">
        <v>8772</v>
      </c>
      <c r="D3313" s="2" t="s">
        <v>10055</v>
      </c>
      <c r="E3313" s="15">
        <v>0.1172</v>
      </c>
      <c r="F3313" s="15">
        <v>0.125</v>
      </c>
      <c r="G3313" s="15">
        <v>0.34860000000000002</v>
      </c>
      <c r="H3313" s="15">
        <v>2.2800000000000001E-2</v>
      </c>
      <c r="I3313" s="15">
        <v>1.4800000000000001E-2</v>
      </c>
      <c r="J3313" s="15">
        <v>1.916666666666667</v>
      </c>
    </row>
    <row r="3314" spans="1:10" x14ac:dyDescent="0.25">
      <c r="A3314" s="2" t="s">
        <v>8773</v>
      </c>
      <c r="B3314" s="2" t="s">
        <v>7007</v>
      </c>
      <c r="C3314" s="2" t="s">
        <v>8774</v>
      </c>
      <c r="D3314" s="2" t="s">
        <v>10055</v>
      </c>
      <c r="E3314" s="15">
        <v>-9.0499999999999997E-2</v>
      </c>
      <c r="F3314" s="15">
        <v>0.18099999999999999</v>
      </c>
      <c r="G3314" s="15">
        <v>0.61709999999999998</v>
      </c>
      <c r="H3314" s="15">
        <v>1.0200000000000001E-2</v>
      </c>
      <c r="I3314" s="15">
        <v>1.3599999999999999E-2</v>
      </c>
      <c r="J3314" s="15">
        <v>0.93023255813953487</v>
      </c>
    </row>
    <row r="3315" spans="1:10" x14ac:dyDescent="0.25">
      <c r="A3315" s="2" t="s">
        <v>8775</v>
      </c>
      <c r="B3315" s="2" t="s">
        <v>7007</v>
      </c>
      <c r="C3315" s="2" t="s">
        <v>8776</v>
      </c>
      <c r="D3315" s="2" t="s">
        <v>10055</v>
      </c>
      <c r="E3315" s="15">
        <v>8.5000000000000006E-2</v>
      </c>
      <c r="F3315" s="15">
        <v>8.8499999999999995E-2</v>
      </c>
      <c r="G3315" s="15">
        <v>0.33700000000000002</v>
      </c>
      <c r="H3315" s="15">
        <v>3.1800000000000002E-2</v>
      </c>
      <c r="I3315" s="15">
        <v>1.4800000000000001E-2</v>
      </c>
      <c r="J3315" s="15">
        <v>2.6642857142857141</v>
      </c>
    </row>
    <row r="3316" spans="1:10" x14ac:dyDescent="0.25">
      <c r="A3316" s="2" t="s">
        <v>8777</v>
      </c>
      <c r="B3316" s="2" t="s">
        <v>7007</v>
      </c>
      <c r="C3316" s="2" t="s">
        <v>8778</v>
      </c>
      <c r="D3316" s="2" t="s">
        <v>10055</v>
      </c>
      <c r="E3316" s="15">
        <v>0.1182</v>
      </c>
      <c r="F3316" s="15">
        <v>9.2899999999999996E-2</v>
      </c>
      <c r="G3316" s="15">
        <v>0.2031</v>
      </c>
      <c r="H3316" s="15">
        <v>3.3000000000000002E-2</v>
      </c>
      <c r="I3316" s="15">
        <v>1.3599999999999999E-2</v>
      </c>
      <c r="J3316" s="15">
        <v>2.9069767441860459</v>
      </c>
    </row>
    <row r="3317" spans="1:10" x14ac:dyDescent="0.25">
      <c r="A3317" s="2" t="s">
        <v>8779</v>
      </c>
      <c r="B3317" s="2" t="s">
        <v>7007</v>
      </c>
      <c r="C3317" s="2" t="s">
        <v>8780</v>
      </c>
      <c r="D3317" s="2" t="s">
        <v>10055</v>
      </c>
      <c r="E3317" s="15">
        <v>0.15590000000000001</v>
      </c>
      <c r="F3317" s="15">
        <v>0.2069</v>
      </c>
      <c r="G3317" s="15">
        <v>0.45129999999999998</v>
      </c>
      <c r="H3317" s="15">
        <v>9.5999999999999992E-3</v>
      </c>
      <c r="I3317" s="15">
        <v>1.41E-2</v>
      </c>
      <c r="J3317" s="15">
        <v>0.6717557251908397</v>
      </c>
    </row>
    <row r="3318" spans="1:10" x14ac:dyDescent="0.25">
      <c r="A3318" s="2" t="s">
        <v>8781</v>
      </c>
      <c r="B3318" s="2" t="s">
        <v>7007</v>
      </c>
      <c r="C3318" s="2" t="s">
        <v>8782</v>
      </c>
      <c r="D3318" s="2" t="s">
        <v>10055</v>
      </c>
      <c r="E3318" s="15">
        <v>3.1199999999999999E-2</v>
      </c>
      <c r="F3318" s="15">
        <v>9.8400000000000001E-2</v>
      </c>
      <c r="G3318" s="15">
        <v>0.751</v>
      </c>
      <c r="H3318" s="15">
        <v>2.52E-2</v>
      </c>
      <c r="I3318" s="15">
        <v>1.38E-2</v>
      </c>
      <c r="J3318" s="15">
        <v>2.028571428571428</v>
      </c>
    </row>
    <row r="3319" spans="1:10" x14ac:dyDescent="0.25">
      <c r="A3319" s="2" t="s">
        <v>8783</v>
      </c>
      <c r="B3319" s="2" t="s">
        <v>7007</v>
      </c>
      <c r="C3319" s="2" t="s">
        <v>8784</v>
      </c>
      <c r="D3319" s="2" t="s">
        <v>10055</v>
      </c>
      <c r="E3319" s="15">
        <v>-0.31979999999999997</v>
      </c>
      <c r="F3319" s="15">
        <v>0.43380000000000002</v>
      </c>
      <c r="G3319" s="15">
        <v>0.46100000000000002</v>
      </c>
      <c r="H3319" s="15">
        <v>6.4000000000000003E-3</v>
      </c>
      <c r="I3319" s="15">
        <v>1.38E-2</v>
      </c>
      <c r="J3319" s="15">
        <v>0.45925925925925931</v>
      </c>
    </row>
    <row r="3320" spans="1:10" x14ac:dyDescent="0.25">
      <c r="A3320" s="2" t="s">
        <v>8785</v>
      </c>
      <c r="B3320" s="2" t="s">
        <v>7007</v>
      </c>
      <c r="C3320" s="2" t="s">
        <v>8786</v>
      </c>
      <c r="D3320" s="2" t="s">
        <v>10055</v>
      </c>
      <c r="E3320" s="15">
        <v>-2E-3</v>
      </c>
      <c r="F3320" s="15">
        <v>0.1245</v>
      </c>
      <c r="G3320" s="15">
        <v>0.98709999999999998</v>
      </c>
      <c r="H3320" s="15">
        <v>1.5900000000000001E-2</v>
      </c>
      <c r="I3320" s="15">
        <v>1.49E-2</v>
      </c>
      <c r="J3320" s="15">
        <v>1.1111111111111109</v>
      </c>
    </row>
    <row r="3321" spans="1:10" x14ac:dyDescent="0.25">
      <c r="A3321" s="2" t="s">
        <v>8787</v>
      </c>
      <c r="B3321" s="2" t="s">
        <v>7007</v>
      </c>
      <c r="C3321" s="2" t="s">
        <v>8788</v>
      </c>
      <c r="D3321" s="2" t="s">
        <v>10055</v>
      </c>
      <c r="E3321" s="15">
        <v>-9.0200000000000002E-2</v>
      </c>
      <c r="F3321" s="15">
        <v>0.1181</v>
      </c>
      <c r="G3321" s="15">
        <v>0.4451</v>
      </c>
      <c r="H3321" s="15">
        <v>2.5399999999999999E-2</v>
      </c>
      <c r="I3321" s="15">
        <v>1.3899999999999999E-2</v>
      </c>
      <c r="J3321" s="15">
        <v>2.1985815602836878</v>
      </c>
    </row>
    <row r="3322" spans="1:10" x14ac:dyDescent="0.25">
      <c r="A3322" s="2" t="s">
        <v>8789</v>
      </c>
      <c r="B3322" s="2" t="s">
        <v>7007</v>
      </c>
      <c r="C3322" s="2" t="s">
        <v>8790</v>
      </c>
      <c r="D3322" s="2" t="s">
        <v>10055</v>
      </c>
      <c r="E3322" s="15">
        <v>-7.8799999999999995E-2</v>
      </c>
      <c r="F3322" s="15">
        <v>0.1009</v>
      </c>
      <c r="G3322" s="15">
        <v>0.43509999999999999</v>
      </c>
      <c r="H3322" s="15">
        <v>3.0300000000000001E-2</v>
      </c>
      <c r="I3322" s="15">
        <v>1.9E-2</v>
      </c>
      <c r="J3322" s="15">
        <v>2.1130952380952381</v>
      </c>
    </row>
    <row r="3323" spans="1:10" x14ac:dyDescent="0.25">
      <c r="A3323" s="2" t="s">
        <v>8791</v>
      </c>
      <c r="B3323" s="2" t="s">
        <v>7007</v>
      </c>
      <c r="C3323" s="2" t="s">
        <v>8792</v>
      </c>
      <c r="D3323" s="2" t="s">
        <v>10055</v>
      </c>
      <c r="E3323" s="15"/>
      <c r="F3323" s="15"/>
      <c r="G3323" s="15"/>
      <c r="H3323" s="15">
        <v>-1.7399999999999999E-2</v>
      </c>
      <c r="I3323" s="15">
        <v>1.3100000000000001E-2</v>
      </c>
      <c r="J3323" s="15">
        <v>-0.83458646616541365</v>
      </c>
    </row>
    <row r="3324" spans="1:10" x14ac:dyDescent="0.25">
      <c r="A3324" s="2" t="s">
        <v>8793</v>
      </c>
      <c r="B3324" s="2" t="s">
        <v>7007</v>
      </c>
      <c r="C3324" s="2" t="s">
        <v>8794</v>
      </c>
      <c r="D3324" s="2" t="s">
        <v>10055</v>
      </c>
      <c r="E3324" s="15">
        <v>0.1384</v>
      </c>
      <c r="F3324" s="15">
        <v>0.37869999999999998</v>
      </c>
      <c r="G3324" s="15">
        <v>0.71479999999999999</v>
      </c>
      <c r="H3324" s="15">
        <v>4.5999999999999999E-3</v>
      </c>
      <c r="I3324" s="15">
        <v>1.4E-2</v>
      </c>
      <c r="J3324" s="15">
        <v>0.2608695652173913</v>
      </c>
    </row>
    <row r="3325" spans="1:10" x14ac:dyDescent="0.25">
      <c r="A3325" s="2" t="s">
        <v>8795</v>
      </c>
      <c r="B3325" s="2" t="s">
        <v>7007</v>
      </c>
      <c r="C3325" s="2" t="s">
        <v>8796</v>
      </c>
      <c r="D3325" s="2" t="s">
        <v>10055</v>
      </c>
      <c r="E3325" s="15">
        <v>0.1186</v>
      </c>
      <c r="F3325" s="15">
        <v>0.30220000000000002</v>
      </c>
      <c r="G3325" s="15">
        <v>0.6946</v>
      </c>
      <c r="H3325" s="15">
        <v>5.4000000000000003E-3</v>
      </c>
      <c r="I3325" s="15">
        <v>1.49E-2</v>
      </c>
      <c r="J3325" s="15">
        <v>0.21917808219178081</v>
      </c>
    </row>
    <row r="3326" spans="1:10" x14ac:dyDescent="0.25">
      <c r="A3326" s="2" t="s">
        <v>8797</v>
      </c>
      <c r="B3326" s="2" t="s">
        <v>7007</v>
      </c>
      <c r="C3326" s="2" t="s">
        <v>8798</v>
      </c>
      <c r="D3326" s="2" t="s">
        <v>10055</v>
      </c>
      <c r="E3326" s="15"/>
      <c r="F3326" s="15"/>
      <c r="G3326" s="15"/>
      <c r="H3326" s="15"/>
      <c r="I3326" s="15"/>
      <c r="J3326" s="15">
        <v>0.48951048951048948</v>
      </c>
    </row>
    <row r="3327" spans="1:10" x14ac:dyDescent="0.25">
      <c r="A3327" s="2" t="s">
        <v>8799</v>
      </c>
      <c r="B3327" s="2" t="s">
        <v>7007</v>
      </c>
      <c r="C3327" s="2" t="s">
        <v>8800</v>
      </c>
      <c r="D3327" s="2" t="s">
        <v>10055</v>
      </c>
      <c r="E3327" s="15">
        <v>7.3400000000000007E-2</v>
      </c>
      <c r="F3327" s="15">
        <v>0.1588</v>
      </c>
      <c r="G3327" s="15">
        <v>0.64410000000000001</v>
      </c>
      <c r="H3327" s="15">
        <v>1.3100000000000001E-2</v>
      </c>
      <c r="I3327" s="15">
        <v>1.37E-2</v>
      </c>
      <c r="J3327" s="15">
        <v>1.311594202898551</v>
      </c>
    </row>
    <row r="3328" spans="1:10" x14ac:dyDescent="0.25">
      <c r="A3328" s="2" t="s">
        <v>8801</v>
      </c>
      <c r="B3328" s="2" t="s">
        <v>7007</v>
      </c>
      <c r="C3328" s="2" t="s">
        <v>8802</v>
      </c>
      <c r="D3328" s="2" t="s">
        <v>10055</v>
      </c>
      <c r="E3328" s="15">
        <v>-0.16869999999999999</v>
      </c>
      <c r="F3328" s="15">
        <v>0.10059999999999999</v>
      </c>
      <c r="G3328" s="15">
        <v>9.3399999999999997E-2</v>
      </c>
      <c r="H3328" s="15">
        <v>3.3399999999999999E-2</v>
      </c>
      <c r="I3328" s="15">
        <v>1.37E-2</v>
      </c>
      <c r="J3328" s="15">
        <v>2.4060150375939848</v>
      </c>
    </row>
    <row r="3329" spans="1:10" x14ac:dyDescent="0.25">
      <c r="A3329" s="2" t="s">
        <v>8803</v>
      </c>
      <c r="B3329" s="2" t="s">
        <v>7007</v>
      </c>
      <c r="C3329" s="2" t="s">
        <v>8804</v>
      </c>
      <c r="D3329" s="2" t="s">
        <v>10055</v>
      </c>
      <c r="E3329" s="15">
        <v>0.2046</v>
      </c>
      <c r="F3329" s="15">
        <v>0.1406</v>
      </c>
      <c r="G3329" s="15">
        <v>0.1454</v>
      </c>
      <c r="H3329" s="15">
        <v>2.3E-2</v>
      </c>
      <c r="I3329" s="15">
        <v>1.6799999999999999E-2</v>
      </c>
      <c r="J3329" s="15">
        <v>1.064327485380117</v>
      </c>
    </row>
    <row r="3330" spans="1:10" x14ac:dyDescent="0.25">
      <c r="A3330" s="2" t="s">
        <v>8805</v>
      </c>
      <c r="B3330" s="2" t="s">
        <v>7007</v>
      </c>
      <c r="C3330" s="2" t="s">
        <v>8806</v>
      </c>
      <c r="D3330" s="2" t="s">
        <v>10055</v>
      </c>
      <c r="E3330" s="15">
        <v>6.5100000000000005E-2</v>
      </c>
      <c r="F3330" s="15">
        <v>0.18049999999999999</v>
      </c>
      <c r="G3330" s="15">
        <v>0.71850000000000003</v>
      </c>
      <c r="H3330" s="15">
        <v>1.0999999999999999E-2</v>
      </c>
      <c r="I3330" s="15">
        <v>1.5900000000000001E-2</v>
      </c>
      <c r="J3330" s="15">
        <v>0.61073825503355705</v>
      </c>
    </row>
    <row r="3331" spans="1:10" x14ac:dyDescent="0.25">
      <c r="A3331" s="2" t="s">
        <v>8807</v>
      </c>
      <c r="B3331" s="2" t="s">
        <v>7007</v>
      </c>
      <c r="C3331" s="2" t="s">
        <v>8808</v>
      </c>
      <c r="D3331" s="2" t="s">
        <v>10055</v>
      </c>
      <c r="E3331" s="15">
        <v>0.16450000000000001</v>
      </c>
      <c r="F3331" s="15">
        <v>0.1716</v>
      </c>
      <c r="G3331" s="15">
        <v>0.3377</v>
      </c>
      <c r="H3331" s="15">
        <v>1.6299999999999999E-2</v>
      </c>
      <c r="I3331" s="15">
        <v>1.4500000000000001E-2</v>
      </c>
      <c r="J3331" s="15">
        <v>1.182432432432432</v>
      </c>
    </row>
    <row r="3332" spans="1:10" x14ac:dyDescent="0.25">
      <c r="A3332" s="2" t="s">
        <v>8809</v>
      </c>
      <c r="B3332" s="2" t="s">
        <v>7007</v>
      </c>
      <c r="C3332" s="2" t="s">
        <v>8810</v>
      </c>
      <c r="D3332" s="2" t="s">
        <v>10055</v>
      </c>
      <c r="E3332" s="15">
        <v>0.20019999999999999</v>
      </c>
      <c r="F3332" s="15">
        <v>0.24859999999999999</v>
      </c>
      <c r="G3332" s="15">
        <v>0.42059999999999997</v>
      </c>
      <c r="H3332" s="15">
        <v>8.3999999999999995E-3</v>
      </c>
      <c r="I3332" s="15">
        <v>1.37E-2</v>
      </c>
      <c r="J3332" s="15">
        <v>0.79136690647482011</v>
      </c>
    </row>
    <row r="3333" spans="1:10" x14ac:dyDescent="0.25">
      <c r="A3333" s="2" t="s">
        <v>8811</v>
      </c>
      <c r="B3333" s="2" t="s">
        <v>7007</v>
      </c>
      <c r="C3333" s="2" t="s">
        <v>8812</v>
      </c>
      <c r="D3333" s="2" t="s">
        <v>10055</v>
      </c>
      <c r="E3333" s="15">
        <v>0.18360000000000001</v>
      </c>
      <c r="F3333" s="15">
        <v>0.15010000000000001</v>
      </c>
      <c r="G3333" s="15">
        <v>0.2213</v>
      </c>
      <c r="H3333" s="15">
        <v>1.2800000000000001E-2</v>
      </c>
      <c r="I3333" s="15">
        <v>1.38E-2</v>
      </c>
      <c r="J3333" s="15">
        <v>0.76760563380281688</v>
      </c>
    </row>
    <row r="3334" spans="1:10" x14ac:dyDescent="0.25">
      <c r="A3334" s="2" t="s">
        <v>8813</v>
      </c>
      <c r="B3334" s="2" t="s">
        <v>7007</v>
      </c>
      <c r="C3334" s="2" t="s">
        <v>8814</v>
      </c>
      <c r="D3334" s="2" t="s">
        <v>10055</v>
      </c>
      <c r="E3334" s="15">
        <v>0.1159</v>
      </c>
      <c r="F3334" s="15">
        <v>0.14419999999999999</v>
      </c>
      <c r="G3334" s="15">
        <v>0.42159999999999997</v>
      </c>
      <c r="H3334" s="15">
        <v>1.4200000000000001E-2</v>
      </c>
      <c r="I3334" s="15">
        <v>1.2200000000000001E-2</v>
      </c>
      <c r="J3334" s="15">
        <v>1.373983739837398</v>
      </c>
    </row>
    <row r="3335" spans="1:10" x14ac:dyDescent="0.25">
      <c r="A3335" s="2" t="s">
        <v>8815</v>
      </c>
      <c r="B3335" s="2" t="s">
        <v>7007</v>
      </c>
      <c r="C3335" s="2" t="s">
        <v>8816</v>
      </c>
      <c r="D3335" s="2" t="s">
        <v>10055</v>
      </c>
      <c r="E3335" s="15">
        <v>-0.20030000000000001</v>
      </c>
      <c r="F3335" s="15">
        <v>8.4099999999999994E-2</v>
      </c>
      <c r="G3335" s="15">
        <v>1.72E-2</v>
      </c>
      <c r="H3335" s="15">
        <v>5.0500000000000003E-2</v>
      </c>
      <c r="I3335" s="15">
        <v>1.5100000000000001E-2</v>
      </c>
      <c r="J3335" s="15">
        <v>3.4871794871794868</v>
      </c>
    </row>
    <row r="3336" spans="1:10" x14ac:dyDescent="0.25">
      <c r="A3336" s="2" t="s">
        <v>8817</v>
      </c>
      <c r="B3336" s="2" t="s">
        <v>7007</v>
      </c>
      <c r="C3336" s="2" t="s">
        <v>8818</v>
      </c>
      <c r="D3336" s="2" t="s">
        <v>10055</v>
      </c>
      <c r="E3336" s="15">
        <v>-4.5100000000000001E-2</v>
      </c>
      <c r="F3336" s="15">
        <v>0.15609999999999999</v>
      </c>
      <c r="G3336" s="15">
        <v>0.77259999999999995</v>
      </c>
      <c r="H3336" s="15">
        <v>1.24E-2</v>
      </c>
      <c r="I3336" s="15">
        <v>1.4999999999999999E-2</v>
      </c>
      <c r="J3336" s="15">
        <v>0.55714285714285705</v>
      </c>
    </row>
    <row r="3337" spans="1:10" x14ac:dyDescent="0.25">
      <c r="A3337" s="2" t="s">
        <v>8819</v>
      </c>
      <c r="B3337" s="2" t="s">
        <v>7007</v>
      </c>
      <c r="C3337" s="2" t="s">
        <v>8820</v>
      </c>
      <c r="D3337" s="2" t="s">
        <v>10055</v>
      </c>
      <c r="E3337" s="15">
        <v>5.1999999999999998E-3</v>
      </c>
      <c r="F3337" s="15">
        <v>0.10580000000000001</v>
      </c>
      <c r="G3337" s="15">
        <v>0.96060000000000001</v>
      </c>
      <c r="H3337" s="15">
        <v>2.7799999999999998E-2</v>
      </c>
      <c r="I3337" s="15">
        <v>1.4999999999999999E-2</v>
      </c>
      <c r="J3337" s="15">
        <v>2.375</v>
      </c>
    </row>
    <row r="3338" spans="1:10" x14ac:dyDescent="0.25">
      <c r="A3338" s="2" t="s">
        <v>8821</v>
      </c>
      <c r="B3338" s="2" t="s">
        <v>7007</v>
      </c>
      <c r="C3338" s="2" t="s">
        <v>8822</v>
      </c>
      <c r="D3338" s="2" t="s">
        <v>10055</v>
      </c>
      <c r="E3338" s="15">
        <v>1.8E-3</v>
      </c>
      <c r="F3338" s="15">
        <v>6.3799999999999996E-2</v>
      </c>
      <c r="G3338" s="15">
        <v>0.97699999999999998</v>
      </c>
      <c r="H3338" s="15">
        <v>8.4699999999999998E-2</v>
      </c>
      <c r="I3338" s="15">
        <v>1.54E-2</v>
      </c>
      <c r="J3338" s="15">
        <v>5.904109589041096</v>
      </c>
    </row>
    <row r="3339" spans="1:10" x14ac:dyDescent="0.25">
      <c r="A3339" s="2" t="s">
        <v>8823</v>
      </c>
      <c r="B3339" s="2" t="s">
        <v>7007</v>
      </c>
      <c r="C3339" s="2" t="s">
        <v>8824</v>
      </c>
      <c r="D3339" s="2" t="s">
        <v>10055</v>
      </c>
      <c r="E3339" s="15"/>
      <c r="F3339" s="15"/>
      <c r="G3339" s="15"/>
      <c r="H3339" s="15">
        <v>-3.2000000000000002E-3</v>
      </c>
      <c r="I3339" s="15">
        <v>1.38E-2</v>
      </c>
      <c r="J3339" s="15">
        <v>-5.1470588235294122E-2</v>
      </c>
    </row>
    <row r="3340" spans="1:10" x14ac:dyDescent="0.25">
      <c r="A3340" s="2" t="s">
        <v>8825</v>
      </c>
      <c r="B3340" s="2" t="s">
        <v>7007</v>
      </c>
      <c r="C3340" s="2" t="s">
        <v>8826</v>
      </c>
      <c r="D3340" s="2" t="s">
        <v>10055</v>
      </c>
      <c r="E3340" s="15">
        <v>-0.10440000000000001</v>
      </c>
      <c r="F3340" s="15">
        <v>7.5399999999999995E-2</v>
      </c>
      <c r="G3340" s="15">
        <v>0.16619999999999999</v>
      </c>
      <c r="H3340" s="15">
        <v>5.91E-2</v>
      </c>
      <c r="I3340" s="15">
        <v>1.52E-2</v>
      </c>
      <c r="J3340" s="15">
        <v>4.2638888888888893</v>
      </c>
    </row>
    <row r="3341" spans="1:10" x14ac:dyDescent="0.25">
      <c r="A3341" s="2" t="s">
        <v>8827</v>
      </c>
      <c r="B3341" s="2" t="s">
        <v>7007</v>
      </c>
      <c r="C3341" s="2" t="s">
        <v>8828</v>
      </c>
      <c r="D3341" s="2" t="s">
        <v>10055</v>
      </c>
      <c r="E3341" s="15">
        <v>-9.3200000000000005E-2</v>
      </c>
      <c r="F3341" s="15">
        <v>0.1009</v>
      </c>
      <c r="G3341" s="15">
        <v>0.35589999999999999</v>
      </c>
      <c r="H3341" s="15">
        <v>3.15E-2</v>
      </c>
      <c r="I3341" s="15">
        <v>1.46E-2</v>
      </c>
      <c r="J3341" s="15">
        <v>2.3211678832116789</v>
      </c>
    </row>
    <row r="3342" spans="1:10" x14ac:dyDescent="0.25">
      <c r="A3342" s="2" t="s">
        <v>8829</v>
      </c>
      <c r="B3342" s="2" t="s">
        <v>7007</v>
      </c>
      <c r="C3342" s="2" t="s">
        <v>8830</v>
      </c>
      <c r="D3342" s="2" t="s">
        <v>10055</v>
      </c>
      <c r="E3342" s="15">
        <v>5.5899999999999998E-2</v>
      </c>
      <c r="F3342" s="15">
        <v>4.7199999999999999E-2</v>
      </c>
      <c r="G3342" s="15">
        <v>0.23580000000000001</v>
      </c>
      <c r="H3342" s="15">
        <v>0.1681</v>
      </c>
      <c r="I3342" s="15">
        <v>2.06E-2</v>
      </c>
      <c r="J3342" s="15">
        <v>8.9845360824742269</v>
      </c>
    </row>
    <row r="3343" spans="1:10" x14ac:dyDescent="0.25">
      <c r="A3343" s="2" t="s">
        <v>8831</v>
      </c>
      <c r="B3343" s="2" t="s">
        <v>7007</v>
      </c>
      <c r="C3343" s="2" t="s">
        <v>8832</v>
      </c>
      <c r="D3343" s="2" t="s">
        <v>10055</v>
      </c>
      <c r="E3343" s="15">
        <v>-3.4599999999999999E-2</v>
      </c>
      <c r="F3343" s="15">
        <v>7.0199999999999999E-2</v>
      </c>
      <c r="G3343" s="15">
        <v>0.62170000000000003</v>
      </c>
      <c r="H3343" s="15">
        <v>6.1600000000000002E-2</v>
      </c>
      <c r="I3343" s="15">
        <v>1.6199999999999999E-2</v>
      </c>
      <c r="J3343" s="15">
        <v>4.375</v>
      </c>
    </row>
    <row r="3344" spans="1:10" x14ac:dyDescent="0.25">
      <c r="A3344" s="2" t="s">
        <v>8833</v>
      </c>
      <c r="B3344" s="2" t="s">
        <v>7007</v>
      </c>
      <c r="C3344" s="2" t="s">
        <v>8834</v>
      </c>
      <c r="D3344" s="2" t="s">
        <v>10055</v>
      </c>
      <c r="E3344" s="15">
        <v>-5.8500000000000003E-2</v>
      </c>
      <c r="F3344" s="15">
        <v>6.59E-2</v>
      </c>
      <c r="G3344" s="15">
        <v>0.375</v>
      </c>
      <c r="H3344" s="15">
        <v>8.5400000000000004E-2</v>
      </c>
      <c r="I3344" s="15">
        <v>1.7999999999999999E-2</v>
      </c>
      <c r="J3344" s="15">
        <v>5.0650887573964498</v>
      </c>
    </row>
    <row r="3345" spans="1:10" x14ac:dyDescent="0.25">
      <c r="A3345" s="2" t="s">
        <v>8835</v>
      </c>
      <c r="B3345" s="2" t="s">
        <v>7007</v>
      </c>
      <c r="C3345" s="2" t="s">
        <v>8836</v>
      </c>
      <c r="D3345" s="2" t="s">
        <v>10055</v>
      </c>
      <c r="E3345" s="15">
        <v>5.1799999999999999E-2</v>
      </c>
      <c r="F3345" s="15">
        <v>5.7200000000000001E-2</v>
      </c>
      <c r="G3345" s="15">
        <v>0.36530000000000001</v>
      </c>
      <c r="H3345" s="15">
        <v>9.1499999999999998E-2</v>
      </c>
      <c r="I3345" s="15">
        <v>1.5900000000000001E-2</v>
      </c>
      <c r="J3345" s="15">
        <v>6.2062499999999998</v>
      </c>
    </row>
    <row r="3346" spans="1:10" x14ac:dyDescent="0.25">
      <c r="A3346" s="2" t="s">
        <v>8837</v>
      </c>
      <c r="B3346" s="2" t="s">
        <v>7007</v>
      </c>
      <c r="C3346" s="2" t="s">
        <v>8838</v>
      </c>
      <c r="D3346" s="2" t="s">
        <v>10055</v>
      </c>
      <c r="E3346" s="15">
        <v>1.8E-3</v>
      </c>
      <c r="F3346" s="15">
        <v>6.5699999999999995E-2</v>
      </c>
      <c r="G3346" s="15">
        <v>0.97850000000000004</v>
      </c>
      <c r="H3346" s="15">
        <v>0.1207</v>
      </c>
      <c r="I3346" s="15">
        <v>2.0199999999999999E-2</v>
      </c>
      <c r="J3346" s="15">
        <v>6.4869109947643979</v>
      </c>
    </row>
    <row r="3347" spans="1:10" x14ac:dyDescent="0.25">
      <c r="A3347" s="2" t="s">
        <v>8839</v>
      </c>
      <c r="B3347" s="2" t="s">
        <v>7007</v>
      </c>
      <c r="C3347" s="2" t="s">
        <v>8840</v>
      </c>
      <c r="D3347" s="2" t="s">
        <v>10055</v>
      </c>
      <c r="E3347" s="15">
        <v>-4.1099999999999998E-2</v>
      </c>
      <c r="F3347" s="15">
        <v>0.14130000000000001</v>
      </c>
      <c r="G3347" s="15">
        <v>0.77110000000000001</v>
      </c>
      <c r="H3347" s="15">
        <v>1.2500000000000001E-2</v>
      </c>
      <c r="I3347" s="15">
        <v>1.44E-2</v>
      </c>
      <c r="J3347" s="15">
        <v>0.94117647058823539</v>
      </c>
    </row>
    <row r="3348" spans="1:10" x14ac:dyDescent="0.25">
      <c r="A3348" s="2" t="s">
        <v>8841</v>
      </c>
      <c r="B3348" s="2" t="s">
        <v>7007</v>
      </c>
      <c r="C3348" s="2" t="s">
        <v>8842</v>
      </c>
      <c r="D3348" s="2" t="s">
        <v>10055</v>
      </c>
      <c r="E3348" s="15">
        <v>-2.41E-2</v>
      </c>
      <c r="F3348" s="15">
        <v>7.1499999999999994E-2</v>
      </c>
      <c r="G3348" s="15">
        <v>0.73599999999999999</v>
      </c>
      <c r="H3348" s="15">
        <v>5.28E-2</v>
      </c>
      <c r="I3348" s="15">
        <v>1.6E-2</v>
      </c>
      <c r="J3348" s="15">
        <v>3.6912751677852351</v>
      </c>
    </row>
    <row r="3349" spans="1:10" x14ac:dyDescent="0.25">
      <c r="A3349" s="2" t="s">
        <v>8843</v>
      </c>
      <c r="B3349" s="2" t="s">
        <v>7007</v>
      </c>
      <c r="C3349" s="2" t="s">
        <v>8844</v>
      </c>
      <c r="D3349" s="2" t="s">
        <v>10055</v>
      </c>
      <c r="E3349" s="15">
        <v>0.19769999999999999</v>
      </c>
      <c r="F3349" s="15">
        <v>0.24299999999999999</v>
      </c>
      <c r="G3349" s="15">
        <v>0.41589999999999999</v>
      </c>
      <c r="H3349" s="15">
        <v>9.9000000000000008E-3</v>
      </c>
      <c r="I3349" s="15">
        <v>1.38E-2</v>
      </c>
      <c r="J3349" s="15">
        <v>0.61240310077519389</v>
      </c>
    </row>
    <row r="3350" spans="1:10" x14ac:dyDescent="0.25">
      <c r="A3350" s="2" t="s">
        <v>8845</v>
      </c>
      <c r="B3350" s="2" t="s">
        <v>7007</v>
      </c>
      <c r="C3350" s="2" t="s">
        <v>8846</v>
      </c>
      <c r="D3350" s="2" t="s">
        <v>10055</v>
      </c>
      <c r="E3350" s="15">
        <v>-0.1013</v>
      </c>
      <c r="F3350" s="15">
        <v>0.1081</v>
      </c>
      <c r="G3350" s="15">
        <v>0.34839999999999999</v>
      </c>
      <c r="H3350" s="15">
        <v>2.81E-2</v>
      </c>
      <c r="I3350" s="15">
        <v>1.37E-2</v>
      </c>
      <c r="J3350" s="15">
        <v>2.4117647058823528</v>
      </c>
    </row>
    <row r="3351" spans="1:10" x14ac:dyDescent="0.25">
      <c r="A3351" s="2" t="s">
        <v>8847</v>
      </c>
      <c r="B3351" s="2" t="s">
        <v>7007</v>
      </c>
      <c r="C3351" s="2" t="s">
        <v>8848</v>
      </c>
      <c r="D3351" s="2" t="s">
        <v>10055</v>
      </c>
      <c r="E3351" s="15">
        <v>-4.7300000000000002E-2</v>
      </c>
      <c r="F3351" s="15">
        <v>6.4100000000000004E-2</v>
      </c>
      <c r="G3351" s="15">
        <v>0.46050000000000002</v>
      </c>
      <c r="H3351" s="15">
        <v>9.1999999999999998E-2</v>
      </c>
      <c r="I3351" s="15">
        <v>1.6E-2</v>
      </c>
      <c r="J3351" s="15">
        <v>5.9125000000000014</v>
      </c>
    </row>
    <row r="3352" spans="1:10" x14ac:dyDescent="0.25">
      <c r="A3352" s="2" t="s">
        <v>8849</v>
      </c>
      <c r="B3352" s="2" t="s">
        <v>7007</v>
      </c>
      <c r="C3352" s="2" t="s">
        <v>8850</v>
      </c>
      <c r="D3352" s="2" t="s">
        <v>10055</v>
      </c>
      <c r="E3352" s="15">
        <v>4.0099999999999997E-2</v>
      </c>
      <c r="F3352" s="15">
        <v>8.2900000000000001E-2</v>
      </c>
      <c r="G3352" s="15">
        <v>0.629</v>
      </c>
      <c r="H3352" s="15">
        <v>4.53E-2</v>
      </c>
      <c r="I3352" s="15">
        <v>1.5599999999999999E-2</v>
      </c>
      <c r="J3352" s="15">
        <v>3.6066666666666669</v>
      </c>
    </row>
    <row r="3353" spans="1:10" x14ac:dyDescent="0.25">
      <c r="A3353" s="2" t="s">
        <v>8851</v>
      </c>
      <c r="B3353" s="2" t="s">
        <v>7007</v>
      </c>
      <c r="C3353" s="2" t="s">
        <v>8852</v>
      </c>
      <c r="D3353" s="2" t="s">
        <v>10055</v>
      </c>
      <c r="E3353" s="15">
        <v>0.16919999999999999</v>
      </c>
      <c r="F3353" s="15">
        <v>0.1007</v>
      </c>
      <c r="G3353" s="15">
        <v>9.2899999999999996E-2</v>
      </c>
      <c r="H3353" s="15">
        <v>2.8799999999999999E-2</v>
      </c>
      <c r="I3353" s="15">
        <v>1.44E-2</v>
      </c>
      <c r="J3353" s="15">
        <v>1.822695035460993</v>
      </c>
    </row>
    <row r="3354" spans="1:10" x14ac:dyDescent="0.25">
      <c r="A3354" s="2" t="s">
        <v>8853</v>
      </c>
      <c r="B3354" s="2" t="s">
        <v>7007</v>
      </c>
      <c r="C3354" s="2" t="s">
        <v>8854</v>
      </c>
      <c r="D3354" s="2" t="s">
        <v>10055</v>
      </c>
      <c r="E3354" s="15">
        <v>4.3900000000000002E-2</v>
      </c>
      <c r="F3354" s="15">
        <v>4.5499999999999999E-2</v>
      </c>
      <c r="G3354" s="15">
        <v>0.33479999999999999</v>
      </c>
      <c r="H3354" s="15">
        <v>0.16070000000000001</v>
      </c>
      <c r="I3354" s="15">
        <v>1.7600000000000001E-2</v>
      </c>
      <c r="J3354" s="15">
        <v>9.5028571428571418</v>
      </c>
    </row>
    <row r="3355" spans="1:10" x14ac:dyDescent="0.25">
      <c r="A3355" s="2" t="s">
        <v>8855</v>
      </c>
      <c r="B3355" s="2" t="s">
        <v>7007</v>
      </c>
      <c r="C3355" s="2" t="s">
        <v>8856</v>
      </c>
      <c r="D3355" s="2" t="s">
        <v>10055</v>
      </c>
      <c r="E3355" s="15">
        <v>4.3499999999999997E-2</v>
      </c>
      <c r="F3355" s="15">
        <v>7.7200000000000005E-2</v>
      </c>
      <c r="G3355" s="15">
        <v>0.57250000000000001</v>
      </c>
      <c r="H3355" s="15">
        <v>5.6000000000000001E-2</v>
      </c>
      <c r="I3355" s="15">
        <v>1.5800000000000002E-2</v>
      </c>
      <c r="J3355" s="15">
        <v>4.2133333333333338</v>
      </c>
    </row>
    <row r="3356" spans="1:10" x14ac:dyDescent="0.25">
      <c r="A3356" s="2" t="s">
        <v>8857</v>
      </c>
      <c r="B3356" s="2" t="s">
        <v>7007</v>
      </c>
      <c r="C3356" s="2" t="s">
        <v>8858</v>
      </c>
      <c r="D3356" s="2" t="s">
        <v>10055</v>
      </c>
      <c r="E3356" s="15">
        <v>0.09</v>
      </c>
      <c r="F3356" s="15">
        <v>0.17199999999999999</v>
      </c>
      <c r="G3356" s="15">
        <v>0.60089999999999999</v>
      </c>
      <c r="H3356" s="15">
        <v>1.15E-2</v>
      </c>
      <c r="I3356" s="15">
        <v>1.4800000000000001E-2</v>
      </c>
      <c r="J3356" s="15">
        <v>0.68794326241134751</v>
      </c>
    </row>
    <row r="3357" spans="1:10" x14ac:dyDescent="0.25">
      <c r="A3357" s="2" t="s">
        <v>8859</v>
      </c>
      <c r="B3357" s="2" t="s">
        <v>7007</v>
      </c>
      <c r="C3357" s="2" t="s">
        <v>8860</v>
      </c>
      <c r="D3357" s="2" t="s">
        <v>10055</v>
      </c>
      <c r="E3357" s="15">
        <v>-4.4999999999999997E-3</v>
      </c>
      <c r="F3357" s="15">
        <v>4.5900000000000003E-2</v>
      </c>
      <c r="G3357" s="15">
        <v>0.92179999999999995</v>
      </c>
      <c r="H3357" s="15">
        <v>0.18110000000000001</v>
      </c>
      <c r="I3357" s="15">
        <v>1.8100000000000002E-2</v>
      </c>
      <c r="J3357" s="15">
        <v>11.377142857142861</v>
      </c>
    </row>
    <row r="3358" spans="1:10" x14ac:dyDescent="0.25">
      <c r="A3358" s="2" t="s">
        <v>8861</v>
      </c>
      <c r="B3358" s="2" t="s">
        <v>7007</v>
      </c>
      <c r="C3358" s="2" t="s">
        <v>8862</v>
      </c>
      <c r="D3358" s="2" t="s">
        <v>10055</v>
      </c>
      <c r="E3358" s="15">
        <v>4.4999999999999997E-3</v>
      </c>
      <c r="F3358" s="15">
        <v>5.4899999999999997E-2</v>
      </c>
      <c r="G3358" s="15">
        <v>0.93459999999999999</v>
      </c>
      <c r="H3358" s="15">
        <v>0.1057</v>
      </c>
      <c r="I3358" s="15">
        <v>1.9199999999999998E-2</v>
      </c>
      <c r="J3358" s="15">
        <v>5.9417989417989414</v>
      </c>
    </row>
    <row r="3359" spans="1:10" x14ac:dyDescent="0.25">
      <c r="A3359" s="2" t="s">
        <v>8863</v>
      </c>
      <c r="B3359" s="2" t="s">
        <v>7007</v>
      </c>
      <c r="C3359" s="2" t="s">
        <v>8864</v>
      </c>
      <c r="D3359" s="2" t="s">
        <v>10055</v>
      </c>
      <c r="E3359" s="15">
        <v>-0.123</v>
      </c>
      <c r="F3359" s="15">
        <v>6.5000000000000002E-2</v>
      </c>
      <c r="G3359" s="15">
        <v>5.8299999999999998E-2</v>
      </c>
      <c r="H3359" s="15">
        <v>7.1900000000000006E-2</v>
      </c>
      <c r="I3359" s="15">
        <v>1.61E-2</v>
      </c>
      <c r="J3359" s="15">
        <v>5.4353741496598644</v>
      </c>
    </row>
    <row r="3360" spans="1:10" x14ac:dyDescent="0.25">
      <c r="A3360" s="2" t="s">
        <v>8865</v>
      </c>
      <c r="B3360" s="2" t="s">
        <v>7007</v>
      </c>
      <c r="C3360" s="2" t="s">
        <v>8866</v>
      </c>
      <c r="D3360" s="2" t="s">
        <v>10055</v>
      </c>
      <c r="E3360" s="15"/>
      <c r="F3360" s="15"/>
      <c r="G3360" s="15"/>
      <c r="H3360" s="15"/>
      <c r="I3360" s="15"/>
      <c r="J3360" s="15">
        <v>0.16783216783216781</v>
      </c>
    </row>
    <row r="3361" spans="1:10" x14ac:dyDescent="0.25">
      <c r="A3361" s="2" t="s">
        <v>8867</v>
      </c>
      <c r="B3361" s="2" t="s">
        <v>7007</v>
      </c>
      <c r="C3361" s="2" t="s">
        <v>8868</v>
      </c>
      <c r="D3361" s="2" t="s">
        <v>10055</v>
      </c>
      <c r="E3361" s="15">
        <v>5.45E-2</v>
      </c>
      <c r="F3361" s="15">
        <v>5.28E-2</v>
      </c>
      <c r="G3361" s="15">
        <v>0.3014</v>
      </c>
      <c r="H3361" s="15">
        <v>0.1225</v>
      </c>
      <c r="I3361" s="15">
        <v>1.8800000000000001E-2</v>
      </c>
      <c r="J3361" s="15">
        <v>7.3626373626373631</v>
      </c>
    </row>
    <row r="3362" spans="1:10" x14ac:dyDescent="0.25">
      <c r="A3362" s="2" t="s">
        <v>8869</v>
      </c>
      <c r="B3362" s="2" t="s">
        <v>7007</v>
      </c>
      <c r="C3362" s="2" t="s">
        <v>8870</v>
      </c>
      <c r="D3362" s="2" t="s">
        <v>10055</v>
      </c>
      <c r="E3362" s="15">
        <v>2.8199999999999999E-2</v>
      </c>
      <c r="F3362" s="15">
        <v>5.0799999999999998E-2</v>
      </c>
      <c r="G3362" s="15">
        <v>0.57850000000000001</v>
      </c>
      <c r="H3362" s="15">
        <v>0.1384</v>
      </c>
      <c r="I3362" s="15">
        <v>2.0899999999999998E-2</v>
      </c>
      <c r="J3362" s="15">
        <v>7.5240641711229941</v>
      </c>
    </row>
    <row r="3363" spans="1:10" x14ac:dyDescent="0.25">
      <c r="A3363" s="2" t="s">
        <v>8871</v>
      </c>
      <c r="B3363" s="2" t="s">
        <v>7007</v>
      </c>
      <c r="C3363" s="2" t="s">
        <v>8872</v>
      </c>
      <c r="D3363" s="2" t="s">
        <v>10055</v>
      </c>
      <c r="E3363" s="15">
        <v>0.2356</v>
      </c>
      <c r="F3363" s="15">
        <v>0.1585</v>
      </c>
      <c r="G3363" s="15">
        <v>0.13719999999999999</v>
      </c>
      <c r="H3363" s="15">
        <v>1.8599999999999998E-2</v>
      </c>
      <c r="I3363" s="15">
        <v>1.5100000000000001E-2</v>
      </c>
      <c r="J3363" s="15">
        <v>1.5034965034965031</v>
      </c>
    </row>
    <row r="3364" spans="1:10" x14ac:dyDescent="0.25">
      <c r="A3364" s="2" t="s">
        <v>8873</v>
      </c>
      <c r="B3364" s="2" t="s">
        <v>7007</v>
      </c>
      <c r="C3364" s="2" t="s">
        <v>8874</v>
      </c>
      <c r="D3364" s="2" t="s">
        <v>10055</v>
      </c>
      <c r="E3364" s="15">
        <v>6.4899999999999999E-2</v>
      </c>
      <c r="F3364" s="15">
        <v>5.7799999999999997E-2</v>
      </c>
      <c r="G3364" s="15">
        <v>0.26179999999999998</v>
      </c>
      <c r="H3364" s="15">
        <v>8.0600000000000005E-2</v>
      </c>
      <c r="I3364" s="15">
        <v>1.52E-2</v>
      </c>
      <c r="J3364" s="15">
        <v>6.1959459459459456</v>
      </c>
    </row>
    <row r="3365" spans="1:10" x14ac:dyDescent="0.25">
      <c r="A3365" s="2" t="s">
        <v>8875</v>
      </c>
      <c r="B3365" s="2" t="s">
        <v>7007</v>
      </c>
      <c r="C3365" s="2" t="s">
        <v>8876</v>
      </c>
      <c r="D3365" s="2" t="s">
        <v>10055</v>
      </c>
      <c r="E3365" s="15">
        <v>2.3199999999999998E-2</v>
      </c>
      <c r="F3365" s="15">
        <v>0.122</v>
      </c>
      <c r="G3365" s="15">
        <v>0.84930000000000005</v>
      </c>
      <c r="H3365" s="15">
        <v>2.1299999999999999E-2</v>
      </c>
      <c r="I3365" s="15">
        <v>1.3599999999999999E-2</v>
      </c>
      <c r="J3365" s="15">
        <v>1.8357142857142861</v>
      </c>
    </row>
    <row r="3366" spans="1:10" x14ac:dyDescent="0.25">
      <c r="A3366" s="2" t="s">
        <v>8877</v>
      </c>
      <c r="B3366" s="2" t="s">
        <v>7007</v>
      </c>
      <c r="C3366" s="2" t="s">
        <v>8878</v>
      </c>
      <c r="D3366" s="2" t="s">
        <v>10055</v>
      </c>
      <c r="E3366" s="15">
        <v>-8.9399999999999993E-2</v>
      </c>
      <c r="F3366" s="15">
        <v>6.0299999999999999E-2</v>
      </c>
      <c r="G3366" s="15">
        <v>0.1384</v>
      </c>
      <c r="H3366" s="15">
        <v>8.4699999999999998E-2</v>
      </c>
      <c r="I3366" s="15">
        <v>1.77E-2</v>
      </c>
      <c r="J3366" s="15">
        <v>5.2628571428571416</v>
      </c>
    </row>
    <row r="3367" spans="1:10" x14ac:dyDescent="0.25">
      <c r="A3367" s="2" t="s">
        <v>8879</v>
      </c>
      <c r="B3367" s="2" t="s">
        <v>7007</v>
      </c>
      <c r="C3367" s="2" t="s">
        <v>8880</v>
      </c>
      <c r="D3367" s="2" t="s">
        <v>10055</v>
      </c>
      <c r="E3367" s="15">
        <v>5.4000000000000003E-3</v>
      </c>
      <c r="F3367" s="15">
        <v>9.9699999999999997E-2</v>
      </c>
      <c r="G3367" s="15">
        <v>0.95699999999999996</v>
      </c>
      <c r="H3367" s="15">
        <v>3.0800000000000001E-2</v>
      </c>
      <c r="I3367" s="15">
        <v>1.4800000000000001E-2</v>
      </c>
      <c r="J3367" s="15">
        <v>2.7</v>
      </c>
    </row>
    <row r="3368" spans="1:10" x14ac:dyDescent="0.25">
      <c r="A3368" s="2" t="s">
        <v>8881</v>
      </c>
      <c r="B3368" s="2" t="s">
        <v>7007</v>
      </c>
      <c r="C3368" s="2" t="s">
        <v>8882</v>
      </c>
      <c r="D3368" s="2" t="s">
        <v>10055</v>
      </c>
      <c r="E3368" s="15">
        <v>-2.3699999999999999E-2</v>
      </c>
      <c r="F3368" s="15">
        <v>0.15379999999999999</v>
      </c>
      <c r="G3368" s="15">
        <v>0.87749999999999995</v>
      </c>
      <c r="H3368" s="15">
        <v>1.4200000000000001E-2</v>
      </c>
      <c r="I3368" s="15">
        <v>1.4800000000000001E-2</v>
      </c>
      <c r="J3368" s="15">
        <v>0.97916666666666663</v>
      </c>
    </row>
    <row r="3369" spans="1:10" x14ac:dyDescent="0.25">
      <c r="A3369" s="2" t="s">
        <v>8883</v>
      </c>
      <c r="B3369" s="2" t="s">
        <v>7007</v>
      </c>
      <c r="C3369" s="2" t="s">
        <v>8884</v>
      </c>
      <c r="D3369" s="2" t="s">
        <v>10055</v>
      </c>
      <c r="E3369" s="15">
        <v>7.7899999999999997E-2</v>
      </c>
      <c r="F3369" s="15">
        <v>6.1199999999999997E-2</v>
      </c>
      <c r="G3369" s="15">
        <v>0.2029</v>
      </c>
      <c r="H3369" s="15">
        <v>7.1999999999999995E-2</v>
      </c>
      <c r="I3369" s="15">
        <v>1.5599999999999999E-2</v>
      </c>
      <c r="J3369" s="15">
        <v>4.6442953020134228</v>
      </c>
    </row>
    <row r="3370" spans="1:10" x14ac:dyDescent="0.25">
      <c r="A3370" s="2" t="s">
        <v>8885</v>
      </c>
      <c r="B3370" s="2" t="s">
        <v>7007</v>
      </c>
      <c r="C3370" s="2" t="s">
        <v>8886</v>
      </c>
      <c r="D3370" s="2" t="s">
        <v>10055</v>
      </c>
      <c r="E3370" s="15">
        <v>-1.26E-2</v>
      </c>
      <c r="F3370" s="15">
        <v>6.54E-2</v>
      </c>
      <c r="G3370" s="15">
        <v>0.84740000000000004</v>
      </c>
      <c r="H3370" s="15">
        <v>6.3799999999999996E-2</v>
      </c>
      <c r="I3370" s="15">
        <v>1.4E-2</v>
      </c>
      <c r="J3370" s="15">
        <v>5.1014492753623193</v>
      </c>
    </row>
    <row r="3371" spans="1:10" x14ac:dyDescent="0.25">
      <c r="A3371" s="2" t="s">
        <v>8887</v>
      </c>
      <c r="B3371" s="2" t="s">
        <v>7007</v>
      </c>
      <c r="C3371" s="2" t="s">
        <v>8888</v>
      </c>
      <c r="D3371" s="2" t="s">
        <v>10055</v>
      </c>
      <c r="E3371" s="15">
        <v>-5.3100000000000001E-2</v>
      </c>
      <c r="F3371" s="15">
        <v>0.10249999999999999</v>
      </c>
      <c r="G3371" s="15">
        <v>0.60409999999999997</v>
      </c>
      <c r="H3371" s="15">
        <v>2.5499999999999998E-2</v>
      </c>
      <c r="I3371" s="15">
        <v>1.44E-2</v>
      </c>
      <c r="J3371" s="15">
        <v>1.446043165467626</v>
      </c>
    </row>
    <row r="3372" spans="1:10" x14ac:dyDescent="0.25">
      <c r="A3372" s="2" t="s">
        <v>8889</v>
      </c>
      <c r="B3372" s="2" t="s">
        <v>7007</v>
      </c>
      <c r="C3372" s="2" t="s">
        <v>8890</v>
      </c>
      <c r="D3372" s="2" t="s">
        <v>10055</v>
      </c>
      <c r="E3372" s="15">
        <v>9.4100000000000003E-2</v>
      </c>
      <c r="F3372" s="15">
        <v>7.2599999999999998E-2</v>
      </c>
      <c r="G3372" s="15">
        <v>0.1951</v>
      </c>
      <c r="H3372" s="15">
        <v>6.4199999999999993E-2</v>
      </c>
      <c r="I3372" s="15">
        <v>2.2700000000000001E-2</v>
      </c>
      <c r="J3372" s="15">
        <v>2.7008928571428572</v>
      </c>
    </row>
    <row r="3373" spans="1:10" x14ac:dyDescent="0.25">
      <c r="A3373" s="2" t="s">
        <v>8891</v>
      </c>
      <c r="B3373" s="2" t="s">
        <v>7007</v>
      </c>
      <c r="C3373" s="2" t="s">
        <v>8892</v>
      </c>
      <c r="D3373" s="2" t="s">
        <v>10055</v>
      </c>
      <c r="E3373" s="15">
        <v>-4.3799999999999999E-2</v>
      </c>
      <c r="F3373" s="15">
        <v>7.3200000000000001E-2</v>
      </c>
      <c r="G3373" s="15">
        <v>0.55010000000000003</v>
      </c>
      <c r="H3373" s="15">
        <v>5.9200000000000003E-2</v>
      </c>
      <c r="I3373" s="15">
        <v>1.5900000000000001E-2</v>
      </c>
      <c r="J3373" s="15">
        <v>3.967741935483871</v>
      </c>
    </row>
    <row r="3374" spans="1:10" x14ac:dyDescent="0.25">
      <c r="A3374" s="2" t="s">
        <v>8893</v>
      </c>
      <c r="B3374" s="2" t="s">
        <v>7007</v>
      </c>
      <c r="C3374" s="2" t="s">
        <v>8894</v>
      </c>
      <c r="D3374" s="2" t="s">
        <v>10055</v>
      </c>
      <c r="E3374" s="15">
        <v>0.14460000000000001</v>
      </c>
      <c r="F3374" s="15">
        <v>0.1075</v>
      </c>
      <c r="G3374" s="15">
        <v>0.17879999999999999</v>
      </c>
      <c r="H3374" s="15">
        <v>2.7199999999999998E-2</v>
      </c>
      <c r="I3374" s="15">
        <v>1.52E-2</v>
      </c>
      <c r="J3374" s="15">
        <v>1.64968152866242</v>
      </c>
    </row>
    <row r="3375" spans="1:10" x14ac:dyDescent="0.25">
      <c r="A3375" s="2" t="s">
        <v>8895</v>
      </c>
      <c r="B3375" s="2" t="s">
        <v>7007</v>
      </c>
      <c r="C3375" s="2" t="s">
        <v>8896</v>
      </c>
      <c r="D3375" s="2" t="s">
        <v>10055</v>
      </c>
      <c r="E3375" s="15">
        <v>-0.1246</v>
      </c>
      <c r="F3375" s="15">
        <v>7.0099999999999996E-2</v>
      </c>
      <c r="G3375" s="15">
        <v>7.5499999999999998E-2</v>
      </c>
      <c r="H3375" s="15">
        <v>7.4899999999999994E-2</v>
      </c>
      <c r="I3375" s="15">
        <v>1.66E-2</v>
      </c>
      <c r="J3375" s="15">
        <v>5.2532467532467528</v>
      </c>
    </row>
    <row r="3376" spans="1:10" x14ac:dyDescent="0.25">
      <c r="A3376" s="2" t="s">
        <v>8897</v>
      </c>
      <c r="B3376" s="2" t="s">
        <v>7007</v>
      </c>
      <c r="C3376" s="2" t="s">
        <v>8898</v>
      </c>
      <c r="D3376" s="2" t="s">
        <v>10055</v>
      </c>
      <c r="E3376" s="15">
        <v>-0.2195</v>
      </c>
      <c r="F3376" s="15">
        <v>0.19059999999999999</v>
      </c>
      <c r="G3376" s="15">
        <v>0.2495</v>
      </c>
      <c r="H3376" s="15">
        <v>1.35E-2</v>
      </c>
      <c r="I3376" s="15">
        <v>1.34E-2</v>
      </c>
      <c r="J3376" s="15">
        <v>0.90624999999999989</v>
      </c>
    </row>
    <row r="3377" spans="1:10" x14ac:dyDescent="0.25">
      <c r="A3377" s="2" t="s">
        <v>8899</v>
      </c>
      <c r="B3377" s="2" t="s">
        <v>7007</v>
      </c>
      <c r="C3377" s="2" t="s">
        <v>8900</v>
      </c>
      <c r="D3377" s="2" t="s">
        <v>10055</v>
      </c>
      <c r="E3377" s="15">
        <v>6.7599999999999993E-2</v>
      </c>
      <c r="F3377" s="15">
        <v>0.10630000000000001</v>
      </c>
      <c r="G3377" s="15">
        <v>0.52500000000000002</v>
      </c>
      <c r="H3377" s="15">
        <v>2.46E-2</v>
      </c>
      <c r="I3377" s="15">
        <v>1.3899999999999999E-2</v>
      </c>
      <c r="J3377" s="15">
        <v>1.832116788321168</v>
      </c>
    </row>
    <row r="3378" spans="1:10" x14ac:dyDescent="0.25">
      <c r="A3378" s="2" t="s">
        <v>8901</v>
      </c>
      <c r="B3378" s="2" t="s">
        <v>7007</v>
      </c>
      <c r="C3378" s="2" t="s">
        <v>8902</v>
      </c>
      <c r="D3378" s="2" t="s">
        <v>10055</v>
      </c>
      <c r="E3378" s="15">
        <v>-6.9000000000000006E-2</v>
      </c>
      <c r="F3378" s="15">
        <v>7.5399999999999995E-2</v>
      </c>
      <c r="G3378" s="15">
        <v>0.35959999999999998</v>
      </c>
      <c r="H3378" s="15">
        <v>4.9000000000000002E-2</v>
      </c>
      <c r="I3378" s="15">
        <v>1.4999999999999999E-2</v>
      </c>
      <c r="J3378" s="15">
        <v>4</v>
      </c>
    </row>
    <row r="3379" spans="1:10" x14ac:dyDescent="0.25">
      <c r="A3379" s="2" t="s">
        <v>8903</v>
      </c>
      <c r="B3379" s="2" t="s">
        <v>7007</v>
      </c>
      <c r="C3379" s="2" t="s">
        <v>8904</v>
      </c>
      <c r="D3379" s="2" t="s">
        <v>10055</v>
      </c>
      <c r="E3379" s="15"/>
      <c r="F3379" s="15"/>
      <c r="G3379" s="15"/>
      <c r="H3379" s="15">
        <v>-7.1000000000000004E-3</v>
      </c>
      <c r="I3379" s="15">
        <v>1.34E-2</v>
      </c>
      <c r="J3379" s="15">
        <v>-0.48484848484848492</v>
      </c>
    </row>
    <row r="3380" spans="1:10" x14ac:dyDescent="0.25">
      <c r="A3380" s="2" t="s">
        <v>8905</v>
      </c>
      <c r="B3380" s="2" t="s">
        <v>7007</v>
      </c>
      <c r="C3380" s="2" t="s">
        <v>8906</v>
      </c>
      <c r="D3380" s="2" t="s">
        <v>10055</v>
      </c>
      <c r="E3380" s="15">
        <v>-5.3199999999999997E-2</v>
      </c>
      <c r="F3380" s="15">
        <v>7.4800000000000005E-2</v>
      </c>
      <c r="G3380" s="15">
        <v>0.47710000000000002</v>
      </c>
      <c r="H3380" s="15">
        <v>5.3800000000000001E-2</v>
      </c>
      <c r="I3380" s="15">
        <v>1.43E-2</v>
      </c>
      <c r="J3380" s="15">
        <v>4.1304347826086962</v>
      </c>
    </row>
    <row r="3381" spans="1:10" x14ac:dyDescent="0.25">
      <c r="A3381" s="2" t="s">
        <v>8907</v>
      </c>
      <c r="B3381" s="2" t="s">
        <v>7007</v>
      </c>
      <c r="C3381" s="2" t="s">
        <v>8908</v>
      </c>
      <c r="D3381" s="2" t="s">
        <v>10055</v>
      </c>
      <c r="E3381" s="15">
        <v>-2.1499999999999998E-2</v>
      </c>
      <c r="F3381" s="15">
        <v>4.7699999999999999E-2</v>
      </c>
      <c r="G3381" s="15">
        <v>0.65229999999999999</v>
      </c>
      <c r="H3381" s="15">
        <v>0.17680000000000001</v>
      </c>
      <c r="I3381" s="15">
        <v>2.1000000000000001E-2</v>
      </c>
      <c r="J3381" s="15">
        <v>9.0149253731343286</v>
      </c>
    </row>
    <row r="3382" spans="1:10" x14ac:dyDescent="0.25">
      <c r="A3382" s="2" t="s">
        <v>8909</v>
      </c>
      <c r="B3382" s="2" t="s">
        <v>7007</v>
      </c>
      <c r="C3382" s="2" t="s">
        <v>8910</v>
      </c>
      <c r="D3382" s="2" t="s">
        <v>10055</v>
      </c>
      <c r="E3382" s="15">
        <v>-0.19009999999999999</v>
      </c>
      <c r="F3382" s="15">
        <v>0.1326</v>
      </c>
      <c r="G3382" s="15">
        <v>0.15179999999999999</v>
      </c>
      <c r="H3382" s="15">
        <v>1.8499999999999999E-2</v>
      </c>
      <c r="I3382" s="15">
        <v>1.3100000000000001E-2</v>
      </c>
      <c r="J3382" s="15">
        <v>1.5234375</v>
      </c>
    </row>
    <row r="3383" spans="1:10" x14ac:dyDescent="0.25">
      <c r="A3383" s="2" t="s">
        <v>8911</v>
      </c>
      <c r="B3383" s="2" t="s">
        <v>7007</v>
      </c>
      <c r="C3383" s="2" t="s">
        <v>8912</v>
      </c>
      <c r="D3383" s="2" t="s">
        <v>10055</v>
      </c>
      <c r="E3383" s="15">
        <v>1.4800000000000001E-2</v>
      </c>
      <c r="F3383" s="15">
        <v>5.79E-2</v>
      </c>
      <c r="G3383" s="15">
        <v>0.79800000000000004</v>
      </c>
      <c r="H3383" s="15">
        <v>0.1041</v>
      </c>
      <c r="I3383" s="15">
        <v>1.5800000000000002E-2</v>
      </c>
      <c r="J3383" s="15">
        <v>6.3832335329341321</v>
      </c>
    </row>
    <row r="3384" spans="1:10" x14ac:dyDescent="0.25">
      <c r="A3384" s="2" t="s">
        <v>8913</v>
      </c>
      <c r="B3384" s="2" t="s">
        <v>7007</v>
      </c>
      <c r="C3384" s="2" t="s">
        <v>8914</v>
      </c>
      <c r="D3384" s="2" t="s">
        <v>10055</v>
      </c>
      <c r="E3384" s="15"/>
      <c r="F3384" s="15"/>
      <c r="G3384" s="15"/>
      <c r="H3384" s="15"/>
      <c r="I3384" s="15"/>
      <c r="J3384" s="15">
        <v>0.28260869565217389</v>
      </c>
    </row>
    <row r="3385" spans="1:10" x14ac:dyDescent="0.25">
      <c r="A3385" s="2" t="s">
        <v>8915</v>
      </c>
      <c r="B3385" s="2" t="s">
        <v>7007</v>
      </c>
      <c r="C3385" s="2" t="s">
        <v>8916</v>
      </c>
      <c r="D3385" s="2" t="s">
        <v>10055</v>
      </c>
      <c r="E3385" s="15">
        <v>-4.7199999999999999E-2</v>
      </c>
      <c r="F3385" s="15">
        <v>8.0399999999999999E-2</v>
      </c>
      <c r="G3385" s="15">
        <v>0.55659999999999998</v>
      </c>
      <c r="H3385" s="15">
        <v>4.9599999999999998E-2</v>
      </c>
      <c r="I3385" s="15">
        <v>1.6E-2</v>
      </c>
      <c r="J3385" s="15">
        <v>3.2684563758389258</v>
      </c>
    </row>
    <row r="3386" spans="1:10" x14ac:dyDescent="0.25">
      <c r="A3386" s="2" t="s">
        <v>8917</v>
      </c>
      <c r="B3386" s="2" t="s">
        <v>7007</v>
      </c>
      <c r="C3386" s="2" t="s">
        <v>8918</v>
      </c>
      <c r="D3386" s="2" t="s">
        <v>10055</v>
      </c>
      <c r="E3386" s="15">
        <v>1.7899999999999999E-2</v>
      </c>
      <c r="F3386" s="15">
        <v>6.4100000000000004E-2</v>
      </c>
      <c r="G3386" s="15">
        <v>0.7802</v>
      </c>
      <c r="H3386" s="15">
        <v>7.9399999999999998E-2</v>
      </c>
      <c r="I3386" s="15">
        <v>1.8499999999999999E-2</v>
      </c>
      <c r="J3386" s="15">
        <v>5.1490683229813667</v>
      </c>
    </row>
    <row r="3387" spans="1:10" x14ac:dyDescent="0.25">
      <c r="A3387" s="2" t="s">
        <v>8919</v>
      </c>
      <c r="B3387" s="2" t="s">
        <v>7007</v>
      </c>
      <c r="C3387" s="2" t="s">
        <v>8920</v>
      </c>
      <c r="D3387" s="2" t="s">
        <v>10055</v>
      </c>
      <c r="E3387" s="15">
        <v>-2.64E-2</v>
      </c>
      <c r="F3387" s="15">
        <v>5.4800000000000001E-2</v>
      </c>
      <c r="G3387" s="15">
        <v>0.62960000000000005</v>
      </c>
      <c r="H3387" s="15">
        <v>0.1179</v>
      </c>
      <c r="I3387" s="15">
        <v>1.7399999999999999E-2</v>
      </c>
      <c r="J3387" s="15">
        <v>6.8370786516853936</v>
      </c>
    </row>
    <row r="3388" spans="1:10" x14ac:dyDescent="0.25">
      <c r="A3388" s="2" t="s">
        <v>8921</v>
      </c>
      <c r="B3388" s="2" t="s">
        <v>7007</v>
      </c>
      <c r="C3388" s="2" t="s">
        <v>8922</v>
      </c>
      <c r="D3388" s="2" t="s">
        <v>10055</v>
      </c>
      <c r="E3388" s="15">
        <v>-3.7100000000000001E-2</v>
      </c>
      <c r="F3388" s="15">
        <v>6.7400000000000002E-2</v>
      </c>
      <c r="G3388" s="15">
        <v>0.58250000000000002</v>
      </c>
      <c r="H3388" s="15">
        <v>7.9299999999999995E-2</v>
      </c>
      <c r="I3388" s="15">
        <v>1.66E-2</v>
      </c>
      <c r="J3388" s="15">
        <v>5.8674698795180724</v>
      </c>
    </row>
    <row r="3389" spans="1:10" x14ac:dyDescent="0.25">
      <c r="A3389" s="2" t="s">
        <v>8923</v>
      </c>
      <c r="B3389" s="2" t="s">
        <v>7007</v>
      </c>
      <c r="C3389" s="2" t="s">
        <v>8924</v>
      </c>
      <c r="D3389" s="2" t="s">
        <v>10055</v>
      </c>
      <c r="E3389" s="15">
        <v>3.8899999999999997E-2</v>
      </c>
      <c r="F3389" s="15">
        <v>6.4000000000000001E-2</v>
      </c>
      <c r="G3389" s="15">
        <v>0.54310000000000003</v>
      </c>
      <c r="H3389" s="15">
        <v>7.3300000000000004E-2</v>
      </c>
      <c r="I3389" s="15">
        <v>1.6E-2</v>
      </c>
      <c r="J3389" s="15">
        <v>4.9294871794871797</v>
      </c>
    </row>
    <row r="3390" spans="1:10" x14ac:dyDescent="0.25">
      <c r="A3390" s="2" t="s">
        <v>8925</v>
      </c>
      <c r="B3390" s="2" t="s">
        <v>7007</v>
      </c>
      <c r="C3390" s="2" t="s">
        <v>8926</v>
      </c>
      <c r="D3390" s="2" t="s">
        <v>10055</v>
      </c>
      <c r="E3390" s="15">
        <v>5.91E-2</v>
      </c>
      <c r="F3390" s="15">
        <v>0.18459999999999999</v>
      </c>
      <c r="G3390" s="15">
        <v>0.74880000000000002</v>
      </c>
      <c r="H3390" s="15">
        <v>1.0999999999999999E-2</v>
      </c>
      <c r="I3390" s="15">
        <v>1.4800000000000001E-2</v>
      </c>
      <c r="J3390" s="15">
        <v>0.75862068965517238</v>
      </c>
    </row>
    <row r="3391" spans="1:10" x14ac:dyDescent="0.25">
      <c r="A3391" s="2" t="s">
        <v>8927</v>
      </c>
      <c r="B3391" s="2" t="s">
        <v>7007</v>
      </c>
      <c r="C3391" s="2" t="s">
        <v>8928</v>
      </c>
      <c r="D3391" s="2" t="s">
        <v>10055</v>
      </c>
      <c r="E3391" s="15">
        <v>6.4500000000000002E-2</v>
      </c>
      <c r="F3391" s="15">
        <v>4.8800000000000003E-2</v>
      </c>
      <c r="G3391" s="15">
        <v>0.1862</v>
      </c>
      <c r="H3391" s="15">
        <v>0.1399</v>
      </c>
      <c r="I3391" s="15">
        <v>2.1899999999999999E-2</v>
      </c>
      <c r="J3391" s="15">
        <v>6.965686274509804</v>
      </c>
    </row>
    <row r="3392" spans="1:10" x14ac:dyDescent="0.25">
      <c r="A3392" s="2" t="s">
        <v>8929</v>
      </c>
      <c r="B3392" s="2" t="s">
        <v>7007</v>
      </c>
      <c r="C3392" s="2" t="s">
        <v>8930</v>
      </c>
      <c r="D3392" s="2" t="s">
        <v>10055</v>
      </c>
      <c r="E3392" s="15"/>
      <c r="F3392" s="15"/>
      <c r="G3392" s="15"/>
      <c r="H3392" s="15"/>
      <c r="I3392" s="15"/>
      <c r="J3392" s="15">
        <v>-0.1126760563380282</v>
      </c>
    </row>
    <row r="3393" spans="1:10" x14ac:dyDescent="0.25">
      <c r="A3393" s="2" t="s">
        <v>8931</v>
      </c>
      <c r="B3393" s="2" t="s">
        <v>7007</v>
      </c>
      <c r="C3393" s="2" t="s">
        <v>8932</v>
      </c>
      <c r="D3393" s="2" t="s">
        <v>10055</v>
      </c>
      <c r="E3393" s="15">
        <v>8.0600000000000005E-2</v>
      </c>
      <c r="F3393" s="15">
        <v>7.2300000000000003E-2</v>
      </c>
      <c r="G3393" s="15">
        <v>0.26529999999999998</v>
      </c>
      <c r="H3393" s="15">
        <v>5.45E-2</v>
      </c>
      <c r="I3393" s="15">
        <v>1.49E-2</v>
      </c>
      <c r="J3393" s="15">
        <v>4.5</v>
      </c>
    </row>
    <row r="3394" spans="1:10" x14ac:dyDescent="0.25">
      <c r="A3394" s="2" t="s">
        <v>8933</v>
      </c>
      <c r="B3394" s="2" t="s">
        <v>7007</v>
      </c>
      <c r="C3394" s="2" t="s">
        <v>8934</v>
      </c>
      <c r="D3394" s="2" t="s">
        <v>10055</v>
      </c>
      <c r="E3394" s="15">
        <v>4.0000000000000002E-4</v>
      </c>
      <c r="F3394" s="15">
        <v>0.13669999999999999</v>
      </c>
      <c r="G3394" s="15">
        <v>0.99790000000000001</v>
      </c>
      <c r="H3394" s="15">
        <v>1.4999999999999999E-2</v>
      </c>
      <c r="I3394" s="15">
        <v>1.29E-2</v>
      </c>
      <c r="J3394" s="15">
        <v>1.1085271317829459</v>
      </c>
    </row>
    <row r="3395" spans="1:10" x14ac:dyDescent="0.25">
      <c r="A3395" s="2" t="s">
        <v>8935</v>
      </c>
      <c r="B3395" s="2" t="s">
        <v>7007</v>
      </c>
      <c r="C3395" s="2" t="s">
        <v>8936</v>
      </c>
      <c r="D3395" s="2" t="s">
        <v>10055</v>
      </c>
      <c r="E3395" s="15">
        <v>-6.7000000000000002E-3</v>
      </c>
      <c r="F3395" s="15">
        <v>6.4399999999999999E-2</v>
      </c>
      <c r="G3395" s="15">
        <v>0.91710000000000003</v>
      </c>
      <c r="H3395" s="15">
        <v>8.2100000000000006E-2</v>
      </c>
      <c r="I3395" s="15">
        <v>1.8200000000000001E-2</v>
      </c>
      <c r="J3395" s="15">
        <v>4.6071428571428577</v>
      </c>
    </row>
    <row r="3396" spans="1:10" x14ac:dyDescent="0.25">
      <c r="A3396" s="2" t="s">
        <v>8937</v>
      </c>
      <c r="B3396" s="2" t="s">
        <v>7007</v>
      </c>
      <c r="C3396" s="2" t="s">
        <v>8938</v>
      </c>
      <c r="D3396" s="2" t="s">
        <v>10055</v>
      </c>
      <c r="E3396" s="15">
        <v>-3.1800000000000002E-2</v>
      </c>
      <c r="F3396" s="15">
        <v>9.1300000000000006E-2</v>
      </c>
      <c r="G3396" s="15">
        <v>0.72789999999999999</v>
      </c>
      <c r="H3396" s="15">
        <v>3.1199999999999999E-2</v>
      </c>
      <c r="I3396" s="15">
        <v>1.4E-2</v>
      </c>
      <c r="J3396" s="15">
        <v>2.8</v>
      </c>
    </row>
    <row r="3397" spans="1:10" x14ac:dyDescent="0.25">
      <c r="A3397" s="2" t="s">
        <v>8939</v>
      </c>
      <c r="B3397" s="2" t="s">
        <v>7007</v>
      </c>
      <c r="C3397" s="2" t="s">
        <v>8940</v>
      </c>
      <c r="D3397" s="2" t="s">
        <v>10055</v>
      </c>
      <c r="E3397" s="15">
        <v>1.3100000000000001E-2</v>
      </c>
      <c r="F3397" s="15">
        <v>5.5599999999999997E-2</v>
      </c>
      <c r="G3397" s="15">
        <v>0.81340000000000001</v>
      </c>
      <c r="H3397" s="15">
        <v>9.8400000000000001E-2</v>
      </c>
      <c r="I3397" s="15">
        <v>1.7399999999999999E-2</v>
      </c>
      <c r="J3397" s="15">
        <v>6.5151515151515147</v>
      </c>
    </row>
    <row r="3398" spans="1:10" x14ac:dyDescent="0.25">
      <c r="A3398" s="2" t="s">
        <v>8941</v>
      </c>
      <c r="B3398" s="2" t="s">
        <v>7007</v>
      </c>
      <c r="C3398" s="2" t="s">
        <v>8942</v>
      </c>
      <c r="D3398" s="2" t="s">
        <v>10055</v>
      </c>
      <c r="E3398" s="15">
        <v>4.2900000000000001E-2</v>
      </c>
      <c r="F3398" s="15">
        <v>0.15659999999999999</v>
      </c>
      <c r="G3398" s="15">
        <v>0.78390000000000004</v>
      </c>
      <c r="H3398" s="15">
        <v>1.15E-2</v>
      </c>
      <c r="I3398" s="15">
        <v>1.4500000000000001E-2</v>
      </c>
      <c r="J3398" s="15">
        <v>1.1489361702127661</v>
      </c>
    </row>
    <row r="3399" spans="1:10" x14ac:dyDescent="0.25">
      <c r="A3399" s="2" t="s">
        <v>8943</v>
      </c>
      <c r="B3399" s="2" t="s">
        <v>7007</v>
      </c>
      <c r="C3399" s="2" t="s">
        <v>8944</v>
      </c>
      <c r="D3399" s="2" t="s">
        <v>10055</v>
      </c>
      <c r="E3399" s="15">
        <v>3.78E-2</v>
      </c>
      <c r="F3399" s="15">
        <v>0.1137</v>
      </c>
      <c r="G3399" s="15">
        <v>0.73980000000000001</v>
      </c>
      <c r="H3399" s="15">
        <v>2.4400000000000002E-2</v>
      </c>
      <c r="I3399" s="15">
        <v>1.4999999999999999E-2</v>
      </c>
      <c r="J3399" s="15">
        <v>1.779310344827586</v>
      </c>
    </row>
    <row r="3400" spans="1:10" x14ac:dyDescent="0.25">
      <c r="A3400" s="2" t="s">
        <v>8945</v>
      </c>
      <c r="B3400" s="2" t="s">
        <v>7007</v>
      </c>
      <c r="C3400" s="2" t="s">
        <v>8946</v>
      </c>
      <c r="D3400" s="2" t="s">
        <v>10055</v>
      </c>
      <c r="E3400" s="15">
        <v>-2.1700000000000001E-2</v>
      </c>
      <c r="F3400" s="15">
        <v>6.3399999999999998E-2</v>
      </c>
      <c r="G3400" s="15">
        <v>0.73270000000000002</v>
      </c>
      <c r="H3400" s="15">
        <v>8.2299999999999998E-2</v>
      </c>
      <c r="I3400" s="15">
        <v>1.44E-2</v>
      </c>
      <c r="J3400" s="15">
        <v>5.6478873239436611</v>
      </c>
    </row>
    <row r="3401" spans="1:10" x14ac:dyDescent="0.25">
      <c r="A3401" s="2" t="s">
        <v>8947</v>
      </c>
      <c r="B3401" s="2" t="s">
        <v>7007</v>
      </c>
      <c r="C3401" s="2" t="s">
        <v>8948</v>
      </c>
      <c r="D3401" s="2" t="s">
        <v>10055</v>
      </c>
      <c r="E3401" s="15">
        <v>7.4399999999999994E-2</v>
      </c>
      <c r="F3401" s="15">
        <v>6.3899999999999998E-2</v>
      </c>
      <c r="G3401" s="15">
        <v>0.2445</v>
      </c>
      <c r="H3401" s="15">
        <v>8.0799999999999997E-2</v>
      </c>
      <c r="I3401" s="15">
        <v>1.6500000000000001E-2</v>
      </c>
      <c r="J3401" s="15">
        <v>4.6392405063291138</v>
      </c>
    </row>
    <row r="3402" spans="1:10" x14ac:dyDescent="0.25">
      <c r="A3402" s="2" t="s">
        <v>8949</v>
      </c>
      <c r="B3402" s="2" t="s">
        <v>7007</v>
      </c>
      <c r="C3402" s="2" t="s">
        <v>8950</v>
      </c>
      <c r="D3402" s="2" t="s">
        <v>10055</v>
      </c>
      <c r="E3402" s="15">
        <v>0.1792</v>
      </c>
      <c r="F3402" s="15">
        <v>0.16950000000000001</v>
      </c>
      <c r="G3402" s="15">
        <v>0.29060000000000002</v>
      </c>
      <c r="H3402" s="15">
        <v>1.32E-2</v>
      </c>
      <c r="I3402" s="15">
        <v>1.4E-2</v>
      </c>
      <c r="J3402" s="15">
        <v>1.3656716417910451</v>
      </c>
    </row>
    <row r="3403" spans="1:10" x14ac:dyDescent="0.25">
      <c r="A3403" s="2" t="s">
        <v>8951</v>
      </c>
      <c r="B3403" s="2" t="s">
        <v>7007</v>
      </c>
      <c r="C3403" s="2" t="s">
        <v>8952</v>
      </c>
      <c r="D3403" s="2" t="s">
        <v>10055</v>
      </c>
      <c r="E3403" s="15">
        <v>-2.1000000000000001E-2</v>
      </c>
      <c r="F3403" s="15">
        <v>5.9499999999999997E-2</v>
      </c>
      <c r="G3403" s="15">
        <v>0.72419999999999995</v>
      </c>
      <c r="H3403" s="15">
        <v>7.7100000000000002E-2</v>
      </c>
      <c r="I3403" s="15">
        <v>1.5599999999999999E-2</v>
      </c>
      <c r="J3403" s="15">
        <v>5.4709677419354836</v>
      </c>
    </row>
    <row r="3404" spans="1:10" x14ac:dyDescent="0.25">
      <c r="A3404" s="2" t="s">
        <v>8953</v>
      </c>
      <c r="B3404" s="2" t="s">
        <v>7007</v>
      </c>
      <c r="C3404" s="2" t="s">
        <v>8954</v>
      </c>
      <c r="D3404" s="2" t="s">
        <v>10055</v>
      </c>
      <c r="E3404" s="15">
        <v>5.4100000000000002E-2</v>
      </c>
      <c r="F3404" s="15">
        <v>6.4600000000000005E-2</v>
      </c>
      <c r="G3404" s="15">
        <v>0.4027</v>
      </c>
      <c r="H3404" s="15">
        <v>8.4199999999999997E-2</v>
      </c>
      <c r="I3404" s="15">
        <v>1.78E-2</v>
      </c>
      <c r="J3404" s="15">
        <v>5.0628571428571423</v>
      </c>
    </row>
    <row r="3405" spans="1:10" x14ac:dyDescent="0.25">
      <c r="A3405" s="2" t="s">
        <v>8955</v>
      </c>
      <c r="B3405" s="2" t="s">
        <v>7007</v>
      </c>
      <c r="C3405" s="2" t="s">
        <v>8956</v>
      </c>
      <c r="D3405" s="2" t="s">
        <v>10055</v>
      </c>
      <c r="E3405" s="15">
        <v>4.5499999999999999E-2</v>
      </c>
      <c r="F3405" s="15">
        <v>5.0900000000000001E-2</v>
      </c>
      <c r="G3405" s="15">
        <v>0.37169999999999997</v>
      </c>
      <c r="H3405" s="15">
        <v>0.112</v>
      </c>
      <c r="I3405" s="15">
        <v>1.7299999999999999E-2</v>
      </c>
      <c r="J3405" s="15">
        <v>6.8128654970760234</v>
      </c>
    </row>
    <row r="3406" spans="1:10" x14ac:dyDescent="0.25">
      <c r="A3406" s="2" t="s">
        <v>8957</v>
      </c>
      <c r="B3406" s="2" t="s">
        <v>7007</v>
      </c>
      <c r="C3406" s="2" t="s">
        <v>8958</v>
      </c>
      <c r="D3406" s="2" t="s">
        <v>10055</v>
      </c>
      <c r="E3406" s="15">
        <v>-0.15010000000000001</v>
      </c>
      <c r="F3406" s="15">
        <v>0.33789999999999998</v>
      </c>
      <c r="G3406" s="15">
        <v>0.65680000000000005</v>
      </c>
      <c r="H3406" s="15">
        <v>5.5999999999999999E-3</v>
      </c>
      <c r="I3406" s="15">
        <v>1.47E-2</v>
      </c>
      <c r="J3406" s="15">
        <v>1.2905405405405399</v>
      </c>
    </row>
    <row r="3407" spans="1:10" x14ac:dyDescent="0.25">
      <c r="A3407" s="2" t="s">
        <v>8959</v>
      </c>
      <c r="B3407" s="2" t="s">
        <v>7007</v>
      </c>
      <c r="C3407" s="2" t="s">
        <v>8960</v>
      </c>
      <c r="D3407" s="2" t="s">
        <v>10055</v>
      </c>
      <c r="E3407" s="15">
        <v>-3.8399999999999997E-2</v>
      </c>
      <c r="F3407" s="15">
        <v>5.5199999999999999E-2</v>
      </c>
      <c r="G3407" s="15">
        <v>0.48659999999999998</v>
      </c>
      <c r="H3407" s="15">
        <v>0.1043</v>
      </c>
      <c r="I3407" s="15">
        <v>1.5800000000000002E-2</v>
      </c>
      <c r="J3407" s="15">
        <v>7.7364864864864868</v>
      </c>
    </row>
    <row r="3408" spans="1:10" x14ac:dyDescent="0.25">
      <c r="A3408" s="2" t="s">
        <v>8961</v>
      </c>
      <c r="B3408" s="2" t="s">
        <v>7007</v>
      </c>
      <c r="C3408" s="2" t="s">
        <v>8962</v>
      </c>
      <c r="D3408" s="2" t="s">
        <v>10055</v>
      </c>
      <c r="E3408" s="15">
        <v>3.3599999999999998E-2</v>
      </c>
      <c r="F3408" s="15">
        <v>0.1303</v>
      </c>
      <c r="G3408" s="15">
        <v>0.7964</v>
      </c>
      <c r="H3408" s="15">
        <v>1.6E-2</v>
      </c>
      <c r="I3408" s="15">
        <v>1.4200000000000001E-2</v>
      </c>
      <c r="J3408" s="15">
        <v>1.444444444444444</v>
      </c>
    </row>
    <row r="3409" spans="1:10" x14ac:dyDescent="0.25">
      <c r="A3409" s="2" t="s">
        <v>8963</v>
      </c>
      <c r="B3409" s="2" t="s">
        <v>7007</v>
      </c>
      <c r="C3409" s="2" t="s">
        <v>8964</v>
      </c>
      <c r="D3409" s="2" t="s">
        <v>10055</v>
      </c>
      <c r="E3409" s="15">
        <v>7.22E-2</v>
      </c>
      <c r="F3409" s="15">
        <v>5.9200000000000003E-2</v>
      </c>
      <c r="G3409" s="15">
        <v>0.2225</v>
      </c>
      <c r="H3409" s="15">
        <v>9.69E-2</v>
      </c>
      <c r="I3409" s="15">
        <v>1.7999999999999999E-2</v>
      </c>
      <c r="J3409" s="15">
        <v>5.6647058823529406</v>
      </c>
    </row>
    <row r="3410" spans="1:10" x14ac:dyDescent="0.25">
      <c r="A3410" s="2" t="s">
        <v>8965</v>
      </c>
      <c r="B3410" s="2" t="s">
        <v>7007</v>
      </c>
      <c r="C3410" s="2" t="s">
        <v>8966</v>
      </c>
      <c r="D3410" s="2" t="s">
        <v>10055</v>
      </c>
      <c r="E3410" s="15">
        <v>-9.4100000000000003E-2</v>
      </c>
      <c r="F3410" s="15">
        <v>8.77E-2</v>
      </c>
      <c r="G3410" s="15">
        <v>0.2833</v>
      </c>
      <c r="H3410" s="15">
        <v>4.36E-2</v>
      </c>
      <c r="I3410" s="15">
        <v>1.4800000000000001E-2</v>
      </c>
      <c r="J3410" s="15">
        <v>3.5069444444444451</v>
      </c>
    </row>
    <row r="3411" spans="1:10" x14ac:dyDescent="0.25">
      <c r="A3411" s="2" t="s">
        <v>8967</v>
      </c>
      <c r="B3411" s="2" t="s">
        <v>7007</v>
      </c>
      <c r="C3411" s="2" t="s">
        <v>8968</v>
      </c>
      <c r="D3411" s="2" t="s">
        <v>10055</v>
      </c>
      <c r="E3411" s="15">
        <v>-0.16950000000000001</v>
      </c>
      <c r="F3411" s="15">
        <v>0.1623</v>
      </c>
      <c r="G3411" s="15">
        <v>0.29630000000000001</v>
      </c>
      <c r="H3411" s="15">
        <v>1.6899999999999998E-2</v>
      </c>
      <c r="I3411" s="15">
        <v>1.3299999999999999E-2</v>
      </c>
      <c r="J3411" s="15">
        <v>1.8296296296296299</v>
      </c>
    </row>
    <row r="3412" spans="1:10" x14ac:dyDescent="0.25">
      <c r="A3412" s="2" t="s">
        <v>8969</v>
      </c>
      <c r="B3412" s="2" t="s">
        <v>7007</v>
      </c>
      <c r="C3412" s="2" t="s">
        <v>8970</v>
      </c>
      <c r="D3412" s="2" t="s">
        <v>10055</v>
      </c>
      <c r="E3412" s="15">
        <v>-0.25540000000000002</v>
      </c>
      <c r="F3412" s="15">
        <v>0.09</v>
      </c>
      <c r="G3412" s="15">
        <v>4.4999999999999997E-3</v>
      </c>
      <c r="H3412" s="15">
        <v>4.4900000000000002E-2</v>
      </c>
      <c r="I3412" s="15">
        <v>1.5599999999999999E-2</v>
      </c>
      <c r="J3412" s="15">
        <v>2.948387096774193</v>
      </c>
    </row>
    <row r="3413" spans="1:10" x14ac:dyDescent="0.25">
      <c r="A3413" s="2" t="s">
        <v>8971</v>
      </c>
      <c r="B3413" s="2" t="s">
        <v>7007</v>
      </c>
      <c r="C3413" s="2" t="s">
        <v>8972</v>
      </c>
      <c r="D3413" s="2" t="s">
        <v>10055</v>
      </c>
      <c r="E3413" s="15">
        <v>-2.5399999999999999E-2</v>
      </c>
      <c r="F3413" s="15">
        <v>5.3999999999999999E-2</v>
      </c>
      <c r="G3413" s="15">
        <v>0.63780000000000003</v>
      </c>
      <c r="H3413" s="15">
        <v>9.8900000000000002E-2</v>
      </c>
      <c r="I3413" s="15">
        <v>1.54E-2</v>
      </c>
      <c r="J3413" s="15">
        <v>6.8689655172413788</v>
      </c>
    </row>
    <row r="3414" spans="1:10" x14ac:dyDescent="0.25">
      <c r="A3414" s="2" t="s">
        <v>8973</v>
      </c>
      <c r="B3414" s="2" t="s">
        <v>7007</v>
      </c>
      <c r="C3414" s="2" t="s">
        <v>8974</v>
      </c>
      <c r="D3414" s="2" t="s">
        <v>10055</v>
      </c>
      <c r="E3414" s="15">
        <v>-0.15720000000000001</v>
      </c>
      <c r="F3414" s="15">
        <v>0.128</v>
      </c>
      <c r="G3414" s="15">
        <v>0.2195</v>
      </c>
      <c r="H3414" s="15">
        <v>2.0400000000000001E-2</v>
      </c>
      <c r="I3414" s="15">
        <v>1.29E-2</v>
      </c>
      <c r="J3414" s="15">
        <v>1.8080000000000001</v>
      </c>
    </row>
    <row r="3415" spans="1:10" x14ac:dyDescent="0.25">
      <c r="A3415" s="2" t="s">
        <v>8975</v>
      </c>
      <c r="B3415" s="2" t="s">
        <v>7007</v>
      </c>
      <c r="C3415" s="2" t="s">
        <v>8976</v>
      </c>
      <c r="D3415" s="2" t="s">
        <v>10055</v>
      </c>
      <c r="E3415" s="15">
        <v>-1.4800000000000001E-2</v>
      </c>
      <c r="F3415" s="15">
        <v>5.5E-2</v>
      </c>
      <c r="G3415" s="15">
        <v>0.78839999999999999</v>
      </c>
      <c r="H3415" s="15">
        <v>9.5600000000000004E-2</v>
      </c>
      <c r="I3415" s="15">
        <v>1.7500000000000002E-2</v>
      </c>
      <c r="J3415" s="15">
        <v>5.5212121212121206</v>
      </c>
    </row>
    <row r="3416" spans="1:10" x14ac:dyDescent="0.25">
      <c r="A3416" s="2" t="s">
        <v>8977</v>
      </c>
      <c r="B3416" s="2" t="s">
        <v>7007</v>
      </c>
      <c r="C3416" s="2" t="s">
        <v>8978</v>
      </c>
      <c r="D3416" s="2" t="s">
        <v>10055</v>
      </c>
      <c r="E3416" s="15">
        <v>-8.0000000000000004E-4</v>
      </c>
      <c r="F3416" s="15">
        <v>5.8099999999999999E-2</v>
      </c>
      <c r="G3416" s="15">
        <v>0.98850000000000005</v>
      </c>
      <c r="H3416" s="15">
        <v>8.0799999999999997E-2</v>
      </c>
      <c r="I3416" s="15">
        <v>1.6400000000000001E-2</v>
      </c>
      <c r="J3416" s="15">
        <v>4.9337349397590362</v>
      </c>
    </row>
    <row r="3417" spans="1:10" x14ac:dyDescent="0.25">
      <c r="A3417" s="2" t="s">
        <v>8979</v>
      </c>
      <c r="B3417" s="2" t="s">
        <v>7007</v>
      </c>
      <c r="C3417" s="2" t="s">
        <v>8980</v>
      </c>
      <c r="D3417" s="2" t="s">
        <v>10055</v>
      </c>
      <c r="E3417" s="15"/>
      <c r="F3417" s="15"/>
      <c r="G3417" s="15"/>
      <c r="H3417" s="15">
        <v>-8.9999999999999993E-3</v>
      </c>
      <c r="I3417" s="15">
        <v>1.3299999999999999E-2</v>
      </c>
      <c r="J3417" s="15">
        <v>0.2720588235294118</v>
      </c>
    </row>
    <row r="3418" spans="1:10" x14ac:dyDescent="0.25">
      <c r="A3418" s="2" t="s">
        <v>8981</v>
      </c>
      <c r="B3418" s="2" t="s">
        <v>7007</v>
      </c>
      <c r="C3418" s="2" t="s">
        <v>8982</v>
      </c>
      <c r="D3418" s="2" t="s">
        <v>10055</v>
      </c>
      <c r="E3418" s="15">
        <v>-9.7799999999999998E-2</v>
      </c>
      <c r="F3418" s="15">
        <v>7.5499999999999998E-2</v>
      </c>
      <c r="G3418" s="15">
        <v>0.1953</v>
      </c>
      <c r="H3418" s="15">
        <v>6.1400000000000003E-2</v>
      </c>
      <c r="I3418" s="15">
        <v>1.6899999999999998E-2</v>
      </c>
      <c r="J3418" s="15">
        <v>4.2756410256410264</v>
      </c>
    </row>
    <row r="3419" spans="1:10" x14ac:dyDescent="0.25">
      <c r="A3419" s="2" t="s">
        <v>8983</v>
      </c>
      <c r="B3419" s="2" t="s">
        <v>7007</v>
      </c>
      <c r="C3419" s="2" t="s">
        <v>8984</v>
      </c>
      <c r="D3419" s="2" t="s">
        <v>10055</v>
      </c>
      <c r="E3419" s="15">
        <v>-7.7399999999999997E-2</v>
      </c>
      <c r="F3419" s="15">
        <v>0.1075</v>
      </c>
      <c r="G3419" s="15">
        <v>0.47149999999999997</v>
      </c>
      <c r="H3419" s="15">
        <v>2.5499999999999998E-2</v>
      </c>
      <c r="I3419" s="15">
        <v>1.4E-2</v>
      </c>
      <c r="J3419" s="15">
        <v>1.390977443609023</v>
      </c>
    </row>
    <row r="3420" spans="1:10" x14ac:dyDescent="0.25">
      <c r="A3420" s="2" t="s">
        <v>8985</v>
      </c>
      <c r="B3420" s="2" t="s">
        <v>7007</v>
      </c>
      <c r="C3420" s="2" t="s">
        <v>8986</v>
      </c>
      <c r="D3420" s="2" t="s">
        <v>10055</v>
      </c>
      <c r="E3420" s="15">
        <v>-5.6599999999999998E-2</v>
      </c>
      <c r="F3420" s="15">
        <v>5.9900000000000002E-2</v>
      </c>
      <c r="G3420" s="15">
        <v>0.34429999999999999</v>
      </c>
      <c r="H3420" s="15">
        <v>9.1300000000000006E-2</v>
      </c>
      <c r="I3420" s="15">
        <v>1.6400000000000001E-2</v>
      </c>
      <c r="J3420" s="15">
        <v>5.067901234567902</v>
      </c>
    </row>
    <row r="3421" spans="1:10" x14ac:dyDescent="0.25">
      <c r="A3421" s="2" t="s">
        <v>8987</v>
      </c>
      <c r="B3421" s="2" t="s">
        <v>7007</v>
      </c>
      <c r="C3421" s="2" t="s">
        <v>8988</v>
      </c>
      <c r="D3421" s="2" t="s">
        <v>10055</v>
      </c>
      <c r="E3421" s="15">
        <v>-0.29609999999999997</v>
      </c>
      <c r="F3421" s="15">
        <v>0.33529999999999999</v>
      </c>
      <c r="G3421" s="15">
        <v>0.37730000000000002</v>
      </c>
      <c r="H3421" s="15">
        <v>8.0999999999999996E-3</v>
      </c>
      <c r="I3421" s="15">
        <v>1.5299999999999999E-2</v>
      </c>
      <c r="J3421" s="15">
        <v>0.59333333333333338</v>
      </c>
    </row>
    <row r="3422" spans="1:10" x14ac:dyDescent="0.25">
      <c r="A3422" s="2" t="s">
        <v>8989</v>
      </c>
      <c r="B3422" s="2" t="s">
        <v>7007</v>
      </c>
      <c r="C3422" s="2" t="s">
        <v>8990</v>
      </c>
      <c r="D3422" s="2" t="s">
        <v>10055</v>
      </c>
      <c r="E3422" s="15">
        <v>9.4999999999999998E-3</v>
      </c>
      <c r="F3422" s="15">
        <v>0.1036</v>
      </c>
      <c r="G3422" s="15">
        <v>0.92710000000000004</v>
      </c>
      <c r="H3422" s="15">
        <v>2.29E-2</v>
      </c>
      <c r="I3422" s="15">
        <v>1.47E-2</v>
      </c>
      <c r="J3422" s="15">
        <v>1.945205479452055</v>
      </c>
    </row>
    <row r="3423" spans="1:10" x14ac:dyDescent="0.25">
      <c r="A3423" s="2" t="s">
        <v>8991</v>
      </c>
      <c r="B3423" s="2" t="s">
        <v>7007</v>
      </c>
      <c r="C3423" s="2" t="s">
        <v>8992</v>
      </c>
      <c r="D3423" s="2" t="s">
        <v>10055</v>
      </c>
      <c r="E3423" s="15"/>
      <c r="F3423" s="15"/>
      <c r="G3423" s="15"/>
      <c r="H3423" s="15">
        <v>-7.6007999999999995E-5</v>
      </c>
      <c r="I3423" s="15">
        <v>1.43E-2</v>
      </c>
      <c r="J3423" s="15">
        <v>0.162962962962963</v>
      </c>
    </row>
    <row r="3424" spans="1:10" x14ac:dyDescent="0.25">
      <c r="A3424" s="2" t="s">
        <v>8993</v>
      </c>
      <c r="B3424" s="2" t="s">
        <v>7007</v>
      </c>
      <c r="C3424" s="2" t="s">
        <v>8994</v>
      </c>
      <c r="D3424" s="2" t="s">
        <v>10055</v>
      </c>
      <c r="E3424" s="15">
        <v>-9.64E-2</v>
      </c>
      <c r="F3424" s="15">
        <v>0.22559999999999999</v>
      </c>
      <c r="G3424" s="15">
        <v>0.66910000000000003</v>
      </c>
      <c r="H3424" s="15">
        <v>7.7999999999999996E-3</v>
      </c>
      <c r="I3424" s="15">
        <v>1.44E-2</v>
      </c>
      <c r="J3424" s="15">
        <v>0.73509933774834435</v>
      </c>
    </row>
    <row r="3425" spans="1:10" x14ac:dyDescent="0.25">
      <c r="A3425" s="2" t="s">
        <v>8995</v>
      </c>
      <c r="B3425" s="2" t="s">
        <v>7007</v>
      </c>
      <c r="C3425" s="2" t="s">
        <v>8996</v>
      </c>
      <c r="D3425" s="2" t="s">
        <v>10055</v>
      </c>
      <c r="E3425" s="15">
        <v>0.1278</v>
      </c>
      <c r="F3425" s="15">
        <v>6.1199999999999997E-2</v>
      </c>
      <c r="G3425" s="15">
        <v>3.6799999999999999E-2</v>
      </c>
      <c r="H3425" s="15">
        <v>9.2600000000000002E-2</v>
      </c>
      <c r="I3425" s="15">
        <v>1.9400000000000001E-2</v>
      </c>
      <c r="J3425" s="15">
        <v>5.8771929824561404</v>
      </c>
    </row>
    <row r="3426" spans="1:10" x14ac:dyDescent="0.25">
      <c r="A3426" s="2" t="s">
        <v>8997</v>
      </c>
      <c r="B3426" s="2" t="s">
        <v>7007</v>
      </c>
      <c r="C3426" s="2" t="s">
        <v>8998</v>
      </c>
      <c r="D3426" s="2" t="s">
        <v>10055</v>
      </c>
      <c r="E3426" s="15">
        <v>0.108</v>
      </c>
      <c r="F3426" s="15">
        <v>0.12470000000000001</v>
      </c>
      <c r="G3426" s="15">
        <v>0.38640000000000002</v>
      </c>
      <c r="H3426" s="15">
        <v>1.95E-2</v>
      </c>
      <c r="I3426" s="15">
        <v>1.2699999999999999E-2</v>
      </c>
      <c r="J3426" s="15">
        <v>1.464</v>
      </c>
    </row>
    <row r="3427" spans="1:10" x14ac:dyDescent="0.25">
      <c r="A3427" s="2" t="s">
        <v>8999</v>
      </c>
      <c r="B3427" s="2" t="s">
        <v>7007</v>
      </c>
      <c r="C3427" s="2" t="s">
        <v>9000</v>
      </c>
      <c r="D3427" s="2" t="s">
        <v>10055</v>
      </c>
      <c r="E3427" s="15">
        <v>-4.3799999999999999E-2</v>
      </c>
      <c r="F3427" s="15">
        <v>6.7699999999999996E-2</v>
      </c>
      <c r="G3427" s="15">
        <v>0.51729999999999998</v>
      </c>
      <c r="H3427" s="15">
        <v>6.6600000000000006E-2</v>
      </c>
      <c r="I3427" s="15">
        <v>1.4999999999999999E-2</v>
      </c>
      <c r="J3427" s="15">
        <v>4.7278911564625856</v>
      </c>
    </row>
    <row r="3428" spans="1:10" x14ac:dyDescent="0.25">
      <c r="A3428" s="2" t="s">
        <v>9001</v>
      </c>
      <c r="B3428" s="2" t="s">
        <v>7007</v>
      </c>
      <c r="C3428" s="2" t="s">
        <v>9002</v>
      </c>
      <c r="D3428" s="2" t="s">
        <v>10055</v>
      </c>
      <c r="E3428" s="15">
        <v>0.15459999999999999</v>
      </c>
      <c r="F3428" s="15">
        <v>0.31740000000000002</v>
      </c>
      <c r="G3428" s="15">
        <v>0.62619999999999998</v>
      </c>
      <c r="H3428" s="15">
        <v>5.0000000000000001E-3</v>
      </c>
      <c r="I3428" s="15">
        <v>1.3299999999999999E-2</v>
      </c>
      <c r="J3428" s="15">
        <v>0.86614173228346458</v>
      </c>
    </row>
    <row r="3429" spans="1:10" x14ac:dyDescent="0.25">
      <c r="A3429" s="2" t="s">
        <v>9003</v>
      </c>
      <c r="B3429" s="2" t="s">
        <v>7007</v>
      </c>
      <c r="C3429" s="2" t="s">
        <v>9004</v>
      </c>
      <c r="D3429" s="2" t="s">
        <v>10055</v>
      </c>
      <c r="E3429" s="15">
        <v>-1.0699999999999999E-2</v>
      </c>
      <c r="F3429" s="15">
        <v>9.2100000000000001E-2</v>
      </c>
      <c r="G3429" s="15">
        <v>0.90780000000000005</v>
      </c>
      <c r="H3429" s="15">
        <v>4.5400000000000003E-2</v>
      </c>
      <c r="I3429" s="15">
        <v>1.49E-2</v>
      </c>
      <c r="J3429" s="15">
        <v>3.4930555555555549</v>
      </c>
    </row>
    <row r="3430" spans="1:10" x14ac:dyDescent="0.25">
      <c r="A3430" s="2" t="s">
        <v>9005</v>
      </c>
      <c r="B3430" s="2" t="s">
        <v>7007</v>
      </c>
      <c r="C3430" s="2" t="s">
        <v>9006</v>
      </c>
      <c r="D3430" s="2" t="s">
        <v>10055</v>
      </c>
      <c r="E3430" s="15">
        <v>6.5799999999999997E-2</v>
      </c>
      <c r="F3430" s="15">
        <v>7.3800000000000004E-2</v>
      </c>
      <c r="G3430" s="15">
        <v>0.37230000000000002</v>
      </c>
      <c r="H3430" s="15">
        <v>0.06</v>
      </c>
      <c r="I3430" s="15">
        <v>1.3899999999999999E-2</v>
      </c>
      <c r="J3430" s="15">
        <v>4.9416058394160576</v>
      </c>
    </row>
    <row r="3431" spans="1:10" x14ac:dyDescent="0.25">
      <c r="A3431" s="2" t="s">
        <v>9007</v>
      </c>
      <c r="B3431" s="2" t="s">
        <v>7007</v>
      </c>
      <c r="C3431" s="2" t="s">
        <v>9008</v>
      </c>
      <c r="D3431" s="2" t="s">
        <v>10055</v>
      </c>
      <c r="E3431" s="15">
        <v>6.5500000000000003E-2</v>
      </c>
      <c r="F3431" s="15">
        <v>5.7500000000000002E-2</v>
      </c>
      <c r="G3431" s="15">
        <v>0.25490000000000002</v>
      </c>
      <c r="H3431" s="15">
        <v>0.1124</v>
      </c>
      <c r="I3431" s="15">
        <v>1.83E-2</v>
      </c>
      <c r="J3431" s="15">
        <v>6.3068181818181817</v>
      </c>
    </row>
    <row r="3432" spans="1:10" x14ac:dyDescent="0.25">
      <c r="A3432" s="2" t="s">
        <v>9009</v>
      </c>
      <c r="B3432" s="2" t="s">
        <v>7007</v>
      </c>
      <c r="C3432" s="2" t="s">
        <v>9010</v>
      </c>
      <c r="D3432" s="2" t="s">
        <v>10055</v>
      </c>
      <c r="E3432" s="15">
        <v>2.07E-2</v>
      </c>
      <c r="F3432" s="15">
        <v>6.0100000000000001E-2</v>
      </c>
      <c r="G3432" s="15">
        <v>0.73009999999999997</v>
      </c>
      <c r="H3432" s="15">
        <v>7.9600000000000004E-2</v>
      </c>
      <c r="I3432" s="15">
        <v>2.6700000000000002E-2</v>
      </c>
      <c r="J3432" s="15">
        <v>3.0588235294117649</v>
      </c>
    </row>
    <row r="3433" spans="1:10" x14ac:dyDescent="0.25">
      <c r="A3433" s="2" t="s">
        <v>9011</v>
      </c>
      <c r="B3433" s="2" t="s">
        <v>7007</v>
      </c>
      <c r="C3433" s="2" t="s">
        <v>9012</v>
      </c>
      <c r="D3433" s="2" t="s">
        <v>10055</v>
      </c>
      <c r="E3433" s="15">
        <v>3.1699999999999999E-2</v>
      </c>
      <c r="F3433" s="15">
        <v>6.3799999999999996E-2</v>
      </c>
      <c r="G3433" s="15">
        <v>0.61939999999999995</v>
      </c>
      <c r="H3433" s="15">
        <v>9.2700000000000005E-2</v>
      </c>
      <c r="I3433" s="15">
        <v>1.5599999999999999E-2</v>
      </c>
      <c r="J3433" s="15">
        <v>6.6575342465753424</v>
      </c>
    </row>
    <row r="3434" spans="1:10" x14ac:dyDescent="0.25">
      <c r="A3434" s="2" t="s">
        <v>9013</v>
      </c>
      <c r="B3434" s="2" t="s">
        <v>7007</v>
      </c>
      <c r="C3434" s="2" t="s">
        <v>9014</v>
      </c>
      <c r="D3434" s="2" t="s">
        <v>10055</v>
      </c>
      <c r="E3434" s="15">
        <v>-0.33589999999999998</v>
      </c>
      <c r="F3434" s="15">
        <v>0.26979999999999998</v>
      </c>
      <c r="G3434" s="15">
        <v>0.21310000000000001</v>
      </c>
      <c r="H3434" s="15">
        <v>1.12E-2</v>
      </c>
      <c r="I3434" s="15">
        <v>1.2999999999999999E-2</v>
      </c>
      <c r="J3434" s="15">
        <v>1.0472440944881889</v>
      </c>
    </row>
    <row r="3435" spans="1:10" x14ac:dyDescent="0.25">
      <c r="A3435" s="2" t="s">
        <v>9015</v>
      </c>
      <c r="B3435" s="2" t="s">
        <v>7007</v>
      </c>
      <c r="C3435" s="2" t="s">
        <v>9016</v>
      </c>
      <c r="D3435" s="2" t="s">
        <v>10055</v>
      </c>
      <c r="E3435" s="15">
        <v>-9.11E-2</v>
      </c>
      <c r="F3435" s="15">
        <v>0.12759999999999999</v>
      </c>
      <c r="G3435" s="15">
        <v>0.4753</v>
      </c>
      <c r="H3435" s="15">
        <v>1.8200000000000001E-2</v>
      </c>
      <c r="I3435" s="15">
        <v>1.4E-2</v>
      </c>
      <c r="J3435" s="15">
        <v>1.7101449275362319</v>
      </c>
    </row>
    <row r="3436" spans="1:10" x14ac:dyDescent="0.25">
      <c r="A3436" s="2" t="s">
        <v>9017</v>
      </c>
      <c r="B3436" s="2" t="s">
        <v>7007</v>
      </c>
      <c r="C3436" s="2" t="s">
        <v>9018</v>
      </c>
      <c r="D3436" s="2" t="s">
        <v>10055</v>
      </c>
      <c r="E3436" s="15">
        <v>2.8400000000000002E-2</v>
      </c>
      <c r="F3436" s="15">
        <v>0.1646</v>
      </c>
      <c r="G3436" s="15">
        <v>0.86309999999999998</v>
      </c>
      <c r="H3436" s="15">
        <v>1.4500000000000001E-2</v>
      </c>
      <c r="I3436" s="15">
        <v>1.4500000000000001E-2</v>
      </c>
      <c r="J3436" s="15">
        <v>1.503597122302158</v>
      </c>
    </row>
    <row r="3437" spans="1:10" x14ac:dyDescent="0.25">
      <c r="A3437" s="2" t="s">
        <v>9019</v>
      </c>
      <c r="B3437" s="2" t="s">
        <v>7007</v>
      </c>
      <c r="C3437" s="2" t="s">
        <v>9020</v>
      </c>
      <c r="D3437" s="2" t="s">
        <v>10055</v>
      </c>
      <c r="E3437" s="15">
        <v>-9.0200000000000002E-2</v>
      </c>
      <c r="F3437" s="15">
        <v>7.0099999999999996E-2</v>
      </c>
      <c r="G3437" s="15">
        <v>0.19789999999999999</v>
      </c>
      <c r="H3437" s="15">
        <v>6.08E-2</v>
      </c>
      <c r="I3437" s="15">
        <v>1.5299999999999999E-2</v>
      </c>
      <c r="J3437" s="15">
        <v>4.051282051282052</v>
      </c>
    </row>
    <row r="3438" spans="1:10" x14ac:dyDescent="0.25">
      <c r="A3438" s="2" t="s">
        <v>9021</v>
      </c>
      <c r="B3438" s="2" t="s">
        <v>7007</v>
      </c>
      <c r="C3438" s="2" t="s">
        <v>9022</v>
      </c>
      <c r="D3438" s="2" t="s">
        <v>10055</v>
      </c>
      <c r="E3438" s="15">
        <v>6.4000000000000003E-3</v>
      </c>
      <c r="F3438" s="15">
        <v>9.4600000000000004E-2</v>
      </c>
      <c r="G3438" s="15">
        <v>0.94630000000000003</v>
      </c>
      <c r="H3438" s="15">
        <v>3.44E-2</v>
      </c>
      <c r="I3438" s="15">
        <v>1.49E-2</v>
      </c>
      <c r="J3438" s="15">
        <v>2.8571428571428572</v>
      </c>
    </row>
    <row r="3439" spans="1:10" x14ac:dyDescent="0.25">
      <c r="A3439" s="2" t="s">
        <v>9023</v>
      </c>
      <c r="B3439" s="2" t="s">
        <v>7007</v>
      </c>
      <c r="C3439" s="2" t="s">
        <v>9024</v>
      </c>
      <c r="D3439" s="2" t="s">
        <v>10055</v>
      </c>
      <c r="E3439" s="15">
        <v>-7.3400000000000007E-2</v>
      </c>
      <c r="F3439" s="15">
        <v>0.1033</v>
      </c>
      <c r="G3439" s="15">
        <v>0.47760000000000002</v>
      </c>
      <c r="H3439" s="15">
        <v>3.32E-2</v>
      </c>
      <c r="I3439" s="15">
        <v>1.32E-2</v>
      </c>
      <c r="J3439" s="15">
        <v>3.016</v>
      </c>
    </row>
    <row r="3440" spans="1:10" x14ac:dyDescent="0.25">
      <c r="A3440" s="2" t="s">
        <v>9025</v>
      </c>
      <c r="B3440" s="2" t="s">
        <v>7007</v>
      </c>
      <c r="C3440" s="2" t="s">
        <v>9026</v>
      </c>
      <c r="D3440" s="2" t="s">
        <v>10055</v>
      </c>
      <c r="E3440" s="15">
        <v>-8.6999999999999994E-3</v>
      </c>
      <c r="F3440" s="15">
        <v>0.12740000000000001</v>
      </c>
      <c r="G3440" s="15">
        <v>0.94530000000000003</v>
      </c>
      <c r="H3440" s="15">
        <v>1.8800000000000001E-2</v>
      </c>
      <c r="I3440" s="15">
        <v>1.37E-2</v>
      </c>
      <c r="J3440" s="15">
        <v>1.7080291970802921</v>
      </c>
    </row>
    <row r="3441" spans="1:10" x14ac:dyDescent="0.25">
      <c r="A3441" s="2" t="s">
        <v>9027</v>
      </c>
      <c r="B3441" s="2" t="s">
        <v>7007</v>
      </c>
      <c r="C3441" s="2" t="s">
        <v>9028</v>
      </c>
      <c r="D3441" s="2" t="s">
        <v>10055</v>
      </c>
      <c r="E3441" s="15">
        <v>2.4500000000000001E-2</v>
      </c>
      <c r="F3441" s="15">
        <v>5.1299999999999998E-2</v>
      </c>
      <c r="G3441" s="15">
        <v>0.63270000000000004</v>
      </c>
      <c r="H3441" s="15">
        <v>0.1195</v>
      </c>
      <c r="I3441" s="15">
        <v>1.7100000000000001E-2</v>
      </c>
      <c r="J3441" s="15">
        <v>7.3030303030303028</v>
      </c>
    </row>
    <row r="3442" spans="1:10" x14ac:dyDescent="0.25">
      <c r="A3442" s="2" t="s">
        <v>9029</v>
      </c>
      <c r="B3442" s="2" t="s">
        <v>7007</v>
      </c>
      <c r="C3442" s="2" t="s">
        <v>9030</v>
      </c>
      <c r="D3442" s="2" t="s">
        <v>10055</v>
      </c>
      <c r="E3442" s="15">
        <v>-5.28E-2</v>
      </c>
      <c r="F3442" s="15">
        <v>0.1583</v>
      </c>
      <c r="G3442" s="15">
        <v>0.7389</v>
      </c>
      <c r="H3442" s="15">
        <v>1.32E-2</v>
      </c>
      <c r="I3442" s="15">
        <v>1.41E-2</v>
      </c>
      <c r="J3442" s="15">
        <v>1.5899280575539569</v>
      </c>
    </row>
    <row r="3443" spans="1:10" x14ac:dyDescent="0.25">
      <c r="A3443" s="2" t="s">
        <v>9031</v>
      </c>
      <c r="B3443" s="2" t="s">
        <v>7007</v>
      </c>
      <c r="C3443" s="2" t="s">
        <v>9032</v>
      </c>
      <c r="D3443" s="2" t="s">
        <v>10055</v>
      </c>
      <c r="E3443" s="15"/>
      <c r="F3443" s="15"/>
      <c r="G3443" s="15"/>
      <c r="H3443" s="15"/>
      <c r="I3443" s="15"/>
      <c r="J3443" s="15">
        <v>8.6956521739130432E-2</v>
      </c>
    </row>
    <row r="3444" spans="1:10" x14ac:dyDescent="0.25">
      <c r="A3444" s="2" t="s">
        <v>9033</v>
      </c>
      <c r="B3444" s="2" t="s">
        <v>7007</v>
      </c>
      <c r="C3444" s="2" t="s">
        <v>9034</v>
      </c>
      <c r="D3444" s="2" t="s">
        <v>10055</v>
      </c>
      <c r="E3444" s="15">
        <v>2.5000000000000001E-3</v>
      </c>
      <c r="F3444" s="15">
        <v>6.1100000000000002E-2</v>
      </c>
      <c r="G3444" s="15">
        <v>0.96779999999999999</v>
      </c>
      <c r="H3444" s="15">
        <v>9.3100000000000002E-2</v>
      </c>
      <c r="I3444" s="15">
        <v>1.89E-2</v>
      </c>
      <c r="J3444" s="15">
        <v>5.0983606557377046</v>
      </c>
    </row>
    <row r="3445" spans="1:10" x14ac:dyDescent="0.25">
      <c r="A3445" s="2" t="s">
        <v>9035</v>
      </c>
      <c r="B3445" s="2" t="s">
        <v>7007</v>
      </c>
      <c r="C3445" s="2" t="s">
        <v>9036</v>
      </c>
      <c r="D3445" s="2" t="s">
        <v>10055</v>
      </c>
      <c r="E3445" s="15">
        <v>-0.16569999999999999</v>
      </c>
      <c r="F3445" s="15">
        <v>6.1899999999999997E-2</v>
      </c>
      <c r="G3445" s="15">
        <v>7.4999999999999997E-3</v>
      </c>
      <c r="H3445" s="15">
        <v>8.8800000000000004E-2</v>
      </c>
      <c r="I3445" s="15">
        <v>1.5299999999999999E-2</v>
      </c>
      <c r="J3445" s="15">
        <v>6.026845637583893</v>
      </c>
    </row>
    <row r="3446" spans="1:10" x14ac:dyDescent="0.25">
      <c r="A3446" s="2" t="s">
        <v>9037</v>
      </c>
      <c r="B3446" s="2" t="s">
        <v>7007</v>
      </c>
      <c r="C3446" s="2" t="s">
        <v>9038</v>
      </c>
      <c r="D3446" s="2" t="s">
        <v>10055</v>
      </c>
      <c r="E3446" s="15">
        <v>2.9399999999999999E-2</v>
      </c>
      <c r="F3446" s="15">
        <v>9.1300000000000006E-2</v>
      </c>
      <c r="G3446" s="15">
        <v>0.74709999999999999</v>
      </c>
      <c r="H3446" s="15">
        <v>4.1799999999999997E-2</v>
      </c>
      <c r="I3446" s="15">
        <v>1.47E-2</v>
      </c>
      <c r="J3446" s="15">
        <v>3.267605633802817</v>
      </c>
    </row>
    <row r="3447" spans="1:10" x14ac:dyDescent="0.25">
      <c r="A3447" s="2" t="s">
        <v>9039</v>
      </c>
      <c r="B3447" s="2" t="s">
        <v>7007</v>
      </c>
      <c r="C3447" s="2" t="s">
        <v>9040</v>
      </c>
      <c r="D3447" s="2" t="s">
        <v>10055</v>
      </c>
      <c r="E3447" s="15">
        <v>0.2485</v>
      </c>
      <c r="F3447" s="15">
        <v>0.14019999999999999</v>
      </c>
      <c r="G3447" s="15">
        <v>7.6399999999999996E-2</v>
      </c>
      <c r="H3447" s="15">
        <v>2.24E-2</v>
      </c>
      <c r="I3447" s="15">
        <v>1.37E-2</v>
      </c>
      <c r="J3447" s="15">
        <v>1.446808510638298</v>
      </c>
    </row>
    <row r="3448" spans="1:10" x14ac:dyDescent="0.25">
      <c r="A3448" s="2" t="s">
        <v>9041</v>
      </c>
      <c r="B3448" s="2" t="s">
        <v>7007</v>
      </c>
      <c r="C3448" s="2" t="s">
        <v>9042</v>
      </c>
      <c r="D3448" s="2" t="s">
        <v>10055</v>
      </c>
      <c r="E3448" s="15">
        <v>-0.128</v>
      </c>
      <c r="F3448" s="15">
        <v>9.2200000000000004E-2</v>
      </c>
      <c r="G3448" s="15">
        <v>0.16489999999999999</v>
      </c>
      <c r="H3448" s="15">
        <v>3.9199999999999999E-2</v>
      </c>
      <c r="I3448" s="15">
        <v>1.6299999999999999E-2</v>
      </c>
      <c r="J3448" s="15">
        <v>2.939189189189189</v>
      </c>
    </row>
    <row r="3449" spans="1:10" x14ac:dyDescent="0.25">
      <c r="A3449" s="2" t="s">
        <v>9043</v>
      </c>
      <c r="B3449" s="2" t="s">
        <v>7007</v>
      </c>
      <c r="C3449" s="2" t="s">
        <v>9044</v>
      </c>
      <c r="D3449" s="2" t="s">
        <v>10055</v>
      </c>
      <c r="E3449" s="15">
        <v>-1.5900000000000001E-2</v>
      </c>
      <c r="F3449" s="15">
        <v>6.0699999999999997E-2</v>
      </c>
      <c r="G3449" s="15">
        <v>0.79390000000000005</v>
      </c>
      <c r="H3449" s="15">
        <v>8.8800000000000004E-2</v>
      </c>
      <c r="I3449" s="15">
        <v>1.7000000000000001E-2</v>
      </c>
      <c r="J3449" s="15">
        <v>5.3272727272727272</v>
      </c>
    </row>
    <row r="3450" spans="1:10" x14ac:dyDescent="0.25">
      <c r="A3450" s="2" t="s">
        <v>9045</v>
      </c>
      <c r="B3450" s="2" t="s">
        <v>7007</v>
      </c>
      <c r="C3450" s="2" t="s">
        <v>9046</v>
      </c>
      <c r="D3450" s="2" t="s">
        <v>10055</v>
      </c>
      <c r="E3450" s="15"/>
      <c r="F3450" s="15"/>
      <c r="G3450" s="15"/>
      <c r="H3450" s="15">
        <v>-1.1000000000000001E-3</v>
      </c>
      <c r="I3450" s="15">
        <v>1.34E-2</v>
      </c>
      <c r="J3450" s="15">
        <v>0.1021897810218978</v>
      </c>
    </row>
    <row r="3451" spans="1:10" x14ac:dyDescent="0.25">
      <c r="A3451" s="2" t="s">
        <v>9047</v>
      </c>
      <c r="B3451" s="2" t="s">
        <v>7007</v>
      </c>
      <c r="C3451" s="2" t="s">
        <v>9048</v>
      </c>
      <c r="D3451" s="2" t="s">
        <v>10055</v>
      </c>
      <c r="E3451" s="15">
        <v>-8.9999999999999993E-3</v>
      </c>
      <c r="F3451" s="15">
        <v>5.96E-2</v>
      </c>
      <c r="G3451" s="15">
        <v>0.88039999999999996</v>
      </c>
      <c r="H3451" s="15">
        <v>7.7100000000000002E-2</v>
      </c>
      <c r="I3451" s="15">
        <v>1.83E-2</v>
      </c>
      <c r="J3451" s="15">
        <v>5.0872093023255811</v>
      </c>
    </row>
    <row r="3452" spans="1:10" x14ac:dyDescent="0.25">
      <c r="A3452" s="2" t="s">
        <v>9049</v>
      </c>
      <c r="B3452" s="2" t="s">
        <v>7007</v>
      </c>
      <c r="C3452" s="2" t="s">
        <v>9050</v>
      </c>
      <c r="D3452" s="2" t="s">
        <v>10055</v>
      </c>
      <c r="E3452" s="15">
        <v>-0.1409</v>
      </c>
      <c r="F3452" s="15">
        <v>0.1953</v>
      </c>
      <c r="G3452" s="15">
        <v>0.47049999999999997</v>
      </c>
      <c r="H3452" s="15">
        <v>9.4000000000000004E-3</v>
      </c>
      <c r="I3452" s="15">
        <v>1.3299999999999999E-2</v>
      </c>
      <c r="J3452" s="15">
        <v>0.83969465648854957</v>
      </c>
    </row>
    <row r="3453" spans="1:10" x14ac:dyDescent="0.25">
      <c r="A3453" s="2" t="s">
        <v>9051</v>
      </c>
      <c r="B3453" s="2" t="s">
        <v>7007</v>
      </c>
      <c r="C3453" s="2" t="s">
        <v>9052</v>
      </c>
      <c r="D3453" s="2" t="s">
        <v>10055</v>
      </c>
      <c r="E3453" s="15">
        <v>-0.21579999999999999</v>
      </c>
      <c r="F3453" s="15">
        <v>0.12889999999999999</v>
      </c>
      <c r="G3453" s="15">
        <v>9.4E-2</v>
      </c>
      <c r="H3453" s="15">
        <v>2.4799999999999999E-2</v>
      </c>
      <c r="I3453" s="15">
        <v>1.44E-2</v>
      </c>
      <c r="J3453" s="15">
        <v>2.182432432432432</v>
      </c>
    </row>
    <row r="3454" spans="1:10" x14ac:dyDescent="0.25">
      <c r="A3454" s="2" t="s">
        <v>9053</v>
      </c>
      <c r="B3454" s="2" t="s">
        <v>7007</v>
      </c>
      <c r="C3454" s="2" t="s">
        <v>9054</v>
      </c>
      <c r="D3454" s="2" t="s">
        <v>10055</v>
      </c>
      <c r="E3454" s="15">
        <v>-2.1999999999999999E-2</v>
      </c>
      <c r="F3454" s="15">
        <v>8.9499999999999996E-2</v>
      </c>
      <c r="G3454" s="15">
        <v>0.80569999999999997</v>
      </c>
      <c r="H3454" s="15">
        <v>3.1399999999999997E-2</v>
      </c>
      <c r="I3454" s="15">
        <v>1.3899999999999999E-2</v>
      </c>
      <c r="J3454" s="15">
        <v>2.0601503759398501</v>
      </c>
    </row>
    <row r="3455" spans="1:10" x14ac:dyDescent="0.25">
      <c r="A3455" s="2" t="s">
        <v>9055</v>
      </c>
      <c r="B3455" s="2" t="s">
        <v>7007</v>
      </c>
      <c r="C3455" s="2" t="s">
        <v>9056</v>
      </c>
      <c r="D3455" s="2" t="s">
        <v>10055</v>
      </c>
      <c r="E3455" s="15">
        <v>0.2555</v>
      </c>
      <c r="F3455" s="15">
        <v>0.2087</v>
      </c>
      <c r="G3455" s="15">
        <v>0.22070000000000001</v>
      </c>
      <c r="H3455" s="15">
        <v>1.2500000000000001E-2</v>
      </c>
      <c r="I3455" s="15">
        <v>1.47E-2</v>
      </c>
      <c r="J3455" s="15">
        <v>0.74468085106382986</v>
      </c>
    </row>
    <row r="3456" spans="1:10" x14ac:dyDescent="0.25">
      <c r="A3456" s="2" t="s">
        <v>9057</v>
      </c>
      <c r="B3456" s="2" t="s">
        <v>7007</v>
      </c>
      <c r="C3456" s="2" t="s">
        <v>9058</v>
      </c>
      <c r="D3456" s="2" t="s">
        <v>10055</v>
      </c>
      <c r="E3456" s="15">
        <v>-9.35E-2</v>
      </c>
      <c r="F3456" s="15">
        <v>9.8699999999999996E-2</v>
      </c>
      <c r="G3456" s="15">
        <v>0.34329999999999999</v>
      </c>
      <c r="H3456" s="15">
        <v>4.3099999999999999E-2</v>
      </c>
      <c r="I3456" s="15">
        <v>1.8499999999999999E-2</v>
      </c>
      <c r="J3456" s="15">
        <v>2.7928994082840242</v>
      </c>
    </row>
    <row r="3457" spans="1:10" x14ac:dyDescent="0.25">
      <c r="A3457" s="2" t="s">
        <v>9059</v>
      </c>
      <c r="B3457" s="2" t="s">
        <v>7007</v>
      </c>
      <c r="C3457" s="2" t="s">
        <v>9060</v>
      </c>
      <c r="D3457" s="2" t="s">
        <v>10055</v>
      </c>
      <c r="E3457" s="15">
        <v>7.9200000000000007E-2</v>
      </c>
      <c r="F3457" s="15">
        <v>7.0400000000000004E-2</v>
      </c>
      <c r="G3457" s="15">
        <v>0.26029999999999998</v>
      </c>
      <c r="H3457" s="15">
        <v>8.0699999999999994E-2</v>
      </c>
      <c r="I3457" s="15">
        <v>1.7100000000000001E-2</v>
      </c>
      <c r="J3457" s="15">
        <v>4.8036809815950923</v>
      </c>
    </row>
    <row r="3458" spans="1:10" x14ac:dyDescent="0.25">
      <c r="A3458" s="2" t="s">
        <v>9061</v>
      </c>
      <c r="B3458" s="2" t="s">
        <v>7007</v>
      </c>
      <c r="C3458" s="2" t="s">
        <v>9062</v>
      </c>
      <c r="D3458" s="2" t="s">
        <v>10055</v>
      </c>
      <c r="E3458" s="15">
        <v>-1.9E-3</v>
      </c>
      <c r="F3458" s="15">
        <v>8.1199999999999994E-2</v>
      </c>
      <c r="G3458" s="15">
        <v>0.98080000000000001</v>
      </c>
      <c r="H3458" s="15">
        <v>4.1799999999999997E-2</v>
      </c>
      <c r="I3458" s="15">
        <v>2.0299999999999999E-2</v>
      </c>
      <c r="J3458" s="15">
        <v>2.1546391752577319</v>
      </c>
    </row>
    <row r="3459" spans="1:10" x14ac:dyDescent="0.25">
      <c r="A3459" s="2" t="s">
        <v>9063</v>
      </c>
      <c r="B3459" s="2" t="s">
        <v>7007</v>
      </c>
      <c r="C3459" s="2" t="s">
        <v>9064</v>
      </c>
      <c r="D3459" s="2" t="s">
        <v>10055</v>
      </c>
      <c r="E3459" s="15">
        <v>-1.5100000000000001E-2</v>
      </c>
      <c r="F3459" s="15">
        <v>9.8000000000000004E-2</v>
      </c>
      <c r="G3459" s="15">
        <v>0.87780000000000002</v>
      </c>
      <c r="H3459" s="15">
        <v>3.15E-2</v>
      </c>
      <c r="I3459" s="15">
        <v>1.47E-2</v>
      </c>
      <c r="J3459" s="15">
        <v>2.1543624161073822</v>
      </c>
    </row>
    <row r="3460" spans="1:10" x14ac:dyDescent="0.25">
      <c r="A3460" s="2" t="s">
        <v>9065</v>
      </c>
      <c r="B3460" s="2" t="s">
        <v>7007</v>
      </c>
      <c r="C3460" s="2" t="s">
        <v>9066</v>
      </c>
      <c r="D3460" s="2" t="s">
        <v>10055</v>
      </c>
      <c r="E3460" s="15">
        <v>0.15229999999999999</v>
      </c>
      <c r="F3460" s="15">
        <v>9.1300000000000006E-2</v>
      </c>
      <c r="G3460" s="15">
        <v>9.5200000000000007E-2</v>
      </c>
      <c r="H3460" s="15">
        <v>4.1700000000000001E-2</v>
      </c>
      <c r="I3460" s="15">
        <v>1.4500000000000001E-2</v>
      </c>
      <c r="J3460" s="15">
        <v>3.34</v>
      </c>
    </row>
    <row r="3461" spans="1:10" x14ac:dyDescent="0.25">
      <c r="A3461" s="2" t="s">
        <v>9067</v>
      </c>
      <c r="B3461" s="2" t="s">
        <v>7007</v>
      </c>
      <c r="C3461" s="2" t="s">
        <v>9068</v>
      </c>
      <c r="D3461" s="2" t="s">
        <v>10055</v>
      </c>
      <c r="E3461" s="15"/>
      <c r="F3461" s="15"/>
      <c r="G3461" s="15"/>
      <c r="H3461" s="15">
        <v>-2.5999999999999999E-3</v>
      </c>
      <c r="I3461" s="15">
        <v>1.2800000000000001E-2</v>
      </c>
      <c r="J3461" s="15">
        <v>0.1846153846153846</v>
      </c>
    </row>
    <row r="3462" spans="1:10" x14ac:dyDescent="0.25">
      <c r="A3462" s="2" t="s">
        <v>9069</v>
      </c>
      <c r="B3462" s="2" t="s">
        <v>7007</v>
      </c>
      <c r="C3462" s="2" t="s">
        <v>9070</v>
      </c>
      <c r="D3462" s="2" t="s">
        <v>10055</v>
      </c>
      <c r="E3462" s="15">
        <v>-1.0500000000000001E-2</v>
      </c>
      <c r="F3462" s="15">
        <v>0.1133</v>
      </c>
      <c r="G3462" s="15">
        <v>0.92630000000000001</v>
      </c>
      <c r="H3462" s="15">
        <v>2.53E-2</v>
      </c>
      <c r="I3462" s="15">
        <v>1.5100000000000001E-2</v>
      </c>
      <c r="J3462" s="15">
        <v>1.3576158940397349</v>
      </c>
    </row>
    <row r="3463" spans="1:10" x14ac:dyDescent="0.25">
      <c r="A3463" s="2" t="s">
        <v>9071</v>
      </c>
      <c r="B3463" s="2" t="s">
        <v>7007</v>
      </c>
      <c r="C3463" s="2" t="s">
        <v>9072</v>
      </c>
      <c r="D3463" s="2" t="s">
        <v>10055</v>
      </c>
      <c r="E3463" s="15">
        <v>-0.1779</v>
      </c>
      <c r="F3463" s="15">
        <v>0.21809999999999999</v>
      </c>
      <c r="G3463" s="15">
        <v>0.41470000000000001</v>
      </c>
      <c r="H3463" s="15">
        <v>9.4999999999999998E-3</v>
      </c>
      <c r="I3463" s="15">
        <v>1.3299999999999999E-2</v>
      </c>
      <c r="J3463" s="15">
        <v>1.25</v>
      </c>
    </row>
    <row r="3464" spans="1:10" x14ac:dyDescent="0.25">
      <c r="A3464" s="2" t="s">
        <v>9073</v>
      </c>
      <c r="B3464" s="2" t="s">
        <v>7007</v>
      </c>
      <c r="C3464" s="2" t="s">
        <v>9074</v>
      </c>
      <c r="D3464" s="2" t="s">
        <v>10055</v>
      </c>
      <c r="E3464" s="15">
        <v>-8.8265999999999998E-5</v>
      </c>
      <c r="F3464" s="15">
        <v>5.3499999999999999E-2</v>
      </c>
      <c r="G3464" s="15">
        <v>0.99870000000000003</v>
      </c>
      <c r="H3464" s="15">
        <v>0.1313</v>
      </c>
      <c r="I3464" s="15">
        <v>1.77E-2</v>
      </c>
      <c r="J3464" s="15">
        <v>8.4767441860465116</v>
      </c>
    </row>
    <row r="3465" spans="1:10" x14ac:dyDescent="0.25">
      <c r="A3465" s="2" t="s">
        <v>9075</v>
      </c>
      <c r="B3465" s="2" t="s">
        <v>7007</v>
      </c>
      <c r="C3465" s="2" t="s">
        <v>9076</v>
      </c>
      <c r="D3465" s="2" t="s">
        <v>10055</v>
      </c>
      <c r="E3465" s="15">
        <v>8.6999999999999994E-2</v>
      </c>
      <c r="F3465" s="15">
        <v>5.9700000000000003E-2</v>
      </c>
      <c r="G3465" s="15">
        <v>0.1449</v>
      </c>
      <c r="H3465" s="15">
        <v>0.1014</v>
      </c>
      <c r="I3465" s="15">
        <v>1.61E-2</v>
      </c>
      <c r="J3465" s="15">
        <v>6.1863354037267078</v>
      </c>
    </row>
    <row r="3466" spans="1:10" x14ac:dyDescent="0.25">
      <c r="A3466" s="2" t="s">
        <v>9077</v>
      </c>
      <c r="B3466" s="2" t="s">
        <v>7007</v>
      </c>
      <c r="C3466" s="2" t="s">
        <v>9078</v>
      </c>
      <c r="D3466" s="2" t="s">
        <v>10055</v>
      </c>
      <c r="E3466" s="15"/>
      <c r="F3466" s="15"/>
      <c r="G3466" s="15"/>
      <c r="H3466" s="15"/>
      <c r="I3466" s="15"/>
      <c r="J3466" s="15">
        <v>0.21481481481481479</v>
      </c>
    </row>
    <row r="3467" spans="1:10" x14ac:dyDescent="0.25">
      <c r="A3467" s="2" t="s">
        <v>9079</v>
      </c>
      <c r="B3467" s="2" t="s">
        <v>7007</v>
      </c>
      <c r="C3467" s="2" t="s">
        <v>9080</v>
      </c>
      <c r="D3467" s="2" t="s">
        <v>10055</v>
      </c>
      <c r="E3467" s="15">
        <v>-9.74E-2</v>
      </c>
      <c r="F3467" s="15">
        <v>7.6300000000000007E-2</v>
      </c>
      <c r="G3467" s="15">
        <v>0.2016</v>
      </c>
      <c r="H3467" s="15">
        <v>6.5600000000000006E-2</v>
      </c>
      <c r="I3467" s="15">
        <v>1.54E-2</v>
      </c>
      <c r="J3467" s="15">
        <v>4.916666666666667</v>
      </c>
    </row>
    <row r="3468" spans="1:10" x14ac:dyDescent="0.25">
      <c r="A3468" s="2" t="s">
        <v>9081</v>
      </c>
      <c r="B3468" s="2" t="s">
        <v>7007</v>
      </c>
      <c r="C3468" s="2" t="s">
        <v>9082</v>
      </c>
      <c r="D3468" s="2" t="s">
        <v>10055</v>
      </c>
      <c r="E3468" s="15"/>
      <c r="F3468" s="15"/>
      <c r="G3468" s="15"/>
      <c r="H3468" s="15">
        <v>-2.75E-2</v>
      </c>
      <c r="I3468" s="15">
        <v>1.32E-2</v>
      </c>
      <c r="J3468" s="15">
        <v>-1.2727272727272729</v>
      </c>
    </row>
    <row r="3469" spans="1:10" x14ac:dyDescent="0.25">
      <c r="A3469" s="2" t="s">
        <v>9083</v>
      </c>
      <c r="B3469" s="2" t="s">
        <v>7007</v>
      </c>
      <c r="C3469" s="2" t="s">
        <v>9084</v>
      </c>
      <c r="D3469" s="2" t="s">
        <v>10055</v>
      </c>
      <c r="E3469" s="15">
        <v>-8.2600000000000007E-2</v>
      </c>
      <c r="F3469" s="15">
        <v>8.3599999999999994E-2</v>
      </c>
      <c r="G3469" s="15">
        <v>0.32350000000000001</v>
      </c>
      <c r="H3469" s="15">
        <v>4.87E-2</v>
      </c>
      <c r="I3469" s="15">
        <v>1.37E-2</v>
      </c>
      <c r="J3469" s="15">
        <v>3.5955882352941182</v>
      </c>
    </row>
    <row r="3470" spans="1:10" x14ac:dyDescent="0.25">
      <c r="A3470" s="2" t="s">
        <v>9085</v>
      </c>
      <c r="B3470" s="2" t="s">
        <v>7007</v>
      </c>
      <c r="C3470" s="2" t="s">
        <v>9086</v>
      </c>
      <c r="D3470" s="2" t="s">
        <v>10055</v>
      </c>
      <c r="E3470" s="15">
        <v>5.5100000000000003E-2</v>
      </c>
      <c r="F3470" s="15">
        <v>4.0800000000000003E-2</v>
      </c>
      <c r="G3470" s="15">
        <v>0.17660000000000001</v>
      </c>
      <c r="H3470" s="15">
        <v>0.16850000000000001</v>
      </c>
      <c r="I3470" s="15">
        <v>2.12E-2</v>
      </c>
      <c r="J3470" s="15">
        <v>8.6815920398009947</v>
      </c>
    </row>
    <row r="3471" spans="1:10" x14ac:dyDescent="0.25">
      <c r="A3471" s="2" t="s">
        <v>9087</v>
      </c>
      <c r="B3471" s="2" t="s">
        <v>7007</v>
      </c>
      <c r="C3471" s="2" t="s">
        <v>9088</v>
      </c>
      <c r="D3471" s="2" t="s">
        <v>10055</v>
      </c>
      <c r="E3471" s="15"/>
      <c r="F3471" s="15"/>
      <c r="G3471" s="15"/>
      <c r="H3471" s="15">
        <v>-3.3E-3</v>
      </c>
      <c r="I3471" s="15">
        <v>1.3299999999999999E-2</v>
      </c>
      <c r="J3471" s="15">
        <v>-2.3255813953488368E-2</v>
      </c>
    </row>
    <row r="3472" spans="1:10" x14ac:dyDescent="0.25">
      <c r="A3472" s="2" t="s">
        <v>9089</v>
      </c>
      <c r="B3472" s="2" t="s">
        <v>7007</v>
      </c>
      <c r="C3472" s="2" t="s">
        <v>9090</v>
      </c>
      <c r="D3472" s="2" t="s">
        <v>10055</v>
      </c>
      <c r="E3472" s="15">
        <v>-2.6800000000000001E-2</v>
      </c>
      <c r="F3472" s="15">
        <v>6.8400000000000002E-2</v>
      </c>
      <c r="G3472" s="15">
        <v>0.69569999999999999</v>
      </c>
      <c r="H3472" s="15">
        <v>7.6600000000000001E-2</v>
      </c>
      <c r="I3472" s="15">
        <v>1.5100000000000001E-2</v>
      </c>
      <c r="J3472" s="15">
        <v>5.9455782312925178</v>
      </c>
    </row>
    <row r="3473" spans="1:10" x14ac:dyDescent="0.25">
      <c r="A3473" s="2" t="s">
        <v>9091</v>
      </c>
      <c r="B3473" s="2" t="s">
        <v>7007</v>
      </c>
      <c r="C3473" s="2" t="s">
        <v>9092</v>
      </c>
      <c r="D3473" s="2" t="s">
        <v>10055</v>
      </c>
      <c r="E3473" s="15">
        <v>0.14130000000000001</v>
      </c>
      <c r="F3473" s="15">
        <v>0.11840000000000001</v>
      </c>
      <c r="G3473" s="15">
        <v>0.2326</v>
      </c>
      <c r="H3473" s="15">
        <v>2.1899999999999999E-2</v>
      </c>
      <c r="I3473" s="15">
        <v>1.34E-2</v>
      </c>
      <c r="J3473" s="15">
        <v>1.2313432835820901</v>
      </c>
    </row>
    <row r="3474" spans="1:10" x14ac:dyDescent="0.25">
      <c r="A3474" s="2" t="s">
        <v>9093</v>
      </c>
      <c r="B3474" s="2" t="s">
        <v>7007</v>
      </c>
      <c r="C3474" s="2" t="s">
        <v>9094</v>
      </c>
      <c r="D3474" s="2" t="s">
        <v>10055</v>
      </c>
      <c r="E3474" s="15">
        <v>-7.7999999999999996E-3</v>
      </c>
      <c r="F3474" s="15">
        <v>6.93E-2</v>
      </c>
      <c r="G3474" s="15">
        <v>0.90990000000000004</v>
      </c>
      <c r="H3474" s="15">
        <v>6.7599999999999993E-2</v>
      </c>
      <c r="I3474" s="15">
        <v>1.5100000000000001E-2</v>
      </c>
      <c r="J3474" s="15">
        <v>4.2430555555555554</v>
      </c>
    </row>
    <row r="3475" spans="1:10" x14ac:dyDescent="0.25">
      <c r="A3475" s="2" t="s">
        <v>9095</v>
      </c>
      <c r="B3475" s="2" t="s">
        <v>7007</v>
      </c>
      <c r="C3475" s="2" t="s">
        <v>9096</v>
      </c>
      <c r="D3475" s="2" t="s">
        <v>10055</v>
      </c>
      <c r="E3475" s="15">
        <v>-3.1699999999999999E-2</v>
      </c>
      <c r="F3475" s="15">
        <v>6.2199999999999998E-2</v>
      </c>
      <c r="G3475" s="15">
        <v>0.61019999999999996</v>
      </c>
      <c r="H3475" s="15">
        <v>8.2600000000000007E-2</v>
      </c>
      <c r="I3475" s="15">
        <v>1.6400000000000001E-2</v>
      </c>
      <c r="J3475" s="15">
        <v>5.4713375796178347</v>
      </c>
    </row>
    <row r="3476" spans="1:10" x14ac:dyDescent="0.25">
      <c r="A3476" s="2" t="s">
        <v>9097</v>
      </c>
      <c r="B3476" s="2" t="s">
        <v>7007</v>
      </c>
      <c r="C3476" s="2" t="s">
        <v>9098</v>
      </c>
      <c r="D3476" s="2" t="s">
        <v>10055</v>
      </c>
      <c r="E3476" s="15">
        <v>4.24E-2</v>
      </c>
      <c r="F3476" s="15">
        <v>4.2500000000000003E-2</v>
      </c>
      <c r="G3476" s="15">
        <v>0.31769999999999998</v>
      </c>
      <c r="H3476" s="15">
        <v>0.17730000000000001</v>
      </c>
      <c r="I3476" s="15">
        <v>2.0500000000000001E-2</v>
      </c>
      <c r="J3476" s="15">
        <v>10</v>
      </c>
    </row>
    <row r="3477" spans="1:10" x14ac:dyDescent="0.25">
      <c r="A3477" s="2" t="s">
        <v>9099</v>
      </c>
      <c r="B3477" s="2" t="s">
        <v>7007</v>
      </c>
      <c r="C3477" s="2" t="s">
        <v>9100</v>
      </c>
      <c r="D3477" s="2" t="s">
        <v>10055</v>
      </c>
      <c r="E3477" s="15">
        <v>4.8099999999999997E-2</v>
      </c>
      <c r="F3477" s="15">
        <v>5.2999999999999999E-2</v>
      </c>
      <c r="G3477" s="15">
        <v>0.36449999999999999</v>
      </c>
      <c r="H3477" s="15">
        <v>0.10589999999999999</v>
      </c>
      <c r="I3477" s="15">
        <v>1.5699999999999999E-2</v>
      </c>
      <c r="J3477" s="15">
        <v>6.7115384615384617</v>
      </c>
    </row>
    <row r="3478" spans="1:10" x14ac:dyDescent="0.25">
      <c r="A3478" s="2" t="s">
        <v>9101</v>
      </c>
      <c r="B3478" s="2" t="s">
        <v>7007</v>
      </c>
      <c r="C3478" s="2" t="s">
        <v>9102</v>
      </c>
      <c r="D3478" s="2" t="s">
        <v>10055</v>
      </c>
      <c r="E3478" s="15">
        <v>0.1061</v>
      </c>
      <c r="F3478" s="15">
        <v>9.9500000000000005E-2</v>
      </c>
      <c r="G3478" s="15">
        <v>0.2863</v>
      </c>
      <c r="H3478" s="15">
        <v>3.7199999999999997E-2</v>
      </c>
      <c r="I3478" s="15">
        <v>1.41E-2</v>
      </c>
      <c r="J3478" s="15">
        <v>2.6618705035971222</v>
      </c>
    </row>
    <row r="3479" spans="1:10" x14ac:dyDescent="0.25">
      <c r="A3479" s="2" t="s">
        <v>9103</v>
      </c>
      <c r="B3479" s="2" t="s">
        <v>7007</v>
      </c>
      <c r="C3479" s="2" t="s">
        <v>9104</v>
      </c>
      <c r="D3479" s="2" t="s">
        <v>10055</v>
      </c>
      <c r="E3479" s="15">
        <v>0.3115</v>
      </c>
      <c r="F3479" s="15">
        <v>0.34810000000000002</v>
      </c>
      <c r="G3479" s="15">
        <v>0.37080000000000002</v>
      </c>
      <c r="H3479" s="15">
        <v>8.0000000000000002E-3</v>
      </c>
      <c r="I3479" s="15">
        <v>1.47E-2</v>
      </c>
      <c r="J3479" s="15">
        <v>0.46575342465753422</v>
      </c>
    </row>
    <row r="3480" spans="1:10" x14ac:dyDescent="0.25">
      <c r="A3480" s="2" t="s">
        <v>9105</v>
      </c>
      <c r="B3480" s="2" t="s">
        <v>7007</v>
      </c>
      <c r="C3480" s="2" t="s">
        <v>9106</v>
      </c>
      <c r="D3480" s="2" t="s">
        <v>10055</v>
      </c>
      <c r="E3480" s="15">
        <v>1.03E-2</v>
      </c>
      <c r="F3480" s="15">
        <v>4.2900000000000001E-2</v>
      </c>
      <c r="G3480" s="15">
        <v>0.8105</v>
      </c>
      <c r="H3480" s="15">
        <v>0.187</v>
      </c>
      <c r="I3480" s="15">
        <v>2.1600000000000001E-2</v>
      </c>
      <c r="J3480" s="15">
        <v>9.2935323383084576</v>
      </c>
    </row>
    <row r="3481" spans="1:10" x14ac:dyDescent="0.25">
      <c r="A3481" s="2" t="s">
        <v>9107</v>
      </c>
      <c r="B3481" s="2" t="s">
        <v>7007</v>
      </c>
      <c r="C3481" s="2" t="s">
        <v>9108</v>
      </c>
      <c r="D3481" s="2" t="s">
        <v>10055</v>
      </c>
      <c r="E3481" s="15">
        <v>-0.12479999999999999</v>
      </c>
      <c r="F3481" s="15">
        <v>0.13500000000000001</v>
      </c>
      <c r="G3481" s="15">
        <v>0.3553</v>
      </c>
      <c r="H3481" s="15">
        <v>1.66E-2</v>
      </c>
      <c r="I3481" s="15">
        <v>1.35E-2</v>
      </c>
      <c r="J3481" s="15">
        <v>1.64</v>
      </c>
    </row>
    <row r="3482" spans="1:10" x14ac:dyDescent="0.25">
      <c r="A3482" s="2" t="s">
        <v>9109</v>
      </c>
      <c r="B3482" s="2" t="s">
        <v>7007</v>
      </c>
      <c r="C3482" s="2" t="s">
        <v>9110</v>
      </c>
      <c r="D3482" s="2" t="s">
        <v>10055</v>
      </c>
      <c r="E3482" s="15">
        <v>4.3E-3</v>
      </c>
      <c r="F3482" s="15">
        <v>8.6999999999999994E-2</v>
      </c>
      <c r="G3482" s="15">
        <v>0.9607</v>
      </c>
      <c r="H3482" s="15">
        <v>4.87E-2</v>
      </c>
      <c r="I3482" s="15">
        <v>1.7000000000000001E-2</v>
      </c>
      <c r="J3482" s="15">
        <v>3.583333333333333</v>
      </c>
    </row>
    <row r="3483" spans="1:10" x14ac:dyDescent="0.25">
      <c r="A3483" s="2" t="s">
        <v>9111</v>
      </c>
      <c r="B3483" s="2" t="s">
        <v>7007</v>
      </c>
      <c r="C3483" s="2" t="s">
        <v>9112</v>
      </c>
      <c r="D3483" s="2" t="s">
        <v>10055</v>
      </c>
      <c r="E3483" s="15">
        <v>-7.0900000000000005E-2</v>
      </c>
      <c r="F3483" s="15">
        <v>9.4899999999999998E-2</v>
      </c>
      <c r="G3483" s="15">
        <v>0.45490000000000003</v>
      </c>
      <c r="H3483" s="15">
        <v>3.0800000000000001E-2</v>
      </c>
      <c r="I3483" s="15">
        <v>1.6299999999999999E-2</v>
      </c>
      <c r="J3483" s="15">
        <v>1.741935483870968</v>
      </c>
    </row>
    <row r="3484" spans="1:10" x14ac:dyDescent="0.25">
      <c r="A3484" s="2" t="s">
        <v>9113</v>
      </c>
      <c r="B3484" s="2" t="s">
        <v>7007</v>
      </c>
      <c r="C3484" s="2" t="s">
        <v>9114</v>
      </c>
      <c r="D3484" s="2" t="s">
        <v>10055</v>
      </c>
      <c r="E3484" s="15">
        <v>-3.5799999999999998E-2</v>
      </c>
      <c r="F3484" s="15">
        <v>8.0299999999999996E-2</v>
      </c>
      <c r="G3484" s="15">
        <v>0.65559999999999996</v>
      </c>
      <c r="H3484" s="15">
        <v>5.1799999999999999E-2</v>
      </c>
      <c r="I3484" s="15">
        <v>1.4500000000000001E-2</v>
      </c>
      <c r="J3484" s="15">
        <v>3.9375</v>
      </c>
    </row>
    <row r="3485" spans="1:10" x14ac:dyDescent="0.25">
      <c r="A3485" s="2" t="s">
        <v>9115</v>
      </c>
      <c r="B3485" s="2" t="s">
        <v>7007</v>
      </c>
      <c r="C3485" s="2" t="s">
        <v>9116</v>
      </c>
      <c r="D3485" s="2" t="s">
        <v>10055</v>
      </c>
      <c r="E3485" s="15">
        <v>0.2006</v>
      </c>
      <c r="F3485" s="15">
        <v>0.14899999999999999</v>
      </c>
      <c r="G3485" s="15">
        <v>0.1782</v>
      </c>
      <c r="H3485" s="15">
        <v>1.6199999999999999E-2</v>
      </c>
      <c r="I3485" s="15">
        <v>1.37E-2</v>
      </c>
      <c r="J3485" s="15">
        <v>0.97744360902255645</v>
      </c>
    </row>
    <row r="3486" spans="1:10" x14ac:dyDescent="0.25">
      <c r="A3486" s="2" t="s">
        <v>9117</v>
      </c>
      <c r="B3486" s="2" t="s">
        <v>7007</v>
      </c>
      <c r="C3486" s="2" t="s">
        <v>9118</v>
      </c>
      <c r="D3486" s="2" t="s">
        <v>10055</v>
      </c>
      <c r="E3486" s="15">
        <v>8.3900000000000002E-2</v>
      </c>
      <c r="F3486" s="15">
        <v>6.8199999999999997E-2</v>
      </c>
      <c r="G3486" s="15">
        <v>0.21879999999999999</v>
      </c>
      <c r="H3486" s="15">
        <v>6.6100000000000006E-2</v>
      </c>
      <c r="I3486" s="15">
        <v>1.61E-2</v>
      </c>
      <c r="J3486" s="15">
        <v>4.772151898734176</v>
      </c>
    </row>
    <row r="3487" spans="1:10" x14ac:dyDescent="0.25">
      <c r="A3487" s="2" t="s">
        <v>9119</v>
      </c>
      <c r="B3487" s="2" t="s">
        <v>7007</v>
      </c>
      <c r="C3487" s="2" t="s">
        <v>9120</v>
      </c>
      <c r="D3487" s="2" t="s">
        <v>10055</v>
      </c>
      <c r="E3487" s="15">
        <v>-7.8299999999999995E-2</v>
      </c>
      <c r="F3487" s="15">
        <v>9.4500000000000001E-2</v>
      </c>
      <c r="G3487" s="15">
        <v>0.40739999999999998</v>
      </c>
      <c r="H3487" s="15">
        <v>4.0899999999999999E-2</v>
      </c>
      <c r="I3487" s="15">
        <v>1.52E-2</v>
      </c>
      <c r="J3487" s="15">
        <v>3.2377622377622379</v>
      </c>
    </row>
    <row r="3488" spans="1:10" x14ac:dyDescent="0.25">
      <c r="A3488" s="2" t="s">
        <v>9121</v>
      </c>
      <c r="B3488" s="2" t="s">
        <v>7007</v>
      </c>
      <c r="C3488" s="2" t="s">
        <v>9122</v>
      </c>
      <c r="D3488" s="2" t="s">
        <v>10055</v>
      </c>
      <c r="E3488" s="15">
        <v>2.64E-2</v>
      </c>
      <c r="F3488" s="15">
        <v>8.5400000000000004E-2</v>
      </c>
      <c r="G3488" s="15">
        <v>0.75680000000000003</v>
      </c>
      <c r="H3488" s="15">
        <v>4.8500000000000001E-2</v>
      </c>
      <c r="I3488" s="15">
        <v>1.46E-2</v>
      </c>
      <c r="J3488" s="15">
        <v>2.8513513513513509</v>
      </c>
    </row>
    <row r="3489" spans="1:10" x14ac:dyDescent="0.25">
      <c r="A3489" s="2" t="s">
        <v>9123</v>
      </c>
      <c r="B3489" s="2" t="s">
        <v>7007</v>
      </c>
      <c r="C3489" s="2" t="s">
        <v>9124</v>
      </c>
      <c r="D3489" s="2" t="s">
        <v>10055</v>
      </c>
      <c r="E3489" s="15">
        <v>-1.72E-2</v>
      </c>
      <c r="F3489" s="15">
        <v>6.3299999999999995E-2</v>
      </c>
      <c r="G3489" s="15">
        <v>0.7863</v>
      </c>
      <c r="H3489" s="15">
        <v>0.1016</v>
      </c>
      <c r="I3489" s="15">
        <v>1.67E-2</v>
      </c>
      <c r="J3489" s="15">
        <v>6.3742690058479532</v>
      </c>
    </row>
    <row r="3490" spans="1:10" x14ac:dyDescent="0.25">
      <c r="A3490" s="2" t="s">
        <v>9125</v>
      </c>
      <c r="B3490" s="2" t="s">
        <v>7007</v>
      </c>
      <c r="C3490" s="2" t="s">
        <v>9126</v>
      </c>
      <c r="D3490" s="2" t="s">
        <v>10055</v>
      </c>
      <c r="E3490" s="15">
        <v>7.0000000000000007E-2</v>
      </c>
      <c r="F3490" s="15">
        <v>5.0599999999999999E-2</v>
      </c>
      <c r="G3490" s="15">
        <v>0.1663</v>
      </c>
      <c r="H3490" s="15">
        <v>0.13619999999999999</v>
      </c>
      <c r="I3490" s="15">
        <v>1.72E-2</v>
      </c>
      <c r="J3490" s="15">
        <v>7.8430232558139528</v>
      </c>
    </row>
    <row r="3491" spans="1:10" x14ac:dyDescent="0.25">
      <c r="A3491" s="2" t="s">
        <v>9127</v>
      </c>
      <c r="B3491" s="2" t="s">
        <v>7007</v>
      </c>
      <c r="C3491" s="2" t="s">
        <v>9128</v>
      </c>
      <c r="D3491" s="2" t="s">
        <v>10055</v>
      </c>
      <c r="E3491" s="15">
        <v>0.34760000000000002</v>
      </c>
      <c r="F3491" s="15">
        <v>0.43049999999999999</v>
      </c>
      <c r="G3491" s="15">
        <v>0.4194</v>
      </c>
      <c r="H3491" s="15">
        <v>8.0000000000000002E-3</v>
      </c>
      <c r="I3491" s="15">
        <v>1.52E-2</v>
      </c>
      <c r="J3491" s="15">
        <v>1.013157894736842</v>
      </c>
    </row>
    <row r="3492" spans="1:10" x14ac:dyDescent="0.25">
      <c r="A3492" s="2" t="s">
        <v>9129</v>
      </c>
      <c r="B3492" s="2" t="s">
        <v>7007</v>
      </c>
      <c r="C3492" s="2" t="s">
        <v>9130</v>
      </c>
      <c r="D3492" s="2" t="s">
        <v>10055</v>
      </c>
      <c r="E3492" s="15">
        <v>0.129</v>
      </c>
      <c r="F3492" s="15">
        <v>9.7900000000000001E-2</v>
      </c>
      <c r="G3492" s="15">
        <v>0.18740000000000001</v>
      </c>
      <c r="H3492" s="15">
        <v>3.1899999999999998E-2</v>
      </c>
      <c r="I3492" s="15">
        <v>1.3100000000000001E-2</v>
      </c>
      <c r="J3492" s="15">
        <v>2.871212121212122</v>
      </c>
    </row>
    <row r="3493" spans="1:10" x14ac:dyDescent="0.25">
      <c r="A3493" s="2" t="s">
        <v>9131</v>
      </c>
      <c r="B3493" s="2" t="s">
        <v>7007</v>
      </c>
      <c r="C3493" s="2" t="s">
        <v>9132</v>
      </c>
      <c r="D3493" s="2" t="s">
        <v>10055</v>
      </c>
      <c r="E3493" s="15">
        <v>1.1900000000000001E-2</v>
      </c>
      <c r="F3493" s="15">
        <v>5.0299999999999997E-2</v>
      </c>
      <c r="G3493" s="15">
        <v>0.81289999999999996</v>
      </c>
      <c r="H3493" s="15">
        <v>0.13850000000000001</v>
      </c>
      <c r="I3493" s="15">
        <v>1.7399999999999999E-2</v>
      </c>
      <c r="J3493" s="15">
        <v>8.1538461538461551</v>
      </c>
    </row>
    <row r="3494" spans="1:10" x14ac:dyDescent="0.25">
      <c r="A3494" s="2" t="s">
        <v>9133</v>
      </c>
      <c r="B3494" s="2" t="s">
        <v>7007</v>
      </c>
      <c r="C3494" s="2" t="s">
        <v>9134</v>
      </c>
      <c r="D3494" s="2" t="s">
        <v>10055</v>
      </c>
      <c r="E3494" s="15">
        <v>2.5399999999999999E-2</v>
      </c>
      <c r="F3494" s="15">
        <v>5.3999999999999999E-2</v>
      </c>
      <c r="G3494" s="15">
        <v>0.63870000000000005</v>
      </c>
      <c r="H3494" s="15">
        <v>0.1176</v>
      </c>
      <c r="I3494" s="15">
        <v>1.8100000000000002E-2</v>
      </c>
      <c r="J3494" s="15">
        <v>6.8125</v>
      </c>
    </row>
    <row r="3495" spans="1:10" x14ac:dyDescent="0.25">
      <c r="A3495" s="2" t="s">
        <v>9135</v>
      </c>
      <c r="B3495" s="2" t="s">
        <v>7007</v>
      </c>
      <c r="C3495" s="2" t="s">
        <v>9136</v>
      </c>
      <c r="D3495" s="2" t="s">
        <v>10055</v>
      </c>
      <c r="E3495" s="15">
        <v>0.47060000000000002</v>
      </c>
      <c r="F3495" s="15">
        <v>1.1580999999999999</v>
      </c>
      <c r="G3495" s="15">
        <v>0.6845</v>
      </c>
      <c r="H3495" s="15">
        <v>3.7000000000000002E-3</v>
      </c>
      <c r="I3495" s="15">
        <v>1.3599999999999999E-2</v>
      </c>
      <c r="J3495" s="15">
        <v>-6.9444444444444448E-2</v>
      </c>
    </row>
    <row r="3496" spans="1:10" x14ac:dyDescent="0.25">
      <c r="A3496" s="2" t="s">
        <v>9137</v>
      </c>
      <c r="B3496" s="2" t="s">
        <v>7007</v>
      </c>
      <c r="C3496" s="2" t="s">
        <v>9138</v>
      </c>
      <c r="D3496" s="2" t="s">
        <v>10055</v>
      </c>
      <c r="E3496" s="15">
        <v>-5.0200000000000002E-2</v>
      </c>
      <c r="F3496" s="15">
        <v>4.9299999999999997E-2</v>
      </c>
      <c r="G3496" s="15">
        <v>0.30809999999999998</v>
      </c>
      <c r="H3496" s="15">
        <v>0.13739999999999999</v>
      </c>
      <c r="I3496" s="15">
        <v>1.9900000000000001E-2</v>
      </c>
      <c r="J3496" s="15">
        <v>7.5683060109289624</v>
      </c>
    </row>
    <row r="3497" spans="1:10" x14ac:dyDescent="0.25">
      <c r="A3497" s="2" t="s">
        <v>9139</v>
      </c>
      <c r="B3497" s="2" t="s">
        <v>7007</v>
      </c>
      <c r="C3497" s="2" t="s">
        <v>9140</v>
      </c>
      <c r="D3497" s="2" t="s">
        <v>10055</v>
      </c>
      <c r="E3497" s="15"/>
      <c r="F3497" s="15"/>
      <c r="G3497" s="15"/>
      <c r="H3497" s="15">
        <v>-2.3999999999999998E-3</v>
      </c>
      <c r="I3497" s="15">
        <v>1.4200000000000001E-2</v>
      </c>
      <c r="J3497" s="15">
        <v>0.83582089552238803</v>
      </c>
    </row>
    <row r="3498" spans="1:10" x14ac:dyDescent="0.25">
      <c r="A3498" s="2" t="s">
        <v>9141</v>
      </c>
      <c r="B3498" s="2" t="s">
        <v>7007</v>
      </c>
      <c r="C3498" s="2" t="s">
        <v>9142</v>
      </c>
      <c r="D3498" s="2" t="s">
        <v>10055</v>
      </c>
      <c r="E3498" s="15">
        <v>-4.6699999999999998E-2</v>
      </c>
      <c r="F3498" s="15">
        <v>6.3500000000000001E-2</v>
      </c>
      <c r="G3498" s="15">
        <v>0.46150000000000002</v>
      </c>
      <c r="H3498" s="15">
        <v>9.98E-2</v>
      </c>
      <c r="I3498" s="15">
        <v>1.9099999999999999E-2</v>
      </c>
      <c r="J3498" s="15">
        <v>6.039106145251397</v>
      </c>
    </row>
    <row r="3499" spans="1:10" x14ac:dyDescent="0.25">
      <c r="A3499" s="2" t="s">
        <v>9143</v>
      </c>
      <c r="B3499" s="2" t="s">
        <v>7007</v>
      </c>
      <c r="C3499" s="2" t="s">
        <v>9144</v>
      </c>
      <c r="D3499" s="2" t="s">
        <v>10055</v>
      </c>
      <c r="E3499" s="15">
        <v>1.0500000000000001E-2</v>
      </c>
      <c r="F3499" s="15">
        <v>0.107</v>
      </c>
      <c r="G3499" s="15">
        <v>0.92159999999999997</v>
      </c>
      <c r="H3499" s="15">
        <v>2.9100000000000001E-2</v>
      </c>
      <c r="I3499" s="15">
        <v>1.4200000000000001E-2</v>
      </c>
      <c r="J3499" s="15">
        <v>2.456521739130435</v>
      </c>
    </row>
    <row r="3500" spans="1:10" x14ac:dyDescent="0.25">
      <c r="A3500" s="2" t="s">
        <v>9145</v>
      </c>
      <c r="B3500" s="2" t="s">
        <v>7007</v>
      </c>
      <c r="C3500" s="2" t="s">
        <v>9146</v>
      </c>
      <c r="D3500" s="2" t="s">
        <v>10055</v>
      </c>
      <c r="E3500" s="15">
        <v>-8.2100000000000006E-2</v>
      </c>
      <c r="F3500" s="15">
        <v>0.10680000000000001</v>
      </c>
      <c r="G3500" s="15">
        <v>0.44240000000000002</v>
      </c>
      <c r="H3500" s="15">
        <v>2.6800000000000001E-2</v>
      </c>
      <c r="I3500" s="15">
        <v>1.4500000000000001E-2</v>
      </c>
      <c r="J3500" s="15">
        <v>1.291666666666667</v>
      </c>
    </row>
    <row r="3501" spans="1:10" x14ac:dyDescent="0.25">
      <c r="A3501" s="2" t="s">
        <v>9147</v>
      </c>
      <c r="B3501" s="2" t="s">
        <v>7007</v>
      </c>
      <c r="C3501" s="2" t="s">
        <v>9148</v>
      </c>
      <c r="D3501" s="2" t="s">
        <v>10055</v>
      </c>
      <c r="E3501" s="15">
        <v>-7.8899999999999998E-2</v>
      </c>
      <c r="F3501" s="15">
        <v>5.91E-2</v>
      </c>
      <c r="G3501" s="15">
        <v>0.18190000000000001</v>
      </c>
      <c r="H3501" s="15">
        <v>7.9799999999999996E-2</v>
      </c>
      <c r="I3501" s="15">
        <v>1.5100000000000001E-2</v>
      </c>
      <c r="J3501" s="15">
        <v>5.4295302013422821</v>
      </c>
    </row>
    <row r="3502" spans="1:10" x14ac:dyDescent="0.25">
      <c r="A3502" s="2" t="s">
        <v>9149</v>
      </c>
      <c r="B3502" s="2" t="s">
        <v>7007</v>
      </c>
      <c r="C3502" s="2" t="s">
        <v>9150</v>
      </c>
      <c r="D3502" s="2" t="s">
        <v>10055</v>
      </c>
      <c r="E3502" s="15">
        <v>-8.2699999999999996E-2</v>
      </c>
      <c r="F3502" s="15">
        <v>6.0999999999999999E-2</v>
      </c>
      <c r="G3502" s="15">
        <v>0.17530000000000001</v>
      </c>
      <c r="H3502" s="15">
        <v>9.1700000000000004E-2</v>
      </c>
      <c r="I3502" s="15">
        <v>1.77E-2</v>
      </c>
      <c r="J3502" s="15">
        <v>5.9107142857142856</v>
      </c>
    </row>
    <row r="3503" spans="1:10" x14ac:dyDescent="0.25">
      <c r="A3503" s="2" t="s">
        <v>9151</v>
      </c>
      <c r="B3503" s="2" t="s">
        <v>7007</v>
      </c>
      <c r="C3503" s="2" t="s">
        <v>9152</v>
      </c>
      <c r="D3503" s="2" t="s">
        <v>10055</v>
      </c>
      <c r="E3503" s="15">
        <v>-0.20799999999999999</v>
      </c>
      <c r="F3503" s="15">
        <v>0.1201</v>
      </c>
      <c r="G3503" s="15">
        <v>8.3099999999999993E-2</v>
      </c>
      <c r="H3503" s="15">
        <v>2.24E-2</v>
      </c>
      <c r="I3503" s="15">
        <v>1.4999999999999999E-2</v>
      </c>
      <c r="J3503" s="15">
        <v>1.666666666666667</v>
      </c>
    </row>
    <row r="3504" spans="1:10" x14ac:dyDescent="0.25">
      <c r="A3504" s="2" t="s">
        <v>9153</v>
      </c>
      <c r="B3504" s="2" t="s">
        <v>7007</v>
      </c>
      <c r="C3504" s="2" t="s">
        <v>9154</v>
      </c>
      <c r="D3504" s="2" t="s">
        <v>10055</v>
      </c>
      <c r="E3504" s="15">
        <v>-6.0000000000000001E-3</v>
      </c>
      <c r="F3504" s="15">
        <v>6.4699999999999994E-2</v>
      </c>
      <c r="G3504" s="15">
        <v>0.9264</v>
      </c>
      <c r="H3504" s="15">
        <v>8.1299999999999997E-2</v>
      </c>
      <c r="I3504" s="15">
        <v>1.5900000000000001E-2</v>
      </c>
      <c r="J3504" s="15">
        <v>5.1446540880503138</v>
      </c>
    </row>
    <row r="3505" spans="1:10" x14ac:dyDescent="0.25">
      <c r="A3505" s="2" t="s">
        <v>9155</v>
      </c>
      <c r="B3505" s="2" t="s">
        <v>7007</v>
      </c>
      <c r="C3505" s="2" t="s">
        <v>9156</v>
      </c>
      <c r="D3505" s="2" t="s">
        <v>10055</v>
      </c>
      <c r="E3505" s="15">
        <v>-3.1600000000000003E-2</v>
      </c>
      <c r="F3505" s="15">
        <v>9.8799999999999999E-2</v>
      </c>
      <c r="G3505" s="15">
        <v>0.74929999999999997</v>
      </c>
      <c r="H3505" s="15">
        <v>3.2300000000000002E-2</v>
      </c>
      <c r="I3505" s="15">
        <v>1.47E-2</v>
      </c>
      <c r="J3505" s="15">
        <v>2.3076923076923079</v>
      </c>
    </row>
    <row r="3506" spans="1:10" x14ac:dyDescent="0.25">
      <c r="A3506" s="2" t="s">
        <v>9157</v>
      </c>
      <c r="B3506" s="2" t="s">
        <v>7007</v>
      </c>
      <c r="C3506" s="2" t="s">
        <v>9158</v>
      </c>
      <c r="D3506" s="2" t="s">
        <v>10055</v>
      </c>
      <c r="E3506" s="15">
        <v>-0.15409999999999999</v>
      </c>
      <c r="F3506" s="15">
        <v>0.11849999999999999</v>
      </c>
      <c r="G3506" s="15">
        <v>0.19359999999999999</v>
      </c>
      <c r="H3506" s="15">
        <v>2.2700000000000001E-2</v>
      </c>
      <c r="I3506" s="15">
        <v>1.5100000000000001E-2</v>
      </c>
      <c r="J3506" s="15">
        <v>2.0933333333333328</v>
      </c>
    </row>
    <row r="3507" spans="1:10" x14ac:dyDescent="0.25">
      <c r="A3507" s="2" t="s">
        <v>9159</v>
      </c>
      <c r="B3507" s="2" t="s">
        <v>7007</v>
      </c>
      <c r="C3507" s="2" t="s">
        <v>9160</v>
      </c>
      <c r="D3507" s="2" t="s">
        <v>10055</v>
      </c>
      <c r="E3507" s="15"/>
      <c r="F3507" s="15"/>
      <c r="G3507" s="15"/>
      <c r="H3507" s="15"/>
      <c r="I3507" s="15"/>
      <c r="J3507" s="15">
        <v>0.63194444444444453</v>
      </c>
    </row>
    <row r="3508" spans="1:10" x14ac:dyDescent="0.25">
      <c r="A3508" s="2" t="s">
        <v>9161</v>
      </c>
      <c r="B3508" s="2" t="s">
        <v>7007</v>
      </c>
      <c r="C3508" s="2" t="s">
        <v>9162</v>
      </c>
      <c r="D3508" s="2" t="s">
        <v>10055</v>
      </c>
      <c r="E3508" s="15">
        <v>6.2399999999999997E-2</v>
      </c>
      <c r="F3508" s="15">
        <v>0.23400000000000001</v>
      </c>
      <c r="G3508" s="15">
        <v>0.78979999999999995</v>
      </c>
      <c r="H3508" s="15">
        <v>6.4999999999999997E-3</v>
      </c>
      <c r="I3508" s="15">
        <v>1.4500000000000001E-2</v>
      </c>
      <c r="J3508" s="15">
        <v>0.56834532374100732</v>
      </c>
    </row>
    <row r="3509" spans="1:10" x14ac:dyDescent="0.25">
      <c r="A3509" s="2" t="s">
        <v>9163</v>
      </c>
      <c r="B3509" s="2" t="s">
        <v>7007</v>
      </c>
      <c r="C3509" s="2" t="s">
        <v>9164</v>
      </c>
      <c r="D3509" s="2" t="s">
        <v>10055</v>
      </c>
      <c r="E3509" s="15">
        <v>8.1299999999999997E-2</v>
      </c>
      <c r="F3509" s="15">
        <v>8.0600000000000005E-2</v>
      </c>
      <c r="G3509" s="15">
        <v>0.31259999999999999</v>
      </c>
      <c r="H3509" s="15">
        <v>5.62E-2</v>
      </c>
      <c r="I3509" s="15">
        <v>1.37E-2</v>
      </c>
      <c r="J3509" s="15">
        <v>4.4000000000000004</v>
      </c>
    </row>
    <row r="3510" spans="1:10" x14ac:dyDescent="0.25">
      <c r="A3510" s="2" t="s">
        <v>9165</v>
      </c>
      <c r="B3510" s="2" t="s">
        <v>7007</v>
      </c>
      <c r="C3510" s="2" t="s">
        <v>9166</v>
      </c>
      <c r="D3510" s="2" t="s">
        <v>10055</v>
      </c>
      <c r="E3510" s="15">
        <v>-2.5999999999999999E-3</v>
      </c>
      <c r="F3510" s="15">
        <v>7.0499999999999993E-2</v>
      </c>
      <c r="G3510" s="15">
        <v>0.97099999999999997</v>
      </c>
      <c r="H3510" s="15">
        <v>6.5000000000000002E-2</v>
      </c>
      <c r="I3510" s="15">
        <v>1.7399999999999999E-2</v>
      </c>
      <c r="J3510" s="15">
        <v>5.1144578313253017</v>
      </c>
    </row>
    <row r="3511" spans="1:10" x14ac:dyDescent="0.25">
      <c r="A3511" s="2" t="s">
        <v>9167</v>
      </c>
      <c r="B3511" s="2" t="s">
        <v>7007</v>
      </c>
      <c r="C3511" s="2" t="s">
        <v>9168</v>
      </c>
      <c r="D3511" s="2" t="s">
        <v>10055</v>
      </c>
      <c r="E3511" s="15">
        <v>9.9000000000000008E-3</v>
      </c>
      <c r="F3511" s="15">
        <v>6.0100000000000001E-2</v>
      </c>
      <c r="G3511" s="15">
        <v>0.86909999999999998</v>
      </c>
      <c r="H3511" s="15">
        <v>8.5199999999999998E-2</v>
      </c>
      <c r="I3511" s="15">
        <v>1.6799999999999999E-2</v>
      </c>
      <c r="J3511" s="15">
        <v>4.8965517241379306</v>
      </c>
    </row>
    <row r="3512" spans="1:10" x14ac:dyDescent="0.25">
      <c r="A3512" s="2" t="s">
        <v>9169</v>
      </c>
      <c r="B3512" s="2" t="s">
        <v>7007</v>
      </c>
      <c r="C3512" s="2" t="s">
        <v>9170</v>
      </c>
      <c r="D3512" s="2" t="s">
        <v>10055</v>
      </c>
      <c r="E3512" s="15">
        <v>-0.1191</v>
      </c>
      <c r="F3512" s="15">
        <v>8.5300000000000001E-2</v>
      </c>
      <c r="G3512" s="15">
        <v>0.16250000000000001</v>
      </c>
      <c r="H3512" s="15">
        <v>5.1499999999999997E-2</v>
      </c>
      <c r="I3512" s="15">
        <v>1.43E-2</v>
      </c>
      <c r="J3512" s="15">
        <v>3.454545454545455</v>
      </c>
    </row>
    <row r="3513" spans="1:10" x14ac:dyDescent="0.25">
      <c r="A3513" s="2" t="s">
        <v>9171</v>
      </c>
      <c r="B3513" s="2" t="s">
        <v>7007</v>
      </c>
      <c r="C3513" s="2" t="s">
        <v>9172</v>
      </c>
      <c r="D3513" s="2" t="s">
        <v>10055</v>
      </c>
      <c r="E3513" s="15">
        <v>-0.10390000000000001</v>
      </c>
      <c r="F3513" s="15">
        <v>4.8800000000000003E-2</v>
      </c>
      <c r="G3513" s="15">
        <v>3.3399999999999999E-2</v>
      </c>
      <c r="H3513" s="15">
        <v>0.14319999999999999</v>
      </c>
      <c r="I3513" s="15">
        <v>1.89E-2</v>
      </c>
      <c r="J3513" s="15">
        <v>8.0934065934065931</v>
      </c>
    </row>
    <row r="3514" spans="1:10" x14ac:dyDescent="0.25">
      <c r="A3514" s="2" t="s">
        <v>9173</v>
      </c>
      <c r="B3514" s="2" t="s">
        <v>7007</v>
      </c>
      <c r="C3514" s="2" t="s">
        <v>9174</v>
      </c>
      <c r="D3514" s="2" t="s">
        <v>10055</v>
      </c>
      <c r="E3514" s="15"/>
      <c r="F3514" s="15"/>
      <c r="G3514" s="15"/>
      <c r="H3514" s="15">
        <v>-7.1000000000000004E-3</v>
      </c>
      <c r="I3514" s="15">
        <v>1.43E-2</v>
      </c>
      <c r="J3514" s="15">
        <v>-0.36496350364963498</v>
      </c>
    </row>
    <row r="3515" spans="1:10" x14ac:dyDescent="0.25">
      <c r="A3515" s="2" t="s">
        <v>9175</v>
      </c>
      <c r="B3515" s="2" t="s">
        <v>7007</v>
      </c>
      <c r="C3515" s="2" t="s">
        <v>9176</v>
      </c>
      <c r="D3515" s="2" t="s">
        <v>10055</v>
      </c>
      <c r="E3515" s="15">
        <v>9.35E-2</v>
      </c>
      <c r="F3515" s="15">
        <v>9.06E-2</v>
      </c>
      <c r="G3515" s="15">
        <v>0.30170000000000002</v>
      </c>
      <c r="H3515" s="15">
        <v>4.3999999999999997E-2</v>
      </c>
      <c r="I3515" s="15">
        <v>1.5699999999999999E-2</v>
      </c>
      <c r="J3515" s="15">
        <v>3.6933333333333329</v>
      </c>
    </row>
    <row r="3516" spans="1:10" x14ac:dyDescent="0.25">
      <c r="A3516" s="2" t="s">
        <v>9177</v>
      </c>
      <c r="B3516" s="2" t="s">
        <v>7007</v>
      </c>
      <c r="C3516" s="2" t="s">
        <v>9178</v>
      </c>
      <c r="D3516" s="2" t="s">
        <v>10055</v>
      </c>
      <c r="E3516" s="15">
        <v>1.9300000000000001E-2</v>
      </c>
      <c r="F3516" s="15">
        <v>5.9499999999999997E-2</v>
      </c>
      <c r="G3516" s="15">
        <v>0.746</v>
      </c>
      <c r="H3516" s="15">
        <v>9.2600000000000002E-2</v>
      </c>
      <c r="I3516" s="15">
        <v>1.83E-2</v>
      </c>
      <c r="J3516" s="15">
        <v>5.7142857142857144</v>
      </c>
    </row>
    <row r="3517" spans="1:10" x14ac:dyDescent="0.25">
      <c r="A3517" s="2" t="s">
        <v>9179</v>
      </c>
      <c r="B3517" s="2" t="s">
        <v>7007</v>
      </c>
      <c r="C3517" s="2" t="s">
        <v>9180</v>
      </c>
      <c r="D3517" s="2" t="s">
        <v>10055</v>
      </c>
      <c r="E3517" s="15">
        <v>1.7500000000000002E-2</v>
      </c>
      <c r="F3517" s="15">
        <v>0.10489999999999999</v>
      </c>
      <c r="G3517" s="15">
        <v>0.86739999999999995</v>
      </c>
      <c r="H3517" s="15">
        <v>2.4199999999999999E-2</v>
      </c>
      <c r="I3517" s="15">
        <v>1.4200000000000001E-2</v>
      </c>
      <c r="J3517" s="15">
        <v>1.8040540540540539</v>
      </c>
    </row>
    <row r="3518" spans="1:10" x14ac:dyDescent="0.25">
      <c r="A3518" s="2" t="s">
        <v>9181</v>
      </c>
      <c r="B3518" s="2" t="s">
        <v>7007</v>
      </c>
      <c r="C3518" s="2" t="s">
        <v>9182</v>
      </c>
      <c r="D3518" s="2" t="s">
        <v>10055</v>
      </c>
      <c r="E3518" s="15">
        <v>1.8499999999999999E-2</v>
      </c>
      <c r="F3518" s="15">
        <v>7.5999999999999998E-2</v>
      </c>
      <c r="G3518" s="15">
        <v>0.80769999999999997</v>
      </c>
      <c r="H3518" s="15">
        <v>5.7500000000000002E-2</v>
      </c>
      <c r="I3518" s="15">
        <v>2.1100000000000001E-2</v>
      </c>
      <c r="J3518" s="15">
        <v>3.1224489795918369</v>
      </c>
    </row>
    <row r="3519" spans="1:10" x14ac:dyDescent="0.25">
      <c r="A3519" s="2" t="s">
        <v>9183</v>
      </c>
      <c r="B3519" s="2" t="s">
        <v>7007</v>
      </c>
      <c r="C3519" s="2" t="s">
        <v>9184</v>
      </c>
      <c r="D3519" s="2" t="s">
        <v>10055</v>
      </c>
      <c r="E3519" s="15">
        <v>2.1999999999999999E-2</v>
      </c>
      <c r="F3519" s="15">
        <v>0.10009999999999999</v>
      </c>
      <c r="G3519" s="15">
        <v>0.82640000000000002</v>
      </c>
      <c r="H3519" s="15">
        <v>3.1099999999999999E-2</v>
      </c>
      <c r="I3519" s="15">
        <v>1.5599999999999999E-2</v>
      </c>
      <c r="J3519" s="15">
        <v>2.386206896551724</v>
      </c>
    </row>
    <row r="3520" spans="1:10" x14ac:dyDescent="0.25">
      <c r="A3520" s="2" t="s">
        <v>9185</v>
      </c>
      <c r="B3520" s="2" t="s">
        <v>7007</v>
      </c>
      <c r="C3520" s="2" t="s">
        <v>9186</v>
      </c>
      <c r="D3520" s="2" t="s">
        <v>10055</v>
      </c>
      <c r="E3520" s="15">
        <v>-4.5400000000000003E-2</v>
      </c>
      <c r="F3520" s="15">
        <v>4.8000000000000001E-2</v>
      </c>
      <c r="G3520" s="15">
        <v>0.3448</v>
      </c>
      <c r="H3520" s="15">
        <v>0.1241</v>
      </c>
      <c r="I3520" s="15">
        <v>2.63E-2</v>
      </c>
      <c r="J3520" s="15">
        <v>5.5213675213675213</v>
      </c>
    </row>
    <row r="3521" spans="1:10" x14ac:dyDescent="0.25">
      <c r="A3521" s="2" t="s">
        <v>9187</v>
      </c>
      <c r="B3521" s="2" t="s">
        <v>7007</v>
      </c>
      <c r="C3521" s="2" t="s">
        <v>9188</v>
      </c>
      <c r="D3521" s="2" t="s">
        <v>10055</v>
      </c>
      <c r="E3521" s="15">
        <v>6.8599999999999994E-2</v>
      </c>
      <c r="F3521" s="15">
        <v>6.1800000000000001E-2</v>
      </c>
      <c r="G3521" s="15">
        <v>0.26650000000000001</v>
      </c>
      <c r="H3521" s="15">
        <v>8.4199999999999997E-2</v>
      </c>
      <c r="I3521" s="15">
        <v>1.7000000000000001E-2</v>
      </c>
      <c r="J3521" s="15">
        <v>5.7142857142857144</v>
      </c>
    </row>
    <row r="3522" spans="1:10" x14ac:dyDescent="0.25">
      <c r="A3522" s="2" t="s">
        <v>9189</v>
      </c>
      <c r="B3522" s="2" t="s">
        <v>7007</v>
      </c>
      <c r="C3522" s="2" t="s">
        <v>9190</v>
      </c>
      <c r="D3522" s="2" t="s">
        <v>10055</v>
      </c>
      <c r="E3522" s="15">
        <v>3.0700000000000002E-2</v>
      </c>
      <c r="F3522" s="15">
        <v>4.5600000000000002E-2</v>
      </c>
      <c r="G3522" s="15">
        <v>0.501</v>
      </c>
      <c r="H3522" s="15">
        <v>0.14119999999999999</v>
      </c>
      <c r="I3522" s="15">
        <v>2.18E-2</v>
      </c>
      <c r="J3522" s="15">
        <v>7.1608040201005014</v>
      </c>
    </row>
    <row r="3523" spans="1:10" x14ac:dyDescent="0.25">
      <c r="A3523" s="2" t="s">
        <v>9191</v>
      </c>
      <c r="B3523" s="2" t="s">
        <v>7007</v>
      </c>
      <c r="C3523" s="2" t="s">
        <v>9192</v>
      </c>
      <c r="D3523" s="2" t="s">
        <v>10055</v>
      </c>
      <c r="E3523" s="15">
        <v>7.6999999999999999E-2</v>
      </c>
      <c r="F3523" s="15">
        <v>5.6300000000000003E-2</v>
      </c>
      <c r="G3523" s="15">
        <v>0.1719</v>
      </c>
      <c r="H3523" s="15">
        <v>0.1206</v>
      </c>
      <c r="I3523" s="15">
        <v>1.7000000000000001E-2</v>
      </c>
      <c r="J3523" s="15">
        <v>7.4670658682634734</v>
      </c>
    </row>
    <row r="3524" spans="1:10" x14ac:dyDescent="0.25">
      <c r="A3524" s="2" t="s">
        <v>9193</v>
      </c>
      <c r="B3524" s="2" t="s">
        <v>7007</v>
      </c>
      <c r="C3524" s="2" t="s">
        <v>9194</v>
      </c>
      <c r="D3524" s="2" t="s">
        <v>10055</v>
      </c>
      <c r="E3524" s="15">
        <v>3.78E-2</v>
      </c>
      <c r="F3524" s="15">
        <v>6.2799999999999995E-2</v>
      </c>
      <c r="G3524" s="15">
        <v>0.54700000000000004</v>
      </c>
      <c r="H3524" s="15">
        <v>9.7299999999999998E-2</v>
      </c>
      <c r="I3524" s="15">
        <v>1.7299999999999999E-2</v>
      </c>
      <c r="J3524" s="15">
        <v>6.4539877300613506</v>
      </c>
    </row>
    <row r="3525" spans="1:10" x14ac:dyDescent="0.25">
      <c r="A3525" s="2" t="s">
        <v>9195</v>
      </c>
      <c r="B3525" s="2" t="s">
        <v>7007</v>
      </c>
      <c r="C3525" s="2" t="s">
        <v>9196</v>
      </c>
      <c r="D3525" s="2" t="s">
        <v>10055</v>
      </c>
      <c r="E3525" s="15">
        <v>-0.23250000000000001</v>
      </c>
      <c r="F3525" s="15">
        <v>0.12039999999999999</v>
      </c>
      <c r="G3525" s="15">
        <v>5.3499999999999999E-2</v>
      </c>
      <c r="H3525" s="15">
        <v>2.29E-2</v>
      </c>
      <c r="I3525" s="15">
        <v>1.37E-2</v>
      </c>
      <c r="J3525" s="15">
        <v>1.7686567164179099</v>
      </c>
    </row>
    <row r="3526" spans="1:10" x14ac:dyDescent="0.25">
      <c r="A3526" s="2" t="s">
        <v>9197</v>
      </c>
      <c r="B3526" s="2" t="s">
        <v>7007</v>
      </c>
      <c r="C3526" s="2" t="s">
        <v>9198</v>
      </c>
      <c r="D3526" s="2" t="s">
        <v>10055</v>
      </c>
      <c r="E3526" s="15">
        <v>2.4400000000000002E-2</v>
      </c>
      <c r="F3526" s="15">
        <v>8.9499999999999996E-2</v>
      </c>
      <c r="G3526" s="15">
        <v>0.78559999999999997</v>
      </c>
      <c r="H3526" s="15">
        <v>4.3099999999999999E-2</v>
      </c>
      <c r="I3526" s="15">
        <v>1.52E-2</v>
      </c>
      <c r="J3526" s="15">
        <v>2.8827586206896552</v>
      </c>
    </row>
    <row r="3527" spans="1:10" x14ac:dyDescent="0.25">
      <c r="A3527" s="2" t="s">
        <v>9199</v>
      </c>
      <c r="B3527" s="2" t="s">
        <v>7007</v>
      </c>
      <c r="C3527" s="2" t="s">
        <v>9200</v>
      </c>
      <c r="D3527" s="2" t="s">
        <v>10055</v>
      </c>
      <c r="E3527" s="15"/>
      <c r="F3527" s="15"/>
      <c r="G3527" s="15"/>
      <c r="H3527" s="15">
        <v>-2.0999999999999999E-3</v>
      </c>
      <c r="I3527" s="15">
        <v>1.44E-2</v>
      </c>
      <c r="J3527" s="15">
        <v>0.3108108108108108</v>
      </c>
    </row>
    <row r="3528" spans="1:10" x14ac:dyDescent="0.25">
      <c r="A3528" s="2" t="s">
        <v>9201</v>
      </c>
      <c r="B3528" s="2" t="s">
        <v>7007</v>
      </c>
      <c r="C3528" s="2" t="s">
        <v>9202</v>
      </c>
      <c r="D3528" s="2" t="s">
        <v>10055</v>
      </c>
      <c r="E3528" s="15">
        <v>1.6199999999999999E-2</v>
      </c>
      <c r="F3528" s="15">
        <v>0.1255</v>
      </c>
      <c r="G3528" s="15">
        <v>0.89739999999999998</v>
      </c>
      <c r="H3528" s="15">
        <v>2.0899999999999998E-2</v>
      </c>
      <c r="I3528" s="15">
        <v>1.52E-2</v>
      </c>
      <c r="J3528" s="15">
        <v>1.9</v>
      </c>
    </row>
    <row r="3529" spans="1:10" x14ac:dyDescent="0.25">
      <c r="A3529" s="2" t="s">
        <v>9203</v>
      </c>
      <c r="B3529" s="2" t="s">
        <v>7007</v>
      </c>
      <c r="C3529" s="2" t="s">
        <v>9204</v>
      </c>
      <c r="D3529" s="2" t="s">
        <v>10055</v>
      </c>
      <c r="E3529" s="15">
        <v>1.61E-2</v>
      </c>
      <c r="F3529" s="15">
        <v>5.5E-2</v>
      </c>
      <c r="G3529" s="15">
        <v>0.76919999999999999</v>
      </c>
      <c r="H3529" s="15">
        <v>0.1176</v>
      </c>
      <c r="I3529" s="15">
        <v>2.0199999999999999E-2</v>
      </c>
      <c r="J3529" s="15">
        <v>6.0824742268041234</v>
      </c>
    </row>
    <row r="3530" spans="1:10" x14ac:dyDescent="0.25">
      <c r="A3530" s="2" t="s">
        <v>9205</v>
      </c>
      <c r="B3530" s="2" t="s">
        <v>7007</v>
      </c>
      <c r="C3530" s="2" t="s">
        <v>9206</v>
      </c>
      <c r="D3530" s="2" t="s">
        <v>10055</v>
      </c>
      <c r="E3530" s="15">
        <v>-4.8399999999999999E-2</v>
      </c>
      <c r="F3530" s="15">
        <v>8.9800000000000005E-2</v>
      </c>
      <c r="G3530" s="15">
        <v>0.58960000000000001</v>
      </c>
      <c r="H3530" s="15">
        <v>4.7100000000000003E-2</v>
      </c>
      <c r="I3530" s="15">
        <v>2.06E-2</v>
      </c>
      <c r="J3530" s="15">
        <v>2.7157360406091371</v>
      </c>
    </row>
    <row r="3531" spans="1:10" x14ac:dyDescent="0.25">
      <c r="A3531" s="2" t="s">
        <v>9207</v>
      </c>
      <c r="B3531" s="2" t="s">
        <v>7007</v>
      </c>
      <c r="C3531" s="2" t="s">
        <v>9208</v>
      </c>
      <c r="D3531" s="2" t="s">
        <v>10055</v>
      </c>
      <c r="E3531" s="15">
        <v>-3.9199999999999999E-2</v>
      </c>
      <c r="F3531" s="15">
        <v>8.5300000000000001E-2</v>
      </c>
      <c r="G3531" s="15">
        <v>0.64570000000000005</v>
      </c>
      <c r="H3531" s="15">
        <v>3.9800000000000002E-2</v>
      </c>
      <c r="I3531" s="15">
        <v>1.35E-2</v>
      </c>
      <c r="J3531" s="15">
        <v>2.194029850746269</v>
      </c>
    </row>
    <row r="3532" spans="1:10" x14ac:dyDescent="0.25">
      <c r="A3532" s="2" t="s">
        <v>9209</v>
      </c>
      <c r="B3532" s="2" t="s">
        <v>7007</v>
      </c>
      <c r="C3532" s="2" t="s">
        <v>9210</v>
      </c>
      <c r="D3532" s="2" t="s">
        <v>10055</v>
      </c>
      <c r="E3532" s="15">
        <v>-1.9E-3</v>
      </c>
      <c r="F3532" s="15">
        <v>6.9000000000000006E-2</v>
      </c>
      <c r="G3532" s="15">
        <v>0.97799999999999998</v>
      </c>
      <c r="H3532" s="15">
        <v>7.6999999999999999E-2</v>
      </c>
      <c r="I3532" s="15">
        <v>1.5100000000000001E-2</v>
      </c>
      <c r="J3532" s="15">
        <v>6.5</v>
      </c>
    </row>
    <row r="3533" spans="1:10" x14ac:dyDescent="0.25">
      <c r="A3533" s="2" t="s">
        <v>9211</v>
      </c>
      <c r="B3533" s="2" t="s">
        <v>7007</v>
      </c>
      <c r="C3533" s="2" t="s">
        <v>9212</v>
      </c>
      <c r="D3533" s="2" t="s">
        <v>10055</v>
      </c>
      <c r="E3533" s="15">
        <v>-9.3100000000000002E-2</v>
      </c>
      <c r="F3533" s="15">
        <v>6.7699999999999996E-2</v>
      </c>
      <c r="G3533" s="15">
        <v>0.16900000000000001</v>
      </c>
      <c r="H3533" s="15">
        <v>7.1999999999999995E-2</v>
      </c>
      <c r="I3533" s="15">
        <v>1.4800000000000001E-2</v>
      </c>
      <c r="J3533" s="15">
        <v>5.464788732394366</v>
      </c>
    </row>
    <row r="3534" spans="1:10" x14ac:dyDescent="0.25">
      <c r="A3534" s="2" t="s">
        <v>9213</v>
      </c>
      <c r="B3534" s="2" t="s">
        <v>7007</v>
      </c>
      <c r="C3534" s="2" t="s">
        <v>9214</v>
      </c>
      <c r="D3534" s="2" t="s">
        <v>10055</v>
      </c>
      <c r="E3534" s="15">
        <v>-3.4099999999999998E-2</v>
      </c>
      <c r="F3534" s="15">
        <v>0.1295</v>
      </c>
      <c r="G3534" s="15">
        <v>0.79200000000000004</v>
      </c>
      <c r="H3534" s="15">
        <v>2.23E-2</v>
      </c>
      <c r="I3534" s="15">
        <v>1.4800000000000001E-2</v>
      </c>
      <c r="J3534" s="15">
        <v>1.4428571428571431</v>
      </c>
    </row>
    <row r="3535" spans="1:10" x14ac:dyDescent="0.25">
      <c r="A3535" s="2" t="s">
        <v>9215</v>
      </c>
      <c r="B3535" s="2" t="s">
        <v>7007</v>
      </c>
      <c r="C3535" s="2" t="s">
        <v>9216</v>
      </c>
      <c r="D3535" s="2" t="s">
        <v>10055</v>
      </c>
      <c r="E3535" s="15">
        <v>0.115</v>
      </c>
      <c r="F3535" s="15">
        <v>5.2699999999999997E-2</v>
      </c>
      <c r="G3535" s="15">
        <v>2.9000000000000001E-2</v>
      </c>
      <c r="H3535" s="15">
        <v>0.1255</v>
      </c>
      <c r="I3535" s="15">
        <v>1.46E-2</v>
      </c>
      <c r="J3535" s="15">
        <v>8.5436241610738257</v>
      </c>
    </row>
    <row r="3536" spans="1:10" x14ac:dyDescent="0.25">
      <c r="A3536" s="2" t="s">
        <v>9217</v>
      </c>
      <c r="B3536" s="2" t="s">
        <v>7007</v>
      </c>
      <c r="C3536" s="2" t="s">
        <v>9218</v>
      </c>
      <c r="D3536" s="2" t="s">
        <v>10055</v>
      </c>
      <c r="E3536" s="15">
        <v>-4.3400000000000001E-2</v>
      </c>
      <c r="F3536" s="15">
        <v>5.8900000000000001E-2</v>
      </c>
      <c r="G3536" s="15">
        <v>0.46139999999999998</v>
      </c>
      <c r="H3536" s="15">
        <v>0.1003</v>
      </c>
      <c r="I3536" s="15">
        <v>1.6E-2</v>
      </c>
      <c r="J3536" s="15">
        <v>7.0067114093959733</v>
      </c>
    </row>
    <row r="3537" spans="1:10" x14ac:dyDescent="0.25">
      <c r="A3537" s="2" t="s">
        <v>9219</v>
      </c>
      <c r="B3537" s="2" t="s">
        <v>7007</v>
      </c>
      <c r="C3537" s="2" t="s">
        <v>9220</v>
      </c>
      <c r="D3537" s="2" t="s">
        <v>10055</v>
      </c>
      <c r="E3537" s="15">
        <v>-7.3099999999999998E-2</v>
      </c>
      <c r="F3537" s="15">
        <v>5.8599999999999999E-2</v>
      </c>
      <c r="G3537" s="15">
        <v>0.21199999999999999</v>
      </c>
      <c r="H3537" s="15">
        <v>0.1091</v>
      </c>
      <c r="I3537" s="15">
        <v>1.7600000000000001E-2</v>
      </c>
      <c r="J3537" s="15">
        <v>6.6646706586826348</v>
      </c>
    </row>
    <row r="3538" spans="1:10" x14ac:dyDescent="0.25">
      <c r="A3538" s="2" t="s">
        <v>9221</v>
      </c>
      <c r="B3538" s="2" t="s">
        <v>7007</v>
      </c>
      <c r="C3538" s="2" t="s">
        <v>9222</v>
      </c>
      <c r="D3538" s="2" t="s">
        <v>10055</v>
      </c>
      <c r="E3538" s="15">
        <v>6.0299999999999999E-2</v>
      </c>
      <c r="F3538" s="15">
        <v>7.7799999999999994E-2</v>
      </c>
      <c r="G3538" s="15">
        <v>0.438</v>
      </c>
      <c r="H3538" s="15">
        <v>4.8500000000000001E-2</v>
      </c>
      <c r="I3538" s="15">
        <v>1.6E-2</v>
      </c>
      <c r="J3538" s="15">
        <v>3.161290322580645</v>
      </c>
    </row>
    <row r="3539" spans="1:10" x14ac:dyDescent="0.25">
      <c r="A3539" s="2" t="s">
        <v>9223</v>
      </c>
      <c r="B3539" s="2" t="s">
        <v>7007</v>
      </c>
      <c r="C3539" s="2" t="s">
        <v>9224</v>
      </c>
      <c r="D3539" s="2" t="s">
        <v>10055</v>
      </c>
      <c r="E3539" s="15">
        <v>-0.11459999999999999</v>
      </c>
      <c r="F3539" s="15">
        <v>6.1800000000000001E-2</v>
      </c>
      <c r="G3539" s="15">
        <v>6.3600000000000004E-2</v>
      </c>
      <c r="H3539" s="15">
        <v>9.0999999999999998E-2</v>
      </c>
      <c r="I3539" s="15">
        <v>1.55E-2</v>
      </c>
      <c r="J3539" s="15">
        <v>5.5093167701863353</v>
      </c>
    </row>
    <row r="3540" spans="1:10" x14ac:dyDescent="0.25">
      <c r="A3540" s="2" t="s">
        <v>9225</v>
      </c>
      <c r="B3540" s="2" t="s">
        <v>7007</v>
      </c>
      <c r="C3540" s="2" t="s">
        <v>9226</v>
      </c>
      <c r="D3540" s="2" t="s">
        <v>10055</v>
      </c>
      <c r="E3540" s="15">
        <v>0.13020000000000001</v>
      </c>
      <c r="F3540" s="15">
        <v>7.7299999999999994E-2</v>
      </c>
      <c r="G3540" s="15">
        <v>9.1999999999999998E-2</v>
      </c>
      <c r="H3540" s="15">
        <v>4.6199999999999998E-2</v>
      </c>
      <c r="I3540" s="15">
        <v>1.49E-2</v>
      </c>
      <c r="J3540" s="15">
        <v>3.9507042253521121</v>
      </c>
    </row>
    <row r="3541" spans="1:10" x14ac:dyDescent="0.25">
      <c r="A3541" s="2" t="s">
        <v>9227</v>
      </c>
      <c r="B3541" s="2" t="s">
        <v>7007</v>
      </c>
      <c r="C3541" s="2" t="s">
        <v>9228</v>
      </c>
      <c r="D3541" s="2" t="s">
        <v>10055</v>
      </c>
      <c r="E3541" s="15"/>
      <c r="F3541" s="15"/>
      <c r="G3541" s="15"/>
      <c r="H3541" s="15"/>
      <c r="I3541" s="15"/>
      <c r="J3541" s="15">
        <v>0.2156862745098039</v>
      </c>
    </row>
    <row r="3542" spans="1:10" x14ac:dyDescent="0.25">
      <c r="A3542" s="2" t="s">
        <v>9229</v>
      </c>
      <c r="B3542" s="2" t="s">
        <v>7007</v>
      </c>
      <c r="C3542" s="2" t="s">
        <v>9230</v>
      </c>
      <c r="D3542" s="2" t="s">
        <v>10055</v>
      </c>
      <c r="E3542" s="15">
        <v>9.1000000000000004E-3</v>
      </c>
      <c r="F3542" s="15">
        <v>5.2999999999999999E-2</v>
      </c>
      <c r="G3542" s="15">
        <v>0.86350000000000005</v>
      </c>
      <c r="H3542" s="15">
        <v>0.10539999999999999</v>
      </c>
      <c r="I3542" s="15">
        <v>1.7000000000000001E-2</v>
      </c>
      <c r="J3542" s="15">
        <v>7.1165644171779148</v>
      </c>
    </row>
    <row r="3543" spans="1:10" x14ac:dyDescent="0.25">
      <c r="A3543" s="2" t="s">
        <v>9231</v>
      </c>
      <c r="B3543" s="2" t="s">
        <v>7007</v>
      </c>
      <c r="C3543" s="2" t="s">
        <v>9232</v>
      </c>
      <c r="D3543" s="2" t="s">
        <v>10055</v>
      </c>
      <c r="E3543" s="15">
        <v>-2.6800000000000001E-2</v>
      </c>
      <c r="F3543" s="15">
        <v>8.6999999999999994E-2</v>
      </c>
      <c r="G3543" s="15">
        <v>0.75849999999999995</v>
      </c>
      <c r="H3543" s="15">
        <v>4.1500000000000002E-2</v>
      </c>
      <c r="I3543" s="15">
        <v>1.7600000000000001E-2</v>
      </c>
      <c r="J3543" s="15">
        <v>2.994082840236687</v>
      </c>
    </row>
    <row r="3544" spans="1:10" x14ac:dyDescent="0.25">
      <c r="A3544" s="2" t="s">
        <v>9233</v>
      </c>
      <c r="B3544" s="2" t="s">
        <v>7007</v>
      </c>
      <c r="C3544" s="2" t="s">
        <v>9234</v>
      </c>
      <c r="D3544" s="2" t="s">
        <v>10055</v>
      </c>
      <c r="E3544" s="15">
        <v>-5.4899999999999997E-2</v>
      </c>
      <c r="F3544" s="15">
        <v>5.7599999999999998E-2</v>
      </c>
      <c r="G3544" s="15">
        <v>0.34089999999999998</v>
      </c>
      <c r="H3544" s="15">
        <v>9.4600000000000004E-2</v>
      </c>
      <c r="I3544" s="15">
        <v>1.7000000000000001E-2</v>
      </c>
      <c r="J3544" s="15">
        <v>5.8614457831325302</v>
      </c>
    </row>
    <row r="3545" spans="1:10" x14ac:dyDescent="0.25">
      <c r="A3545" s="2" t="s">
        <v>9235</v>
      </c>
      <c r="B3545" s="2" t="s">
        <v>7007</v>
      </c>
      <c r="C3545" s="2" t="s">
        <v>9236</v>
      </c>
      <c r="D3545" s="2" t="s">
        <v>10055</v>
      </c>
      <c r="E3545" s="15">
        <v>-8.0500000000000002E-2</v>
      </c>
      <c r="F3545" s="15">
        <v>6.0999999999999999E-2</v>
      </c>
      <c r="G3545" s="15">
        <v>0.1867</v>
      </c>
      <c r="H3545" s="15">
        <v>7.3599999999999999E-2</v>
      </c>
      <c r="I3545" s="15">
        <v>1.7100000000000001E-2</v>
      </c>
      <c r="J3545" s="15">
        <v>4.6352201257861632</v>
      </c>
    </row>
    <row r="3546" spans="1:10" x14ac:dyDescent="0.25">
      <c r="A3546" s="2" t="s">
        <v>9237</v>
      </c>
      <c r="B3546" s="2" t="s">
        <v>7007</v>
      </c>
      <c r="C3546" s="2" t="s">
        <v>9238</v>
      </c>
      <c r="D3546" s="2" t="s">
        <v>10055</v>
      </c>
      <c r="E3546" s="15">
        <v>-9.2200000000000004E-2</v>
      </c>
      <c r="F3546" s="15">
        <v>0.11020000000000001</v>
      </c>
      <c r="G3546" s="15">
        <v>0.40300000000000002</v>
      </c>
      <c r="H3546" s="15">
        <v>2.2700000000000001E-2</v>
      </c>
      <c r="I3546" s="15">
        <v>1.44E-2</v>
      </c>
      <c r="J3546" s="15">
        <v>1.554744525547445</v>
      </c>
    </row>
    <row r="3547" spans="1:10" x14ac:dyDescent="0.25">
      <c r="A3547" s="2" t="s">
        <v>9239</v>
      </c>
      <c r="B3547" s="2" t="s">
        <v>7007</v>
      </c>
      <c r="C3547" s="2" t="s">
        <v>9240</v>
      </c>
      <c r="D3547" s="2" t="s">
        <v>10055</v>
      </c>
      <c r="E3547" s="15">
        <v>-2.81E-2</v>
      </c>
      <c r="F3547" s="15">
        <v>5.5500000000000001E-2</v>
      </c>
      <c r="G3547" s="15">
        <v>0.61260000000000003</v>
      </c>
      <c r="H3547" s="15">
        <v>8.9300000000000004E-2</v>
      </c>
      <c r="I3547" s="15">
        <v>1.6500000000000001E-2</v>
      </c>
      <c r="J3547" s="15">
        <v>5.8773006134969332</v>
      </c>
    </row>
    <row r="3548" spans="1:10" x14ac:dyDescent="0.25">
      <c r="A3548" s="2" t="s">
        <v>9241</v>
      </c>
      <c r="B3548" s="2" t="s">
        <v>7007</v>
      </c>
      <c r="C3548" s="2" t="s">
        <v>9242</v>
      </c>
      <c r="D3548" s="2" t="s">
        <v>10055</v>
      </c>
      <c r="E3548" s="15">
        <v>-4.7999999999999996E-3</v>
      </c>
      <c r="F3548" s="15">
        <v>5.2999999999999999E-2</v>
      </c>
      <c r="G3548" s="15">
        <v>0.92810000000000004</v>
      </c>
      <c r="H3548" s="15">
        <v>0.113</v>
      </c>
      <c r="I3548" s="15">
        <v>2.3E-2</v>
      </c>
      <c r="J3548" s="15">
        <v>5.8638743455497391</v>
      </c>
    </row>
    <row r="3549" spans="1:10" x14ac:dyDescent="0.25">
      <c r="A3549" s="2" t="s">
        <v>9243</v>
      </c>
      <c r="B3549" s="2" t="s">
        <v>7007</v>
      </c>
      <c r="C3549" s="2" t="s">
        <v>9244</v>
      </c>
      <c r="D3549" s="2" t="s">
        <v>10055</v>
      </c>
      <c r="E3549" s="15"/>
      <c r="F3549" s="15"/>
      <c r="G3549" s="15"/>
      <c r="H3549" s="15">
        <v>-2.2200000000000001E-2</v>
      </c>
      <c r="I3549" s="15">
        <v>1.3299999999999999E-2</v>
      </c>
      <c r="J3549" s="15">
        <v>-1.221374045801527</v>
      </c>
    </row>
    <row r="3550" spans="1:10" x14ac:dyDescent="0.25">
      <c r="A3550" s="2" t="s">
        <v>9245</v>
      </c>
      <c r="B3550" s="2" t="s">
        <v>7007</v>
      </c>
      <c r="C3550" s="2" t="s">
        <v>9246</v>
      </c>
      <c r="D3550" s="2" t="s">
        <v>10055</v>
      </c>
      <c r="E3550" s="15">
        <v>-7.5200000000000003E-2</v>
      </c>
      <c r="F3550" s="15">
        <v>7.2099999999999997E-2</v>
      </c>
      <c r="G3550" s="15">
        <v>0.29730000000000001</v>
      </c>
      <c r="H3550" s="15">
        <v>6.0499999999999998E-2</v>
      </c>
      <c r="I3550" s="15">
        <v>1.7299999999999999E-2</v>
      </c>
      <c r="J3550" s="15">
        <v>3.550295857988166</v>
      </c>
    </row>
    <row r="3551" spans="1:10" x14ac:dyDescent="0.25">
      <c r="A3551" s="2" t="s">
        <v>9247</v>
      </c>
      <c r="B3551" s="2" t="s">
        <v>7007</v>
      </c>
      <c r="C3551" s="2" t="s">
        <v>9248</v>
      </c>
      <c r="D3551" s="2" t="s">
        <v>10055</v>
      </c>
      <c r="E3551" s="15">
        <v>0.1076</v>
      </c>
      <c r="F3551" s="15">
        <v>7.0400000000000004E-2</v>
      </c>
      <c r="G3551" s="15">
        <v>0.1263</v>
      </c>
      <c r="H3551" s="15">
        <v>6.9000000000000006E-2</v>
      </c>
      <c r="I3551" s="15">
        <v>1.6299999999999999E-2</v>
      </c>
      <c r="J3551" s="15">
        <v>4.5776397515527956</v>
      </c>
    </row>
    <row r="3552" spans="1:10" x14ac:dyDescent="0.25">
      <c r="A3552" s="2" t="s">
        <v>9249</v>
      </c>
      <c r="B3552" s="2" t="s">
        <v>7007</v>
      </c>
      <c r="C3552" s="2" t="s">
        <v>9250</v>
      </c>
      <c r="D3552" s="2" t="s">
        <v>10055</v>
      </c>
      <c r="E3552" s="15">
        <v>-3.0700000000000002E-2</v>
      </c>
      <c r="F3552" s="15">
        <v>5.6000000000000001E-2</v>
      </c>
      <c r="G3552" s="15">
        <v>0.58330000000000004</v>
      </c>
      <c r="H3552" s="15">
        <v>8.1600000000000006E-2</v>
      </c>
      <c r="I3552" s="15">
        <v>1.7999999999999999E-2</v>
      </c>
      <c r="J3552" s="15">
        <v>4.5674157303370784</v>
      </c>
    </row>
    <row r="3553" spans="1:10" x14ac:dyDescent="0.25">
      <c r="A3553" s="2" t="s">
        <v>9251</v>
      </c>
      <c r="B3553" s="2" t="s">
        <v>7007</v>
      </c>
      <c r="C3553" s="2" t="s">
        <v>9252</v>
      </c>
      <c r="D3553" s="2" t="s">
        <v>10055</v>
      </c>
      <c r="E3553" s="15">
        <v>1.0200000000000001E-2</v>
      </c>
      <c r="F3553" s="15">
        <v>7.85E-2</v>
      </c>
      <c r="G3553" s="15">
        <v>0.89629999999999999</v>
      </c>
      <c r="H3553" s="15">
        <v>5.1900000000000002E-2</v>
      </c>
      <c r="I3553" s="15">
        <v>1.5599999999999999E-2</v>
      </c>
      <c r="J3553" s="15">
        <v>3.0718954248366011</v>
      </c>
    </row>
    <row r="3554" spans="1:10" x14ac:dyDescent="0.25">
      <c r="A3554" s="2" t="s">
        <v>9253</v>
      </c>
      <c r="B3554" s="2" t="s">
        <v>7007</v>
      </c>
      <c r="C3554" s="2" t="s">
        <v>9254</v>
      </c>
      <c r="D3554" s="2" t="s">
        <v>10055</v>
      </c>
      <c r="E3554" s="15">
        <v>0.1042</v>
      </c>
      <c r="F3554" s="15">
        <v>0.1162</v>
      </c>
      <c r="G3554" s="15">
        <v>0.36959999999999998</v>
      </c>
      <c r="H3554" s="15">
        <v>2.3699999999999999E-2</v>
      </c>
      <c r="I3554" s="15">
        <v>1.37E-2</v>
      </c>
      <c r="J3554" s="15">
        <v>2.279069767441861</v>
      </c>
    </row>
    <row r="3555" spans="1:10" x14ac:dyDescent="0.25">
      <c r="A3555" s="2" t="s">
        <v>9255</v>
      </c>
      <c r="B3555" s="2" t="s">
        <v>7007</v>
      </c>
      <c r="C3555" s="2" t="s">
        <v>9256</v>
      </c>
      <c r="D3555" s="2" t="s">
        <v>10055</v>
      </c>
      <c r="E3555" s="15">
        <v>-8.5500000000000007E-2</v>
      </c>
      <c r="F3555" s="15">
        <v>6.0600000000000001E-2</v>
      </c>
      <c r="G3555" s="15">
        <v>0.1583</v>
      </c>
      <c r="H3555" s="15">
        <v>8.5000000000000006E-2</v>
      </c>
      <c r="I3555" s="15">
        <v>1.4999999999999999E-2</v>
      </c>
      <c r="J3555" s="15">
        <v>6.6423357664233569</v>
      </c>
    </row>
    <row r="3556" spans="1:10" x14ac:dyDescent="0.25">
      <c r="A3556" s="2" t="s">
        <v>9257</v>
      </c>
      <c r="B3556" s="2" t="s">
        <v>7007</v>
      </c>
      <c r="C3556" s="2" t="s">
        <v>9258</v>
      </c>
      <c r="D3556" s="2" t="s">
        <v>10055</v>
      </c>
      <c r="E3556" s="15">
        <v>3.5000000000000001E-3</v>
      </c>
      <c r="F3556" s="15">
        <v>8.9599999999999999E-2</v>
      </c>
      <c r="G3556" s="15">
        <v>0.96879999999999999</v>
      </c>
      <c r="H3556" s="15">
        <v>3.7499999999999999E-2</v>
      </c>
      <c r="I3556" s="15">
        <v>1.5900000000000001E-2</v>
      </c>
      <c r="J3556" s="15">
        <v>2.509554140127388</v>
      </c>
    </row>
    <row r="3557" spans="1:10" x14ac:dyDescent="0.25">
      <c r="A3557" s="2" t="s">
        <v>9259</v>
      </c>
      <c r="B3557" s="2" t="s">
        <v>7007</v>
      </c>
      <c r="C3557" s="2" t="s">
        <v>9260</v>
      </c>
      <c r="D3557" s="2" t="s">
        <v>10055</v>
      </c>
      <c r="E3557" s="15">
        <v>0.24390000000000001</v>
      </c>
      <c r="F3557" s="15">
        <v>8.7900000000000006E-2</v>
      </c>
      <c r="G3557" s="15">
        <v>5.4999999999999997E-3</v>
      </c>
      <c r="H3557" s="15">
        <v>6.9599999999999995E-2</v>
      </c>
      <c r="I3557" s="15">
        <v>2.07E-2</v>
      </c>
      <c r="J3557" s="15">
        <v>3.766839378238342</v>
      </c>
    </row>
    <row r="3558" spans="1:10" x14ac:dyDescent="0.25">
      <c r="A3558" s="2" t="s">
        <v>9261</v>
      </c>
      <c r="B3558" s="2" t="s">
        <v>7007</v>
      </c>
      <c r="C3558" s="2" t="s">
        <v>9262</v>
      </c>
      <c r="D3558" s="2" t="s">
        <v>10055</v>
      </c>
      <c r="E3558" s="15">
        <v>-9.8900000000000002E-2</v>
      </c>
      <c r="F3558" s="15">
        <v>7.4800000000000005E-2</v>
      </c>
      <c r="G3558" s="15">
        <v>0.18590000000000001</v>
      </c>
      <c r="H3558" s="15">
        <v>7.1099999999999997E-2</v>
      </c>
      <c r="I3558" s="15">
        <v>1.6299999999999999E-2</v>
      </c>
      <c r="J3558" s="15">
        <v>4.3580246913580254</v>
      </c>
    </row>
    <row r="3559" spans="1:10" x14ac:dyDescent="0.25">
      <c r="A3559" s="2" t="s">
        <v>9263</v>
      </c>
      <c r="B3559" s="2" t="s">
        <v>7007</v>
      </c>
      <c r="C3559" s="2" t="s">
        <v>9264</v>
      </c>
      <c r="D3559" s="2" t="s">
        <v>10055</v>
      </c>
      <c r="E3559" s="15">
        <v>4.8500000000000001E-2</v>
      </c>
      <c r="F3559" s="15">
        <v>0.1363</v>
      </c>
      <c r="G3559" s="15">
        <v>0.72170000000000001</v>
      </c>
      <c r="H3559" s="15">
        <v>1.9199999999999998E-2</v>
      </c>
      <c r="I3559" s="15">
        <v>1.67E-2</v>
      </c>
      <c r="J3559" s="15">
        <v>0.99350649350649345</v>
      </c>
    </row>
    <row r="3560" spans="1:10" x14ac:dyDescent="0.25">
      <c r="A3560" s="2" t="s">
        <v>9265</v>
      </c>
      <c r="B3560" s="2" t="s">
        <v>7007</v>
      </c>
      <c r="C3560" s="2" t="s">
        <v>9266</v>
      </c>
      <c r="D3560" s="2" t="s">
        <v>10055</v>
      </c>
      <c r="E3560" s="15">
        <v>-5.9700000000000003E-2</v>
      </c>
      <c r="F3560" s="15">
        <v>5.0299999999999997E-2</v>
      </c>
      <c r="G3560" s="15">
        <v>0.2349</v>
      </c>
      <c r="H3560" s="15">
        <v>0.1177</v>
      </c>
      <c r="I3560" s="15">
        <v>2.2499999999999999E-2</v>
      </c>
      <c r="J3560" s="15">
        <v>6.0432692307692317</v>
      </c>
    </row>
    <row r="3561" spans="1:10" x14ac:dyDescent="0.25">
      <c r="A3561" s="2" t="s">
        <v>9267</v>
      </c>
      <c r="B3561" s="2" t="s">
        <v>7007</v>
      </c>
      <c r="C3561" s="2" t="s">
        <v>9268</v>
      </c>
      <c r="D3561" s="2" t="s">
        <v>10055</v>
      </c>
      <c r="E3561" s="15">
        <v>-7.5499999999999998E-2</v>
      </c>
      <c r="F3561" s="15">
        <v>9.5600000000000004E-2</v>
      </c>
      <c r="G3561" s="15">
        <v>0.42959999999999998</v>
      </c>
      <c r="H3561" s="15">
        <v>2.8400000000000002E-2</v>
      </c>
      <c r="I3561" s="15">
        <v>1.3599999999999999E-2</v>
      </c>
      <c r="J3561" s="15">
        <v>2.53968253968254</v>
      </c>
    </row>
    <row r="3562" spans="1:10" x14ac:dyDescent="0.25">
      <c r="A3562" s="2" t="s">
        <v>9269</v>
      </c>
      <c r="B3562" s="2" t="s">
        <v>7007</v>
      </c>
      <c r="C3562" s="2" t="s">
        <v>9270</v>
      </c>
      <c r="D3562" s="2" t="s">
        <v>10055</v>
      </c>
      <c r="E3562" s="15">
        <v>0.1164</v>
      </c>
      <c r="F3562" s="15">
        <v>8.5800000000000001E-2</v>
      </c>
      <c r="G3562" s="15">
        <v>0.17469999999999999</v>
      </c>
      <c r="H3562" s="15">
        <v>4.24E-2</v>
      </c>
      <c r="I3562" s="15">
        <v>1.5699999999999999E-2</v>
      </c>
      <c r="J3562" s="15">
        <v>2.746666666666667</v>
      </c>
    </row>
    <row r="3563" spans="1:10" x14ac:dyDescent="0.25">
      <c r="A3563" s="2" t="s">
        <v>9271</v>
      </c>
      <c r="B3563" s="2" t="s">
        <v>7007</v>
      </c>
      <c r="C3563" s="2" t="s">
        <v>9272</v>
      </c>
      <c r="D3563" s="2" t="s">
        <v>10055</v>
      </c>
      <c r="E3563" s="15">
        <v>-3.5700000000000003E-2</v>
      </c>
      <c r="F3563" s="15">
        <v>5.8200000000000002E-2</v>
      </c>
      <c r="G3563" s="15">
        <v>0.5393</v>
      </c>
      <c r="H3563" s="15">
        <v>0.1133</v>
      </c>
      <c r="I3563" s="15">
        <v>1.7000000000000001E-2</v>
      </c>
      <c r="J3563" s="15">
        <v>7.2624999999999993</v>
      </c>
    </row>
    <row r="3564" spans="1:10" x14ac:dyDescent="0.25">
      <c r="A3564" s="2" t="s">
        <v>9273</v>
      </c>
      <c r="B3564" s="2" t="s">
        <v>7007</v>
      </c>
      <c r="C3564" s="2" t="s">
        <v>9274</v>
      </c>
      <c r="D3564" s="2" t="s">
        <v>10055</v>
      </c>
      <c r="E3564" s="15">
        <v>0.1104</v>
      </c>
      <c r="F3564" s="15">
        <v>0.18190000000000001</v>
      </c>
      <c r="G3564" s="15">
        <v>0.54410000000000003</v>
      </c>
      <c r="H3564" s="15">
        <v>1.0699999999999999E-2</v>
      </c>
      <c r="I3564" s="15">
        <v>1.4999999999999999E-2</v>
      </c>
      <c r="J3564" s="15">
        <v>0.71126760563380276</v>
      </c>
    </row>
    <row r="3565" spans="1:10" x14ac:dyDescent="0.25">
      <c r="A3565" s="2" t="s">
        <v>9275</v>
      </c>
      <c r="B3565" s="2" t="s">
        <v>7007</v>
      </c>
      <c r="C3565" s="2" t="s">
        <v>9276</v>
      </c>
      <c r="D3565" s="2" t="s">
        <v>10055</v>
      </c>
      <c r="E3565" s="15">
        <v>5.4600000000000003E-2</v>
      </c>
      <c r="F3565" s="15">
        <v>6.4899999999999999E-2</v>
      </c>
      <c r="G3565" s="15">
        <v>0.39960000000000001</v>
      </c>
      <c r="H3565" s="15">
        <v>7.0300000000000001E-2</v>
      </c>
      <c r="I3565" s="15">
        <v>1.6199999999999999E-2</v>
      </c>
      <c r="J3565" s="15">
        <v>4.1358024691358031</v>
      </c>
    </row>
    <row r="3566" spans="1:10" x14ac:dyDescent="0.25">
      <c r="A3566" s="2" t="s">
        <v>9277</v>
      </c>
      <c r="B3566" s="2" t="s">
        <v>7007</v>
      </c>
      <c r="C3566" s="2" t="s">
        <v>9278</v>
      </c>
      <c r="D3566" s="2" t="s">
        <v>10055</v>
      </c>
      <c r="E3566" s="15">
        <v>6.2399999999999997E-2</v>
      </c>
      <c r="F3566" s="15">
        <v>0.104</v>
      </c>
      <c r="G3566" s="15">
        <v>0.54810000000000003</v>
      </c>
      <c r="H3566" s="15">
        <v>3.4099999999999998E-2</v>
      </c>
      <c r="I3566" s="15">
        <v>1.49E-2</v>
      </c>
      <c r="J3566" s="15">
        <v>2.5323741007194251</v>
      </c>
    </row>
    <row r="3567" spans="1:10" x14ac:dyDescent="0.25">
      <c r="A3567" s="2" t="s">
        <v>9279</v>
      </c>
      <c r="B3567" s="2" t="s">
        <v>7007</v>
      </c>
      <c r="C3567" s="2" t="s">
        <v>9280</v>
      </c>
      <c r="D3567" s="2" t="s">
        <v>10055</v>
      </c>
      <c r="E3567" s="15">
        <v>-1.4200000000000001E-2</v>
      </c>
      <c r="F3567" s="15">
        <v>5.5300000000000002E-2</v>
      </c>
      <c r="G3567" s="15">
        <v>0.79779999999999995</v>
      </c>
      <c r="H3567" s="15">
        <v>0.1087</v>
      </c>
      <c r="I3567" s="15">
        <v>1.6500000000000001E-2</v>
      </c>
      <c r="J3567" s="15">
        <v>7.484076433121019</v>
      </c>
    </row>
    <row r="3568" spans="1:10" x14ac:dyDescent="0.25">
      <c r="A3568" s="2" t="s">
        <v>9281</v>
      </c>
      <c r="B3568" s="2" t="s">
        <v>7007</v>
      </c>
      <c r="C3568" s="2" t="s">
        <v>9282</v>
      </c>
      <c r="D3568" s="2" t="s">
        <v>10055</v>
      </c>
      <c r="E3568" s="15">
        <v>2.75E-2</v>
      </c>
      <c r="F3568" s="15">
        <v>6.2199999999999998E-2</v>
      </c>
      <c r="G3568" s="15">
        <v>0.65839999999999999</v>
      </c>
      <c r="H3568" s="15">
        <v>8.4000000000000005E-2</v>
      </c>
      <c r="I3568" s="15">
        <v>1.6E-2</v>
      </c>
      <c r="J3568" s="15">
        <v>5.415094339622641</v>
      </c>
    </row>
    <row r="3569" spans="1:10" x14ac:dyDescent="0.25">
      <c r="A3569" s="2" t="s">
        <v>9283</v>
      </c>
      <c r="B3569" s="2" t="s">
        <v>7007</v>
      </c>
      <c r="C3569" s="2" t="s">
        <v>9284</v>
      </c>
      <c r="D3569" s="2" t="s">
        <v>10055</v>
      </c>
      <c r="E3569" s="15">
        <v>-5.91E-2</v>
      </c>
      <c r="F3569" s="15">
        <v>6.4100000000000004E-2</v>
      </c>
      <c r="G3569" s="15">
        <v>0.35659999999999997</v>
      </c>
      <c r="H3569" s="15">
        <v>8.6099999999999996E-2</v>
      </c>
      <c r="I3569" s="15">
        <v>1.8499999999999999E-2</v>
      </c>
      <c r="J3569" s="15">
        <v>5.0168539325842696</v>
      </c>
    </row>
    <row r="3570" spans="1:10" x14ac:dyDescent="0.25">
      <c r="A3570" s="2" t="s">
        <v>9285</v>
      </c>
      <c r="B3570" s="2" t="s">
        <v>7007</v>
      </c>
      <c r="C3570" s="2" t="s">
        <v>9286</v>
      </c>
      <c r="D3570" s="2" t="s">
        <v>10055</v>
      </c>
      <c r="E3570" s="15">
        <v>-0.15</v>
      </c>
      <c r="F3570" s="15">
        <v>6.1800000000000001E-2</v>
      </c>
      <c r="G3570" s="15">
        <v>1.5299999999999999E-2</v>
      </c>
      <c r="H3570" s="15">
        <v>7.4200000000000002E-2</v>
      </c>
      <c r="I3570" s="15">
        <v>1.7000000000000001E-2</v>
      </c>
      <c r="J3570" s="15">
        <v>4.8152866242038224</v>
      </c>
    </row>
    <row r="3571" spans="1:10" x14ac:dyDescent="0.25">
      <c r="A3571" s="2" t="s">
        <v>9287</v>
      </c>
      <c r="B3571" s="2" t="s">
        <v>7007</v>
      </c>
      <c r="C3571" s="2" t="s">
        <v>9288</v>
      </c>
      <c r="D3571" s="2" t="s">
        <v>10055</v>
      </c>
      <c r="E3571" s="15">
        <v>-2.8400000000000002E-2</v>
      </c>
      <c r="F3571" s="15">
        <v>5.9900000000000002E-2</v>
      </c>
      <c r="G3571" s="15">
        <v>0.63560000000000005</v>
      </c>
      <c r="H3571" s="15">
        <v>0.11269999999999999</v>
      </c>
      <c r="I3571" s="15">
        <v>1.61E-2</v>
      </c>
      <c r="J3571" s="15">
        <v>7.3720930232558137</v>
      </c>
    </row>
    <row r="3572" spans="1:10" x14ac:dyDescent="0.25">
      <c r="A3572" s="2" t="s">
        <v>9289</v>
      </c>
      <c r="B3572" s="2" t="s">
        <v>7007</v>
      </c>
      <c r="C3572" s="2" t="s">
        <v>9290</v>
      </c>
      <c r="D3572" s="2" t="s">
        <v>10055</v>
      </c>
      <c r="E3572" s="15">
        <v>-7.1400000000000005E-2</v>
      </c>
      <c r="F3572" s="15">
        <v>8.4000000000000005E-2</v>
      </c>
      <c r="G3572" s="15">
        <v>0.39539999999999997</v>
      </c>
      <c r="H3572" s="15">
        <v>4.6600000000000003E-2</v>
      </c>
      <c r="I3572" s="15">
        <v>1.83E-2</v>
      </c>
      <c r="J3572" s="15">
        <v>2.797687861271676</v>
      </c>
    </row>
    <row r="3573" spans="1:10" x14ac:dyDescent="0.25">
      <c r="A3573" s="2" t="s">
        <v>9291</v>
      </c>
      <c r="B3573" s="2" t="s">
        <v>7007</v>
      </c>
      <c r="C3573" s="2" t="s">
        <v>9292</v>
      </c>
      <c r="D3573" s="2" t="s">
        <v>10055</v>
      </c>
      <c r="E3573" s="15">
        <v>0.10829999999999999</v>
      </c>
      <c r="F3573" s="15">
        <v>6.5600000000000006E-2</v>
      </c>
      <c r="G3573" s="15">
        <v>9.8799999999999999E-2</v>
      </c>
      <c r="H3573" s="15">
        <v>5.8999999999999997E-2</v>
      </c>
      <c r="I3573" s="15">
        <v>1.55E-2</v>
      </c>
      <c r="J3573" s="15">
        <v>4.3819444444444446</v>
      </c>
    </row>
    <row r="3574" spans="1:10" x14ac:dyDescent="0.25">
      <c r="A3574" s="2" t="s">
        <v>9293</v>
      </c>
      <c r="B3574" s="2" t="s">
        <v>7007</v>
      </c>
      <c r="C3574" s="2" t="s">
        <v>9294</v>
      </c>
      <c r="D3574" s="2" t="s">
        <v>10055</v>
      </c>
      <c r="E3574" s="15">
        <v>0.23330000000000001</v>
      </c>
      <c r="F3574" s="15">
        <v>0.13009999999999999</v>
      </c>
      <c r="G3574" s="15">
        <v>7.2999999999999995E-2</v>
      </c>
      <c r="H3574" s="15">
        <v>2.5999999999999999E-2</v>
      </c>
      <c r="I3574" s="15">
        <v>1.37E-2</v>
      </c>
      <c r="J3574" s="15">
        <v>2.4621212121212119</v>
      </c>
    </row>
    <row r="3575" spans="1:10" x14ac:dyDescent="0.25">
      <c r="A3575" s="2" t="s">
        <v>9295</v>
      </c>
      <c r="B3575" s="2" t="s">
        <v>7007</v>
      </c>
      <c r="C3575" s="2" t="s">
        <v>9296</v>
      </c>
      <c r="D3575" s="2" t="s">
        <v>10055</v>
      </c>
      <c r="E3575" s="15">
        <v>-6.3200000000000006E-2</v>
      </c>
      <c r="F3575" s="15">
        <v>7.8200000000000006E-2</v>
      </c>
      <c r="G3575" s="15">
        <v>0.41899999999999998</v>
      </c>
      <c r="H3575" s="15">
        <v>5.2900000000000003E-2</v>
      </c>
      <c r="I3575" s="15">
        <v>1.4800000000000001E-2</v>
      </c>
      <c r="J3575" s="15">
        <v>3.673611111111112</v>
      </c>
    </row>
    <row r="3576" spans="1:10" x14ac:dyDescent="0.25">
      <c r="A3576" s="2" t="s">
        <v>9297</v>
      </c>
      <c r="B3576" s="2" t="s">
        <v>7007</v>
      </c>
      <c r="C3576" s="2" t="s">
        <v>9298</v>
      </c>
      <c r="D3576" s="2" t="s">
        <v>10055</v>
      </c>
      <c r="E3576" s="15">
        <v>-5.6000000000000001E-2</v>
      </c>
      <c r="F3576" s="15">
        <v>6.7599999999999993E-2</v>
      </c>
      <c r="G3576" s="15">
        <v>0.40749999999999997</v>
      </c>
      <c r="H3576" s="15">
        <v>6.0400000000000002E-2</v>
      </c>
      <c r="I3576" s="15">
        <v>1.67E-2</v>
      </c>
      <c r="J3576" s="15">
        <v>4.0625</v>
      </c>
    </row>
    <row r="3577" spans="1:10" x14ac:dyDescent="0.25">
      <c r="A3577" s="2" t="s">
        <v>9299</v>
      </c>
      <c r="B3577" s="2" t="s">
        <v>7007</v>
      </c>
      <c r="C3577" s="2" t="s">
        <v>9300</v>
      </c>
      <c r="D3577" s="2" t="s">
        <v>10055</v>
      </c>
      <c r="E3577" s="15">
        <v>0.1222</v>
      </c>
      <c r="F3577" s="15">
        <v>8.4099999999999994E-2</v>
      </c>
      <c r="G3577" s="15">
        <v>0.14649999999999999</v>
      </c>
      <c r="H3577" s="15">
        <v>4.0599999999999997E-2</v>
      </c>
      <c r="I3577" s="15">
        <v>1.3899999999999999E-2</v>
      </c>
      <c r="J3577" s="15">
        <v>3.2408759124087592</v>
      </c>
    </row>
    <row r="3578" spans="1:10" x14ac:dyDescent="0.25">
      <c r="A3578" s="2" t="s">
        <v>9301</v>
      </c>
      <c r="B3578" s="2" t="s">
        <v>7007</v>
      </c>
      <c r="C3578" s="2" t="s">
        <v>9302</v>
      </c>
      <c r="D3578" s="2" t="s">
        <v>10055</v>
      </c>
      <c r="E3578" s="15">
        <v>0.16339999999999999</v>
      </c>
      <c r="F3578" s="15">
        <v>7.8299999999999995E-2</v>
      </c>
      <c r="G3578" s="15">
        <v>3.6999999999999998E-2</v>
      </c>
      <c r="H3578" s="15">
        <v>5.1999999999999998E-2</v>
      </c>
      <c r="I3578" s="15">
        <v>1.52E-2</v>
      </c>
      <c r="J3578" s="15">
        <v>4.2142857142857144</v>
      </c>
    </row>
    <row r="3579" spans="1:10" x14ac:dyDescent="0.25">
      <c r="A3579" s="2" t="s">
        <v>9303</v>
      </c>
      <c r="B3579" s="2" t="s">
        <v>7007</v>
      </c>
      <c r="C3579" s="2" t="s">
        <v>9304</v>
      </c>
      <c r="D3579" s="2" t="s">
        <v>10055</v>
      </c>
      <c r="E3579" s="15">
        <v>1.2200000000000001E-2</v>
      </c>
      <c r="F3579" s="15">
        <v>5.3499999999999999E-2</v>
      </c>
      <c r="G3579" s="15">
        <v>0.82030000000000003</v>
      </c>
      <c r="H3579" s="15">
        <v>0.1061</v>
      </c>
      <c r="I3579" s="15">
        <v>1.7100000000000001E-2</v>
      </c>
      <c r="J3579" s="15">
        <v>6.6375000000000002</v>
      </c>
    </row>
    <row r="3580" spans="1:10" x14ac:dyDescent="0.25">
      <c r="A3580" s="2" t="s">
        <v>9305</v>
      </c>
      <c r="B3580" s="2" t="s">
        <v>7007</v>
      </c>
      <c r="C3580" s="2" t="s">
        <v>9306</v>
      </c>
      <c r="D3580" s="2" t="s">
        <v>10055</v>
      </c>
      <c r="E3580" s="15">
        <v>-3.4700000000000002E-2</v>
      </c>
      <c r="F3580" s="15">
        <v>7.5300000000000006E-2</v>
      </c>
      <c r="G3580" s="15">
        <v>0.64439999999999997</v>
      </c>
      <c r="H3580" s="15">
        <v>5.5300000000000002E-2</v>
      </c>
      <c r="I3580" s="15">
        <v>1.3899999999999999E-2</v>
      </c>
      <c r="J3580" s="15">
        <v>4.3088235294117636</v>
      </c>
    </row>
    <row r="3581" spans="1:10" x14ac:dyDescent="0.25">
      <c r="A3581" s="2" t="s">
        <v>9307</v>
      </c>
      <c r="B3581" s="2" t="s">
        <v>7007</v>
      </c>
      <c r="C3581" s="2" t="s">
        <v>9308</v>
      </c>
      <c r="D3581" s="2" t="s">
        <v>10055</v>
      </c>
      <c r="E3581" s="15"/>
      <c r="F3581" s="15"/>
      <c r="G3581" s="15"/>
      <c r="H3581" s="15">
        <v>-2.0000000000000001E-4</v>
      </c>
      <c r="I3581" s="15">
        <v>1.43E-2</v>
      </c>
      <c r="J3581" s="15">
        <v>-6.6176470588235295E-2</v>
      </c>
    </row>
    <row r="3582" spans="1:10" x14ac:dyDescent="0.25">
      <c r="A3582" s="2" t="s">
        <v>9309</v>
      </c>
      <c r="B3582" s="2" t="s">
        <v>7007</v>
      </c>
      <c r="C3582" s="2" t="s">
        <v>9310</v>
      </c>
      <c r="D3582" s="2" t="s">
        <v>10055</v>
      </c>
      <c r="E3582" s="15">
        <v>-7.4800000000000005E-2</v>
      </c>
      <c r="F3582" s="15">
        <v>7.7200000000000005E-2</v>
      </c>
      <c r="G3582" s="15">
        <v>0.33250000000000002</v>
      </c>
      <c r="H3582" s="15">
        <v>5.33E-2</v>
      </c>
      <c r="I3582" s="15">
        <v>1.6400000000000001E-2</v>
      </c>
      <c r="J3582" s="15">
        <v>3.459119496855346</v>
      </c>
    </row>
    <row r="3583" spans="1:10" x14ac:dyDescent="0.25">
      <c r="A3583" s="2" t="s">
        <v>9311</v>
      </c>
      <c r="B3583" s="2" t="s">
        <v>7007</v>
      </c>
      <c r="C3583" s="2" t="s">
        <v>9312</v>
      </c>
      <c r="D3583" s="2" t="s">
        <v>10055</v>
      </c>
      <c r="E3583" s="15">
        <v>3.32E-2</v>
      </c>
      <c r="F3583" s="15">
        <v>5.9900000000000002E-2</v>
      </c>
      <c r="G3583" s="15">
        <v>0.57950000000000002</v>
      </c>
      <c r="H3583" s="15">
        <v>9.8599999999999993E-2</v>
      </c>
      <c r="I3583" s="15">
        <v>1.66E-2</v>
      </c>
      <c r="J3583" s="15">
        <v>7.2715231788079464</v>
      </c>
    </row>
    <row r="3584" spans="1:10" x14ac:dyDescent="0.25">
      <c r="A3584" s="2" t="s">
        <v>9313</v>
      </c>
      <c r="B3584" s="2" t="s">
        <v>7007</v>
      </c>
      <c r="C3584" s="2" t="s">
        <v>9314</v>
      </c>
      <c r="D3584" s="2" t="s">
        <v>10055</v>
      </c>
      <c r="E3584" s="15">
        <v>-0.14710000000000001</v>
      </c>
      <c r="F3584" s="15">
        <v>8.0799999999999997E-2</v>
      </c>
      <c r="G3584" s="15">
        <v>6.8699999999999997E-2</v>
      </c>
      <c r="H3584" s="15">
        <v>4.7800000000000002E-2</v>
      </c>
      <c r="I3584" s="15">
        <v>1.55E-2</v>
      </c>
      <c r="J3584" s="15">
        <v>3.3398692810457522</v>
      </c>
    </row>
    <row r="3585" spans="1:10" x14ac:dyDescent="0.25">
      <c r="A3585" s="2" t="s">
        <v>9315</v>
      </c>
      <c r="B3585" s="2" t="s">
        <v>7007</v>
      </c>
      <c r="C3585" s="2" t="s">
        <v>9316</v>
      </c>
      <c r="D3585" s="2" t="s">
        <v>10055</v>
      </c>
      <c r="E3585" s="15"/>
      <c r="F3585" s="15"/>
      <c r="G3585" s="15"/>
      <c r="H3585" s="15"/>
      <c r="I3585" s="15"/>
      <c r="J3585" s="15">
        <v>-9.3749999999999986E-2</v>
      </c>
    </row>
    <row r="3586" spans="1:10" x14ac:dyDescent="0.25">
      <c r="A3586" s="2" t="s">
        <v>9317</v>
      </c>
      <c r="B3586" s="2" t="s">
        <v>7007</v>
      </c>
      <c r="C3586" s="2" t="s">
        <v>9318</v>
      </c>
      <c r="D3586" s="2" t="s">
        <v>10055</v>
      </c>
      <c r="E3586" s="15">
        <v>6.8500000000000005E-2</v>
      </c>
      <c r="F3586" s="15">
        <v>7.9500000000000001E-2</v>
      </c>
      <c r="G3586" s="15">
        <v>0.38869999999999999</v>
      </c>
      <c r="H3586" s="15">
        <v>5.67E-2</v>
      </c>
      <c r="I3586" s="15">
        <v>1.6299999999999999E-2</v>
      </c>
      <c r="J3586" s="15">
        <v>4.4064516129032256</v>
      </c>
    </row>
    <row r="3587" spans="1:10" x14ac:dyDescent="0.25">
      <c r="A3587" s="2" t="s">
        <v>9319</v>
      </c>
      <c r="B3587" s="2" t="s">
        <v>7007</v>
      </c>
      <c r="C3587" s="2" t="s">
        <v>9320</v>
      </c>
      <c r="D3587" s="2" t="s">
        <v>10055</v>
      </c>
      <c r="E3587" s="15">
        <v>0.1077</v>
      </c>
      <c r="F3587" s="15">
        <v>7.1999999999999995E-2</v>
      </c>
      <c r="G3587" s="15">
        <v>0.13469999999999999</v>
      </c>
      <c r="H3587" s="15">
        <v>7.1099999999999997E-2</v>
      </c>
      <c r="I3587" s="15">
        <v>1.55E-2</v>
      </c>
      <c r="J3587" s="15">
        <v>4.9868421052631584</v>
      </c>
    </row>
    <row r="3588" spans="1:10" x14ac:dyDescent="0.25">
      <c r="A3588" s="2" t="s">
        <v>9321</v>
      </c>
      <c r="B3588" s="2" t="s">
        <v>7007</v>
      </c>
      <c r="C3588" s="2" t="s">
        <v>9322</v>
      </c>
      <c r="D3588" s="2" t="s">
        <v>10055</v>
      </c>
      <c r="E3588" s="15">
        <v>9.9000000000000005E-2</v>
      </c>
      <c r="F3588" s="15">
        <v>0.18579999999999999</v>
      </c>
      <c r="G3588" s="15">
        <v>0.59430000000000005</v>
      </c>
      <c r="H3588" s="15">
        <v>9.9000000000000008E-3</v>
      </c>
      <c r="I3588" s="15">
        <v>1.34E-2</v>
      </c>
      <c r="J3588" s="15">
        <v>0.64615384615384619</v>
      </c>
    </row>
    <row r="3589" spans="1:10" x14ac:dyDescent="0.25">
      <c r="A3589" s="2" t="s">
        <v>9323</v>
      </c>
      <c r="B3589" s="2" t="s">
        <v>7007</v>
      </c>
      <c r="C3589" s="2" t="s">
        <v>9324</v>
      </c>
      <c r="D3589" s="2" t="s">
        <v>10055</v>
      </c>
      <c r="E3589" s="15">
        <v>8.9999999999999993E-3</v>
      </c>
      <c r="F3589" s="15">
        <v>6.4199999999999993E-2</v>
      </c>
      <c r="G3589" s="15">
        <v>0.88849999999999996</v>
      </c>
      <c r="H3589" s="15">
        <v>6.5299999999999997E-2</v>
      </c>
      <c r="I3589" s="15">
        <v>1.47E-2</v>
      </c>
      <c r="J3589" s="15">
        <v>5.1549295774647881</v>
      </c>
    </row>
    <row r="3590" spans="1:10" x14ac:dyDescent="0.25">
      <c r="A3590" s="2" t="s">
        <v>9325</v>
      </c>
      <c r="B3590" s="2" t="s">
        <v>7007</v>
      </c>
      <c r="C3590" s="2" t="s">
        <v>9326</v>
      </c>
      <c r="D3590" s="2" t="s">
        <v>10055</v>
      </c>
      <c r="E3590" s="15"/>
      <c r="F3590" s="15"/>
      <c r="G3590" s="15"/>
      <c r="H3590" s="15">
        <v>-3.8999999999999998E-3</v>
      </c>
      <c r="I3590" s="15">
        <v>1.37E-2</v>
      </c>
      <c r="J3590" s="15">
        <v>-0.1076923076923077</v>
      </c>
    </row>
    <row r="3591" spans="1:10" x14ac:dyDescent="0.25">
      <c r="A3591" s="2" t="s">
        <v>9327</v>
      </c>
      <c r="B3591" s="2" t="s">
        <v>7007</v>
      </c>
      <c r="C3591" s="2" t="s">
        <v>9328</v>
      </c>
      <c r="D3591" s="2" t="s">
        <v>10055</v>
      </c>
      <c r="E3591" s="15">
        <v>0.25180000000000002</v>
      </c>
      <c r="F3591" s="15">
        <v>9.4899999999999998E-2</v>
      </c>
      <c r="G3591" s="15">
        <v>8.0000000000000002E-3</v>
      </c>
      <c r="H3591" s="15">
        <v>4.1099999999999998E-2</v>
      </c>
      <c r="I3591" s="15">
        <v>1.4500000000000001E-2</v>
      </c>
      <c r="J3591" s="15">
        <v>3.182432432432432</v>
      </c>
    </row>
    <row r="3592" spans="1:10" x14ac:dyDescent="0.25">
      <c r="A3592" s="2" t="s">
        <v>9329</v>
      </c>
      <c r="B3592" s="2" t="s">
        <v>7007</v>
      </c>
      <c r="C3592" s="2" t="s">
        <v>9330</v>
      </c>
      <c r="D3592" s="2" t="s">
        <v>10055</v>
      </c>
      <c r="E3592" s="15">
        <v>-5.9200000000000003E-2</v>
      </c>
      <c r="F3592" s="15">
        <v>6.2399999999999997E-2</v>
      </c>
      <c r="G3592" s="15">
        <v>0.34279999999999999</v>
      </c>
      <c r="H3592" s="15">
        <v>7.6399999999999996E-2</v>
      </c>
      <c r="I3592" s="15">
        <v>1.4800000000000001E-2</v>
      </c>
      <c r="J3592" s="15">
        <v>5.0599999999999996</v>
      </c>
    </row>
    <row r="3593" spans="1:10" x14ac:dyDescent="0.25">
      <c r="A3593" s="2" t="s">
        <v>9331</v>
      </c>
      <c r="B3593" s="2" t="s">
        <v>7007</v>
      </c>
      <c r="C3593" s="2" t="s">
        <v>9332</v>
      </c>
      <c r="D3593" s="2" t="s">
        <v>10055</v>
      </c>
      <c r="E3593" s="15">
        <v>-9.3899999999999997E-2</v>
      </c>
      <c r="F3593" s="15">
        <v>0.1283</v>
      </c>
      <c r="G3593" s="15">
        <v>0.46410000000000001</v>
      </c>
      <c r="H3593" s="15">
        <v>2.1700000000000001E-2</v>
      </c>
      <c r="I3593" s="15">
        <v>1.35E-2</v>
      </c>
      <c r="J3593" s="15">
        <v>1.661870503597122</v>
      </c>
    </row>
    <row r="3594" spans="1:10" x14ac:dyDescent="0.25">
      <c r="A3594" s="2" t="s">
        <v>9333</v>
      </c>
      <c r="B3594" s="2" t="s">
        <v>7007</v>
      </c>
      <c r="C3594" s="2" t="s">
        <v>9334</v>
      </c>
      <c r="D3594" s="2" t="s">
        <v>10055</v>
      </c>
      <c r="E3594" s="15">
        <v>9.8000000000000004E-2</v>
      </c>
      <c r="F3594" s="15">
        <v>7.0000000000000007E-2</v>
      </c>
      <c r="G3594" s="15">
        <v>0.1613</v>
      </c>
      <c r="H3594" s="15">
        <v>7.4899999999999994E-2</v>
      </c>
      <c r="I3594" s="15">
        <v>1.6400000000000001E-2</v>
      </c>
      <c r="J3594" s="15">
        <v>5.2857142857142856</v>
      </c>
    </row>
    <row r="3595" spans="1:10" x14ac:dyDescent="0.25">
      <c r="A3595" s="2" t="s">
        <v>9335</v>
      </c>
      <c r="B3595" s="2" t="s">
        <v>7007</v>
      </c>
      <c r="C3595" s="2" t="s">
        <v>9336</v>
      </c>
      <c r="D3595" s="2" t="s">
        <v>10055</v>
      </c>
      <c r="E3595" s="15">
        <v>-2.5700000000000001E-2</v>
      </c>
      <c r="F3595" s="15">
        <v>4.3700000000000003E-2</v>
      </c>
      <c r="G3595" s="15">
        <v>0.55610000000000004</v>
      </c>
      <c r="H3595" s="15">
        <v>0.14799999999999999</v>
      </c>
      <c r="I3595" s="15">
        <v>2.1499999999999998E-2</v>
      </c>
      <c r="J3595" s="15">
        <v>7.2538071065989849</v>
      </c>
    </row>
    <row r="3596" spans="1:10" x14ac:dyDescent="0.25">
      <c r="A3596" s="2" t="s">
        <v>9337</v>
      </c>
      <c r="B3596" s="2" t="s">
        <v>7007</v>
      </c>
      <c r="C3596" s="2" t="s">
        <v>9338</v>
      </c>
      <c r="D3596" s="2" t="s">
        <v>10055</v>
      </c>
      <c r="E3596" s="15">
        <v>0.1399</v>
      </c>
      <c r="F3596" s="15">
        <v>0.15240000000000001</v>
      </c>
      <c r="G3596" s="15">
        <v>0.35849999999999999</v>
      </c>
      <c r="H3596" s="15">
        <v>1.47E-2</v>
      </c>
      <c r="I3596" s="15">
        <v>1.41E-2</v>
      </c>
      <c r="J3596" s="15">
        <v>0.97810218978102192</v>
      </c>
    </row>
    <row r="3597" spans="1:10" x14ac:dyDescent="0.25">
      <c r="A3597" s="2" t="s">
        <v>9339</v>
      </c>
      <c r="B3597" s="2" t="s">
        <v>7007</v>
      </c>
      <c r="C3597" s="2" t="s">
        <v>9340</v>
      </c>
      <c r="D3597" s="2" t="s">
        <v>10055</v>
      </c>
      <c r="E3597" s="15">
        <v>4.3700000000000003E-2</v>
      </c>
      <c r="F3597" s="15">
        <v>6.8000000000000005E-2</v>
      </c>
      <c r="G3597" s="15">
        <v>0.52080000000000004</v>
      </c>
      <c r="H3597" s="15">
        <v>6.9800000000000001E-2</v>
      </c>
      <c r="I3597" s="15">
        <v>1.78E-2</v>
      </c>
      <c r="J3597" s="15">
        <v>4.106741573033708</v>
      </c>
    </row>
    <row r="3598" spans="1:10" x14ac:dyDescent="0.25">
      <c r="A3598" s="2" t="s">
        <v>9341</v>
      </c>
      <c r="B3598" s="2" t="s">
        <v>7007</v>
      </c>
      <c r="C3598" s="2" t="s">
        <v>9342</v>
      </c>
      <c r="D3598" s="2" t="s">
        <v>10055</v>
      </c>
      <c r="E3598" s="15">
        <v>-0.1201</v>
      </c>
      <c r="F3598" s="15">
        <v>7.2400000000000006E-2</v>
      </c>
      <c r="G3598" s="15">
        <v>9.7100000000000006E-2</v>
      </c>
      <c r="H3598" s="15">
        <v>6.0900000000000003E-2</v>
      </c>
      <c r="I3598" s="15">
        <v>1.6E-2</v>
      </c>
      <c r="J3598" s="15">
        <v>4.0718954248366019</v>
      </c>
    </row>
    <row r="3599" spans="1:10" x14ac:dyDescent="0.25">
      <c r="A3599" s="2" t="s">
        <v>9343</v>
      </c>
      <c r="B3599" s="2" t="s">
        <v>7007</v>
      </c>
      <c r="C3599" s="2" t="s">
        <v>9344</v>
      </c>
      <c r="D3599" s="2" t="s">
        <v>10055</v>
      </c>
      <c r="E3599" s="15">
        <v>7.17E-2</v>
      </c>
      <c r="F3599" s="15">
        <v>0.11550000000000001</v>
      </c>
      <c r="G3599" s="15">
        <v>0.53480000000000005</v>
      </c>
      <c r="H3599" s="15">
        <v>2.3800000000000002E-2</v>
      </c>
      <c r="I3599" s="15">
        <v>1.3899999999999999E-2</v>
      </c>
      <c r="J3599" s="15">
        <v>1.453125</v>
      </c>
    </row>
    <row r="3600" spans="1:10" x14ac:dyDescent="0.25">
      <c r="A3600" s="2" t="s">
        <v>9345</v>
      </c>
      <c r="B3600" s="2" t="s">
        <v>7007</v>
      </c>
      <c r="C3600" s="2" t="s">
        <v>9346</v>
      </c>
      <c r="D3600" s="2" t="s">
        <v>10055</v>
      </c>
      <c r="E3600" s="15">
        <v>-0.21199999999999999</v>
      </c>
      <c r="F3600" s="15">
        <v>8.3199999999999996E-2</v>
      </c>
      <c r="G3600" s="15">
        <v>1.09E-2</v>
      </c>
      <c r="H3600" s="15">
        <v>4.58E-2</v>
      </c>
      <c r="I3600" s="15">
        <v>1.44E-2</v>
      </c>
      <c r="J3600" s="15">
        <v>4.0977443609022561</v>
      </c>
    </row>
    <row r="3601" spans="1:10" x14ac:dyDescent="0.25">
      <c r="A3601" s="2" t="s">
        <v>9347</v>
      </c>
      <c r="B3601" s="2" t="s">
        <v>7007</v>
      </c>
      <c r="C3601" s="2" t="s">
        <v>9348</v>
      </c>
      <c r="D3601" s="2" t="s">
        <v>10055</v>
      </c>
      <c r="E3601" s="15"/>
      <c r="F3601" s="15"/>
      <c r="G3601" s="15"/>
      <c r="H3601" s="15">
        <v>-1.4999999999999999E-2</v>
      </c>
      <c r="I3601" s="15">
        <v>1.4E-2</v>
      </c>
      <c r="J3601" s="15">
        <v>-0.98601398601398593</v>
      </c>
    </row>
    <row r="3602" spans="1:10" x14ac:dyDescent="0.25">
      <c r="A3602" s="2" t="s">
        <v>9349</v>
      </c>
      <c r="B3602" s="2" t="s">
        <v>7007</v>
      </c>
      <c r="C3602" s="2" t="s">
        <v>9350</v>
      </c>
      <c r="D3602" s="2" t="s">
        <v>10055</v>
      </c>
      <c r="E3602" s="15">
        <v>-5.1999999999999998E-3</v>
      </c>
      <c r="F3602" s="15">
        <v>5.1499999999999997E-2</v>
      </c>
      <c r="G3602" s="15">
        <v>0.9194</v>
      </c>
      <c r="H3602" s="15">
        <v>0.1361</v>
      </c>
      <c r="I3602" s="15">
        <v>1.9300000000000001E-2</v>
      </c>
      <c r="J3602" s="15">
        <v>7.6755319148936172</v>
      </c>
    </row>
    <row r="3603" spans="1:10" x14ac:dyDescent="0.25">
      <c r="A3603" s="2" t="s">
        <v>9351</v>
      </c>
      <c r="B3603" s="2" t="s">
        <v>7007</v>
      </c>
      <c r="C3603" s="2" t="s">
        <v>9352</v>
      </c>
      <c r="D3603" s="2" t="s">
        <v>10055</v>
      </c>
      <c r="E3603" s="15">
        <v>0.11119999999999999</v>
      </c>
      <c r="F3603" s="15">
        <v>6.3600000000000004E-2</v>
      </c>
      <c r="G3603" s="15">
        <v>8.0500000000000002E-2</v>
      </c>
      <c r="H3603" s="15">
        <v>6.9900000000000004E-2</v>
      </c>
      <c r="I3603" s="15">
        <v>1.5699999999999999E-2</v>
      </c>
      <c r="J3603" s="15">
        <v>4.9662162162162158</v>
      </c>
    </row>
    <row r="3604" spans="1:10" x14ac:dyDescent="0.25">
      <c r="A3604" s="2" t="s">
        <v>9353</v>
      </c>
      <c r="B3604" s="2" t="s">
        <v>7007</v>
      </c>
      <c r="C3604" s="2" t="s">
        <v>9354</v>
      </c>
      <c r="D3604" s="2" t="s">
        <v>10055</v>
      </c>
      <c r="E3604" s="15">
        <v>-2.7199999999999998E-2</v>
      </c>
      <c r="F3604" s="15">
        <v>8.6900000000000005E-2</v>
      </c>
      <c r="G3604" s="15">
        <v>0.75480000000000003</v>
      </c>
      <c r="H3604" s="15">
        <v>3.6200000000000003E-2</v>
      </c>
      <c r="I3604" s="15">
        <v>1.5800000000000002E-2</v>
      </c>
      <c r="J3604" s="15">
        <v>2.3856209150326801</v>
      </c>
    </row>
    <row r="3605" spans="1:10" x14ac:dyDescent="0.25">
      <c r="A3605" s="2" t="s">
        <v>9355</v>
      </c>
      <c r="B3605" s="2" t="s">
        <v>7007</v>
      </c>
      <c r="C3605" s="2" t="s">
        <v>9356</v>
      </c>
      <c r="D3605" s="2" t="s">
        <v>10055</v>
      </c>
      <c r="E3605" s="15">
        <v>1.6000000000000001E-3</v>
      </c>
      <c r="F3605" s="15">
        <v>7.6999999999999999E-2</v>
      </c>
      <c r="G3605" s="15">
        <v>0.98299999999999998</v>
      </c>
      <c r="H3605" s="15">
        <v>4.9299999999999997E-2</v>
      </c>
      <c r="I3605" s="15">
        <v>1.5100000000000001E-2</v>
      </c>
      <c r="J3605" s="15">
        <v>3.536912751677852</v>
      </c>
    </row>
    <row r="3606" spans="1:10" x14ac:dyDescent="0.25">
      <c r="A3606" s="2" t="s">
        <v>9357</v>
      </c>
      <c r="B3606" s="2" t="s">
        <v>7007</v>
      </c>
      <c r="C3606" s="2" t="s">
        <v>9358</v>
      </c>
      <c r="D3606" s="2" t="s">
        <v>10055</v>
      </c>
      <c r="E3606" s="15">
        <v>1.29E-2</v>
      </c>
      <c r="F3606" s="15">
        <v>8.3099999999999993E-2</v>
      </c>
      <c r="G3606" s="15">
        <v>0.87690000000000001</v>
      </c>
      <c r="H3606" s="15">
        <v>4.9200000000000001E-2</v>
      </c>
      <c r="I3606" s="15">
        <v>1.6199999999999999E-2</v>
      </c>
      <c r="J3606" s="15">
        <v>3.7374999999999998</v>
      </c>
    </row>
    <row r="3607" spans="1:10" x14ac:dyDescent="0.25">
      <c r="A3607" s="2" t="s">
        <v>9359</v>
      </c>
      <c r="B3607" s="2" t="s">
        <v>7007</v>
      </c>
      <c r="C3607" s="2" t="s">
        <v>9360</v>
      </c>
      <c r="D3607" s="2" t="s">
        <v>10055</v>
      </c>
      <c r="E3607" s="15">
        <v>-5.04E-2</v>
      </c>
      <c r="F3607" s="15">
        <v>0.16800000000000001</v>
      </c>
      <c r="G3607" s="15">
        <v>0.76439999999999997</v>
      </c>
      <c r="H3607" s="15">
        <v>1.12E-2</v>
      </c>
      <c r="I3607" s="15">
        <v>1.41E-2</v>
      </c>
      <c r="J3607" s="15">
        <v>0.47142857142857142</v>
      </c>
    </row>
    <row r="3608" spans="1:10" x14ac:dyDescent="0.25">
      <c r="A3608" s="2" t="s">
        <v>9361</v>
      </c>
      <c r="B3608" s="2" t="s">
        <v>7007</v>
      </c>
      <c r="C3608" s="2" t="s">
        <v>9362</v>
      </c>
      <c r="D3608" s="2" t="s">
        <v>10055</v>
      </c>
      <c r="E3608" s="15">
        <v>-0.15160000000000001</v>
      </c>
      <c r="F3608" s="15">
        <v>9.9699999999999997E-2</v>
      </c>
      <c r="G3608" s="15">
        <v>0.1285</v>
      </c>
      <c r="H3608" s="15">
        <v>3.3500000000000002E-2</v>
      </c>
      <c r="I3608" s="15">
        <v>1.4E-2</v>
      </c>
      <c r="J3608" s="15">
        <v>1.992753623188406</v>
      </c>
    </row>
    <row r="3609" spans="1:10" x14ac:dyDescent="0.25">
      <c r="A3609" s="2" t="s">
        <v>9363</v>
      </c>
      <c r="B3609" s="2" t="s">
        <v>7007</v>
      </c>
      <c r="C3609" s="2" t="s">
        <v>9364</v>
      </c>
      <c r="D3609" s="2" t="s">
        <v>10055</v>
      </c>
      <c r="E3609" s="15"/>
      <c r="F3609" s="15"/>
      <c r="G3609" s="15"/>
      <c r="H3609" s="15"/>
      <c r="I3609" s="15"/>
      <c r="J3609" s="15">
        <v>-0.27906976744186052</v>
      </c>
    </row>
    <row r="3610" spans="1:10" x14ac:dyDescent="0.25">
      <c r="A3610" s="2" t="s">
        <v>9365</v>
      </c>
      <c r="B3610" s="2" t="s">
        <v>7007</v>
      </c>
      <c r="C3610" s="2" t="s">
        <v>9366</v>
      </c>
      <c r="D3610" s="2" t="s">
        <v>10055</v>
      </c>
      <c r="E3610" s="15">
        <v>3.8199999999999998E-2</v>
      </c>
      <c r="F3610" s="15">
        <v>7.9200000000000007E-2</v>
      </c>
      <c r="G3610" s="15">
        <v>0.62919999999999998</v>
      </c>
      <c r="H3610" s="15">
        <v>4.1099999999999998E-2</v>
      </c>
      <c r="I3610" s="15">
        <v>1.8700000000000001E-2</v>
      </c>
      <c r="J3610" s="15">
        <v>2.457627118644067</v>
      </c>
    </row>
    <row r="3611" spans="1:10" x14ac:dyDescent="0.25">
      <c r="A3611" s="2" t="s">
        <v>9367</v>
      </c>
      <c r="B3611" s="2" t="s">
        <v>7007</v>
      </c>
      <c r="C3611" s="2" t="s">
        <v>9368</v>
      </c>
      <c r="D3611" s="2" t="s">
        <v>10055</v>
      </c>
      <c r="E3611" s="15">
        <v>-0.1694</v>
      </c>
      <c r="F3611" s="15">
        <v>0.08</v>
      </c>
      <c r="G3611" s="15">
        <v>3.4099999999999998E-2</v>
      </c>
      <c r="H3611" s="15">
        <v>5.5599999999999997E-2</v>
      </c>
      <c r="I3611" s="15">
        <v>1.5299999999999999E-2</v>
      </c>
      <c r="J3611" s="15">
        <v>3.7297297297297289</v>
      </c>
    </row>
    <row r="3612" spans="1:10" x14ac:dyDescent="0.25">
      <c r="A3612" s="2" t="s">
        <v>9369</v>
      </c>
      <c r="B3612" s="2" t="s">
        <v>7007</v>
      </c>
      <c r="C3612" s="2" t="s">
        <v>9370</v>
      </c>
      <c r="D3612" s="2" t="s">
        <v>10055</v>
      </c>
      <c r="E3612" s="15">
        <v>0.27200000000000002</v>
      </c>
      <c r="F3612" s="15">
        <v>0.25109999999999999</v>
      </c>
      <c r="G3612" s="15">
        <v>0.2787</v>
      </c>
      <c r="H3612" s="15">
        <v>0.01</v>
      </c>
      <c r="I3612" s="15">
        <v>1.3299999999999999E-2</v>
      </c>
      <c r="J3612" s="15">
        <v>1.5939849624060149</v>
      </c>
    </row>
    <row r="3613" spans="1:10" x14ac:dyDescent="0.25">
      <c r="A3613" s="2" t="s">
        <v>9371</v>
      </c>
      <c r="B3613" s="2" t="s">
        <v>7007</v>
      </c>
      <c r="C3613" s="2" t="s">
        <v>9372</v>
      </c>
      <c r="D3613" s="2" t="s">
        <v>10055</v>
      </c>
      <c r="E3613" s="15">
        <v>0.10100000000000001</v>
      </c>
      <c r="F3613" s="15">
        <v>0.1137</v>
      </c>
      <c r="G3613" s="15">
        <v>0.37440000000000001</v>
      </c>
      <c r="H3613" s="15">
        <v>2.3400000000000001E-2</v>
      </c>
      <c r="I3613" s="15">
        <v>1.7899999999999999E-2</v>
      </c>
      <c r="J3613" s="15">
        <v>1.767857142857143</v>
      </c>
    </row>
    <row r="3614" spans="1:10" x14ac:dyDescent="0.25">
      <c r="A3614" s="2" t="s">
        <v>9373</v>
      </c>
      <c r="B3614" s="2" t="s">
        <v>7007</v>
      </c>
      <c r="C3614" s="2" t="s">
        <v>9374</v>
      </c>
      <c r="D3614" s="2" t="s">
        <v>10055</v>
      </c>
      <c r="E3614" s="15"/>
      <c r="F3614" s="15"/>
      <c r="G3614" s="15"/>
      <c r="H3614" s="15">
        <v>-8.0000000000000004E-4</v>
      </c>
      <c r="I3614" s="15">
        <v>1.43E-2</v>
      </c>
      <c r="J3614" s="15">
        <v>-0.26315789473684209</v>
      </c>
    </row>
    <row r="3615" spans="1:10" x14ac:dyDescent="0.25">
      <c r="A3615" s="2" t="s">
        <v>9375</v>
      </c>
      <c r="B3615" s="2" t="s">
        <v>7007</v>
      </c>
      <c r="C3615" s="2" t="s">
        <v>9376</v>
      </c>
      <c r="D3615" s="2" t="s">
        <v>10055</v>
      </c>
      <c r="E3615" s="15">
        <v>2.8199999999999999E-2</v>
      </c>
      <c r="F3615" s="15">
        <v>0.1003</v>
      </c>
      <c r="G3615" s="15">
        <v>0.77829999999999999</v>
      </c>
      <c r="H3615" s="15">
        <v>2.7900000000000001E-2</v>
      </c>
      <c r="I3615" s="15">
        <v>1.47E-2</v>
      </c>
      <c r="J3615" s="15">
        <v>1.802919708029197</v>
      </c>
    </row>
    <row r="3616" spans="1:10" x14ac:dyDescent="0.25">
      <c r="A3616" s="2" t="s">
        <v>9377</v>
      </c>
      <c r="B3616" s="2" t="s">
        <v>7007</v>
      </c>
      <c r="C3616" s="2" t="s">
        <v>9378</v>
      </c>
      <c r="D3616" s="2" t="s">
        <v>10055</v>
      </c>
      <c r="E3616" s="15"/>
      <c r="F3616" s="15"/>
      <c r="G3616" s="15"/>
      <c r="H3616" s="15">
        <v>-1.1000000000000001E-3</v>
      </c>
      <c r="I3616" s="15">
        <v>1.5800000000000002E-2</v>
      </c>
      <c r="J3616" s="15">
        <v>0.15686274509803921</v>
      </c>
    </row>
    <row r="3617" spans="1:10" x14ac:dyDescent="0.25">
      <c r="A3617" s="2" t="s">
        <v>9379</v>
      </c>
      <c r="B3617" s="2" t="s">
        <v>7007</v>
      </c>
      <c r="C3617" s="2" t="s">
        <v>9380</v>
      </c>
      <c r="D3617" s="2" t="s">
        <v>10055</v>
      </c>
      <c r="E3617" s="15">
        <v>-7.7000000000000002E-3</v>
      </c>
      <c r="F3617" s="15">
        <v>0.1145</v>
      </c>
      <c r="G3617" s="15">
        <v>0.94630000000000003</v>
      </c>
      <c r="H3617" s="15">
        <v>2.6499999999999999E-2</v>
      </c>
      <c r="I3617" s="15">
        <v>1.4200000000000001E-2</v>
      </c>
      <c r="J3617" s="15">
        <v>2.166666666666667</v>
      </c>
    </row>
    <row r="3618" spans="1:10" x14ac:dyDescent="0.25">
      <c r="A3618" s="2" t="s">
        <v>9381</v>
      </c>
      <c r="B3618" s="2" t="s">
        <v>7007</v>
      </c>
      <c r="C3618" s="2" t="s">
        <v>9382</v>
      </c>
      <c r="D3618" s="2" t="s">
        <v>10055</v>
      </c>
      <c r="E3618" s="15">
        <v>0.1043</v>
      </c>
      <c r="F3618" s="15">
        <v>0.1389</v>
      </c>
      <c r="G3618" s="15">
        <v>0.45240000000000002</v>
      </c>
      <c r="H3618" s="15">
        <v>1.5100000000000001E-2</v>
      </c>
      <c r="I3618" s="15">
        <v>1.54E-2</v>
      </c>
      <c r="J3618" s="15">
        <v>1.071428571428571</v>
      </c>
    </row>
    <row r="3619" spans="1:10" x14ac:dyDescent="0.25">
      <c r="A3619" s="2" t="s">
        <v>9383</v>
      </c>
      <c r="B3619" s="2" t="s">
        <v>7007</v>
      </c>
      <c r="C3619" s="2" t="s">
        <v>9384</v>
      </c>
      <c r="D3619" s="2" t="s">
        <v>10055</v>
      </c>
      <c r="E3619" s="15">
        <v>1.18E-2</v>
      </c>
      <c r="F3619" s="15">
        <v>9.4200000000000006E-2</v>
      </c>
      <c r="G3619" s="15">
        <v>0.90010000000000001</v>
      </c>
      <c r="H3619" s="15">
        <v>4.8399999999999999E-2</v>
      </c>
      <c r="I3619" s="15">
        <v>1.5100000000000001E-2</v>
      </c>
      <c r="J3619" s="15">
        <v>3.1888111888111892</v>
      </c>
    </row>
    <row r="3620" spans="1:10" x14ac:dyDescent="0.25">
      <c r="A3620" s="2" t="s">
        <v>9385</v>
      </c>
      <c r="B3620" s="2" t="s">
        <v>7007</v>
      </c>
      <c r="C3620" s="2" t="s">
        <v>9386</v>
      </c>
      <c r="D3620" s="2" t="s">
        <v>10055</v>
      </c>
      <c r="E3620" s="15">
        <v>0.11940000000000001</v>
      </c>
      <c r="F3620" s="15">
        <v>0.1016</v>
      </c>
      <c r="G3620" s="15">
        <v>0.24010000000000001</v>
      </c>
      <c r="H3620" s="15">
        <v>3.0800000000000001E-2</v>
      </c>
      <c r="I3620" s="15">
        <v>1.49E-2</v>
      </c>
      <c r="J3620" s="15">
        <v>2.293333333333333</v>
      </c>
    </row>
    <row r="3621" spans="1:10" x14ac:dyDescent="0.25">
      <c r="A3621" s="2" t="s">
        <v>9387</v>
      </c>
      <c r="B3621" s="2" t="s">
        <v>7007</v>
      </c>
      <c r="C3621" s="2" t="s">
        <v>9388</v>
      </c>
      <c r="D3621" s="2" t="s">
        <v>10055</v>
      </c>
      <c r="E3621" s="15">
        <v>0.1012</v>
      </c>
      <c r="F3621" s="15">
        <v>8.3900000000000002E-2</v>
      </c>
      <c r="G3621" s="15">
        <v>0.2278</v>
      </c>
      <c r="H3621" s="15">
        <v>3.6799999999999999E-2</v>
      </c>
      <c r="I3621" s="15">
        <v>1.46E-2</v>
      </c>
      <c r="J3621" s="15">
        <v>2.9097222222222219</v>
      </c>
    </row>
    <row r="3622" spans="1:10" x14ac:dyDescent="0.25">
      <c r="A3622" s="2" t="s">
        <v>9389</v>
      </c>
      <c r="B3622" s="2" t="s">
        <v>7007</v>
      </c>
      <c r="C3622" s="2" t="s">
        <v>9390</v>
      </c>
      <c r="D3622" s="2" t="s">
        <v>10055</v>
      </c>
      <c r="E3622" s="15"/>
      <c r="F3622" s="15"/>
      <c r="G3622" s="15"/>
      <c r="H3622" s="15"/>
      <c r="I3622" s="15"/>
      <c r="J3622" s="15">
        <v>0.15436241610738249</v>
      </c>
    </row>
    <row r="3623" spans="1:10" x14ac:dyDescent="0.25">
      <c r="A3623" s="2" t="s">
        <v>9391</v>
      </c>
      <c r="B3623" s="2" t="s">
        <v>7007</v>
      </c>
      <c r="C3623" s="2" t="s">
        <v>9392</v>
      </c>
      <c r="D3623" s="2" t="s">
        <v>10055</v>
      </c>
      <c r="E3623" s="15"/>
      <c r="F3623" s="15"/>
      <c r="G3623" s="15"/>
      <c r="H3623" s="15"/>
      <c r="I3623" s="15"/>
      <c r="J3623" s="15">
        <v>0.62595419847328249</v>
      </c>
    </row>
    <row r="3624" spans="1:10" x14ac:dyDescent="0.25">
      <c r="A3624" s="2" t="s">
        <v>9393</v>
      </c>
      <c r="B3624" s="2" t="s">
        <v>7007</v>
      </c>
      <c r="C3624" s="2" t="s">
        <v>9394</v>
      </c>
      <c r="D3624" s="2" t="s">
        <v>10055</v>
      </c>
      <c r="E3624" s="15">
        <v>4.8399999999999999E-2</v>
      </c>
      <c r="F3624" s="15">
        <v>0.1426</v>
      </c>
      <c r="G3624" s="15">
        <v>0.73399999999999999</v>
      </c>
      <c r="H3624" s="15">
        <v>1.3599999999999999E-2</v>
      </c>
      <c r="I3624" s="15">
        <v>1.4E-2</v>
      </c>
      <c r="J3624" s="15">
        <v>1.1851851851851849</v>
      </c>
    </row>
    <row r="3625" spans="1:10" x14ac:dyDescent="0.25">
      <c r="A3625" s="2" t="s">
        <v>9395</v>
      </c>
      <c r="B3625" s="2" t="s">
        <v>7007</v>
      </c>
      <c r="C3625" s="2" t="s">
        <v>9396</v>
      </c>
      <c r="D3625" s="2" t="s">
        <v>10055</v>
      </c>
      <c r="E3625" s="15"/>
      <c r="F3625" s="15"/>
      <c r="G3625" s="15"/>
      <c r="H3625" s="15">
        <v>-6.9999999999999999E-4</v>
      </c>
      <c r="I3625" s="15">
        <v>1.4800000000000001E-2</v>
      </c>
      <c r="J3625" s="15">
        <v>-0.30718954248366009</v>
      </c>
    </row>
    <row r="3626" spans="1:10" x14ac:dyDescent="0.25">
      <c r="A3626" s="2" t="s">
        <v>9397</v>
      </c>
      <c r="B3626" s="2" t="s">
        <v>7007</v>
      </c>
      <c r="C3626" s="2" t="s">
        <v>9398</v>
      </c>
      <c r="D3626" s="2" t="s">
        <v>10055</v>
      </c>
      <c r="E3626" s="15"/>
      <c r="F3626" s="15"/>
      <c r="G3626" s="15"/>
      <c r="H3626" s="15">
        <v>-6.4000000000000003E-3</v>
      </c>
      <c r="I3626" s="15">
        <v>1.3100000000000001E-2</v>
      </c>
      <c r="J3626" s="15">
        <v>-0.20634920634920631</v>
      </c>
    </row>
    <row r="3627" spans="1:10" x14ac:dyDescent="0.25">
      <c r="A3627" s="2" t="s">
        <v>9399</v>
      </c>
      <c r="B3627" s="2" t="s">
        <v>7007</v>
      </c>
      <c r="C3627" s="2" t="s">
        <v>9400</v>
      </c>
      <c r="D3627" s="2" t="s">
        <v>10055</v>
      </c>
      <c r="E3627" s="15">
        <v>-2.07E-2</v>
      </c>
      <c r="F3627" s="15">
        <v>5.8900000000000001E-2</v>
      </c>
      <c r="G3627" s="15">
        <v>0.7248</v>
      </c>
      <c r="H3627" s="15">
        <v>9.1300000000000006E-2</v>
      </c>
      <c r="I3627" s="15">
        <v>1.5299999999999999E-2</v>
      </c>
      <c r="J3627" s="15">
        <v>5.9605263157894726</v>
      </c>
    </row>
    <row r="3628" spans="1:10" x14ac:dyDescent="0.25">
      <c r="A3628" s="2" t="s">
        <v>9401</v>
      </c>
      <c r="B3628" s="2" t="s">
        <v>7007</v>
      </c>
      <c r="C3628" s="2" t="s">
        <v>9402</v>
      </c>
      <c r="D3628" s="2" t="s">
        <v>10055</v>
      </c>
      <c r="E3628" s="15">
        <v>5.3800000000000001E-2</v>
      </c>
      <c r="F3628" s="15">
        <v>8.8300000000000003E-2</v>
      </c>
      <c r="G3628" s="15">
        <v>0.5423</v>
      </c>
      <c r="H3628" s="15">
        <v>3.32E-2</v>
      </c>
      <c r="I3628" s="15">
        <v>1.29E-2</v>
      </c>
      <c r="J3628" s="15">
        <v>2.4230769230769229</v>
      </c>
    </row>
    <row r="3629" spans="1:10" x14ac:dyDescent="0.25">
      <c r="A3629" s="2" t="s">
        <v>9403</v>
      </c>
      <c r="B3629" s="2" t="s">
        <v>7007</v>
      </c>
      <c r="C3629" s="2" t="s">
        <v>9404</v>
      </c>
      <c r="D3629" s="2" t="s">
        <v>10055</v>
      </c>
      <c r="E3629" s="15"/>
      <c r="F3629" s="15"/>
      <c r="G3629" s="15"/>
      <c r="H3629" s="15">
        <v>-7.1000000000000004E-3</v>
      </c>
      <c r="I3629" s="15">
        <v>1.2999999999999999E-2</v>
      </c>
      <c r="J3629" s="15">
        <v>-0.7165354330708662</v>
      </c>
    </row>
    <row r="3630" spans="1:10" x14ac:dyDescent="0.25">
      <c r="A3630" s="2" t="s">
        <v>9405</v>
      </c>
      <c r="B3630" s="2" t="s">
        <v>7007</v>
      </c>
      <c r="C3630" s="2" t="s">
        <v>9406</v>
      </c>
      <c r="D3630" s="2" t="s">
        <v>10055</v>
      </c>
      <c r="E3630" s="15">
        <v>4.2999999999999997E-2</v>
      </c>
      <c r="F3630" s="15">
        <v>9.3200000000000005E-2</v>
      </c>
      <c r="G3630" s="15">
        <v>0.64400000000000002</v>
      </c>
      <c r="H3630" s="15">
        <v>3.7100000000000001E-2</v>
      </c>
      <c r="I3630" s="15">
        <v>1.4800000000000001E-2</v>
      </c>
      <c r="J3630" s="15">
        <v>3.8402777777777781</v>
      </c>
    </row>
    <row r="3631" spans="1:10" x14ac:dyDescent="0.25">
      <c r="A3631" s="2" t="s">
        <v>9407</v>
      </c>
      <c r="B3631" s="2" t="s">
        <v>7007</v>
      </c>
      <c r="C3631" s="2" t="s">
        <v>9408</v>
      </c>
      <c r="D3631" s="2" t="s">
        <v>10055</v>
      </c>
      <c r="E3631" s="15">
        <v>-0.17730000000000001</v>
      </c>
      <c r="F3631" s="15">
        <v>0.1182</v>
      </c>
      <c r="G3631" s="15">
        <v>0.1336</v>
      </c>
      <c r="H3631" s="15">
        <v>2.9700000000000001E-2</v>
      </c>
      <c r="I3631" s="15">
        <v>1.6400000000000001E-2</v>
      </c>
      <c r="J3631" s="15">
        <v>2.278481012658228</v>
      </c>
    </row>
    <row r="3632" spans="1:10" x14ac:dyDescent="0.25">
      <c r="A3632" s="2" t="s">
        <v>9409</v>
      </c>
      <c r="B3632" s="2" t="s">
        <v>7007</v>
      </c>
      <c r="C3632" s="2" t="s">
        <v>9410</v>
      </c>
      <c r="D3632" s="2" t="s">
        <v>10055</v>
      </c>
      <c r="E3632" s="15">
        <v>-0.19120000000000001</v>
      </c>
      <c r="F3632" s="15">
        <v>0.65269999999999995</v>
      </c>
      <c r="G3632" s="15">
        <v>0.76959999999999995</v>
      </c>
      <c r="H3632" s="15">
        <v>3.5999999999999999E-3</v>
      </c>
      <c r="I3632" s="15">
        <v>1.34E-2</v>
      </c>
      <c r="J3632" s="15">
        <v>0.18045112781954889</v>
      </c>
    </row>
    <row r="3633" spans="1:10" x14ac:dyDescent="0.25">
      <c r="A3633" s="2" t="s">
        <v>9411</v>
      </c>
      <c r="B3633" s="2" t="s">
        <v>7007</v>
      </c>
      <c r="C3633" s="2" t="s">
        <v>9412</v>
      </c>
      <c r="D3633" s="2" t="s">
        <v>10055</v>
      </c>
      <c r="E3633" s="15"/>
      <c r="F3633" s="15"/>
      <c r="G3633" s="15"/>
      <c r="H3633" s="15">
        <v>-2.2499999999999999E-2</v>
      </c>
      <c r="I3633" s="15">
        <v>1.3599999999999999E-2</v>
      </c>
      <c r="J3633" s="15">
        <v>-1.7777777777777779</v>
      </c>
    </row>
    <row r="3634" spans="1:10" x14ac:dyDescent="0.25">
      <c r="A3634" s="2" t="s">
        <v>9413</v>
      </c>
      <c r="B3634" s="2" t="s">
        <v>7007</v>
      </c>
      <c r="C3634" s="2" t="s">
        <v>9414</v>
      </c>
      <c r="D3634" s="2" t="s">
        <v>10055</v>
      </c>
      <c r="E3634" s="15">
        <v>5.4300000000000001E-2</v>
      </c>
      <c r="F3634" s="15">
        <v>9.98E-2</v>
      </c>
      <c r="G3634" s="15">
        <v>0.5867</v>
      </c>
      <c r="H3634" s="15">
        <v>2.9499999999999998E-2</v>
      </c>
      <c r="I3634" s="15">
        <v>1.5100000000000001E-2</v>
      </c>
      <c r="J3634" s="15">
        <v>2.3973509933774841</v>
      </c>
    </row>
    <row r="3635" spans="1:10" x14ac:dyDescent="0.25">
      <c r="A3635" s="2" t="s">
        <v>9415</v>
      </c>
      <c r="B3635" s="2" t="s">
        <v>7007</v>
      </c>
      <c r="C3635" s="2" t="s">
        <v>9416</v>
      </c>
      <c r="D3635" s="2" t="s">
        <v>10055</v>
      </c>
      <c r="E3635" s="15">
        <v>0.1159</v>
      </c>
      <c r="F3635" s="15">
        <v>7.4300000000000005E-2</v>
      </c>
      <c r="G3635" s="15">
        <v>0.1186</v>
      </c>
      <c r="H3635" s="15">
        <v>6.88E-2</v>
      </c>
      <c r="I3635" s="15">
        <v>1.5800000000000002E-2</v>
      </c>
      <c r="J3635" s="15">
        <v>5.3469387755102042</v>
      </c>
    </row>
    <row r="3636" spans="1:10" x14ac:dyDescent="0.25">
      <c r="A3636" s="2" t="s">
        <v>9417</v>
      </c>
      <c r="B3636" s="2" t="s">
        <v>7007</v>
      </c>
      <c r="C3636" s="2" t="s">
        <v>9418</v>
      </c>
      <c r="D3636" s="2" t="s">
        <v>10055</v>
      </c>
      <c r="E3636" s="15">
        <v>5.4600000000000003E-2</v>
      </c>
      <c r="F3636" s="15">
        <v>0.19270000000000001</v>
      </c>
      <c r="G3636" s="15">
        <v>0.77680000000000005</v>
      </c>
      <c r="H3636" s="15">
        <v>1.04E-2</v>
      </c>
      <c r="I3636" s="15">
        <v>1.2800000000000001E-2</v>
      </c>
      <c r="J3636" s="15">
        <v>0.96799999999999997</v>
      </c>
    </row>
    <row r="3637" spans="1:10" x14ac:dyDescent="0.25">
      <c r="A3637" s="2" t="s">
        <v>9419</v>
      </c>
      <c r="B3637" s="2" t="s">
        <v>7007</v>
      </c>
      <c r="C3637" s="2" t="s">
        <v>9420</v>
      </c>
      <c r="D3637" s="2" t="s">
        <v>10055</v>
      </c>
      <c r="E3637" s="15">
        <v>-0.3523</v>
      </c>
      <c r="F3637" s="15">
        <v>0.63939999999999997</v>
      </c>
      <c r="G3637" s="15">
        <v>0.58169999999999999</v>
      </c>
      <c r="H3637" s="15">
        <v>6.1000000000000004E-3</v>
      </c>
      <c r="I3637" s="15">
        <v>1.6199999999999999E-2</v>
      </c>
      <c r="J3637" s="15">
        <v>0.77124183006535951</v>
      </c>
    </row>
    <row r="3638" spans="1:10" x14ac:dyDescent="0.25">
      <c r="A3638" s="2" t="s">
        <v>9421</v>
      </c>
      <c r="B3638" s="2" t="s">
        <v>7007</v>
      </c>
      <c r="C3638" s="2" t="s">
        <v>9422</v>
      </c>
      <c r="D3638" s="2" t="s">
        <v>10055</v>
      </c>
      <c r="E3638" s="15"/>
      <c r="F3638" s="15"/>
      <c r="G3638" s="15"/>
      <c r="H3638" s="15">
        <v>-1.3899999999999999E-2</v>
      </c>
      <c r="I3638" s="15">
        <v>1.26E-2</v>
      </c>
      <c r="J3638" s="15">
        <v>-1.2926829268292681</v>
      </c>
    </row>
    <row r="3639" spans="1:10" x14ac:dyDescent="0.25">
      <c r="A3639" s="2" t="s">
        <v>9423</v>
      </c>
      <c r="B3639" s="2" t="s">
        <v>7007</v>
      </c>
      <c r="C3639" s="2" t="s">
        <v>9424</v>
      </c>
      <c r="D3639" s="2" t="s">
        <v>10055</v>
      </c>
      <c r="E3639" s="15">
        <v>3.49E-2</v>
      </c>
      <c r="F3639" s="15">
        <v>0.1807</v>
      </c>
      <c r="G3639" s="15">
        <v>0.84699999999999998</v>
      </c>
      <c r="H3639" s="15">
        <v>1.0200000000000001E-2</v>
      </c>
      <c r="I3639" s="15">
        <v>1.3299999999999999E-2</v>
      </c>
      <c r="J3639" s="15">
        <v>1.3384615384615379</v>
      </c>
    </row>
    <row r="3640" spans="1:10" x14ac:dyDescent="0.25">
      <c r="A3640" s="2" t="s">
        <v>9425</v>
      </c>
      <c r="B3640" s="2" t="s">
        <v>7007</v>
      </c>
      <c r="C3640" s="2" t="s">
        <v>9426</v>
      </c>
      <c r="D3640" s="2" t="s">
        <v>10055</v>
      </c>
      <c r="E3640" s="15">
        <v>-0.11749999999999999</v>
      </c>
      <c r="F3640" s="15">
        <v>9.3200000000000005E-2</v>
      </c>
      <c r="G3640" s="15">
        <v>0.20749999999999999</v>
      </c>
      <c r="H3640" s="15">
        <v>3.6299999999999999E-2</v>
      </c>
      <c r="I3640" s="15">
        <v>1.5800000000000002E-2</v>
      </c>
      <c r="J3640" s="15">
        <v>2.4722222222222219</v>
      </c>
    </row>
    <row r="3641" spans="1:10" x14ac:dyDescent="0.25">
      <c r="A3641" s="2" t="s">
        <v>9427</v>
      </c>
      <c r="B3641" s="2" t="s">
        <v>7007</v>
      </c>
      <c r="C3641" s="2" t="s">
        <v>9428</v>
      </c>
      <c r="D3641" s="2" t="s">
        <v>10055</v>
      </c>
      <c r="E3641" s="15"/>
      <c r="F3641" s="15"/>
      <c r="G3641" s="15"/>
      <c r="H3641" s="15">
        <v>-1.1000000000000001E-3</v>
      </c>
      <c r="I3641" s="15">
        <v>1.2699999999999999E-2</v>
      </c>
      <c r="J3641" s="15">
        <v>0.45967741935483869</v>
      </c>
    </row>
    <row r="3642" spans="1:10" x14ac:dyDescent="0.25">
      <c r="A3642" s="2" t="s">
        <v>9429</v>
      </c>
      <c r="B3642" s="2" t="s">
        <v>7007</v>
      </c>
      <c r="C3642" s="2" t="s">
        <v>9430</v>
      </c>
      <c r="D3642" s="2" t="s">
        <v>10055</v>
      </c>
      <c r="E3642" s="15">
        <v>4.2299999999999997E-2</v>
      </c>
      <c r="F3642" s="15">
        <v>8.8300000000000003E-2</v>
      </c>
      <c r="G3642" s="15">
        <v>0.63160000000000005</v>
      </c>
      <c r="H3642" s="15">
        <v>4.3499999999999997E-2</v>
      </c>
      <c r="I3642" s="15">
        <v>1.54E-2</v>
      </c>
      <c r="J3642" s="15">
        <v>3.1946308724832222</v>
      </c>
    </row>
    <row r="3643" spans="1:10" x14ac:dyDescent="0.25">
      <c r="A3643" s="2" t="s">
        <v>9431</v>
      </c>
      <c r="B3643" s="2" t="s">
        <v>7007</v>
      </c>
      <c r="C3643" s="2" t="s">
        <v>9432</v>
      </c>
      <c r="D3643" s="2" t="s">
        <v>10055</v>
      </c>
      <c r="E3643" s="15">
        <v>-1.52E-2</v>
      </c>
      <c r="F3643" s="15">
        <v>0.1333</v>
      </c>
      <c r="G3643" s="15">
        <v>0.90890000000000004</v>
      </c>
      <c r="H3643" s="15">
        <v>1.95E-2</v>
      </c>
      <c r="I3643" s="15">
        <v>1.5599999999999999E-2</v>
      </c>
      <c r="J3643" s="15">
        <v>1.028776978417266</v>
      </c>
    </row>
    <row r="3644" spans="1:10" x14ac:dyDescent="0.25">
      <c r="A3644" s="2" t="s">
        <v>9433</v>
      </c>
      <c r="B3644" s="2" t="s">
        <v>7007</v>
      </c>
      <c r="C3644" s="2" t="s">
        <v>9434</v>
      </c>
      <c r="D3644" s="2" t="s">
        <v>10055</v>
      </c>
      <c r="E3644" s="15">
        <v>0.1686</v>
      </c>
      <c r="F3644" s="15">
        <v>0.14599999999999999</v>
      </c>
      <c r="G3644" s="15">
        <v>0.2482</v>
      </c>
      <c r="H3644" s="15">
        <v>1.72E-2</v>
      </c>
      <c r="I3644" s="15">
        <v>1.3599999999999999E-2</v>
      </c>
      <c r="J3644" s="15">
        <v>1.456521739130435</v>
      </c>
    </row>
    <row r="3645" spans="1:10" x14ac:dyDescent="0.25">
      <c r="A3645" s="2" t="s">
        <v>9435</v>
      </c>
      <c r="B3645" s="2" t="s">
        <v>7007</v>
      </c>
      <c r="C3645" s="2" t="s">
        <v>9436</v>
      </c>
      <c r="D3645" s="2" t="s">
        <v>10055</v>
      </c>
      <c r="E3645" s="15">
        <v>0.39679999999999999</v>
      </c>
      <c r="F3645" s="15">
        <v>0.34260000000000002</v>
      </c>
      <c r="G3645" s="15">
        <v>0.24679999999999999</v>
      </c>
      <c r="H3645" s="15">
        <v>9.1000000000000004E-3</v>
      </c>
      <c r="I3645" s="15">
        <v>1.3100000000000001E-2</v>
      </c>
      <c r="J3645" s="15">
        <v>0.65624999999999989</v>
      </c>
    </row>
    <row r="3646" spans="1:10" x14ac:dyDescent="0.25">
      <c r="A3646" s="2" t="s">
        <v>9437</v>
      </c>
      <c r="B3646" s="2" t="s">
        <v>7007</v>
      </c>
      <c r="C3646" s="2" t="s">
        <v>9438</v>
      </c>
      <c r="D3646" s="2" t="s">
        <v>10055</v>
      </c>
      <c r="E3646" s="15">
        <v>0.16689999999999999</v>
      </c>
      <c r="F3646" s="15">
        <v>0.1714</v>
      </c>
      <c r="G3646" s="15">
        <v>0.33019999999999999</v>
      </c>
      <c r="H3646" s="15">
        <v>1.5100000000000001E-2</v>
      </c>
      <c r="I3646" s="15">
        <v>1.43E-2</v>
      </c>
      <c r="J3646" s="15">
        <v>1.7304964539007091</v>
      </c>
    </row>
    <row r="3647" spans="1:10" x14ac:dyDescent="0.25">
      <c r="A3647" s="2" t="s">
        <v>9439</v>
      </c>
      <c r="B3647" s="2" t="s">
        <v>7007</v>
      </c>
      <c r="C3647" s="2" t="s">
        <v>9440</v>
      </c>
      <c r="D3647" s="2" t="s">
        <v>10055</v>
      </c>
      <c r="E3647" s="15">
        <v>0.13389999999999999</v>
      </c>
      <c r="F3647" s="15">
        <v>0.13869999999999999</v>
      </c>
      <c r="G3647" s="15">
        <v>0.33439999999999998</v>
      </c>
      <c r="H3647" s="15">
        <v>1.9800000000000002E-2</v>
      </c>
      <c r="I3647" s="15">
        <v>1.4200000000000001E-2</v>
      </c>
      <c r="J3647" s="15">
        <v>1.5303030303030301</v>
      </c>
    </row>
    <row r="3648" spans="1:10" x14ac:dyDescent="0.25">
      <c r="A3648" s="2" t="s">
        <v>9441</v>
      </c>
      <c r="B3648" s="2" t="s">
        <v>7007</v>
      </c>
      <c r="C3648" s="2" t="s">
        <v>9442</v>
      </c>
      <c r="D3648" s="2" t="s">
        <v>10055</v>
      </c>
      <c r="E3648" s="15">
        <v>-8.1900000000000001E-2</v>
      </c>
      <c r="F3648" s="15">
        <v>0.10440000000000001</v>
      </c>
      <c r="G3648" s="15">
        <v>0.43280000000000002</v>
      </c>
      <c r="H3648" s="15">
        <v>2.58E-2</v>
      </c>
      <c r="I3648" s="15">
        <v>1.41E-2</v>
      </c>
      <c r="J3648" s="15">
        <v>1.5035460992907801</v>
      </c>
    </row>
    <row r="3649" spans="1:10" x14ac:dyDescent="0.25">
      <c r="A3649" s="2" t="s">
        <v>9443</v>
      </c>
      <c r="B3649" s="2" t="s">
        <v>7007</v>
      </c>
      <c r="C3649" s="2" t="s">
        <v>9444</v>
      </c>
      <c r="D3649" s="2" t="s">
        <v>10055</v>
      </c>
      <c r="E3649" s="15"/>
      <c r="F3649" s="15"/>
      <c r="G3649" s="15"/>
      <c r="H3649" s="15">
        <v>-9.4999999999999998E-3</v>
      </c>
      <c r="I3649" s="15">
        <v>1.3599999999999999E-2</v>
      </c>
      <c r="J3649" s="15">
        <v>-0.26356589147286819</v>
      </c>
    </row>
    <row r="3650" spans="1:10" x14ac:dyDescent="0.25">
      <c r="A3650" s="2" t="s">
        <v>9445</v>
      </c>
      <c r="B3650" s="2" t="s">
        <v>7007</v>
      </c>
      <c r="C3650" s="2" t="s">
        <v>9446</v>
      </c>
      <c r="D3650" s="2" t="s">
        <v>10055</v>
      </c>
      <c r="E3650" s="15">
        <v>9.0899999999999995E-2</v>
      </c>
      <c r="F3650" s="15">
        <v>0.1198</v>
      </c>
      <c r="G3650" s="15">
        <v>0.44819999999999999</v>
      </c>
      <c r="H3650" s="15">
        <v>2.6499999999999999E-2</v>
      </c>
      <c r="I3650" s="15">
        <v>1.3599999999999999E-2</v>
      </c>
      <c r="J3650" s="15">
        <v>2.452380952380953</v>
      </c>
    </row>
    <row r="3651" spans="1:10" x14ac:dyDescent="0.25">
      <c r="A3651" s="2" t="s">
        <v>9447</v>
      </c>
      <c r="B3651" s="2" t="s">
        <v>7007</v>
      </c>
      <c r="C3651" s="2" t="s">
        <v>9448</v>
      </c>
      <c r="D3651" s="2" t="s">
        <v>10055</v>
      </c>
      <c r="E3651" s="15">
        <v>-4.2599999999999999E-2</v>
      </c>
      <c r="F3651" s="15">
        <v>0.1086</v>
      </c>
      <c r="G3651" s="15">
        <v>0.69450000000000001</v>
      </c>
      <c r="H3651" s="15">
        <v>2.8000000000000001E-2</v>
      </c>
      <c r="I3651" s="15">
        <v>1.5900000000000001E-2</v>
      </c>
      <c r="J3651" s="15">
        <v>1.948051948051948</v>
      </c>
    </row>
    <row r="3652" spans="1:10" x14ac:dyDescent="0.25">
      <c r="A3652" s="2" t="s">
        <v>9449</v>
      </c>
      <c r="B3652" s="2" t="s">
        <v>7007</v>
      </c>
      <c r="C3652" s="2" t="s">
        <v>9450</v>
      </c>
      <c r="D3652" s="2" t="s">
        <v>10055</v>
      </c>
      <c r="E3652" s="15">
        <v>-7.5800000000000006E-2</v>
      </c>
      <c r="F3652" s="15">
        <v>0.11409999999999999</v>
      </c>
      <c r="G3652" s="15">
        <v>0.50639999999999996</v>
      </c>
      <c r="H3652" s="15">
        <v>2.29E-2</v>
      </c>
      <c r="I3652" s="15">
        <v>1.49E-2</v>
      </c>
      <c r="J3652" s="15">
        <v>1.857142857142857</v>
      </c>
    </row>
    <row r="3653" spans="1:10" x14ac:dyDescent="0.25">
      <c r="A3653" s="2" t="s">
        <v>9451</v>
      </c>
      <c r="B3653" s="2" t="s">
        <v>7007</v>
      </c>
      <c r="C3653" s="2" t="s">
        <v>9452</v>
      </c>
      <c r="D3653" s="2" t="s">
        <v>10055</v>
      </c>
      <c r="E3653" s="15">
        <v>-5.2900000000000003E-2</v>
      </c>
      <c r="F3653" s="15">
        <v>0.1086</v>
      </c>
      <c r="G3653" s="15">
        <v>0.62580000000000002</v>
      </c>
      <c r="H3653" s="15">
        <v>2.4299999999999999E-2</v>
      </c>
      <c r="I3653" s="15">
        <v>1.3899999999999999E-2</v>
      </c>
      <c r="J3653" s="15">
        <v>1.97887323943662</v>
      </c>
    </row>
    <row r="3654" spans="1:10" x14ac:dyDescent="0.25">
      <c r="A3654" s="2" t="s">
        <v>9453</v>
      </c>
      <c r="B3654" s="2" t="s">
        <v>7007</v>
      </c>
      <c r="C3654" s="2" t="s">
        <v>9454</v>
      </c>
      <c r="D3654" s="2" t="s">
        <v>10055</v>
      </c>
      <c r="E3654" s="15">
        <v>-1.6400000000000001E-2</v>
      </c>
      <c r="F3654" s="15">
        <v>0.2213</v>
      </c>
      <c r="G3654" s="15">
        <v>0.94099999999999995</v>
      </c>
      <c r="H3654" s="15">
        <v>7.9000000000000008E-3</v>
      </c>
      <c r="I3654" s="15">
        <v>1.4E-2</v>
      </c>
      <c r="J3654" s="15">
        <v>1.5151515151515149</v>
      </c>
    </row>
    <row r="3655" spans="1:10" x14ac:dyDescent="0.25">
      <c r="A3655" s="2" t="s">
        <v>9455</v>
      </c>
      <c r="B3655" s="2" t="s">
        <v>7007</v>
      </c>
      <c r="C3655" s="2" t="s">
        <v>9456</v>
      </c>
      <c r="D3655" s="2" t="s">
        <v>10055</v>
      </c>
      <c r="E3655" s="15">
        <v>-1.7999999999999999E-2</v>
      </c>
      <c r="F3655" s="15">
        <v>0.11310000000000001</v>
      </c>
      <c r="G3655" s="15">
        <v>0.87339999999999995</v>
      </c>
      <c r="H3655" s="15">
        <v>2.4199999999999999E-2</v>
      </c>
      <c r="I3655" s="15">
        <v>1.46E-2</v>
      </c>
      <c r="J3655" s="15">
        <v>1.489208633093525</v>
      </c>
    </row>
    <row r="3656" spans="1:10" x14ac:dyDescent="0.25">
      <c r="A3656" s="2" t="s">
        <v>9457</v>
      </c>
      <c r="B3656" s="2" t="s">
        <v>7007</v>
      </c>
      <c r="C3656" s="2" t="s">
        <v>9458</v>
      </c>
      <c r="D3656" s="2" t="s">
        <v>10055</v>
      </c>
      <c r="E3656" s="15">
        <v>1.37E-2</v>
      </c>
      <c r="F3656" s="15">
        <v>0.1363</v>
      </c>
      <c r="G3656" s="15">
        <v>0.91979999999999995</v>
      </c>
      <c r="H3656" s="15">
        <v>1.9199999999999998E-2</v>
      </c>
      <c r="I3656" s="15">
        <v>1.4800000000000001E-2</v>
      </c>
      <c r="J3656" s="15">
        <v>1.573333333333333</v>
      </c>
    </row>
    <row r="3657" spans="1:10" x14ac:dyDescent="0.25">
      <c r="A3657" s="2" t="s">
        <v>9459</v>
      </c>
      <c r="B3657" s="2" t="s">
        <v>7007</v>
      </c>
      <c r="C3657" s="2" t="s">
        <v>9460</v>
      </c>
      <c r="D3657" s="2" t="s">
        <v>10055</v>
      </c>
      <c r="E3657" s="15">
        <v>0.1492</v>
      </c>
      <c r="F3657" s="15">
        <v>8.0600000000000005E-2</v>
      </c>
      <c r="G3657" s="15">
        <v>6.4299999999999996E-2</v>
      </c>
      <c r="H3657" s="15">
        <v>5.7599999999999998E-2</v>
      </c>
      <c r="I3657" s="15">
        <v>1.47E-2</v>
      </c>
      <c r="J3657" s="15">
        <v>4</v>
      </c>
    </row>
    <row r="3658" spans="1:10" x14ac:dyDescent="0.25">
      <c r="A3658" s="2" t="s">
        <v>9461</v>
      </c>
      <c r="B3658" s="2" t="s">
        <v>7007</v>
      </c>
      <c r="C3658" s="2" t="s">
        <v>9462</v>
      </c>
      <c r="D3658" s="2" t="s">
        <v>10055</v>
      </c>
      <c r="E3658" s="15">
        <v>2.93E-2</v>
      </c>
      <c r="F3658" s="15">
        <v>0.14419999999999999</v>
      </c>
      <c r="G3658" s="15">
        <v>0.83899999999999997</v>
      </c>
      <c r="H3658" s="15">
        <v>1.38E-2</v>
      </c>
      <c r="I3658" s="15">
        <v>1.4500000000000001E-2</v>
      </c>
      <c r="J3658" s="15">
        <v>0.56462585034013613</v>
      </c>
    </row>
    <row r="3659" spans="1:10" x14ac:dyDescent="0.25">
      <c r="A3659" s="2" t="s">
        <v>9463</v>
      </c>
      <c r="B3659" s="2" t="s">
        <v>7007</v>
      </c>
      <c r="C3659" s="2" t="s">
        <v>9464</v>
      </c>
      <c r="D3659" s="2" t="s">
        <v>10055</v>
      </c>
      <c r="E3659" s="15">
        <v>-7.51E-2</v>
      </c>
      <c r="F3659" s="15">
        <v>0.12759999999999999</v>
      </c>
      <c r="G3659" s="15">
        <v>0.55620000000000003</v>
      </c>
      <c r="H3659" s="15">
        <v>1.9300000000000001E-2</v>
      </c>
      <c r="I3659" s="15">
        <v>1.54E-2</v>
      </c>
      <c r="J3659" s="15">
        <v>1.223776223776224</v>
      </c>
    </row>
    <row r="3660" spans="1:10" x14ac:dyDescent="0.25">
      <c r="A3660" s="2" t="s">
        <v>9465</v>
      </c>
      <c r="B3660" s="2" t="s">
        <v>7007</v>
      </c>
      <c r="C3660" s="2" t="s">
        <v>9466</v>
      </c>
      <c r="D3660" s="2" t="s">
        <v>10055</v>
      </c>
      <c r="E3660" s="15">
        <v>-5.1700000000000003E-2</v>
      </c>
      <c r="F3660" s="15">
        <v>8.0100000000000005E-2</v>
      </c>
      <c r="G3660" s="15">
        <v>0.51880000000000004</v>
      </c>
      <c r="H3660" s="15">
        <v>4.1399999999999999E-2</v>
      </c>
      <c r="I3660" s="15">
        <v>1.37E-2</v>
      </c>
      <c r="J3660" s="15">
        <v>2.7622377622377621</v>
      </c>
    </row>
    <row r="3661" spans="1:10" x14ac:dyDescent="0.25">
      <c r="A3661" s="2" t="s">
        <v>9467</v>
      </c>
      <c r="B3661" s="2" t="s">
        <v>7007</v>
      </c>
      <c r="C3661" s="2" t="s">
        <v>9468</v>
      </c>
      <c r="D3661" s="2" t="s">
        <v>10055</v>
      </c>
      <c r="E3661" s="15"/>
      <c r="F3661" s="15"/>
      <c r="G3661" s="15"/>
      <c r="H3661" s="15">
        <v>-1.0800000000000001E-2</v>
      </c>
      <c r="I3661" s="15">
        <v>1.49E-2</v>
      </c>
      <c r="J3661" s="15">
        <v>-0.41610738255033558</v>
      </c>
    </row>
    <row r="3662" spans="1:10" x14ac:dyDescent="0.25">
      <c r="A3662" s="2" t="s">
        <v>9469</v>
      </c>
      <c r="B3662" s="2" t="s">
        <v>7007</v>
      </c>
      <c r="C3662" s="2" t="s">
        <v>9470</v>
      </c>
      <c r="D3662" s="2" t="s">
        <v>10055</v>
      </c>
      <c r="E3662" s="15">
        <v>0.2</v>
      </c>
      <c r="F3662" s="15">
        <v>0.12959999999999999</v>
      </c>
      <c r="G3662" s="15">
        <v>0.1229</v>
      </c>
      <c r="H3662" s="15">
        <v>2.4299999999999999E-2</v>
      </c>
      <c r="I3662" s="15">
        <v>1.49E-2</v>
      </c>
      <c r="J3662" s="15">
        <v>1.6013513513513511</v>
      </c>
    </row>
    <row r="3663" spans="1:10" x14ac:dyDescent="0.25">
      <c r="A3663" s="2" t="s">
        <v>9471</v>
      </c>
      <c r="B3663" s="2" t="s">
        <v>7007</v>
      </c>
      <c r="C3663" s="2" t="s">
        <v>9472</v>
      </c>
      <c r="D3663" s="2" t="s">
        <v>10055</v>
      </c>
      <c r="E3663" s="15"/>
      <c r="F3663" s="15"/>
      <c r="G3663" s="15"/>
      <c r="H3663" s="15"/>
      <c r="I3663" s="15"/>
      <c r="J3663" s="15">
        <v>0.24503311258278149</v>
      </c>
    </row>
    <row r="3664" spans="1:10" x14ac:dyDescent="0.25">
      <c r="A3664" s="2" t="s">
        <v>9473</v>
      </c>
      <c r="B3664" s="2" t="s">
        <v>7007</v>
      </c>
      <c r="C3664" s="2" t="s">
        <v>9474</v>
      </c>
      <c r="D3664" s="2" t="s">
        <v>10055</v>
      </c>
      <c r="E3664" s="15">
        <v>1.38E-2</v>
      </c>
      <c r="F3664" s="15">
        <v>0.20419999999999999</v>
      </c>
      <c r="G3664" s="15">
        <v>0.94610000000000005</v>
      </c>
      <c r="H3664" s="15">
        <v>6.1999999999999998E-3</v>
      </c>
      <c r="I3664" s="15">
        <v>1.4200000000000001E-2</v>
      </c>
      <c r="J3664" s="15">
        <v>0.5724137931034482</v>
      </c>
    </row>
    <row r="3665" spans="1:10" x14ac:dyDescent="0.25">
      <c r="A3665" s="2" t="s">
        <v>9475</v>
      </c>
      <c r="B3665" s="2" t="s">
        <v>7007</v>
      </c>
      <c r="C3665" s="2" t="s">
        <v>9476</v>
      </c>
      <c r="D3665" s="2" t="s">
        <v>10055</v>
      </c>
      <c r="E3665" s="15">
        <v>4.4299999999999999E-2</v>
      </c>
      <c r="F3665" s="15">
        <v>0.189</v>
      </c>
      <c r="G3665" s="15">
        <v>0.81459999999999999</v>
      </c>
      <c r="H3665" s="15">
        <v>9.1999999999999998E-3</v>
      </c>
      <c r="I3665" s="15">
        <v>1.3299999999999999E-2</v>
      </c>
      <c r="J3665" s="15">
        <v>0.44525547445255481</v>
      </c>
    </row>
    <row r="3666" spans="1:10" x14ac:dyDescent="0.25">
      <c r="A3666" s="2" t="s">
        <v>9477</v>
      </c>
      <c r="B3666" s="2" t="s">
        <v>7007</v>
      </c>
      <c r="C3666" s="2" t="s">
        <v>9478</v>
      </c>
      <c r="D3666" s="2" t="s">
        <v>10055</v>
      </c>
      <c r="E3666" s="15">
        <v>7.6700000000000004E-2</v>
      </c>
      <c r="F3666" s="15">
        <v>0.113</v>
      </c>
      <c r="G3666" s="15">
        <v>0.497</v>
      </c>
      <c r="H3666" s="15">
        <v>2.1899999999999999E-2</v>
      </c>
      <c r="I3666" s="15">
        <v>1.5599999999999999E-2</v>
      </c>
      <c r="J3666" s="15">
        <v>1.2993197278911559</v>
      </c>
    </row>
    <row r="3667" spans="1:10" x14ac:dyDescent="0.25">
      <c r="A3667" s="2" t="s">
        <v>9479</v>
      </c>
      <c r="B3667" s="2" t="s">
        <v>7007</v>
      </c>
      <c r="C3667" s="2" t="s">
        <v>9480</v>
      </c>
      <c r="D3667" s="2" t="s">
        <v>10055</v>
      </c>
      <c r="E3667" s="15">
        <v>0.16270000000000001</v>
      </c>
      <c r="F3667" s="15">
        <v>9.0300000000000005E-2</v>
      </c>
      <c r="G3667" s="15">
        <v>7.1400000000000005E-2</v>
      </c>
      <c r="H3667" s="15">
        <v>3.85E-2</v>
      </c>
      <c r="I3667" s="15">
        <v>1.5100000000000001E-2</v>
      </c>
      <c r="J3667" s="15">
        <v>2.6620689655172409</v>
      </c>
    </row>
    <row r="3668" spans="1:10" x14ac:dyDescent="0.25">
      <c r="A3668" s="2" t="s">
        <v>9481</v>
      </c>
      <c r="B3668" s="2" t="s">
        <v>7007</v>
      </c>
      <c r="C3668" s="2" t="s">
        <v>9482</v>
      </c>
      <c r="D3668" s="2" t="s">
        <v>10055</v>
      </c>
      <c r="E3668" s="15">
        <v>-7.9399999999999998E-2</v>
      </c>
      <c r="F3668" s="15">
        <v>0.1133</v>
      </c>
      <c r="G3668" s="15">
        <v>0.48359999999999997</v>
      </c>
      <c r="H3668" s="15">
        <v>2.3599999999999999E-2</v>
      </c>
      <c r="I3668" s="15">
        <v>1.38E-2</v>
      </c>
      <c r="J3668" s="15">
        <v>1.5652173913043479</v>
      </c>
    </row>
    <row r="3669" spans="1:10" x14ac:dyDescent="0.25">
      <c r="A3669" s="2" t="s">
        <v>9483</v>
      </c>
      <c r="B3669" s="2" t="s">
        <v>7007</v>
      </c>
      <c r="C3669" s="2" t="s">
        <v>9484</v>
      </c>
      <c r="D3669" s="2" t="s">
        <v>10055</v>
      </c>
      <c r="E3669" s="15">
        <v>-0.2147</v>
      </c>
      <c r="F3669" s="15">
        <v>0.1206</v>
      </c>
      <c r="G3669" s="15">
        <v>7.4999999999999997E-2</v>
      </c>
      <c r="H3669" s="15">
        <v>2.4299999999999999E-2</v>
      </c>
      <c r="I3669" s="15">
        <v>1.4999999999999999E-2</v>
      </c>
      <c r="J3669" s="15">
        <v>2.2071428571428569</v>
      </c>
    </row>
    <row r="3670" spans="1:10" x14ac:dyDescent="0.25">
      <c r="A3670" s="2" t="s">
        <v>9485</v>
      </c>
      <c r="B3670" s="2" t="s">
        <v>7007</v>
      </c>
      <c r="C3670" s="2" t="s">
        <v>9486</v>
      </c>
      <c r="D3670" s="2" t="s">
        <v>10055</v>
      </c>
      <c r="E3670" s="15">
        <v>-7.22E-2</v>
      </c>
      <c r="F3670" s="15">
        <v>0.105</v>
      </c>
      <c r="G3670" s="15">
        <v>0.49170000000000003</v>
      </c>
      <c r="H3670" s="15">
        <v>3.0700000000000002E-2</v>
      </c>
      <c r="I3670" s="15">
        <v>1.43E-2</v>
      </c>
      <c r="J3670" s="15">
        <v>1.8531468531468529</v>
      </c>
    </row>
    <row r="3671" spans="1:10" x14ac:dyDescent="0.25">
      <c r="A3671" s="2" t="s">
        <v>9487</v>
      </c>
      <c r="B3671" s="2" t="s">
        <v>7007</v>
      </c>
      <c r="C3671" s="2" t="s">
        <v>9488</v>
      </c>
      <c r="D3671" s="2" t="s">
        <v>10055</v>
      </c>
      <c r="E3671" s="15">
        <v>6.2700000000000006E-2</v>
      </c>
      <c r="F3671" s="15">
        <v>9.9500000000000005E-2</v>
      </c>
      <c r="G3671" s="15">
        <v>0.52839999999999998</v>
      </c>
      <c r="H3671" s="15">
        <v>3.5099999999999999E-2</v>
      </c>
      <c r="I3671" s="15">
        <v>1.43E-2</v>
      </c>
      <c r="J3671" s="15">
        <v>2.1958041958041949</v>
      </c>
    </row>
    <row r="3672" spans="1:10" x14ac:dyDescent="0.25">
      <c r="A3672" s="2" t="s">
        <v>9489</v>
      </c>
      <c r="B3672" s="2" t="s">
        <v>7007</v>
      </c>
      <c r="C3672" s="2" t="s">
        <v>9490</v>
      </c>
      <c r="D3672" s="2" t="s">
        <v>10055</v>
      </c>
      <c r="E3672" s="15">
        <v>-6.2600000000000003E-2</v>
      </c>
      <c r="F3672" s="15">
        <v>0.12609999999999999</v>
      </c>
      <c r="G3672" s="15">
        <v>0.61960000000000004</v>
      </c>
      <c r="H3672" s="15">
        <v>1.7500000000000002E-2</v>
      </c>
      <c r="I3672" s="15">
        <v>1.38E-2</v>
      </c>
      <c r="J3672" s="15">
        <v>1.6268656716417911</v>
      </c>
    </row>
    <row r="3673" spans="1:10" x14ac:dyDescent="0.25">
      <c r="A3673" s="2" t="s">
        <v>9491</v>
      </c>
      <c r="B3673" s="2" t="s">
        <v>7007</v>
      </c>
      <c r="C3673" s="2" t="s">
        <v>9492</v>
      </c>
      <c r="D3673" s="2" t="s">
        <v>10055</v>
      </c>
      <c r="E3673" s="15">
        <v>2.7400000000000001E-2</v>
      </c>
      <c r="F3673" s="15">
        <v>9.8100000000000007E-2</v>
      </c>
      <c r="G3673" s="15">
        <v>0.78010000000000002</v>
      </c>
      <c r="H3673" s="15">
        <v>3.6900000000000002E-2</v>
      </c>
      <c r="I3673" s="15">
        <v>1.41E-2</v>
      </c>
      <c r="J3673" s="15">
        <v>2.4178082191780819</v>
      </c>
    </row>
    <row r="3674" spans="1:10" x14ac:dyDescent="0.25">
      <c r="A3674" s="2" t="s">
        <v>9493</v>
      </c>
      <c r="B3674" s="2" t="s">
        <v>7007</v>
      </c>
      <c r="C3674" s="2" t="s">
        <v>9494</v>
      </c>
      <c r="D3674" s="2" t="s">
        <v>10055</v>
      </c>
      <c r="E3674" s="15">
        <v>8.8999999999999996E-2</v>
      </c>
      <c r="F3674" s="15">
        <v>0.32940000000000003</v>
      </c>
      <c r="G3674" s="15">
        <v>0.78700000000000003</v>
      </c>
      <c r="H3674" s="15">
        <v>5.5999999999999999E-3</v>
      </c>
      <c r="I3674" s="15">
        <v>1.3899999999999999E-2</v>
      </c>
      <c r="J3674" s="15">
        <v>0.78030303030303028</v>
      </c>
    </row>
    <row r="3675" spans="1:10" x14ac:dyDescent="0.25">
      <c r="A3675" s="2" t="s">
        <v>9495</v>
      </c>
      <c r="B3675" s="2" t="s">
        <v>7007</v>
      </c>
      <c r="C3675" s="2" t="s">
        <v>9496</v>
      </c>
      <c r="D3675" s="2" t="s">
        <v>10055</v>
      </c>
      <c r="E3675" s="15">
        <v>0.21199999999999999</v>
      </c>
      <c r="F3675" s="15">
        <v>0.45229999999999998</v>
      </c>
      <c r="G3675" s="15">
        <v>0.63919999999999999</v>
      </c>
      <c r="H3675" s="15">
        <v>4.4000000000000003E-3</v>
      </c>
      <c r="I3675" s="15">
        <v>1.2500000000000001E-2</v>
      </c>
      <c r="J3675" s="15">
        <v>0.89830508474576276</v>
      </c>
    </row>
    <row r="3676" spans="1:10" x14ac:dyDescent="0.25">
      <c r="A3676" s="2" t="s">
        <v>9497</v>
      </c>
      <c r="B3676" s="2" t="s">
        <v>7007</v>
      </c>
      <c r="C3676" s="2" t="s">
        <v>9498</v>
      </c>
      <c r="D3676" s="2" t="s">
        <v>10055</v>
      </c>
      <c r="E3676" s="15">
        <v>7.3300000000000004E-2</v>
      </c>
      <c r="F3676" s="15">
        <v>7.9699999999999993E-2</v>
      </c>
      <c r="G3676" s="15">
        <v>0.3579</v>
      </c>
      <c r="H3676" s="15">
        <v>3.6799999999999999E-2</v>
      </c>
      <c r="I3676" s="15">
        <v>1.52E-2</v>
      </c>
      <c r="J3676" s="15">
        <v>2.6527777777777781</v>
      </c>
    </row>
    <row r="3677" spans="1:10" x14ac:dyDescent="0.25">
      <c r="A3677" s="2" t="s">
        <v>9499</v>
      </c>
      <c r="B3677" s="2" t="s">
        <v>7007</v>
      </c>
      <c r="C3677" s="2" t="s">
        <v>9500</v>
      </c>
      <c r="D3677" s="2" t="s">
        <v>10055</v>
      </c>
      <c r="E3677" s="15"/>
      <c r="F3677" s="15"/>
      <c r="G3677" s="15"/>
      <c r="H3677" s="15"/>
      <c r="I3677" s="15"/>
      <c r="J3677" s="15">
        <v>0.56287425149700598</v>
      </c>
    </row>
    <row r="3678" spans="1:10" x14ac:dyDescent="0.25">
      <c r="A3678" s="2" t="s">
        <v>9501</v>
      </c>
      <c r="B3678" s="2" t="s">
        <v>7007</v>
      </c>
      <c r="C3678" s="2" t="s">
        <v>9502</v>
      </c>
      <c r="D3678" s="2" t="s">
        <v>10055</v>
      </c>
      <c r="E3678" s="15">
        <v>1.72E-2</v>
      </c>
      <c r="F3678" s="15">
        <v>7.8100000000000003E-2</v>
      </c>
      <c r="G3678" s="15">
        <v>0.82540000000000002</v>
      </c>
      <c r="H3678" s="15">
        <v>5.2999999999999999E-2</v>
      </c>
      <c r="I3678" s="15">
        <v>1.6199999999999999E-2</v>
      </c>
      <c r="J3678" s="15">
        <v>3.5419354838709678</v>
      </c>
    </row>
    <row r="3679" spans="1:10" x14ac:dyDescent="0.25">
      <c r="A3679" s="2" t="s">
        <v>9503</v>
      </c>
      <c r="B3679" s="2" t="s">
        <v>7007</v>
      </c>
      <c r="C3679" s="2" t="s">
        <v>9504</v>
      </c>
      <c r="D3679" s="2" t="s">
        <v>10055</v>
      </c>
      <c r="E3679" s="15">
        <v>2.3599999999999999E-2</v>
      </c>
      <c r="F3679" s="15">
        <v>0.1706</v>
      </c>
      <c r="G3679" s="15">
        <v>0.88990000000000002</v>
      </c>
      <c r="H3679" s="15">
        <v>1.03E-2</v>
      </c>
      <c r="I3679" s="15">
        <v>1.52E-2</v>
      </c>
      <c r="J3679" s="15">
        <v>1.1029411764705881</v>
      </c>
    </row>
    <row r="3680" spans="1:10" x14ac:dyDescent="0.25">
      <c r="A3680" s="2" t="s">
        <v>9505</v>
      </c>
      <c r="B3680" s="2" t="s">
        <v>7007</v>
      </c>
      <c r="C3680" s="2" t="s">
        <v>9506</v>
      </c>
      <c r="D3680" s="2" t="s">
        <v>10055</v>
      </c>
      <c r="E3680" s="15"/>
      <c r="F3680" s="15"/>
      <c r="G3680" s="15"/>
      <c r="H3680" s="15">
        <v>-1.7999999999999999E-2</v>
      </c>
      <c r="I3680" s="15">
        <v>1.2699999999999999E-2</v>
      </c>
      <c r="J3680" s="15">
        <v>-0.73983739837398377</v>
      </c>
    </row>
    <row r="3681" spans="1:10" x14ac:dyDescent="0.25">
      <c r="A3681" s="2" t="s">
        <v>9507</v>
      </c>
      <c r="B3681" s="2" t="s">
        <v>7007</v>
      </c>
      <c r="C3681" s="2" t="s">
        <v>9508</v>
      </c>
      <c r="D3681" s="2" t="s">
        <v>10055</v>
      </c>
      <c r="E3681" s="15">
        <v>-6.25E-2</v>
      </c>
      <c r="F3681" s="15">
        <v>0.19170000000000001</v>
      </c>
      <c r="G3681" s="15">
        <v>0.74439999999999995</v>
      </c>
      <c r="H3681" s="15">
        <v>9.4000000000000004E-3</v>
      </c>
      <c r="I3681" s="15">
        <v>1.26E-2</v>
      </c>
      <c r="J3681" s="15">
        <v>0.67692307692307696</v>
      </c>
    </row>
    <row r="3682" spans="1:10" x14ac:dyDescent="0.25">
      <c r="A3682" s="2" t="s">
        <v>9509</v>
      </c>
      <c r="B3682" s="2" t="s">
        <v>7007</v>
      </c>
      <c r="C3682" s="2" t="s">
        <v>9510</v>
      </c>
      <c r="D3682" s="2" t="s">
        <v>10055</v>
      </c>
      <c r="E3682" s="15"/>
      <c r="F3682" s="15"/>
      <c r="G3682" s="15"/>
      <c r="H3682" s="15"/>
      <c r="I3682" s="15"/>
      <c r="J3682" s="15">
        <v>0.1224489795918367</v>
      </c>
    </row>
    <row r="3683" spans="1:10" x14ac:dyDescent="0.25">
      <c r="A3683" s="2" t="s">
        <v>9511</v>
      </c>
      <c r="B3683" s="2" t="s">
        <v>7007</v>
      </c>
      <c r="C3683" s="2" t="s">
        <v>9512</v>
      </c>
      <c r="D3683" s="2" t="s">
        <v>10055</v>
      </c>
      <c r="E3683" s="15">
        <v>5.2900000000000003E-2</v>
      </c>
      <c r="F3683" s="15">
        <v>8.14E-2</v>
      </c>
      <c r="G3683" s="15">
        <v>0.5161</v>
      </c>
      <c r="H3683" s="15">
        <v>3.8800000000000001E-2</v>
      </c>
      <c r="I3683" s="15">
        <v>1.34E-2</v>
      </c>
      <c r="J3683" s="15">
        <v>3.3622047244094491</v>
      </c>
    </row>
    <row r="3684" spans="1:10" x14ac:dyDescent="0.25">
      <c r="A3684" s="2" t="s">
        <v>9513</v>
      </c>
      <c r="B3684" s="2" t="s">
        <v>7007</v>
      </c>
      <c r="C3684" s="2" t="s">
        <v>9514</v>
      </c>
      <c r="D3684" s="2" t="s">
        <v>10055</v>
      </c>
      <c r="E3684" s="15">
        <v>-0.12759999999999999</v>
      </c>
      <c r="F3684" s="15">
        <v>0.13070000000000001</v>
      </c>
      <c r="G3684" s="15">
        <v>0.32900000000000001</v>
      </c>
      <c r="H3684" s="15">
        <v>2.3699999999999999E-2</v>
      </c>
      <c r="I3684" s="15">
        <v>1.5599999999999999E-2</v>
      </c>
      <c r="J3684" s="15">
        <v>1.6928104575163401</v>
      </c>
    </row>
    <row r="3685" spans="1:10" x14ac:dyDescent="0.25">
      <c r="A3685" s="2" t="s">
        <v>9515</v>
      </c>
      <c r="B3685" s="2" t="s">
        <v>7007</v>
      </c>
      <c r="C3685" s="2" t="s">
        <v>9516</v>
      </c>
      <c r="D3685" s="2" t="s">
        <v>10055</v>
      </c>
      <c r="E3685" s="15">
        <v>4.5100000000000001E-2</v>
      </c>
      <c r="F3685" s="15">
        <v>0.15040000000000001</v>
      </c>
      <c r="G3685" s="15">
        <v>0.76419999999999999</v>
      </c>
      <c r="H3685" s="15">
        <v>1.2500000000000001E-2</v>
      </c>
      <c r="I3685" s="15">
        <v>1.43E-2</v>
      </c>
      <c r="J3685" s="15">
        <v>1.0378787878787881</v>
      </c>
    </row>
    <row r="3686" spans="1:10" x14ac:dyDescent="0.25">
      <c r="A3686" s="2" t="s">
        <v>9517</v>
      </c>
      <c r="B3686" s="2" t="s">
        <v>7007</v>
      </c>
      <c r="C3686" s="2" t="s">
        <v>9518</v>
      </c>
      <c r="D3686" s="2" t="s">
        <v>10055</v>
      </c>
      <c r="E3686" s="15">
        <v>-0.28510000000000002</v>
      </c>
      <c r="F3686" s="15">
        <v>0.30449999999999999</v>
      </c>
      <c r="G3686" s="15">
        <v>0.34920000000000001</v>
      </c>
      <c r="H3686" s="15">
        <v>8.6E-3</v>
      </c>
      <c r="I3686" s="15">
        <v>1.3899999999999999E-2</v>
      </c>
      <c r="J3686" s="15">
        <v>0.36428571428571432</v>
      </c>
    </row>
    <row r="3687" spans="1:10" x14ac:dyDescent="0.25">
      <c r="A3687" s="2" t="s">
        <v>9519</v>
      </c>
      <c r="B3687" s="2" t="s">
        <v>7007</v>
      </c>
      <c r="C3687" s="2" t="s">
        <v>9520</v>
      </c>
      <c r="D3687" s="2" t="s">
        <v>10055</v>
      </c>
      <c r="E3687" s="15"/>
      <c r="F3687" s="15"/>
      <c r="G3687" s="15"/>
      <c r="H3687" s="15"/>
      <c r="I3687" s="15"/>
      <c r="J3687" s="15">
        <v>0.26530612244897961</v>
      </c>
    </row>
    <row r="3688" spans="1:10" x14ac:dyDescent="0.25">
      <c r="A3688" s="2" t="s">
        <v>9521</v>
      </c>
      <c r="B3688" s="2" t="s">
        <v>7007</v>
      </c>
      <c r="C3688" s="2" t="s">
        <v>9522</v>
      </c>
      <c r="D3688" s="2" t="s">
        <v>10055</v>
      </c>
      <c r="E3688" s="15"/>
      <c r="F3688" s="15"/>
      <c r="G3688" s="15"/>
      <c r="H3688" s="15">
        <v>-6.1999999999999998E-3</v>
      </c>
      <c r="I3688" s="15">
        <v>1.32E-2</v>
      </c>
      <c r="J3688" s="15">
        <v>-0.1818181818181818</v>
      </c>
    </row>
    <row r="3689" spans="1:10" x14ac:dyDescent="0.25">
      <c r="A3689" s="2" t="s">
        <v>9523</v>
      </c>
      <c r="B3689" s="2" t="s">
        <v>7007</v>
      </c>
      <c r="C3689" s="2" t="s">
        <v>9524</v>
      </c>
      <c r="D3689" s="2" t="s">
        <v>10055</v>
      </c>
      <c r="E3689" s="15"/>
      <c r="F3689" s="15"/>
      <c r="G3689" s="15"/>
      <c r="H3689" s="15">
        <v>-7.0000000000000001E-3</v>
      </c>
      <c r="I3689" s="15">
        <v>1.3599999999999999E-2</v>
      </c>
      <c r="J3689" s="15">
        <v>-0.49285714285714283</v>
      </c>
    </row>
    <row r="3690" spans="1:10" x14ac:dyDescent="0.25">
      <c r="A3690" s="2" t="s">
        <v>9525</v>
      </c>
      <c r="B3690" s="2" t="s">
        <v>7007</v>
      </c>
      <c r="C3690" s="2" t="s">
        <v>9526</v>
      </c>
      <c r="D3690" s="2" t="s">
        <v>10055</v>
      </c>
      <c r="E3690" s="15">
        <v>-3.2399999999999998E-2</v>
      </c>
      <c r="F3690" s="15">
        <v>0.13780000000000001</v>
      </c>
      <c r="G3690" s="15">
        <v>0.81410000000000005</v>
      </c>
      <c r="H3690" s="15">
        <v>1.83E-2</v>
      </c>
      <c r="I3690" s="15">
        <v>1.35E-2</v>
      </c>
      <c r="J3690" s="15">
        <v>0.79838709677419362</v>
      </c>
    </row>
    <row r="3691" spans="1:10" x14ac:dyDescent="0.25">
      <c r="A3691" s="2" t="s">
        <v>9527</v>
      </c>
      <c r="B3691" s="2" t="s">
        <v>7007</v>
      </c>
      <c r="C3691" s="2" t="s">
        <v>9528</v>
      </c>
      <c r="D3691" s="2" t="s">
        <v>10055</v>
      </c>
      <c r="E3691" s="15"/>
      <c r="F3691" s="15"/>
      <c r="G3691" s="15"/>
      <c r="H3691" s="15"/>
      <c r="I3691" s="15"/>
      <c r="J3691" s="15">
        <v>0.48062015503875971</v>
      </c>
    </row>
    <row r="3692" spans="1:10" x14ac:dyDescent="0.25">
      <c r="A3692" s="2" t="s">
        <v>9529</v>
      </c>
      <c r="B3692" s="2" t="s">
        <v>7007</v>
      </c>
      <c r="C3692" s="2" t="s">
        <v>9530</v>
      </c>
      <c r="D3692" s="2" t="s">
        <v>10055</v>
      </c>
      <c r="E3692" s="15">
        <v>-0.112</v>
      </c>
      <c r="F3692" s="15">
        <v>0.1028</v>
      </c>
      <c r="G3692" s="15">
        <v>0.27579999999999999</v>
      </c>
      <c r="H3692" s="15">
        <v>2.81E-2</v>
      </c>
      <c r="I3692" s="15">
        <v>1.49E-2</v>
      </c>
      <c r="J3692" s="15">
        <v>1.9379310344827581</v>
      </c>
    </row>
    <row r="3693" spans="1:10" x14ac:dyDescent="0.25">
      <c r="A3693" s="2" t="s">
        <v>9531</v>
      </c>
      <c r="B3693" s="2" t="s">
        <v>7007</v>
      </c>
      <c r="C3693" s="2" t="s">
        <v>9532</v>
      </c>
      <c r="D3693" s="2" t="s">
        <v>10055</v>
      </c>
      <c r="E3693" s="15">
        <v>6.3E-2</v>
      </c>
      <c r="F3693" s="15">
        <v>0.28589999999999999</v>
      </c>
      <c r="G3693" s="15">
        <v>0.82550000000000001</v>
      </c>
      <c r="H3693" s="15">
        <v>4.4000000000000003E-3</v>
      </c>
      <c r="I3693" s="15">
        <v>1.4E-2</v>
      </c>
      <c r="J3693" s="15">
        <v>0.33333333333333343</v>
      </c>
    </row>
    <row r="3694" spans="1:10" x14ac:dyDescent="0.25">
      <c r="A3694" s="2" t="s">
        <v>9533</v>
      </c>
      <c r="B3694" s="2" t="s">
        <v>7007</v>
      </c>
      <c r="C3694" s="2" t="s">
        <v>9534</v>
      </c>
      <c r="D3694" s="2" t="s">
        <v>10055</v>
      </c>
      <c r="E3694" s="15"/>
      <c r="F3694" s="15"/>
      <c r="G3694" s="15"/>
      <c r="H3694" s="15">
        <v>-6.1999999999999998E-3</v>
      </c>
      <c r="I3694" s="15">
        <v>1.2800000000000001E-2</v>
      </c>
      <c r="J3694" s="15">
        <v>-0.30645161290322581</v>
      </c>
    </row>
    <row r="3695" spans="1:10" x14ac:dyDescent="0.25">
      <c r="A3695" s="2" t="s">
        <v>9535</v>
      </c>
      <c r="B3695" s="2" t="s">
        <v>7007</v>
      </c>
      <c r="C3695" s="2" t="s">
        <v>9536</v>
      </c>
      <c r="D3695" s="2" t="s">
        <v>10055</v>
      </c>
      <c r="E3695" s="15"/>
      <c r="F3695" s="15"/>
      <c r="G3695" s="15"/>
      <c r="H3695" s="15">
        <v>-2E-3</v>
      </c>
      <c r="I3695" s="15">
        <v>1.2800000000000001E-2</v>
      </c>
      <c r="J3695" s="15">
        <v>-3.937007874015748E-2</v>
      </c>
    </row>
    <row r="3696" spans="1:10" x14ac:dyDescent="0.25">
      <c r="A3696" s="2" t="s">
        <v>9537</v>
      </c>
      <c r="B3696" s="2" t="s">
        <v>7007</v>
      </c>
      <c r="C3696" s="2" t="s">
        <v>9538</v>
      </c>
      <c r="D3696" s="2" t="s">
        <v>10055</v>
      </c>
      <c r="E3696" s="15">
        <v>-0.41880000000000001</v>
      </c>
      <c r="F3696" s="15">
        <v>0.70679999999999998</v>
      </c>
      <c r="G3696" s="15">
        <v>0.55349999999999999</v>
      </c>
      <c r="H3696" s="15">
        <v>4.8999999999999998E-3</v>
      </c>
      <c r="I3696" s="15">
        <v>1.29E-2</v>
      </c>
      <c r="J3696" s="15">
        <v>0.61290322580645162</v>
      </c>
    </row>
    <row r="3697" spans="1:10" x14ac:dyDescent="0.25">
      <c r="A3697" s="2" t="s">
        <v>9539</v>
      </c>
      <c r="B3697" s="2" t="s">
        <v>7007</v>
      </c>
      <c r="C3697" s="2" t="s">
        <v>9540</v>
      </c>
      <c r="D3697" s="2" t="s">
        <v>10055</v>
      </c>
      <c r="E3697" s="15">
        <v>-0.14899999999999999</v>
      </c>
      <c r="F3697" s="15">
        <v>0.20830000000000001</v>
      </c>
      <c r="G3697" s="15">
        <v>0.47439999999999999</v>
      </c>
      <c r="H3697" s="15">
        <v>0.01</v>
      </c>
      <c r="I3697" s="15">
        <v>1.35E-2</v>
      </c>
      <c r="J3697" s="15">
        <v>1</v>
      </c>
    </row>
    <row r="3698" spans="1:10" x14ac:dyDescent="0.25">
      <c r="A3698" s="2" t="s">
        <v>9541</v>
      </c>
      <c r="B3698" s="2" t="s">
        <v>7007</v>
      </c>
      <c r="C3698" s="2" t="s">
        <v>9542</v>
      </c>
      <c r="D3698" s="2" t="s">
        <v>10055</v>
      </c>
      <c r="E3698" s="15"/>
      <c r="F3698" s="15"/>
      <c r="G3698" s="15"/>
      <c r="H3698" s="15">
        <v>-1.8200000000000001E-2</v>
      </c>
      <c r="I3698" s="15">
        <v>1.34E-2</v>
      </c>
      <c r="J3698" s="15">
        <v>-1.5</v>
      </c>
    </row>
    <row r="3699" spans="1:10" x14ac:dyDescent="0.25">
      <c r="A3699" s="2" t="s">
        <v>9543</v>
      </c>
      <c r="B3699" s="2" t="s">
        <v>7007</v>
      </c>
      <c r="C3699" s="2" t="s">
        <v>9544</v>
      </c>
      <c r="D3699" s="2" t="s">
        <v>10055</v>
      </c>
      <c r="E3699" s="15">
        <v>8.6999999999999994E-3</v>
      </c>
      <c r="F3699" s="15">
        <v>0.15129999999999999</v>
      </c>
      <c r="G3699" s="15">
        <v>0.95399999999999996</v>
      </c>
      <c r="H3699" s="15">
        <v>1.5100000000000001E-2</v>
      </c>
      <c r="I3699" s="15">
        <v>1.3899999999999999E-2</v>
      </c>
      <c r="J3699" s="15">
        <v>1.2071428571428571</v>
      </c>
    </row>
    <row r="3700" spans="1:10" x14ac:dyDescent="0.25">
      <c r="A3700" s="2" t="s">
        <v>9545</v>
      </c>
      <c r="B3700" s="2" t="s">
        <v>7007</v>
      </c>
      <c r="C3700" s="2" t="s">
        <v>9546</v>
      </c>
      <c r="D3700" s="2" t="s">
        <v>10055</v>
      </c>
      <c r="E3700" s="15">
        <v>-6.9599999999999995E-2</v>
      </c>
      <c r="F3700" s="15">
        <v>0.16520000000000001</v>
      </c>
      <c r="G3700" s="15">
        <v>0.67349999999999999</v>
      </c>
      <c r="H3700" s="15">
        <v>9.7999999999999997E-3</v>
      </c>
      <c r="I3700" s="15">
        <v>1.4500000000000001E-2</v>
      </c>
      <c r="J3700" s="15">
        <v>1.2086330935251799</v>
      </c>
    </row>
    <row r="3701" spans="1:10" x14ac:dyDescent="0.25">
      <c r="A3701" s="2" t="s">
        <v>9547</v>
      </c>
      <c r="B3701" s="2" t="s">
        <v>7007</v>
      </c>
      <c r="C3701" s="2" t="s">
        <v>9548</v>
      </c>
      <c r="D3701" s="2" t="s">
        <v>10055</v>
      </c>
      <c r="E3701" s="15">
        <v>-9.9000000000000005E-2</v>
      </c>
      <c r="F3701" s="15">
        <v>9.9900000000000003E-2</v>
      </c>
      <c r="G3701" s="15">
        <v>0.32140000000000002</v>
      </c>
      <c r="H3701" s="15">
        <v>3.3099999999999997E-2</v>
      </c>
      <c r="I3701" s="15">
        <v>1.4500000000000001E-2</v>
      </c>
      <c r="J3701" s="15">
        <v>2.5496183206106871</v>
      </c>
    </row>
    <row r="3702" spans="1:10" x14ac:dyDescent="0.25">
      <c r="A3702" s="2" t="s">
        <v>9549</v>
      </c>
      <c r="B3702" s="2" t="s">
        <v>7007</v>
      </c>
      <c r="C3702" s="2" t="s">
        <v>9550</v>
      </c>
      <c r="D3702" s="2" t="s">
        <v>10055</v>
      </c>
      <c r="E3702" s="15">
        <v>-8.7099999999999997E-2</v>
      </c>
      <c r="F3702" s="15">
        <v>9.4399999999999998E-2</v>
      </c>
      <c r="G3702" s="15">
        <v>0.35639999999999999</v>
      </c>
      <c r="H3702" s="15">
        <v>2.64E-2</v>
      </c>
      <c r="I3702" s="15">
        <v>1.41E-2</v>
      </c>
      <c r="J3702" s="15">
        <v>2.6190476190476191</v>
      </c>
    </row>
    <row r="3703" spans="1:10" x14ac:dyDescent="0.25">
      <c r="A3703" s="2" t="s">
        <v>9551</v>
      </c>
      <c r="B3703" s="2" t="s">
        <v>7007</v>
      </c>
      <c r="C3703" s="2" t="s">
        <v>9552</v>
      </c>
      <c r="D3703" s="2" t="s">
        <v>10055</v>
      </c>
      <c r="E3703" s="15">
        <v>0.20899999999999999</v>
      </c>
      <c r="F3703" s="15">
        <v>0.1333</v>
      </c>
      <c r="G3703" s="15">
        <v>0.11700000000000001</v>
      </c>
      <c r="H3703" s="15">
        <v>2.1299999999999999E-2</v>
      </c>
      <c r="I3703" s="15">
        <v>1.4800000000000001E-2</v>
      </c>
      <c r="J3703" s="15">
        <v>2.0139860139860142</v>
      </c>
    </row>
    <row r="3704" spans="1:10" x14ac:dyDescent="0.25">
      <c r="A3704" s="2" t="s">
        <v>9553</v>
      </c>
      <c r="B3704" s="2" t="s">
        <v>7007</v>
      </c>
      <c r="C3704" s="2" t="s">
        <v>9554</v>
      </c>
      <c r="D3704" s="2" t="s">
        <v>10055</v>
      </c>
      <c r="E3704" s="15">
        <v>-2.8500000000000001E-2</v>
      </c>
      <c r="F3704" s="15">
        <v>0.2074</v>
      </c>
      <c r="G3704" s="15">
        <v>0.89049999999999996</v>
      </c>
      <c r="H3704" s="15">
        <v>9.2999999999999992E-3</v>
      </c>
      <c r="I3704" s="15">
        <v>1.5699999999999999E-2</v>
      </c>
      <c r="J3704" s="15">
        <v>0.91836734693877553</v>
      </c>
    </row>
    <row r="3705" spans="1:10" x14ac:dyDescent="0.25">
      <c r="A3705" s="2" t="s">
        <v>9555</v>
      </c>
      <c r="B3705" s="2" t="s">
        <v>7007</v>
      </c>
      <c r="C3705" s="2" t="s">
        <v>9556</v>
      </c>
      <c r="D3705" s="2" t="s">
        <v>10055</v>
      </c>
      <c r="E3705" s="15">
        <v>-7.3800000000000004E-2</v>
      </c>
      <c r="F3705" s="15">
        <v>0.2412</v>
      </c>
      <c r="G3705" s="15">
        <v>0.75970000000000004</v>
      </c>
      <c r="H3705" s="15">
        <v>6.1000000000000004E-3</v>
      </c>
      <c r="I3705" s="15">
        <v>1.44E-2</v>
      </c>
      <c r="J3705" s="15">
        <v>4.6874999999999993E-2</v>
      </c>
    </row>
    <row r="3706" spans="1:10" x14ac:dyDescent="0.25">
      <c r="A3706" s="2" t="s">
        <v>9557</v>
      </c>
      <c r="B3706" s="2" t="s">
        <v>7007</v>
      </c>
      <c r="C3706" s="2" t="s">
        <v>9558</v>
      </c>
      <c r="D3706" s="2" t="s">
        <v>10055</v>
      </c>
      <c r="E3706" s="15"/>
      <c r="F3706" s="15"/>
      <c r="G3706" s="15"/>
      <c r="H3706" s="15"/>
      <c r="I3706" s="15"/>
      <c r="J3706" s="15">
        <v>0.78985507246376818</v>
      </c>
    </row>
    <row r="3707" spans="1:10" x14ac:dyDescent="0.25">
      <c r="A3707" s="2" t="s">
        <v>9559</v>
      </c>
      <c r="B3707" s="2" t="s">
        <v>7007</v>
      </c>
      <c r="C3707" s="2" t="s">
        <v>9560</v>
      </c>
      <c r="D3707" s="2" t="s">
        <v>10055</v>
      </c>
      <c r="E3707" s="15">
        <v>-0.1356</v>
      </c>
      <c r="F3707" s="15">
        <v>9.0999999999999998E-2</v>
      </c>
      <c r="G3707" s="15">
        <v>0.13600000000000001</v>
      </c>
      <c r="H3707" s="15">
        <v>3.7499999999999999E-2</v>
      </c>
      <c r="I3707" s="15">
        <v>1.35E-2</v>
      </c>
      <c r="J3707" s="15">
        <v>3.1278195488721798</v>
      </c>
    </row>
    <row r="3708" spans="1:10" x14ac:dyDescent="0.25">
      <c r="A3708" s="2" t="s">
        <v>9561</v>
      </c>
      <c r="B3708" s="2" t="s">
        <v>7007</v>
      </c>
      <c r="C3708" s="2" t="s">
        <v>9562</v>
      </c>
      <c r="D3708" s="2" t="s">
        <v>10055</v>
      </c>
      <c r="E3708" s="15">
        <v>-1.46E-2</v>
      </c>
      <c r="F3708" s="15">
        <v>0.11609999999999999</v>
      </c>
      <c r="G3708" s="15">
        <v>0.9002</v>
      </c>
      <c r="H3708" s="15">
        <v>1.9E-2</v>
      </c>
      <c r="I3708" s="15">
        <v>1.38E-2</v>
      </c>
      <c r="J3708" s="15">
        <v>1.1643835616438361</v>
      </c>
    </row>
    <row r="3709" spans="1:10" x14ac:dyDescent="0.25">
      <c r="A3709" s="2" t="s">
        <v>9563</v>
      </c>
      <c r="B3709" s="2" t="s">
        <v>7007</v>
      </c>
      <c r="C3709" s="2" t="s">
        <v>9564</v>
      </c>
      <c r="D3709" s="2" t="s">
        <v>10055</v>
      </c>
      <c r="E3709" s="15">
        <v>-7.2999999999999995E-2</v>
      </c>
      <c r="F3709" s="15">
        <v>0.1787</v>
      </c>
      <c r="G3709" s="15">
        <v>0.68279999999999996</v>
      </c>
      <c r="H3709" s="15">
        <v>9.2999999999999992E-3</v>
      </c>
      <c r="I3709" s="15">
        <v>1.2999999999999999E-2</v>
      </c>
      <c r="J3709" s="15">
        <v>0.69064748201438853</v>
      </c>
    </row>
    <row r="3710" spans="1:10" x14ac:dyDescent="0.25">
      <c r="A3710" s="2" t="s">
        <v>9565</v>
      </c>
      <c r="B3710" s="2" t="s">
        <v>7007</v>
      </c>
      <c r="C3710" s="2" t="s">
        <v>9566</v>
      </c>
      <c r="D3710" s="2" t="s">
        <v>10055</v>
      </c>
      <c r="E3710" s="15">
        <v>-3.56E-2</v>
      </c>
      <c r="F3710" s="15">
        <v>0.15620000000000001</v>
      </c>
      <c r="G3710" s="15">
        <v>0.8196</v>
      </c>
      <c r="H3710" s="15">
        <v>1.49E-2</v>
      </c>
      <c r="I3710" s="15">
        <v>1.41E-2</v>
      </c>
      <c r="J3710" s="15">
        <v>0.82835820895522394</v>
      </c>
    </row>
    <row r="3711" spans="1:10" x14ac:dyDescent="0.25">
      <c r="A3711" s="2" t="s">
        <v>9567</v>
      </c>
      <c r="B3711" s="2" t="s">
        <v>7007</v>
      </c>
      <c r="C3711" s="2" t="s">
        <v>9568</v>
      </c>
      <c r="D3711" s="2" t="s">
        <v>10055</v>
      </c>
      <c r="E3711" s="15"/>
      <c r="F3711" s="15"/>
      <c r="G3711" s="15"/>
      <c r="H3711" s="15">
        <v>-5.7999999999999996E-3</v>
      </c>
      <c r="I3711" s="15">
        <v>1.4800000000000001E-2</v>
      </c>
      <c r="J3711" s="15">
        <v>-0.5</v>
      </c>
    </row>
    <row r="3712" spans="1:10" x14ac:dyDescent="0.25">
      <c r="A3712" s="2" t="s">
        <v>9569</v>
      </c>
      <c r="B3712" s="2" t="s">
        <v>7007</v>
      </c>
      <c r="C3712" s="2" t="s">
        <v>9570</v>
      </c>
      <c r="D3712" s="2" t="s">
        <v>10055</v>
      </c>
      <c r="E3712" s="15"/>
      <c r="F3712" s="15"/>
      <c r="G3712" s="15"/>
      <c r="H3712" s="15">
        <v>-1.66E-2</v>
      </c>
      <c r="I3712" s="15">
        <v>1.34E-2</v>
      </c>
      <c r="J3712" s="15">
        <v>-1.2734375</v>
      </c>
    </row>
    <row r="3713" spans="1:10" x14ac:dyDescent="0.25">
      <c r="A3713" s="2" t="s">
        <v>9571</v>
      </c>
      <c r="B3713" s="2" t="s">
        <v>7007</v>
      </c>
      <c r="C3713" s="2" t="s">
        <v>9572</v>
      </c>
      <c r="D3713" s="2" t="s">
        <v>10055</v>
      </c>
      <c r="E3713" s="15"/>
      <c r="F3713" s="15"/>
      <c r="G3713" s="15"/>
      <c r="H3713" s="15">
        <v>-9.4000000000000004E-3</v>
      </c>
      <c r="I3713" s="15">
        <v>1.21E-2</v>
      </c>
      <c r="J3713" s="15">
        <v>-0.74789915966386544</v>
      </c>
    </row>
    <row r="3714" spans="1:10" x14ac:dyDescent="0.25">
      <c r="A3714" s="2" t="s">
        <v>9573</v>
      </c>
      <c r="B3714" s="2" t="s">
        <v>7007</v>
      </c>
      <c r="C3714" s="2" t="s">
        <v>9574</v>
      </c>
      <c r="D3714" s="2" t="s">
        <v>10055</v>
      </c>
      <c r="E3714" s="15">
        <v>-0.1033</v>
      </c>
      <c r="F3714" s="15">
        <v>0.10979999999999999</v>
      </c>
      <c r="G3714" s="15">
        <v>0.34660000000000002</v>
      </c>
      <c r="H3714" s="15">
        <v>2.5999999999999999E-2</v>
      </c>
      <c r="I3714" s="15">
        <v>1.35E-2</v>
      </c>
      <c r="J3714" s="15">
        <v>1.978102189781022</v>
      </c>
    </row>
    <row r="3715" spans="1:10" x14ac:dyDescent="0.25">
      <c r="A3715" s="2" t="s">
        <v>9575</v>
      </c>
      <c r="B3715" s="2" t="s">
        <v>7007</v>
      </c>
      <c r="C3715" s="2" t="s">
        <v>9576</v>
      </c>
      <c r="D3715" s="2" t="s">
        <v>10055</v>
      </c>
      <c r="E3715" s="15">
        <v>5.9400000000000001E-2</v>
      </c>
      <c r="F3715" s="15">
        <v>0.1263</v>
      </c>
      <c r="G3715" s="15">
        <v>0.6381</v>
      </c>
      <c r="H3715" s="15">
        <v>1.61E-2</v>
      </c>
      <c r="I3715" s="15">
        <v>1.3599999999999999E-2</v>
      </c>
      <c r="J3715" s="15">
        <v>0.86206896551724144</v>
      </c>
    </row>
    <row r="3716" spans="1:10" x14ac:dyDescent="0.25">
      <c r="A3716" s="2" t="s">
        <v>9577</v>
      </c>
      <c r="B3716" s="2" t="s">
        <v>7007</v>
      </c>
      <c r="C3716" s="2" t="s">
        <v>9578</v>
      </c>
      <c r="D3716" s="2" t="s">
        <v>10055</v>
      </c>
      <c r="E3716" s="15">
        <v>-5.6000000000000001E-2</v>
      </c>
      <c r="F3716" s="15">
        <v>0.22489999999999999</v>
      </c>
      <c r="G3716" s="15">
        <v>0.80330000000000001</v>
      </c>
      <c r="H3716" s="15">
        <v>6.7000000000000002E-3</v>
      </c>
      <c r="I3716" s="15">
        <v>1.29E-2</v>
      </c>
      <c r="J3716" s="15">
        <v>0.35658914728682167</v>
      </c>
    </row>
    <row r="3717" spans="1:10" x14ac:dyDescent="0.25">
      <c r="A3717" s="2" t="s">
        <v>9579</v>
      </c>
      <c r="B3717" s="2" t="s">
        <v>7007</v>
      </c>
      <c r="C3717" s="2" t="s">
        <v>9580</v>
      </c>
      <c r="D3717" s="2" t="s">
        <v>10055</v>
      </c>
      <c r="E3717" s="15">
        <v>5.6399999999999999E-2</v>
      </c>
      <c r="F3717" s="15">
        <v>0.15720000000000001</v>
      </c>
      <c r="G3717" s="15">
        <v>0.71970000000000001</v>
      </c>
      <c r="H3717" s="15">
        <v>1.6799999999999999E-2</v>
      </c>
      <c r="I3717" s="15">
        <v>1.6400000000000001E-2</v>
      </c>
      <c r="J3717" s="15">
        <v>1.651006711409396</v>
      </c>
    </row>
    <row r="3718" spans="1:10" x14ac:dyDescent="0.25">
      <c r="A3718" s="2" t="s">
        <v>9581</v>
      </c>
      <c r="B3718" s="2" t="s">
        <v>7007</v>
      </c>
      <c r="C3718" s="2" t="s">
        <v>9582</v>
      </c>
      <c r="D3718" s="2" t="s">
        <v>10055</v>
      </c>
      <c r="E3718" s="15">
        <v>2.0199999999999999E-2</v>
      </c>
      <c r="F3718" s="15">
        <v>0.1313</v>
      </c>
      <c r="G3718" s="15">
        <v>0.87770000000000004</v>
      </c>
      <c r="H3718" s="15">
        <v>1.7399999999999999E-2</v>
      </c>
      <c r="I3718" s="15">
        <v>1.47E-2</v>
      </c>
      <c r="J3718" s="15">
        <v>1.7536231884057969</v>
      </c>
    </row>
    <row r="3719" spans="1:10" x14ac:dyDescent="0.25">
      <c r="A3719" s="2" t="s">
        <v>9583</v>
      </c>
      <c r="B3719" s="2" t="s">
        <v>7007</v>
      </c>
      <c r="C3719" s="2" t="s">
        <v>9584</v>
      </c>
      <c r="D3719" s="2" t="s">
        <v>10055</v>
      </c>
      <c r="E3719" s="15">
        <v>-0.17030000000000001</v>
      </c>
      <c r="F3719" s="15">
        <v>0.22140000000000001</v>
      </c>
      <c r="G3719" s="15">
        <v>0.44180000000000003</v>
      </c>
      <c r="H3719" s="15">
        <v>8.8999999999999999E-3</v>
      </c>
      <c r="I3719" s="15">
        <v>1.3899999999999999E-2</v>
      </c>
      <c r="J3719" s="15">
        <v>0.51538461538461544</v>
      </c>
    </row>
    <row r="3720" spans="1:10" x14ac:dyDescent="0.25">
      <c r="A3720" s="2" t="s">
        <v>9585</v>
      </c>
      <c r="B3720" s="2" t="s">
        <v>7007</v>
      </c>
      <c r="C3720" s="2" t="s">
        <v>9586</v>
      </c>
      <c r="D3720" s="2" t="s">
        <v>10055</v>
      </c>
      <c r="E3720" s="15">
        <v>3.2000000000000001E-2</v>
      </c>
      <c r="F3720" s="15">
        <v>0.11899999999999999</v>
      </c>
      <c r="G3720" s="15">
        <v>0.78779999999999994</v>
      </c>
      <c r="H3720" s="15">
        <v>2.12E-2</v>
      </c>
      <c r="I3720" s="15">
        <v>1.38E-2</v>
      </c>
      <c r="J3720" s="15">
        <v>1.75</v>
      </c>
    </row>
    <row r="3721" spans="1:10" x14ac:dyDescent="0.25">
      <c r="A3721" s="2" t="s">
        <v>9587</v>
      </c>
      <c r="B3721" s="2" t="s">
        <v>7007</v>
      </c>
      <c r="C3721" s="2" t="s">
        <v>9588</v>
      </c>
      <c r="D3721" s="2" t="s">
        <v>10055</v>
      </c>
      <c r="E3721" s="15">
        <v>-0.2334</v>
      </c>
      <c r="F3721" s="15">
        <v>0.37</v>
      </c>
      <c r="G3721" s="15">
        <v>0.52810000000000001</v>
      </c>
      <c r="H3721" s="15">
        <v>6.1999999999999998E-3</v>
      </c>
      <c r="I3721" s="15">
        <v>1.3100000000000001E-2</v>
      </c>
      <c r="J3721" s="15">
        <v>0.96899224806201556</v>
      </c>
    </row>
    <row r="3722" spans="1:10" x14ac:dyDescent="0.25">
      <c r="A3722" s="2" t="s">
        <v>9589</v>
      </c>
      <c r="B3722" s="2" t="s">
        <v>7007</v>
      </c>
      <c r="C3722" s="2" t="s">
        <v>9590</v>
      </c>
      <c r="D3722" s="2" t="s">
        <v>10055</v>
      </c>
      <c r="E3722" s="15">
        <v>5.6899999999999999E-2</v>
      </c>
      <c r="F3722" s="15">
        <v>0.1138</v>
      </c>
      <c r="G3722" s="15">
        <v>0.61699999999999999</v>
      </c>
      <c r="H3722" s="15">
        <v>2.87E-2</v>
      </c>
      <c r="I3722" s="15">
        <v>1.37E-2</v>
      </c>
      <c r="J3722" s="15">
        <v>2.0763358778625949</v>
      </c>
    </row>
    <row r="3723" spans="1:10" x14ac:dyDescent="0.25">
      <c r="A3723" s="2" t="s">
        <v>9591</v>
      </c>
      <c r="B3723" s="2" t="s">
        <v>7007</v>
      </c>
      <c r="C3723" s="2" t="s">
        <v>9592</v>
      </c>
      <c r="D3723" s="2" t="s">
        <v>10055</v>
      </c>
      <c r="E3723" s="15">
        <v>4.2799999999999998E-2</v>
      </c>
      <c r="F3723" s="15">
        <v>0.1108</v>
      </c>
      <c r="G3723" s="15">
        <v>0.69930000000000003</v>
      </c>
      <c r="H3723" s="15">
        <v>2.7300000000000001E-2</v>
      </c>
      <c r="I3723" s="15">
        <v>1.3899999999999999E-2</v>
      </c>
      <c r="J3723" s="15">
        <v>1.666666666666667</v>
      </c>
    </row>
    <row r="3724" spans="1:10" x14ac:dyDescent="0.25">
      <c r="A3724" s="2" t="s">
        <v>9593</v>
      </c>
      <c r="B3724" s="2" t="s">
        <v>7007</v>
      </c>
      <c r="C3724" s="2" t="s">
        <v>9594</v>
      </c>
      <c r="D3724" s="2" t="s">
        <v>10055</v>
      </c>
      <c r="E3724" s="15"/>
      <c r="F3724" s="15"/>
      <c r="G3724" s="15"/>
      <c r="H3724" s="15"/>
      <c r="I3724" s="15"/>
      <c r="J3724" s="15">
        <v>-5.7142857142857141E-2</v>
      </c>
    </row>
    <row r="3725" spans="1:10" x14ac:dyDescent="0.25">
      <c r="A3725" s="2" t="s">
        <v>9595</v>
      </c>
      <c r="B3725" s="2" t="s">
        <v>7007</v>
      </c>
      <c r="C3725" s="2" t="s">
        <v>9596</v>
      </c>
      <c r="D3725" s="2" t="s">
        <v>10055</v>
      </c>
      <c r="E3725" s="15">
        <v>2.18E-2</v>
      </c>
      <c r="F3725" s="15">
        <v>0.1103</v>
      </c>
      <c r="G3725" s="15">
        <v>0.84360000000000002</v>
      </c>
      <c r="H3725" s="15">
        <v>1.9900000000000001E-2</v>
      </c>
      <c r="I3725" s="15">
        <v>1.34E-2</v>
      </c>
      <c r="J3725" s="15">
        <v>1.0708661417322829</v>
      </c>
    </row>
    <row r="3726" spans="1:10" x14ac:dyDescent="0.25">
      <c r="A3726" s="2" t="s">
        <v>9597</v>
      </c>
      <c r="B3726" s="2" t="s">
        <v>7007</v>
      </c>
      <c r="C3726" s="2" t="s">
        <v>9598</v>
      </c>
      <c r="D3726" s="2" t="s">
        <v>10055</v>
      </c>
      <c r="E3726" s="15">
        <v>5.6500000000000002E-2</v>
      </c>
      <c r="F3726" s="15">
        <v>9.2399999999999996E-2</v>
      </c>
      <c r="G3726" s="15">
        <v>0.54120000000000001</v>
      </c>
      <c r="H3726" s="15">
        <v>3.4099999999999998E-2</v>
      </c>
      <c r="I3726" s="15">
        <v>1.49E-2</v>
      </c>
      <c r="J3726" s="15">
        <v>2.422535211267606</v>
      </c>
    </row>
    <row r="3727" spans="1:10" x14ac:dyDescent="0.25">
      <c r="A3727" s="2" t="s">
        <v>9599</v>
      </c>
      <c r="B3727" s="2" t="s">
        <v>7007</v>
      </c>
      <c r="C3727" s="2" t="s">
        <v>9600</v>
      </c>
      <c r="D3727" s="2" t="s">
        <v>10055</v>
      </c>
      <c r="E3727" s="15">
        <v>-0.2089</v>
      </c>
      <c r="F3727" s="15">
        <v>0.20180000000000001</v>
      </c>
      <c r="G3727" s="15">
        <v>0.30059999999999998</v>
      </c>
      <c r="H3727" s="15">
        <v>1.2E-2</v>
      </c>
      <c r="I3727" s="15">
        <v>1.34E-2</v>
      </c>
      <c r="J3727" s="15">
        <v>1.2196969696969699</v>
      </c>
    </row>
    <row r="3728" spans="1:10" x14ac:dyDescent="0.25">
      <c r="A3728" s="2" t="s">
        <v>9601</v>
      </c>
      <c r="B3728" s="2" t="s">
        <v>7007</v>
      </c>
      <c r="C3728" s="2" t="s">
        <v>9602</v>
      </c>
      <c r="D3728" s="2" t="s">
        <v>10055</v>
      </c>
      <c r="E3728" s="15">
        <v>0.2359</v>
      </c>
      <c r="F3728" s="15">
        <v>0.19339999999999999</v>
      </c>
      <c r="G3728" s="15">
        <v>0.22259999999999999</v>
      </c>
      <c r="H3728" s="15">
        <v>1.4E-2</v>
      </c>
      <c r="I3728" s="15">
        <v>1.43E-2</v>
      </c>
      <c r="J3728" s="15">
        <v>1.0428571428571429</v>
      </c>
    </row>
    <row r="3729" spans="1:10" x14ac:dyDescent="0.25">
      <c r="A3729" s="2" t="s">
        <v>9603</v>
      </c>
      <c r="B3729" s="2" t="s">
        <v>7007</v>
      </c>
      <c r="C3729" s="2" t="s">
        <v>9604</v>
      </c>
      <c r="D3729" s="2" t="s">
        <v>10055</v>
      </c>
      <c r="E3729" s="15">
        <v>0.1183</v>
      </c>
      <c r="F3729" s="15">
        <v>0.14149999999999999</v>
      </c>
      <c r="G3729" s="15">
        <v>0.40310000000000001</v>
      </c>
      <c r="H3729" s="15">
        <v>1.5800000000000002E-2</v>
      </c>
      <c r="I3729" s="15">
        <v>1.41E-2</v>
      </c>
      <c r="J3729" s="15">
        <v>1.6923076923076921</v>
      </c>
    </row>
    <row r="3730" spans="1:10" x14ac:dyDescent="0.25">
      <c r="A3730" s="2" t="s">
        <v>9605</v>
      </c>
      <c r="B3730" s="2" t="s">
        <v>7007</v>
      </c>
      <c r="C3730" s="2" t="s">
        <v>9606</v>
      </c>
      <c r="D3730" s="2" t="s">
        <v>10055</v>
      </c>
      <c r="E3730" s="15">
        <v>2.18E-2</v>
      </c>
      <c r="F3730" s="15">
        <v>9.0200000000000002E-2</v>
      </c>
      <c r="G3730" s="15">
        <v>0.80920000000000003</v>
      </c>
      <c r="H3730" s="15">
        <v>3.85E-2</v>
      </c>
      <c r="I3730" s="15">
        <v>1.4999999999999999E-2</v>
      </c>
      <c r="J3730" s="15">
        <v>2.3582089552238812</v>
      </c>
    </row>
    <row r="3731" spans="1:10" x14ac:dyDescent="0.25">
      <c r="A3731" s="2" t="s">
        <v>9607</v>
      </c>
      <c r="B3731" s="2" t="s">
        <v>7007</v>
      </c>
      <c r="C3731" s="2" t="s">
        <v>9608</v>
      </c>
      <c r="D3731" s="2" t="s">
        <v>10055</v>
      </c>
      <c r="E3731" s="15">
        <v>-6.2E-2</v>
      </c>
      <c r="F3731" s="15">
        <v>0.1082</v>
      </c>
      <c r="G3731" s="15">
        <v>0.56640000000000001</v>
      </c>
      <c r="H3731" s="15">
        <v>2.2599999999999999E-2</v>
      </c>
      <c r="I3731" s="15">
        <v>1.3599999999999999E-2</v>
      </c>
      <c r="J3731" s="15">
        <v>1.8071428571428569</v>
      </c>
    </row>
    <row r="3732" spans="1:10" x14ac:dyDescent="0.25">
      <c r="A3732" s="2" t="s">
        <v>9609</v>
      </c>
      <c r="B3732" s="2" t="s">
        <v>7007</v>
      </c>
      <c r="C3732" s="2" t="s">
        <v>9610</v>
      </c>
      <c r="D3732" s="2" t="s">
        <v>10055</v>
      </c>
      <c r="E3732" s="15">
        <v>-0.1757</v>
      </c>
      <c r="F3732" s="15">
        <v>0.2379</v>
      </c>
      <c r="G3732" s="15">
        <v>0.4602</v>
      </c>
      <c r="H3732" s="15">
        <v>1.0800000000000001E-2</v>
      </c>
      <c r="I3732" s="15">
        <v>1.4200000000000001E-2</v>
      </c>
      <c r="J3732" s="15">
        <v>1.2296296296296301</v>
      </c>
    </row>
    <row r="3733" spans="1:10" x14ac:dyDescent="0.25">
      <c r="A3733" s="2" t="s">
        <v>9611</v>
      </c>
      <c r="B3733" s="2" t="s">
        <v>7007</v>
      </c>
      <c r="C3733" s="2" t="s">
        <v>9612</v>
      </c>
      <c r="D3733" s="2" t="s">
        <v>10055</v>
      </c>
      <c r="E3733" s="15">
        <v>0.21360000000000001</v>
      </c>
      <c r="F3733" s="15">
        <v>0.17330000000000001</v>
      </c>
      <c r="G3733" s="15">
        <v>0.2177</v>
      </c>
      <c r="H3733" s="15">
        <v>1.35E-2</v>
      </c>
      <c r="I3733" s="15">
        <v>1.24E-2</v>
      </c>
      <c r="J3733" s="15">
        <v>0.86956521739130443</v>
      </c>
    </row>
    <row r="3734" spans="1:10" x14ac:dyDescent="0.25">
      <c r="A3734" s="2" t="s">
        <v>9613</v>
      </c>
      <c r="B3734" s="2" t="s">
        <v>7007</v>
      </c>
      <c r="C3734" s="2" t="s">
        <v>9614</v>
      </c>
      <c r="D3734" s="2" t="s">
        <v>10055</v>
      </c>
      <c r="E3734" s="15">
        <v>0.1114</v>
      </c>
      <c r="F3734" s="15">
        <v>8.8099999999999998E-2</v>
      </c>
      <c r="G3734" s="15">
        <v>0.20599999999999999</v>
      </c>
      <c r="H3734" s="15">
        <v>4.2700000000000002E-2</v>
      </c>
      <c r="I3734" s="15">
        <v>1.6299999999999999E-2</v>
      </c>
      <c r="J3734" s="15">
        <v>3.2137931034482761</v>
      </c>
    </row>
    <row r="3735" spans="1:10" x14ac:dyDescent="0.25">
      <c r="A3735" s="2" t="s">
        <v>9615</v>
      </c>
      <c r="B3735" s="2" t="s">
        <v>7007</v>
      </c>
      <c r="C3735" s="2" t="s">
        <v>9616</v>
      </c>
      <c r="D3735" s="2" t="s">
        <v>10055</v>
      </c>
      <c r="E3735" s="15">
        <v>-4.1300000000000003E-2</v>
      </c>
      <c r="F3735" s="15">
        <v>0.13139999999999999</v>
      </c>
      <c r="G3735" s="15">
        <v>0.75309999999999999</v>
      </c>
      <c r="H3735" s="15">
        <v>1.7100000000000001E-2</v>
      </c>
      <c r="I3735" s="15">
        <v>1.5100000000000001E-2</v>
      </c>
      <c r="J3735" s="15">
        <v>1.265306122448979</v>
      </c>
    </row>
    <row r="3736" spans="1:10" x14ac:dyDescent="0.25">
      <c r="A3736" s="2" t="s">
        <v>9617</v>
      </c>
      <c r="B3736" s="2" t="s">
        <v>7007</v>
      </c>
      <c r="C3736" s="2" t="s">
        <v>9618</v>
      </c>
      <c r="D3736" s="2" t="s">
        <v>10055</v>
      </c>
      <c r="E3736" s="15">
        <v>0.16089999999999999</v>
      </c>
      <c r="F3736" s="15">
        <v>0.12089999999999999</v>
      </c>
      <c r="G3736" s="15">
        <v>0.18329999999999999</v>
      </c>
      <c r="H3736" s="15">
        <v>2.3400000000000001E-2</v>
      </c>
      <c r="I3736" s="15">
        <v>1.52E-2</v>
      </c>
      <c r="J3736" s="15">
        <v>1.959459459459459</v>
      </c>
    </row>
    <row r="3737" spans="1:10" x14ac:dyDescent="0.25">
      <c r="A3737" s="2" t="s">
        <v>9619</v>
      </c>
      <c r="B3737" s="2" t="s">
        <v>7007</v>
      </c>
      <c r="C3737" s="2" t="s">
        <v>9620</v>
      </c>
      <c r="D3737" s="2" t="s">
        <v>10055</v>
      </c>
      <c r="E3737" s="15"/>
      <c r="F3737" s="15"/>
      <c r="G3737" s="15"/>
      <c r="H3737" s="15"/>
      <c r="I3737" s="15"/>
      <c r="J3737" s="15">
        <v>-0.1470588235294118</v>
      </c>
    </row>
    <row r="3738" spans="1:10" x14ac:dyDescent="0.25">
      <c r="A3738" s="2" t="s">
        <v>9621</v>
      </c>
      <c r="B3738" s="2" t="s">
        <v>7007</v>
      </c>
      <c r="C3738" s="2" t="s">
        <v>9622</v>
      </c>
      <c r="D3738" s="2" t="s">
        <v>10055</v>
      </c>
      <c r="E3738" s="15"/>
      <c r="F3738" s="15"/>
      <c r="G3738" s="15"/>
      <c r="H3738" s="15">
        <v>-2.0000000000000001E-4</v>
      </c>
      <c r="I3738" s="15">
        <v>1.2800000000000001E-2</v>
      </c>
      <c r="J3738" s="15">
        <v>0.33858267716535428</v>
      </c>
    </row>
    <row r="3739" spans="1:10" x14ac:dyDescent="0.25">
      <c r="A3739" s="2" t="s">
        <v>9623</v>
      </c>
      <c r="B3739" s="2" t="s">
        <v>7007</v>
      </c>
      <c r="C3739" s="2" t="s">
        <v>9624</v>
      </c>
      <c r="D3739" s="2" t="s">
        <v>10055</v>
      </c>
      <c r="E3739" s="15"/>
      <c r="F3739" s="15"/>
      <c r="G3739" s="15"/>
      <c r="H3739" s="15">
        <v>-2.4500000000000001E-2</v>
      </c>
      <c r="I3739" s="15">
        <v>1.4E-2</v>
      </c>
      <c r="J3739" s="15">
        <v>-1.4347826086956521</v>
      </c>
    </row>
    <row r="3740" spans="1:10" x14ac:dyDescent="0.25">
      <c r="A3740" s="2" t="s">
        <v>9625</v>
      </c>
      <c r="B3740" s="2" t="s">
        <v>7007</v>
      </c>
      <c r="C3740" s="2" t="s">
        <v>9626</v>
      </c>
      <c r="D3740" s="2" t="s">
        <v>10055</v>
      </c>
      <c r="E3740" s="15">
        <v>-2.52E-2</v>
      </c>
      <c r="F3740" s="15">
        <v>0.12280000000000001</v>
      </c>
      <c r="G3740" s="15">
        <v>0.83740000000000003</v>
      </c>
      <c r="H3740" s="15">
        <v>2.1600000000000001E-2</v>
      </c>
      <c r="I3740" s="15">
        <v>1.66E-2</v>
      </c>
      <c r="J3740" s="15">
        <v>1.6351351351351351</v>
      </c>
    </row>
    <row r="3741" spans="1:10" x14ac:dyDescent="0.25">
      <c r="A3741" s="2" t="s">
        <v>9627</v>
      </c>
      <c r="B3741" s="2" t="s">
        <v>7007</v>
      </c>
      <c r="C3741" s="2" t="s">
        <v>9628</v>
      </c>
      <c r="D3741" s="2" t="s">
        <v>10055</v>
      </c>
      <c r="E3741" s="15">
        <v>-0.17979999999999999</v>
      </c>
      <c r="F3741" s="15">
        <v>0.3453</v>
      </c>
      <c r="G3741" s="15">
        <v>0.60250000000000004</v>
      </c>
      <c r="H3741" s="15">
        <v>5.3E-3</v>
      </c>
      <c r="I3741" s="15">
        <v>1.4E-2</v>
      </c>
      <c r="J3741" s="15">
        <v>0.89583333333333337</v>
      </c>
    </row>
    <row r="3742" spans="1:10" x14ac:dyDescent="0.25">
      <c r="A3742" s="2" t="s">
        <v>9629</v>
      </c>
      <c r="B3742" s="2" t="s">
        <v>7007</v>
      </c>
      <c r="C3742" s="2" t="s">
        <v>9630</v>
      </c>
      <c r="D3742" s="2" t="s">
        <v>10055</v>
      </c>
      <c r="E3742" s="15">
        <v>0.1326</v>
      </c>
      <c r="F3742" s="15">
        <v>0.13350000000000001</v>
      </c>
      <c r="G3742" s="15">
        <v>0.32069999999999999</v>
      </c>
      <c r="H3742" s="15">
        <v>2.0899999999999998E-2</v>
      </c>
      <c r="I3742" s="15">
        <v>1.6400000000000001E-2</v>
      </c>
      <c r="J3742" s="15">
        <v>0.89189189189189189</v>
      </c>
    </row>
    <row r="3743" spans="1:10" x14ac:dyDescent="0.25">
      <c r="A3743" s="2" t="s">
        <v>9631</v>
      </c>
      <c r="B3743" s="2" t="s">
        <v>7007</v>
      </c>
      <c r="C3743" s="2" t="s">
        <v>9632</v>
      </c>
      <c r="D3743" s="2" t="s">
        <v>10055</v>
      </c>
      <c r="E3743" s="15">
        <v>9.1899999999999996E-2</v>
      </c>
      <c r="F3743" s="15">
        <v>0.16120000000000001</v>
      </c>
      <c r="G3743" s="15">
        <v>0.56889999999999996</v>
      </c>
      <c r="H3743" s="15">
        <v>1.15E-2</v>
      </c>
      <c r="I3743" s="15">
        <v>1.3100000000000001E-2</v>
      </c>
      <c r="J3743" s="15">
        <v>0.99259259259259258</v>
      </c>
    </row>
    <row r="3744" spans="1:10" x14ac:dyDescent="0.25">
      <c r="A3744" s="2" t="s">
        <v>9633</v>
      </c>
      <c r="B3744" s="2" t="s">
        <v>7007</v>
      </c>
      <c r="C3744" s="2" t="s">
        <v>9634</v>
      </c>
      <c r="D3744" s="2" t="s">
        <v>10055</v>
      </c>
      <c r="E3744" s="15"/>
      <c r="F3744" s="15"/>
      <c r="G3744" s="15"/>
      <c r="H3744" s="15"/>
      <c r="I3744" s="15"/>
      <c r="J3744" s="15">
        <v>0.4264705882352941</v>
      </c>
    </row>
    <row r="3745" spans="1:10" x14ac:dyDescent="0.25">
      <c r="A3745" s="2" t="s">
        <v>9635</v>
      </c>
      <c r="B3745" s="2" t="s">
        <v>7007</v>
      </c>
      <c r="C3745" s="2" t="s">
        <v>9636</v>
      </c>
      <c r="D3745" s="2" t="s">
        <v>10055</v>
      </c>
      <c r="E3745" s="15">
        <v>1.34E-2</v>
      </c>
      <c r="F3745" s="15">
        <v>0.10100000000000001</v>
      </c>
      <c r="G3745" s="15">
        <v>0.89419999999999999</v>
      </c>
      <c r="H3745" s="15">
        <v>2.18E-2</v>
      </c>
      <c r="I3745" s="15">
        <v>1.43E-2</v>
      </c>
      <c r="J3745" s="15">
        <v>1.2651515151515149</v>
      </c>
    </row>
    <row r="3746" spans="1:10" x14ac:dyDescent="0.25">
      <c r="A3746" s="2" t="s">
        <v>9637</v>
      </c>
      <c r="B3746" s="2" t="s">
        <v>7007</v>
      </c>
      <c r="C3746" s="2" t="s">
        <v>9638</v>
      </c>
      <c r="D3746" s="2" t="s">
        <v>10055</v>
      </c>
      <c r="E3746" s="15"/>
      <c r="F3746" s="15"/>
      <c r="G3746" s="15"/>
      <c r="H3746" s="15">
        <v>-2.3099999999999999E-2</v>
      </c>
      <c r="I3746" s="15">
        <v>1.3899999999999999E-2</v>
      </c>
      <c r="J3746" s="15">
        <v>-1.2977099236641221</v>
      </c>
    </row>
    <row r="3747" spans="1:10" x14ac:dyDescent="0.25">
      <c r="A3747" s="2" t="s">
        <v>9639</v>
      </c>
      <c r="B3747" s="2" t="s">
        <v>7007</v>
      </c>
      <c r="C3747" s="2" t="s">
        <v>9640</v>
      </c>
      <c r="D3747" s="2" t="s">
        <v>10055</v>
      </c>
      <c r="E3747" s="15">
        <v>4.1300000000000003E-2</v>
      </c>
      <c r="F3747" s="15">
        <v>0.1258</v>
      </c>
      <c r="G3747" s="15">
        <v>0.7429</v>
      </c>
      <c r="H3747" s="15">
        <v>1.84E-2</v>
      </c>
      <c r="I3747" s="15">
        <v>1.43E-2</v>
      </c>
      <c r="J3747" s="15">
        <v>0.90845070422535201</v>
      </c>
    </row>
    <row r="3748" spans="1:10" x14ac:dyDescent="0.25">
      <c r="A3748" s="2" t="s">
        <v>9641</v>
      </c>
      <c r="B3748" s="2" t="s">
        <v>7007</v>
      </c>
      <c r="C3748" s="2" t="s">
        <v>9642</v>
      </c>
      <c r="D3748" s="2" t="s">
        <v>10055</v>
      </c>
      <c r="E3748" s="15"/>
      <c r="F3748" s="15"/>
      <c r="G3748" s="15"/>
      <c r="H3748" s="15">
        <v>-2.3999999999999998E-3</v>
      </c>
      <c r="I3748" s="15">
        <v>1.5800000000000002E-2</v>
      </c>
      <c r="J3748" s="15">
        <v>-0.1768707482993197</v>
      </c>
    </row>
    <row r="3749" spans="1:10" x14ac:dyDescent="0.25">
      <c r="A3749" s="2" t="s">
        <v>9643</v>
      </c>
      <c r="B3749" s="2" t="s">
        <v>7007</v>
      </c>
      <c r="C3749" s="2" t="s">
        <v>9644</v>
      </c>
      <c r="D3749" s="2" t="s">
        <v>10055</v>
      </c>
      <c r="E3749" s="15"/>
      <c r="F3749" s="15"/>
      <c r="G3749" s="15"/>
      <c r="H3749" s="15"/>
      <c r="I3749" s="15"/>
      <c r="J3749" s="15">
        <v>0.37142857142857139</v>
      </c>
    </row>
    <row r="3750" spans="1:10" x14ac:dyDescent="0.25">
      <c r="A3750" s="2" t="s">
        <v>9645</v>
      </c>
      <c r="B3750" s="2" t="s">
        <v>7007</v>
      </c>
      <c r="C3750" s="2" t="s">
        <v>9646</v>
      </c>
      <c r="D3750" s="2" t="s">
        <v>10055</v>
      </c>
      <c r="E3750" s="15">
        <v>-4.5400000000000003E-2</v>
      </c>
      <c r="F3750" s="15">
        <v>0.1103</v>
      </c>
      <c r="G3750" s="15">
        <v>0.6804</v>
      </c>
      <c r="H3750" s="15">
        <v>2.1899999999999999E-2</v>
      </c>
      <c r="I3750" s="15">
        <v>1.3299999999999999E-2</v>
      </c>
      <c r="J3750" s="15">
        <v>1.7985611510791371</v>
      </c>
    </row>
    <row r="3751" spans="1:10" x14ac:dyDescent="0.25">
      <c r="A3751" s="2" t="s">
        <v>9647</v>
      </c>
      <c r="B3751" s="2" t="s">
        <v>7007</v>
      </c>
      <c r="C3751" s="2" t="s">
        <v>9648</v>
      </c>
      <c r="D3751" s="2" t="s">
        <v>10055</v>
      </c>
      <c r="E3751" s="15">
        <v>7.0999999999999994E-2</v>
      </c>
      <c r="F3751" s="15">
        <v>8.3900000000000002E-2</v>
      </c>
      <c r="G3751" s="15">
        <v>0.3977</v>
      </c>
      <c r="H3751" s="15">
        <v>4.19E-2</v>
      </c>
      <c r="I3751" s="15">
        <v>1.4800000000000001E-2</v>
      </c>
      <c r="J3751" s="15">
        <v>2.8561151079136691</v>
      </c>
    </row>
    <row r="3752" spans="1:10" x14ac:dyDescent="0.25">
      <c r="A3752" s="2" t="s">
        <v>9649</v>
      </c>
      <c r="B3752" s="2" t="s">
        <v>7007</v>
      </c>
      <c r="C3752" s="2" t="s">
        <v>9650</v>
      </c>
      <c r="D3752" s="2" t="s">
        <v>10055</v>
      </c>
      <c r="E3752" s="15">
        <v>0.17660000000000001</v>
      </c>
      <c r="F3752" s="15">
        <v>0.1026</v>
      </c>
      <c r="G3752" s="15">
        <v>8.5199999999999998E-2</v>
      </c>
      <c r="H3752" s="15">
        <v>3.3399999999999999E-2</v>
      </c>
      <c r="I3752" s="15">
        <v>1.35E-2</v>
      </c>
      <c r="J3752" s="15">
        <v>2.3039999999999998</v>
      </c>
    </row>
    <row r="3753" spans="1:10" x14ac:dyDescent="0.25">
      <c r="A3753" s="2" t="s">
        <v>9651</v>
      </c>
      <c r="B3753" s="2" t="s">
        <v>7007</v>
      </c>
      <c r="C3753" s="2" t="s">
        <v>9652</v>
      </c>
      <c r="D3753" s="2" t="s">
        <v>10055</v>
      </c>
      <c r="E3753" s="15"/>
      <c r="F3753" s="15"/>
      <c r="G3753" s="15"/>
      <c r="H3753" s="15">
        <v>-1.8E-3</v>
      </c>
      <c r="I3753" s="15">
        <v>1.2999999999999999E-2</v>
      </c>
      <c r="J3753" s="15">
        <v>0.2338709677419355</v>
      </c>
    </row>
    <row r="3754" spans="1:10" x14ac:dyDescent="0.25">
      <c r="A3754" s="2" t="s">
        <v>9653</v>
      </c>
      <c r="B3754" s="2" t="s">
        <v>7007</v>
      </c>
      <c r="C3754" s="2" t="s">
        <v>9654</v>
      </c>
      <c r="D3754" s="2" t="s">
        <v>10055</v>
      </c>
      <c r="E3754" s="15">
        <v>2.1899999999999999E-2</v>
      </c>
      <c r="F3754" s="15">
        <v>8.72E-2</v>
      </c>
      <c r="G3754" s="15">
        <v>0.80179999999999996</v>
      </c>
      <c r="H3754" s="15">
        <v>3.8199999999999998E-2</v>
      </c>
      <c r="I3754" s="15">
        <v>1.2999999999999999E-2</v>
      </c>
      <c r="J3754" s="15">
        <v>3.0413223140495869</v>
      </c>
    </row>
    <row r="3755" spans="1:10" x14ac:dyDescent="0.25">
      <c r="A3755" s="2" t="s">
        <v>9655</v>
      </c>
      <c r="B3755" s="2" t="s">
        <v>7007</v>
      </c>
      <c r="C3755" s="2" t="s">
        <v>9656</v>
      </c>
      <c r="D3755" s="2" t="s">
        <v>10055</v>
      </c>
      <c r="E3755" s="15">
        <v>0.13730000000000001</v>
      </c>
      <c r="F3755" s="15">
        <v>0.22159999999999999</v>
      </c>
      <c r="G3755" s="15">
        <v>0.53559999999999997</v>
      </c>
      <c r="H3755" s="15">
        <v>8.0000000000000002E-3</v>
      </c>
      <c r="I3755" s="15">
        <v>1.4800000000000001E-2</v>
      </c>
      <c r="J3755" s="15">
        <v>1.5241379310344829</v>
      </c>
    </row>
    <row r="3756" spans="1:10" x14ac:dyDescent="0.25">
      <c r="A3756" s="2" t="s">
        <v>9657</v>
      </c>
      <c r="B3756" s="2" t="s">
        <v>7007</v>
      </c>
      <c r="C3756" s="2" t="s">
        <v>9658</v>
      </c>
      <c r="D3756" s="2" t="s">
        <v>10055</v>
      </c>
      <c r="E3756" s="15">
        <v>5.3699999999999998E-2</v>
      </c>
      <c r="F3756" s="15">
        <v>0.1217</v>
      </c>
      <c r="G3756" s="15">
        <v>0.65910000000000002</v>
      </c>
      <c r="H3756" s="15">
        <v>2.2100000000000002E-2</v>
      </c>
      <c r="I3756" s="15">
        <v>1.55E-2</v>
      </c>
      <c r="J3756" s="15">
        <v>1.833333333333333</v>
      </c>
    </row>
    <row r="3757" spans="1:10" x14ac:dyDescent="0.25">
      <c r="A3757" s="2" t="s">
        <v>9659</v>
      </c>
      <c r="B3757" s="2" t="s">
        <v>7007</v>
      </c>
      <c r="C3757" s="2" t="s">
        <v>9660</v>
      </c>
      <c r="D3757" s="2" t="s">
        <v>10055</v>
      </c>
      <c r="E3757" s="15"/>
      <c r="F3757" s="15"/>
      <c r="G3757" s="15"/>
      <c r="H3757" s="15">
        <v>-3.0999999999999999E-3</v>
      </c>
      <c r="I3757" s="15">
        <v>1.34E-2</v>
      </c>
      <c r="J3757" s="15">
        <v>-0.58399999999999996</v>
      </c>
    </row>
    <row r="3758" spans="1:10" x14ac:dyDescent="0.25">
      <c r="A3758" s="2" t="s">
        <v>9661</v>
      </c>
      <c r="B3758" s="2" t="s">
        <v>7007</v>
      </c>
      <c r="C3758" s="2" t="s">
        <v>9662</v>
      </c>
      <c r="D3758" s="2" t="s">
        <v>10055</v>
      </c>
      <c r="E3758" s="15">
        <v>0.12529999999999999</v>
      </c>
      <c r="F3758" s="15">
        <v>0.1002</v>
      </c>
      <c r="G3758" s="15">
        <v>0.21110000000000001</v>
      </c>
      <c r="H3758" s="15">
        <v>3.1699999999999999E-2</v>
      </c>
      <c r="I3758" s="15">
        <v>1.29E-2</v>
      </c>
      <c r="J3758" s="15">
        <v>2.511278195488722</v>
      </c>
    </row>
    <row r="3759" spans="1:10" x14ac:dyDescent="0.25">
      <c r="A3759" s="2" t="s">
        <v>9663</v>
      </c>
      <c r="B3759" s="2" t="s">
        <v>7007</v>
      </c>
      <c r="C3759" s="2" t="s">
        <v>9664</v>
      </c>
      <c r="D3759" s="2" t="s">
        <v>10055</v>
      </c>
      <c r="E3759" s="15">
        <v>0.17519999999999999</v>
      </c>
      <c r="F3759" s="15">
        <v>0.17219999999999999</v>
      </c>
      <c r="G3759" s="15">
        <v>0.30890000000000001</v>
      </c>
      <c r="H3759" s="15">
        <v>1.5299999999999999E-2</v>
      </c>
      <c r="I3759" s="15">
        <v>1.4500000000000001E-2</v>
      </c>
      <c r="J3759" s="15">
        <v>1.2571428571428569</v>
      </c>
    </row>
    <row r="3760" spans="1:10" x14ac:dyDescent="0.25">
      <c r="A3760" s="2" t="s">
        <v>9665</v>
      </c>
      <c r="B3760" s="2" t="s">
        <v>7007</v>
      </c>
      <c r="C3760" s="2" t="s">
        <v>9666</v>
      </c>
      <c r="D3760" s="2" t="s">
        <v>10055</v>
      </c>
      <c r="E3760" s="15"/>
      <c r="F3760" s="15"/>
      <c r="G3760" s="15"/>
      <c r="H3760" s="15">
        <v>-5.1000000000000004E-3</v>
      </c>
      <c r="I3760" s="15">
        <v>1.3899999999999999E-2</v>
      </c>
      <c r="J3760" s="15">
        <v>0.25899280575539568</v>
      </c>
    </row>
    <row r="3761" spans="1:10" x14ac:dyDescent="0.25">
      <c r="A3761" s="2" t="s">
        <v>9667</v>
      </c>
      <c r="B3761" s="2" t="s">
        <v>7007</v>
      </c>
      <c r="C3761" s="2" t="s">
        <v>9668</v>
      </c>
      <c r="D3761" s="2" t="s">
        <v>10055</v>
      </c>
      <c r="E3761" s="15">
        <v>5.4399999999999997E-2</v>
      </c>
      <c r="F3761" s="15">
        <v>7.3200000000000001E-2</v>
      </c>
      <c r="G3761" s="15">
        <v>0.45729999999999998</v>
      </c>
      <c r="H3761" s="15">
        <v>6.2100000000000002E-2</v>
      </c>
      <c r="I3761" s="15">
        <v>1.67E-2</v>
      </c>
      <c r="J3761" s="15">
        <v>3.7547169811320749</v>
      </c>
    </row>
    <row r="3762" spans="1:10" x14ac:dyDescent="0.25">
      <c r="A3762" s="2" t="s">
        <v>9669</v>
      </c>
      <c r="B3762" s="2" t="s">
        <v>7007</v>
      </c>
      <c r="C3762" s="2" t="s">
        <v>9670</v>
      </c>
      <c r="D3762" s="2" t="s">
        <v>10055</v>
      </c>
      <c r="E3762" s="15">
        <v>0.2117</v>
      </c>
      <c r="F3762" s="15">
        <v>0.2185</v>
      </c>
      <c r="G3762" s="15">
        <v>0.3327</v>
      </c>
      <c r="H3762" s="15">
        <v>1.1299999999999999E-2</v>
      </c>
      <c r="I3762" s="15">
        <v>1.52E-2</v>
      </c>
      <c r="J3762" s="15">
        <v>0.98581560283687941</v>
      </c>
    </row>
    <row r="3763" spans="1:10" x14ac:dyDescent="0.25">
      <c r="A3763" s="2" t="s">
        <v>9671</v>
      </c>
      <c r="B3763" s="2" t="s">
        <v>7007</v>
      </c>
      <c r="C3763" s="2" t="s">
        <v>9672</v>
      </c>
      <c r="D3763" s="2" t="s">
        <v>10055</v>
      </c>
      <c r="E3763" s="15">
        <v>-2.2000000000000001E-3</v>
      </c>
      <c r="F3763" s="15">
        <v>9.8799999999999999E-2</v>
      </c>
      <c r="G3763" s="15">
        <v>0.98219999999999996</v>
      </c>
      <c r="H3763" s="15">
        <v>3.44E-2</v>
      </c>
      <c r="I3763" s="15">
        <v>1.4E-2</v>
      </c>
      <c r="J3763" s="15">
        <v>2.5766423357664232</v>
      </c>
    </row>
    <row r="3764" spans="1:10" x14ac:dyDescent="0.25">
      <c r="A3764" s="2" t="s">
        <v>9673</v>
      </c>
      <c r="B3764" s="2" t="s">
        <v>7007</v>
      </c>
      <c r="C3764" s="2" t="s">
        <v>9674</v>
      </c>
      <c r="D3764" s="2" t="s">
        <v>10055</v>
      </c>
      <c r="E3764" s="15"/>
      <c r="F3764" s="15"/>
      <c r="G3764" s="15"/>
      <c r="H3764" s="15">
        <v>-1.4E-3</v>
      </c>
      <c r="I3764" s="15">
        <v>1.2999999999999999E-2</v>
      </c>
      <c r="J3764" s="15">
        <v>-4.1273437499999999E-3</v>
      </c>
    </row>
    <row r="3765" spans="1:10" x14ac:dyDescent="0.25">
      <c r="A3765" s="2" t="s">
        <v>9675</v>
      </c>
      <c r="B3765" s="2" t="s">
        <v>7007</v>
      </c>
      <c r="C3765" s="2" t="s">
        <v>9676</v>
      </c>
      <c r="D3765" s="2" t="s">
        <v>10055</v>
      </c>
      <c r="E3765" s="15">
        <v>1.4200000000000001E-2</v>
      </c>
      <c r="F3765" s="15">
        <v>0.14899999999999999</v>
      </c>
      <c r="G3765" s="15">
        <v>0.92420000000000002</v>
      </c>
      <c r="H3765" s="15">
        <v>1.34E-2</v>
      </c>
      <c r="I3765" s="15">
        <v>1.37E-2</v>
      </c>
      <c r="J3765" s="15">
        <v>1.477611940298508</v>
      </c>
    </row>
    <row r="3766" spans="1:10" x14ac:dyDescent="0.25">
      <c r="A3766" s="2" t="s">
        <v>9677</v>
      </c>
      <c r="B3766" s="2" t="s">
        <v>7007</v>
      </c>
      <c r="C3766" s="2" t="s">
        <v>9678</v>
      </c>
      <c r="D3766" s="2" t="s">
        <v>10055</v>
      </c>
      <c r="E3766" s="15">
        <v>4.1000000000000003E-3</v>
      </c>
      <c r="F3766" s="15">
        <v>6.2399999999999997E-2</v>
      </c>
      <c r="G3766" s="15">
        <v>0.94789999999999996</v>
      </c>
      <c r="H3766" s="15">
        <v>9.2600000000000002E-2</v>
      </c>
      <c r="I3766" s="15">
        <v>2.0199999999999999E-2</v>
      </c>
      <c r="J3766" s="15">
        <v>4.7371134020618557</v>
      </c>
    </row>
    <row r="3767" spans="1:10" x14ac:dyDescent="0.25">
      <c r="A3767" s="2" t="s">
        <v>9679</v>
      </c>
      <c r="B3767" s="2" t="s">
        <v>7007</v>
      </c>
      <c r="C3767" s="2" t="s">
        <v>9680</v>
      </c>
      <c r="D3767" s="2" t="s">
        <v>10055</v>
      </c>
      <c r="E3767" s="15">
        <v>0.19539999999999999</v>
      </c>
      <c r="F3767" s="15">
        <v>0.12790000000000001</v>
      </c>
      <c r="G3767" s="15">
        <v>0.12659999999999999</v>
      </c>
      <c r="H3767" s="15">
        <v>2.3400000000000001E-2</v>
      </c>
      <c r="I3767" s="15">
        <v>1.46E-2</v>
      </c>
      <c r="J3767" s="15">
        <v>1.65</v>
      </c>
    </row>
    <row r="3768" spans="1:10" x14ac:dyDescent="0.25">
      <c r="A3768" s="2" t="s">
        <v>9681</v>
      </c>
      <c r="B3768" s="2" t="s">
        <v>7007</v>
      </c>
      <c r="C3768" s="2" t="s">
        <v>9682</v>
      </c>
      <c r="D3768" s="2" t="s">
        <v>10055</v>
      </c>
      <c r="E3768" s="15">
        <v>5.6599999999999998E-2</v>
      </c>
      <c r="F3768" s="15">
        <v>8.8700000000000001E-2</v>
      </c>
      <c r="G3768" s="15">
        <v>0.52339999999999998</v>
      </c>
      <c r="H3768" s="15">
        <v>4.1300000000000003E-2</v>
      </c>
      <c r="I3768" s="15">
        <v>1.5800000000000002E-2</v>
      </c>
      <c r="J3768" s="15">
        <v>2.7884615384615379</v>
      </c>
    </row>
    <row r="3769" spans="1:10" x14ac:dyDescent="0.25">
      <c r="A3769" s="2" t="s">
        <v>9683</v>
      </c>
      <c r="B3769" s="2" t="s">
        <v>7007</v>
      </c>
      <c r="C3769" s="2" t="s">
        <v>9684</v>
      </c>
      <c r="D3769" s="2" t="s">
        <v>10055</v>
      </c>
      <c r="E3769" s="15">
        <v>-0.123</v>
      </c>
      <c r="F3769" s="15">
        <v>0.12230000000000001</v>
      </c>
      <c r="G3769" s="15">
        <v>0.3145</v>
      </c>
      <c r="H3769" s="15">
        <v>2.4299999999999999E-2</v>
      </c>
      <c r="I3769" s="15">
        <v>1.8499999999999999E-2</v>
      </c>
      <c r="J3769" s="15">
        <v>1.448275862068966</v>
      </c>
    </row>
    <row r="3770" spans="1:10" x14ac:dyDescent="0.25">
      <c r="A3770" s="2" t="s">
        <v>9685</v>
      </c>
      <c r="B3770" s="2" t="s">
        <v>7007</v>
      </c>
      <c r="C3770" s="2" t="s">
        <v>9686</v>
      </c>
      <c r="D3770" s="2" t="s">
        <v>10055</v>
      </c>
      <c r="E3770" s="15"/>
      <c r="F3770" s="15"/>
      <c r="G3770" s="15"/>
      <c r="H3770" s="15">
        <v>-1.2999999999999999E-3</v>
      </c>
      <c r="I3770" s="15">
        <v>1.41E-2</v>
      </c>
      <c r="J3770" s="15">
        <v>-7.352941176470589E-3</v>
      </c>
    </row>
    <row r="3771" spans="1:10" x14ac:dyDescent="0.25">
      <c r="A3771" s="2" t="s">
        <v>9687</v>
      </c>
      <c r="B3771" s="2" t="s">
        <v>7007</v>
      </c>
      <c r="C3771" s="2" t="s">
        <v>9688</v>
      </c>
      <c r="D3771" s="2" t="s">
        <v>10055</v>
      </c>
      <c r="E3771" s="15">
        <v>-3.1699999999999999E-2</v>
      </c>
      <c r="F3771" s="15">
        <v>7.1300000000000002E-2</v>
      </c>
      <c r="G3771" s="15">
        <v>0.65639999999999998</v>
      </c>
      <c r="H3771" s="15">
        <v>0.08</v>
      </c>
      <c r="I3771" s="15">
        <v>1.77E-2</v>
      </c>
      <c r="J3771" s="15">
        <v>5.625766871165645</v>
      </c>
    </row>
    <row r="3772" spans="1:10" x14ac:dyDescent="0.25">
      <c r="A3772" s="2" t="s">
        <v>9689</v>
      </c>
      <c r="B3772" s="2" t="s">
        <v>7007</v>
      </c>
      <c r="C3772" s="2" t="s">
        <v>9690</v>
      </c>
      <c r="D3772" s="2" t="s">
        <v>10055</v>
      </c>
      <c r="E3772" s="15"/>
      <c r="F3772" s="15"/>
      <c r="G3772" s="15"/>
      <c r="H3772" s="15">
        <v>-2.5499999999999998E-2</v>
      </c>
      <c r="I3772" s="15">
        <v>1.35E-2</v>
      </c>
      <c r="J3772" s="15">
        <v>-2.3684210526315792</v>
      </c>
    </row>
    <row r="3773" spans="1:10" x14ac:dyDescent="0.25">
      <c r="A3773" s="2" t="s">
        <v>9691</v>
      </c>
      <c r="B3773" s="2" t="s">
        <v>7007</v>
      </c>
      <c r="C3773" s="2" t="s">
        <v>9692</v>
      </c>
      <c r="D3773" s="2" t="s">
        <v>10055</v>
      </c>
      <c r="E3773" s="15">
        <v>-4.5900000000000003E-2</v>
      </c>
      <c r="F3773" s="15">
        <v>0.2268</v>
      </c>
      <c r="G3773" s="15">
        <v>0.83940000000000003</v>
      </c>
      <c r="H3773" s="15">
        <v>6.7000000000000002E-3</v>
      </c>
      <c r="I3773" s="15">
        <v>1.23E-2</v>
      </c>
      <c r="J3773" s="15">
        <v>-0.12195121951219511</v>
      </c>
    </row>
    <row r="3774" spans="1:10" x14ac:dyDescent="0.25">
      <c r="A3774" s="2" t="s">
        <v>9693</v>
      </c>
      <c r="B3774" s="2" t="s">
        <v>7007</v>
      </c>
      <c r="C3774" s="2" t="s">
        <v>9694</v>
      </c>
      <c r="D3774" s="2" t="s">
        <v>10055</v>
      </c>
      <c r="E3774" s="15"/>
      <c r="F3774" s="15"/>
      <c r="G3774" s="15"/>
      <c r="H3774" s="15"/>
      <c r="I3774" s="15"/>
      <c r="J3774" s="15">
        <v>0.53896103896103897</v>
      </c>
    </row>
    <row r="3775" spans="1:10" x14ac:dyDescent="0.25">
      <c r="A3775" s="2" t="s">
        <v>9695</v>
      </c>
      <c r="B3775" s="2" t="s">
        <v>7007</v>
      </c>
      <c r="C3775" s="2" t="s">
        <v>9696</v>
      </c>
      <c r="D3775" s="2" t="s">
        <v>10055</v>
      </c>
      <c r="E3775" s="15">
        <v>-3.8E-3</v>
      </c>
      <c r="F3775" s="15">
        <v>7.6700000000000004E-2</v>
      </c>
      <c r="G3775" s="15">
        <v>0.96079999999999999</v>
      </c>
      <c r="H3775" s="15">
        <v>4.9700000000000001E-2</v>
      </c>
      <c r="I3775" s="15">
        <v>1.6500000000000001E-2</v>
      </c>
      <c r="J3775" s="15">
        <v>3.668789808917198</v>
      </c>
    </row>
    <row r="3776" spans="1:10" x14ac:dyDescent="0.25">
      <c r="A3776" s="2" t="s">
        <v>9697</v>
      </c>
      <c r="B3776" s="2" t="s">
        <v>7007</v>
      </c>
      <c r="C3776" s="2" t="s">
        <v>9698</v>
      </c>
      <c r="D3776" s="2" t="s">
        <v>10055</v>
      </c>
      <c r="E3776" s="15">
        <v>8.7400000000000005E-2</v>
      </c>
      <c r="F3776" s="15">
        <v>0.19520000000000001</v>
      </c>
      <c r="G3776" s="15">
        <v>0.65439999999999998</v>
      </c>
      <c r="H3776" s="15">
        <v>9.1000000000000004E-3</v>
      </c>
      <c r="I3776" s="15">
        <v>1.4800000000000001E-2</v>
      </c>
      <c r="J3776" s="15">
        <v>0.91366906474820142</v>
      </c>
    </row>
    <row r="3777" spans="1:10" x14ac:dyDescent="0.25">
      <c r="A3777" s="2" t="s">
        <v>9699</v>
      </c>
      <c r="B3777" s="2" t="s">
        <v>7007</v>
      </c>
      <c r="C3777" s="2" t="s">
        <v>9700</v>
      </c>
      <c r="D3777" s="2" t="s">
        <v>10055</v>
      </c>
      <c r="E3777" s="15">
        <v>-0.1022</v>
      </c>
      <c r="F3777" s="15">
        <v>7.5499999999999998E-2</v>
      </c>
      <c r="G3777" s="15">
        <v>0.1759</v>
      </c>
      <c r="H3777" s="15">
        <v>5.5800000000000002E-2</v>
      </c>
      <c r="I3777" s="15">
        <v>1.5699999999999999E-2</v>
      </c>
      <c r="J3777" s="15">
        <v>3.9740259740259738</v>
      </c>
    </row>
    <row r="3778" spans="1:10" x14ac:dyDescent="0.25">
      <c r="A3778" s="2" t="s">
        <v>9701</v>
      </c>
      <c r="B3778" s="2" t="s">
        <v>7007</v>
      </c>
      <c r="C3778" s="2" t="s">
        <v>9702</v>
      </c>
      <c r="D3778" s="2" t="s">
        <v>10055</v>
      </c>
      <c r="E3778" s="15">
        <v>-4.6100000000000002E-2</v>
      </c>
      <c r="F3778" s="15">
        <v>0.16669999999999999</v>
      </c>
      <c r="G3778" s="15">
        <v>0.78200000000000003</v>
      </c>
      <c r="H3778" s="15">
        <v>1.18E-2</v>
      </c>
      <c r="I3778" s="15">
        <v>1.47E-2</v>
      </c>
      <c r="J3778" s="15">
        <v>0.66438356164383561</v>
      </c>
    </row>
    <row r="3779" spans="1:10" x14ac:dyDescent="0.25">
      <c r="A3779" s="2" t="s">
        <v>9703</v>
      </c>
      <c r="B3779" s="2" t="s">
        <v>7007</v>
      </c>
      <c r="C3779" s="2" t="s">
        <v>9704</v>
      </c>
      <c r="D3779" s="2" t="s">
        <v>10055</v>
      </c>
      <c r="E3779" s="15">
        <v>-7.9799999999999996E-2</v>
      </c>
      <c r="F3779" s="15">
        <v>9.01E-2</v>
      </c>
      <c r="G3779" s="15">
        <v>0.37580000000000002</v>
      </c>
      <c r="H3779" s="15">
        <v>3.1699999999999999E-2</v>
      </c>
      <c r="I3779" s="15">
        <v>1.41E-2</v>
      </c>
      <c r="J3779" s="15">
        <v>2.229007633587786</v>
      </c>
    </row>
    <row r="3780" spans="1:10" x14ac:dyDescent="0.25">
      <c r="A3780" s="2" t="s">
        <v>9705</v>
      </c>
      <c r="B3780" s="2" t="s">
        <v>7007</v>
      </c>
      <c r="C3780" s="2" t="s">
        <v>9706</v>
      </c>
      <c r="D3780" s="2" t="s">
        <v>10055</v>
      </c>
      <c r="E3780" s="15">
        <v>6.6600000000000006E-2</v>
      </c>
      <c r="F3780" s="15">
        <v>6.5100000000000005E-2</v>
      </c>
      <c r="G3780" s="15">
        <v>0.30640000000000001</v>
      </c>
      <c r="H3780" s="15">
        <v>7.9799999999999996E-2</v>
      </c>
      <c r="I3780" s="15">
        <v>1.6199999999999999E-2</v>
      </c>
      <c r="J3780" s="15">
        <v>5.2894736842105274</v>
      </c>
    </row>
    <row r="3781" spans="1:10" x14ac:dyDescent="0.25">
      <c r="A3781" s="2" t="s">
        <v>9707</v>
      </c>
      <c r="B3781" s="2" t="s">
        <v>7007</v>
      </c>
      <c r="C3781" s="2" t="s">
        <v>9708</v>
      </c>
      <c r="D3781" s="2" t="s">
        <v>10055</v>
      </c>
      <c r="E3781" s="15">
        <v>-4.3700000000000003E-2</v>
      </c>
      <c r="F3781" s="15">
        <v>6.0100000000000001E-2</v>
      </c>
      <c r="G3781" s="15">
        <v>0.46700000000000003</v>
      </c>
      <c r="H3781" s="15">
        <v>9.9199999999999997E-2</v>
      </c>
      <c r="I3781" s="15">
        <v>1.6400000000000001E-2</v>
      </c>
      <c r="J3781" s="15">
        <v>6.9675324675324681</v>
      </c>
    </row>
    <row r="3782" spans="1:10" x14ac:dyDescent="0.25">
      <c r="A3782" s="2" t="s">
        <v>9709</v>
      </c>
      <c r="B3782" s="2" t="s">
        <v>7007</v>
      </c>
      <c r="C3782" s="2" t="s">
        <v>9710</v>
      </c>
      <c r="D3782" s="2" t="s">
        <v>10055</v>
      </c>
      <c r="E3782" s="15"/>
      <c r="F3782" s="15"/>
      <c r="G3782" s="15"/>
      <c r="H3782" s="15">
        <v>-2.8E-3</v>
      </c>
      <c r="I3782" s="15">
        <v>1.2800000000000001E-2</v>
      </c>
      <c r="J3782" s="15">
        <v>-0.296875</v>
      </c>
    </row>
    <row r="3783" spans="1:10" x14ac:dyDescent="0.25">
      <c r="A3783" s="2" t="s">
        <v>9711</v>
      </c>
      <c r="B3783" s="2" t="s">
        <v>7007</v>
      </c>
      <c r="C3783" s="2" t="s">
        <v>9712</v>
      </c>
      <c r="D3783" s="2" t="s">
        <v>10055</v>
      </c>
      <c r="E3783" s="15"/>
      <c r="F3783" s="15"/>
      <c r="G3783" s="15"/>
      <c r="H3783" s="15">
        <v>-1.21E-2</v>
      </c>
      <c r="I3783" s="15">
        <v>1.4E-2</v>
      </c>
      <c r="J3783" s="15">
        <v>-0.83941605839416056</v>
      </c>
    </row>
    <row r="3784" spans="1:10" x14ac:dyDescent="0.25">
      <c r="A3784" s="2" t="s">
        <v>9713</v>
      </c>
      <c r="B3784" s="2" t="s">
        <v>7007</v>
      </c>
      <c r="C3784" s="2" t="s">
        <v>9714</v>
      </c>
      <c r="D3784" s="2" t="s">
        <v>10055</v>
      </c>
      <c r="E3784" s="15">
        <v>-7.0400000000000004E-2</v>
      </c>
      <c r="F3784" s="15">
        <v>7.9000000000000001E-2</v>
      </c>
      <c r="G3784" s="15">
        <v>0.37259999999999999</v>
      </c>
      <c r="H3784" s="15">
        <v>4.41E-2</v>
      </c>
      <c r="I3784" s="15">
        <v>1.5100000000000001E-2</v>
      </c>
      <c r="J3784" s="15">
        <v>3.04</v>
      </c>
    </row>
    <row r="3785" spans="1:10" x14ac:dyDescent="0.25">
      <c r="A3785" s="2" t="s">
        <v>9715</v>
      </c>
      <c r="B3785" s="2" t="s">
        <v>7007</v>
      </c>
      <c r="C3785" s="2" t="s">
        <v>9716</v>
      </c>
      <c r="D3785" s="2" t="s">
        <v>10055</v>
      </c>
      <c r="E3785" s="15">
        <v>-9.4799999999999995E-2</v>
      </c>
      <c r="F3785" s="15">
        <v>6.5600000000000006E-2</v>
      </c>
      <c r="G3785" s="15">
        <v>0.14849999999999999</v>
      </c>
      <c r="H3785" s="15">
        <v>7.0800000000000002E-2</v>
      </c>
      <c r="I3785" s="15">
        <v>1.55E-2</v>
      </c>
      <c r="J3785" s="15">
        <v>5.3245033112582778</v>
      </c>
    </row>
    <row r="3786" spans="1:10" x14ac:dyDescent="0.25">
      <c r="A3786" s="2" t="s">
        <v>9717</v>
      </c>
      <c r="B3786" s="2" t="s">
        <v>7007</v>
      </c>
      <c r="C3786" s="2" t="s">
        <v>9718</v>
      </c>
      <c r="D3786" s="2" t="s">
        <v>10055</v>
      </c>
      <c r="E3786" s="15">
        <v>-0.13500000000000001</v>
      </c>
      <c r="F3786" s="15">
        <v>0.2218</v>
      </c>
      <c r="G3786" s="15">
        <v>0.54269999999999996</v>
      </c>
      <c r="H3786" s="15">
        <v>7.9000000000000008E-3</v>
      </c>
      <c r="I3786" s="15">
        <v>1.2999999999999999E-2</v>
      </c>
      <c r="J3786" s="15">
        <v>0.48818897637795278</v>
      </c>
    </row>
    <row r="3787" spans="1:10" x14ac:dyDescent="0.25">
      <c r="A3787" s="2" t="s">
        <v>9719</v>
      </c>
      <c r="B3787" s="2" t="s">
        <v>7007</v>
      </c>
      <c r="C3787" s="2" t="s">
        <v>9720</v>
      </c>
      <c r="D3787" s="2" t="s">
        <v>10055</v>
      </c>
      <c r="E3787" s="15">
        <v>0.11550000000000001</v>
      </c>
      <c r="F3787" s="15">
        <v>9.0800000000000006E-2</v>
      </c>
      <c r="G3787" s="15">
        <v>0.20349999999999999</v>
      </c>
      <c r="H3787" s="15">
        <v>4.2900000000000001E-2</v>
      </c>
      <c r="I3787" s="15">
        <v>1.6500000000000001E-2</v>
      </c>
      <c r="J3787" s="15">
        <v>2.2721518987341769</v>
      </c>
    </row>
    <row r="3788" spans="1:10" x14ac:dyDescent="0.25">
      <c r="A3788" s="2" t="s">
        <v>9721</v>
      </c>
      <c r="B3788" s="2" t="s">
        <v>7007</v>
      </c>
      <c r="C3788" s="2" t="s">
        <v>9722</v>
      </c>
      <c r="D3788" s="2" t="s">
        <v>10055</v>
      </c>
      <c r="E3788" s="15">
        <v>-0.13070000000000001</v>
      </c>
      <c r="F3788" s="15">
        <v>0.1704</v>
      </c>
      <c r="G3788" s="15">
        <v>0.44330000000000003</v>
      </c>
      <c r="H3788" s="15">
        <v>1.3299999999999999E-2</v>
      </c>
      <c r="I3788" s="15">
        <v>1.3100000000000001E-2</v>
      </c>
      <c r="J3788" s="15">
        <v>1.528</v>
      </c>
    </row>
    <row r="3789" spans="1:10" x14ac:dyDescent="0.25">
      <c r="A3789" s="2" t="s">
        <v>9723</v>
      </c>
      <c r="B3789" s="2" t="s">
        <v>7007</v>
      </c>
      <c r="C3789" s="2" t="s">
        <v>9724</v>
      </c>
      <c r="D3789" s="2" t="s">
        <v>10055</v>
      </c>
      <c r="E3789" s="15">
        <v>-5.2699999999999997E-2</v>
      </c>
      <c r="F3789" s="15">
        <v>9.4899999999999998E-2</v>
      </c>
      <c r="G3789" s="15">
        <v>0.57840000000000003</v>
      </c>
      <c r="H3789" s="15">
        <v>3.6200000000000003E-2</v>
      </c>
      <c r="I3789" s="15">
        <v>1.46E-2</v>
      </c>
      <c r="J3789" s="15">
        <v>2.3263888888888888</v>
      </c>
    </row>
    <row r="3790" spans="1:10" x14ac:dyDescent="0.25">
      <c r="A3790" s="2" t="s">
        <v>9725</v>
      </c>
      <c r="B3790" s="2" t="s">
        <v>7007</v>
      </c>
      <c r="C3790" s="2" t="s">
        <v>9726</v>
      </c>
      <c r="D3790" s="2" t="s">
        <v>10055</v>
      </c>
      <c r="E3790" s="15">
        <v>0.1119</v>
      </c>
      <c r="F3790" s="15">
        <v>0.16200000000000001</v>
      </c>
      <c r="G3790" s="15">
        <v>0.48970000000000002</v>
      </c>
      <c r="H3790" s="15">
        <v>1.6799999999999999E-2</v>
      </c>
      <c r="I3790" s="15">
        <v>1.43E-2</v>
      </c>
      <c r="J3790" s="15">
        <v>1.2380952380952379</v>
      </c>
    </row>
    <row r="3791" spans="1:10" x14ac:dyDescent="0.25">
      <c r="A3791" s="2" t="s">
        <v>9727</v>
      </c>
      <c r="B3791" s="2" t="s">
        <v>7007</v>
      </c>
      <c r="C3791" s="2" t="s">
        <v>9728</v>
      </c>
      <c r="D3791" s="2" t="s">
        <v>10055</v>
      </c>
      <c r="E3791" s="15">
        <v>2.3E-2</v>
      </c>
      <c r="F3791" s="15">
        <v>0.1396</v>
      </c>
      <c r="G3791" s="15">
        <v>0.86909999999999998</v>
      </c>
      <c r="H3791" s="15">
        <v>1.7600000000000001E-2</v>
      </c>
      <c r="I3791" s="15">
        <v>1.41E-2</v>
      </c>
      <c r="J3791" s="15">
        <v>1.318518518518518</v>
      </c>
    </row>
    <row r="3792" spans="1:10" x14ac:dyDescent="0.25">
      <c r="A3792" s="2" t="s">
        <v>9729</v>
      </c>
      <c r="B3792" s="2" t="s">
        <v>7007</v>
      </c>
      <c r="C3792" s="2" t="s">
        <v>9730</v>
      </c>
      <c r="D3792" s="2" t="s">
        <v>10055</v>
      </c>
      <c r="E3792" s="15">
        <v>-4.7899999999999998E-2</v>
      </c>
      <c r="F3792" s="15">
        <v>0.10680000000000001</v>
      </c>
      <c r="G3792" s="15">
        <v>0.65400000000000003</v>
      </c>
      <c r="H3792" s="15">
        <v>3.1099999999999999E-2</v>
      </c>
      <c r="I3792" s="15">
        <v>1.5800000000000002E-2</v>
      </c>
      <c r="J3792" s="15">
        <v>1.828947368421052</v>
      </c>
    </row>
    <row r="3793" spans="1:10" x14ac:dyDescent="0.25">
      <c r="A3793" s="2" t="s">
        <v>9731</v>
      </c>
      <c r="B3793" s="2" t="s">
        <v>7007</v>
      </c>
      <c r="C3793" s="2" t="s">
        <v>9732</v>
      </c>
      <c r="D3793" s="2" t="s">
        <v>10055</v>
      </c>
      <c r="E3793" s="15">
        <v>-7.4399999999999994E-2</v>
      </c>
      <c r="F3793" s="15">
        <v>0.1003</v>
      </c>
      <c r="G3793" s="15">
        <v>0.4582</v>
      </c>
      <c r="H3793" s="15">
        <v>3.56E-2</v>
      </c>
      <c r="I3793" s="15">
        <v>1.3899999999999999E-2</v>
      </c>
      <c r="J3793" s="15">
        <v>2.729166666666667</v>
      </c>
    </row>
    <row r="3794" spans="1:10" x14ac:dyDescent="0.25">
      <c r="A3794" s="2" t="s">
        <v>9733</v>
      </c>
      <c r="B3794" s="2" t="s">
        <v>7007</v>
      </c>
      <c r="C3794" s="2" t="s">
        <v>9734</v>
      </c>
      <c r="D3794" s="2" t="s">
        <v>10055</v>
      </c>
      <c r="E3794" s="15"/>
      <c r="F3794" s="15"/>
      <c r="G3794" s="15"/>
      <c r="H3794" s="15">
        <v>-2.4799999999999999E-2</v>
      </c>
      <c r="I3794" s="15">
        <v>1.29E-2</v>
      </c>
      <c r="J3794" s="15">
        <v>-1.6390977443609021</v>
      </c>
    </row>
    <row r="3795" spans="1:10" x14ac:dyDescent="0.25">
      <c r="A3795" s="2" t="s">
        <v>9735</v>
      </c>
      <c r="B3795" s="2" t="s">
        <v>7007</v>
      </c>
      <c r="C3795" s="2" t="s">
        <v>9736</v>
      </c>
      <c r="D3795" s="2" t="s">
        <v>10055</v>
      </c>
      <c r="E3795" s="15">
        <v>7.3300000000000004E-2</v>
      </c>
      <c r="F3795" s="15">
        <v>0.1293</v>
      </c>
      <c r="G3795" s="15">
        <v>0.57079999999999997</v>
      </c>
      <c r="H3795" s="15">
        <v>1.77E-2</v>
      </c>
      <c r="I3795" s="15">
        <v>1.4E-2</v>
      </c>
      <c r="J3795" s="15">
        <v>1.2761194029850751</v>
      </c>
    </row>
    <row r="3796" spans="1:10" x14ac:dyDescent="0.25">
      <c r="A3796" s="2" t="s">
        <v>9737</v>
      </c>
      <c r="B3796" s="2" t="s">
        <v>7007</v>
      </c>
      <c r="C3796" s="2" t="s">
        <v>9738</v>
      </c>
      <c r="D3796" s="2" t="s">
        <v>10055</v>
      </c>
      <c r="E3796" s="15">
        <v>8.1500000000000003E-2</v>
      </c>
      <c r="F3796" s="15">
        <v>8.8900000000000007E-2</v>
      </c>
      <c r="G3796" s="15">
        <v>0.35949999999999999</v>
      </c>
      <c r="H3796" s="15">
        <v>3.6900000000000002E-2</v>
      </c>
      <c r="I3796" s="15">
        <v>1.5800000000000002E-2</v>
      </c>
      <c r="J3796" s="15">
        <v>2.7666666666666671</v>
      </c>
    </row>
    <row r="3797" spans="1:10" x14ac:dyDescent="0.25">
      <c r="A3797" s="2" t="s">
        <v>9739</v>
      </c>
      <c r="B3797" s="2" t="s">
        <v>7007</v>
      </c>
      <c r="C3797" s="2" t="s">
        <v>9740</v>
      </c>
      <c r="D3797" s="2" t="s">
        <v>10055</v>
      </c>
      <c r="E3797" s="15">
        <v>-0.13</v>
      </c>
      <c r="F3797" s="15">
        <v>0.28189999999999998</v>
      </c>
      <c r="G3797" s="15">
        <v>0.64459999999999995</v>
      </c>
      <c r="H3797" s="15">
        <v>8.0000000000000002E-3</v>
      </c>
      <c r="I3797" s="15">
        <v>1.6299999999999999E-2</v>
      </c>
      <c r="J3797" s="15">
        <v>0.68831168831168832</v>
      </c>
    </row>
    <row r="3798" spans="1:10" x14ac:dyDescent="0.25">
      <c r="A3798" s="2" t="s">
        <v>9741</v>
      </c>
      <c r="B3798" s="2" t="s">
        <v>7007</v>
      </c>
      <c r="C3798" s="2" t="s">
        <v>9742</v>
      </c>
      <c r="D3798" s="2" t="s">
        <v>10055</v>
      </c>
      <c r="E3798" s="15">
        <v>-2.1399999999999999E-2</v>
      </c>
      <c r="F3798" s="15">
        <v>0.21249999999999999</v>
      </c>
      <c r="G3798" s="15">
        <v>0.91969999999999996</v>
      </c>
      <c r="H3798" s="15">
        <v>6.3E-3</v>
      </c>
      <c r="I3798" s="15">
        <v>1.41E-2</v>
      </c>
      <c r="J3798" s="15">
        <v>0.63432835820895528</v>
      </c>
    </row>
    <row r="3799" spans="1:10" x14ac:dyDescent="0.25">
      <c r="A3799" s="2" t="s">
        <v>9743</v>
      </c>
      <c r="B3799" s="2" t="s">
        <v>7007</v>
      </c>
      <c r="C3799" s="2" t="s">
        <v>9744</v>
      </c>
      <c r="D3799" s="2" t="s">
        <v>10055</v>
      </c>
      <c r="E3799" s="15">
        <v>0.1454</v>
      </c>
      <c r="F3799" s="15">
        <v>0.33800000000000002</v>
      </c>
      <c r="G3799" s="15">
        <v>0.66710000000000003</v>
      </c>
      <c r="H3799" s="15">
        <v>6.4999999999999997E-3</v>
      </c>
      <c r="I3799" s="15">
        <v>1.4200000000000001E-2</v>
      </c>
      <c r="J3799" s="15">
        <v>1.056338028169014</v>
      </c>
    </row>
    <row r="3800" spans="1:10" x14ac:dyDescent="0.25">
      <c r="A3800" s="2" t="s">
        <v>9745</v>
      </c>
      <c r="B3800" s="2" t="s">
        <v>7007</v>
      </c>
      <c r="C3800" s="2" t="s">
        <v>9746</v>
      </c>
      <c r="D3800" s="2" t="s">
        <v>10055</v>
      </c>
      <c r="E3800" s="15">
        <v>-2.1999999999999999E-2</v>
      </c>
      <c r="F3800" s="15">
        <v>7.7600000000000002E-2</v>
      </c>
      <c r="G3800" s="15">
        <v>0.7772</v>
      </c>
      <c r="H3800" s="15">
        <v>5.62E-2</v>
      </c>
      <c r="I3800" s="15">
        <v>1.4200000000000001E-2</v>
      </c>
      <c r="J3800" s="15">
        <v>4.9172932330827068</v>
      </c>
    </row>
    <row r="3801" spans="1:10" x14ac:dyDescent="0.25">
      <c r="A3801" s="2" t="s">
        <v>9747</v>
      </c>
      <c r="B3801" s="2" t="s">
        <v>7007</v>
      </c>
      <c r="C3801" s="2" t="s">
        <v>9748</v>
      </c>
      <c r="D3801" s="2" t="s">
        <v>10055</v>
      </c>
      <c r="E3801" s="15">
        <v>-6.4899999999999999E-2</v>
      </c>
      <c r="F3801" s="15">
        <v>6.9000000000000006E-2</v>
      </c>
      <c r="G3801" s="15">
        <v>0.34670000000000001</v>
      </c>
      <c r="H3801" s="15">
        <v>5.4399999999999997E-2</v>
      </c>
      <c r="I3801" s="15">
        <v>1.43E-2</v>
      </c>
      <c r="J3801" s="15">
        <v>4</v>
      </c>
    </row>
    <row r="3802" spans="1:10" x14ac:dyDescent="0.25">
      <c r="A3802" s="2" t="s">
        <v>9749</v>
      </c>
      <c r="B3802" s="2" t="s">
        <v>7007</v>
      </c>
      <c r="C3802" s="2" t="s">
        <v>9750</v>
      </c>
      <c r="D3802" s="2" t="s">
        <v>10055</v>
      </c>
      <c r="E3802" s="15"/>
      <c r="F3802" s="15"/>
      <c r="G3802" s="15"/>
      <c r="H3802" s="15">
        <v>-8.0000000000000002E-3</v>
      </c>
      <c r="I3802" s="15">
        <v>1.2699999999999999E-2</v>
      </c>
      <c r="J3802" s="15">
        <v>-0.29166666666666669</v>
      </c>
    </row>
    <row r="3803" spans="1:10" x14ac:dyDescent="0.25">
      <c r="A3803" s="2" t="s">
        <v>9751</v>
      </c>
      <c r="B3803" s="2" t="s">
        <v>7007</v>
      </c>
      <c r="C3803" s="2" t="s">
        <v>9752</v>
      </c>
      <c r="D3803" s="2" t="s">
        <v>10055</v>
      </c>
      <c r="E3803" s="15">
        <v>-4.2000000000000003E-2</v>
      </c>
      <c r="F3803" s="15">
        <v>7.6300000000000007E-2</v>
      </c>
      <c r="G3803" s="15">
        <v>0.58189999999999997</v>
      </c>
      <c r="H3803" s="15">
        <v>4.7600000000000003E-2</v>
      </c>
      <c r="I3803" s="15">
        <v>1.5599999999999999E-2</v>
      </c>
      <c r="J3803" s="15">
        <v>2.824675324675324</v>
      </c>
    </row>
    <row r="3804" spans="1:10" x14ac:dyDescent="0.25">
      <c r="A3804" s="2" t="s">
        <v>9753</v>
      </c>
      <c r="B3804" s="2" t="s">
        <v>7007</v>
      </c>
      <c r="C3804" s="2" t="s">
        <v>9754</v>
      </c>
      <c r="D3804" s="2" t="s">
        <v>10055</v>
      </c>
      <c r="E3804" s="15">
        <v>-5.6800000000000003E-2</v>
      </c>
      <c r="F3804" s="15">
        <v>8.1600000000000006E-2</v>
      </c>
      <c r="G3804" s="15">
        <v>0.48670000000000002</v>
      </c>
      <c r="H3804" s="15">
        <v>4.8800000000000003E-2</v>
      </c>
      <c r="I3804" s="15">
        <v>1.34E-2</v>
      </c>
      <c r="J3804" s="15">
        <v>3.6842105263157898</v>
      </c>
    </row>
    <row r="3805" spans="1:10" x14ac:dyDescent="0.25">
      <c r="A3805" s="2" t="s">
        <v>9755</v>
      </c>
      <c r="B3805" s="2" t="s">
        <v>7007</v>
      </c>
      <c r="C3805" s="2" t="s">
        <v>9756</v>
      </c>
      <c r="D3805" s="2" t="s">
        <v>10055</v>
      </c>
      <c r="E3805" s="15">
        <v>3.3999999999999998E-3</v>
      </c>
      <c r="F3805" s="15">
        <v>6.5799999999999997E-2</v>
      </c>
      <c r="G3805" s="15">
        <v>0.95850000000000002</v>
      </c>
      <c r="H3805" s="15">
        <v>6.4000000000000001E-2</v>
      </c>
      <c r="I3805" s="15">
        <v>1.47E-2</v>
      </c>
      <c r="J3805" s="15">
        <v>4.5065789473684212</v>
      </c>
    </row>
    <row r="3806" spans="1:10" x14ac:dyDescent="0.25">
      <c r="A3806" s="2" t="s">
        <v>9757</v>
      </c>
      <c r="B3806" s="2" t="s">
        <v>7007</v>
      </c>
      <c r="C3806" s="2" t="s">
        <v>9758</v>
      </c>
      <c r="D3806" s="2" t="s">
        <v>10055</v>
      </c>
      <c r="E3806" s="15">
        <v>1.2999999999999999E-3</v>
      </c>
      <c r="F3806" s="15">
        <v>0.106</v>
      </c>
      <c r="G3806" s="15">
        <v>0.99060000000000004</v>
      </c>
      <c r="H3806" s="15">
        <v>2.9399999999999999E-2</v>
      </c>
      <c r="I3806" s="15">
        <v>1.3899999999999999E-2</v>
      </c>
      <c r="J3806" s="15">
        <v>2.214285714285714</v>
      </c>
    </row>
    <row r="3807" spans="1:10" x14ac:dyDescent="0.25">
      <c r="A3807" s="2" t="s">
        <v>9759</v>
      </c>
      <c r="B3807" s="2" t="s">
        <v>7007</v>
      </c>
      <c r="C3807" s="2" t="s">
        <v>9760</v>
      </c>
      <c r="D3807" s="2" t="s">
        <v>10055</v>
      </c>
      <c r="E3807" s="15"/>
      <c r="F3807" s="15"/>
      <c r="G3807" s="15"/>
      <c r="H3807" s="15">
        <v>-1.29E-2</v>
      </c>
      <c r="I3807" s="15">
        <v>1.3100000000000001E-2</v>
      </c>
      <c r="J3807" s="15">
        <v>-0.41221374045801529</v>
      </c>
    </row>
    <row r="3808" spans="1:10" x14ac:dyDescent="0.25">
      <c r="A3808" s="2" t="s">
        <v>9761</v>
      </c>
      <c r="B3808" s="2" t="s">
        <v>7007</v>
      </c>
      <c r="C3808" s="2" t="s">
        <v>9762</v>
      </c>
      <c r="D3808" s="2" t="s">
        <v>10055</v>
      </c>
      <c r="E3808" s="15"/>
      <c r="F3808" s="15"/>
      <c r="G3808" s="15"/>
      <c r="H3808" s="15">
        <v>-3.2000000000000002E-3</v>
      </c>
      <c r="I3808" s="15">
        <v>1.34E-2</v>
      </c>
      <c r="J3808" s="15">
        <v>-0.12878787878787881</v>
      </c>
    </row>
    <row r="3809" spans="1:10" x14ac:dyDescent="0.25">
      <c r="A3809" s="2" t="s">
        <v>9763</v>
      </c>
      <c r="B3809" s="2" t="s">
        <v>7007</v>
      </c>
      <c r="C3809" s="2" t="s">
        <v>9764</v>
      </c>
      <c r="D3809" s="2" t="s">
        <v>10055</v>
      </c>
      <c r="E3809" s="15">
        <v>0.13969999999999999</v>
      </c>
      <c r="F3809" s="15">
        <v>0.24979999999999999</v>
      </c>
      <c r="G3809" s="15">
        <v>0.57599999999999996</v>
      </c>
      <c r="H3809" s="15">
        <v>1.26E-2</v>
      </c>
      <c r="I3809" s="15">
        <v>1.6400000000000001E-2</v>
      </c>
      <c r="J3809" s="15">
        <v>0.30909090909090908</v>
      </c>
    </row>
    <row r="3810" spans="1:10" x14ac:dyDescent="0.25">
      <c r="A3810" s="2" t="s">
        <v>9765</v>
      </c>
      <c r="B3810" s="2" t="s">
        <v>7007</v>
      </c>
      <c r="C3810" s="2" t="s">
        <v>9766</v>
      </c>
      <c r="D3810" s="2" t="s">
        <v>10055</v>
      </c>
      <c r="E3810" s="15">
        <v>-5.1999999999999998E-3</v>
      </c>
      <c r="F3810" s="15">
        <v>0.13739999999999999</v>
      </c>
      <c r="G3810" s="15">
        <v>0.96970000000000001</v>
      </c>
      <c r="H3810" s="15">
        <v>1.6400000000000001E-2</v>
      </c>
      <c r="I3810" s="15">
        <v>1.5299999999999999E-2</v>
      </c>
      <c r="J3810" s="15">
        <v>1.174825174825175</v>
      </c>
    </row>
    <row r="3811" spans="1:10" x14ac:dyDescent="0.25">
      <c r="A3811" s="2" t="s">
        <v>9767</v>
      </c>
      <c r="B3811" s="2" t="s">
        <v>7007</v>
      </c>
      <c r="C3811" s="2" t="s">
        <v>9768</v>
      </c>
      <c r="D3811" s="2" t="s">
        <v>10055</v>
      </c>
      <c r="E3811" s="15"/>
      <c r="F3811" s="15"/>
      <c r="G3811" s="15"/>
      <c r="H3811" s="15">
        <v>-3.5999999999999999E-3</v>
      </c>
      <c r="I3811" s="15">
        <v>1.44E-2</v>
      </c>
      <c r="J3811" s="15">
        <v>-0.125</v>
      </c>
    </row>
    <row r="3812" spans="1:10" x14ac:dyDescent="0.25">
      <c r="A3812" s="2" t="s">
        <v>9769</v>
      </c>
      <c r="B3812" s="2" t="s">
        <v>7007</v>
      </c>
      <c r="C3812" s="2" t="s">
        <v>9770</v>
      </c>
      <c r="D3812" s="2" t="s">
        <v>10055</v>
      </c>
      <c r="E3812" s="15"/>
      <c r="F3812" s="15"/>
      <c r="G3812" s="15"/>
      <c r="H3812" s="15"/>
      <c r="I3812" s="15"/>
      <c r="J3812" s="15">
        <v>-5.5118110236220472E-2</v>
      </c>
    </row>
    <row r="3813" spans="1:10" x14ac:dyDescent="0.25">
      <c r="A3813" s="2" t="s">
        <v>9771</v>
      </c>
      <c r="B3813" s="2" t="s">
        <v>7007</v>
      </c>
      <c r="C3813" s="2" t="s">
        <v>9772</v>
      </c>
      <c r="D3813" s="2" t="s">
        <v>10055</v>
      </c>
      <c r="E3813" s="15">
        <v>0.10050000000000001</v>
      </c>
      <c r="F3813" s="15">
        <v>8.5199999999999998E-2</v>
      </c>
      <c r="G3813" s="15">
        <v>0.2379</v>
      </c>
      <c r="H3813" s="15">
        <v>3.8399999999999997E-2</v>
      </c>
      <c r="I3813" s="15">
        <v>1.52E-2</v>
      </c>
      <c r="J3813" s="15">
        <v>2.3020134228187921</v>
      </c>
    </row>
    <row r="3814" spans="1:10" x14ac:dyDescent="0.25">
      <c r="A3814" s="2" t="s">
        <v>9773</v>
      </c>
      <c r="B3814" s="2" t="s">
        <v>7007</v>
      </c>
      <c r="C3814" s="2" t="s">
        <v>9774</v>
      </c>
      <c r="D3814" s="2" t="s">
        <v>10055</v>
      </c>
      <c r="E3814" s="15">
        <v>-5.6899999999999999E-2</v>
      </c>
      <c r="F3814" s="15">
        <v>0.13719999999999999</v>
      </c>
      <c r="G3814" s="15">
        <v>0.67820000000000003</v>
      </c>
      <c r="H3814" s="15">
        <v>1.52E-2</v>
      </c>
      <c r="I3814" s="15">
        <v>1.44E-2</v>
      </c>
      <c r="J3814" s="15">
        <v>1.0354609929078009</v>
      </c>
    </row>
    <row r="3815" spans="1:10" x14ac:dyDescent="0.25">
      <c r="A3815" s="2" t="s">
        <v>9775</v>
      </c>
      <c r="B3815" s="2" t="s">
        <v>7007</v>
      </c>
      <c r="C3815" s="2" t="s">
        <v>9776</v>
      </c>
      <c r="D3815" s="2" t="s">
        <v>10055</v>
      </c>
      <c r="E3815" s="15">
        <v>1.38E-2</v>
      </c>
      <c r="F3815" s="15">
        <v>0.17829999999999999</v>
      </c>
      <c r="G3815" s="15">
        <v>0.9385</v>
      </c>
      <c r="H3815" s="15">
        <v>9.7999999999999997E-3</v>
      </c>
      <c r="I3815" s="15">
        <v>1.4800000000000001E-2</v>
      </c>
      <c r="J3815" s="15">
        <v>0.41843971631205668</v>
      </c>
    </row>
    <row r="3816" spans="1:10" x14ac:dyDescent="0.25">
      <c r="A3816" s="2" t="s">
        <v>9777</v>
      </c>
      <c r="B3816" s="2" t="s">
        <v>7007</v>
      </c>
      <c r="C3816" s="2" t="s">
        <v>9778</v>
      </c>
      <c r="D3816" s="2" t="s">
        <v>10055</v>
      </c>
      <c r="E3816" s="15"/>
      <c r="F3816" s="15"/>
      <c r="G3816" s="15"/>
      <c r="H3816" s="15">
        <v>-5.0000000000000001E-4</v>
      </c>
      <c r="I3816" s="15">
        <v>1.47E-2</v>
      </c>
      <c r="J3816" s="15">
        <v>-0.57718120805369122</v>
      </c>
    </row>
    <row r="3817" spans="1:10" x14ac:dyDescent="0.25">
      <c r="A3817" s="2" t="s">
        <v>9779</v>
      </c>
      <c r="B3817" s="2" t="s">
        <v>7007</v>
      </c>
      <c r="C3817" s="2" t="s">
        <v>9780</v>
      </c>
      <c r="D3817" s="2" t="s">
        <v>10055</v>
      </c>
      <c r="E3817" s="15">
        <v>9.4000000000000004E-3</v>
      </c>
      <c r="F3817" s="15">
        <v>8.6599999999999996E-2</v>
      </c>
      <c r="G3817" s="15">
        <v>0.9133</v>
      </c>
      <c r="H3817" s="15">
        <v>3.9699999999999999E-2</v>
      </c>
      <c r="I3817" s="15">
        <v>1.34E-2</v>
      </c>
      <c r="J3817" s="15">
        <v>2.481203007518797</v>
      </c>
    </row>
    <row r="3818" spans="1:10" x14ac:dyDescent="0.25">
      <c r="A3818" s="2" t="s">
        <v>9781</v>
      </c>
      <c r="B3818" s="2" t="s">
        <v>7007</v>
      </c>
      <c r="C3818" s="2" t="s">
        <v>9782</v>
      </c>
      <c r="D3818" s="2" t="s">
        <v>10055</v>
      </c>
      <c r="E3818" s="15">
        <v>-0.14149999999999999</v>
      </c>
      <c r="F3818" s="15">
        <v>0.1633</v>
      </c>
      <c r="G3818" s="15">
        <v>0.38619999999999999</v>
      </c>
      <c r="H3818" s="15">
        <v>1.4800000000000001E-2</v>
      </c>
      <c r="I3818" s="15">
        <v>1.6400000000000001E-2</v>
      </c>
      <c r="J3818" s="15">
        <v>0.62658227848101267</v>
      </c>
    </row>
    <row r="3819" spans="1:10" x14ac:dyDescent="0.25">
      <c r="A3819" s="2" t="s">
        <v>9783</v>
      </c>
      <c r="B3819" s="2" t="s">
        <v>7007</v>
      </c>
      <c r="C3819" s="2" t="s">
        <v>9784</v>
      </c>
      <c r="D3819" s="2" t="s">
        <v>10055</v>
      </c>
      <c r="E3819" s="15">
        <v>-0.21</v>
      </c>
      <c r="F3819" s="15">
        <v>0.14530000000000001</v>
      </c>
      <c r="G3819" s="15">
        <v>0.14829999999999999</v>
      </c>
      <c r="H3819" s="15">
        <v>1.7500000000000002E-2</v>
      </c>
      <c r="I3819" s="15">
        <v>1.32E-2</v>
      </c>
      <c r="J3819" s="15">
        <v>1.058394160583942</v>
      </c>
    </row>
    <row r="3820" spans="1:10" x14ac:dyDescent="0.25">
      <c r="A3820" s="2" t="s">
        <v>9785</v>
      </c>
      <c r="B3820" s="2" t="s">
        <v>7007</v>
      </c>
      <c r="C3820" s="2" t="s">
        <v>9786</v>
      </c>
      <c r="D3820" s="2" t="s">
        <v>10055</v>
      </c>
      <c r="E3820" s="15">
        <v>-0.17230000000000001</v>
      </c>
      <c r="F3820" s="15">
        <v>9.0399999999999994E-2</v>
      </c>
      <c r="G3820" s="15">
        <v>5.67E-2</v>
      </c>
      <c r="H3820" s="15">
        <v>3.4799999999999998E-2</v>
      </c>
      <c r="I3820" s="15">
        <v>1.4200000000000001E-2</v>
      </c>
      <c r="J3820" s="15">
        <v>1.985611510791367</v>
      </c>
    </row>
    <row r="3821" spans="1:10" x14ac:dyDescent="0.25">
      <c r="A3821" s="2" t="s">
        <v>9787</v>
      </c>
      <c r="B3821" s="2" t="s">
        <v>7007</v>
      </c>
      <c r="C3821" s="2" t="s">
        <v>9788</v>
      </c>
      <c r="D3821" s="2" t="s">
        <v>10055</v>
      </c>
      <c r="E3821" s="15">
        <v>-0.12239999999999999</v>
      </c>
      <c r="F3821" s="15">
        <v>0.14879999999999999</v>
      </c>
      <c r="G3821" s="15">
        <v>0.41070000000000001</v>
      </c>
      <c r="H3821" s="15">
        <v>1.6400000000000001E-2</v>
      </c>
      <c r="I3821" s="15">
        <v>1.37E-2</v>
      </c>
      <c r="J3821" s="15">
        <v>1.1954887218045109</v>
      </c>
    </row>
    <row r="3822" spans="1:10" x14ac:dyDescent="0.25">
      <c r="A3822" s="2" t="s">
        <v>9789</v>
      </c>
      <c r="B3822" s="2" t="s">
        <v>7007</v>
      </c>
      <c r="C3822" s="2" t="s">
        <v>9790</v>
      </c>
      <c r="D3822" s="2" t="s">
        <v>10055</v>
      </c>
      <c r="E3822" s="15">
        <v>0.16220000000000001</v>
      </c>
      <c r="F3822" s="15">
        <v>0.22520000000000001</v>
      </c>
      <c r="G3822" s="15">
        <v>0.47149999999999997</v>
      </c>
      <c r="H3822" s="15">
        <v>8.3999999999999995E-3</v>
      </c>
      <c r="I3822" s="15">
        <v>1.37E-2</v>
      </c>
      <c r="J3822" s="15">
        <v>-2.7972027972027969E-2</v>
      </c>
    </row>
    <row r="3823" spans="1:10" x14ac:dyDescent="0.25">
      <c r="A3823" s="2" t="s">
        <v>9791</v>
      </c>
      <c r="B3823" s="2" t="s">
        <v>7007</v>
      </c>
      <c r="C3823" s="2" t="s">
        <v>9792</v>
      </c>
      <c r="D3823" s="2" t="s">
        <v>10055</v>
      </c>
      <c r="E3823" s="15"/>
      <c r="F3823" s="15"/>
      <c r="G3823" s="15"/>
      <c r="H3823" s="15">
        <v>-1.8E-3</v>
      </c>
      <c r="I3823" s="15">
        <v>1.61E-2</v>
      </c>
      <c r="J3823" s="15">
        <v>-0.22222222222222221</v>
      </c>
    </row>
    <row r="3824" spans="1:10" x14ac:dyDescent="0.25">
      <c r="A3824" s="2" t="s">
        <v>9793</v>
      </c>
      <c r="B3824" s="2" t="s">
        <v>7007</v>
      </c>
      <c r="C3824" s="2" t="s">
        <v>9794</v>
      </c>
      <c r="D3824" s="2" t="s">
        <v>10055</v>
      </c>
      <c r="E3824" s="15"/>
      <c r="F3824" s="15"/>
      <c r="G3824" s="15"/>
      <c r="H3824" s="15"/>
      <c r="I3824" s="15"/>
      <c r="J3824" s="15">
        <v>0.12213740458015269</v>
      </c>
    </row>
    <row r="3825" spans="1:10" x14ac:dyDescent="0.25">
      <c r="A3825" s="2" t="s">
        <v>9795</v>
      </c>
      <c r="B3825" s="2" t="s">
        <v>7007</v>
      </c>
      <c r="C3825" s="2" t="s">
        <v>9796</v>
      </c>
      <c r="D3825" s="2" t="s">
        <v>10055</v>
      </c>
      <c r="E3825" s="15">
        <v>1.84E-2</v>
      </c>
      <c r="F3825" s="15">
        <v>0.14660000000000001</v>
      </c>
      <c r="G3825" s="15">
        <v>0.90010000000000001</v>
      </c>
      <c r="H3825" s="15">
        <v>1.23E-2</v>
      </c>
      <c r="I3825" s="15">
        <v>1.4500000000000001E-2</v>
      </c>
      <c r="J3825" s="15">
        <v>0.94964028776978426</v>
      </c>
    </row>
    <row r="3826" spans="1:10" x14ac:dyDescent="0.25">
      <c r="A3826" s="2" t="s">
        <v>9797</v>
      </c>
      <c r="B3826" s="2" t="s">
        <v>7007</v>
      </c>
      <c r="C3826" s="2" t="s">
        <v>9798</v>
      </c>
      <c r="D3826" s="2" t="s">
        <v>10055</v>
      </c>
      <c r="E3826" s="15">
        <v>-2.52E-2</v>
      </c>
      <c r="F3826" s="15">
        <v>0.1215</v>
      </c>
      <c r="G3826" s="15">
        <v>0.8357</v>
      </c>
      <c r="H3826" s="15">
        <v>2.0799999999999999E-2</v>
      </c>
      <c r="I3826" s="15">
        <v>1.23E-2</v>
      </c>
      <c r="J3826" s="15">
        <v>1.582677165354331</v>
      </c>
    </row>
    <row r="3827" spans="1:10" x14ac:dyDescent="0.25">
      <c r="A3827" s="2" t="s">
        <v>9799</v>
      </c>
      <c r="B3827" s="2" t="s">
        <v>7007</v>
      </c>
      <c r="C3827" s="2" t="s">
        <v>9800</v>
      </c>
      <c r="D3827" s="2" t="s">
        <v>10055</v>
      </c>
      <c r="E3827" s="15">
        <v>-0.1009</v>
      </c>
      <c r="F3827" s="15">
        <v>8.7099999999999997E-2</v>
      </c>
      <c r="G3827" s="15">
        <v>0.247</v>
      </c>
      <c r="H3827" s="15">
        <v>3.5499999999999997E-2</v>
      </c>
      <c r="I3827" s="15">
        <v>1.5800000000000002E-2</v>
      </c>
      <c r="J3827" s="15">
        <v>2.3648648648648649</v>
      </c>
    </row>
    <row r="3828" spans="1:10" x14ac:dyDescent="0.25">
      <c r="A3828" s="2" t="s">
        <v>9801</v>
      </c>
      <c r="B3828" s="2" t="s">
        <v>7007</v>
      </c>
      <c r="C3828" s="2" t="s">
        <v>9802</v>
      </c>
      <c r="D3828" s="2" t="s">
        <v>10055</v>
      </c>
      <c r="E3828" s="15">
        <v>-0.2097</v>
      </c>
      <c r="F3828" s="15">
        <v>0.1477</v>
      </c>
      <c r="G3828" s="15">
        <v>0.1555</v>
      </c>
      <c r="H3828" s="15">
        <v>1.9699999999999999E-2</v>
      </c>
      <c r="I3828" s="15">
        <v>1.2699999999999999E-2</v>
      </c>
      <c r="J3828" s="15">
        <v>1.0390625</v>
      </c>
    </row>
    <row r="3829" spans="1:10" x14ac:dyDescent="0.25">
      <c r="A3829" s="2" t="s">
        <v>9803</v>
      </c>
      <c r="B3829" s="2" t="s">
        <v>7007</v>
      </c>
      <c r="C3829" s="2" t="s">
        <v>9804</v>
      </c>
      <c r="D3829" s="2" t="s">
        <v>10055</v>
      </c>
      <c r="E3829" s="15">
        <v>-9.06E-2</v>
      </c>
      <c r="F3829" s="15">
        <v>0.2205</v>
      </c>
      <c r="G3829" s="15">
        <v>0.68120000000000003</v>
      </c>
      <c r="H3829" s="15">
        <v>6.4999999999999997E-3</v>
      </c>
      <c r="I3829" s="15">
        <v>1.4200000000000001E-2</v>
      </c>
      <c r="J3829" s="15">
        <v>0.30344827586206902</v>
      </c>
    </row>
    <row r="3830" spans="1:10" x14ac:dyDescent="0.25">
      <c r="A3830" s="2" t="s">
        <v>9805</v>
      </c>
      <c r="B3830" s="2" t="s">
        <v>7007</v>
      </c>
      <c r="C3830" s="2" t="s">
        <v>9806</v>
      </c>
      <c r="D3830" s="2" t="s">
        <v>10055</v>
      </c>
      <c r="E3830" s="15"/>
      <c r="F3830" s="15"/>
      <c r="G3830" s="15"/>
      <c r="H3830" s="15">
        <v>-5.0000000000000001E-4</v>
      </c>
      <c r="I3830" s="15">
        <v>1.34E-2</v>
      </c>
      <c r="J3830" s="15">
        <v>-0.53333333333333333</v>
      </c>
    </row>
    <row r="3831" spans="1:10" x14ac:dyDescent="0.25">
      <c r="A3831" s="2" t="s">
        <v>9807</v>
      </c>
      <c r="B3831" s="2" t="s">
        <v>7007</v>
      </c>
      <c r="C3831" s="2" t="s">
        <v>9808</v>
      </c>
      <c r="D3831" s="2" t="s">
        <v>10055</v>
      </c>
      <c r="E3831" s="15">
        <v>-3.85E-2</v>
      </c>
      <c r="F3831" s="15">
        <v>0.13569999999999999</v>
      </c>
      <c r="G3831" s="15">
        <v>0.77639999999999998</v>
      </c>
      <c r="H3831" s="15">
        <v>1.5599999999999999E-2</v>
      </c>
      <c r="I3831" s="15">
        <v>1.3899999999999999E-2</v>
      </c>
      <c r="J3831" s="15">
        <v>0.70229007633587781</v>
      </c>
    </row>
    <row r="3832" spans="1:10" x14ac:dyDescent="0.25">
      <c r="A3832" s="2" t="s">
        <v>9809</v>
      </c>
      <c r="B3832" s="2" t="s">
        <v>7007</v>
      </c>
      <c r="C3832" s="2" t="s">
        <v>9810</v>
      </c>
      <c r="D3832" s="2" t="s">
        <v>10055</v>
      </c>
      <c r="E3832" s="15">
        <v>0.1464</v>
      </c>
      <c r="F3832" s="15">
        <v>0.17599999999999999</v>
      </c>
      <c r="G3832" s="15">
        <v>0.40560000000000002</v>
      </c>
      <c r="H3832" s="15">
        <v>1.34E-2</v>
      </c>
      <c r="I3832" s="15">
        <v>1.41E-2</v>
      </c>
      <c r="J3832" s="15">
        <v>1.661764705882353</v>
      </c>
    </row>
    <row r="3833" spans="1:10" x14ac:dyDescent="0.25">
      <c r="A3833" s="2" t="s">
        <v>9811</v>
      </c>
      <c r="B3833" s="2" t="s">
        <v>7007</v>
      </c>
      <c r="C3833" s="2" t="s">
        <v>9812</v>
      </c>
      <c r="D3833" s="2" t="s">
        <v>10055</v>
      </c>
      <c r="E3833" s="15"/>
      <c r="F3833" s="15"/>
      <c r="G3833" s="15"/>
      <c r="H3833" s="15">
        <v>-2.3E-3</v>
      </c>
      <c r="I3833" s="15">
        <v>1.43E-2</v>
      </c>
      <c r="J3833" s="15">
        <v>-2.0408163265306121E-2</v>
      </c>
    </row>
    <row r="3834" spans="1:10" x14ac:dyDescent="0.25">
      <c r="A3834" s="2" t="s">
        <v>9813</v>
      </c>
      <c r="B3834" s="2" t="s">
        <v>7007</v>
      </c>
      <c r="C3834" s="2" t="s">
        <v>9814</v>
      </c>
      <c r="D3834" s="2" t="s">
        <v>10055</v>
      </c>
      <c r="E3834" s="15">
        <v>-6.9699999999999998E-2</v>
      </c>
      <c r="F3834" s="15">
        <v>0.11609999999999999</v>
      </c>
      <c r="G3834" s="15">
        <v>0.54820000000000002</v>
      </c>
      <c r="H3834" s="15">
        <v>1.8800000000000001E-2</v>
      </c>
      <c r="I3834" s="15">
        <v>1.41E-2</v>
      </c>
      <c r="J3834" s="15">
        <v>1.2517985611510789</v>
      </c>
    </row>
    <row r="3835" spans="1:10" x14ac:dyDescent="0.25">
      <c r="A3835" s="2" t="s">
        <v>9815</v>
      </c>
      <c r="B3835" s="2" t="s">
        <v>7007</v>
      </c>
      <c r="C3835" s="2" t="s">
        <v>9816</v>
      </c>
      <c r="D3835" s="2" t="s">
        <v>10055</v>
      </c>
      <c r="E3835" s="15">
        <v>-7.8399999999999997E-2</v>
      </c>
      <c r="F3835" s="15">
        <v>0.1057</v>
      </c>
      <c r="G3835" s="15">
        <v>0.45839999999999997</v>
      </c>
      <c r="H3835" s="15">
        <v>2.9700000000000001E-2</v>
      </c>
      <c r="I3835" s="15">
        <v>2.23E-2</v>
      </c>
      <c r="J3835" s="15">
        <v>1.2748815165876779</v>
      </c>
    </row>
    <row r="3836" spans="1:10" x14ac:dyDescent="0.25">
      <c r="A3836" s="2" t="s">
        <v>9817</v>
      </c>
      <c r="B3836" s="2" t="s">
        <v>7007</v>
      </c>
      <c r="C3836" s="2" t="s">
        <v>9818</v>
      </c>
      <c r="D3836" s="2" t="s">
        <v>10055</v>
      </c>
      <c r="E3836" s="15"/>
      <c r="F3836" s="15"/>
      <c r="G3836" s="15"/>
      <c r="H3836" s="15"/>
      <c r="I3836" s="15"/>
      <c r="J3836" s="15">
        <v>-8.1300813008130079E-2</v>
      </c>
    </row>
    <row r="3837" spans="1:10" x14ac:dyDescent="0.25">
      <c r="A3837" s="2" t="s">
        <v>9819</v>
      </c>
      <c r="B3837" s="2" t="s">
        <v>7007</v>
      </c>
      <c r="C3837" s="2" t="s">
        <v>9820</v>
      </c>
      <c r="D3837" s="2" t="s">
        <v>10055</v>
      </c>
      <c r="E3837" s="15">
        <v>0.1464</v>
      </c>
      <c r="F3837" s="15">
        <v>0.1212</v>
      </c>
      <c r="G3837" s="15">
        <v>0.22700000000000001</v>
      </c>
      <c r="H3837" s="15">
        <v>2.5999999999999999E-2</v>
      </c>
      <c r="I3837" s="15">
        <v>1.4500000000000001E-2</v>
      </c>
      <c r="J3837" s="15">
        <v>2.0375939849624061</v>
      </c>
    </row>
    <row r="3838" spans="1:10" x14ac:dyDescent="0.25">
      <c r="A3838" s="2" t="s">
        <v>9821</v>
      </c>
      <c r="B3838" s="2" t="s">
        <v>7007</v>
      </c>
      <c r="C3838" s="2" t="s">
        <v>9822</v>
      </c>
      <c r="D3838" s="2" t="s">
        <v>10055</v>
      </c>
      <c r="E3838" s="15">
        <v>0.21540000000000001</v>
      </c>
      <c r="F3838" s="15">
        <v>0.1802</v>
      </c>
      <c r="G3838" s="15">
        <v>0.2319</v>
      </c>
      <c r="H3838" s="15">
        <v>1.2999999999999999E-2</v>
      </c>
      <c r="I3838" s="15">
        <v>1.2800000000000001E-2</v>
      </c>
      <c r="J3838" s="15">
        <v>0.91869918699186981</v>
      </c>
    </row>
    <row r="3839" spans="1:10" x14ac:dyDescent="0.25">
      <c r="A3839" s="2" t="s">
        <v>9823</v>
      </c>
      <c r="B3839" s="2" t="s">
        <v>7007</v>
      </c>
      <c r="C3839" s="2" t="s">
        <v>9824</v>
      </c>
      <c r="D3839" s="2" t="s">
        <v>10055</v>
      </c>
      <c r="E3839" s="15"/>
      <c r="F3839" s="15"/>
      <c r="G3839" s="15"/>
      <c r="H3839" s="15"/>
      <c r="I3839" s="15"/>
      <c r="J3839" s="15">
        <v>0.84671532846715325</v>
      </c>
    </row>
    <row r="3840" spans="1:10" x14ac:dyDescent="0.25">
      <c r="A3840" s="2" t="s">
        <v>9825</v>
      </c>
      <c r="B3840" s="2" t="s">
        <v>7007</v>
      </c>
      <c r="C3840" s="2" t="s">
        <v>9826</v>
      </c>
      <c r="D3840" s="2" t="s">
        <v>10055</v>
      </c>
      <c r="E3840" s="15"/>
      <c r="F3840" s="15"/>
      <c r="G3840" s="15"/>
      <c r="H3840" s="15">
        <v>-1.6E-2</v>
      </c>
      <c r="I3840" s="15">
        <v>1.38E-2</v>
      </c>
      <c r="J3840" s="15">
        <v>-0.83458646616541365</v>
      </c>
    </row>
    <row r="3841" spans="1:10" x14ac:dyDescent="0.25">
      <c r="A3841" s="2" t="s">
        <v>9827</v>
      </c>
      <c r="B3841" s="2" t="s">
        <v>7007</v>
      </c>
      <c r="C3841" s="2" t="s">
        <v>9828</v>
      </c>
      <c r="D3841" s="2" t="s">
        <v>10055</v>
      </c>
      <c r="E3841" s="15">
        <v>-9.8000000000000004E-2</v>
      </c>
      <c r="F3841" s="15">
        <v>0.1285</v>
      </c>
      <c r="G3841" s="15">
        <v>0.44569999999999999</v>
      </c>
      <c r="H3841" s="15">
        <v>1.5100000000000001E-2</v>
      </c>
      <c r="I3841" s="15">
        <v>1.49E-2</v>
      </c>
      <c r="J3841" s="15">
        <v>1.0069930069930071</v>
      </c>
    </row>
    <row r="3842" spans="1:10" x14ac:dyDescent="0.25">
      <c r="A3842" s="2" t="s">
        <v>9829</v>
      </c>
      <c r="B3842" s="2" t="s">
        <v>7007</v>
      </c>
      <c r="C3842" s="2" t="s">
        <v>9830</v>
      </c>
      <c r="D3842" s="2" t="s">
        <v>10055</v>
      </c>
      <c r="E3842" s="15">
        <v>-7.8600000000000003E-2</v>
      </c>
      <c r="F3842" s="15">
        <v>0.1003</v>
      </c>
      <c r="G3842" s="15">
        <v>0.43340000000000001</v>
      </c>
      <c r="H3842" s="15">
        <v>3.3000000000000002E-2</v>
      </c>
      <c r="I3842" s="15">
        <v>1.4200000000000001E-2</v>
      </c>
      <c r="J3842" s="15">
        <v>1.7841726618705041</v>
      </c>
    </row>
    <row r="3843" spans="1:10" x14ac:dyDescent="0.25">
      <c r="A3843" s="2" t="s">
        <v>9831</v>
      </c>
      <c r="B3843" s="2" t="s">
        <v>7007</v>
      </c>
      <c r="C3843" s="2" t="s">
        <v>9832</v>
      </c>
      <c r="D3843" s="2" t="s">
        <v>10055</v>
      </c>
      <c r="E3843" s="15"/>
      <c r="F3843" s="15"/>
      <c r="G3843" s="15"/>
      <c r="H3843" s="15">
        <v>-1.5900000000000001E-2</v>
      </c>
      <c r="I3843" s="15">
        <v>1.3299999999999999E-2</v>
      </c>
      <c r="J3843" s="15">
        <v>-1.1015625</v>
      </c>
    </row>
    <row r="3844" spans="1:10" x14ac:dyDescent="0.25">
      <c r="A3844" s="2" t="s">
        <v>9833</v>
      </c>
      <c r="B3844" s="2" t="s">
        <v>7007</v>
      </c>
      <c r="C3844" s="2" t="s">
        <v>9834</v>
      </c>
      <c r="D3844" s="2" t="s">
        <v>10055</v>
      </c>
      <c r="E3844" s="15"/>
      <c r="F3844" s="15"/>
      <c r="G3844" s="15"/>
      <c r="H3844" s="15"/>
      <c r="I3844" s="15"/>
      <c r="J3844" s="15">
        <v>0.48344370860927149</v>
      </c>
    </row>
    <row r="3845" spans="1:10" x14ac:dyDescent="0.25">
      <c r="A3845" s="2" t="s">
        <v>9835</v>
      </c>
      <c r="B3845" s="2" t="s">
        <v>7007</v>
      </c>
      <c r="C3845" s="2" t="s">
        <v>9836</v>
      </c>
      <c r="D3845" s="2" t="s">
        <v>10055</v>
      </c>
      <c r="E3845" s="15"/>
      <c r="F3845" s="15"/>
      <c r="G3845" s="15"/>
      <c r="H3845" s="15">
        <v>-1.2E-2</v>
      </c>
      <c r="I3845" s="15">
        <v>1.35E-2</v>
      </c>
      <c r="J3845" s="15">
        <v>-0.38235294117647062</v>
      </c>
    </row>
    <row r="3846" spans="1:10" x14ac:dyDescent="0.25">
      <c r="A3846" s="2" t="s">
        <v>9837</v>
      </c>
      <c r="B3846" s="2" t="s">
        <v>7007</v>
      </c>
      <c r="C3846" s="2" t="s">
        <v>9838</v>
      </c>
      <c r="D3846" s="2" t="s">
        <v>10055</v>
      </c>
      <c r="E3846" s="15"/>
      <c r="F3846" s="15"/>
      <c r="G3846" s="15"/>
      <c r="H3846" s="15">
        <v>-1.4999999999999999E-2</v>
      </c>
      <c r="I3846" s="15">
        <v>1.41E-2</v>
      </c>
      <c r="J3846" s="15">
        <v>-0.91428571428571426</v>
      </c>
    </row>
    <row r="3847" spans="1:10" x14ac:dyDescent="0.25">
      <c r="A3847" s="2" t="s">
        <v>9839</v>
      </c>
      <c r="B3847" s="2" t="s">
        <v>7007</v>
      </c>
      <c r="C3847" s="2" t="s">
        <v>9840</v>
      </c>
      <c r="D3847" s="2" t="s">
        <v>10055</v>
      </c>
      <c r="E3847" s="15">
        <v>5.9999999999999995E-4</v>
      </c>
      <c r="F3847" s="15">
        <v>0.14330000000000001</v>
      </c>
      <c r="G3847" s="15">
        <v>0.99670000000000003</v>
      </c>
      <c r="H3847" s="15">
        <v>1.5900000000000001E-2</v>
      </c>
      <c r="I3847" s="15">
        <v>1.6299999999999999E-2</v>
      </c>
      <c r="J3847" s="15">
        <v>0.95624999999999993</v>
      </c>
    </row>
    <row r="3848" spans="1:10" x14ac:dyDescent="0.25">
      <c r="A3848" s="2" t="s">
        <v>9841</v>
      </c>
      <c r="B3848" s="2" t="s">
        <v>7007</v>
      </c>
      <c r="C3848" s="2" t="s">
        <v>9842</v>
      </c>
      <c r="D3848" s="2" t="s">
        <v>10055</v>
      </c>
      <c r="E3848" s="15"/>
      <c r="F3848" s="15"/>
      <c r="G3848" s="15"/>
      <c r="H3848" s="15">
        <v>-1.03E-2</v>
      </c>
      <c r="I3848" s="15">
        <v>1.35E-2</v>
      </c>
      <c r="J3848" s="15">
        <v>-0.73880597014925375</v>
      </c>
    </row>
    <row r="3849" spans="1:10" x14ac:dyDescent="0.25">
      <c r="A3849" s="2" t="s">
        <v>9843</v>
      </c>
      <c r="B3849" s="2" t="s">
        <v>7007</v>
      </c>
      <c r="C3849" s="2" t="s">
        <v>9844</v>
      </c>
      <c r="D3849" s="2" t="s">
        <v>10055</v>
      </c>
      <c r="E3849" s="15">
        <v>-0.11360000000000001</v>
      </c>
      <c r="F3849" s="15">
        <v>0.16569999999999999</v>
      </c>
      <c r="G3849" s="15">
        <v>0.49309999999999998</v>
      </c>
      <c r="H3849" s="15">
        <v>1.12E-2</v>
      </c>
      <c r="I3849" s="15">
        <v>1.4200000000000001E-2</v>
      </c>
      <c r="J3849" s="15">
        <v>0.64963503649635035</v>
      </c>
    </row>
    <row r="3850" spans="1:10" x14ac:dyDescent="0.25">
      <c r="A3850" s="2" t="s">
        <v>9845</v>
      </c>
      <c r="B3850" s="2" t="s">
        <v>7007</v>
      </c>
      <c r="C3850" s="2" t="s">
        <v>9846</v>
      </c>
      <c r="D3850" s="2" t="s">
        <v>10055</v>
      </c>
      <c r="E3850" s="15">
        <v>-5.2299999999999999E-2</v>
      </c>
      <c r="F3850" s="15">
        <v>0.14410000000000001</v>
      </c>
      <c r="G3850" s="15">
        <v>0.71689999999999998</v>
      </c>
      <c r="H3850" s="15">
        <v>1.34E-2</v>
      </c>
      <c r="I3850" s="15">
        <v>1.5599999999999999E-2</v>
      </c>
      <c r="J3850" s="15">
        <v>0.8866666666666666</v>
      </c>
    </row>
    <row r="3851" spans="1:10" x14ac:dyDescent="0.25">
      <c r="A3851" s="2" t="s">
        <v>9847</v>
      </c>
      <c r="B3851" s="2" t="s">
        <v>7007</v>
      </c>
      <c r="C3851" s="2" t="s">
        <v>9848</v>
      </c>
      <c r="D3851" s="2" t="s">
        <v>10055</v>
      </c>
      <c r="E3851" s="15">
        <v>-0.19170000000000001</v>
      </c>
      <c r="F3851" s="15">
        <v>9.1200000000000003E-2</v>
      </c>
      <c r="G3851" s="15">
        <v>3.5400000000000001E-2</v>
      </c>
      <c r="H3851" s="15">
        <v>3.7199999999999997E-2</v>
      </c>
      <c r="I3851" s="15">
        <v>1.35E-2</v>
      </c>
      <c r="J3851" s="15">
        <v>3.051094890510949</v>
      </c>
    </row>
    <row r="3852" spans="1:10" x14ac:dyDescent="0.25">
      <c r="A3852" s="2" t="s">
        <v>9849</v>
      </c>
      <c r="B3852" s="2" t="s">
        <v>7007</v>
      </c>
      <c r="C3852" s="2" t="s">
        <v>9850</v>
      </c>
      <c r="D3852" s="2" t="s">
        <v>10055</v>
      </c>
      <c r="E3852" s="15"/>
      <c r="F3852" s="15"/>
      <c r="G3852" s="15"/>
      <c r="H3852" s="15">
        <v>-1.03E-2</v>
      </c>
      <c r="I3852" s="15">
        <v>1.3299999999999999E-2</v>
      </c>
      <c r="J3852" s="15">
        <v>-0.80314960629921273</v>
      </c>
    </row>
    <row r="3853" spans="1:10" x14ac:dyDescent="0.25">
      <c r="A3853" s="2" t="s">
        <v>9851</v>
      </c>
      <c r="B3853" s="2" t="s">
        <v>7007</v>
      </c>
      <c r="C3853" s="2" t="s">
        <v>9852</v>
      </c>
      <c r="D3853" s="2" t="s">
        <v>10055</v>
      </c>
      <c r="E3853" s="15">
        <v>-1.5E-3</v>
      </c>
      <c r="F3853" s="15">
        <v>0.1109</v>
      </c>
      <c r="G3853" s="15">
        <v>0.98929999999999996</v>
      </c>
      <c r="H3853" s="15">
        <v>2.58E-2</v>
      </c>
      <c r="I3853" s="15">
        <v>1.43E-2</v>
      </c>
      <c r="J3853" s="15">
        <v>2.0555555555555558</v>
      </c>
    </row>
    <row r="3854" spans="1:10" x14ac:dyDescent="0.25">
      <c r="A3854" s="2" t="s">
        <v>9853</v>
      </c>
      <c r="B3854" s="2" t="s">
        <v>7007</v>
      </c>
      <c r="C3854" s="2" t="s">
        <v>9854</v>
      </c>
      <c r="D3854" s="2" t="s">
        <v>10055</v>
      </c>
      <c r="E3854" s="15">
        <v>0.25519999999999998</v>
      </c>
      <c r="F3854" s="15">
        <v>0.24360000000000001</v>
      </c>
      <c r="G3854" s="15">
        <v>0.29480000000000001</v>
      </c>
      <c r="H3854" s="15">
        <v>1.06E-2</v>
      </c>
      <c r="I3854" s="15">
        <v>1.49E-2</v>
      </c>
      <c r="J3854" s="15">
        <v>0.95070422535211263</v>
      </c>
    </row>
    <row r="3855" spans="1:10" x14ac:dyDescent="0.25">
      <c r="A3855" s="2" t="s">
        <v>9855</v>
      </c>
      <c r="B3855" s="2" t="s">
        <v>7007</v>
      </c>
      <c r="C3855" s="2" t="s">
        <v>9856</v>
      </c>
      <c r="D3855" s="2" t="s">
        <v>10055</v>
      </c>
      <c r="E3855" s="15"/>
      <c r="F3855" s="15"/>
      <c r="G3855" s="15"/>
      <c r="H3855" s="15">
        <v>-6.8999999999999999E-3</v>
      </c>
      <c r="I3855" s="15">
        <v>1.43E-2</v>
      </c>
      <c r="J3855" s="15">
        <v>-0.68571428571428561</v>
      </c>
    </row>
    <row r="3856" spans="1:10" x14ac:dyDescent="0.25">
      <c r="A3856" s="2" t="s">
        <v>9857</v>
      </c>
      <c r="B3856" s="2" t="s">
        <v>7007</v>
      </c>
      <c r="C3856" s="2" t="s">
        <v>9858</v>
      </c>
      <c r="D3856" s="2" t="s">
        <v>10055</v>
      </c>
      <c r="E3856" s="15"/>
      <c r="F3856" s="15"/>
      <c r="G3856" s="15"/>
      <c r="H3856" s="15">
        <v>-9.4999999999999998E-3</v>
      </c>
      <c r="I3856" s="15">
        <v>1.35E-2</v>
      </c>
      <c r="J3856" s="15">
        <v>-0.63636363636363635</v>
      </c>
    </row>
    <row r="3857" spans="1:10" x14ac:dyDescent="0.25">
      <c r="A3857" s="2" t="s">
        <v>9859</v>
      </c>
      <c r="B3857" s="2" t="s">
        <v>7007</v>
      </c>
      <c r="C3857" s="2" t="s">
        <v>9860</v>
      </c>
      <c r="D3857" s="2" t="s">
        <v>10055</v>
      </c>
      <c r="E3857" s="15">
        <v>-3.5999999999999997E-2</v>
      </c>
      <c r="F3857" s="15">
        <v>0.126</v>
      </c>
      <c r="G3857" s="15">
        <v>0.77480000000000004</v>
      </c>
      <c r="H3857" s="15">
        <v>2.1299999999999999E-2</v>
      </c>
      <c r="I3857" s="15">
        <v>1.4200000000000001E-2</v>
      </c>
      <c r="J3857" s="15">
        <v>1.577464788732394</v>
      </c>
    </row>
    <row r="3858" spans="1:10" x14ac:dyDescent="0.25">
      <c r="A3858" s="2" t="s">
        <v>9861</v>
      </c>
      <c r="B3858" s="2" t="s">
        <v>7007</v>
      </c>
      <c r="C3858" s="2" t="s">
        <v>9862</v>
      </c>
      <c r="D3858" s="2" t="s">
        <v>10055</v>
      </c>
      <c r="E3858" s="15"/>
      <c r="F3858" s="15"/>
      <c r="G3858" s="15"/>
      <c r="H3858" s="15"/>
      <c r="I3858" s="15"/>
      <c r="J3858" s="15">
        <v>-0.117283950617284</v>
      </c>
    </row>
    <row r="3859" spans="1:10" x14ac:dyDescent="0.25">
      <c r="A3859" s="2" t="s">
        <v>9863</v>
      </c>
      <c r="B3859" s="2" t="s">
        <v>7007</v>
      </c>
      <c r="C3859" s="2" t="s">
        <v>9864</v>
      </c>
      <c r="D3859" s="2" t="s">
        <v>10055</v>
      </c>
      <c r="E3859" s="15">
        <v>-3.5099999999999999E-2</v>
      </c>
      <c r="F3859" s="15">
        <v>0.1633</v>
      </c>
      <c r="G3859" s="15">
        <v>0.8296</v>
      </c>
      <c r="H3859" s="15">
        <v>1.37E-2</v>
      </c>
      <c r="I3859" s="15">
        <v>1.26E-2</v>
      </c>
      <c r="J3859" s="15">
        <v>1.023622047244094</v>
      </c>
    </row>
    <row r="3860" spans="1:10" x14ac:dyDescent="0.25">
      <c r="A3860" s="2" t="s">
        <v>9865</v>
      </c>
      <c r="B3860" s="2" t="s">
        <v>7007</v>
      </c>
      <c r="C3860" s="2" t="s">
        <v>9866</v>
      </c>
      <c r="D3860" s="2" t="s">
        <v>10055</v>
      </c>
      <c r="E3860" s="15">
        <v>0.1222</v>
      </c>
      <c r="F3860" s="15">
        <v>0.15989999999999999</v>
      </c>
      <c r="G3860" s="15">
        <v>0.4446</v>
      </c>
      <c r="H3860" s="15">
        <v>1.2800000000000001E-2</v>
      </c>
      <c r="I3860" s="15">
        <v>1.41E-2</v>
      </c>
      <c r="J3860" s="15">
        <v>1.259541984732824</v>
      </c>
    </row>
    <row r="3861" spans="1:10" x14ac:dyDescent="0.25">
      <c r="A3861" s="2" t="s">
        <v>9867</v>
      </c>
      <c r="B3861" s="2" t="s">
        <v>7007</v>
      </c>
      <c r="C3861" s="2" t="s">
        <v>9868</v>
      </c>
      <c r="D3861" s="2" t="s">
        <v>10055</v>
      </c>
      <c r="E3861" s="15">
        <v>-0.19600000000000001</v>
      </c>
      <c r="F3861" s="15">
        <v>0.1032</v>
      </c>
      <c r="G3861" s="15">
        <v>5.7599999999999998E-2</v>
      </c>
      <c r="H3861" s="15">
        <v>2.9000000000000001E-2</v>
      </c>
      <c r="I3861" s="15">
        <v>1.4200000000000001E-2</v>
      </c>
      <c r="J3861" s="15">
        <v>1.3308823529411771</v>
      </c>
    </row>
    <row r="3862" spans="1:10" x14ac:dyDescent="0.25">
      <c r="A3862" s="2" t="s">
        <v>9869</v>
      </c>
      <c r="B3862" s="2" t="s">
        <v>7007</v>
      </c>
      <c r="C3862" s="2" t="s">
        <v>9870</v>
      </c>
      <c r="D3862" s="2" t="s">
        <v>10055</v>
      </c>
      <c r="E3862" s="15">
        <v>7.8700000000000006E-2</v>
      </c>
      <c r="F3862" s="15">
        <v>0.12470000000000001</v>
      </c>
      <c r="G3862" s="15">
        <v>0.52810000000000001</v>
      </c>
      <c r="H3862" s="15">
        <v>1.9800000000000002E-2</v>
      </c>
      <c r="I3862" s="15">
        <v>1.55E-2</v>
      </c>
      <c r="J3862" s="15">
        <v>1.067567567567568</v>
      </c>
    </row>
    <row r="3863" spans="1:10" x14ac:dyDescent="0.25">
      <c r="A3863" s="2" t="s">
        <v>9871</v>
      </c>
      <c r="B3863" s="2" t="s">
        <v>7007</v>
      </c>
      <c r="C3863" s="2" t="s">
        <v>9872</v>
      </c>
      <c r="D3863" s="2" t="s">
        <v>10055</v>
      </c>
      <c r="E3863" s="15">
        <v>0.16470000000000001</v>
      </c>
      <c r="F3863" s="15">
        <v>0.23419999999999999</v>
      </c>
      <c r="G3863" s="15">
        <v>0.48209999999999997</v>
      </c>
      <c r="H3863" s="15">
        <v>1.6400000000000001E-2</v>
      </c>
      <c r="I3863" s="15">
        <v>1.61E-2</v>
      </c>
      <c r="J3863" s="15">
        <v>1.36</v>
      </c>
    </row>
    <row r="3864" spans="1:10" x14ac:dyDescent="0.25">
      <c r="A3864" s="2" t="s">
        <v>9873</v>
      </c>
      <c r="B3864" s="2" t="s">
        <v>7007</v>
      </c>
      <c r="C3864" s="2" t="s">
        <v>9874</v>
      </c>
      <c r="D3864" s="2" t="s">
        <v>10055</v>
      </c>
      <c r="E3864" s="15">
        <v>0.2364</v>
      </c>
      <c r="F3864" s="15">
        <v>0.53979999999999995</v>
      </c>
      <c r="G3864" s="15">
        <v>0.66139999999999999</v>
      </c>
      <c r="H3864" s="15">
        <v>4.3E-3</v>
      </c>
      <c r="I3864" s="15">
        <v>1.2699999999999999E-2</v>
      </c>
      <c r="J3864" s="15">
        <v>-7.7519379844961248E-3</v>
      </c>
    </row>
    <row r="3865" spans="1:10" x14ac:dyDescent="0.25">
      <c r="A3865" s="2" t="s">
        <v>9875</v>
      </c>
      <c r="B3865" s="2" t="s">
        <v>7007</v>
      </c>
      <c r="C3865" s="2" t="s">
        <v>9876</v>
      </c>
      <c r="D3865" s="2" t="s">
        <v>10055</v>
      </c>
      <c r="E3865" s="15">
        <v>0.22020000000000001</v>
      </c>
      <c r="F3865" s="15">
        <v>0.1003</v>
      </c>
      <c r="G3865" s="15">
        <v>2.81E-2</v>
      </c>
      <c r="H3865" s="15">
        <v>3.78E-2</v>
      </c>
      <c r="I3865" s="15">
        <v>1.4500000000000001E-2</v>
      </c>
      <c r="J3865" s="15">
        <v>3.092857142857143</v>
      </c>
    </row>
    <row r="3866" spans="1:10" x14ac:dyDescent="0.25">
      <c r="A3866" s="2" t="s">
        <v>9877</v>
      </c>
      <c r="B3866" s="2" t="s">
        <v>7007</v>
      </c>
      <c r="C3866" s="2" t="s">
        <v>9878</v>
      </c>
      <c r="D3866" s="2" t="s">
        <v>10055</v>
      </c>
      <c r="E3866" s="15">
        <v>-9.5100000000000004E-2</v>
      </c>
      <c r="F3866" s="15">
        <v>7.9000000000000001E-2</v>
      </c>
      <c r="G3866" s="15">
        <v>0.22819999999999999</v>
      </c>
      <c r="H3866" s="15">
        <v>5.5399999999999998E-2</v>
      </c>
      <c r="I3866" s="15">
        <v>1.4200000000000001E-2</v>
      </c>
      <c r="J3866" s="15">
        <v>3.539007092198581</v>
      </c>
    </row>
    <row r="3867" spans="1:10" x14ac:dyDescent="0.25">
      <c r="A3867" s="2" t="s">
        <v>9879</v>
      </c>
      <c r="B3867" s="2" t="s">
        <v>7007</v>
      </c>
      <c r="C3867" s="2" t="s">
        <v>9880</v>
      </c>
      <c r="D3867" s="2" t="s">
        <v>10055</v>
      </c>
      <c r="E3867" s="15">
        <v>-5.5500000000000001E-2</v>
      </c>
      <c r="F3867" s="15">
        <v>0.14380000000000001</v>
      </c>
      <c r="G3867" s="15">
        <v>0.69940000000000002</v>
      </c>
      <c r="H3867" s="15">
        <v>1.34E-2</v>
      </c>
      <c r="I3867" s="15">
        <v>1.4E-2</v>
      </c>
      <c r="J3867" s="15">
        <v>0.90140845070422537</v>
      </c>
    </row>
    <row r="3868" spans="1:10" x14ac:dyDescent="0.25">
      <c r="A3868" s="2" t="s">
        <v>9881</v>
      </c>
      <c r="B3868" s="2" t="s">
        <v>7007</v>
      </c>
      <c r="C3868" s="2" t="s">
        <v>9882</v>
      </c>
      <c r="D3868" s="2" t="s">
        <v>10055</v>
      </c>
      <c r="E3868" s="15">
        <v>2.76E-2</v>
      </c>
      <c r="F3868" s="15">
        <v>6.7100000000000007E-2</v>
      </c>
      <c r="G3868" s="15">
        <v>0.68149999999999999</v>
      </c>
      <c r="H3868" s="15">
        <v>6.1100000000000002E-2</v>
      </c>
      <c r="I3868" s="15">
        <v>1.52E-2</v>
      </c>
      <c r="J3868" s="15">
        <v>4.169014084507042</v>
      </c>
    </row>
    <row r="3869" spans="1:10" x14ac:dyDescent="0.25">
      <c r="A3869" s="2" t="s">
        <v>9883</v>
      </c>
      <c r="B3869" s="2" t="s">
        <v>7007</v>
      </c>
      <c r="C3869" s="2" t="s">
        <v>9884</v>
      </c>
      <c r="D3869" s="2" t="s">
        <v>10055</v>
      </c>
      <c r="E3869" s="15"/>
      <c r="F3869" s="15"/>
      <c r="G3869" s="15"/>
      <c r="H3869" s="15"/>
      <c r="I3869" s="15"/>
      <c r="J3869" s="15">
        <v>-0.11570247933884301</v>
      </c>
    </row>
    <row r="3870" spans="1:10" x14ac:dyDescent="0.25">
      <c r="A3870" s="2" t="s">
        <v>9885</v>
      </c>
      <c r="B3870" s="2" t="s">
        <v>7007</v>
      </c>
      <c r="C3870" s="2" t="s">
        <v>9886</v>
      </c>
      <c r="D3870" s="2" t="s">
        <v>10055</v>
      </c>
      <c r="E3870" s="15">
        <v>3.73E-2</v>
      </c>
      <c r="F3870" s="15">
        <v>0.12859999999999999</v>
      </c>
      <c r="G3870" s="15">
        <v>0.77200000000000002</v>
      </c>
      <c r="H3870" s="15">
        <v>2.4400000000000002E-2</v>
      </c>
      <c r="I3870" s="15">
        <v>1.4200000000000001E-2</v>
      </c>
      <c r="J3870" s="15">
        <v>1.7259259259259261</v>
      </c>
    </row>
    <row r="3871" spans="1:10" x14ac:dyDescent="0.25">
      <c r="A3871" s="2" t="s">
        <v>9887</v>
      </c>
      <c r="B3871" s="2" t="s">
        <v>7007</v>
      </c>
      <c r="C3871" s="2" t="s">
        <v>9888</v>
      </c>
      <c r="D3871" s="2" t="s">
        <v>10055</v>
      </c>
      <c r="E3871" s="15">
        <v>5.5E-2</v>
      </c>
      <c r="F3871" s="15">
        <v>6.88E-2</v>
      </c>
      <c r="G3871" s="15">
        <v>0.42409999999999998</v>
      </c>
      <c r="H3871" s="15">
        <v>5.3499999999999999E-2</v>
      </c>
      <c r="I3871" s="15">
        <v>1.54E-2</v>
      </c>
      <c r="J3871" s="15">
        <v>3.797385620915033</v>
      </c>
    </row>
    <row r="3872" spans="1:10" x14ac:dyDescent="0.25">
      <c r="A3872" s="2" t="s">
        <v>9889</v>
      </c>
      <c r="B3872" s="2" t="s">
        <v>7007</v>
      </c>
      <c r="C3872" s="2" t="s">
        <v>9890</v>
      </c>
      <c r="D3872" s="2" t="s">
        <v>10055</v>
      </c>
      <c r="E3872" s="15">
        <v>8.6900000000000005E-2</v>
      </c>
      <c r="F3872" s="15">
        <v>8.6699999999999999E-2</v>
      </c>
      <c r="G3872" s="15">
        <v>0.31630000000000003</v>
      </c>
      <c r="H3872" s="15">
        <v>3.8100000000000002E-2</v>
      </c>
      <c r="I3872" s="15">
        <v>1.6899999999999998E-2</v>
      </c>
      <c r="J3872" s="15">
        <v>2.5375000000000001</v>
      </c>
    </row>
    <row r="3873" spans="1:10" x14ac:dyDescent="0.25">
      <c r="A3873" s="2" t="s">
        <v>9891</v>
      </c>
      <c r="B3873" s="2" t="s">
        <v>7007</v>
      </c>
      <c r="C3873" s="2" t="s">
        <v>9892</v>
      </c>
      <c r="D3873" s="2" t="s">
        <v>10055</v>
      </c>
      <c r="E3873" s="15">
        <v>-5.7799999999999997E-2</v>
      </c>
      <c r="F3873" s="15">
        <v>8.6400000000000005E-2</v>
      </c>
      <c r="G3873" s="15">
        <v>0.50319999999999998</v>
      </c>
      <c r="H3873" s="15">
        <v>3.7699999999999997E-2</v>
      </c>
      <c r="I3873" s="15">
        <v>1.7000000000000001E-2</v>
      </c>
      <c r="J3873" s="15">
        <v>2.416666666666667</v>
      </c>
    </row>
    <row r="3874" spans="1:10" x14ac:dyDescent="0.25">
      <c r="A3874" s="2" t="s">
        <v>9893</v>
      </c>
      <c r="B3874" s="2" t="s">
        <v>7007</v>
      </c>
      <c r="C3874" s="2" t="s">
        <v>9894</v>
      </c>
      <c r="D3874" s="2" t="s">
        <v>10055</v>
      </c>
      <c r="E3874" s="15">
        <v>0.1323</v>
      </c>
      <c r="F3874" s="15">
        <v>0.15179999999999999</v>
      </c>
      <c r="G3874" s="15">
        <v>0.38350000000000001</v>
      </c>
      <c r="H3874" s="15">
        <v>2.07E-2</v>
      </c>
      <c r="I3874" s="15">
        <v>1.6199999999999999E-2</v>
      </c>
      <c r="J3874" s="15">
        <v>1.5308641975308639</v>
      </c>
    </row>
    <row r="3875" spans="1:10" x14ac:dyDescent="0.25">
      <c r="A3875" s="2" t="s">
        <v>9895</v>
      </c>
      <c r="B3875" s="2" t="s">
        <v>7007</v>
      </c>
      <c r="C3875" s="2" t="s">
        <v>9896</v>
      </c>
      <c r="D3875" s="2" t="s">
        <v>10055</v>
      </c>
      <c r="E3875" s="15">
        <v>0.2326</v>
      </c>
      <c r="F3875" s="15">
        <v>0.42649999999999999</v>
      </c>
      <c r="G3875" s="15">
        <v>0.58560000000000001</v>
      </c>
      <c r="H3875" s="15">
        <v>5.4000000000000003E-3</v>
      </c>
      <c r="I3875" s="15">
        <v>1.43E-2</v>
      </c>
      <c r="J3875" s="15">
        <v>0.91176470588235292</v>
      </c>
    </row>
    <row r="3876" spans="1:10" x14ac:dyDescent="0.25">
      <c r="A3876" s="2" t="s">
        <v>9897</v>
      </c>
      <c r="B3876" s="2" t="s">
        <v>7007</v>
      </c>
      <c r="C3876" s="2" t="s">
        <v>9898</v>
      </c>
      <c r="D3876" s="2" t="s">
        <v>10055</v>
      </c>
      <c r="E3876" s="15">
        <v>-4.6800000000000001E-2</v>
      </c>
      <c r="F3876" s="15">
        <v>0.1011</v>
      </c>
      <c r="G3876" s="15">
        <v>0.64319999999999999</v>
      </c>
      <c r="H3876" s="15">
        <v>3.3399999999999999E-2</v>
      </c>
      <c r="I3876" s="15">
        <v>1.4800000000000001E-2</v>
      </c>
      <c r="J3876" s="15">
        <v>1.9659863945578231</v>
      </c>
    </row>
    <row r="3877" spans="1:10" x14ac:dyDescent="0.25">
      <c r="A3877" s="2" t="s">
        <v>9899</v>
      </c>
      <c r="B3877" s="2" t="s">
        <v>7007</v>
      </c>
      <c r="C3877" s="2" t="s">
        <v>9900</v>
      </c>
      <c r="D3877" s="2" t="s">
        <v>10055</v>
      </c>
      <c r="E3877" s="15">
        <v>-6.1400000000000003E-2</v>
      </c>
      <c r="F3877" s="15">
        <v>0.17199999999999999</v>
      </c>
      <c r="G3877" s="15">
        <v>0.72099999999999997</v>
      </c>
      <c r="H3877" s="15">
        <v>1.01E-2</v>
      </c>
      <c r="I3877" s="15">
        <v>1.2999999999999999E-2</v>
      </c>
      <c r="J3877" s="15">
        <v>0.35156249999999989</v>
      </c>
    </row>
    <row r="3878" spans="1:10" x14ac:dyDescent="0.25">
      <c r="A3878" s="2" t="s">
        <v>9901</v>
      </c>
      <c r="B3878" s="2" t="s">
        <v>7007</v>
      </c>
      <c r="C3878" s="2" t="s">
        <v>9902</v>
      </c>
      <c r="D3878" s="2" t="s">
        <v>10055</v>
      </c>
      <c r="E3878" s="15">
        <v>-3.4799999999999998E-2</v>
      </c>
      <c r="F3878" s="15">
        <v>0.1009</v>
      </c>
      <c r="G3878" s="15">
        <v>0.73009999999999997</v>
      </c>
      <c r="H3878" s="15">
        <v>3.09E-2</v>
      </c>
      <c r="I3878" s="15">
        <v>1.5299999999999999E-2</v>
      </c>
      <c r="J3878" s="15">
        <v>2.1972789115646258</v>
      </c>
    </row>
    <row r="3879" spans="1:10" x14ac:dyDescent="0.25">
      <c r="A3879" s="2" t="s">
        <v>9903</v>
      </c>
      <c r="B3879" s="2" t="s">
        <v>7007</v>
      </c>
      <c r="C3879" s="2" t="s">
        <v>9904</v>
      </c>
      <c r="D3879" s="2" t="s">
        <v>10055</v>
      </c>
      <c r="E3879" s="15">
        <v>-7.5200000000000003E-2</v>
      </c>
      <c r="F3879" s="15">
        <v>0.15429999999999999</v>
      </c>
      <c r="G3879" s="15">
        <v>0.62609999999999999</v>
      </c>
      <c r="H3879" s="15">
        <v>1.4200000000000001E-2</v>
      </c>
      <c r="I3879" s="15">
        <v>1.32E-2</v>
      </c>
      <c r="J3879" s="15">
        <v>1.622047244094488</v>
      </c>
    </row>
    <row r="3880" spans="1:10" x14ac:dyDescent="0.25">
      <c r="A3880" s="2" t="s">
        <v>9905</v>
      </c>
      <c r="B3880" s="2" t="s">
        <v>7007</v>
      </c>
      <c r="C3880" s="2" t="s">
        <v>9906</v>
      </c>
      <c r="D3880" s="2" t="s">
        <v>10055</v>
      </c>
      <c r="E3880" s="15">
        <v>-9.1700000000000004E-2</v>
      </c>
      <c r="F3880" s="15">
        <v>8.0699999999999994E-2</v>
      </c>
      <c r="G3880" s="15">
        <v>0.25559999999999999</v>
      </c>
      <c r="H3880" s="15">
        <v>3.85E-2</v>
      </c>
      <c r="I3880" s="15">
        <v>1.46E-2</v>
      </c>
      <c r="J3880" s="15">
        <v>3.5314685314685321</v>
      </c>
    </row>
    <row r="3881" spans="1:10" x14ac:dyDescent="0.25">
      <c r="A3881" s="2" t="s">
        <v>9907</v>
      </c>
      <c r="B3881" s="2" t="s">
        <v>7007</v>
      </c>
      <c r="C3881" s="2" t="s">
        <v>9908</v>
      </c>
      <c r="D3881" s="2" t="s">
        <v>10055</v>
      </c>
      <c r="E3881" s="15"/>
      <c r="F3881" s="15"/>
      <c r="G3881" s="15"/>
      <c r="H3881" s="15">
        <v>-7.1000000000000004E-3</v>
      </c>
      <c r="I3881" s="15">
        <v>1.43E-2</v>
      </c>
      <c r="J3881" s="15">
        <v>-0.39552238805970152</v>
      </c>
    </row>
    <row r="3882" spans="1:10" x14ac:dyDescent="0.25">
      <c r="A3882" s="2" t="s">
        <v>9909</v>
      </c>
      <c r="B3882" s="2" t="s">
        <v>7007</v>
      </c>
      <c r="C3882" s="2" t="s">
        <v>9910</v>
      </c>
      <c r="D3882" s="2" t="s">
        <v>10055</v>
      </c>
      <c r="E3882" s="15">
        <v>0.1147</v>
      </c>
      <c r="F3882" s="15">
        <v>0.10059999999999999</v>
      </c>
      <c r="G3882" s="15">
        <v>0.25409999999999999</v>
      </c>
      <c r="H3882" s="15">
        <v>3.5000000000000003E-2</v>
      </c>
      <c r="I3882" s="15">
        <v>1.41E-2</v>
      </c>
      <c r="J3882" s="15">
        <v>3.0514705882352939</v>
      </c>
    </row>
    <row r="3883" spans="1:10" x14ac:dyDescent="0.25">
      <c r="A3883" s="2" t="s">
        <v>9911</v>
      </c>
      <c r="B3883" s="2" t="s">
        <v>7007</v>
      </c>
      <c r="C3883" s="2" t="s">
        <v>9912</v>
      </c>
      <c r="D3883" s="2" t="s">
        <v>10055</v>
      </c>
      <c r="E3883" s="15"/>
      <c r="F3883" s="15"/>
      <c r="G3883" s="15"/>
      <c r="H3883" s="15">
        <v>-2.1000000000000001E-2</v>
      </c>
      <c r="I3883" s="15">
        <v>1.32E-2</v>
      </c>
      <c r="J3883" s="15">
        <v>-1.694029850746269</v>
      </c>
    </row>
    <row r="3884" spans="1:10" x14ac:dyDescent="0.25">
      <c r="A3884" s="2" t="s">
        <v>9913</v>
      </c>
      <c r="B3884" s="2" t="s">
        <v>7007</v>
      </c>
      <c r="C3884" s="2" t="s">
        <v>9914</v>
      </c>
      <c r="D3884" s="2" t="s">
        <v>10055</v>
      </c>
      <c r="E3884" s="15">
        <v>0.1168</v>
      </c>
      <c r="F3884" s="15">
        <v>0.1265</v>
      </c>
      <c r="G3884" s="15">
        <v>0.35580000000000001</v>
      </c>
      <c r="H3884" s="15">
        <v>2.0199999999999999E-2</v>
      </c>
      <c r="I3884" s="15">
        <v>1.47E-2</v>
      </c>
      <c r="J3884" s="15">
        <v>1.4722222222222221</v>
      </c>
    </row>
    <row r="3885" spans="1:10" x14ac:dyDescent="0.25">
      <c r="A3885" s="2" t="s">
        <v>9915</v>
      </c>
      <c r="B3885" s="2" t="s">
        <v>7007</v>
      </c>
      <c r="C3885" s="2" t="s">
        <v>9916</v>
      </c>
      <c r="D3885" s="2" t="s">
        <v>10055</v>
      </c>
      <c r="E3885" s="15">
        <v>-0.13300000000000001</v>
      </c>
      <c r="F3885" s="15">
        <v>7.9200000000000007E-2</v>
      </c>
      <c r="G3885" s="15">
        <v>9.3399999999999997E-2</v>
      </c>
      <c r="H3885" s="15">
        <v>5.4899999999999997E-2</v>
      </c>
      <c r="I3885" s="15">
        <v>1.46E-2</v>
      </c>
      <c r="J3885" s="15">
        <v>4.1428571428571432</v>
      </c>
    </row>
    <row r="3886" spans="1:10" x14ac:dyDescent="0.25">
      <c r="A3886" s="2" t="s">
        <v>9917</v>
      </c>
      <c r="B3886" s="2" t="s">
        <v>7007</v>
      </c>
      <c r="C3886" s="2" t="s">
        <v>9918</v>
      </c>
      <c r="D3886" s="2" t="s">
        <v>10055</v>
      </c>
      <c r="E3886" s="15">
        <v>3.6400000000000002E-2</v>
      </c>
      <c r="F3886" s="15">
        <v>7.4200000000000002E-2</v>
      </c>
      <c r="G3886" s="15">
        <v>0.624</v>
      </c>
      <c r="H3886" s="15">
        <v>5.0599999999999999E-2</v>
      </c>
      <c r="I3886" s="15">
        <v>1.6500000000000001E-2</v>
      </c>
      <c r="J3886" s="15">
        <v>3.132530120481928</v>
      </c>
    </row>
    <row r="3887" spans="1:10" x14ac:dyDescent="0.25">
      <c r="A3887" s="2" t="s">
        <v>9919</v>
      </c>
      <c r="B3887" s="2" t="s">
        <v>7007</v>
      </c>
      <c r="C3887" s="2" t="s">
        <v>9920</v>
      </c>
      <c r="D3887" s="2" t="s">
        <v>10055</v>
      </c>
      <c r="E3887" s="15">
        <v>-0.2122</v>
      </c>
      <c r="F3887" s="15">
        <v>0.13089999999999999</v>
      </c>
      <c r="G3887" s="15">
        <v>0.1051</v>
      </c>
      <c r="H3887" s="15">
        <v>2.3599999999999999E-2</v>
      </c>
      <c r="I3887" s="15">
        <v>1.4800000000000001E-2</v>
      </c>
      <c r="J3887" s="15">
        <v>1.3642857142857141</v>
      </c>
    </row>
    <row r="3888" spans="1:10" x14ac:dyDescent="0.25">
      <c r="A3888" s="2" t="s">
        <v>9921</v>
      </c>
      <c r="B3888" s="2" t="s">
        <v>7007</v>
      </c>
      <c r="C3888" s="2" t="s">
        <v>9922</v>
      </c>
      <c r="D3888" s="2" t="s">
        <v>10055</v>
      </c>
      <c r="E3888" s="15">
        <v>0.1012</v>
      </c>
      <c r="F3888" s="15">
        <v>8.9099999999999999E-2</v>
      </c>
      <c r="G3888" s="15">
        <v>0.25629999999999997</v>
      </c>
      <c r="H3888" s="15">
        <v>3.39E-2</v>
      </c>
      <c r="I3888" s="15">
        <v>1.3299999999999999E-2</v>
      </c>
      <c r="J3888" s="15">
        <v>2.6466165413533842</v>
      </c>
    </row>
    <row r="3889" spans="1:10" x14ac:dyDescent="0.25">
      <c r="A3889" s="2" t="s">
        <v>9923</v>
      </c>
      <c r="B3889" s="2" t="s">
        <v>7007</v>
      </c>
      <c r="C3889" s="2" t="s">
        <v>9924</v>
      </c>
      <c r="D3889" s="2" t="s">
        <v>10055</v>
      </c>
      <c r="E3889" s="15">
        <v>8.43E-2</v>
      </c>
      <c r="F3889" s="15">
        <v>0.1177</v>
      </c>
      <c r="G3889" s="15">
        <v>0.47399999999999998</v>
      </c>
      <c r="H3889" s="15">
        <v>2.1299999999999999E-2</v>
      </c>
      <c r="I3889" s="15">
        <v>1.34E-2</v>
      </c>
      <c r="J3889" s="15">
        <v>1.583941605839416</v>
      </c>
    </row>
    <row r="3890" spans="1:10" x14ac:dyDescent="0.25">
      <c r="A3890" s="2" t="s">
        <v>9925</v>
      </c>
      <c r="B3890" s="2" t="s">
        <v>7007</v>
      </c>
      <c r="C3890" s="2" t="s">
        <v>9926</v>
      </c>
      <c r="D3890" s="2" t="s">
        <v>10055</v>
      </c>
      <c r="E3890" s="15">
        <v>7.2099999999999997E-2</v>
      </c>
      <c r="F3890" s="15">
        <v>7.85E-2</v>
      </c>
      <c r="G3890" s="15">
        <v>0.35870000000000002</v>
      </c>
      <c r="H3890" s="15">
        <v>5.4300000000000001E-2</v>
      </c>
      <c r="I3890" s="15">
        <v>1.6400000000000001E-2</v>
      </c>
      <c r="J3890" s="15">
        <v>3.5696969696969689</v>
      </c>
    </row>
    <row r="3891" spans="1:10" x14ac:dyDescent="0.25">
      <c r="A3891" s="2" t="s">
        <v>9927</v>
      </c>
      <c r="B3891" s="2" t="s">
        <v>7007</v>
      </c>
      <c r="C3891" s="2" t="s">
        <v>9928</v>
      </c>
      <c r="D3891" s="2" t="s">
        <v>10055</v>
      </c>
      <c r="E3891" s="15"/>
      <c r="F3891" s="15"/>
      <c r="G3891" s="15"/>
      <c r="H3891" s="15">
        <v>-9.5999999999999992E-3</v>
      </c>
      <c r="I3891" s="15">
        <v>1.23E-2</v>
      </c>
      <c r="J3891" s="15">
        <v>-0.88235294117647056</v>
      </c>
    </row>
    <row r="3892" spans="1:10" x14ac:dyDescent="0.25">
      <c r="A3892" s="2" t="s">
        <v>9929</v>
      </c>
      <c r="B3892" s="2" t="s">
        <v>7007</v>
      </c>
      <c r="C3892" s="2" t="s">
        <v>9930</v>
      </c>
      <c r="D3892" s="2" t="s">
        <v>10055</v>
      </c>
      <c r="E3892" s="15">
        <v>-5.2499999999999998E-2</v>
      </c>
      <c r="F3892" s="15">
        <v>9.64E-2</v>
      </c>
      <c r="G3892" s="15">
        <v>0.58609999999999995</v>
      </c>
      <c r="H3892" s="15">
        <v>3.2300000000000002E-2</v>
      </c>
      <c r="I3892" s="15">
        <v>1.4500000000000001E-2</v>
      </c>
      <c r="J3892" s="15">
        <v>2.253521126760563</v>
      </c>
    </row>
    <row r="3893" spans="1:10" x14ac:dyDescent="0.25">
      <c r="A3893" s="2" t="s">
        <v>9931</v>
      </c>
      <c r="B3893" s="2" t="s">
        <v>7007</v>
      </c>
      <c r="C3893" s="2" t="s">
        <v>9932</v>
      </c>
      <c r="D3893" s="2" t="s">
        <v>10055</v>
      </c>
      <c r="E3893" s="15">
        <v>0.13239999999999999</v>
      </c>
      <c r="F3893" s="15">
        <v>0.1739</v>
      </c>
      <c r="G3893" s="15">
        <v>0.44650000000000001</v>
      </c>
      <c r="H3893" s="15">
        <v>9.7999999999999997E-3</v>
      </c>
      <c r="I3893" s="15">
        <v>1.34E-2</v>
      </c>
      <c r="J3893" s="15">
        <v>1.0148148148148151</v>
      </c>
    </row>
    <row r="3894" spans="1:10" x14ac:dyDescent="0.25">
      <c r="A3894" s="2" t="s">
        <v>9933</v>
      </c>
      <c r="B3894" s="2" t="s">
        <v>7007</v>
      </c>
      <c r="C3894" s="2" t="s">
        <v>9934</v>
      </c>
      <c r="D3894" s="2" t="s">
        <v>10055</v>
      </c>
      <c r="E3894" s="15">
        <v>0.27750000000000002</v>
      </c>
      <c r="F3894" s="15">
        <v>0.57630000000000003</v>
      </c>
      <c r="G3894" s="15">
        <v>0.63009999999999999</v>
      </c>
      <c r="H3894" s="15">
        <v>6.7999999999999996E-3</v>
      </c>
      <c r="I3894" s="15">
        <v>1.6500000000000001E-2</v>
      </c>
      <c r="J3894" s="15">
        <v>0.35897435897435898</v>
      </c>
    </row>
    <row r="3895" spans="1:10" x14ac:dyDescent="0.25">
      <c r="A3895" s="2" t="s">
        <v>9935</v>
      </c>
      <c r="B3895" s="2" t="s">
        <v>7007</v>
      </c>
      <c r="C3895" s="2" t="s">
        <v>9936</v>
      </c>
      <c r="D3895" s="2" t="s">
        <v>10055</v>
      </c>
      <c r="E3895" s="15">
        <v>0.1222</v>
      </c>
      <c r="F3895" s="15">
        <v>0.161</v>
      </c>
      <c r="G3895" s="15">
        <v>0.4481</v>
      </c>
      <c r="H3895" s="15">
        <v>1.37E-2</v>
      </c>
      <c r="I3895" s="15">
        <v>1.5299999999999999E-2</v>
      </c>
      <c r="J3895" s="15">
        <v>0.87919463087248328</v>
      </c>
    </row>
    <row r="3896" spans="1:10" x14ac:dyDescent="0.25">
      <c r="A3896" s="2" t="s">
        <v>9937</v>
      </c>
      <c r="B3896" s="2" t="s">
        <v>7007</v>
      </c>
      <c r="C3896" s="2" t="s">
        <v>9938</v>
      </c>
      <c r="D3896" s="2" t="s">
        <v>10055</v>
      </c>
      <c r="E3896" s="15"/>
      <c r="F3896" s="15"/>
      <c r="G3896" s="15"/>
      <c r="H3896" s="15">
        <v>-7.1000000000000004E-3</v>
      </c>
      <c r="I3896" s="15">
        <v>1.3100000000000001E-2</v>
      </c>
      <c r="J3896" s="15">
        <v>-0.50359712230215836</v>
      </c>
    </row>
    <row r="3897" spans="1:10" x14ac:dyDescent="0.25">
      <c r="A3897" s="2" t="s">
        <v>9939</v>
      </c>
      <c r="B3897" s="2" t="s">
        <v>7007</v>
      </c>
      <c r="C3897" s="2" t="s">
        <v>9940</v>
      </c>
      <c r="D3897" s="2" t="s">
        <v>10055</v>
      </c>
      <c r="E3897" s="15"/>
      <c r="F3897" s="15"/>
      <c r="G3897" s="15"/>
      <c r="H3897" s="15">
        <v>-1.04E-2</v>
      </c>
      <c r="I3897" s="15">
        <v>1.4E-2</v>
      </c>
      <c r="J3897" s="15">
        <v>-0.6875</v>
      </c>
    </row>
    <row r="3898" spans="1:10" x14ac:dyDescent="0.25">
      <c r="A3898" s="2" t="s">
        <v>9941</v>
      </c>
      <c r="B3898" s="2" t="s">
        <v>7007</v>
      </c>
      <c r="C3898" s="2" t="s">
        <v>9942</v>
      </c>
      <c r="D3898" s="2" t="s">
        <v>10055</v>
      </c>
      <c r="E3898" s="15">
        <v>4.87E-2</v>
      </c>
      <c r="F3898" s="15">
        <v>9.98E-2</v>
      </c>
      <c r="G3898" s="15">
        <v>0.62509999999999999</v>
      </c>
      <c r="H3898" s="15">
        <v>3.04E-2</v>
      </c>
      <c r="I3898" s="15">
        <v>1.3899999999999999E-2</v>
      </c>
      <c r="J3898" s="15">
        <v>2.439393939393939</v>
      </c>
    </row>
    <row r="3899" spans="1:10" x14ac:dyDescent="0.25">
      <c r="A3899" s="2" t="s">
        <v>9943</v>
      </c>
      <c r="B3899" s="2" t="s">
        <v>7007</v>
      </c>
      <c r="C3899" s="2" t="s">
        <v>9944</v>
      </c>
      <c r="D3899" s="2" t="s">
        <v>10055</v>
      </c>
      <c r="E3899" s="15">
        <v>7.0599999999999996E-2</v>
      </c>
      <c r="F3899" s="15">
        <v>0.1273</v>
      </c>
      <c r="G3899" s="15">
        <v>0.57920000000000005</v>
      </c>
      <c r="H3899" s="15">
        <v>1.9699999999999999E-2</v>
      </c>
      <c r="I3899" s="15">
        <v>1.4800000000000001E-2</v>
      </c>
      <c r="J3899" s="15">
        <v>1.4068965517241381</v>
      </c>
    </row>
    <row r="3900" spans="1:10" x14ac:dyDescent="0.25">
      <c r="A3900" s="2" t="s">
        <v>9945</v>
      </c>
      <c r="B3900" s="2" t="s">
        <v>7007</v>
      </c>
      <c r="C3900" s="2" t="s">
        <v>9946</v>
      </c>
      <c r="D3900" s="2" t="s">
        <v>10055</v>
      </c>
      <c r="E3900" s="15"/>
      <c r="F3900" s="15"/>
      <c r="G3900" s="15"/>
      <c r="H3900" s="15"/>
      <c r="I3900" s="15"/>
      <c r="J3900" s="15">
        <v>-9.420289855072464E-2</v>
      </c>
    </row>
    <row r="3901" spans="1:10" x14ac:dyDescent="0.25">
      <c r="A3901" s="2" t="s">
        <v>9947</v>
      </c>
      <c r="B3901" s="2" t="s">
        <v>7007</v>
      </c>
      <c r="C3901" s="2" t="s">
        <v>9948</v>
      </c>
      <c r="D3901" s="2" t="s">
        <v>10055</v>
      </c>
      <c r="E3901" s="15"/>
      <c r="F3901" s="15"/>
      <c r="G3901" s="15"/>
      <c r="H3901" s="15">
        <v>-7.3000000000000001E-3</v>
      </c>
      <c r="I3901" s="15">
        <v>1.23E-2</v>
      </c>
      <c r="J3901" s="15">
        <v>-0.60330578512396693</v>
      </c>
    </row>
    <row r="3902" spans="1:10" x14ac:dyDescent="0.25">
      <c r="A3902" s="2" t="s">
        <v>9949</v>
      </c>
      <c r="B3902" s="2" t="s">
        <v>7007</v>
      </c>
      <c r="C3902" s="2" t="s">
        <v>9950</v>
      </c>
      <c r="D3902" s="2" t="s">
        <v>10055</v>
      </c>
      <c r="E3902" s="15">
        <v>-6.6199999999999995E-2</v>
      </c>
      <c r="F3902" s="15">
        <v>0.11799999999999999</v>
      </c>
      <c r="G3902" s="15">
        <v>0.57469999999999999</v>
      </c>
      <c r="H3902" s="15">
        <v>0.02</v>
      </c>
      <c r="I3902" s="15">
        <v>1.43E-2</v>
      </c>
      <c r="J3902" s="15">
        <v>1.560283687943262</v>
      </c>
    </row>
    <row r="3903" spans="1:10" x14ac:dyDescent="0.25">
      <c r="A3903" s="2" t="s">
        <v>9951</v>
      </c>
      <c r="B3903" s="2" t="s">
        <v>7007</v>
      </c>
      <c r="C3903" s="2" t="s">
        <v>9952</v>
      </c>
      <c r="D3903" s="2" t="s">
        <v>10055</v>
      </c>
      <c r="E3903" s="15"/>
      <c r="F3903" s="15"/>
      <c r="G3903" s="15"/>
      <c r="H3903" s="15">
        <v>-3.8999999999999998E-3</v>
      </c>
      <c r="I3903" s="15">
        <v>1.4500000000000001E-2</v>
      </c>
      <c r="J3903" s="15">
        <v>0.1079136690647482</v>
      </c>
    </row>
    <row r="3904" spans="1:10" x14ac:dyDescent="0.25">
      <c r="A3904" s="2" t="s">
        <v>9953</v>
      </c>
      <c r="B3904" s="2" t="s">
        <v>7007</v>
      </c>
      <c r="C3904" s="2" t="s">
        <v>9954</v>
      </c>
      <c r="D3904" s="2" t="s">
        <v>10055</v>
      </c>
      <c r="E3904" s="15"/>
      <c r="F3904" s="15"/>
      <c r="G3904" s="15"/>
      <c r="H3904" s="15">
        <v>-3.2099999999999997E-2</v>
      </c>
      <c r="I3904" s="15">
        <v>1.2999999999999999E-2</v>
      </c>
      <c r="J3904" s="15">
        <v>-2.3432835820895521</v>
      </c>
    </row>
    <row r="3905" spans="1:10" x14ac:dyDescent="0.25">
      <c r="A3905" s="2" t="s">
        <v>9955</v>
      </c>
      <c r="B3905" s="2" t="s">
        <v>7007</v>
      </c>
      <c r="C3905" s="2" t="s">
        <v>9956</v>
      </c>
      <c r="D3905" s="2" t="s">
        <v>10055</v>
      </c>
      <c r="E3905" s="15">
        <v>3.2199999999999999E-2</v>
      </c>
      <c r="F3905" s="15">
        <v>7.2800000000000004E-2</v>
      </c>
      <c r="G3905" s="15">
        <v>0.65820000000000001</v>
      </c>
      <c r="H3905" s="15">
        <v>6.0100000000000001E-2</v>
      </c>
      <c r="I3905" s="15">
        <v>1.5800000000000002E-2</v>
      </c>
      <c r="J3905" s="15">
        <v>3.6341463414634139</v>
      </c>
    </row>
    <row r="3906" spans="1:10" x14ac:dyDescent="0.25">
      <c r="A3906" s="2" t="s">
        <v>9957</v>
      </c>
      <c r="B3906" s="2" t="s">
        <v>7007</v>
      </c>
      <c r="C3906" s="2" t="s">
        <v>9958</v>
      </c>
      <c r="D3906" s="2" t="s">
        <v>10055</v>
      </c>
      <c r="E3906" s="15">
        <v>-4.0500000000000001E-2</v>
      </c>
      <c r="F3906" s="15">
        <v>9.8400000000000001E-2</v>
      </c>
      <c r="G3906" s="15">
        <v>0.68079999999999996</v>
      </c>
      <c r="H3906" s="15">
        <v>2.8000000000000001E-2</v>
      </c>
      <c r="I3906" s="15">
        <v>1.67E-2</v>
      </c>
      <c r="J3906" s="15">
        <v>2.3248407643312099</v>
      </c>
    </row>
    <row r="3907" spans="1:10" x14ac:dyDescent="0.25">
      <c r="A3907" s="2" t="s">
        <v>9959</v>
      </c>
      <c r="B3907" s="2" t="s">
        <v>7007</v>
      </c>
      <c r="C3907" s="2" t="s">
        <v>9960</v>
      </c>
      <c r="D3907" s="2" t="s">
        <v>10055</v>
      </c>
      <c r="E3907" s="15"/>
      <c r="F3907" s="15"/>
      <c r="G3907" s="15"/>
      <c r="H3907" s="15">
        <v>-9.2999999999999992E-3</v>
      </c>
      <c r="I3907" s="15">
        <v>1.44E-2</v>
      </c>
      <c r="J3907" s="15">
        <v>-0.25874125874125881</v>
      </c>
    </row>
    <row r="3908" spans="1:10" x14ac:dyDescent="0.25">
      <c r="A3908" s="2" t="s">
        <v>9961</v>
      </c>
      <c r="B3908" s="2" t="s">
        <v>7007</v>
      </c>
      <c r="C3908" s="2" t="s">
        <v>9962</v>
      </c>
      <c r="D3908" s="2" t="s">
        <v>10055</v>
      </c>
      <c r="E3908" s="15">
        <v>6.7400000000000002E-2</v>
      </c>
      <c r="F3908" s="15">
        <v>0.1176</v>
      </c>
      <c r="G3908" s="15">
        <v>0.5665</v>
      </c>
      <c r="H3908" s="15">
        <v>2.3099999999999999E-2</v>
      </c>
      <c r="I3908" s="15">
        <v>1.41E-2</v>
      </c>
      <c r="J3908" s="15">
        <v>2.1438848920863309</v>
      </c>
    </row>
    <row r="3909" spans="1:10" x14ac:dyDescent="0.25">
      <c r="A3909" s="2" t="s">
        <v>9963</v>
      </c>
      <c r="B3909" s="2" t="s">
        <v>7007</v>
      </c>
      <c r="C3909" s="2" t="s">
        <v>9964</v>
      </c>
      <c r="D3909" s="2" t="s">
        <v>10055</v>
      </c>
      <c r="E3909" s="15">
        <v>-4.6600000000000003E-2</v>
      </c>
      <c r="F3909" s="15">
        <v>0.1177</v>
      </c>
      <c r="G3909" s="15">
        <v>0.69199999999999995</v>
      </c>
      <c r="H3909" s="15">
        <v>2.6599999999999999E-2</v>
      </c>
      <c r="I3909" s="15">
        <v>1.4500000000000001E-2</v>
      </c>
      <c r="J3909" s="15">
        <v>1.735714285714286</v>
      </c>
    </row>
    <row r="3910" spans="1:10" x14ac:dyDescent="0.25">
      <c r="A3910" s="2" t="s">
        <v>9965</v>
      </c>
      <c r="B3910" s="2" t="s">
        <v>7007</v>
      </c>
      <c r="C3910" s="2" t="s">
        <v>9966</v>
      </c>
      <c r="D3910" s="2" t="s">
        <v>10055</v>
      </c>
      <c r="E3910" s="15">
        <v>0.14649999999999999</v>
      </c>
      <c r="F3910" s="15">
        <v>8.7800000000000003E-2</v>
      </c>
      <c r="G3910" s="15">
        <v>9.5100000000000004E-2</v>
      </c>
      <c r="H3910" s="15">
        <v>4.0399999999999998E-2</v>
      </c>
      <c r="I3910" s="15">
        <v>1.4999999999999999E-2</v>
      </c>
      <c r="J3910" s="15">
        <v>2.8013698630136989</v>
      </c>
    </row>
    <row r="3911" spans="1:10" x14ac:dyDescent="0.25">
      <c r="A3911" s="2" t="s">
        <v>9967</v>
      </c>
      <c r="B3911" s="2" t="s">
        <v>7007</v>
      </c>
      <c r="C3911" s="2" t="s">
        <v>9968</v>
      </c>
      <c r="D3911" s="2" t="s">
        <v>10055</v>
      </c>
      <c r="E3911" s="15">
        <v>0.1464</v>
      </c>
      <c r="F3911" s="15">
        <v>0.32829999999999998</v>
      </c>
      <c r="G3911" s="15">
        <v>0.65559999999999996</v>
      </c>
      <c r="H3911" s="15">
        <v>5.7999999999999996E-3</v>
      </c>
      <c r="I3911" s="15">
        <v>1.35E-2</v>
      </c>
      <c r="J3911" s="15">
        <v>0.80291970802919699</v>
      </c>
    </row>
    <row r="3912" spans="1:10" x14ac:dyDescent="0.25">
      <c r="A3912" s="2" t="s">
        <v>9969</v>
      </c>
      <c r="B3912" s="2" t="s">
        <v>7007</v>
      </c>
      <c r="C3912" s="2" t="s">
        <v>9970</v>
      </c>
      <c r="D3912" s="2" t="s">
        <v>10055</v>
      </c>
      <c r="E3912" s="15"/>
      <c r="F3912" s="15"/>
      <c r="G3912" s="15"/>
      <c r="H3912" s="15">
        <v>-1.44E-2</v>
      </c>
      <c r="I3912" s="15">
        <v>1.43E-2</v>
      </c>
      <c r="J3912" s="15">
        <v>-1.0962962962962961</v>
      </c>
    </row>
    <row r="3913" spans="1:10" x14ac:dyDescent="0.25">
      <c r="A3913" s="2" t="s">
        <v>9971</v>
      </c>
      <c r="B3913" s="2" t="s">
        <v>7007</v>
      </c>
      <c r="C3913" s="2" t="s">
        <v>9972</v>
      </c>
      <c r="D3913" s="2" t="s">
        <v>10055</v>
      </c>
      <c r="E3913" s="15">
        <v>-7.0800000000000002E-2</v>
      </c>
      <c r="F3913" s="15">
        <v>0.40139999999999998</v>
      </c>
      <c r="G3913" s="15">
        <v>0.86</v>
      </c>
      <c r="H3913" s="15">
        <v>3.5000000000000001E-3</v>
      </c>
      <c r="I3913" s="15">
        <v>1.3100000000000001E-2</v>
      </c>
      <c r="J3913" s="15">
        <v>-4.3485714285714291E-3</v>
      </c>
    </row>
    <row r="3914" spans="1:10" x14ac:dyDescent="0.25">
      <c r="A3914" s="2" t="s">
        <v>9973</v>
      </c>
      <c r="B3914" s="2" t="s">
        <v>7007</v>
      </c>
      <c r="C3914" s="2" t="s">
        <v>9974</v>
      </c>
      <c r="D3914" s="2" t="s">
        <v>10055</v>
      </c>
      <c r="E3914" s="15">
        <v>-9.74E-2</v>
      </c>
      <c r="F3914" s="15">
        <v>0.1134</v>
      </c>
      <c r="G3914" s="15">
        <v>0.39050000000000001</v>
      </c>
      <c r="H3914" s="15">
        <v>2.7699999999999999E-2</v>
      </c>
      <c r="I3914" s="15">
        <v>1.4500000000000001E-2</v>
      </c>
      <c r="J3914" s="15">
        <v>2.2198581560283688</v>
      </c>
    </row>
    <row r="3915" spans="1:10" x14ac:dyDescent="0.25">
      <c r="A3915" s="2" t="s">
        <v>9975</v>
      </c>
      <c r="B3915" s="2" t="s">
        <v>7007</v>
      </c>
      <c r="C3915" s="2" t="s">
        <v>9976</v>
      </c>
      <c r="D3915" s="2" t="s">
        <v>10055</v>
      </c>
      <c r="E3915" s="15">
        <v>8.1000000000000003E-2</v>
      </c>
      <c r="F3915" s="15">
        <v>0.14599999999999999</v>
      </c>
      <c r="G3915" s="15">
        <v>0.57920000000000005</v>
      </c>
      <c r="H3915" s="15">
        <v>1.4200000000000001E-2</v>
      </c>
      <c r="I3915" s="15">
        <v>1.2E-2</v>
      </c>
      <c r="J3915" s="15">
        <v>0.47413793103448282</v>
      </c>
    </row>
    <row r="3916" spans="1:10" x14ac:dyDescent="0.25">
      <c r="A3916" s="2" t="s">
        <v>9977</v>
      </c>
      <c r="B3916" s="2" t="s">
        <v>9978</v>
      </c>
      <c r="C3916" s="2" t="s">
        <v>9979</v>
      </c>
      <c r="D3916" s="2" t="s">
        <v>10055</v>
      </c>
      <c r="E3916" s="15">
        <v>-1.5800000000000002E-2</v>
      </c>
      <c r="F3916" s="15">
        <v>5.0500000000000003E-2</v>
      </c>
      <c r="G3916" s="15">
        <v>0.75490000000000002</v>
      </c>
      <c r="H3916" s="15">
        <v>0.1072</v>
      </c>
      <c r="I3916" s="15">
        <v>1.7100000000000001E-2</v>
      </c>
      <c r="J3916" s="15">
        <v>7.25</v>
      </c>
    </row>
    <row r="3917" spans="1:10" x14ac:dyDescent="0.25">
      <c r="A3917" s="2" t="s">
        <v>9980</v>
      </c>
      <c r="B3917" s="2" t="s">
        <v>9978</v>
      </c>
      <c r="C3917" s="2" t="s">
        <v>9981</v>
      </c>
      <c r="D3917" s="2" t="s">
        <v>10055</v>
      </c>
      <c r="E3917" s="15">
        <v>5.5999999999999999E-3</v>
      </c>
      <c r="F3917" s="15">
        <v>3.5999999999999997E-2</v>
      </c>
      <c r="G3917" s="15">
        <v>0.87549999999999994</v>
      </c>
      <c r="H3917" s="15">
        <v>0.2898</v>
      </c>
      <c r="I3917" s="15">
        <v>2.9399999999999999E-2</v>
      </c>
      <c r="J3917" s="15">
        <v>10.85555555555556</v>
      </c>
    </row>
    <row r="3918" spans="1:10" x14ac:dyDescent="0.25">
      <c r="A3918" s="2" t="s">
        <v>9982</v>
      </c>
      <c r="B3918" s="2" t="s">
        <v>9978</v>
      </c>
      <c r="C3918" s="2" t="s">
        <v>9983</v>
      </c>
      <c r="D3918" s="2" t="s">
        <v>10055</v>
      </c>
      <c r="E3918" s="15">
        <v>-5.6899999999999999E-2</v>
      </c>
      <c r="F3918" s="15">
        <v>3.6200000000000003E-2</v>
      </c>
      <c r="G3918" s="15">
        <v>0.1162</v>
      </c>
      <c r="H3918" s="15">
        <v>0.31140000000000001</v>
      </c>
      <c r="I3918" s="15">
        <v>4.9700000000000001E-2</v>
      </c>
      <c r="J3918" s="15">
        <v>9.1356932153392325</v>
      </c>
    </row>
    <row r="3919" spans="1:10" x14ac:dyDescent="0.25">
      <c r="A3919" s="2" t="s">
        <v>9984</v>
      </c>
      <c r="B3919" s="2" t="s">
        <v>9978</v>
      </c>
      <c r="C3919" s="2" t="s">
        <v>9985</v>
      </c>
      <c r="D3919" s="2" t="s">
        <v>10055</v>
      </c>
      <c r="E3919" s="15">
        <v>-2.7900000000000001E-2</v>
      </c>
      <c r="F3919" s="15">
        <v>3.56E-2</v>
      </c>
      <c r="G3919" s="15">
        <v>0.43319999999999997</v>
      </c>
      <c r="H3919" s="15">
        <v>0.2596</v>
      </c>
      <c r="I3919" s="15">
        <v>2.63E-2</v>
      </c>
      <c r="J3919" s="15">
        <v>11.813333333333331</v>
      </c>
    </row>
    <row r="3920" spans="1:10" x14ac:dyDescent="0.25">
      <c r="A3920" s="2" t="s">
        <v>9986</v>
      </c>
      <c r="B3920" s="2" t="s">
        <v>9978</v>
      </c>
      <c r="C3920" s="2" t="s">
        <v>9987</v>
      </c>
      <c r="D3920" s="2" t="s">
        <v>10055</v>
      </c>
      <c r="E3920" s="15">
        <v>6.0400000000000002E-2</v>
      </c>
      <c r="F3920" s="15">
        <v>9.2799999999999994E-2</v>
      </c>
      <c r="G3920" s="15">
        <v>0.51519999999999999</v>
      </c>
      <c r="H3920" s="15">
        <v>4.2599999999999999E-2</v>
      </c>
      <c r="I3920" s="15">
        <v>1.52E-2</v>
      </c>
      <c r="J3920" s="15">
        <v>2.734265734265735</v>
      </c>
    </row>
    <row r="3921" spans="1:10" x14ac:dyDescent="0.25">
      <c r="A3921" s="2" t="s">
        <v>9988</v>
      </c>
      <c r="B3921" s="2" t="s">
        <v>9978</v>
      </c>
      <c r="C3921" s="2" t="s">
        <v>9989</v>
      </c>
      <c r="D3921" s="2" t="s">
        <v>10055</v>
      </c>
      <c r="E3921" s="15">
        <v>-1.4999999999999999E-2</v>
      </c>
      <c r="F3921" s="15">
        <v>3.6900000000000002E-2</v>
      </c>
      <c r="G3921" s="15">
        <v>0.68369999999999997</v>
      </c>
      <c r="H3921" s="15">
        <v>0.32900000000000001</v>
      </c>
      <c r="I3921" s="15">
        <v>2.3800000000000002E-2</v>
      </c>
      <c r="J3921" s="15">
        <v>15.395555555555561</v>
      </c>
    </row>
    <row r="3922" spans="1:10" x14ac:dyDescent="0.25">
      <c r="A3922" s="2" t="s">
        <v>9990</v>
      </c>
      <c r="B3922" s="2" t="s">
        <v>9991</v>
      </c>
      <c r="C3922" s="2" t="s">
        <v>9992</v>
      </c>
      <c r="D3922" s="2" t="s">
        <v>10056</v>
      </c>
      <c r="E3922" s="15">
        <v>5.8500000000000003E-2</v>
      </c>
      <c r="F3922" s="15">
        <v>4.5400000000000003E-2</v>
      </c>
      <c r="G3922" s="15">
        <v>0.19700000000000001</v>
      </c>
      <c r="H3922" s="15">
        <v>0.186</v>
      </c>
      <c r="I3922" s="15">
        <v>1.9900000000000001E-2</v>
      </c>
      <c r="J3922" s="15">
        <v>10.68888888888889</v>
      </c>
    </row>
    <row r="3923" spans="1:10" x14ac:dyDescent="0.25">
      <c r="A3923" s="2" t="s">
        <v>9993</v>
      </c>
      <c r="B3923" s="2" t="s">
        <v>9994</v>
      </c>
      <c r="C3923" s="2" t="s">
        <v>9995</v>
      </c>
      <c r="D3923" s="2" t="s">
        <v>10056</v>
      </c>
      <c r="E3923" s="15">
        <v>2.8E-3</v>
      </c>
      <c r="F3923" s="15">
        <v>3.9100000000000003E-2</v>
      </c>
      <c r="G3923" s="15">
        <v>0.94389999999999996</v>
      </c>
      <c r="H3923" s="15">
        <v>0.254</v>
      </c>
      <c r="I3923" s="15">
        <v>2.5700000000000001E-2</v>
      </c>
      <c r="J3923" s="15">
        <v>11.2780269058296</v>
      </c>
    </row>
    <row r="3924" spans="1:10" x14ac:dyDescent="0.25">
      <c r="A3924" s="2" t="s">
        <v>9996</v>
      </c>
      <c r="B3924" s="2" t="s">
        <v>9997</v>
      </c>
      <c r="C3924" s="2" t="s">
        <v>9998</v>
      </c>
      <c r="D3924" s="2" t="s">
        <v>10056</v>
      </c>
      <c r="E3924" s="15">
        <v>3.7900000000000003E-2</v>
      </c>
      <c r="F3924" s="15">
        <v>4.58E-2</v>
      </c>
      <c r="G3924" s="15">
        <v>0.40810000000000002</v>
      </c>
      <c r="H3924" s="15">
        <v>0.1444</v>
      </c>
      <c r="I3924" s="15">
        <v>2.0500000000000001E-2</v>
      </c>
      <c r="J3924" s="15">
        <v>8.12777777777778</v>
      </c>
    </row>
    <row r="3925" spans="1:10" x14ac:dyDescent="0.25">
      <c r="A3925" s="2" t="s">
        <v>9999</v>
      </c>
      <c r="B3925" s="2" t="s">
        <v>10000</v>
      </c>
      <c r="C3925" s="2" t="s">
        <v>10001</v>
      </c>
      <c r="D3925" s="2" t="s">
        <v>10056</v>
      </c>
      <c r="E3925" s="15">
        <v>1.9199999999999998E-2</v>
      </c>
      <c r="F3925" s="15">
        <v>5.7700000000000001E-2</v>
      </c>
      <c r="G3925" s="15">
        <v>0.73970000000000002</v>
      </c>
      <c r="H3925" s="15">
        <v>9.8400000000000001E-2</v>
      </c>
      <c r="I3925" s="15">
        <v>1.7000000000000001E-2</v>
      </c>
      <c r="J3925" s="15">
        <v>6.3607594936708862</v>
      </c>
    </row>
    <row r="3926" spans="1:10" x14ac:dyDescent="0.25">
      <c r="A3926" s="2" t="s">
        <v>10002</v>
      </c>
      <c r="B3926" s="2" t="s">
        <v>10003</v>
      </c>
      <c r="C3926" s="2" t="s">
        <v>10004</v>
      </c>
      <c r="D3926" s="2" t="s">
        <v>10056</v>
      </c>
      <c r="E3926" s="15">
        <v>6.8599999999999994E-2</v>
      </c>
      <c r="F3926" s="15">
        <v>5.11E-2</v>
      </c>
      <c r="G3926" s="15">
        <v>0.17979999999999999</v>
      </c>
      <c r="H3926" s="15">
        <v>0.13150000000000001</v>
      </c>
      <c r="I3926" s="15">
        <v>1.7600000000000001E-2</v>
      </c>
      <c r="J3926" s="15">
        <v>8.1818181818181817</v>
      </c>
    </row>
    <row r="3927" spans="1:10" x14ac:dyDescent="0.25">
      <c r="A3927" s="2" t="s">
        <v>10005</v>
      </c>
      <c r="B3927" s="2" t="s">
        <v>10006</v>
      </c>
      <c r="C3927" s="2" t="s">
        <v>10007</v>
      </c>
      <c r="D3927" s="2" t="s">
        <v>10056</v>
      </c>
      <c r="E3927" s="15">
        <v>2.5000000000000001E-3</v>
      </c>
      <c r="F3927" s="15">
        <v>4.2000000000000003E-2</v>
      </c>
      <c r="G3927" s="15">
        <v>0.95320000000000005</v>
      </c>
      <c r="H3927" s="15">
        <v>0.23699999999999999</v>
      </c>
      <c r="I3927" s="15">
        <v>3.1300000000000001E-2</v>
      </c>
      <c r="J3927" s="15">
        <v>8.7581227436823106</v>
      </c>
    </row>
    <row r="3928" spans="1:10" x14ac:dyDescent="0.25">
      <c r="A3928" s="2" t="s">
        <v>10008</v>
      </c>
      <c r="B3928" s="2" t="s">
        <v>10009</v>
      </c>
      <c r="C3928" s="2" t="s">
        <v>10010</v>
      </c>
      <c r="D3928" s="2" t="s">
        <v>10056</v>
      </c>
      <c r="E3928" s="15">
        <v>1.14E-2</v>
      </c>
      <c r="F3928" s="15">
        <v>4.3700000000000003E-2</v>
      </c>
      <c r="G3928" s="15">
        <v>0.79379999999999995</v>
      </c>
      <c r="H3928" s="15">
        <v>0.2059</v>
      </c>
      <c r="I3928" s="15">
        <v>2.0500000000000001E-2</v>
      </c>
      <c r="J3928" s="15">
        <v>11.177083333333339</v>
      </c>
    </row>
    <row r="3929" spans="1:10" x14ac:dyDescent="0.25">
      <c r="A3929" s="2" t="s">
        <v>10011</v>
      </c>
      <c r="B3929" s="2" t="s">
        <v>10012</v>
      </c>
      <c r="C3929" s="2" t="s">
        <v>10013</v>
      </c>
      <c r="D3929" s="2" t="s">
        <v>10056</v>
      </c>
      <c r="E3929" s="15">
        <v>7.2599999999999998E-2</v>
      </c>
      <c r="F3929" s="15">
        <v>4.9599999999999998E-2</v>
      </c>
      <c r="G3929" s="15">
        <v>0.14280000000000001</v>
      </c>
      <c r="H3929" s="15">
        <v>0.16250000000000001</v>
      </c>
      <c r="I3929" s="15">
        <v>2.1000000000000001E-2</v>
      </c>
      <c r="J3929" s="15">
        <v>9.270531400966183</v>
      </c>
    </row>
    <row r="3930" spans="1:10" x14ac:dyDescent="0.25">
      <c r="A3930" s="2" t="s">
        <v>10014</v>
      </c>
      <c r="B3930" s="2" t="s">
        <v>10015</v>
      </c>
      <c r="C3930" s="2" t="s">
        <v>10016</v>
      </c>
      <c r="D3930" s="2" t="s">
        <v>10056</v>
      </c>
      <c r="E3930" s="15">
        <v>2.4299999999999999E-2</v>
      </c>
      <c r="F3930" s="15">
        <v>4.2900000000000001E-2</v>
      </c>
      <c r="G3930" s="15">
        <v>0.57179999999999997</v>
      </c>
      <c r="H3930" s="15">
        <v>0.2238</v>
      </c>
      <c r="I3930" s="15">
        <v>2.3099999999999999E-2</v>
      </c>
      <c r="J3930" s="15">
        <v>10.734597156398101</v>
      </c>
    </row>
    <row r="3931" spans="1:10" x14ac:dyDescent="0.25">
      <c r="A3931" s="2" t="s">
        <v>10017</v>
      </c>
      <c r="B3931" s="2" t="s">
        <v>10018</v>
      </c>
      <c r="C3931" s="2" t="s">
        <v>10019</v>
      </c>
      <c r="D3931" s="2" t="s">
        <v>10056</v>
      </c>
      <c r="E3931" s="15">
        <v>3.1199999999999999E-2</v>
      </c>
      <c r="F3931" s="15">
        <v>4.7600000000000003E-2</v>
      </c>
      <c r="G3931" s="15">
        <v>0.51249999999999996</v>
      </c>
      <c r="H3931" s="15">
        <v>0.21110000000000001</v>
      </c>
      <c r="I3931" s="15">
        <v>1.9599999999999999E-2</v>
      </c>
      <c r="J3931" s="15">
        <v>10.986238532110089</v>
      </c>
    </row>
    <row r="3932" spans="1:10" x14ac:dyDescent="0.25">
      <c r="A3932" s="2" t="s">
        <v>10020</v>
      </c>
      <c r="B3932" s="2" t="s">
        <v>10021</v>
      </c>
      <c r="C3932" s="2" t="s">
        <v>10022</v>
      </c>
      <c r="D3932" s="2" t="s">
        <v>10056</v>
      </c>
      <c r="E3932" s="15"/>
      <c r="F3932" s="15"/>
      <c r="G3932" s="15"/>
      <c r="H3932" s="15"/>
      <c r="I3932" s="15"/>
      <c r="J3932" s="15">
        <v>0.46969696969696972</v>
      </c>
    </row>
    <row r="3933" spans="1:10" x14ac:dyDescent="0.25">
      <c r="A3933" s="2" t="s">
        <v>10023</v>
      </c>
      <c r="B3933" s="2" t="s">
        <v>10024</v>
      </c>
      <c r="C3933" s="2" t="s">
        <v>10025</v>
      </c>
      <c r="D3933" s="2" t="s">
        <v>10056</v>
      </c>
      <c r="E3933" s="15"/>
      <c r="F3933" s="15"/>
      <c r="G3933" s="15"/>
      <c r="H3933" s="15">
        <v>-1.0800000000000001E-2</v>
      </c>
      <c r="I3933" s="15">
        <v>1.35E-2</v>
      </c>
      <c r="J3933" s="15">
        <v>-0.72611464968152872</v>
      </c>
    </row>
    <row r="3934" spans="1:10" x14ac:dyDescent="0.25">
      <c r="A3934" s="2" t="s">
        <v>10026</v>
      </c>
      <c r="B3934" s="2" t="s">
        <v>10027</v>
      </c>
      <c r="C3934" s="2" t="s">
        <v>10028</v>
      </c>
      <c r="D3934" s="2" t="s">
        <v>10056</v>
      </c>
      <c r="E3934" s="15">
        <v>-3.5400000000000001E-2</v>
      </c>
      <c r="F3934" s="15">
        <v>5.3600000000000002E-2</v>
      </c>
      <c r="G3934" s="15">
        <v>0.50900000000000001</v>
      </c>
      <c r="H3934" s="15">
        <v>0.1416</v>
      </c>
      <c r="I3934" s="15">
        <v>2.0899999999999998E-2</v>
      </c>
      <c r="J3934" s="15">
        <v>7.3461538461538458</v>
      </c>
    </row>
    <row r="3935" spans="1:10" x14ac:dyDescent="0.25">
      <c r="A3935" s="2" t="s">
        <v>10029</v>
      </c>
      <c r="B3935" s="2" t="s">
        <v>10030</v>
      </c>
      <c r="C3935" s="2" t="s">
        <v>10031</v>
      </c>
      <c r="D3935" s="2" t="s">
        <v>10056</v>
      </c>
      <c r="E3935" s="15">
        <v>6.0000000000000001E-3</v>
      </c>
      <c r="F3935" s="15">
        <v>4.2200000000000001E-2</v>
      </c>
      <c r="G3935" s="15">
        <v>0.88780000000000003</v>
      </c>
      <c r="H3935" s="15">
        <v>0.20530000000000001</v>
      </c>
      <c r="I3935" s="15">
        <v>2.3900000000000001E-2</v>
      </c>
      <c r="J3935" s="15">
        <v>9.3965517241379324</v>
      </c>
    </row>
    <row r="3936" spans="1:10" x14ac:dyDescent="0.25">
      <c r="A3936" s="2" t="s">
        <v>10032</v>
      </c>
      <c r="B3936" s="2" t="s">
        <v>10033</v>
      </c>
      <c r="C3936" s="2" t="s">
        <v>10034</v>
      </c>
      <c r="D3936" s="2" t="s">
        <v>10056</v>
      </c>
      <c r="E3936" s="15">
        <v>-3.5900000000000001E-2</v>
      </c>
      <c r="F3936" s="15">
        <v>8.2799999999999999E-2</v>
      </c>
      <c r="G3936" s="15">
        <v>0.66500000000000004</v>
      </c>
      <c r="H3936" s="15">
        <v>4.7399999999999998E-2</v>
      </c>
      <c r="I3936" s="15">
        <v>1.5599999999999999E-2</v>
      </c>
      <c r="J3936" s="15">
        <v>3.1779141104294482</v>
      </c>
    </row>
    <row r="3937" spans="1:10" x14ac:dyDescent="0.25">
      <c r="A3937" s="2" t="s">
        <v>10035</v>
      </c>
      <c r="B3937" s="2" t="s">
        <v>10036</v>
      </c>
      <c r="C3937" s="2" t="s">
        <v>10037</v>
      </c>
      <c r="D3937" s="2" t="s">
        <v>10056</v>
      </c>
      <c r="E3937" s="15"/>
      <c r="F3937" s="15"/>
      <c r="G3937" s="15"/>
      <c r="H3937" s="15">
        <v>-1.6000000000000001E-3</v>
      </c>
      <c r="I3937" s="15">
        <v>1.41E-2</v>
      </c>
      <c r="J3937" s="15">
        <v>2.6490066225165559E-2</v>
      </c>
    </row>
  </sheetData>
  <pageMargins left="0.7" right="0.7" top="0.75" bottom="0.75" header="0.3" footer="0.3"/>
  <pageSetup paperSize="256" orientation="portrait" horizontalDpi="203" verticalDpi="20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6E886-3128-43F3-BF24-5246CA59B6C1}">
  <dimension ref="A1:J3937"/>
  <sheetViews>
    <sheetView workbookViewId="0"/>
  </sheetViews>
  <sheetFormatPr defaultRowHeight="15" x14ac:dyDescent="0.25"/>
  <cols>
    <col min="1" max="1" width="6.5703125" bestFit="1" customWidth="1"/>
    <col min="2" max="2" width="7.42578125" bestFit="1" customWidth="1"/>
    <col min="3" max="3" width="62" bestFit="1" customWidth="1"/>
    <col min="4" max="4" width="33.85546875" bestFit="1" customWidth="1"/>
    <col min="5" max="5" width="14.42578125" style="16" bestFit="1" customWidth="1"/>
    <col min="6" max="6" width="9" style="16" bestFit="1" customWidth="1"/>
    <col min="7" max="7" width="7.85546875" style="16" bestFit="1" customWidth="1"/>
    <col min="8" max="8" width="16" style="16" customWidth="1"/>
    <col min="9" max="9" width="19.28515625" style="16" customWidth="1"/>
    <col min="10" max="10" width="14.42578125" style="16" bestFit="1" customWidth="1"/>
  </cols>
  <sheetData>
    <row r="1" spans="1:10" s="11" customFormat="1" x14ac:dyDescent="0.25">
      <c r="A1" s="1" t="s">
        <v>12328</v>
      </c>
    </row>
    <row r="2" spans="1:10" s="11" customFormat="1" x14ac:dyDescent="0.25">
      <c r="A2" s="10" t="s">
        <v>10038</v>
      </c>
      <c r="B2" s="10" t="s">
        <v>0</v>
      </c>
      <c r="C2" s="10" t="s">
        <v>1</v>
      </c>
      <c r="D2" s="10" t="s">
        <v>10039</v>
      </c>
      <c r="E2" s="10" t="s">
        <v>2</v>
      </c>
      <c r="F2" s="10" t="s">
        <v>3</v>
      </c>
      <c r="G2" s="10" t="s">
        <v>4</v>
      </c>
      <c r="H2" s="10" t="s">
        <v>12318</v>
      </c>
      <c r="I2" s="10" t="s">
        <v>12319</v>
      </c>
      <c r="J2" s="10" t="s">
        <v>12320</v>
      </c>
    </row>
    <row r="3" spans="1:10" x14ac:dyDescent="0.25">
      <c r="A3" s="2" t="s">
        <v>5</v>
      </c>
      <c r="B3" s="2" t="s">
        <v>6</v>
      </c>
      <c r="C3" s="2" t="s">
        <v>7</v>
      </c>
      <c r="D3" s="2" t="s">
        <v>10040</v>
      </c>
      <c r="E3" s="15">
        <v>-5.1999999999999998E-3</v>
      </c>
      <c r="F3" s="15">
        <v>8.14E-2</v>
      </c>
      <c r="G3" s="15">
        <v>0.94899999999999995</v>
      </c>
      <c r="H3" s="15">
        <v>0.1855</v>
      </c>
      <c r="I3" s="15">
        <v>4.2099999999999999E-2</v>
      </c>
      <c r="J3" s="15">
        <v>4.4061757719714967</v>
      </c>
    </row>
    <row r="4" spans="1:10" x14ac:dyDescent="0.25">
      <c r="A4" s="2" t="s">
        <v>8</v>
      </c>
      <c r="B4" s="2" t="s">
        <v>9</v>
      </c>
      <c r="C4" s="2" t="s">
        <v>10</v>
      </c>
      <c r="D4" s="2" t="s">
        <v>10040</v>
      </c>
      <c r="E4" s="15">
        <v>-1.6000000000000001E-3</v>
      </c>
      <c r="F4" s="15">
        <v>8.1799999999999998E-2</v>
      </c>
      <c r="G4" s="15">
        <v>0.98419999999999996</v>
      </c>
      <c r="H4" s="15">
        <v>0.17979999999999999</v>
      </c>
      <c r="I4" s="15">
        <v>4.2299999999999997E-2</v>
      </c>
      <c r="J4" s="15">
        <v>4.2505910165484631</v>
      </c>
    </row>
    <row r="5" spans="1:10" x14ac:dyDescent="0.25">
      <c r="A5" s="2" t="s">
        <v>11</v>
      </c>
      <c r="B5" s="2" t="s">
        <v>12</v>
      </c>
      <c r="C5" s="2" t="s">
        <v>13</v>
      </c>
      <c r="D5" s="2" t="s">
        <v>10040</v>
      </c>
      <c r="E5" s="15">
        <v>4.7E-2</v>
      </c>
      <c r="F5" s="15">
        <v>6.88E-2</v>
      </c>
      <c r="G5" s="15">
        <v>0.495</v>
      </c>
      <c r="H5" s="15">
        <v>0.29330000000000001</v>
      </c>
      <c r="I5" s="15">
        <v>4.9099999999999998E-2</v>
      </c>
      <c r="J5" s="15">
        <v>5.9735234215885953</v>
      </c>
    </row>
    <row r="6" spans="1:10" x14ac:dyDescent="0.25">
      <c r="A6" s="2" t="s">
        <v>14</v>
      </c>
      <c r="B6" s="2" t="s">
        <v>15</v>
      </c>
      <c r="C6" s="2" t="s">
        <v>16</v>
      </c>
      <c r="D6" s="2" t="s">
        <v>10040</v>
      </c>
      <c r="E6" s="15">
        <v>4.6899999999999997E-2</v>
      </c>
      <c r="F6" s="15">
        <v>6.8699999999999997E-2</v>
      </c>
      <c r="G6" s="15">
        <v>0.49509999999999998</v>
      </c>
      <c r="H6" s="15">
        <v>0.29480000000000001</v>
      </c>
      <c r="I6" s="15">
        <v>4.9200000000000001E-2</v>
      </c>
      <c r="J6" s="15">
        <v>5.9918699186991873</v>
      </c>
    </row>
    <row r="7" spans="1:10" x14ac:dyDescent="0.25">
      <c r="A7" s="2" t="s">
        <v>17</v>
      </c>
      <c r="B7" s="2" t="s">
        <v>18</v>
      </c>
      <c r="C7" s="2" t="s">
        <v>19</v>
      </c>
      <c r="D7" s="2" t="s">
        <v>10040</v>
      </c>
      <c r="E7" s="15">
        <v>-8.9999999999999998E-4</v>
      </c>
      <c r="F7" s="15">
        <v>7.8899999999999998E-2</v>
      </c>
      <c r="G7" s="15">
        <v>0.9909</v>
      </c>
      <c r="H7" s="15">
        <v>0.20150000000000001</v>
      </c>
      <c r="I7" s="15">
        <v>4.19E-2</v>
      </c>
      <c r="J7" s="15">
        <v>4.8090692124105017</v>
      </c>
    </row>
    <row r="8" spans="1:10" x14ac:dyDescent="0.25">
      <c r="A8" s="2" t="s">
        <v>20</v>
      </c>
      <c r="B8" s="2" t="s">
        <v>21</v>
      </c>
      <c r="C8" s="2" t="s">
        <v>22</v>
      </c>
      <c r="D8" s="2" t="s">
        <v>10040</v>
      </c>
      <c r="E8" s="15">
        <v>-4.0000000000000001E-3</v>
      </c>
      <c r="F8" s="15">
        <v>7.9899999999999999E-2</v>
      </c>
      <c r="G8" s="15">
        <v>0.96050000000000002</v>
      </c>
      <c r="H8" s="15">
        <v>0.19109999999999999</v>
      </c>
      <c r="I8" s="15">
        <v>4.1700000000000001E-2</v>
      </c>
      <c r="J8" s="15">
        <v>4.5827338129496402</v>
      </c>
    </row>
    <row r="9" spans="1:10" x14ac:dyDescent="0.25">
      <c r="A9" s="2" t="s">
        <v>23</v>
      </c>
      <c r="B9" s="2" t="s">
        <v>24</v>
      </c>
      <c r="C9" s="2" t="s">
        <v>25</v>
      </c>
      <c r="D9" s="2" t="s">
        <v>10040</v>
      </c>
      <c r="E9" s="15">
        <v>-6.3899999999999998E-2</v>
      </c>
      <c r="F9" s="15">
        <v>6.0400000000000002E-2</v>
      </c>
      <c r="G9" s="15">
        <v>0.28949999999999998</v>
      </c>
      <c r="H9" s="15">
        <v>0.2893</v>
      </c>
      <c r="I9" s="15">
        <v>4.9799999999999997E-2</v>
      </c>
      <c r="J9" s="15">
        <v>5.809236947791165</v>
      </c>
    </row>
    <row r="10" spans="1:10" x14ac:dyDescent="0.25">
      <c r="A10" s="2" t="s">
        <v>26</v>
      </c>
      <c r="B10" s="2" t="s">
        <v>27</v>
      </c>
      <c r="C10" s="2" t="s">
        <v>28</v>
      </c>
      <c r="D10" s="2" t="s">
        <v>10040</v>
      </c>
      <c r="E10" s="15">
        <v>-6.3100000000000003E-2</v>
      </c>
      <c r="F10" s="15">
        <v>6.1199999999999997E-2</v>
      </c>
      <c r="G10" s="15">
        <v>0.30230000000000001</v>
      </c>
      <c r="H10" s="15">
        <v>0.28239999999999998</v>
      </c>
      <c r="I10" s="15">
        <v>4.99E-2</v>
      </c>
      <c r="J10" s="15">
        <v>5.6593186372745494</v>
      </c>
    </row>
    <row r="11" spans="1:10" x14ac:dyDescent="0.25">
      <c r="A11" s="2" t="s">
        <v>29</v>
      </c>
      <c r="B11" s="2" t="s">
        <v>30</v>
      </c>
      <c r="C11" s="2" t="s">
        <v>31</v>
      </c>
      <c r="D11" s="2" t="s">
        <v>10040</v>
      </c>
      <c r="E11" s="15">
        <v>-4.99E-2</v>
      </c>
      <c r="F11" s="15">
        <v>7.0400000000000004E-2</v>
      </c>
      <c r="G11" s="15">
        <v>0.47839999999999999</v>
      </c>
      <c r="H11" s="15">
        <v>0.22120000000000001</v>
      </c>
      <c r="I11" s="15">
        <v>5.0200000000000002E-2</v>
      </c>
      <c r="J11" s="15">
        <v>4.4063745019920324</v>
      </c>
    </row>
    <row r="12" spans="1:10" x14ac:dyDescent="0.25">
      <c r="A12" s="2" t="s">
        <v>32</v>
      </c>
      <c r="B12" s="2" t="s">
        <v>33</v>
      </c>
      <c r="C12" s="2" t="s">
        <v>34</v>
      </c>
      <c r="D12" s="2" t="s">
        <v>10040</v>
      </c>
      <c r="E12" s="15">
        <v>-5.0500000000000003E-2</v>
      </c>
      <c r="F12" s="15">
        <v>7.1599999999999997E-2</v>
      </c>
      <c r="G12" s="15">
        <v>0.48049999999999998</v>
      </c>
      <c r="H12" s="15">
        <v>0.21179999999999999</v>
      </c>
      <c r="I12" s="15">
        <v>4.99E-2</v>
      </c>
      <c r="J12" s="15">
        <v>4.2444889779559114</v>
      </c>
    </row>
    <row r="13" spans="1:10" x14ac:dyDescent="0.25">
      <c r="A13" s="2" t="s">
        <v>35</v>
      </c>
      <c r="B13" s="2" t="s">
        <v>36</v>
      </c>
      <c r="C13" s="2" t="s">
        <v>37</v>
      </c>
      <c r="D13" s="2" t="s">
        <v>10040</v>
      </c>
      <c r="E13" s="15">
        <v>5.8000000000000003E-2</v>
      </c>
      <c r="F13" s="15">
        <v>6.7500000000000004E-2</v>
      </c>
      <c r="G13" s="15">
        <v>0.39029999999999998</v>
      </c>
      <c r="H13" s="15">
        <v>0.25090000000000001</v>
      </c>
      <c r="I13" s="15">
        <v>4.7699999999999999E-2</v>
      </c>
      <c r="J13" s="15">
        <v>5.2599580712788274</v>
      </c>
    </row>
    <row r="14" spans="1:10" x14ac:dyDescent="0.25">
      <c r="A14" s="2" t="s">
        <v>38</v>
      </c>
      <c r="B14" s="2" t="s">
        <v>39</v>
      </c>
      <c r="C14" s="2" t="s">
        <v>40</v>
      </c>
      <c r="D14" s="2" t="s">
        <v>10040</v>
      </c>
      <c r="E14" s="15">
        <v>9.7000000000000003E-2</v>
      </c>
      <c r="F14" s="15">
        <v>6.3E-2</v>
      </c>
      <c r="G14" s="15">
        <v>0.12379999999999999</v>
      </c>
      <c r="H14" s="15">
        <v>0.2853</v>
      </c>
      <c r="I14" s="15">
        <v>4.3400000000000001E-2</v>
      </c>
      <c r="J14" s="15">
        <v>6.5737327188940089</v>
      </c>
    </row>
    <row r="15" spans="1:10" x14ac:dyDescent="0.25">
      <c r="A15" s="2" t="s">
        <v>41</v>
      </c>
      <c r="B15" s="2" t="s">
        <v>42</v>
      </c>
      <c r="C15" s="2" t="s">
        <v>43</v>
      </c>
      <c r="D15" s="2" t="s">
        <v>10040</v>
      </c>
      <c r="E15" s="15">
        <v>0.12379999999999999</v>
      </c>
      <c r="F15" s="15">
        <v>5.2999999999999999E-2</v>
      </c>
      <c r="G15" s="15">
        <v>1.9599999999999999E-2</v>
      </c>
      <c r="H15" s="15">
        <v>0.43290000000000001</v>
      </c>
      <c r="I15" s="15">
        <v>4.9700000000000001E-2</v>
      </c>
      <c r="J15" s="15">
        <v>8.7102615694164989</v>
      </c>
    </row>
    <row r="16" spans="1:10" x14ac:dyDescent="0.25">
      <c r="A16" s="2" t="s">
        <v>44</v>
      </c>
      <c r="B16" s="2" t="s">
        <v>45</v>
      </c>
      <c r="C16" s="2" t="s">
        <v>46</v>
      </c>
      <c r="D16" s="2" t="s">
        <v>10040</v>
      </c>
      <c r="E16" s="15">
        <v>9.7299999999999998E-2</v>
      </c>
      <c r="F16" s="15">
        <v>5.1299999999999998E-2</v>
      </c>
      <c r="G16" s="15">
        <v>5.8099999999999999E-2</v>
      </c>
      <c r="H16" s="15">
        <v>0.47420000000000001</v>
      </c>
      <c r="I16" s="15">
        <v>4.99E-2</v>
      </c>
      <c r="J16" s="15">
        <v>9.5030060120240485</v>
      </c>
    </row>
    <row r="17" spans="1:10" x14ac:dyDescent="0.25">
      <c r="A17" s="2" t="s">
        <v>47</v>
      </c>
      <c r="B17" s="2" t="s">
        <v>48</v>
      </c>
      <c r="C17" s="2" t="s">
        <v>49</v>
      </c>
      <c r="D17" s="2" t="s">
        <v>10040</v>
      </c>
      <c r="E17" s="15">
        <v>-3.6999999999999998E-2</v>
      </c>
      <c r="F17" s="15">
        <v>6.6000000000000003E-2</v>
      </c>
      <c r="G17" s="15">
        <v>0.57479999999999998</v>
      </c>
      <c r="H17" s="15">
        <v>0.3145</v>
      </c>
      <c r="I17" s="15">
        <v>5.1799999999999999E-2</v>
      </c>
      <c r="J17" s="15">
        <v>6.0714285714285712</v>
      </c>
    </row>
    <row r="18" spans="1:10" x14ac:dyDescent="0.25">
      <c r="A18" s="2" t="s">
        <v>50</v>
      </c>
      <c r="B18" s="2" t="s">
        <v>51</v>
      </c>
      <c r="C18" s="2" t="s">
        <v>52</v>
      </c>
      <c r="D18" s="2" t="s">
        <v>10040</v>
      </c>
      <c r="E18" s="15">
        <v>-2.8999999999999998E-3</v>
      </c>
      <c r="F18" s="15">
        <v>6.3500000000000001E-2</v>
      </c>
      <c r="G18" s="15">
        <v>0.96340000000000003</v>
      </c>
      <c r="H18" s="15">
        <v>0.34770000000000001</v>
      </c>
      <c r="I18" s="15">
        <v>5.6500000000000002E-2</v>
      </c>
      <c r="J18" s="15">
        <v>6.1539823008849561</v>
      </c>
    </row>
    <row r="19" spans="1:10" x14ac:dyDescent="0.25">
      <c r="A19" s="2" t="s">
        <v>53</v>
      </c>
      <c r="B19" s="2" t="s">
        <v>54</v>
      </c>
      <c r="C19" s="2" t="s">
        <v>55</v>
      </c>
      <c r="D19" s="2" t="s">
        <v>10040</v>
      </c>
      <c r="E19" s="15">
        <v>6.5299999999999997E-2</v>
      </c>
      <c r="F19" s="15">
        <v>6.2100000000000002E-2</v>
      </c>
      <c r="G19" s="15">
        <v>0.29320000000000002</v>
      </c>
      <c r="H19" s="15">
        <v>0.26169999999999999</v>
      </c>
      <c r="I19" s="15">
        <v>4.5900000000000003E-2</v>
      </c>
      <c r="J19" s="15">
        <v>5.7015250544662299</v>
      </c>
    </row>
    <row r="20" spans="1:10" x14ac:dyDescent="0.25">
      <c r="A20" s="2" t="s">
        <v>56</v>
      </c>
      <c r="B20" s="2" t="s">
        <v>57</v>
      </c>
      <c r="C20" s="2" t="s">
        <v>58</v>
      </c>
      <c r="D20" s="2" t="s">
        <v>10040</v>
      </c>
      <c r="E20" s="15">
        <v>1.5599999999999999E-2</v>
      </c>
      <c r="F20" s="15">
        <v>6.7799999999999999E-2</v>
      </c>
      <c r="G20" s="15">
        <v>0.81810000000000005</v>
      </c>
      <c r="H20" s="15">
        <v>0.25679999999999997</v>
      </c>
      <c r="I20" s="15">
        <v>4.5999999999999999E-2</v>
      </c>
      <c r="J20" s="15">
        <v>5.5826086956521737</v>
      </c>
    </row>
    <row r="21" spans="1:10" x14ac:dyDescent="0.25">
      <c r="A21" s="2" t="s">
        <v>59</v>
      </c>
      <c r="B21" s="2" t="s">
        <v>60</v>
      </c>
      <c r="C21" s="2" t="s">
        <v>61</v>
      </c>
      <c r="D21" s="2" t="s">
        <v>10040</v>
      </c>
      <c r="E21" s="15">
        <v>0.23089999999999999</v>
      </c>
      <c r="F21" s="15">
        <v>0.1</v>
      </c>
      <c r="G21" s="15">
        <v>2.0899999999999998E-2</v>
      </c>
      <c r="H21" s="15">
        <v>0.1195</v>
      </c>
      <c r="I21" s="15">
        <v>3.9300000000000002E-2</v>
      </c>
      <c r="J21" s="15">
        <v>3.0407124681933841</v>
      </c>
    </row>
    <row r="22" spans="1:10" x14ac:dyDescent="0.25">
      <c r="A22" s="2" t="s">
        <v>62</v>
      </c>
      <c r="B22" s="2" t="s">
        <v>63</v>
      </c>
      <c r="C22" s="2" t="s">
        <v>64</v>
      </c>
      <c r="D22" s="2" t="s">
        <v>10040</v>
      </c>
      <c r="E22" s="15">
        <v>0.13120000000000001</v>
      </c>
      <c r="F22" s="15">
        <v>7.4399999999999994E-2</v>
      </c>
      <c r="G22" s="15">
        <v>7.7700000000000005E-2</v>
      </c>
      <c r="H22" s="15">
        <v>0.1976</v>
      </c>
      <c r="I22" s="15">
        <v>4.0800000000000003E-2</v>
      </c>
      <c r="J22" s="15">
        <v>4.8431372549019596</v>
      </c>
    </row>
    <row r="23" spans="1:10" x14ac:dyDescent="0.25">
      <c r="A23" s="2" t="s">
        <v>65</v>
      </c>
      <c r="B23" s="2" t="s">
        <v>66</v>
      </c>
      <c r="C23" s="2" t="s">
        <v>67</v>
      </c>
      <c r="D23" s="2" t="s">
        <v>10040</v>
      </c>
      <c r="E23" s="15">
        <v>7.5800000000000006E-2</v>
      </c>
      <c r="F23" s="15">
        <v>8.77E-2</v>
      </c>
      <c r="G23" s="15">
        <v>0.38779999999999998</v>
      </c>
      <c r="H23" s="15">
        <v>0.151</v>
      </c>
      <c r="I23" s="15">
        <v>3.9399999999999998E-2</v>
      </c>
      <c r="J23" s="15">
        <v>3.8324873096446699</v>
      </c>
    </row>
    <row r="24" spans="1:10" x14ac:dyDescent="0.25">
      <c r="A24" s="2" t="s">
        <v>68</v>
      </c>
      <c r="B24" s="2" t="s">
        <v>69</v>
      </c>
      <c r="C24" s="2" t="s">
        <v>70</v>
      </c>
      <c r="D24" s="2" t="s">
        <v>10040</v>
      </c>
      <c r="E24" s="15">
        <v>-4.48E-2</v>
      </c>
      <c r="F24" s="15">
        <v>9.7900000000000001E-2</v>
      </c>
      <c r="G24" s="15">
        <v>0.64749999999999996</v>
      </c>
      <c r="H24" s="15">
        <v>0.1067</v>
      </c>
      <c r="I24" s="15">
        <v>3.9100000000000003E-2</v>
      </c>
      <c r="J24" s="15">
        <v>2.7289002557544761</v>
      </c>
    </row>
    <row r="25" spans="1:10" x14ac:dyDescent="0.25">
      <c r="A25" s="2" t="s">
        <v>71</v>
      </c>
      <c r="B25" s="2" t="s">
        <v>72</v>
      </c>
      <c r="C25" s="2" t="s">
        <v>73</v>
      </c>
      <c r="D25" s="2" t="s">
        <v>10040</v>
      </c>
      <c r="E25" s="15">
        <v>3.78E-2</v>
      </c>
      <c r="F25" s="15">
        <v>8.2500000000000004E-2</v>
      </c>
      <c r="G25" s="15">
        <v>0.64639999999999997</v>
      </c>
      <c r="H25" s="15">
        <v>0.16420000000000001</v>
      </c>
      <c r="I25" s="15">
        <v>4.2999999999999997E-2</v>
      </c>
      <c r="J25" s="15">
        <v>3.8186046511627909</v>
      </c>
    </row>
    <row r="26" spans="1:10" x14ac:dyDescent="0.25">
      <c r="A26" s="2" t="s">
        <v>74</v>
      </c>
      <c r="B26" s="2" t="s">
        <v>75</v>
      </c>
      <c r="C26" s="2" t="s">
        <v>76</v>
      </c>
      <c r="D26" s="2" t="s">
        <v>10040</v>
      </c>
      <c r="E26" s="15">
        <v>4.3999999999999997E-2</v>
      </c>
      <c r="F26" s="15">
        <v>7.6700000000000004E-2</v>
      </c>
      <c r="G26" s="15">
        <v>0.56640000000000001</v>
      </c>
      <c r="H26" s="15">
        <v>0.1865</v>
      </c>
      <c r="I26" s="15">
        <v>4.24E-2</v>
      </c>
      <c r="J26" s="15">
        <v>4.3985849056603774</v>
      </c>
    </row>
    <row r="27" spans="1:10" x14ac:dyDescent="0.25">
      <c r="A27" s="2" t="s">
        <v>77</v>
      </c>
      <c r="B27" s="2" t="s">
        <v>78</v>
      </c>
      <c r="C27" s="2" t="s">
        <v>79</v>
      </c>
      <c r="D27" s="2" t="s">
        <v>10040</v>
      </c>
      <c r="E27" s="15">
        <v>-1.1900000000000001E-2</v>
      </c>
      <c r="F27" s="15">
        <v>6.0400000000000002E-2</v>
      </c>
      <c r="G27" s="15">
        <v>0.84379999999999999</v>
      </c>
      <c r="H27" s="15">
        <v>0.312</v>
      </c>
      <c r="I27" s="15">
        <v>4.6600000000000003E-2</v>
      </c>
      <c r="J27" s="15">
        <v>6.6952789699570809</v>
      </c>
    </row>
    <row r="28" spans="1:10" x14ac:dyDescent="0.25">
      <c r="A28" s="2" t="s">
        <v>80</v>
      </c>
      <c r="B28" s="2" t="s">
        <v>81</v>
      </c>
      <c r="C28" s="2" t="s">
        <v>82</v>
      </c>
      <c r="D28" s="2" t="s">
        <v>10040</v>
      </c>
      <c r="E28" s="15">
        <v>2.3599999999999999E-2</v>
      </c>
      <c r="F28" s="15">
        <v>8.0500000000000002E-2</v>
      </c>
      <c r="G28" s="15">
        <v>0.76910000000000001</v>
      </c>
      <c r="H28" s="15">
        <v>0.1772</v>
      </c>
      <c r="I28" s="15">
        <v>4.4299999999999999E-2</v>
      </c>
      <c r="J28" s="15">
        <v>4</v>
      </c>
    </row>
    <row r="29" spans="1:10" x14ac:dyDescent="0.25">
      <c r="A29" s="2" t="s">
        <v>83</v>
      </c>
      <c r="B29" s="2" t="s">
        <v>84</v>
      </c>
      <c r="C29" s="2" t="s">
        <v>85</v>
      </c>
      <c r="D29" s="2" t="s">
        <v>10040</v>
      </c>
      <c r="E29" s="15">
        <v>7.0900000000000005E-2</v>
      </c>
      <c r="F29" s="15">
        <v>7.4200000000000002E-2</v>
      </c>
      <c r="G29" s="15">
        <v>0.33889999999999998</v>
      </c>
      <c r="H29" s="15">
        <v>0.19409999999999999</v>
      </c>
      <c r="I29" s="15">
        <v>3.7900000000000003E-2</v>
      </c>
      <c r="J29" s="15">
        <v>5.1213720316622684</v>
      </c>
    </row>
    <row r="30" spans="1:10" x14ac:dyDescent="0.25">
      <c r="A30" s="2" t="s">
        <v>86</v>
      </c>
      <c r="B30" s="2" t="s">
        <v>87</v>
      </c>
      <c r="C30" s="2" t="s">
        <v>88</v>
      </c>
      <c r="D30" s="2" t="s">
        <v>10040</v>
      </c>
      <c r="E30" s="15">
        <v>5.5199999999999999E-2</v>
      </c>
      <c r="F30" s="15">
        <v>6.5699999999999995E-2</v>
      </c>
      <c r="G30" s="15">
        <v>0.40129999999999999</v>
      </c>
      <c r="H30" s="15">
        <v>0.23780000000000001</v>
      </c>
      <c r="I30" s="15">
        <v>4.7E-2</v>
      </c>
      <c r="J30" s="15">
        <v>5.0595744680851062</v>
      </c>
    </row>
    <row r="31" spans="1:10" x14ac:dyDescent="0.25">
      <c r="A31" s="2" t="s">
        <v>89</v>
      </c>
      <c r="B31" s="2" t="s">
        <v>90</v>
      </c>
      <c r="C31" s="2" t="s">
        <v>91</v>
      </c>
      <c r="D31" s="2" t="s">
        <v>10040</v>
      </c>
      <c r="E31" s="15">
        <v>8.8400000000000006E-2</v>
      </c>
      <c r="F31" s="15">
        <v>6.6500000000000004E-2</v>
      </c>
      <c r="G31" s="15">
        <v>0.18390000000000001</v>
      </c>
      <c r="H31" s="15">
        <v>0.2228</v>
      </c>
      <c r="I31" s="15">
        <v>4.2200000000000001E-2</v>
      </c>
      <c r="J31" s="15">
        <v>5.2796208530805684</v>
      </c>
    </row>
    <row r="32" spans="1:10" x14ac:dyDescent="0.25">
      <c r="A32" s="2" t="s">
        <v>92</v>
      </c>
      <c r="B32" s="2" t="s">
        <v>93</v>
      </c>
      <c r="C32" s="2" t="s">
        <v>94</v>
      </c>
      <c r="D32" s="2" t="s">
        <v>10040</v>
      </c>
      <c r="E32" s="15">
        <v>0.13250000000000001</v>
      </c>
      <c r="F32" s="15">
        <v>0.13139999999999999</v>
      </c>
      <c r="G32" s="15">
        <v>0.31340000000000001</v>
      </c>
      <c r="H32" s="15">
        <v>7.4800000000000005E-2</v>
      </c>
      <c r="I32" s="15">
        <v>3.9199999999999999E-2</v>
      </c>
      <c r="J32" s="15">
        <v>1.9081632653061229</v>
      </c>
    </row>
    <row r="33" spans="1:10" x14ac:dyDescent="0.25">
      <c r="A33" s="2" t="s">
        <v>95</v>
      </c>
      <c r="B33" s="2" t="s">
        <v>96</v>
      </c>
      <c r="C33" s="2" t="s">
        <v>97</v>
      </c>
      <c r="D33" s="2" t="s">
        <v>10040</v>
      </c>
      <c r="E33" s="15">
        <v>5.5800000000000002E-2</v>
      </c>
      <c r="F33" s="15">
        <v>8.4099999999999994E-2</v>
      </c>
      <c r="G33" s="15">
        <v>0.50719999999999998</v>
      </c>
      <c r="H33" s="15">
        <v>0.1724</v>
      </c>
      <c r="I33" s="15">
        <v>3.73E-2</v>
      </c>
      <c r="J33" s="15">
        <v>4.6219839142091148</v>
      </c>
    </row>
    <row r="34" spans="1:10" x14ac:dyDescent="0.25">
      <c r="A34" s="2" t="s">
        <v>98</v>
      </c>
      <c r="B34" s="2" t="s">
        <v>99</v>
      </c>
      <c r="C34" s="2" t="s">
        <v>100</v>
      </c>
      <c r="D34" s="2" t="s">
        <v>10040</v>
      </c>
      <c r="E34" s="15">
        <v>7.5300000000000006E-2</v>
      </c>
      <c r="F34" s="15">
        <v>0.1172</v>
      </c>
      <c r="G34" s="15">
        <v>0.52049999999999996</v>
      </c>
      <c r="H34" s="15">
        <v>8.8499999999999995E-2</v>
      </c>
      <c r="I34" s="15">
        <v>3.9800000000000002E-2</v>
      </c>
      <c r="J34" s="15">
        <v>2.2236180904522609</v>
      </c>
    </row>
    <row r="35" spans="1:10" x14ac:dyDescent="0.25">
      <c r="A35" s="2" t="s">
        <v>101</v>
      </c>
      <c r="B35" s="2" t="s">
        <v>102</v>
      </c>
      <c r="C35" s="2" t="s">
        <v>103</v>
      </c>
      <c r="D35" s="2" t="s">
        <v>10040</v>
      </c>
      <c r="E35" s="15">
        <v>2.7000000000000001E-3</v>
      </c>
      <c r="F35" s="15">
        <v>9.2700000000000005E-2</v>
      </c>
      <c r="G35" s="15">
        <v>0.97699999999999998</v>
      </c>
      <c r="H35" s="15">
        <v>0.12939999999999999</v>
      </c>
      <c r="I35" s="15">
        <v>3.2599999999999997E-2</v>
      </c>
      <c r="J35" s="15">
        <v>3.9693251533742329</v>
      </c>
    </row>
    <row r="36" spans="1:10" x14ac:dyDescent="0.25">
      <c r="A36" s="2" t="s">
        <v>104</v>
      </c>
      <c r="B36" s="2" t="s">
        <v>105</v>
      </c>
      <c r="C36" s="2" t="s">
        <v>106</v>
      </c>
      <c r="D36" s="2" t="s">
        <v>10040</v>
      </c>
      <c r="E36" s="15">
        <v>1.0500000000000001E-2</v>
      </c>
      <c r="F36" s="15">
        <v>9.4E-2</v>
      </c>
      <c r="G36" s="15">
        <v>0.91090000000000004</v>
      </c>
      <c r="H36" s="15">
        <v>0.13880000000000001</v>
      </c>
      <c r="I36" s="15">
        <v>4.1300000000000003E-2</v>
      </c>
      <c r="J36" s="15">
        <v>3.360774818401937</v>
      </c>
    </row>
    <row r="37" spans="1:10" x14ac:dyDescent="0.25">
      <c r="A37" s="2" t="s">
        <v>107</v>
      </c>
      <c r="B37" s="2" t="s">
        <v>108</v>
      </c>
      <c r="C37" s="2" t="s">
        <v>109</v>
      </c>
      <c r="D37" s="2" t="s">
        <v>10040</v>
      </c>
      <c r="E37" s="15">
        <v>0.14080000000000001</v>
      </c>
      <c r="F37" s="15">
        <v>0.14230000000000001</v>
      </c>
      <c r="G37" s="15">
        <v>0.32240000000000002</v>
      </c>
      <c r="H37" s="15">
        <v>6.6799999999999998E-2</v>
      </c>
      <c r="I37" s="15">
        <v>3.6600000000000001E-2</v>
      </c>
      <c r="J37" s="15">
        <v>1.825136612021858</v>
      </c>
    </row>
    <row r="38" spans="1:10" x14ac:dyDescent="0.25">
      <c r="A38" s="2" t="s">
        <v>110</v>
      </c>
      <c r="B38" s="2" t="s">
        <v>111</v>
      </c>
      <c r="C38" s="2" t="s">
        <v>112</v>
      </c>
      <c r="D38" s="2" t="s">
        <v>10040</v>
      </c>
      <c r="E38" s="15"/>
      <c r="F38" s="15"/>
      <c r="G38" s="15"/>
      <c r="H38" s="15"/>
      <c r="I38" s="15"/>
      <c r="J38" s="15"/>
    </row>
    <row r="39" spans="1:10" x14ac:dyDescent="0.25">
      <c r="A39" s="2" t="s">
        <v>113</v>
      </c>
      <c r="B39" s="2" t="s">
        <v>114</v>
      </c>
      <c r="C39" s="2" t="s">
        <v>115</v>
      </c>
      <c r="D39" s="2" t="s">
        <v>10040</v>
      </c>
      <c r="E39" s="15">
        <v>2.9899999999999999E-2</v>
      </c>
      <c r="F39" s="15">
        <v>0.15260000000000001</v>
      </c>
      <c r="G39" s="15">
        <v>0.84470000000000001</v>
      </c>
      <c r="H39" s="15">
        <v>4.0099999999999997E-2</v>
      </c>
      <c r="I39" s="15">
        <v>3.7199999999999997E-2</v>
      </c>
      <c r="J39" s="15">
        <v>1.077956989247312</v>
      </c>
    </row>
    <row r="40" spans="1:10" x14ac:dyDescent="0.25">
      <c r="A40" s="2" t="s">
        <v>116</v>
      </c>
      <c r="B40" s="2" t="s">
        <v>117</v>
      </c>
      <c r="C40" s="2" t="s">
        <v>118</v>
      </c>
      <c r="D40" s="2" t="s">
        <v>10040</v>
      </c>
      <c r="E40" s="15">
        <v>4.0599999999999997E-2</v>
      </c>
      <c r="F40" s="15">
        <v>7.8200000000000006E-2</v>
      </c>
      <c r="G40" s="15">
        <v>0.60350000000000004</v>
      </c>
      <c r="H40" s="15">
        <v>0.13600000000000001</v>
      </c>
      <c r="I40" s="15">
        <v>3.7699999999999997E-2</v>
      </c>
      <c r="J40" s="15">
        <v>3.6074270557029182</v>
      </c>
    </row>
    <row r="41" spans="1:10" x14ac:dyDescent="0.25">
      <c r="A41" s="2" t="s">
        <v>119</v>
      </c>
      <c r="B41" s="2" t="s">
        <v>120</v>
      </c>
      <c r="C41" s="2" t="s">
        <v>121</v>
      </c>
      <c r="D41" s="2" t="s">
        <v>10040</v>
      </c>
      <c r="E41" s="15">
        <v>-6.5699999999999995E-2</v>
      </c>
      <c r="F41" s="15">
        <v>7.9799999999999996E-2</v>
      </c>
      <c r="G41" s="15">
        <v>0.41</v>
      </c>
      <c r="H41" s="15">
        <v>0.15160000000000001</v>
      </c>
      <c r="I41" s="15">
        <v>4.2599999999999999E-2</v>
      </c>
      <c r="J41" s="15">
        <v>3.55868544600939</v>
      </c>
    </row>
    <row r="42" spans="1:10" x14ac:dyDescent="0.25">
      <c r="A42" s="2" t="s">
        <v>122</v>
      </c>
      <c r="B42" s="2" t="s">
        <v>123</v>
      </c>
      <c r="C42" s="2" t="s">
        <v>124</v>
      </c>
      <c r="D42" s="2" t="s">
        <v>10040</v>
      </c>
      <c r="E42" s="15">
        <v>-1.2500000000000001E-2</v>
      </c>
      <c r="F42" s="15">
        <v>7.9000000000000001E-2</v>
      </c>
      <c r="G42" s="15">
        <v>0.87429999999999997</v>
      </c>
      <c r="H42" s="15">
        <v>0.1908</v>
      </c>
      <c r="I42" s="15">
        <v>4.3200000000000002E-2</v>
      </c>
      <c r="J42" s="15">
        <v>4.4166666666666661</v>
      </c>
    </row>
    <row r="43" spans="1:10" x14ac:dyDescent="0.25">
      <c r="A43" s="2" t="s">
        <v>125</v>
      </c>
      <c r="B43" s="2" t="s">
        <v>126</v>
      </c>
      <c r="C43" s="2" t="s">
        <v>127</v>
      </c>
      <c r="D43" s="2" t="s">
        <v>10040</v>
      </c>
      <c r="E43" s="15">
        <v>-0.04</v>
      </c>
      <c r="F43" s="15">
        <v>7.2300000000000003E-2</v>
      </c>
      <c r="G43" s="15">
        <v>0.58020000000000005</v>
      </c>
      <c r="H43" s="15">
        <v>0.183</v>
      </c>
      <c r="I43" s="15">
        <v>4.2700000000000002E-2</v>
      </c>
      <c r="J43" s="15">
        <v>4.2857142857142856</v>
      </c>
    </row>
    <row r="44" spans="1:10" x14ac:dyDescent="0.25">
      <c r="A44" s="2" t="s">
        <v>128</v>
      </c>
      <c r="B44" s="2" t="s">
        <v>129</v>
      </c>
      <c r="C44" s="2" t="s">
        <v>130</v>
      </c>
      <c r="D44" s="2" t="s">
        <v>10040</v>
      </c>
      <c r="E44" s="15">
        <v>-2.3699999999999999E-2</v>
      </c>
      <c r="F44" s="15">
        <v>0.1242</v>
      </c>
      <c r="G44" s="15">
        <v>0.84889999999999999</v>
      </c>
      <c r="H44" s="15">
        <v>6.9500000000000006E-2</v>
      </c>
      <c r="I44" s="15">
        <v>3.8100000000000002E-2</v>
      </c>
      <c r="J44" s="15">
        <v>1.824146981627297</v>
      </c>
    </row>
    <row r="45" spans="1:10" x14ac:dyDescent="0.25">
      <c r="A45" s="2" t="s">
        <v>131</v>
      </c>
      <c r="B45" s="2" t="s">
        <v>132</v>
      </c>
      <c r="C45" s="2" t="s">
        <v>133</v>
      </c>
      <c r="D45" s="2" t="s">
        <v>10040</v>
      </c>
      <c r="E45" s="15">
        <v>8.2299999999999998E-2</v>
      </c>
      <c r="F45" s="15">
        <v>0.13070000000000001</v>
      </c>
      <c r="G45" s="15">
        <v>0.52859999999999996</v>
      </c>
      <c r="H45" s="15">
        <v>6.7000000000000004E-2</v>
      </c>
      <c r="I45" s="15">
        <v>4.0399999999999998E-2</v>
      </c>
      <c r="J45" s="15">
        <v>1.658415841584159</v>
      </c>
    </row>
    <row r="46" spans="1:10" x14ac:dyDescent="0.25">
      <c r="A46" s="2" t="s">
        <v>134</v>
      </c>
      <c r="B46" s="2" t="s">
        <v>135</v>
      </c>
      <c r="C46" s="2" t="s">
        <v>136</v>
      </c>
      <c r="D46" s="2" t="s">
        <v>10040</v>
      </c>
      <c r="E46" s="15">
        <v>9.4399999999999998E-2</v>
      </c>
      <c r="F46" s="15">
        <v>0.1082</v>
      </c>
      <c r="G46" s="15">
        <v>0.38300000000000001</v>
      </c>
      <c r="H46" s="15">
        <v>9.8299999999999998E-2</v>
      </c>
      <c r="I46" s="15">
        <v>4.0800000000000003E-2</v>
      </c>
      <c r="J46" s="15">
        <v>2.409313725490196</v>
      </c>
    </row>
    <row r="47" spans="1:10" x14ac:dyDescent="0.25">
      <c r="A47" s="2" t="s">
        <v>137</v>
      </c>
      <c r="B47" s="2" t="s">
        <v>138</v>
      </c>
      <c r="C47" s="2" t="s">
        <v>139</v>
      </c>
      <c r="D47" s="2" t="s">
        <v>10040</v>
      </c>
      <c r="E47" s="15">
        <v>5.5E-2</v>
      </c>
      <c r="F47" s="15">
        <v>7.0699999999999999E-2</v>
      </c>
      <c r="G47" s="15">
        <v>0.43640000000000001</v>
      </c>
      <c r="H47" s="15">
        <v>0.1915</v>
      </c>
      <c r="I47" s="15">
        <v>3.8600000000000002E-2</v>
      </c>
      <c r="J47" s="15">
        <v>4.9611398963730569</v>
      </c>
    </row>
    <row r="48" spans="1:10" x14ac:dyDescent="0.25">
      <c r="A48" s="2" t="s">
        <v>140</v>
      </c>
      <c r="B48" s="2" t="s">
        <v>141</v>
      </c>
      <c r="C48" s="2" t="s">
        <v>142</v>
      </c>
      <c r="D48" s="2" t="s">
        <v>10040</v>
      </c>
      <c r="E48" s="15">
        <v>3.2399999999999998E-2</v>
      </c>
      <c r="F48" s="15">
        <v>0.1076</v>
      </c>
      <c r="G48" s="15">
        <v>0.76349999999999996</v>
      </c>
      <c r="H48" s="15">
        <v>6.4100000000000004E-2</v>
      </c>
      <c r="I48" s="15">
        <v>4.07E-2</v>
      </c>
      <c r="J48" s="15">
        <v>1.5749385749385749</v>
      </c>
    </row>
    <row r="49" spans="1:10" x14ac:dyDescent="0.25">
      <c r="A49" s="2" t="s">
        <v>143</v>
      </c>
      <c r="B49" s="2" t="s">
        <v>144</v>
      </c>
      <c r="C49" s="2" t="s">
        <v>145</v>
      </c>
      <c r="D49" s="2" t="s">
        <v>10040</v>
      </c>
      <c r="E49" s="15">
        <v>9.9599999999999994E-2</v>
      </c>
      <c r="F49" s="15">
        <v>0.24329999999999999</v>
      </c>
      <c r="G49" s="15">
        <v>0.68240000000000001</v>
      </c>
      <c r="H49" s="15">
        <v>2.23E-2</v>
      </c>
      <c r="I49" s="15">
        <v>3.8600000000000002E-2</v>
      </c>
      <c r="J49" s="15">
        <v>0.57772020725388595</v>
      </c>
    </row>
    <row r="50" spans="1:10" x14ac:dyDescent="0.25">
      <c r="A50" s="2" t="s">
        <v>146</v>
      </c>
      <c r="B50" s="2" t="s">
        <v>147</v>
      </c>
      <c r="C50" s="2" t="s">
        <v>148</v>
      </c>
      <c r="D50" s="2" t="s">
        <v>10040</v>
      </c>
      <c r="E50" s="15">
        <v>6.1699999999999998E-2</v>
      </c>
      <c r="F50" s="15">
        <v>7.9000000000000001E-2</v>
      </c>
      <c r="G50" s="15">
        <v>0.43459999999999999</v>
      </c>
      <c r="H50" s="15">
        <v>0.18790000000000001</v>
      </c>
      <c r="I50" s="15">
        <v>4.1799999999999997E-2</v>
      </c>
      <c r="J50" s="15">
        <v>4.4952153110047854</v>
      </c>
    </row>
    <row r="51" spans="1:10" x14ac:dyDescent="0.25">
      <c r="A51" s="2" t="s">
        <v>149</v>
      </c>
      <c r="B51" s="2" t="s">
        <v>150</v>
      </c>
      <c r="C51" s="2" t="s">
        <v>151</v>
      </c>
      <c r="D51" s="2" t="s">
        <v>10040</v>
      </c>
      <c r="E51" s="15">
        <v>-0.12909999999999999</v>
      </c>
      <c r="F51" s="15">
        <v>8.0399999999999999E-2</v>
      </c>
      <c r="G51" s="15">
        <v>0.1081</v>
      </c>
      <c r="H51" s="15">
        <v>0.19850000000000001</v>
      </c>
      <c r="I51" s="15">
        <v>3.73E-2</v>
      </c>
      <c r="J51" s="15">
        <v>5.3217158176943702</v>
      </c>
    </row>
    <row r="52" spans="1:10" x14ac:dyDescent="0.25">
      <c r="A52" s="2" t="s">
        <v>152</v>
      </c>
      <c r="B52" s="2" t="s">
        <v>153</v>
      </c>
      <c r="C52" s="2" t="s">
        <v>154</v>
      </c>
      <c r="D52" s="2" t="s">
        <v>10040</v>
      </c>
      <c r="E52" s="15">
        <v>-0.1211</v>
      </c>
      <c r="F52" s="15">
        <v>0.1086</v>
      </c>
      <c r="G52" s="15">
        <v>0.26469999999999999</v>
      </c>
      <c r="H52" s="15">
        <v>9.4500000000000001E-2</v>
      </c>
      <c r="I52" s="15">
        <v>3.56E-2</v>
      </c>
      <c r="J52" s="15">
        <v>2.654494382022472</v>
      </c>
    </row>
    <row r="53" spans="1:10" x14ac:dyDescent="0.25">
      <c r="A53" s="2" t="s">
        <v>155</v>
      </c>
      <c r="B53" s="2" t="s">
        <v>156</v>
      </c>
      <c r="C53" s="2" t="s">
        <v>157</v>
      </c>
      <c r="D53" s="2" t="s">
        <v>10040</v>
      </c>
      <c r="E53" s="15">
        <v>-3.56E-2</v>
      </c>
      <c r="F53" s="15">
        <v>9.0200000000000002E-2</v>
      </c>
      <c r="G53" s="15">
        <v>0.69259999999999999</v>
      </c>
      <c r="H53" s="15">
        <v>0.15129999999999999</v>
      </c>
      <c r="I53" s="15">
        <v>3.9399999999999998E-2</v>
      </c>
      <c r="J53" s="15">
        <v>3.8401015228426401</v>
      </c>
    </row>
    <row r="54" spans="1:10" x14ac:dyDescent="0.25">
      <c r="A54" s="2" t="s">
        <v>158</v>
      </c>
      <c r="B54" s="2" t="s">
        <v>159</v>
      </c>
      <c r="C54" s="2" t="s">
        <v>160</v>
      </c>
      <c r="D54" s="2" t="s">
        <v>10040</v>
      </c>
      <c r="E54" s="15">
        <v>0.1163</v>
      </c>
      <c r="F54" s="15">
        <v>9.6100000000000005E-2</v>
      </c>
      <c r="G54" s="15">
        <v>0.22620000000000001</v>
      </c>
      <c r="H54" s="15">
        <v>9.5600000000000004E-2</v>
      </c>
      <c r="I54" s="15">
        <v>3.7900000000000003E-2</v>
      </c>
      <c r="J54" s="15">
        <v>2.522427440633245</v>
      </c>
    </row>
    <row r="55" spans="1:10" x14ac:dyDescent="0.25">
      <c r="A55" s="2" t="s">
        <v>161</v>
      </c>
      <c r="B55" s="2" t="s">
        <v>162</v>
      </c>
      <c r="C55" s="2" t="s">
        <v>163</v>
      </c>
      <c r="D55" s="2" t="s">
        <v>10040</v>
      </c>
      <c r="E55" s="15">
        <v>0.20180000000000001</v>
      </c>
      <c r="F55" s="15">
        <v>0.1147</v>
      </c>
      <c r="G55" s="15">
        <v>7.8600000000000003E-2</v>
      </c>
      <c r="H55" s="15">
        <v>7.6499999999999999E-2</v>
      </c>
      <c r="I55" s="15">
        <v>3.8100000000000002E-2</v>
      </c>
      <c r="J55" s="15">
        <v>2.007874015748031</v>
      </c>
    </row>
    <row r="56" spans="1:10" x14ac:dyDescent="0.25">
      <c r="A56" s="2" t="s">
        <v>164</v>
      </c>
      <c r="B56" s="2" t="s">
        <v>165</v>
      </c>
      <c r="C56" s="2" t="s">
        <v>166</v>
      </c>
      <c r="D56" s="2" t="s">
        <v>10040</v>
      </c>
      <c r="E56" s="15">
        <v>0.20860000000000001</v>
      </c>
      <c r="F56" s="15">
        <v>0.1104</v>
      </c>
      <c r="G56" s="15">
        <v>5.8799999999999998E-2</v>
      </c>
      <c r="H56" s="15">
        <v>0.1026</v>
      </c>
      <c r="I56" s="15">
        <v>4.2000000000000003E-2</v>
      </c>
      <c r="J56" s="15">
        <v>2.4428571428571431</v>
      </c>
    </row>
    <row r="57" spans="1:10" x14ac:dyDescent="0.25">
      <c r="A57" s="2" t="s">
        <v>167</v>
      </c>
      <c r="B57" s="2" t="s">
        <v>168</v>
      </c>
      <c r="C57" s="2" t="s">
        <v>169</v>
      </c>
      <c r="D57" s="2" t="s">
        <v>10040</v>
      </c>
      <c r="E57" s="15">
        <v>2.76E-2</v>
      </c>
      <c r="F57" s="15">
        <v>9.1600000000000001E-2</v>
      </c>
      <c r="G57" s="15">
        <v>0.76290000000000002</v>
      </c>
      <c r="H57" s="15">
        <v>0.13700000000000001</v>
      </c>
      <c r="I57" s="15">
        <v>4.1000000000000002E-2</v>
      </c>
      <c r="J57" s="15">
        <v>3.3414634146341471</v>
      </c>
    </row>
    <row r="58" spans="1:10" x14ac:dyDescent="0.25">
      <c r="A58" s="2" t="s">
        <v>170</v>
      </c>
      <c r="B58" s="2" t="s">
        <v>171</v>
      </c>
      <c r="C58" s="2" t="s">
        <v>172</v>
      </c>
      <c r="D58" s="2" t="s">
        <v>10040</v>
      </c>
      <c r="E58" s="15">
        <v>-2.64E-2</v>
      </c>
      <c r="F58" s="15">
        <v>8.3900000000000002E-2</v>
      </c>
      <c r="G58" s="15">
        <v>0.75329999999999997</v>
      </c>
      <c r="H58" s="15">
        <v>0.17710000000000001</v>
      </c>
      <c r="I58" s="15">
        <v>4.4699999999999997E-2</v>
      </c>
      <c r="J58" s="15">
        <v>3.9619686800894862</v>
      </c>
    </row>
    <row r="59" spans="1:10" x14ac:dyDescent="0.25">
      <c r="A59" s="2" t="s">
        <v>173</v>
      </c>
      <c r="B59" s="2" t="s">
        <v>174</v>
      </c>
      <c r="C59" s="2" t="s">
        <v>175</v>
      </c>
      <c r="D59" s="2" t="s">
        <v>10040</v>
      </c>
      <c r="E59" s="15">
        <v>2.64E-2</v>
      </c>
      <c r="F59" s="15">
        <v>8.2699999999999996E-2</v>
      </c>
      <c r="G59" s="15">
        <v>0.74990000000000001</v>
      </c>
      <c r="H59" s="15">
        <v>0.14219999999999999</v>
      </c>
      <c r="I59" s="15">
        <v>4.1000000000000002E-2</v>
      </c>
      <c r="J59" s="15">
        <v>3.4682926829268288</v>
      </c>
    </row>
    <row r="60" spans="1:10" x14ac:dyDescent="0.25">
      <c r="A60" s="2" t="s">
        <v>176</v>
      </c>
      <c r="B60" s="2" t="s">
        <v>177</v>
      </c>
      <c r="C60" s="2" t="s">
        <v>178</v>
      </c>
      <c r="D60" s="2" t="s">
        <v>10040</v>
      </c>
      <c r="E60" s="15">
        <v>-8.8200000000000001E-2</v>
      </c>
      <c r="F60" s="15">
        <v>0.1469</v>
      </c>
      <c r="G60" s="15">
        <v>0.54810000000000003</v>
      </c>
      <c r="H60" s="15">
        <v>5.74E-2</v>
      </c>
      <c r="I60" s="15">
        <v>3.9899999999999998E-2</v>
      </c>
      <c r="J60" s="15">
        <v>1.43859649122807</v>
      </c>
    </row>
    <row r="61" spans="1:10" x14ac:dyDescent="0.25">
      <c r="A61" s="2" t="s">
        <v>179</v>
      </c>
      <c r="B61" s="2" t="s">
        <v>180</v>
      </c>
      <c r="C61" s="2" t="s">
        <v>181</v>
      </c>
      <c r="D61" s="2" t="s">
        <v>10040</v>
      </c>
      <c r="E61" s="15">
        <v>-0.17660000000000001</v>
      </c>
      <c r="F61" s="15">
        <v>0.1094</v>
      </c>
      <c r="G61" s="15">
        <v>0.1065</v>
      </c>
      <c r="H61" s="15">
        <v>0.121</v>
      </c>
      <c r="I61" s="15">
        <v>4.6800000000000001E-2</v>
      </c>
      <c r="J61" s="15">
        <v>2.5854700854700852</v>
      </c>
    </row>
    <row r="62" spans="1:10" x14ac:dyDescent="0.25">
      <c r="A62" s="2" t="s">
        <v>182</v>
      </c>
      <c r="B62" s="2" t="s">
        <v>183</v>
      </c>
      <c r="C62" s="2" t="s">
        <v>184</v>
      </c>
      <c r="D62" s="2" t="s">
        <v>10040</v>
      </c>
      <c r="E62" s="15">
        <v>-2.69E-2</v>
      </c>
      <c r="F62" s="15">
        <v>8.9899999999999994E-2</v>
      </c>
      <c r="G62" s="15">
        <v>0.7651</v>
      </c>
      <c r="H62" s="15">
        <v>0.1139</v>
      </c>
      <c r="I62" s="15">
        <v>4.2700000000000002E-2</v>
      </c>
      <c r="J62" s="15">
        <v>2.6674473067915692</v>
      </c>
    </row>
    <row r="63" spans="1:10" x14ac:dyDescent="0.25">
      <c r="A63" s="2" t="s">
        <v>185</v>
      </c>
      <c r="B63" s="2" t="s">
        <v>186</v>
      </c>
      <c r="C63" s="2" t="s">
        <v>187</v>
      </c>
      <c r="D63" s="2" t="s">
        <v>10040</v>
      </c>
      <c r="E63" s="15">
        <v>0.1883</v>
      </c>
      <c r="F63" s="15">
        <v>0.44450000000000001</v>
      </c>
      <c r="G63" s="15">
        <v>0.67179999999999995</v>
      </c>
      <c r="H63" s="15">
        <v>1.37E-2</v>
      </c>
      <c r="I63" s="15">
        <v>3.39E-2</v>
      </c>
      <c r="J63" s="15">
        <v>0.40412979351032452</v>
      </c>
    </row>
    <row r="64" spans="1:10" x14ac:dyDescent="0.25">
      <c r="A64" s="2" t="s">
        <v>188</v>
      </c>
      <c r="B64" s="2" t="s">
        <v>189</v>
      </c>
      <c r="C64" s="2" t="s">
        <v>190</v>
      </c>
      <c r="D64" s="2" t="s">
        <v>10040</v>
      </c>
      <c r="E64" s="15">
        <v>-0.2666</v>
      </c>
      <c r="F64" s="15">
        <v>0.19600000000000001</v>
      </c>
      <c r="G64" s="15">
        <v>0.17369999999999999</v>
      </c>
      <c r="H64" s="15">
        <v>4.4400000000000002E-2</v>
      </c>
      <c r="I64" s="15">
        <v>3.8300000000000001E-2</v>
      </c>
      <c r="J64" s="15">
        <v>1.159268929503916</v>
      </c>
    </row>
    <row r="65" spans="1:10" x14ac:dyDescent="0.25">
      <c r="A65" s="2" t="s">
        <v>191</v>
      </c>
      <c r="B65" s="2" t="s">
        <v>192</v>
      </c>
      <c r="C65" s="2" t="s">
        <v>193</v>
      </c>
      <c r="D65" s="2" t="s">
        <v>10040</v>
      </c>
      <c r="E65" s="15">
        <v>-0.13239999999999999</v>
      </c>
      <c r="F65" s="15">
        <v>0.1187</v>
      </c>
      <c r="G65" s="15">
        <v>0.26490000000000002</v>
      </c>
      <c r="H65" s="15">
        <v>9.5600000000000004E-2</v>
      </c>
      <c r="I65" s="15">
        <v>4.4299999999999999E-2</v>
      </c>
      <c r="J65" s="15">
        <v>2.158013544018059</v>
      </c>
    </row>
    <row r="66" spans="1:10" x14ac:dyDescent="0.25">
      <c r="A66" s="2" t="s">
        <v>194</v>
      </c>
      <c r="B66" s="2" t="s">
        <v>195</v>
      </c>
      <c r="C66" s="2" t="s">
        <v>196</v>
      </c>
      <c r="D66" s="2" t="s">
        <v>10040</v>
      </c>
      <c r="E66" s="15">
        <v>-0.26550000000000001</v>
      </c>
      <c r="F66" s="15">
        <v>0.15870000000000001</v>
      </c>
      <c r="G66" s="15">
        <v>9.4299999999999995E-2</v>
      </c>
      <c r="H66" s="15">
        <v>5.74E-2</v>
      </c>
      <c r="I66" s="15">
        <v>4.2200000000000001E-2</v>
      </c>
      <c r="J66" s="15">
        <v>1.360189573459716</v>
      </c>
    </row>
    <row r="67" spans="1:10" x14ac:dyDescent="0.25">
      <c r="A67" s="2" t="s">
        <v>197</v>
      </c>
      <c r="B67" s="2" t="s">
        <v>198</v>
      </c>
      <c r="C67" s="2" t="s">
        <v>199</v>
      </c>
      <c r="D67" s="2" t="s">
        <v>10040</v>
      </c>
      <c r="E67" s="15">
        <v>-0.35670000000000002</v>
      </c>
      <c r="F67" s="15">
        <v>0.1885</v>
      </c>
      <c r="G67" s="15">
        <v>5.8400000000000001E-2</v>
      </c>
      <c r="H67" s="15">
        <v>5.2200000000000003E-2</v>
      </c>
      <c r="I67" s="15">
        <v>3.5200000000000002E-2</v>
      </c>
      <c r="J67" s="15">
        <v>1.482954545454545</v>
      </c>
    </row>
    <row r="68" spans="1:10" x14ac:dyDescent="0.25">
      <c r="A68" s="2" t="s">
        <v>200</v>
      </c>
      <c r="B68" s="2" t="s">
        <v>201</v>
      </c>
      <c r="C68" s="2" t="s">
        <v>202</v>
      </c>
      <c r="D68" s="2" t="s">
        <v>10040</v>
      </c>
      <c r="E68" s="15">
        <v>-0.2424</v>
      </c>
      <c r="F68" s="15">
        <v>0.11070000000000001</v>
      </c>
      <c r="G68" s="15">
        <v>2.8500000000000001E-2</v>
      </c>
      <c r="H68" s="15">
        <v>0.1169</v>
      </c>
      <c r="I68" s="15">
        <v>4.65E-2</v>
      </c>
      <c r="J68" s="15">
        <v>2.5139784946236561</v>
      </c>
    </row>
    <row r="69" spans="1:10" x14ac:dyDescent="0.25">
      <c r="A69" s="2" t="s">
        <v>203</v>
      </c>
      <c r="B69" s="2" t="s">
        <v>204</v>
      </c>
      <c r="C69" s="2" t="s">
        <v>205</v>
      </c>
      <c r="D69" s="2" t="s">
        <v>10040</v>
      </c>
      <c r="E69" s="15">
        <v>-4.8599999999999997E-2</v>
      </c>
      <c r="F69" s="15">
        <v>9.9099999999999994E-2</v>
      </c>
      <c r="G69" s="15">
        <v>0.62350000000000005</v>
      </c>
      <c r="H69" s="15">
        <v>0.11070000000000001</v>
      </c>
      <c r="I69" s="15">
        <v>4.0099999999999997E-2</v>
      </c>
      <c r="J69" s="15">
        <v>2.7605985037406491</v>
      </c>
    </row>
    <row r="70" spans="1:10" x14ac:dyDescent="0.25">
      <c r="A70" s="2" t="s">
        <v>206</v>
      </c>
      <c r="B70" s="2" t="s">
        <v>207</v>
      </c>
      <c r="C70" s="2" t="s">
        <v>208</v>
      </c>
      <c r="D70" s="2" t="s">
        <v>10040</v>
      </c>
      <c r="E70" s="15">
        <v>2.3800000000000002E-2</v>
      </c>
      <c r="F70" s="15">
        <v>9.6699999999999994E-2</v>
      </c>
      <c r="G70" s="15">
        <v>0.80549999999999999</v>
      </c>
      <c r="H70" s="15">
        <v>0.1242</v>
      </c>
      <c r="I70" s="15">
        <v>4.6699999999999998E-2</v>
      </c>
      <c r="J70" s="15">
        <v>2.6595289079229119</v>
      </c>
    </row>
    <row r="71" spans="1:10" x14ac:dyDescent="0.25">
      <c r="A71" s="2" t="s">
        <v>209</v>
      </c>
      <c r="B71" s="2" t="s">
        <v>210</v>
      </c>
      <c r="C71" s="2" t="s">
        <v>211</v>
      </c>
      <c r="D71" s="2" t="s">
        <v>10040</v>
      </c>
      <c r="E71" s="15">
        <v>-4.87E-2</v>
      </c>
      <c r="F71" s="15">
        <v>0.10440000000000001</v>
      </c>
      <c r="G71" s="15">
        <v>0.64059999999999995</v>
      </c>
      <c r="H71" s="15">
        <v>0.1168</v>
      </c>
      <c r="I71" s="15">
        <v>3.8100000000000002E-2</v>
      </c>
      <c r="J71" s="15">
        <v>3.0656167979002622</v>
      </c>
    </row>
    <row r="72" spans="1:10" x14ac:dyDescent="0.25">
      <c r="A72" s="2" t="s">
        <v>212</v>
      </c>
      <c r="B72" s="2" t="s">
        <v>213</v>
      </c>
      <c r="C72" s="2" t="s">
        <v>214</v>
      </c>
      <c r="D72" s="2" t="s">
        <v>10040</v>
      </c>
      <c r="E72" s="15">
        <v>-5.8000000000000003E-2</v>
      </c>
      <c r="F72" s="15">
        <v>8.7499999999999994E-2</v>
      </c>
      <c r="G72" s="15">
        <v>0.50770000000000004</v>
      </c>
      <c r="H72" s="15">
        <v>0.15010000000000001</v>
      </c>
      <c r="I72" s="15">
        <v>4.3099999999999999E-2</v>
      </c>
      <c r="J72" s="15">
        <v>3.4825986078886308</v>
      </c>
    </row>
    <row r="73" spans="1:10" x14ac:dyDescent="0.25">
      <c r="A73" s="2" t="s">
        <v>215</v>
      </c>
      <c r="B73" s="2" t="s">
        <v>216</v>
      </c>
      <c r="C73" s="2" t="s">
        <v>217</v>
      </c>
      <c r="D73" s="2" t="s">
        <v>10040</v>
      </c>
      <c r="E73" s="15">
        <v>6.5600000000000006E-2</v>
      </c>
      <c r="F73" s="15">
        <v>9.0899999999999995E-2</v>
      </c>
      <c r="G73" s="15">
        <v>0.47060000000000002</v>
      </c>
      <c r="H73" s="15">
        <v>0.14050000000000001</v>
      </c>
      <c r="I73" s="15">
        <v>4.0899999999999999E-2</v>
      </c>
      <c r="J73" s="15">
        <v>3.435207823960881</v>
      </c>
    </row>
    <row r="74" spans="1:10" x14ac:dyDescent="0.25">
      <c r="A74" s="2" t="s">
        <v>218</v>
      </c>
      <c r="B74" s="2" t="s">
        <v>219</v>
      </c>
      <c r="C74" s="2" t="s">
        <v>220</v>
      </c>
      <c r="D74" s="2" t="s">
        <v>10040</v>
      </c>
      <c r="E74" s="15">
        <v>8.0199999999999994E-2</v>
      </c>
      <c r="F74" s="15">
        <v>5.7000000000000002E-2</v>
      </c>
      <c r="G74" s="15">
        <v>0.15909999999999999</v>
      </c>
      <c r="H74" s="15">
        <v>0.34949999999999998</v>
      </c>
      <c r="I74" s="15">
        <v>5.6000000000000001E-2</v>
      </c>
      <c r="J74" s="15">
        <v>6.2410714285714279</v>
      </c>
    </row>
    <row r="75" spans="1:10" x14ac:dyDescent="0.25">
      <c r="A75" s="2" t="s">
        <v>221</v>
      </c>
      <c r="B75" s="2" t="s">
        <v>222</v>
      </c>
      <c r="C75" s="2" t="s">
        <v>223</v>
      </c>
      <c r="D75" s="2" t="s">
        <v>10040</v>
      </c>
      <c r="E75" s="15">
        <v>0.114</v>
      </c>
      <c r="F75" s="15">
        <v>5.7099999999999998E-2</v>
      </c>
      <c r="G75" s="15">
        <v>4.5999999999999999E-2</v>
      </c>
      <c r="H75" s="15">
        <v>0.34599999999999997</v>
      </c>
      <c r="I75" s="15">
        <v>5.5399999999999998E-2</v>
      </c>
      <c r="J75" s="15">
        <v>6.2454873646209386</v>
      </c>
    </row>
    <row r="76" spans="1:10" x14ac:dyDescent="0.25">
      <c r="A76" s="2" t="s">
        <v>224</v>
      </c>
      <c r="B76" s="2" t="s">
        <v>225</v>
      </c>
      <c r="C76" s="2" t="s">
        <v>226</v>
      </c>
      <c r="D76" s="2" t="s">
        <v>10040</v>
      </c>
      <c r="E76" s="15">
        <v>-3.56E-2</v>
      </c>
      <c r="F76" s="15">
        <v>0.1062</v>
      </c>
      <c r="G76" s="15">
        <v>0.73750000000000004</v>
      </c>
      <c r="H76" s="15">
        <v>0.10630000000000001</v>
      </c>
      <c r="I76" s="15">
        <v>3.8300000000000001E-2</v>
      </c>
      <c r="J76" s="15">
        <v>2.7754569190600522</v>
      </c>
    </row>
    <row r="77" spans="1:10" x14ac:dyDescent="0.25">
      <c r="A77" s="2" t="s">
        <v>227</v>
      </c>
      <c r="B77" s="2" t="s">
        <v>228</v>
      </c>
      <c r="C77" s="2" t="s">
        <v>229</v>
      </c>
      <c r="D77" s="2" t="s">
        <v>10040</v>
      </c>
      <c r="E77" s="15">
        <v>-9.2999999999999999E-2</v>
      </c>
      <c r="F77" s="15">
        <v>0.27939999999999998</v>
      </c>
      <c r="G77" s="15">
        <v>0.73929999999999996</v>
      </c>
      <c r="H77" s="15">
        <v>1.8200000000000001E-2</v>
      </c>
      <c r="I77" s="15">
        <v>3.6299999999999999E-2</v>
      </c>
      <c r="J77" s="15">
        <v>0.50137741046831963</v>
      </c>
    </row>
    <row r="78" spans="1:10" x14ac:dyDescent="0.25">
      <c r="A78" s="2" t="s">
        <v>230</v>
      </c>
      <c r="B78" s="2" t="s">
        <v>231</v>
      </c>
      <c r="C78" s="2" t="s">
        <v>232</v>
      </c>
      <c r="D78" s="2" t="s">
        <v>10040</v>
      </c>
      <c r="E78" s="15">
        <v>0.25800000000000001</v>
      </c>
      <c r="F78" s="15">
        <v>0.1229</v>
      </c>
      <c r="G78" s="15">
        <v>3.5799999999999998E-2</v>
      </c>
      <c r="H78" s="15">
        <v>8.8900000000000007E-2</v>
      </c>
      <c r="I78" s="15">
        <v>4.0399999999999998E-2</v>
      </c>
      <c r="J78" s="15">
        <v>2.2004950495049509</v>
      </c>
    </row>
    <row r="79" spans="1:10" x14ac:dyDescent="0.25">
      <c r="A79" s="2" t="s">
        <v>233</v>
      </c>
      <c r="B79" s="2" t="s">
        <v>234</v>
      </c>
      <c r="C79" s="2" t="s">
        <v>235</v>
      </c>
      <c r="D79" s="2" t="s">
        <v>10040</v>
      </c>
      <c r="E79" s="15">
        <v>0.1845</v>
      </c>
      <c r="F79" s="15">
        <v>0.13950000000000001</v>
      </c>
      <c r="G79" s="15">
        <v>0.1862</v>
      </c>
      <c r="H79" s="15">
        <v>6.5000000000000002E-2</v>
      </c>
      <c r="I79" s="15">
        <v>4.1500000000000002E-2</v>
      </c>
      <c r="J79" s="15">
        <v>1.566265060240964</v>
      </c>
    </row>
    <row r="80" spans="1:10" x14ac:dyDescent="0.25">
      <c r="A80" s="2" t="s">
        <v>236</v>
      </c>
      <c r="B80" s="2" t="s">
        <v>237</v>
      </c>
      <c r="C80" s="2" t="s">
        <v>238</v>
      </c>
      <c r="D80" s="2" t="s">
        <v>10040</v>
      </c>
      <c r="E80" s="15">
        <v>-1.3899999999999999E-2</v>
      </c>
      <c r="F80" s="15">
        <v>5.8999999999999997E-2</v>
      </c>
      <c r="G80" s="15">
        <v>0.81359999999999999</v>
      </c>
      <c r="H80" s="15">
        <v>0.31680000000000003</v>
      </c>
      <c r="I80" s="15">
        <v>5.0700000000000002E-2</v>
      </c>
      <c r="J80" s="15">
        <v>6.2485207100591724</v>
      </c>
    </row>
    <row r="81" spans="1:10" x14ac:dyDescent="0.25">
      <c r="A81" s="2" t="s">
        <v>239</v>
      </c>
      <c r="B81" s="2" t="s">
        <v>240</v>
      </c>
      <c r="C81" s="2" t="s">
        <v>241</v>
      </c>
      <c r="D81" s="2" t="s">
        <v>10040</v>
      </c>
      <c r="E81" s="15">
        <v>-8.1699999999999995E-2</v>
      </c>
      <c r="F81" s="15">
        <v>6.6699999999999995E-2</v>
      </c>
      <c r="G81" s="15">
        <v>0.221</v>
      </c>
      <c r="H81" s="15">
        <v>0.25600000000000001</v>
      </c>
      <c r="I81" s="15">
        <v>4.6699999999999998E-2</v>
      </c>
      <c r="J81" s="15">
        <v>5.4817987152034267</v>
      </c>
    </row>
    <row r="82" spans="1:10" x14ac:dyDescent="0.25">
      <c r="A82" s="2" t="s">
        <v>242</v>
      </c>
      <c r="B82" s="2" t="s">
        <v>243</v>
      </c>
      <c r="C82" s="2" t="s">
        <v>244</v>
      </c>
      <c r="D82" s="2" t="s">
        <v>10040</v>
      </c>
      <c r="E82" s="15">
        <v>8.1100000000000005E-2</v>
      </c>
      <c r="F82" s="15">
        <v>8.3099999999999993E-2</v>
      </c>
      <c r="G82" s="15">
        <v>0.32900000000000001</v>
      </c>
      <c r="H82" s="15">
        <v>0.17030000000000001</v>
      </c>
      <c r="I82" s="15">
        <v>4.3900000000000002E-2</v>
      </c>
      <c r="J82" s="15">
        <v>3.879271070615034</v>
      </c>
    </row>
    <row r="83" spans="1:10" x14ac:dyDescent="0.25">
      <c r="A83" s="2" t="s">
        <v>245</v>
      </c>
      <c r="B83" s="2" t="s">
        <v>246</v>
      </c>
      <c r="C83" s="2" t="s">
        <v>247</v>
      </c>
      <c r="D83" s="2" t="s">
        <v>10040</v>
      </c>
      <c r="E83" s="15">
        <v>2.98E-2</v>
      </c>
      <c r="F83" s="15">
        <v>9.8100000000000007E-2</v>
      </c>
      <c r="G83" s="15">
        <v>0.76149999999999995</v>
      </c>
      <c r="H83" s="15">
        <v>0.1129</v>
      </c>
      <c r="I83" s="15">
        <v>4.5900000000000003E-2</v>
      </c>
      <c r="J83" s="15">
        <v>2.4596949891067541</v>
      </c>
    </row>
    <row r="84" spans="1:10" x14ac:dyDescent="0.25">
      <c r="A84" s="2" t="s">
        <v>248</v>
      </c>
      <c r="B84" s="2" t="s">
        <v>249</v>
      </c>
      <c r="C84" s="2" t="s">
        <v>250</v>
      </c>
      <c r="D84" s="2" t="s">
        <v>10040</v>
      </c>
      <c r="E84" s="15">
        <v>-3.4000000000000002E-2</v>
      </c>
      <c r="F84" s="15">
        <v>0.10009999999999999</v>
      </c>
      <c r="G84" s="15">
        <v>0.73429999999999995</v>
      </c>
      <c r="H84" s="15">
        <v>0.1298</v>
      </c>
      <c r="I84" s="15">
        <v>4.3099999999999999E-2</v>
      </c>
      <c r="J84" s="15">
        <v>3.011600928074246</v>
      </c>
    </row>
    <row r="85" spans="1:10" x14ac:dyDescent="0.25">
      <c r="A85" s="2" t="s">
        <v>251</v>
      </c>
      <c r="B85" s="2" t="s">
        <v>252</v>
      </c>
      <c r="C85" s="2" t="s">
        <v>253</v>
      </c>
      <c r="D85" s="2" t="s">
        <v>10040</v>
      </c>
      <c r="E85" s="15">
        <v>7.3400000000000007E-2</v>
      </c>
      <c r="F85" s="15">
        <v>9.7100000000000006E-2</v>
      </c>
      <c r="G85" s="15">
        <v>0.44990000000000002</v>
      </c>
      <c r="H85" s="15">
        <v>0.1236</v>
      </c>
      <c r="I85" s="15">
        <v>4.5400000000000003E-2</v>
      </c>
      <c r="J85" s="15">
        <v>2.7224669603524232</v>
      </c>
    </row>
    <row r="86" spans="1:10" x14ac:dyDescent="0.25">
      <c r="A86" s="2" t="s">
        <v>254</v>
      </c>
      <c r="B86" s="2" t="s">
        <v>255</v>
      </c>
      <c r="C86" s="2" t="s">
        <v>256</v>
      </c>
      <c r="D86" s="2" t="s">
        <v>10040</v>
      </c>
      <c r="E86" s="15">
        <v>-0.13289999999999999</v>
      </c>
      <c r="F86" s="15">
        <v>9.6100000000000005E-2</v>
      </c>
      <c r="G86" s="15">
        <v>0.16700000000000001</v>
      </c>
      <c r="H86" s="15">
        <v>0.16289999999999999</v>
      </c>
      <c r="I86" s="15">
        <v>3.95E-2</v>
      </c>
      <c r="J86" s="15">
        <v>4.1240506329113922</v>
      </c>
    </row>
    <row r="87" spans="1:10" x14ac:dyDescent="0.25">
      <c r="A87" s="2" t="s">
        <v>257</v>
      </c>
      <c r="B87" s="2" t="s">
        <v>258</v>
      </c>
      <c r="C87" s="2" t="s">
        <v>259</v>
      </c>
      <c r="D87" s="2" t="s">
        <v>10040</v>
      </c>
      <c r="E87" s="15">
        <v>-0.20749999999999999</v>
      </c>
      <c r="F87" s="15">
        <v>0.12470000000000001</v>
      </c>
      <c r="G87" s="15">
        <v>9.6100000000000005E-2</v>
      </c>
      <c r="H87" s="15">
        <v>9.01E-2</v>
      </c>
      <c r="I87" s="15">
        <v>3.9800000000000002E-2</v>
      </c>
      <c r="J87" s="15">
        <v>2.2638190954773871</v>
      </c>
    </row>
    <row r="88" spans="1:10" x14ac:dyDescent="0.25">
      <c r="A88" s="2" t="s">
        <v>260</v>
      </c>
      <c r="B88" s="2" t="s">
        <v>261</v>
      </c>
      <c r="C88" s="2" t="s">
        <v>262</v>
      </c>
      <c r="D88" s="2" t="s">
        <v>10040</v>
      </c>
      <c r="E88" s="15">
        <v>-8.5599999999999996E-2</v>
      </c>
      <c r="F88" s="15">
        <v>8.1600000000000006E-2</v>
      </c>
      <c r="G88" s="15">
        <v>0.2944</v>
      </c>
      <c r="H88" s="15">
        <v>0.19170000000000001</v>
      </c>
      <c r="I88" s="15">
        <v>4.87E-2</v>
      </c>
      <c r="J88" s="15">
        <v>3.9363449691991792</v>
      </c>
    </row>
    <row r="89" spans="1:10" x14ac:dyDescent="0.25">
      <c r="A89" s="2" t="s">
        <v>263</v>
      </c>
      <c r="B89" s="2" t="s">
        <v>264</v>
      </c>
      <c r="C89" s="2" t="s">
        <v>265</v>
      </c>
      <c r="D89" s="2" t="s">
        <v>10040</v>
      </c>
      <c r="E89" s="15">
        <v>-7.2599999999999998E-2</v>
      </c>
      <c r="F89" s="15">
        <v>8.1500000000000003E-2</v>
      </c>
      <c r="G89" s="15">
        <v>0.37309999999999999</v>
      </c>
      <c r="H89" s="15">
        <v>0.19600000000000001</v>
      </c>
      <c r="I89" s="15">
        <v>4.99E-2</v>
      </c>
      <c r="J89" s="15">
        <v>3.9278557114228461</v>
      </c>
    </row>
    <row r="90" spans="1:10" x14ac:dyDescent="0.25">
      <c r="A90" s="2" t="s">
        <v>266</v>
      </c>
      <c r="B90" s="2" t="s">
        <v>267</v>
      </c>
      <c r="C90" s="2" t="s">
        <v>268</v>
      </c>
      <c r="D90" s="2" t="s">
        <v>10040</v>
      </c>
      <c r="E90" s="15">
        <v>6.0000000000000001E-3</v>
      </c>
      <c r="F90" s="15">
        <v>9.2899999999999996E-2</v>
      </c>
      <c r="G90" s="15">
        <v>0.94820000000000004</v>
      </c>
      <c r="H90" s="15">
        <v>0.1414</v>
      </c>
      <c r="I90" s="15">
        <v>4.1799999999999997E-2</v>
      </c>
      <c r="J90" s="15">
        <v>3.3827751196172251</v>
      </c>
    </row>
    <row r="91" spans="1:10" x14ac:dyDescent="0.25">
      <c r="A91" s="2" t="s">
        <v>269</v>
      </c>
      <c r="B91" s="2" t="s">
        <v>270</v>
      </c>
      <c r="C91" s="2" t="s">
        <v>271</v>
      </c>
      <c r="D91" s="2" t="s">
        <v>10040</v>
      </c>
      <c r="E91" s="15">
        <v>-3.0499999999999999E-2</v>
      </c>
      <c r="F91" s="15">
        <v>8.6699999999999999E-2</v>
      </c>
      <c r="G91" s="15">
        <v>0.72489999999999999</v>
      </c>
      <c r="H91" s="15">
        <v>0.14799999999999999</v>
      </c>
      <c r="I91" s="15">
        <v>4.1599999999999998E-2</v>
      </c>
      <c r="J91" s="15">
        <v>3.557692307692307</v>
      </c>
    </row>
    <row r="92" spans="1:10" x14ac:dyDescent="0.25">
      <c r="A92" s="2" t="s">
        <v>272</v>
      </c>
      <c r="B92" s="2" t="s">
        <v>273</v>
      </c>
      <c r="C92" s="2" t="s">
        <v>274</v>
      </c>
      <c r="D92" s="2" t="s">
        <v>10040</v>
      </c>
      <c r="E92" s="15">
        <v>5.6099999999999997E-2</v>
      </c>
      <c r="F92" s="15">
        <v>8.0399999999999999E-2</v>
      </c>
      <c r="G92" s="15">
        <v>0.48549999999999999</v>
      </c>
      <c r="H92" s="15">
        <v>0.17760000000000001</v>
      </c>
      <c r="I92" s="15">
        <v>4.4499999999999998E-2</v>
      </c>
      <c r="J92" s="15">
        <v>3.9910112359550571</v>
      </c>
    </row>
    <row r="93" spans="1:10" x14ac:dyDescent="0.25">
      <c r="A93" s="2" t="s">
        <v>275</v>
      </c>
      <c r="B93" s="2" t="s">
        <v>276</v>
      </c>
      <c r="C93" s="2" t="s">
        <v>277</v>
      </c>
      <c r="D93" s="2" t="s">
        <v>10040</v>
      </c>
      <c r="E93" s="15">
        <v>2.07E-2</v>
      </c>
      <c r="F93" s="15">
        <v>8.4900000000000003E-2</v>
      </c>
      <c r="G93" s="15">
        <v>0.80769999999999997</v>
      </c>
      <c r="H93" s="15">
        <v>0.16600000000000001</v>
      </c>
      <c r="I93" s="15">
        <v>4.4400000000000002E-2</v>
      </c>
      <c r="J93" s="15">
        <v>3.7387387387387392</v>
      </c>
    </row>
    <row r="94" spans="1:10" x14ac:dyDescent="0.25">
      <c r="A94" s="2" t="s">
        <v>278</v>
      </c>
      <c r="B94" s="2" t="s">
        <v>279</v>
      </c>
      <c r="C94" s="2" t="s">
        <v>280</v>
      </c>
      <c r="D94" s="2" t="s">
        <v>10040</v>
      </c>
      <c r="E94" s="15">
        <v>0.14119999999999999</v>
      </c>
      <c r="F94" s="15">
        <v>8.2100000000000006E-2</v>
      </c>
      <c r="G94" s="15">
        <v>8.5599999999999996E-2</v>
      </c>
      <c r="H94" s="15">
        <v>0.16350000000000001</v>
      </c>
      <c r="I94" s="15">
        <v>4.2099999999999999E-2</v>
      </c>
      <c r="J94" s="15">
        <v>3.883610451306414</v>
      </c>
    </row>
    <row r="95" spans="1:10" x14ac:dyDescent="0.25">
      <c r="A95" s="2" t="s">
        <v>281</v>
      </c>
      <c r="B95" s="2" t="s">
        <v>282</v>
      </c>
      <c r="C95" s="2" t="s">
        <v>283</v>
      </c>
      <c r="D95" s="2" t="s">
        <v>10040</v>
      </c>
      <c r="E95" s="15">
        <v>3.4799999999999998E-2</v>
      </c>
      <c r="F95" s="15">
        <v>8.2600000000000007E-2</v>
      </c>
      <c r="G95" s="15">
        <v>0.67379999999999995</v>
      </c>
      <c r="H95" s="15">
        <v>0.16889999999999999</v>
      </c>
      <c r="I95" s="15">
        <v>4.5100000000000001E-2</v>
      </c>
      <c r="J95" s="15">
        <v>3.7450110864745012</v>
      </c>
    </row>
    <row r="96" spans="1:10" x14ac:dyDescent="0.25">
      <c r="A96" s="2" t="s">
        <v>284</v>
      </c>
      <c r="B96" s="2" t="s">
        <v>285</v>
      </c>
      <c r="C96" s="2" t="s">
        <v>286</v>
      </c>
      <c r="D96" s="2" t="s">
        <v>10040</v>
      </c>
      <c r="E96" s="15">
        <v>-2.76E-2</v>
      </c>
      <c r="F96" s="15">
        <v>6.5799999999999997E-2</v>
      </c>
      <c r="G96" s="15">
        <v>0.67500000000000004</v>
      </c>
      <c r="H96" s="15">
        <v>0.25879999999999997</v>
      </c>
      <c r="I96" s="15">
        <v>3.78E-2</v>
      </c>
      <c r="J96" s="15">
        <v>6.8465608465608456</v>
      </c>
    </row>
    <row r="97" spans="1:10" x14ac:dyDescent="0.25">
      <c r="A97" s="2" t="s">
        <v>287</v>
      </c>
      <c r="B97" s="2" t="s">
        <v>288</v>
      </c>
      <c r="C97" s="2" t="s">
        <v>289</v>
      </c>
      <c r="D97" s="2" t="s">
        <v>10040</v>
      </c>
      <c r="E97" s="15">
        <v>-2.69E-2</v>
      </c>
      <c r="F97" s="15">
        <v>6.4299999999999996E-2</v>
      </c>
      <c r="G97" s="15">
        <v>0.67620000000000002</v>
      </c>
      <c r="H97" s="15">
        <v>0.32029999999999997</v>
      </c>
      <c r="I97" s="15">
        <v>3.9399999999999998E-2</v>
      </c>
      <c r="J97" s="15">
        <v>8.1294416243654819</v>
      </c>
    </row>
    <row r="98" spans="1:10" x14ac:dyDescent="0.25">
      <c r="A98" s="2" t="s">
        <v>290</v>
      </c>
      <c r="B98" s="2" t="s">
        <v>291</v>
      </c>
      <c r="C98" s="2" t="s">
        <v>292</v>
      </c>
      <c r="D98" s="2" t="s">
        <v>10040</v>
      </c>
      <c r="E98" s="15">
        <v>6.4699999999999994E-2</v>
      </c>
      <c r="F98" s="15">
        <v>7.3499999999999996E-2</v>
      </c>
      <c r="G98" s="15">
        <v>0.379</v>
      </c>
      <c r="H98" s="15">
        <v>0.20380000000000001</v>
      </c>
      <c r="I98" s="15">
        <v>4.0099999999999997E-2</v>
      </c>
      <c r="J98" s="15">
        <v>5.0822942643391524</v>
      </c>
    </row>
    <row r="99" spans="1:10" x14ac:dyDescent="0.25">
      <c r="A99" s="2" t="s">
        <v>293</v>
      </c>
      <c r="B99" s="2" t="s">
        <v>294</v>
      </c>
      <c r="C99" s="2" t="s">
        <v>295</v>
      </c>
      <c r="D99" s="2" t="s">
        <v>10040</v>
      </c>
      <c r="E99" s="15">
        <v>7.4300000000000005E-2</v>
      </c>
      <c r="F99" s="15">
        <v>7.1300000000000002E-2</v>
      </c>
      <c r="G99" s="15">
        <v>0.2979</v>
      </c>
      <c r="H99" s="15">
        <v>0.2324</v>
      </c>
      <c r="I99" s="15">
        <v>4.19E-2</v>
      </c>
      <c r="J99" s="15">
        <v>5.5465393794749396</v>
      </c>
    </row>
    <row r="100" spans="1:10" x14ac:dyDescent="0.25">
      <c r="A100" s="2" t="s">
        <v>296</v>
      </c>
      <c r="B100" s="2" t="s">
        <v>297</v>
      </c>
      <c r="C100" s="2" t="s">
        <v>298</v>
      </c>
      <c r="D100" s="2" t="s">
        <v>10040</v>
      </c>
      <c r="E100" s="15">
        <v>1.9800000000000002E-2</v>
      </c>
      <c r="F100" s="15">
        <v>0.12620000000000001</v>
      </c>
      <c r="G100" s="15">
        <v>0.87509999999999999</v>
      </c>
      <c r="H100" s="15">
        <v>7.3400000000000007E-2</v>
      </c>
      <c r="I100" s="15">
        <v>4.2700000000000002E-2</v>
      </c>
      <c r="J100" s="15">
        <v>1.7189695550351289</v>
      </c>
    </row>
    <row r="101" spans="1:10" x14ac:dyDescent="0.25">
      <c r="A101" s="2" t="s">
        <v>299</v>
      </c>
      <c r="B101" s="2" t="s">
        <v>300</v>
      </c>
      <c r="C101" s="2" t="s">
        <v>301</v>
      </c>
      <c r="D101" s="2" t="s">
        <v>10040</v>
      </c>
      <c r="E101" s="15">
        <v>0.1348</v>
      </c>
      <c r="F101" s="15">
        <v>0.1052</v>
      </c>
      <c r="G101" s="15">
        <v>0.19989999999999999</v>
      </c>
      <c r="H101" s="15">
        <v>0.1206</v>
      </c>
      <c r="I101" s="15">
        <v>4.2299999999999997E-2</v>
      </c>
      <c r="J101" s="15">
        <v>2.8510638297872339</v>
      </c>
    </row>
    <row r="102" spans="1:10" x14ac:dyDescent="0.25">
      <c r="A102" s="2" t="s">
        <v>302</v>
      </c>
      <c r="B102" s="2" t="s">
        <v>303</v>
      </c>
      <c r="C102" s="2" t="s">
        <v>304</v>
      </c>
      <c r="D102" s="2" t="s">
        <v>10040</v>
      </c>
      <c r="E102" s="15">
        <v>-1.9800000000000002E-2</v>
      </c>
      <c r="F102" s="15">
        <v>8.4699999999999998E-2</v>
      </c>
      <c r="G102" s="15">
        <v>0.81530000000000002</v>
      </c>
      <c r="H102" s="15">
        <v>0.1641</v>
      </c>
      <c r="I102" s="15">
        <v>4.4200000000000003E-2</v>
      </c>
      <c r="J102" s="15">
        <v>3.7126696832579178</v>
      </c>
    </row>
    <row r="103" spans="1:10" x14ac:dyDescent="0.25">
      <c r="A103" s="2" t="s">
        <v>305</v>
      </c>
      <c r="B103" s="2" t="s">
        <v>306</v>
      </c>
      <c r="C103" s="2" t="s">
        <v>307</v>
      </c>
      <c r="D103" s="2" t="s">
        <v>10040</v>
      </c>
      <c r="E103" s="15">
        <v>7.2499999999999995E-2</v>
      </c>
      <c r="F103" s="15">
        <v>7.7100000000000002E-2</v>
      </c>
      <c r="G103" s="15">
        <v>0.34720000000000001</v>
      </c>
      <c r="H103" s="15">
        <v>0.21779999999999999</v>
      </c>
      <c r="I103" s="15">
        <v>4.07E-2</v>
      </c>
      <c r="J103" s="15">
        <v>5.3513513513513509</v>
      </c>
    </row>
    <row r="104" spans="1:10" x14ac:dyDescent="0.25">
      <c r="A104" s="2" t="s">
        <v>308</v>
      </c>
      <c r="B104" s="2" t="s">
        <v>309</v>
      </c>
      <c r="C104" s="2" t="s">
        <v>310</v>
      </c>
      <c r="D104" s="2" t="s">
        <v>10040</v>
      </c>
      <c r="E104" s="15">
        <v>2.92E-2</v>
      </c>
      <c r="F104" s="15">
        <v>7.3999999999999996E-2</v>
      </c>
      <c r="G104" s="15">
        <v>0.69299999999999995</v>
      </c>
      <c r="H104" s="15">
        <v>0.18479999999999999</v>
      </c>
      <c r="I104" s="15">
        <v>3.8399999999999997E-2</v>
      </c>
      <c r="J104" s="15">
        <v>4.8125</v>
      </c>
    </row>
    <row r="105" spans="1:10" x14ac:dyDescent="0.25">
      <c r="A105" s="2" t="s">
        <v>311</v>
      </c>
      <c r="B105" s="2" t="s">
        <v>312</v>
      </c>
      <c r="C105" s="2" t="s">
        <v>313</v>
      </c>
      <c r="D105" s="2" t="s">
        <v>10040</v>
      </c>
      <c r="E105" s="15">
        <v>7.8899999999999998E-2</v>
      </c>
      <c r="F105" s="15">
        <v>7.5499999999999998E-2</v>
      </c>
      <c r="G105" s="15">
        <v>0.29609999999999997</v>
      </c>
      <c r="H105" s="15">
        <v>0.1817</v>
      </c>
      <c r="I105" s="15">
        <v>4.1000000000000002E-2</v>
      </c>
      <c r="J105" s="15">
        <v>4.4317073170731707</v>
      </c>
    </row>
    <row r="106" spans="1:10" x14ac:dyDescent="0.25">
      <c r="A106" s="2" t="s">
        <v>314</v>
      </c>
      <c r="B106" s="2" t="s">
        <v>315</v>
      </c>
      <c r="C106" s="2" t="s">
        <v>316</v>
      </c>
      <c r="D106" s="2" t="s">
        <v>10040</v>
      </c>
      <c r="E106" s="15">
        <v>0.1787</v>
      </c>
      <c r="F106" s="15">
        <v>8.6999999999999994E-2</v>
      </c>
      <c r="G106" s="15">
        <v>0.04</v>
      </c>
      <c r="H106" s="15">
        <v>0.16339999999999999</v>
      </c>
      <c r="I106" s="15">
        <v>4.0800000000000003E-2</v>
      </c>
      <c r="J106" s="15">
        <v>4.0049019607843128</v>
      </c>
    </row>
    <row r="107" spans="1:10" x14ac:dyDescent="0.25">
      <c r="A107" s="2" t="s">
        <v>317</v>
      </c>
      <c r="B107" s="2" t="s">
        <v>318</v>
      </c>
      <c r="C107" s="2" t="s">
        <v>319</v>
      </c>
      <c r="D107" s="2" t="s">
        <v>10040</v>
      </c>
      <c r="E107" s="15">
        <v>2.01E-2</v>
      </c>
      <c r="F107" s="15">
        <v>7.8600000000000003E-2</v>
      </c>
      <c r="G107" s="15">
        <v>0.79790000000000005</v>
      </c>
      <c r="H107" s="15">
        <v>0.1729</v>
      </c>
      <c r="I107" s="15">
        <v>4.2999999999999997E-2</v>
      </c>
      <c r="J107" s="15">
        <v>4.0209302325581397</v>
      </c>
    </row>
    <row r="108" spans="1:10" x14ac:dyDescent="0.25">
      <c r="A108" s="2" t="s">
        <v>320</v>
      </c>
      <c r="B108" s="2" t="s">
        <v>321</v>
      </c>
      <c r="C108" s="2" t="s">
        <v>322</v>
      </c>
      <c r="D108" s="2" t="s">
        <v>10040</v>
      </c>
      <c r="E108" s="15">
        <v>-2.0500000000000001E-2</v>
      </c>
      <c r="F108" s="15">
        <v>0.1105</v>
      </c>
      <c r="G108" s="15">
        <v>0.85260000000000002</v>
      </c>
      <c r="H108" s="15">
        <v>8.6900000000000005E-2</v>
      </c>
      <c r="I108" s="15">
        <v>3.5999999999999997E-2</v>
      </c>
      <c r="J108" s="15">
        <v>2.4138888888888892</v>
      </c>
    </row>
    <row r="109" spans="1:10" x14ac:dyDescent="0.25">
      <c r="A109" s="2" t="s">
        <v>323</v>
      </c>
      <c r="B109" s="2" t="s">
        <v>324</v>
      </c>
      <c r="C109" s="2" t="s">
        <v>325</v>
      </c>
      <c r="D109" s="2" t="s">
        <v>10040</v>
      </c>
      <c r="E109" s="15">
        <v>-2.53E-2</v>
      </c>
      <c r="F109" s="15">
        <v>0.1139</v>
      </c>
      <c r="G109" s="15">
        <v>0.8246</v>
      </c>
      <c r="H109" s="15">
        <v>9.7500000000000003E-2</v>
      </c>
      <c r="I109" s="15">
        <v>3.8399999999999997E-2</v>
      </c>
      <c r="J109" s="15">
        <v>2.5390625</v>
      </c>
    </row>
    <row r="110" spans="1:10" x14ac:dyDescent="0.25">
      <c r="A110" s="2" t="s">
        <v>326</v>
      </c>
      <c r="B110" s="2" t="s">
        <v>327</v>
      </c>
      <c r="C110" s="2" t="s">
        <v>328</v>
      </c>
      <c r="D110" s="2" t="s">
        <v>10040</v>
      </c>
      <c r="E110" s="15">
        <v>3.9699999999999999E-2</v>
      </c>
      <c r="F110" s="15">
        <v>0.15509999999999999</v>
      </c>
      <c r="G110" s="15">
        <v>0.79779999999999995</v>
      </c>
      <c r="H110" s="15">
        <v>4.4499999999999998E-2</v>
      </c>
      <c r="I110" s="15">
        <v>3.7600000000000001E-2</v>
      </c>
      <c r="J110" s="15">
        <v>1.183510638297872</v>
      </c>
    </row>
    <row r="111" spans="1:10" x14ac:dyDescent="0.25">
      <c r="A111" s="2" t="s">
        <v>329</v>
      </c>
      <c r="B111" s="2" t="s">
        <v>330</v>
      </c>
      <c r="C111" s="2" t="s">
        <v>331</v>
      </c>
      <c r="D111" s="2" t="s">
        <v>10040</v>
      </c>
      <c r="E111" s="15">
        <v>-5.2699999999999997E-2</v>
      </c>
      <c r="F111" s="15">
        <v>0.1051</v>
      </c>
      <c r="G111" s="15">
        <v>0.61619999999999997</v>
      </c>
      <c r="H111" s="15">
        <v>9.1300000000000006E-2</v>
      </c>
      <c r="I111" s="15">
        <v>3.7600000000000001E-2</v>
      </c>
      <c r="J111" s="15">
        <v>2.4281914893617018</v>
      </c>
    </row>
    <row r="112" spans="1:10" x14ac:dyDescent="0.25">
      <c r="A112" s="2" t="s">
        <v>332</v>
      </c>
      <c r="B112" s="2" t="s">
        <v>333</v>
      </c>
      <c r="C112" s="2" t="s">
        <v>334</v>
      </c>
      <c r="D112" s="2" t="s">
        <v>10040</v>
      </c>
      <c r="E112" s="15">
        <v>-7.7600000000000002E-2</v>
      </c>
      <c r="F112" s="15">
        <v>9.5500000000000002E-2</v>
      </c>
      <c r="G112" s="15">
        <v>0.41689999999999999</v>
      </c>
      <c r="H112" s="15">
        <v>0.1449</v>
      </c>
      <c r="I112" s="15">
        <v>3.7400000000000003E-2</v>
      </c>
      <c r="J112" s="15">
        <v>3.8743315508021392</v>
      </c>
    </row>
    <row r="113" spans="1:10" x14ac:dyDescent="0.25">
      <c r="A113" s="2" t="s">
        <v>335</v>
      </c>
      <c r="B113" s="2" t="s">
        <v>336</v>
      </c>
      <c r="C113" s="2" t="s">
        <v>337</v>
      </c>
      <c r="D113" s="2" t="s">
        <v>10040</v>
      </c>
      <c r="E113" s="15">
        <v>6.1800000000000001E-2</v>
      </c>
      <c r="F113" s="15">
        <v>8.5000000000000006E-2</v>
      </c>
      <c r="G113" s="15">
        <v>0.46700000000000003</v>
      </c>
      <c r="H113" s="15">
        <v>0.13320000000000001</v>
      </c>
      <c r="I113" s="15">
        <v>4.3400000000000001E-2</v>
      </c>
      <c r="J113" s="15">
        <v>3.0691244239631339</v>
      </c>
    </row>
    <row r="114" spans="1:10" x14ac:dyDescent="0.25">
      <c r="A114" s="2" t="s">
        <v>338</v>
      </c>
      <c r="B114" s="2" t="s">
        <v>339</v>
      </c>
      <c r="C114" s="2" t="s">
        <v>340</v>
      </c>
      <c r="D114" s="2" t="s">
        <v>10040</v>
      </c>
      <c r="E114" s="15">
        <v>0.21310000000000001</v>
      </c>
      <c r="F114" s="15">
        <v>7.5200000000000003E-2</v>
      </c>
      <c r="G114" s="15">
        <v>4.5999999999999999E-3</v>
      </c>
      <c r="H114" s="15">
        <v>0.17660000000000001</v>
      </c>
      <c r="I114" s="15">
        <v>4.4200000000000003E-2</v>
      </c>
      <c r="J114" s="15">
        <v>3.995475113122172</v>
      </c>
    </row>
    <row r="115" spans="1:10" x14ac:dyDescent="0.25">
      <c r="A115" s="2" t="s">
        <v>341</v>
      </c>
      <c r="B115" s="2" t="s">
        <v>342</v>
      </c>
      <c r="C115" s="2" t="s">
        <v>343</v>
      </c>
      <c r="D115" s="2" t="s">
        <v>10040</v>
      </c>
      <c r="E115" s="15">
        <v>0.183</v>
      </c>
      <c r="F115" s="15">
        <v>0.1031</v>
      </c>
      <c r="G115" s="15">
        <v>7.5899999999999995E-2</v>
      </c>
      <c r="H115" s="15">
        <v>0.1298</v>
      </c>
      <c r="I115" s="15">
        <v>4.5699999999999998E-2</v>
      </c>
      <c r="J115" s="15">
        <v>2.840262582056893</v>
      </c>
    </row>
    <row r="116" spans="1:10" x14ac:dyDescent="0.25">
      <c r="A116" s="2" t="s">
        <v>344</v>
      </c>
      <c r="B116" s="2" t="s">
        <v>345</v>
      </c>
      <c r="C116" s="2" t="s">
        <v>346</v>
      </c>
      <c r="D116" s="2" t="s">
        <v>10040</v>
      </c>
      <c r="E116" s="15">
        <v>0.1158</v>
      </c>
      <c r="F116" s="15">
        <v>0.1026</v>
      </c>
      <c r="G116" s="15">
        <v>0.25890000000000002</v>
      </c>
      <c r="H116" s="15">
        <v>0.1462</v>
      </c>
      <c r="I116" s="15">
        <v>4.2299999999999997E-2</v>
      </c>
      <c r="J116" s="15">
        <v>3.4562647754137119</v>
      </c>
    </row>
    <row r="117" spans="1:10" x14ac:dyDescent="0.25">
      <c r="A117" s="2" t="s">
        <v>347</v>
      </c>
      <c r="B117" s="2" t="s">
        <v>348</v>
      </c>
      <c r="C117" s="2" t="s">
        <v>349</v>
      </c>
      <c r="D117" s="2" t="s">
        <v>10040</v>
      </c>
      <c r="E117" s="15">
        <v>3.2099999999999997E-2</v>
      </c>
      <c r="F117" s="15">
        <v>8.2100000000000006E-2</v>
      </c>
      <c r="G117" s="15">
        <v>0.69610000000000005</v>
      </c>
      <c r="H117" s="15">
        <v>0.1779</v>
      </c>
      <c r="I117" s="15">
        <v>4.1799999999999997E-2</v>
      </c>
      <c r="J117" s="15">
        <v>4.2559808612440193</v>
      </c>
    </row>
    <row r="118" spans="1:10" x14ac:dyDescent="0.25">
      <c r="A118" s="2" t="s">
        <v>350</v>
      </c>
      <c r="B118" s="2" t="s">
        <v>351</v>
      </c>
      <c r="C118" s="2" t="s">
        <v>352</v>
      </c>
      <c r="D118" s="2" t="s">
        <v>10040</v>
      </c>
      <c r="E118" s="15">
        <v>1.1599999999999999E-2</v>
      </c>
      <c r="F118" s="15">
        <v>9.4399999999999998E-2</v>
      </c>
      <c r="G118" s="15">
        <v>0.9022</v>
      </c>
      <c r="H118" s="15">
        <v>0.16639999999999999</v>
      </c>
      <c r="I118" s="15">
        <v>4.1099999999999998E-2</v>
      </c>
      <c r="J118" s="15">
        <v>4.0486618004866184</v>
      </c>
    </row>
    <row r="119" spans="1:10" x14ac:dyDescent="0.25">
      <c r="A119" s="2" t="s">
        <v>353</v>
      </c>
      <c r="B119" s="2" t="s">
        <v>354</v>
      </c>
      <c r="C119" s="2" t="s">
        <v>355</v>
      </c>
      <c r="D119" s="2" t="s">
        <v>10040</v>
      </c>
      <c r="E119" s="15">
        <v>4.2200000000000001E-2</v>
      </c>
      <c r="F119" s="15">
        <v>7.9100000000000004E-2</v>
      </c>
      <c r="G119" s="15">
        <v>0.59399999999999997</v>
      </c>
      <c r="H119" s="15">
        <v>0.21</v>
      </c>
      <c r="I119" s="15">
        <v>4.0899999999999999E-2</v>
      </c>
      <c r="J119" s="15">
        <v>5.1344743276283618</v>
      </c>
    </row>
    <row r="120" spans="1:10" x14ac:dyDescent="0.25">
      <c r="A120" s="2" t="s">
        <v>356</v>
      </c>
      <c r="B120" s="2" t="s">
        <v>357</v>
      </c>
      <c r="C120" s="2" t="s">
        <v>358</v>
      </c>
      <c r="D120" s="2" t="s">
        <v>10040</v>
      </c>
      <c r="E120" s="15">
        <v>6.1899999999999997E-2</v>
      </c>
      <c r="F120" s="15">
        <v>7.9299999999999995E-2</v>
      </c>
      <c r="G120" s="15">
        <v>0.43480000000000002</v>
      </c>
      <c r="H120" s="15">
        <v>0.1615</v>
      </c>
      <c r="I120" s="15">
        <v>4.0399999999999998E-2</v>
      </c>
      <c r="J120" s="15">
        <v>3.9975247524752482</v>
      </c>
    </row>
    <row r="121" spans="1:10" x14ac:dyDescent="0.25">
      <c r="A121" s="2" t="s">
        <v>359</v>
      </c>
      <c r="B121" s="2" t="s">
        <v>360</v>
      </c>
      <c r="C121" s="2" t="s">
        <v>361</v>
      </c>
      <c r="D121" s="2" t="s">
        <v>10040</v>
      </c>
      <c r="E121" s="15">
        <v>0.1128</v>
      </c>
      <c r="F121" s="15">
        <v>8.1900000000000001E-2</v>
      </c>
      <c r="G121" s="15">
        <v>0.16839999999999999</v>
      </c>
      <c r="H121" s="15">
        <v>0.16309999999999999</v>
      </c>
      <c r="I121" s="15">
        <v>4.3900000000000002E-2</v>
      </c>
      <c r="J121" s="15">
        <v>3.715261958997722</v>
      </c>
    </row>
    <row r="122" spans="1:10" x14ac:dyDescent="0.25">
      <c r="A122" s="2" t="s">
        <v>362</v>
      </c>
      <c r="B122" s="2" t="s">
        <v>363</v>
      </c>
      <c r="C122" s="2" t="s">
        <v>364</v>
      </c>
      <c r="D122" s="2" t="s">
        <v>10040</v>
      </c>
      <c r="E122" s="15">
        <v>-4.6199999999999998E-2</v>
      </c>
      <c r="F122" s="15">
        <v>9.0300000000000005E-2</v>
      </c>
      <c r="G122" s="15">
        <v>0.60919999999999996</v>
      </c>
      <c r="H122" s="15">
        <v>0.1235</v>
      </c>
      <c r="I122" s="15">
        <v>3.8699999999999998E-2</v>
      </c>
      <c r="J122" s="15">
        <v>3.1912144702842382</v>
      </c>
    </row>
    <row r="123" spans="1:10" x14ac:dyDescent="0.25">
      <c r="A123" s="2" t="s">
        <v>365</v>
      </c>
      <c r="B123" s="2" t="s">
        <v>366</v>
      </c>
      <c r="C123" s="2" t="s">
        <v>367</v>
      </c>
      <c r="D123" s="2" t="s">
        <v>10040</v>
      </c>
      <c r="E123" s="15">
        <v>7.7799999999999994E-2</v>
      </c>
      <c r="F123" s="15">
        <v>8.1500000000000003E-2</v>
      </c>
      <c r="G123" s="15">
        <v>0.34010000000000001</v>
      </c>
      <c r="H123" s="15">
        <v>0.17749999999999999</v>
      </c>
      <c r="I123" s="15">
        <v>4.5900000000000003E-2</v>
      </c>
      <c r="J123" s="15">
        <v>3.8671023965141611</v>
      </c>
    </row>
    <row r="124" spans="1:10" x14ac:dyDescent="0.25">
      <c r="A124" s="2" t="s">
        <v>368</v>
      </c>
      <c r="B124" s="2" t="s">
        <v>369</v>
      </c>
      <c r="C124" s="2" t="s">
        <v>370</v>
      </c>
      <c r="D124" s="2" t="s">
        <v>10040</v>
      </c>
      <c r="E124" s="15">
        <v>6.7000000000000002E-3</v>
      </c>
      <c r="F124" s="15">
        <v>7.0800000000000002E-2</v>
      </c>
      <c r="G124" s="15">
        <v>0.92420000000000002</v>
      </c>
      <c r="H124" s="15">
        <v>0.26919999999999999</v>
      </c>
      <c r="I124" s="15">
        <v>4.2700000000000002E-2</v>
      </c>
      <c r="J124" s="15">
        <v>6.3044496487119437</v>
      </c>
    </row>
    <row r="125" spans="1:10" x14ac:dyDescent="0.25">
      <c r="A125" s="2" t="s">
        <v>371</v>
      </c>
      <c r="B125" s="2" t="s">
        <v>372</v>
      </c>
      <c r="C125" s="2" t="s">
        <v>373</v>
      </c>
      <c r="D125" s="2" t="s">
        <v>10040</v>
      </c>
      <c r="E125" s="15">
        <v>1.54E-2</v>
      </c>
      <c r="F125" s="15">
        <v>6.3700000000000007E-2</v>
      </c>
      <c r="G125" s="15">
        <v>0.80879999999999996</v>
      </c>
      <c r="H125" s="15">
        <v>0.31809999999999999</v>
      </c>
      <c r="I125" s="15">
        <v>4.0399999999999998E-2</v>
      </c>
      <c r="J125" s="15">
        <v>7.8737623762376243</v>
      </c>
    </row>
    <row r="126" spans="1:10" x14ac:dyDescent="0.25">
      <c r="A126" s="2" t="s">
        <v>374</v>
      </c>
      <c r="B126" s="2" t="s">
        <v>375</v>
      </c>
      <c r="C126" s="2" t="s">
        <v>376</v>
      </c>
      <c r="D126" s="2" t="s">
        <v>10040</v>
      </c>
      <c r="E126" s="15">
        <v>3.7900000000000003E-2</v>
      </c>
      <c r="F126" s="15">
        <v>7.0400000000000004E-2</v>
      </c>
      <c r="G126" s="15">
        <v>0.59019999999999995</v>
      </c>
      <c r="H126" s="15">
        <v>0.28149999999999997</v>
      </c>
      <c r="I126" s="15">
        <v>4.53E-2</v>
      </c>
      <c r="J126" s="15">
        <v>6.2141280353200878</v>
      </c>
    </row>
    <row r="127" spans="1:10" x14ac:dyDescent="0.25">
      <c r="A127" s="2" t="s">
        <v>377</v>
      </c>
      <c r="B127" s="2" t="s">
        <v>378</v>
      </c>
      <c r="C127" s="2" t="s">
        <v>379</v>
      </c>
      <c r="D127" s="2" t="s">
        <v>10040</v>
      </c>
      <c r="E127" s="15">
        <v>3.7600000000000001E-2</v>
      </c>
      <c r="F127" s="15">
        <v>6.2399999999999997E-2</v>
      </c>
      <c r="G127" s="15">
        <v>0.54710000000000003</v>
      </c>
      <c r="H127" s="15">
        <v>0.34949999999999998</v>
      </c>
      <c r="I127" s="15">
        <v>4.5699999999999998E-2</v>
      </c>
      <c r="J127" s="15">
        <v>7.6477024070021882</v>
      </c>
    </row>
    <row r="128" spans="1:10" x14ac:dyDescent="0.25">
      <c r="A128" s="2" t="s">
        <v>380</v>
      </c>
      <c r="B128" s="2" t="s">
        <v>381</v>
      </c>
      <c r="C128" s="2" t="s">
        <v>382</v>
      </c>
      <c r="D128" s="2" t="s">
        <v>10040</v>
      </c>
      <c r="E128" s="15">
        <v>-3.6900000000000002E-2</v>
      </c>
      <c r="F128" s="15">
        <v>7.3099999999999998E-2</v>
      </c>
      <c r="G128" s="15">
        <v>0.61380000000000001</v>
      </c>
      <c r="H128" s="15">
        <v>0.2064</v>
      </c>
      <c r="I128" s="15">
        <v>4.24E-2</v>
      </c>
      <c r="J128" s="15">
        <v>4.867924528301887</v>
      </c>
    </row>
    <row r="129" spans="1:10" x14ac:dyDescent="0.25">
      <c r="A129" s="2" t="s">
        <v>383</v>
      </c>
      <c r="B129" s="2" t="s">
        <v>384</v>
      </c>
      <c r="C129" s="2" t="s">
        <v>385</v>
      </c>
      <c r="D129" s="2" t="s">
        <v>10040</v>
      </c>
      <c r="E129" s="15">
        <v>-2.9499999999999998E-2</v>
      </c>
      <c r="F129" s="15">
        <v>7.0599999999999996E-2</v>
      </c>
      <c r="G129" s="15">
        <v>0.67589999999999995</v>
      </c>
      <c r="H129" s="15">
        <v>0.2263</v>
      </c>
      <c r="I129" s="15">
        <v>4.6100000000000002E-2</v>
      </c>
      <c r="J129" s="15">
        <v>4.9088937093275486</v>
      </c>
    </row>
    <row r="130" spans="1:10" x14ac:dyDescent="0.25">
      <c r="A130" s="2" t="s">
        <v>386</v>
      </c>
      <c r="B130" s="2" t="s">
        <v>387</v>
      </c>
      <c r="C130" s="2" t="s">
        <v>388</v>
      </c>
      <c r="D130" s="2" t="s">
        <v>10040</v>
      </c>
      <c r="E130" s="15">
        <v>-9.2999999999999992E-3</v>
      </c>
      <c r="F130" s="15">
        <v>7.3300000000000004E-2</v>
      </c>
      <c r="G130" s="15">
        <v>0.89870000000000005</v>
      </c>
      <c r="H130" s="15">
        <v>0.1938</v>
      </c>
      <c r="I130" s="15">
        <v>3.8899999999999997E-2</v>
      </c>
      <c r="J130" s="15">
        <v>4.982005141388175</v>
      </c>
    </row>
    <row r="131" spans="1:10" x14ac:dyDescent="0.25">
      <c r="A131" s="2" t="s">
        <v>389</v>
      </c>
      <c r="B131" s="2" t="s">
        <v>390</v>
      </c>
      <c r="C131" s="2" t="s">
        <v>391</v>
      </c>
      <c r="D131" s="2" t="s">
        <v>10040</v>
      </c>
      <c r="E131" s="15">
        <v>2.5899999999999999E-2</v>
      </c>
      <c r="F131" s="15">
        <v>6.8500000000000005E-2</v>
      </c>
      <c r="G131" s="15">
        <v>0.7056</v>
      </c>
      <c r="H131" s="15">
        <v>0.21160000000000001</v>
      </c>
      <c r="I131" s="15">
        <v>4.2500000000000003E-2</v>
      </c>
      <c r="J131" s="15">
        <v>4.9788235294117644</v>
      </c>
    </row>
    <row r="132" spans="1:10" x14ac:dyDescent="0.25">
      <c r="A132" s="2" t="s">
        <v>392</v>
      </c>
      <c r="B132" s="2" t="s">
        <v>393</v>
      </c>
      <c r="C132" s="2" t="s">
        <v>394</v>
      </c>
      <c r="D132" s="2" t="s">
        <v>10040</v>
      </c>
      <c r="E132" s="15">
        <v>5.7700000000000001E-2</v>
      </c>
      <c r="F132" s="15">
        <v>6.3799999999999996E-2</v>
      </c>
      <c r="G132" s="15">
        <v>0.36559999999999998</v>
      </c>
      <c r="H132" s="15">
        <v>0.30530000000000002</v>
      </c>
      <c r="I132" s="15">
        <v>4.4400000000000002E-2</v>
      </c>
      <c r="J132" s="15">
        <v>6.8761261261261266</v>
      </c>
    </row>
    <row r="133" spans="1:10" x14ac:dyDescent="0.25">
      <c r="A133" s="2" t="s">
        <v>395</v>
      </c>
      <c r="B133" s="2" t="s">
        <v>396</v>
      </c>
      <c r="C133" s="2" t="s">
        <v>397</v>
      </c>
      <c r="D133" s="2" t="s">
        <v>10040</v>
      </c>
      <c r="E133" s="15">
        <v>4.0599999999999997E-2</v>
      </c>
      <c r="F133" s="15">
        <v>6.6400000000000001E-2</v>
      </c>
      <c r="G133" s="15">
        <v>0.54039999999999999</v>
      </c>
      <c r="H133" s="15">
        <v>0.31409999999999999</v>
      </c>
      <c r="I133" s="15">
        <v>4.5600000000000002E-2</v>
      </c>
      <c r="J133" s="15">
        <v>6.8881578947368416</v>
      </c>
    </row>
    <row r="134" spans="1:10" x14ac:dyDescent="0.25">
      <c r="A134" s="2" t="s">
        <v>398</v>
      </c>
      <c r="B134" s="2" t="s">
        <v>399</v>
      </c>
      <c r="C134" s="2" t="s">
        <v>400</v>
      </c>
      <c r="D134" s="2" t="s">
        <v>10040</v>
      </c>
      <c r="E134" s="15">
        <v>7.7399999999999997E-2</v>
      </c>
      <c r="F134" s="15">
        <v>6.4399999999999999E-2</v>
      </c>
      <c r="G134" s="15">
        <v>0.2296</v>
      </c>
      <c r="H134" s="15">
        <v>0.2382</v>
      </c>
      <c r="I134" s="15">
        <v>4.4699999999999997E-2</v>
      </c>
      <c r="J134" s="15">
        <v>5.3288590604026851</v>
      </c>
    </row>
    <row r="135" spans="1:10" x14ac:dyDescent="0.25">
      <c r="A135" s="2" t="s">
        <v>401</v>
      </c>
      <c r="B135" s="2" t="s">
        <v>402</v>
      </c>
      <c r="C135" s="2" t="s">
        <v>403</v>
      </c>
      <c r="D135" s="2" t="s">
        <v>10040</v>
      </c>
      <c r="E135" s="15">
        <v>0.18690000000000001</v>
      </c>
      <c r="F135" s="15">
        <v>0.1084</v>
      </c>
      <c r="G135" s="15">
        <v>8.4599999999999995E-2</v>
      </c>
      <c r="H135" s="15">
        <v>0.11899999999999999</v>
      </c>
      <c r="I135" s="15">
        <v>4.19E-2</v>
      </c>
      <c r="J135" s="15">
        <v>2.840095465393794</v>
      </c>
    </row>
    <row r="136" spans="1:10" x14ac:dyDescent="0.25">
      <c r="A136" s="2" t="s">
        <v>404</v>
      </c>
      <c r="B136" s="2" t="s">
        <v>405</v>
      </c>
      <c r="C136" s="2" t="s">
        <v>406</v>
      </c>
      <c r="D136" s="2" t="s">
        <v>10040</v>
      </c>
      <c r="E136" s="15">
        <v>5.1900000000000002E-2</v>
      </c>
      <c r="F136" s="15">
        <v>6.0600000000000001E-2</v>
      </c>
      <c r="G136" s="15">
        <v>0.39200000000000002</v>
      </c>
      <c r="H136" s="15">
        <v>0.34710000000000002</v>
      </c>
      <c r="I136" s="15">
        <v>5.5300000000000002E-2</v>
      </c>
      <c r="J136" s="15">
        <v>6.2766726943942137</v>
      </c>
    </row>
    <row r="137" spans="1:10" x14ac:dyDescent="0.25">
      <c r="A137" s="2" t="s">
        <v>407</v>
      </c>
      <c r="B137" s="2" t="s">
        <v>408</v>
      </c>
      <c r="C137" s="2" t="s">
        <v>409</v>
      </c>
      <c r="D137" s="2" t="s">
        <v>10040</v>
      </c>
      <c r="E137" s="15">
        <v>4.2000000000000003E-2</v>
      </c>
      <c r="F137" s="15">
        <v>5.5899999999999998E-2</v>
      </c>
      <c r="G137" s="15">
        <v>0.45179999999999998</v>
      </c>
      <c r="H137" s="15">
        <v>0.36709999999999998</v>
      </c>
      <c r="I137" s="15">
        <v>5.45E-2</v>
      </c>
      <c r="J137" s="15">
        <v>6.7357798165137606</v>
      </c>
    </row>
    <row r="138" spans="1:10" x14ac:dyDescent="0.25">
      <c r="A138" s="2" t="s">
        <v>410</v>
      </c>
      <c r="B138" s="2" t="s">
        <v>411</v>
      </c>
      <c r="C138" s="2" t="s">
        <v>412</v>
      </c>
      <c r="D138" s="2" t="s">
        <v>10040</v>
      </c>
      <c r="E138" s="15">
        <v>-7.6799999999999993E-2</v>
      </c>
      <c r="F138" s="15">
        <v>6.7199999999999996E-2</v>
      </c>
      <c r="G138" s="15">
        <v>0.2535</v>
      </c>
      <c r="H138" s="15">
        <v>0.26090000000000002</v>
      </c>
      <c r="I138" s="15">
        <v>4.7600000000000003E-2</v>
      </c>
      <c r="J138" s="15">
        <v>5.48109243697479</v>
      </c>
    </row>
    <row r="139" spans="1:10" x14ac:dyDescent="0.25">
      <c r="A139" s="2" t="s">
        <v>413</v>
      </c>
      <c r="B139" s="2" t="s">
        <v>414</v>
      </c>
      <c r="C139" s="2" t="s">
        <v>415</v>
      </c>
      <c r="D139" s="2" t="s">
        <v>10040</v>
      </c>
      <c r="E139" s="15">
        <v>-3.8800000000000001E-2</v>
      </c>
      <c r="F139" s="15">
        <v>6.7199999999999996E-2</v>
      </c>
      <c r="G139" s="15">
        <v>0.56330000000000002</v>
      </c>
      <c r="H139" s="15">
        <v>0.28220000000000001</v>
      </c>
      <c r="I139" s="15">
        <v>4.3799999999999999E-2</v>
      </c>
      <c r="J139" s="15">
        <v>6.4429223744292239</v>
      </c>
    </row>
    <row r="140" spans="1:10" x14ac:dyDescent="0.25">
      <c r="A140" s="2" t="s">
        <v>416</v>
      </c>
      <c r="B140" s="2" t="s">
        <v>417</v>
      </c>
      <c r="C140" s="2" t="s">
        <v>418</v>
      </c>
      <c r="D140" s="2" t="s">
        <v>10040</v>
      </c>
      <c r="E140" s="15">
        <v>-8.9999999999999998E-4</v>
      </c>
      <c r="F140" s="15">
        <v>7.1499999999999994E-2</v>
      </c>
      <c r="G140" s="15">
        <v>0.98970000000000002</v>
      </c>
      <c r="H140" s="15">
        <v>0.2409</v>
      </c>
      <c r="I140" s="15">
        <v>4.7199999999999999E-2</v>
      </c>
      <c r="J140" s="15">
        <v>5.1038135593220337</v>
      </c>
    </row>
    <row r="141" spans="1:10" x14ac:dyDescent="0.25">
      <c r="A141" s="2" t="s">
        <v>419</v>
      </c>
      <c r="B141" s="2" t="s">
        <v>420</v>
      </c>
      <c r="C141" s="2" t="s">
        <v>421</v>
      </c>
      <c r="D141" s="2" t="s">
        <v>10040</v>
      </c>
      <c r="E141" s="15">
        <v>-4.6800000000000001E-2</v>
      </c>
      <c r="F141" s="15">
        <v>6.2700000000000006E-2</v>
      </c>
      <c r="G141" s="15">
        <v>0.45619999999999999</v>
      </c>
      <c r="H141" s="15">
        <v>0.3221</v>
      </c>
      <c r="I141" s="15">
        <v>4.41E-2</v>
      </c>
      <c r="J141" s="15">
        <v>7.3038548752834469</v>
      </c>
    </row>
    <row r="142" spans="1:10" x14ac:dyDescent="0.25">
      <c r="A142" s="2" t="s">
        <v>422</v>
      </c>
      <c r="B142" s="2" t="s">
        <v>423</v>
      </c>
      <c r="C142" s="2" t="s">
        <v>424</v>
      </c>
      <c r="D142" s="2" t="s">
        <v>10040</v>
      </c>
      <c r="E142" s="15">
        <v>-3.95E-2</v>
      </c>
      <c r="F142" s="15">
        <v>7.8600000000000003E-2</v>
      </c>
      <c r="G142" s="15">
        <v>0.61560000000000004</v>
      </c>
      <c r="H142" s="15">
        <v>0.2273</v>
      </c>
      <c r="I142" s="15">
        <v>4.5400000000000003E-2</v>
      </c>
      <c r="J142" s="15">
        <v>5.0066079295154182</v>
      </c>
    </row>
    <row r="143" spans="1:10" x14ac:dyDescent="0.25">
      <c r="A143" s="2" t="s">
        <v>425</v>
      </c>
      <c r="B143" s="2" t="s">
        <v>426</v>
      </c>
      <c r="C143" s="2" t="s">
        <v>427</v>
      </c>
      <c r="D143" s="2" t="s">
        <v>10040</v>
      </c>
      <c r="E143" s="15">
        <v>-5.4000000000000003E-3</v>
      </c>
      <c r="F143" s="15">
        <v>6.4799999999999996E-2</v>
      </c>
      <c r="G143" s="15">
        <v>0.93320000000000003</v>
      </c>
      <c r="H143" s="15">
        <v>0.33939999999999998</v>
      </c>
      <c r="I143" s="15">
        <v>4.8000000000000001E-2</v>
      </c>
      <c r="J143" s="15">
        <v>7.0708333333333329</v>
      </c>
    </row>
    <row r="144" spans="1:10" x14ac:dyDescent="0.25">
      <c r="A144" s="2" t="s">
        <v>428</v>
      </c>
      <c r="B144" s="2" t="s">
        <v>429</v>
      </c>
      <c r="C144" s="2" t="s">
        <v>430</v>
      </c>
      <c r="D144" s="2" t="s">
        <v>10040</v>
      </c>
      <c r="E144" s="15">
        <v>-4.5999999999999999E-3</v>
      </c>
      <c r="F144" s="15">
        <v>6.9099999999999995E-2</v>
      </c>
      <c r="G144" s="15">
        <v>0.94679999999999997</v>
      </c>
      <c r="H144" s="15">
        <v>0.28560000000000002</v>
      </c>
      <c r="I144" s="15">
        <v>4.6199999999999998E-2</v>
      </c>
      <c r="J144" s="15">
        <v>6.1818181818181834</v>
      </c>
    </row>
    <row r="145" spans="1:10" x14ac:dyDescent="0.25">
      <c r="A145" s="2" t="s">
        <v>431</v>
      </c>
      <c r="B145" s="2" t="s">
        <v>432</v>
      </c>
      <c r="C145" s="2" t="s">
        <v>433</v>
      </c>
      <c r="D145" s="2" t="s">
        <v>10040</v>
      </c>
      <c r="E145" s="15">
        <v>2.5100000000000001E-2</v>
      </c>
      <c r="F145" s="15">
        <v>6.8000000000000005E-2</v>
      </c>
      <c r="G145" s="15">
        <v>0.71179999999999999</v>
      </c>
      <c r="H145" s="15">
        <v>0.317</v>
      </c>
      <c r="I145" s="15">
        <v>4.7E-2</v>
      </c>
      <c r="J145" s="15">
        <v>6.7446808510638299</v>
      </c>
    </row>
    <row r="146" spans="1:10" x14ac:dyDescent="0.25">
      <c r="A146" s="2" t="s">
        <v>434</v>
      </c>
      <c r="B146" s="2" t="s">
        <v>435</v>
      </c>
      <c r="C146" s="2" t="s">
        <v>436</v>
      </c>
      <c r="D146" s="2" t="s">
        <v>10040</v>
      </c>
      <c r="E146" s="15">
        <v>1.84E-2</v>
      </c>
      <c r="F146" s="15">
        <v>5.91E-2</v>
      </c>
      <c r="G146" s="15">
        <v>0.75529999999999997</v>
      </c>
      <c r="H146" s="15">
        <v>0.39389999999999997</v>
      </c>
      <c r="I146" s="15">
        <v>4.8500000000000001E-2</v>
      </c>
      <c r="J146" s="15">
        <v>8.121649484536082</v>
      </c>
    </row>
    <row r="147" spans="1:10" x14ac:dyDescent="0.25">
      <c r="A147" s="2" t="s">
        <v>437</v>
      </c>
      <c r="B147" s="2" t="s">
        <v>438</v>
      </c>
      <c r="C147" s="2" t="s">
        <v>439</v>
      </c>
      <c r="D147" s="2" t="s">
        <v>10040</v>
      </c>
      <c r="E147" s="15">
        <v>4.3999999999999997E-2</v>
      </c>
      <c r="F147" s="15">
        <v>0.1055</v>
      </c>
      <c r="G147" s="15">
        <v>0.67689999999999995</v>
      </c>
      <c r="H147" s="15">
        <v>9.8599999999999993E-2</v>
      </c>
      <c r="I147" s="15">
        <v>4.3200000000000002E-2</v>
      </c>
      <c r="J147" s="15">
        <v>2.282407407407407</v>
      </c>
    </row>
    <row r="148" spans="1:10" x14ac:dyDescent="0.25">
      <c r="A148" s="2" t="s">
        <v>440</v>
      </c>
      <c r="B148" s="2" t="s">
        <v>441</v>
      </c>
      <c r="C148" s="2" t="s">
        <v>442</v>
      </c>
      <c r="D148" s="2" t="s">
        <v>10040</v>
      </c>
      <c r="E148" s="15">
        <v>-1.8100000000000002E-2</v>
      </c>
      <c r="F148" s="15">
        <v>5.9200000000000003E-2</v>
      </c>
      <c r="G148" s="15">
        <v>0.75960000000000005</v>
      </c>
      <c r="H148" s="15">
        <v>0.39319999999999999</v>
      </c>
      <c r="I148" s="15">
        <v>4.9599999999999998E-2</v>
      </c>
      <c r="J148" s="15">
        <v>7.92741935483871</v>
      </c>
    </row>
    <row r="149" spans="1:10" x14ac:dyDescent="0.25">
      <c r="A149" s="2" t="s">
        <v>443</v>
      </c>
      <c r="B149" s="2" t="s">
        <v>444</v>
      </c>
      <c r="C149" s="2" t="s">
        <v>445</v>
      </c>
      <c r="D149" s="2" t="s">
        <v>10040</v>
      </c>
      <c r="E149" s="15">
        <v>0.1265</v>
      </c>
      <c r="F149" s="15">
        <v>6.54E-2</v>
      </c>
      <c r="G149" s="15">
        <v>5.2900000000000003E-2</v>
      </c>
      <c r="H149" s="15">
        <v>0.28549999999999998</v>
      </c>
      <c r="I149" s="15">
        <v>4.7699999999999999E-2</v>
      </c>
      <c r="J149" s="15">
        <v>5.9853249475890982</v>
      </c>
    </row>
    <row r="150" spans="1:10" x14ac:dyDescent="0.25">
      <c r="A150" s="2" t="s">
        <v>446</v>
      </c>
      <c r="B150" s="2" t="s">
        <v>447</v>
      </c>
      <c r="C150" s="2" t="s">
        <v>448</v>
      </c>
      <c r="D150" s="2" t="s">
        <v>10040</v>
      </c>
      <c r="E150" s="15">
        <v>0.1166</v>
      </c>
      <c r="F150" s="15">
        <v>6.7500000000000004E-2</v>
      </c>
      <c r="G150" s="15">
        <v>8.4400000000000003E-2</v>
      </c>
      <c r="H150" s="15">
        <v>0.24340000000000001</v>
      </c>
      <c r="I150" s="15">
        <v>5.16E-2</v>
      </c>
      <c r="J150" s="15">
        <v>4.7170542635658919</v>
      </c>
    </row>
    <row r="151" spans="1:10" x14ac:dyDescent="0.25">
      <c r="A151" s="2" t="s">
        <v>449</v>
      </c>
      <c r="B151" s="2" t="s">
        <v>450</v>
      </c>
      <c r="C151" s="2" t="s">
        <v>451</v>
      </c>
      <c r="D151" s="2" t="s">
        <v>10040</v>
      </c>
      <c r="E151" s="15">
        <v>4.9500000000000002E-2</v>
      </c>
      <c r="F151" s="15">
        <v>5.96E-2</v>
      </c>
      <c r="G151" s="15">
        <v>0.40679999999999999</v>
      </c>
      <c r="H151" s="15">
        <v>0.37230000000000002</v>
      </c>
      <c r="I151" s="15">
        <v>5.8299999999999998E-2</v>
      </c>
      <c r="J151" s="15">
        <v>6.3859348198970842</v>
      </c>
    </row>
    <row r="152" spans="1:10" x14ac:dyDescent="0.25">
      <c r="A152" s="2" t="s">
        <v>452</v>
      </c>
      <c r="B152" s="2" t="s">
        <v>453</v>
      </c>
      <c r="C152" s="2" t="s">
        <v>454</v>
      </c>
      <c r="D152" s="2" t="s">
        <v>10040</v>
      </c>
      <c r="E152" s="15">
        <v>5.5599999999999997E-2</v>
      </c>
      <c r="F152" s="15">
        <v>6.0499999999999998E-2</v>
      </c>
      <c r="G152" s="15">
        <v>0.3579</v>
      </c>
      <c r="H152" s="15">
        <v>0.32250000000000001</v>
      </c>
      <c r="I152" s="15">
        <v>4.9500000000000002E-2</v>
      </c>
      <c r="J152" s="15">
        <v>6.5151515151515147</v>
      </c>
    </row>
    <row r="153" spans="1:10" x14ac:dyDescent="0.25">
      <c r="A153" s="2" t="s">
        <v>455</v>
      </c>
      <c r="B153" s="2" t="s">
        <v>456</v>
      </c>
      <c r="C153" s="2" t="s">
        <v>457</v>
      </c>
      <c r="D153" s="2" t="s">
        <v>10040</v>
      </c>
      <c r="E153" s="15">
        <v>4.2700000000000002E-2</v>
      </c>
      <c r="F153" s="15">
        <v>5.9900000000000002E-2</v>
      </c>
      <c r="G153" s="15">
        <v>0.47560000000000002</v>
      </c>
      <c r="H153" s="15">
        <v>0.30590000000000001</v>
      </c>
      <c r="I153" s="15">
        <v>4.3099999999999999E-2</v>
      </c>
      <c r="J153" s="15">
        <v>7.0974477958236664</v>
      </c>
    </row>
    <row r="154" spans="1:10" x14ac:dyDescent="0.25">
      <c r="A154" s="2" t="s">
        <v>458</v>
      </c>
      <c r="B154" s="2" t="s">
        <v>459</v>
      </c>
      <c r="C154" s="2" t="s">
        <v>460</v>
      </c>
      <c r="D154" s="2" t="s">
        <v>10040</v>
      </c>
      <c r="E154" s="15">
        <v>6.9800000000000001E-2</v>
      </c>
      <c r="F154" s="15">
        <v>5.9299999999999999E-2</v>
      </c>
      <c r="G154" s="15">
        <v>0.23849999999999999</v>
      </c>
      <c r="H154" s="15">
        <v>0.33710000000000001</v>
      </c>
      <c r="I154" s="15">
        <v>5.11E-2</v>
      </c>
      <c r="J154" s="15">
        <v>6.5968688845401173</v>
      </c>
    </row>
    <row r="155" spans="1:10" x14ac:dyDescent="0.25">
      <c r="A155" s="2" t="s">
        <v>461</v>
      </c>
      <c r="B155" s="2" t="s">
        <v>462</v>
      </c>
      <c r="C155" s="2" t="s">
        <v>463</v>
      </c>
      <c r="D155" s="2" t="s">
        <v>10040</v>
      </c>
      <c r="E155" s="15">
        <v>-6.8599999999999994E-2</v>
      </c>
      <c r="F155" s="15">
        <v>6.2600000000000003E-2</v>
      </c>
      <c r="G155" s="15">
        <v>0.27300000000000002</v>
      </c>
      <c r="H155" s="15">
        <v>0.31159999999999999</v>
      </c>
      <c r="I155" s="15">
        <v>4.3799999999999999E-2</v>
      </c>
      <c r="J155" s="15">
        <v>7.1141552511415522</v>
      </c>
    </row>
    <row r="156" spans="1:10" x14ac:dyDescent="0.25">
      <c r="A156" s="2" t="s">
        <v>464</v>
      </c>
      <c r="B156" s="2" t="s">
        <v>465</v>
      </c>
      <c r="C156" s="2" t="s">
        <v>466</v>
      </c>
      <c r="D156" s="2" t="s">
        <v>10040</v>
      </c>
      <c r="E156" s="15">
        <v>0.14000000000000001</v>
      </c>
      <c r="F156" s="15">
        <v>6.1899999999999997E-2</v>
      </c>
      <c r="G156" s="15">
        <v>2.3800000000000002E-2</v>
      </c>
      <c r="H156" s="15">
        <v>0.27600000000000002</v>
      </c>
      <c r="I156" s="15">
        <v>0.05</v>
      </c>
      <c r="J156" s="15">
        <v>5.52</v>
      </c>
    </row>
    <row r="157" spans="1:10" x14ac:dyDescent="0.25">
      <c r="A157" s="2" t="s">
        <v>467</v>
      </c>
      <c r="B157" s="2" t="s">
        <v>468</v>
      </c>
      <c r="C157" s="2" t="s">
        <v>469</v>
      </c>
      <c r="D157" s="2" t="s">
        <v>10040</v>
      </c>
      <c r="E157" s="15">
        <v>6.2100000000000002E-2</v>
      </c>
      <c r="F157" s="15">
        <v>6.7100000000000007E-2</v>
      </c>
      <c r="G157" s="15">
        <v>0.35460000000000003</v>
      </c>
      <c r="H157" s="15">
        <v>0.24940000000000001</v>
      </c>
      <c r="I157" s="15">
        <v>4.5600000000000002E-2</v>
      </c>
      <c r="J157" s="15">
        <v>5.4692982456140351</v>
      </c>
    </row>
    <row r="158" spans="1:10" x14ac:dyDescent="0.25">
      <c r="A158" s="2" t="s">
        <v>470</v>
      </c>
      <c r="B158" s="2" t="s">
        <v>471</v>
      </c>
      <c r="C158" s="2" t="s">
        <v>472</v>
      </c>
      <c r="D158" s="2" t="s">
        <v>10040</v>
      </c>
      <c r="E158" s="15">
        <v>-0.13189999999999999</v>
      </c>
      <c r="F158" s="15">
        <v>6.83E-2</v>
      </c>
      <c r="G158" s="15">
        <v>5.3400000000000003E-2</v>
      </c>
      <c r="H158" s="15">
        <v>0.27779999999999999</v>
      </c>
      <c r="I158" s="15">
        <v>4.2999999999999997E-2</v>
      </c>
      <c r="J158" s="15">
        <v>6.4604651162790701</v>
      </c>
    </row>
    <row r="159" spans="1:10" x14ac:dyDescent="0.25">
      <c r="A159" s="2" t="s">
        <v>473</v>
      </c>
      <c r="B159" s="2" t="s">
        <v>474</v>
      </c>
      <c r="C159" s="2" t="s">
        <v>475</v>
      </c>
      <c r="D159" s="2" t="s">
        <v>10040</v>
      </c>
      <c r="E159" s="15">
        <v>8.7800000000000003E-2</v>
      </c>
      <c r="F159" s="15">
        <v>7.2300000000000003E-2</v>
      </c>
      <c r="G159" s="15">
        <v>0.2243</v>
      </c>
      <c r="H159" s="15">
        <v>0.248</v>
      </c>
      <c r="I159" s="15">
        <v>5.0700000000000002E-2</v>
      </c>
      <c r="J159" s="15">
        <v>4.8915187376725839</v>
      </c>
    </row>
    <row r="160" spans="1:10" x14ac:dyDescent="0.25">
      <c r="A160" s="2" t="s">
        <v>476</v>
      </c>
      <c r="B160" s="2" t="s">
        <v>477</v>
      </c>
      <c r="C160" s="2" t="s">
        <v>478</v>
      </c>
      <c r="D160" s="2" t="s">
        <v>10040</v>
      </c>
      <c r="E160" s="15">
        <v>-4.9599999999999998E-2</v>
      </c>
      <c r="F160" s="15">
        <v>7.3800000000000004E-2</v>
      </c>
      <c r="G160" s="15">
        <v>0.50149999999999995</v>
      </c>
      <c r="H160" s="15">
        <v>0.2049</v>
      </c>
      <c r="I160" s="15">
        <v>4.2599999999999999E-2</v>
      </c>
      <c r="J160" s="15">
        <v>4.8098591549295779</v>
      </c>
    </row>
    <row r="161" spans="1:10" x14ac:dyDescent="0.25">
      <c r="A161" s="2" t="s">
        <v>479</v>
      </c>
      <c r="B161" s="2" t="s">
        <v>480</v>
      </c>
      <c r="C161" s="2" t="s">
        <v>481</v>
      </c>
      <c r="D161" s="2" t="s">
        <v>10040</v>
      </c>
      <c r="E161" s="15">
        <v>-4.7500000000000001E-2</v>
      </c>
      <c r="F161" s="15">
        <v>6.7500000000000004E-2</v>
      </c>
      <c r="G161" s="15">
        <v>0.48159999999999997</v>
      </c>
      <c r="H161" s="15">
        <v>0.27589999999999998</v>
      </c>
      <c r="I161" s="15">
        <v>4.8500000000000001E-2</v>
      </c>
      <c r="J161" s="15">
        <v>5.6886597938144323</v>
      </c>
    </row>
    <row r="162" spans="1:10" x14ac:dyDescent="0.25">
      <c r="A162" s="2" t="s">
        <v>482</v>
      </c>
      <c r="B162" s="2" t="s">
        <v>483</v>
      </c>
      <c r="C162" s="2" t="s">
        <v>484</v>
      </c>
      <c r="D162" s="2" t="s">
        <v>10040</v>
      </c>
      <c r="E162" s="15">
        <v>4.5999999999999999E-3</v>
      </c>
      <c r="F162" s="15">
        <v>7.2300000000000003E-2</v>
      </c>
      <c r="G162" s="15">
        <v>0.94969999999999999</v>
      </c>
      <c r="H162" s="15">
        <v>0.25409999999999999</v>
      </c>
      <c r="I162" s="15">
        <v>4.6800000000000001E-2</v>
      </c>
      <c r="J162" s="15">
        <v>5.4294871794871788</v>
      </c>
    </row>
    <row r="163" spans="1:10" x14ac:dyDescent="0.25">
      <c r="A163" s="2" t="s">
        <v>485</v>
      </c>
      <c r="B163" s="2" t="s">
        <v>486</v>
      </c>
      <c r="C163" s="2" t="s">
        <v>487</v>
      </c>
      <c r="D163" s="2" t="s">
        <v>10040</v>
      </c>
      <c r="E163" s="15">
        <v>-2.92E-2</v>
      </c>
      <c r="F163" s="15">
        <v>7.3499999999999996E-2</v>
      </c>
      <c r="G163" s="15">
        <v>0.69089999999999996</v>
      </c>
      <c r="H163" s="15">
        <v>0.25430000000000003</v>
      </c>
      <c r="I163" s="15">
        <v>4.7E-2</v>
      </c>
      <c r="J163" s="15">
        <v>5.4106382978723406</v>
      </c>
    </row>
    <row r="164" spans="1:10" x14ac:dyDescent="0.25">
      <c r="A164" s="2" t="s">
        <v>488</v>
      </c>
      <c r="B164" s="2" t="s">
        <v>489</v>
      </c>
      <c r="C164" s="2" t="s">
        <v>490</v>
      </c>
      <c r="D164" s="2" t="s">
        <v>10040</v>
      </c>
      <c r="E164" s="15">
        <v>-0.1822</v>
      </c>
      <c r="F164" s="15">
        <v>6.93E-2</v>
      </c>
      <c r="G164" s="15">
        <v>8.5000000000000006E-3</v>
      </c>
      <c r="H164" s="15">
        <v>0.3009</v>
      </c>
      <c r="I164" s="15">
        <v>4.7199999999999999E-2</v>
      </c>
      <c r="J164" s="15">
        <v>6.375</v>
      </c>
    </row>
    <row r="165" spans="1:10" x14ac:dyDescent="0.25">
      <c r="A165" s="2" t="s">
        <v>491</v>
      </c>
      <c r="B165" s="2" t="s">
        <v>492</v>
      </c>
      <c r="C165" s="2" t="s">
        <v>493</v>
      </c>
      <c r="D165" s="2" t="s">
        <v>10040</v>
      </c>
      <c r="E165" s="15">
        <v>-5.3100000000000001E-2</v>
      </c>
      <c r="F165" s="15">
        <v>8.3000000000000004E-2</v>
      </c>
      <c r="G165" s="15">
        <v>0.52270000000000005</v>
      </c>
      <c r="H165" s="15">
        <v>0.17760000000000001</v>
      </c>
      <c r="I165" s="15">
        <v>4.3400000000000001E-2</v>
      </c>
      <c r="J165" s="15">
        <v>4.0921658986175116</v>
      </c>
    </row>
    <row r="166" spans="1:10" x14ac:dyDescent="0.25">
      <c r="A166" s="2" t="s">
        <v>494</v>
      </c>
      <c r="B166" s="2" t="s">
        <v>495</v>
      </c>
      <c r="C166" s="2" t="s">
        <v>496</v>
      </c>
      <c r="D166" s="2" t="s">
        <v>10040</v>
      </c>
      <c r="E166" s="15">
        <v>-0.16009999999999999</v>
      </c>
      <c r="F166" s="15">
        <v>7.2599999999999998E-2</v>
      </c>
      <c r="G166" s="15">
        <v>2.7400000000000001E-2</v>
      </c>
      <c r="H166" s="15">
        <v>0.24399999999999999</v>
      </c>
      <c r="I166" s="15">
        <v>4.6899999999999997E-2</v>
      </c>
      <c r="J166" s="15">
        <v>5.2025586353944568</v>
      </c>
    </row>
    <row r="167" spans="1:10" x14ac:dyDescent="0.25">
      <c r="A167" s="2" t="s">
        <v>497</v>
      </c>
      <c r="B167" s="2" t="s">
        <v>498</v>
      </c>
      <c r="C167" s="2" t="s">
        <v>499</v>
      </c>
      <c r="D167" s="2" t="s">
        <v>10040</v>
      </c>
      <c r="E167" s="15">
        <v>-1.4E-3</v>
      </c>
      <c r="F167" s="15">
        <v>6.9800000000000001E-2</v>
      </c>
      <c r="G167" s="15">
        <v>0.98380000000000001</v>
      </c>
      <c r="H167" s="15">
        <v>0.23330000000000001</v>
      </c>
      <c r="I167" s="15">
        <v>5.3400000000000003E-2</v>
      </c>
      <c r="J167" s="15">
        <v>4.3689138576779021</v>
      </c>
    </row>
    <row r="168" spans="1:10" x14ac:dyDescent="0.25">
      <c r="A168" s="2" t="s">
        <v>500</v>
      </c>
      <c r="B168" s="2" t="s">
        <v>501</v>
      </c>
      <c r="C168" s="2" t="s">
        <v>502</v>
      </c>
      <c r="D168" s="2" t="s">
        <v>10040</v>
      </c>
      <c r="E168" s="15">
        <v>-6.4999999999999997E-3</v>
      </c>
      <c r="F168" s="15">
        <v>6.5299999999999997E-2</v>
      </c>
      <c r="G168" s="15">
        <v>0.92049999999999998</v>
      </c>
      <c r="H168" s="15">
        <v>0.2424</v>
      </c>
      <c r="I168" s="15">
        <v>5.5500000000000001E-2</v>
      </c>
      <c r="J168" s="15">
        <v>4.3675675675675674</v>
      </c>
    </row>
    <row r="169" spans="1:10" x14ac:dyDescent="0.25">
      <c r="A169" s="2" t="s">
        <v>503</v>
      </c>
      <c r="B169" s="2" t="s">
        <v>504</v>
      </c>
      <c r="C169" s="2" t="s">
        <v>505</v>
      </c>
      <c r="D169" s="2" t="s">
        <v>10040</v>
      </c>
      <c r="E169" s="15">
        <v>-1.54E-2</v>
      </c>
      <c r="F169" s="15">
        <v>6.3100000000000003E-2</v>
      </c>
      <c r="G169" s="15">
        <v>0.80759999999999998</v>
      </c>
      <c r="H169" s="15">
        <v>0.2581</v>
      </c>
      <c r="I169" s="15">
        <v>5.6500000000000002E-2</v>
      </c>
      <c r="J169" s="15">
        <v>4.5681415929203526</v>
      </c>
    </row>
    <row r="170" spans="1:10" x14ac:dyDescent="0.25">
      <c r="A170" s="2" t="s">
        <v>506</v>
      </c>
      <c r="B170" s="2" t="s">
        <v>507</v>
      </c>
      <c r="C170" s="2" t="s">
        <v>508</v>
      </c>
      <c r="D170" s="2" t="s">
        <v>10040</v>
      </c>
      <c r="E170" s="15">
        <v>8.5599999999999996E-2</v>
      </c>
      <c r="F170" s="15">
        <v>5.5899999999999998E-2</v>
      </c>
      <c r="G170" s="15">
        <v>0.12540000000000001</v>
      </c>
      <c r="H170" s="15">
        <v>0.36049999999999999</v>
      </c>
      <c r="I170" s="15">
        <v>5.0599999999999999E-2</v>
      </c>
      <c r="J170" s="15">
        <v>7.1245059288537549</v>
      </c>
    </row>
    <row r="171" spans="1:10" x14ac:dyDescent="0.25">
      <c r="A171" s="2" t="s">
        <v>509</v>
      </c>
      <c r="B171" s="2" t="s">
        <v>510</v>
      </c>
      <c r="C171" s="2" t="s">
        <v>511</v>
      </c>
      <c r="D171" s="2" t="s">
        <v>10040</v>
      </c>
      <c r="E171" s="15">
        <v>9.7199999999999995E-2</v>
      </c>
      <c r="F171" s="15">
        <v>7.17E-2</v>
      </c>
      <c r="G171" s="15">
        <v>0.17510000000000001</v>
      </c>
      <c r="H171" s="15">
        <v>0.2135</v>
      </c>
      <c r="I171" s="15">
        <v>4.1599999999999998E-2</v>
      </c>
      <c r="J171" s="15">
        <v>5.1322115384615383</v>
      </c>
    </row>
    <row r="172" spans="1:10" x14ac:dyDescent="0.25">
      <c r="A172" s="2" t="s">
        <v>512</v>
      </c>
      <c r="B172" s="2" t="s">
        <v>513</v>
      </c>
      <c r="C172" s="2" t="s">
        <v>514</v>
      </c>
      <c r="D172" s="2" t="s">
        <v>10040</v>
      </c>
      <c r="E172" s="15">
        <v>-1.9699999999999999E-2</v>
      </c>
      <c r="F172" s="15">
        <v>6.7799999999999999E-2</v>
      </c>
      <c r="G172" s="15">
        <v>0.77180000000000004</v>
      </c>
      <c r="H172" s="15">
        <v>0.24610000000000001</v>
      </c>
      <c r="I172" s="15">
        <v>5.0700000000000002E-2</v>
      </c>
      <c r="J172" s="15">
        <v>4.8540433925049307</v>
      </c>
    </row>
    <row r="173" spans="1:10" x14ac:dyDescent="0.25">
      <c r="A173" s="2" t="s">
        <v>515</v>
      </c>
      <c r="B173" s="2" t="s">
        <v>516</v>
      </c>
      <c r="C173" s="2" t="s">
        <v>517</v>
      </c>
      <c r="D173" s="2" t="s">
        <v>10040</v>
      </c>
      <c r="E173" s="15">
        <v>-2.3400000000000001E-2</v>
      </c>
      <c r="F173" s="15">
        <v>6.2799999999999995E-2</v>
      </c>
      <c r="G173" s="15">
        <v>0.70960000000000001</v>
      </c>
      <c r="H173" s="15">
        <v>0.2616</v>
      </c>
      <c r="I173" s="15">
        <v>5.3900000000000003E-2</v>
      </c>
      <c r="J173" s="15">
        <v>4.8534322820037099</v>
      </c>
    </row>
    <row r="174" spans="1:10" x14ac:dyDescent="0.25">
      <c r="A174" s="2" t="s">
        <v>518</v>
      </c>
      <c r="B174" s="2" t="s">
        <v>519</v>
      </c>
      <c r="C174" s="2" t="s">
        <v>520</v>
      </c>
      <c r="D174" s="2" t="s">
        <v>10040</v>
      </c>
      <c r="E174" s="15">
        <v>1.78E-2</v>
      </c>
      <c r="F174" s="15">
        <v>0.1045</v>
      </c>
      <c r="G174" s="15">
        <v>0.86450000000000005</v>
      </c>
      <c r="H174" s="15">
        <v>0.10580000000000001</v>
      </c>
      <c r="I174" s="15">
        <v>4.1700000000000001E-2</v>
      </c>
      <c r="J174" s="15">
        <v>2.537170263788969</v>
      </c>
    </row>
    <row r="175" spans="1:10" x14ac:dyDescent="0.25">
      <c r="A175" s="2" t="s">
        <v>521</v>
      </c>
      <c r="B175" s="2" t="s">
        <v>522</v>
      </c>
      <c r="C175" s="2" t="s">
        <v>523</v>
      </c>
      <c r="D175" s="2" t="s">
        <v>10040</v>
      </c>
      <c r="E175" s="15">
        <v>1.6500000000000001E-2</v>
      </c>
      <c r="F175" s="15">
        <v>7.0699999999999999E-2</v>
      </c>
      <c r="G175" s="15">
        <v>0.81530000000000002</v>
      </c>
      <c r="H175" s="15">
        <v>0.2737</v>
      </c>
      <c r="I175" s="15">
        <v>4.8899999999999999E-2</v>
      </c>
      <c r="J175" s="15">
        <v>5.5971370143149288</v>
      </c>
    </row>
    <row r="176" spans="1:10" x14ac:dyDescent="0.25">
      <c r="A176" s="2" t="s">
        <v>524</v>
      </c>
      <c r="B176" s="2" t="s">
        <v>525</v>
      </c>
      <c r="C176" s="2" t="s">
        <v>526</v>
      </c>
      <c r="D176" s="2" t="s">
        <v>10040</v>
      </c>
      <c r="E176" s="15">
        <v>-3.5400000000000001E-2</v>
      </c>
      <c r="F176" s="15">
        <v>5.7200000000000001E-2</v>
      </c>
      <c r="G176" s="15">
        <v>0.53659999999999997</v>
      </c>
      <c r="H176" s="15">
        <v>0.29049999999999998</v>
      </c>
      <c r="I176" s="15">
        <v>4.19E-2</v>
      </c>
      <c r="J176" s="15">
        <v>6.9331742243436754</v>
      </c>
    </row>
    <row r="177" spans="1:10" x14ac:dyDescent="0.25">
      <c r="A177" s="2" t="s">
        <v>527</v>
      </c>
      <c r="B177" s="2" t="s">
        <v>528</v>
      </c>
      <c r="C177" s="2" t="s">
        <v>529</v>
      </c>
      <c r="D177" s="2" t="s">
        <v>10040</v>
      </c>
      <c r="E177" s="15">
        <v>-4.9599999999999998E-2</v>
      </c>
      <c r="F177" s="15">
        <v>5.96E-2</v>
      </c>
      <c r="G177" s="15">
        <v>0.40539999999999998</v>
      </c>
      <c r="H177" s="15">
        <v>0.36620000000000003</v>
      </c>
      <c r="I177" s="15">
        <v>5.2400000000000002E-2</v>
      </c>
      <c r="J177" s="15">
        <v>6.9885496183206106</v>
      </c>
    </row>
    <row r="178" spans="1:10" x14ac:dyDescent="0.25">
      <c r="A178" s="2" t="s">
        <v>530</v>
      </c>
      <c r="B178" s="2" t="s">
        <v>531</v>
      </c>
      <c r="C178" s="2" t="s">
        <v>532</v>
      </c>
      <c r="D178" s="2" t="s">
        <v>10040</v>
      </c>
      <c r="E178" s="15">
        <v>-0.1709</v>
      </c>
      <c r="F178" s="15">
        <v>0.1951</v>
      </c>
      <c r="G178" s="15">
        <v>0.38109999999999999</v>
      </c>
      <c r="H178" s="15">
        <v>3.2000000000000001E-2</v>
      </c>
      <c r="I178" s="15">
        <v>3.6799999999999999E-2</v>
      </c>
      <c r="J178" s="15">
        <v>0.86956521739130443</v>
      </c>
    </row>
    <row r="179" spans="1:10" x14ac:dyDescent="0.25">
      <c r="A179" s="2" t="s">
        <v>533</v>
      </c>
      <c r="B179" s="2" t="s">
        <v>534</v>
      </c>
      <c r="C179" s="2" t="s">
        <v>535</v>
      </c>
      <c r="D179" s="2" t="s">
        <v>10040</v>
      </c>
      <c r="E179" s="15">
        <v>-3.3E-3</v>
      </c>
      <c r="F179" s="15">
        <v>4.7699999999999999E-2</v>
      </c>
      <c r="G179" s="15">
        <v>0.94420000000000004</v>
      </c>
      <c r="H179" s="15">
        <v>0.505</v>
      </c>
      <c r="I179" s="15">
        <v>5.8099999999999999E-2</v>
      </c>
      <c r="J179" s="15">
        <v>8.6919104991394143</v>
      </c>
    </row>
    <row r="180" spans="1:10" x14ac:dyDescent="0.25">
      <c r="A180" s="2" t="s">
        <v>536</v>
      </c>
      <c r="B180" s="2" t="s">
        <v>537</v>
      </c>
      <c r="C180" s="2" t="s">
        <v>538</v>
      </c>
      <c r="D180" s="2" t="s">
        <v>10040</v>
      </c>
      <c r="E180" s="15">
        <v>8.1799999999999998E-2</v>
      </c>
      <c r="F180" s="15">
        <v>7.2599999999999998E-2</v>
      </c>
      <c r="G180" s="15">
        <v>0.25969999999999999</v>
      </c>
      <c r="H180" s="15">
        <v>0.24679999999999999</v>
      </c>
      <c r="I180" s="15">
        <v>4.8500000000000001E-2</v>
      </c>
      <c r="J180" s="15">
        <v>5.0886597938144327</v>
      </c>
    </row>
    <row r="181" spans="1:10" x14ac:dyDescent="0.25">
      <c r="A181" s="2" t="s">
        <v>539</v>
      </c>
      <c r="B181" s="2" t="s">
        <v>540</v>
      </c>
      <c r="C181" s="2" t="s">
        <v>541</v>
      </c>
      <c r="D181" s="2" t="s">
        <v>10040</v>
      </c>
      <c r="E181" s="15">
        <v>-9.2600000000000002E-2</v>
      </c>
      <c r="F181" s="15">
        <v>7.4899999999999994E-2</v>
      </c>
      <c r="G181" s="15">
        <v>0.21609999999999999</v>
      </c>
      <c r="H181" s="15">
        <v>0.2384</v>
      </c>
      <c r="I181" s="15">
        <v>4.8899999999999999E-2</v>
      </c>
      <c r="J181" s="15">
        <v>4.8752556237218814</v>
      </c>
    </row>
    <row r="182" spans="1:10" x14ac:dyDescent="0.25">
      <c r="A182" s="2" t="s">
        <v>542</v>
      </c>
      <c r="B182" s="2" t="s">
        <v>543</v>
      </c>
      <c r="C182" s="2" t="s">
        <v>544</v>
      </c>
      <c r="D182" s="2" t="s">
        <v>10040</v>
      </c>
      <c r="E182" s="15"/>
      <c r="F182" s="15"/>
      <c r="G182" s="15"/>
      <c r="H182" s="15">
        <v>-2.8E-3</v>
      </c>
      <c r="I182" s="15">
        <v>3.1199999999999999E-2</v>
      </c>
      <c r="J182" s="15">
        <v>-8.9743589743589744E-2</v>
      </c>
    </row>
    <row r="183" spans="1:10" x14ac:dyDescent="0.25">
      <c r="A183" s="2" t="s">
        <v>545</v>
      </c>
      <c r="B183" s="2" t="s">
        <v>546</v>
      </c>
      <c r="C183" s="2" t="s">
        <v>547</v>
      </c>
      <c r="D183" s="2" t="s">
        <v>10040</v>
      </c>
      <c r="E183" s="15">
        <v>5.9400000000000001E-2</v>
      </c>
      <c r="F183" s="15">
        <v>9.5000000000000001E-2</v>
      </c>
      <c r="G183" s="15">
        <v>0.53169999999999995</v>
      </c>
      <c r="H183" s="15">
        <v>0.14910000000000001</v>
      </c>
      <c r="I183" s="15">
        <v>4.6199999999999998E-2</v>
      </c>
      <c r="J183" s="15">
        <v>3.227272727272728</v>
      </c>
    </row>
    <row r="184" spans="1:10" x14ac:dyDescent="0.25">
      <c r="A184" s="2" t="s">
        <v>548</v>
      </c>
      <c r="B184" s="2" t="s">
        <v>549</v>
      </c>
      <c r="C184" s="2" t="s">
        <v>550</v>
      </c>
      <c r="D184" s="2" t="s">
        <v>10040</v>
      </c>
      <c r="E184" s="15">
        <v>-1.61E-2</v>
      </c>
      <c r="F184" s="15">
        <v>5.62E-2</v>
      </c>
      <c r="G184" s="15">
        <v>0.77400000000000002</v>
      </c>
      <c r="H184" s="15">
        <v>0.34370000000000001</v>
      </c>
      <c r="I184" s="15">
        <v>4.1500000000000002E-2</v>
      </c>
      <c r="J184" s="15">
        <v>8.2819277108433731</v>
      </c>
    </row>
    <row r="185" spans="1:10" x14ac:dyDescent="0.25">
      <c r="A185" s="2" t="s">
        <v>551</v>
      </c>
      <c r="B185" s="2" t="s">
        <v>552</v>
      </c>
      <c r="C185" s="2" t="s">
        <v>553</v>
      </c>
      <c r="D185" s="2" t="s">
        <v>10040</v>
      </c>
      <c r="E185" s="15">
        <v>-6.4699999999999994E-2</v>
      </c>
      <c r="F185" s="15">
        <v>8.3400000000000002E-2</v>
      </c>
      <c r="G185" s="15">
        <v>0.438</v>
      </c>
      <c r="H185" s="15">
        <v>0.16830000000000001</v>
      </c>
      <c r="I185" s="15">
        <v>3.73E-2</v>
      </c>
      <c r="J185" s="15">
        <v>4.512064343163539</v>
      </c>
    </row>
    <row r="186" spans="1:10" x14ac:dyDescent="0.25">
      <c r="A186" s="2" t="s">
        <v>554</v>
      </c>
      <c r="B186" s="2" t="s">
        <v>555</v>
      </c>
      <c r="C186" s="2" t="s">
        <v>556</v>
      </c>
      <c r="D186" s="2" t="s">
        <v>10040</v>
      </c>
      <c r="E186" s="15">
        <v>1.95E-2</v>
      </c>
      <c r="F186" s="15">
        <v>6.2799999999999995E-2</v>
      </c>
      <c r="G186" s="15">
        <v>0.75590000000000002</v>
      </c>
      <c r="H186" s="15">
        <v>0.29120000000000001</v>
      </c>
      <c r="I186" s="15">
        <v>4.1799999999999997E-2</v>
      </c>
      <c r="J186" s="15">
        <v>6.9665071770334936</v>
      </c>
    </row>
    <row r="187" spans="1:10" x14ac:dyDescent="0.25">
      <c r="A187" s="2" t="s">
        <v>557</v>
      </c>
      <c r="B187" s="2" t="s">
        <v>558</v>
      </c>
      <c r="C187" s="2" t="s">
        <v>559</v>
      </c>
      <c r="D187" s="2" t="s">
        <v>10040</v>
      </c>
      <c r="E187" s="15">
        <v>5.1999999999999998E-2</v>
      </c>
      <c r="F187" s="15">
        <v>6.2E-2</v>
      </c>
      <c r="G187" s="15">
        <v>0.4017</v>
      </c>
      <c r="H187" s="15">
        <v>0.32140000000000002</v>
      </c>
      <c r="I187" s="15">
        <v>4.8800000000000003E-2</v>
      </c>
      <c r="J187" s="15">
        <v>6.5860655737704921</v>
      </c>
    </row>
    <row r="188" spans="1:10" x14ac:dyDescent="0.25">
      <c r="A188" s="2" t="s">
        <v>560</v>
      </c>
      <c r="B188" s="2" t="s">
        <v>561</v>
      </c>
      <c r="C188" s="2" t="s">
        <v>562</v>
      </c>
      <c r="D188" s="2" t="s">
        <v>10040</v>
      </c>
      <c r="E188" s="15">
        <v>-8.2000000000000007E-3</v>
      </c>
      <c r="F188" s="15">
        <v>7.8100000000000003E-2</v>
      </c>
      <c r="G188" s="15">
        <v>0.91590000000000005</v>
      </c>
      <c r="H188" s="15">
        <v>0.1938</v>
      </c>
      <c r="I188" s="15">
        <v>4.0399999999999998E-2</v>
      </c>
      <c r="J188" s="15">
        <v>4.7970297029702973</v>
      </c>
    </row>
    <row r="189" spans="1:10" x14ac:dyDescent="0.25">
      <c r="A189" s="2" t="s">
        <v>563</v>
      </c>
      <c r="B189" s="2" t="s">
        <v>564</v>
      </c>
      <c r="C189" s="2" t="s">
        <v>565</v>
      </c>
      <c r="D189" s="2" t="s">
        <v>10040</v>
      </c>
      <c r="E189" s="15">
        <v>-5.2299999999999999E-2</v>
      </c>
      <c r="F189" s="15">
        <v>7.7899999999999997E-2</v>
      </c>
      <c r="G189" s="15">
        <v>0.50170000000000003</v>
      </c>
      <c r="H189" s="15">
        <v>0.18809999999999999</v>
      </c>
      <c r="I189" s="15">
        <v>4.8899999999999999E-2</v>
      </c>
      <c r="J189" s="15">
        <v>3.8466257668711661</v>
      </c>
    </row>
    <row r="190" spans="1:10" x14ac:dyDescent="0.25">
      <c r="A190" s="2" t="s">
        <v>566</v>
      </c>
      <c r="B190" s="2" t="s">
        <v>567</v>
      </c>
      <c r="C190" s="2" t="s">
        <v>568</v>
      </c>
      <c r="D190" s="2" t="s">
        <v>10040</v>
      </c>
      <c r="E190" s="15">
        <v>-5.4899999999999997E-2</v>
      </c>
      <c r="F190" s="15">
        <v>0.1211</v>
      </c>
      <c r="G190" s="15">
        <v>0.65029999999999999</v>
      </c>
      <c r="H190" s="15">
        <v>9.4500000000000001E-2</v>
      </c>
      <c r="I190" s="15">
        <v>3.7900000000000003E-2</v>
      </c>
      <c r="J190" s="15">
        <v>2.4934036939313979</v>
      </c>
    </row>
    <row r="191" spans="1:10" x14ac:dyDescent="0.25">
      <c r="A191" s="2" t="s">
        <v>569</v>
      </c>
      <c r="B191" s="2" t="s">
        <v>570</v>
      </c>
      <c r="C191" s="2" t="s">
        <v>571</v>
      </c>
      <c r="D191" s="2" t="s">
        <v>10040</v>
      </c>
      <c r="E191" s="15">
        <v>8.1500000000000003E-2</v>
      </c>
      <c r="F191" s="15">
        <v>7.22E-2</v>
      </c>
      <c r="G191" s="15">
        <v>0.2586</v>
      </c>
      <c r="H191" s="15">
        <v>0.19220000000000001</v>
      </c>
      <c r="I191" s="15">
        <v>4.3299999999999998E-2</v>
      </c>
      <c r="J191" s="15">
        <v>4.4387990762124714</v>
      </c>
    </row>
    <row r="192" spans="1:10" x14ac:dyDescent="0.25">
      <c r="A192" s="2" t="s">
        <v>572</v>
      </c>
      <c r="B192" s="2" t="s">
        <v>573</v>
      </c>
      <c r="C192" s="2" t="s">
        <v>574</v>
      </c>
      <c r="D192" s="2" t="s">
        <v>10040</v>
      </c>
      <c r="E192" s="15">
        <v>-8.77E-2</v>
      </c>
      <c r="F192" s="15">
        <v>5.7599999999999998E-2</v>
      </c>
      <c r="G192" s="15">
        <v>0.128</v>
      </c>
      <c r="H192" s="15">
        <v>0.33210000000000001</v>
      </c>
      <c r="I192" s="15">
        <v>5.57E-2</v>
      </c>
      <c r="J192" s="15">
        <v>5.9622980251346496</v>
      </c>
    </row>
    <row r="193" spans="1:10" x14ac:dyDescent="0.25">
      <c r="A193" s="2" t="s">
        <v>575</v>
      </c>
      <c r="B193" s="2" t="s">
        <v>576</v>
      </c>
      <c r="C193" s="2" t="s">
        <v>577</v>
      </c>
      <c r="D193" s="2" t="s">
        <v>10040</v>
      </c>
      <c r="E193" s="15">
        <v>2.4899999999999999E-2</v>
      </c>
      <c r="F193" s="15">
        <v>7.1400000000000005E-2</v>
      </c>
      <c r="G193" s="15">
        <v>0.72709999999999997</v>
      </c>
      <c r="H193" s="15">
        <v>0.26929999999999998</v>
      </c>
      <c r="I193" s="15">
        <v>4.9099999999999998E-2</v>
      </c>
      <c r="J193" s="15">
        <v>5.4847250509164969</v>
      </c>
    </row>
    <row r="194" spans="1:10" x14ac:dyDescent="0.25">
      <c r="A194" s="2" t="s">
        <v>578</v>
      </c>
      <c r="B194" s="2" t="s">
        <v>579</v>
      </c>
      <c r="C194" s="2" t="s">
        <v>580</v>
      </c>
      <c r="D194" s="2" t="s">
        <v>10040</v>
      </c>
      <c r="E194" s="15">
        <v>-6.4699999999999994E-2</v>
      </c>
      <c r="F194" s="15">
        <v>0.1017</v>
      </c>
      <c r="G194" s="15">
        <v>0.52449999999999997</v>
      </c>
      <c r="H194" s="15">
        <v>0.1177</v>
      </c>
      <c r="I194" s="15">
        <v>3.9800000000000002E-2</v>
      </c>
      <c r="J194" s="15">
        <v>2.9572864321608039</v>
      </c>
    </row>
    <row r="195" spans="1:10" x14ac:dyDescent="0.25">
      <c r="A195" s="2" t="s">
        <v>581</v>
      </c>
      <c r="B195" s="2" t="s">
        <v>582</v>
      </c>
      <c r="C195" s="2" t="s">
        <v>583</v>
      </c>
      <c r="D195" s="2" t="s">
        <v>10040</v>
      </c>
      <c r="E195" s="15">
        <v>2E-3</v>
      </c>
      <c r="F195" s="15">
        <v>5.96E-2</v>
      </c>
      <c r="G195" s="15">
        <v>0.97370000000000001</v>
      </c>
      <c r="H195" s="15">
        <v>0.37580000000000002</v>
      </c>
      <c r="I195" s="15">
        <v>5.2600000000000001E-2</v>
      </c>
      <c r="J195" s="15">
        <v>7.1444866920152093</v>
      </c>
    </row>
    <row r="196" spans="1:10" x14ac:dyDescent="0.25">
      <c r="A196" s="2" t="s">
        <v>584</v>
      </c>
      <c r="B196" s="2" t="s">
        <v>585</v>
      </c>
      <c r="C196" s="2" t="s">
        <v>586</v>
      </c>
      <c r="D196" s="2" t="s">
        <v>10040</v>
      </c>
      <c r="E196" s="15">
        <v>1.6400000000000001E-2</v>
      </c>
      <c r="F196" s="15">
        <v>7.0999999999999994E-2</v>
      </c>
      <c r="G196" s="15">
        <v>0.8175</v>
      </c>
      <c r="H196" s="15">
        <v>0.3231</v>
      </c>
      <c r="I196" s="15">
        <v>4.8099999999999997E-2</v>
      </c>
      <c r="J196" s="15">
        <v>6.7172557172557177</v>
      </c>
    </row>
    <row r="197" spans="1:10" x14ac:dyDescent="0.25">
      <c r="A197" s="2" t="s">
        <v>587</v>
      </c>
      <c r="B197" s="2" t="s">
        <v>588</v>
      </c>
      <c r="C197" s="2" t="s">
        <v>589</v>
      </c>
      <c r="D197" s="2" t="s">
        <v>10040</v>
      </c>
      <c r="E197" s="15">
        <v>0.1007</v>
      </c>
      <c r="F197" s="15">
        <v>6.5299999999999997E-2</v>
      </c>
      <c r="G197" s="15">
        <v>0.123</v>
      </c>
      <c r="H197" s="15">
        <v>0.2576</v>
      </c>
      <c r="I197" s="15">
        <v>4.8899999999999999E-2</v>
      </c>
      <c r="J197" s="15">
        <v>5.2678936605316977</v>
      </c>
    </row>
    <row r="198" spans="1:10" x14ac:dyDescent="0.25">
      <c r="A198" s="2" t="s">
        <v>590</v>
      </c>
      <c r="B198" s="2" t="s">
        <v>591</v>
      </c>
      <c r="C198" s="2" t="s">
        <v>592</v>
      </c>
      <c r="D198" s="2" t="s">
        <v>10040</v>
      </c>
      <c r="E198" s="15">
        <v>0.10489999999999999</v>
      </c>
      <c r="F198" s="15">
        <v>5.6800000000000003E-2</v>
      </c>
      <c r="G198" s="15">
        <v>6.4699999999999994E-2</v>
      </c>
      <c r="H198" s="15">
        <v>0.41270000000000001</v>
      </c>
      <c r="I198" s="15">
        <v>4.8899999999999999E-2</v>
      </c>
      <c r="J198" s="15">
        <v>8.439672801635993</v>
      </c>
    </row>
    <row r="199" spans="1:10" x14ac:dyDescent="0.25">
      <c r="A199" s="2" t="s">
        <v>593</v>
      </c>
      <c r="B199" s="2" t="s">
        <v>594</v>
      </c>
      <c r="C199" s="2" t="s">
        <v>595</v>
      </c>
      <c r="D199" s="2" t="s">
        <v>10040</v>
      </c>
      <c r="E199" s="15">
        <v>-4.1000000000000003E-3</v>
      </c>
      <c r="F199" s="15">
        <v>5.8299999999999998E-2</v>
      </c>
      <c r="G199" s="15">
        <v>0.94440000000000002</v>
      </c>
      <c r="H199" s="15">
        <v>0.34560000000000002</v>
      </c>
      <c r="I199" s="15">
        <v>5.11E-2</v>
      </c>
      <c r="J199" s="15">
        <v>6.7632093933463802</v>
      </c>
    </row>
    <row r="200" spans="1:10" x14ac:dyDescent="0.25">
      <c r="A200" s="2" t="s">
        <v>596</v>
      </c>
      <c r="B200" s="2" t="s">
        <v>597</v>
      </c>
      <c r="C200" s="2" t="s">
        <v>598</v>
      </c>
      <c r="D200" s="2" t="s">
        <v>10040</v>
      </c>
      <c r="E200" s="15">
        <v>3.6299999999999999E-2</v>
      </c>
      <c r="F200" s="15">
        <v>5.6599999999999998E-2</v>
      </c>
      <c r="G200" s="15">
        <v>0.52110000000000001</v>
      </c>
      <c r="H200" s="15">
        <v>0.37469999999999998</v>
      </c>
      <c r="I200" s="15">
        <v>4.6600000000000003E-2</v>
      </c>
      <c r="J200" s="15">
        <v>8.040772532188841</v>
      </c>
    </row>
    <row r="201" spans="1:10" x14ac:dyDescent="0.25">
      <c r="A201" s="2" t="s">
        <v>599</v>
      </c>
      <c r="B201" s="2" t="s">
        <v>600</v>
      </c>
      <c r="C201" s="2" t="s">
        <v>601</v>
      </c>
      <c r="D201" s="2" t="s">
        <v>10040</v>
      </c>
      <c r="E201" s="15">
        <v>0.14199999999999999</v>
      </c>
      <c r="F201" s="15">
        <v>6.5299999999999997E-2</v>
      </c>
      <c r="G201" s="15">
        <v>2.9700000000000001E-2</v>
      </c>
      <c r="H201" s="15">
        <v>0.25459999999999999</v>
      </c>
      <c r="I201" s="15">
        <v>4.5600000000000002E-2</v>
      </c>
      <c r="J201" s="15">
        <v>5.583333333333333</v>
      </c>
    </row>
    <row r="202" spans="1:10" x14ac:dyDescent="0.25">
      <c r="A202" s="2" t="s">
        <v>602</v>
      </c>
      <c r="B202" s="2" t="s">
        <v>603</v>
      </c>
      <c r="C202" s="2" t="s">
        <v>604</v>
      </c>
      <c r="D202" s="2" t="s">
        <v>10040</v>
      </c>
      <c r="E202" s="15">
        <v>0.1537</v>
      </c>
      <c r="F202" s="15">
        <v>7.0000000000000007E-2</v>
      </c>
      <c r="G202" s="15">
        <v>2.8199999999999999E-2</v>
      </c>
      <c r="H202" s="15">
        <v>0.24679999999999999</v>
      </c>
      <c r="I202" s="15">
        <v>4.3499999999999997E-2</v>
      </c>
      <c r="J202" s="15">
        <v>5.6735632183908047</v>
      </c>
    </row>
    <row r="203" spans="1:10" x14ac:dyDescent="0.25">
      <c r="A203" s="2" t="s">
        <v>605</v>
      </c>
      <c r="B203" s="2" t="s">
        <v>606</v>
      </c>
      <c r="C203" s="2" t="s">
        <v>607</v>
      </c>
      <c r="D203" s="2" t="s">
        <v>10040</v>
      </c>
      <c r="E203" s="15">
        <v>1.9E-2</v>
      </c>
      <c r="F203" s="15">
        <v>8.4199999999999997E-2</v>
      </c>
      <c r="G203" s="15">
        <v>0.82140000000000002</v>
      </c>
      <c r="H203" s="15">
        <v>0.19170000000000001</v>
      </c>
      <c r="I203" s="15">
        <v>4.8099999999999997E-2</v>
      </c>
      <c r="J203" s="15">
        <v>3.9854469854469858</v>
      </c>
    </row>
    <row r="204" spans="1:10" x14ac:dyDescent="0.25">
      <c r="A204" s="2" t="s">
        <v>608</v>
      </c>
      <c r="B204" s="2" t="s">
        <v>609</v>
      </c>
      <c r="C204" s="2" t="s">
        <v>610</v>
      </c>
      <c r="D204" s="2" t="s">
        <v>10040</v>
      </c>
      <c r="E204" s="15">
        <v>2.6700000000000002E-2</v>
      </c>
      <c r="F204" s="15">
        <v>5.0700000000000002E-2</v>
      </c>
      <c r="G204" s="15">
        <v>0.59930000000000005</v>
      </c>
      <c r="H204" s="15">
        <v>0.35949999999999999</v>
      </c>
      <c r="I204" s="15">
        <v>5.04E-2</v>
      </c>
      <c r="J204" s="15">
        <v>7.1329365079365079</v>
      </c>
    </row>
    <row r="205" spans="1:10" x14ac:dyDescent="0.25">
      <c r="A205" s="2" t="s">
        <v>611</v>
      </c>
      <c r="B205" s="2" t="s">
        <v>612</v>
      </c>
      <c r="C205" s="2" t="s">
        <v>613</v>
      </c>
      <c r="D205" s="2" t="s">
        <v>10040</v>
      </c>
      <c r="E205" s="15">
        <v>-9.0499999999999997E-2</v>
      </c>
      <c r="F205" s="15">
        <v>0.14449999999999999</v>
      </c>
      <c r="G205" s="15">
        <v>0.53100000000000003</v>
      </c>
      <c r="H205" s="15">
        <v>5.9700000000000003E-2</v>
      </c>
      <c r="I205" s="15">
        <v>0.04</v>
      </c>
      <c r="J205" s="15">
        <v>1.4924999999999999</v>
      </c>
    </row>
    <row r="206" spans="1:10" x14ac:dyDescent="0.25">
      <c r="A206" s="2" t="s">
        <v>614</v>
      </c>
      <c r="B206" s="2" t="s">
        <v>615</v>
      </c>
      <c r="C206" s="2" t="s">
        <v>616</v>
      </c>
      <c r="D206" s="2" t="s">
        <v>10040</v>
      </c>
      <c r="E206" s="15">
        <v>8.9300000000000004E-2</v>
      </c>
      <c r="F206" s="15">
        <v>6.9599999999999995E-2</v>
      </c>
      <c r="G206" s="15">
        <v>0.1993</v>
      </c>
      <c r="H206" s="15">
        <v>0.2475</v>
      </c>
      <c r="I206" s="15">
        <v>4.2700000000000002E-2</v>
      </c>
      <c r="J206" s="15">
        <v>5.7962529274004684</v>
      </c>
    </row>
    <row r="207" spans="1:10" x14ac:dyDescent="0.25">
      <c r="A207" s="2" t="s">
        <v>617</v>
      </c>
      <c r="B207" s="2" t="s">
        <v>618</v>
      </c>
      <c r="C207" s="2" t="s">
        <v>619</v>
      </c>
      <c r="D207" s="2" t="s">
        <v>10040</v>
      </c>
      <c r="E207" s="15">
        <v>9.6000000000000002E-2</v>
      </c>
      <c r="F207" s="15">
        <v>8.8800000000000004E-2</v>
      </c>
      <c r="G207" s="15">
        <v>0.27960000000000002</v>
      </c>
      <c r="H207" s="15">
        <v>0.14860000000000001</v>
      </c>
      <c r="I207" s="15">
        <v>4.2599999999999999E-2</v>
      </c>
      <c r="J207" s="15">
        <v>3.488262910798122</v>
      </c>
    </row>
    <row r="208" spans="1:10" x14ac:dyDescent="0.25">
      <c r="A208" s="2" t="s">
        <v>620</v>
      </c>
      <c r="B208" s="2" t="s">
        <v>621</v>
      </c>
      <c r="C208" s="2" t="s">
        <v>622</v>
      </c>
      <c r="D208" s="2" t="s">
        <v>10040</v>
      </c>
      <c r="E208" s="15">
        <v>9.2799999999999994E-2</v>
      </c>
      <c r="F208" s="15">
        <v>7.9000000000000001E-2</v>
      </c>
      <c r="G208" s="15">
        <v>0.2402</v>
      </c>
      <c r="H208" s="15">
        <v>0.14899999999999999</v>
      </c>
      <c r="I208" s="15">
        <v>3.4799999999999998E-2</v>
      </c>
      <c r="J208" s="15">
        <v>4.2816091954022992</v>
      </c>
    </row>
    <row r="209" spans="1:10" x14ac:dyDescent="0.25">
      <c r="A209" s="2" t="s">
        <v>623</v>
      </c>
      <c r="B209" s="2" t="s">
        <v>624</v>
      </c>
      <c r="C209" s="2" t="s">
        <v>625</v>
      </c>
      <c r="D209" s="2" t="s">
        <v>10040</v>
      </c>
      <c r="E209" s="15">
        <v>-8.8800000000000004E-2</v>
      </c>
      <c r="F209" s="15">
        <v>5.4100000000000002E-2</v>
      </c>
      <c r="G209" s="15">
        <v>0.10050000000000001</v>
      </c>
      <c r="H209" s="15">
        <v>0.35339999999999999</v>
      </c>
      <c r="I209" s="15">
        <v>5.7500000000000002E-2</v>
      </c>
      <c r="J209" s="15">
        <v>6.1460869565217386</v>
      </c>
    </row>
    <row r="210" spans="1:10" x14ac:dyDescent="0.25">
      <c r="A210" s="2" t="s">
        <v>626</v>
      </c>
      <c r="B210" s="2" t="s">
        <v>627</v>
      </c>
      <c r="C210" s="2" t="s">
        <v>628</v>
      </c>
      <c r="D210" s="2" t="s">
        <v>10040</v>
      </c>
      <c r="E210" s="15">
        <v>1.5299999999999999E-2</v>
      </c>
      <c r="F210" s="15">
        <v>7.3099999999999998E-2</v>
      </c>
      <c r="G210" s="15">
        <v>0.83450000000000002</v>
      </c>
      <c r="H210" s="15">
        <v>0.25069999999999998</v>
      </c>
      <c r="I210" s="15">
        <v>4.6899999999999997E-2</v>
      </c>
      <c r="J210" s="15">
        <v>5.3454157782515992</v>
      </c>
    </row>
    <row r="211" spans="1:10" x14ac:dyDescent="0.25">
      <c r="A211" s="2" t="s">
        <v>629</v>
      </c>
      <c r="B211" s="2" t="s">
        <v>630</v>
      </c>
      <c r="C211" s="2" t="s">
        <v>631</v>
      </c>
      <c r="D211" s="2" t="s">
        <v>10040</v>
      </c>
      <c r="E211" s="15">
        <v>-6.0100000000000001E-2</v>
      </c>
      <c r="F211" s="15">
        <v>9.1200000000000003E-2</v>
      </c>
      <c r="G211" s="15">
        <v>0.50980000000000003</v>
      </c>
      <c r="H211" s="15">
        <v>0.10630000000000001</v>
      </c>
      <c r="I211" s="15">
        <v>3.56E-2</v>
      </c>
      <c r="J211" s="15">
        <v>2.9859550561797761</v>
      </c>
    </row>
    <row r="212" spans="1:10" x14ac:dyDescent="0.25">
      <c r="A212" s="2" t="s">
        <v>632</v>
      </c>
      <c r="B212" s="2" t="s">
        <v>633</v>
      </c>
      <c r="C212" s="2" t="s">
        <v>634</v>
      </c>
      <c r="D212" s="2" t="s">
        <v>10040</v>
      </c>
      <c r="E212" s="15">
        <v>3.0599999999999999E-2</v>
      </c>
      <c r="F212" s="15">
        <v>6.1800000000000001E-2</v>
      </c>
      <c r="G212" s="15">
        <v>0.62070000000000003</v>
      </c>
      <c r="H212" s="15">
        <v>0.32</v>
      </c>
      <c r="I212" s="15">
        <v>4.9200000000000001E-2</v>
      </c>
      <c r="J212" s="15">
        <v>6.5040650406504064</v>
      </c>
    </row>
    <row r="213" spans="1:10" x14ac:dyDescent="0.25">
      <c r="A213" s="2" t="s">
        <v>635</v>
      </c>
      <c r="B213" s="2" t="s">
        <v>636</v>
      </c>
      <c r="C213" s="2" t="s">
        <v>637</v>
      </c>
      <c r="D213" s="2" t="s">
        <v>10040</v>
      </c>
      <c r="E213" s="15">
        <v>2.9000000000000001E-2</v>
      </c>
      <c r="F213" s="15">
        <v>7.3999999999999996E-2</v>
      </c>
      <c r="G213" s="15">
        <v>0.69510000000000005</v>
      </c>
      <c r="H213" s="15">
        <v>0.30580000000000002</v>
      </c>
      <c r="I213" s="15">
        <v>5.04E-2</v>
      </c>
      <c r="J213" s="15">
        <v>6.0674603174603181</v>
      </c>
    </row>
    <row r="214" spans="1:10" x14ac:dyDescent="0.25">
      <c r="A214" s="2" t="s">
        <v>638</v>
      </c>
      <c r="B214" s="2" t="s">
        <v>639</v>
      </c>
      <c r="C214" s="2" t="s">
        <v>640</v>
      </c>
      <c r="D214" s="2" t="s">
        <v>10040</v>
      </c>
      <c r="E214" s="15">
        <v>8.43E-2</v>
      </c>
      <c r="F214" s="15">
        <v>6.8099999999999994E-2</v>
      </c>
      <c r="G214" s="15">
        <v>0.21579999999999999</v>
      </c>
      <c r="H214" s="15">
        <v>0.29170000000000001</v>
      </c>
      <c r="I214" s="15">
        <v>4.7699999999999999E-2</v>
      </c>
      <c r="J214" s="15">
        <v>6.1153039832285119</v>
      </c>
    </row>
    <row r="215" spans="1:10" x14ac:dyDescent="0.25">
      <c r="A215" s="2" t="s">
        <v>641</v>
      </c>
      <c r="B215" s="2" t="s">
        <v>642</v>
      </c>
      <c r="C215" s="2" t="s">
        <v>643</v>
      </c>
      <c r="D215" s="2" t="s">
        <v>10040</v>
      </c>
      <c r="E215" s="15">
        <v>8.8700000000000001E-2</v>
      </c>
      <c r="F215" s="15">
        <v>5.3199999999999997E-2</v>
      </c>
      <c r="G215" s="15">
        <v>9.5200000000000007E-2</v>
      </c>
      <c r="H215" s="15">
        <v>0.45079999999999998</v>
      </c>
      <c r="I215" s="15">
        <v>4.9000000000000002E-2</v>
      </c>
      <c r="J215" s="15">
        <v>9.1999999999999993</v>
      </c>
    </row>
    <row r="216" spans="1:10" x14ac:dyDescent="0.25">
      <c r="A216" s="2" t="s">
        <v>644</v>
      </c>
      <c r="B216" s="2" t="s">
        <v>645</v>
      </c>
      <c r="C216" s="2" t="s">
        <v>646</v>
      </c>
      <c r="D216" s="2" t="s">
        <v>10040</v>
      </c>
      <c r="E216" s="15">
        <v>-4.5499999999999999E-2</v>
      </c>
      <c r="F216" s="15">
        <v>6.0699999999999997E-2</v>
      </c>
      <c r="G216" s="15">
        <v>0.45369999999999999</v>
      </c>
      <c r="H216" s="15">
        <v>0.33129999999999998</v>
      </c>
      <c r="I216" s="15">
        <v>5.0900000000000001E-2</v>
      </c>
      <c r="J216" s="15">
        <v>6.5088408644400779</v>
      </c>
    </row>
    <row r="217" spans="1:10" x14ac:dyDescent="0.25">
      <c r="A217" s="2" t="s">
        <v>647</v>
      </c>
      <c r="B217" s="2" t="s">
        <v>648</v>
      </c>
      <c r="C217" s="2" t="s">
        <v>649</v>
      </c>
      <c r="D217" s="2" t="s">
        <v>10040</v>
      </c>
      <c r="E217" s="15">
        <v>1.37E-2</v>
      </c>
      <c r="F217" s="15">
        <v>5.8599999999999999E-2</v>
      </c>
      <c r="G217" s="15">
        <v>0.81569999999999998</v>
      </c>
      <c r="H217" s="15">
        <v>0.34229999999999999</v>
      </c>
      <c r="I217" s="15">
        <v>4.4699999999999997E-2</v>
      </c>
      <c r="J217" s="15">
        <v>7.6577181208053693</v>
      </c>
    </row>
    <row r="218" spans="1:10" x14ac:dyDescent="0.25">
      <c r="A218" s="2" t="s">
        <v>650</v>
      </c>
      <c r="B218" s="2" t="s">
        <v>651</v>
      </c>
      <c r="C218" s="2" t="s">
        <v>652</v>
      </c>
      <c r="D218" s="2" t="s">
        <v>10040</v>
      </c>
      <c r="E218" s="15">
        <v>9.0200000000000002E-2</v>
      </c>
      <c r="F218" s="15">
        <v>6.3700000000000007E-2</v>
      </c>
      <c r="G218" s="15">
        <v>0.15640000000000001</v>
      </c>
      <c r="H218" s="15">
        <v>0.28789999999999999</v>
      </c>
      <c r="I218" s="15">
        <v>5.28E-2</v>
      </c>
      <c r="J218" s="15">
        <v>5.4526515151515147</v>
      </c>
    </row>
    <row r="219" spans="1:10" x14ac:dyDescent="0.25">
      <c r="A219" s="2" t="s">
        <v>653</v>
      </c>
      <c r="B219" s="2" t="s">
        <v>654</v>
      </c>
      <c r="C219" s="2" t="s">
        <v>655</v>
      </c>
      <c r="D219" s="2" t="s">
        <v>10040</v>
      </c>
      <c r="E219" s="15">
        <v>0.11360000000000001</v>
      </c>
      <c r="F219" s="15">
        <v>7.7100000000000002E-2</v>
      </c>
      <c r="G219" s="15">
        <v>0.14030000000000001</v>
      </c>
      <c r="H219" s="15">
        <v>0.19839999999999999</v>
      </c>
      <c r="I219" s="15">
        <v>4.53E-2</v>
      </c>
      <c r="J219" s="15">
        <v>4.3796909492273732</v>
      </c>
    </row>
    <row r="220" spans="1:10" x14ac:dyDescent="0.25">
      <c r="A220" s="2" t="s">
        <v>656</v>
      </c>
      <c r="B220" s="2" t="s">
        <v>657</v>
      </c>
      <c r="C220" s="2" t="s">
        <v>658</v>
      </c>
      <c r="D220" s="2" t="s">
        <v>10040</v>
      </c>
      <c r="E220" s="15">
        <v>5.8400000000000001E-2</v>
      </c>
      <c r="F220" s="15">
        <v>6.6900000000000001E-2</v>
      </c>
      <c r="G220" s="15">
        <v>0.38269999999999998</v>
      </c>
      <c r="H220" s="15">
        <v>0.27889999999999998</v>
      </c>
      <c r="I220" s="15">
        <v>4.8300000000000003E-2</v>
      </c>
      <c r="J220" s="15">
        <v>5.774327122153208</v>
      </c>
    </row>
    <row r="221" spans="1:10" x14ac:dyDescent="0.25">
      <c r="A221" s="2" t="s">
        <v>659</v>
      </c>
      <c r="B221" s="2" t="s">
        <v>660</v>
      </c>
      <c r="C221" s="2" t="s">
        <v>661</v>
      </c>
      <c r="D221" s="2" t="s">
        <v>10040</v>
      </c>
      <c r="E221" s="15">
        <v>2.9100000000000001E-2</v>
      </c>
      <c r="F221" s="15">
        <v>5.2499999999999998E-2</v>
      </c>
      <c r="G221" s="15">
        <v>0.57950000000000002</v>
      </c>
      <c r="H221" s="15">
        <v>0.37040000000000001</v>
      </c>
      <c r="I221" s="15">
        <v>5.0799999999999998E-2</v>
      </c>
      <c r="J221" s="15">
        <v>7.2913385826771657</v>
      </c>
    </row>
    <row r="222" spans="1:10" x14ac:dyDescent="0.25">
      <c r="A222" s="2" t="s">
        <v>662</v>
      </c>
      <c r="B222" s="2" t="s">
        <v>663</v>
      </c>
      <c r="C222" s="2" t="s">
        <v>664</v>
      </c>
      <c r="D222" s="2" t="s">
        <v>10040</v>
      </c>
      <c r="E222" s="15">
        <v>-0.1643</v>
      </c>
      <c r="F222" s="15">
        <v>0.1321</v>
      </c>
      <c r="G222" s="15">
        <v>0.21360000000000001</v>
      </c>
      <c r="H222" s="15">
        <v>7.8399999999999997E-2</v>
      </c>
      <c r="I222" s="15">
        <v>4.07E-2</v>
      </c>
      <c r="J222" s="15">
        <v>1.926289926289926</v>
      </c>
    </row>
    <row r="223" spans="1:10" x14ac:dyDescent="0.25">
      <c r="A223" s="2" t="s">
        <v>665</v>
      </c>
      <c r="B223" s="2" t="s">
        <v>666</v>
      </c>
      <c r="C223" s="2" t="s">
        <v>667</v>
      </c>
      <c r="D223" s="2" t="s">
        <v>10040</v>
      </c>
      <c r="E223" s="15">
        <v>-2.2499999999999999E-2</v>
      </c>
      <c r="F223" s="15">
        <v>7.4499999999999997E-2</v>
      </c>
      <c r="G223" s="15">
        <v>0.76219999999999999</v>
      </c>
      <c r="H223" s="15">
        <v>0.21840000000000001</v>
      </c>
      <c r="I223" s="15">
        <v>4.2099999999999999E-2</v>
      </c>
      <c r="J223" s="15">
        <v>5.1876484560570084</v>
      </c>
    </row>
    <row r="224" spans="1:10" x14ac:dyDescent="0.25">
      <c r="A224" s="2" t="s">
        <v>668</v>
      </c>
      <c r="B224" s="2" t="s">
        <v>669</v>
      </c>
      <c r="C224" s="2" t="s">
        <v>670</v>
      </c>
      <c r="D224" s="2" t="s">
        <v>10040</v>
      </c>
      <c r="E224" s="15">
        <v>2.8799999999999999E-2</v>
      </c>
      <c r="F224" s="15">
        <v>9.9500000000000005E-2</v>
      </c>
      <c r="G224" s="15">
        <v>0.77239999999999998</v>
      </c>
      <c r="H224" s="15">
        <v>0.1172</v>
      </c>
      <c r="I224" s="15">
        <v>4.1399999999999999E-2</v>
      </c>
      <c r="J224" s="15">
        <v>2.830917874396135</v>
      </c>
    </row>
    <row r="225" spans="1:10" x14ac:dyDescent="0.25">
      <c r="A225" s="2" t="s">
        <v>671</v>
      </c>
      <c r="B225" s="2" t="s">
        <v>672</v>
      </c>
      <c r="C225" s="2" t="s">
        <v>673</v>
      </c>
      <c r="D225" s="2" t="s">
        <v>10040</v>
      </c>
      <c r="E225" s="15">
        <v>8.6599999999999996E-2</v>
      </c>
      <c r="F225" s="15">
        <v>6.9800000000000001E-2</v>
      </c>
      <c r="G225" s="15">
        <v>0.2145</v>
      </c>
      <c r="H225" s="15">
        <v>0.2591</v>
      </c>
      <c r="I225" s="15">
        <v>4.7300000000000002E-2</v>
      </c>
      <c r="J225" s="15">
        <v>5.4778012684989434</v>
      </c>
    </row>
    <row r="226" spans="1:10" x14ac:dyDescent="0.25">
      <c r="A226" s="2" t="s">
        <v>674</v>
      </c>
      <c r="B226" s="2" t="s">
        <v>675</v>
      </c>
      <c r="C226" s="2" t="s">
        <v>676</v>
      </c>
      <c r="D226" s="2" t="s">
        <v>10040</v>
      </c>
      <c r="E226" s="15">
        <v>0.13109999999999999</v>
      </c>
      <c r="F226" s="15">
        <v>7.8399999999999997E-2</v>
      </c>
      <c r="G226" s="15">
        <v>9.4399999999999998E-2</v>
      </c>
      <c r="H226" s="15">
        <v>0.185</v>
      </c>
      <c r="I226" s="15">
        <v>4.1500000000000002E-2</v>
      </c>
      <c r="J226" s="15">
        <v>4.4578313253012043</v>
      </c>
    </row>
    <row r="227" spans="1:10" x14ac:dyDescent="0.25">
      <c r="A227" s="2" t="s">
        <v>677</v>
      </c>
      <c r="B227" s="2" t="s">
        <v>678</v>
      </c>
      <c r="C227" s="2" t="s">
        <v>679</v>
      </c>
      <c r="D227" s="2" t="s">
        <v>10040</v>
      </c>
      <c r="E227" s="15">
        <v>0.1404</v>
      </c>
      <c r="F227" s="15">
        <v>8.5599999999999996E-2</v>
      </c>
      <c r="G227" s="15">
        <v>0.1008</v>
      </c>
      <c r="H227" s="15">
        <v>0.14860000000000001</v>
      </c>
      <c r="I227" s="15">
        <v>0.04</v>
      </c>
      <c r="J227" s="15">
        <v>3.7149999999999999</v>
      </c>
    </row>
    <row r="228" spans="1:10" x14ac:dyDescent="0.25">
      <c r="A228" s="2" t="s">
        <v>680</v>
      </c>
      <c r="B228" s="2" t="s">
        <v>681</v>
      </c>
      <c r="C228" s="2" t="s">
        <v>682</v>
      </c>
      <c r="D228" s="2" t="s">
        <v>10040</v>
      </c>
      <c r="E228" s="15">
        <v>7.1400000000000005E-2</v>
      </c>
      <c r="F228" s="15">
        <v>7.2999999999999995E-2</v>
      </c>
      <c r="G228" s="15">
        <v>0.32769999999999999</v>
      </c>
      <c r="H228" s="15">
        <v>0.19789999999999999</v>
      </c>
      <c r="I228" s="15">
        <v>3.9E-2</v>
      </c>
      <c r="J228" s="15">
        <v>5.0743589743589741</v>
      </c>
    </row>
    <row r="229" spans="1:10" x14ac:dyDescent="0.25">
      <c r="A229" s="2" t="s">
        <v>683</v>
      </c>
      <c r="B229" s="2" t="s">
        <v>684</v>
      </c>
      <c r="C229" s="2" t="s">
        <v>685</v>
      </c>
      <c r="D229" s="2" t="s">
        <v>10040</v>
      </c>
      <c r="E229" s="15">
        <v>0.21299999999999999</v>
      </c>
      <c r="F229" s="15">
        <v>0.1052</v>
      </c>
      <c r="G229" s="15">
        <v>4.2999999999999997E-2</v>
      </c>
      <c r="H229" s="15">
        <v>0.1066</v>
      </c>
      <c r="I229" s="15">
        <v>3.6499999999999998E-2</v>
      </c>
      <c r="J229" s="15">
        <v>2.9205479452054801</v>
      </c>
    </row>
    <row r="230" spans="1:10" x14ac:dyDescent="0.25">
      <c r="A230" s="2" t="s">
        <v>686</v>
      </c>
      <c r="B230" s="2" t="s">
        <v>687</v>
      </c>
      <c r="C230" s="2" t="s">
        <v>688</v>
      </c>
      <c r="D230" s="2" t="s">
        <v>10040</v>
      </c>
      <c r="E230" s="15">
        <v>0.1066</v>
      </c>
      <c r="F230" s="15">
        <v>0.10299999999999999</v>
      </c>
      <c r="G230" s="15">
        <v>0.30070000000000002</v>
      </c>
      <c r="H230" s="15">
        <v>0.11840000000000001</v>
      </c>
      <c r="I230" s="15">
        <v>3.9800000000000002E-2</v>
      </c>
      <c r="J230" s="15">
        <v>2.974874371859296</v>
      </c>
    </row>
    <row r="231" spans="1:10" x14ac:dyDescent="0.25">
      <c r="A231" s="2" t="s">
        <v>689</v>
      </c>
      <c r="B231" s="2" t="s">
        <v>690</v>
      </c>
      <c r="C231" s="2" t="s">
        <v>691</v>
      </c>
      <c r="D231" s="2" t="s">
        <v>10040</v>
      </c>
      <c r="E231" s="15">
        <v>0.13700000000000001</v>
      </c>
      <c r="F231" s="15">
        <v>0.12620000000000001</v>
      </c>
      <c r="G231" s="15">
        <v>0.27779999999999999</v>
      </c>
      <c r="H231" s="15">
        <v>7.1300000000000002E-2</v>
      </c>
      <c r="I231" s="15">
        <v>3.9899999999999998E-2</v>
      </c>
      <c r="J231" s="15">
        <v>1.786967418546366</v>
      </c>
    </row>
    <row r="232" spans="1:10" x14ac:dyDescent="0.25">
      <c r="A232" s="2" t="s">
        <v>692</v>
      </c>
      <c r="B232" s="2" t="s">
        <v>693</v>
      </c>
      <c r="C232" s="2" t="s">
        <v>694</v>
      </c>
      <c r="D232" s="2" t="s">
        <v>10040</v>
      </c>
      <c r="E232" s="15">
        <v>1.24E-2</v>
      </c>
      <c r="F232" s="15">
        <v>8.3000000000000004E-2</v>
      </c>
      <c r="G232" s="15">
        <v>0.88170000000000004</v>
      </c>
      <c r="H232" s="15">
        <v>0.14699999999999999</v>
      </c>
      <c r="I232" s="15">
        <v>3.9199999999999999E-2</v>
      </c>
      <c r="J232" s="15">
        <v>3.75</v>
      </c>
    </row>
    <row r="233" spans="1:10" x14ac:dyDescent="0.25">
      <c r="A233" s="2" t="s">
        <v>695</v>
      </c>
      <c r="B233" s="2" t="s">
        <v>696</v>
      </c>
      <c r="C233" s="2" t="s">
        <v>697</v>
      </c>
      <c r="D233" s="2" t="s">
        <v>10040</v>
      </c>
      <c r="E233" s="15">
        <v>0.1278</v>
      </c>
      <c r="F233" s="15">
        <v>7.7200000000000005E-2</v>
      </c>
      <c r="G233" s="15">
        <v>9.7900000000000001E-2</v>
      </c>
      <c r="H233" s="15">
        <v>0.192</v>
      </c>
      <c r="I233" s="15">
        <v>4.1799999999999997E-2</v>
      </c>
      <c r="J233" s="15">
        <v>4.5933014354066994</v>
      </c>
    </row>
    <row r="234" spans="1:10" x14ac:dyDescent="0.25">
      <c r="A234" s="2" t="s">
        <v>698</v>
      </c>
      <c r="B234" s="2" t="s">
        <v>699</v>
      </c>
      <c r="C234" s="2" t="s">
        <v>700</v>
      </c>
      <c r="D234" s="2" t="s">
        <v>10040</v>
      </c>
      <c r="E234" s="15">
        <v>0.111</v>
      </c>
      <c r="F234" s="15">
        <v>7.3400000000000007E-2</v>
      </c>
      <c r="G234" s="15">
        <v>0.13039999999999999</v>
      </c>
      <c r="H234" s="15">
        <v>0.22309999999999999</v>
      </c>
      <c r="I234" s="15">
        <v>4.4299999999999999E-2</v>
      </c>
      <c r="J234" s="15">
        <v>5.0361173814898423</v>
      </c>
    </row>
    <row r="235" spans="1:10" x14ac:dyDescent="0.25">
      <c r="A235" s="2" t="s">
        <v>701</v>
      </c>
      <c r="B235" s="2" t="s">
        <v>702</v>
      </c>
      <c r="C235" s="2" t="s">
        <v>703</v>
      </c>
      <c r="D235" s="2" t="s">
        <v>10040</v>
      </c>
      <c r="E235" s="15">
        <v>0.12479999999999999</v>
      </c>
      <c r="F235" s="15">
        <v>6.9800000000000001E-2</v>
      </c>
      <c r="G235" s="15">
        <v>7.3800000000000004E-2</v>
      </c>
      <c r="H235" s="15">
        <v>0.22770000000000001</v>
      </c>
      <c r="I235" s="15">
        <v>4.41E-2</v>
      </c>
      <c r="J235" s="15">
        <v>5.1632653061224492</v>
      </c>
    </row>
    <row r="236" spans="1:10" x14ac:dyDescent="0.25">
      <c r="A236" s="2" t="s">
        <v>704</v>
      </c>
      <c r="B236" s="2" t="s">
        <v>705</v>
      </c>
      <c r="C236" s="2" t="s">
        <v>706</v>
      </c>
      <c r="D236" s="2" t="s">
        <v>10040</v>
      </c>
      <c r="E236" s="15">
        <v>0.10929999999999999</v>
      </c>
      <c r="F236" s="15">
        <v>8.0100000000000005E-2</v>
      </c>
      <c r="G236" s="15">
        <v>0.1724</v>
      </c>
      <c r="H236" s="15">
        <v>0.1661</v>
      </c>
      <c r="I236" s="15">
        <v>3.95E-2</v>
      </c>
      <c r="J236" s="15">
        <v>4.2050632911392407</v>
      </c>
    </row>
    <row r="237" spans="1:10" x14ac:dyDescent="0.25">
      <c r="A237" s="2" t="s">
        <v>707</v>
      </c>
      <c r="B237" s="2" t="s">
        <v>708</v>
      </c>
      <c r="C237" s="2" t="s">
        <v>709</v>
      </c>
      <c r="D237" s="2" t="s">
        <v>10040</v>
      </c>
      <c r="E237" s="15">
        <v>4.2799999999999998E-2</v>
      </c>
      <c r="F237" s="15">
        <v>7.8600000000000003E-2</v>
      </c>
      <c r="G237" s="15">
        <v>0.58609999999999995</v>
      </c>
      <c r="H237" s="15">
        <v>0.1472</v>
      </c>
      <c r="I237" s="15">
        <v>4.1099999999999998E-2</v>
      </c>
      <c r="J237" s="15">
        <v>3.5815085158150848</v>
      </c>
    </row>
    <row r="238" spans="1:10" x14ac:dyDescent="0.25">
      <c r="A238" s="2" t="s">
        <v>710</v>
      </c>
      <c r="B238" s="2" t="s">
        <v>711</v>
      </c>
      <c r="C238" s="2" t="s">
        <v>712</v>
      </c>
      <c r="D238" s="2" t="s">
        <v>10040</v>
      </c>
      <c r="E238" s="15">
        <v>0.1968</v>
      </c>
      <c r="F238" s="15">
        <v>7.7100000000000002E-2</v>
      </c>
      <c r="G238" s="15">
        <v>1.0699999999999999E-2</v>
      </c>
      <c r="H238" s="15">
        <v>0.18010000000000001</v>
      </c>
      <c r="I238" s="15">
        <v>4.5499999999999999E-2</v>
      </c>
      <c r="J238" s="15">
        <v>3.9582417582417579</v>
      </c>
    </row>
    <row r="239" spans="1:10" x14ac:dyDescent="0.25">
      <c r="A239" s="2" t="s">
        <v>713</v>
      </c>
      <c r="B239" s="2" t="s">
        <v>714</v>
      </c>
      <c r="C239" s="2" t="s">
        <v>715</v>
      </c>
      <c r="D239" s="2" t="s">
        <v>10040</v>
      </c>
      <c r="E239" s="15">
        <v>2.92E-2</v>
      </c>
      <c r="F239" s="15">
        <v>8.6699999999999999E-2</v>
      </c>
      <c r="G239" s="15">
        <v>0.73629999999999995</v>
      </c>
      <c r="H239" s="15">
        <v>0.14649999999999999</v>
      </c>
      <c r="I239" s="15">
        <v>4.53E-2</v>
      </c>
      <c r="J239" s="15">
        <v>3.2339955849889619</v>
      </c>
    </row>
    <row r="240" spans="1:10" x14ac:dyDescent="0.25">
      <c r="A240" s="2" t="s">
        <v>716</v>
      </c>
      <c r="B240" s="2" t="s">
        <v>717</v>
      </c>
      <c r="C240" s="2" t="s">
        <v>718</v>
      </c>
      <c r="D240" s="2" t="s">
        <v>10040</v>
      </c>
      <c r="E240" s="15">
        <v>4.0800000000000003E-2</v>
      </c>
      <c r="F240" s="15">
        <v>9.5100000000000004E-2</v>
      </c>
      <c r="G240" s="15">
        <v>0.66759999999999997</v>
      </c>
      <c r="H240" s="15">
        <v>0.1182</v>
      </c>
      <c r="I240" s="15">
        <v>3.8399999999999997E-2</v>
      </c>
      <c r="J240" s="15">
        <v>3.078125</v>
      </c>
    </row>
    <row r="241" spans="1:10" x14ac:dyDescent="0.25">
      <c r="A241" s="2" t="s">
        <v>719</v>
      </c>
      <c r="B241" s="2" t="s">
        <v>720</v>
      </c>
      <c r="C241" s="2" t="s">
        <v>721</v>
      </c>
      <c r="D241" s="2" t="s">
        <v>10040</v>
      </c>
      <c r="E241" s="15">
        <v>6.4299999999999996E-2</v>
      </c>
      <c r="F241" s="15">
        <v>7.6700000000000004E-2</v>
      </c>
      <c r="G241" s="15">
        <v>0.4017</v>
      </c>
      <c r="H241" s="15">
        <v>0.16020000000000001</v>
      </c>
      <c r="I241" s="15">
        <v>4.36E-2</v>
      </c>
      <c r="J241" s="15">
        <v>3.6743119266055051</v>
      </c>
    </row>
    <row r="242" spans="1:10" x14ac:dyDescent="0.25">
      <c r="A242" s="2" t="s">
        <v>722</v>
      </c>
      <c r="B242" s="2" t="s">
        <v>723</v>
      </c>
      <c r="C242" s="2" t="s">
        <v>724</v>
      </c>
      <c r="D242" s="2" t="s">
        <v>10040</v>
      </c>
      <c r="E242" s="15">
        <v>-1.5599999999999999E-2</v>
      </c>
      <c r="F242" s="15">
        <v>7.9500000000000001E-2</v>
      </c>
      <c r="G242" s="15">
        <v>0.84419999999999995</v>
      </c>
      <c r="H242" s="15">
        <v>0.1578</v>
      </c>
      <c r="I242" s="15">
        <v>4.5999999999999999E-2</v>
      </c>
      <c r="J242" s="15">
        <v>3.4304347826086961</v>
      </c>
    </row>
    <row r="243" spans="1:10" x14ac:dyDescent="0.25">
      <c r="A243" s="2" t="s">
        <v>725</v>
      </c>
      <c r="B243" s="2" t="s">
        <v>726</v>
      </c>
      <c r="C243" s="2" t="s">
        <v>727</v>
      </c>
      <c r="D243" s="2" t="s">
        <v>10040</v>
      </c>
      <c r="E243" s="15">
        <v>0.12379999999999999</v>
      </c>
      <c r="F243" s="15">
        <v>8.2799999999999999E-2</v>
      </c>
      <c r="G243" s="15">
        <v>0.13500000000000001</v>
      </c>
      <c r="H243" s="15">
        <v>0.1734</v>
      </c>
      <c r="I243" s="15">
        <v>3.8899999999999997E-2</v>
      </c>
      <c r="J243" s="15">
        <v>4.4575835475578396</v>
      </c>
    </row>
    <row r="244" spans="1:10" x14ac:dyDescent="0.25">
      <c r="A244" s="2" t="s">
        <v>728</v>
      </c>
      <c r="B244" s="2" t="s">
        <v>729</v>
      </c>
      <c r="C244" s="2" t="s">
        <v>730</v>
      </c>
      <c r="D244" s="2" t="s">
        <v>10040</v>
      </c>
      <c r="E244" s="15">
        <v>9.8199999999999996E-2</v>
      </c>
      <c r="F244" s="15">
        <v>7.17E-2</v>
      </c>
      <c r="G244" s="15">
        <v>0.1711</v>
      </c>
      <c r="H244" s="15">
        <v>0.1963</v>
      </c>
      <c r="I244" s="15">
        <v>4.2500000000000003E-2</v>
      </c>
      <c r="J244" s="15">
        <v>4.6188235294117641</v>
      </c>
    </row>
    <row r="245" spans="1:10" x14ac:dyDescent="0.25">
      <c r="A245" s="2" t="s">
        <v>731</v>
      </c>
      <c r="B245" s="2" t="s">
        <v>732</v>
      </c>
      <c r="C245" s="2" t="s">
        <v>733</v>
      </c>
      <c r="D245" s="2" t="s">
        <v>10040</v>
      </c>
      <c r="E245" s="15">
        <v>3.27E-2</v>
      </c>
      <c r="F245" s="15">
        <v>8.3500000000000005E-2</v>
      </c>
      <c r="G245" s="15">
        <v>0.69489999999999996</v>
      </c>
      <c r="H245" s="15">
        <v>0.19</v>
      </c>
      <c r="I245" s="15">
        <v>4.2900000000000001E-2</v>
      </c>
      <c r="J245" s="15">
        <v>4.4289044289044286</v>
      </c>
    </row>
    <row r="246" spans="1:10" x14ac:dyDescent="0.25">
      <c r="A246" s="2" t="s">
        <v>734</v>
      </c>
      <c r="B246" s="2" t="s">
        <v>735</v>
      </c>
      <c r="C246" s="2" t="s">
        <v>736</v>
      </c>
      <c r="D246" s="2" t="s">
        <v>10040</v>
      </c>
      <c r="E246" s="15">
        <v>3.4700000000000002E-2</v>
      </c>
      <c r="F246" s="15">
        <v>8.4400000000000003E-2</v>
      </c>
      <c r="G246" s="15">
        <v>0.68120000000000003</v>
      </c>
      <c r="H246" s="15">
        <v>0.16569999999999999</v>
      </c>
      <c r="I246" s="15">
        <v>4.5199999999999997E-2</v>
      </c>
      <c r="J246" s="15">
        <v>3.665929203539823</v>
      </c>
    </row>
    <row r="247" spans="1:10" x14ac:dyDescent="0.25">
      <c r="A247" s="2" t="s">
        <v>737</v>
      </c>
      <c r="B247" s="2" t="s">
        <v>738</v>
      </c>
      <c r="C247" s="2" t="s">
        <v>739</v>
      </c>
      <c r="D247" s="2" t="s">
        <v>10040</v>
      </c>
      <c r="E247" s="15">
        <v>0.1404</v>
      </c>
      <c r="F247" s="15">
        <v>6.4000000000000001E-2</v>
      </c>
      <c r="G247" s="15">
        <v>2.8199999999999999E-2</v>
      </c>
      <c r="H247" s="15">
        <v>0.23369999999999999</v>
      </c>
      <c r="I247" s="15">
        <v>4.2000000000000003E-2</v>
      </c>
      <c r="J247" s="15">
        <v>5.5642857142857141</v>
      </c>
    </row>
    <row r="248" spans="1:10" x14ac:dyDescent="0.25">
      <c r="A248" s="2" t="s">
        <v>740</v>
      </c>
      <c r="B248" s="2" t="s">
        <v>741</v>
      </c>
      <c r="C248" s="2" t="s">
        <v>742</v>
      </c>
      <c r="D248" s="2" t="s">
        <v>10040</v>
      </c>
      <c r="E248" s="15">
        <v>0.1206</v>
      </c>
      <c r="F248" s="15">
        <v>6.6100000000000006E-2</v>
      </c>
      <c r="G248" s="15">
        <v>6.8000000000000005E-2</v>
      </c>
      <c r="H248" s="15">
        <v>0.26889999999999997</v>
      </c>
      <c r="I248" s="15">
        <v>4.3900000000000002E-2</v>
      </c>
      <c r="J248" s="15">
        <v>6.1252847380410014</v>
      </c>
    </row>
    <row r="249" spans="1:10" x14ac:dyDescent="0.25">
      <c r="A249" s="2" t="s">
        <v>743</v>
      </c>
      <c r="B249" s="2" t="s">
        <v>744</v>
      </c>
      <c r="C249" s="2" t="s">
        <v>745</v>
      </c>
      <c r="D249" s="2" t="s">
        <v>10040</v>
      </c>
      <c r="E249" s="15">
        <v>0.1111</v>
      </c>
      <c r="F249" s="15">
        <v>0.10489999999999999</v>
      </c>
      <c r="G249" s="15">
        <v>0.28949999999999998</v>
      </c>
      <c r="H249" s="15">
        <v>0.12720000000000001</v>
      </c>
      <c r="I249" s="15">
        <v>4.2299999999999997E-2</v>
      </c>
      <c r="J249" s="15">
        <v>3.0070921985815611</v>
      </c>
    </row>
    <row r="250" spans="1:10" x14ac:dyDescent="0.25">
      <c r="A250" s="2" t="s">
        <v>746</v>
      </c>
      <c r="B250" s="2" t="s">
        <v>747</v>
      </c>
      <c r="C250" s="2" t="s">
        <v>748</v>
      </c>
      <c r="D250" s="2" t="s">
        <v>10040</v>
      </c>
      <c r="E250" s="15">
        <v>0.183</v>
      </c>
      <c r="F250" s="15">
        <v>8.1000000000000003E-2</v>
      </c>
      <c r="G250" s="15">
        <v>2.3800000000000002E-2</v>
      </c>
      <c r="H250" s="15">
        <v>0.1757</v>
      </c>
      <c r="I250" s="15">
        <v>4.2000000000000003E-2</v>
      </c>
      <c r="J250" s="15">
        <v>4.1833333333333327</v>
      </c>
    </row>
    <row r="251" spans="1:10" x14ac:dyDescent="0.25">
      <c r="A251" s="2" t="s">
        <v>749</v>
      </c>
      <c r="B251" s="2" t="s">
        <v>750</v>
      </c>
      <c r="C251" s="2" t="s">
        <v>751</v>
      </c>
      <c r="D251" s="2" t="s">
        <v>10040</v>
      </c>
      <c r="E251" s="15">
        <v>0.18029999999999999</v>
      </c>
      <c r="F251" s="15">
        <v>8.1000000000000003E-2</v>
      </c>
      <c r="G251" s="15">
        <v>2.5899999999999999E-2</v>
      </c>
      <c r="H251" s="15">
        <v>0.185</v>
      </c>
      <c r="I251" s="15">
        <v>4.2000000000000003E-2</v>
      </c>
      <c r="J251" s="15">
        <v>4.4047619047619042</v>
      </c>
    </row>
    <row r="252" spans="1:10" x14ac:dyDescent="0.25">
      <c r="A252" s="2" t="s">
        <v>752</v>
      </c>
      <c r="B252" s="2" t="s">
        <v>753</v>
      </c>
      <c r="C252" s="2" t="s">
        <v>754</v>
      </c>
      <c r="D252" s="2" t="s">
        <v>10040</v>
      </c>
      <c r="E252" s="15">
        <v>3.0200000000000001E-2</v>
      </c>
      <c r="F252" s="15">
        <v>7.9200000000000007E-2</v>
      </c>
      <c r="G252" s="15">
        <v>0.70250000000000001</v>
      </c>
      <c r="H252" s="15">
        <v>0.19070000000000001</v>
      </c>
      <c r="I252" s="15">
        <v>4.58E-2</v>
      </c>
      <c r="J252" s="15">
        <v>4.1637554585152836</v>
      </c>
    </row>
    <row r="253" spans="1:10" x14ac:dyDescent="0.25">
      <c r="A253" s="2" t="s">
        <v>755</v>
      </c>
      <c r="B253" s="2" t="s">
        <v>756</v>
      </c>
      <c r="C253" s="2" t="s">
        <v>757</v>
      </c>
      <c r="D253" s="2" t="s">
        <v>10040</v>
      </c>
      <c r="E253" s="15">
        <v>0.1181</v>
      </c>
      <c r="F253" s="15">
        <v>0.1</v>
      </c>
      <c r="G253" s="15">
        <v>0.23760000000000001</v>
      </c>
      <c r="H253" s="15">
        <v>0.1086</v>
      </c>
      <c r="I253" s="15">
        <v>4.2900000000000001E-2</v>
      </c>
      <c r="J253" s="15">
        <v>2.5314685314685321</v>
      </c>
    </row>
    <row r="254" spans="1:10" x14ac:dyDescent="0.25">
      <c r="A254" s="2" t="s">
        <v>758</v>
      </c>
      <c r="B254" s="2" t="s">
        <v>759</v>
      </c>
      <c r="C254" s="2" t="s">
        <v>760</v>
      </c>
      <c r="D254" s="2" t="s">
        <v>10040</v>
      </c>
      <c r="E254" s="15">
        <v>9.9599999999999994E-2</v>
      </c>
      <c r="F254" s="15">
        <v>7.8700000000000006E-2</v>
      </c>
      <c r="G254" s="15">
        <v>0.20580000000000001</v>
      </c>
      <c r="H254" s="15">
        <v>0.2064</v>
      </c>
      <c r="I254" s="15">
        <v>4.4400000000000002E-2</v>
      </c>
      <c r="J254" s="15">
        <v>4.6486486486486482</v>
      </c>
    </row>
    <row r="255" spans="1:10" x14ac:dyDescent="0.25">
      <c r="A255" s="2" t="s">
        <v>761</v>
      </c>
      <c r="B255" s="2" t="s">
        <v>762</v>
      </c>
      <c r="C255" s="2" t="s">
        <v>763</v>
      </c>
      <c r="D255" s="2" t="s">
        <v>10040</v>
      </c>
      <c r="E255" s="15">
        <v>0.10920000000000001</v>
      </c>
      <c r="F255" s="15">
        <v>7.5399999999999995E-2</v>
      </c>
      <c r="G255" s="15">
        <v>0.14749999999999999</v>
      </c>
      <c r="H255" s="15">
        <v>0.19400000000000001</v>
      </c>
      <c r="I255" s="15">
        <v>4.1399999999999999E-2</v>
      </c>
      <c r="J255" s="15">
        <v>4.6859903381642516</v>
      </c>
    </row>
    <row r="256" spans="1:10" x14ac:dyDescent="0.25">
      <c r="A256" s="2" t="s">
        <v>764</v>
      </c>
      <c r="B256" s="2" t="s">
        <v>765</v>
      </c>
      <c r="C256" s="2" t="s">
        <v>766</v>
      </c>
      <c r="D256" s="2" t="s">
        <v>10040</v>
      </c>
      <c r="E256" s="15">
        <v>0.1646</v>
      </c>
      <c r="F256" s="15">
        <v>9.2700000000000005E-2</v>
      </c>
      <c r="G256" s="15">
        <v>7.5600000000000001E-2</v>
      </c>
      <c r="H256" s="15">
        <v>0.13950000000000001</v>
      </c>
      <c r="I256" s="15">
        <v>3.9300000000000002E-2</v>
      </c>
      <c r="J256" s="15">
        <v>3.5496183206106871</v>
      </c>
    </row>
    <row r="257" spans="1:10" x14ac:dyDescent="0.25">
      <c r="A257" s="2" t="s">
        <v>767</v>
      </c>
      <c r="B257" s="2" t="s">
        <v>768</v>
      </c>
      <c r="C257" s="2" t="s">
        <v>769</v>
      </c>
      <c r="D257" s="2" t="s">
        <v>10040</v>
      </c>
      <c r="E257" s="15">
        <v>0.14149999999999999</v>
      </c>
      <c r="F257" s="15">
        <v>6.8599999999999994E-2</v>
      </c>
      <c r="G257" s="15">
        <v>3.9E-2</v>
      </c>
      <c r="H257" s="15">
        <v>0.23430000000000001</v>
      </c>
      <c r="I257" s="15">
        <v>4.2599999999999999E-2</v>
      </c>
      <c r="J257" s="15">
        <v>5.5</v>
      </c>
    </row>
    <row r="258" spans="1:10" x14ac:dyDescent="0.25">
      <c r="A258" s="2" t="s">
        <v>770</v>
      </c>
      <c r="B258" s="2" t="s">
        <v>771</v>
      </c>
      <c r="C258" s="2" t="s">
        <v>772</v>
      </c>
      <c r="D258" s="2" t="s">
        <v>10040</v>
      </c>
      <c r="E258" s="15">
        <v>0.1045</v>
      </c>
      <c r="F258" s="15">
        <v>7.0199999999999999E-2</v>
      </c>
      <c r="G258" s="15">
        <v>0.13639999999999999</v>
      </c>
      <c r="H258" s="15">
        <v>0.2306</v>
      </c>
      <c r="I258" s="15">
        <v>4.1700000000000001E-2</v>
      </c>
      <c r="J258" s="15">
        <v>5.5299760191846534</v>
      </c>
    </row>
    <row r="259" spans="1:10" x14ac:dyDescent="0.25">
      <c r="A259" s="2" t="s">
        <v>773</v>
      </c>
      <c r="B259" s="2" t="s">
        <v>774</v>
      </c>
      <c r="C259" s="2" t="s">
        <v>775</v>
      </c>
      <c r="D259" s="2" t="s">
        <v>10040</v>
      </c>
      <c r="E259" s="15">
        <v>0.1966</v>
      </c>
      <c r="F259" s="15">
        <v>9.6100000000000005E-2</v>
      </c>
      <c r="G259" s="15">
        <v>4.0899999999999999E-2</v>
      </c>
      <c r="H259" s="15">
        <v>0.1454</v>
      </c>
      <c r="I259" s="15">
        <v>3.9899999999999998E-2</v>
      </c>
      <c r="J259" s="15">
        <v>3.644110275689223</v>
      </c>
    </row>
    <row r="260" spans="1:10" x14ac:dyDescent="0.25">
      <c r="A260" s="2" t="s">
        <v>776</v>
      </c>
      <c r="B260" s="2" t="s">
        <v>777</v>
      </c>
      <c r="C260" s="2" t="s">
        <v>778</v>
      </c>
      <c r="D260" s="2" t="s">
        <v>10040</v>
      </c>
      <c r="E260" s="15">
        <v>0.12920000000000001</v>
      </c>
      <c r="F260" s="15">
        <v>6.8400000000000002E-2</v>
      </c>
      <c r="G260" s="15">
        <v>5.8900000000000001E-2</v>
      </c>
      <c r="H260" s="15">
        <v>0.25119999999999998</v>
      </c>
      <c r="I260" s="15">
        <v>4.3499999999999997E-2</v>
      </c>
      <c r="J260" s="15">
        <v>5.7747126436781606</v>
      </c>
    </row>
    <row r="261" spans="1:10" x14ac:dyDescent="0.25">
      <c r="A261" s="2" t="s">
        <v>779</v>
      </c>
      <c r="B261" s="2" t="s">
        <v>780</v>
      </c>
      <c r="C261" s="2" t="s">
        <v>781</v>
      </c>
      <c r="D261" s="2" t="s">
        <v>10040</v>
      </c>
      <c r="E261" s="15">
        <v>-2.5600000000000001E-2</v>
      </c>
      <c r="F261" s="15">
        <v>7.9899999999999999E-2</v>
      </c>
      <c r="G261" s="15">
        <v>0.74870000000000003</v>
      </c>
      <c r="H261" s="15">
        <v>0.16220000000000001</v>
      </c>
      <c r="I261" s="15">
        <v>4.1200000000000001E-2</v>
      </c>
      <c r="J261" s="15">
        <v>3.936893203883495</v>
      </c>
    </row>
    <row r="262" spans="1:10" x14ac:dyDescent="0.25">
      <c r="A262" s="2" t="s">
        <v>782</v>
      </c>
      <c r="B262" s="2" t="s">
        <v>783</v>
      </c>
      <c r="C262" s="2" t="s">
        <v>784</v>
      </c>
      <c r="D262" s="2" t="s">
        <v>10040</v>
      </c>
      <c r="E262" s="15">
        <v>0.13350000000000001</v>
      </c>
      <c r="F262" s="15">
        <v>8.43E-2</v>
      </c>
      <c r="G262" s="15">
        <v>0.1133</v>
      </c>
      <c r="H262" s="15">
        <v>0.16830000000000001</v>
      </c>
      <c r="I262" s="15">
        <v>4.02E-2</v>
      </c>
      <c r="J262" s="15">
        <v>4.1865671641791042</v>
      </c>
    </row>
    <row r="263" spans="1:10" x14ac:dyDescent="0.25">
      <c r="A263" s="2" t="s">
        <v>785</v>
      </c>
      <c r="B263" s="2" t="s">
        <v>786</v>
      </c>
      <c r="C263" s="2" t="s">
        <v>787</v>
      </c>
      <c r="D263" s="2" t="s">
        <v>10040</v>
      </c>
      <c r="E263" s="15">
        <v>0.1123</v>
      </c>
      <c r="F263" s="15">
        <v>0.11020000000000001</v>
      </c>
      <c r="G263" s="15">
        <v>0.3085</v>
      </c>
      <c r="H263" s="15">
        <v>0.10249999999999999</v>
      </c>
      <c r="I263" s="15">
        <v>3.9800000000000002E-2</v>
      </c>
      <c r="J263" s="15">
        <v>2.5753768844221101</v>
      </c>
    </row>
    <row r="264" spans="1:10" x14ac:dyDescent="0.25">
      <c r="A264" s="2" t="s">
        <v>788</v>
      </c>
      <c r="B264" s="2" t="s">
        <v>789</v>
      </c>
      <c r="C264" s="2" t="s">
        <v>790</v>
      </c>
      <c r="D264" s="2" t="s">
        <v>10040</v>
      </c>
      <c r="E264" s="15">
        <v>0.1216</v>
      </c>
      <c r="F264" s="15">
        <v>6.9000000000000006E-2</v>
      </c>
      <c r="G264" s="15">
        <v>7.8200000000000006E-2</v>
      </c>
      <c r="H264" s="15">
        <v>0.2341</v>
      </c>
      <c r="I264" s="15">
        <v>4.6899999999999997E-2</v>
      </c>
      <c r="J264" s="15">
        <v>4.9914712153518126</v>
      </c>
    </row>
    <row r="265" spans="1:10" x14ac:dyDescent="0.25">
      <c r="A265" s="2" t="s">
        <v>791</v>
      </c>
      <c r="B265" s="2" t="s">
        <v>792</v>
      </c>
      <c r="C265" s="2" t="s">
        <v>793</v>
      </c>
      <c r="D265" s="2" t="s">
        <v>10040</v>
      </c>
      <c r="E265" s="15">
        <v>0.17730000000000001</v>
      </c>
      <c r="F265" s="15">
        <v>7.8E-2</v>
      </c>
      <c r="G265" s="15">
        <v>2.29E-2</v>
      </c>
      <c r="H265" s="15">
        <v>0.22040000000000001</v>
      </c>
      <c r="I265" s="15">
        <v>4.53E-2</v>
      </c>
      <c r="J265" s="15">
        <v>4.8653421633554084</v>
      </c>
    </row>
    <row r="266" spans="1:10" x14ac:dyDescent="0.25">
      <c r="A266" s="2" t="s">
        <v>794</v>
      </c>
      <c r="B266" s="2" t="s">
        <v>795</v>
      </c>
      <c r="C266" s="2" t="s">
        <v>796</v>
      </c>
      <c r="D266" s="2" t="s">
        <v>10040</v>
      </c>
      <c r="E266" s="15">
        <v>0.13930000000000001</v>
      </c>
      <c r="F266" s="15">
        <v>7.0099999999999996E-2</v>
      </c>
      <c r="G266" s="15">
        <v>4.7100000000000003E-2</v>
      </c>
      <c r="H266" s="15">
        <v>0.25729999999999997</v>
      </c>
      <c r="I266" s="15">
        <v>4.7100000000000003E-2</v>
      </c>
      <c r="J266" s="15">
        <v>5.4628450106157107</v>
      </c>
    </row>
    <row r="267" spans="1:10" x14ac:dyDescent="0.25">
      <c r="A267" s="2" t="s">
        <v>797</v>
      </c>
      <c r="B267" s="2" t="s">
        <v>798</v>
      </c>
      <c r="C267" s="2" t="s">
        <v>799</v>
      </c>
      <c r="D267" s="2" t="s">
        <v>10040</v>
      </c>
      <c r="E267" s="15">
        <v>5.3699999999999998E-2</v>
      </c>
      <c r="F267" s="15">
        <v>6.8500000000000005E-2</v>
      </c>
      <c r="G267" s="15">
        <v>0.43319999999999997</v>
      </c>
      <c r="H267" s="15">
        <v>0.24640000000000001</v>
      </c>
      <c r="I267" s="15">
        <v>4.8599999999999997E-2</v>
      </c>
      <c r="J267" s="15">
        <v>5.0699588477366264</v>
      </c>
    </row>
    <row r="268" spans="1:10" x14ac:dyDescent="0.25">
      <c r="A268" s="2" t="s">
        <v>800</v>
      </c>
      <c r="B268" s="2" t="s">
        <v>801</v>
      </c>
      <c r="C268" s="2" t="s">
        <v>802</v>
      </c>
      <c r="D268" s="2" t="s">
        <v>10040</v>
      </c>
      <c r="E268" s="15">
        <v>6.9699999999999998E-2</v>
      </c>
      <c r="F268" s="15">
        <v>7.7600000000000002E-2</v>
      </c>
      <c r="G268" s="15">
        <v>0.36890000000000001</v>
      </c>
      <c r="H268" s="15">
        <v>0.24640000000000001</v>
      </c>
      <c r="I268" s="15">
        <v>5.0799999999999998E-2</v>
      </c>
      <c r="J268" s="15">
        <v>4.8503937007874018</v>
      </c>
    </row>
    <row r="269" spans="1:10" x14ac:dyDescent="0.25">
      <c r="A269" s="2" t="s">
        <v>803</v>
      </c>
      <c r="B269" s="2" t="s">
        <v>804</v>
      </c>
      <c r="C269" s="2" t="s">
        <v>805</v>
      </c>
      <c r="D269" s="2" t="s">
        <v>10040</v>
      </c>
      <c r="E269" s="15">
        <v>9.2299999999999993E-2</v>
      </c>
      <c r="F269" s="15">
        <v>6.7400000000000002E-2</v>
      </c>
      <c r="G269" s="15">
        <v>0.1714</v>
      </c>
      <c r="H269" s="15">
        <v>0.24660000000000001</v>
      </c>
      <c r="I269" s="15">
        <v>4.7E-2</v>
      </c>
      <c r="J269" s="15">
        <v>5.2468085106382976</v>
      </c>
    </row>
    <row r="270" spans="1:10" x14ac:dyDescent="0.25">
      <c r="A270" s="2" t="s">
        <v>806</v>
      </c>
      <c r="B270" s="2" t="s">
        <v>807</v>
      </c>
      <c r="C270" s="2" t="s">
        <v>808</v>
      </c>
      <c r="D270" s="2" t="s">
        <v>10040</v>
      </c>
      <c r="E270" s="15">
        <v>0.1159</v>
      </c>
      <c r="F270" s="15">
        <v>6.8099999999999994E-2</v>
      </c>
      <c r="G270" s="15">
        <v>8.8700000000000001E-2</v>
      </c>
      <c r="H270" s="15">
        <v>0.24030000000000001</v>
      </c>
      <c r="I270" s="15">
        <v>4.5199999999999997E-2</v>
      </c>
      <c r="J270" s="15">
        <v>5.3163716814159301</v>
      </c>
    </row>
    <row r="271" spans="1:10" x14ac:dyDescent="0.25">
      <c r="A271" s="2" t="s">
        <v>809</v>
      </c>
      <c r="B271" s="2" t="s">
        <v>810</v>
      </c>
      <c r="C271" s="2" t="s">
        <v>811</v>
      </c>
      <c r="D271" s="2" t="s">
        <v>10040</v>
      </c>
      <c r="E271" s="15">
        <v>0.13039999999999999</v>
      </c>
      <c r="F271" s="15">
        <v>7.3800000000000004E-2</v>
      </c>
      <c r="G271" s="15">
        <v>7.7200000000000005E-2</v>
      </c>
      <c r="H271" s="15">
        <v>0.24340000000000001</v>
      </c>
      <c r="I271" s="15">
        <v>4.4900000000000002E-2</v>
      </c>
      <c r="J271" s="15">
        <v>5.4209354120267257</v>
      </c>
    </row>
    <row r="272" spans="1:10" x14ac:dyDescent="0.25">
      <c r="A272" s="2" t="s">
        <v>812</v>
      </c>
      <c r="B272" s="2" t="s">
        <v>813</v>
      </c>
      <c r="C272" s="2" t="s">
        <v>814</v>
      </c>
      <c r="D272" s="2" t="s">
        <v>10040</v>
      </c>
      <c r="E272" s="15">
        <v>0.1666</v>
      </c>
      <c r="F272" s="15">
        <v>7.9899999999999999E-2</v>
      </c>
      <c r="G272" s="15">
        <v>3.6999999999999998E-2</v>
      </c>
      <c r="H272" s="15">
        <v>0.1676</v>
      </c>
      <c r="I272" s="15">
        <v>4.1799999999999997E-2</v>
      </c>
      <c r="J272" s="15">
        <v>4.0095693779904309</v>
      </c>
    </row>
    <row r="273" spans="1:10" x14ac:dyDescent="0.25">
      <c r="A273" s="2" t="s">
        <v>815</v>
      </c>
      <c r="B273" s="2" t="s">
        <v>816</v>
      </c>
      <c r="C273" s="2" t="s">
        <v>817</v>
      </c>
      <c r="D273" s="2" t="s">
        <v>10040</v>
      </c>
      <c r="E273" s="15">
        <v>0.1038</v>
      </c>
      <c r="F273" s="15">
        <v>6.8099999999999994E-2</v>
      </c>
      <c r="G273" s="15">
        <v>0.12759999999999999</v>
      </c>
      <c r="H273" s="15">
        <v>0.24149999999999999</v>
      </c>
      <c r="I273" s="15">
        <v>5.11E-2</v>
      </c>
      <c r="J273" s="15">
        <v>4.7260273972602738</v>
      </c>
    </row>
    <row r="274" spans="1:10" x14ac:dyDescent="0.25">
      <c r="A274" s="2" t="s">
        <v>818</v>
      </c>
      <c r="B274" s="2" t="s">
        <v>819</v>
      </c>
      <c r="C274" s="2" t="s">
        <v>820</v>
      </c>
      <c r="D274" s="2" t="s">
        <v>10040</v>
      </c>
      <c r="E274" s="15">
        <v>6.08E-2</v>
      </c>
      <c r="F274" s="15">
        <v>7.2999999999999995E-2</v>
      </c>
      <c r="G274" s="15">
        <v>0.4052</v>
      </c>
      <c r="H274" s="15">
        <v>0.1913</v>
      </c>
      <c r="I274" s="15">
        <v>4.3299999999999998E-2</v>
      </c>
      <c r="J274" s="15">
        <v>4.4180138568129328</v>
      </c>
    </row>
    <row r="275" spans="1:10" x14ac:dyDescent="0.25">
      <c r="A275" s="2" t="s">
        <v>821</v>
      </c>
      <c r="B275" s="2" t="s">
        <v>822</v>
      </c>
      <c r="C275" s="2" t="s">
        <v>823</v>
      </c>
      <c r="D275" s="2" t="s">
        <v>10040</v>
      </c>
      <c r="E275" s="15">
        <v>0.1103</v>
      </c>
      <c r="F275" s="15">
        <v>8.8200000000000001E-2</v>
      </c>
      <c r="G275" s="15">
        <v>0.2112</v>
      </c>
      <c r="H275" s="15">
        <v>0.14649999999999999</v>
      </c>
      <c r="I275" s="15">
        <v>4.1200000000000001E-2</v>
      </c>
      <c r="J275" s="15">
        <v>3.5558252427184458</v>
      </c>
    </row>
    <row r="276" spans="1:10" x14ac:dyDescent="0.25">
      <c r="A276" s="2" t="s">
        <v>824</v>
      </c>
      <c r="B276" s="2" t="s">
        <v>825</v>
      </c>
      <c r="C276" s="2" t="s">
        <v>826</v>
      </c>
      <c r="D276" s="2" t="s">
        <v>10040</v>
      </c>
      <c r="E276" s="15">
        <v>0.16059999999999999</v>
      </c>
      <c r="F276" s="15">
        <v>8.3699999999999997E-2</v>
      </c>
      <c r="G276" s="15">
        <v>5.5100000000000003E-2</v>
      </c>
      <c r="H276" s="15">
        <v>0.16500000000000001</v>
      </c>
      <c r="I276" s="15">
        <v>4.6899999999999997E-2</v>
      </c>
      <c r="J276" s="15">
        <v>3.5181236673773988</v>
      </c>
    </row>
    <row r="277" spans="1:10" x14ac:dyDescent="0.25">
      <c r="A277" s="2" t="s">
        <v>827</v>
      </c>
      <c r="B277" s="2" t="s">
        <v>828</v>
      </c>
      <c r="C277" s="2" t="s">
        <v>829</v>
      </c>
      <c r="D277" s="2" t="s">
        <v>10040</v>
      </c>
      <c r="E277" s="15">
        <v>6.2100000000000002E-2</v>
      </c>
      <c r="F277" s="15">
        <v>8.6800000000000002E-2</v>
      </c>
      <c r="G277" s="15">
        <v>0.47410000000000002</v>
      </c>
      <c r="H277" s="15">
        <v>0.15989999999999999</v>
      </c>
      <c r="I277" s="15">
        <v>4.41E-2</v>
      </c>
      <c r="J277" s="15">
        <v>3.6258503401360538</v>
      </c>
    </row>
    <row r="278" spans="1:10" x14ac:dyDescent="0.25">
      <c r="A278" s="2" t="s">
        <v>830</v>
      </c>
      <c r="B278" s="2" t="s">
        <v>831</v>
      </c>
      <c r="C278" s="2" t="s">
        <v>832</v>
      </c>
      <c r="D278" s="2" t="s">
        <v>10040</v>
      </c>
      <c r="E278" s="15">
        <v>5.9200000000000003E-2</v>
      </c>
      <c r="F278" s="15">
        <v>7.6200000000000004E-2</v>
      </c>
      <c r="G278" s="15">
        <v>0.43730000000000002</v>
      </c>
      <c r="H278" s="15">
        <v>0.23119999999999999</v>
      </c>
      <c r="I278" s="15">
        <v>4.1799999999999997E-2</v>
      </c>
      <c r="J278" s="15">
        <v>5.5311004784689004</v>
      </c>
    </row>
    <row r="279" spans="1:10" x14ac:dyDescent="0.25">
      <c r="A279" s="2" t="s">
        <v>833</v>
      </c>
      <c r="B279" s="2" t="s">
        <v>834</v>
      </c>
      <c r="C279" s="2" t="s">
        <v>835</v>
      </c>
      <c r="D279" s="2" t="s">
        <v>10040</v>
      </c>
      <c r="E279" s="15">
        <v>0.1017</v>
      </c>
      <c r="F279" s="15">
        <v>6.2399999999999997E-2</v>
      </c>
      <c r="G279" s="15">
        <v>0.10299999999999999</v>
      </c>
      <c r="H279" s="15">
        <v>0.18870000000000001</v>
      </c>
      <c r="I279" s="15">
        <v>4.7800000000000002E-2</v>
      </c>
      <c r="J279" s="15">
        <v>3.947698744769875</v>
      </c>
    </row>
    <row r="280" spans="1:10" x14ac:dyDescent="0.25">
      <c r="A280" s="2" t="s">
        <v>836</v>
      </c>
      <c r="B280" s="2" t="s">
        <v>837</v>
      </c>
      <c r="C280" s="2" t="s">
        <v>838</v>
      </c>
      <c r="D280" s="2" t="s">
        <v>10040</v>
      </c>
      <c r="E280" s="15">
        <v>5.4000000000000003E-3</v>
      </c>
      <c r="F280" s="15">
        <v>6.9800000000000001E-2</v>
      </c>
      <c r="G280" s="15">
        <v>0.93779999999999997</v>
      </c>
      <c r="H280" s="15">
        <v>0.21729999999999999</v>
      </c>
      <c r="I280" s="15">
        <v>4.2099999999999999E-2</v>
      </c>
      <c r="J280" s="15">
        <v>5.1615201900237526</v>
      </c>
    </row>
    <row r="281" spans="1:10" x14ac:dyDescent="0.25">
      <c r="A281" s="2" t="s">
        <v>839</v>
      </c>
      <c r="B281" s="2" t="s">
        <v>840</v>
      </c>
      <c r="C281" s="2" t="s">
        <v>841</v>
      </c>
      <c r="D281" s="2" t="s">
        <v>10040</v>
      </c>
      <c r="E281" s="15">
        <v>6.8099999999999994E-2</v>
      </c>
      <c r="F281" s="15">
        <v>7.7499999999999999E-2</v>
      </c>
      <c r="G281" s="15">
        <v>0.37909999999999999</v>
      </c>
      <c r="H281" s="15">
        <v>0.22</v>
      </c>
      <c r="I281" s="15">
        <v>4.3099999999999999E-2</v>
      </c>
      <c r="J281" s="15">
        <v>5.1044083526682131</v>
      </c>
    </row>
    <row r="282" spans="1:10" x14ac:dyDescent="0.25">
      <c r="A282" s="2" t="s">
        <v>842</v>
      </c>
      <c r="B282" s="2" t="s">
        <v>843</v>
      </c>
      <c r="C282" s="2" t="s">
        <v>844</v>
      </c>
      <c r="D282" s="2" t="s">
        <v>10040</v>
      </c>
      <c r="E282" s="15">
        <v>4.0099999999999997E-2</v>
      </c>
      <c r="F282" s="15">
        <v>6.8900000000000003E-2</v>
      </c>
      <c r="G282" s="15">
        <v>0.56020000000000003</v>
      </c>
      <c r="H282" s="15">
        <v>0.23089999999999999</v>
      </c>
      <c r="I282" s="15">
        <v>4.3299999999999998E-2</v>
      </c>
      <c r="J282" s="15">
        <v>5.3325635103926086</v>
      </c>
    </row>
    <row r="283" spans="1:10" x14ac:dyDescent="0.25">
      <c r="A283" s="2" t="s">
        <v>845</v>
      </c>
      <c r="B283" s="2" t="s">
        <v>846</v>
      </c>
      <c r="C283" s="2" t="s">
        <v>847</v>
      </c>
      <c r="D283" s="2" t="s">
        <v>10040</v>
      </c>
      <c r="E283" s="15">
        <v>-1.06E-2</v>
      </c>
      <c r="F283" s="15">
        <v>8.3400000000000002E-2</v>
      </c>
      <c r="G283" s="15">
        <v>0.89839999999999998</v>
      </c>
      <c r="H283" s="15">
        <v>0.155</v>
      </c>
      <c r="I283" s="15">
        <v>4.1500000000000002E-2</v>
      </c>
      <c r="J283" s="15">
        <v>3.7349397590361439</v>
      </c>
    </row>
    <row r="284" spans="1:10" x14ac:dyDescent="0.25">
      <c r="A284" s="2" t="s">
        <v>848</v>
      </c>
      <c r="B284" s="2" t="s">
        <v>849</v>
      </c>
      <c r="C284" s="2" t="s">
        <v>850</v>
      </c>
      <c r="D284" s="2" t="s">
        <v>10040</v>
      </c>
      <c r="E284" s="15">
        <v>2.2100000000000002E-2</v>
      </c>
      <c r="F284" s="15">
        <v>8.5800000000000001E-2</v>
      </c>
      <c r="G284" s="15">
        <v>0.79720000000000002</v>
      </c>
      <c r="H284" s="15">
        <v>0.15679999999999999</v>
      </c>
      <c r="I284" s="15">
        <v>3.7400000000000003E-2</v>
      </c>
      <c r="J284" s="15">
        <v>4.1925133689839571</v>
      </c>
    </row>
    <row r="285" spans="1:10" x14ac:dyDescent="0.25">
      <c r="A285" s="2" t="s">
        <v>851</v>
      </c>
      <c r="B285" s="2" t="s">
        <v>852</v>
      </c>
      <c r="C285" s="2" t="s">
        <v>853</v>
      </c>
      <c r="D285" s="2" t="s">
        <v>10040</v>
      </c>
      <c r="E285" s="15">
        <v>-7.1900000000000006E-2</v>
      </c>
      <c r="F285" s="15">
        <v>8.4900000000000003E-2</v>
      </c>
      <c r="G285" s="15">
        <v>0.3967</v>
      </c>
      <c r="H285" s="15">
        <v>0.14299999999999999</v>
      </c>
      <c r="I285" s="15">
        <v>4.2900000000000001E-2</v>
      </c>
      <c r="J285" s="15">
        <v>3.333333333333333</v>
      </c>
    </row>
    <row r="286" spans="1:10" x14ac:dyDescent="0.25">
      <c r="A286" s="2" t="s">
        <v>854</v>
      </c>
      <c r="B286" s="2" t="s">
        <v>855</v>
      </c>
      <c r="C286" s="2" t="s">
        <v>856</v>
      </c>
      <c r="D286" s="2" t="s">
        <v>10040</v>
      </c>
      <c r="E286" s="15">
        <v>7.1099999999999997E-2</v>
      </c>
      <c r="F286" s="15">
        <v>6.8199999999999997E-2</v>
      </c>
      <c r="G286" s="15">
        <v>0.29759999999999998</v>
      </c>
      <c r="H286" s="15">
        <v>0.27660000000000001</v>
      </c>
      <c r="I286" s="15">
        <v>0.05</v>
      </c>
      <c r="J286" s="15">
        <v>5.532</v>
      </c>
    </row>
    <row r="287" spans="1:10" x14ac:dyDescent="0.25">
      <c r="A287" s="2" t="s">
        <v>857</v>
      </c>
      <c r="B287" s="2" t="s">
        <v>858</v>
      </c>
      <c r="C287" s="2" t="s">
        <v>859</v>
      </c>
      <c r="D287" s="2" t="s">
        <v>10040</v>
      </c>
      <c r="E287" s="15">
        <v>0.11310000000000001</v>
      </c>
      <c r="F287" s="15">
        <v>6.8400000000000002E-2</v>
      </c>
      <c r="G287" s="15">
        <v>9.8500000000000004E-2</v>
      </c>
      <c r="H287" s="15">
        <v>0.25140000000000001</v>
      </c>
      <c r="I287" s="15">
        <v>5.0799999999999998E-2</v>
      </c>
      <c r="J287" s="15">
        <v>4.9488188976377954</v>
      </c>
    </row>
    <row r="288" spans="1:10" x14ac:dyDescent="0.25">
      <c r="A288" s="2" t="s">
        <v>860</v>
      </c>
      <c r="B288" s="2" t="s">
        <v>861</v>
      </c>
      <c r="C288" s="2" t="s">
        <v>862</v>
      </c>
      <c r="D288" s="2" t="s">
        <v>10040</v>
      </c>
      <c r="E288" s="15">
        <v>9.7500000000000003E-2</v>
      </c>
      <c r="F288" s="15">
        <v>6.4899999999999999E-2</v>
      </c>
      <c r="G288" s="15">
        <v>0.1331</v>
      </c>
      <c r="H288" s="15">
        <v>0.28460000000000002</v>
      </c>
      <c r="I288" s="15">
        <v>5.1900000000000002E-2</v>
      </c>
      <c r="J288" s="15">
        <v>5.4836223506743744</v>
      </c>
    </row>
    <row r="289" spans="1:10" x14ac:dyDescent="0.25">
      <c r="A289" s="2" t="s">
        <v>863</v>
      </c>
      <c r="B289" s="2" t="s">
        <v>864</v>
      </c>
      <c r="C289" s="2" t="s">
        <v>865</v>
      </c>
      <c r="D289" s="2" t="s">
        <v>10040</v>
      </c>
      <c r="E289" s="15">
        <v>1.55E-2</v>
      </c>
      <c r="F289" s="15">
        <v>7.6700000000000004E-2</v>
      </c>
      <c r="G289" s="15">
        <v>0.83950000000000002</v>
      </c>
      <c r="H289" s="15">
        <v>0.19939999999999999</v>
      </c>
      <c r="I289" s="15">
        <v>3.8600000000000002E-2</v>
      </c>
      <c r="J289" s="15">
        <v>5.1658031088082899</v>
      </c>
    </row>
    <row r="290" spans="1:10" x14ac:dyDescent="0.25">
      <c r="A290" s="2" t="s">
        <v>866</v>
      </c>
      <c r="B290" s="2" t="s">
        <v>867</v>
      </c>
      <c r="C290" s="2" t="s">
        <v>868</v>
      </c>
      <c r="D290" s="2" t="s">
        <v>10040</v>
      </c>
      <c r="E290" s="15">
        <v>0.1249</v>
      </c>
      <c r="F290" s="15">
        <v>7.3999999999999996E-2</v>
      </c>
      <c r="G290" s="15">
        <v>9.1200000000000003E-2</v>
      </c>
      <c r="H290" s="15">
        <v>0.2268</v>
      </c>
      <c r="I290" s="15">
        <v>4.2200000000000001E-2</v>
      </c>
      <c r="J290" s="15">
        <v>5.3744075829383888</v>
      </c>
    </row>
    <row r="291" spans="1:10" x14ac:dyDescent="0.25">
      <c r="A291" s="2" t="s">
        <v>869</v>
      </c>
      <c r="B291" s="2" t="s">
        <v>870</v>
      </c>
      <c r="C291" s="2" t="s">
        <v>871</v>
      </c>
      <c r="D291" s="2" t="s">
        <v>10040</v>
      </c>
      <c r="E291" s="15">
        <v>4.9700000000000001E-2</v>
      </c>
      <c r="F291" s="15">
        <v>6.2899999999999998E-2</v>
      </c>
      <c r="G291" s="15">
        <v>0.42920000000000003</v>
      </c>
      <c r="H291" s="15">
        <v>0.25609999999999999</v>
      </c>
      <c r="I291" s="15">
        <v>3.6900000000000002E-2</v>
      </c>
      <c r="J291" s="15">
        <v>6.9403794037940374</v>
      </c>
    </row>
    <row r="292" spans="1:10" x14ac:dyDescent="0.25">
      <c r="A292" s="2" t="s">
        <v>872</v>
      </c>
      <c r="B292" s="2" t="s">
        <v>873</v>
      </c>
      <c r="C292" s="2" t="s">
        <v>874</v>
      </c>
      <c r="D292" s="2" t="s">
        <v>10040</v>
      </c>
      <c r="E292" s="15">
        <v>3.5499999999999997E-2</v>
      </c>
      <c r="F292" s="15">
        <v>6.9000000000000006E-2</v>
      </c>
      <c r="G292" s="15">
        <v>0.60619999999999996</v>
      </c>
      <c r="H292" s="15">
        <v>0.22020000000000001</v>
      </c>
      <c r="I292" s="15">
        <v>4.2000000000000003E-2</v>
      </c>
      <c r="J292" s="15">
        <v>5.2428571428571429</v>
      </c>
    </row>
    <row r="293" spans="1:10" x14ac:dyDescent="0.25">
      <c r="A293" s="2" t="s">
        <v>875</v>
      </c>
      <c r="B293" s="2" t="s">
        <v>876</v>
      </c>
      <c r="C293" s="2" t="s">
        <v>877</v>
      </c>
      <c r="D293" s="2" t="s">
        <v>10040</v>
      </c>
      <c r="E293" s="15">
        <v>-3.6600000000000001E-2</v>
      </c>
      <c r="F293" s="15">
        <v>0.1082</v>
      </c>
      <c r="G293" s="15">
        <v>0.73550000000000004</v>
      </c>
      <c r="H293" s="15">
        <v>8.8800000000000004E-2</v>
      </c>
      <c r="I293" s="15">
        <v>4.0399999999999998E-2</v>
      </c>
      <c r="J293" s="15">
        <v>2.1980198019801982</v>
      </c>
    </row>
    <row r="294" spans="1:10" x14ac:dyDescent="0.25">
      <c r="A294" s="2" t="s">
        <v>878</v>
      </c>
      <c r="B294" s="2" t="s">
        <v>879</v>
      </c>
      <c r="C294" s="2" t="s">
        <v>880</v>
      </c>
      <c r="D294" s="2" t="s">
        <v>10040</v>
      </c>
      <c r="E294" s="15">
        <v>-2.3999999999999998E-3</v>
      </c>
      <c r="F294" s="15">
        <v>6.8599999999999994E-2</v>
      </c>
      <c r="G294" s="15">
        <v>0.97260000000000002</v>
      </c>
      <c r="H294" s="15">
        <v>0.21479999999999999</v>
      </c>
      <c r="I294" s="15">
        <v>4.5199999999999997E-2</v>
      </c>
      <c r="J294" s="15">
        <v>4.7522123893805306</v>
      </c>
    </row>
    <row r="295" spans="1:10" x14ac:dyDescent="0.25">
      <c r="A295" s="2" t="s">
        <v>881</v>
      </c>
      <c r="B295" s="2" t="s">
        <v>882</v>
      </c>
      <c r="C295" s="2" t="s">
        <v>883</v>
      </c>
      <c r="D295" s="2" t="s">
        <v>10040</v>
      </c>
      <c r="E295" s="15">
        <v>7.0699999999999999E-2</v>
      </c>
      <c r="F295" s="15">
        <v>7.1900000000000006E-2</v>
      </c>
      <c r="G295" s="15">
        <v>0.32500000000000001</v>
      </c>
      <c r="H295" s="15">
        <v>0.24079999999999999</v>
      </c>
      <c r="I295" s="15">
        <v>4.6100000000000002E-2</v>
      </c>
      <c r="J295" s="15">
        <v>5.2234273318872013</v>
      </c>
    </row>
    <row r="296" spans="1:10" x14ac:dyDescent="0.25">
      <c r="A296" s="2" t="s">
        <v>884</v>
      </c>
      <c r="B296" s="2" t="s">
        <v>885</v>
      </c>
      <c r="C296" s="2" t="s">
        <v>886</v>
      </c>
      <c r="D296" s="2" t="s">
        <v>10040</v>
      </c>
      <c r="E296" s="15">
        <v>6.3399999999999998E-2</v>
      </c>
      <c r="F296" s="15">
        <v>6.2700000000000006E-2</v>
      </c>
      <c r="G296" s="15">
        <v>0.31130000000000002</v>
      </c>
      <c r="H296" s="15">
        <v>0.29239999999999999</v>
      </c>
      <c r="I296" s="15">
        <v>4.6399999999999997E-2</v>
      </c>
      <c r="J296" s="15">
        <v>6.3017241379310347</v>
      </c>
    </row>
    <row r="297" spans="1:10" x14ac:dyDescent="0.25">
      <c r="A297" s="2" t="s">
        <v>887</v>
      </c>
      <c r="B297" s="2" t="s">
        <v>888</v>
      </c>
      <c r="C297" s="2" t="s">
        <v>889</v>
      </c>
      <c r="D297" s="2" t="s">
        <v>10040</v>
      </c>
      <c r="E297" s="15">
        <v>6.3899999999999998E-2</v>
      </c>
      <c r="F297" s="15">
        <v>8.0299999999999996E-2</v>
      </c>
      <c r="G297" s="15">
        <v>0.42630000000000001</v>
      </c>
      <c r="H297" s="15">
        <v>0.1661</v>
      </c>
      <c r="I297" s="15">
        <v>3.6900000000000002E-2</v>
      </c>
      <c r="J297" s="15">
        <v>4.5013550135501346</v>
      </c>
    </row>
    <row r="298" spans="1:10" x14ac:dyDescent="0.25">
      <c r="A298" s="2" t="s">
        <v>890</v>
      </c>
      <c r="B298" s="2" t="s">
        <v>891</v>
      </c>
      <c r="C298" s="2" t="s">
        <v>892</v>
      </c>
      <c r="D298" s="2" t="s">
        <v>10040</v>
      </c>
      <c r="E298" s="15">
        <v>0.1094</v>
      </c>
      <c r="F298" s="15">
        <v>6.2100000000000002E-2</v>
      </c>
      <c r="G298" s="15">
        <v>7.8299999999999995E-2</v>
      </c>
      <c r="H298" s="15">
        <v>0.2336</v>
      </c>
      <c r="I298" s="15">
        <v>4.0899999999999999E-2</v>
      </c>
      <c r="J298" s="15">
        <v>5.7114914425427878</v>
      </c>
    </row>
    <row r="299" spans="1:10" x14ac:dyDescent="0.25">
      <c r="A299" s="2" t="s">
        <v>893</v>
      </c>
      <c r="B299" s="2" t="s">
        <v>894</v>
      </c>
      <c r="C299" s="2" t="s">
        <v>895</v>
      </c>
      <c r="D299" s="2" t="s">
        <v>10040</v>
      </c>
      <c r="E299" s="15">
        <v>2.1499999999999998E-2</v>
      </c>
      <c r="F299" s="15">
        <v>7.5800000000000006E-2</v>
      </c>
      <c r="G299" s="15">
        <v>0.7762</v>
      </c>
      <c r="H299" s="15">
        <v>0.1671</v>
      </c>
      <c r="I299" s="15">
        <v>4.9299999999999997E-2</v>
      </c>
      <c r="J299" s="15">
        <v>3.3894523326572008</v>
      </c>
    </row>
    <row r="300" spans="1:10" x14ac:dyDescent="0.25">
      <c r="A300" s="2" t="s">
        <v>896</v>
      </c>
      <c r="B300" s="2" t="s">
        <v>897</v>
      </c>
      <c r="C300" s="2" t="s">
        <v>898</v>
      </c>
      <c r="D300" s="2" t="s">
        <v>10040</v>
      </c>
      <c r="E300" s="15">
        <v>6.7000000000000004E-2</v>
      </c>
      <c r="F300" s="15">
        <v>8.0799999999999997E-2</v>
      </c>
      <c r="G300" s="15">
        <v>0.40689999999999998</v>
      </c>
      <c r="H300" s="15">
        <v>0.19209999999999999</v>
      </c>
      <c r="I300" s="15">
        <v>4.6199999999999998E-2</v>
      </c>
      <c r="J300" s="15">
        <v>4.1580086580086579</v>
      </c>
    </row>
    <row r="301" spans="1:10" x14ac:dyDescent="0.25">
      <c r="A301" s="2" t="s">
        <v>899</v>
      </c>
      <c r="B301" s="2" t="s">
        <v>900</v>
      </c>
      <c r="C301" s="2" t="s">
        <v>901</v>
      </c>
      <c r="D301" s="2" t="s">
        <v>10040</v>
      </c>
      <c r="E301" s="15">
        <v>0.1153</v>
      </c>
      <c r="F301" s="15">
        <v>6.83E-2</v>
      </c>
      <c r="G301" s="15">
        <v>9.0999999999999998E-2</v>
      </c>
      <c r="H301" s="15">
        <v>0.22509999999999999</v>
      </c>
      <c r="I301" s="15">
        <v>4.2799999999999998E-2</v>
      </c>
      <c r="J301" s="15">
        <v>5.2593457943925239</v>
      </c>
    </row>
    <row r="302" spans="1:10" x14ac:dyDescent="0.25">
      <c r="A302" s="2" t="s">
        <v>902</v>
      </c>
      <c r="B302" s="2" t="s">
        <v>903</v>
      </c>
      <c r="C302" s="2" t="s">
        <v>904</v>
      </c>
      <c r="D302" s="2" t="s">
        <v>10040</v>
      </c>
      <c r="E302" s="15">
        <v>7.5300000000000006E-2</v>
      </c>
      <c r="F302" s="15">
        <v>7.0900000000000005E-2</v>
      </c>
      <c r="G302" s="15">
        <v>0.28870000000000001</v>
      </c>
      <c r="H302" s="15">
        <v>0.2268</v>
      </c>
      <c r="I302" s="15">
        <v>4.4299999999999999E-2</v>
      </c>
      <c r="J302" s="15">
        <v>5.1196388261851018</v>
      </c>
    </row>
    <row r="303" spans="1:10" x14ac:dyDescent="0.25">
      <c r="A303" s="2" t="s">
        <v>905</v>
      </c>
      <c r="B303" s="2" t="s">
        <v>906</v>
      </c>
      <c r="C303" s="2" t="s">
        <v>907</v>
      </c>
      <c r="D303" s="2" t="s">
        <v>10040</v>
      </c>
      <c r="E303" s="15">
        <v>8.9200000000000002E-2</v>
      </c>
      <c r="F303" s="15">
        <v>6.0299999999999999E-2</v>
      </c>
      <c r="G303" s="15">
        <v>0.13919999999999999</v>
      </c>
      <c r="H303" s="15">
        <v>0.29409999999999997</v>
      </c>
      <c r="I303" s="15">
        <v>4.3999999999999997E-2</v>
      </c>
      <c r="J303" s="15">
        <v>6.6840909090909086</v>
      </c>
    </row>
    <row r="304" spans="1:10" x14ac:dyDescent="0.25">
      <c r="A304" s="2" t="s">
        <v>908</v>
      </c>
      <c r="B304" s="2" t="s">
        <v>909</v>
      </c>
      <c r="C304" s="2" t="s">
        <v>910</v>
      </c>
      <c r="D304" s="2" t="s">
        <v>10040</v>
      </c>
      <c r="E304" s="15">
        <v>-3.8600000000000002E-2</v>
      </c>
      <c r="F304" s="15">
        <v>7.6399999999999996E-2</v>
      </c>
      <c r="G304" s="15">
        <v>0.61319999999999997</v>
      </c>
      <c r="H304" s="15">
        <v>0.1855</v>
      </c>
      <c r="I304" s="15">
        <v>4.6300000000000001E-2</v>
      </c>
      <c r="J304" s="15">
        <v>4.0064794816414686</v>
      </c>
    </row>
    <row r="305" spans="1:10" x14ac:dyDescent="0.25">
      <c r="A305" s="2" t="s">
        <v>911</v>
      </c>
      <c r="B305" s="2" t="s">
        <v>912</v>
      </c>
      <c r="C305" s="2" t="s">
        <v>913</v>
      </c>
      <c r="D305" s="2" t="s">
        <v>10040</v>
      </c>
      <c r="E305" s="15">
        <v>2.7300000000000001E-2</v>
      </c>
      <c r="F305" s="15">
        <v>7.7600000000000002E-2</v>
      </c>
      <c r="G305" s="15">
        <v>0.72460000000000002</v>
      </c>
      <c r="H305" s="15">
        <v>0.1956</v>
      </c>
      <c r="I305" s="15">
        <v>4.6699999999999998E-2</v>
      </c>
      <c r="J305" s="15">
        <v>4.1884368308351174</v>
      </c>
    </row>
    <row r="306" spans="1:10" x14ac:dyDescent="0.25">
      <c r="A306" s="2" t="s">
        <v>914</v>
      </c>
      <c r="B306" s="2" t="s">
        <v>915</v>
      </c>
      <c r="C306" s="2" t="s">
        <v>916</v>
      </c>
      <c r="D306" s="2" t="s">
        <v>10040</v>
      </c>
      <c r="E306" s="15">
        <v>3.5000000000000003E-2</v>
      </c>
      <c r="F306" s="15">
        <v>6.8699999999999997E-2</v>
      </c>
      <c r="G306" s="15">
        <v>0.61099999999999999</v>
      </c>
      <c r="H306" s="15">
        <v>0.26250000000000001</v>
      </c>
      <c r="I306" s="15">
        <v>4.3999999999999997E-2</v>
      </c>
      <c r="J306" s="15">
        <v>5.9659090909090917</v>
      </c>
    </row>
    <row r="307" spans="1:10" x14ac:dyDescent="0.25">
      <c r="A307" s="2" t="s">
        <v>917</v>
      </c>
      <c r="B307" s="2" t="s">
        <v>918</v>
      </c>
      <c r="C307" s="2" t="s">
        <v>919</v>
      </c>
      <c r="D307" s="2" t="s">
        <v>10040</v>
      </c>
      <c r="E307" s="15">
        <v>6.5600000000000006E-2</v>
      </c>
      <c r="F307" s="15">
        <v>8.4199999999999997E-2</v>
      </c>
      <c r="G307" s="15">
        <v>0.43609999999999999</v>
      </c>
      <c r="H307" s="15">
        <v>0.20050000000000001</v>
      </c>
      <c r="I307" s="15">
        <v>4.1300000000000003E-2</v>
      </c>
      <c r="J307" s="15">
        <v>4.8547215496368041</v>
      </c>
    </row>
    <row r="308" spans="1:10" x14ac:dyDescent="0.25">
      <c r="A308" s="2" t="s">
        <v>920</v>
      </c>
      <c r="B308" s="2" t="s">
        <v>921</v>
      </c>
      <c r="C308" s="2" t="s">
        <v>922</v>
      </c>
      <c r="D308" s="2" t="s">
        <v>10040</v>
      </c>
      <c r="E308" s="15">
        <v>2.8E-3</v>
      </c>
      <c r="F308" s="15">
        <v>7.7499999999999999E-2</v>
      </c>
      <c r="G308" s="15">
        <v>0.97170000000000001</v>
      </c>
      <c r="H308" s="15">
        <v>0.19209999999999999</v>
      </c>
      <c r="I308" s="15">
        <v>4.2200000000000001E-2</v>
      </c>
      <c r="J308" s="15">
        <v>4.5521327014218009</v>
      </c>
    </row>
    <row r="309" spans="1:10" x14ac:dyDescent="0.25">
      <c r="A309" s="2" t="s">
        <v>923</v>
      </c>
      <c r="B309" s="2" t="s">
        <v>924</v>
      </c>
      <c r="C309" s="2" t="s">
        <v>925</v>
      </c>
      <c r="D309" s="2" t="s">
        <v>10040</v>
      </c>
      <c r="E309" s="15">
        <v>7.1800000000000003E-2</v>
      </c>
      <c r="F309" s="15">
        <v>6.5799999999999997E-2</v>
      </c>
      <c r="G309" s="15">
        <v>0.27550000000000002</v>
      </c>
      <c r="H309" s="15">
        <v>0.25580000000000003</v>
      </c>
      <c r="I309" s="15">
        <v>4.0300000000000002E-2</v>
      </c>
      <c r="J309" s="15">
        <v>6.3473945409429282</v>
      </c>
    </row>
    <row r="310" spans="1:10" x14ac:dyDescent="0.25">
      <c r="A310" s="2" t="s">
        <v>926</v>
      </c>
      <c r="B310" s="2" t="s">
        <v>927</v>
      </c>
      <c r="C310" s="2" t="s">
        <v>928</v>
      </c>
      <c r="D310" s="2" t="s">
        <v>10040</v>
      </c>
      <c r="E310" s="15">
        <v>0.12429999999999999</v>
      </c>
      <c r="F310" s="15">
        <v>7.8399999999999997E-2</v>
      </c>
      <c r="G310" s="15">
        <v>0.11260000000000001</v>
      </c>
      <c r="H310" s="15">
        <v>0.1658</v>
      </c>
      <c r="I310" s="15">
        <v>4.41E-2</v>
      </c>
      <c r="J310" s="15">
        <v>3.7596371882086168</v>
      </c>
    </row>
    <row r="311" spans="1:10" x14ac:dyDescent="0.25">
      <c r="A311" s="2" t="s">
        <v>929</v>
      </c>
      <c r="B311" s="2" t="s">
        <v>930</v>
      </c>
      <c r="C311" s="2" t="s">
        <v>931</v>
      </c>
      <c r="D311" s="2" t="s">
        <v>10040</v>
      </c>
      <c r="E311" s="15">
        <v>4.7E-2</v>
      </c>
      <c r="F311" s="15">
        <v>6.54E-2</v>
      </c>
      <c r="G311" s="15">
        <v>0.4723</v>
      </c>
      <c r="H311" s="15">
        <v>0.28349999999999997</v>
      </c>
      <c r="I311" s="15">
        <v>4.58E-2</v>
      </c>
      <c r="J311" s="15">
        <v>6.1899563318777284</v>
      </c>
    </row>
    <row r="312" spans="1:10" x14ac:dyDescent="0.25">
      <c r="A312" s="2" t="s">
        <v>932</v>
      </c>
      <c r="B312" s="2" t="s">
        <v>933</v>
      </c>
      <c r="C312" s="2" t="s">
        <v>934</v>
      </c>
      <c r="D312" s="2" t="s">
        <v>10040</v>
      </c>
      <c r="E312" s="15">
        <v>-1.2999999999999999E-3</v>
      </c>
      <c r="F312" s="15">
        <v>6.0100000000000001E-2</v>
      </c>
      <c r="G312" s="15">
        <v>0.98209999999999997</v>
      </c>
      <c r="H312" s="15">
        <v>0.29349999999999998</v>
      </c>
      <c r="I312" s="15">
        <v>4.7300000000000002E-2</v>
      </c>
      <c r="J312" s="15">
        <v>6.2050739957716692</v>
      </c>
    </row>
    <row r="313" spans="1:10" x14ac:dyDescent="0.25">
      <c r="A313" s="2" t="s">
        <v>935</v>
      </c>
      <c r="B313" s="2" t="s">
        <v>936</v>
      </c>
      <c r="C313" s="2" t="s">
        <v>937</v>
      </c>
      <c r="D313" s="2" t="s">
        <v>10040</v>
      </c>
      <c r="E313" s="15">
        <v>0.11360000000000001</v>
      </c>
      <c r="F313" s="15">
        <v>8.6800000000000002E-2</v>
      </c>
      <c r="G313" s="15">
        <v>0.19040000000000001</v>
      </c>
      <c r="H313" s="15">
        <v>0.1588</v>
      </c>
      <c r="I313" s="15">
        <v>4.19E-2</v>
      </c>
      <c r="J313" s="15">
        <v>3.7899761336515509</v>
      </c>
    </row>
    <row r="314" spans="1:10" x14ac:dyDescent="0.25">
      <c r="A314" s="2" t="s">
        <v>938</v>
      </c>
      <c r="B314" s="2" t="s">
        <v>939</v>
      </c>
      <c r="C314" s="2" t="s">
        <v>940</v>
      </c>
      <c r="D314" s="2" t="s">
        <v>10040</v>
      </c>
      <c r="E314" s="15">
        <v>3.7000000000000002E-3</v>
      </c>
      <c r="F314" s="15">
        <v>8.7900000000000006E-2</v>
      </c>
      <c r="G314" s="15">
        <v>0.96619999999999995</v>
      </c>
      <c r="H314" s="15">
        <v>0.161</v>
      </c>
      <c r="I314" s="15">
        <v>4.2999999999999997E-2</v>
      </c>
      <c r="J314" s="15">
        <v>3.7441860465116279</v>
      </c>
    </row>
    <row r="315" spans="1:10" x14ac:dyDescent="0.25">
      <c r="A315" s="2" t="s">
        <v>941</v>
      </c>
      <c r="B315" s="2" t="s">
        <v>942</v>
      </c>
      <c r="C315" s="2" t="s">
        <v>943</v>
      </c>
      <c r="D315" s="2" t="s">
        <v>10040</v>
      </c>
      <c r="E315" s="15">
        <v>8.9399999999999993E-2</v>
      </c>
      <c r="F315" s="15">
        <v>6.1100000000000002E-2</v>
      </c>
      <c r="G315" s="15">
        <v>0.14380000000000001</v>
      </c>
      <c r="H315" s="15">
        <v>0.25159999999999999</v>
      </c>
      <c r="I315" s="15">
        <v>4.1599999999999998E-2</v>
      </c>
      <c r="J315" s="15">
        <v>6.0480769230769234</v>
      </c>
    </row>
    <row r="316" spans="1:10" x14ac:dyDescent="0.25">
      <c r="A316" s="2" t="s">
        <v>944</v>
      </c>
      <c r="B316" s="2" t="s">
        <v>945</v>
      </c>
      <c r="C316" s="2" t="s">
        <v>946</v>
      </c>
      <c r="D316" s="2" t="s">
        <v>10040</v>
      </c>
      <c r="E316" s="15">
        <v>4.1500000000000002E-2</v>
      </c>
      <c r="F316" s="15">
        <v>6.4299999999999996E-2</v>
      </c>
      <c r="G316" s="15">
        <v>0.51819999999999999</v>
      </c>
      <c r="H316" s="15">
        <v>0.27829999999999999</v>
      </c>
      <c r="I316" s="15">
        <v>0.04</v>
      </c>
      <c r="J316" s="15">
        <v>6.9574999999999996</v>
      </c>
    </row>
    <row r="317" spans="1:10" x14ac:dyDescent="0.25">
      <c r="A317" s="2" t="s">
        <v>947</v>
      </c>
      <c r="B317" s="2" t="s">
        <v>948</v>
      </c>
      <c r="C317" s="2" t="s">
        <v>949</v>
      </c>
      <c r="D317" s="2" t="s">
        <v>10040</v>
      </c>
      <c r="E317" s="15">
        <v>-2.3E-3</v>
      </c>
      <c r="F317" s="15">
        <v>9.1800000000000007E-2</v>
      </c>
      <c r="G317" s="15">
        <v>0.98009999999999997</v>
      </c>
      <c r="H317" s="15">
        <v>0.13750000000000001</v>
      </c>
      <c r="I317" s="15">
        <v>4.48E-2</v>
      </c>
      <c r="J317" s="15">
        <v>3.0691964285714288</v>
      </c>
    </row>
    <row r="318" spans="1:10" x14ac:dyDescent="0.25">
      <c r="A318" s="2" t="s">
        <v>950</v>
      </c>
      <c r="B318" s="2" t="s">
        <v>951</v>
      </c>
      <c r="C318" s="2" t="s">
        <v>952</v>
      </c>
      <c r="D318" s="2" t="s">
        <v>10040</v>
      </c>
      <c r="E318" s="15">
        <v>3.8199999999999998E-2</v>
      </c>
      <c r="F318" s="15">
        <v>8.0699999999999994E-2</v>
      </c>
      <c r="G318" s="15">
        <v>0.6361</v>
      </c>
      <c r="H318" s="15">
        <v>0.2102</v>
      </c>
      <c r="I318" s="15">
        <v>4.36E-2</v>
      </c>
      <c r="J318" s="15">
        <v>4.8211009174311927</v>
      </c>
    </row>
    <row r="319" spans="1:10" x14ac:dyDescent="0.25">
      <c r="A319" s="2" t="s">
        <v>953</v>
      </c>
      <c r="B319" s="2" t="s">
        <v>954</v>
      </c>
      <c r="C319" s="2" t="s">
        <v>955</v>
      </c>
      <c r="D319" s="2" t="s">
        <v>10040</v>
      </c>
      <c r="E319" s="15">
        <v>0.12570000000000001</v>
      </c>
      <c r="F319" s="15">
        <v>8.1900000000000001E-2</v>
      </c>
      <c r="G319" s="15">
        <v>0.1249</v>
      </c>
      <c r="H319" s="15">
        <v>0.21029999999999999</v>
      </c>
      <c r="I319" s="15">
        <v>4.3099999999999999E-2</v>
      </c>
      <c r="J319" s="15">
        <v>4.8793503480278417</v>
      </c>
    </row>
    <row r="320" spans="1:10" x14ac:dyDescent="0.25">
      <c r="A320" s="2" t="s">
        <v>956</v>
      </c>
      <c r="B320" s="2" t="s">
        <v>957</v>
      </c>
      <c r="C320" s="2" t="s">
        <v>958</v>
      </c>
      <c r="D320" s="2" t="s">
        <v>10040</v>
      </c>
      <c r="E320" s="15">
        <v>7.1599999999999997E-2</v>
      </c>
      <c r="F320" s="15">
        <v>6.3100000000000003E-2</v>
      </c>
      <c r="G320" s="15">
        <v>0.25700000000000001</v>
      </c>
      <c r="H320" s="15">
        <v>0.29759999999999998</v>
      </c>
      <c r="I320" s="15">
        <v>4.8500000000000001E-2</v>
      </c>
      <c r="J320" s="15">
        <v>6.1360824742268036</v>
      </c>
    </row>
    <row r="321" spans="1:10" x14ac:dyDescent="0.25">
      <c r="A321" s="2" t="s">
        <v>959</v>
      </c>
      <c r="B321" s="2" t="s">
        <v>960</v>
      </c>
      <c r="C321" s="2" t="s">
        <v>961</v>
      </c>
      <c r="D321" s="2" t="s">
        <v>10040</v>
      </c>
      <c r="E321" s="15">
        <v>0.1163</v>
      </c>
      <c r="F321" s="15">
        <v>8.48E-2</v>
      </c>
      <c r="G321" s="15">
        <v>0.1701</v>
      </c>
      <c r="H321" s="15">
        <v>0.1593</v>
      </c>
      <c r="I321" s="15">
        <v>3.49E-2</v>
      </c>
      <c r="J321" s="15">
        <v>4.5644699140401146</v>
      </c>
    </row>
    <row r="322" spans="1:10" x14ac:dyDescent="0.25">
      <c r="A322" s="2" t="s">
        <v>962</v>
      </c>
      <c r="B322" s="2" t="s">
        <v>963</v>
      </c>
      <c r="C322" s="2" t="s">
        <v>964</v>
      </c>
      <c r="D322" s="2" t="s">
        <v>10040</v>
      </c>
      <c r="E322" s="15">
        <v>0.19850000000000001</v>
      </c>
      <c r="F322" s="15">
        <v>7.0800000000000002E-2</v>
      </c>
      <c r="G322" s="15">
        <v>5.1000000000000004E-3</v>
      </c>
      <c r="H322" s="15">
        <v>0.2203</v>
      </c>
      <c r="I322" s="15">
        <v>4.3299999999999998E-2</v>
      </c>
      <c r="J322" s="15">
        <v>5.0877598152424941</v>
      </c>
    </row>
    <row r="323" spans="1:10" x14ac:dyDescent="0.25">
      <c r="A323" s="2" t="s">
        <v>965</v>
      </c>
      <c r="B323" s="2" t="s">
        <v>966</v>
      </c>
      <c r="C323" s="2" t="s">
        <v>967</v>
      </c>
      <c r="D323" s="2" t="s">
        <v>10040</v>
      </c>
      <c r="E323" s="15">
        <v>4.3299999999999998E-2</v>
      </c>
      <c r="F323" s="15">
        <v>6.7799999999999999E-2</v>
      </c>
      <c r="G323" s="15">
        <v>0.52259999999999995</v>
      </c>
      <c r="H323" s="15">
        <v>0.22789999999999999</v>
      </c>
      <c r="I323" s="15">
        <v>4.6699999999999998E-2</v>
      </c>
      <c r="J323" s="15">
        <v>4.880085653104925</v>
      </c>
    </row>
    <row r="324" spans="1:10" x14ac:dyDescent="0.25">
      <c r="A324" s="2" t="s">
        <v>968</v>
      </c>
      <c r="B324" s="2" t="s">
        <v>969</v>
      </c>
      <c r="C324" s="2" t="s">
        <v>970</v>
      </c>
      <c r="D324" s="2" t="s">
        <v>10040</v>
      </c>
      <c r="E324" s="15">
        <v>0.1202</v>
      </c>
      <c r="F324" s="15">
        <v>7.1199999999999999E-2</v>
      </c>
      <c r="G324" s="15">
        <v>9.1399999999999995E-2</v>
      </c>
      <c r="H324" s="15">
        <v>0.2281</v>
      </c>
      <c r="I324" s="15">
        <v>4.2900000000000001E-2</v>
      </c>
      <c r="J324" s="15">
        <v>5.3170163170163169</v>
      </c>
    </row>
    <row r="325" spans="1:10" x14ac:dyDescent="0.25">
      <c r="A325" s="2" t="s">
        <v>971</v>
      </c>
      <c r="B325" s="2" t="s">
        <v>972</v>
      </c>
      <c r="C325" s="2" t="s">
        <v>973</v>
      </c>
      <c r="D325" s="2" t="s">
        <v>10040</v>
      </c>
      <c r="E325" s="15">
        <v>0.20599999999999999</v>
      </c>
      <c r="F325" s="15">
        <v>7.7100000000000002E-2</v>
      </c>
      <c r="G325" s="15">
        <v>7.4999999999999997E-3</v>
      </c>
      <c r="H325" s="15">
        <v>0.21529999999999999</v>
      </c>
      <c r="I325" s="15">
        <v>3.8699999999999998E-2</v>
      </c>
      <c r="J325" s="15">
        <v>5.5633074935400506</v>
      </c>
    </row>
    <row r="326" spans="1:10" x14ac:dyDescent="0.25">
      <c r="A326" s="2" t="s">
        <v>974</v>
      </c>
      <c r="B326" s="2" t="s">
        <v>975</v>
      </c>
      <c r="C326" s="2" t="s">
        <v>976</v>
      </c>
      <c r="D326" s="2" t="s">
        <v>10040</v>
      </c>
      <c r="E326" s="15">
        <v>0.1191</v>
      </c>
      <c r="F326" s="15">
        <v>6.0100000000000001E-2</v>
      </c>
      <c r="G326" s="15">
        <v>4.7600000000000003E-2</v>
      </c>
      <c r="H326" s="15">
        <v>0.2777</v>
      </c>
      <c r="I326" s="15">
        <v>4.1700000000000001E-2</v>
      </c>
      <c r="J326" s="15">
        <v>6.6594724220623496</v>
      </c>
    </row>
    <row r="327" spans="1:10" x14ac:dyDescent="0.25">
      <c r="A327" s="2" t="s">
        <v>977</v>
      </c>
      <c r="B327" s="2" t="s">
        <v>978</v>
      </c>
      <c r="C327" s="2" t="s">
        <v>979</v>
      </c>
      <c r="D327" s="2" t="s">
        <v>10040</v>
      </c>
      <c r="E327" s="15">
        <v>9.1999999999999998E-3</v>
      </c>
      <c r="F327" s="15">
        <v>8.2400000000000001E-2</v>
      </c>
      <c r="G327" s="15">
        <v>0.91090000000000004</v>
      </c>
      <c r="H327" s="15">
        <v>0.1492</v>
      </c>
      <c r="I327" s="15">
        <v>4.36E-2</v>
      </c>
      <c r="J327" s="15">
        <v>3.4220183486238529</v>
      </c>
    </row>
    <row r="328" spans="1:10" x14ac:dyDescent="0.25">
      <c r="A328" s="2" t="s">
        <v>980</v>
      </c>
      <c r="B328" s="2" t="s">
        <v>981</v>
      </c>
      <c r="C328" s="2" t="s">
        <v>982</v>
      </c>
      <c r="D328" s="2" t="s">
        <v>10040</v>
      </c>
      <c r="E328" s="15">
        <v>0.1232</v>
      </c>
      <c r="F328" s="15">
        <v>7.5800000000000006E-2</v>
      </c>
      <c r="G328" s="15">
        <v>0.10390000000000001</v>
      </c>
      <c r="H328" s="15">
        <v>0.19969999999999999</v>
      </c>
      <c r="I328" s="15">
        <v>4.0899999999999999E-2</v>
      </c>
      <c r="J328" s="15">
        <v>4.8826405867970646</v>
      </c>
    </row>
    <row r="329" spans="1:10" x14ac:dyDescent="0.25">
      <c r="A329" s="2" t="s">
        <v>983</v>
      </c>
      <c r="B329" s="2" t="s">
        <v>984</v>
      </c>
      <c r="C329" s="2" t="s">
        <v>985</v>
      </c>
      <c r="D329" s="2" t="s">
        <v>10040</v>
      </c>
      <c r="E329" s="15">
        <v>8.4900000000000003E-2</v>
      </c>
      <c r="F329" s="15">
        <v>7.7600000000000002E-2</v>
      </c>
      <c r="G329" s="15">
        <v>0.27400000000000002</v>
      </c>
      <c r="H329" s="15">
        <v>0.23269999999999999</v>
      </c>
      <c r="I329" s="15">
        <v>4.8800000000000003E-2</v>
      </c>
      <c r="J329" s="15">
        <v>4.7684426229508192</v>
      </c>
    </row>
    <row r="330" spans="1:10" x14ac:dyDescent="0.25">
      <c r="A330" s="2" t="s">
        <v>986</v>
      </c>
      <c r="B330" s="2" t="s">
        <v>987</v>
      </c>
      <c r="C330" s="2" t="s">
        <v>988</v>
      </c>
      <c r="D330" s="2" t="s">
        <v>10040</v>
      </c>
      <c r="E330" s="15">
        <v>3.49E-2</v>
      </c>
      <c r="F330" s="15">
        <v>8.4500000000000006E-2</v>
      </c>
      <c r="G330" s="15">
        <v>0.67989999999999995</v>
      </c>
      <c r="H330" s="15">
        <v>0.17219999999999999</v>
      </c>
      <c r="I330" s="15">
        <v>4.1399999999999999E-2</v>
      </c>
      <c r="J330" s="15">
        <v>4.1594202898550723</v>
      </c>
    </row>
    <row r="331" spans="1:10" x14ac:dyDescent="0.25">
      <c r="A331" s="2" t="s">
        <v>989</v>
      </c>
      <c r="B331" s="2" t="s">
        <v>990</v>
      </c>
      <c r="C331" s="2" t="s">
        <v>991</v>
      </c>
      <c r="D331" s="2" t="s">
        <v>10040</v>
      </c>
      <c r="E331" s="15">
        <v>2.1399999999999999E-2</v>
      </c>
      <c r="F331" s="15">
        <v>6.8599999999999994E-2</v>
      </c>
      <c r="G331" s="15">
        <v>0.75570000000000004</v>
      </c>
      <c r="H331" s="15">
        <v>0.2389</v>
      </c>
      <c r="I331" s="15">
        <v>3.9199999999999999E-2</v>
      </c>
      <c r="J331" s="15">
        <v>6.0943877551020407</v>
      </c>
    </row>
    <row r="332" spans="1:10" x14ac:dyDescent="0.25">
      <c r="A332" s="2" t="s">
        <v>992</v>
      </c>
      <c r="B332" s="2" t="s">
        <v>993</v>
      </c>
      <c r="C332" s="2" t="s">
        <v>994</v>
      </c>
      <c r="D332" s="2" t="s">
        <v>10040</v>
      </c>
      <c r="E332" s="15">
        <v>6.8500000000000005E-2</v>
      </c>
      <c r="F332" s="15">
        <v>6.7199999999999996E-2</v>
      </c>
      <c r="G332" s="15">
        <v>0.308</v>
      </c>
      <c r="H332" s="15">
        <v>0.27289999999999998</v>
      </c>
      <c r="I332" s="15">
        <v>4.8300000000000003E-2</v>
      </c>
      <c r="J332" s="15">
        <v>5.6501035196687361</v>
      </c>
    </row>
    <row r="333" spans="1:10" x14ac:dyDescent="0.25">
      <c r="A333" s="2" t="s">
        <v>995</v>
      </c>
      <c r="B333" s="2" t="s">
        <v>996</v>
      </c>
      <c r="C333" s="2" t="s">
        <v>997</v>
      </c>
      <c r="D333" s="2" t="s">
        <v>10040</v>
      </c>
      <c r="E333" s="15">
        <v>0.1341</v>
      </c>
      <c r="F333" s="15">
        <v>7.1900000000000006E-2</v>
      </c>
      <c r="G333" s="15">
        <v>6.2100000000000002E-2</v>
      </c>
      <c r="H333" s="15">
        <v>0.1981</v>
      </c>
      <c r="I333" s="15">
        <v>3.9E-2</v>
      </c>
      <c r="J333" s="15">
        <v>5.0794871794871792</v>
      </c>
    </row>
    <row r="334" spans="1:10" x14ac:dyDescent="0.25">
      <c r="A334" s="2" t="s">
        <v>998</v>
      </c>
      <c r="B334" s="2" t="s">
        <v>999</v>
      </c>
      <c r="C334" s="2" t="s">
        <v>1000</v>
      </c>
      <c r="D334" s="2" t="s">
        <v>10040</v>
      </c>
      <c r="E334" s="15">
        <v>7.8700000000000006E-2</v>
      </c>
      <c r="F334" s="15">
        <v>9.4600000000000004E-2</v>
      </c>
      <c r="G334" s="15">
        <v>0.40489999999999998</v>
      </c>
      <c r="H334" s="15">
        <v>0.15179999999999999</v>
      </c>
      <c r="I334" s="15">
        <v>4.2599999999999999E-2</v>
      </c>
      <c r="J334" s="15">
        <v>3.563380281690141</v>
      </c>
    </row>
    <row r="335" spans="1:10" x14ac:dyDescent="0.25">
      <c r="A335" s="2" t="s">
        <v>1001</v>
      </c>
      <c r="B335" s="2" t="s">
        <v>1002</v>
      </c>
      <c r="C335" s="2" t="s">
        <v>1003</v>
      </c>
      <c r="D335" s="2" t="s">
        <v>10040</v>
      </c>
      <c r="E335" s="15">
        <v>6.1400000000000003E-2</v>
      </c>
      <c r="F335" s="15">
        <v>6.1899999999999997E-2</v>
      </c>
      <c r="G335" s="15">
        <v>0.32069999999999999</v>
      </c>
      <c r="H335" s="15">
        <v>0.26769999999999999</v>
      </c>
      <c r="I335" s="15">
        <v>4.2500000000000003E-2</v>
      </c>
      <c r="J335" s="15">
        <v>6.2988235294117638</v>
      </c>
    </row>
    <row r="336" spans="1:10" x14ac:dyDescent="0.25">
      <c r="A336" s="2" t="s">
        <v>1004</v>
      </c>
      <c r="B336" s="2" t="s">
        <v>1005</v>
      </c>
      <c r="C336" s="2" t="s">
        <v>1006</v>
      </c>
      <c r="D336" s="2" t="s">
        <v>10040</v>
      </c>
      <c r="E336" s="15">
        <v>-2.5100000000000001E-2</v>
      </c>
      <c r="F336" s="15">
        <v>6.4299999999999996E-2</v>
      </c>
      <c r="G336" s="15">
        <v>0.69650000000000001</v>
      </c>
      <c r="H336" s="15">
        <v>0.27810000000000001</v>
      </c>
      <c r="I336" s="15">
        <v>4.41E-2</v>
      </c>
      <c r="J336" s="15">
        <v>6.3061224489795924</v>
      </c>
    </row>
    <row r="337" spans="1:10" x14ac:dyDescent="0.25">
      <c r="A337" s="2" t="s">
        <v>1007</v>
      </c>
      <c r="B337" s="2" t="s">
        <v>1008</v>
      </c>
      <c r="C337" s="2" t="s">
        <v>1009</v>
      </c>
      <c r="D337" s="2" t="s">
        <v>10040</v>
      </c>
      <c r="E337" s="15">
        <v>1.4500000000000001E-2</v>
      </c>
      <c r="F337" s="15">
        <v>6.4799999999999996E-2</v>
      </c>
      <c r="G337" s="15">
        <v>0.82340000000000002</v>
      </c>
      <c r="H337" s="15">
        <v>0.28749999999999998</v>
      </c>
      <c r="I337" s="15">
        <v>4.6699999999999998E-2</v>
      </c>
      <c r="J337" s="15">
        <v>6.1563169164882234</v>
      </c>
    </row>
    <row r="338" spans="1:10" x14ac:dyDescent="0.25">
      <c r="A338" s="2" t="s">
        <v>1010</v>
      </c>
      <c r="B338" s="2" t="s">
        <v>1011</v>
      </c>
      <c r="C338" s="2" t="s">
        <v>1012</v>
      </c>
      <c r="D338" s="2" t="s">
        <v>10040</v>
      </c>
      <c r="E338" s="15">
        <v>2.3E-2</v>
      </c>
      <c r="F338" s="15">
        <v>6.5299999999999997E-2</v>
      </c>
      <c r="G338" s="15">
        <v>0.72489999999999999</v>
      </c>
      <c r="H338" s="15">
        <v>0.25740000000000002</v>
      </c>
      <c r="I338" s="15">
        <v>4.2000000000000003E-2</v>
      </c>
      <c r="J338" s="15">
        <v>6.128571428571429</v>
      </c>
    </row>
    <row r="339" spans="1:10" x14ac:dyDescent="0.25">
      <c r="A339" s="2" t="s">
        <v>1013</v>
      </c>
      <c r="B339" s="2" t="s">
        <v>1014</v>
      </c>
      <c r="C339" s="2" t="s">
        <v>1015</v>
      </c>
      <c r="D339" s="2" t="s">
        <v>10040</v>
      </c>
      <c r="E339" s="15">
        <v>8.3099999999999993E-2</v>
      </c>
      <c r="F339" s="15">
        <v>6.1499999999999999E-2</v>
      </c>
      <c r="G339" s="15">
        <v>0.17610000000000001</v>
      </c>
      <c r="H339" s="15">
        <v>0.27689999999999998</v>
      </c>
      <c r="I339" s="15">
        <v>4.4699999999999997E-2</v>
      </c>
      <c r="J339" s="15">
        <v>6.1946308724832218</v>
      </c>
    </row>
    <row r="340" spans="1:10" x14ac:dyDescent="0.25">
      <c r="A340" s="2" t="s">
        <v>1016</v>
      </c>
      <c r="B340" s="2" t="s">
        <v>1017</v>
      </c>
      <c r="C340" s="2" t="s">
        <v>1018</v>
      </c>
      <c r="D340" s="2" t="s">
        <v>10040</v>
      </c>
      <c r="E340" s="15">
        <v>0.1158</v>
      </c>
      <c r="F340" s="15">
        <v>6.7400000000000002E-2</v>
      </c>
      <c r="G340" s="15">
        <v>8.5999999999999993E-2</v>
      </c>
      <c r="H340" s="15">
        <v>0.27900000000000003</v>
      </c>
      <c r="I340" s="15">
        <v>4.2900000000000001E-2</v>
      </c>
      <c r="J340" s="15">
        <v>6.5034965034965042</v>
      </c>
    </row>
    <row r="341" spans="1:10" x14ac:dyDescent="0.25">
      <c r="A341" s="2" t="s">
        <v>1019</v>
      </c>
      <c r="B341" s="2" t="s">
        <v>1020</v>
      </c>
      <c r="C341" s="2" t="s">
        <v>1021</v>
      </c>
      <c r="D341" s="2" t="s">
        <v>10040</v>
      </c>
      <c r="E341" s="15">
        <v>-1.21E-2</v>
      </c>
      <c r="F341" s="15">
        <v>5.1499999999999997E-2</v>
      </c>
      <c r="G341" s="15">
        <v>0.81399999999999995</v>
      </c>
      <c r="H341" s="15">
        <v>0.4753</v>
      </c>
      <c r="I341" s="15">
        <v>5.2999999999999999E-2</v>
      </c>
      <c r="J341" s="15">
        <v>8.9679245283018876</v>
      </c>
    </row>
    <row r="342" spans="1:10" x14ac:dyDescent="0.25">
      <c r="A342" s="2" t="s">
        <v>1022</v>
      </c>
      <c r="B342" s="2" t="s">
        <v>1023</v>
      </c>
      <c r="C342" s="2" t="s">
        <v>1024</v>
      </c>
      <c r="D342" s="2" t="s">
        <v>10040</v>
      </c>
      <c r="E342" s="15">
        <v>8.9999999999999993E-3</v>
      </c>
      <c r="F342" s="15">
        <v>4.8899999999999999E-2</v>
      </c>
      <c r="G342" s="15">
        <v>0.85399999999999998</v>
      </c>
      <c r="H342" s="15">
        <v>0.51939999999999997</v>
      </c>
      <c r="I342" s="15">
        <v>6.0900000000000003E-2</v>
      </c>
      <c r="J342" s="15">
        <v>8.5287356321839081</v>
      </c>
    </row>
    <row r="343" spans="1:10" x14ac:dyDescent="0.25">
      <c r="A343" s="2" t="s">
        <v>1025</v>
      </c>
      <c r="B343" s="2" t="s">
        <v>1026</v>
      </c>
      <c r="C343" s="2" t="s">
        <v>1027</v>
      </c>
      <c r="D343" s="2" t="s">
        <v>10040</v>
      </c>
      <c r="E343" s="15">
        <v>6.93E-2</v>
      </c>
      <c r="F343" s="15">
        <v>7.7100000000000002E-2</v>
      </c>
      <c r="G343" s="15">
        <v>0.36859999999999998</v>
      </c>
      <c r="H343" s="15">
        <v>0.18809999999999999</v>
      </c>
      <c r="I343" s="15">
        <v>4.3400000000000001E-2</v>
      </c>
      <c r="J343" s="15">
        <v>4.3341013824884786</v>
      </c>
    </row>
    <row r="344" spans="1:10" x14ac:dyDescent="0.25">
      <c r="A344" s="2" t="s">
        <v>1028</v>
      </c>
      <c r="B344" s="2" t="s">
        <v>1029</v>
      </c>
      <c r="C344" s="2" t="s">
        <v>1030</v>
      </c>
      <c r="D344" s="2" t="s">
        <v>10040</v>
      </c>
      <c r="E344" s="15">
        <v>2.93E-2</v>
      </c>
      <c r="F344" s="15">
        <v>5.0799999999999998E-2</v>
      </c>
      <c r="G344" s="15">
        <v>0.56379999999999997</v>
      </c>
      <c r="H344" s="15">
        <v>0.45440000000000003</v>
      </c>
      <c r="I344" s="15">
        <v>5.4100000000000002E-2</v>
      </c>
      <c r="J344" s="15">
        <v>8.3992606284658038</v>
      </c>
    </row>
    <row r="345" spans="1:10" x14ac:dyDescent="0.25">
      <c r="A345" s="2" t="s">
        <v>1031</v>
      </c>
      <c r="B345" s="2" t="s">
        <v>1032</v>
      </c>
      <c r="C345" s="2" t="s">
        <v>1033</v>
      </c>
      <c r="D345" s="2" t="s">
        <v>10040</v>
      </c>
      <c r="E345" s="15">
        <v>1.01E-2</v>
      </c>
      <c r="F345" s="15">
        <v>4.8399999999999999E-2</v>
      </c>
      <c r="G345" s="15">
        <v>0.83509999999999995</v>
      </c>
      <c r="H345" s="15">
        <v>0.51749999999999996</v>
      </c>
      <c r="I345" s="15">
        <v>5.8799999999999998E-2</v>
      </c>
      <c r="J345" s="15">
        <v>8.8010204081632644</v>
      </c>
    </row>
    <row r="346" spans="1:10" x14ac:dyDescent="0.25">
      <c r="A346" s="2" t="s">
        <v>1034</v>
      </c>
      <c r="B346" s="2" t="s">
        <v>1035</v>
      </c>
      <c r="C346" s="2" t="s">
        <v>1036</v>
      </c>
      <c r="D346" s="2" t="s">
        <v>10040</v>
      </c>
      <c r="E346" s="15">
        <v>7.9500000000000001E-2</v>
      </c>
      <c r="F346" s="15">
        <v>9.0700000000000003E-2</v>
      </c>
      <c r="G346" s="15">
        <v>0.38069999999999998</v>
      </c>
      <c r="H346" s="15">
        <v>0.1547</v>
      </c>
      <c r="I346" s="15">
        <v>3.8300000000000001E-2</v>
      </c>
      <c r="J346" s="15">
        <v>4.0391644908616184</v>
      </c>
    </row>
    <row r="347" spans="1:10" x14ac:dyDescent="0.25">
      <c r="A347" s="2" t="s">
        <v>1037</v>
      </c>
      <c r="B347" s="2" t="s">
        <v>1038</v>
      </c>
      <c r="C347" s="2" t="s">
        <v>1039</v>
      </c>
      <c r="D347" s="2" t="s">
        <v>10040</v>
      </c>
      <c r="E347" s="15"/>
      <c r="F347" s="15"/>
      <c r="G347" s="15"/>
      <c r="H347" s="15">
        <v>-1.2999999999999999E-2</v>
      </c>
      <c r="I347" s="15">
        <v>3.7900000000000003E-2</v>
      </c>
      <c r="J347" s="15">
        <v>-0.34300791556728227</v>
      </c>
    </row>
    <row r="348" spans="1:10" x14ac:dyDescent="0.25">
      <c r="A348" s="2" t="s">
        <v>1040</v>
      </c>
      <c r="B348" s="2" t="s">
        <v>1041</v>
      </c>
      <c r="C348" s="2" t="s">
        <v>1042</v>
      </c>
      <c r="D348" s="2" t="s">
        <v>10040</v>
      </c>
      <c r="E348" s="15">
        <v>6.3100000000000003E-2</v>
      </c>
      <c r="F348" s="15">
        <v>7.8700000000000006E-2</v>
      </c>
      <c r="G348" s="15">
        <v>0.4229</v>
      </c>
      <c r="H348" s="15">
        <v>0.14299999999999999</v>
      </c>
      <c r="I348" s="15">
        <v>4.2900000000000001E-2</v>
      </c>
      <c r="J348" s="15">
        <v>3.333333333333333</v>
      </c>
    </row>
    <row r="349" spans="1:10" x14ac:dyDescent="0.25">
      <c r="A349" s="2" t="s">
        <v>1043</v>
      </c>
      <c r="B349" s="2" t="s">
        <v>1044</v>
      </c>
      <c r="C349" s="2" t="s">
        <v>1045</v>
      </c>
      <c r="D349" s="2" t="s">
        <v>10040</v>
      </c>
      <c r="E349" s="15">
        <v>0.11310000000000001</v>
      </c>
      <c r="F349" s="15">
        <v>6.2199999999999998E-2</v>
      </c>
      <c r="G349" s="15">
        <v>6.9000000000000006E-2</v>
      </c>
      <c r="H349" s="15">
        <v>0.29630000000000001</v>
      </c>
      <c r="I349" s="15">
        <v>5.0500000000000003E-2</v>
      </c>
      <c r="J349" s="15">
        <v>5.8673267326732672</v>
      </c>
    </row>
    <row r="350" spans="1:10" x14ac:dyDescent="0.25">
      <c r="A350" s="2" t="s">
        <v>1046</v>
      </c>
      <c r="B350" s="2" t="s">
        <v>1047</v>
      </c>
      <c r="C350" s="2" t="s">
        <v>1048</v>
      </c>
      <c r="D350" s="2" t="s">
        <v>10040</v>
      </c>
      <c r="E350" s="15">
        <v>0.20780000000000001</v>
      </c>
      <c r="F350" s="15">
        <v>8.7999999999999995E-2</v>
      </c>
      <c r="G350" s="15">
        <v>1.8200000000000001E-2</v>
      </c>
      <c r="H350" s="15">
        <v>0.1721</v>
      </c>
      <c r="I350" s="15">
        <v>4.3700000000000003E-2</v>
      </c>
      <c r="J350" s="15">
        <v>3.9382151029748278</v>
      </c>
    </row>
    <row r="351" spans="1:10" x14ac:dyDescent="0.25">
      <c r="A351" s="2" t="s">
        <v>1049</v>
      </c>
      <c r="B351" s="2" t="s">
        <v>1050</v>
      </c>
      <c r="C351" s="2" t="s">
        <v>1051</v>
      </c>
      <c r="D351" s="2" t="s">
        <v>10040</v>
      </c>
      <c r="E351" s="15">
        <v>5.1900000000000002E-2</v>
      </c>
      <c r="F351" s="15">
        <v>7.9899999999999999E-2</v>
      </c>
      <c r="G351" s="15">
        <v>0.51570000000000005</v>
      </c>
      <c r="H351" s="15">
        <v>0.19220000000000001</v>
      </c>
      <c r="I351" s="15">
        <v>3.9300000000000002E-2</v>
      </c>
      <c r="J351" s="15">
        <v>4.89058524173028</v>
      </c>
    </row>
    <row r="352" spans="1:10" x14ac:dyDescent="0.25">
      <c r="A352" s="2" t="s">
        <v>1052</v>
      </c>
      <c r="B352" s="2" t="s">
        <v>1053</v>
      </c>
      <c r="C352" s="2" t="s">
        <v>1054</v>
      </c>
      <c r="D352" s="2" t="s">
        <v>10040</v>
      </c>
      <c r="E352" s="15">
        <v>2.2000000000000001E-3</v>
      </c>
      <c r="F352" s="15">
        <v>8.9700000000000002E-2</v>
      </c>
      <c r="G352" s="15">
        <v>0.98050000000000004</v>
      </c>
      <c r="H352" s="15">
        <v>0.1696</v>
      </c>
      <c r="I352" s="15">
        <v>4.8099999999999997E-2</v>
      </c>
      <c r="J352" s="15">
        <v>3.5259875259875262</v>
      </c>
    </row>
    <row r="353" spans="1:10" x14ac:dyDescent="0.25">
      <c r="A353" s="2" t="s">
        <v>1055</v>
      </c>
      <c r="B353" s="2" t="s">
        <v>1056</v>
      </c>
      <c r="C353" s="2" t="s">
        <v>1057</v>
      </c>
      <c r="D353" s="2" t="s">
        <v>10040</v>
      </c>
      <c r="E353" s="15">
        <v>1.3100000000000001E-2</v>
      </c>
      <c r="F353" s="15">
        <v>9.4399999999999998E-2</v>
      </c>
      <c r="G353" s="15">
        <v>0.88939999999999997</v>
      </c>
      <c r="H353" s="15">
        <v>0.11899999999999999</v>
      </c>
      <c r="I353" s="15">
        <v>3.6400000000000002E-2</v>
      </c>
      <c r="J353" s="15">
        <v>3.2692307692307692</v>
      </c>
    </row>
    <row r="354" spans="1:10" x14ac:dyDescent="0.25">
      <c r="A354" s="2" t="s">
        <v>1058</v>
      </c>
      <c r="B354" s="2" t="s">
        <v>1059</v>
      </c>
      <c r="C354" s="2" t="s">
        <v>1060</v>
      </c>
      <c r="D354" s="2" t="s">
        <v>10040</v>
      </c>
      <c r="E354" s="15">
        <v>-9.1999999999999998E-2</v>
      </c>
      <c r="F354" s="15">
        <v>8.9599999999999999E-2</v>
      </c>
      <c r="G354" s="15">
        <v>0.30449999999999999</v>
      </c>
      <c r="H354" s="15">
        <v>0.1628</v>
      </c>
      <c r="I354" s="15">
        <v>4.1200000000000001E-2</v>
      </c>
      <c r="J354" s="15">
        <v>3.9514563106796121</v>
      </c>
    </row>
    <row r="355" spans="1:10" x14ac:dyDescent="0.25">
      <c r="A355" s="2" t="s">
        <v>1061</v>
      </c>
      <c r="B355" s="2" t="s">
        <v>1062</v>
      </c>
      <c r="C355" s="2" t="s">
        <v>1063</v>
      </c>
      <c r="D355" s="2" t="s">
        <v>10040</v>
      </c>
      <c r="E355" s="15">
        <v>0.1053</v>
      </c>
      <c r="F355" s="15">
        <v>7.2599999999999998E-2</v>
      </c>
      <c r="G355" s="15">
        <v>0.1469</v>
      </c>
      <c r="H355" s="15">
        <v>0.20760000000000001</v>
      </c>
      <c r="I355" s="15">
        <v>4.1000000000000002E-2</v>
      </c>
      <c r="J355" s="15">
        <v>5.0634146341463424</v>
      </c>
    </row>
    <row r="356" spans="1:10" x14ac:dyDescent="0.25">
      <c r="A356" s="2" t="s">
        <v>1064</v>
      </c>
      <c r="B356" s="2" t="s">
        <v>1065</v>
      </c>
      <c r="C356" s="2" t="s">
        <v>1066</v>
      </c>
      <c r="D356" s="2" t="s">
        <v>10040</v>
      </c>
      <c r="E356" s="15">
        <v>5.74E-2</v>
      </c>
      <c r="F356" s="15">
        <v>6.83E-2</v>
      </c>
      <c r="G356" s="15">
        <v>0.40110000000000001</v>
      </c>
      <c r="H356" s="15">
        <v>0.24970000000000001</v>
      </c>
      <c r="I356" s="15">
        <v>4.8300000000000003E-2</v>
      </c>
      <c r="J356" s="15">
        <v>5.1697722567287787</v>
      </c>
    </row>
    <row r="357" spans="1:10" x14ac:dyDescent="0.25">
      <c r="A357" s="2" t="s">
        <v>1067</v>
      </c>
      <c r="B357" s="2" t="s">
        <v>1068</v>
      </c>
      <c r="C357" s="2" t="s">
        <v>1069</v>
      </c>
      <c r="D357" s="2" t="s">
        <v>10040</v>
      </c>
      <c r="E357" s="15">
        <v>0.03</v>
      </c>
      <c r="F357" s="15">
        <v>7.0900000000000005E-2</v>
      </c>
      <c r="G357" s="15">
        <v>0.67200000000000004</v>
      </c>
      <c r="H357" s="15">
        <v>0.21199999999999999</v>
      </c>
      <c r="I357" s="15">
        <v>4.5900000000000003E-2</v>
      </c>
      <c r="J357" s="15">
        <v>4.6187363834422657</v>
      </c>
    </row>
    <row r="358" spans="1:10" x14ac:dyDescent="0.25">
      <c r="A358" s="2" t="s">
        <v>1070</v>
      </c>
      <c r="B358" s="2" t="s">
        <v>1071</v>
      </c>
      <c r="C358" s="2" t="s">
        <v>1072</v>
      </c>
      <c r="D358" s="2" t="s">
        <v>10040</v>
      </c>
      <c r="E358" s="15">
        <v>-2.5000000000000001E-3</v>
      </c>
      <c r="F358" s="15">
        <v>7.3300000000000004E-2</v>
      </c>
      <c r="G358" s="15">
        <v>0.9728</v>
      </c>
      <c r="H358" s="15">
        <v>0.17469999999999999</v>
      </c>
      <c r="I358" s="15">
        <v>3.8600000000000002E-2</v>
      </c>
      <c r="J358" s="15">
        <v>4.5259067357512954</v>
      </c>
    </row>
    <row r="359" spans="1:10" x14ac:dyDescent="0.25">
      <c r="A359" s="2" t="s">
        <v>1073</v>
      </c>
      <c r="B359" s="2" t="s">
        <v>1074</v>
      </c>
      <c r="C359" s="2" t="s">
        <v>1075</v>
      </c>
      <c r="D359" s="2" t="s">
        <v>10040</v>
      </c>
      <c r="E359" s="15">
        <v>-1.17E-2</v>
      </c>
      <c r="F359" s="15">
        <v>7.6499999999999999E-2</v>
      </c>
      <c r="G359" s="15">
        <v>0.878</v>
      </c>
      <c r="H359" s="15">
        <v>0.1658</v>
      </c>
      <c r="I359" s="15">
        <v>4.1399999999999999E-2</v>
      </c>
      <c r="J359" s="15">
        <v>4.0048309178743962</v>
      </c>
    </row>
    <row r="360" spans="1:10" x14ac:dyDescent="0.25">
      <c r="A360" s="2" t="s">
        <v>1076</v>
      </c>
      <c r="B360" s="2" t="s">
        <v>1077</v>
      </c>
      <c r="C360" s="2" t="s">
        <v>1078</v>
      </c>
      <c r="D360" s="2" t="s">
        <v>10040</v>
      </c>
      <c r="E360" s="15">
        <v>0.1142</v>
      </c>
      <c r="F360" s="15">
        <v>7.6300000000000007E-2</v>
      </c>
      <c r="G360" s="15">
        <v>0.1343</v>
      </c>
      <c r="H360" s="15">
        <v>0.22040000000000001</v>
      </c>
      <c r="I360" s="15">
        <v>4.2000000000000003E-2</v>
      </c>
      <c r="J360" s="15">
        <v>5.2476190476190476</v>
      </c>
    </row>
    <row r="361" spans="1:10" x14ac:dyDescent="0.25">
      <c r="A361" s="2" t="s">
        <v>1079</v>
      </c>
      <c r="B361" s="2" t="s">
        <v>1080</v>
      </c>
      <c r="C361" s="2" t="s">
        <v>1081</v>
      </c>
      <c r="D361" s="2" t="s">
        <v>10040</v>
      </c>
      <c r="E361" s="15">
        <v>3.4000000000000002E-2</v>
      </c>
      <c r="F361" s="15">
        <v>7.0300000000000001E-2</v>
      </c>
      <c r="G361" s="15">
        <v>0.62819999999999998</v>
      </c>
      <c r="H361" s="15">
        <v>0.21490000000000001</v>
      </c>
      <c r="I361" s="15">
        <v>4.4499999999999998E-2</v>
      </c>
      <c r="J361" s="15">
        <v>4.8292134831460682</v>
      </c>
    </row>
    <row r="362" spans="1:10" x14ac:dyDescent="0.25">
      <c r="A362" s="2" t="s">
        <v>1082</v>
      </c>
      <c r="B362" s="2" t="s">
        <v>1083</v>
      </c>
      <c r="C362" s="2" t="s">
        <v>1084</v>
      </c>
      <c r="D362" s="2" t="s">
        <v>10040</v>
      </c>
      <c r="E362" s="15">
        <v>-2.9289E-5</v>
      </c>
      <c r="F362" s="15">
        <v>0.1076</v>
      </c>
      <c r="G362" s="15">
        <v>0.99980000000000002</v>
      </c>
      <c r="H362" s="15">
        <v>9.4600000000000004E-2</v>
      </c>
      <c r="I362" s="15">
        <v>4.0399999999999998E-2</v>
      </c>
      <c r="J362" s="15">
        <v>2.3415841584158419</v>
      </c>
    </row>
    <row r="363" spans="1:10" x14ac:dyDescent="0.25">
      <c r="A363" s="2" t="s">
        <v>1085</v>
      </c>
      <c r="B363" s="2" t="s">
        <v>1086</v>
      </c>
      <c r="C363" s="2" t="s">
        <v>1087</v>
      </c>
      <c r="D363" s="2" t="s">
        <v>10040</v>
      </c>
      <c r="E363" s="15">
        <v>7.51E-2</v>
      </c>
      <c r="F363" s="15">
        <v>8.8800000000000004E-2</v>
      </c>
      <c r="G363" s="15">
        <v>0.39800000000000002</v>
      </c>
      <c r="H363" s="15">
        <v>0.14660000000000001</v>
      </c>
      <c r="I363" s="15">
        <v>3.85E-2</v>
      </c>
      <c r="J363" s="15">
        <v>3.807792207792208</v>
      </c>
    </row>
    <row r="364" spans="1:10" x14ac:dyDescent="0.25">
      <c r="A364" s="2" t="s">
        <v>1088</v>
      </c>
      <c r="B364" s="2" t="s">
        <v>1089</v>
      </c>
      <c r="C364" s="2" t="s">
        <v>1090</v>
      </c>
      <c r="D364" s="2" t="s">
        <v>10040</v>
      </c>
      <c r="E364" s="15">
        <v>1.84E-2</v>
      </c>
      <c r="F364" s="15">
        <v>8.3199999999999996E-2</v>
      </c>
      <c r="G364" s="15">
        <v>0.82479999999999998</v>
      </c>
      <c r="H364" s="15">
        <v>0.1792</v>
      </c>
      <c r="I364" s="15">
        <v>4.2000000000000003E-2</v>
      </c>
      <c r="J364" s="15">
        <v>4.2666666666666666</v>
      </c>
    </row>
    <row r="365" spans="1:10" x14ac:dyDescent="0.25">
      <c r="A365" s="2" t="s">
        <v>1091</v>
      </c>
      <c r="B365" s="2" t="s">
        <v>1092</v>
      </c>
      <c r="C365" s="2" t="s">
        <v>1093</v>
      </c>
      <c r="D365" s="2" t="s">
        <v>10040</v>
      </c>
      <c r="E365" s="15">
        <v>0.16450000000000001</v>
      </c>
      <c r="F365" s="15">
        <v>6.3899999999999998E-2</v>
      </c>
      <c r="G365" s="15">
        <v>1.01E-2</v>
      </c>
      <c r="H365" s="15">
        <v>0.2681</v>
      </c>
      <c r="I365" s="15">
        <v>5.1799999999999999E-2</v>
      </c>
      <c r="J365" s="15">
        <v>5.1756756756756763</v>
      </c>
    </row>
    <row r="366" spans="1:10" x14ac:dyDescent="0.25">
      <c r="A366" s="2" t="s">
        <v>1094</v>
      </c>
      <c r="B366" s="2" t="s">
        <v>1095</v>
      </c>
      <c r="C366" s="2" t="s">
        <v>1096</v>
      </c>
      <c r="D366" s="2" t="s">
        <v>10040</v>
      </c>
      <c r="E366" s="15">
        <v>1.2500000000000001E-2</v>
      </c>
      <c r="F366" s="15">
        <v>0.1052</v>
      </c>
      <c r="G366" s="15">
        <v>0.90500000000000003</v>
      </c>
      <c r="H366" s="15">
        <v>0.12690000000000001</v>
      </c>
      <c r="I366" s="15">
        <v>3.9300000000000002E-2</v>
      </c>
      <c r="J366" s="15">
        <v>3.229007633587786</v>
      </c>
    </row>
    <row r="367" spans="1:10" x14ac:dyDescent="0.25">
      <c r="A367" s="2" t="s">
        <v>1097</v>
      </c>
      <c r="B367" s="2" t="s">
        <v>1098</v>
      </c>
      <c r="C367" s="2" t="s">
        <v>1099</v>
      </c>
      <c r="D367" s="2" t="s">
        <v>10040</v>
      </c>
      <c r="E367" s="15">
        <v>7.1000000000000004E-3</v>
      </c>
      <c r="F367" s="15">
        <v>0.1008</v>
      </c>
      <c r="G367" s="15">
        <v>0.94389999999999996</v>
      </c>
      <c r="H367" s="15">
        <v>0.1147</v>
      </c>
      <c r="I367" s="15">
        <v>4.2599999999999999E-2</v>
      </c>
      <c r="J367" s="15">
        <v>2.692488262910798</v>
      </c>
    </row>
    <row r="368" spans="1:10" x14ac:dyDescent="0.25">
      <c r="A368" s="2" t="s">
        <v>1100</v>
      </c>
      <c r="B368" s="2" t="s">
        <v>1101</v>
      </c>
      <c r="C368" s="2" t="s">
        <v>1102</v>
      </c>
      <c r="D368" s="2" t="s">
        <v>10040</v>
      </c>
      <c r="E368" s="15">
        <v>0.11749999999999999</v>
      </c>
      <c r="F368" s="15">
        <v>6.2700000000000006E-2</v>
      </c>
      <c r="G368" s="15">
        <v>6.1100000000000002E-2</v>
      </c>
      <c r="H368" s="15">
        <v>0.222</v>
      </c>
      <c r="I368" s="15">
        <v>4.1599999999999998E-2</v>
      </c>
      <c r="J368" s="15">
        <v>5.3365384615384617</v>
      </c>
    </row>
    <row r="369" spans="1:10" x14ac:dyDescent="0.25">
      <c r="A369" s="2" t="s">
        <v>1103</v>
      </c>
      <c r="B369" s="2" t="s">
        <v>1104</v>
      </c>
      <c r="C369" s="2" t="s">
        <v>1105</v>
      </c>
      <c r="D369" s="2" t="s">
        <v>10040</v>
      </c>
      <c r="E369" s="15">
        <v>-6.1000000000000004E-3</v>
      </c>
      <c r="F369" s="15">
        <v>8.1299999999999997E-2</v>
      </c>
      <c r="G369" s="15">
        <v>0.94020000000000004</v>
      </c>
      <c r="H369" s="15">
        <v>0.1827</v>
      </c>
      <c r="I369" s="15">
        <v>0.04</v>
      </c>
      <c r="J369" s="15">
        <v>4.5674999999999999</v>
      </c>
    </row>
    <row r="370" spans="1:10" x14ac:dyDescent="0.25">
      <c r="A370" s="2" t="s">
        <v>1106</v>
      </c>
      <c r="B370" s="2" t="s">
        <v>1107</v>
      </c>
      <c r="C370" s="2" t="s">
        <v>1108</v>
      </c>
      <c r="D370" s="2" t="s">
        <v>10040</v>
      </c>
      <c r="E370" s="15">
        <v>-2.1899999999999999E-2</v>
      </c>
      <c r="F370" s="15">
        <v>7.6799999999999993E-2</v>
      </c>
      <c r="G370" s="15">
        <v>0.77590000000000003</v>
      </c>
      <c r="H370" s="15">
        <v>0.16800000000000001</v>
      </c>
      <c r="I370" s="15">
        <v>3.7699999999999997E-2</v>
      </c>
      <c r="J370" s="15">
        <v>4.4562334217506638</v>
      </c>
    </row>
    <row r="371" spans="1:10" x14ac:dyDescent="0.25">
      <c r="A371" s="2" t="s">
        <v>1109</v>
      </c>
      <c r="B371" s="2" t="s">
        <v>1110</v>
      </c>
      <c r="C371" s="2" t="s">
        <v>1111</v>
      </c>
      <c r="D371" s="2" t="s">
        <v>10040</v>
      </c>
      <c r="E371" s="15">
        <v>5.6099999999999997E-2</v>
      </c>
      <c r="F371" s="15">
        <v>6.5199999999999994E-2</v>
      </c>
      <c r="G371" s="15">
        <v>0.38919999999999999</v>
      </c>
      <c r="H371" s="15">
        <v>0.24299999999999999</v>
      </c>
      <c r="I371" s="15">
        <v>4.1200000000000001E-2</v>
      </c>
      <c r="J371" s="15">
        <v>5.8980582524271838</v>
      </c>
    </row>
    <row r="372" spans="1:10" x14ac:dyDescent="0.25">
      <c r="A372" s="2" t="s">
        <v>1112</v>
      </c>
      <c r="B372" s="2" t="s">
        <v>1113</v>
      </c>
      <c r="C372" s="2" t="s">
        <v>1114</v>
      </c>
      <c r="D372" s="2" t="s">
        <v>10040</v>
      </c>
      <c r="E372" s="15">
        <v>0.11899999999999999</v>
      </c>
      <c r="F372" s="15">
        <v>7.2999999999999995E-2</v>
      </c>
      <c r="G372" s="15">
        <v>0.1031</v>
      </c>
      <c r="H372" s="15">
        <v>0.23230000000000001</v>
      </c>
      <c r="I372" s="15">
        <v>4.3499999999999997E-2</v>
      </c>
      <c r="J372" s="15">
        <v>5.3402298850574716</v>
      </c>
    </row>
    <row r="373" spans="1:10" x14ac:dyDescent="0.25">
      <c r="A373" s="2" t="s">
        <v>1115</v>
      </c>
      <c r="B373" s="2" t="s">
        <v>1116</v>
      </c>
      <c r="C373" s="2" t="s">
        <v>1117</v>
      </c>
      <c r="D373" s="2" t="s">
        <v>10040</v>
      </c>
      <c r="E373" s="15">
        <v>-5.8400000000000001E-2</v>
      </c>
      <c r="F373" s="15">
        <v>8.9700000000000002E-2</v>
      </c>
      <c r="G373" s="15">
        <v>0.51459999999999995</v>
      </c>
      <c r="H373" s="15">
        <v>0.129</v>
      </c>
      <c r="I373" s="15">
        <v>4.24E-2</v>
      </c>
      <c r="J373" s="15">
        <v>3.04245283018868</v>
      </c>
    </row>
    <row r="374" spans="1:10" x14ac:dyDescent="0.25">
      <c r="A374" s="2" t="s">
        <v>1118</v>
      </c>
      <c r="B374" s="2" t="s">
        <v>1119</v>
      </c>
      <c r="C374" s="2" t="s">
        <v>1120</v>
      </c>
      <c r="D374" s="2" t="s">
        <v>10040</v>
      </c>
      <c r="E374" s="15">
        <v>7.8799999999999995E-2</v>
      </c>
      <c r="F374" s="15">
        <v>6.9199999999999998E-2</v>
      </c>
      <c r="G374" s="15">
        <v>0.25459999999999999</v>
      </c>
      <c r="H374" s="15">
        <v>0.23769999999999999</v>
      </c>
      <c r="I374" s="15">
        <v>4.5999999999999999E-2</v>
      </c>
      <c r="J374" s="15">
        <v>5.1673913043478263</v>
      </c>
    </row>
    <row r="375" spans="1:10" x14ac:dyDescent="0.25">
      <c r="A375" s="2" t="s">
        <v>1121</v>
      </c>
      <c r="B375" s="2" t="s">
        <v>1122</v>
      </c>
      <c r="C375" s="2" t="s">
        <v>1123</v>
      </c>
      <c r="D375" s="2" t="s">
        <v>10040</v>
      </c>
      <c r="E375" s="15">
        <v>-0.13300000000000001</v>
      </c>
      <c r="F375" s="15">
        <v>8.5900000000000004E-2</v>
      </c>
      <c r="G375" s="15">
        <v>0.1215</v>
      </c>
      <c r="H375" s="15">
        <v>0.1734</v>
      </c>
      <c r="I375" s="15">
        <v>4.58E-2</v>
      </c>
      <c r="J375" s="15">
        <v>3.7860262008733629</v>
      </c>
    </row>
    <row r="376" spans="1:10" x14ac:dyDescent="0.25">
      <c r="A376" s="2" t="s">
        <v>1124</v>
      </c>
      <c r="B376" s="2" t="s">
        <v>1125</v>
      </c>
      <c r="C376" s="2" t="s">
        <v>1126</v>
      </c>
      <c r="D376" s="2" t="s">
        <v>10040</v>
      </c>
      <c r="E376" s="15">
        <v>0.14630000000000001</v>
      </c>
      <c r="F376" s="15">
        <v>0.10150000000000001</v>
      </c>
      <c r="G376" s="15">
        <v>0.14929999999999999</v>
      </c>
      <c r="H376" s="15">
        <v>0.1164</v>
      </c>
      <c r="I376" s="15">
        <v>4.1300000000000003E-2</v>
      </c>
      <c r="J376" s="15">
        <v>2.8184019370460049</v>
      </c>
    </row>
    <row r="377" spans="1:10" x14ac:dyDescent="0.25">
      <c r="A377" s="2" t="s">
        <v>1127</v>
      </c>
      <c r="B377" s="2" t="s">
        <v>1128</v>
      </c>
      <c r="C377" s="2" t="s">
        <v>1129</v>
      </c>
      <c r="D377" s="2" t="s">
        <v>10040</v>
      </c>
      <c r="E377" s="15">
        <v>2.2599999999999999E-2</v>
      </c>
      <c r="F377" s="15">
        <v>9.3700000000000006E-2</v>
      </c>
      <c r="G377" s="15">
        <v>0.80930000000000002</v>
      </c>
      <c r="H377" s="15">
        <v>0.13389999999999999</v>
      </c>
      <c r="I377" s="15">
        <v>4.6600000000000003E-2</v>
      </c>
      <c r="J377" s="15">
        <v>2.8733905579399139</v>
      </c>
    </row>
    <row r="378" spans="1:10" x14ac:dyDescent="0.25">
      <c r="A378" s="2" t="s">
        <v>1130</v>
      </c>
      <c r="B378" s="2" t="s">
        <v>1131</v>
      </c>
      <c r="C378" s="2" t="s">
        <v>1132</v>
      </c>
      <c r="D378" s="2" t="s">
        <v>10040</v>
      </c>
      <c r="E378" s="15">
        <v>8.9399999999999993E-2</v>
      </c>
      <c r="F378" s="15">
        <v>6.8699999999999997E-2</v>
      </c>
      <c r="G378" s="15">
        <v>0.19320000000000001</v>
      </c>
      <c r="H378" s="15">
        <v>0.20019999999999999</v>
      </c>
      <c r="I378" s="15">
        <v>5.0099999999999999E-2</v>
      </c>
      <c r="J378" s="15">
        <v>3.996007984031936</v>
      </c>
    </row>
    <row r="379" spans="1:10" x14ac:dyDescent="0.25">
      <c r="A379" s="2" t="s">
        <v>1133</v>
      </c>
      <c r="B379" s="2" t="s">
        <v>1134</v>
      </c>
      <c r="C379" s="2" t="s">
        <v>1135</v>
      </c>
      <c r="D379" s="2" t="s">
        <v>10040</v>
      </c>
      <c r="E379" s="15">
        <v>-1.52E-2</v>
      </c>
      <c r="F379" s="15">
        <v>9.4399999999999998E-2</v>
      </c>
      <c r="G379" s="15">
        <v>0.87229999999999996</v>
      </c>
      <c r="H379" s="15">
        <v>0.1176</v>
      </c>
      <c r="I379" s="15">
        <v>3.7100000000000001E-2</v>
      </c>
      <c r="J379" s="15">
        <v>3.1698113207547172</v>
      </c>
    </row>
    <row r="380" spans="1:10" x14ac:dyDescent="0.25">
      <c r="A380" s="2" t="s">
        <v>1136</v>
      </c>
      <c r="B380" s="2" t="s">
        <v>1137</v>
      </c>
      <c r="C380" s="2" t="s">
        <v>1138</v>
      </c>
      <c r="D380" s="2" t="s">
        <v>10040</v>
      </c>
      <c r="E380" s="15">
        <v>-6.5799999999999997E-2</v>
      </c>
      <c r="F380" s="15">
        <v>0.1255</v>
      </c>
      <c r="G380" s="15">
        <v>0.6</v>
      </c>
      <c r="H380" s="15">
        <v>6.0600000000000001E-2</v>
      </c>
      <c r="I380" s="15">
        <v>3.9100000000000003E-2</v>
      </c>
      <c r="J380" s="15">
        <v>1.5498721227621479</v>
      </c>
    </row>
    <row r="381" spans="1:10" x14ac:dyDescent="0.25">
      <c r="A381" s="2" t="s">
        <v>1139</v>
      </c>
      <c r="B381" s="2" t="s">
        <v>1140</v>
      </c>
      <c r="C381" s="2" t="s">
        <v>1141</v>
      </c>
      <c r="D381" s="2" t="s">
        <v>10040</v>
      </c>
      <c r="E381" s="15">
        <v>0.1079</v>
      </c>
      <c r="F381" s="15">
        <v>8.1900000000000001E-2</v>
      </c>
      <c r="G381" s="15">
        <v>0.1875</v>
      </c>
      <c r="H381" s="15">
        <v>0.1331</v>
      </c>
      <c r="I381" s="15">
        <v>3.8300000000000001E-2</v>
      </c>
      <c r="J381" s="15">
        <v>3.475195822454308</v>
      </c>
    </row>
    <row r="382" spans="1:10" x14ac:dyDescent="0.25">
      <c r="A382" s="2" t="s">
        <v>1142</v>
      </c>
      <c r="B382" s="2" t="s">
        <v>1143</v>
      </c>
      <c r="C382" s="2" t="s">
        <v>1144</v>
      </c>
      <c r="D382" s="2" t="s">
        <v>10040</v>
      </c>
      <c r="E382" s="15">
        <v>8.4599999999999995E-2</v>
      </c>
      <c r="F382" s="15">
        <v>7.2499999999999995E-2</v>
      </c>
      <c r="G382" s="15">
        <v>0.24340000000000001</v>
      </c>
      <c r="H382" s="15">
        <v>0.23769999999999999</v>
      </c>
      <c r="I382" s="15">
        <v>4.8000000000000001E-2</v>
      </c>
      <c r="J382" s="15">
        <v>4.9520833333333334</v>
      </c>
    </row>
    <row r="383" spans="1:10" x14ac:dyDescent="0.25">
      <c r="A383" s="2" t="s">
        <v>1145</v>
      </c>
      <c r="B383" s="2" t="s">
        <v>1146</v>
      </c>
      <c r="C383" s="2" t="s">
        <v>1147</v>
      </c>
      <c r="D383" s="2" t="s">
        <v>10040</v>
      </c>
      <c r="E383" s="15">
        <v>0.25869999999999999</v>
      </c>
      <c r="F383" s="15">
        <v>0.29859999999999998</v>
      </c>
      <c r="G383" s="15">
        <v>0.38629999999999998</v>
      </c>
      <c r="H383" s="15">
        <v>2.5000000000000001E-2</v>
      </c>
      <c r="I383" s="15">
        <v>3.6900000000000002E-2</v>
      </c>
      <c r="J383" s="15">
        <v>0.6775067750677507</v>
      </c>
    </row>
    <row r="384" spans="1:10" x14ac:dyDescent="0.25">
      <c r="A384" s="2" t="s">
        <v>1148</v>
      </c>
      <c r="B384" s="2" t="s">
        <v>1149</v>
      </c>
      <c r="C384" s="2" t="s">
        <v>1150</v>
      </c>
      <c r="D384" s="2" t="s">
        <v>10040</v>
      </c>
      <c r="E384" s="15">
        <v>8.6099999999999996E-2</v>
      </c>
      <c r="F384" s="15">
        <v>7.6100000000000001E-2</v>
      </c>
      <c r="G384" s="15">
        <v>0.25819999999999999</v>
      </c>
      <c r="H384" s="15">
        <v>0.2122</v>
      </c>
      <c r="I384" s="15">
        <v>4.19E-2</v>
      </c>
      <c r="J384" s="15">
        <v>5.064439140811456</v>
      </c>
    </row>
    <row r="385" spans="1:10" x14ac:dyDescent="0.25">
      <c r="A385" s="2" t="s">
        <v>1151</v>
      </c>
      <c r="B385" s="2" t="s">
        <v>1152</v>
      </c>
      <c r="C385" s="2" t="s">
        <v>1153</v>
      </c>
      <c r="D385" s="2" t="s">
        <v>10040</v>
      </c>
      <c r="E385" s="15">
        <v>-7.0099999999999996E-2</v>
      </c>
      <c r="F385" s="15">
        <v>0.10780000000000001</v>
      </c>
      <c r="G385" s="15">
        <v>0.51559999999999995</v>
      </c>
      <c r="H385" s="15">
        <v>0.1181</v>
      </c>
      <c r="I385" s="15">
        <v>4.2900000000000001E-2</v>
      </c>
      <c r="J385" s="15">
        <v>2.7529137529137531</v>
      </c>
    </row>
    <row r="386" spans="1:10" x14ac:dyDescent="0.25">
      <c r="A386" s="2" t="s">
        <v>1154</v>
      </c>
      <c r="B386" s="2" t="s">
        <v>1155</v>
      </c>
      <c r="C386" s="2" t="s">
        <v>1156</v>
      </c>
      <c r="D386" s="2" t="s">
        <v>10040</v>
      </c>
      <c r="E386" s="15">
        <v>3.27E-2</v>
      </c>
      <c r="F386" s="15">
        <v>8.1299999999999997E-2</v>
      </c>
      <c r="G386" s="15">
        <v>0.68720000000000003</v>
      </c>
      <c r="H386" s="15">
        <v>0.14099999999999999</v>
      </c>
      <c r="I386" s="15">
        <v>3.9899999999999998E-2</v>
      </c>
      <c r="J386" s="15">
        <v>3.5338345864661651</v>
      </c>
    </row>
    <row r="387" spans="1:10" x14ac:dyDescent="0.25">
      <c r="A387" s="2" t="s">
        <v>1157</v>
      </c>
      <c r="B387" s="2" t="s">
        <v>1158</v>
      </c>
      <c r="C387" s="2" t="s">
        <v>1159</v>
      </c>
      <c r="D387" s="2" t="s">
        <v>10040</v>
      </c>
      <c r="E387" s="15">
        <v>-6.9500000000000006E-2</v>
      </c>
      <c r="F387" s="15">
        <v>9.8199999999999996E-2</v>
      </c>
      <c r="G387" s="15">
        <v>0.47889999999999999</v>
      </c>
      <c r="H387" s="15">
        <v>0.15279999999999999</v>
      </c>
      <c r="I387" s="15">
        <v>3.95E-2</v>
      </c>
      <c r="J387" s="15">
        <v>3.868354430379747</v>
      </c>
    </row>
    <row r="388" spans="1:10" x14ac:dyDescent="0.25">
      <c r="A388" s="2" t="s">
        <v>1160</v>
      </c>
      <c r="B388" s="2" t="s">
        <v>1161</v>
      </c>
      <c r="C388" s="2" t="s">
        <v>1162</v>
      </c>
      <c r="D388" s="2" t="s">
        <v>10040</v>
      </c>
      <c r="E388" s="15">
        <v>0.13539999999999999</v>
      </c>
      <c r="F388" s="15">
        <v>7.9899999999999999E-2</v>
      </c>
      <c r="G388" s="15">
        <v>9.0300000000000005E-2</v>
      </c>
      <c r="H388" s="15">
        <v>0.16309999999999999</v>
      </c>
      <c r="I388" s="15">
        <v>3.9699999999999999E-2</v>
      </c>
      <c r="J388" s="15">
        <v>4.1083123425692696</v>
      </c>
    </row>
    <row r="389" spans="1:10" x14ac:dyDescent="0.25">
      <c r="A389" s="2" t="s">
        <v>1163</v>
      </c>
      <c r="B389" s="2" t="s">
        <v>1164</v>
      </c>
      <c r="C389" s="2" t="s">
        <v>1165</v>
      </c>
      <c r="D389" s="2" t="s">
        <v>10040</v>
      </c>
      <c r="E389" s="15">
        <v>3.1899999999999998E-2</v>
      </c>
      <c r="F389" s="15">
        <v>7.9399999999999998E-2</v>
      </c>
      <c r="G389" s="15">
        <v>0.68789999999999996</v>
      </c>
      <c r="H389" s="15">
        <v>0.16850000000000001</v>
      </c>
      <c r="I389" s="15">
        <v>4.3200000000000002E-2</v>
      </c>
      <c r="J389" s="15">
        <v>3.9004629629629628</v>
      </c>
    </row>
    <row r="390" spans="1:10" x14ac:dyDescent="0.25">
      <c r="A390" s="2" t="s">
        <v>1166</v>
      </c>
      <c r="B390" s="2" t="s">
        <v>1167</v>
      </c>
      <c r="C390" s="2" t="s">
        <v>1168</v>
      </c>
      <c r="D390" s="2" t="s">
        <v>10040</v>
      </c>
      <c r="E390" s="15">
        <v>5.57E-2</v>
      </c>
      <c r="F390" s="15">
        <v>7.0499999999999993E-2</v>
      </c>
      <c r="G390" s="15">
        <v>0.4294</v>
      </c>
      <c r="H390" s="15">
        <v>0.23200000000000001</v>
      </c>
      <c r="I390" s="15">
        <v>4.82E-2</v>
      </c>
      <c r="J390" s="15">
        <v>4.8132780082987559</v>
      </c>
    </row>
    <row r="391" spans="1:10" x14ac:dyDescent="0.25">
      <c r="A391" s="2" t="s">
        <v>1169</v>
      </c>
      <c r="B391" s="2" t="s">
        <v>1170</v>
      </c>
      <c r="C391" s="2" t="s">
        <v>1171</v>
      </c>
      <c r="D391" s="2" t="s">
        <v>10040</v>
      </c>
      <c r="E391" s="15">
        <v>-4.8999999999999998E-3</v>
      </c>
      <c r="F391" s="15">
        <v>8.1000000000000003E-2</v>
      </c>
      <c r="G391" s="15">
        <v>0.9516</v>
      </c>
      <c r="H391" s="15">
        <v>0.17530000000000001</v>
      </c>
      <c r="I391" s="15">
        <v>4.3299999999999998E-2</v>
      </c>
      <c r="J391" s="15">
        <v>4.0484988452655886</v>
      </c>
    </row>
    <row r="392" spans="1:10" x14ac:dyDescent="0.25">
      <c r="A392" s="2" t="s">
        <v>1172</v>
      </c>
      <c r="B392" s="2" t="s">
        <v>1173</v>
      </c>
      <c r="C392" s="2" t="s">
        <v>1174</v>
      </c>
      <c r="D392" s="2" t="s">
        <v>10040</v>
      </c>
      <c r="E392" s="15">
        <v>-8.2199999999999995E-2</v>
      </c>
      <c r="F392" s="15">
        <v>7.1900000000000006E-2</v>
      </c>
      <c r="G392" s="15">
        <v>0.253</v>
      </c>
      <c r="H392" s="15">
        <v>0.21329999999999999</v>
      </c>
      <c r="I392" s="15">
        <v>4.1700000000000001E-2</v>
      </c>
      <c r="J392" s="15">
        <v>5.115107913669064</v>
      </c>
    </row>
    <row r="393" spans="1:10" x14ac:dyDescent="0.25">
      <c r="A393" s="2" t="s">
        <v>1175</v>
      </c>
      <c r="B393" s="2" t="s">
        <v>1176</v>
      </c>
      <c r="C393" s="2" t="s">
        <v>1177</v>
      </c>
      <c r="D393" s="2" t="s">
        <v>10040</v>
      </c>
      <c r="E393" s="15">
        <v>1.9400000000000001E-2</v>
      </c>
      <c r="F393" s="15">
        <v>7.9500000000000001E-2</v>
      </c>
      <c r="G393" s="15">
        <v>0.80759999999999998</v>
      </c>
      <c r="H393" s="15">
        <v>0.21329999999999999</v>
      </c>
      <c r="I393" s="15">
        <v>4.02E-2</v>
      </c>
      <c r="J393" s="15">
        <v>5.3059701492537306</v>
      </c>
    </row>
    <row r="394" spans="1:10" x14ac:dyDescent="0.25">
      <c r="A394" s="2" t="s">
        <v>1178</v>
      </c>
      <c r="B394" s="2" t="s">
        <v>1179</v>
      </c>
      <c r="C394" s="2" t="s">
        <v>1180</v>
      </c>
      <c r="D394" s="2" t="s">
        <v>10040</v>
      </c>
      <c r="E394" s="15">
        <v>6.6299999999999998E-2</v>
      </c>
      <c r="F394" s="15">
        <v>8.4400000000000003E-2</v>
      </c>
      <c r="G394" s="15">
        <v>0.43190000000000001</v>
      </c>
      <c r="H394" s="15">
        <v>0.1535</v>
      </c>
      <c r="I394" s="15">
        <v>3.9399999999999998E-2</v>
      </c>
      <c r="J394" s="15">
        <v>3.8959390862944159</v>
      </c>
    </row>
    <row r="395" spans="1:10" x14ac:dyDescent="0.25">
      <c r="A395" s="2" t="s">
        <v>1181</v>
      </c>
      <c r="B395" s="2" t="s">
        <v>1182</v>
      </c>
      <c r="C395" s="2" t="s">
        <v>1183</v>
      </c>
      <c r="D395" s="2" t="s">
        <v>10040</v>
      </c>
      <c r="E395" s="15">
        <v>0.1021</v>
      </c>
      <c r="F395" s="15">
        <v>7.4499999999999997E-2</v>
      </c>
      <c r="G395" s="15">
        <v>0.17050000000000001</v>
      </c>
      <c r="H395" s="15">
        <v>0.18390000000000001</v>
      </c>
      <c r="I395" s="15">
        <v>4.0800000000000003E-2</v>
      </c>
      <c r="J395" s="15">
        <v>4.5073529411764701</v>
      </c>
    </row>
    <row r="396" spans="1:10" x14ac:dyDescent="0.25">
      <c r="A396" s="2" t="s">
        <v>1184</v>
      </c>
      <c r="B396" s="2" t="s">
        <v>1185</v>
      </c>
      <c r="C396" s="2" t="s">
        <v>1186</v>
      </c>
      <c r="D396" s="2" t="s">
        <v>10040</v>
      </c>
      <c r="E396" s="15">
        <v>2.1700000000000001E-2</v>
      </c>
      <c r="F396" s="15">
        <v>7.7100000000000002E-2</v>
      </c>
      <c r="G396" s="15">
        <v>0.77869999999999995</v>
      </c>
      <c r="H396" s="15">
        <v>0.17430000000000001</v>
      </c>
      <c r="I396" s="15">
        <v>3.9E-2</v>
      </c>
      <c r="J396" s="15">
        <v>4.4692307692307693</v>
      </c>
    </row>
    <row r="397" spans="1:10" x14ac:dyDescent="0.25">
      <c r="A397" s="2" t="s">
        <v>1187</v>
      </c>
      <c r="B397" s="2" t="s">
        <v>1188</v>
      </c>
      <c r="C397" s="2" t="s">
        <v>1189</v>
      </c>
      <c r="D397" s="2" t="s">
        <v>10040</v>
      </c>
      <c r="E397" s="15">
        <v>0.17080000000000001</v>
      </c>
      <c r="F397" s="15">
        <v>7.85E-2</v>
      </c>
      <c r="G397" s="15">
        <v>2.9600000000000001E-2</v>
      </c>
      <c r="H397" s="15">
        <v>0.20799999999999999</v>
      </c>
      <c r="I397" s="15">
        <v>4.4499999999999998E-2</v>
      </c>
      <c r="J397" s="15">
        <v>4.6741573033707864</v>
      </c>
    </row>
    <row r="398" spans="1:10" x14ac:dyDescent="0.25">
      <c r="A398" s="2" t="s">
        <v>1190</v>
      </c>
      <c r="B398" s="2" t="s">
        <v>1191</v>
      </c>
      <c r="C398" s="2" t="s">
        <v>1192</v>
      </c>
      <c r="D398" s="2" t="s">
        <v>10040</v>
      </c>
      <c r="E398" s="15">
        <v>0.1651</v>
      </c>
      <c r="F398" s="15">
        <v>6.5000000000000002E-2</v>
      </c>
      <c r="G398" s="15">
        <v>1.0999999999999999E-2</v>
      </c>
      <c r="H398" s="15">
        <v>0.27189999999999998</v>
      </c>
      <c r="I398" s="15">
        <v>5.7299999999999997E-2</v>
      </c>
      <c r="J398" s="15">
        <v>4.7452006980802786</v>
      </c>
    </row>
    <row r="399" spans="1:10" x14ac:dyDescent="0.25">
      <c r="A399" s="2" t="s">
        <v>1193</v>
      </c>
      <c r="B399" s="2" t="s">
        <v>1194</v>
      </c>
      <c r="C399" s="2" t="s">
        <v>1195</v>
      </c>
      <c r="D399" s="2" t="s">
        <v>10040</v>
      </c>
      <c r="E399" s="15">
        <v>-4.5100000000000001E-2</v>
      </c>
      <c r="F399" s="15">
        <v>0.1084</v>
      </c>
      <c r="G399" s="15">
        <v>0.6774</v>
      </c>
      <c r="H399" s="15">
        <v>0.1033</v>
      </c>
      <c r="I399" s="15">
        <v>3.73E-2</v>
      </c>
      <c r="J399" s="15">
        <v>2.7694369973190351</v>
      </c>
    </row>
    <row r="400" spans="1:10" x14ac:dyDescent="0.25">
      <c r="A400" s="2" t="s">
        <v>1196</v>
      </c>
      <c r="B400" s="2" t="s">
        <v>1197</v>
      </c>
      <c r="C400" s="2" t="s">
        <v>1198</v>
      </c>
      <c r="D400" s="2" t="s">
        <v>10040</v>
      </c>
      <c r="E400" s="15">
        <v>8.5199999999999998E-2</v>
      </c>
      <c r="F400" s="15">
        <v>0.1133</v>
      </c>
      <c r="G400" s="15">
        <v>0.45169999999999999</v>
      </c>
      <c r="H400" s="15">
        <v>0.11</v>
      </c>
      <c r="I400" s="15">
        <v>4.4600000000000001E-2</v>
      </c>
      <c r="J400" s="15">
        <v>2.4663677130044839</v>
      </c>
    </row>
    <row r="401" spans="1:10" x14ac:dyDescent="0.25">
      <c r="A401" s="2" t="s">
        <v>1199</v>
      </c>
      <c r="B401" s="2" t="s">
        <v>1200</v>
      </c>
      <c r="C401" s="2" t="s">
        <v>1201</v>
      </c>
      <c r="D401" s="2" t="s">
        <v>10040</v>
      </c>
      <c r="E401" s="15">
        <v>-2.75E-2</v>
      </c>
      <c r="F401" s="15">
        <v>8.09E-2</v>
      </c>
      <c r="G401" s="15">
        <v>0.73429999999999995</v>
      </c>
      <c r="H401" s="15">
        <v>0.13569999999999999</v>
      </c>
      <c r="I401" s="15">
        <v>4.24E-2</v>
      </c>
      <c r="J401" s="15">
        <v>3.2004716981132071</v>
      </c>
    </row>
    <row r="402" spans="1:10" x14ac:dyDescent="0.25">
      <c r="A402" s="2" t="s">
        <v>1202</v>
      </c>
      <c r="B402" s="2" t="s">
        <v>1203</v>
      </c>
      <c r="C402" s="2" t="s">
        <v>1204</v>
      </c>
      <c r="D402" s="2" t="s">
        <v>10040</v>
      </c>
      <c r="E402" s="15">
        <v>-1.7000000000000001E-2</v>
      </c>
      <c r="F402" s="15">
        <v>8.5199999999999998E-2</v>
      </c>
      <c r="G402" s="15">
        <v>0.84230000000000005</v>
      </c>
      <c r="H402" s="15">
        <v>0.1656</v>
      </c>
      <c r="I402" s="15">
        <v>4.3900000000000002E-2</v>
      </c>
      <c r="J402" s="15">
        <v>3.772209567198177</v>
      </c>
    </row>
    <row r="403" spans="1:10" x14ac:dyDescent="0.25">
      <c r="A403" s="2" t="s">
        <v>1205</v>
      </c>
      <c r="B403" s="2" t="s">
        <v>1206</v>
      </c>
      <c r="C403" s="2" t="s">
        <v>1207</v>
      </c>
      <c r="D403" s="2" t="s">
        <v>10040</v>
      </c>
      <c r="E403" s="15">
        <v>1.67E-2</v>
      </c>
      <c r="F403" s="15">
        <v>0.1283</v>
      </c>
      <c r="G403" s="15">
        <v>0.89639999999999997</v>
      </c>
      <c r="H403" s="15">
        <v>6.3899999999999998E-2</v>
      </c>
      <c r="I403" s="15">
        <v>3.8100000000000002E-2</v>
      </c>
      <c r="J403" s="15">
        <v>1.677165354330709</v>
      </c>
    </row>
    <row r="404" spans="1:10" x14ac:dyDescent="0.25">
      <c r="A404" s="2" t="s">
        <v>1208</v>
      </c>
      <c r="B404" s="2" t="s">
        <v>1209</v>
      </c>
      <c r="C404" s="2" t="s">
        <v>1210</v>
      </c>
      <c r="D404" s="2" t="s">
        <v>10040</v>
      </c>
      <c r="E404" s="15">
        <v>-1.5299999999999999E-2</v>
      </c>
      <c r="F404" s="15">
        <v>7.5200000000000003E-2</v>
      </c>
      <c r="G404" s="15">
        <v>0.83889999999999998</v>
      </c>
      <c r="H404" s="15">
        <v>0.1986</v>
      </c>
      <c r="I404" s="15">
        <v>4.1300000000000003E-2</v>
      </c>
      <c r="J404" s="15">
        <v>4.8087167070217918</v>
      </c>
    </row>
    <row r="405" spans="1:10" x14ac:dyDescent="0.25">
      <c r="A405" s="2" t="s">
        <v>1211</v>
      </c>
      <c r="B405" s="2" t="s">
        <v>1212</v>
      </c>
      <c r="C405" s="2" t="s">
        <v>1213</v>
      </c>
      <c r="D405" s="2" t="s">
        <v>10040</v>
      </c>
      <c r="E405" s="15">
        <v>0.11169999999999999</v>
      </c>
      <c r="F405" s="15">
        <v>7.6799999999999993E-2</v>
      </c>
      <c r="G405" s="15">
        <v>0.14549999999999999</v>
      </c>
      <c r="H405" s="15">
        <v>0.20630000000000001</v>
      </c>
      <c r="I405" s="15">
        <v>4.3299999999999998E-2</v>
      </c>
      <c r="J405" s="15">
        <v>4.7644341801385686</v>
      </c>
    </row>
    <row r="406" spans="1:10" x14ac:dyDescent="0.25">
      <c r="A406" s="2" t="s">
        <v>1214</v>
      </c>
      <c r="B406" s="2" t="s">
        <v>1215</v>
      </c>
      <c r="C406" s="2" t="s">
        <v>1216</v>
      </c>
      <c r="D406" s="2" t="s">
        <v>10040</v>
      </c>
      <c r="E406" s="15">
        <v>-6.54E-2</v>
      </c>
      <c r="F406" s="15">
        <v>0.1153</v>
      </c>
      <c r="G406" s="15">
        <v>0.57030000000000003</v>
      </c>
      <c r="H406" s="15">
        <v>0.104</v>
      </c>
      <c r="I406" s="15">
        <v>4.07E-2</v>
      </c>
      <c r="J406" s="15">
        <v>2.5552825552825551</v>
      </c>
    </row>
    <row r="407" spans="1:10" x14ac:dyDescent="0.25">
      <c r="A407" s="2" t="s">
        <v>1217</v>
      </c>
      <c r="B407" s="2" t="s">
        <v>1218</v>
      </c>
      <c r="C407" s="2" t="s">
        <v>1219</v>
      </c>
      <c r="D407" s="2" t="s">
        <v>10040</v>
      </c>
      <c r="E407" s="15">
        <v>0.13489999999999999</v>
      </c>
      <c r="F407" s="15">
        <v>7.0000000000000007E-2</v>
      </c>
      <c r="G407" s="15">
        <v>5.4100000000000002E-2</v>
      </c>
      <c r="H407" s="15">
        <v>0.2346</v>
      </c>
      <c r="I407" s="15">
        <v>4.3799999999999999E-2</v>
      </c>
      <c r="J407" s="15">
        <v>5.3561643835616444</v>
      </c>
    </row>
    <row r="408" spans="1:10" x14ac:dyDescent="0.25">
      <c r="A408" s="2" t="s">
        <v>1220</v>
      </c>
      <c r="B408" s="2" t="s">
        <v>1221</v>
      </c>
      <c r="C408" s="2" t="s">
        <v>1222</v>
      </c>
      <c r="D408" s="2" t="s">
        <v>10040</v>
      </c>
      <c r="E408" s="15">
        <v>5.5899999999999998E-2</v>
      </c>
      <c r="F408" s="15">
        <v>9.3399999999999997E-2</v>
      </c>
      <c r="G408" s="15">
        <v>0.54959999999999998</v>
      </c>
      <c r="H408" s="15">
        <v>0.1178</v>
      </c>
      <c r="I408" s="15">
        <v>4.4600000000000001E-2</v>
      </c>
      <c r="J408" s="15">
        <v>2.6412556053811662</v>
      </c>
    </row>
    <row r="409" spans="1:10" x14ac:dyDescent="0.25">
      <c r="A409" s="2" t="s">
        <v>1223</v>
      </c>
      <c r="B409" s="2" t="s">
        <v>1224</v>
      </c>
      <c r="C409" s="2" t="s">
        <v>1225</v>
      </c>
      <c r="D409" s="2" t="s">
        <v>10040</v>
      </c>
      <c r="E409" s="15">
        <v>0.1704</v>
      </c>
      <c r="F409" s="15">
        <v>9.6000000000000002E-2</v>
      </c>
      <c r="G409" s="15">
        <v>7.5999999999999998E-2</v>
      </c>
      <c r="H409" s="15">
        <v>0.10929999999999999</v>
      </c>
      <c r="I409" s="15">
        <v>3.9399999999999998E-2</v>
      </c>
      <c r="J409" s="15">
        <v>2.7741116751269042</v>
      </c>
    </row>
    <row r="410" spans="1:10" x14ac:dyDescent="0.25">
      <c r="A410" s="2" t="s">
        <v>1226</v>
      </c>
      <c r="B410" s="2" t="s">
        <v>1227</v>
      </c>
      <c r="C410" s="2" t="s">
        <v>1228</v>
      </c>
      <c r="D410" s="2" t="s">
        <v>10040</v>
      </c>
      <c r="E410" s="15">
        <v>0.14990000000000001</v>
      </c>
      <c r="F410" s="15">
        <v>9.7000000000000003E-2</v>
      </c>
      <c r="G410" s="15">
        <v>0.1222</v>
      </c>
      <c r="H410" s="15">
        <v>0.13159999999999999</v>
      </c>
      <c r="I410" s="15">
        <v>4.0899999999999999E-2</v>
      </c>
      <c r="J410" s="15">
        <v>3.21760391198044</v>
      </c>
    </row>
    <row r="411" spans="1:10" x14ac:dyDescent="0.25">
      <c r="A411" s="2" t="s">
        <v>1229</v>
      </c>
      <c r="B411" s="2" t="s">
        <v>1230</v>
      </c>
      <c r="C411" s="2" t="s">
        <v>1231</v>
      </c>
      <c r="D411" s="2" t="s">
        <v>10040</v>
      </c>
      <c r="E411" s="15">
        <v>0.111</v>
      </c>
      <c r="F411" s="15">
        <v>6.1199999999999997E-2</v>
      </c>
      <c r="G411" s="15">
        <v>6.9900000000000004E-2</v>
      </c>
      <c r="H411" s="15">
        <v>0.2132</v>
      </c>
      <c r="I411" s="15">
        <v>4.4900000000000002E-2</v>
      </c>
      <c r="J411" s="15">
        <v>4.7483296213808464</v>
      </c>
    </row>
    <row r="412" spans="1:10" x14ac:dyDescent="0.25">
      <c r="A412" s="2" t="s">
        <v>1232</v>
      </c>
      <c r="B412" s="2" t="s">
        <v>1233</v>
      </c>
      <c r="C412" s="2" t="s">
        <v>1234</v>
      </c>
      <c r="D412" s="2" t="s">
        <v>10040</v>
      </c>
      <c r="E412" s="15">
        <v>-0.04</v>
      </c>
      <c r="F412" s="15">
        <v>9.5699999999999993E-2</v>
      </c>
      <c r="G412" s="15">
        <v>0.67569999999999997</v>
      </c>
      <c r="H412" s="15">
        <v>0.15540000000000001</v>
      </c>
      <c r="I412" s="15">
        <v>3.8699999999999998E-2</v>
      </c>
      <c r="J412" s="15">
        <v>4.0155038759689923</v>
      </c>
    </row>
    <row r="413" spans="1:10" x14ac:dyDescent="0.25">
      <c r="A413" s="2" t="s">
        <v>1235</v>
      </c>
      <c r="B413" s="2" t="s">
        <v>1236</v>
      </c>
      <c r="C413" s="2" t="s">
        <v>1237</v>
      </c>
      <c r="D413" s="2" t="s">
        <v>10040</v>
      </c>
      <c r="E413" s="15">
        <v>-0.1759</v>
      </c>
      <c r="F413" s="15">
        <v>0.11700000000000001</v>
      </c>
      <c r="G413" s="15">
        <v>0.13270000000000001</v>
      </c>
      <c r="H413" s="15">
        <v>8.7099999999999997E-2</v>
      </c>
      <c r="I413" s="15">
        <v>3.7699999999999997E-2</v>
      </c>
      <c r="J413" s="15">
        <v>2.3103448275862069</v>
      </c>
    </row>
    <row r="414" spans="1:10" x14ac:dyDescent="0.25">
      <c r="A414" s="2" t="s">
        <v>1238</v>
      </c>
      <c r="B414" s="2" t="s">
        <v>1239</v>
      </c>
      <c r="C414" s="2" t="s">
        <v>1240</v>
      </c>
      <c r="D414" s="2" t="s">
        <v>10040</v>
      </c>
      <c r="E414" s="15">
        <v>0.12820000000000001</v>
      </c>
      <c r="F414" s="15">
        <v>0.108</v>
      </c>
      <c r="G414" s="15">
        <v>0.2351</v>
      </c>
      <c r="H414" s="15">
        <v>0.10489999999999999</v>
      </c>
      <c r="I414" s="15">
        <v>4.1300000000000003E-2</v>
      </c>
      <c r="J414" s="15">
        <v>2.539951573849879</v>
      </c>
    </row>
    <row r="415" spans="1:10" x14ac:dyDescent="0.25">
      <c r="A415" s="2" t="s">
        <v>1241</v>
      </c>
      <c r="B415" s="2" t="s">
        <v>1242</v>
      </c>
      <c r="C415" s="2" t="s">
        <v>1243</v>
      </c>
      <c r="D415" s="2" t="s">
        <v>10040</v>
      </c>
      <c r="E415" s="15">
        <v>-1.5599999999999999E-2</v>
      </c>
      <c r="F415" s="15">
        <v>9.1200000000000003E-2</v>
      </c>
      <c r="G415" s="15">
        <v>0.86399999999999999</v>
      </c>
      <c r="H415" s="15">
        <v>0.16089999999999999</v>
      </c>
      <c r="I415" s="15">
        <v>0.04</v>
      </c>
      <c r="J415" s="15">
        <v>4.0225</v>
      </c>
    </row>
    <row r="416" spans="1:10" x14ac:dyDescent="0.25">
      <c r="A416" s="2" t="s">
        <v>1244</v>
      </c>
      <c r="B416" s="2" t="s">
        <v>1245</v>
      </c>
      <c r="C416" s="2" t="s">
        <v>1246</v>
      </c>
      <c r="D416" s="2" t="s">
        <v>10040</v>
      </c>
      <c r="E416" s="15">
        <v>2.69E-2</v>
      </c>
      <c r="F416" s="15">
        <v>7.4999999999999997E-2</v>
      </c>
      <c r="G416" s="15">
        <v>0.71960000000000002</v>
      </c>
      <c r="H416" s="15">
        <v>0.17660000000000001</v>
      </c>
      <c r="I416" s="15">
        <v>0.04</v>
      </c>
      <c r="J416" s="15">
        <v>4.415</v>
      </c>
    </row>
    <row r="417" spans="1:10" x14ac:dyDescent="0.25">
      <c r="A417" s="2" t="s">
        <v>1247</v>
      </c>
      <c r="B417" s="2" t="s">
        <v>1248</v>
      </c>
      <c r="C417" s="2" t="s">
        <v>1249</v>
      </c>
      <c r="D417" s="2" t="s">
        <v>10040</v>
      </c>
      <c r="E417" s="15">
        <v>0.19059999999999999</v>
      </c>
      <c r="F417" s="15">
        <v>9.4500000000000001E-2</v>
      </c>
      <c r="G417" s="15">
        <v>4.36E-2</v>
      </c>
      <c r="H417" s="15">
        <v>0.1285</v>
      </c>
      <c r="I417" s="15">
        <v>4.36E-2</v>
      </c>
      <c r="J417" s="15">
        <v>2.9472477064220191</v>
      </c>
    </row>
    <row r="418" spans="1:10" x14ac:dyDescent="0.25">
      <c r="A418" s="2" t="s">
        <v>1250</v>
      </c>
      <c r="B418" s="2" t="s">
        <v>1251</v>
      </c>
      <c r="C418" s="2" t="s">
        <v>1252</v>
      </c>
      <c r="D418" s="2" t="s">
        <v>10040</v>
      </c>
      <c r="E418" s="15">
        <v>7.7600000000000002E-2</v>
      </c>
      <c r="F418" s="15">
        <v>6.6799999999999998E-2</v>
      </c>
      <c r="G418" s="15">
        <v>0.24540000000000001</v>
      </c>
      <c r="H418" s="15">
        <v>0.22359999999999999</v>
      </c>
      <c r="I418" s="15">
        <v>4.36E-2</v>
      </c>
      <c r="J418" s="15">
        <v>5.1284403669724767</v>
      </c>
    </row>
    <row r="419" spans="1:10" x14ac:dyDescent="0.25">
      <c r="A419" s="2" t="s">
        <v>1253</v>
      </c>
      <c r="B419" s="2" t="s">
        <v>1254</v>
      </c>
      <c r="C419" s="2" t="s">
        <v>1255</v>
      </c>
      <c r="D419" s="2" t="s">
        <v>10040</v>
      </c>
      <c r="E419" s="15">
        <v>3.6400000000000002E-2</v>
      </c>
      <c r="F419" s="15">
        <v>9.8699999999999996E-2</v>
      </c>
      <c r="G419" s="15">
        <v>0.71209999999999996</v>
      </c>
      <c r="H419" s="15">
        <v>9.9000000000000005E-2</v>
      </c>
      <c r="I419" s="15">
        <v>4.0899999999999999E-2</v>
      </c>
      <c r="J419" s="15">
        <v>2.4205378973105138</v>
      </c>
    </row>
    <row r="420" spans="1:10" x14ac:dyDescent="0.25">
      <c r="A420" s="2" t="s">
        <v>1256</v>
      </c>
      <c r="B420" s="2" t="s">
        <v>1257</v>
      </c>
      <c r="C420" s="2" t="s">
        <v>1258</v>
      </c>
      <c r="D420" s="2" t="s">
        <v>10040</v>
      </c>
      <c r="E420" s="15">
        <v>8.2400000000000001E-2</v>
      </c>
      <c r="F420" s="15">
        <v>8.0399999999999999E-2</v>
      </c>
      <c r="G420" s="15">
        <v>0.30509999999999998</v>
      </c>
      <c r="H420" s="15">
        <v>0.20880000000000001</v>
      </c>
      <c r="I420" s="15">
        <v>4.3999999999999997E-2</v>
      </c>
      <c r="J420" s="15">
        <v>4.745454545454546</v>
      </c>
    </row>
    <row r="421" spans="1:10" x14ac:dyDescent="0.25">
      <c r="A421" s="2" t="s">
        <v>1259</v>
      </c>
      <c r="B421" s="2" t="s">
        <v>1260</v>
      </c>
      <c r="C421" s="2" t="s">
        <v>1261</v>
      </c>
      <c r="D421" s="2" t="s">
        <v>10040</v>
      </c>
      <c r="E421" s="15">
        <v>0.18129999999999999</v>
      </c>
      <c r="F421" s="15">
        <v>6.7000000000000004E-2</v>
      </c>
      <c r="G421" s="15">
        <v>6.7999999999999996E-3</v>
      </c>
      <c r="H421" s="15">
        <v>0.2324</v>
      </c>
      <c r="I421" s="15">
        <v>5.2499999999999998E-2</v>
      </c>
      <c r="J421" s="15">
        <v>4.4266666666666667</v>
      </c>
    </row>
    <row r="422" spans="1:10" x14ac:dyDescent="0.25">
      <c r="A422" s="2" t="s">
        <v>1262</v>
      </c>
      <c r="B422" s="2" t="s">
        <v>1263</v>
      </c>
      <c r="C422" s="2" t="s">
        <v>1264</v>
      </c>
      <c r="D422" s="2" t="s">
        <v>10040</v>
      </c>
      <c r="E422" s="15">
        <v>6.2100000000000002E-2</v>
      </c>
      <c r="F422" s="15">
        <v>6.5799999999999997E-2</v>
      </c>
      <c r="G422" s="15">
        <v>0.34510000000000002</v>
      </c>
      <c r="H422" s="15">
        <v>0.25130000000000002</v>
      </c>
      <c r="I422" s="15">
        <v>5.0599999999999999E-2</v>
      </c>
      <c r="J422" s="15">
        <v>4.9664031620553368</v>
      </c>
    </row>
    <row r="423" spans="1:10" x14ac:dyDescent="0.25">
      <c r="A423" s="2" t="s">
        <v>1265</v>
      </c>
      <c r="B423" s="2" t="s">
        <v>1266</v>
      </c>
      <c r="C423" s="2" t="s">
        <v>1267</v>
      </c>
      <c r="D423" s="2" t="s">
        <v>10040</v>
      </c>
      <c r="E423" s="15">
        <v>0.1008</v>
      </c>
      <c r="F423" s="15">
        <v>8.5300000000000001E-2</v>
      </c>
      <c r="G423" s="15">
        <v>0.23719999999999999</v>
      </c>
      <c r="H423" s="15">
        <v>0.1489</v>
      </c>
      <c r="I423" s="15">
        <v>4.6199999999999998E-2</v>
      </c>
      <c r="J423" s="15">
        <v>3.222943722943723</v>
      </c>
    </row>
    <row r="424" spans="1:10" x14ac:dyDescent="0.25">
      <c r="A424" s="2" t="s">
        <v>1268</v>
      </c>
      <c r="B424" s="2" t="s">
        <v>1269</v>
      </c>
      <c r="C424" s="2" t="s">
        <v>1270</v>
      </c>
      <c r="D424" s="2" t="s">
        <v>10040</v>
      </c>
      <c r="E424" s="15">
        <v>0.1749</v>
      </c>
      <c r="F424" s="15">
        <v>8.3799999999999999E-2</v>
      </c>
      <c r="G424" s="15">
        <v>3.6999999999999998E-2</v>
      </c>
      <c r="H424" s="15">
        <v>0.16370000000000001</v>
      </c>
      <c r="I424" s="15">
        <v>4.1000000000000002E-2</v>
      </c>
      <c r="J424" s="15">
        <v>3.9926829268292678</v>
      </c>
    </row>
    <row r="425" spans="1:10" x14ac:dyDescent="0.25">
      <c r="A425" s="2" t="s">
        <v>1271</v>
      </c>
      <c r="B425" s="2" t="s">
        <v>1272</v>
      </c>
      <c r="C425" s="2" t="s">
        <v>1273</v>
      </c>
      <c r="D425" s="2" t="s">
        <v>10040</v>
      </c>
      <c r="E425" s="15">
        <v>0.15640000000000001</v>
      </c>
      <c r="F425" s="15">
        <v>7.9899999999999999E-2</v>
      </c>
      <c r="G425" s="15">
        <v>5.0299999999999997E-2</v>
      </c>
      <c r="H425" s="15">
        <v>0.1893</v>
      </c>
      <c r="I425" s="15">
        <v>4.2599999999999999E-2</v>
      </c>
      <c r="J425" s="15">
        <v>4.443661971830986</v>
      </c>
    </row>
    <row r="426" spans="1:10" x14ac:dyDescent="0.25">
      <c r="A426" s="2" t="s">
        <v>1274</v>
      </c>
      <c r="B426" s="2" t="s">
        <v>1275</v>
      </c>
      <c r="C426" s="2" t="s">
        <v>1276</v>
      </c>
      <c r="D426" s="2" t="s">
        <v>10040</v>
      </c>
      <c r="E426" s="15">
        <v>0.114</v>
      </c>
      <c r="F426" s="15">
        <v>9.2999999999999999E-2</v>
      </c>
      <c r="G426" s="15">
        <v>0.2203</v>
      </c>
      <c r="H426" s="15">
        <v>0.1394</v>
      </c>
      <c r="I426" s="15">
        <v>3.7100000000000001E-2</v>
      </c>
      <c r="J426" s="15">
        <v>3.7574123989218329</v>
      </c>
    </row>
    <row r="427" spans="1:10" x14ac:dyDescent="0.25">
      <c r="A427" s="2" t="s">
        <v>1277</v>
      </c>
      <c r="B427" s="2" t="s">
        <v>1278</v>
      </c>
      <c r="C427" s="2" t="s">
        <v>1279</v>
      </c>
      <c r="D427" s="2" t="s">
        <v>10040</v>
      </c>
      <c r="E427" s="15">
        <v>-0.2455</v>
      </c>
      <c r="F427" s="15">
        <v>0.14680000000000001</v>
      </c>
      <c r="G427" s="15">
        <v>9.4600000000000004E-2</v>
      </c>
      <c r="H427" s="15">
        <v>6.6500000000000004E-2</v>
      </c>
      <c r="I427" s="15">
        <v>3.7499999999999999E-2</v>
      </c>
      <c r="J427" s="15">
        <v>1.773333333333333</v>
      </c>
    </row>
    <row r="428" spans="1:10" x14ac:dyDescent="0.25">
      <c r="A428" s="2" t="s">
        <v>1280</v>
      </c>
      <c r="B428" s="2" t="s">
        <v>1281</v>
      </c>
      <c r="C428" s="2" t="s">
        <v>1282</v>
      </c>
      <c r="D428" s="2" t="s">
        <v>10040</v>
      </c>
      <c r="E428" s="15">
        <v>-3.1600000000000003E-2</v>
      </c>
      <c r="F428" s="15">
        <v>9.5699999999999993E-2</v>
      </c>
      <c r="G428" s="15">
        <v>0.74129999999999996</v>
      </c>
      <c r="H428" s="15">
        <v>0.1193</v>
      </c>
      <c r="I428" s="15">
        <v>4.2900000000000001E-2</v>
      </c>
      <c r="J428" s="15">
        <v>2.780885780885781</v>
      </c>
    </row>
    <row r="429" spans="1:10" x14ac:dyDescent="0.25">
      <c r="A429" s="2" t="s">
        <v>1283</v>
      </c>
      <c r="B429" s="2" t="s">
        <v>1284</v>
      </c>
      <c r="C429" s="2" t="s">
        <v>1285</v>
      </c>
      <c r="D429" s="2" t="s">
        <v>10040</v>
      </c>
      <c r="E429" s="15">
        <v>2.01E-2</v>
      </c>
      <c r="F429" s="15">
        <v>9.06E-2</v>
      </c>
      <c r="G429" s="15">
        <v>0.8246</v>
      </c>
      <c r="H429" s="15">
        <v>0.13009999999999999</v>
      </c>
      <c r="I429" s="15">
        <v>4.2299999999999997E-2</v>
      </c>
      <c r="J429" s="15">
        <v>3.0756501182033098</v>
      </c>
    </row>
    <row r="430" spans="1:10" x14ac:dyDescent="0.25">
      <c r="A430" s="2" t="s">
        <v>1286</v>
      </c>
      <c r="B430" s="2" t="s">
        <v>1287</v>
      </c>
      <c r="C430" s="2" t="s">
        <v>1288</v>
      </c>
      <c r="D430" s="2" t="s">
        <v>10040</v>
      </c>
      <c r="E430" s="15">
        <v>3.9E-2</v>
      </c>
      <c r="F430" s="15">
        <v>9.01E-2</v>
      </c>
      <c r="G430" s="15">
        <v>0.66549999999999998</v>
      </c>
      <c r="H430" s="15">
        <v>0.13489999999999999</v>
      </c>
      <c r="I430" s="15">
        <v>4.4299999999999999E-2</v>
      </c>
      <c r="J430" s="15">
        <v>3.0451467268623018</v>
      </c>
    </row>
    <row r="431" spans="1:10" x14ac:dyDescent="0.25">
      <c r="A431" s="2" t="s">
        <v>1289</v>
      </c>
      <c r="B431" s="2" t="s">
        <v>1290</v>
      </c>
      <c r="C431" s="2" t="s">
        <v>1291</v>
      </c>
      <c r="D431" s="2" t="s">
        <v>10040</v>
      </c>
      <c r="E431" s="15">
        <v>1.4E-2</v>
      </c>
      <c r="F431" s="15">
        <v>8.77E-2</v>
      </c>
      <c r="G431" s="15">
        <v>0.87280000000000002</v>
      </c>
      <c r="H431" s="15">
        <v>0.12429999999999999</v>
      </c>
      <c r="I431" s="15">
        <v>3.9300000000000002E-2</v>
      </c>
      <c r="J431" s="15">
        <v>3.162849872773537</v>
      </c>
    </row>
    <row r="432" spans="1:10" x14ac:dyDescent="0.25">
      <c r="A432" s="2" t="s">
        <v>1292</v>
      </c>
      <c r="B432" s="2" t="s">
        <v>1293</v>
      </c>
      <c r="C432" s="2" t="s">
        <v>1294</v>
      </c>
      <c r="D432" s="2" t="s">
        <v>10040</v>
      </c>
      <c r="E432" s="15">
        <v>8.3599999999999994E-2</v>
      </c>
      <c r="F432" s="15">
        <v>7.7399999999999997E-2</v>
      </c>
      <c r="G432" s="15">
        <v>0.28010000000000002</v>
      </c>
      <c r="H432" s="15">
        <v>0.19139999999999999</v>
      </c>
      <c r="I432" s="15">
        <v>3.8600000000000002E-2</v>
      </c>
      <c r="J432" s="15">
        <v>4.9585492227979264</v>
      </c>
    </row>
    <row r="433" spans="1:10" x14ac:dyDescent="0.25">
      <c r="A433" s="2" t="s">
        <v>1295</v>
      </c>
      <c r="B433" s="2" t="s">
        <v>1296</v>
      </c>
      <c r="C433" s="2" t="s">
        <v>1297</v>
      </c>
      <c r="D433" s="2" t="s">
        <v>10040</v>
      </c>
      <c r="E433" s="15">
        <v>2.2700000000000001E-2</v>
      </c>
      <c r="F433" s="15">
        <v>7.5999999999999998E-2</v>
      </c>
      <c r="G433" s="15">
        <v>0.76549999999999996</v>
      </c>
      <c r="H433" s="15">
        <v>0.18629999999999999</v>
      </c>
      <c r="I433" s="15">
        <v>3.9E-2</v>
      </c>
      <c r="J433" s="15">
        <v>4.7769230769230768</v>
      </c>
    </row>
    <row r="434" spans="1:10" x14ac:dyDescent="0.25">
      <c r="A434" s="2" t="s">
        <v>1298</v>
      </c>
      <c r="B434" s="2" t="s">
        <v>1299</v>
      </c>
      <c r="C434" s="2" t="s">
        <v>1300</v>
      </c>
      <c r="D434" s="2" t="s">
        <v>10040</v>
      </c>
      <c r="E434" s="15">
        <v>0.15920000000000001</v>
      </c>
      <c r="F434" s="15">
        <v>8.1000000000000003E-2</v>
      </c>
      <c r="G434" s="15">
        <v>4.9399999999999999E-2</v>
      </c>
      <c r="H434" s="15">
        <v>0.2056</v>
      </c>
      <c r="I434" s="15">
        <v>3.8399999999999997E-2</v>
      </c>
      <c r="J434" s="15">
        <v>5.354166666666667</v>
      </c>
    </row>
    <row r="435" spans="1:10" x14ac:dyDescent="0.25">
      <c r="A435" s="2" t="s">
        <v>1301</v>
      </c>
      <c r="B435" s="2" t="s">
        <v>1302</v>
      </c>
      <c r="C435" s="2" t="s">
        <v>1303</v>
      </c>
      <c r="D435" s="2" t="s">
        <v>10040</v>
      </c>
      <c r="E435" s="15">
        <v>0.18140000000000001</v>
      </c>
      <c r="F435" s="15">
        <v>6.9900000000000004E-2</v>
      </c>
      <c r="G435" s="15">
        <v>9.4999999999999998E-3</v>
      </c>
      <c r="H435" s="15">
        <v>0.2389</v>
      </c>
      <c r="I435" s="15">
        <v>5.3999999999999999E-2</v>
      </c>
      <c r="J435" s="15">
        <v>4.424074074074074</v>
      </c>
    </row>
    <row r="436" spans="1:10" x14ac:dyDescent="0.25">
      <c r="A436" s="2" t="s">
        <v>1304</v>
      </c>
      <c r="B436" s="2" t="s">
        <v>1305</v>
      </c>
      <c r="C436" s="2" t="s">
        <v>1306</v>
      </c>
      <c r="D436" s="2" t="s">
        <v>10040</v>
      </c>
      <c r="E436" s="15">
        <v>0.1033</v>
      </c>
      <c r="F436" s="15">
        <v>7.4200000000000002E-2</v>
      </c>
      <c r="G436" s="15">
        <v>0.16389999999999999</v>
      </c>
      <c r="H436" s="15">
        <v>0.22559999999999999</v>
      </c>
      <c r="I436" s="15">
        <v>0.05</v>
      </c>
      <c r="J436" s="15">
        <v>4.5119999999999996</v>
      </c>
    </row>
    <row r="437" spans="1:10" x14ac:dyDescent="0.25">
      <c r="A437" s="2" t="s">
        <v>1307</v>
      </c>
      <c r="B437" s="2" t="s">
        <v>1308</v>
      </c>
      <c r="C437" s="2" t="s">
        <v>1309</v>
      </c>
      <c r="D437" s="2" t="s">
        <v>10040</v>
      </c>
      <c r="E437" s="15">
        <v>-4.8000000000000001E-2</v>
      </c>
      <c r="F437" s="15">
        <v>0.1028</v>
      </c>
      <c r="G437" s="15">
        <v>0.64049999999999996</v>
      </c>
      <c r="H437" s="15">
        <v>0.104</v>
      </c>
      <c r="I437" s="15">
        <v>3.9399999999999998E-2</v>
      </c>
      <c r="J437" s="15">
        <v>2.639593908629442</v>
      </c>
    </row>
    <row r="438" spans="1:10" x14ac:dyDescent="0.25">
      <c r="A438" s="2" t="s">
        <v>1310</v>
      </c>
      <c r="B438" s="2" t="s">
        <v>1311</v>
      </c>
      <c r="C438" s="2" t="s">
        <v>1312</v>
      </c>
      <c r="D438" s="2" t="s">
        <v>10040</v>
      </c>
      <c r="E438" s="15"/>
      <c r="F438" s="15"/>
      <c r="G438" s="15"/>
      <c r="H438" s="15"/>
      <c r="I438" s="15"/>
      <c r="J438" s="15"/>
    </row>
    <row r="439" spans="1:10" x14ac:dyDescent="0.25">
      <c r="A439" s="2" t="s">
        <v>1313</v>
      </c>
      <c r="B439" s="2" t="s">
        <v>1314</v>
      </c>
      <c r="C439" s="2" t="s">
        <v>1315</v>
      </c>
      <c r="D439" s="2" t="s">
        <v>10040</v>
      </c>
      <c r="E439" s="15">
        <v>0.23680000000000001</v>
      </c>
      <c r="F439" s="15">
        <v>8.7300000000000003E-2</v>
      </c>
      <c r="G439" s="15">
        <v>6.7000000000000002E-3</v>
      </c>
      <c r="H439" s="15">
        <v>0.16550000000000001</v>
      </c>
      <c r="I439" s="15">
        <v>4.24E-2</v>
      </c>
      <c r="J439" s="15">
        <v>3.9033018867924532</v>
      </c>
    </row>
    <row r="440" spans="1:10" x14ac:dyDescent="0.25">
      <c r="A440" s="2" t="s">
        <v>1316</v>
      </c>
      <c r="B440" s="2" t="s">
        <v>1317</v>
      </c>
      <c r="C440" s="2" t="s">
        <v>1318</v>
      </c>
      <c r="D440" s="2" t="s">
        <v>10040</v>
      </c>
      <c r="E440" s="15">
        <v>9.8199999999999996E-2</v>
      </c>
      <c r="F440" s="15">
        <v>9.9199999999999997E-2</v>
      </c>
      <c r="G440" s="15">
        <v>0.32219999999999999</v>
      </c>
      <c r="H440" s="15">
        <v>0.1144</v>
      </c>
      <c r="I440" s="15">
        <v>4.3400000000000001E-2</v>
      </c>
      <c r="J440" s="15">
        <v>2.6359447004608301</v>
      </c>
    </row>
    <row r="441" spans="1:10" x14ac:dyDescent="0.25">
      <c r="A441" s="2" t="s">
        <v>1319</v>
      </c>
      <c r="B441" s="2" t="s">
        <v>1320</v>
      </c>
      <c r="C441" s="2" t="s">
        <v>1321</v>
      </c>
      <c r="D441" s="2" t="s">
        <v>10040</v>
      </c>
      <c r="E441" s="15">
        <v>6.13E-2</v>
      </c>
      <c r="F441" s="15">
        <v>7.9000000000000001E-2</v>
      </c>
      <c r="G441" s="15">
        <v>0.43790000000000001</v>
      </c>
      <c r="H441" s="15">
        <v>0.14219999999999999</v>
      </c>
      <c r="I441" s="15">
        <v>4.2700000000000002E-2</v>
      </c>
      <c r="J441" s="15">
        <v>3.3302107728337229</v>
      </c>
    </row>
    <row r="442" spans="1:10" x14ac:dyDescent="0.25">
      <c r="A442" s="2" t="s">
        <v>1322</v>
      </c>
      <c r="B442" s="2" t="s">
        <v>1323</v>
      </c>
      <c r="C442" s="2" t="s">
        <v>1324</v>
      </c>
      <c r="D442" s="2" t="s">
        <v>10040</v>
      </c>
      <c r="E442" s="15">
        <v>0.1067</v>
      </c>
      <c r="F442" s="15">
        <v>6.5199999999999994E-2</v>
      </c>
      <c r="G442" s="15">
        <v>0.1018</v>
      </c>
      <c r="H442" s="15">
        <v>0.28299999999999997</v>
      </c>
      <c r="I442" s="15">
        <v>5.0900000000000001E-2</v>
      </c>
      <c r="J442" s="15">
        <v>5.5599214145383096</v>
      </c>
    </row>
    <row r="443" spans="1:10" x14ac:dyDescent="0.25">
      <c r="A443" s="2" t="s">
        <v>1325</v>
      </c>
      <c r="B443" s="2" t="s">
        <v>1326</v>
      </c>
      <c r="C443" s="2" t="s">
        <v>1327</v>
      </c>
      <c r="D443" s="2" t="s">
        <v>10040</v>
      </c>
      <c r="E443" s="15">
        <v>0.2263</v>
      </c>
      <c r="F443" s="15">
        <v>8.6599999999999996E-2</v>
      </c>
      <c r="G443" s="15">
        <v>8.8999999999999999E-3</v>
      </c>
      <c r="H443" s="15">
        <v>0.1686</v>
      </c>
      <c r="I443" s="15">
        <v>4.5199999999999997E-2</v>
      </c>
      <c r="J443" s="15">
        <v>3.730088495575222</v>
      </c>
    </row>
    <row r="444" spans="1:10" x14ac:dyDescent="0.25">
      <c r="A444" s="2" t="s">
        <v>1328</v>
      </c>
      <c r="B444" s="2" t="s">
        <v>1329</v>
      </c>
      <c r="C444" s="2" t="s">
        <v>1330</v>
      </c>
      <c r="D444" s="2" t="s">
        <v>10040</v>
      </c>
      <c r="E444" s="15">
        <v>2.5899999999999999E-2</v>
      </c>
      <c r="F444" s="15">
        <v>8.2400000000000001E-2</v>
      </c>
      <c r="G444" s="15">
        <v>0.75309999999999999</v>
      </c>
      <c r="H444" s="15">
        <v>0.18720000000000001</v>
      </c>
      <c r="I444" s="15">
        <v>3.9199999999999999E-2</v>
      </c>
      <c r="J444" s="15">
        <v>4.7755102040816331</v>
      </c>
    </row>
    <row r="445" spans="1:10" x14ac:dyDescent="0.25">
      <c r="A445" s="2" t="s">
        <v>1331</v>
      </c>
      <c r="B445" s="2" t="s">
        <v>1332</v>
      </c>
      <c r="C445" s="2" t="s">
        <v>1333</v>
      </c>
      <c r="D445" s="2" t="s">
        <v>10040</v>
      </c>
      <c r="E445" s="15">
        <v>-1.89E-2</v>
      </c>
      <c r="F445" s="15">
        <v>8.7999999999999995E-2</v>
      </c>
      <c r="G445" s="15">
        <v>0.8296</v>
      </c>
      <c r="H445" s="15">
        <v>0.1744</v>
      </c>
      <c r="I445" s="15">
        <v>4.9399999999999999E-2</v>
      </c>
      <c r="J445" s="15">
        <v>3.5303643724696361</v>
      </c>
    </row>
    <row r="446" spans="1:10" x14ac:dyDescent="0.25">
      <c r="A446" s="2" t="s">
        <v>1334</v>
      </c>
      <c r="B446" s="2" t="s">
        <v>1335</v>
      </c>
      <c r="C446" s="2" t="s">
        <v>1336</v>
      </c>
      <c r="D446" s="2" t="s">
        <v>10040</v>
      </c>
      <c r="E446" s="15">
        <v>1.6400000000000001E-2</v>
      </c>
      <c r="F446" s="15">
        <v>9.1800000000000007E-2</v>
      </c>
      <c r="G446" s="15">
        <v>0.85860000000000003</v>
      </c>
      <c r="H446" s="15">
        <v>0.126</v>
      </c>
      <c r="I446" s="15">
        <v>3.7199999999999997E-2</v>
      </c>
      <c r="J446" s="15">
        <v>3.387096774193548</v>
      </c>
    </row>
    <row r="447" spans="1:10" x14ac:dyDescent="0.25">
      <c r="A447" s="2" t="s">
        <v>1337</v>
      </c>
      <c r="B447" s="2" t="s">
        <v>1338</v>
      </c>
      <c r="C447" s="2" t="s">
        <v>1339</v>
      </c>
      <c r="D447" s="2" t="s">
        <v>10040</v>
      </c>
      <c r="E447" s="15">
        <v>-8.2199999999999995E-2</v>
      </c>
      <c r="F447" s="15">
        <v>8.6099999999999996E-2</v>
      </c>
      <c r="G447" s="15">
        <v>0.3402</v>
      </c>
      <c r="H447" s="15">
        <v>0.17879999999999999</v>
      </c>
      <c r="I447" s="15">
        <v>4.19E-2</v>
      </c>
      <c r="J447" s="15">
        <v>4.2673031026252977</v>
      </c>
    </row>
    <row r="448" spans="1:10" x14ac:dyDescent="0.25">
      <c r="A448" s="2" t="s">
        <v>1340</v>
      </c>
      <c r="B448" s="2" t="s">
        <v>1341</v>
      </c>
      <c r="C448" s="2" t="s">
        <v>1342</v>
      </c>
      <c r="D448" s="2" t="s">
        <v>10040</v>
      </c>
      <c r="E448" s="15">
        <v>0.1177</v>
      </c>
      <c r="F448" s="15">
        <v>7.4399999999999994E-2</v>
      </c>
      <c r="G448" s="15">
        <v>0.1134</v>
      </c>
      <c r="H448" s="15">
        <v>0.20150000000000001</v>
      </c>
      <c r="I448" s="15">
        <v>4.0899999999999999E-2</v>
      </c>
      <c r="J448" s="15">
        <v>4.9266503667481656</v>
      </c>
    </row>
    <row r="449" spans="1:10" x14ac:dyDescent="0.25">
      <c r="A449" s="2" t="s">
        <v>1343</v>
      </c>
      <c r="B449" s="2" t="s">
        <v>1344</v>
      </c>
      <c r="C449" s="2" t="s">
        <v>1345</v>
      </c>
      <c r="D449" s="2" t="s">
        <v>10040</v>
      </c>
      <c r="E449" s="15">
        <v>8.0999999999999996E-3</v>
      </c>
      <c r="F449" s="15">
        <v>6.6799999999999998E-2</v>
      </c>
      <c r="G449" s="15">
        <v>0.90400000000000003</v>
      </c>
      <c r="H449" s="15">
        <v>0.2392</v>
      </c>
      <c r="I449" s="15">
        <v>4.7300000000000002E-2</v>
      </c>
      <c r="J449" s="15">
        <v>5.0570824524312892</v>
      </c>
    </row>
    <row r="450" spans="1:10" x14ac:dyDescent="0.25">
      <c r="A450" s="2" t="s">
        <v>1346</v>
      </c>
      <c r="B450" s="2" t="s">
        <v>1347</v>
      </c>
      <c r="C450" s="2" t="s">
        <v>1348</v>
      </c>
      <c r="D450" s="2" t="s">
        <v>10040</v>
      </c>
      <c r="E450" s="15">
        <v>2.7799999999999998E-2</v>
      </c>
      <c r="F450" s="15">
        <v>7.0800000000000002E-2</v>
      </c>
      <c r="G450" s="15">
        <v>0.69469999999999998</v>
      </c>
      <c r="H450" s="15">
        <v>0.2135</v>
      </c>
      <c r="I450" s="15">
        <v>4.6100000000000002E-2</v>
      </c>
      <c r="J450" s="15">
        <v>4.6312364425162684</v>
      </c>
    </row>
    <row r="451" spans="1:10" x14ac:dyDescent="0.25">
      <c r="A451" s="2" t="s">
        <v>1349</v>
      </c>
      <c r="B451" s="2" t="s">
        <v>1350</v>
      </c>
      <c r="C451" s="2" t="s">
        <v>1351</v>
      </c>
      <c r="D451" s="2" t="s">
        <v>10040</v>
      </c>
      <c r="E451" s="15">
        <v>-1.7500000000000002E-2</v>
      </c>
      <c r="F451" s="15">
        <v>6.7199999999999996E-2</v>
      </c>
      <c r="G451" s="15">
        <v>0.79520000000000002</v>
      </c>
      <c r="H451" s="15">
        <v>0.22539999999999999</v>
      </c>
      <c r="I451" s="15">
        <v>4.07E-2</v>
      </c>
      <c r="J451" s="15">
        <v>5.538083538083538</v>
      </c>
    </row>
    <row r="452" spans="1:10" x14ac:dyDescent="0.25">
      <c r="A452" s="2" t="s">
        <v>1352</v>
      </c>
      <c r="B452" s="2" t="s">
        <v>1353</v>
      </c>
      <c r="C452" s="2" t="s">
        <v>1354</v>
      </c>
      <c r="D452" s="2" t="s">
        <v>10040</v>
      </c>
      <c r="E452" s="15">
        <v>-9.1831999999999998E-5</v>
      </c>
      <c r="F452" s="15">
        <v>7.4300000000000005E-2</v>
      </c>
      <c r="G452" s="15">
        <v>0.999</v>
      </c>
      <c r="H452" s="15">
        <v>0.19359999999999999</v>
      </c>
      <c r="I452" s="15">
        <v>4.2799999999999998E-2</v>
      </c>
      <c r="J452" s="15">
        <v>4.5233644859813076</v>
      </c>
    </row>
    <row r="453" spans="1:10" x14ac:dyDescent="0.25">
      <c r="A453" s="2" t="s">
        <v>1355</v>
      </c>
      <c r="B453" s="2" t="s">
        <v>1356</v>
      </c>
      <c r="C453" s="2" t="s">
        <v>1357</v>
      </c>
      <c r="D453" s="2" t="s">
        <v>10040</v>
      </c>
      <c r="E453" s="15">
        <v>0.10100000000000001</v>
      </c>
      <c r="F453" s="15">
        <v>7.4300000000000005E-2</v>
      </c>
      <c r="G453" s="15">
        <v>0.17419999999999999</v>
      </c>
      <c r="H453" s="15">
        <v>0.2351</v>
      </c>
      <c r="I453" s="15">
        <v>4.1300000000000003E-2</v>
      </c>
      <c r="J453" s="15">
        <v>5.6924939467312354</v>
      </c>
    </row>
    <row r="454" spans="1:10" x14ac:dyDescent="0.25">
      <c r="A454" s="2" t="s">
        <v>1358</v>
      </c>
      <c r="B454" s="2" t="s">
        <v>1359</v>
      </c>
      <c r="C454" s="2" t="s">
        <v>1360</v>
      </c>
      <c r="D454" s="2" t="s">
        <v>10040</v>
      </c>
      <c r="E454" s="15">
        <v>4.36E-2</v>
      </c>
      <c r="F454" s="15">
        <v>7.6399999999999996E-2</v>
      </c>
      <c r="G454" s="15">
        <v>0.56830000000000003</v>
      </c>
      <c r="H454" s="15">
        <v>0.19750000000000001</v>
      </c>
      <c r="I454" s="15">
        <v>4.2799999999999998E-2</v>
      </c>
      <c r="J454" s="15">
        <v>4.6144859813084116</v>
      </c>
    </row>
    <row r="455" spans="1:10" x14ac:dyDescent="0.25">
      <c r="A455" s="2" t="s">
        <v>1361</v>
      </c>
      <c r="B455" s="2" t="s">
        <v>1362</v>
      </c>
      <c r="C455" s="2" t="s">
        <v>1363</v>
      </c>
      <c r="D455" s="2" t="s">
        <v>10040</v>
      </c>
      <c r="E455" s="15">
        <v>-3.0999999999999999E-3</v>
      </c>
      <c r="F455" s="15">
        <v>0.1079</v>
      </c>
      <c r="G455" s="15">
        <v>0.9768</v>
      </c>
      <c r="H455" s="15">
        <v>9.3600000000000003E-2</v>
      </c>
      <c r="I455" s="15">
        <v>4.1099999999999998E-2</v>
      </c>
      <c r="J455" s="15">
        <v>2.277372262773723</v>
      </c>
    </row>
    <row r="456" spans="1:10" x14ac:dyDescent="0.25">
      <c r="A456" s="2" t="s">
        <v>1364</v>
      </c>
      <c r="B456" s="2" t="s">
        <v>1365</v>
      </c>
      <c r="C456" s="2" t="s">
        <v>1366</v>
      </c>
      <c r="D456" s="2" t="s">
        <v>10040</v>
      </c>
      <c r="E456" s="15">
        <v>0.12130000000000001</v>
      </c>
      <c r="F456" s="15">
        <v>8.2500000000000004E-2</v>
      </c>
      <c r="G456" s="15">
        <v>0.14169999999999999</v>
      </c>
      <c r="H456" s="15">
        <v>0.155</v>
      </c>
      <c r="I456" s="15">
        <v>3.95E-2</v>
      </c>
      <c r="J456" s="15">
        <v>3.924050632911392</v>
      </c>
    </row>
    <row r="457" spans="1:10" x14ac:dyDescent="0.25">
      <c r="A457" s="2" t="s">
        <v>1367</v>
      </c>
      <c r="B457" s="2" t="s">
        <v>1368</v>
      </c>
      <c r="C457" s="2" t="s">
        <v>1369</v>
      </c>
      <c r="D457" s="2" t="s">
        <v>10040</v>
      </c>
      <c r="E457" s="15">
        <v>4.19E-2</v>
      </c>
      <c r="F457" s="15">
        <v>8.5599999999999996E-2</v>
      </c>
      <c r="G457" s="15">
        <v>0.62450000000000006</v>
      </c>
      <c r="H457" s="15">
        <v>0.1867</v>
      </c>
      <c r="I457" s="15">
        <v>4.2900000000000001E-2</v>
      </c>
      <c r="J457" s="15">
        <v>4.3519813519813519</v>
      </c>
    </row>
    <row r="458" spans="1:10" x14ac:dyDescent="0.25">
      <c r="A458" s="2" t="s">
        <v>1370</v>
      </c>
      <c r="B458" s="2" t="s">
        <v>1371</v>
      </c>
      <c r="C458" s="2" t="s">
        <v>1372</v>
      </c>
      <c r="D458" s="2" t="s">
        <v>10040</v>
      </c>
      <c r="E458" s="15">
        <v>0.15629999999999999</v>
      </c>
      <c r="F458" s="15">
        <v>6.3E-2</v>
      </c>
      <c r="G458" s="15">
        <v>1.3100000000000001E-2</v>
      </c>
      <c r="H458" s="15">
        <v>0.27239999999999998</v>
      </c>
      <c r="I458" s="15">
        <v>5.2600000000000001E-2</v>
      </c>
      <c r="J458" s="15">
        <v>5.1787072243346</v>
      </c>
    </row>
    <row r="459" spans="1:10" x14ac:dyDescent="0.25">
      <c r="A459" s="2" t="s">
        <v>1373</v>
      </c>
      <c r="B459" s="2" t="s">
        <v>1374</v>
      </c>
      <c r="C459" s="2" t="s">
        <v>1375</v>
      </c>
      <c r="D459" s="2" t="s">
        <v>10040</v>
      </c>
      <c r="E459" s="15">
        <v>-4.1298000000000003E-5</v>
      </c>
      <c r="F459" s="15">
        <v>0.1045</v>
      </c>
      <c r="G459" s="15">
        <v>0.99970000000000003</v>
      </c>
      <c r="H459" s="15">
        <v>0.12690000000000001</v>
      </c>
      <c r="I459" s="15">
        <v>3.95E-2</v>
      </c>
      <c r="J459" s="15">
        <v>3.212658227848102</v>
      </c>
    </row>
    <row r="460" spans="1:10" x14ac:dyDescent="0.25">
      <c r="A460" s="2" t="s">
        <v>1376</v>
      </c>
      <c r="B460" s="2" t="s">
        <v>1377</v>
      </c>
      <c r="C460" s="2" t="s">
        <v>1378</v>
      </c>
      <c r="D460" s="2" t="s">
        <v>10040</v>
      </c>
      <c r="E460" s="15">
        <v>-9.9000000000000008E-3</v>
      </c>
      <c r="F460" s="15">
        <v>9.2899999999999996E-2</v>
      </c>
      <c r="G460" s="15">
        <v>0.91520000000000001</v>
      </c>
      <c r="H460" s="15">
        <v>0.14580000000000001</v>
      </c>
      <c r="I460" s="15">
        <v>4.3700000000000003E-2</v>
      </c>
      <c r="J460" s="15">
        <v>3.3363844393592679</v>
      </c>
    </row>
    <row r="461" spans="1:10" x14ac:dyDescent="0.25">
      <c r="A461" s="2" t="s">
        <v>1379</v>
      </c>
      <c r="B461" s="2" t="s">
        <v>1380</v>
      </c>
      <c r="C461" s="2" t="s">
        <v>1381</v>
      </c>
      <c r="D461" s="2" t="s">
        <v>10040</v>
      </c>
      <c r="E461" s="15">
        <v>0.1191</v>
      </c>
      <c r="F461" s="15">
        <v>6.3399999999999998E-2</v>
      </c>
      <c r="G461" s="15">
        <v>6.0499999999999998E-2</v>
      </c>
      <c r="H461" s="15">
        <v>0.21820000000000001</v>
      </c>
      <c r="I461" s="15">
        <v>4.1799999999999997E-2</v>
      </c>
      <c r="J461" s="15">
        <v>5.2200956937799052</v>
      </c>
    </row>
    <row r="462" spans="1:10" x14ac:dyDescent="0.25">
      <c r="A462" s="2" t="s">
        <v>1382</v>
      </c>
      <c r="B462" s="2" t="s">
        <v>1383</v>
      </c>
      <c r="C462" s="2" t="s">
        <v>1384</v>
      </c>
      <c r="D462" s="2" t="s">
        <v>10040</v>
      </c>
      <c r="E462" s="15">
        <v>-5.5999999999999999E-3</v>
      </c>
      <c r="F462" s="15">
        <v>8.1299999999999997E-2</v>
      </c>
      <c r="G462" s="15">
        <v>0.94550000000000001</v>
      </c>
      <c r="H462" s="15">
        <v>0.17810000000000001</v>
      </c>
      <c r="I462" s="15">
        <v>4.0300000000000002E-2</v>
      </c>
      <c r="J462" s="15">
        <v>4.419354838709677</v>
      </c>
    </row>
    <row r="463" spans="1:10" x14ac:dyDescent="0.25">
      <c r="A463" s="2" t="s">
        <v>1385</v>
      </c>
      <c r="B463" s="2" t="s">
        <v>1386</v>
      </c>
      <c r="C463" s="2" t="s">
        <v>1387</v>
      </c>
      <c r="D463" s="2" t="s">
        <v>10040</v>
      </c>
      <c r="E463" s="15">
        <v>2.9899999999999999E-2</v>
      </c>
      <c r="F463" s="15">
        <v>8.2799999999999999E-2</v>
      </c>
      <c r="G463" s="15">
        <v>0.71799999999999997</v>
      </c>
      <c r="H463" s="15">
        <v>0.15840000000000001</v>
      </c>
      <c r="I463" s="15">
        <v>4.1099999999999998E-2</v>
      </c>
      <c r="J463" s="15">
        <v>3.8540145985401471</v>
      </c>
    </row>
    <row r="464" spans="1:10" x14ac:dyDescent="0.25">
      <c r="A464" s="2" t="s">
        <v>1388</v>
      </c>
      <c r="B464" s="2" t="s">
        <v>1389</v>
      </c>
      <c r="C464" s="2" t="s">
        <v>1390</v>
      </c>
      <c r="D464" s="2" t="s">
        <v>10040</v>
      </c>
      <c r="E464" s="15">
        <v>5.9299999999999999E-2</v>
      </c>
      <c r="F464" s="15">
        <v>7.3999999999999996E-2</v>
      </c>
      <c r="G464" s="15">
        <v>0.42309999999999998</v>
      </c>
      <c r="H464" s="15">
        <v>0.20569999999999999</v>
      </c>
      <c r="I464" s="15">
        <v>0.04</v>
      </c>
      <c r="J464" s="15">
        <v>5.1425000000000001</v>
      </c>
    </row>
    <row r="465" spans="1:10" x14ac:dyDescent="0.25">
      <c r="A465" s="2" t="s">
        <v>1391</v>
      </c>
      <c r="B465" s="2" t="s">
        <v>1392</v>
      </c>
      <c r="C465" s="2" t="s">
        <v>1393</v>
      </c>
      <c r="D465" s="2" t="s">
        <v>10040</v>
      </c>
      <c r="E465" s="15">
        <v>9.4500000000000001E-2</v>
      </c>
      <c r="F465" s="15">
        <v>7.0199999999999999E-2</v>
      </c>
      <c r="G465" s="15">
        <v>0.17799999999999999</v>
      </c>
      <c r="H465" s="15">
        <v>0.23669999999999999</v>
      </c>
      <c r="I465" s="15">
        <v>4.1300000000000003E-2</v>
      </c>
      <c r="J465" s="15">
        <v>5.7312348668280864</v>
      </c>
    </row>
    <row r="466" spans="1:10" x14ac:dyDescent="0.25">
      <c r="A466" s="2" t="s">
        <v>1394</v>
      </c>
      <c r="B466" s="2" t="s">
        <v>1395</v>
      </c>
      <c r="C466" s="2" t="s">
        <v>1396</v>
      </c>
      <c r="D466" s="2" t="s">
        <v>10040</v>
      </c>
      <c r="E466" s="15">
        <v>-6.8699999999999997E-2</v>
      </c>
      <c r="F466" s="15">
        <v>8.5699999999999998E-2</v>
      </c>
      <c r="G466" s="15">
        <v>0.4224</v>
      </c>
      <c r="H466" s="15">
        <v>0.1368</v>
      </c>
      <c r="I466" s="15">
        <v>4.24E-2</v>
      </c>
      <c r="J466" s="15">
        <v>3.226415094339623</v>
      </c>
    </row>
    <row r="467" spans="1:10" x14ac:dyDescent="0.25">
      <c r="A467" s="2" t="s">
        <v>1397</v>
      </c>
      <c r="B467" s="2" t="s">
        <v>1398</v>
      </c>
      <c r="C467" s="2" t="s">
        <v>1399</v>
      </c>
      <c r="D467" s="2" t="s">
        <v>10040</v>
      </c>
      <c r="E467" s="15">
        <v>9.1999999999999998E-2</v>
      </c>
      <c r="F467" s="15">
        <v>6.8900000000000003E-2</v>
      </c>
      <c r="G467" s="15">
        <v>0.18179999999999999</v>
      </c>
      <c r="H467" s="15">
        <v>0.2429</v>
      </c>
      <c r="I467" s="15">
        <v>4.4900000000000002E-2</v>
      </c>
      <c r="J467" s="15">
        <v>5.4097995545657014</v>
      </c>
    </row>
    <row r="468" spans="1:10" x14ac:dyDescent="0.25">
      <c r="A468" s="2" t="s">
        <v>1400</v>
      </c>
      <c r="B468" s="2" t="s">
        <v>1401</v>
      </c>
      <c r="C468" s="2" t="s">
        <v>1402</v>
      </c>
      <c r="D468" s="2" t="s">
        <v>10040</v>
      </c>
      <c r="E468" s="15">
        <v>-0.11550000000000001</v>
      </c>
      <c r="F468" s="15">
        <v>8.4000000000000005E-2</v>
      </c>
      <c r="G468" s="15">
        <v>0.16900000000000001</v>
      </c>
      <c r="H468" s="15">
        <v>0.1812</v>
      </c>
      <c r="I468" s="15">
        <v>4.5699999999999998E-2</v>
      </c>
      <c r="J468" s="15">
        <v>3.9649890590809629</v>
      </c>
    </row>
    <row r="469" spans="1:10" x14ac:dyDescent="0.25">
      <c r="A469" s="2" t="s">
        <v>1403</v>
      </c>
      <c r="B469" s="2" t="s">
        <v>1404</v>
      </c>
      <c r="C469" s="2" t="s">
        <v>1405</v>
      </c>
      <c r="D469" s="2" t="s">
        <v>10040</v>
      </c>
      <c r="E469" s="15">
        <v>2.6100000000000002E-2</v>
      </c>
      <c r="F469" s="15">
        <v>9.2200000000000004E-2</v>
      </c>
      <c r="G469" s="15">
        <v>0.77700000000000002</v>
      </c>
      <c r="H469" s="15">
        <v>0.13600000000000001</v>
      </c>
      <c r="I469" s="15">
        <v>4.7899999999999998E-2</v>
      </c>
      <c r="J469" s="15">
        <v>2.8392484342379962</v>
      </c>
    </row>
    <row r="470" spans="1:10" x14ac:dyDescent="0.25">
      <c r="A470" s="2" t="s">
        <v>1406</v>
      </c>
      <c r="B470" s="2" t="s">
        <v>1407</v>
      </c>
      <c r="C470" s="2" t="s">
        <v>1408</v>
      </c>
      <c r="D470" s="2" t="s">
        <v>10040</v>
      </c>
      <c r="E470" s="15">
        <v>9.06E-2</v>
      </c>
      <c r="F470" s="15">
        <v>6.0900000000000003E-2</v>
      </c>
      <c r="G470" s="15">
        <v>0.13700000000000001</v>
      </c>
      <c r="H470" s="15">
        <v>0.26040000000000002</v>
      </c>
      <c r="I470" s="15">
        <v>4.9000000000000002E-2</v>
      </c>
      <c r="J470" s="15">
        <v>5.3142857142857141</v>
      </c>
    </row>
    <row r="471" spans="1:10" x14ac:dyDescent="0.25">
      <c r="A471" s="2" t="s">
        <v>1409</v>
      </c>
      <c r="B471" s="2" t="s">
        <v>1410</v>
      </c>
      <c r="C471" s="2" t="s">
        <v>1411</v>
      </c>
      <c r="D471" s="2" t="s">
        <v>10040</v>
      </c>
      <c r="E471" s="15">
        <v>-7.1199999999999999E-2</v>
      </c>
      <c r="F471" s="15">
        <v>0.19620000000000001</v>
      </c>
      <c r="G471" s="15">
        <v>0.7167</v>
      </c>
      <c r="H471" s="15">
        <v>2.76E-2</v>
      </c>
      <c r="I471" s="15">
        <v>3.7900000000000003E-2</v>
      </c>
      <c r="J471" s="15">
        <v>0.72823218997361472</v>
      </c>
    </row>
    <row r="472" spans="1:10" x14ac:dyDescent="0.25">
      <c r="A472" s="2" t="s">
        <v>1412</v>
      </c>
      <c r="B472" s="2" t="s">
        <v>1413</v>
      </c>
      <c r="C472" s="2" t="s">
        <v>1414</v>
      </c>
      <c r="D472" s="2" t="s">
        <v>10040</v>
      </c>
      <c r="E472" s="15">
        <v>0.111</v>
      </c>
      <c r="F472" s="15">
        <v>7.9299999999999995E-2</v>
      </c>
      <c r="G472" s="15">
        <v>0.16189999999999999</v>
      </c>
      <c r="H472" s="15">
        <v>0.14119999999999999</v>
      </c>
      <c r="I472" s="15">
        <v>3.8100000000000002E-2</v>
      </c>
      <c r="J472" s="15">
        <v>3.7060367454068239</v>
      </c>
    </row>
    <row r="473" spans="1:10" x14ac:dyDescent="0.25">
      <c r="A473" s="2" t="s">
        <v>1415</v>
      </c>
      <c r="B473" s="2" t="s">
        <v>1416</v>
      </c>
      <c r="C473" s="2" t="s">
        <v>1417</v>
      </c>
      <c r="D473" s="2" t="s">
        <v>10040</v>
      </c>
      <c r="E473" s="15">
        <v>9.8799999999999999E-2</v>
      </c>
      <c r="F473" s="15">
        <v>7.5300000000000006E-2</v>
      </c>
      <c r="G473" s="15">
        <v>0.1895</v>
      </c>
      <c r="H473" s="15">
        <v>0.22919999999999999</v>
      </c>
      <c r="I473" s="15">
        <v>4.8099999999999997E-2</v>
      </c>
      <c r="J473" s="15">
        <v>4.7650727650727651</v>
      </c>
    </row>
    <row r="474" spans="1:10" x14ac:dyDescent="0.25">
      <c r="A474" s="2" t="s">
        <v>1418</v>
      </c>
      <c r="B474" s="2" t="s">
        <v>1419</v>
      </c>
      <c r="C474" s="2" t="s">
        <v>1420</v>
      </c>
      <c r="D474" s="2" t="s">
        <v>10040</v>
      </c>
      <c r="E474" s="15">
        <v>0.318</v>
      </c>
      <c r="F474" s="15">
        <v>0.36430000000000001</v>
      </c>
      <c r="G474" s="15">
        <v>0.38279999999999997</v>
      </c>
      <c r="H474" s="15">
        <v>2.3E-2</v>
      </c>
      <c r="I474" s="15">
        <v>3.6999999999999998E-2</v>
      </c>
      <c r="J474" s="15">
        <v>0.6216216216216216</v>
      </c>
    </row>
    <row r="475" spans="1:10" x14ac:dyDescent="0.25">
      <c r="A475" s="2" t="s">
        <v>1421</v>
      </c>
      <c r="B475" s="2" t="s">
        <v>1422</v>
      </c>
      <c r="C475" s="2" t="s">
        <v>1423</v>
      </c>
      <c r="D475" s="2" t="s">
        <v>10040</v>
      </c>
      <c r="E475" s="15">
        <v>7.0199999999999999E-2</v>
      </c>
      <c r="F475" s="15">
        <v>7.9000000000000001E-2</v>
      </c>
      <c r="G475" s="15">
        <v>0.37419999999999998</v>
      </c>
      <c r="H475" s="15">
        <v>0.2162</v>
      </c>
      <c r="I475" s="15">
        <v>4.2500000000000003E-2</v>
      </c>
      <c r="J475" s="15">
        <v>5.0870588235294116</v>
      </c>
    </row>
    <row r="476" spans="1:10" x14ac:dyDescent="0.25">
      <c r="A476" s="2" t="s">
        <v>1424</v>
      </c>
      <c r="B476" s="2" t="s">
        <v>1425</v>
      </c>
      <c r="C476" s="2" t="s">
        <v>1426</v>
      </c>
      <c r="D476" s="2" t="s">
        <v>10040</v>
      </c>
      <c r="E476" s="15">
        <v>-3.4799999999999998E-2</v>
      </c>
      <c r="F476" s="15">
        <v>0.10150000000000001</v>
      </c>
      <c r="G476" s="15">
        <v>0.73150000000000004</v>
      </c>
      <c r="H476" s="15">
        <v>0.12709999999999999</v>
      </c>
      <c r="I476" s="15">
        <v>4.2200000000000001E-2</v>
      </c>
      <c r="J476" s="15">
        <v>3.011848341232227</v>
      </c>
    </row>
    <row r="477" spans="1:10" x14ac:dyDescent="0.25">
      <c r="A477" s="2" t="s">
        <v>1427</v>
      </c>
      <c r="B477" s="2" t="s">
        <v>1428</v>
      </c>
      <c r="C477" s="2" t="s">
        <v>1429</v>
      </c>
      <c r="D477" s="2" t="s">
        <v>10040</v>
      </c>
      <c r="E477" s="15">
        <v>5.04E-2</v>
      </c>
      <c r="F477" s="15">
        <v>8.0699999999999994E-2</v>
      </c>
      <c r="G477" s="15">
        <v>0.53239999999999998</v>
      </c>
      <c r="H477" s="15">
        <v>0.13739999999999999</v>
      </c>
      <c r="I477" s="15">
        <v>3.9899999999999998E-2</v>
      </c>
      <c r="J477" s="15">
        <v>3.4436090225563909</v>
      </c>
    </row>
    <row r="478" spans="1:10" x14ac:dyDescent="0.25">
      <c r="A478" s="2" t="s">
        <v>1430</v>
      </c>
      <c r="B478" s="2" t="s">
        <v>1431</v>
      </c>
      <c r="C478" s="2" t="s">
        <v>1432</v>
      </c>
      <c r="D478" s="2" t="s">
        <v>10040</v>
      </c>
      <c r="E478" s="15">
        <v>-7.5999999999999998E-2</v>
      </c>
      <c r="F478" s="15">
        <v>9.6600000000000005E-2</v>
      </c>
      <c r="G478" s="15">
        <v>0.43149999999999999</v>
      </c>
      <c r="H478" s="15">
        <v>0.15709999999999999</v>
      </c>
      <c r="I478" s="15">
        <v>3.9100000000000003E-2</v>
      </c>
      <c r="J478" s="15">
        <v>4.0179028132992318</v>
      </c>
    </row>
    <row r="479" spans="1:10" x14ac:dyDescent="0.25">
      <c r="A479" s="2" t="s">
        <v>1433</v>
      </c>
      <c r="B479" s="2" t="s">
        <v>1434</v>
      </c>
      <c r="C479" s="2" t="s">
        <v>1435</v>
      </c>
      <c r="D479" s="2" t="s">
        <v>10040</v>
      </c>
      <c r="E479" s="15">
        <v>0.12790000000000001</v>
      </c>
      <c r="F479" s="15">
        <v>7.8100000000000003E-2</v>
      </c>
      <c r="G479" s="15">
        <v>0.1012</v>
      </c>
      <c r="H479" s="15">
        <v>0.17349999999999999</v>
      </c>
      <c r="I479" s="15">
        <v>4.02E-2</v>
      </c>
      <c r="J479" s="15">
        <v>4.3159203980099496</v>
      </c>
    </row>
    <row r="480" spans="1:10" x14ac:dyDescent="0.25">
      <c r="A480" s="2" t="s">
        <v>1436</v>
      </c>
      <c r="B480" s="2" t="s">
        <v>1437</v>
      </c>
      <c r="C480" s="2" t="s">
        <v>1438</v>
      </c>
      <c r="D480" s="2" t="s">
        <v>10040</v>
      </c>
      <c r="E480" s="15">
        <v>5.3499999999999999E-2</v>
      </c>
      <c r="F480" s="15">
        <v>7.4099999999999999E-2</v>
      </c>
      <c r="G480" s="15">
        <v>0.47039999999999998</v>
      </c>
      <c r="H480" s="15">
        <v>0.19320000000000001</v>
      </c>
      <c r="I480" s="15">
        <v>4.0800000000000003E-2</v>
      </c>
      <c r="J480" s="15">
        <v>4.7352941176470589</v>
      </c>
    </row>
    <row r="481" spans="1:10" x14ac:dyDescent="0.25">
      <c r="A481" s="2" t="s">
        <v>1439</v>
      </c>
      <c r="B481" s="2" t="s">
        <v>1440</v>
      </c>
      <c r="C481" s="2" t="s">
        <v>1441</v>
      </c>
      <c r="D481" s="2" t="s">
        <v>10040</v>
      </c>
      <c r="E481" s="15">
        <v>4.9099999999999998E-2</v>
      </c>
      <c r="F481" s="15">
        <v>7.0300000000000001E-2</v>
      </c>
      <c r="G481" s="15">
        <v>0.4849</v>
      </c>
      <c r="H481" s="15">
        <v>0.23119999999999999</v>
      </c>
      <c r="I481" s="15">
        <v>4.8099999999999997E-2</v>
      </c>
      <c r="J481" s="15">
        <v>4.8066528066528056</v>
      </c>
    </row>
    <row r="482" spans="1:10" x14ac:dyDescent="0.25">
      <c r="A482" s="2" t="s">
        <v>1442</v>
      </c>
      <c r="B482" s="2" t="s">
        <v>1443</v>
      </c>
      <c r="C482" s="2" t="s">
        <v>1444</v>
      </c>
      <c r="D482" s="2" t="s">
        <v>10040</v>
      </c>
      <c r="E482" s="15">
        <v>-0.15</v>
      </c>
      <c r="F482" s="15">
        <v>9.4700000000000006E-2</v>
      </c>
      <c r="G482" s="15">
        <v>0.1134</v>
      </c>
      <c r="H482" s="15">
        <v>0.1241</v>
      </c>
      <c r="I482" s="15">
        <v>4.1799999999999997E-2</v>
      </c>
      <c r="J482" s="15">
        <v>2.9688995215311009</v>
      </c>
    </row>
    <row r="483" spans="1:10" x14ac:dyDescent="0.25">
      <c r="A483" s="2" t="s">
        <v>1445</v>
      </c>
      <c r="B483" s="2" t="s">
        <v>1446</v>
      </c>
      <c r="C483" s="2" t="s">
        <v>1447</v>
      </c>
      <c r="D483" s="2" t="s">
        <v>10040</v>
      </c>
      <c r="E483" s="15">
        <v>-0.10340000000000001</v>
      </c>
      <c r="F483" s="15">
        <v>6.9400000000000003E-2</v>
      </c>
      <c r="G483" s="15">
        <v>0.13650000000000001</v>
      </c>
      <c r="H483" s="15">
        <v>0.22120000000000001</v>
      </c>
      <c r="I483" s="15">
        <v>4.1700000000000001E-2</v>
      </c>
      <c r="J483" s="15">
        <v>5.304556354916067</v>
      </c>
    </row>
    <row r="484" spans="1:10" x14ac:dyDescent="0.25">
      <c r="A484" s="2" t="s">
        <v>1448</v>
      </c>
      <c r="B484" s="2" t="s">
        <v>1449</v>
      </c>
      <c r="C484" s="2" t="s">
        <v>1450</v>
      </c>
      <c r="D484" s="2" t="s">
        <v>10040</v>
      </c>
      <c r="E484" s="15">
        <v>1.1900000000000001E-2</v>
      </c>
      <c r="F484" s="15">
        <v>7.8700000000000006E-2</v>
      </c>
      <c r="G484" s="15">
        <v>0.87939999999999996</v>
      </c>
      <c r="H484" s="15">
        <v>0.21779999999999999</v>
      </c>
      <c r="I484" s="15">
        <v>4.0599999999999997E-2</v>
      </c>
      <c r="J484" s="15">
        <v>5.3645320197044333</v>
      </c>
    </row>
    <row r="485" spans="1:10" x14ac:dyDescent="0.25">
      <c r="A485" s="2" t="s">
        <v>1451</v>
      </c>
      <c r="B485" s="2" t="s">
        <v>1452</v>
      </c>
      <c r="C485" s="2" t="s">
        <v>1453</v>
      </c>
      <c r="D485" s="2" t="s">
        <v>10040</v>
      </c>
      <c r="E485" s="15">
        <v>4.65E-2</v>
      </c>
      <c r="F485" s="15">
        <v>8.1100000000000005E-2</v>
      </c>
      <c r="G485" s="15">
        <v>0.56620000000000004</v>
      </c>
      <c r="H485" s="15">
        <v>0.1678</v>
      </c>
      <c r="I485" s="15">
        <v>4.0800000000000003E-2</v>
      </c>
      <c r="J485" s="15">
        <v>4.1127450980392153</v>
      </c>
    </row>
    <row r="486" spans="1:10" x14ac:dyDescent="0.25">
      <c r="A486" s="2" t="s">
        <v>1454</v>
      </c>
      <c r="B486" s="2" t="s">
        <v>1455</v>
      </c>
      <c r="C486" s="2" t="s">
        <v>1456</v>
      </c>
      <c r="D486" s="2" t="s">
        <v>10040</v>
      </c>
      <c r="E486" s="15">
        <v>0.1091</v>
      </c>
      <c r="F486" s="15">
        <v>7.8100000000000003E-2</v>
      </c>
      <c r="G486" s="15">
        <v>0.16250000000000001</v>
      </c>
      <c r="H486" s="15">
        <v>0.17199999999999999</v>
      </c>
      <c r="I486" s="15">
        <v>4.3499999999999997E-2</v>
      </c>
      <c r="J486" s="15">
        <v>3.9540229885057472</v>
      </c>
    </row>
    <row r="487" spans="1:10" x14ac:dyDescent="0.25">
      <c r="A487" s="2" t="s">
        <v>1457</v>
      </c>
      <c r="B487" s="2" t="s">
        <v>1458</v>
      </c>
      <c r="C487" s="2" t="s">
        <v>1459</v>
      </c>
      <c r="D487" s="2" t="s">
        <v>10040</v>
      </c>
      <c r="E487" s="15">
        <v>3.8899999999999997E-2</v>
      </c>
      <c r="F487" s="15">
        <v>8.5800000000000001E-2</v>
      </c>
      <c r="G487" s="15">
        <v>0.6502</v>
      </c>
      <c r="H487" s="15">
        <v>0.13750000000000001</v>
      </c>
      <c r="I487" s="15">
        <v>4.1099999999999998E-2</v>
      </c>
      <c r="J487" s="15">
        <v>3.3454987834549881</v>
      </c>
    </row>
    <row r="488" spans="1:10" x14ac:dyDescent="0.25">
      <c r="A488" s="2" t="s">
        <v>1460</v>
      </c>
      <c r="B488" s="2" t="s">
        <v>1461</v>
      </c>
      <c r="C488" s="2" t="s">
        <v>1462</v>
      </c>
      <c r="D488" s="2" t="s">
        <v>10040</v>
      </c>
      <c r="E488" s="15">
        <v>0.2009</v>
      </c>
      <c r="F488" s="15">
        <v>8.5699999999999998E-2</v>
      </c>
      <c r="G488" s="15">
        <v>1.9099999999999999E-2</v>
      </c>
      <c r="H488" s="15">
        <v>0.18</v>
      </c>
      <c r="I488" s="15">
        <v>4.2000000000000003E-2</v>
      </c>
      <c r="J488" s="15">
        <v>4.2857142857142856</v>
      </c>
    </row>
    <row r="489" spans="1:10" x14ac:dyDescent="0.25">
      <c r="A489" s="2" t="s">
        <v>1463</v>
      </c>
      <c r="B489" s="2" t="s">
        <v>1464</v>
      </c>
      <c r="C489" s="2" t="s">
        <v>1465</v>
      </c>
      <c r="D489" s="2" t="s">
        <v>10040</v>
      </c>
      <c r="E489" s="15">
        <v>0.16250000000000001</v>
      </c>
      <c r="F489" s="15">
        <v>6.5600000000000006E-2</v>
      </c>
      <c r="G489" s="15">
        <v>1.3299999999999999E-2</v>
      </c>
      <c r="H489" s="15">
        <v>0.2707</v>
      </c>
      <c r="I489" s="15">
        <v>5.8000000000000003E-2</v>
      </c>
      <c r="J489" s="15">
        <v>4.6672413793103447</v>
      </c>
    </row>
    <row r="490" spans="1:10" x14ac:dyDescent="0.25">
      <c r="A490" s="2" t="s">
        <v>1466</v>
      </c>
      <c r="B490" s="2" t="s">
        <v>1467</v>
      </c>
      <c r="C490" s="2" t="s">
        <v>1468</v>
      </c>
      <c r="D490" s="2" t="s">
        <v>10040</v>
      </c>
      <c r="E490" s="15">
        <v>-6.7000000000000004E-2</v>
      </c>
      <c r="F490" s="15">
        <v>0.10680000000000001</v>
      </c>
      <c r="G490" s="15">
        <v>0.53039999999999998</v>
      </c>
      <c r="H490" s="15">
        <v>0.10829999999999999</v>
      </c>
      <c r="I490" s="15">
        <v>3.6499999999999998E-2</v>
      </c>
      <c r="J490" s="15">
        <v>2.967123287671233</v>
      </c>
    </row>
    <row r="491" spans="1:10" x14ac:dyDescent="0.25">
      <c r="A491" s="2" t="s">
        <v>1469</v>
      </c>
      <c r="B491" s="2" t="s">
        <v>1470</v>
      </c>
      <c r="C491" s="2" t="s">
        <v>1471</v>
      </c>
      <c r="D491" s="2" t="s">
        <v>10040</v>
      </c>
      <c r="E491" s="15">
        <v>6.0600000000000001E-2</v>
      </c>
      <c r="F491" s="15">
        <v>0.1087</v>
      </c>
      <c r="G491" s="15">
        <v>0.57720000000000005</v>
      </c>
      <c r="H491" s="15">
        <v>0.1153</v>
      </c>
      <c r="I491" s="15">
        <v>4.2900000000000001E-2</v>
      </c>
      <c r="J491" s="15">
        <v>2.6876456876456878</v>
      </c>
    </row>
    <row r="492" spans="1:10" x14ac:dyDescent="0.25">
      <c r="A492" s="2" t="s">
        <v>1472</v>
      </c>
      <c r="B492" s="2" t="s">
        <v>1473</v>
      </c>
      <c r="C492" s="2" t="s">
        <v>1474</v>
      </c>
      <c r="D492" s="2" t="s">
        <v>10040</v>
      </c>
      <c r="E492" s="15">
        <v>-2.7699999999999999E-2</v>
      </c>
      <c r="F492" s="15">
        <v>8.2100000000000006E-2</v>
      </c>
      <c r="G492" s="15">
        <v>0.73609999999999998</v>
      </c>
      <c r="H492" s="15">
        <v>0.1283</v>
      </c>
      <c r="I492" s="15">
        <v>4.0500000000000001E-2</v>
      </c>
      <c r="J492" s="15">
        <v>3.1679012345679012</v>
      </c>
    </row>
    <row r="493" spans="1:10" x14ac:dyDescent="0.25">
      <c r="A493" s="2" t="s">
        <v>1475</v>
      </c>
      <c r="B493" s="2" t="s">
        <v>1476</v>
      </c>
      <c r="C493" s="2" t="s">
        <v>1477</v>
      </c>
      <c r="D493" s="2" t="s">
        <v>10040</v>
      </c>
      <c r="E493" s="15">
        <v>-7.3000000000000001E-3</v>
      </c>
      <c r="F493" s="15">
        <v>8.72E-2</v>
      </c>
      <c r="G493" s="15">
        <v>0.93310000000000004</v>
      </c>
      <c r="H493" s="15">
        <v>0.15440000000000001</v>
      </c>
      <c r="I493" s="15">
        <v>4.3900000000000002E-2</v>
      </c>
      <c r="J493" s="15">
        <v>3.5170842824601372</v>
      </c>
    </row>
    <row r="494" spans="1:10" x14ac:dyDescent="0.25">
      <c r="A494" s="2" t="s">
        <v>1478</v>
      </c>
      <c r="B494" s="2" t="s">
        <v>1479</v>
      </c>
      <c r="C494" s="2" t="s">
        <v>1480</v>
      </c>
      <c r="D494" s="2" t="s">
        <v>10040</v>
      </c>
      <c r="E494" s="15">
        <v>1.0999999999999999E-2</v>
      </c>
      <c r="F494" s="15">
        <v>0.14979999999999999</v>
      </c>
      <c r="G494" s="15">
        <v>0.9415</v>
      </c>
      <c r="H494" s="15">
        <v>4.7E-2</v>
      </c>
      <c r="I494" s="15">
        <v>3.9399999999999998E-2</v>
      </c>
      <c r="J494" s="15">
        <v>1.192893401015229</v>
      </c>
    </row>
    <row r="495" spans="1:10" x14ac:dyDescent="0.25">
      <c r="A495" s="2" t="s">
        <v>1481</v>
      </c>
      <c r="B495" s="2" t="s">
        <v>1482</v>
      </c>
      <c r="C495" s="2" t="s">
        <v>1483</v>
      </c>
      <c r="D495" s="2" t="s">
        <v>10040</v>
      </c>
      <c r="E495" s="15">
        <v>1.0699999999999999E-2</v>
      </c>
      <c r="F495" s="15">
        <v>7.4700000000000003E-2</v>
      </c>
      <c r="G495" s="15">
        <v>0.88580000000000003</v>
      </c>
      <c r="H495" s="15">
        <v>0.20530000000000001</v>
      </c>
      <c r="I495" s="15">
        <v>3.9600000000000003E-2</v>
      </c>
      <c r="J495" s="15">
        <v>5.1843434343434343</v>
      </c>
    </row>
    <row r="496" spans="1:10" x14ac:dyDescent="0.25">
      <c r="A496" s="2" t="s">
        <v>1484</v>
      </c>
      <c r="B496" s="2" t="s">
        <v>1485</v>
      </c>
      <c r="C496" s="2" t="s">
        <v>1486</v>
      </c>
      <c r="D496" s="2" t="s">
        <v>10040</v>
      </c>
      <c r="E496" s="15">
        <v>0.10100000000000001</v>
      </c>
      <c r="F496" s="15">
        <v>7.8700000000000006E-2</v>
      </c>
      <c r="G496" s="15">
        <v>0.19950000000000001</v>
      </c>
      <c r="H496" s="15">
        <v>0.19439999999999999</v>
      </c>
      <c r="I496" s="15">
        <v>4.2900000000000001E-2</v>
      </c>
      <c r="J496" s="15">
        <v>4.5314685314685308</v>
      </c>
    </row>
    <row r="497" spans="1:10" x14ac:dyDescent="0.25">
      <c r="A497" s="2" t="s">
        <v>1487</v>
      </c>
      <c r="B497" s="2" t="s">
        <v>1488</v>
      </c>
      <c r="C497" s="2" t="s">
        <v>1489</v>
      </c>
      <c r="D497" s="2" t="s">
        <v>10040</v>
      </c>
      <c r="E497" s="15">
        <v>-6.2600000000000003E-2</v>
      </c>
      <c r="F497" s="15">
        <v>0.1181</v>
      </c>
      <c r="G497" s="15">
        <v>0.59619999999999995</v>
      </c>
      <c r="H497" s="15">
        <v>0.10050000000000001</v>
      </c>
      <c r="I497" s="15">
        <v>4.0300000000000002E-2</v>
      </c>
      <c r="J497" s="15">
        <v>2.4937965260545911</v>
      </c>
    </row>
    <row r="498" spans="1:10" x14ac:dyDescent="0.25">
      <c r="A498" s="2" t="s">
        <v>1490</v>
      </c>
      <c r="B498" s="2" t="s">
        <v>1491</v>
      </c>
      <c r="C498" s="2" t="s">
        <v>1492</v>
      </c>
      <c r="D498" s="2" t="s">
        <v>10040</v>
      </c>
      <c r="E498" s="15">
        <v>0.1721</v>
      </c>
      <c r="F498" s="15">
        <v>7.0300000000000001E-2</v>
      </c>
      <c r="G498" s="15">
        <v>1.43E-2</v>
      </c>
      <c r="H498" s="15">
        <v>0.2104</v>
      </c>
      <c r="I498" s="15">
        <v>4.3099999999999999E-2</v>
      </c>
      <c r="J498" s="15">
        <v>4.8816705336426924</v>
      </c>
    </row>
    <row r="499" spans="1:10" x14ac:dyDescent="0.25">
      <c r="A499" s="2" t="s">
        <v>1493</v>
      </c>
      <c r="B499" s="2" t="s">
        <v>1494</v>
      </c>
      <c r="C499" s="2" t="s">
        <v>1495</v>
      </c>
      <c r="D499" s="2" t="s">
        <v>10040</v>
      </c>
      <c r="E499" s="15">
        <v>3.5000000000000003E-2</v>
      </c>
      <c r="F499" s="15">
        <v>9.4E-2</v>
      </c>
      <c r="G499" s="15">
        <v>0.70920000000000005</v>
      </c>
      <c r="H499" s="15">
        <v>0.12139999999999999</v>
      </c>
      <c r="I499" s="15">
        <v>4.3400000000000001E-2</v>
      </c>
      <c r="J499" s="15">
        <v>2.7972350230414751</v>
      </c>
    </row>
    <row r="500" spans="1:10" x14ac:dyDescent="0.25">
      <c r="A500" s="2" t="s">
        <v>1496</v>
      </c>
      <c r="B500" s="2" t="s">
        <v>1497</v>
      </c>
      <c r="C500" s="2" t="s">
        <v>1498</v>
      </c>
      <c r="D500" s="2" t="s">
        <v>10040</v>
      </c>
      <c r="E500" s="15">
        <v>0.13469999999999999</v>
      </c>
      <c r="F500" s="15">
        <v>8.9599999999999999E-2</v>
      </c>
      <c r="G500" s="15">
        <v>0.1326</v>
      </c>
      <c r="H500" s="15">
        <v>0.14680000000000001</v>
      </c>
      <c r="I500" s="15">
        <v>4.0899999999999999E-2</v>
      </c>
      <c r="J500" s="15">
        <v>3.5892420537897309</v>
      </c>
    </row>
    <row r="501" spans="1:10" x14ac:dyDescent="0.25">
      <c r="A501" s="2" t="s">
        <v>1499</v>
      </c>
      <c r="B501" s="2" t="s">
        <v>1500</v>
      </c>
      <c r="C501" s="2" t="s">
        <v>1501</v>
      </c>
      <c r="D501" s="2" t="s">
        <v>10040</v>
      </c>
      <c r="E501" s="15">
        <v>8.9399999999999993E-2</v>
      </c>
      <c r="F501" s="15">
        <v>5.8400000000000001E-2</v>
      </c>
      <c r="G501" s="15">
        <v>0.12559999999999999</v>
      </c>
      <c r="H501" s="15">
        <v>0.25869999999999999</v>
      </c>
      <c r="I501" s="15">
        <v>4.4699999999999997E-2</v>
      </c>
      <c r="J501" s="15">
        <v>5.7874720357941838</v>
      </c>
    </row>
    <row r="502" spans="1:10" x14ac:dyDescent="0.25">
      <c r="A502" s="2" t="s">
        <v>1502</v>
      </c>
      <c r="B502" s="2" t="s">
        <v>1503</v>
      </c>
      <c r="C502" s="2" t="s">
        <v>1504</v>
      </c>
      <c r="D502" s="2" t="s">
        <v>10040</v>
      </c>
      <c r="E502" s="15">
        <v>2.9999999999999997E-4</v>
      </c>
      <c r="F502" s="15">
        <v>9.4100000000000003E-2</v>
      </c>
      <c r="G502" s="15">
        <v>0.99729999999999996</v>
      </c>
      <c r="H502" s="15">
        <v>0.13150000000000001</v>
      </c>
      <c r="I502" s="15">
        <v>3.9199999999999999E-2</v>
      </c>
      <c r="J502" s="15">
        <v>3.3545918367346941</v>
      </c>
    </row>
    <row r="503" spans="1:10" x14ac:dyDescent="0.25">
      <c r="A503" s="2" t="s">
        <v>1505</v>
      </c>
      <c r="B503" s="2" t="s">
        <v>1506</v>
      </c>
      <c r="C503" s="2" t="s">
        <v>1507</v>
      </c>
      <c r="D503" s="2" t="s">
        <v>10040</v>
      </c>
      <c r="E503" s="15">
        <v>0.14829999999999999</v>
      </c>
      <c r="F503" s="15">
        <v>9.2899999999999996E-2</v>
      </c>
      <c r="G503" s="15">
        <v>0.11020000000000001</v>
      </c>
      <c r="H503" s="15">
        <v>0.127</v>
      </c>
      <c r="I503" s="15">
        <v>3.9899999999999998E-2</v>
      </c>
      <c r="J503" s="15">
        <v>3.1829573934837101</v>
      </c>
    </row>
    <row r="504" spans="1:10" x14ac:dyDescent="0.25">
      <c r="A504" s="2" t="s">
        <v>1508</v>
      </c>
      <c r="B504" s="2" t="s">
        <v>1509</v>
      </c>
      <c r="C504" s="2" t="s">
        <v>1510</v>
      </c>
      <c r="D504" s="2" t="s">
        <v>10040</v>
      </c>
      <c r="E504" s="15">
        <v>4.2000000000000003E-2</v>
      </c>
      <c r="F504" s="15">
        <v>8.9599999999999999E-2</v>
      </c>
      <c r="G504" s="15">
        <v>0.63919999999999999</v>
      </c>
      <c r="H504" s="15">
        <v>0.13739999999999999</v>
      </c>
      <c r="I504" s="15">
        <v>3.8300000000000001E-2</v>
      </c>
      <c r="J504" s="15">
        <v>3.5874673629242819</v>
      </c>
    </row>
    <row r="505" spans="1:10" x14ac:dyDescent="0.25">
      <c r="A505" s="2" t="s">
        <v>1511</v>
      </c>
      <c r="B505" s="2" t="s">
        <v>1512</v>
      </c>
      <c r="C505" s="2" t="s">
        <v>1513</v>
      </c>
      <c r="D505" s="2" t="s">
        <v>10040</v>
      </c>
      <c r="E505" s="15">
        <v>0.14430000000000001</v>
      </c>
      <c r="F505" s="15">
        <v>9.8900000000000002E-2</v>
      </c>
      <c r="G505" s="15">
        <v>0.14480000000000001</v>
      </c>
      <c r="H505" s="15">
        <v>0.12759999999999999</v>
      </c>
      <c r="I505" s="15">
        <v>4.0599999999999997E-2</v>
      </c>
      <c r="J505" s="15">
        <v>3.1428571428571428</v>
      </c>
    </row>
    <row r="506" spans="1:10" x14ac:dyDescent="0.25">
      <c r="A506" s="2" t="s">
        <v>1514</v>
      </c>
      <c r="B506" s="2" t="s">
        <v>1515</v>
      </c>
      <c r="C506" s="2" t="s">
        <v>1516</v>
      </c>
      <c r="D506" s="2" t="s">
        <v>10040</v>
      </c>
      <c r="E506" s="15">
        <v>-9.4999999999999998E-3</v>
      </c>
      <c r="F506" s="15">
        <v>0.10539999999999999</v>
      </c>
      <c r="G506" s="15">
        <v>0.92820000000000003</v>
      </c>
      <c r="H506" s="15">
        <v>0.1197</v>
      </c>
      <c r="I506" s="15">
        <v>3.9699999999999999E-2</v>
      </c>
      <c r="J506" s="15">
        <v>3.0151133501259451</v>
      </c>
    </row>
    <row r="507" spans="1:10" x14ac:dyDescent="0.25">
      <c r="A507" s="2" t="s">
        <v>1517</v>
      </c>
      <c r="B507" s="2" t="s">
        <v>1518</v>
      </c>
      <c r="C507" s="2" t="s">
        <v>1519</v>
      </c>
      <c r="D507" s="2" t="s">
        <v>10040</v>
      </c>
      <c r="E507" s="15">
        <v>6.7000000000000002E-3</v>
      </c>
      <c r="F507" s="15">
        <v>7.3099999999999998E-2</v>
      </c>
      <c r="G507" s="15">
        <v>0.92679999999999996</v>
      </c>
      <c r="H507" s="15">
        <v>0.1822</v>
      </c>
      <c r="I507" s="15">
        <v>4.1099999999999998E-2</v>
      </c>
      <c r="J507" s="15">
        <v>4.4330900243309008</v>
      </c>
    </row>
    <row r="508" spans="1:10" x14ac:dyDescent="0.25">
      <c r="A508" s="2" t="s">
        <v>1520</v>
      </c>
      <c r="B508" s="2" t="s">
        <v>1521</v>
      </c>
      <c r="C508" s="2" t="s">
        <v>1522</v>
      </c>
      <c r="D508" s="2" t="s">
        <v>10040</v>
      </c>
      <c r="E508" s="15">
        <v>0.1109</v>
      </c>
      <c r="F508" s="15">
        <v>0.1618</v>
      </c>
      <c r="G508" s="15">
        <v>0.49280000000000002</v>
      </c>
      <c r="H508" s="15">
        <v>4.6899999999999997E-2</v>
      </c>
      <c r="I508" s="15">
        <v>3.8899999999999997E-2</v>
      </c>
      <c r="J508" s="15">
        <v>1.205655526992288</v>
      </c>
    </row>
    <row r="509" spans="1:10" x14ac:dyDescent="0.25">
      <c r="A509" s="2" t="s">
        <v>1523</v>
      </c>
      <c r="B509" s="2" t="s">
        <v>1524</v>
      </c>
      <c r="C509" s="2" t="s">
        <v>1525</v>
      </c>
      <c r="D509" s="2" t="s">
        <v>10040</v>
      </c>
      <c r="E509" s="15">
        <v>-3.4099999999999998E-2</v>
      </c>
      <c r="F509" s="15">
        <v>9.4399999999999998E-2</v>
      </c>
      <c r="G509" s="15">
        <v>0.71760000000000002</v>
      </c>
      <c r="H509" s="15">
        <v>0.13550000000000001</v>
      </c>
      <c r="I509" s="15">
        <v>4.0099999999999997E-2</v>
      </c>
      <c r="J509" s="15">
        <v>3.3790523690773071</v>
      </c>
    </row>
    <row r="510" spans="1:10" x14ac:dyDescent="0.25">
      <c r="A510" s="2" t="s">
        <v>1526</v>
      </c>
      <c r="B510" s="2" t="s">
        <v>1527</v>
      </c>
      <c r="C510" s="2" t="s">
        <v>1528</v>
      </c>
      <c r="D510" s="2" t="s">
        <v>10040</v>
      </c>
      <c r="E510" s="15">
        <v>-5.5800000000000002E-2</v>
      </c>
      <c r="F510" s="15">
        <v>9.7799999999999998E-2</v>
      </c>
      <c r="G510" s="15">
        <v>0.56840000000000002</v>
      </c>
      <c r="H510" s="15">
        <v>0.1598</v>
      </c>
      <c r="I510" s="15">
        <v>4.0399999999999998E-2</v>
      </c>
      <c r="J510" s="15">
        <v>3.955445544554455</v>
      </c>
    </row>
    <row r="511" spans="1:10" x14ac:dyDescent="0.25">
      <c r="A511" s="2" t="s">
        <v>1529</v>
      </c>
      <c r="B511" s="2" t="s">
        <v>1530</v>
      </c>
      <c r="C511" s="2" t="s">
        <v>1531</v>
      </c>
      <c r="D511" s="2" t="s">
        <v>10040</v>
      </c>
      <c r="E511" s="15">
        <v>7.6700000000000004E-2</v>
      </c>
      <c r="F511" s="15">
        <v>9.1399999999999995E-2</v>
      </c>
      <c r="G511" s="15">
        <v>0.40129999999999999</v>
      </c>
      <c r="H511" s="15">
        <v>0.13320000000000001</v>
      </c>
      <c r="I511" s="15">
        <v>4.1000000000000002E-2</v>
      </c>
      <c r="J511" s="15">
        <v>3.2487804878048778</v>
      </c>
    </row>
    <row r="512" spans="1:10" x14ac:dyDescent="0.25">
      <c r="A512" s="2" t="s">
        <v>1532</v>
      </c>
      <c r="B512" s="2" t="s">
        <v>1533</v>
      </c>
      <c r="C512" s="2" t="s">
        <v>1534</v>
      </c>
      <c r="D512" s="2" t="s">
        <v>10040</v>
      </c>
      <c r="E512" s="15">
        <v>0.1288</v>
      </c>
      <c r="F512" s="15">
        <v>5.9799999999999999E-2</v>
      </c>
      <c r="G512" s="15">
        <v>3.1199999999999999E-2</v>
      </c>
      <c r="H512" s="15">
        <v>0.28610000000000002</v>
      </c>
      <c r="I512" s="15">
        <v>0.05</v>
      </c>
      <c r="J512" s="15">
        <v>5.7220000000000004</v>
      </c>
    </row>
    <row r="513" spans="1:10" x14ac:dyDescent="0.25">
      <c r="A513" s="2" t="s">
        <v>1535</v>
      </c>
      <c r="B513" s="2" t="s">
        <v>1536</v>
      </c>
      <c r="C513" s="2" t="s">
        <v>1537</v>
      </c>
      <c r="D513" s="2" t="s">
        <v>10040</v>
      </c>
      <c r="E513" s="15">
        <v>-4.99E-2</v>
      </c>
      <c r="F513" s="15">
        <v>0.1103</v>
      </c>
      <c r="G513" s="15">
        <v>0.65069999999999995</v>
      </c>
      <c r="H513" s="15">
        <v>9.2899999999999996E-2</v>
      </c>
      <c r="I513" s="15">
        <v>3.9699999999999999E-2</v>
      </c>
      <c r="J513" s="15">
        <v>2.3400503778337529</v>
      </c>
    </row>
    <row r="514" spans="1:10" x14ac:dyDescent="0.25">
      <c r="A514" s="2" t="s">
        <v>1538</v>
      </c>
      <c r="B514" s="2" t="s">
        <v>1539</v>
      </c>
      <c r="C514" s="2" t="s">
        <v>1540</v>
      </c>
      <c r="D514" s="2" t="s">
        <v>10040</v>
      </c>
      <c r="E514" s="15">
        <v>0.20030000000000001</v>
      </c>
      <c r="F514" s="15">
        <v>0.33079999999999998</v>
      </c>
      <c r="G514" s="15">
        <v>0.54490000000000005</v>
      </c>
      <c r="H514" s="15">
        <v>1.4999999999999999E-2</v>
      </c>
      <c r="I514" s="15">
        <v>3.4700000000000002E-2</v>
      </c>
      <c r="J514" s="15">
        <v>0.43227665706051871</v>
      </c>
    </row>
    <row r="515" spans="1:10" x14ac:dyDescent="0.25">
      <c r="A515" s="2" t="s">
        <v>1541</v>
      </c>
      <c r="B515" s="2" t="s">
        <v>1542</v>
      </c>
      <c r="C515" s="2" t="s">
        <v>1543</v>
      </c>
      <c r="D515" s="2" t="s">
        <v>10040</v>
      </c>
      <c r="E515" s="15">
        <v>7.4200000000000002E-2</v>
      </c>
      <c r="F515" s="15">
        <v>9.7600000000000006E-2</v>
      </c>
      <c r="G515" s="15">
        <v>0.44729999999999998</v>
      </c>
      <c r="H515" s="15">
        <v>0.12230000000000001</v>
      </c>
      <c r="I515" s="15">
        <v>4.3099999999999999E-2</v>
      </c>
      <c r="J515" s="15">
        <v>2.8375870069605571</v>
      </c>
    </row>
    <row r="516" spans="1:10" x14ac:dyDescent="0.25">
      <c r="A516" s="2" t="s">
        <v>1544</v>
      </c>
      <c r="B516" s="2" t="s">
        <v>1545</v>
      </c>
      <c r="C516" s="2" t="s">
        <v>1546</v>
      </c>
      <c r="D516" s="2" t="s">
        <v>10040</v>
      </c>
      <c r="E516" s="15">
        <v>9.01E-2</v>
      </c>
      <c r="F516" s="15">
        <v>6.93E-2</v>
      </c>
      <c r="G516" s="15">
        <v>0.19389999999999999</v>
      </c>
      <c r="H516" s="15">
        <v>0.1966</v>
      </c>
      <c r="I516" s="15">
        <v>4.1399999999999999E-2</v>
      </c>
      <c r="J516" s="15">
        <v>4.7487922705314007</v>
      </c>
    </row>
    <row r="517" spans="1:10" x14ac:dyDescent="0.25">
      <c r="A517" s="2" t="s">
        <v>1547</v>
      </c>
      <c r="B517" s="2" t="s">
        <v>1548</v>
      </c>
      <c r="C517" s="2" t="s">
        <v>1549</v>
      </c>
      <c r="D517" s="2" t="s">
        <v>10040</v>
      </c>
      <c r="E517" s="15">
        <v>0.1077</v>
      </c>
      <c r="F517" s="15">
        <v>7.1999999999999995E-2</v>
      </c>
      <c r="G517" s="15">
        <v>0.1346</v>
      </c>
      <c r="H517" s="15">
        <v>0.2364</v>
      </c>
      <c r="I517" s="15">
        <v>4.3900000000000002E-2</v>
      </c>
      <c r="J517" s="15">
        <v>5.3849658314350792</v>
      </c>
    </row>
    <row r="518" spans="1:10" x14ac:dyDescent="0.25">
      <c r="A518" s="2" t="s">
        <v>1550</v>
      </c>
      <c r="B518" s="2" t="s">
        <v>1551</v>
      </c>
      <c r="C518" s="2" t="s">
        <v>1552</v>
      </c>
      <c r="D518" s="2" t="s">
        <v>10040</v>
      </c>
      <c r="E518" s="15">
        <v>-1.7100000000000001E-2</v>
      </c>
      <c r="F518" s="15">
        <v>0.1125</v>
      </c>
      <c r="G518" s="15">
        <v>0.87909999999999999</v>
      </c>
      <c r="H518" s="15">
        <v>8.7999999999999995E-2</v>
      </c>
      <c r="I518" s="15">
        <v>4.2700000000000002E-2</v>
      </c>
      <c r="J518" s="15">
        <v>2.0608899297423879</v>
      </c>
    </row>
    <row r="519" spans="1:10" x14ac:dyDescent="0.25">
      <c r="A519" s="2" t="s">
        <v>1553</v>
      </c>
      <c r="B519" s="2" t="s">
        <v>1554</v>
      </c>
      <c r="C519" s="2" t="s">
        <v>1555</v>
      </c>
      <c r="D519" s="2" t="s">
        <v>10040</v>
      </c>
      <c r="E519" s="15">
        <v>0.1187</v>
      </c>
      <c r="F519" s="15">
        <v>6.5000000000000002E-2</v>
      </c>
      <c r="G519" s="15">
        <v>6.8000000000000005E-2</v>
      </c>
      <c r="H519" s="15">
        <v>0.20019999999999999</v>
      </c>
      <c r="I519" s="15">
        <v>4.2299999999999997E-2</v>
      </c>
      <c r="J519" s="15">
        <v>4.7328605200945626</v>
      </c>
    </row>
    <row r="520" spans="1:10" x14ac:dyDescent="0.25">
      <c r="A520" s="2" t="s">
        <v>1556</v>
      </c>
      <c r="B520" s="2" t="s">
        <v>1557</v>
      </c>
      <c r="C520" s="2" t="s">
        <v>1558</v>
      </c>
      <c r="D520" s="2" t="s">
        <v>10040</v>
      </c>
      <c r="E520" s="15">
        <v>0.1014</v>
      </c>
      <c r="F520" s="15">
        <v>8.8900000000000007E-2</v>
      </c>
      <c r="G520" s="15">
        <v>0.25409999999999999</v>
      </c>
      <c r="H520" s="15">
        <v>0.1434</v>
      </c>
      <c r="I520" s="15">
        <v>4.0599999999999997E-2</v>
      </c>
      <c r="J520" s="15">
        <v>3.5320197044334982</v>
      </c>
    </row>
    <row r="521" spans="1:10" x14ac:dyDescent="0.25">
      <c r="A521" s="2" t="s">
        <v>1559</v>
      </c>
      <c r="B521" s="2" t="s">
        <v>1560</v>
      </c>
      <c r="C521" s="2" t="s">
        <v>1561</v>
      </c>
      <c r="D521" s="2" t="s">
        <v>10040</v>
      </c>
      <c r="E521" s="15">
        <v>4.4499999999999998E-2</v>
      </c>
      <c r="F521" s="15">
        <v>8.1000000000000003E-2</v>
      </c>
      <c r="G521" s="15">
        <v>0.58289999999999997</v>
      </c>
      <c r="H521" s="15">
        <v>0.18310000000000001</v>
      </c>
      <c r="I521" s="15">
        <v>4.0599999999999997E-2</v>
      </c>
      <c r="J521" s="15">
        <v>4.5098522167487687</v>
      </c>
    </row>
    <row r="522" spans="1:10" x14ac:dyDescent="0.25">
      <c r="A522" s="2" t="s">
        <v>1562</v>
      </c>
      <c r="B522" s="2" t="s">
        <v>1563</v>
      </c>
      <c r="C522" s="2" t="s">
        <v>1564</v>
      </c>
      <c r="D522" s="2" t="s">
        <v>10040</v>
      </c>
      <c r="E522" s="15">
        <v>6.2399999999999997E-2</v>
      </c>
      <c r="F522" s="15">
        <v>7.6799999999999993E-2</v>
      </c>
      <c r="G522" s="15">
        <v>0.41670000000000001</v>
      </c>
      <c r="H522" s="15">
        <v>0.19670000000000001</v>
      </c>
      <c r="I522" s="15">
        <v>3.9699999999999999E-2</v>
      </c>
      <c r="J522" s="15">
        <v>4.954659949622167</v>
      </c>
    </row>
    <row r="523" spans="1:10" x14ac:dyDescent="0.25">
      <c r="A523" s="2" t="s">
        <v>1565</v>
      </c>
      <c r="B523" s="2" t="s">
        <v>1566</v>
      </c>
      <c r="C523" s="2" t="s">
        <v>1567</v>
      </c>
      <c r="D523" s="2" t="s">
        <v>10040</v>
      </c>
      <c r="E523" s="15">
        <v>4.48E-2</v>
      </c>
      <c r="F523" s="15">
        <v>7.6600000000000001E-2</v>
      </c>
      <c r="G523" s="15">
        <v>0.5585</v>
      </c>
      <c r="H523" s="15">
        <v>0.1888</v>
      </c>
      <c r="I523" s="15">
        <v>4.6800000000000001E-2</v>
      </c>
      <c r="J523" s="15">
        <v>4.0341880341880341</v>
      </c>
    </row>
    <row r="524" spans="1:10" x14ac:dyDescent="0.25">
      <c r="A524" s="2" t="s">
        <v>1568</v>
      </c>
      <c r="B524" s="2" t="s">
        <v>1569</v>
      </c>
      <c r="C524" s="2" t="s">
        <v>1570</v>
      </c>
      <c r="D524" s="2" t="s">
        <v>10040</v>
      </c>
      <c r="E524" s="15">
        <v>0.15870000000000001</v>
      </c>
      <c r="F524" s="15">
        <v>7.7299999999999994E-2</v>
      </c>
      <c r="G524" s="15">
        <v>0.04</v>
      </c>
      <c r="H524" s="15">
        <v>0.215</v>
      </c>
      <c r="I524" s="15">
        <v>4.2700000000000002E-2</v>
      </c>
      <c r="J524" s="15">
        <v>5.0351288056206087</v>
      </c>
    </row>
    <row r="525" spans="1:10" x14ac:dyDescent="0.25">
      <c r="A525" s="2" t="s">
        <v>1571</v>
      </c>
      <c r="B525" s="2" t="s">
        <v>1572</v>
      </c>
      <c r="C525" s="2" t="s">
        <v>1573</v>
      </c>
      <c r="D525" s="2" t="s">
        <v>10040</v>
      </c>
      <c r="E525" s="15">
        <v>6.4500000000000002E-2</v>
      </c>
      <c r="F525" s="15">
        <v>6.4299999999999996E-2</v>
      </c>
      <c r="G525" s="15">
        <v>0.31580000000000003</v>
      </c>
      <c r="H525" s="15">
        <v>0.24690000000000001</v>
      </c>
      <c r="I525" s="15">
        <v>4.48E-2</v>
      </c>
      <c r="J525" s="15">
        <v>5.5111607142857144</v>
      </c>
    </row>
    <row r="526" spans="1:10" x14ac:dyDescent="0.25">
      <c r="A526" s="2" t="s">
        <v>1574</v>
      </c>
      <c r="B526" s="2" t="s">
        <v>1575</v>
      </c>
      <c r="C526" s="2" t="s">
        <v>1576</v>
      </c>
      <c r="D526" s="2" t="s">
        <v>10040</v>
      </c>
      <c r="E526" s="15">
        <v>-2.0299999999999999E-2</v>
      </c>
      <c r="F526" s="15">
        <v>8.4599999999999995E-2</v>
      </c>
      <c r="G526" s="15">
        <v>0.81079999999999997</v>
      </c>
      <c r="H526" s="15">
        <v>0.17949999999999999</v>
      </c>
      <c r="I526" s="15">
        <v>4.6600000000000003E-2</v>
      </c>
      <c r="J526" s="15">
        <v>3.851931330472103</v>
      </c>
    </row>
    <row r="527" spans="1:10" x14ac:dyDescent="0.25">
      <c r="A527" s="2" t="s">
        <v>1577</v>
      </c>
      <c r="B527" s="2" t="s">
        <v>1578</v>
      </c>
      <c r="C527" s="2" t="s">
        <v>1579</v>
      </c>
      <c r="D527" s="2" t="s">
        <v>10040</v>
      </c>
      <c r="E527" s="15">
        <v>-0.10150000000000001</v>
      </c>
      <c r="F527" s="15">
        <v>7.4700000000000003E-2</v>
      </c>
      <c r="G527" s="15">
        <v>0.1744</v>
      </c>
      <c r="H527" s="15">
        <v>0.22220000000000001</v>
      </c>
      <c r="I527" s="15">
        <v>4.4499999999999998E-2</v>
      </c>
      <c r="J527" s="15">
        <v>4.9932584269662934</v>
      </c>
    </row>
    <row r="528" spans="1:10" x14ac:dyDescent="0.25">
      <c r="A528" s="2" t="s">
        <v>1580</v>
      </c>
      <c r="B528" s="2" t="s">
        <v>1581</v>
      </c>
      <c r="C528" s="2" t="s">
        <v>1582</v>
      </c>
      <c r="D528" s="2" t="s">
        <v>10040</v>
      </c>
      <c r="E528" s="15">
        <v>-7.8399999999999997E-2</v>
      </c>
      <c r="F528" s="15">
        <v>8.7999999999999995E-2</v>
      </c>
      <c r="G528" s="15">
        <v>0.37290000000000001</v>
      </c>
      <c r="H528" s="15">
        <v>0.1283</v>
      </c>
      <c r="I528" s="15">
        <v>4.3099999999999999E-2</v>
      </c>
      <c r="J528" s="15">
        <v>2.9767981438515081</v>
      </c>
    </row>
    <row r="529" spans="1:10" x14ac:dyDescent="0.25">
      <c r="A529" s="2" t="s">
        <v>1583</v>
      </c>
      <c r="B529" s="2" t="s">
        <v>1584</v>
      </c>
      <c r="C529" s="2" t="s">
        <v>1585</v>
      </c>
      <c r="D529" s="2" t="s">
        <v>10040</v>
      </c>
      <c r="E529" s="15">
        <v>-1.6999999999999999E-3</v>
      </c>
      <c r="F529" s="15">
        <v>9.7000000000000003E-2</v>
      </c>
      <c r="G529" s="15">
        <v>0.98580000000000001</v>
      </c>
      <c r="H529" s="15">
        <v>0.13969999999999999</v>
      </c>
      <c r="I529" s="15">
        <v>3.6400000000000002E-2</v>
      </c>
      <c r="J529" s="15">
        <v>3.837912087912088</v>
      </c>
    </row>
    <row r="530" spans="1:10" x14ac:dyDescent="0.25">
      <c r="A530" s="2" t="s">
        <v>1586</v>
      </c>
      <c r="B530" s="2" t="s">
        <v>1587</v>
      </c>
      <c r="C530" s="2" t="s">
        <v>1588</v>
      </c>
      <c r="D530" s="2" t="s">
        <v>10040</v>
      </c>
      <c r="E530" s="15">
        <v>0.1249</v>
      </c>
      <c r="F530" s="15">
        <v>6.4500000000000002E-2</v>
      </c>
      <c r="G530" s="15">
        <v>5.2999999999999999E-2</v>
      </c>
      <c r="H530" s="15">
        <v>0.22670000000000001</v>
      </c>
      <c r="I530" s="15">
        <v>4.0099999999999997E-2</v>
      </c>
      <c r="J530" s="15">
        <v>5.653366583541148</v>
      </c>
    </row>
    <row r="531" spans="1:10" x14ac:dyDescent="0.25">
      <c r="A531" s="2" t="s">
        <v>1589</v>
      </c>
      <c r="B531" s="2" t="s">
        <v>1590</v>
      </c>
      <c r="C531" s="2" t="s">
        <v>1591</v>
      </c>
      <c r="D531" s="2" t="s">
        <v>10040</v>
      </c>
      <c r="E531" s="15">
        <v>-5.4899999999999997E-2</v>
      </c>
      <c r="F531" s="15">
        <v>8.7999999999999995E-2</v>
      </c>
      <c r="G531" s="15">
        <v>0.5323</v>
      </c>
      <c r="H531" s="15">
        <v>0.15029999999999999</v>
      </c>
      <c r="I531" s="15">
        <v>4.0300000000000002E-2</v>
      </c>
      <c r="J531" s="15">
        <v>3.729528535980148</v>
      </c>
    </row>
    <row r="532" spans="1:10" x14ac:dyDescent="0.25">
      <c r="A532" s="2" t="s">
        <v>1592</v>
      </c>
      <c r="B532" s="2" t="s">
        <v>1593</v>
      </c>
      <c r="C532" s="2" t="s">
        <v>1594</v>
      </c>
      <c r="D532" s="2" t="s">
        <v>10040</v>
      </c>
      <c r="E532" s="15">
        <v>7.2099999999999997E-2</v>
      </c>
      <c r="F532" s="15">
        <v>8.7800000000000003E-2</v>
      </c>
      <c r="G532" s="15">
        <v>0.41120000000000001</v>
      </c>
      <c r="H532" s="15">
        <v>0.1308</v>
      </c>
      <c r="I532" s="15">
        <v>3.6299999999999999E-2</v>
      </c>
      <c r="J532" s="15">
        <v>3.6033057851239669</v>
      </c>
    </row>
    <row r="533" spans="1:10" x14ac:dyDescent="0.25">
      <c r="A533" s="2" t="s">
        <v>1595</v>
      </c>
      <c r="B533" s="2" t="s">
        <v>1596</v>
      </c>
      <c r="C533" s="2" t="s">
        <v>1597</v>
      </c>
      <c r="D533" s="2" t="s">
        <v>10040</v>
      </c>
      <c r="E533" s="15">
        <v>-9.2700000000000005E-2</v>
      </c>
      <c r="F533" s="15">
        <v>0.11600000000000001</v>
      </c>
      <c r="G533" s="15">
        <v>0.42399999999999999</v>
      </c>
      <c r="H533" s="15">
        <v>9.8400000000000001E-2</v>
      </c>
      <c r="I533" s="15">
        <v>4.24E-2</v>
      </c>
      <c r="J533" s="15">
        <v>2.3207547169811318</v>
      </c>
    </row>
    <row r="534" spans="1:10" x14ac:dyDescent="0.25">
      <c r="A534" s="2" t="s">
        <v>1598</v>
      </c>
      <c r="B534" s="2" t="s">
        <v>1599</v>
      </c>
      <c r="C534" s="2" t="s">
        <v>1600</v>
      </c>
      <c r="D534" s="2" t="s">
        <v>10040</v>
      </c>
      <c r="E534" s="15">
        <v>5.8200000000000002E-2</v>
      </c>
      <c r="F534" s="15">
        <v>8.9599999999999999E-2</v>
      </c>
      <c r="G534" s="15">
        <v>0.51619999999999999</v>
      </c>
      <c r="H534" s="15">
        <v>0.14649999999999999</v>
      </c>
      <c r="I534" s="15">
        <v>4.1700000000000001E-2</v>
      </c>
      <c r="J534" s="15">
        <v>3.5131894484412469</v>
      </c>
    </row>
    <row r="535" spans="1:10" x14ac:dyDescent="0.25">
      <c r="A535" s="2" t="s">
        <v>1601</v>
      </c>
      <c r="B535" s="2" t="s">
        <v>1602</v>
      </c>
      <c r="C535" s="2" t="s">
        <v>1603</v>
      </c>
      <c r="D535" s="2" t="s">
        <v>10040</v>
      </c>
      <c r="E535" s="15">
        <v>5.4100000000000002E-2</v>
      </c>
      <c r="F535" s="15">
        <v>8.09E-2</v>
      </c>
      <c r="G535" s="15">
        <v>0.50409999999999999</v>
      </c>
      <c r="H535" s="15">
        <v>0.189</v>
      </c>
      <c r="I535" s="15">
        <v>4.2900000000000001E-2</v>
      </c>
      <c r="J535" s="15">
        <v>4.4055944055944058</v>
      </c>
    </row>
    <row r="536" spans="1:10" x14ac:dyDescent="0.25">
      <c r="A536" s="2" t="s">
        <v>1604</v>
      </c>
      <c r="B536" s="2" t="s">
        <v>1605</v>
      </c>
      <c r="C536" s="2" t="s">
        <v>1606</v>
      </c>
      <c r="D536" s="2" t="s">
        <v>10040</v>
      </c>
      <c r="E536" s="15">
        <v>0.37169999999999997</v>
      </c>
      <c r="F536" s="15">
        <v>0.31559999999999999</v>
      </c>
      <c r="G536" s="15">
        <v>0.2389</v>
      </c>
      <c r="H536" s="15">
        <v>3.0200000000000001E-2</v>
      </c>
      <c r="I536" s="15">
        <v>3.6299999999999999E-2</v>
      </c>
      <c r="J536" s="15">
        <v>0.83195592286501385</v>
      </c>
    </row>
    <row r="537" spans="1:10" x14ac:dyDescent="0.25">
      <c r="A537" s="2" t="s">
        <v>1607</v>
      </c>
      <c r="B537" s="2" t="s">
        <v>1608</v>
      </c>
      <c r="C537" s="2" t="s">
        <v>1609</v>
      </c>
      <c r="D537" s="2" t="s">
        <v>10040</v>
      </c>
      <c r="E537" s="15">
        <v>-4.1000000000000002E-2</v>
      </c>
      <c r="F537" s="15">
        <v>0.1038</v>
      </c>
      <c r="G537" s="15">
        <v>0.6925</v>
      </c>
      <c r="H537" s="15">
        <v>0.1016</v>
      </c>
      <c r="I537" s="15">
        <v>4.2700000000000002E-2</v>
      </c>
      <c r="J537" s="15">
        <v>2.3793911007025761</v>
      </c>
    </row>
    <row r="538" spans="1:10" x14ac:dyDescent="0.25">
      <c r="A538" s="2" t="s">
        <v>1610</v>
      </c>
      <c r="B538" s="2" t="s">
        <v>1611</v>
      </c>
      <c r="C538" s="2" t="s">
        <v>1612</v>
      </c>
      <c r="D538" s="2" t="s">
        <v>10040</v>
      </c>
      <c r="E538" s="15">
        <v>2.98E-2</v>
      </c>
      <c r="F538" s="15">
        <v>9.4399999999999998E-2</v>
      </c>
      <c r="G538" s="15">
        <v>0.75229999999999997</v>
      </c>
      <c r="H538" s="15">
        <v>0.1113</v>
      </c>
      <c r="I538" s="15">
        <v>3.5099999999999999E-2</v>
      </c>
      <c r="J538" s="15">
        <v>3.1709401709401712</v>
      </c>
    </row>
    <row r="539" spans="1:10" x14ac:dyDescent="0.25">
      <c r="A539" s="2" t="s">
        <v>1613</v>
      </c>
      <c r="B539" s="2" t="s">
        <v>1614</v>
      </c>
      <c r="C539" s="2" t="s">
        <v>1615</v>
      </c>
      <c r="D539" s="2" t="s">
        <v>10040</v>
      </c>
      <c r="E539" s="15">
        <v>-1.46E-2</v>
      </c>
      <c r="F539" s="15">
        <v>8.0100000000000005E-2</v>
      </c>
      <c r="G539" s="15">
        <v>0.85509999999999997</v>
      </c>
      <c r="H539" s="15">
        <v>0.1532</v>
      </c>
      <c r="I539" s="15">
        <v>4.2999999999999997E-2</v>
      </c>
      <c r="J539" s="15">
        <v>3.5627906976744188</v>
      </c>
    </row>
    <row r="540" spans="1:10" x14ac:dyDescent="0.25">
      <c r="A540" s="2" t="s">
        <v>1616</v>
      </c>
      <c r="B540" s="2" t="s">
        <v>1617</v>
      </c>
      <c r="C540" s="2" t="s">
        <v>1618</v>
      </c>
      <c r="D540" s="2" t="s">
        <v>10040</v>
      </c>
      <c r="E540" s="15">
        <v>-3.4500000000000003E-2</v>
      </c>
      <c r="F540" s="15">
        <v>0.13780000000000001</v>
      </c>
      <c r="G540" s="15">
        <v>0.8024</v>
      </c>
      <c r="H540" s="15">
        <v>5.4899999999999997E-2</v>
      </c>
      <c r="I540" s="15">
        <v>3.9899999999999998E-2</v>
      </c>
      <c r="J540" s="15">
        <v>1.37593984962406</v>
      </c>
    </row>
    <row r="541" spans="1:10" x14ac:dyDescent="0.25">
      <c r="A541" s="2" t="s">
        <v>1619</v>
      </c>
      <c r="B541" s="2" t="s">
        <v>1620</v>
      </c>
      <c r="C541" s="2" t="s">
        <v>1621</v>
      </c>
      <c r="D541" s="2" t="s">
        <v>10040</v>
      </c>
      <c r="E541" s="15">
        <v>3.7000000000000002E-3</v>
      </c>
      <c r="F541" s="15">
        <v>0.1487</v>
      </c>
      <c r="G541" s="15">
        <v>0.98040000000000005</v>
      </c>
      <c r="H541" s="15">
        <v>4.24E-2</v>
      </c>
      <c r="I541" s="15">
        <v>3.7600000000000001E-2</v>
      </c>
      <c r="J541" s="15">
        <v>1.1276595744680851</v>
      </c>
    </row>
    <row r="542" spans="1:10" x14ac:dyDescent="0.25">
      <c r="A542" s="2" t="s">
        <v>1622</v>
      </c>
      <c r="B542" s="2" t="s">
        <v>1623</v>
      </c>
      <c r="C542" s="2" t="s">
        <v>1624</v>
      </c>
      <c r="D542" s="2" t="s">
        <v>10040</v>
      </c>
      <c r="E542" s="15">
        <v>1.6999999999999999E-3</v>
      </c>
      <c r="F542" s="15">
        <v>8.6099999999999996E-2</v>
      </c>
      <c r="G542" s="15">
        <v>0.98419999999999996</v>
      </c>
      <c r="H542" s="15">
        <v>0.19359999999999999</v>
      </c>
      <c r="I542" s="15">
        <v>4.0899999999999999E-2</v>
      </c>
      <c r="J542" s="15">
        <v>4.733496332518337</v>
      </c>
    </row>
    <row r="543" spans="1:10" x14ac:dyDescent="0.25">
      <c r="A543" s="2" t="s">
        <v>1625</v>
      </c>
      <c r="B543" s="2" t="s">
        <v>1626</v>
      </c>
      <c r="C543" s="2" t="s">
        <v>1627</v>
      </c>
      <c r="D543" s="2" t="s">
        <v>10040</v>
      </c>
      <c r="E543" s="15">
        <v>0.18820000000000001</v>
      </c>
      <c r="F543" s="15">
        <v>8.7900000000000006E-2</v>
      </c>
      <c r="G543" s="15">
        <v>3.2300000000000002E-2</v>
      </c>
      <c r="H543" s="15">
        <v>0.15920000000000001</v>
      </c>
      <c r="I543" s="15">
        <v>3.9699999999999999E-2</v>
      </c>
      <c r="J543" s="15">
        <v>4.01007556675063</v>
      </c>
    </row>
    <row r="544" spans="1:10" x14ac:dyDescent="0.25">
      <c r="A544" s="2" t="s">
        <v>1628</v>
      </c>
      <c r="B544" s="2" t="s">
        <v>1629</v>
      </c>
      <c r="C544" s="2" t="s">
        <v>1630</v>
      </c>
      <c r="D544" s="2" t="s">
        <v>10040</v>
      </c>
      <c r="E544" s="15">
        <v>0.1047</v>
      </c>
      <c r="F544" s="15">
        <v>8.8999999999999996E-2</v>
      </c>
      <c r="G544" s="15">
        <v>0.2394</v>
      </c>
      <c r="H544" s="15">
        <v>0.14849999999999999</v>
      </c>
      <c r="I544" s="15">
        <v>4.2099999999999999E-2</v>
      </c>
      <c r="J544" s="15">
        <v>3.5273159144893111</v>
      </c>
    </row>
    <row r="545" spans="1:10" x14ac:dyDescent="0.25">
      <c r="A545" s="2" t="s">
        <v>1631</v>
      </c>
      <c r="B545" s="2" t="s">
        <v>1632</v>
      </c>
      <c r="C545" s="2" t="s">
        <v>1633</v>
      </c>
      <c r="D545" s="2" t="s">
        <v>10040</v>
      </c>
      <c r="E545" s="15">
        <v>0.10589999999999999</v>
      </c>
      <c r="F545" s="15">
        <v>6.0900000000000003E-2</v>
      </c>
      <c r="G545" s="15">
        <v>8.2199999999999995E-2</v>
      </c>
      <c r="H545" s="15">
        <v>0.30180000000000001</v>
      </c>
      <c r="I545" s="15">
        <v>5.1299999999999998E-2</v>
      </c>
      <c r="J545" s="15">
        <v>5.8830409356725148</v>
      </c>
    </row>
    <row r="546" spans="1:10" x14ac:dyDescent="0.25">
      <c r="A546" s="2" t="s">
        <v>1634</v>
      </c>
      <c r="B546" s="2" t="s">
        <v>1635</v>
      </c>
      <c r="C546" s="2" t="s">
        <v>1636</v>
      </c>
      <c r="D546" s="2" t="s">
        <v>10040</v>
      </c>
      <c r="E546" s="15">
        <v>0.1026</v>
      </c>
      <c r="F546" s="15">
        <v>8.3199999999999996E-2</v>
      </c>
      <c r="G546" s="15">
        <v>0.21740000000000001</v>
      </c>
      <c r="H546" s="15">
        <v>0.1482</v>
      </c>
      <c r="I546" s="15">
        <v>4.3900000000000002E-2</v>
      </c>
      <c r="J546" s="15">
        <v>3.3758542141230068</v>
      </c>
    </row>
    <row r="547" spans="1:10" x14ac:dyDescent="0.25">
      <c r="A547" s="2" t="s">
        <v>1637</v>
      </c>
      <c r="B547" s="2" t="s">
        <v>1638</v>
      </c>
      <c r="C547" s="2" t="s">
        <v>1639</v>
      </c>
      <c r="D547" s="2" t="s">
        <v>10040</v>
      </c>
      <c r="E547" s="15">
        <v>2.93E-2</v>
      </c>
      <c r="F547" s="15">
        <v>8.4500000000000006E-2</v>
      </c>
      <c r="G547" s="15">
        <v>0.72860000000000003</v>
      </c>
      <c r="H547" s="15">
        <v>0.17380000000000001</v>
      </c>
      <c r="I547" s="15">
        <v>4.48E-2</v>
      </c>
      <c r="J547" s="15">
        <v>3.879464285714286</v>
      </c>
    </row>
    <row r="548" spans="1:10" x14ac:dyDescent="0.25">
      <c r="A548" s="2" t="s">
        <v>1640</v>
      </c>
      <c r="B548" s="2" t="s">
        <v>1641</v>
      </c>
      <c r="C548" s="2" t="s">
        <v>1642</v>
      </c>
      <c r="D548" s="2" t="s">
        <v>10040</v>
      </c>
      <c r="E548" s="15">
        <v>9.5200000000000007E-2</v>
      </c>
      <c r="F548" s="15">
        <v>0.09</v>
      </c>
      <c r="G548" s="15">
        <v>0.28999999999999998</v>
      </c>
      <c r="H548" s="15">
        <v>0.13550000000000001</v>
      </c>
      <c r="I548" s="15">
        <v>4.3200000000000002E-2</v>
      </c>
      <c r="J548" s="15">
        <v>3.136574074074074</v>
      </c>
    </row>
    <row r="549" spans="1:10" x14ac:dyDescent="0.25">
      <c r="A549" s="2" t="s">
        <v>1643</v>
      </c>
      <c r="B549" s="2" t="s">
        <v>1644</v>
      </c>
      <c r="C549" s="2" t="s">
        <v>1645</v>
      </c>
      <c r="D549" s="2" t="s">
        <v>10040</v>
      </c>
      <c r="E549" s="15">
        <v>0.1782</v>
      </c>
      <c r="F549" s="15">
        <v>8.2699999999999996E-2</v>
      </c>
      <c r="G549" s="15">
        <v>3.1199999999999999E-2</v>
      </c>
      <c r="H549" s="15">
        <v>0.1356</v>
      </c>
      <c r="I549" s="15">
        <v>3.8699999999999998E-2</v>
      </c>
      <c r="J549" s="15">
        <v>3.5038759689922481</v>
      </c>
    </row>
    <row r="550" spans="1:10" x14ac:dyDescent="0.25">
      <c r="A550" s="2" t="s">
        <v>1646</v>
      </c>
      <c r="B550" s="2" t="s">
        <v>1647</v>
      </c>
      <c r="C550" s="2" t="s">
        <v>1648</v>
      </c>
      <c r="D550" s="2" t="s">
        <v>10040</v>
      </c>
      <c r="E550" s="15">
        <v>8.2699999999999996E-2</v>
      </c>
      <c r="F550" s="15">
        <v>9.0999999999999998E-2</v>
      </c>
      <c r="G550" s="15">
        <v>0.3634</v>
      </c>
      <c r="H550" s="15">
        <v>0.15329999999999999</v>
      </c>
      <c r="I550" s="15">
        <v>4.8099999999999997E-2</v>
      </c>
      <c r="J550" s="15">
        <v>3.187110187110187</v>
      </c>
    </row>
    <row r="551" spans="1:10" x14ac:dyDescent="0.25">
      <c r="A551" s="2" t="s">
        <v>1649</v>
      </c>
      <c r="B551" s="2" t="s">
        <v>1650</v>
      </c>
      <c r="C551" s="2" t="s">
        <v>1651</v>
      </c>
      <c r="D551" s="2" t="s">
        <v>10040</v>
      </c>
      <c r="E551" s="15">
        <v>0.114</v>
      </c>
      <c r="F551" s="15">
        <v>0.1011</v>
      </c>
      <c r="G551" s="15">
        <v>0.2596</v>
      </c>
      <c r="H551" s="15">
        <v>0.10249999999999999</v>
      </c>
      <c r="I551" s="15">
        <v>3.9800000000000002E-2</v>
      </c>
      <c r="J551" s="15">
        <v>2.5753768844221101</v>
      </c>
    </row>
    <row r="552" spans="1:10" x14ac:dyDescent="0.25">
      <c r="A552" s="2" t="s">
        <v>1652</v>
      </c>
      <c r="B552" s="2" t="s">
        <v>1653</v>
      </c>
      <c r="C552" s="2" t="s">
        <v>1654</v>
      </c>
      <c r="D552" s="2" t="s">
        <v>10040</v>
      </c>
      <c r="E552" s="15">
        <v>-0.24099999999999999</v>
      </c>
      <c r="F552" s="15">
        <v>0.10879999999999999</v>
      </c>
      <c r="G552" s="15">
        <v>2.6700000000000002E-2</v>
      </c>
      <c r="H552" s="15">
        <v>9.3399999999999997E-2</v>
      </c>
      <c r="I552" s="15">
        <v>3.7999999999999999E-2</v>
      </c>
      <c r="J552" s="15">
        <v>2.4578947368421051</v>
      </c>
    </row>
    <row r="553" spans="1:10" x14ac:dyDescent="0.25">
      <c r="A553" s="2" t="s">
        <v>1655</v>
      </c>
      <c r="B553" s="2" t="s">
        <v>1656</v>
      </c>
      <c r="C553" s="2" t="s">
        <v>1657</v>
      </c>
      <c r="D553" s="2" t="s">
        <v>10040</v>
      </c>
      <c r="E553" s="15">
        <v>3.4799999999999998E-2</v>
      </c>
      <c r="F553" s="15">
        <v>9.4E-2</v>
      </c>
      <c r="G553" s="15">
        <v>0.71099999999999997</v>
      </c>
      <c r="H553" s="15">
        <v>0.12590000000000001</v>
      </c>
      <c r="I553" s="15">
        <v>3.78E-2</v>
      </c>
      <c r="J553" s="15">
        <v>3.3306878306878311</v>
      </c>
    </row>
    <row r="554" spans="1:10" x14ac:dyDescent="0.25">
      <c r="A554" s="2" t="s">
        <v>1658</v>
      </c>
      <c r="B554" s="2" t="s">
        <v>1659</v>
      </c>
      <c r="C554" s="2" t="s">
        <v>1660</v>
      </c>
      <c r="D554" s="2" t="s">
        <v>10040</v>
      </c>
      <c r="E554" s="15">
        <v>-3.5799999999999998E-2</v>
      </c>
      <c r="F554" s="15">
        <v>0.1187</v>
      </c>
      <c r="G554" s="15">
        <v>0.76319999999999999</v>
      </c>
      <c r="H554" s="15">
        <v>7.5899999999999995E-2</v>
      </c>
      <c r="I554" s="15">
        <v>3.7100000000000001E-2</v>
      </c>
      <c r="J554" s="15">
        <v>2.045822102425876</v>
      </c>
    </row>
    <row r="555" spans="1:10" x14ac:dyDescent="0.25">
      <c r="A555" s="2" t="s">
        <v>1661</v>
      </c>
      <c r="B555" s="2" t="s">
        <v>1662</v>
      </c>
      <c r="C555" s="2" t="s">
        <v>1663</v>
      </c>
      <c r="D555" s="2" t="s">
        <v>10040</v>
      </c>
      <c r="E555" s="15">
        <v>9.2999999999999992E-3</v>
      </c>
      <c r="F555" s="15">
        <v>0.13880000000000001</v>
      </c>
      <c r="G555" s="15">
        <v>0.94650000000000001</v>
      </c>
      <c r="H555" s="15">
        <v>6.5500000000000003E-2</v>
      </c>
      <c r="I555" s="15">
        <v>3.5400000000000001E-2</v>
      </c>
      <c r="J555" s="15">
        <v>1.8502824858757061</v>
      </c>
    </row>
    <row r="556" spans="1:10" x14ac:dyDescent="0.25">
      <c r="A556" s="2" t="s">
        <v>1664</v>
      </c>
      <c r="B556" s="2" t="s">
        <v>1665</v>
      </c>
      <c r="C556" s="2" t="s">
        <v>1666</v>
      </c>
      <c r="D556" s="2" t="s">
        <v>10040</v>
      </c>
      <c r="E556" s="15"/>
      <c r="F556" s="15"/>
      <c r="G556" s="15"/>
      <c r="H556" s="15"/>
      <c r="I556" s="15"/>
      <c r="J556" s="15"/>
    </row>
    <row r="557" spans="1:10" x14ac:dyDescent="0.25">
      <c r="A557" s="2" t="s">
        <v>1667</v>
      </c>
      <c r="B557" s="2" t="s">
        <v>1668</v>
      </c>
      <c r="C557" s="2" t="s">
        <v>1669</v>
      </c>
      <c r="D557" s="2" t="s">
        <v>10040</v>
      </c>
      <c r="E557" s="15">
        <v>-1.1000000000000001E-3</v>
      </c>
      <c r="F557" s="15">
        <v>9.1200000000000003E-2</v>
      </c>
      <c r="G557" s="15">
        <v>0.99009999999999998</v>
      </c>
      <c r="H557" s="15">
        <v>0.15709999999999999</v>
      </c>
      <c r="I557" s="15">
        <v>3.9E-2</v>
      </c>
      <c r="J557" s="15">
        <v>4.0282051282051281</v>
      </c>
    </row>
    <row r="558" spans="1:10" x14ac:dyDescent="0.25">
      <c r="A558" s="2" t="s">
        <v>1670</v>
      </c>
      <c r="B558" s="2" t="s">
        <v>1671</v>
      </c>
      <c r="C558" s="2" t="s">
        <v>1672</v>
      </c>
      <c r="D558" s="2" t="s">
        <v>10040</v>
      </c>
      <c r="E558" s="15">
        <v>-3.6499999999999998E-2</v>
      </c>
      <c r="F558" s="15">
        <v>0.1157</v>
      </c>
      <c r="G558" s="15">
        <v>0.75280000000000002</v>
      </c>
      <c r="H558" s="15">
        <v>9.4399999999999998E-2</v>
      </c>
      <c r="I558" s="15">
        <v>4.2599999999999999E-2</v>
      </c>
      <c r="J558" s="15">
        <v>2.215962441314554</v>
      </c>
    </row>
    <row r="559" spans="1:10" x14ac:dyDescent="0.25">
      <c r="A559" s="2" t="s">
        <v>1673</v>
      </c>
      <c r="B559" s="2" t="s">
        <v>1674</v>
      </c>
      <c r="C559" s="2" t="s">
        <v>1675</v>
      </c>
      <c r="D559" s="2" t="s">
        <v>10040</v>
      </c>
      <c r="E559" s="15">
        <v>4.5999999999999999E-3</v>
      </c>
      <c r="F559" s="15">
        <v>0.1502</v>
      </c>
      <c r="G559" s="15">
        <v>0.97570000000000001</v>
      </c>
      <c r="H559" s="15">
        <v>4.4999999999999998E-2</v>
      </c>
      <c r="I559" s="15">
        <v>4.24E-2</v>
      </c>
      <c r="J559" s="15">
        <v>1.061320754716981</v>
      </c>
    </row>
    <row r="560" spans="1:10" x14ac:dyDescent="0.25">
      <c r="A560" s="2" t="s">
        <v>1676</v>
      </c>
      <c r="B560" s="2" t="s">
        <v>1677</v>
      </c>
      <c r="C560" s="2" t="s">
        <v>1678</v>
      </c>
      <c r="D560" s="2" t="s">
        <v>10040</v>
      </c>
      <c r="E560" s="15">
        <v>-0.1206</v>
      </c>
      <c r="F560" s="15">
        <v>0.16789999999999999</v>
      </c>
      <c r="G560" s="15">
        <v>0.47239999999999999</v>
      </c>
      <c r="H560" s="15">
        <v>4.2700000000000002E-2</v>
      </c>
      <c r="I560" s="15">
        <v>3.3599999999999998E-2</v>
      </c>
      <c r="J560" s="15">
        <v>1.270833333333333</v>
      </c>
    </row>
    <row r="561" spans="1:10" x14ac:dyDescent="0.25">
      <c r="A561" s="2" t="s">
        <v>1679</v>
      </c>
      <c r="B561" s="2" t="s">
        <v>1680</v>
      </c>
      <c r="C561" s="2" t="s">
        <v>1681</v>
      </c>
      <c r="D561" s="2" t="s">
        <v>10040</v>
      </c>
      <c r="E561" s="15">
        <v>-0.1032</v>
      </c>
      <c r="F561" s="15">
        <v>9.1499999999999998E-2</v>
      </c>
      <c r="G561" s="15">
        <v>0.25940000000000002</v>
      </c>
      <c r="H561" s="15">
        <v>0.105</v>
      </c>
      <c r="I561" s="15">
        <v>3.2300000000000002E-2</v>
      </c>
      <c r="J561" s="15">
        <v>3.2507739938080489</v>
      </c>
    </row>
    <row r="562" spans="1:10" x14ac:dyDescent="0.25">
      <c r="A562" s="2" t="s">
        <v>1682</v>
      </c>
      <c r="B562" s="2" t="s">
        <v>1683</v>
      </c>
      <c r="C562" s="2" t="s">
        <v>1684</v>
      </c>
      <c r="D562" s="2" t="s">
        <v>10040</v>
      </c>
      <c r="E562" s="15">
        <v>-8.43E-2</v>
      </c>
      <c r="F562" s="15">
        <v>0.1215</v>
      </c>
      <c r="G562" s="15">
        <v>0.48770000000000002</v>
      </c>
      <c r="H562" s="15">
        <v>8.9599999999999999E-2</v>
      </c>
      <c r="I562" s="15">
        <v>4.1300000000000003E-2</v>
      </c>
      <c r="J562" s="15">
        <v>2.1694915254237288</v>
      </c>
    </row>
    <row r="563" spans="1:10" x14ac:dyDescent="0.25">
      <c r="A563" s="2" t="s">
        <v>1685</v>
      </c>
      <c r="B563" s="2" t="s">
        <v>1686</v>
      </c>
      <c r="C563" s="2" t="s">
        <v>1687</v>
      </c>
      <c r="D563" s="2" t="s">
        <v>10040</v>
      </c>
      <c r="E563" s="15">
        <v>0.32890000000000003</v>
      </c>
      <c r="F563" s="15">
        <v>0.2072</v>
      </c>
      <c r="G563" s="15">
        <v>0.1124</v>
      </c>
      <c r="H563" s="15">
        <v>4.5900000000000003E-2</v>
      </c>
      <c r="I563" s="15">
        <v>3.5000000000000003E-2</v>
      </c>
      <c r="J563" s="15">
        <v>1.3114285714285709</v>
      </c>
    </row>
    <row r="564" spans="1:10" x14ac:dyDescent="0.25">
      <c r="A564" s="2" t="s">
        <v>1688</v>
      </c>
      <c r="B564" s="2" t="s">
        <v>1689</v>
      </c>
      <c r="C564" s="2" t="s">
        <v>1690</v>
      </c>
      <c r="D564" s="2" t="s">
        <v>10040</v>
      </c>
      <c r="E564" s="15">
        <v>3.1199999999999999E-2</v>
      </c>
      <c r="F564" s="15">
        <v>8.43E-2</v>
      </c>
      <c r="G564" s="15">
        <v>0.71160000000000001</v>
      </c>
      <c r="H564" s="15">
        <v>0.15179999999999999</v>
      </c>
      <c r="I564" s="15">
        <v>3.9699999999999999E-2</v>
      </c>
      <c r="J564" s="15">
        <v>3.8236775818639801</v>
      </c>
    </row>
    <row r="565" spans="1:10" x14ac:dyDescent="0.25">
      <c r="A565" s="2" t="s">
        <v>1691</v>
      </c>
      <c r="B565" s="2" t="s">
        <v>1692</v>
      </c>
      <c r="C565" s="2" t="s">
        <v>1693</v>
      </c>
      <c r="D565" s="2" t="s">
        <v>10040</v>
      </c>
      <c r="E565" s="15">
        <v>-3.56E-2</v>
      </c>
      <c r="F565" s="15">
        <v>7.7399999999999997E-2</v>
      </c>
      <c r="G565" s="15">
        <v>0.64580000000000004</v>
      </c>
      <c r="H565" s="15">
        <v>0.18709999999999999</v>
      </c>
      <c r="I565" s="15">
        <v>4.1500000000000002E-2</v>
      </c>
      <c r="J565" s="15">
        <v>4.508433734939759</v>
      </c>
    </row>
    <row r="566" spans="1:10" x14ac:dyDescent="0.25">
      <c r="A566" s="2" t="s">
        <v>1694</v>
      </c>
      <c r="B566" s="2" t="s">
        <v>1695</v>
      </c>
      <c r="C566" s="2" t="s">
        <v>1696</v>
      </c>
      <c r="D566" s="2" t="s">
        <v>10040</v>
      </c>
      <c r="E566" s="15">
        <v>6.3899999999999998E-2</v>
      </c>
      <c r="F566" s="15">
        <v>8.0100000000000005E-2</v>
      </c>
      <c r="G566" s="15">
        <v>0.42459999999999998</v>
      </c>
      <c r="H566" s="15">
        <v>0.21299999999999999</v>
      </c>
      <c r="I566" s="15">
        <v>4.2299999999999997E-2</v>
      </c>
      <c r="J566" s="15">
        <v>5.0354609929078018</v>
      </c>
    </row>
    <row r="567" spans="1:10" x14ac:dyDescent="0.25">
      <c r="A567" s="2" t="s">
        <v>1697</v>
      </c>
      <c r="B567" s="2" t="s">
        <v>1698</v>
      </c>
      <c r="C567" s="2" t="s">
        <v>1699</v>
      </c>
      <c r="D567" s="2" t="s">
        <v>10040</v>
      </c>
      <c r="E567" s="15">
        <v>-0.17910000000000001</v>
      </c>
      <c r="F567" s="15">
        <v>0.1424</v>
      </c>
      <c r="G567" s="15">
        <v>0.2084</v>
      </c>
      <c r="H567" s="15">
        <v>6.5799999999999997E-2</v>
      </c>
      <c r="I567" s="15">
        <v>4.3299999999999998E-2</v>
      </c>
      <c r="J567" s="15">
        <v>1.519630484988453</v>
      </c>
    </row>
    <row r="568" spans="1:10" x14ac:dyDescent="0.25">
      <c r="A568" s="2" t="s">
        <v>1700</v>
      </c>
      <c r="B568" s="2" t="s">
        <v>1701</v>
      </c>
      <c r="C568" s="2" t="s">
        <v>1702</v>
      </c>
      <c r="D568" s="2" t="s">
        <v>10040</v>
      </c>
      <c r="E568" s="15">
        <v>-0.2195</v>
      </c>
      <c r="F568" s="15">
        <v>0.1134</v>
      </c>
      <c r="G568" s="15">
        <v>5.2900000000000003E-2</v>
      </c>
      <c r="H568" s="15">
        <v>9.2700000000000005E-2</v>
      </c>
      <c r="I568" s="15">
        <v>4.1000000000000002E-2</v>
      </c>
      <c r="J568" s="15">
        <v>2.2609756097560978</v>
      </c>
    </row>
    <row r="569" spans="1:10" x14ac:dyDescent="0.25">
      <c r="A569" s="2" t="s">
        <v>1703</v>
      </c>
      <c r="B569" s="2" t="s">
        <v>1704</v>
      </c>
      <c r="C569" s="2" t="s">
        <v>1705</v>
      </c>
      <c r="D569" s="2" t="s">
        <v>10040</v>
      </c>
      <c r="E569" s="15">
        <v>0.15679999999999999</v>
      </c>
      <c r="F569" s="15">
        <v>9.2100000000000001E-2</v>
      </c>
      <c r="G569" s="15">
        <v>8.8800000000000004E-2</v>
      </c>
      <c r="H569" s="15">
        <v>0.12139999999999999</v>
      </c>
      <c r="I569" s="15">
        <v>4.1300000000000003E-2</v>
      </c>
      <c r="J569" s="15">
        <v>2.9394673123486679</v>
      </c>
    </row>
    <row r="570" spans="1:10" x14ac:dyDescent="0.25">
      <c r="A570" s="2" t="s">
        <v>1706</v>
      </c>
      <c r="B570" s="2" t="s">
        <v>1707</v>
      </c>
      <c r="C570" s="2" t="s">
        <v>1708</v>
      </c>
      <c r="D570" s="2" t="s">
        <v>10040</v>
      </c>
      <c r="E570" s="15">
        <v>-6.0100000000000001E-2</v>
      </c>
      <c r="F570" s="15">
        <v>8.4400000000000003E-2</v>
      </c>
      <c r="G570" s="15">
        <v>0.47660000000000002</v>
      </c>
      <c r="H570" s="15">
        <v>0.1696</v>
      </c>
      <c r="I570" s="15">
        <v>4.6300000000000001E-2</v>
      </c>
      <c r="J570" s="15">
        <v>3.6630669546436279</v>
      </c>
    </row>
    <row r="571" spans="1:10" x14ac:dyDescent="0.25">
      <c r="A571" s="2" t="s">
        <v>1709</v>
      </c>
      <c r="B571" s="2" t="s">
        <v>1710</v>
      </c>
      <c r="C571" s="2" t="s">
        <v>1711</v>
      </c>
      <c r="D571" s="2" t="s">
        <v>10040</v>
      </c>
      <c r="E571" s="15">
        <v>4.5999999999999999E-2</v>
      </c>
      <c r="F571" s="15">
        <v>0.1573</v>
      </c>
      <c r="G571" s="15">
        <v>0.77010000000000001</v>
      </c>
      <c r="H571" s="15">
        <v>3.9399999999999998E-2</v>
      </c>
      <c r="I571" s="15">
        <v>3.7600000000000001E-2</v>
      </c>
      <c r="J571" s="15">
        <v>1.0478723404255319</v>
      </c>
    </row>
    <row r="572" spans="1:10" x14ac:dyDescent="0.25">
      <c r="A572" s="2" t="s">
        <v>1712</v>
      </c>
      <c r="B572" s="2" t="s">
        <v>1713</v>
      </c>
      <c r="C572" s="2" t="s">
        <v>1714</v>
      </c>
      <c r="D572" s="2" t="s">
        <v>10040</v>
      </c>
      <c r="E572" s="15">
        <v>-4.4600000000000001E-2</v>
      </c>
      <c r="F572" s="15">
        <v>0.11609999999999999</v>
      </c>
      <c r="G572" s="15">
        <v>0.7006</v>
      </c>
      <c r="H572" s="15">
        <v>7.22E-2</v>
      </c>
      <c r="I572" s="15">
        <v>3.8399999999999997E-2</v>
      </c>
      <c r="J572" s="15">
        <v>1.880208333333333</v>
      </c>
    </row>
    <row r="573" spans="1:10" x14ac:dyDescent="0.25">
      <c r="A573" s="2" t="s">
        <v>1715</v>
      </c>
      <c r="B573" s="2" t="s">
        <v>1716</v>
      </c>
      <c r="C573" s="2" t="s">
        <v>1717</v>
      </c>
      <c r="D573" s="2" t="s">
        <v>10040</v>
      </c>
      <c r="E573" s="15">
        <v>-0.16420000000000001</v>
      </c>
      <c r="F573" s="15">
        <v>9.3700000000000006E-2</v>
      </c>
      <c r="G573" s="15">
        <v>7.9799999999999996E-2</v>
      </c>
      <c r="H573" s="15">
        <v>0.1376</v>
      </c>
      <c r="I573" s="15">
        <v>3.9199999999999999E-2</v>
      </c>
      <c r="J573" s="15">
        <v>3.510204081632653</v>
      </c>
    </row>
    <row r="574" spans="1:10" x14ac:dyDescent="0.25">
      <c r="A574" s="2" t="s">
        <v>1718</v>
      </c>
      <c r="B574" s="2" t="s">
        <v>1719</v>
      </c>
      <c r="C574" s="2" t="s">
        <v>1720</v>
      </c>
      <c r="D574" s="2" t="s">
        <v>10040</v>
      </c>
      <c r="E574" s="15">
        <v>6.4500000000000002E-2</v>
      </c>
      <c r="F574" s="15">
        <v>8.6400000000000005E-2</v>
      </c>
      <c r="G574" s="15">
        <v>0.4551</v>
      </c>
      <c r="H574" s="15">
        <v>0.15620000000000001</v>
      </c>
      <c r="I574" s="15">
        <v>4.5499999999999999E-2</v>
      </c>
      <c r="J574" s="15">
        <v>3.4329670329670332</v>
      </c>
    </row>
    <row r="575" spans="1:10" x14ac:dyDescent="0.25">
      <c r="A575" s="2" t="s">
        <v>1721</v>
      </c>
      <c r="B575" s="2" t="s">
        <v>1722</v>
      </c>
      <c r="C575" s="2" t="s">
        <v>1723</v>
      </c>
      <c r="D575" s="2" t="s">
        <v>10040</v>
      </c>
      <c r="E575" s="15">
        <v>1.29E-2</v>
      </c>
      <c r="F575" s="15">
        <v>0.11210000000000001</v>
      </c>
      <c r="G575" s="15">
        <v>0.90820000000000001</v>
      </c>
      <c r="H575" s="15">
        <v>8.1799999999999998E-2</v>
      </c>
      <c r="I575" s="15">
        <v>3.5000000000000003E-2</v>
      </c>
      <c r="J575" s="15">
        <v>2.3371428571428572</v>
      </c>
    </row>
    <row r="576" spans="1:10" x14ac:dyDescent="0.25">
      <c r="A576" s="2" t="s">
        <v>1724</v>
      </c>
      <c r="B576" s="2" t="s">
        <v>1725</v>
      </c>
      <c r="C576" s="2" t="s">
        <v>1726</v>
      </c>
      <c r="D576" s="2" t="s">
        <v>10040</v>
      </c>
      <c r="E576" s="15">
        <v>3.3599999999999998E-2</v>
      </c>
      <c r="F576" s="15">
        <v>0.1128</v>
      </c>
      <c r="G576" s="15">
        <v>0.7661</v>
      </c>
      <c r="H576" s="15">
        <v>8.5599999999999996E-2</v>
      </c>
      <c r="I576" s="15">
        <v>3.9699999999999999E-2</v>
      </c>
      <c r="J576" s="15">
        <v>2.1561712846347612</v>
      </c>
    </row>
    <row r="577" spans="1:10" x14ac:dyDescent="0.25">
      <c r="A577" s="2" t="s">
        <v>1727</v>
      </c>
      <c r="B577" s="2" t="s">
        <v>1728</v>
      </c>
      <c r="C577" s="2" t="s">
        <v>1729</v>
      </c>
      <c r="D577" s="2" t="s">
        <v>10040</v>
      </c>
      <c r="E577" s="15">
        <v>-2.0899999999999998E-2</v>
      </c>
      <c r="F577" s="15">
        <v>7.7700000000000005E-2</v>
      </c>
      <c r="G577" s="15">
        <v>0.78790000000000004</v>
      </c>
      <c r="H577" s="15">
        <v>0.16120000000000001</v>
      </c>
      <c r="I577" s="15">
        <v>3.8800000000000001E-2</v>
      </c>
      <c r="J577" s="15">
        <v>4.1546391752577323</v>
      </c>
    </row>
    <row r="578" spans="1:10" x14ac:dyDescent="0.25">
      <c r="A578" s="2" t="s">
        <v>1730</v>
      </c>
      <c r="B578" s="2" t="s">
        <v>1731</v>
      </c>
      <c r="C578" s="2" t="s">
        <v>1732</v>
      </c>
      <c r="D578" s="2" t="s">
        <v>10040</v>
      </c>
      <c r="E578" s="15">
        <v>8.6300000000000002E-2</v>
      </c>
      <c r="F578" s="15">
        <v>7.2700000000000001E-2</v>
      </c>
      <c r="G578" s="15">
        <v>0.23499999999999999</v>
      </c>
      <c r="H578" s="15">
        <v>0.18990000000000001</v>
      </c>
      <c r="I578" s="15">
        <v>0.04</v>
      </c>
      <c r="J578" s="15">
        <v>4.7474999999999996</v>
      </c>
    </row>
    <row r="579" spans="1:10" x14ac:dyDescent="0.25">
      <c r="A579" s="2" t="s">
        <v>1733</v>
      </c>
      <c r="B579" s="2" t="s">
        <v>1734</v>
      </c>
      <c r="C579" s="2" t="s">
        <v>1735</v>
      </c>
      <c r="D579" s="2" t="s">
        <v>10040</v>
      </c>
      <c r="E579" s="15">
        <v>-3.6200000000000003E-2</v>
      </c>
      <c r="F579" s="15">
        <v>8.4000000000000005E-2</v>
      </c>
      <c r="G579" s="15">
        <v>0.66600000000000004</v>
      </c>
      <c r="H579" s="15">
        <v>0.14319999999999999</v>
      </c>
      <c r="I579" s="15">
        <v>3.5499999999999997E-2</v>
      </c>
      <c r="J579" s="15">
        <v>4.0338028169014084</v>
      </c>
    </row>
    <row r="580" spans="1:10" x14ac:dyDescent="0.25">
      <c r="A580" s="2" t="s">
        <v>1736</v>
      </c>
      <c r="B580" s="2" t="s">
        <v>1737</v>
      </c>
      <c r="C580" s="2" t="s">
        <v>1738</v>
      </c>
      <c r="D580" s="2" t="s">
        <v>10040</v>
      </c>
      <c r="E580" s="15">
        <v>-2.5000000000000001E-3</v>
      </c>
      <c r="F580" s="15">
        <v>0.16039999999999999</v>
      </c>
      <c r="G580" s="15">
        <v>0.98780000000000001</v>
      </c>
      <c r="H580" s="15">
        <v>4.4200000000000003E-2</v>
      </c>
      <c r="I580" s="15">
        <v>3.95E-2</v>
      </c>
      <c r="J580" s="15">
        <v>1.1189873417721521</v>
      </c>
    </row>
    <row r="581" spans="1:10" x14ac:dyDescent="0.25">
      <c r="A581" s="2" t="s">
        <v>1739</v>
      </c>
      <c r="B581" s="2" t="s">
        <v>1740</v>
      </c>
      <c r="C581" s="2" t="s">
        <v>1741</v>
      </c>
      <c r="D581" s="2" t="s">
        <v>10040</v>
      </c>
      <c r="E581" s="15">
        <v>6.1999999999999998E-3</v>
      </c>
      <c r="F581" s="15">
        <v>7.8399999999999997E-2</v>
      </c>
      <c r="G581" s="15">
        <v>0.93679999999999997</v>
      </c>
      <c r="H581" s="15">
        <v>0.16569999999999999</v>
      </c>
      <c r="I581" s="15">
        <v>3.6900000000000002E-2</v>
      </c>
      <c r="J581" s="15">
        <v>4.4905149051490509</v>
      </c>
    </row>
    <row r="582" spans="1:10" x14ac:dyDescent="0.25">
      <c r="A582" s="2" t="s">
        <v>1742</v>
      </c>
      <c r="B582" s="2" t="s">
        <v>1743</v>
      </c>
      <c r="C582" s="2" t="s">
        <v>1744</v>
      </c>
      <c r="D582" s="2" t="s">
        <v>10040</v>
      </c>
      <c r="E582" s="15">
        <v>-9.8299999999999998E-2</v>
      </c>
      <c r="F582" s="15">
        <v>8.6499999999999994E-2</v>
      </c>
      <c r="G582" s="15">
        <v>0.25600000000000001</v>
      </c>
      <c r="H582" s="15">
        <v>0.13400000000000001</v>
      </c>
      <c r="I582" s="15">
        <v>4.1399999999999999E-2</v>
      </c>
      <c r="J582" s="15">
        <v>3.2367149758454108</v>
      </c>
    </row>
    <row r="583" spans="1:10" x14ac:dyDescent="0.25">
      <c r="A583" s="2" t="s">
        <v>1745</v>
      </c>
      <c r="B583" s="2" t="s">
        <v>1746</v>
      </c>
      <c r="C583" s="2" t="s">
        <v>1747</v>
      </c>
      <c r="D583" s="2" t="s">
        <v>10040</v>
      </c>
      <c r="E583" s="15">
        <v>0.1</v>
      </c>
      <c r="F583" s="15">
        <v>9.5299999999999996E-2</v>
      </c>
      <c r="G583" s="15">
        <v>0.29380000000000001</v>
      </c>
      <c r="H583" s="15">
        <v>0.14399999999999999</v>
      </c>
      <c r="I583" s="15">
        <v>4.6699999999999998E-2</v>
      </c>
      <c r="J583" s="15">
        <v>3.0835117773019269</v>
      </c>
    </row>
    <row r="584" spans="1:10" x14ac:dyDescent="0.25">
      <c r="A584" s="2" t="s">
        <v>1748</v>
      </c>
      <c r="B584" s="2" t="s">
        <v>1749</v>
      </c>
      <c r="C584" s="2" t="s">
        <v>1750</v>
      </c>
      <c r="D584" s="2" t="s">
        <v>10040</v>
      </c>
      <c r="E584" s="15">
        <v>-3.2800000000000003E-2</v>
      </c>
      <c r="F584" s="15">
        <v>0.1192</v>
      </c>
      <c r="G584" s="15">
        <v>0.78300000000000003</v>
      </c>
      <c r="H584" s="15">
        <v>8.6900000000000005E-2</v>
      </c>
      <c r="I584" s="15">
        <v>3.9E-2</v>
      </c>
      <c r="J584" s="15">
        <v>2.2282051282051278</v>
      </c>
    </row>
    <row r="585" spans="1:10" x14ac:dyDescent="0.25">
      <c r="A585" s="2" t="s">
        <v>1751</v>
      </c>
      <c r="B585" s="2" t="s">
        <v>1752</v>
      </c>
      <c r="C585" s="2" t="s">
        <v>1753</v>
      </c>
      <c r="D585" s="2" t="s">
        <v>10040</v>
      </c>
      <c r="E585" s="15">
        <v>6.83E-2</v>
      </c>
      <c r="F585" s="15">
        <v>7.9899999999999999E-2</v>
      </c>
      <c r="G585" s="15">
        <v>0.39250000000000002</v>
      </c>
      <c r="H585" s="15">
        <v>0.20119999999999999</v>
      </c>
      <c r="I585" s="15">
        <v>4.0099999999999997E-2</v>
      </c>
      <c r="J585" s="15">
        <v>5.017456359102245</v>
      </c>
    </row>
    <row r="586" spans="1:10" x14ac:dyDescent="0.25">
      <c r="A586" s="2" t="s">
        <v>1754</v>
      </c>
      <c r="B586" s="2" t="s">
        <v>1755</v>
      </c>
      <c r="C586" s="2" t="s">
        <v>1756</v>
      </c>
      <c r="D586" s="2" t="s">
        <v>10040</v>
      </c>
      <c r="E586" s="15">
        <v>0.1181</v>
      </c>
      <c r="F586" s="15">
        <v>0.08</v>
      </c>
      <c r="G586" s="15">
        <v>0.14000000000000001</v>
      </c>
      <c r="H586" s="15">
        <v>0.19170000000000001</v>
      </c>
      <c r="I586" s="15">
        <v>4.8099999999999997E-2</v>
      </c>
      <c r="J586" s="15">
        <v>3.9854469854469858</v>
      </c>
    </row>
    <row r="587" spans="1:10" x14ac:dyDescent="0.25">
      <c r="A587" s="2" t="s">
        <v>1757</v>
      </c>
      <c r="B587" s="2" t="s">
        <v>1758</v>
      </c>
      <c r="C587" s="2" t="s">
        <v>1759</v>
      </c>
      <c r="D587" s="2" t="s">
        <v>10040</v>
      </c>
      <c r="E587" s="15">
        <v>0.1019</v>
      </c>
      <c r="F587" s="15">
        <v>8.5099999999999995E-2</v>
      </c>
      <c r="G587" s="15">
        <v>0.23150000000000001</v>
      </c>
      <c r="H587" s="15">
        <v>0.1288</v>
      </c>
      <c r="I587" s="15">
        <v>3.9199999999999999E-2</v>
      </c>
      <c r="J587" s="15">
        <v>3.285714285714286</v>
      </c>
    </row>
    <row r="588" spans="1:10" x14ac:dyDescent="0.25">
      <c r="A588" s="2" t="s">
        <v>1760</v>
      </c>
      <c r="B588" s="2" t="s">
        <v>1761</v>
      </c>
      <c r="C588" s="2" t="s">
        <v>1762</v>
      </c>
      <c r="D588" s="2" t="s">
        <v>10040</v>
      </c>
      <c r="E588" s="15">
        <v>3.3099999999999997E-2</v>
      </c>
      <c r="F588" s="15">
        <v>0.1186</v>
      </c>
      <c r="G588" s="15">
        <v>0.78010000000000002</v>
      </c>
      <c r="H588" s="15">
        <v>7.9399999999999998E-2</v>
      </c>
      <c r="I588" s="15">
        <v>4.2799999999999998E-2</v>
      </c>
      <c r="J588" s="15">
        <v>1.8551401869158879</v>
      </c>
    </row>
    <row r="589" spans="1:10" x14ac:dyDescent="0.25">
      <c r="A589" s="2" t="s">
        <v>1763</v>
      </c>
      <c r="B589" s="2" t="s">
        <v>1764</v>
      </c>
      <c r="C589" s="2" t="s">
        <v>1765</v>
      </c>
      <c r="D589" s="2" t="s">
        <v>10040</v>
      </c>
      <c r="E589" s="15">
        <v>0.2283</v>
      </c>
      <c r="F589" s="15">
        <v>8.4000000000000005E-2</v>
      </c>
      <c r="G589" s="15">
        <v>6.6E-3</v>
      </c>
      <c r="H589" s="15">
        <v>0.15379999999999999</v>
      </c>
      <c r="I589" s="15">
        <v>4.0899999999999999E-2</v>
      </c>
      <c r="J589" s="15">
        <v>3.7603911980440099</v>
      </c>
    </row>
    <row r="590" spans="1:10" x14ac:dyDescent="0.25">
      <c r="A590" s="2" t="s">
        <v>1766</v>
      </c>
      <c r="B590" s="2" t="s">
        <v>1767</v>
      </c>
      <c r="C590" s="2" t="s">
        <v>1768</v>
      </c>
      <c r="D590" s="2" t="s">
        <v>10040</v>
      </c>
      <c r="E590" s="15">
        <v>-3.3599999999999998E-2</v>
      </c>
      <c r="F590" s="15">
        <v>7.5600000000000001E-2</v>
      </c>
      <c r="G590" s="15">
        <v>0.65680000000000005</v>
      </c>
      <c r="H590" s="15">
        <v>0.18379999999999999</v>
      </c>
      <c r="I590" s="15">
        <v>4.6399999999999997E-2</v>
      </c>
      <c r="J590" s="15">
        <v>3.9612068965517242</v>
      </c>
    </row>
    <row r="591" spans="1:10" x14ac:dyDescent="0.25">
      <c r="A591" s="2" t="s">
        <v>1769</v>
      </c>
      <c r="B591" s="2" t="s">
        <v>1770</v>
      </c>
      <c r="C591" s="2" t="s">
        <v>1771</v>
      </c>
      <c r="D591" s="2" t="s">
        <v>10040</v>
      </c>
      <c r="E591" s="15">
        <v>0.15740000000000001</v>
      </c>
      <c r="F591" s="15">
        <v>7.6799999999999993E-2</v>
      </c>
      <c r="G591" s="15">
        <v>4.0399999999999998E-2</v>
      </c>
      <c r="H591" s="15">
        <v>0.19650000000000001</v>
      </c>
      <c r="I591" s="15">
        <v>4.5199999999999997E-2</v>
      </c>
      <c r="J591" s="15">
        <v>4.3473451327433636</v>
      </c>
    </row>
    <row r="592" spans="1:10" x14ac:dyDescent="0.25">
      <c r="A592" s="2" t="s">
        <v>1772</v>
      </c>
      <c r="B592" s="2" t="s">
        <v>1773</v>
      </c>
      <c r="C592" s="2" t="s">
        <v>1774</v>
      </c>
      <c r="D592" s="2" t="s">
        <v>10040</v>
      </c>
      <c r="E592" s="15">
        <v>-9.9099999999999994E-2</v>
      </c>
      <c r="F592" s="15">
        <v>8.8700000000000001E-2</v>
      </c>
      <c r="G592" s="15">
        <v>0.26390000000000002</v>
      </c>
      <c r="H592" s="15">
        <v>0.14269999999999999</v>
      </c>
      <c r="I592" s="15">
        <v>4.1799999999999997E-2</v>
      </c>
      <c r="J592" s="15">
        <v>3.4138755980861251</v>
      </c>
    </row>
    <row r="593" spans="1:10" x14ac:dyDescent="0.25">
      <c r="A593" s="2" t="s">
        <v>1775</v>
      </c>
      <c r="B593" s="2" t="s">
        <v>1776</v>
      </c>
      <c r="C593" s="2" t="s">
        <v>1777</v>
      </c>
      <c r="D593" s="2" t="s">
        <v>10040</v>
      </c>
      <c r="E593" s="15">
        <v>0.2019</v>
      </c>
      <c r="F593" s="15">
        <v>8.9300000000000004E-2</v>
      </c>
      <c r="G593" s="15">
        <v>2.3699999999999999E-2</v>
      </c>
      <c r="H593" s="15">
        <v>0.1484</v>
      </c>
      <c r="I593" s="15">
        <v>4.1500000000000002E-2</v>
      </c>
      <c r="J593" s="15">
        <v>3.5759036144578311</v>
      </c>
    </row>
    <row r="594" spans="1:10" x14ac:dyDescent="0.25">
      <c r="A594" s="2" t="s">
        <v>1778</v>
      </c>
      <c r="B594" s="2" t="s">
        <v>1779</v>
      </c>
      <c r="C594" s="2" t="s">
        <v>1780</v>
      </c>
      <c r="D594" s="2" t="s">
        <v>10040</v>
      </c>
      <c r="E594" s="15">
        <v>9.3799999999999994E-2</v>
      </c>
      <c r="F594" s="15">
        <v>9.7600000000000006E-2</v>
      </c>
      <c r="G594" s="15">
        <v>0.33639999999999998</v>
      </c>
      <c r="H594" s="15">
        <v>0.1265</v>
      </c>
      <c r="I594" s="15">
        <v>4.1099999999999998E-2</v>
      </c>
      <c r="J594" s="15">
        <v>3.0778588807785892</v>
      </c>
    </row>
    <row r="595" spans="1:10" x14ac:dyDescent="0.25">
      <c r="A595" s="2" t="s">
        <v>1781</v>
      </c>
      <c r="B595" s="2" t="s">
        <v>1782</v>
      </c>
      <c r="C595" s="2" t="s">
        <v>1783</v>
      </c>
      <c r="D595" s="2" t="s">
        <v>10040</v>
      </c>
      <c r="E595" s="15">
        <v>3.3799999999999997E-2</v>
      </c>
      <c r="F595" s="15">
        <v>9.3899999999999997E-2</v>
      </c>
      <c r="G595" s="15">
        <v>0.71899999999999997</v>
      </c>
      <c r="H595" s="15">
        <v>0.1376</v>
      </c>
      <c r="I595" s="15">
        <v>3.8899999999999997E-2</v>
      </c>
      <c r="J595" s="15">
        <v>3.5372750642673521</v>
      </c>
    </row>
    <row r="596" spans="1:10" x14ac:dyDescent="0.25">
      <c r="A596" s="2" t="s">
        <v>1784</v>
      </c>
      <c r="B596" s="2" t="s">
        <v>1785</v>
      </c>
      <c r="C596" s="2" t="s">
        <v>1786</v>
      </c>
      <c r="D596" s="2" t="s">
        <v>10040</v>
      </c>
      <c r="E596" s="15">
        <v>7.5300000000000006E-2</v>
      </c>
      <c r="F596" s="15">
        <v>8.5000000000000006E-2</v>
      </c>
      <c r="G596" s="15">
        <v>0.37559999999999999</v>
      </c>
      <c r="H596" s="15">
        <v>0.18529999999999999</v>
      </c>
      <c r="I596" s="15">
        <v>4.1700000000000001E-2</v>
      </c>
      <c r="J596" s="15">
        <v>4.4436450839328536</v>
      </c>
    </row>
    <row r="597" spans="1:10" x14ac:dyDescent="0.25">
      <c r="A597" s="2" t="s">
        <v>1787</v>
      </c>
      <c r="B597" s="2" t="s">
        <v>1788</v>
      </c>
      <c r="C597" s="2" t="s">
        <v>1789</v>
      </c>
      <c r="D597" s="2" t="s">
        <v>10040</v>
      </c>
      <c r="E597" s="15">
        <v>6.8500000000000005E-2</v>
      </c>
      <c r="F597" s="15">
        <v>7.6499999999999999E-2</v>
      </c>
      <c r="G597" s="15">
        <v>0.3705</v>
      </c>
      <c r="H597" s="15">
        <v>0.2009</v>
      </c>
      <c r="I597" s="15">
        <v>4.5199999999999997E-2</v>
      </c>
      <c r="J597" s="15">
        <v>4.4446902654867264</v>
      </c>
    </row>
    <row r="598" spans="1:10" x14ac:dyDescent="0.25">
      <c r="A598" s="2" t="s">
        <v>1790</v>
      </c>
      <c r="B598" s="2" t="s">
        <v>1791</v>
      </c>
      <c r="C598" s="2" t="s">
        <v>1792</v>
      </c>
      <c r="D598" s="2" t="s">
        <v>10040</v>
      </c>
      <c r="E598" s="15">
        <v>0.30549999999999999</v>
      </c>
      <c r="F598" s="15">
        <v>0.2203</v>
      </c>
      <c r="G598" s="15">
        <v>0.16550000000000001</v>
      </c>
      <c r="H598" s="15">
        <v>4.7E-2</v>
      </c>
      <c r="I598" s="15">
        <v>4.3799999999999999E-2</v>
      </c>
      <c r="J598" s="15">
        <v>1.073059360730594</v>
      </c>
    </row>
    <row r="599" spans="1:10" x14ac:dyDescent="0.25">
      <c r="A599" s="2" t="s">
        <v>1793</v>
      </c>
      <c r="B599" s="2" t="s">
        <v>1794</v>
      </c>
      <c r="C599" s="2" t="s">
        <v>1795</v>
      </c>
      <c r="D599" s="2" t="s">
        <v>10040</v>
      </c>
      <c r="E599" s="15">
        <v>6.1199999999999997E-2</v>
      </c>
      <c r="F599" s="15">
        <v>6.7100000000000007E-2</v>
      </c>
      <c r="G599" s="15">
        <v>0.36180000000000001</v>
      </c>
      <c r="H599" s="15">
        <v>0.21579999999999999</v>
      </c>
      <c r="I599" s="15">
        <v>3.9899999999999998E-2</v>
      </c>
      <c r="J599" s="15">
        <v>5.4085213032581452</v>
      </c>
    </row>
    <row r="600" spans="1:10" x14ac:dyDescent="0.25">
      <c r="A600" s="2" t="s">
        <v>1796</v>
      </c>
      <c r="B600" s="2" t="s">
        <v>1797</v>
      </c>
      <c r="C600" s="2" t="s">
        <v>1798</v>
      </c>
      <c r="D600" s="2" t="s">
        <v>10040</v>
      </c>
      <c r="E600" s="15">
        <v>-1.6909999999999999E-5</v>
      </c>
      <c r="F600" s="15">
        <v>0.1242</v>
      </c>
      <c r="G600" s="15">
        <v>0.99990000000000001</v>
      </c>
      <c r="H600" s="15">
        <v>8.3699999999999997E-2</v>
      </c>
      <c r="I600" s="15">
        <v>4.19E-2</v>
      </c>
      <c r="J600" s="15">
        <v>1.9976133651551311</v>
      </c>
    </row>
    <row r="601" spans="1:10" x14ac:dyDescent="0.25">
      <c r="A601" s="2" t="s">
        <v>1799</v>
      </c>
      <c r="B601" s="2" t="s">
        <v>1800</v>
      </c>
      <c r="C601" s="2" t="s">
        <v>1801</v>
      </c>
      <c r="D601" s="2" t="s">
        <v>10040</v>
      </c>
      <c r="E601" s="15">
        <v>7.7299999999999994E-2</v>
      </c>
      <c r="F601" s="15">
        <v>8.3699999999999997E-2</v>
      </c>
      <c r="G601" s="15">
        <v>0.35610000000000003</v>
      </c>
      <c r="H601" s="15">
        <v>0.1424</v>
      </c>
      <c r="I601" s="15">
        <v>4.5499999999999999E-2</v>
      </c>
      <c r="J601" s="15">
        <v>3.1296703296703301</v>
      </c>
    </row>
    <row r="602" spans="1:10" x14ac:dyDescent="0.25">
      <c r="A602" s="2" t="s">
        <v>1802</v>
      </c>
      <c r="B602" s="2" t="s">
        <v>1803</v>
      </c>
      <c r="C602" s="2" t="s">
        <v>1804</v>
      </c>
      <c r="D602" s="2" t="s">
        <v>10040</v>
      </c>
      <c r="E602" s="15">
        <v>-1.9699999999999999E-2</v>
      </c>
      <c r="F602" s="15">
        <v>9.8900000000000002E-2</v>
      </c>
      <c r="G602" s="15">
        <v>0.8417</v>
      </c>
      <c r="H602" s="15">
        <v>0.12920000000000001</v>
      </c>
      <c r="I602" s="15">
        <v>4.1599999999999998E-2</v>
      </c>
      <c r="J602" s="15">
        <v>3.1057692307692308</v>
      </c>
    </row>
    <row r="603" spans="1:10" x14ac:dyDescent="0.25">
      <c r="A603" s="2" t="s">
        <v>1805</v>
      </c>
      <c r="B603" s="2" t="s">
        <v>1806</v>
      </c>
      <c r="C603" s="2" t="s">
        <v>1807</v>
      </c>
      <c r="D603" s="2" t="s">
        <v>10040</v>
      </c>
      <c r="E603" s="15">
        <v>-1.0699999999999999E-2</v>
      </c>
      <c r="F603" s="15">
        <v>9.3600000000000003E-2</v>
      </c>
      <c r="G603" s="15">
        <v>0.90869999999999995</v>
      </c>
      <c r="H603" s="15">
        <v>0.13450000000000001</v>
      </c>
      <c r="I603" s="15">
        <v>3.7100000000000001E-2</v>
      </c>
      <c r="J603" s="15">
        <v>3.6253369272237199</v>
      </c>
    </row>
    <row r="604" spans="1:10" x14ac:dyDescent="0.25">
      <c r="A604" s="2" t="s">
        <v>1808</v>
      </c>
      <c r="B604" s="2" t="s">
        <v>1809</v>
      </c>
      <c r="C604" s="2" t="s">
        <v>1810</v>
      </c>
      <c r="D604" s="2" t="s">
        <v>10040</v>
      </c>
      <c r="E604" s="15">
        <v>4.0000000000000002E-4</v>
      </c>
      <c r="F604" s="15">
        <v>8.6199999999999999E-2</v>
      </c>
      <c r="G604" s="15">
        <v>0.99680000000000002</v>
      </c>
      <c r="H604" s="15">
        <v>0.12970000000000001</v>
      </c>
      <c r="I604" s="15">
        <v>4.1099999999999998E-2</v>
      </c>
      <c r="J604" s="15">
        <v>3.1557177615571779</v>
      </c>
    </row>
    <row r="605" spans="1:10" x14ac:dyDescent="0.25">
      <c r="A605" s="2" t="s">
        <v>1811</v>
      </c>
      <c r="B605" s="2" t="s">
        <v>1812</v>
      </c>
      <c r="C605" s="2" t="s">
        <v>1813</v>
      </c>
      <c r="D605" s="2" t="s">
        <v>10040</v>
      </c>
      <c r="E605" s="15">
        <v>-0.1101</v>
      </c>
      <c r="F605" s="15">
        <v>8.5300000000000001E-2</v>
      </c>
      <c r="G605" s="15">
        <v>0.19689999999999999</v>
      </c>
      <c r="H605" s="15">
        <v>0.1668</v>
      </c>
      <c r="I605" s="15">
        <v>4.0800000000000003E-2</v>
      </c>
      <c r="J605" s="15">
        <v>4.0882352941176467</v>
      </c>
    </row>
    <row r="606" spans="1:10" x14ac:dyDescent="0.25">
      <c r="A606" s="2" t="s">
        <v>1814</v>
      </c>
      <c r="B606" s="2" t="s">
        <v>1815</v>
      </c>
      <c r="C606" s="2" t="s">
        <v>1816</v>
      </c>
      <c r="D606" s="2" t="s">
        <v>10040</v>
      </c>
      <c r="E606" s="15">
        <v>-1.47E-2</v>
      </c>
      <c r="F606" s="15">
        <v>0.1027</v>
      </c>
      <c r="G606" s="15">
        <v>0.88649999999999995</v>
      </c>
      <c r="H606" s="15">
        <v>9.3200000000000005E-2</v>
      </c>
      <c r="I606" s="15">
        <v>4.19E-2</v>
      </c>
      <c r="J606" s="15">
        <v>2.2243436754176611</v>
      </c>
    </row>
    <row r="607" spans="1:10" x14ac:dyDescent="0.25">
      <c r="A607" s="2" t="s">
        <v>1817</v>
      </c>
      <c r="B607" s="2" t="s">
        <v>1818</v>
      </c>
      <c r="C607" s="2" t="s">
        <v>1819</v>
      </c>
      <c r="D607" s="2" t="s">
        <v>10040</v>
      </c>
      <c r="E607" s="15">
        <v>-0.186</v>
      </c>
      <c r="F607" s="15">
        <v>0.1245</v>
      </c>
      <c r="G607" s="15">
        <v>0.1353</v>
      </c>
      <c r="H607" s="15">
        <v>8.6900000000000005E-2</v>
      </c>
      <c r="I607" s="15">
        <v>3.8199999999999998E-2</v>
      </c>
      <c r="J607" s="15">
        <v>2.2748691099476441</v>
      </c>
    </row>
    <row r="608" spans="1:10" x14ac:dyDescent="0.25">
      <c r="A608" s="2" t="s">
        <v>1820</v>
      </c>
      <c r="B608" s="2" t="s">
        <v>1821</v>
      </c>
      <c r="C608" s="2" t="s">
        <v>1822</v>
      </c>
      <c r="D608" s="2" t="s">
        <v>10040</v>
      </c>
      <c r="E608" s="15">
        <v>0.30819999999999997</v>
      </c>
      <c r="F608" s="15">
        <v>0.1275</v>
      </c>
      <c r="G608" s="15">
        <v>1.5599999999999999E-2</v>
      </c>
      <c r="H608" s="15">
        <v>9.7000000000000003E-2</v>
      </c>
      <c r="I608" s="15">
        <v>3.9699999999999999E-2</v>
      </c>
      <c r="J608" s="15">
        <v>2.4433249370277079</v>
      </c>
    </row>
    <row r="609" spans="1:10" x14ac:dyDescent="0.25">
      <c r="A609" s="2" t="s">
        <v>1823</v>
      </c>
      <c r="B609" s="2" t="s">
        <v>1824</v>
      </c>
      <c r="C609" s="2" t="s">
        <v>1825</v>
      </c>
      <c r="D609" s="2" t="s">
        <v>10040</v>
      </c>
      <c r="E609" s="15">
        <v>0.16089999999999999</v>
      </c>
      <c r="F609" s="15">
        <v>7.9600000000000004E-2</v>
      </c>
      <c r="G609" s="15">
        <v>4.3200000000000002E-2</v>
      </c>
      <c r="H609" s="15">
        <v>0.18140000000000001</v>
      </c>
      <c r="I609" s="15">
        <v>4.5499999999999999E-2</v>
      </c>
      <c r="J609" s="15">
        <v>3.9868131868131869</v>
      </c>
    </row>
    <row r="610" spans="1:10" x14ac:dyDescent="0.25">
      <c r="A610" s="2" t="s">
        <v>1826</v>
      </c>
      <c r="B610" s="2" t="s">
        <v>1827</v>
      </c>
      <c r="C610" s="2" t="s">
        <v>1828</v>
      </c>
      <c r="D610" s="2" t="s">
        <v>10040</v>
      </c>
      <c r="E610" s="15">
        <v>0.2873</v>
      </c>
      <c r="F610" s="15">
        <v>0.1444</v>
      </c>
      <c r="G610" s="15">
        <v>4.6699999999999998E-2</v>
      </c>
      <c r="H610" s="15">
        <v>6.8599999999999994E-2</v>
      </c>
      <c r="I610" s="15">
        <v>4.3900000000000002E-2</v>
      </c>
      <c r="J610" s="15">
        <v>1.5626423690205009</v>
      </c>
    </row>
    <row r="611" spans="1:10" x14ac:dyDescent="0.25">
      <c r="A611" s="2" t="s">
        <v>1829</v>
      </c>
      <c r="B611" s="2" t="s">
        <v>1830</v>
      </c>
      <c r="C611" s="2" t="s">
        <v>1831</v>
      </c>
      <c r="D611" s="2" t="s">
        <v>10040</v>
      </c>
      <c r="E611" s="15">
        <v>2.6700000000000002E-2</v>
      </c>
      <c r="F611" s="15">
        <v>7.9600000000000004E-2</v>
      </c>
      <c r="G611" s="15">
        <v>0.73750000000000004</v>
      </c>
      <c r="H611" s="15">
        <v>0.16600000000000001</v>
      </c>
      <c r="I611" s="15">
        <v>4.0300000000000002E-2</v>
      </c>
      <c r="J611" s="15">
        <v>4.1191066997518613</v>
      </c>
    </row>
    <row r="612" spans="1:10" x14ac:dyDescent="0.25">
      <c r="A612" s="2" t="s">
        <v>1832</v>
      </c>
      <c r="B612" s="2" t="s">
        <v>1833</v>
      </c>
      <c r="C612" s="2" t="s">
        <v>1834</v>
      </c>
      <c r="D612" s="2" t="s">
        <v>10040</v>
      </c>
      <c r="E612" s="15">
        <v>5.1900000000000002E-2</v>
      </c>
      <c r="F612" s="15">
        <v>8.5099999999999995E-2</v>
      </c>
      <c r="G612" s="15">
        <v>0.54139999999999999</v>
      </c>
      <c r="H612" s="15">
        <v>0.1305</v>
      </c>
      <c r="I612" s="15">
        <v>3.9800000000000002E-2</v>
      </c>
      <c r="J612" s="15">
        <v>3.278894472361809</v>
      </c>
    </row>
    <row r="613" spans="1:10" x14ac:dyDescent="0.25">
      <c r="A613" s="2" t="s">
        <v>1835</v>
      </c>
      <c r="B613" s="2" t="s">
        <v>1836</v>
      </c>
      <c r="C613" s="2" t="s">
        <v>1837</v>
      </c>
      <c r="D613" s="2" t="s">
        <v>10040</v>
      </c>
      <c r="E613" s="15">
        <v>-9.8500000000000004E-2</v>
      </c>
      <c r="F613" s="15">
        <v>7.6899999999999996E-2</v>
      </c>
      <c r="G613" s="15">
        <v>0.20030000000000001</v>
      </c>
      <c r="H613" s="15">
        <v>0.18459999999999999</v>
      </c>
      <c r="I613" s="15">
        <v>4.19E-2</v>
      </c>
      <c r="J613" s="15">
        <v>4.4057279236276843</v>
      </c>
    </row>
    <row r="614" spans="1:10" x14ac:dyDescent="0.25">
      <c r="A614" s="2" t="s">
        <v>1838</v>
      </c>
      <c r="B614" s="2" t="s">
        <v>1839</v>
      </c>
      <c r="C614" s="2" t="s">
        <v>1840</v>
      </c>
      <c r="D614" s="2" t="s">
        <v>10040</v>
      </c>
      <c r="E614" s="15">
        <v>0.1278</v>
      </c>
      <c r="F614" s="15">
        <v>0.1239</v>
      </c>
      <c r="G614" s="15">
        <v>0.30220000000000002</v>
      </c>
      <c r="H614" s="15">
        <v>8.2900000000000001E-2</v>
      </c>
      <c r="I614" s="15">
        <v>3.5400000000000001E-2</v>
      </c>
      <c r="J614" s="15">
        <v>2.3418079096045199</v>
      </c>
    </row>
    <row r="615" spans="1:10" x14ac:dyDescent="0.25">
      <c r="A615" s="2" t="s">
        <v>1841</v>
      </c>
      <c r="B615" s="2" t="s">
        <v>1842</v>
      </c>
      <c r="C615" s="2" t="s">
        <v>1843</v>
      </c>
      <c r="D615" s="2" t="s">
        <v>10040</v>
      </c>
      <c r="E615" s="15"/>
      <c r="F615" s="15"/>
      <c r="G615" s="15"/>
      <c r="H615" s="15"/>
      <c r="I615" s="15"/>
      <c r="J615" s="15"/>
    </row>
    <row r="616" spans="1:10" x14ac:dyDescent="0.25">
      <c r="A616" s="2" t="s">
        <v>1844</v>
      </c>
      <c r="B616" s="2" t="s">
        <v>1845</v>
      </c>
      <c r="C616" s="2" t="s">
        <v>1846</v>
      </c>
      <c r="D616" s="2" t="s">
        <v>10040</v>
      </c>
      <c r="E616" s="15">
        <v>0.19750000000000001</v>
      </c>
      <c r="F616" s="15">
        <v>9.2200000000000004E-2</v>
      </c>
      <c r="G616" s="15">
        <v>3.2099999999999997E-2</v>
      </c>
      <c r="H616" s="15">
        <v>0.16320000000000001</v>
      </c>
      <c r="I616" s="15">
        <v>4.1399999999999999E-2</v>
      </c>
      <c r="J616" s="15">
        <v>3.942028985507247</v>
      </c>
    </row>
    <row r="617" spans="1:10" x14ac:dyDescent="0.25">
      <c r="A617" s="2" t="s">
        <v>1847</v>
      </c>
      <c r="B617" s="2" t="s">
        <v>1848</v>
      </c>
      <c r="C617" s="2" t="s">
        <v>1849</v>
      </c>
      <c r="D617" s="2" t="s">
        <v>10040</v>
      </c>
      <c r="E617" s="15">
        <v>0.20269999999999999</v>
      </c>
      <c r="F617" s="15">
        <v>8.8300000000000003E-2</v>
      </c>
      <c r="G617" s="15">
        <v>2.1700000000000001E-2</v>
      </c>
      <c r="H617" s="15">
        <v>0.14530000000000001</v>
      </c>
      <c r="I617" s="15">
        <v>4.3999999999999997E-2</v>
      </c>
      <c r="J617" s="15">
        <v>3.3022727272727281</v>
      </c>
    </row>
    <row r="618" spans="1:10" x14ac:dyDescent="0.25">
      <c r="A618" s="2" t="s">
        <v>1850</v>
      </c>
      <c r="B618" s="2" t="s">
        <v>1851</v>
      </c>
      <c r="C618" s="2" t="s">
        <v>1852</v>
      </c>
      <c r="D618" s="2" t="s">
        <v>10040</v>
      </c>
      <c r="E618" s="15">
        <v>0.15959999999999999</v>
      </c>
      <c r="F618" s="15">
        <v>7.6100000000000001E-2</v>
      </c>
      <c r="G618" s="15">
        <v>3.5999999999999997E-2</v>
      </c>
      <c r="H618" s="15">
        <v>0.16289999999999999</v>
      </c>
      <c r="I618" s="15">
        <v>3.9699999999999999E-2</v>
      </c>
      <c r="J618" s="15">
        <v>4.1032745591939541</v>
      </c>
    </row>
    <row r="619" spans="1:10" x14ac:dyDescent="0.25">
      <c r="A619" s="2" t="s">
        <v>1853</v>
      </c>
      <c r="B619" s="2" t="s">
        <v>1854</v>
      </c>
      <c r="C619" s="2" t="s">
        <v>1855</v>
      </c>
      <c r="D619" s="2" t="s">
        <v>10040</v>
      </c>
      <c r="E619" s="15">
        <v>9.1600000000000001E-2</v>
      </c>
      <c r="F619" s="15">
        <v>6.5500000000000003E-2</v>
      </c>
      <c r="G619" s="15">
        <v>0.16170000000000001</v>
      </c>
      <c r="H619" s="15">
        <v>0.2712</v>
      </c>
      <c r="I619" s="15">
        <v>5.4100000000000002E-2</v>
      </c>
      <c r="J619" s="15">
        <v>5.0129390018484283</v>
      </c>
    </row>
    <row r="620" spans="1:10" x14ac:dyDescent="0.25">
      <c r="A620" s="2" t="s">
        <v>1856</v>
      </c>
      <c r="B620" s="2" t="s">
        <v>1857</v>
      </c>
      <c r="C620" s="2" t="s">
        <v>1858</v>
      </c>
      <c r="D620" s="2" t="s">
        <v>10040</v>
      </c>
      <c r="E620" s="15">
        <v>-3.5999999999999999E-3</v>
      </c>
      <c r="F620" s="15">
        <v>8.3500000000000005E-2</v>
      </c>
      <c r="G620" s="15">
        <v>0.9657</v>
      </c>
      <c r="H620" s="15">
        <v>0.13880000000000001</v>
      </c>
      <c r="I620" s="15">
        <v>4.2900000000000001E-2</v>
      </c>
      <c r="J620" s="15">
        <v>3.235431235431236</v>
      </c>
    </row>
    <row r="621" spans="1:10" x14ac:dyDescent="0.25">
      <c r="A621" s="2" t="s">
        <v>1859</v>
      </c>
      <c r="B621" s="2" t="s">
        <v>1860</v>
      </c>
      <c r="C621" s="2" t="s">
        <v>1861</v>
      </c>
      <c r="D621" s="2" t="s">
        <v>10040</v>
      </c>
      <c r="E621" s="15">
        <v>0.13750000000000001</v>
      </c>
      <c r="F621" s="15">
        <v>0.12130000000000001</v>
      </c>
      <c r="G621" s="15">
        <v>0.25700000000000001</v>
      </c>
      <c r="H621" s="15">
        <v>9.9699999999999997E-2</v>
      </c>
      <c r="I621" s="15">
        <v>3.8100000000000002E-2</v>
      </c>
      <c r="J621" s="15">
        <v>2.6167979002624668</v>
      </c>
    </row>
    <row r="622" spans="1:10" x14ac:dyDescent="0.25">
      <c r="A622" s="2" t="s">
        <v>1862</v>
      </c>
      <c r="B622" s="2" t="s">
        <v>1863</v>
      </c>
      <c r="C622" s="2" t="s">
        <v>1864</v>
      </c>
      <c r="D622" s="2" t="s">
        <v>10040</v>
      </c>
      <c r="E622" s="15">
        <v>5.4100000000000002E-2</v>
      </c>
      <c r="F622" s="15">
        <v>0.14860000000000001</v>
      </c>
      <c r="G622" s="15">
        <v>0.7157</v>
      </c>
      <c r="H622" s="15">
        <v>4.7800000000000002E-2</v>
      </c>
      <c r="I622" s="15">
        <v>3.6400000000000002E-2</v>
      </c>
      <c r="J622" s="15">
        <v>1.313186813186813</v>
      </c>
    </row>
    <row r="623" spans="1:10" x14ac:dyDescent="0.25">
      <c r="A623" s="2" t="s">
        <v>1865</v>
      </c>
      <c r="B623" s="2" t="s">
        <v>1866</v>
      </c>
      <c r="C623" s="2" t="s">
        <v>1867</v>
      </c>
      <c r="D623" s="2" t="s">
        <v>10040</v>
      </c>
      <c r="E623" s="15">
        <v>5.0799999999999998E-2</v>
      </c>
      <c r="F623" s="15">
        <v>8.2900000000000001E-2</v>
      </c>
      <c r="G623" s="15">
        <v>0.53969999999999996</v>
      </c>
      <c r="H623" s="15">
        <v>0.1492</v>
      </c>
      <c r="I623" s="15">
        <v>4.3999999999999997E-2</v>
      </c>
      <c r="J623" s="15">
        <v>3.3909090909090911</v>
      </c>
    </row>
    <row r="624" spans="1:10" x14ac:dyDescent="0.25">
      <c r="A624" s="2" t="s">
        <v>1868</v>
      </c>
      <c r="B624" s="2" t="s">
        <v>1869</v>
      </c>
      <c r="C624" s="2" t="s">
        <v>1870</v>
      </c>
      <c r="D624" s="2" t="s">
        <v>10040</v>
      </c>
      <c r="E624" s="15">
        <v>3.2800000000000003E-2</v>
      </c>
      <c r="F624" s="15">
        <v>9.3600000000000003E-2</v>
      </c>
      <c r="G624" s="15">
        <v>0.72589999999999999</v>
      </c>
      <c r="H624" s="15">
        <v>0.14349999999999999</v>
      </c>
      <c r="I624" s="15">
        <v>3.9800000000000002E-2</v>
      </c>
      <c r="J624" s="15">
        <v>3.6055276381909538</v>
      </c>
    </row>
    <row r="625" spans="1:10" x14ac:dyDescent="0.25">
      <c r="A625" s="2" t="s">
        <v>1871</v>
      </c>
      <c r="B625" s="2" t="s">
        <v>1872</v>
      </c>
      <c r="C625" s="2" t="s">
        <v>1873</v>
      </c>
      <c r="D625" s="2" t="s">
        <v>10040</v>
      </c>
      <c r="E625" s="15">
        <v>0.1065</v>
      </c>
      <c r="F625" s="15">
        <v>8.5599999999999996E-2</v>
      </c>
      <c r="G625" s="15">
        <v>0.2135</v>
      </c>
      <c r="H625" s="15">
        <v>0.16600000000000001</v>
      </c>
      <c r="I625" s="15">
        <v>4.1099999999999998E-2</v>
      </c>
      <c r="J625" s="15">
        <v>4.0389294403892952</v>
      </c>
    </row>
    <row r="626" spans="1:10" x14ac:dyDescent="0.25">
      <c r="A626" s="2" t="s">
        <v>1874</v>
      </c>
      <c r="B626" s="2" t="s">
        <v>1875</v>
      </c>
      <c r="C626" s="2" t="s">
        <v>1876</v>
      </c>
      <c r="D626" s="2" t="s">
        <v>10040</v>
      </c>
      <c r="E626" s="15">
        <v>-4.48E-2</v>
      </c>
      <c r="F626" s="15">
        <v>0.1182</v>
      </c>
      <c r="G626" s="15">
        <v>0.70440000000000003</v>
      </c>
      <c r="H626" s="15">
        <v>7.4700000000000003E-2</v>
      </c>
      <c r="I626" s="15">
        <v>4.07E-2</v>
      </c>
      <c r="J626" s="15">
        <v>1.835380835380835</v>
      </c>
    </row>
    <row r="627" spans="1:10" x14ac:dyDescent="0.25">
      <c r="A627" s="2" t="s">
        <v>1877</v>
      </c>
      <c r="B627" s="2" t="s">
        <v>1878</v>
      </c>
      <c r="C627" s="2" t="s">
        <v>1879</v>
      </c>
      <c r="D627" s="2" t="s">
        <v>10040</v>
      </c>
      <c r="E627" s="15">
        <v>0.1087</v>
      </c>
      <c r="F627" s="15">
        <v>9.2899999999999996E-2</v>
      </c>
      <c r="G627" s="15">
        <v>0.24179999999999999</v>
      </c>
      <c r="H627" s="15">
        <v>0.17199999999999999</v>
      </c>
      <c r="I627" s="15">
        <v>3.56E-2</v>
      </c>
      <c r="J627" s="15">
        <v>4.8314606741573032</v>
      </c>
    </row>
    <row r="628" spans="1:10" x14ac:dyDescent="0.25">
      <c r="A628" s="2" t="s">
        <v>1880</v>
      </c>
      <c r="B628" s="2" t="s">
        <v>1881</v>
      </c>
      <c r="C628" s="2" t="s">
        <v>1882</v>
      </c>
      <c r="D628" s="2" t="s">
        <v>10040</v>
      </c>
      <c r="E628" s="15">
        <v>0.1454</v>
      </c>
      <c r="F628" s="15">
        <v>0.17749999999999999</v>
      </c>
      <c r="G628" s="15">
        <v>0.4128</v>
      </c>
      <c r="H628" s="15">
        <v>4.2799999999999998E-2</v>
      </c>
      <c r="I628" s="15">
        <v>4.2999999999999997E-2</v>
      </c>
      <c r="J628" s="15">
        <v>0.99534883720930234</v>
      </c>
    </row>
    <row r="629" spans="1:10" x14ac:dyDescent="0.25">
      <c r="A629" s="2" t="s">
        <v>1883</v>
      </c>
      <c r="B629" s="2" t="s">
        <v>1884</v>
      </c>
      <c r="C629" s="2" t="s">
        <v>1885</v>
      </c>
      <c r="D629" s="2" t="s">
        <v>10040</v>
      </c>
      <c r="E629" s="15">
        <v>4.5100000000000001E-2</v>
      </c>
      <c r="F629" s="15">
        <v>0.12889999999999999</v>
      </c>
      <c r="G629" s="15">
        <v>0.72640000000000005</v>
      </c>
      <c r="H629" s="15">
        <v>7.8399999999999997E-2</v>
      </c>
      <c r="I629" s="15">
        <v>4.1399999999999999E-2</v>
      </c>
      <c r="J629" s="15">
        <v>1.893719806763285</v>
      </c>
    </row>
    <row r="630" spans="1:10" x14ac:dyDescent="0.25">
      <c r="A630" s="2" t="s">
        <v>1886</v>
      </c>
      <c r="B630" s="2" t="s">
        <v>1887</v>
      </c>
      <c r="C630" s="2" t="s">
        <v>1888</v>
      </c>
      <c r="D630" s="2" t="s">
        <v>10040</v>
      </c>
      <c r="E630" s="15"/>
      <c r="F630" s="15"/>
      <c r="G630" s="15"/>
      <c r="H630" s="15">
        <v>-8.8000000000000005E-3</v>
      </c>
      <c r="I630" s="15">
        <v>3.4500000000000003E-2</v>
      </c>
      <c r="J630" s="15">
        <v>-0.25507246376811588</v>
      </c>
    </row>
    <row r="631" spans="1:10" x14ac:dyDescent="0.25">
      <c r="A631" s="2" t="s">
        <v>1889</v>
      </c>
      <c r="B631" s="2" t="s">
        <v>1890</v>
      </c>
      <c r="C631" s="2" t="s">
        <v>1891</v>
      </c>
      <c r="D631" s="2" t="s">
        <v>10040</v>
      </c>
      <c r="E631" s="15">
        <v>6.7999999999999996E-3</v>
      </c>
      <c r="F631" s="15">
        <v>0.13830000000000001</v>
      </c>
      <c r="G631" s="15">
        <v>0.96099999999999997</v>
      </c>
      <c r="H631" s="15">
        <v>6.2100000000000002E-2</v>
      </c>
      <c r="I631" s="15">
        <v>3.6799999999999999E-2</v>
      </c>
      <c r="J631" s="15">
        <v>1.6875</v>
      </c>
    </row>
    <row r="632" spans="1:10" x14ac:dyDescent="0.25">
      <c r="A632" s="2" t="s">
        <v>1892</v>
      </c>
      <c r="B632" s="2" t="s">
        <v>1893</v>
      </c>
      <c r="C632" s="2" t="s">
        <v>1894</v>
      </c>
      <c r="D632" s="2" t="s">
        <v>10040</v>
      </c>
      <c r="E632" s="15">
        <v>-2.1299999999999999E-2</v>
      </c>
      <c r="F632" s="15">
        <v>9.5000000000000001E-2</v>
      </c>
      <c r="G632" s="15">
        <v>0.82279999999999998</v>
      </c>
      <c r="H632" s="15">
        <v>0.11119999999999999</v>
      </c>
      <c r="I632" s="15">
        <v>3.7100000000000001E-2</v>
      </c>
      <c r="J632" s="15">
        <v>2.997304582210242</v>
      </c>
    </row>
    <row r="633" spans="1:10" x14ac:dyDescent="0.25">
      <c r="A633" s="2" t="s">
        <v>1895</v>
      </c>
      <c r="B633" s="2" t="s">
        <v>1896</v>
      </c>
      <c r="C633" s="2" t="s">
        <v>1897</v>
      </c>
      <c r="D633" s="2" t="s">
        <v>10040</v>
      </c>
      <c r="E633" s="15">
        <v>-2.8999999999999998E-3</v>
      </c>
      <c r="F633" s="15">
        <v>0.14130000000000001</v>
      </c>
      <c r="G633" s="15">
        <v>0.98380000000000001</v>
      </c>
      <c r="H633" s="15">
        <v>5.7599999999999998E-2</v>
      </c>
      <c r="I633" s="15">
        <v>3.5299999999999998E-2</v>
      </c>
      <c r="J633" s="15">
        <v>1.631728045325779</v>
      </c>
    </row>
    <row r="634" spans="1:10" x14ac:dyDescent="0.25">
      <c r="A634" s="2" t="s">
        <v>1898</v>
      </c>
      <c r="B634" s="2" t="s">
        <v>1899</v>
      </c>
      <c r="C634" s="2" t="s">
        <v>1900</v>
      </c>
      <c r="D634" s="2" t="s">
        <v>10040</v>
      </c>
      <c r="E634" s="15">
        <v>-3.4099999999999998E-2</v>
      </c>
      <c r="F634" s="15">
        <v>0.1391</v>
      </c>
      <c r="G634" s="15">
        <v>0.80600000000000005</v>
      </c>
      <c r="H634" s="15">
        <v>5.7000000000000002E-2</v>
      </c>
      <c r="I634" s="15">
        <v>3.95E-2</v>
      </c>
      <c r="J634" s="15">
        <v>1.443037974683544</v>
      </c>
    </row>
    <row r="635" spans="1:10" x14ac:dyDescent="0.25">
      <c r="A635" s="2" t="s">
        <v>1901</v>
      </c>
      <c r="B635" s="2" t="s">
        <v>1902</v>
      </c>
      <c r="C635" s="2" t="s">
        <v>1903</v>
      </c>
      <c r="D635" s="2" t="s">
        <v>10040</v>
      </c>
      <c r="E635" s="15">
        <v>-5.1999999999999998E-2</v>
      </c>
      <c r="F635" s="15">
        <v>0.1089</v>
      </c>
      <c r="G635" s="15">
        <v>0.63270000000000004</v>
      </c>
      <c r="H635" s="15">
        <v>0.1022</v>
      </c>
      <c r="I635" s="15">
        <v>3.85E-2</v>
      </c>
      <c r="J635" s="15">
        <v>2.6545454545454552</v>
      </c>
    </row>
    <row r="636" spans="1:10" x14ac:dyDescent="0.25">
      <c r="A636" s="2" t="s">
        <v>1904</v>
      </c>
      <c r="B636" s="2" t="s">
        <v>1905</v>
      </c>
      <c r="C636" s="2" t="s">
        <v>1906</v>
      </c>
      <c r="D636" s="2" t="s">
        <v>10040</v>
      </c>
      <c r="E636" s="15">
        <v>-0.1983</v>
      </c>
      <c r="F636" s="15">
        <v>0.11940000000000001</v>
      </c>
      <c r="G636" s="15">
        <v>9.6799999999999997E-2</v>
      </c>
      <c r="H636" s="15">
        <v>0.1028</v>
      </c>
      <c r="I636" s="15">
        <v>4.36E-2</v>
      </c>
      <c r="J636" s="15">
        <v>2.357798165137615</v>
      </c>
    </row>
    <row r="637" spans="1:10" x14ac:dyDescent="0.25">
      <c r="A637" s="2" t="s">
        <v>1907</v>
      </c>
      <c r="B637" s="2" t="s">
        <v>1908</v>
      </c>
      <c r="C637" s="2" t="s">
        <v>1909</v>
      </c>
      <c r="D637" s="2" t="s">
        <v>10040</v>
      </c>
      <c r="E637" s="15">
        <v>8.6E-3</v>
      </c>
      <c r="F637" s="15">
        <v>0.1237</v>
      </c>
      <c r="G637" s="15">
        <v>0.94469999999999998</v>
      </c>
      <c r="H637" s="15">
        <v>8.0199999999999994E-2</v>
      </c>
      <c r="I637" s="15">
        <v>3.4000000000000002E-2</v>
      </c>
      <c r="J637" s="15">
        <v>2.3588235294117639</v>
      </c>
    </row>
    <row r="638" spans="1:10" x14ac:dyDescent="0.25">
      <c r="A638" s="2" t="s">
        <v>1910</v>
      </c>
      <c r="B638" s="2" t="s">
        <v>1911</v>
      </c>
      <c r="C638" s="2" t="s">
        <v>1912</v>
      </c>
      <c r="D638" s="2" t="s">
        <v>10040</v>
      </c>
      <c r="E638" s="15">
        <v>2.0999999999999999E-3</v>
      </c>
      <c r="F638" s="15">
        <v>8.8099999999999998E-2</v>
      </c>
      <c r="G638" s="15">
        <v>0.98109999999999997</v>
      </c>
      <c r="H638" s="15">
        <v>0.13719999999999999</v>
      </c>
      <c r="I638" s="15">
        <v>0.04</v>
      </c>
      <c r="J638" s="15">
        <v>3.43</v>
      </c>
    </row>
    <row r="639" spans="1:10" x14ac:dyDescent="0.25">
      <c r="A639" s="2" t="s">
        <v>1913</v>
      </c>
      <c r="B639" s="2" t="s">
        <v>1914</v>
      </c>
      <c r="C639" s="2" t="s">
        <v>1915</v>
      </c>
      <c r="D639" s="2" t="s">
        <v>10040</v>
      </c>
      <c r="E639" s="15">
        <v>3.4200000000000001E-2</v>
      </c>
      <c r="F639" s="15">
        <v>7.4999999999999997E-2</v>
      </c>
      <c r="G639" s="15">
        <v>0.64800000000000002</v>
      </c>
      <c r="H639" s="15">
        <v>0.19159999999999999</v>
      </c>
      <c r="I639" s="15">
        <v>4.3499999999999997E-2</v>
      </c>
      <c r="J639" s="15">
        <v>4.4045977011494264</v>
      </c>
    </row>
    <row r="640" spans="1:10" x14ac:dyDescent="0.25">
      <c r="A640" s="2" t="s">
        <v>1916</v>
      </c>
      <c r="B640" s="2" t="s">
        <v>1917</v>
      </c>
      <c r="C640" s="2" t="s">
        <v>1918</v>
      </c>
      <c r="D640" s="2" t="s">
        <v>10040</v>
      </c>
      <c r="E640" s="15">
        <v>0.12590000000000001</v>
      </c>
      <c r="F640" s="15">
        <v>8.2100000000000006E-2</v>
      </c>
      <c r="G640" s="15">
        <v>0.12529999999999999</v>
      </c>
      <c r="H640" s="15">
        <v>0.20880000000000001</v>
      </c>
      <c r="I640" s="15">
        <v>4.19E-2</v>
      </c>
      <c r="J640" s="15">
        <v>4.9832935560859193</v>
      </c>
    </row>
    <row r="641" spans="1:10" x14ac:dyDescent="0.25">
      <c r="A641" s="2" t="s">
        <v>1919</v>
      </c>
      <c r="B641" s="2" t="s">
        <v>1920</v>
      </c>
      <c r="C641" s="2" t="s">
        <v>1921</v>
      </c>
      <c r="D641" s="2" t="s">
        <v>10040</v>
      </c>
      <c r="E641" s="15">
        <v>-0.1028</v>
      </c>
      <c r="F641" s="15">
        <v>0.18870000000000001</v>
      </c>
      <c r="G641" s="15">
        <v>0.58599999999999997</v>
      </c>
      <c r="H641" s="15">
        <v>3.8800000000000001E-2</v>
      </c>
      <c r="I641" s="15">
        <v>4.1399999999999999E-2</v>
      </c>
      <c r="J641" s="15">
        <v>0.9371980676328503</v>
      </c>
    </row>
    <row r="642" spans="1:10" x14ac:dyDescent="0.25">
      <c r="A642" s="2" t="s">
        <v>1922</v>
      </c>
      <c r="B642" s="2" t="s">
        <v>1923</v>
      </c>
      <c r="C642" s="2" t="s">
        <v>1924</v>
      </c>
      <c r="D642" s="2" t="s">
        <v>10040</v>
      </c>
      <c r="E642" s="15">
        <v>-0.27160000000000001</v>
      </c>
      <c r="F642" s="15">
        <v>0.13539999999999999</v>
      </c>
      <c r="G642" s="15">
        <v>4.4900000000000002E-2</v>
      </c>
      <c r="H642" s="15">
        <v>7.4099999999999999E-2</v>
      </c>
      <c r="I642" s="15">
        <v>3.9899999999999998E-2</v>
      </c>
      <c r="J642" s="15">
        <v>1.857142857142857</v>
      </c>
    </row>
    <row r="643" spans="1:10" x14ac:dyDescent="0.25">
      <c r="A643" s="2" t="s">
        <v>1925</v>
      </c>
      <c r="B643" s="2" t="s">
        <v>1926</v>
      </c>
      <c r="C643" s="2" t="s">
        <v>1927</v>
      </c>
      <c r="D643" s="2" t="s">
        <v>10040</v>
      </c>
      <c r="E643" s="15">
        <v>2.4899999999999999E-2</v>
      </c>
      <c r="F643" s="15">
        <v>8.6099999999999996E-2</v>
      </c>
      <c r="G643" s="15">
        <v>0.77229999999999999</v>
      </c>
      <c r="H643" s="15">
        <v>0.13800000000000001</v>
      </c>
      <c r="I643" s="15">
        <v>4.0599999999999997E-2</v>
      </c>
      <c r="J643" s="15">
        <v>3.3990147783251241</v>
      </c>
    </row>
    <row r="644" spans="1:10" x14ac:dyDescent="0.25">
      <c r="A644" s="2" t="s">
        <v>1928</v>
      </c>
      <c r="B644" s="2" t="s">
        <v>1929</v>
      </c>
      <c r="C644" s="2" t="s">
        <v>1930</v>
      </c>
      <c r="D644" s="2" t="s">
        <v>10040</v>
      </c>
      <c r="E644" s="15">
        <v>-0.1</v>
      </c>
      <c r="F644" s="15">
        <v>0.1221</v>
      </c>
      <c r="G644" s="15">
        <v>0.41299999999999998</v>
      </c>
      <c r="H644" s="15">
        <v>7.2300000000000003E-2</v>
      </c>
      <c r="I644" s="15">
        <v>3.9E-2</v>
      </c>
      <c r="J644" s="15">
        <v>1.8538461538461539</v>
      </c>
    </row>
    <row r="645" spans="1:10" x14ac:dyDescent="0.25">
      <c r="A645" s="2" t="s">
        <v>1931</v>
      </c>
      <c r="B645" s="2" t="s">
        <v>1932</v>
      </c>
      <c r="C645" s="2" t="s">
        <v>1933</v>
      </c>
      <c r="D645" s="2" t="s">
        <v>10040</v>
      </c>
      <c r="E645" s="15">
        <v>0.2046</v>
      </c>
      <c r="F645" s="15">
        <v>0.13420000000000001</v>
      </c>
      <c r="G645" s="15">
        <v>0.12740000000000001</v>
      </c>
      <c r="H645" s="15">
        <v>7.5999999999999998E-2</v>
      </c>
      <c r="I645" s="15">
        <v>3.73E-2</v>
      </c>
      <c r="J645" s="15">
        <v>2.0375335120643432</v>
      </c>
    </row>
    <row r="646" spans="1:10" x14ac:dyDescent="0.25">
      <c r="A646" s="2" t="s">
        <v>1934</v>
      </c>
      <c r="B646" s="2" t="s">
        <v>1935</v>
      </c>
      <c r="C646" s="2" t="s">
        <v>1936</v>
      </c>
      <c r="D646" s="2" t="s">
        <v>10040</v>
      </c>
      <c r="E646" s="15">
        <v>-0.13730000000000001</v>
      </c>
      <c r="F646" s="15">
        <v>9.5600000000000004E-2</v>
      </c>
      <c r="G646" s="15">
        <v>0.1507</v>
      </c>
      <c r="H646" s="15">
        <v>0.1396</v>
      </c>
      <c r="I646" s="15">
        <v>4.41E-2</v>
      </c>
      <c r="J646" s="15">
        <v>3.1655328798185942</v>
      </c>
    </row>
    <row r="647" spans="1:10" x14ac:dyDescent="0.25">
      <c r="A647" s="2" t="s">
        <v>1937</v>
      </c>
      <c r="B647" s="2" t="s">
        <v>1938</v>
      </c>
      <c r="C647" s="2" t="s">
        <v>1939</v>
      </c>
      <c r="D647" s="2" t="s">
        <v>10040</v>
      </c>
      <c r="E647" s="15">
        <v>-0.1749</v>
      </c>
      <c r="F647" s="15">
        <v>9.0499999999999997E-2</v>
      </c>
      <c r="G647" s="15">
        <v>5.3199999999999997E-2</v>
      </c>
      <c r="H647" s="15">
        <v>0.1164</v>
      </c>
      <c r="I647" s="15">
        <v>3.9399999999999998E-2</v>
      </c>
      <c r="J647" s="15">
        <v>2.9543147208121829</v>
      </c>
    </row>
    <row r="648" spans="1:10" x14ac:dyDescent="0.25">
      <c r="A648" s="2" t="s">
        <v>1940</v>
      </c>
      <c r="B648" s="2" t="s">
        <v>1941</v>
      </c>
      <c r="C648" s="2" t="s">
        <v>1942</v>
      </c>
      <c r="D648" s="2" t="s">
        <v>10040</v>
      </c>
      <c r="E648" s="15">
        <v>-0.1115</v>
      </c>
      <c r="F648" s="15">
        <v>9.0399999999999994E-2</v>
      </c>
      <c r="G648" s="15">
        <v>0.2172</v>
      </c>
      <c r="H648" s="15">
        <v>0.1295</v>
      </c>
      <c r="I648" s="15">
        <v>3.9199999999999999E-2</v>
      </c>
      <c r="J648" s="15">
        <v>3.3035714285714288</v>
      </c>
    </row>
    <row r="649" spans="1:10" x14ac:dyDescent="0.25">
      <c r="A649" s="2" t="s">
        <v>1943</v>
      </c>
      <c r="B649" s="2" t="s">
        <v>1944</v>
      </c>
      <c r="C649" s="2" t="s">
        <v>1945</v>
      </c>
      <c r="D649" s="2" t="s">
        <v>10040</v>
      </c>
      <c r="E649" s="15">
        <v>0.14030000000000001</v>
      </c>
      <c r="F649" s="15">
        <v>8.9899999999999994E-2</v>
      </c>
      <c r="G649" s="15">
        <v>0.11890000000000001</v>
      </c>
      <c r="H649" s="15">
        <v>0.13569999999999999</v>
      </c>
      <c r="I649" s="15">
        <v>3.8100000000000002E-2</v>
      </c>
      <c r="J649" s="15">
        <v>3.561679790026246</v>
      </c>
    </row>
    <row r="650" spans="1:10" x14ac:dyDescent="0.25">
      <c r="A650" s="2" t="s">
        <v>1946</v>
      </c>
      <c r="B650" s="2" t="s">
        <v>1947</v>
      </c>
      <c r="C650" s="2" t="s">
        <v>1948</v>
      </c>
      <c r="D650" s="2" t="s">
        <v>10041</v>
      </c>
      <c r="E650" s="15">
        <v>-0.13500000000000001</v>
      </c>
      <c r="F650" s="15">
        <v>7.6799999999999993E-2</v>
      </c>
      <c r="G650" s="15">
        <v>7.8700000000000006E-2</v>
      </c>
      <c r="H650" s="15">
        <v>0.23630000000000001</v>
      </c>
      <c r="I650" s="15">
        <v>4.8500000000000001E-2</v>
      </c>
      <c r="J650" s="15">
        <v>4.8721649484536087</v>
      </c>
    </row>
    <row r="651" spans="1:10" x14ac:dyDescent="0.25">
      <c r="A651" s="2" t="s">
        <v>1949</v>
      </c>
      <c r="B651" s="2" t="s">
        <v>1950</v>
      </c>
      <c r="C651" s="2" t="s">
        <v>1951</v>
      </c>
      <c r="D651" s="2" t="s">
        <v>10041</v>
      </c>
      <c r="E651" s="15">
        <v>-2.7799999999999998E-2</v>
      </c>
      <c r="F651" s="15">
        <v>0.08</v>
      </c>
      <c r="G651" s="15">
        <v>0.72850000000000004</v>
      </c>
      <c r="H651" s="15">
        <v>0.18329999999999999</v>
      </c>
      <c r="I651" s="15">
        <v>4.02E-2</v>
      </c>
      <c r="J651" s="15">
        <v>4.5597014925373136</v>
      </c>
    </row>
    <row r="652" spans="1:10" x14ac:dyDescent="0.25">
      <c r="A652" s="2" t="s">
        <v>1952</v>
      </c>
      <c r="B652" s="2" t="s">
        <v>1953</v>
      </c>
      <c r="C652" s="2" t="s">
        <v>1954</v>
      </c>
      <c r="D652" s="2" t="s">
        <v>10041</v>
      </c>
      <c r="E652" s="15">
        <v>-0.1875</v>
      </c>
      <c r="F652" s="15">
        <v>0.1744</v>
      </c>
      <c r="G652" s="15">
        <v>0.28239999999999998</v>
      </c>
      <c r="H652" s="15">
        <v>5.1200000000000002E-2</v>
      </c>
      <c r="I652" s="15">
        <v>4.0500000000000001E-2</v>
      </c>
      <c r="J652" s="15">
        <v>1.2641975308641979</v>
      </c>
    </row>
    <row r="653" spans="1:10" x14ac:dyDescent="0.25">
      <c r="A653" s="2" t="s">
        <v>1955</v>
      </c>
      <c r="B653" s="2" t="s">
        <v>1956</v>
      </c>
      <c r="C653" s="2" t="s">
        <v>1957</v>
      </c>
      <c r="D653" s="2" t="s">
        <v>10041</v>
      </c>
      <c r="E653" s="15">
        <v>-5.4699999999999999E-2</v>
      </c>
      <c r="F653" s="15">
        <v>8.1299999999999997E-2</v>
      </c>
      <c r="G653" s="15">
        <v>0.50090000000000001</v>
      </c>
      <c r="H653" s="15">
        <v>0.1633</v>
      </c>
      <c r="I653" s="15">
        <v>5.0299999999999997E-2</v>
      </c>
      <c r="J653" s="15">
        <v>3.2465208747514911</v>
      </c>
    </row>
    <row r="654" spans="1:10" x14ac:dyDescent="0.25">
      <c r="A654" s="2" t="s">
        <v>1958</v>
      </c>
      <c r="B654" s="2" t="s">
        <v>1959</v>
      </c>
      <c r="C654" s="2" t="s">
        <v>1960</v>
      </c>
      <c r="D654" s="2" t="s">
        <v>10041</v>
      </c>
      <c r="E654" s="15">
        <v>5.3600000000000002E-2</v>
      </c>
      <c r="F654" s="15">
        <v>6.6900000000000001E-2</v>
      </c>
      <c r="G654" s="15">
        <v>0.4224</v>
      </c>
      <c r="H654" s="15">
        <v>0.2737</v>
      </c>
      <c r="I654" s="15">
        <v>4.65E-2</v>
      </c>
      <c r="J654" s="15">
        <v>5.8860215053763438</v>
      </c>
    </row>
    <row r="655" spans="1:10" x14ac:dyDescent="0.25">
      <c r="A655" s="2" t="s">
        <v>1961</v>
      </c>
      <c r="B655" s="2" t="s">
        <v>1962</v>
      </c>
      <c r="C655" s="2" t="s">
        <v>1963</v>
      </c>
      <c r="D655" s="2" t="s">
        <v>10041</v>
      </c>
      <c r="E655" s="15">
        <v>6.0100000000000001E-2</v>
      </c>
      <c r="F655" s="15">
        <v>7.1300000000000002E-2</v>
      </c>
      <c r="G655" s="15">
        <v>0.39900000000000002</v>
      </c>
      <c r="H655" s="15">
        <v>0.20669999999999999</v>
      </c>
      <c r="I655" s="15">
        <v>4.2299999999999997E-2</v>
      </c>
      <c r="J655" s="15">
        <v>4.8865248226950353</v>
      </c>
    </row>
    <row r="656" spans="1:10" x14ac:dyDescent="0.25">
      <c r="A656" s="2" t="s">
        <v>1964</v>
      </c>
      <c r="B656" s="2" t="s">
        <v>1965</v>
      </c>
      <c r="C656" s="2" t="s">
        <v>1966</v>
      </c>
      <c r="D656" s="2" t="s">
        <v>10041</v>
      </c>
      <c r="E656" s="15">
        <v>1.35E-2</v>
      </c>
      <c r="F656" s="15">
        <v>7.9600000000000004E-2</v>
      </c>
      <c r="G656" s="15">
        <v>0.86570000000000003</v>
      </c>
      <c r="H656" s="15">
        <v>0.22209999999999999</v>
      </c>
      <c r="I656" s="15">
        <v>3.85E-2</v>
      </c>
      <c r="J656" s="15">
        <v>5.7688311688311691</v>
      </c>
    </row>
    <row r="657" spans="1:10" x14ac:dyDescent="0.25">
      <c r="A657" s="2" t="s">
        <v>1967</v>
      </c>
      <c r="B657" s="2" t="s">
        <v>1968</v>
      </c>
      <c r="C657" s="2" t="s">
        <v>1969</v>
      </c>
      <c r="D657" s="2" t="s">
        <v>10041</v>
      </c>
      <c r="E657" s="15">
        <v>-0.1368</v>
      </c>
      <c r="F657" s="15">
        <v>9.06E-2</v>
      </c>
      <c r="G657" s="15">
        <v>0.13100000000000001</v>
      </c>
      <c r="H657" s="15">
        <v>0.17199999999999999</v>
      </c>
      <c r="I657" s="15">
        <v>3.9199999999999999E-2</v>
      </c>
      <c r="J657" s="15">
        <v>4.3877551020408161</v>
      </c>
    </row>
    <row r="658" spans="1:10" x14ac:dyDescent="0.25">
      <c r="A658" s="2" t="s">
        <v>1970</v>
      </c>
      <c r="B658" s="2" t="s">
        <v>1971</v>
      </c>
      <c r="C658" s="2" t="s">
        <v>1972</v>
      </c>
      <c r="D658" s="2" t="s">
        <v>10041</v>
      </c>
      <c r="E658" s="15">
        <v>-8.5199999999999998E-2</v>
      </c>
      <c r="F658" s="15">
        <v>9.0499999999999997E-2</v>
      </c>
      <c r="G658" s="15">
        <v>0.34649999999999997</v>
      </c>
      <c r="H658" s="15">
        <v>0.1565</v>
      </c>
      <c r="I658" s="15">
        <v>3.9399999999999998E-2</v>
      </c>
      <c r="J658" s="15">
        <v>3.9720812182741119</v>
      </c>
    </row>
    <row r="659" spans="1:10" x14ac:dyDescent="0.25">
      <c r="A659" s="2" t="s">
        <v>1973</v>
      </c>
      <c r="B659" s="2" t="s">
        <v>1974</v>
      </c>
      <c r="C659" s="2" t="s">
        <v>1975</v>
      </c>
      <c r="D659" s="2" t="s">
        <v>10041</v>
      </c>
      <c r="E659" s="15">
        <v>-0.1046</v>
      </c>
      <c r="F659" s="15">
        <v>9.1499999999999998E-2</v>
      </c>
      <c r="G659" s="15">
        <v>0.25269999999999998</v>
      </c>
      <c r="H659" s="15">
        <v>0.19089999999999999</v>
      </c>
      <c r="I659" s="15">
        <v>4.5600000000000002E-2</v>
      </c>
      <c r="J659" s="15">
        <v>4.1864035087719298</v>
      </c>
    </row>
    <row r="660" spans="1:10" x14ac:dyDescent="0.25">
      <c r="A660" s="2" t="s">
        <v>1976</v>
      </c>
      <c r="B660" s="2" t="s">
        <v>1977</v>
      </c>
      <c r="C660" s="2" t="s">
        <v>1978</v>
      </c>
      <c r="D660" s="2" t="s">
        <v>10041</v>
      </c>
      <c r="E660" s="15">
        <v>-0.04</v>
      </c>
      <c r="F660" s="15">
        <v>6.7400000000000002E-2</v>
      </c>
      <c r="G660" s="15">
        <v>0.55310000000000004</v>
      </c>
      <c r="H660" s="15">
        <v>0.2298</v>
      </c>
      <c r="I660" s="15">
        <v>4.4699999999999997E-2</v>
      </c>
      <c r="J660" s="15">
        <v>5.1409395973154366</v>
      </c>
    </row>
    <row r="661" spans="1:10" x14ac:dyDescent="0.25">
      <c r="A661" s="2" t="s">
        <v>1979</v>
      </c>
      <c r="B661" s="2" t="s">
        <v>1980</v>
      </c>
      <c r="C661" s="2" t="s">
        <v>1981</v>
      </c>
      <c r="D661" s="2" t="s">
        <v>10041</v>
      </c>
      <c r="E661" s="15">
        <v>-6.0999999999999999E-2</v>
      </c>
      <c r="F661" s="15">
        <v>7.5700000000000003E-2</v>
      </c>
      <c r="G661" s="15">
        <v>0.42059999999999997</v>
      </c>
      <c r="H661" s="15">
        <v>0.2157</v>
      </c>
      <c r="I661" s="15">
        <v>4.5600000000000002E-2</v>
      </c>
      <c r="J661" s="15">
        <v>4.7302631578947372</v>
      </c>
    </row>
    <row r="662" spans="1:10" x14ac:dyDescent="0.25">
      <c r="A662" s="2" t="s">
        <v>1982</v>
      </c>
      <c r="B662" s="2" t="s">
        <v>1983</v>
      </c>
      <c r="C662" s="2" t="s">
        <v>1984</v>
      </c>
      <c r="D662" s="2" t="s">
        <v>10041</v>
      </c>
      <c r="E662" s="15">
        <v>2.6100000000000002E-2</v>
      </c>
      <c r="F662" s="15">
        <v>7.7200000000000005E-2</v>
      </c>
      <c r="G662" s="15">
        <v>0.7349</v>
      </c>
      <c r="H662" s="15">
        <v>0.20319999999999999</v>
      </c>
      <c r="I662" s="15">
        <v>4.2200000000000001E-2</v>
      </c>
      <c r="J662" s="15">
        <v>4.8151658767772512</v>
      </c>
    </row>
    <row r="663" spans="1:10" x14ac:dyDescent="0.25">
      <c r="A663" s="2" t="s">
        <v>1985</v>
      </c>
      <c r="B663" s="2" t="s">
        <v>1986</v>
      </c>
      <c r="C663" s="2" t="s">
        <v>1987</v>
      </c>
      <c r="D663" s="2" t="s">
        <v>10041</v>
      </c>
      <c r="E663" s="15">
        <v>-0.1174</v>
      </c>
      <c r="F663" s="15">
        <v>9.9199999999999997E-2</v>
      </c>
      <c r="G663" s="15">
        <v>0.23699999999999999</v>
      </c>
      <c r="H663" s="15">
        <v>0.1173</v>
      </c>
      <c r="I663" s="15">
        <v>3.7900000000000003E-2</v>
      </c>
      <c r="J663" s="15">
        <v>3.0949868073878619</v>
      </c>
    </row>
    <row r="664" spans="1:10" x14ac:dyDescent="0.25">
      <c r="A664" s="2" t="s">
        <v>1988</v>
      </c>
      <c r="B664" s="2" t="s">
        <v>1989</v>
      </c>
      <c r="C664" s="2" t="s">
        <v>1990</v>
      </c>
      <c r="D664" s="2" t="s">
        <v>10041</v>
      </c>
      <c r="E664" s="15">
        <v>-0.15679999999999999</v>
      </c>
      <c r="F664" s="15">
        <v>8.1799999999999998E-2</v>
      </c>
      <c r="G664" s="15">
        <v>5.5100000000000003E-2</v>
      </c>
      <c r="H664" s="15">
        <v>0.18229999999999999</v>
      </c>
      <c r="I664" s="15">
        <v>3.9100000000000003E-2</v>
      </c>
      <c r="J664" s="15">
        <v>4.6624040920716103</v>
      </c>
    </row>
    <row r="665" spans="1:10" x14ac:dyDescent="0.25">
      <c r="A665" s="2" t="s">
        <v>1991</v>
      </c>
      <c r="B665" s="2" t="s">
        <v>1992</v>
      </c>
      <c r="C665" s="2" t="s">
        <v>1993</v>
      </c>
      <c r="D665" s="2" t="s">
        <v>10041</v>
      </c>
      <c r="E665" s="15">
        <v>-6.25E-2</v>
      </c>
      <c r="F665" s="15">
        <v>0.1066</v>
      </c>
      <c r="G665" s="15">
        <v>0.5575</v>
      </c>
      <c r="H665" s="15">
        <v>0.1143</v>
      </c>
      <c r="I665" s="15">
        <v>4.1300000000000003E-2</v>
      </c>
      <c r="J665" s="15">
        <v>2.767554479418886</v>
      </c>
    </row>
    <row r="666" spans="1:10" x14ac:dyDescent="0.25">
      <c r="A666" s="2" t="s">
        <v>1994</v>
      </c>
      <c r="B666" s="2" t="s">
        <v>1995</v>
      </c>
      <c r="C666" s="2" t="s">
        <v>1996</v>
      </c>
      <c r="D666" s="2" t="s">
        <v>10041</v>
      </c>
      <c r="E666" s="15">
        <v>-5.3E-3</v>
      </c>
      <c r="F666" s="15">
        <v>7.1099999999999997E-2</v>
      </c>
      <c r="G666" s="15">
        <v>0.94099999999999995</v>
      </c>
      <c r="H666" s="15">
        <v>0.24049999999999999</v>
      </c>
      <c r="I666" s="15">
        <v>4.7E-2</v>
      </c>
      <c r="J666" s="15">
        <v>5.1170212765957448</v>
      </c>
    </row>
    <row r="667" spans="1:10" x14ac:dyDescent="0.25">
      <c r="A667" s="2" t="s">
        <v>1997</v>
      </c>
      <c r="B667" s="2" t="s">
        <v>1998</v>
      </c>
      <c r="C667" s="2" t="s">
        <v>1999</v>
      </c>
      <c r="D667" s="2" t="s">
        <v>10041</v>
      </c>
      <c r="E667" s="15">
        <v>-5.2999999999999999E-2</v>
      </c>
      <c r="F667" s="15">
        <v>9.1800000000000007E-2</v>
      </c>
      <c r="G667" s="15">
        <v>0.56399999999999995</v>
      </c>
      <c r="H667" s="15">
        <v>0.14580000000000001</v>
      </c>
      <c r="I667" s="15">
        <v>3.9100000000000003E-2</v>
      </c>
      <c r="J667" s="15">
        <v>3.7289002557544761</v>
      </c>
    </row>
    <row r="668" spans="1:10" x14ac:dyDescent="0.25">
      <c r="A668" s="2" t="s">
        <v>2000</v>
      </c>
      <c r="B668" s="2" t="s">
        <v>2001</v>
      </c>
      <c r="C668" s="2" t="s">
        <v>2002</v>
      </c>
      <c r="D668" s="2" t="s">
        <v>10041</v>
      </c>
      <c r="E668" s="15">
        <v>2.5700000000000001E-2</v>
      </c>
      <c r="F668" s="15">
        <v>7.7499999999999999E-2</v>
      </c>
      <c r="G668" s="15">
        <v>0.74060000000000004</v>
      </c>
      <c r="H668" s="15">
        <v>0.18959999999999999</v>
      </c>
      <c r="I668" s="15">
        <v>4.3999999999999997E-2</v>
      </c>
      <c r="J668" s="15">
        <v>4.3090909090909104</v>
      </c>
    </row>
    <row r="669" spans="1:10" x14ac:dyDescent="0.25">
      <c r="A669" s="2" t="s">
        <v>2003</v>
      </c>
      <c r="B669" s="2" t="s">
        <v>2004</v>
      </c>
      <c r="C669" s="2" t="s">
        <v>2005</v>
      </c>
      <c r="D669" s="2" t="s">
        <v>10041</v>
      </c>
      <c r="E669" s="15">
        <v>-2.4899999999999999E-2</v>
      </c>
      <c r="F669" s="15">
        <v>7.4899999999999994E-2</v>
      </c>
      <c r="G669" s="15">
        <v>0.73960000000000004</v>
      </c>
      <c r="H669" s="15">
        <v>0.2175</v>
      </c>
      <c r="I669" s="15">
        <v>4.3299999999999998E-2</v>
      </c>
      <c r="J669" s="15">
        <v>5.0230946882217093</v>
      </c>
    </row>
    <row r="670" spans="1:10" x14ac:dyDescent="0.25">
      <c r="A670" s="2" t="s">
        <v>2006</v>
      </c>
      <c r="B670" s="2" t="s">
        <v>2007</v>
      </c>
      <c r="C670" s="2" t="s">
        <v>2008</v>
      </c>
      <c r="D670" s="2" t="s">
        <v>10041</v>
      </c>
      <c r="E670" s="15">
        <v>0.1095</v>
      </c>
      <c r="F670" s="15">
        <v>5.8799999999999998E-2</v>
      </c>
      <c r="G670" s="15">
        <v>6.25E-2</v>
      </c>
      <c r="H670" s="15">
        <v>0.30549999999999999</v>
      </c>
      <c r="I670" s="15">
        <v>5.0700000000000002E-2</v>
      </c>
      <c r="J670" s="15">
        <v>6.0256410256410264</v>
      </c>
    </row>
    <row r="671" spans="1:10" x14ac:dyDescent="0.25">
      <c r="A671" s="2" t="s">
        <v>2009</v>
      </c>
      <c r="B671" s="2" t="s">
        <v>2010</v>
      </c>
      <c r="C671" s="2" t="s">
        <v>2011</v>
      </c>
      <c r="D671" s="2" t="s">
        <v>10041</v>
      </c>
      <c r="E671" s="15">
        <v>-0.14849999999999999</v>
      </c>
      <c r="F671" s="15">
        <v>9.8699999999999996E-2</v>
      </c>
      <c r="G671" s="15">
        <v>0.1326</v>
      </c>
      <c r="H671" s="15">
        <v>0.13700000000000001</v>
      </c>
      <c r="I671" s="15">
        <v>4.2099999999999999E-2</v>
      </c>
      <c r="J671" s="15">
        <v>3.2541567695962001</v>
      </c>
    </row>
    <row r="672" spans="1:10" x14ac:dyDescent="0.25">
      <c r="A672" s="2" t="s">
        <v>2012</v>
      </c>
      <c r="B672" s="2" t="s">
        <v>2013</v>
      </c>
      <c r="C672" s="2" t="s">
        <v>2014</v>
      </c>
      <c r="D672" s="2" t="s">
        <v>10041</v>
      </c>
      <c r="E672" s="15">
        <v>-6.2799999999999995E-2</v>
      </c>
      <c r="F672" s="15">
        <v>9.1300000000000006E-2</v>
      </c>
      <c r="G672" s="15">
        <v>0.49149999999999999</v>
      </c>
      <c r="H672" s="15">
        <v>0.19120000000000001</v>
      </c>
      <c r="I672" s="15">
        <v>5.3499999999999999E-2</v>
      </c>
      <c r="J672" s="15">
        <v>3.5738317757009348</v>
      </c>
    </row>
    <row r="673" spans="1:10" x14ac:dyDescent="0.25">
      <c r="A673" s="2" t="s">
        <v>2015</v>
      </c>
      <c r="B673" s="2" t="s">
        <v>2016</v>
      </c>
      <c r="C673" s="2" t="s">
        <v>2017</v>
      </c>
      <c r="D673" s="2" t="s">
        <v>10041</v>
      </c>
      <c r="E673" s="15">
        <v>-2.06E-2</v>
      </c>
      <c r="F673" s="15">
        <v>7.1400000000000005E-2</v>
      </c>
      <c r="G673" s="15">
        <v>0.77339999999999998</v>
      </c>
      <c r="H673" s="15">
        <v>0.22009999999999999</v>
      </c>
      <c r="I673" s="15">
        <v>4.7399999999999998E-2</v>
      </c>
      <c r="J673" s="15">
        <v>4.6434599156118139</v>
      </c>
    </row>
    <row r="674" spans="1:10" x14ac:dyDescent="0.25">
      <c r="A674" s="2" t="s">
        <v>2018</v>
      </c>
      <c r="B674" s="2" t="s">
        <v>2019</v>
      </c>
      <c r="C674" s="2" t="s">
        <v>2020</v>
      </c>
      <c r="D674" s="2" t="s">
        <v>10041</v>
      </c>
      <c r="E674" s="15">
        <v>-0.1086</v>
      </c>
      <c r="F674" s="15">
        <v>7.8100000000000003E-2</v>
      </c>
      <c r="G674" s="15">
        <v>0.1641</v>
      </c>
      <c r="H674" s="15">
        <v>0.2324</v>
      </c>
      <c r="I674" s="15">
        <v>4.5600000000000002E-2</v>
      </c>
      <c r="J674" s="15">
        <v>5.0964912280701764</v>
      </c>
    </row>
    <row r="675" spans="1:10" x14ac:dyDescent="0.25">
      <c r="A675" s="2" t="s">
        <v>2021</v>
      </c>
      <c r="B675" s="2" t="s">
        <v>2022</v>
      </c>
      <c r="C675" s="2" t="s">
        <v>2023</v>
      </c>
      <c r="D675" s="2" t="s">
        <v>10041</v>
      </c>
      <c r="E675" s="15">
        <v>-5.6599999999999998E-2</v>
      </c>
      <c r="F675" s="15">
        <v>8.2600000000000007E-2</v>
      </c>
      <c r="G675" s="15">
        <v>0.49280000000000002</v>
      </c>
      <c r="H675" s="15">
        <v>0.17100000000000001</v>
      </c>
      <c r="I675" s="15">
        <v>3.7199999999999997E-2</v>
      </c>
      <c r="J675" s="15">
        <v>4.5967741935483879</v>
      </c>
    </row>
    <row r="676" spans="1:10" x14ac:dyDescent="0.25">
      <c r="A676" s="2" t="s">
        <v>2024</v>
      </c>
      <c r="B676" s="2" t="s">
        <v>2025</v>
      </c>
      <c r="C676" s="2" t="s">
        <v>2026</v>
      </c>
      <c r="D676" s="2" t="s">
        <v>10041</v>
      </c>
      <c r="E676" s="15">
        <v>-4.53E-2</v>
      </c>
      <c r="F676" s="15">
        <v>6.2E-2</v>
      </c>
      <c r="G676" s="15">
        <v>0.46500000000000002</v>
      </c>
      <c r="H676" s="15">
        <v>0.30599999999999999</v>
      </c>
      <c r="I676" s="15">
        <v>4.6199999999999998E-2</v>
      </c>
      <c r="J676" s="15">
        <v>6.6233766233766236</v>
      </c>
    </row>
    <row r="677" spans="1:10" x14ac:dyDescent="0.25">
      <c r="A677" s="2" t="s">
        <v>2027</v>
      </c>
      <c r="B677" s="2" t="s">
        <v>2028</v>
      </c>
      <c r="C677" s="2" t="s">
        <v>2029</v>
      </c>
      <c r="D677" s="2" t="s">
        <v>10041</v>
      </c>
      <c r="E677" s="15">
        <v>-3.5200000000000002E-2</v>
      </c>
      <c r="F677" s="15">
        <v>7.0699999999999999E-2</v>
      </c>
      <c r="G677" s="15">
        <v>0.61850000000000005</v>
      </c>
      <c r="H677" s="15">
        <v>0.23810000000000001</v>
      </c>
      <c r="I677" s="15">
        <v>6.0699999999999997E-2</v>
      </c>
      <c r="J677" s="15">
        <v>3.9225700164744648</v>
      </c>
    </row>
    <row r="678" spans="1:10" x14ac:dyDescent="0.25">
      <c r="A678" s="2" t="s">
        <v>2030</v>
      </c>
      <c r="B678" s="2" t="s">
        <v>2031</v>
      </c>
      <c r="C678" s="2" t="s">
        <v>2032</v>
      </c>
      <c r="D678" s="2" t="s">
        <v>10041</v>
      </c>
      <c r="E678" s="15">
        <v>-0.154</v>
      </c>
      <c r="F678" s="15">
        <v>7.6700000000000004E-2</v>
      </c>
      <c r="G678" s="15">
        <v>4.4699999999999997E-2</v>
      </c>
      <c r="H678" s="15">
        <v>0.18540000000000001</v>
      </c>
      <c r="I678" s="15">
        <v>4.0500000000000001E-2</v>
      </c>
      <c r="J678" s="15">
        <v>4.5777777777777784</v>
      </c>
    </row>
    <row r="679" spans="1:10" x14ac:dyDescent="0.25">
      <c r="A679" s="2" t="s">
        <v>2033</v>
      </c>
      <c r="B679" s="2" t="s">
        <v>2034</v>
      </c>
      <c r="C679" s="2" t="s">
        <v>2035</v>
      </c>
      <c r="D679" s="2" t="s">
        <v>10041</v>
      </c>
      <c r="E679" s="15">
        <v>-7.2900000000000006E-2</v>
      </c>
      <c r="F679" s="15">
        <v>6.5500000000000003E-2</v>
      </c>
      <c r="G679" s="15">
        <v>0.26590000000000003</v>
      </c>
      <c r="H679" s="15">
        <v>0.29049999999999998</v>
      </c>
      <c r="I679" s="15">
        <v>6.6500000000000004E-2</v>
      </c>
      <c r="J679" s="15">
        <v>4.3684210526315788</v>
      </c>
    </row>
    <row r="680" spans="1:10" x14ac:dyDescent="0.25">
      <c r="A680" s="2" t="s">
        <v>2036</v>
      </c>
      <c r="B680" s="2" t="s">
        <v>2037</v>
      </c>
      <c r="C680" s="2" t="s">
        <v>2038</v>
      </c>
      <c r="D680" s="2" t="s">
        <v>10041</v>
      </c>
      <c r="E680" s="15">
        <v>-0.23100000000000001</v>
      </c>
      <c r="F680" s="15">
        <v>9.6500000000000002E-2</v>
      </c>
      <c r="G680" s="15">
        <v>1.67E-2</v>
      </c>
      <c r="H680" s="15">
        <v>0.13780000000000001</v>
      </c>
      <c r="I680" s="15">
        <v>4.3099999999999999E-2</v>
      </c>
      <c r="J680" s="15">
        <v>3.1972157772621812</v>
      </c>
    </row>
    <row r="681" spans="1:10" x14ac:dyDescent="0.25">
      <c r="A681" s="2" t="s">
        <v>2039</v>
      </c>
      <c r="B681" s="2" t="s">
        <v>2040</v>
      </c>
      <c r="C681" s="2" t="s">
        <v>2041</v>
      </c>
      <c r="D681" s="2" t="s">
        <v>10041</v>
      </c>
      <c r="E681" s="15">
        <v>-9.7900000000000001E-2</v>
      </c>
      <c r="F681" s="15">
        <v>8.4199999999999997E-2</v>
      </c>
      <c r="G681" s="15">
        <v>0.24510000000000001</v>
      </c>
      <c r="H681" s="15">
        <v>0.13400000000000001</v>
      </c>
      <c r="I681" s="15">
        <v>4.0099999999999997E-2</v>
      </c>
      <c r="J681" s="15">
        <v>3.3416458852867841</v>
      </c>
    </row>
    <row r="682" spans="1:10" x14ac:dyDescent="0.25">
      <c r="A682" s="2" t="s">
        <v>2042</v>
      </c>
      <c r="B682" s="2" t="s">
        <v>2043</v>
      </c>
      <c r="C682" s="2" t="s">
        <v>2044</v>
      </c>
      <c r="D682" s="2" t="s">
        <v>10041</v>
      </c>
      <c r="E682" s="15">
        <v>-1.9800000000000002E-2</v>
      </c>
      <c r="F682" s="15">
        <v>7.9699999999999993E-2</v>
      </c>
      <c r="G682" s="15">
        <v>0.80330000000000001</v>
      </c>
      <c r="H682" s="15">
        <v>0.2097</v>
      </c>
      <c r="I682" s="15">
        <v>4.3200000000000002E-2</v>
      </c>
      <c r="J682" s="15">
        <v>4.8541666666666661</v>
      </c>
    </row>
    <row r="683" spans="1:10" x14ac:dyDescent="0.25">
      <c r="A683" s="2" t="s">
        <v>2045</v>
      </c>
      <c r="B683" s="2" t="s">
        <v>2046</v>
      </c>
      <c r="C683" s="2" t="s">
        <v>2047</v>
      </c>
      <c r="D683" s="2" t="s">
        <v>10041</v>
      </c>
      <c r="E683" s="15">
        <v>-1.5E-3</v>
      </c>
      <c r="F683" s="15">
        <v>8.8099999999999998E-2</v>
      </c>
      <c r="G683" s="15">
        <v>0.98660000000000003</v>
      </c>
      <c r="H683" s="15">
        <v>0.14710000000000001</v>
      </c>
      <c r="I683" s="15">
        <v>4.1599999999999998E-2</v>
      </c>
      <c r="J683" s="15">
        <v>3.536057692307693</v>
      </c>
    </row>
    <row r="684" spans="1:10" x14ac:dyDescent="0.25">
      <c r="A684" s="2" t="s">
        <v>2048</v>
      </c>
      <c r="B684" s="2" t="s">
        <v>2049</v>
      </c>
      <c r="C684" s="2" t="s">
        <v>2050</v>
      </c>
      <c r="D684" s="2" t="s">
        <v>10041</v>
      </c>
      <c r="E684" s="15">
        <v>-0.14660000000000001</v>
      </c>
      <c r="F684" s="15">
        <v>7.3800000000000004E-2</v>
      </c>
      <c r="G684" s="15">
        <v>4.7E-2</v>
      </c>
      <c r="H684" s="15">
        <v>0.2394</v>
      </c>
      <c r="I684" s="15">
        <v>4.9799999999999997E-2</v>
      </c>
      <c r="J684" s="15">
        <v>4.8072289156626509</v>
      </c>
    </row>
    <row r="685" spans="1:10" x14ac:dyDescent="0.25">
      <c r="A685" s="2" t="s">
        <v>2051</v>
      </c>
      <c r="B685" s="2" t="s">
        <v>2052</v>
      </c>
      <c r="C685" s="2" t="s">
        <v>2053</v>
      </c>
      <c r="D685" s="2" t="s">
        <v>10041</v>
      </c>
      <c r="E685" s="15">
        <v>-0.11650000000000001</v>
      </c>
      <c r="F685" s="15">
        <v>0.10580000000000001</v>
      </c>
      <c r="G685" s="15">
        <v>0.27060000000000001</v>
      </c>
      <c r="H685" s="15">
        <v>0.1129</v>
      </c>
      <c r="I685" s="15">
        <v>4.36E-2</v>
      </c>
      <c r="J685" s="15">
        <v>2.5894495412844041</v>
      </c>
    </row>
    <row r="686" spans="1:10" x14ac:dyDescent="0.25">
      <c r="A686" s="2" t="s">
        <v>2054</v>
      </c>
      <c r="B686" s="2" t="s">
        <v>2055</v>
      </c>
      <c r="C686" s="2" t="s">
        <v>2056</v>
      </c>
      <c r="D686" s="2" t="s">
        <v>10041</v>
      </c>
      <c r="E686" s="15">
        <v>-3.3399999999999999E-2</v>
      </c>
      <c r="F686" s="15">
        <v>0.1022</v>
      </c>
      <c r="G686" s="15">
        <v>0.74370000000000003</v>
      </c>
      <c r="H686" s="15">
        <v>0.1082</v>
      </c>
      <c r="I686" s="15">
        <v>4.36E-2</v>
      </c>
      <c r="J686" s="15">
        <v>2.4816513761467891</v>
      </c>
    </row>
    <row r="687" spans="1:10" x14ac:dyDescent="0.25">
      <c r="A687" s="2" t="s">
        <v>2057</v>
      </c>
      <c r="B687" s="2" t="s">
        <v>2058</v>
      </c>
      <c r="C687" s="2" t="s">
        <v>2059</v>
      </c>
      <c r="D687" s="2" t="s">
        <v>10041</v>
      </c>
      <c r="E687" s="15">
        <v>7.0000000000000001E-3</v>
      </c>
      <c r="F687" s="15">
        <v>8.0100000000000005E-2</v>
      </c>
      <c r="G687" s="15">
        <v>0.93059999999999998</v>
      </c>
      <c r="H687" s="15">
        <v>0.15110000000000001</v>
      </c>
      <c r="I687" s="15">
        <v>4.9200000000000001E-2</v>
      </c>
      <c r="J687" s="15">
        <v>3.071138211382114</v>
      </c>
    </row>
    <row r="688" spans="1:10" x14ac:dyDescent="0.25">
      <c r="A688" s="2" t="s">
        <v>2060</v>
      </c>
      <c r="B688" s="2" t="s">
        <v>2061</v>
      </c>
      <c r="C688" s="2" t="s">
        <v>2062</v>
      </c>
      <c r="D688" s="2" t="s">
        <v>10041</v>
      </c>
      <c r="E688" s="15">
        <v>1.0200000000000001E-2</v>
      </c>
      <c r="F688" s="15">
        <v>7.1800000000000003E-2</v>
      </c>
      <c r="G688" s="15">
        <v>0.88749999999999996</v>
      </c>
      <c r="H688" s="15">
        <v>0.22900000000000001</v>
      </c>
      <c r="I688" s="15">
        <v>4.8599999999999997E-2</v>
      </c>
      <c r="J688" s="15">
        <v>4.711934156378601</v>
      </c>
    </row>
    <row r="689" spans="1:10" x14ac:dyDescent="0.25">
      <c r="A689" s="2" t="s">
        <v>2063</v>
      </c>
      <c r="B689" s="2" t="s">
        <v>2064</v>
      </c>
      <c r="C689" s="2" t="s">
        <v>2065</v>
      </c>
      <c r="D689" s="2" t="s">
        <v>10041</v>
      </c>
      <c r="E689" s="15">
        <v>4.1000000000000002E-2</v>
      </c>
      <c r="F689" s="15">
        <v>9.74E-2</v>
      </c>
      <c r="G689" s="15">
        <v>0.67379999999999995</v>
      </c>
      <c r="H689" s="15">
        <v>0.12590000000000001</v>
      </c>
      <c r="I689" s="15">
        <v>4.0500000000000001E-2</v>
      </c>
      <c r="J689" s="15">
        <v>3.1086419753086418</v>
      </c>
    </row>
    <row r="690" spans="1:10" x14ac:dyDescent="0.25">
      <c r="A690" s="2" t="s">
        <v>2066</v>
      </c>
      <c r="B690" s="2" t="s">
        <v>2067</v>
      </c>
      <c r="C690" s="2" t="s">
        <v>2068</v>
      </c>
      <c r="D690" s="2" t="s">
        <v>10041</v>
      </c>
      <c r="E690" s="15">
        <v>8.6E-3</v>
      </c>
      <c r="F690" s="15">
        <v>7.4999999999999997E-2</v>
      </c>
      <c r="G690" s="15">
        <v>0.90849999999999997</v>
      </c>
      <c r="H690" s="15">
        <v>0.19750000000000001</v>
      </c>
      <c r="I690" s="15">
        <v>4.6600000000000003E-2</v>
      </c>
      <c r="J690" s="15">
        <v>4.2381974248927037</v>
      </c>
    </row>
    <row r="691" spans="1:10" x14ac:dyDescent="0.25">
      <c r="A691" s="2" t="s">
        <v>2069</v>
      </c>
      <c r="B691" s="2" t="s">
        <v>2070</v>
      </c>
      <c r="C691" s="2" t="s">
        <v>2071</v>
      </c>
      <c r="D691" s="2" t="s">
        <v>10041</v>
      </c>
      <c r="E691" s="15">
        <v>-0.1971</v>
      </c>
      <c r="F691" s="15">
        <v>0.1095</v>
      </c>
      <c r="G691" s="15">
        <v>7.1900000000000006E-2</v>
      </c>
      <c r="H691" s="15">
        <v>0.13170000000000001</v>
      </c>
      <c r="I691" s="15">
        <v>4.19E-2</v>
      </c>
      <c r="J691" s="15">
        <v>3.143198090692124</v>
      </c>
    </row>
    <row r="692" spans="1:10" x14ac:dyDescent="0.25">
      <c r="A692" s="2" t="s">
        <v>2072</v>
      </c>
      <c r="B692" s="2" t="s">
        <v>2073</v>
      </c>
      <c r="C692" s="2" t="s">
        <v>2074</v>
      </c>
      <c r="D692" s="2" t="s">
        <v>10041</v>
      </c>
      <c r="E692" s="15">
        <v>-0.1066</v>
      </c>
      <c r="F692" s="15">
        <v>8.4099999999999994E-2</v>
      </c>
      <c r="G692" s="15">
        <v>0.20469999999999999</v>
      </c>
      <c r="H692" s="15">
        <v>0.18779999999999999</v>
      </c>
      <c r="I692" s="15">
        <v>3.9199999999999999E-2</v>
      </c>
      <c r="J692" s="15">
        <v>4.7908163265306118</v>
      </c>
    </row>
    <row r="693" spans="1:10" x14ac:dyDescent="0.25">
      <c r="A693" s="2" t="s">
        <v>2075</v>
      </c>
      <c r="B693" s="2" t="s">
        <v>2076</v>
      </c>
      <c r="C693" s="2" t="s">
        <v>2077</v>
      </c>
      <c r="D693" s="2" t="s">
        <v>10041</v>
      </c>
      <c r="E693" s="15">
        <v>-5.11E-2</v>
      </c>
      <c r="F693" s="15">
        <v>9.0399999999999994E-2</v>
      </c>
      <c r="G693" s="15">
        <v>0.57199999999999995</v>
      </c>
      <c r="H693" s="15">
        <v>0.21229999999999999</v>
      </c>
      <c r="I693" s="15">
        <v>4.2799999999999998E-2</v>
      </c>
      <c r="J693" s="15">
        <v>4.9602803738317753</v>
      </c>
    </row>
    <row r="694" spans="1:10" x14ac:dyDescent="0.25">
      <c r="A694" s="2" t="s">
        <v>2078</v>
      </c>
      <c r="B694" s="2" t="s">
        <v>2079</v>
      </c>
      <c r="C694" s="2" t="s">
        <v>2080</v>
      </c>
      <c r="D694" s="2" t="s">
        <v>10041</v>
      </c>
      <c r="E694" s="15">
        <v>-8.5099999999999995E-2</v>
      </c>
      <c r="F694" s="15">
        <v>7.17E-2</v>
      </c>
      <c r="G694" s="15">
        <v>0.23519999999999999</v>
      </c>
      <c r="H694" s="15">
        <v>0.2334</v>
      </c>
      <c r="I694" s="15">
        <v>4.1700000000000001E-2</v>
      </c>
      <c r="J694" s="15">
        <v>5.5971223021582732</v>
      </c>
    </row>
    <row r="695" spans="1:10" x14ac:dyDescent="0.25">
      <c r="A695" s="2" t="s">
        <v>2081</v>
      </c>
      <c r="B695" s="2" t="s">
        <v>2082</v>
      </c>
      <c r="C695" s="2" t="s">
        <v>2083</v>
      </c>
      <c r="D695" s="2" t="s">
        <v>10041</v>
      </c>
      <c r="E695" s="15">
        <v>-8.1100000000000005E-2</v>
      </c>
      <c r="F695" s="15">
        <v>9.4600000000000004E-2</v>
      </c>
      <c r="G695" s="15">
        <v>0.39129999999999998</v>
      </c>
      <c r="H695" s="15">
        <v>0.14580000000000001</v>
      </c>
      <c r="I695" s="15">
        <v>4.2200000000000001E-2</v>
      </c>
      <c r="J695" s="15">
        <v>3.4549763033175358</v>
      </c>
    </row>
    <row r="696" spans="1:10" x14ac:dyDescent="0.25">
      <c r="A696" s="2" t="s">
        <v>2084</v>
      </c>
      <c r="B696" s="2" t="s">
        <v>2085</v>
      </c>
      <c r="C696" s="2" t="s">
        <v>2086</v>
      </c>
      <c r="D696" s="2" t="s">
        <v>10041</v>
      </c>
      <c r="E696" s="15">
        <v>2.0899999999999998E-2</v>
      </c>
      <c r="F696" s="15">
        <v>0.08</v>
      </c>
      <c r="G696" s="15">
        <v>0.79359999999999997</v>
      </c>
      <c r="H696" s="15">
        <v>0.18690000000000001</v>
      </c>
      <c r="I696" s="15">
        <v>4.48E-2</v>
      </c>
      <c r="J696" s="15">
        <v>4.171875</v>
      </c>
    </row>
    <row r="697" spans="1:10" x14ac:dyDescent="0.25">
      <c r="A697" s="2" t="s">
        <v>2087</v>
      </c>
      <c r="B697" s="2" t="s">
        <v>2088</v>
      </c>
      <c r="C697" s="2" t="s">
        <v>2089</v>
      </c>
      <c r="D697" s="2" t="s">
        <v>10041</v>
      </c>
      <c r="E697" s="15">
        <v>-5.4800000000000001E-2</v>
      </c>
      <c r="F697" s="15">
        <v>8.8200000000000001E-2</v>
      </c>
      <c r="G697" s="15">
        <v>0.53449999999999998</v>
      </c>
      <c r="H697" s="15">
        <v>0.1472</v>
      </c>
      <c r="I697" s="15">
        <v>4.5499999999999999E-2</v>
      </c>
      <c r="J697" s="15">
        <v>3.2351648351648352</v>
      </c>
    </row>
    <row r="698" spans="1:10" x14ac:dyDescent="0.25">
      <c r="A698" s="2" t="s">
        <v>2090</v>
      </c>
      <c r="B698" s="2" t="s">
        <v>2091</v>
      </c>
      <c r="C698" s="2" t="s">
        <v>2092</v>
      </c>
      <c r="D698" s="2" t="s">
        <v>10041</v>
      </c>
      <c r="E698" s="15">
        <v>-0.19819999999999999</v>
      </c>
      <c r="F698" s="15">
        <v>7.3400000000000007E-2</v>
      </c>
      <c r="G698" s="15">
        <v>6.8999999999999999E-3</v>
      </c>
      <c r="H698" s="15">
        <v>0.25969999999999999</v>
      </c>
      <c r="I698" s="15">
        <v>4.5400000000000003E-2</v>
      </c>
      <c r="J698" s="15">
        <v>5.7202643171806162</v>
      </c>
    </row>
    <row r="699" spans="1:10" x14ac:dyDescent="0.25">
      <c r="A699" s="2" t="s">
        <v>2093</v>
      </c>
      <c r="B699" s="2" t="s">
        <v>2094</v>
      </c>
      <c r="C699" s="2" t="s">
        <v>2095</v>
      </c>
      <c r="D699" s="2" t="s">
        <v>10041</v>
      </c>
      <c r="E699" s="15">
        <v>-0.10150000000000001</v>
      </c>
      <c r="F699" s="15">
        <v>8.8400000000000006E-2</v>
      </c>
      <c r="G699" s="15">
        <v>0.25090000000000001</v>
      </c>
      <c r="H699" s="15">
        <v>0.16250000000000001</v>
      </c>
      <c r="I699" s="15">
        <v>4.3099999999999999E-2</v>
      </c>
      <c r="J699" s="15">
        <v>3.7703016241299312</v>
      </c>
    </row>
    <row r="700" spans="1:10" x14ac:dyDescent="0.25">
      <c r="A700" s="2" t="s">
        <v>2096</v>
      </c>
      <c r="B700" s="2" t="s">
        <v>2097</v>
      </c>
      <c r="C700" s="2" t="s">
        <v>2098</v>
      </c>
      <c r="D700" s="2" t="s">
        <v>10041</v>
      </c>
      <c r="E700" s="15">
        <v>1.6999999999999999E-3</v>
      </c>
      <c r="F700" s="15">
        <v>7.6200000000000004E-2</v>
      </c>
      <c r="G700" s="15">
        <v>0.98180000000000001</v>
      </c>
      <c r="H700" s="15">
        <v>0.20680000000000001</v>
      </c>
      <c r="I700" s="15">
        <v>4.9799999999999997E-2</v>
      </c>
      <c r="J700" s="15">
        <v>4.1526104417670684</v>
      </c>
    </row>
    <row r="701" spans="1:10" x14ac:dyDescent="0.25">
      <c r="A701" s="2" t="s">
        <v>2099</v>
      </c>
      <c r="B701" s="2" t="s">
        <v>2100</v>
      </c>
      <c r="C701" s="2" t="s">
        <v>2101</v>
      </c>
      <c r="D701" s="2" t="s">
        <v>10041</v>
      </c>
      <c r="E701" s="15">
        <v>2.5100000000000001E-2</v>
      </c>
      <c r="F701" s="15">
        <v>7.4899999999999994E-2</v>
      </c>
      <c r="G701" s="15">
        <v>0.73760000000000003</v>
      </c>
      <c r="H701" s="15">
        <v>0.18429999999999999</v>
      </c>
      <c r="I701" s="15">
        <v>4.3499999999999997E-2</v>
      </c>
      <c r="J701" s="15">
        <v>4.2367816091954023</v>
      </c>
    </row>
    <row r="702" spans="1:10" x14ac:dyDescent="0.25">
      <c r="A702" s="2" t="s">
        <v>2102</v>
      </c>
      <c r="B702" s="2" t="s">
        <v>2103</v>
      </c>
      <c r="C702" s="2" t="s">
        <v>2104</v>
      </c>
      <c r="D702" s="2" t="s">
        <v>10041</v>
      </c>
      <c r="E702" s="15">
        <v>-4.5900000000000003E-2</v>
      </c>
      <c r="F702" s="15">
        <v>7.9100000000000004E-2</v>
      </c>
      <c r="G702" s="15">
        <v>0.56169999999999998</v>
      </c>
      <c r="H702" s="15">
        <v>0.17449999999999999</v>
      </c>
      <c r="I702" s="15">
        <v>3.8399999999999997E-2</v>
      </c>
      <c r="J702" s="15">
        <v>4.544270833333333</v>
      </c>
    </row>
    <row r="703" spans="1:10" x14ac:dyDescent="0.25">
      <c r="A703" s="2" t="s">
        <v>2105</v>
      </c>
      <c r="B703" s="2" t="s">
        <v>2106</v>
      </c>
      <c r="C703" s="2" t="s">
        <v>2107</v>
      </c>
      <c r="D703" s="2" t="s">
        <v>10041</v>
      </c>
      <c r="E703" s="15">
        <v>0.14230000000000001</v>
      </c>
      <c r="F703" s="15">
        <v>8.5199999999999998E-2</v>
      </c>
      <c r="G703" s="15">
        <v>9.4799999999999995E-2</v>
      </c>
      <c r="H703" s="15">
        <v>0.18029999999999999</v>
      </c>
      <c r="I703" s="15">
        <v>4.4499999999999998E-2</v>
      </c>
      <c r="J703" s="15">
        <v>4.0516853932584267</v>
      </c>
    </row>
    <row r="704" spans="1:10" x14ac:dyDescent="0.25">
      <c r="A704" s="2" t="s">
        <v>2108</v>
      </c>
      <c r="B704" s="2" t="s">
        <v>2109</v>
      </c>
      <c r="C704" s="2" t="s">
        <v>2110</v>
      </c>
      <c r="D704" s="2" t="s">
        <v>10041</v>
      </c>
      <c r="E704" s="15">
        <v>0.11269999999999999</v>
      </c>
      <c r="F704" s="15">
        <v>6.3100000000000003E-2</v>
      </c>
      <c r="G704" s="15">
        <v>7.4099999999999999E-2</v>
      </c>
      <c r="H704" s="15">
        <v>0.27310000000000001</v>
      </c>
      <c r="I704" s="15">
        <v>5.6599999999999998E-2</v>
      </c>
      <c r="J704" s="15">
        <v>4.8250883392226154</v>
      </c>
    </row>
    <row r="705" spans="1:10" x14ac:dyDescent="0.25">
      <c r="A705" s="2" t="s">
        <v>2111</v>
      </c>
      <c r="B705" s="2" t="s">
        <v>2112</v>
      </c>
      <c r="C705" s="2" t="s">
        <v>2113</v>
      </c>
      <c r="D705" s="2" t="s">
        <v>10041</v>
      </c>
      <c r="E705" s="15">
        <v>-0.19500000000000001</v>
      </c>
      <c r="F705" s="15">
        <v>9.9900000000000003E-2</v>
      </c>
      <c r="G705" s="15">
        <v>5.0900000000000001E-2</v>
      </c>
      <c r="H705" s="15">
        <v>0.12959999999999999</v>
      </c>
      <c r="I705" s="15">
        <v>4.41E-2</v>
      </c>
      <c r="J705" s="15">
        <v>2.9387755102040809</v>
      </c>
    </row>
    <row r="706" spans="1:10" x14ac:dyDescent="0.25">
      <c r="A706" s="2" t="s">
        <v>2114</v>
      </c>
      <c r="B706" s="2" t="s">
        <v>2115</v>
      </c>
      <c r="C706" s="2" t="s">
        <v>2116</v>
      </c>
      <c r="D706" s="2" t="s">
        <v>10041</v>
      </c>
      <c r="E706" s="15">
        <v>-5.0999999999999997E-2</v>
      </c>
      <c r="F706" s="15">
        <v>8.5099999999999995E-2</v>
      </c>
      <c r="G706" s="15">
        <v>0.54890000000000005</v>
      </c>
      <c r="H706" s="15">
        <v>0.19139999999999999</v>
      </c>
      <c r="I706" s="15">
        <v>5.9299999999999999E-2</v>
      </c>
      <c r="J706" s="15">
        <v>3.2276559865092751</v>
      </c>
    </row>
    <row r="707" spans="1:10" x14ac:dyDescent="0.25">
      <c r="A707" s="2" t="s">
        <v>2117</v>
      </c>
      <c r="B707" s="2" t="s">
        <v>2118</v>
      </c>
      <c r="C707" s="2" t="s">
        <v>2119</v>
      </c>
      <c r="D707" s="2" t="s">
        <v>10041</v>
      </c>
      <c r="E707" s="15">
        <v>-0.15290000000000001</v>
      </c>
      <c r="F707" s="15">
        <v>7.17E-2</v>
      </c>
      <c r="G707" s="15">
        <v>3.2899999999999999E-2</v>
      </c>
      <c r="H707" s="15">
        <v>0.23799999999999999</v>
      </c>
      <c r="I707" s="15">
        <v>4.9799999999999997E-2</v>
      </c>
      <c r="J707" s="15">
        <v>4.7791164658634537</v>
      </c>
    </row>
    <row r="708" spans="1:10" x14ac:dyDescent="0.25">
      <c r="A708" s="2" t="s">
        <v>2120</v>
      </c>
      <c r="B708" s="2" t="s">
        <v>2121</v>
      </c>
      <c r="C708" s="2" t="s">
        <v>2122</v>
      </c>
      <c r="D708" s="2" t="s">
        <v>10041</v>
      </c>
      <c r="E708" s="15">
        <v>-0.1789</v>
      </c>
      <c r="F708" s="15">
        <v>8.1199999999999994E-2</v>
      </c>
      <c r="G708" s="15">
        <v>2.76E-2</v>
      </c>
      <c r="H708" s="15">
        <v>0.19670000000000001</v>
      </c>
      <c r="I708" s="15">
        <v>4.4600000000000001E-2</v>
      </c>
      <c r="J708" s="15">
        <v>4.4103139013452921</v>
      </c>
    </row>
    <row r="709" spans="1:10" x14ac:dyDescent="0.25">
      <c r="A709" s="2" t="s">
        <v>2123</v>
      </c>
      <c r="B709" s="2" t="s">
        <v>2124</v>
      </c>
      <c r="C709" s="2" t="s">
        <v>2125</v>
      </c>
      <c r="D709" s="2" t="s">
        <v>10041</v>
      </c>
      <c r="E709" s="15">
        <v>-3.6600000000000001E-2</v>
      </c>
      <c r="F709" s="15">
        <v>0.1246</v>
      </c>
      <c r="G709" s="15">
        <v>0.76890000000000003</v>
      </c>
      <c r="H709" s="15">
        <v>6.9500000000000006E-2</v>
      </c>
      <c r="I709" s="15">
        <v>3.95E-2</v>
      </c>
      <c r="J709" s="15">
        <v>1.759493670886076</v>
      </c>
    </row>
    <row r="710" spans="1:10" x14ac:dyDescent="0.25">
      <c r="A710" s="2" t="s">
        <v>2126</v>
      </c>
      <c r="B710" s="2" t="s">
        <v>2127</v>
      </c>
      <c r="C710" s="2" t="s">
        <v>2128</v>
      </c>
      <c r="D710" s="2" t="s">
        <v>10041</v>
      </c>
      <c r="E710" s="15">
        <v>-0.1144</v>
      </c>
      <c r="F710" s="15">
        <v>7.8200000000000006E-2</v>
      </c>
      <c r="G710" s="15">
        <v>0.1434</v>
      </c>
      <c r="H710" s="15">
        <v>0.22189999999999999</v>
      </c>
      <c r="I710" s="15">
        <v>4.4400000000000002E-2</v>
      </c>
      <c r="J710" s="15">
        <v>4.9977477477477468</v>
      </c>
    </row>
    <row r="711" spans="1:10" x14ac:dyDescent="0.25">
      <c r="A711" s="2" t="s">
        <v>2129</v>
      </c>
      <c r="B711" s="2" t="s">
        <v>2130</v>
      </c>
      <c r="C711" s="2" t="s">
        <v>2131</v>
      </c>
      <c r="D711" s="2" t="s">
        <v>10041</v>
      </c>
      <c r="E711" s="15">
        <v>-2.3699999999999999E-2</v>
      </c>
      <c r="F711" s="15">
        <v>6.7599999999999993E-2</v>
      </c>
      <c r="G711" s="15">
        <v>0.72599999999999998</v>
      </c>
      <c r="H711" s="15">
        <v>0.254</v>
      </c>
      <c r="I711" s="15">
        <v>4.6199999999999998E-2</v>
      </c>
      <c r="J711" s="15">
        <v>5.4978354978354984</v>
      </c>
    </row>
    <row r="712" spans="1:10" x14ac:dyDescent="0.25">
      <c r="A712" s="2" t="s">
        <v>2132</v>
      </c>
      <c r="B712" s="2" t="s">
        <v>2133</v>
      </c>
      <c r="C712" s="2" t="s">
        <v>2134</v>
      </c>
      <c r="D712" s="2" t="s">
        <v>10041</v>
      </c>
      <c r="E712" s="15">
        <v>-0.23499999999999999</v>
      </c>
      <c r="F712" s="15">
        <v>0.10290000000000001</v>
      </c>
      <c r="G712" s="15">
        <v>2.24E-2</v>
      </c>
      <c r="H712" s="15">
        <v>0.1336</v>
      </c>
      <c r="I712" s="15">
        <v>4.1200000000000001E-2</v>
      </c>
      <c r="J712" s="15">
        <v>3.2427184466019421</v>
      </c>
    </row>
    <row r="713" spans="1:10" x14ac:dyDescent="0.25">
      <c r="A713" s="2" t="s">
        <v>2135</v>
      </c>
      <c r="B713" s="2" t="s">
        <v>2136</v>
      </c>
      <c r="C713" s="2" t="s">
        <v>2137</v>
      </c>
      <c r="D713" s="2" t="s">
        <v>10041</v>
      </c>
      <c r="E713" s="15">
        <v>1.9800000000000002E-2</v>
      </c>
      <c r="F713" s="15">
        <v>7.0000000000000007E-2</v>
      </c>
      <c r="G713" s="15">
        <v>0.77700000000000002</v>
      </c>
      <c r="H713" s="15">
        <v>0.25480000000000003</v>
      </c>
      <c r="I713" s="15">
        <v>6.0999999999999999E-2</v>
      </c>
      <c r="J713" s="15">
        <v>4.1770491803278693</v>
      </c>
    </row>
    <row r="714" spans="1:10" x14ac:dyDescent="0.25">
      <c r="A714" s="2" t="s">
        <v>2138</v>
      </c>
      <c r="B714" s="2" t="s">
        <v>2139</v>
      </c>
      <c r="C714" s="2" t="s">
        <v>2140</v>
      </c>
      <c r="D714" s="2" t="s">
        <v>10041</v>
      </c>
      <c r="E714" s="15">
        <v>-3.8600000000000002E-2</v>
      </c>
      <c r="F714" s="15">
        <v>8.2000000000000003E-2</v>
      </c>
      <c r="G714" s="15">
        <v>0.63800000000000001</v>
      </c>
      <c r="H714" s="15">
        <v>0.14280000000000001</v>
      </c>
      <c r="I714" s="15">
        <v>4.3900000000000002E-2</v>
      </c>
      <c r="J714" s="15">
        <v>3.2528473804100231</v>
      </c>
    </row>
    <row r="715" spans="1:10" x14ac:dyDescent="0.25">
      <c r="A715" s="2" t="s">
        <v>2141</v>
      </c>
      <c r="B715" s="2" t="s">
        <v>2142</v>
      </c>
      <c r="C715" s="2" t="s">
        <v>2143</v>
      </c>
      <c r="D715" s="2" t="s">
        <v>10041</v>
      </c>
      <c r="E715" s="15">
        <v>-0.1056</v>
      </c>
      <c r="F715" s="15">
        <v>0.17829999999999999</v>
      </c>
      <c r="G715" s="15">
        <v>0.55369999999999997</v>
      </c>
      <c r="H715" s="15">
        <v>3.56E-2</v>
      </c>
      <c r="I715" s="15">
        <v>3.9800000000000002E-2</v>
      </c>
      <c r="J715" s="15">
        <v>0.89447236180904521</v>
      </c>
    </row>
    <row r="716" spans="1:10" x14ac:dyDescent="0.25">
      <c r="A716" s="2" t="s">
        <v>2144</v>
      </c>
      <c r="B716" s="2" t="s">
        <v>2145</v>
      </c>
      <c r="C716" s="2" t="s">
        <v>2146</v>
      </c>
      <c r="D716" s="2" t="s">
        <v>10041</v>
      </c>
      <c r="E716" s="15">
        <v>-5.4300000000000001E-2</v>
      </c>
      <c r="F716" s="15">
        <v>8.5800000000000001E-2</v>
      </c>
      <c r="G716" s="15">
        <v>0.52710000000000001</v>
      </c>
      <c r="H716" s="15">
        <v>0.16159999999999999</v>
      </c>
      <c r="I716" s="15">
        <v>3.8699999999999998E-2</v>
      </c>
      <c r="J716" s="15">
        <v>4.1757105943152446</v>
      </c>
    </row>
    <row r="717" spans="1:10" x14ac:dyDescent="0.25">
      <c r="A717" s="2" t="s">
        <v>2147</v>
      </c>
      <c r="B717" s="2" t="s">
        <v>2148</v>
      </c>
      <c r="C717" s="2" t="s">
        <v>2149</v>
      </c>
      <c r="D717" s="2" t="s">
        <v>10041</v>
      </c>
      <c r="E717" s="15">
        <v>-2.0799999999999999E-2</v>
      </c>
      <c r="F717" s="15">
        <v>6.9599999999999995E-2</v>
      </c>
      <c r="G717" s="15">
        <v>0.76529999999999998</v>
      </c>
      <c r="H717" s="15">
        <v>0.17910000000000001</v>
      </c>
      <c r="I717" s="15">
        <v>3.9899999999999998E-2</v>
      </c>
      <c r="J717" s="15">
        <v>4.4887218045112789</v>
      </c>
    </row>
    <row r="718" spans="1:10" x14ac:dyDescent="0.25">
      <c r="A718" s="2" t="s">
        <v>2150</v>
      </c>
      <c r="B718" s="2" t="s">
        <v>2151</v>
      </c>
      <c r="C718" s="2" t="s">
        <v>2152</v>
      </c>
      <c r="D718" s="2" t="s">
        <v>10041</v>
      </c>
      <c r="E718" s="15">
        <v>-0.1024</v>
      </c>
      <c r="F718" s="15">
        <v>7.3099999999999998E-2</v>
      </c>
      <c r="G718" s="15">
        <v>0.16120000000000001</v>
      </c>
      <c r="H718" s="15">
        <v>0.22140000000000001</v>
      </c>
      <c r="I718" s="15">
        <v>4.4900000000000002E-2</v>
      </c>
      <c r="J718" s="15">
        <v>4.9309576837416476</v>
      </c>
    </row>
    <row r="719" spans="1:10" x14ac:dyDescent="0.25">
      <c r="A719" s="2" t="s">
        <v>2153</v>
      </c>
      <c r="B719" s="2" t="s">
        <v>2154</v>
      </c>
      <c r="C719" s="2" t="s">
        <v>2155</v>
      </c>
      <c r="D719" s="2" t="s">
        <v>10041</v>
      </c>
      <c r="E719" s="15">
        <v>-2.4799999999999999E-2</v>
      </c>
      <c r="F719" s="15">
        <v>0.1057</v>
      </c>
      <c r="G719" s="15">
        <v>0.81420000000000003</v>
      </c>
      <c r="H719" s="15">
        <v>0.1242</v>
      </c>
      <c r="I719" s="15">
        <v>3.85E-2</v>
      </c>
      <c r="J719" s="15">
        <v>3.2259740259740259</v>
      </c>
    </row>
    <row r="720" spans="1:10" x14ac:dyDescent="0.25">
      <c r="A720" s="2" t="s">
        <v>2156</v>
      </c>
      <c r="B720" s="2" t="s">
        <v>2157</v>
      </c>
      <c r="C720" s="2" t="s">
        <v>2158</v>
      </c>
      <c r="D720" s="2" t="s">
        <v>10041</v>
      </c>
      <c r="E720" s="15"/>
      <c r="F720" s="15"/>
      <c r="G720" s="15"/>
      <c r="H720" s="15"/>
      <c r="I720" s="15"/>
      <c r="J720" s="15"/>
    </row>
    <row r="721" spans="1:10" x14ac:dyDescent="0.25">
      <c r="A721" s="2" t="s">
        <v>2159</v>
      </c>
      <c r="B721" s="2" t="s">
        <v>2160</v>
      </c>
      <c r="C721" s="2" t="s">
        <v>2161</v>
      </c>
      <c r="D721" s="2" t="s">
        <v>10041</v>
      </c>
      <c r="E721" s="15">
        <v>-1.3599999999999999E-2</v>
      </c>
      <c r="F721" s="15">
        <v>8.0399999999999999E-2</v>
      </c>
      <c r="G721" s="15">
        <v>0.86539999999999995</v>
      </c>
      <c r="H721" s="15">
        <v>0.14990000000000001</v>
      </c>
      <c r="I721" s="15">
        <v>4.9599999999999998E-2</v>
      </c>
      <c r="J721" s="15">
        <v>3.022177419354839</v>
      </c>
    </row>
    <row r="722" spans="1:10" x14ac:dyDescent="0.25">
      <c r="A722" s="2" t="s">
        <v>2162</v>
      </c>
      <c r="B722" s="2" t="s">
        <v>2163</v>
      </c>
      <c r="C722" s="2" t="s">
        <v>2164</v>
      </c>
      <c r="D722" s="2" t="s">
        <v>10041</v>
      </c>
      <c r="E722" s="15">
        <v>8.7999999999999995E-2</v>
      </c>
      <c r="F722" s="15">
        <v>6.4699999999999994E-2</v>
      </c>
      <c r="G722" s="15">
        <v>0.17380000000000001</v>
      </c>
      <c r="H722" s="15">
        <v>0.28310000000000002</v>
      </c>
      <c r="I722" s="15">
        <v>5.0500000000000003E-2</v>
      </c>
      <c r="J722" s="15">
        <v>5.6059405940594056</v>
      </c>
    </row>
    <row r="723" spans="1:10" x14ac:dyDescent="0.25">
      <c r="A723" s="2" t="s">
        <v>2165</v>
      </c>
      <c r="B723" s="2" t="s">
        <v>2166</v>
      </c>
      <c r="C723" s="2" t="s">
        <v>2167</v>
      </c>
      <c r="D723" s="2" t="s">
        <v>10041</v>
      </c>
      <c r="E723" s="15">
        <v>0.14030000000000001</v>
      </c>
      <c r="F723" s="15">
        <v>8.2699999999999996E-2</v>
      </c>
      <c r="G723" s="15">
        <v>8.9899999999999994E-2</v>
      </c>
      <c r="H723" s="15">
        <v>0.16789999999999999</v>
      </c>
      <c r="I723" s="15">
        <v>4.5600000000000002E-2</v>
      </c>
      <c r="J723" s="15">
        <v>3.682017543859649</v>
      </c>
    </row>
    <row r="724" spans="1:10" x14ac:dyDescent="0.25">
      <c r="A724" s="2" t="s">
        <v>2168</v>
      </c>
      <c r="B724" s="2" t="s">
        <v>2169</v>
      </c>
      <c r="C724" s="2" t="s">
        <v>2170</v>
      </c>
      <c r="D724" s="2" t="s">
        <v>10041</v>
      </c>
      <c r="E724" s="15">
        <v>1.34E-2</v>
      </c>
      <c r="F724" s="15">
        <v>8.5000000000000006E-2</v>
      </c>
      <c r="G724" s="15">
        <v>0.87490000000000001</v>
      </c>
      <c r="H724" s="15">
        <v>0.192</v>
      </c>
      <c r="I724" s="15">
        <v>3.6299999999999999E-2</v>
      </c>
      <c r="J724" s="15">
        <v>5.2892561983471076</v>
      </c>
    </row>
    <row r="725" spans="1:10" x14ac:dyDescent="0.25">
      <c r="A725" s="2" t="s">
        <v>2171</v>
      </c>
      <c r="B725" s="2" t="s">
        <v>2172</v>
      </c>
      <c r="C725" s="2" t="s">
        <v>2173</v>
      </c>
      <c r="D725" s="2" t="s">
        <v>10041</v>
      </c>
      <c r="E725" s="15">
        <v>-8.2100000000000006E-2</v>
      </c>
      <c r="F725" s="15">
        <v>9.5200000000000007E-2</v>
      </c>
      <c r="G725" s="15">
        <v>0.38840000000000002</v>
      </c>
      <c r="H725" s="15">
        <v>0.1595</v>
      </c>
      <c r="I725" s="15">
        <v>4.2700000000000002E-2</v>
      </c>
      <c r="J725" s="15">
        <v>3.73536299765808</v>
      </c>
    </row>
    <row r="726" spans="1:10" x14ac:dyDescent="0.25">
      <c r="A726" s="2" t="s">
        <v>2174</v>
      </c>
      <c r="B726" s="2" t="s">
        <v>2175</v>
      </c>
      <c r="C726" s="2" t="s">
        <v>2176</v>
      </c>
      <c r="D726" s="2" t="s">
        <v>10041</v>
      </c>
      <c r="E726" s="15">
        <v>-4.7300000000000002E-2</v>
      </c>
      <c r="F726" s="15">
        <v>9.7100000000000006E-2</v>
      </c>
      <c r="G726" s="15">
        <v>0.62590000000000001</v>
      </c>
      <c r="H726" s="15">
        <v>0.12429999999999999</v>
      </c>
      <c r="I726" s="15">
        <v>3.5900000000000001E-2</v>
      </c>
      <c r="J726" s="15">
        <v>3.4623955431754871</v>
      </c>
    </row>
    <row r="727" spans="1:10" x14ac:dyDescent="0.25">
      <c r="A727" s="2" t="s">
        <v>2177</v>
      </c>
      <c r="B727" s="2" t="s">
        <v>2178</v>
      </c>
      <c r="C727" s="2" t="s">
        <v>2179</v>
      </c>
      <c r="D727" s="2" t="s">
        <v>10041</v>
      </c>
      <c r="E727" s="15">
        <v>-9.4799999999999995E-2</v>
      </c>
      <c r="F727" s="15">
        <v>9.1999999999999998E-2</v>
      </c>
      <c r="G727" s="15">
        <v>0.30280000000000001</v>
      </c>
      <c r="H727" s="15">
        <v>0.18729999999999999</v>
      </c>
      <c r="I727" s="15">
        <v>4.6199999999999998E-2</v>
      </c>
      <c r="J727" s="15">
        <v>4.054112554112554</v>
      </c>
    </row>
    <row r="728" spans="1:10" x14ac:dyDescent="0.25">
      <c r="A728" s="2" t="s">
        <v>2180</v>
      </c>
      <c r="B728" s="2" t="s">
        <v>2181</v>
      </c>
      <c r="C728" s="2" t="s">
        <v>2182</v>
      </c>
      <c r="D728" s="2" t="s">
        <v>10041</v>
      </c>
      <c r="E728" s="15">
        <v>2.4299999999999999E-2</v>
      </c>
      <c r="F728" s="15">
        <v>7.2300000000000003E-2</v>
      </c>
      <c r="G728" s="15">
        <v>0.73719999999999997</v>
      </c>
      <c r="H728" s="15">
        <v>0.2039</v>
      </c>
      <c r="I728" s="15">
        <v>4.0800000000000003E-2</v>
      </c>
      <c r="J728" s="15">
        <v>4.9975490196078427</v>
      </c>
    </row>
    <row r="729" spans="1:10" x14ac:dyDescent="0.25">
      <c r="A729" s="2" t="s">
        <v>2183</v>
      </c>
      <c r="B729" s="2" t="s">
        <v>2184</v>
      </c>
      <c r="C729" s="2" t="s">
        <v>2185</v>
      </c>
      <c r="D729" s="2" t="s">
        <v>10041</v>
      </c>
      <c r="E729" s="15">
        <v>-4.5100000000000001E-2</v>
      </c>
      <c r="F729" s="15">
        <v>7.7200000000000005E-2</v>
      </c>
      <c r="G729" s="15">
        <v>0.55869999999999997</v>
      </c>
      <c r="H729" s="15">
        <v>0.19309999999999999</v>
      </c>
      <c r="I729" s="15">
        <v>4.6699999999999998E-2</v>
      </c>
      <c r="J729" s="15">
        <v>4.134903640256959</v>
      </c>
    </row>
    <row r="730" spans="1:10" x14ac:dyDescent="0.25">
      <c r="A730" s="2" t="s">
        <v>2186</v>
      </c>
      <c r="B730" s="2" t="s">
        <v>2187</v>
      </c>
      <c r="C730" s="2" t="s">
        <v>2188</v>
      </c>
      <c r="D730" s="2" t="s">
        <v>10041</v>
      </c>
      <c r="E730" s="15">
        <v>3.7499999999999999E-2</v>
      </c>
      <c r="F730" s="15">
        <v>7.5999999999999998E-2</v>
      </c>
      <c r="G730" s="15">
        <v>0.62170000000000003</v>
      </c>
      <c r="H730" s="15">
        <v>0.19070000000000001</v>
      </c>
      <c r="I730" s="15">
        <v>4.2700000000000002E-2</v>
      </c>
      <c r="J730" s="15">
        <v>4.466042154566745</v>
      </c>
    </row>
    <row r="731" spans="1:10" x14ac:dyDescent="0.25">
      <c r="A731" s="2" t="s">
        <v>2189</v>
      </c>
      <c r="B731" s="2" t="s">
        <v>2190</v>
      </c>
      <c r="C731" s="2" t="s">
        <v>2191</v>
      </c>
      <c r="D731" s="2" t="s">
        <v>10041</v>
      </c>
      <c r="E731" s="15">
        <v>-0.1426</v>
      </c>
      <c r="F731" s="15">
        <v>0.11310000000000001</v>
      </c>
      <c r="G731" s="15">
        <v>0.20760000000000001</v>
      </c>
      <c r="H731" s="15">
        <v>9.7900000000000001E-2</v>
      </c>
      <c r="I731" s="15">
        <v>3.95E-2</v>
      </c>
      <c r="J731" s="15">
        <v>2.4784810126582282</v>
      </c>
    </row>
    <row r="732" spans="1:10" x14ac:dyDescent="0.25">
      <c r="A732" s="2" t="s">
        <v>2192</v>
      </c>
      <c r="B732" s="2" t="s">
        <v>2193</v>
      </c>
      <c r="C732" s="2" t="s">
        <v>2194</v>
      </c>
      <c r="D732" s="2" t="s">
        <v>10041</v>
      </c>
      <c r="E732" s="15">
        <v>-0.1177</v>
      </c>
      <c r="F732" s="15">
        <v>7.5700000000000003E-2</v>
      </c>
      <c r="G732" s="15">
        <v>0.1201</v>
      </c>
      <c r="H732" s="15">
        <v>0.18679999999999999</v>
      </c>
      <c r="I732" s="15">
        <v>0.04</v>
      </c>
      <c r="J732" s="15">
        <v>4.67</v>
      </c>
    </row>
    <row r="733" spans="1:10" x14ac:dyDescent="0.25">
      <c r="A733" s="2" t="s">
        <v>2195</v>
      </c>
      <c r="B733" s="2" t="s">
        <v>2196</v>
      </c>
      <c r="C733" s="2" t="s">
        <v>2197</v>
      </c>
      <c r="D733" s="2" t="s">
        <v>10041</v>
      </c>
      <c r="E733" s="15">
        <v>-1.38E-2</v>
      </c>
      <c r="F733" s="15">
        <v>0.115</v>
      </c>
      <c r="G733" s="15">
        <v>0.90429999999999999</v>
      </c>
      <c r="H733" s="15">
        <v>0.1051</v>
      </c>
      <c r="I733" s="15">
        <v>4.1000000000000002E-2</v>
      </c>
      <c r="J733" s="15">
        <v>2.563414634146342</v>
      </c>
    </row>
    <row r="734" spans="1:10" x14ac:dyDescent="0.25">
      <c r="A734" s="2" t="s">
        <v>2198</v>
      </c>
      <c r="B734" s="2" t="s">
        <v>2199</v>
      </c>
      <c r="C734" s="2" t="s">
        <v>2200</v>
      </c>
      <c r="D734" s="2" t="s">
        <v>10041</v>
      </c>
      <c r="E734" s="15">
        <v>-2.46E-2</v>
      </c>
      <c r="F734" s="15">
        <v>6.5500000000000003E-2</v>
      </c>
      <c r="G734" s="15">
        <v>0.70750000000000002</v>
      </c>
      <c r="H734" s="15">
        <v>0.25700000000000001</v>
      </c>
      <c r="I734" s="15">
        <v>4.9700000000000001E-2</v>
      </c>
      <c r="J734" s="15">
        <v>5.1710261569416502</v>
      </c>
    </row>
    <row r="735" spans="1:10" x14ac:dyDescent="0.25">
      <c r="A735" s="2" t="s">
        <v>2201</v>
      </c>
      <c r="B735" s="2" t="s">
        <v>2202</v>
      </c>
      <c r="C735" s="2" t="s">
        <v>2203</v>
      </c>
      <c r="D735" s="2" t="s">
        <v>10041</v>
      </c>
      <c r="E735" s="15">
        <v>-7.0499999999999993E-2</v>
      </c>
      <c r="F735" s="15">
        <v>0.10539999999999999</v>
      </c>
      <c r="G735" s="15">
        <v>0.50370000000000004</v>
      </c>
      <c r="H735" s="15">
        <v>0.1087</v>
      </c>
      <c r="I735" s="15">
        <v>0.04</v>
      </c>
      <c r="J735" s="15">
        <v>2.7174999999999998</v>
      </c>
    </row>
    <row r="736" spans="1:10" x14ac:dyDescent="0.25">
      <c r="A736" s="2" t="s">
        <v>2204</v>
      </c>
      <c r="B736" s="2" t="s">
        <v>2205</v>
      </c>
      <c r="C736" s="2" t="s">
        <v>2206</v>
      </c>
      <c r="D736" s="2" t="s">
        <v>10041</v>
      </c>
      <c r="E736" s="15">
        <v>9.64E-2</v>
      </c>
      <c r="F736" s="15">
        <v>9.2100000000000001E-2</v>
      </c>
      <c r="G736" s="15">
        <v>0.29499999999999998</v>
      </c>
      <c r="H736" s="15">
        <v>0.15620000000000001</v>
      </c>
      <c r="I736" s="15">
        <v>4.0800000000000003E-2</v>
      </c>
      <c r="J736" s="15">
        <v>3.8284313725490189</v>
      </c>
    </row>
    <row r="737" spans="1:10" x14ac:dyDescent="0.25">
      <c r="A737" s="2" t="s">
        <v>2207</v>
      </c>
      <c r="B737" s="2" t="s">
        <v>2208</v>
      </c>
      <c r="C737" s="2" t="s">
        <v>2209</v>
      </c>
      <c r="D737" s="2" t="s">
        <v>10041</v>
      </c>
      <c r="E737" s="15">
        <v>-4.3999999999999997E-2</v>
      </c>
      <c r="F737" s="15">
        <v>7.9200000000000007E-2</v>
      </c>
      <c r="G737" s="15">
        <v>0.57869999999999999</v>
      </c>
      <c r="H737" s="15">
        <v>0.2</v>
      </c>
      <c r="I737" s="15">
        <v>4.2500000000000003E-2</v>
      </c>
      <c r="J737" s="15">
        <v>4.7058823529411766</v>
      </c>
    </row>
    <row r="738" spans="1:10" x14ac:dyDescent="0.25">
      <c r="A738" s="2" t="s">
        <v>2210</v>
      </c>
      <c r="B738" s="2" t="s">
        <v>2211</v>
      </c>
      <c r="C738" s="2" t="s">
        <v>2212</v>
      </c>
      <c r="D738" s="2" t="s">
        <v>10041</v>
      </c>
      <c r="E738" s="15">
        <v>0.12920000000000001</v>
      </c>
      <c r="F738" s="15">
        <v>6.0400000000000002E-2</v>
      </c>
      <c r="G738" s="15">
        <v>3.2399999999999998E-2</v>
      </c>
      <c r="H738" s="15">
        <v>0.2838</v>
      </c>
      <c r="I738" s="15">
        <v>4.9000000000000002E-2</v>
      </c>
      <c r="J738" s="15">
        <v>5.7918367346938773</v>
      </c>
    </row>
    <row r="739" spans="1:10" x14ac:dyDescent="0.25">
      <c r="A739" s="2" t="s">
        <v>2213</v>
      </c>
      <c r="B739" s="2" t="s">
        <v>2214</v>
      </c>
      <c r="C739" s="2" t="s">
        <v>2215</v>
      </c>
      <c r="D739" s="2" t="s">
        <v>10041</v>
      </c>
      <c r="E739" s="15">
        <v>-9.6100000000000005E-2</v>
      </c>
      <c r="F739" s="15">
        <v>0.1109</v>
      </c>
      <c r="G739" s="15">
        <v>0.38579999999999998</v>
      </c>
      <c r="H739" s="15">
        <v>0.10580000000000001</v>
      </c>
      <c r="I739" s="15">
        <v>3.9E-2</v>
      </c>
      <c r="J739" s="15">
        <v>2.712820512820513</v>
      </c>
    </row>
    <row r="740" spans="1:10" x14ac:dyDescent="0.25">
      <c r="A740" s="2" t="s">
        <v>2216</v>
      </c>
      <c r="B740" s="2" t="s">
        <v>2217</v>
      </c>
      <c r="C740" s="2" t="s">
        <v>2218</v>
      </c>
      <c r="D740" s="2" t="s">
        <v>10041</v>
      </c>
      <c r="E740" s="15">
        <v>-6.1199999999999997E-2</v>
      </c>
      <c r="F740" s="15">
        <v>9.3299999999999994E-2</v>
      </c>
      <c r="G740" s="15">
        <v>0.51200000000000001</v>
      </c>
      <c r="H740" s="15">
        <v>0.1714</v>
      </c>
      <c r="I740" s="15">
        <v>4.65E-2</v>
      </c>
      <c r="J740" s="15">
        <v>3.6860215053763441</v>
      </c>
    </row>
    <row r="741" spans="1:10" x14ac:dyDescent="0.25">
      <c r="A741" s="2" t="s">
        <v>2219</v>
      </c>
      <c r="B741" s="2" t="s">
        <v>2220</v>
      </c>
      <c r="C741" s="2" t="s">
        <v>2221</v>
      </c>
      <c r="D741" s="2" t="s">
        <v>10041</v>
      </c>
      <c r="E741" s="15">
        <v>-1.2800000000000001E-2</v>
      </c>
      <c r="F741" s="15">
        <v>6.0699999999999997E-2</v>
      </c>
      <c r="G741" s="15">
        <v>0.83309999999999995</v>
      </c>
      <c r="H741" s="15">
        <v>0.26129999999999998</v>
      </c>
      <c r="I741" s="15">
        <v>4.2900000000000001E-2</v>
      </c>
      <c r="J741" s="15">
        <v>6.0909090909090899</v>
      </c>
    </row>
    <row r="742" spans="1:10" x14ac:dyDescent="0.25">
      <c r="A742" s="2" t="s">
        <v>2222</v>
      </c>
      <c r="B742" s="2" t="s">
        <v>2223</v>
      </c>
      <c r="C742" s="2" t="s">
        <v>2224</v>
      </c>
      <c r="D742" s="2" t="s">
        <v>10041</v>
      </c>
      <c r="E742" s="15">
        <v>-0.10580000000000001</v>
      </c>
      <c r="F742" s="15">
        <v>7.5200000000000003E-2</v>
      </c>
      <c r="G742" s="15">
        <v>0.1598</v>
      </c>
      <c r="H742" s="15">
        <v>0.22689999999999999</v>
      </c>
      <c r="I742" s="15">
        <v>4.1700000000000001E-2</v>
      </c>
      <c r="J742" s="15">
        <v>5.4412470023980806</v>
      </c>
    </row>
    <row r="743" spans="1:10" x14ac:dyDescent="0.25">
      <c r="A743" s="2" t="s">
        <v>2225</v>
      </c>
      <c r="B743" s="2" t="s">
        <v>2226</v>
      </c>
      <c r="C743" s="2" t="s">
        <v>2227</v>
      </c>
      <c r="D743" s="2" t="s">
        <v>10041</v>
      </c>
      <c r="E743" s="15">
        <v>-7.3300000000000004E-2</v>
      </c>
      <c r="F743" s="15">
        <v>8.3299999999999999E-2</v>
      </c>
      <c r="G743" s="15">
        <v>0.37880000000000003</v>
      </c>
      <c r="H743" s="15">
        <v>0.15909999999999999</v>
      </c>
      <c r="I743" s="15">
        <v>3.39E-2</v>
      </c>
      <c r="J743" s="15">
        <v>4.6932153392330376</v>
      </c>
    </row>
    <row r="744" spans="1:10" x14ac:dyDescent="0.25">
      <c r="A744" s="2" t="s">
        <v>2228</v>
      </c>
      <c r="B744" s="2" t="s">
        <v>2229</v>
      </c>
      <c r="C744" s="2" t="s">
        <v>2230</v>
      </c>
      <c r="D744" s="2" t="s">
        <v>10041</v>
      </c>
      <c r="E744" s="15">
        <v>-2.6700000000000002E-2</v>
      </c>
      <c r="F744" s="15">
        <v>6.4399999999999999E-2</v>
      </c>
      <c r="G744" s="15">
        <v>0.67900000000000005</v>
      </c>
      <c r="H744" s="15">
        <v>0.27900000000000003</v>
      </c>
      <c r="I744" s="15">
        <v>4.5499999999999999E-2</v>
      </c>
      <c r="J744" s="15">
        <v>6.1318681318681323</v>
      </c>
    </row>
    <row r="745" spans="1:10" x14ac:dyDescent="0.25">
      <c r="A745" s="2" t="s">
        <v>2231</v>
      </c>
      <c r="B745" s="2" t="s">
        <v>2232</v>
      </c>
      <c r="C745" s="2" t="s">
        <v>2233</v>
      </c>
      <c r="D745" s="2" t="s">
        <v>10041</v>
      </c>
      <c r="E745" s="15">
        <v>1.0699999999999999E-2</v>
      </c>
      <c r="F745" s="15">
        <v>7.4800000000000005E-2</v>
      </c>
      <c r="G745" s="15">
        <v>0.88600000000000001</v>
      </c>
      <c r="H745" s="15">
        <v>0.21260000000000001</v>
      </c>
      <c r="I745" s="15">
        <v>5.3499999999999999E-2</v>
      </c>
      <c r="J745" s="15">
        <v>3.9738317757009352</v>
      </c>
    </row>
    <row r="746" spans="1:10" x14ac:dyDescent="0.25">
      <c r="A746" s="2" t="s">
        <v>2234</v>
      </c>
      <c r="B746" s="2" t="s">
        <v>2235</v>
      </c>
      <c r="C746" s="2" t="s">
        <v>2236</v>
      </c>
      <c r="D746" s="2" t="s">
        <v>10041</v>
      </c>
      <c r="E746" s="15">
        <v>-0.1434</v>
      </c>
      <c r="F746" s="15">
        <v>7.8E-2</v>
      </c>
      <c r="G746" s="15">
        <v>6.6000000000000003E-2</v>
      </c>
      <c r="H746" s="15">
        <v>0.1729</v>
      </c>
      <c r="I746" s="15">
        <v>4.1500000000000002E-2</v>
      </c>
      <c r="J746" s="15">
        <v>4.1662650602409634</v>
      </c>
    </row>
    <row r="747" spans="1:10" x14ac:dyDescent="0.25">
      <c r="A747" s="2" t="s">
        <v>2237</v>
      </c>
      <c r="B747" s="2" t="s">
        <v>2238</v>
      </c>
      <c r="C747" s="2" t="s">
        <v>2239</v>
      </c>
      <c r="D747" s="2" t="s">
        <v>10041</v>
      </c>
      <c r="E747" s="15">
        <v>-3.5299999999999998E-2</v>
      </c>
      <c r="F747" s="15">
        <v>6.6900000000000001E-2</v>
      </c>
      <c r="G747" s="15">
        <v>0.59830000000000005</v>
      </c>
      <c r="H747" s="15">
        <v>0.26650000000000001</v>
      </c>
      <c r="I747" s="15">
        <v>6.0199999999999997E-2</v>
      </c>
      <c r="J747" s="15">
        <v>4.4269102990033229</v>
      </c>
    </row>
    <row r="748" spans="1:10" x14ac:dyDescent="0.25">
      <c r="A748" s="2" t="s">
        <v>2240</v>
      </c>
      <c r="B748" s="2" t="s">
        <v>2241</v>
      </c>
      <c r="C748" s="2" t="s">
        <v>2242</v>
      </c>
      <c r="D748" s="2" t="s">
        <v>10041</v>
      </c>
      <c r="E748" s="15">
        <v>-0.18490000000000001</v>
      </c>
      <c r="F748" s="15">
        <v>9.4500000000000001E-2</v>
      </c>
      <c r="G748" s="15">
        <v>5.0299999999999997E-2</v>
      </c>
      <c r="H748" s="15">
        <v>0.14779999999999999</v>
      </c>
      <c r="I748" s="15">
        <v>4.41E-2</v>
      </c>
      <c r="J748" s="15">
        <v>3.3514739229024939</v>
      </c>
    </row>
    <row r="749" spans="1:10" x14ac:dyDescent="0.25">
      <c r="A749" s="2" t="s">
        <v>2243</v>
      </c>
      <c r="B749" s="2" t="s">
        <v>2244</v>
      </c>
      <c r="C749" s="2" t="s">
        <v>2245</v>
      </c>
      <c r="D749" s="2" t="s">
        <v>10041</v>
      </c>
      <c r="E749" s="15">
        <v>0.1043</v>
      </c>
      <c r="F749" s="15">
        <v>9.6299999999999997E-2</v>
      </c>
      <c r="G749" s="15">
        <v>0.2787</v>
      </c>
      <c r="H749" s="15">
        <v>0.1246</v>
      </c>
      <c r="I749" s="15">
        <v>3.8399999999999997E-2</v>
      </c>
      <c r="J749" s="15">
        <v>3.244791666666667</v>
      </c>
    </row>
    <row r="750" spans="1:10" x14ac:dyDescent="0.25">
      <c r="A750" s="2" t="s">
        <v>2246</v>
      </c>
      <c r="B750" s="2" t="s">
        <v>2247</v>
      </c>
      <c r="C750" s="2" t="s">
        <v>2248</v>
      </c>
      <c r="D750" s="2" t="s">
        <v>10041</v>
      </c>
      <c r="E750" s="15">
        <v>-5.5999999999999999E-3</v>
      </c>
      <c r="F750" s="15">
        <v>8.5599999999999996E-2</v>
      </c>
      <c r="G750" s="15">
        <v>0.94820000000000004</v>
      </c>
      <c r="H750" s="15">
        <v>0.17949999999999999</v>
      </c>
      <c r="I750" s="15">
        <v>4.4900000000000002E-2</v>
      </c>
      <c r="J750" s="15">
        <v>3.9977728285077951</v>
      </c>
    </row>
    <row r="751" spans="1:10" x14ac:dyDescent="0.25">
      <c r="A751" s="2" t="s">
        <v>2249</v>
      </c>
      <c r="B751" s="2" t="s">
        <v>2250</v>
      </c>
      <c r="C751" s="2" t="s">
        <v>2251</v>
      </c>
      <c r="D751" s="2" t="s">
        <v>10041</v>
      </c>
      <c r="E751" s="15">
        <v>-8.5900000000000004E-2</v>
      </c>
      <c r="F751" s="15">
        <v>7.2900000000000006E-2</v>
      </c>
      <c r="G751" s="15">
        <v>0.23849999999999999</v>
      </c>
      <c r="H751" s="15">
        <v>0.21859999999999999</v>
      </c>
      <c r="I751" s="15">
        <v>4.5499999999999999E-2</v>
      </c>
      <c r="J751" s="15">
        <v>4.8043956043956042</v>
      </c>
    </row>
    <row r="752" spans="1:10" x14ac:dyDescent="0.25">
      <c r="A752" s="2" t="s">
        <v>2252</v>
      </c>
      <c r="B752" s="2" t="s">
        <v>2253</v>
      </c>
      <c r="C752" s="2" t="s">
        <v>2254</v>
      </c>
      <c r="D752" s="2" t="s">
        <v>10041</v>
      </c>
      <c r="E752" s="15">
        <v>-2.06E-2</v>
      </c>
      <c r="F752" s="15">
        <v>0.30659999999999998</v>
      </c>
      <c r="G752" s="15">
        <v>0.94650000000000001</v>
      </c>
      <c r="H752" s="15">
        <v>1.6799999999999999E-2</v>
      </c>
      <c r="I752" s="15">
        <v>3.8800000000000001E-2</v>
      </c>
      <c r="J752" s="15">
        <v>0.43298969072164939</v>
      </c>
    </row>
    <row r="753" spans="1:10" x14ac:dyDescent="0.25">
      <c r="A753" s="2" t="s">
        <v>2255</v>
      </c>
      <c r="B753" s="2" t="s">
        <v>2256</v>
      </c>
      <c r="C753" s="2" t="s">
        <v>2257</v>
      </c>
      <c r="D753" s="2" t="s">
        <v>10041</v>
      </c>
      <c r="E753" s="15">
        <v>-3.0800000000000001E-2</v>
      </c>
      <c r="F753" s="15">
        <v>0.1084</v>
      </c>
      <c r="G753" s="15">
        <v>0.77669999999999995</v>
      </c>
      <c r="H753" s="15">
        <v>8.7099999999999997E-2</v>
      </c>
      <c r="I753" s="15">
        <v>3.8600000000000002E-2</v>
      </c>
      <c r="J753" s="15">
        <v>2.256476683937823</v>
      </c>
    </row>
    <row r="754" spans="1:10" x14ac:dyDescent="0.25">
      <c r="A754" s="2" t="s">
        <v>2258</v>
      </c>
      <c r="B754" s="2" t="s">
        <v>2259</v>
      </c>
      <c r="C754" s="2" t="s">
        <v>2260</v>
      </c>
      <c r="D754" s="2" t="s">
        <v>10041</v>
      </c>
      <c r="E754" s="15">
        <v>5.1000000000000004E-3</v>
      </c>
      <c r="F754" s="15">
        <v>8.3500000000000005E-2</v>
      </c>
      <c r="G754" s="15">
        <v>0.95150000000000001</v>
      </c>
      <c r="H754" s="15">
        <v>0.1391</v>
      </c>
      <c r="I754" s="15">
        <v>4.19E-2</v>
      </c>
      <c r="J754" s="15">
        <v>3.3198090692124111</v>
      </c>
    </row>
    <row r="755" spans="1:10" x14ac:dyDescent="0.25">
      <c r="A755" s="2" t="s">
        <v>2261</v>
      </c>
      <c r="B755" s="2" t="s">
        <v>2262</v>
      </c>
      <c r="C755" s="2" t="s">
        <v>2263</v>
      </c>
      <c r="D755" s="2" t="s">
        <v>10041</v>
      </c>
      <c r="E755" s="15">
        <v>3.6799999999999999E-2</v>
      </c>
      <c r="F755" s="15">
        <v>7.4099999999999999E-2</v>
      </c>
      <c r="G755" s="15">
        <v>0.61929999999999996</v>
      </c>
      <c r="H755" s="15">
        <v>0.2213</v>
      </c>
      <c r="I755" s="15">
        <v>5.0700000000000002E-2</v>
      </c>
      <c r="J755" s="15">
        <v>4.3648915187376716</v>
      </c>
    </row>
    <row r="756" spans="1:10" x14ac:dyDescent="0.25">
      <c r="A756" s="2" t="s">
        <v>2264</v>
      </c>
      <c r="B756" s="2" t="s">
        <v>2265</v>
      </c>
      <c r="C756" s="2" t="s">
        <v>2266</v>
      </c>
      <c r="D756" s="2" t="s">
        <v>10041</v>
      </c>
      <c r="E756" s="15">
        <v>2.64E-2</v>
      </c>
      <c r="F756" s="15">
        <v>0.12130000000000001</v>
      </c>
      <c r="G756" s="15">
        <v>0.82789999999999997</v>
      </c>
      <c r="H756" s="15">
        <v>7.3400000000000007E-2</v>
      </c>
      <c r="I756" s="15">
        <v>3.6200000000000003E-2</v>
      </c>
      <c r="J756" s="15">
        <v>2.027624309392265</v>
      </c>
    </row>
    <row r="757" spans="1:10" x14ac:dyDescent="0.25">
      <c r="A757" s="2" t="s">
        <v>2267</v>
      </c>
      <c r="B757" s="2" t="s">
        <v>2268</v>
      </c>
      <c r="C757" s="2" t="s">
        <v>2269</v>
      </c>
      <c r="D757" s="2" t="s">
        <v>10041</v>
      </c>
      <c r="E757" s="15">
        <v>3.2599999999999997E-2</v>
      </c>
      <c r="F757" s="15">
        <v>8.6900000000000005E-2</v>
      </c>
      <c r="G757" s="15">
        <v>0.70760000000000001</v>
      </c>
      <c r="H757" s="15">
        <v>0.17</v>
      </c>
      <c r="I757" s="15">
        <v>4.2799999999999998E-2</v>
      </c>
      <c r="J757" s="15">
        <v>3.97196261682243</v>
      </c>
    </row>
    <row r="758" spans="1:10" x14ac:dyDescent="0.25">
      <c r="A758" s="2" t="s">
        <v>2270</v>
      </c>
      <c r="B758" s="2" t="s">
        <v>2271</v>
      </c>
      <c r="C758" s="2" t="s">
        <v>2272</v>
      </c>
      <c r="D758" s="2" t="s">
        <v>10041</v>
      </c>
      <c r="E758" s="15">
        <v>-0.14119999999999999</v>
      </c>
      <c r="F758" s="15">
        <v>0.109</v>
      </c>
      <c r="G758" s="15">
        <v>0.19520000000000001</v>
      </c>
      <c r="H758" s="15">
        <v>0.12970000000000001</v>
      </c>
      <c r="I758" s="15">
        <v>4.2599999999999999E-2</v>
      </c>
      <c r="J758" s="15">
        <v>3.044600938967136</v>
      </c>
    </row>
    <row r="759" spans="1:10" x14ac:dyDescent="0.25">
      <c r="A759" s="2" t="s">
        <v>2273</v>
      </c>
      <c r="B759" s="2" t="s">
        <v>2274</v>
      </c>
      <c r="C759" s="2" t="s">
        <v>2275</v>
      </c>
      <c r="D759" s="2" t="s">
        <v>10041</v>
      </c>
      <c r="E759" s="15">
        <v>-2.2599999999999999E-2</v>
      </c>
      <c r="F759" s="15">
        <v>8.3400000000000002E-2</v>
      </c>
      <c r="G759" s="15">
        <v>0.78659999999999997</v>
      </c>
      <c r="H759" s="15">
        <v>0.161</v>
      </c>
      <c r="I759" s="15">
        <v>3.9199999999999999E-2</v>
      </c>
      <c r="J759" s="15">
        <v>4.1071428571428577</v>
      </c>
    </row>
    <row r="760" spans="1:10" x14ac:dyDescent="0.25">
      <c r="A760" s="2" t="s">
        <v>2276</v>
      </c>
      <c r="B760" s="2" t="s">
        <v>2277</v>
      </c>
      <c r="C760" s="2" t="s">
        <v>2278</v>
      </c>
      <c r="D760" s="2" t="s">
        <v>10041</v>
      </c>
      <c r="E760" s="15">
        <v>-9.0300000000000005E-2</v>
      </c>
      <c r="F760" s="15">
        <v>9.8599999999999993E-2</v>
      </c>
      <c r="G760" s="15">
        <v>0.35970000000000002</v>
      </c>
      <c r="H760" s="15">
        <v>0.1772</v>
      </c>
      <c r="I760" s="15">
        <v>4.1200000000000001E-2</v>
      </c>
      <c r="J760" s="15">
        <v>4.3009708737864072</v>
      </c>
    </row>
    <row r="761" spans="1:10" x14ac:dyDescent="0.25">
      <c r="A761" s="2" t="s">
        <v>2279</v>
      </c>
      <c r="B761" s="2" t="s">
        <v>2280</v>
      </c>
      <c r="C761" s="2" t="s">
        <v>2281</v>
      </c>
      <c r="D761" s="2" t="s">
        <v>10041</v>
      </c>
      <c r="E761" s="15">
        <v>4.8999999999999998E-3</v>
      </c>
      <c r="F761" s="15">
        <v>7.6999999999999999E-2</v>
      </c>
      <c r="G761" s="15">
        <v>0.94940000000000002</v>
      </c>
      <c r="H761" s="15">
        <v>0.19070000000000001</v>
      </c>
      <c r="I761" s="15">
        <v>3.85E-2</v>
      </c>
      <c r="J761" s="15">
        <v>4.9532467532467539</v>
      </c>
    </row>
    <row r="762" spans="1:10" x14ac:dyDescent="0.25">
      <c r="A762" s="2" t="s">
        <v>2282</v>
      </c>
      <c r="B762" s="2" t="s">
        <v>2283</v>
      </c>
      <c r="C762" s="2" t="s">
        <v>2284</v>
      </c>
      <c r="D762" s="2" t="s">
        <v>10041</v>
      </c>
      <c r="E762" s="15">
        <v>-2.7799999999999998E-2</v>
      </c>
      <c r="F762" s="15">
        <v>8.72E-2</v>
      </c>
      <c r="G762" s="15">
        <v>0.74960000000000004</v>
      </c>
      <c r="H762" s="15">
        <v>0.16869999999999999</v>
      </c>
      <c r="I762" s="15">
        <v>4.4499999999999998E-2</v>
      </c>
      <c r="J762" s="15">
        <v>3.7910112359550561</v>
      </c>
    </row>
    <row r="763" spans="1:10" x14ac:dyDescent="0.25">
      <c r="A763" s="2" t="s">
        <v>2285</v>
      </c>
      <c r="B763" s="2" t="s">
        <v>2286</v>
      </c>
      <c r="C763" s="2" t="s">
        <v>2287</v>
      </c>
      <c r="D763" s="2" t="s">
        <v>10041</v>
      </c>
      <c r="E763" s="15">
        <v>4.7199999999999999E-2</v>
      </c>
      <c r="F763" s="15">
        <v>7.6700000000000004E-2</v>
      </c>
      <c r="G763" s="15">
        <v>0.53769999999999996</v>
      </c>
      <c r="H763" s="15">
        <v>0.1885</v>
      </c>
      <c r="I763" s="15">
        <v>4.4999999999999998E-2</v>
      </c>
      <c r="J763" s="15">
        <v>4.1888888888888891</v>
      </c>
    </row>
    <row r="764" spans="1:10" x14ac:dyDescent="0.25">
      <c r="A764" s="2" t="s">
        <v>2288</v>
      </c>
      <c r="B764" s="2" t="s">
        <v>2289</v>
      </c>
      <c r="C764" s="2" t="s">
        <v>2290</v>
      </c>
      <c r="D764" s="2" t="s">
        <v>10041</v>
      </c>
      <c r="E764" s="15">
        <v>-3.04E-2</v>
      </c>
      <c r="F764" s="15">
        <v>9.0399999999999994E-2</v>
      </c>
      <c r="G764" s="15">
        <v>0.73699999999999999</v>
      </c>
      <c r="H764" s="15">
        <v>0.156</v>
      </c>
      <c r="I764" s="15">
        <v>4.8599999999999997E-2</v>
      </c>
      <c r="J764" s="15">
        <v>3.209876543209877</v>
      </c>
    </row>
    <row r="765" spans="1:10" x14ac:dyDescent="0.25">
      <c r="A765" s="2" t="s">
        <v>2291</v>
      </c>
      <c r="B765" s="2" t="s">
        <v>2292</v>
      </c>
      <c r="C765" s="2" t="s">
        <v>2293</v>
      </c>
      <c r="D765" s="2" t="s">
        <v>10041</v>
      </c>
      <c r="E765" s="15">
        <v>-0.1852</v>
      </c>
      <c r="F765" s="15">
        <v>7.3800000000000004E-2</v>
      </c>
      <c r="G765" s="15">
        <v>1.21E-2</v>
      </c>
      <c r="H765" s="15">
        <v>0.22900000000000001</v>
      </c>
      <c r="I765" s="15">
        <v>4.4299999999999999E-2</v>
      </c>
      <c r="J765" s="15">
        <v>5.1693002257336342</v>
      </c>
    </row>
    <row r="766" spans="1:10" x14ac:dyDescent="0.25">
      <c r="A766" s="2" t="s">
        <v>2294</v>
      </c>
      <c r="B766" s="2" t="s">
        <v>2295</v>
      </c>
      <c r="C766" s="2" t="s">
        <v>2296</v>
      </c>
      <c r="D766" s="2" t="s">
        <v>10041</v>
      </c>
      <c r="E766" s="15">
        <v>-1.9800000000000002E-2</v>
      </c>
      <c r="F766" s="15">
        <v>8.6900000000000005E-2</v>
      </c>
      <c r="G766" s="15">
        <v>0.81969999999999998</v>
      </c>
      <c r="H766" s="15">
        <v>0.16750000000000001</v>
      </c>
      <c r="I766" s="15">
        <v>3.95E-2</v>
      </c>
      <c r="J766" s="15">
        <v>4.2405063291139236</v>
      </c>
    </row>
    <row r="767" spans="1:10" x14ac:dyDescent="0.25">
      <c r="A767" s="2" t="s">
        <v>2297</v>
      </c>
      <c r="B767" s="2" t="s">
        <v>2298</v>
      </c>
      <c r="C767" s="2" t="s">
        <v>2299</v>
      </c>
      <c r="D767" s="2" t="s">
        <v>10041</v>
      </c>
      <c r="E767" s="15">
        <v>-2.3099999999999999E-2</v>
      </c>
      <c r="F767" s="15">
        <v>7.8899999999999998E-2</v>
      </c>
      <c r="G767" s="15">
        <v>0.77</v>
      </c>
      <c r="H767" s="15">
        <v>0.1807</v>
      </c>
      <c r="I767" s="15">
        <v>4.7800000000000002E-2</v>
      </c>
      <c r="J767" s="15">
        <v>3.780334728033472</v>
      </c>
    </row>
    <row r="768" spans="1:10" x14ac:dyDescent="0.25">
      <c r="A768" s="2" t="s">
        <v>2300</v>
      </c>
      <c r="B768" s="2" t="s">
        <v>2301</v>
      </c>
      <c r="C768" s="2" t="s">
        <v>2302</v>
      </c>
      <c r="D768" s="2" t="s">
        <v>10041</v>
      </c>
      <c r="E768" s="15">
        <v>7.4999999999999997E-2</v>
      </c>
      <c r="F768" s="15">
        <v>7.7799999999999994E-2</v>
      </c>
      <c r="G768" s="15">
        <v>0.33510000000000001</v>
      </c>
      <c r="H768" s="15">
        <v>0.16689999999999999</v>
      </c>
      <c r="I768" s="15">
        <v>3.8600000000000002E-2</v>
      </c>
      <c r="J768" s="15">
        <v>4.3238341968911911</v>
      </c>
    </row>
    <row r="769" spans="1:10" x14ac:dyDescent="0.25">
      <c r="A769" s="2" t="s">
        <v>2303</v>
      </c>
      <c r="B769" s="2" t="s">
        <v>2304</v>
      </c>
      <c r="C769" s="2" t="s">
        <v>2305</v>
      </c>
      <c r="D769" s="2" t="s">
        <v>10041</v>
      </c>
      <c r="E769" s="15">
        <v>5.1999999999999998E-3</v>
      </c>
      <c r="F769" s="15">
        <v>7.5300000000000006E-2</v>
      </c>
      <c r="G769" s="15">
        <v>0.9446</v>
      </c>
      <c r="H769" s="15">
        <v>0.1699</v>
      </c>
      <c r="I769" s="15">
        <v>3.9399999999999998E-2</v>
      </c>
      <c r="J769" s="15">
        <v>4.312182741116751</v>
      </c>
    </row>
    <row r="770" spans="1:10" x14ac:dyDescent="0.25">
      <c r="A770" s="2" t="s">
        <v>2306</v>
      </c>
      <c r="B770" s="2" t="s">
        <v>2307</v>
      </c>
      <c r="C770" s="2" t="s">
        <v>2308</v>
      </c>
      <c r="D770" s="2" t="s">
        <v>10041</v>
      </c>
      <c r="E770" s="15">
        <v>0.15409999999999999</v>
      </c>
      <c r="F770" s="15">
        <v>8.6099999999999996E-2</v>
      </c>
      <c r="G770" s="15">
        <v>7.3700000000000002E-2</v>
      </c>
      <c r="H770" s="15">
        <v>0.17080000000000001</v>
      </c>
      <c r="I770" s="15">
        <v>4.5400000000000003E-2</v>
      </c>
      <c r="J770" s="15">
        <v>3.7621145374449338</v>
      </c>
    </row>
    <row r="771" spans="1:10" x14ac:dyDescent="0.25">
      <c r="A771" s="2" t="s">
        <v>2309</v>
      </c>
      <c r="B771" s="2" t="s">
        <v>2310</v>
      </c>
      <c r="C771" s="2" t="s">
        <v>2311</v>
      </c>
      <c r="D771" s="2" t="s">
        <v>10041</v>
      </c>
      <c r="E771" s="15">
        <v>0.1246</v>
      </c>
      <c r="F771" s="15">
        <v>6.6100000000000006E-2</v>
      </c>
      <c r="G771" s="15">
        <v>5.9499999999999997E-2</v>
      </c>
      <c r="H771" s="15">
        <v>0.23899999999999999</v>
      </c>
      <c r="I771" s="15">
        <v>5.3999999999999999E-2</v>
      </c>
      <c r="J771" s="15">
        <v>4.4259259259259256</v>
      </c>
    </row>
    <row r="772" spans="1:10" x14ac:dyDescent="0.25">
      <c r="A772" s="2" t="s">
        <v>2312</v>
      </c>
      <c r="B772" s="2" t="s">
        <v>2313</v>
      </c>
      <c r="C772" s="2" t="s">
        <v>2314</v>
      </c>
      <c r="D772" s="2" t="s">
        <v>10041</v>
      </c>
      <c r="E772" s="15">
        <v>-0.1416</v>
      </c>
      <c r="F772" s="15">
        <v>0.1071</v>
      </c>
      <c r="G772" s="15">
        <v>0.18609999999999999</v>
      </c>
      <c r="H772" s="15">
        <v>0.10829999999999999</v>
      </c>
      <c r="I772" s="15">
        <v>4.1700000000000001E-2</v>
      </c>
      <c r="J772" s="15">
        <v>2.5971223021582732</v>
      </c>
    </row>
    <row r="773" spans="1:10" x14ac:dyDescent="0.25">
      <c r="A773" s="2" t="s">
        <v>2315</v>
      </c>
      <c r="B773" s="2" t="s">
        <v>2316</v>
      </c>
      <c r="C773" s="2" t="s">
        <v>2317</v>
      </c>
      <c r="D773" s="2" t="s">
        <v>10041</v>
      </c>
      <c r="E773" s="15">
        <v>1.15E-2</v>
      </c>
      <c r="F773" s="15">
        <v>9.3600000000000003E-2</v>
      </c>
      <c r="G773" s="15">
        <v>0.90259999999999996</v>
      </c>
      <c r="H773" s="15">
        <v>0.15590000000000001</v>
      </c>
      <c r="I773" s="15">
        <v>5.4300000000000001E-2</v>
      </c>
      <c r="J773" s="15">
        <v>2.8710865561694292</v>
      </c>
    </row>
    <row r="774" spans="1:10" x14ac:dyDescent="0.25">
      <c r="A774" s="2" t="s">
        <v>2318</v>
      </c>
      <c r="B774" s="2" t="s">
        <v>2319</v>
      </c>
      <c r="C774" s="2" t="s">
        <v>2320</v>
      </c>
      <c r="D774" s="2" t="s">
        <v>10041</v>
      </c>
      <c r="E774" s="15">
        <v>-0.13139999999999999</v>
      </c>
      <c r="F774" s="15">
        <v>6.4799999999999996E-2</v>
      </c>
      <c r="G774" s="15">
        <v>4.2700000000000002E-2</v>
      </c>
      <c r="H774" s="15">
        <v>0.2732</v>
      </c>
      <c r="I774" s="15">
        <v>5.3999999999999999E-2</v>
      </c>
      <c r="J774" s="15">
        <v>5.0592592592592593</v>
      </c>
    </row>
    <row r="775" spans="1:10" x14ac:dyDescent="0.25">
      <c r="A775" s="2" t="s">
        <v>2321</v>
      </c>
      <c r="B775" s="2" t="s">
        <v>2322</v>
      </c>
      <c r="C775" s="2" t="s">
        <v>2323</v>
      </c>
      <c r="D775" s="2" t="s">
        <v>10041</v>
      </c>
      <c r="E775" s="15">
        <v>-0.16750000000000001</v>
      </c>
      <c r="F775" s="15">
        <v>8.1000000000000003E-2</v>
      </c>
      <c r="G775" s="15">
        <v>3.8600000000000002E-2</v>
      </c>
      <c r="H775" s="15">
        <v>0.18970000000000001</v>
      </c>
      <c r="I775" s="15">
        <v>4.2200000000000001E-2</v>
      </c>
      <c r="J775" s="15">
        <v>4.4952606635071088</v>
      </c>
    </row>
    <row r="776" spans="1:10" x14ac:dyDescent="0.25">
      <c r="A776" s="2" t="s">
        <v>2324</v>
      </c>
      <c r="B776" s="2" t="s">
        <v>2325</v>
      </c>
      <c r="C776" s="2" t="s">
        <v>2326</v>
      </c>
      <c r="D776" s="2" t="s">
        <v>10041</v>
      </c>
      <c r="E776" s="15">
        <v>-5.8900000000000001E-2</v>
      </c>
      <c r="F776" s="15">
        <v>0.15679999999999999</v>
      </c>
      <c r="G776" s="15">
        <v>0.70740000000000003</v>
      </c>
      <c r="H776" s="15">
        <v>4.4200000000000003E-2</v>
      </c>
      <c r="I776" s="15">
        <v>3.4599999999999999E-2</v>
      </c>
      <c r="J776" s="15">
        <v>1.277456647398844</v>
      </c>
    </row>
    <row r="777" spans="1:10" x14ac:dyDescent="0.25">
      <c r="A777" s="2" t="s">
        <v>2327</v>
      </c>
      <c r="B777" s="2" t="s">
        <v>2328</v>
      </c>
      <c r="C777" s="2" t="s">
        <v>2329</v>
      </c>
      <c r="D777" s="2" t="s">
        <v>10041</v>
      </c>
      <c r="E777" s="15">
        <v>-9.1200000000000003E-2</v>
      </c>
      <c r="F777" s="15">
        <v>8.0699999999999994E-2</v>
      </c>
      <c r="G777" s="15">
        <v>0.25869999999999999</v>
      </c>
      <c r="H777" s="15">
        <v>0.19950000000000001</v>
      </c>
      <c r="I777" s="15">
        <v>4.2599999999999999E-2</v>
      </c>
      <c r="J777" s="15">
        <v>4.683098591549296</v>
      </c>
    </row>
    <row r="778" spans="1:10" x14ac:dyDescent="0.25">
      <c r="A778" s="2" t="s">
        <v>2330</v>
      </c>
      <c r="B778" s="2" t="s">
        <v>2331</v>
      </c>
      <c r="C778" s="2" t="s">
        <v>2332</v>
      </c>
      <c r="D778" s="2" t="s">
        <v>10041</v>
      </c>
      <c r="E778" s="15">
        <v>1.4500000000000001E-2</v>
      </c>
      <c r="F778" s="15">
        <v>7.4899999999999994E-2</v>
      </c>
      <c r="G778" s="15">
        <v>0.84650000000000003</v>
      </c>
      <c r="H778" s="15">
        <v>0.2056</v>
      </c>
      <c r="I778" s="15">
        <v>4.2900000000000001E-2</v>
      </c>
      <c r="J778" s="15">
        <v>4.7925407925407928</v>
      </c>
    </row>
    <row r="779" spans="1:10" x14ac:dyDescent="0.25">
      <c r="A779" s="2" t="s">
        <v>2333</v>
      </c>
      <c r="B779" s="2" t="s">
        <v>2334</v>
      </c>
      <c r="C779" s="2" t="s">
        <v>2335</v>
      </c>
      <c r="D779" s="2" t="s">
        <v>10041</v>
      </c>
      <c r="E779" s="15">
        <v>-0.18509999999999999</v>
      </c>
      <c r="F779" s="15">
        <v>0.1023</v>
      </c>
      <c r="G779" s="15">
        <v>7.0300000000000001E-2</v>
      </c>
      <c r="H779" s="15">
        <v>0.13350000000000001</v>
      </c>
      <c r="I779" s="15">
        <v>4.1300000000000003E-2</v>
      </c>
      <c r="J779" s="15">
        <v>3.232445520581114</v>
      </c>
    </row>
    <row r="780" spans="1:10" x14ac:dyDescent="0.25">
      <c r="A780" s="2" t="s">
        <v>2336</v>
      </c>
      <c r="B780" s="2" t="s">
        <v>2337</v>
      </c>
      <c r="C780" s="2" t="s">
        <v>2338</v>
      </c>
      <c r="D780" s="2" t="s">
        <v>10041</v>
      </c>
      <c r="E780" s="15">
        <v>4.4900000000000002E-2</v>
      </c>
      <c r="F780" s="15">
        <v>7.4800000000000005E-2</v>
      </c>
      <c r="G780" s="15">
        <v>0.54820000000000002</v>
      </c>
      <c r="H780" s="15">
        <v>0.20979999999999999</v>
      </c>
      <c r="I780" s="15">
        <v>5.2200000000000003E-2</v>
      </c>
      <c r="J780" s="15">
        <v>4.0191570881226051</v>
      </c>
    </row>
    <row r="781" spans="1:10" x14ac:dyDescent="0.25">
      <c r="A781" s="2" t="s">
        <v>2339</v>
      </c>
      <c r="B781" s="2" t="s">
        <v>2340</v>
      </c>
      <c r="C781" s="2" t="s">
        <v>2341</v>
      </c>
      <c r="D781" s="2" t="s">
        <v>10041</v>
      </c>
      <c r="E781" s="15">
        <v>2.3999999999999998E-3</v>
      </c>
      <c r="F781" s="15">
        <v>8.09E-2</v>
      </c>
      <c r="G781" s="15">
        <v>0.97640000000000005</v>
      </c>
      <c r="H781" s="15">
        <v>0.1348</v>
      </c>
      <c r="I781" s="15">
        <v>4.2900000000000001E-2</v>
      </c>
      <c r="J781" s="15">
        <v>3.1421911421911419</v>
      </c>
    </row>
    <row r="782" spans="1:10" x14ac:dyDescent="0.25">
      <c r="A782" s="2" t="s">
        <v>2342</v>
      </c>
      <c r="B782" s="2" t="s">
        <v>2343</v>
      </c>
      <c r="C782" s="2" t="s">
        <v>2344</v>
      </c>
      <c r="D782" s="2" t="s">
        <v>10041</v>
      </c>
      <c r="E782" s="15">
        <v>0.17119999999999999</v>
      </c>
      <c r="F782" s="15">
        <v>0.1181</v>
      </c>
      <c r="G782" s="15">
        <v>0.14710000000000001</v>
      </c>
      <c r="H782" s="15">
        <v>8.5300000000000001E-2</v>
      </c>
      <c r="I782" s="15">
        <v>4.02E-2</v>
      </c>
      <c r="J782" s="15">
        <v>2.121890547263682</v>
      </c>
    </row>
    <row r="783" spans="1:10" x14ac:dyDescent="0.25">
      <c r="A783" s="2" t="s">
        <v>2345</v>
      </c>
      <c r="B783" s="2" t="s">
        <v>2346</v>
      </c>
      <c r="C783" s="2" t="s">
        <v>2347</v>
      </c>
      <c r="D783" s="2" t="s">
        <v>10041</v>
      </c>
      <c r="E783" s="15">
        <v>8.7999999999999995E-2</v>
      </c>
      <c r="F783" s="15">
        <v>8.1199999999999994E-2</v>
      </c>
      <c r="G783" s="15">
        <v>0.27879999999999999</v>
      </c>
      <c r="H783" s="15">
        <v>0.1744</v>
      </c>
      <c r="I783" s="15">
        <v>4.1599999999999998E-2</v>
      </c>
      <c r="J783" s="15">
        <v>4.1923076923076934</v>
      </c>
    </row>
    <row r="784" spans="1:10" x14ac:dyDescent="0.25">
      <c r="A784" s="2" t="s">
        <v>2348</v>
      </c>
      <c r="B784" s="2" t="s">
        <v>2349</v>
      </c>
      <c r="C784" s="2" t="s">
        <v>2350</v>
      </c>
      <c r="D784" s="2" t="s">
        <v>10041</v>
      </c>
      <c r="E784" s="15">
        <v>-0.16189999999999999</v>
      </c>
      <c r="F784" s="15">
        <v>0.10059999999999999</v>
      </c>
      <c r="G784" s="15">
        <v>0.1077</v>
      </c>
      <c r="H784" s="15">
        <v>0.1249</v>
      </c>
      <c r="I784" s="15">
        <v>4.0300000000000002E-2</v>
      </c>
      <c r="J784" s="15">
        <v>3.09925558312655</v>
      </c>
    </row>
    <row r="785" spans="1:10" x14ac:dyDescent="0.25">
      <c r="A785" s="2" t="s">
        <v>2351</v>
      </c>
      <c r="B785" s="2" t="s">
        <v>2352</v>
      </c>
      <c r="C785" s="2" t="s">
        <v>2353</v>
      </c>
      <c r="D785" s="2" t="s">
        <v>10041</v>
      </c>
      <c r="E785" s="15">
        <v>-0.2878</v>
      </c>
      <c r="F785" s="15">
        <v>0.11890000000000001</v>
      </c>
      <c r="G785" s="15">
        <v>1.55E-2</v>
      </c>
      <c r="H785" s="15">
        <v>0.10589999999999999</v>
      </c>
      <c r="I785" s="15">
        <v>3.6600000000000001E-2</v>
      </c>
      <c r="J785" s="15">
        <v>2.8934426229508201</v>
      </c>
    </row>
    <row r="786" spans="1:10" x14ac:dyDescent="0.25">
      <c r="A786" s="2" t="s">
        <v>2354</v>
      </c>
      <c r="B786" s="2" t="s">
        <v>2355</v>
      </c>
      <c r="C786" s="2" t="s">
        <v>2356</v>
      </c>
      <c r="D786" s="2" t="s">
        <v>10041</v>
      </c>
      <c r="E786" s="15">
        <v>1.7100000000000001E-2</v>
      </c>
      <c r="F786" s="15">
        <v>8.3299999999999999E-2</v>
      </c>
      <c r="G786" s="15">
        <v>0.83740000000000003</v>
      </c>
      <c r="H786" s="15">
        <v>0.18010000000000001</v>
      </c>
      <c r="I786" s="15">
        <v>4.5100000000000001E-2</v>
      </c>
      <c r="J786" s="15">
        <v>3.9933481152993351</v>
      </c>
    </row>
    <row r="787" spans="1:10" x14ac:dyDescent="0.25">
      <c r="A787" s="2" t="s">
        <v>2357</v>
      </c>
      <c r="B787" s="2" t="s">
        <v>2358</v>
      </c>
      <c r="C787" s="2" t="s">
        <v>2359</v>
      </c>
      <c r="D787" s="2" t="s">
        <v>10041</v>
      </c>
      <c r="E787" s="15">
        <v>-0.1221</v>
      </c>
      <c r="F787" s="15">
        <v>9.06E-2</v>
      </c>
      <c r="G787" s="15">
        <v>0.17780000000000001</v>
      </c>
      <c r="H787" s="15">
        <v>0.1588</v>
      </c>
      <c r="I787" s="15">
        <v>4.3400000000000001E-2</v>
      </c>
      <c r="J787" s="15">
        <v>3.6589861751152069</v>
      </c>
    </row>
    <row r="788" spans="1:10" x14ac:dyDescent="0.25">
      <c r="A788" s="2" t="s">
        <v>2360</v>
      </c>
      <c r="B788" s="2" t="s">
        <v>2361</v>
      </c>
      <c r="C788" s="2" t="s">
        <v>2362</v>
      </c>
      <c r="D788" s="2" t="s">
        <v>10041</v>
      </c>
      <c r="E788" s="15">
        <v>-1.7899999999999999E-2</v>
      </c>
      <c r="F788" s="15">
        <v>8.2299999999999998E-2</v>
      </c>
      <c r="G788" s="15">
        <v>0.82779999999999998</v>
      </c>
      <c r="H788" s="15">
        <v>0.18779999999999999</v>
      </c>
      <c r="I788" s="15">
        <v>4.5999999999999999E-2</v>
      </c>
      <c r="J788" s="15">
        <v>4.0826086956521737</v>
      </c>
    </row>
    <row r="789" spans="1:10" x14ac:dyDescent="0.25">
      <c r="A789" s="2" t="s">
        <v>2363</v>
      </c>
      <c r="B789" s="2" t="s">
        <v>2364</v>
      </c>
      <c r="C789" s="2" t="s">
        <v>2365</v>
      </c>
      <c r="D789" s="2" t="s">
        <v>10041</v>
      </c>
      <c r="E789" s="15">
        <v>4.8500000000000001E-2</v>
      </c>
      <c r="F789" s="15">
        <v>6.7900000000000002E-2</v>
      </c>
      <c r="G789" s="15">
        <v>0.47449999999999998</v>
      </c>
      <c r="H789" s="15">
        <v>0.2273</v>
      </c>
      <c r="I789" s="15">
        <v>4.9799999999999997E-2</v>
      </c>
      <c r="J789" s="15">
        <v>4.5642570281124497</v>
      </c>
    </row>
    <row r="790" spans="1:10" x14ac:dyDescent="0.25">
      <c r="A790" s="2" t="s">
        <v>2366</v>
      </c>
      <c r="B790" s="2" t="s">
        <v>2367</v>
      </c>
      <c r="C790" s="2" t="s">
        <v>2368</v>
      </c>
      <c r="D790" s="2" t="s">
        <v>10041</v>
      </c>
      <c r="E790" s="15">
        <v>-7.2499999999999995E-2</v>
      </c>
      <c r="F790" s="15">
        <v>7.4999999999999997E-2</v>
      </c>
      <c r="G790" s="15">
        <v>0.33400000000000002</v>
      </c>
      <c r="H790" s="15">
        <v>0.2225</v>
      </c>
      <c r="I790" s="15">
        <v>6.7299999999999999E-2</v>
      </c>
      <c r="J790" s="15">
        <v>3.3060921248142652</v>
      </c>
    </row>
    <row r="791" spans="1:10" x14ac:dyDescent="0.25">
      <c r="A791" s="2" t="s">
        <v>2369</v>
      </c>
      <c r="B791" s="2" t="s">
        <v>2370</v>
      </c>
      <c r="C791" s="2" t="s">
        <v>2371</v>
      </c>
      <c r="D791" s="2" t="s">
        <v>10041</v>
      </c>
      <c r="E791" s="15">
        <v>-6.7799999999999999E-2</v>
      </c>
      <c r="F791" s="15">
        <v>0.104</v>
      </c>
      <c r="G791" s="15">
        <v>0.51419999999999999</v>
      </c>
      <c r="H791" s="15">
        <v>0.1046</v>
      </c>
      <c r="I791" s="15">
        <v>3.9100000000000003E-2</v>
      </c>
      <c r="J791" s="15">
        <v>2.6751918158567771</v>
      </c>
    </row>
    <row r="792" spans="1:10" x14ac:dyDescent="0.25">
      <c r="A792" s="2" t="s">
        <v>2372</v>
      </c>
      <c r="B792" s="2" t="s">
        <v>2373</v>
      </c>
      <c r="C792" s="2" t="s">
        <v>2374</v>
      </c>
      <c r="D792" s="2" t="s">
        <v>10041</v>
      </c>
      <c r="E792" s="15">
        <v>-5.0000000000000001E-4</v>
      </c>
      <c r="F792" s="15">
        <v>7.3999999999999996E-2</v>
      </c>
      <c r="G792" s="15">
        <v>0.99450000000000005</v>
      </c>
      <c r="H792" s="15">
        <v>0.2465</v>
      </c>
      <c r="I792" s="15">
        <v>4.2099999999999999E-2</v>
      </c>
      <c r="J792" s="15">
        <v>5.8551068883610453</v>
      </c>
    </row>
    <row r="793" spans="1:10" x14ac:dyDescent="0.25">
      <c r="A793" s="2" t="s">
        <v>2375</v>
      </c>
      <c r="B793" s="2" t="s">
        <v>2376</v>
      </c>
      <c r="C793" s="2" t="s">
        <v>2377</v>
      </c>
      <c r="D793" s="2" t="s">
        <v>10041</v>
      </c>
      <c r="E793" s="15">
        <v>0.1032</v>
      </c>
      <c r="F793" s="15">
        <v>6.0199999999999997E-2</v>
      </c>
      <c r="G793" s="15">
        <v>8.6499999999999994E-2</v>
      </c>
      <c r="H793" s="15">
        <v>0.2944</v>
      </c>
      <c r="I793" s="15">
        <v>5.0500000000000003E-2</v>
      </c>
      <c r="J793" s="15">
        <v>5.8297029702970304</v>
      </c>
    </row>
    <row r="794" spans="1:10" x14ac:dyDescent="0.25">
      <c r="A794" s="2" t="s">
        <v>2378</v>
      </c>
      <c r="B794" s="2" t="s">
        <v>2379</v>
      </c>
      <c r="C794" s="2" t="s">
        <v>2380</v>
      </c>
      <c r="D794" s="2" t="s">
        <v>10041</v>
      </c>
      <c r="E794" s="15">
        <v>6.9999999999999999E-4</v>
      </c>
      <c r="F794" s="15">
        <v>7.0499999999999993E-2</v>
      </c>
      <c r="G794" s="15">
        <v>0.99229999999999996</v>
      </c>
      <c r="H794" s="15">
        <v>0.23880000000000001</v>
      </c>
      <c r="I794" s="15">
        <v>4.8800000000000003E-2</v>
      </c>
      <c r="J794" s="15">
        <v>4.8934426229508192</v>
      </c>
    </row>
    <row r="795" spans="1:10" x14ac:dyDescent="0.25">
      <c r="A795" s="2" t="s">
        <v>2381</v>
      </c>
      <c r="B795" s="2" t="s">
        <v>2382</v>
      </c>
      <c r="C795" s="2" t="s">
        <v>2383</v>
      </c>
      <c r="D795" s="2" t="s">
        <v>10041</v>
      </c>
      <c r="E795" s="15">
        <v>-4.3799999999999999E-2</v>
      </c>
      <c r="F795" s="15">
        <v>8.0100000000000005E-2</v>
      </c>
      <c r="G795" s="15">
        <v>0.58460000000000001</v>
      </c>
      <c r="H795" s="15">
        <v>0.1714</v>
      </c>
      <c r="I795" s="15">
        <v>4.19E-2</v>
      </c>
      <c r="J795" s="15">
        <v>4.0906921241050123</v>
      </c>
    </row>
    <row r="796" spans="1:10" x14ac:dyDescent="0.25">
      <c r="A796" s="2" t="s">
        <v>2384</v>
      </c>
      <c r="B796" s="2" t="s">
        <v>2385</v>
      </c>
      <c r="C796" s="2" t="s">
        <v>2386</v>
      </c>
      <c r="D796" s="2" t="s">
        <v>10041</v>
      </c>
      <c r="E796" s="15">
        <v>1.8599999999999998E-2</v>
      </c>
      <c r="F796" s="15">
        <v>8.0199999999999994E-2</v>
      </c>
      <c r="G796" s="15">
        <v>0.81620000000000004</v>
      </c>
      <c r="H796" s="15">
        <v>0.17519999999999999</v>
      </c>
      <c r="I796" s="15">
        <v>4.1799999999999997E-2</v>
      </c>
      <c r="J796" s="15">
        <v>4.1913875598086134</v>
      </c>
    </row>
    <row r="797" spans="1:10" x14ac:dyDescent="0.25">
      <c r="A797" s="2" t="s">
        <v>2387</v>
      </c>
      <c r="B797" s="2" t="s">
        <v>2388</v>
      </c>
      <c r="C797" s="2" t="s">
        <v>2389</v>
      </c>
      <c r="D797" s="2" t="s">
        <v>10041</v>
      </c>
      <c r="E797" s="15">
        <v>3.39E-2</v>
      </c>
      <c r="F797" s="15">
        <v>7.0199999999999999E-2</v>
      </c>
      <c r="G797" s="15">
        <v>0.62909999999999999</v>
      </c>
      <c r="H797" s="15">
        <v>0.2442</v>
      </c>
      <c r="I797" s="15">
        <v>4.2799999999999998E-2</v>
      </c>
      <c r="J797" s="15">
        <v>5.7056074766355147</v>
      </c>
    </row>
    <row r="798" spans="1:10" x14ac:dyDescent="0.25">
      <c r="A798" s="2" t="s">
        <v>2390</v>
      </c>
      <c r="B798" s="2" t="s">
        <v>2391</v>
      </c>
      <c r="C798" s="2" t="s">
        <v>2392</v>
      </c>
      <c r="D798" s="2" t="s">
        <v>10041</v>
      </c>
      <c r="E798" s="15">
        <v>-0.13139999999999999</v>
      </c>
      <c r="F798" s="15">
        <v>0.1057</v>
      </c>
      <c r="G798" s="15">
        <v>0.2137</v>
      </c>
      <c r="H798" s="15">
        <v>0.1191</v>
      </c>
      <c r="I798" s="15">
        <v>4.8399999999999999E-2</v>
      </c>
      <c r="J798" s="15">
        <v>2.460743801652892</v>
      </c>
    </row>
    <row r="799" spans="1:10" x14ac:dyDescent="0.25">
      <c r="A799" s="2" t="s">
        <v>2393</v>
      </c>
      <c r="B799" s="2" t="s">
        <v>2394</v>
      </c>
      <c r="C799" s="2" t="s">
        <v>2395</v>
      </c>
      <c r="D799" s="2" t="s">
        <v>10041</v>
      </c>
      <c r="E799" s="15">
        <v>-0.373</v>
      </c>
      <c r="F799" s="15">
        <v>0.14480000000000001</v>
      </c>
      <c r="G799" s="15">
        <v>0.01</v>
      </c>
      <c r="H799" s="15">
        <v>7.4999999999999997E-2</v>
      </c>
      <c r="I799" s="15">
        <v>3.9699999999999999E-2</v>
      </c>
      <c r="J799" s="15">
        <v>1.8891687657430729</v>
      </c>
    </row>
    <row r="800" spans="1:10" x14ac:dyDescent="0.25">
      <c r="A800" s="2" t="s">
        <v>2396</v>
      </c>
      <c r="B800" s="2" t="s">
        <v>2397</v>
      </c>
      <c r="C800" s="2" t="s">
        <v>2398</v>
      </c>
      <c r="D800" s="2" t="s">
        <v>10041</v>
      </c>
      <c r="E800" s="15">
        <v>-5.1999999999999998E-2</v>
      </c>
      <c r="F800" s="15">
        <v>8.1500000000000003E-2</v>
      </c>
      <c r="G800" s="15">
        <v>0.52300000000000002</v>
      </c>
      <c r="H800" s="15">
        <v>0.2064</v>
      </c>
      <c r="I800" s="15">
        <v>5.3100000000000001E-2</v>
      </c>
      <c r="J800" s="15">
        <v>3.8870056497175138</v>
      </c>
    </row>
    <row r="801" spans="1:10" x14ac:dyDescent="0.25">
      <c r="A801" s="2" t="s">
        <v>2399</v>
      </c>
      <c r="B801" s="2" t="s">
        <v>2400</v>
      </c>
      <c r="C801" s="2" t="s">
        <v>2401</v>
      </c>
      <c r="D801" s="2" t="s">
        <v>10041</v>
      </c>
      <c r="E801" s="15">
        <v>-7.1900000000000006E-2</v>
      </c>
      <c r="F801" s="15">
        <v>7.4099999999999999E-2</v>
      </c>
      <c r="G801" s="15">
        <v>0.33160000000000001</v>
      </c>
      <c r="H801" s="15">
        <v>0.23619999999999999</v>
      </c>
      <c r="I801" s="15">
        <v>5.2999999999999999E-2</v>
      </c>
      <c r="J801" s="15">
        <v>4.4566037735849058</v>
      </c>
    </row>
    <row r="802" spans="1:10" x14ac:dyDescent="0.25">
      <c r="A802" s="2" t="s">
        <v>2402</v>
      </c>
      <c r="B802" s="2" t="s">
        <v>2403</v>
      </c>
      <c r="C802" s="2" t="s">
        <v>2404</v>
      </c>
      <c r="D802" s="2" t="s">
        <v>10041</v>
      </c>
      <c r="E802" s="15">
        <v>-4.8099999999999997E-2</v>
      </c>
      <c r="F802" s="15">
        <v>7.4099999999999999E-2</v>
      </c>
      <c r="G802" s="15">
        <v>0.51629999999999998</v>
      </c>
      <c r="H802" s="15">
        <v>0.23330000000000001</v>
      </c>
      <c r="I802" s="15">
        <v>5.1400000000000001E-2</v>
      </c>
      <c r="J802" s="15">
        <v>4.5389105058365757</v>
      </c>
    </row>
    <row r="803" spans="1:10" x14ac:dyDescent="0.25">
      <c r="A803" s="2" t="s">
        <v>2405</v>
      </c>
      <c r="B803" s="2" t="s">
        <v>2406</v>
      </c>
      <c r="C803" s="2" t="s">
        <v>2407</v>
      </c>
      <c r="D803" s="2" t="s">
        <v>10041</v>
      </c>
      <c r="E803" s="15">
        <v>-1.83E-2</v>
      </c>
      <c r="F803" s="15">
        <v>6.93E-2</v>
      </c>
      <c r="G803" s="15">
        <v>0.79159999999999997</v>
      </c>
      <c r="H803" s="15">
        <v>0.24590000000000001</v>
      </c>
      <c r="I803" s="15">
        <v>5.33E-2</v>
      </c>
      <c r="J803" s="15">
        <v>4.6135084427767357</v>
      </c>
    </row>
    <row r="804" spans="1:10" x14ac:dyDescent="0.25">
      <c r="A804" s="2" t="s">
        <v>2408</v>
      </c>
      <c r="B804" s="2" t="s">
        <v>2409</v>
      </c>
      <c r="C804" s="2" t="s">
        <v>2410</v>
      </c>
      <c r="D804" s="2" t="s">
        <v>10041</v>
      </c>
      <c r="E804" s="15">
        <v>-6.1899999999999997E-2</v>
      </c>
      <c r="F804" s="15">
        <v>6.7799999999999999E-2</v>
      </c>
      <c r="G804" s="15">
        <v>0.36120000000000002</v>
      </c>
      <c r="H804" s="15">
        <v>0.24149999999999999</v>
      </c>
      <c r="I804" s="15">
        <v>4.6399999999999997E-2</v>
      </c>
      <c r="J804" s="15">
        <v>5.2047413793103452</v>
      </c>
    </row>
    <row r="805" spans="1:10" x14ac:dyDescent="0.25">
      <c r="A805" s="2" t="s">
        <v>2411</v>
      </c>
      <c r="B805" s="2" t="s">
        <v>2412</v>
      </c>
      <c r="C805" s="2" t="s">
        <v>2413</v>
      </c>
      <c r="D805" s="2" t="s">
        <v>10041</v>
      </c>
      <c r="E805" s="15">
        <v>-6.3600000000000004E-2</v>
      </c>
      <c r="F805" s="15">
        <v>8.1299999999999997E-2</v>
      </c>
      <c r="G805" s="15">
        <v>0.43419999999999997</v>
      </c>
      <c r="H805" s="15">
        <v>0.1706</v>
      </c>
      <c r="I805" s="15">
        <v>4.0800000000000003E-2</v>
      </c>
      <c r="J805" s="15">
        <v>4.1813725490196072</v>
      </c>
    </row>
    <row r="806" spans="1:10" x14ac:dyDescent="0.25">
      <c r="A806" s="2" t="s">
        <v>2414</v>
      </c>
      <c r="B806" s="2" t="s">
        <v>2415</v>
      </c>
      <c r="C806" s="2" t="s">
        <v>2416</v>
      </c>
      <c r="D806" s="2" t="s">
        <v>10041</v>
      </c>
      <c r="E806" s="15">
        <v>0.1013</v>
      </c>
      <c r="F806" s="15">
        <v>8.3299999999999999E-2</v>
      </c>
      <c r="G806" s="15">
        <v>0.22370000000000001</v>
      </c>
      <c r="H806" s="15">
        <v>0.18640000000000001</v>
      </c>
      <c r="I806" s="15">
        <v>4.2999999999999997E-2</v>
      </c>
      <c r="J806" s="15">
        <v>4.3348837209302333</v>
      </c>
    </row>
    <row r="807" spans="1:10" x14ac:dyDescent="0.25">
      <c r="A807" s="2" t="s">
        <v>2417</v>
      </c>
      <c r="B807" s="2" t="s">
        <v>2418</v>
      </c>
      <c r="C807" s="2" t="s">
        <v>2419</v>
      </c>
      <c r="D807" s="2" t="s">
        <v>10041</v>
      </c>
      <c r="E807" s="15">
        <v>9.0700000000000003E-2</v>
      </c>
      <c r="F807" s="15">
        <v>6.3299999999999995E-2</v>
      </c>
      <c r="G807" s="15">
        <v>0.15210000000000001</v>
      </c>
      <c r="H807" s="15">
        <v>0.27879999999999999</v>
      </c>
      <c r="I807" s="15">
        <v>5.5300000000000002E-2</v>
      </c>
      <c r="J807" s="15">
        <v>5.0415913200723326</v>
      </c>
    </row>
    <row r="808" spans="1:10" x14ac:dyDescent="0.25">
      <c r="A808" s="2" t="s">
        <v>2420</v>
      </c>
      <c r="B808" s="2" t="s">
        <v>2421</v>
      </c>
      <c r="C808" s="2" t="s">
        <v>2422</v>
      </c>
      <c r="D808" s="2" t="s">
        <v>10041</v>
      </c>
      <c r="E808" s="15">
        <v>-2.7400000000000001E-2</v>
      </c>
      <c r="F808" s="15">
        <v>7.2400000000000006E-2</v>
      </c>
      <c r="G808" s="15">
        <v>0.70469999999999999</v>
      </c>
      <c r="H808" s="15">
        <v>0.2306</v>
      </c>
      <c r="I808" s="15">
        <v>4.8899999999999999E-2</v>
      </c>
      <c r="J808" s="15">
        <v>4.7157464212678937</v>
      </c>
    </row>
    <row r="809" spans="1:10" x14ac:dyDescent="0.25">
      <c r="A809" s="2" t="s">
        <v>2423</v>
      </c>
      <c r="B809" s="2" t="s">
        <v>2424</v>
      </c>
      <c r="C809" s="2" t="s">
        <v>2425</v>
      </c>
      <c r="D809" s="2" t="s">
        <v>10041</v>
      </c>
      <c r="E809" s="15">
        <v>-0.153</v>
      </c>
      <c r="F809" s="15">
        <v>8.2699999999999996E-2</v>
      </c>
      <c r="G809" s="15">
        <v>6.4399999999999999E-2</v>
      </c>
      <c r="H809" s="15">
        <v>0.1676</v>
      </c>
      <c r="I809" s="15">
        <v>4.19E-2</v>
      </c>
      <c r="J809" s="15">
        <v>4</v>
      </c>
    </row>
    <row r="810" spans="1:10" x14ac:dyDescent="0.25">
      <c r="A810" s="2" t="s">
        <v>2426</v>
      </c>
      <c r="B810" s="2" t="s">
        <v>2427</v>
      </c>
      <c r="C810" s="2" t="s">
        <v>2428</v>
      </c>
      <c r="D810" s="2" t="s">
        <v>10041</v>
      </c>
      <c r="E810" s="15">
        <v>0.13139999999999999</v>
      </c>
      <c r="F810" s="15">
        <v>9.2899999999999996E-2</v>
      </c>
      <c r="G810" s="15">
        <v>0.1573</v>
      </c>
      <c r="H810" s="15">
        <v>0.1535</v>
      </c>
      <c r="I810" s="15">
        <v>4.1799999999999997E-2</v>
      </c>
      <c r="J810" s="15">
        <v>3.6722488038277512</v>
      </c>
    </row>
    <row r="811" spans="1:10" x14ac:dyDescent="0.25">
      <c r="A811" s="2" t="s">
        <v>2429</v>
      </c>
      <c r="B811" s="2" t="s">
        <v>2430</v>
      </c>
      <c r="C811" s="2" t="s">
        <v>2431</v>
      </c>
      <c r="D811" s="2" t="s">
        <v>10041</v>
      </c>
      <c r="E811" s="15">
        <v>8.6400000000000005E-2</v>
      </c>
      <c r="F811" s="15">
        <v>8.4000000000000005E-2</v>
      </c>
      <c r="G811" s="15">
        <v>0.30399999999999999</v>
      </c>
      <c r="H811" s="15">
        <v>0.16619999999999999</v>
      </c>
      <c r="I811" s="15">
        <v>4.1599999999999998E-2</v>
      </c>
      <c r="J811" s="15">
        <v>3.995192307692307</v>
      </c>
    </row>
    <row r="812" spans="1:10" x14ac:dyDescent="0.25">
      <c r="A812" s="2" t="s">
        <v>2432</v>
      </c>
      <c r="B812" s="2" t="s">
        <v>2433</v>
      </c>
      <c r="C812" s="2" t="s">
        <v>2434</v>
      </c>
      <c r="D812" s="2" t="s">
        <v>10041</v>
      </c>
      <c r="E812" s="15">
        <v>1.2E-2</v>
      </c>
      <c r="F812" s="15">
        <v>8.6699999999999999E-2</v>
      </c>
      <c r="G812" s="15">
        <v>0.89019999999999999</v>
      </c>
      <c r="H812" s="15">
        <v>0.18479999999999999</v>
      </c>
      <c r="I812" s="15">
        <v>6.5799999999999997E-2</v>
      </c>
      <c r="J812" s="15">
        <v>2.808510638297872</v>
      </c>
    </row>
    <row r="813" spans="1:10" x14ac:dyDescent="0.25">
      <c r="A813" s="2" t="s">
        <v>2435</v>
      </c>
      <c r="B813" s="2" t="s">
        <v>2436</v>
      </c>
      <c r="C813" s="2" t="s">
        <v>2437</v>
      </c>
      <c r="D813" s="2" t="s">
        <v>10041</v>
      </c>
      <c r="E813" s="15">
        <v>-6.0499999999999998E-2</v>
      </c>
      <c r="F813" s="15">
        <v>8.1299999999999997E-2</v>
      </c>
      <c r="G813" s="15">
        <v>0.45660000000000001</v>
      </c>
      <c r="H813" s="15">
        <v>0.16389999999999999</v>
      </c>
      <c r="I813" s="15">
        <v>5.0099999999999999E-2</v>
      </c>
      <c r="J813" s="15">
        <v>3.2714570858283429</v>
      </c>
    </row>
    <row r="814" spans="1:10" x14ac:dyDescent="0.25">
      <c r="A814" s="2" t="s">
        <v>2438</v>
      </c>
      <c r="B814" s="2" t="s">
        <v>2439</v>
      </c>
      <c r="C814" s="2" t="s">
        <v>2440</v>
      </c>
      <c r="D814" s="2" t="s">
        <v>10041</v>
      </c>
      <c r="E814" s="15">
        <v>5.5599999999999997E-2</v>
      </c>
      <c r="F814" s="15">
        <v>7.1199999999999999E-2</v>
      </c>
      <c r="G814" s="15">
        <v>0.43490000000000001</v>
      </c>
      <c r="H814" s="15">
        <v>0.25469999999999998</v>
      </c>
      <c r="I814" s="15">
        <v>4.4200000000000003E-2</v>
      </c>
      <c r="J814" s="15">
        <v>5.7624434389140262</v>
      </c>
    </row>
    <row r="815" spans="1:10" x14ac:dyDescent="0.25">
      <c r="A815" s="2" t="s">
        <v>2441</v>
      </c>
      <c r="B815" s="2" t="s">
        <v>2442</v>
      </c>
      <c r="C815" s="2" t="s">
        <v>2443</v>
      </c>
      <c r="D815" s="2" t="s">
        <v>10041</v>
      </c>
      <c r="E815" s="15">
        <v>0.1104</v>
      </c>
      <c r="F815" s="15">
        <v>7.5300000000000006E-2</v>
      </c>
      <c r="G815" s="15">
        <v>0.14269999999999999</v>
      </c>
      <c r="H815" s="15">
        <v>0.19159999999999999</v>
      </c>
      <c r="I815" s="15">
        <v>4.2299999999999997E-2</v>
      </c>
      <c r="J815" s="15">
        <v>4.5295508274231677</v>
      </c>
    </row>
    <row r="816" spans="1:10" x14ac:dyDescent="0.25">
      <c r="A816" s="2" t="s">
        <v>2444</v>
      </c>
      <c r="B816" s="2" t="s">
        <v>2445</v>
      </c>
      <c r="C816" s="2" t="s">
        <v>2446</v>
      </c>
      <c r="D816" s="2" t="s">
        <v>10041</v>
      </c>
      <c r="E816" s="15">
        <v>-1.6400000000000001E-2</v>
      </c>
      <c r="F816" s="15">
        <v>8.5800000000000001E-2</v>
      </c>
      <c r="G816" s="15">
        <v>0.84830000000000005</v>
      </c>
      <c r="H816" s="15">
        <v>0.18659999999999999</v>
      </c>
      <c r="I816" s="15">
        <v>4.0899999999999999E-2</v>
      </c>
      <c r="J816" s="15">
        <v>4.5623471882640576</v>
      </c>
    </row>
    <row r="817" spans="1:10" x14ac:dyDescent="0.25">
      <c r="A817" s="2" t="s">
        <v>2447</v>
      </c>
      <c r="B817" s="2" t="s">
        <v>2448</v>
      </c>
      <c r="C817" s="2" t="s">
        <v>2449</v>
      </c>
      <c r="D817" s="2" t="s">
        <v>10041</v>
      </c>
      <c r="E817" s="15">
        <v>-0.14219999999999999</v>
      </c>
      <c r="F817" s="15">
        <v>8.6599999999999996E-2</v>
      </c>
      <c r="G817" s="15">
        <v>0.10050000000000001</v>
      </c>
      <c r="H817" s="15">
        <v>0.1845</v>
      </c>
      <c r="I817" s="15">
        <v>3.9800000000000002E-2</v>
      </c>
      <c r="J817" s="15">
        <v>4.6356783919597984</v>
      </c>
    </row>
    <row r="818" spans="1:10" x14ac:dyDescent="0.25">
      <c r="A818" s="2" t="s">
        <v>2450</v>
      </c>
      <c r="B818" s="2" t="s">
        <v>2451</v>
      </c>
      <c r="C818" s="2" t="s">
        <v>2452</v>
      </c>
      <c r="D818" s="2" t="s">
        <v>10041</v>
      </c>
      <c r="E818" s="15">
        <v>-5.5899999999999998E-2</v>
      </c>
      <c r="F818" s="15">
        <v>8.9300000000000004E-2</v>
      </c>
      <c r="G818" s="15">
        <v>0.53129999999999999</v>
      </c>
      <c r="H818" s="15">
        <v>0.1694</v>
      </c>
      <c r="I818" s="15">
        <v>4.0099999999999997E-2</v>
      </c>
      <c r="J818" s="15">
        <v>4.2244389027431426</v>
      </c>
    </row>
    <row r="819" spans="1:10" x14ac:dyDescent="0.25">
      <c r="A819" s="2" t="s">
        <v>2453</v>
      </c>
      <c r="B819" s="2" t="s">
        <v>2454</v>
      </c>
      <c r="C819" s="2" t="s">
        <v>2455</v>
      </c>
      <c r="D819" s="2" t="s">
        <v>10041</v>
      </c>
      <c r="E819" s="15">
        <v>-9.9900000000000003E-2</v>
      </c>
      <c r="F819" s="15">
        <v>8.8200000000000001E-2</v>
      </c>
      <c r="G819" s="15">
        <v>0.25700000000000001</v>
      </c>
      <c r="H819" s="15">
        <v>0.2079</v>
      </c>
      <c r="I819" s="15">
        <v>4.5499999999999999E-2</v>
      </c>
      <c r="J819" s="15">
        <v>4.569230769230769</v>
      </c>
    </row>
    <row r="820" spans="1:10" x14ac:dyDescent="0.25">
      <c r="A820" s="2" t="s">
        <v>2456</v>
      </c>
      <c r="B820" s="2" t="s">
        <v>2457</v>
      </c>
      <c r="C820" s="2" t="s">
        <v>2458</v>
      </c>
      <c r="D820" s="2" t="s">
        <v>10041</v>
      </c>
      <c r="E820" s="15">
        <v>-2.86E-2</v>
      </c>
      <c r="F820" s="15">
        <v>6.6799999999999998E-2</v>
      </c>
      <c r="G820" s="15">
        <v>0.66879999999999995</v>
      </c>
      <c r="H820" s="15">
        <v>0.23419999999999999</v>
      </c>
      <c r="I820" s="15">
        <v>4.4900000000000002E-2</v>
      </c>
      <c r="J820" s="15">
        <v>5.216035634743875</v>
      </c>
    </row>
    <row r="821" spans="1:10" x14ac:dyDescent="0.25">
      <c r="A821" s="2" t="s">
        <v>2459</v>
      </c>
      <c r="B821" s="2" t="s">
        <v>2460</v>
      </c>
      <c r="C821" s="2" t="s">
        <v>2461</v>
      </c>
      <c r="D821" s="2" t="s">
        <v>10041</v>
      </c>
      <c r="E821" s="15">
        <v>-9.4700000000000006E-2</v>
      </c>
      <c r="F821" s="15">
        <v>7.9500000000000001E-2</v>
      </c>
      <c r="G821" s="15">
        <v>0.2339</v>
      </c>
      <c r="H821" s="15">
        <v>0.19850000000000001</v>
      </c>
      <c r="I821" s="15">
        <v>4.4900000000000002E-2</v>
      </c>
      <c r="J821" s="15">
        <v>4.4209354120267257</v>
      </c>
    </row>
    <row r="822" spans="1:10" x14ac:dyDescent="0.25">
      <c r="A822" s="2" t="s">
        <v>2462</v>
      </c>
      <c r="B822" s="2" t="s">
        <v>2463</v>
      </c>
      <c r="C822" s="2" t="s">
        <v>2464</v>
      </c>
      <c r="D822" s="2" t="s">
        <v>10041</v>
      </c>
      <c r="E822" s="15">
        <v>2.1600000000000001E-2</v>
      </c>
      <c r="F822" s="15">
        <v>7.6600000000000001E-2</v>
      </c>
      <c r="G822" s="15">
        <v>0.77769999999999995</v>
      </c>
      <c r="H822" s="15">
        <v>0.20519999999999999</v>
      </c>
      <c r="I822" s="15">
        <v>4.2500000000000003E-2</v>
      </c>
      <c r="J822" s="15">
        <v>4.828235294117647</v>
      </c>
    </row>
    <row r="823" spans="1:10" x14ac:dyDescent="0.25">
      <c r="A823" s="2" t="s">
        <v>2465</v>
      </c>
      <c r="B823" s="2" t="s">
        <v>2466</v>
      </c>
      <c r="C823" s="2" t="s">
        <v>2467</v>
      </c>
      <c r="D823" s="2" t="s">
        <v>10041</v>
      </c>
      <c r="E823" s="15">
        <v>-0.15820000000000001</v>
      </c>
      <c r="F823" s="15">
        <v>8.7800000000000003E-2</v>
      </c>
      <c r="G823" s="15">
        <v>7.1400000000000005E-2</v>
      </c>
      <c r="H823" s="15">
        <v>0.16139999999999999</v>
      </c>
      <c r="I823" s="15">
        <v>3.95E-2</v>
      </c>
      <c r="J823" s="15">
        <v>4.0860759493670882</v>
      </c>
    </row>
    <row r="824" spans="1:10" x14ac:dyDescent="0.25">
      <c r="A824" s="2" t="s">
        <v>2468</v>
      </c>
      <c r="B824" s="2" t="s">
        <v>2469</v>
      </c>
      <c r="C824" s="2" t="s">
        <v>2470</v>
      </c>
      <c r="D824" s="2" t="s">
        <v>10041</v>
      </c>
      <c r="E824" s="15">
        <v>-0.13969999999999999</v>
      </c>
      <c r="F824" s="15">
        <v>7.5700000000000003E-2</v>
      </c>
      <c r="G824" s="15">
        <v>6.4799999999999996E-2</v>
      </c>
      <c r="H824" s="15">
        <v>0.21429999999999999</v>
      </c>
      <c r="I824" s="15">
        <v>4.0500000000000001E-2</v>
      </c>
      <c r="J824" s="15">
        <v>5.2913580246913572</v>
      </c>
    </row>
    <row r="825" spans="1:10" x14ac:dyDescent="0.25">
      <c r="A825" s="2" t="s">
        <v>2471</v>
      </c>
      <c r="B825" s="2" t="s">
        <v>2472</v>
      </c>
      <c r="C825" s="2" t="s">
        <v>2473</v>
      </c>
      <c r="D825" s="2" t="s">
        <v>10041</v>
      </c>
      <c r="E825" s="15">
        <v>-6.6100000000000006E-2</v>
      </c>
      <c r="F825" s="15">
        <v>0.1</v>
      </c>
      <c r="G825" s="15">
        <v>0.50890000000000002</v>
      </c>
      <c r="H825" s="15">
        <v>0.1368</v>
      </c>
      <c r="I825" s="15">
        <v>4.2000000000000003E-2</v>
      </c>
      <c r="J825" s="15">
        <v>3.2571428571428571</v>
      </c>
    </row>
    <row r="826" spans="1:10" x14ac:dyDescent="0.25">
      <c r="A826" s="2" t="s">
        <v>2474</v>
      </c>
      <c r="B826" s="2" t="s">
        <v>2475</v>
      </c>
      <c r="C826" s="2" t="s">
        <v>2476</v>
      </c>
      <c r="D826" s="2" t="s">
        <v>10041</v>
      </c>
      <c r="E826" s="15">
        <v>-3.3E-3</v>
      </c>
      <c r="F826" s="15">
        <v>7.5200000000000003E-2</v>
      </c>
      <c r="G826" s="15">
        <v>0.96509999999999996</v>
      </c>
      <c r="H826" s="15">
        <v>0.2142</v>
      </c>
      <c r="I826" s="15">
        <v>4.6300000000000001E-2</v>
      </c>
      <c r="J826" s="15">
        <v>4.6263498920086397</v>
      </c>
    </row>
    <row r="827" spans="1:10" x14ac:dyDescent="0.25">
      <c r="A827" s="2" t="s">
        <v>2477</v>
      </c>
      <c r="B827" s="2" t="s">
        <v>2478</v>
      </c>
      <c r="C827" s="2" t="s">
        <v>2479</v>
      </c>
      <c r="D827" s="2" t="s">
        <v>10041</v>
      </c>
      <c r="E827" s="15">
        <v>-5.3999999999999999E-2</v>
      </c>
      <c r="F827" s="15">
        <v>9.11E-2</v>
      </c>
      <c r="G827" s="15">
        <v>0.55330000000000001</v>
      </c>
      <c r="H827" s="15">
        <v>0.1492</v>
      </c>
      <c r="I827" s="15">
        <v>3.9800000000000002E-2</v>
      </c>
      <c r="J827" s="15">
        <v>3.748743718592964</v>
      </c>
    </row>
    <row r="828" spans="1:10" x14ac:dyDescent="0.25">
      <c r="A828" s="2" t="s">
        <v>2480</v>
      </c>
      <c r="B828" s="2" t="s">
        <v>2481</v>
      </c>
      <c r="C828" s="2" t="s">
        <v>2482</v>
      </c>
      <c r="D828" s="2" t="s">
        <v>10041</v>
      </c>
      <c r="E828" s="15">
        <v>-0.01</v>
      </c>
      <c r="F828" s="15">
        <v>7.2499999999999995E-2</v>
      </c>
      <c r="G828" s="15">
        <v>0.88990000000000002</v>
      </c>
      <c r="H828" s="15">
        <v>0.2223</v>
      </c>
      <c r="I828" s="15">
        <v>4.1700000000000001E-2</v>
      </c>
      <c r="J828" s="15">
        <v>5.3309352517985609</v>
      </c>
    </row>
    <row r="829" spans="1:10" x14ac:dyDescent="0.25">
      <c r="A829" s="2" t="s">
        <v>2483</v>
      </c>
      <c r="B829" s="2" t="s">
        <v>2484</v>
      </c>
      <c r="C829" s="2" t="s">
        <v>2485</v>
      </c>
      <c r="D829" s="2" t="s">
        <v>10041</v>
      </c>
      <c r="E829" s="15">
        <v>-1.5E-3</v>
      </c>
      <c r="F829" s="15">
        <v>7.5600000000000001E-2</v>
      </c>
      <c r="G829" s="15">
        <v>0.98450000000000004</v>
      </c>
      <c r="H829" s="15">
        <v>0.22750000000000001</v>
      </c>
      <c r="I829" s="15">
        <v>4.1799999999999997E-2</v>
      </c>
      <c r="J829" s="15">
        <v>5.4425837320574173</v>
      </c>
    </row>
    <row r="830" spans="1:10" x14ac:dyDescent="0.25">
      <c r="A830" s="2" t="s">
        <v>2486</v>
      </c>
      <c r="B830" s="2" t="s">
        <v>2487</v>
      </c>
      <c r="C830" s="2" t="s">
        <v>2488</v>
      </c>
      <c r="D830" s="2" t="s">
        <v>10041</v>
      </c>
      <c r="E830" s="15">
        <v>0.10440000000000001</v>
      </c>
      <c r="F830" s="15">
        <v>5.8200000000000002E-2</v>
      </c>
      <c r="G830" s="15">
        <v>7.2999999999999995E-2</v>
      </c>
      <c r="H830" s="15">
        <v>0.31140000000000001</v>
      </c>
      <c r="I830" s="15">
        <v>5.1200000000000002E-2</v>
      </c>
      <c r="J830" s="15">
        <v>6.08203125</v>
      </c>
    </row>
    <row r="831" spans="1:10" x14ac:dyDescent="0.25">
      <c r="A831" s="2" t="s">
        <v>2489</v>
      </c>
      <c r="B831" s="2" t="s">
        <v>2490</v>
      </c>
      <c r="C831" s="2" t="s">
        <v>2491</v>
      </c>
      <c r="D831" s="2" t="s">
        <v>10041</v>
      </c>
      <c r="E831" s="15">
        <v>-0.17080000000000001</v>
      </c>
      <c r="F831" s="15">
        <v>0.10059999999999999</v>
      </c>
      <c r="G831" s="15">
        <v>8.9499999999999996E-2</v>
      </c>
      <c r="H831" s="15">
        <v>0.13089999999999999</v>
      </c>
      <c r="I831" s="15">
        <v>4.19E-2</v>
      </c>
      <c r="J831" s="15">
        <v>3.1241050119331741</v>
      </c>
    </row>
    <row r="832" spans="1:10" x14ac:dyDescent="0.25">
      <c r="A832" s="2" t="s">
        <v>2492</v>
      </c>
      <c r="B832" s="2" t="s">
        <v>2493</v>
      </c>
      <c r="C832" s="2" t="s">
        <v>2494</v>
      </c>
      <c r="D832" s="2" t="s">
        <v>10041</v>
      </c>
      <c r="E832" s="15">
        <v>-5.67E-2</v>
      </c>
      <c r="F832" s="15">
        <v>8.8700000000000001E-2</v>
      </c>
      <c r="G832" s="15">
        <v>0.52280000000000004</v>
      </c>
      <c r="H832" s="15">
        <v>0.20849999999999999</v>
      </c>
      <c r="I832" s="15">
        <v>5.5199999999999999E-2</v>
      </c>
      <c r="J832" s="15">
        <v>3.777173913043478</v>
      </c>
    </row>
    <row r="833" spans="1:10" x14ac:dyDescent="0.25">
      <c r="A833" s="2" t="s">
        <v>2495</v>
      </c>
      <c r="B833" s="2" t="s">
        <v>2496</v>
      </c>
      <c r="C833" s="2" t="s">
        <v>2497</v>
      </c>
      <c r="D833" s="2" t="s">
        <v>10041</v>
      </c>
      <c r="E833" s="15">
        <v>-2.2200000000000001E-2</v>
      </c>
      <c r="F833" s="15">
        <v>7.0900000000000005E-2</v>
      </c>
      <c r="G833" s="15">
        <v>0.75429999999999997</v>
      </c>
      <c r="H833" s="15">
        <v>0.21959999999999999</v>
      </c>
      <c r="I833" s="15">
        <v>4.82E-2</v>
      </c>
      <c r="J833" s="15">
        <v>4.5560165975103732</v>
      </c>
    </row>
    <row r="834" spans="1:10" x14ac:dyDescent="0.25">
      <c r="A834" s="2" t="s">
        <v>2498</v>
      </c>
      <c r="B834" s="2" t="s">
        <v>2499</v>
      </c>
      <c r="C834" s="2" t="s">
        <v>2500</v>
      </c>
      <c r="D834" s="2" t="s">
        <v>10041</v>
      </c>
      <c r="E834" s="15">
        <v>-0.1235</v>
      </c>
      <c r="F834" s="15">
        <v>7.6499999999999999E-2</v>
      </c>
      <c r="G834" s="15">
        <v>0.10639999999999999</v>
      </c>
      <c r="H834" s="15">
        <v>0.2354</v>
      </c>
      <c r="I834" s="15">
        <v>4.4299999999999999E-2</v>
      </c>
      <c r="J834" s="15">
        <v>5.3137697516930027</v>
      </c>
    </row>
    <row r="835" spans="1:10" x14ac:dyDescent="0.25">
      <c r="A835" s="2" t="s">
        <v>2501</v>
      </c>
      <c r="B835" s="2" t="s">
        <v>2502</v>
      </c>
      <c r="C835" s="2" t="s">
        <v>2503</v>
      </c>
      <c r="D835" s="2" t="s">
        <v>10041</v>
      </c>
      <c r="E835" s="15">
        <v>-1.84E-2</v>
      </c>
      <c r="F835" s="15">
        <v>8.2199999999999995E-2</v>
      </c>
      <c r="G835" s="15">
        <v>0.82269999999999999</v>
      </c>
      <c r="H835" s="15">
        <v>0.17979999999999999</v>
      </c>
      <c r="I835" s="15">
        <v>4.36E-2</v>
      </c>
      <c r="J835" s="15">
        <v>4.1238532110091741</v>
      </c>
    </row>
    <row r="836" spans="1:10" x14ac:dyDescent="0.25">
      <c r="A836" s="2" t="s">
        <v>2504</v>
      </c>
      <c r="B836" s="2" t="s">
        <v>2505</v>
      </c>
      <c r="C836" s="2" t="s">
        <v>2506</v>
      </c>
      <c r="D836" s="2" t="s">
        <v>10041</v>
      </c>
      <c r="E836" s="15">
        <v>-3.44E-2</v>
      </c>
      <c r="F836" s="15">
        <v>6.7199999999999996E-2</v>
      </c>
      <c r="G836" s="15">
        <v>0.60850000000000004</v>
      </c>
      <c r="H836" s="15">
        <v>0.25140000000000001</v>
      </c>
      <c r="I836" s="15">
        <v>4.5499999999999999E-2</v>
      </c>
      <c r="J836" s="15">
        <v>5.5252747252747261</v>
      </c>
    </row>
    <row r="837" spans="1:10" x14ac:dyDescent="0.25">
      <c r="A837" s="2" t="s">
        <v>2507</v>
      </c>
      <c r="B837" s="2" t="s">
        <v>2508</v>
      </c>
      <c r="C837" s="2" t="s">
        <v>2509</v>
      </c>
      <c r="D837" s="2" t="s">
        <v>10041</v>
      </c>
      <c r="E837" s="15">
        <v>-6.9900000000000004E-2</v>
      </c>
      <c r="F837" s="15">
        <v>6.6600000000000006E-2</v>
      </c>
      <c r="G837" s="15">
        <v>0.29409999999999997</v>
      </c>
      <c r="H837" s="15">
        <v>0.27360000000000001</v>
      </c>
      <c r="I837" s="15">
        <v>4.8899999999999999E-2</v>
      </c>
      <c r="J837" s="15">
        <v>5.5950920245398779</v>
      </c>
    </row>
    <row r="838" spans="1:10" x14ac:dyDescent="0.25">
      <c r="A838" s="2" t="s">
        <v>2510</v>
      </c>
      <c r="B838" s="2" t="s">
        <v>2511</v>
      </c>
      <c r="C838" s="2" t="s">
        <v>2512</v>
      </c>
      <c r="D838" s="2" t="s">
        <v>10041</v>
      </c>
      <c r="E838" s="15">
        <v>-0.1547</v>
      </c>
      <c r="F838" s="15">
        <v>7.7100000000000002E-2</v>
      </c>
      <c r="G838" s="15">
        <v>4.4699999999999997E-2</v>
      </c>
      <c r="H838" s="15">
        <v>0.18690000000000001</v>
      </c>
      <c r="I838" s="15">
        <v>4.1099999999999998E-2</v>
      </c>
      <c r="J838" s="15">
        <v>4.5474452554744529</v>
      </c>
    </row>
    <row r="839" spans="1:10" x14ac:dyDescent="0.25">
      <c r="A839" s="2" t="s">
        <v>2513</v>
      </c>
      <c r="B839" s="2" t="s">
        <v>2514</v>
      </c>
      <c r="C839" s="2" t="s">
        <v>2515</v>
      </c>
      <c r="D839" s="2" t="s">
        <v>10041</v>
      </c>
      <c r="E839" s="15">
        <v>-7.0800000000000002E-2</v>
      </c>
      <c r="F839" s="15">
        <v>6.4299999999999996E-2</v>
      </c>
      <c r="G839" s="15">
        <v>0.27100000000000002</v>
      </c>
      <c r="H839" s="15">
        <v>0.29759999999999998</v>
      </c>
      <c r="I839" s="15">
        <v>7.3400000000000007E-2</v>
      </c>
      <c r="J839" s="15">
        <v>4.054495912806539</v>
      </c>
    </row>
    <row r="840" spans="1:10" x14ac:dyDescent="0.25">
      <c r="A840" s="2" t="s">
        <v>2516</v>
      </c>
      <c r="B840" s="2" t="s">
        <v>2517</v>
      </c>
      <c r="C840" s="2" t="s">
        <v>2518</v>
      </c>
      <c r="D840" s="2" t="s">
        <v>10041</v>
      </c>
      <c r="E840" s="15">
        <v>-0.22109999999999999</v>
      </c>
      <c r="F840" s="15">
        <v>9.6500000000000002E-2</v>
      </c>
      <c r="G840" s="15">
        <v>2.1999999999999999E-2</v>
      </c>
      <c r="H840" s="15">
        <v>0.1386</v>
      </c>
      <c r="I840" s="15">
        <v>4.2900000000000001E-2</v>
      </c>
      <c r="J840" s="15">
        <v>3.2307692307692308</v>
      </c>
    </row>
    <row r="841" spans="1:10" x14ac:dyDescent="0.25">
      <c r="A841" s="2" t="s">
        <v>2519</v>
      </c>
      <c r="B841" s="2" t="s">
        <v>2520</v>
      </c>
      <c r="C841" s="2" t="s">
        <v>2521</v>
      </c>
      <c r="D841" s="2" t="s">
        <v>10041</v>
      </c>
      <c r="E841" s="15">
        <v>-1.7999999999999999E-2</v>
      </c>
      <c r="F841" s="15">
        <v>7.8399999999999997E-2</v>
      </c>
      <c r="G841" s="15">
        <v>0.81879999999999997</v>
      </c>
      <c r="H841" s="15">
        <v>0.2162</v>
      </c>
      <c r="I841" s="15">
        <v>4.4900000000000002E-2</v>
      </c>
      <c r="J841" s="15">
        <v>4.815144766146993</v>
      </c>
    </row>
    <row r="842" spans="1:10" x14ac:dyDescent="0.25">
      <c r="A842" s="2" t="s">
        <v>2522</v>
      </c>
      <c r="B842" s="2" t="s">
        <v>2523</v>
      </c>
      <c r="C842" s="2" t="s">
        <v>2524</v>
      </c>
      <c r="D842" s="2" t="s">
        <v>10041</v>
      </c>
      <c r="E842" s="15">
        <v>4.2700000000000002E-2</v>
      </c>
      <c r="F842" s="15">
        <v>7.2800000000000004E-2</v>
      </c>
      <c r="G842" s="15">
        <v>0.55720000000000003</v>
      </c>
      <c r="H842" s="15">
        <v>0.21110000000000001</v>
      </c>
      <c r="I842" s="15">
        <v>4.1200000000000001E-2</v>
      </c>
      <c r="J842" s="15">
        <v>5.1237864077669908</v>
      </c>
    </row>
    <row r="843" spans="1:10" x14ac:dyDescent="0.25">
      <c r="A843" s="2" t="s">
        <v>2525</v>
      </c>
      <c r="B843" s="2" t="s">
        <v>2526</v>
      </c>
      <c r="C843" s="2" t="s">
        <v>2527</v>
      </c>
      <c r="D843" s="2" t="s">
        <v>10041</v>
      </c>
      <c r="E843" s="15">
        <v>-3.9399999999999998E-2</v>
      </c>
      <c r="F843" s="15">
        <v>0.1135</v>
      </c>
      <c r="G843" s="15">
        <v>0.72840000000000005</v>
      </c>
      <c r="H843" s="15">
        <v>8.6099999999999996E-2</v>
      </c>
      <c r="I843" s="15">
        <v>4.3700000000000003E-2</v>
      </c>
      <c r="J843" s="15">
        <v>1.9702517162471389</v>
      </c>
    </row>
    <row r="844" spans="1:10" x14ac:dyDescent="0.25">
      <c r="A844" s="2" t="s">
        <v>2528</v>
      </c>
      <c r="B844" s="2" t="s">
        <v>2529</v>
      </c>
      <c r="C844" s="2" t="s">
        <v>2530</v>
      </c>
      <c r="D844" s="2" t="s">
        <v>10041</v>
      </c>
      <c r="E844" s="15">
        <v>7.0000000000000001E-3</v>
      </c>
      <c r="F844" s="15">
        <v>7.9000000000000001E-2</v>
      </c>
      <c r="G844" s="15">
        <v>0.92889999999999995</v>
      </c>
      <c r="H844" s="15">
        <v>0.1588</v>
      </c>
      <c r="I844" s="15">
        <v>5.0599999999999999E-2</v>
      </c>
      <c r="J844" s="15">
        <v>3.1383399209486171</v>
      </c>
    </row>
    <row r="845" spans="1:10" x14ac:dyDescent="0.25">
      <c r="A845" s="2" t="s">
        <v>2531</v>
      </c>
      <c r="B845" s="2" t="s">
        <v>2532</v>
      </c>
      <c r="C845" s="2" t="s">
        <v>2533</v>
      </c>
      <c r="D845" s="2" t="s">
        <v>10041</v>
      </c>
      <c r="E845" s="15">
        <v>1.78E-2</v>
      </c>
      <c r="F845" s="15">
        <v>7.5200000000000003E-2</v>
      </c>
      <c r="G845" s="15">
        <v>0.81269999999999998</v>
      </c>
      <c r="H845" s="15">
        <v>0.2107</v>
      </c>
      <c r="I845" s="15">
        <v>4.7199999999999999E-2</v>
      </c>
      <c r="J845" s="15">
        <v>4.4639830508474576</v>
      </c>
    </row>
    <row r="846" spans="1:10" x14ac:dyDescent="0.25">
      <c r="A846" s="2" t="s">
        <v>2534</v>
      </c>
      <c r="B846" s="2" t="s">
        <v>2535</v>
      </c>
      <c r="C846" s="2" t="s">
        <v>2536</v>
      </c>
      <c r="D846" s="2" t="s">
        <v>10041</v>
      </c>
      <c r="E846" s="15">
        <v>4.6100000000000002E-2</v>
      </c>
      <c r="F846" s="15">
        <v>9.9500000000000005E-2</v>
      </c>
      <c r="G846" s="15">
        <v>0.64319999999999999</v>
      </c>
      <c r="H846" s="15">
        <v>0.1174</v>
      </c>
      <c r="I846" s="15">
        <v>4.2999999999999997E-2</v>
      </c>
      <c r="J846" s="15">
        <v>2.730232558139535</v>
      </c>
    </row>
    <row r="847" spans="1:10" x14ac:dyDescent="0.25">
      <c r="A847" s="2" t="s">
        <v>2537</v>
      </c>
      <c r="B847" s="2" t="s">
        <v>2538</v>
      </c>
      <c r="C847" s="2" t="s">
        <v>2539</v>
      </c>
      <c r="D847" s="2" t="s">
        <v>10041</v>
      </c>
      <c r="E847" s="15">
        <v>-9.7999999999999997E-3</v>
      </c>
      <c r="F847" s="15">
        <v>7.9699999999999993E-2</v>
      </c>
      <c r="G847" s="15">
        <v>0.90190000000000003</v>
      </c>
      <c r="H847" s="15">
        <v>0.19309999999999999</v>
      </c>
      <c r="I847" s="15">
        <v>4.7500000000000001E-2</v>
      </c>
      <c r="J847" s="15">
        <v>4.0652631578947362</v>
      </c>
    </row>
    <row r="848" spans="1:10" x14ac:dyDescent="0.25">
      <c r="A848" s="2" t="s">
        <v>2540</v>
      </c>
      <c r="B848" s="2" t="s">
        <v>2541</v>
      </c>
      <c r="C848" s="2" t="s">
        <v>2542</v>
      </c>
      <c r="D848" s="2" t="s">
        <v>10041</v>
      </c>
      <c r="E848" s="15">
        <v>-0.1671</v>
      </c>
      <c r="F848" s="15">
        <v>0.1079</v>
      </c>
      <c r="G848" s="15">
        <v>0.1216</v>
      </c>
      <c r="H848" s="15">
        <v>0.13250000000000001</v>
      </c>
      <c r="I848" s="15">
        <v>4.1200000000000001E-2</v>
      </c>
      <c r="J848" s="15">
        <v>3.2160194174757279</v>
      </c>
    </row>
    <row r="849" spans="1:10" x14ac:dyDescent="0.25">
      <c r="A849" s="2" t="s">
        <v>2543</v>
      </c>
      <c r="B849" s="2" t="s">
        <v>2544</v>
      </c>
      <c r="C849" s="2" t="s">
        <v>2545</v>
      </c>
      <c r="D849" s="2" t="s">
        <v>10041</v>
      </c>
      <c r="E849" s="15">
        <v>-9.5299999999999996E-2</v>
      </c>
      <c r="F849" s="15">
        <v>8.3299999999999999E-2</v>
      </c>
      <c r="G849" s="15">
        <v>0.25269999999999998</v>
      </c>
      <c r="H849" s="15">
        <v>0.1875</v>
      </c>
      <c r="I849" s="15">
        <v>3.9E-2</v>
      </c>
      <c r="J849" s="15">
        <v>4.8076923076923066</v>
      </c>
    </row>
    <row r="850" spans="1:10" x14ac:dyDescent="0.25">
      <c r="A850" s="2" t="s">
        <v>2546</v>
      </c>
      <c r="B850" s="2" t="s">
        <v>2547</v>
      </c>
      <c r="C850" s="2" t="s">
        <v>2548</v>
      </c>
      <c r="D850" s="2" t="s">
        <v>10041</v>
      </c>
      <c r="E850" s="15">
        <v>-5.2499999999999998E-2</v>
      </c>
      <c r="F850" s="15">
        <v>9.1800000000000007E-2</v>
      </c>
      <c r="G850" s="15">
        <v>0.5675</v>
      </c>
      <c r="H850" s="15">
        <v>0.2031</v>
      </c>
      <c r="I850" s="15">
        <v>4.2299999999999997E-2</v>
      </c>
      <c r="J850" s="15">
        <v>4.8014184397163122</v>
      </c>
    </row>
    <row r="851" spans="1:10" x14ac:dyDescent="0.25">
      <c r="A851" s="2" t="s">
        <v>2549</v>
      </c>
      <c r="B851" s="2" t="s">
        <v>2550</v>
      </c>
      <c r="C851" s="2" t="s">
        <v>2551</v>
      </c>
      <c r="D851" s="2" t="s">
        <v>10041</v>
      </c>
      <c r="E851" s="15">
        <v>-8.4099999999999994E-2</v>
      </c>
      <c r="F851" s="15">
        <v>7.0800000000000002E-2</v>
      </c>
      <c r="G851" s="15">
        <v>0.23499999999999999</v>
      </c>
      <c r="H851" s="15">
        <v>0.2356</v>
      </c>
      <c r="I851" s="15">
        <v>4.2099999999999999E-2</v>
      </c>
      <c r="J851" s="15">
        <v>5.5961995249406176</v>
      </c>
    </row>
    <row r="852" spans="1:10" x14ac:dyDescent="0.25">
      <c r="A852" s="2" t="s">
        <v>2552</v>
      </c>
      <c r="B852" s="2" t="s">
        <v>2553</v>
      </c>
      <c r="C852" s="2" t="s">
        <v>2554</v>
      </c>
      <c r="D852" s="2" t="s">
        <v>10041</v>
      </c>
      <c r="E852" s="15">
        <v>-8.7800000000000003E-2</v>
      </c>
      <c r="F852" s="15">
        <v>9.5399999999999999E-2</v>
      </c>
      <c r="G852" s="15">
        <v>0.3574</v>
      </c>
      <c r="H852" s="15">
        <v>0.1527</v>
      </c>
      <c r="I852" s="15">
        <v>4.1399999999999999E-2</v>
      </c>
      <c r="J852" s="15">
        <v>3.6884057971014488</v>
      </c>
    </row>
    <row r="853" spans="1:10" x14ac:dyDescent="0.25">
      <c r="A853" s="2" t="s">
        <v>2555</v>
      </c>
      <c r="B853" s="2" t="s">
        <v>2556</v>
      </c>
      <c r="C853" s="2" t="s">
        <v>2557</v>
      </c>
      <c r="D853" s="2" t="s">
        <v>10041</v>
      </c>
      <c r="E853" s="15">
        <v>1.4E-2</v>
      </c>
      <c r="F853" s="15">
        <v>7.9600000000000004E-2</v>
      </c>
      <c r="G853" s="15">
        <v>0.86050000000000004</v>
      </c>
      <c r="H853" s="15">
        <v>0.1867</v>
      </c>
      <c r="I853" s="15">
        <v>4.48E-2</v>
      </c>
      <c r="J853" s="15">
        <v>4.1674107142857144</v>
      </c>
    </row>
    <row r="854" spans="1:10" x14ac:dyDescent="0.25">
      <c r="A854" s="2" t="s">
        <v>2558</v>
      </c>
      <c r="B854" s="2" t="s">
        <v>2559</v>
      </c>
      <c r="C854" s="2" t="s">
        <v>2560</v>
      </c>
      <c r="D854" s="2" t="s">
        <v>10041</v>
      </c>
      <c r="E854" s="15">
        <v>-0.2006</v>
      </c>
      <c r="F854" s="15">
        <v>0.1076</v>
      </c>
      <c r="G854" s="15">
        <v>6.2399999999999997E-2</v>
      </c>
      <c r="H854" s="15">
        <v>0.1207</v>
      </c>
      <c r="I854" s="15">
        <v>4.3099999999999999E-2</v>
      </c>
      <c r="J854" s="15">
        <v>2.8004640371229699</v>
      </c>
    </row>
    <row r="855" spans="1:10" x14ac:dyDescent="0.25">
      <c r="A855" s="2" t="s">
        <v>2561</v>
      </c>
      <c r="B855" s="2" t="s">
        <v>2562</v>
      </c>
      <c r="C855" s="2" t="s">
        <v>2563</v>
      </c>
      <c r="D855" s="2" t="s">
        <v>10041</v>
      </c>
      <c r="E855" s="15">
        <v>-0.22389999999999999</v>
      </c>
      <c r="F855" s="15">
        <v>7.3700000000000002E-2</v>
      </c>
      <c r="G855" s="15">
        <v>2.3999999999999998E-3</v>
      </c>
      <c r="H855" s="15">
        <v>0.24679999999999999</v>
      </c>
      <c r="I855" s="15">
        <v>4.6100000000000002E-2</v>
      </c>
      <c r="J855" s="15">
        <v>5.3535791757049891</v>
      </c>
    </row>
    <row r="856" spans="1:10" x14ac:dyDescent="0.25">
      <c r="A856" s="2" t="s">
        <v>2564</v>
      </c>
      <c r="B856" s="2" t="s">
        <v>2565</v>
      </c>
      <c r="C856" s="2" t="s">
        <v>2566</v>
      </c>
      <c r="D856" s="2" t="s">
        <v>10041</v>
      </c>
      <c r="E856" s="15">
        <v>-0.1077</v>
      </c>
      <c r="F856" s="15">
        <v>8.7300000000000003E-2</v>
      </c>
      <c r="G856" s="15">
        <v>0.21740000000000001</v>
      </c>
      <c r="H856" s="15">
        <v>0.1638</v>
      </c>
      <c r="I856" s="15">
        <v>4.1799999999999997E-2</v>
      </c>
      <c r="J856" s="15">
        <v>3.9186602870813401</v>
      </c>
    </row>
    <row r="857" spans="1:10" x14ac:dyDescent="0.25">
      <c r="A857" s="2" t="s">
        <v>2567</v>
      </c>
      <c r="B857" s="2" t="s">
        <v>2568</v>
      </c>
      <c r="C857" s="2" t="s">
        <v>2569</v>
      </c>
      <c r="D857" s="2" t="s">
        <v>10041</v>
      </c>
      <c r="E857" s="15">
        <v>-9.1000000000000004E-3</v>
      </c>
      <c r="F857" s="15">
        <v>7.3599999999999999E-2</v>
      </c>
      <c r="G857" s="15">
        <v>0.90210000000000001</v>
      </c>
      <c r="H857" s="15">
        <v>0.21790000000000001</v>
      </c>
      <c r="I857" s="15">
        <v>5.11E-2</v>
      </c>
      <c r="J857" s="15">
        <v>4.2641878669275934</v>
      </c>
    </row>
    <row r="858" spans="1:10" x14ac:dyDescent="0.25">
      <c r="A858" s="2" t="s">
        <v>2570</v>
      </c>
      <c r="B858" s="2" t="s">
        <v>2571</v>
      </c>
      <c r="C858" s="2" t="s">
        <v>2572</v>
      </c>
      <c r="D858" s="2" t="s">
        <v>10041</v>
      </c>
      <c r="E858" s="15">
        <v>6.0699999999999997E-2</v>
      </c>
      <c r="F858" s="15">
        <v>8.0399999999999999E-2</v>
      </c>
      <c r="G858" s="15">
        <v>0.4506</v>
      </c>
      <c r="H858" s="15">
        <v>0.16639999999999999</v>
      </c>
      <c r="I858" s="15">
        <v>4.53E-2</v>
      </c>
      <c r="J858" s="15">
        <v>3.6732891832229582</v>
      </c>
    </row>
    <row r="859" spans="1:10" x14ac:dyDescent="0.25">
      <c r="A859" s="2" t="s">
        <v>2573</v>
      </c>
      <c r="B859" s="2" t="s">
        <v>2574</v>
      </c>
      <c r="C859" s="2" t="s">
        <v>2575</v>
      </c>
      <c r="D859" s="2" t="s">
        <v>10041</v>
      </c>
      <c r="E859" s="15">
        <v>-2.0299999999999999E-2</v>
      </c>
      <c r="F859" s="15">
        <v>9.5899999999999999E-2</v>
      </c>
      <c r="G859" s="15">
        <v>0.83230000000000004</v>
      </c>
      <c r="H859" s="15">
        <v>0.125</v>
      </c>
      <c r="I859" s="15">
        <v>4.02E-2</v>
      </c>
      <c r="J859" s="15">
        <v>3.1094527363184081</v>
      </c>
    </row>
    <row r="860" spans="1:10" x14ac:dyDescent="0.25">
      <c r="A860" s="2" t="s">
        <v>2576</v>
      </c>
      <c r="B860" s="2" t="s">
        <v>2577</v>
      </c>
      <c r="C860" s="2" t="s">
        <v>2578</v>
      </c>
      <c r="D860" s="2" t="s">
        <v>10041</v>
      </c>
      <c r="E860" s="15">
        <v>0.13850000000000001</v>
      </c>
      <c r="F860" s="15">
        <v>9.2299999999999993E-2</v>
      </c>
      <c r="G860" s="15">
        <v>0.13320000000000001</v>
      </c>
      <c r="H860" s="15">
        <v>0.16209999999999999</v>
      </c>
      <c r="I860" s="15">
        <v>4.2200000000000001E-2</v>
      </c>
      <c r="J860" s="15">
        <v>3.8412322274881512</v>
      </c>
    </row>
    <row r="861" spans="1:10" x14ac:dyDescent="0.25">
      <c r="A861" s="2" t="s">
        <v>2579</v>
      </c>
      <c r="B861" s="2" t="s">
        <v>2580</v>
      </c>
      <c r="C861" s="2" t="s">
        <v>2581</v>
      </c>
      <c r="D861" s="2" t="s">
        <v>10041</v>
      </c>
      <c r="E861" s="15">
        <v>0.11070000000000001</v>
      </c>
      <c r="F861" s="15">
        <v>6.3700000000000007E-2</v>
      </c>
      <c r="G861" s="15">
        <v>8.2299999999999998E-2</v>
      </c>
      <c r="H861" s="15">
        <v>0.2742</v>
      </c>
      <c r="I861" s="15">
        <v>5.74E-2</v>
      </c>
      <c r="J861" s="15">
        <v>4.7770034843205584</v>
      </c>
    </row>
    <row r="862" spans="1:10" x14ac:dyDescent="0.25">
      <c r="A862" s="2" t="s">
        <v>2582</v>
      </c>
      <c r="B862" s="2" t="s">
        <v>2583</v>
      </c>
      <c r="C862" s="2" t="s">
        <v>2584</v>
      </c>
      <c r="D862" s="2" t="s">
        <v>10041</v>
      </c>
      <c r="E862" s="15">
        <v>-0.21079999999999999</v>
      </c>
      <c r="F862" s="15">
        <v>9.8699999999999996E-2</v>
      </c>
      <c r="G862" s="15">
        <v>3.2800000000000003E-2</v>
      </c>
      <c r="H862" s="15">
        <v>0.1336</v>
      </c>
      <c r="I862" s="15">
        <v>4.4900000000000002E-2</v>
      </c>
      <c r="J862" s="15">
        <v>2.9755011135857461</v>
      </c>
    </row>
    <row r="863" spans="1:10" x14ac:dyDescent="0.25">
      <c r="A863" s="2" t="s">
        <v>2585</v>
      </c>
      <c r="B863" s="2" t="s">
        <v>2586</v>
      </c>
      <c r="C863" s="2" t="s">
        <v>2587</v>
      </c>
      <c r="D863" s="2" t="s">
        <v>10041</v>
      </c>
      <c r="E863" s="15">
        <v>-5.8900000000000001E-2</v>
      </c>
      <c r="F863" s="15">
        <v>8.1500000000000003E-2</v>
      </c>
      <c r="G863" s="15">
        <v>0.47010000000000002</v>
      </c>
      <c r="H863" s="15">
        <v>0.20699999999999999</v>
      </c>
      <c r="I863" s="15">
        <v>5.67E-2</v>
      </c>
      <c r="J863" s="15">
        <v>3.6507936507936511</v>
      </c>
    </row>
    <row r="864" spans="1:10" x14ac:dyDescent="0.25">
      <c r="A864" s="2" t="s">
        <v>2588</v>
      </c>
      <c r="B864" s="2" t="s">
        <v>2589</v>
      </c>
      <c r="C864" s="2" t="s">
        <v>2590</v>
      </c>
      <c r="D864" s="2" t="s">
        <v>10041</v>
      </c>
      <c r="E864" s="15">
        <v>-0.14319999999999999</v>
      </c>
      <c r="F864" s="15">
        <v>7.1300000000000002E-2</v>
      </c>
      <c r="G864" s="15">
        <v>4.4699999999999997E-2</v>
      </c>
      <c r="H864" s="15">
        <v>0.24440000000000001</v>
      </c>
      <c r="I864" s="15">
        <v>5.2600000000000001E-2</v>
      </c>
      <c r="J864" s="15">
        <v>4.6463878326996202</v>
      </c>
    </row>
    <row r="865" spans="1:10" x14ac:dyDescent="0.25">
      <c r="A865" s="2" t="s">
        <v>2591</v>
      </c>
      <c r="B865" s="2" t="s">
        <v>2592</v>
      </c>
      <c r="C865" s="2" t="s">
        <v>2593</v>
      </c>
      <c r="D865" s="2" t="s">
        <v>10041</v>
      </c>
      <c r="E865" s="15">
        <v>-0.17460000000000001</v>
      </c>
      <c r="F865" s="15">
        <v>8.2299999999999998E-2</v>
      </c>
      <c r="G865" s="15">
        <v>3.4000000000000002E-2</v>
      </c>
      <c r="H865" s="15">
        <v>0.19059999999999999</v>
      </c>
      <c r="I865" s="15">
        <v>4.4499999999999998E-2</v>
      </c>
      <c r="J865" s="15">
        <v>4.2831460674157302</v>
      </c>
    </row>
    <row r="866" spans="1:10" x14ac:dyDescent="0.25">
      <c r="A866" s="2" t="s">
        <v>2594</v>
      </c>
      <c r="B866" s="2" t="s">
        <v>2595</v>
      </c>
      <c r="C866" s="2" t="s">
        <v>2596</v>
      </c>
      <c r="D866" s="2" t="s">
        <v>10041</v>
      </c>
      <c r="E866" s="15">
        <v>-2.4400000000000002E-2</v>
      </c>
      <c r="F866" s="15">
        <v>0.13730000000000001</v>
      </c>
      <c r="G866" s="15">
        <v>0.85909999999999997</v>
      </c>
      <c r="H866" s="15">
        <v>5.4399999999999997E-2</v>
      </c>
      <c r="I866" s="15">
        <v>0.04</v>
      </c>
      <c r="J866" s="15">
        <v>1.36</v>
      </c>
    </row>
    <row r="867" spans="1:10" x14ac:dyDescent="0.25">
      <c r="A867" s="2" t="s">
        <v>2597</v>
      </c>
      <c r="B867" s="2" t="s">
        <v>2598</v>
      </c>
      <c r="C867" s="2" t="s">
        <v>2599</v>
      </c>
      <c r="D867" s="2" t="s">
        <v>10041</v>
      </c>
      <c r="E867" s="15">
        <v>-9.1999999999999998E-2</v>
      </c>
      <c r="F867" s="15">
        <v>7.7899999999999997E-2</v>
      </c>
      <c r="G867" s="15">
        <v>0.23810000000000001</v>
      </c>
      <c r="H867" s="15">
        <v>0.21429999999999999</v>
      </c>
      <c r="I867" s="15">
        <v>4.3700000000000003E-2</v>
      </c>
      <c r="J867" s="15">
        <v>4.9038901601830656</v>
      </c>
    </row>
    <row r="868" spans="1:10" x14ac:dyDescent="0.25">
      <c r="A868" s="2" t="s">
        <v>2600</v>
      </c>
      <c r="B868" s="2" t="s">
        <v>2601</v>
      </c>
      <c r="C868" s="2" t="s">
        <v>2602</v>
      </c>
      <c r="D868" s="2" t="s">
        <v>10041</v>
      </c>
      <c r="E868" s="15">
        <v>-5.3100000000000001E-2</v>
      </c>
      <c r="F868" s="15">
        <v>7.1599999999999997E-2</v>
      </c>
      <c r="G868" s="15">
        <v>0.4577</v>
      </c>
      <c r="H868" s="15">
        <v>0.24229999999999999</v>
      </c>
      <c r="I868" s="15">
        <v>4.4200000000000003E-2</v>
      </c>
      <c r="J868" s="15">
        <v>5.481900452488687</v>
      </c>
    </row>
    <row r="869" spans="1:10" x14ac:dyDescent="0.25">
      <c r="A869" s="2" t="s">
        <v>2603</v>
      </c>
      <c r="B869" s="2" t="s">
        <v>2604</v>
      </c>
      <c r="C869" s="2" t="s">
        <v>2605</v>
      </c>
      <c r="D869" s="2" t="s">
        <v>10041</v>
      </c>
      <c r="E869" s="15">
        <v>-0.22450000000000001</v>
      </c>
      <c r="F869" s="15">
        <v>0.1036</v>
      </c>
      <c r="G869" s="15">
        <v>3.0300000000000001E-2</v>
      </c>
      <c r="H869" s="15">
        <v>0.13</v>
      </c>
      <c r="I869" s="15">
        <v>4.1599999999999998E-2</v>
      </c>
      <c r="J869" s="15">
        <v>3.125</v>
      </c>
    </row>
    <row r="870" spans="1:10" x14ac:dyDescent="0.25">
      <c r="A870" s="2" t="s">
        <v>2606</v>
      </c>
      <c r="B870" s="2" t="s">
        <v>2607</v>
      </c>
      <c r="C870" s="2" t="s">
        <v>2608</v>
      </c>
      <c r="D870" s="2" t="s">
        <v>10041</v>
      </c>
      <c r="E870" s="15">
        <v>3.9899999999999998E-2</v>
      </c>
      <c r="F870" s="15">
        <v>7.2300000000000003E-2</v>
      </c>
      <c r="G870" s="15">
        <v>0.58069999999999999</v>
      </c>
      <c r="H870" s="15">
        <v>0.2334</v>
      </c>
      <c r="I870" s="15">
        <v>5.5300000000000002E-2</v>
      </c>
      <c r="J870" s="15">
        <v>4.2206148282097651</v>
      </c>
    </row>
    <row r="871" spans="1:10" x14ac:dyDescent="0.25">
      <c r="A871" s="2" t="s">
        <v>2609</v>
      </c>
      <c r="B871" s="2" t="s">
        <v>2610</v>
      </c>
      <c r="C871" s="2" t="s">
        <v>2611</v>
      </c>
      <c r="D871" s="2" t="s">
        <v>10041</v>
      </c>
      <c r="E871" s="15">
        <v>-5.7299999999999997E-2</v>
      </c>
      <c r="F871" s="15">
        <v>8.0600000000000005E-2</v>
      </c>
      <c r="G871" s="15">
        <v>0.47710000000000002</v>
      </c>
      <c r="H871" s="15">
        <v>0.1532</v>
      </c>
      <c r="I871" s="15">
        <v>4.3700000000000003E-2</v>
      </c>
      <c r="J871" s="15">
        <v>3.5057208237986268</v>
      </c>
    </row>
    <row r="872" spans="1:10" x14ac:dyDescent="0.25">
      <c r="A872" s="2" t="s">
        <v>2612</v>
      </c>
      <c r="B872" s="2" t="s">
        <v>2613</v>
      </c>
      <c r="C872" s="2" t="s">
        <v>2614</v>
      </c>
      <c r="D872" s="2" t="s">
        <v>10041</v>
      </c>
      <c r="E872" s="15">
        <v>-5.2299999999999999E-2</v>
      </c>
      <c r="F872" s="15">
        <v>7.8700000000000006E-2</v>
      </c>
      <c r="G872" s="15">
        <v>0.50639999999999996</v>
      </c>
      <c r="H872" s="15">
        <v>0.19420000000000001</v>
      </c>
      <c r="I872" s="15">
        <v>4.0599999999999997E-2</v>
      </c>
      <c r="J872" s="15">
        <v>4.7832512315270943</v>
      </c>
    </row>
    <row r="873" spans="1:10" x14ac:dyDescent="0.25">
      <c r="A873" s="2" t="s">
        <v>2615</v>
      </c>
      <c r="B873" s="2" t="s">
        <v>2616</v>
      </c>
      <c r="C873" s="2" t="s">
        <v>2617</v>
      </c>
      <c r="D873" s="2" t="s">
        <v>10041</v>
      </c>
      <c r="E873" s="15">
        <v>-1.1599999999999999E-2</v>
      </c>
      <c r="F873" s="15">
        <v>6.3E-2</v>
      </c>
      <c r="G873" s="15">
        <v>0.85419999999999996</v>
      </c>
      <c r="H873" s="15">
        <v>0.25130000000000002</v>
      </c>
      <c r="I873" s="15">
        <v>4.24E-2</v>
      </c>
      <c r="J873" s="15">
        <v>5.926886792452831</v>
      </c>
    </row>
    <row r="874" spans="1:10" x14ac:dyDescent="0.25">
      <c r="A874" s="2" t="s">
        <v>2618</v>
      </c>
      <c r="B874" s="2" t="s">
        <v>2619</v>
      </c>
      <c r="C874" s="2" t="s">
        <v>2620</v>
      </c>
      <c r="D874" s="2" t="s">
        <v>10041</v>
      </c>
      <c r="E874" s="15">
        <v>-9.7699999999999995E-2</v>
      </c>
      <c r="F874" s="15">
        <v>9.35E-2</v>
      </c>
      <c r="G874" s="15">
        <v>0.29599999999999999</v>
      </c>
      <c r="H874" s="15">
        <v>0.14219999999999999</v>
      </c>
      <c r="I874" s="15">
        <v>3.6999999999999998E-2</v>
      </c>
      <c r="J874" s="15">
        <v>3.8432432432432431</v>
      </c>
    </row>
    <row r="875" spans="1:10" x14ac:dyDescent="0.25">
      <c r="A875" s="2" t="s">
        <v>2621</v>
      </c>
      <c r="B875" s="2" t="s">
        <v>2622</v>
      </c>
      <c r="C875" s="2" t="s">
        <v>2623</v>
      </c>
      <c r="D875" s="2" t="s">
        <v>10041</v>
      </c>
      <c r="E875" s="15">
        <v>-2.12E-2</v>
      </c>
      <c r="F875" s="15">
        <v>0.10340000000000001</v>
      </c>
      <c r="G875" s="15">
        <v>0.83750000000000002</v>
      </c>
      <c r="H875" s="15">
        <v>0.1069</v>
      </c>
      <c r="I875" s="15">
        <v>4.24E-2</v>
      </c>
      <c r="J875" s="15">
        <v>2.5212264150943389</v>
      </c>
    </row>
    <row r="876" spans="1:10" x14ac:dyDescent="0.25">
      <c r="A876" s="2" t="s">
        <v>2624</v>
      </c>
      <c r="B876" s="2" t="s">
        <v>2625</v>
      </c>
      <c r="C876" s="2" t="s">
        <v>2626</v>
      </c>
      <c r="D876" s="2" t="s">
        <v>10041</v>
      </c>
      <c r="E876" s="15">
        <v>3.1399999999999997E-2</v>
      </c>
      <c r="F876" s="15">
        <v>9.3299999999999994E-2</v>
      </c>
      <c r="G876" s="15">
        <v>0.73629999999999995</v>
      </c>
      <c r="H876" s="15">
        <v>0.15010000000000001</v>
      </c>
      <c r="I876" s="15">
        <v>3.9100000000000003E-2</v>
      </c>
      <c r="J876" s="15">
        <v>3.838874680306906</v>
      </c>
    </row>
    <row r="877" spans="1:10" x14ac:dyDescent="0.25">
      <c r="A877" s="2" t="s">
        <v>2627</v>
      </c>
      <c r="B877" s="2" t="s">
        <v>2628</v>
      </c>
      <c r="C877" s="2" t="s">
        <v>2629</v>
      </c>
      <c r="D877" s="2" t="s">
        <v>10041</v>
      </c>
      <c r="E877" s="15">
        <v>-1.8397999999999999E-5</v>
      </c>
      <c r="F877" s="15">
        <v>0.12920000000000001</v>
      </c>
      <c r="G877" s="15">
        <v>0.99990000000000001</v>
      </c>
      <c r="H877" s="15">
        <v>7.8E-2</v>
      </c>
      <c r="I877" s="15">
        <v>3.8800000000000001E-2</v>
      </c>
      <c r="J877" s="15">
        <v>2.010309278350515</v>
      </c>
    </row>
    <row r="878" spans="1:10" x14ac:dyDescent="0.25">
      <c r="A878" s="2" t="s">
        <v>2630</v>
      </c>
      <c r="B878" s="2" t="s">
        <v>2631</v>
      </c>
      <c r="C878" s="2" t="s">
        <v>2632</v>
      </c>
      <c r="D878" s="2" t="s">
        <v>10041</v>
      </c>
      <c r="E878" s="15">
        <v>-6.7000000000000004E-2</v>
      </c>
      <c r="F878" s="15">
        <v>9.1800000000000007E-2</v>
      </c>
      <c r="G878" s="15">
        <v>0.46550000000000002</v>
      </c>
      <c r="H878" s="15">
        <v>0.1615</v>
      </c>
      <c r="I878" s="15">
        <v>4.4699999999999997E-2</v>
      </c>
      <c r="J878" s="15">
        <v>3.6129753914988818</v>
      </c>
    </row>
    <row r="879" spans="1:10" x14ac:dyDescent="0.25">
      <c r="A879" s="2" t="s">
        <v>2633</v>
      </c>
      <c r="B879" s="2" t="s">
        <v>2634</v>
      </c>
      <c r="C879" s="2" t="s">
        <v>2635</v>
      </c>
      <c r="D879" s="2" t="s">
        <v>10041</v>
      </c>
      <c r="E879" s="15">
        <v>-7.0900000000000005E-2</v>
      </c>
      <c r="F879" s="15">
        <v>8.0600000000000005E-2</v>
      </c>
      <c r="G879" s="15">
        <v>0.37909999999999999</v>
      </c>
      <c r="H879" s="15">
        <v>0.1792</v>
      </c>
      <c r="I879" s="15">
        <v>4.4499999999999998E-2</v>
      </c>
      <c r="J879" s="15">
        <v>4.0269662921348317</v>
      </c>
    </row>
    <row r="880" spans="1:10" x14ac:dyDescent="0.25">
      <c r="A880" s="2" t="s">
        <v>2636</v>
      </c>
      <c r="B880" s="2" t="s">
        <v>2637</v>
      </c>
      <c r="C880" s="2" t="s">
        <v>2638</v>
      </c>
      <c r="D880" s="2" t="s">
        <v>10041</v>
      </c>
      <c r="E880" s="15">
        <v>4.8899999999999999E-2</v>
      </c>
      <c r="F880" s="15">
        <v>8.6199999999999999E-2</v>
      </c>
      <c r="G880" s="15">
        <v>0.57040000000000002</v>
      </c>
      <c r="H880" s="15">
        <v>0.158</v>
      </c>
      <c r="I880" s="15">
        <v>4.9599999999999998E-2</v>
      </c>
      <c r="J880" s="15">
        <v>3.185483870967742</v>
      </c>
    </row>
    <row r="881" spans="1:10" x14ac:dyDescent="0.25">
      <c r="A881" s="2" t="s">
        <v>2639</v>
      </c>
      <c r="B881" s="2" t="s">
        <v>2640</v>
      </c>
      <c r="C881" s="2" t="s">
        <v>2641</v>
      </c>
      <c r="D881" s="2" t="s">
        <v>10041</v>
      </c>
      <c r="E881" s="15">
        <v>-8.2199999999999995E-2</v>
      </c>
      <c r="F881" s="15">
        <v>0.1061</v>
      </c>
      <c r="G881" s="15">
        <v>0.43859999999999999</v>
      </c>
      <c r="H881" s="15">
        <v>0.1333</v>
      </c>
      <c r="I881" s="15">
        <v>4.1599999999999998E-2</v>
      </c>
      <c r="J881" s="15">
        <v>3.2043269230769229</v>
      </c>
    </row>
    <row r="882" spans="1:10" x14ac:dyDescent="0.25">
      <c r="A882" s="2" t="s">
        <v>2642</v>
      </c>
      <c r="B882" s="2" t="s">
        <v>2643</v>
      </c>
      <c r="C882" s="2" t="s">
        <v>2644</v>
      </c>
      <c r="D882" s="2" t="s">
        <v>10041</v>
      </c>
      <c r="E882" s="15">
        <v>-7.2700000000000001E-2</v>
      </c>
      <c r="F882" s="15">
        <v>9.8100000000000007E-2</v>
      </c>
      <c r="G882" s="15">
        <v>0.4587</v>
      </c>
      <c r="H882" s="15">
        <v>0.1976</v>
      </c>
      <c r="I882" s="15">
        <v>4.3499999999999997E-2</v>
      </c>
      <c r="J882" s="15">
        <v>4.5425287356321844</v>
      </c>
    </row>
    <row r="883" spans="1:10" x14ac:dyDescent="0.25">
      <c r="A883" s="2" t="s">
        <v>2645</v>
      </c>
      <c r="B883" s="2" t="s">
        <v>2646</v>
      </c>
      <c r="C883" s="2" t="s">
        <v>2647</v>
      </c>
      <c r="D883" s="2" t="s">
        <v>10041</v>
      </c>
      <c r="E883" s="15">
        <v>-1.1999999999999999E-3</v>
      </c>
      <c r="F883" s="15">
        <v>9.5699999999999993E-2</v>
      </c>
      <c r="G883" s="15">
        <v>0.99029999999999996</v>
      </c>
      <c r="H883" s="15">
        <v>0.13270000000000001</v>
      </c>
      <c r="I883" s="15">
        <v>4.1399999999999999E-2</v>
      </c>
      <c r="J883" s="15">
        <v>3.2053140096618362</v>
      </c>
    </row>
    <row r="884" spans="1:10" x14ac:dyDescent="0.25">
      <c r="A884" s="2" t="s">
        <v>2648</v>
      </c>
      <c r="B884" s="2" t="s">
        <v>2649</v>
      </c>
      <c r="C884" s="2" t="s">
        <v>2650</v>
      </c>
      <c r="D884" s="2" t="s">
        <v>10041</v>
      </c>
      <c r="E884" s="15">
        <v>4.9099999999999998E-2</v>
      </c>
      <c r="F884" s="15">
        <v>6.7199999999999996E-2</v>
      </c>
      <c r="G884" s="15">
        <v>0.46510000000000001</v>
      </c>
      <c r="H884" s="15">
        <v>0.23749999999999999</v>
      </c>
      <c r="I884" s="15">
        <v>4.5999999999999999E-2</v>
      </c>
      <c r="J884" s="15">
        <v>5.1630434782608692</v>
      </c>
    </row>
    <row r="885" spans="1:10" x14ac:dyDescent="0.25">
      <c r="A885" s="2" t="s">
        <v>2651</v>
      </c>
      <c r="B885" s="2" t="s">
        <v>2652</v>
      </c>
      <c r="C885" s="2" t="s">
        <v>2653</v>
      </c>
      <c r="D885" s="2" t="s">
        <v>10041</v>
      </c>
      <c r="E885" s="15">
        <v>-0.1172</v>
      </c>
      <c r="F885" s="15">
        <v>0.1069</v>
      </c>
      <c r="G885" s="15">
        <v>0.27279999999999999</v>
      </c>
      <c r="H885" s="15">
        <v>0.1051</v>
      </c>
      <c r="I885" s="15">
        <v>3.9300000000000002E-2</v>
      </c>
      <c r="J885" s="15">
        <v>2.674300254452926</v>
      </c>
    </row>
    <row r="886" spans="1:10" x14ac:dyDescent="0.25">
      <c r="A886" s="2" t="s">
        <v>2654</v>
      </c>
      <c r="B886" s="2" t="s">
        <v>2655</v>
      </c>
      <c r="C886" s="2" t="s">
        <v>2656</v>
      </c>
      <c r="D886" s="2" t="s">
        <v>10041</v>
      </c>
      <c r="E886" s="15">
        <v>-4.1399999999999999E-2</v>
      </c>
      <c r="F886" s="15">
        <v>9.9099999999999994E-2</v>
      </c>
      <c r="G886" s="15">
        <v>0.67630000000000001</v>
      </c>
      <c r="H886" s="15">
        <v>0.1046</v>
      </c>
      <c r="I886" s="15">
        <v>4.0099999999999997E-2</v>
      </c>
      <c r="J886" s="15">
        <v>2.608478802992519</v>
      </c>
    </row>
    <row r="887" spans="1:10" x14ac:dyDescent="0.25">
      <c r="A887" s="2" t="s">
        <v>2657</v>
      </c>
      <c r="B887" s="2" t="s">
        <v>2658</v>
      </c>
      <c r="C887" s="2" t="s">
        <v>2659</v>
      </c>
      <c r="D887" s="2" t="s">
        <v>10041</v>
      </c>
      <c r="E887" s="15">
        <v>1.83E-2</v>
      </c>
      <c r="F887" s="15">
        <v>9.4399999999999998E-2</v>
      </c>
      <c r="G887" s="15">
        <v>0.84660000000000002</v>
      </c>
      <c r="H887" s="15">
        <v>0.1381</v>
      </c>
      <c r="I887" s="15">
        <v>4.19E-2</v>
      </c>
      <c r="J887" s="15">
        <v>3.2959427207637231</v>
      </c>
    </row>
    <row r="888" spans="1:10" x14ac:dyDescent="0.25">
      <c r="A888" s="2" t="s">
        <v>2660</v>
      </c>
      <c r="B888" s="2" t="s">
        <v>2661</v>
      </c>
      <c r="C888" s="2" t="s">
        <v>2662</v>
      </c>
      <c r="D888" s="2" t="s">
        <v>10041</v>
      </c>
      <c r="E888" s="15">
        <v>-4.6300000000000001E-2</v>
      </c>
      <c r="F888" s="15">
        <v>6.9900000000000004E-2</v>
      </c>
      <c r="G888" s="15">
        <v>0.50729999999999997</v>
      </c>
      <c r="H888" s="15">
        <v>0.2157</v>
      </c>
      <c r="I888" s="15">
        <v>4.6199999999999998E-2</v>
      </c>
      <c r="J888" s="15">
        <v>4.6688311688311694</v>
      </c>
    </row>
    <row r="889" spans="1:10" x14ac:dyDescent="0.25">
      <c r="A889" s="2" t="s">
        <v>2663</v>
      </c>
      <c r="B889" s="2" t="s">
        <v>2664</v>
      </c>
      <c r="C889" s="2" t="s">
        <v>2665</v>
      </c>
      <c r="D889" s="2" t="s">
        <v>10041</v>
      </c>
      <c r="E889" s="15">
        <v>-3.8899999999999997E-2</v>
      </c>
      <c r="F889" s="15">
        <v>6.9099999999999995E-2</v>
      </c>
      <c r="G889" s="15">
        <v>0.57369999999999999</v>
      </c>
      <c r="H889" s="15">
        <v>0.24759999999999999</v>
      </c>
      <c r="I889" s="15">
        <v>6.6299999999999998E-2</v>
      </c>
      <c r="J889" s="15">
        <v>3.734539969834088</v>
      </c>
    </row>
    <row r="890" spans="1:10" x14ac:dyDescent="0.25">
      <c r="A890" s="2" t="s">
        <v>2666</v>
      </c>
      <c r="B890" s="2" t="s">
        <v>2667</v>
      </c>
      <c r="C890" s="2" t="s">
        <v>2668</v>
      </c>
      <c r="D890" s="2" t="s">
        <v>10041</v>
      </c>
      <c r="E890" s="15">
        <v>0.03</v>
      </c>
      <c r="F890" s="15">
        <v>0.1009</v>
      </c>
      <c r="G890" s="15">
        <v>0.76639999999999997</v>
      </c>
      <c r="H890" s="15">
        <v>0.1</v>
      </c>
      <c r="I890" s="15">
        <v>3.6600000000000001E-2</v>
      </c>
      <c r="J890" s="15">
        <v>2.7322404371584699</v>
      </c>
    </row>
    <row r="891" spans="1:10" x14ac:dyDescent="0.25">
      <c r="A891" s="2" t="s">
        <v>2669</v>
      </c>
      <c r="B891" s="2" t="s">
        <v>2670</v>
      </c>
      <c r="C891" s="2" t="s">
        <v>2671</v>
      </c>
      <c r="D891" s="2" t="s">
        <v>10041</v>
      </c>
      <c r="E891" s="15">
        <v>0.05</v>
      </c>
      <c r="F891" s="15">
        <v>0.1012</v>
      </c>
      <c r="G891" s="15">
        <v>0.62090000000000001</v>
      </c>
      <c r="H891" s="15">
        <v>0.1007</v>
      </c>
      <c r="I891" s="15">
        <v>3.8899999999999997E-2</v>
      </c>
      <c r="J891" s="15">
        <v>2.5886889460154241</v>
      </c>
    </row>
    <row r="892" spans="1:10" x14ac:dyDescent="0.25">
      <c r="A892" s="2" t="s">
        <v>2672</v>
      </c>
      <c r="B892" s="2" t="s">
        <v>2673</v>
      </c>
      <c r="C892" s="2" t="s">
        <v>2674</v>
      </c>
      <c r="D892" s="2" t="s">
        <v>10041</v>
      </c>
      <c r="E892" s="15">
        <v>-4.6100000000000002E-2</v>
      </c>
      <c r="F892" s="15">
        <v>7.4700000000000003E-2</v>
      </c>
      <c r="G892" s="15">
        <v>0.53710000000000002</v>
      </c>
      <c r="H892" s="15">
        <v>0.17519999999999999</v>
      </c>
      <c r="I892" s="15">
        <v>3.9899999999999998E-2</v>
      </c>
      <c r="J892" s="15">
        <v>4.3909774436090228</v>
      </c>
    </row>
    <row r="893" spans="1:10" x14ac:dyDescent="0.25">
      <c r="A893" s="2" t="s">
        <v>2675</v>
      </c>
      <c r="B893" s="2" t="s">
        <v>2676</v>
      </c>
      <c r="C893" s="2" t="s">
        <v>2677</v>
      </c>
      <c r="D893" s="2" t="s">
        <v>10041</v>
      </c>
      <c r="E893" s="15">
        <v>-6.2300000000000001E-2</v>
      </c>
      <c r="F893" s="15">
        <v>8.3500000000000005E-2</v>
      </c>
      <c r="G893" s="15">
        <v>0.45590000000000003</v>
      </c>
      <c r="H893" s="15">
        <v>0.18</v>
      </c>
      <c r="I893" s="15">
        <v>4.1599999999999998E-2</v>
      </c>
      <c r="J893" s="15">
        <v>4.3269230769230766</v>
      </c>
    </row>
    <row r="894" spans="1:10" x14ac:dyDescent="0.25">
      <c r="A894" s="2" t="s">
        <v>2678</v>
      </c>
      <c r="B894" s="2" t="s">
        <v>2679</v>
      </c>
      <c r="C894" s="2" t="s">
        <v>2680</v>
      </c>
      <c r="D894" s="2" t="s">
        <v>10041</v>
      </c>
      <c r="E894" s="15">
        <v>3.8100000000000002E-2</v>
      </c>
      <c r="F894" s="15">
        <v>8.3299999999999999E-2</v>
      </c>
      <c r="G894" s="15">
        <v>0.64710000000000001</v>
      </c>
      <c r="H894" s="15">
        <v>0.18679999999999999</v>
      </c>
      <c r="I894" s="15">
        <v>3.7499999999999999E-2</v>
      </c>
      <c r="J894" s="15">
        <v>4.9813333333333336</v>
      </c>
    </row>
    <row r="895" spans="1:10" x14ac:dyDescent="0.25">
      <c r="A895" s="2" t="s">
        <v>2681</v>
      </c>
      <c r="B895" s="2" t="s">
        <v>2682</v>
      </c>
      <c r="C895" s="2" t="s">
        <v>2683</v>
      </c>
      <c r="D895" s="2" t="s">
        <v>10041</v>
      </c>
      <c r="E895" s="15">
        <v>2.9899999999999999E-2</v>
      </c>
      <c r="F895" s="15">
        <v>8.5599999999999996E-2</v>
      </c>
      <c r="G895" s="15">
        <v>0.72709999999999997</v>
      </c>
      <c r="H895" s="15">
        <v>0.16320000000000001</v>
      </c>
      <c r="I895" s="15">
        <v>4.3099999999999999E-2</v>
      </c>
      <c r="J895" s="15">
        <v>3.786542923433875</v>
      </c>
    </row>
    <row r="896" spans="1:10" x14ac:dyDescent="0.25">
      <c r="A896" s="2" t="s">
        <v>2684</v>
      </c>
      <c r="B896" s="2" t="s">
        <v>2685</v>
      </c>
      <c r="C896" s="2" t="s">
        <v>2686</v>
      </c>
      <c r="D896" s="2" t="s">
        <v>10041</v>
      </c>
      <c r="E896" s="15">
        <v>4.2799999999999998E-2</v>
      </c>
      <c r="F896" s="15">
        <v>8.1299999999999997E-2</v>
      </c>
      <c r="G896" s="15">
        <v>0.59889999999999999</v>
      </c>
      <c r="H896" s="15">
        <v>0.1767</v>
      </c>
      <c r="I896" s="15">
        <v>4.07E-2</v>
      </c>
      <c r="J896" s="15">
        <v>4.3415233415233416</v>
      </c>
    </row>
    <row r="897" spans="1:10" x14ac:dyDescent="0.25">
      <c r="A897" s="2" t="s">
        <v>2687</v>
      </c>
      <c r="B897" s="2" t="s">
        <v>2688</v>
      </c>
      <c r="C897" s="2" t="s">
        <v>2689</v>
      </c>
      <c r="D897" s="2" t="s">
        <v>10041</v>
      </c>
      <c r="E897" s="15">
        <v>-4.41E-2</v>
      </c>
      <c r="F897" s="15">
        <v>6.83E-2</v>
      </c>
      <c r="G897" s="15">
        <v>0.51819999999999999</v>
      </c>
      <c r="H897" s="15">
        <v>0.24310000000000001</v>
      </c>
      <c r="I897" s="15">
        <v>4.1599999999999998E-2</v>
      </c>
      <c r="J897" s="15">
        <v>5.8437500000000009</v>
      </c>
    </row>
    <row r="898" spans="1:10" x14ac:dyDescent="0.25">
      <c r="A898" s="2" t="s">
        <v>2690</v>
      </c>
      <c r="B898" s="2" t="s">
        <v>2691</v>
      </c>
      <c r="C898" s="2" t="s">
        <v>2692</v>
      </c>
      <c r="D898" s="2" t="s">
        <v>10041</v>
      </c>
      <c r="E898" s="15">
        <v>-0.10970000000000001</v>
      </c>
      <c r="F898" s="15">
        <v>8.4599999999999995E-2</v>
      </c>
      <c r="G898" s="15">
        <v>0.1948</v>
      </c>
      <c r="H898" s="15">
        <v>0.18390000000000001</v>
      </c>
      <c r="I898" s="15">
        <v>4.1200000000000001E-2</v>
      </c>
      <c r="J898" s="15">
        <v>4.4635922330097086</v>
      </c>
    </row>
    <row r="899" spans="1:10" x14ac:dyDescent="0.25">
      <c r="A899" s="2" t="s">
        <v>2693</v>
      </c>
      <c r="B899" s="2" t="s">
        <v>2694</v>
      </c>
      <c r="C899" s="2" t="s">
        <v>2695</v>
      </c>
      <c r="D899" s="2" t="s">
        <v>10041</v>
      </c>
      <c r="E899" s="15">
        <v>-0.21190000000000001</v>
      </c>
      <c r="F899" s="15">
        <v>9.2299999999999993E-2</v>
      </c>
      <c r="G899" s="15">
        <v>2.1700000000000001E-2</v>
      </c>
      <c r="H899" s="15">
        <v>0.15379999999999999</v>
      </c>
      <c r="I899" s="15">
        <v>4.2799999999999998E-2</v>
      </c>
      <c r="J899" s="15">
        <v>3.593457943925233</v>
      </c>
    </row>
    <row r="900" spans="1:10" x14ac:dyDescent="0.25">
      <c r="A900" s="2" t="s">
        <v>2696</v>
      </c>
      <c r="B900" s="2" t="s">
        <v>2697</v>
      </c>
      <c r="C900" s="2" t="s">
        <v>2698</v>
      </c>
      <c r="D900" s="2" t="s">
        <v>10041</v>
      </c>
      <c r="E900" s="15">
        <v>-0.16289999999999999</v>
      </c>
      <c r="F900" s="15">
        <v>8.7800000000000003E-2</v>
      </c>
      <c r="G900" s="15">
        <v>6.3600000000000004E-2</v>
      </c>
      <c r="H900" s="15">
        <v>0.1487</v>
      </c>
      <c r="I900" s="15">
        <v>4.3099999999999999E-2</v>
      </c>
      <c r="J900" s="15">
        <v>3.4501160092807419</v>
      </c>
    </row>
    <row r="901" spans="1:10" x14ac:dyDescent="0.25">
      <c r="A901" s="2" t="s">
        <v>2699</v>
      </c>
      <c r="B901" s="2" t="s">
        <v>2700</v>
      </c>
      <c r="C901" s="2" t="s">
        <v>2701</v>
      </c>
      <c r="D901" s="2" t="s">
        <v>10041</v>
      </c>
      <c r="E901" s="15">
        <v>-0.14960000000000001</v>
      </c>
      <c r="F901" s="15">
        <v>9.2100000000000001E-2</v>
      </c>
      <c r="G901" s="15">
        <v>0.104</v>
      </c>
      <c r="H901" s="15">
        <v>0.13439999999999999</v>
      </c>
      <c r="I901" s="15">
        <v>4.3900000000000002E-2</v>
      </c>
      <c r="J901" s="15">
        <v>3.0615034168564921</v>
      </c>
    </row>
    <row r="902" spans="1:10" x14ac:dyDescent="0.25">
      <c r="A902" s="2" t="s">
        <v>2702</v>
      </c>
      <c r="B902" s="2" t="s">
        <v>2703</v>
      </c>
      <c r="C902" s="2" t="s">
        <v>2704</v>
      </c>
      <c r="D902" s="2" t="s">
        <v>10041</v>
      </c>
      <c r="E902" s="15">
        <v>-6.8999999999999999E-3</v>
      </c>
      <c r="F902" s="15">
        <v>6.9500000000000006E-2</v>
      </c>
      <c r="G902" s="15">
        <v>0.92069999999999996</v>
      </c>
      <c r="H902" s="15">
        <v>0.24279999999999999</v>
      </c>
      <c r="I902" s="15">
        <v>4.8899999999999999E-2</v>
      </c>
      <c r="J902" s="15">
        <v>4.9652351738241309</v>
      </c>
    </row>
    <row r="903" spans="1:10" x14ac:dyDescent="0.25">
      <c r="A903" s="2" t="s">
        <v>2705</v>
      </c>
      <c r="B903" s="2" t="s">
        <v>2706</v>
      </c>
      <c r="C903" s="2" t="s">
        <v>2707</v>
      </c>
      <c r="D903" s="2" t="s">
        <v>10041</v>
      </c>
      <c r="E903" s="15">
        <v>-0.14399999999999999</v>
      </c>
      <c r="F903" s="15">
        <v>7.9799999999999996E-2</v>
      </c>
      <c r="G903" s="15">
        <v>7.1300000000000002E-2</v>
      </c>
      <c r="H903" s="15">
        <v>0.20979999999999999</v>
      </c>
      <c r="I903" s="15">
        <v>4.1500000000000002E-2</v>
      </c>
      <c r="J903" s="15">
        <v>5.0554216867469872</v>
      </c>
    </row>
    <row r="904" spans="1:10" x14ac:dyDescent="0.25">
      <c r="A904" s="2" t="s">
        <v>2708</v>
      </c>
      <c r="B904" s="2" t="s">
        <v>2709</v>
      </c>
      <c r="C904" s="2" t="s">
        <v>2710</v>
      </c>
      <c r="D904" s="2" t="s">
        <v>10041</v>
      </c>
      <c r="E904" s="15">
        <v>-3.0700000000000002E-2</v>
      </c>
      <c r="F904" s="15">
        <v>0.1028</v>
      </c>
      <c r="G904" s="15">
        <v>0.76519999999999999</v>
      </c>
      <c r="H904" s="15">
        <v>0.10680000000000001</v>
      </c>
      <c r="I904" s="15">
        <v>3.6799999999999999E-2</v>
      </c>
      <c r="J904" s="15">
        <v>2.902173913043478</v>
      </c>
    </row>
    <row r="905" spans="1:10" x14ac:dyDescent="0.25">
      <c r="A905" s="2" t="s">
        <v>2711</v>
      </c>
      <c r="B905" s="2" t="s">
        <v>2712</v>
      </c>
      <c r="C905" s="2" t="s">
        <v>2713</v>
      </c>
      <c r="D905" s="2" t="s">
        <v>10041</v>
      </c>
      <c r="E905" s="15">
        <v>-0.2344</v>
      </c>
      <c r="F905" s="15">
        <v>0.63</v>
      </c>
      <c r="G905" s="15">
        <v>0.70979999999999999</v>
      </c>
      <c r="H905" s="15">
        <v>1.2500000000000001E-2</v>
      </c>
      <c r="I905" s="15">
        <v>3.6400000000000002E-2</v>
      </c>
      <c r="J905" s="15">
        <v>0.34340659340659341</v>
      </c>
    </row>
    <row r="906" spans="1:10" x14ac:dyDescent="0.25">
      <c r="A906" s="2" t="s">
        <v>2714</v>
      </c>
      <c r="B906" s="2" t="s">
        <v>2715</v>
      </c>
      <c r="C906" s="2" t="s">
        <v>2716</v>
      </c>
      <c r="D906" s="2" t="s">
        <v>10041</v>
      </c>
      <c r="E906" s="15">
        <v>4.48E-2</v>
      </c>
      <c r="F906" s="15">
        <v>9.01E-2</v>
      </c>
      <c r="G906" s="15">
        <v>0.61880000000000002</v>
      </c>
      <c r="H906" s="15">
        <v>0.156</v>
      </c>
      <c r="I906" s="15">
        <v>3.9600000000000003E-2</v>
      </c>
      <c r="J906" s="15">
        <v>3.939393939393939</v>
      </c>
    </row>
    <row r="907" spans="1:10" x14ac:dyDescent="0.25">
      <c r="A907" s="2" t="s">
        <v>2717</v>
      </c>
      <c r="B907" s="2" t="s">
        <v>2718</v>
      </c>
      <c r="C907" s="2" t="s">
        <v>2719</v>
      </c>
      <c r="D907" s="2" t="s">
        <v>10041</v>
      </c>
      <c r="E907" s="15">
        <v>-0.1084</v>
      </c>
      <c r="F907" s="15">
        <v>7.9399999999999998E-2</v>
      </c>
      <c r="G907" s="15">
        <v>0.17219999999999999</v>
      </c>
      <c r="H907" s="15">
        <v>0.21</v>
      </c>
      <c r="I907" s="15">
        <v>5.5399999999999998E-2</v>
      </c>
      <c r="J907" s="15">
        <v>3.790613718411552</v>
      </c>
    </row>
    <row r="908" spans="1:10" x14ac:dyDescent="0.25">
      <c r="A908" s="2" t="s">
        <v>2720</v>
      </c>
      <c r="B908" s="2" t="s">
        <v>2721</v>
      </c>
      <c r="C908" s="2" t="s">
        <v>2722</v>
      </c>
      <c r="D908" s="2" t="s">
        <v>10041</v>
      </c>
      <c r="E908" s="15">
        <v>8.0500000000000002E-2</v>
      </c>
      <c r="F908" s="15">
        <v>9.7699999999999995E-2</v>
      </c>
      <c r="G908" s="15">
        <v>0.40989999999999999</v>
      </c>
      <c r="H908" s="15">
        <v>0.12740000000000001</v>
      </c>
      <c r="I908" s="15">
        <v>5.4399999999999997E-2</v>
      </c>
      <c r="J908" s="15">
        <v>2.3419117647058831</v>
      </c>
    </row>
    <row r="909" spans="1:10" x14ac:dyDescent="0.25">
      <c r="A909" s="2" t="s">
        <v>2723</v>
      </c>
      <c r="B909" s="2" t="s">
        <v>2724</v>
      </c>
      <c r="C909" s="2" t="s">
        <v>2725</v>
      </c>
      <c r="D909" s="2" t="s">
        <v>10041</v>
      </c>
      <c r="E909" s="15">
        <v>-0.26960000000000001</v>
      </c>
      <c r="F909" s="15">
        <v>0.16969999999999999</v>
      </c>
      <c r="G909" s="15">
        <v>0.112</v>
      </c>
      <c r="H909" s="15">
        <v>5.4899999999999997E-2</v>
      </c>
      <c r="I909" s="15">
        <v>3.8899999999999997E-2</v>
      </c>
      <c r="J909" s="15">
        <v>1.4113110539845759</v>
      </c>
    </row>
    <row r="910" spans="1:10" x14ac:dyDescent="0.25">
      <c r="A910" s="2" t="s">
        <v>2726</v>
      </c>
      <c r="B910" s="2" t="s">
        <v>2727</v>
      </c>
      <c r="C910" s="2" t="s">
        <v>2728</v>
      </c>
      <c r="D910" s="2" t="s">
        <v>10041</v>
      </c>
      <c r="E910" s="15">
        <v>-4.8399999999999999E-2</v>
      </c>
      <c r="F910" s="15">
        <v>9.8100000000000007E-2</v>
      </c>
      <c r="G910" s="15">
        <v>0.62209999999999999</v>
      </c>
      <c r="H910" s="15">
        <v>0.1278</v>
      </c>
      <c r="I910" s="15">
        <v>3.7999999999999999E-2</v>
      </c>
      <c r="J910" s="15">
        <v>3.3631578947368421</v>
      </c>
    </row>
    <row r="911" spans="1:10" x14ac:dyDescent="0.25">
      <c r="A911" s="2" t="s">
        <v>2729</v>
      </c>
      <c r="B911" s="2" t="s">
        <v>2730</v>
      </c>
      <c r="C911" s="2" t="s">
        <v>2731</v>
      </c>
      <c r="D911" s="2" t="s">
        <v>10041</v>
      </c>
      <c r="E911" s="15">
        <v>-0.1777</v>
      </c>
      <c r="F911" s="15">
        <v>8.8999999999999996E-2</v>
      </c>
      <c r="G911" s="15">
        <v>4.58E-2</v>
      </c>
      <c r="H911" s="15">
        <v>0.1467</v>
      </c>
      <c r="I911" s="15">
        <v>4.19E-2</v>
      </c>
      <c r="J911" s="15">
        <v>3.5011933174224339</v>
      </c>
    </row>
    <row r="912" spans="1:10" x14ac:dyDescent="0.25">
      <c r="A912" s="2" t="s">
        <v>2732</v>
      </c>
      <c r="B912" s="2" t="s">
        <v>2733</v>
      </c>
      <c r="C912" s="2" t="s">
        <v>2734</v>
      </c>
      <c r="D912" s="2" t="s">
        <v>10041</v>
      </c>
      <c r="E912" s="15">
        <v>-4.5100000000000001E-2</v>
      </c>
      <c r="F912" s="15">
        <v>0.1084</v>
      </c>
      <c r="G912" s="15">
        <v>0.67759999999999998</v>
      </c>
      <c r="H912" s="15">
        <v>8.8200000000000001E-2</v>
      </c>
      <c r="I912" s="15">
        <v>4.2500000000000003E-2</v>
      </c>
      <c r="J912" s="15">
        <v>2.0752941176470592</v>
      </c>
    </row>
    <row r="913" spans="1:10" x14ac:dyDescent="0.25">
      <c r="A913" s="2" t="s">
        <v>2735</v>
      </c>
      <c r="B913" s="2" t="s">
        <v>2736</v>
      </c>
      <c r="C913" s="2" t="s">
        <v>2737</v>
      </c>
      <c r="D913" s="2" t="s">
        <v>10041</v>
      </c>
      <c r="E913" s="15">
        <v>-0.1241</v>
      </c>
      <c r="F913" s="15">
        <v>0.16930000000000001</v>
      </c>
      <c r="G913" s="15">
        <v>0.46360000000000001</v>
      </c>
      <c r="H913" s="15">
        <v>3.8300000000000001E-2</v>
      </c>
      <c r="I913" s="15">
        <v>3.5700000000000003E-2</v>
      </c>
      <c r="J913" s="15">
        <v>1.072829131652661</v>
      </c>
    </row>
    <row r="914" spans="1:10" x14ac:dyDescent="0.25">
      <c r="A914" s="2" t="s">
        <v>2738</v>
      </c>
      <c r="B914" s="2" t="s">
        <v>2739</v>
      </c>
      <c r="C914" s="2" t="s">
        <v>2740</v>
      </c>
      <c r="D914" s="2" t="s">
        <v>10041</v>
      </c>
      <c r="E914" s="15">
        <v>-7.6899999999999996E-2</v>
      </c>
      <c r="F914" s="15">
        <v>8.1799999999999998E-2</v>
      </c>
      <c r="G914" s="15">
        <v>0.34670000000000001</v>
      </c>
      <c r="H914" s="15">
        <v>0.2273</v>
      </c>
      <c r="I914" s="15">
        <v>4.4200000000000003E-2</v>
      </c>
      <c r="J914" s="15">
        <v>5.1425339366515832</v>
      </c>
    </row>
    <row r="915" spans="1:10" x14ac:dyDescent="0.25">
      <c r="A915" s="2" t="s">
        <v>2741</v>
      </c>
      <c r="B915" s="2" t="s">
        <v>2742</v>
      </c>
      <c r="C915" s="2" t="s">
        <v>2743</v>
      </c>
      <c r="D915" s="2" t="s">
        <v>10041</v>
      </c>
      <c r="E915" s="15">
        <v>7.0199999999999999E-2</v>
      </c>
      <c r="F915" s="15">
        <v>9.1899999999999996E-2</v>
      </c>
      <c r="G915" s="15">
        <v>0.44519999999999998</v>
      </c>
      <c r="H915" s="15">
        <v>0.12889999999999999</v>
      </c>
      <c r="I915" s="15">
        <v>4.1599999999999998E-2</v>
      </c>
      <c r="J915" s="15">
        <v>3.0985576923076921</v>
      </c>
    </row>
    <row r="916" spans="1:10" x14ac:dyDescent="0.25">
      <c r="A916" s="2" t="s">
        <v>2744</v>
      </c>
      <c r="B916" s="2" t="s">
        <v>2745</v>
      </c>
      <c r="C916" s="2" t="s">
        <v>2746</v>
      </c>
      <c r="D916" s="2" t="s">
        <v>10041</v>
      </c>
      <c r="E916" s="15">
        <v>7.2599999999999998E-2</v>
      </c>
      <c r="F916" s="15">
        <v>8.5000000000000006E-2</v>
      </c>
      <c r="G916" s="15">
        <v>0.39319999999999999</v>
      </c>
      <c r="H916" s="15">
        <v>0.16769999999999999</v>
      </c>
      <c r="I916" s="15">
        <v>4.1200000000000001E-2</v>
      </c>
      <c r="J916" s="15">
        <v>4.0703883495145634</v>
      </c>
    </row>
    <row r="917" spans="1:10" x14ac:dyDescent="0.25">
      <c r="A917" s="2" t="s">
        <v>2747</v>
      </c>
      <c r="B917" s="2" t="s">
        <v>2748</v>
      </c>
      <c r="C917" s="2" t="s">
        <v>2749</v>
      </c>
      <c r="D917" s="2" t="s">
        <v>10041</v>
      </c>
      <c r="E917" s="15">
        <v>0.09</v>
      </c>
      <c r="F917" s="15">
        <v>5.9499999999999997E-2</v>
      </c>
      <c r="G917" s="15">
        <v>0.13039999999999999</v>
      </c>
      <c r="H917" s="15">
        <v>0.32440000000000002</v>
      </c>
      <c r="I917" s="15">
        <v>4.9799999999999997E-2</v>
      </c>
      <c r="J917" s="15">
        <v>6.5140562248995986</v>
      </c>
    </row>
    <row r="918" spans="1:10" x14ac:dyDescent="0.25">
      <c r="A918" s="2" t="s">
        <v>2750</v>
      </c>
      <c r="B918" s="2" t="s">
        <v>2751</v>
      </c>
      <c r="C918" s="2" t="s">
        <v>2752</v>
      </c>
      <c r="D918" s="2" t="s">
        <v>10041</v>
      </c>
      <c r="E918" s="15">
        <v>-9.7999999999999997E-3</v>
      </c>
      <c r="F918" s="15">
        <v>7.3800000000000004E-2</v>
      </c>
      <c r="G918" s="15">
        <v>0.89459999999999995</v>
      </c>
      <c r="H918" s="15">
        <v>0.2102</v>
      </c>
      <c r="I918" s="15">
        <v>5.1799999999999999E-2</v>
      </c>
      <c r="J918" s="15">
        <v>4.057915057915058</v>
      </c>
    </row>
    <row r="919" spans="1:10" x14ac:dyDescent="0.25">
      <c r="A919" s="2" t="s">
        <v>2753</v>
      </c>
      <c r="B919" s="2" t="s">
        <v>2754</v>
      </c>
      <c r="C919" s="2" t="s">
        <v>2755</v>
      </c>
      <c r="D919" s="2" t="s">
        <v>10041</v>
      </c>
      <c r="E919" s="15">
        <v>-2.5999999999999999E-2</v>
      </c>
      <c r="F919" s="15">
        <v>7.6100000000000001E-2</v>
      </c>
      <c r="G919" s="15">
        <v>0.7329</v>
      </c>
      <c r="H919" s="15">
        <v>0.18329999999999999</v>
      </c>
      <c r="I919" s="15">
        <v>4.4400000000000002E-2</v>
      </c>
      <c r="J919" s="15">
        <v>4.1283783783783781</v>
      </c>
    </row>
    <row r="920" spans="1:10" x14ac:dyDescent="0.25">
      <c r="A920" s="2" t="s">
        <v>2756</v>
      </c>
      <c r="B920" s="2" t="s">
        <v>2757</v>
      </c>
      <c r="C920" s="2" t="s">
        <v>2758</v>
      </c>
      <c r="D920" s="2" t="s">
        <v>10041</v>
      </c>
      <c r="E920" s="15">
        <v>8.1900000000000001E-2</v>
      </c>
      <c r="F920" s="15">
        <v>8.6800000000000002E-2</v>
      </c>
      <c r="G920" s="15">
        <v>0.34489999999999998</v>
      </c>
      <c r="H920" s="15">
        <v>0.13819999999999999</v>
      </c>
      <c r="I920" s="15">
        <v>4.0899999999999999E-2</v>
      </c>
      <c r="J920" s="15">
        <v>3.3789731051344738</v>
      </c>
    </row>
    <row r="921" spans="1:10" x14ac:dyDescent="0.25">
      <c r="A921" s="2" t="s">
        <v>2759</v>
      </c>
      <c r="B921" s="2" t="s">
        <v>2760</v>
      </c>
      <c r="C921" s="2" t="s">
        <v>2761</v>
      </c>
      <c r="D921" s="2" t="s">
        <v>10041</v>
      </c>
      <c r="E921" s="15">
        <v>6.8699999999999997E-2</v>
      </c>
      <c r="F921" s="15">
        <v>7.4700000000000003E-2</v>
      </c>
      <c r="G921" s="15">
        <v>0.35759999999999997</v>
      </c>
      <c r="H921" s="15">
        <v>0.18820000000000001</v>
      </c>
      <c r="I921" s="15">
        <v>4.0599999999999997E-2</v>
      </c>
      <c r="J921" s="15">
        <v>4.6354679802955667</v>
      </c>
    </row>
    <row r="922" spans="1:10" x14ac:dyDescent="0.25">
      <c r="A922" s="2" t="s">
        <v>2762</v>
      </c>
      <c r="B922" s="2" t="s">
        <v>2763</v>
      </c>
      <c r="C922" s="2" t="s">
        <v>2764</v>
      </c>
      <c r="D922" s="2" t="s">
        <v>10041</v>
      </c>
      <c r="E922" s="15">
        <v>4.3400000000000001E-2</v>
      </c>
      <c r="F922" s="15">
        <v>8.0600000000000005E-2</v>
      </c>
      <c r="G922" s="15">
        <v>0.59030000000000005</v>
      </c>
      <c r="H922" s="15">
        <v>0.17829999999999999</v>
      </c>
      <c r="I922" s="15">
        <v>4.2799999999999998E-2</v>
      </c>
      <c r="J922" s="15">
        <v>4.16588785046729</v>
      </c>
    </row>
    <row r="923" spans="1:10" x14ac:dyDescent="0.25">
      <c r="A923" s="2" t="s">
        <v>2765</v>
      </c>
      <c r="B923" s="2" t="s">
        <v>2766</v>
      </c>
      <c r="C923" s="2" t="s">
        <v>2767</v>
      </c>
      <c r="D923" s="2" t="s">
        <v>10041</v>
      </c>
      <c r="E923" s="15">
        <v>5.4199999999999998E-2</v>
      </c>
      <c r="F923" s="15">
        <v>7.9699999999999993E-2</v>
      </c>
      <c r="G923" s="15">
        <v>0.49609999999999999</v>
      </c>
      <c r="H923" s="15">
        <v>0.19359999999999999</v>
      </c>
      <c r="I923" s="15">
        <v>4.2200000000000001E-2</v>
      </c>
      <c r="J923" s="15">
        <v>4.5876777251184828</v>
      </c>
    </row>
    <row r="924" spans="1:10" x14ac:dyDescent="0.25">
      <c r="A924" s="2" t="s">
        <v>2768</v>
      </c>
      <c r="B924" s="2" t="s">
        <v>2769</v>
      </c>
      <c r="C924" s="2" t="s">
        <v>2770</v>
      </c>
      <c r="D924" s="2" t="s">
        <v>10041</v>
      </c>
      <c r="E924" s="15">
        <v>-0.20280000000000001</v>
      </c>
      <c r="F924" s="15">
        <v>0.1195</v>
      </c>
      <c r="G924" s="15">
        <v>8.9599999999999999E-2</v>
      </c>
      <c r="H924" s="15">
        <v>7.4499999999999997E-2</v>
      </c>
      <c r="I924" s="15">
        <v>3.6799999999999999E-2</v>
      </c>
      <c r="J924" s="15">
        <v>2.0244565217391299</v>
      </c>
    </row>
    <row r="925" spans="1:10" x14ac:dyDescent="0.25">
      <c r="A925" s="2" t="s">
        <v>2771</v>
      </c>
      <c r="B925" s="2" t="s">
        <v>2772</v>
      </c>
      <c r="C925" s="2" t="s">
        <v>2773</v>
      </c>
      <c r="D925" s="2" t="s">
        <v>10041</v>
      </c>
      <c r="E925" s="15">
        <v>-4.19E-2</v>
      </c>
      <c r="F925" s="15">
        <v>8.8800000000000004E-2</v>
      </c>
      <c r="G925" s="15">
        <v>0.63739999999999997</v>
      </c>
      <c r="H925" s="15">
        <v>0.15160000000000001</v>
      </c>
      <c r="I925" s="15">
        <v>3.7100000000000001E-2</v>
      </c>
      <c r="J925" s="15">
        <v>4.0862533692722378</v>
      </c>
    </row>
    <row r="926" spans="1:10" x14ac:dyDescent="0.25">
      <c r="A926" s="2" t="s">
        <v>2774</v>
      </c>
      <c r="B926" s="2" t="s">
        <v>2775</v>
      </c>
      <c r="C926" s="2" t="s">
        <v>2776</v>
      </c>
      <c r="D926" s="2" t="s">
        <v>10041</v>
      </c>
      <c r="E926" s="15">
        <v>-7.6300000000000007E-2</v>
      </c>
      <c r="F926" s="15">
        <v>0.1002</v>
      </c>
      <c r="G926" s="15">
        <v>0.44629999999999997</v>
      </c>
      <c r="H926" s="15">
        <v>0.1196</v>
      </c>
      <c r="I926" s="15">
        <v>3.6700000000000003E-2</v>
      </c>
      <c r="J926" s="15">
        <v>3.2588555858310619</v>
      </c>
    </row>
    <row r="927" spans="1:10" x14ac:dyDescent="0.25">
      <c r="A927" s="2" t="s">
        <v>2777</v>
      </c>
      <c r="B927" s="2" t="s">
        <v>2778</v>
      </c>
      <c r="C927" s="2" t="s">
        <v>2779</v>
      </c>
      <c r="D927" s="2" t="s">
        <v>10041</v>
      </c>
      <c r="E927" s="15">
        <v>-0.10879999999999999</v>
      </c>
      <c r="F927" s="15">
        <v>9.4899999999999998E-2</v>
      </c>
      <c r="G927" s="15">
        <v>0.25180000000000002</v>
      </c>
      <c r="H927" s="15">
        <v>0.15029999999999999</v>
      </c>
      <c r="I927" s="15">
        <v>4.1300000000000003E-2</v>
      </c>
      <c r="J927" s="15">
        <v>3.639225181598063</v>
      </c>
    </row>
    <row r="928" spans="1:10" x14ac:dyDescent="0.25">
      <c r="A928" s="2" t="s">
        <v>2780</v>
      </c>
      <c r="B928" s="2" t="s">
        <v>2781</v>
      </c>
      <c r="C928" s="2" t="s">
        <v>2782</v>
      </c>
      <c r="D928" s="2" t="s">
        <v>10041</v>
      </c>
      <c r="E928" s="15">
        <v>-5.7799999999999997E-2</v>
      </c>
      <c r="F928" s="15">
        <v>0.17119999999999999</v>
      </c>
      <c r="G928" s="15">
        <v>0.73580000000000001</v>
      </c>
      <c r="H928" s="15">
        <v>4.1700000000000001E-2</v>
      </c>
      <c r="I928" s="15">
        <v>4.1700000000000001E-2</v>
      </c>
      <c r="J928" s="15">
        <v>1</v>
      </c>
    </row>
    <row r="929" spans="1:10" x14ac:dyDescent="0.25">
      <c r="A929" s="2" t="s">
        <v>2783</v>
      </c>
      <c r="B929" s="2" t="s">
        <v>2784</v>
      </c>
      <c r="C929" s="2" t="s">
        <v>2785</v>
      </c>
      <c r="D929" s="2" t="s">
        <v>10041</v>
      </c>
      <c r="E929" s="15">
        <v>-9.6500000000000002E-2</v>
      </c>
      <c r="F929" s="15">
        <v>8.48E-2</v>
      </c>
      <c r="G929" s="15">
        <v>0.25530000000000003</v>
      </c>
      <c r="H929" s="15">
        <v>0.17660000000000001</v>
      </c>
      <c r="I929" s="15">
        <v>3.8699999999999998E-2</v>
      </c>
      <c r="J929" s="15">
        <v>4.5633074935400524</v>
      </c>
    </row>
    <row r="930" spans="1:10" x14ac:dyDescent="0.25">
      <c r="A930" s="2" t="s">
        <v>2786</v>
      </c>
      <c r="B930" s="2" t="s">
        <v>2787</v>
      </c>
      <c r="C930" s="2" t="s">
        <v>2788</v>
      </c>
      <c r="D930" s="2" t="s">
        <v>10041</v>
      </c>
      <c r="E930" s="15">
        <v>-5.3400000000000003E-2</v>
      </c>
      <c r="F930" s="15">
        <v>9.5200000000000007E-2</v>
      </c>
      <c r="G930" s="15">
        <v>0.57479999999999998</v>
      </c>
      <c r="H930" s="15">
        <v>0.124</v>
      </c>
      <c r="I930" s="15">
        <v>4.1700000000000001E-2</v>
      </c>
      <c r="J930" s="15">
        <v>2.9736211031175062</v>
      </c>
    </row>
    <row r="931" spans="1:10" x14ac:dyDescent="0.25">
      <c r="A931" s="2" t="s">
        <v>2789</v>
      </c>
      <c r="B931" s="2" t="s">
        <v>2790</v>
      </c>
      <c r="C931" s="2" t="s">
        <v>2791</v>
      </c>
      <c r="D931" s="2" t="s">
        <v>10041</v>
      </c>
      <c r="E931" s="15">
        <v>-6.0699999999999997E-2</v>
      </c>
      <c r="F931" s="15">
        <v>0.12720000000000001</v>
      </c>
      <c r="G931" s="15">
        <v>0.63319999999999999</v>
      </c>
      <c r="H931" s="15">
        <v>6.1899999999999997E-2</v>
      </c>
      <c r="I931" s="15">
        <v>4.0099999999999997E-2</v>
      </c>
      <c r="J931" s="15">
        <v>1.5436408977556111</v>
      </c>
    </row>
    <row r="932" spans="1:10" x14ac:dyDescent="0.25">
      <c r="A932" s="2" t="s">
        <v>2792</v>
      </c>
      <c r="B932" s="2" t="s">
        <v>2793</v>
      </c>
      <c r="C932" s="2" t="s">
        <v>2794</v>
      </c>
      <c r="D932" s="2" t="s">
        <v>10041</v>
      </c>
      <c r="E932" s="15">
        <v>-0.11409999999999999</v>
      </c>
      <c r="F932" s="15">
        <v>0.1258</v>
      </c>
      <c r="G932" s="15">
        <v>0.3644</v>
      </c>
      <c r="H932" s="15">
        <v>7.8299999999999995E-2</v>
      </c>
      <c r="I932" s="15">
        <v>3.6700000000000003E-2</v>
      </c>
      <c r="J932" s="15">
        <v>2.1335149863760221</v>
      </c>
    </row>
    <row r="933" spans="1:10" x14ac:dyDescent="0.25">
      <c r="A933" s="2" t="s">
        <v>2795</v>
      </c>
      <c r="B933" s="2" t="s">
        <v>2796</v>
      </c>
      <c r="C933" s="2" t="s">
        <v>2797</v>
      </c>
      <c r="D933" s="2" t="s">
        <v>10041</v>
      </c>
      <c r="E933" s="15">
        <v>-0.1129</v>
      </c>
      <c r="F933" s="15">
        <v>9.0700000000000003E-2</v>
      </c>
      <c r="G933" s="15">
        <v>0.21340000000000001</v>
      </c>
      <c r="H933" s="15">
        <v>0.1298</v>
      </c>
      <c r="I933" s="15">
        <v>3.4299999999999997E-2</v>
      </c>
      <c r="J933" s="15">
        <v>3.7842565597667641</v>
      </c>
    </row>
    <row r="934" spans="1:10" x14ac:dyDescent="0.25">
      <c r="A934" s="2" t="s">
        <v>2798</v>
      </c>
      <c r="B934" s="2" t="s">
        <v>2799</v>
      </c>
      <c r="C934" s="2" t="s">
        <v>2800</v>
      </c>
      <c r="D934" s="2" t="s">
        <v>10041</v>
      </c>
      <c r="E934" s="15">
        <v>-0.13389999999999999</v>
      </c>
      <c r="F934" s="15">
        <v>0.128</v>
      </c>
      <c r="G934" s="15">
        <v>0.29530000000000001</v>
      </c>
      <c r="H934" s="15">
        <v>9.1800000000000007E-2</v>
      </c>
      <c r="I934" s="15">
        <v>4.07E-2</v>
      </c>
      <c r="J934" s="15">
        <v>2.2555282555282559</v>
      </c>
    </row>
    <row r="935" spans="1:10" x14ac:dyDescent="0.25">
      <c r="A935" s="2" t="s">
        <v>2801</v>
      </c>
      <c r="B935" s="2" t="s">
        <v>2802</v>
      </c>
      <c r="C935" s="2" t="s">
        <v>2803</v>
      </c>
      <c r="D935" s="2" t="s">
        <v>10041</v>
      </c>
      <c r="E935" s="15">
        <v>0.26690000000000003</v>
      </c>
      <c r="F935" s="15">
        <v>0.14410000000000001</v>
      </c>
      <c r="G935" s="15">
        <v>6.4000000000000001E-2</v>
      </c>
      <c r="H935" s="15">
        <v>7.0499999999999993E-2</v>
      </c>
      <c r="I935" s="15">
        <v>3.5900000000000001E-2</v>
      </c>
      <c r="J935" s="15">
        <v>1.963788300835654</v>
      </c>
    </row>
    <row r="936" spans="1:10" x14ac:dyDescent="0.25">
      <c r="A936" s="2" t="s">
        <v>2804</v>
      </c>
      <c r="B936" s="2" t="s">
        <v>2805</v>
      </c>
      <c r="C936" s="2" t="s">
        <v>2806</v>
      </c>
      <c r="D936" s="2" t="s">
        <v>10041</v>
      </c>
      <c r="E936" s="15">
        <v>-6.88E-2</v>
      </c>
      <c r="F936" s="15">
        <v>7.4800000000000005E-2</v>
      </c>
      <c r="G936" s="15">
        <v>0.35799999999999998</v>
      </c>
      <c r="H936" s="15">
        <v>0.22559999999999999</v>
      </c>
      <c r="I936" s="15">
        <v>4.5999999999999999E-2</v>
      </c>
      <c r="J936" s="15">
        <v>4.9043478260869566</v>
      </c>
    </row>
    <row r="937" spans="1:10" x14ac:dyDescent="0.25">
      <c r="A937" s="2" t="s">
        <v>2807</v>
      </c>
      <c r="B937" s="2" t="s">
        <v>2808</v>
      </c>
      <c r="C937" s="2" t="s">
        <v>2809</v>
      </c>
      <c r="D937" s="2" t="s">
        <v>10041</v>
      </c>
      <c r="E937" s="15">
        <v>-6.5299999999999997E-2</v>
      </c>
      <c r="F937" s="15">
        <v>7.1199999999999999E-2</v>
      </c>
      <c r="G937" s="15">
        <v>0.35920000000000002</v>
      </c>
      <c r="H937" s="15">
        <v>0.23930000000000001</v>
      </c>
      <c r="I937" s="15">
        <v>4.6600000000000003E-2</v>
      </c>
      <c r="J937" s="15">
        <v>5.1351931330472107</v>
      </c>
    </row>
    <row r="938" spans="1:10" x14ac:dyDescent="0.25">
      <c r="A938" s="2" t="s">
        <v>2810</v>
      </c>
      <c r="B938" s="2" t="s">
        <v>2811</v>
      </c>
      <c r="C938" s="2" t="s">
        <v>2812</v>
      </c>
      <c r="D938" s="2" t="s">
        <v>10041</v>
      </c>
      <c r="E938" s="15">
        <v>6.4999999999999997E-3</v>
      </c>
      <c r="F938" s="15">
        <v>8.1600000000000006E-2</v>
      </c>
      <c r="G938" s="15">
        <v>0.93630000000000002</v>
      </c>
      <c r="H938" s="15">
        <v>0.19639999999999999</v>
      </c>
      <c r="I938" s="15">
        <v>3.9399999999999998E-2</v>
      </c>
      <c r="J938" s="15">
        <v>4.9847715736040614</v>
      </c>
    </row>
    <row r="939" spans="1:10" x14ac:dyDescent="0.25">
      <c r="A939" s="2" t="s">
        <v>2813</v>
      </c>
      <c r="B939" s="2" t="s">
        <v>2814</v>
      </c>
      <c r="C939" s="2" t="s">
        <v>2815</v>
      </c>
      <c r="D939" s="2" t="s">
        <v>10041</v>
      </c>
      <c r="E939" s="15">
        <v>-0.1472</v>
      </c>
      <c r="F939" s="15">
        <v>0.1137</v>
      </c>
      <c r="G939" s="15">
        <v>0.1956</v>
      </c>
      <c r="H939" s="15">
        <v>0.11409999999999999</v>
      </c>
      <c r="I939" s="15">
        <v>4.3099999999999999E-2</v>
      </c>
      <c r="J939" s="15">
        <v>2.6473317865429231</v>
      </c>
    </row>
    <row r="940" spans="1:10" x14ac:dyDescent="0.25">
      <c r="A940" s="2" t="s">
        <v>2816</v>
      </c>
      <c r="B940" s="2" t="s">
        <v>2817</v>
      </c>
      <c r="C940" s="2" t="s">
        <v>2818</v>
      </c>
      <c r="D940" s="2" t="s">
        <v>10041</v>
      </c>
      <c r="E940" s="15">
        <v>-0.28189999999999998</v>
      </c>
      <c r="F940" s="15">
        <v>0.1111</v>
      </c>
      <c r="G940" s="15">
        <v>1.12E-2</v>
      </c>
      <c r="H940" s="15">
        <v>0.114</v>
      </c>
      <c r="I940" s="15">
        <v>3.6999999999999998E-2</v>
      </c>
      <c r="J940" s="15">
        <v>3.0810810810810811</v>
      </c>
    </row>
    <row r="941" spans="1:10" x14ac:dyDescent="0.25">
      <c r="A941" s="2" t="s">
        <v>2819</v>
      </c>
      <c r="B941" s="2" t="s">
        <v>2820</v>
      </c>
      <c r="C941" s="2" t="s">
        <v>2821</v>
      </c>
      <c r="D941" s="2" t="s">
        <v>10041</v>
      </c>
      <c r="E941" s="15">
        <v>6.8599999999999994E-2</v>
      </c>
      <c r="F941" s="15">
        <v>9.69E-2</v>
      </c>
      <c r="G941" s="15">
        <v>0.4788</v>
      </c>
      <c r="H941" s="15">
        <v>0.11</v>
      </c>
      <c r="I941" s="15">
        <v>3.95E-2</v>
      </c>
      <c r="J941" s="15">
        <v>2.7848101265822791</v>
      </c>
    </row>
    <row r="942" spans="1:10" x14ac:dyDescent="0.25">
      <c r="A942" s="2" t="s">
        <v>2822</v>
      </c>
      <c r="B942" s="2" t="s">
        <v>2823</v>
      </c>
      <c r="C942" s="2" t="s">
        <v>2824</v>
      </c>
      <c r="D942" s="2" t="s">
        <v>10041</v>
      </c>
      <c r="E942" s="15">
        <v>-7.4899999999999994E-2</v>
      </c>
      <c r="F942" s="15">
        <v>9.7100000000000006E-2</v>
      </c>
      <c r="G942" s="15">
        <v>0.44080000000000003</v>
      </c>
      <c r="H942" s="15">
        <v>0.14449999999999999</v>
      </c>
      <c r="I942" s="15">
        <v>4.53E-2</v>
      </c>
      <c r="J942" s="15">
        <v>3.1898454746136862</v>
      </c>
    </row>
    <row r="943" spans="1:10" x14ac:dyDescent="0.25">
      <c r="A943" s="2" t="s">
        <v>2825</v>
      </c>
      <c r="B943" s="2" t="s">
        <v>2826</v>
      </c>
      <c r="C943" s="2" t="s">
        <v>2827</v>
      </c>
      <c r="D943" s="2" t="s">
        <v>10041</v>
      </c>
      <c r="E943" s="15">
        <v>-7.2599999999999998E-2</v>
      </c>
      <c r="F943" s="15">
        <v>0.2044</v>
      </c>
      <c r="G943" s="15">
        <v>0.72260000000000002</v>
      </c>
      <c r="H943" s="15">
        <v>2.1899999999999999E-2</v>
      </c>
      <c r="I943" s="15">
        <v>3.85E-2</v>
      </c>
      <c r="J943" s="15">
        <v>0.5688311688311688</v>
      </c>
    </row>
    <row r="944" spans="1:10" x14ac:dyDescent="0.25">
      <c r="A944" s="2" t="s">
        <v>2828</v>
      </c>
      <c r="B944" s="2" t="s">
        <v>2829</v>
      </c>
      <c r="C944" s="2" t="s">
        <v>2830</v>
      </c>
      <c r="D944" s="2" t="s">
        <v>10041</v>
      </c>
      <c r="E944" s="15">
        <v>-0.13489999999999999</v>
      </c>
      <c r="F944" s="15">
        <v>0.1099</v>
      </c>
      <c r="G944" s="15">
        <v>0.21959999999999999</v>
      </c>
      <c r="H944" s="15">
        <v>0.1024</v>
      </c>
      <c r="I944" s="15">
        <v>3.7400000000000003E-2</v>
      </c>
      <c r="J944" s="15">
        <v>2.737967914438503</v>
      </c>
    </row>
    <row r="945" spans="1:10" x14ac:dyDescent="0.25">
      <c r="A945" s="2" t="s">
        <v>2831</v>
      </c>
      <c r="B945" s="2" t="s">
        <v>2832</v>
      </c>
      <c r="C945" s="2" t="s">
        <v>2833</v>
      </c>
      <c r="D945" s="2" t="s">
        <v>10041</v>
      </c>
      <c r="E945" s="15">
        <v>-0.17829999999999999</v>
      </c>
      <c r="F945" s="15">
        <v>9.9900000000000003E-2</v>
      </c>
      <c r="G945" s="15">
        <v>7.4200000000000002E-2</v>
      </c>
      <c r="H945" s="15">
        <v>0.1255</v>
      </c>
      <c r="I945" s="15">
        <v>3.9100000000000003E-2</v>
      </c>
      <c r="J945" s="15">
        <v>3.2097186700767262</v>
      </c>
    </row>
    <row r="946" spans="1:10" x14ac:dyDescent="0.25">
      <c r="A946" s="2" t="s">
        <v>2834</v>
      </c>
      <c r="B946" s="2" t="s">
        <v>2835</v>
      </c>
      <c r="C946" s="2" t="s">
        <v>2836</v>
      </c>
      <c r="D946" s="2" t="s">
        <v>10041</v>
      </c>
      <c r="E946" s="15">
        <v>-5.9499999999999997E-2</v>
      </c>
      <c r="F946" s="15">
        <v>8.1199999999999994E-2</v>
      </c>
      <c r="G946" s="15">
        <v>0.46360000000000001</v>
      </c>
      <c r="H946" s="15">
        <v>0.17760000000000001</v>
      </c>
      <c r="I946" s="15">
        <v>4.1200000000000001E-2</v>
      </c>
      <c r="J946" s="15">
        <v>4.3106796116504853</v>
      </c>
    </row>
    <row r="947" spans="1:10" x14ac:dyDescent="0.25">
      <c r="A947" s="2" t="s">
        <v>2837</v>
      </c>
      <c r="B947" s="2" t="s">
        <v>2838</v>
      </c>
      <c r="C947" s="2" t="s">
        <v>2839</v>
      </c>
      <c r="D947" s="2" t="s">
        <v>10041</v>
      </c>
      <c r="E947" s="15">
        <v>-0.1226</v>
      </c>
      <c r="F947" s="15">
        <v>9.2700000000000005E-2</v>
      </c>
      <c r="G947" s="15">
        <v>0.18590000000000001</v>
      </c>
      <c r="H947" s="15">
        <v>0.1221</v>
      </c>
      <c r="I947" s="15">
        <v>3.6200000000000003E-2</v>
      </c>
      <c r="J947" s="15">
        <v>3.3729281767955799</v>
      </c>
    </row>
    <row r="948" spans="1:10" x14ac:dyDescent="0.25">
      <c r="A948" s="2" t="s">
        <v>2840</v>
      </c>
      <c r="B948" s="2" t="s">
        <v>2841</v>
      </c>
      <c r="C948" s="2" t="s">
        <v>2842</v>
      </c>
      <c r="D948" s="2" t="s">
        <v>10041</v>
      </c>
      <c r="E948" s="15">
        <v>-6.4500000000000002E-2</v>
      </c>
      <c r="F948" s="15">
        <v>0.122</v>
      </c>
      <c r="G948" s="15">
        <v>0.5968</v>
      </c>
      <c r="H948" s="15">
        <v>7.8200000000000006E-2</v>
      </c>
      <c r="I948" s="15">
        <v>3.6299999999999999E-2</v>
      </c>
      <c r="J948" s="15">
        <v>2.1542699724517909</v>
      </c>
    </row>
    <row r="949" spans="1:10" x14ac:dyDescent="0.25">
      <c r="A949" s="2" t="s">
        <v>2843</v>
      </c>
      <c r="B949" s="2" t="s">
        <v>2844</v>
      </c>
      <c r="C949" s="2" t="s">
        <v>2845</v>
      </c>
      <c r="D949" s="2" t="s">
        <v>10041</v>
      </c>
      <c r="E949" s="15">
        <v>-0.1203</v>
      </c>
      <c r="F949" s="15">
        <v>8.1900000000000001E-2</v>
      </c>
      <c r="G949" s="15">
        <v>0.1419</v>
      </c>
      <c r="H949" s="15">
        <v>0.16769999999999999</v>
      </c>
      <c r="I949" s="15">
        <v>0.04</v>
      </c>
      <c r="J949" s="15">
        <v>4.1924999999999999</v>
      </c>
    </row>
    <row r="950" spans="1:10" x14ac:dyDescent="0.25">
      <c r="A950" s="2" t="s">
        <v>2846</v>
      </c>
      <c r="B950" s="2" t="s">
        <v>2847</v>
      </c>
      <c r="C950" s="2" t="s">
        <v>2848</v>
      </c>
      <c r="D950" s="2" t="s">
        <v>10041</v>
      </c>
      <c r="E950" s="15">
        <v>-2.3199999999999998E-2</v>
      </c>
      <c r="F950" s="15">
        <v>7.7299999999999994E-2</v>
      </c>
      <c r="G950" s="15">
        <v>0.76449999999999996</v>
      </c>
      <c r="H950" s="15">
        <v>0.19750000000000001</v>
      </c>
      <c r="I950" s="15">
        <v>4.8399999999999999E-2</v>
      </c>
      <c r="J950" s="15">
        <v>4.0805785123966949</v>
      </c>
    </row>
    <row r="951" spans="1:10" x14ac:dyDescent="0.25">
      <c r="A951" s="2" t="s">
        <v>2849</v>
      </c>
      <c r="B951" s="2" t="s">
        <v>2850</v>
      </c>
      <c r="C951" s="2" t="s">
        <v>2851</v>
      </c>
      <c r="D951" s="2" t="s">
        <v>10041</v>
      </c>
      <c r="E951" s="15">
        <v>-8.2100000000000006E-2</v>
      </c>
      <c r="F951" s="15">
        <v>7.6999999999999999E-2</v>
      </c>
      <c r="G951" s="15">
        <v>0.28610000000000002</v>
      </c>
      <c r="H951" s="15">
        <v>0.18909999999999999</v>
      </c>
      <c r="I951" s="15">
        <v>3.6999999999999998E-2</v>
      </c>
      <c r="J951" s="15">
        <v>5.1108108108108112</v>
      </c>
    </row>
    <row r="952" spans="1:10" x14ac:dyDescent="0.25">
      <c r="A952" s="2" t="s">
        <v>2852</v>
      </c>
      <c r="B952" s="2" t="s">
        <v>2853</v>
      </c>
      <c r="C952" s="2" t="s">
        <v>2854</v>
      </c>
      <c r="D952" s="2" t="s">
        <v>10041</v>
      </c>
      <c r="E952" s="15">
        <v>-0.22839999999999999</v>
      </c>
      <c r="F952" s="15">
        <v>0.11360000000000001</v>
      </c>
      <c r="G952" s="15">
        <v>4.4299999999999999E-2</v>
      </c>
      <c r="H952" s="15">
        <v>9.5500000000000002E-2</v>
      </c>
      <c r="I952" s="15">
        <v>4.0599999999999997E-2</v>
      </c>
      <c r="J952" s="15">
        <v>2.3522167487684729</v>
      </c>
    </row>
    <row r="953" spans="1:10" x14ac:dyDescent="0.25">
      <c r="A953" s="2" t="s">
        <v>2855</v>
      </c>
      <c r="B953" s="2" t="s">
        <v>2856</v>
      </c>
      <c r="C953" s="2" t="s">
        <v>2857</v>
      </c>
      <c r="D953" s="2" t="s">
        <v>10041</v>
      </c>
      <c r="E953" s="15">
        <v>-8.1100000000000005E-2</v>
      </c>
      <c r="F953" s="15">
        <v>7.7399999999999997E-2</v>
      </c>
      <c r="G953" s="15">
        <v>0.2944</v>
      </c>
      <c r="H953" s="15">
        <v>0.16520000000000001</v>
      </c>
      <c r="I953" s="15">
        <v>3.9300000000000002E-2</v>
      </c>
      <c r="J953" s="15">
        <v>4.2035623409669212</v>
      </c>
    </row>
    <row r="954" spans="1:10" x14ac:dyDescent="0.25">
      <c r="A954" s="2" t="s">
        <v>2858</v>
      </c>
      <c r="B954" s="2" t="s">
        <v>2859</v>
      </c>
      <c r="C954" s="2" t="s">
        <v>2860</v>
      </c>
      <c r="D954" s="2" t="s">
        <v>10041</v>
      </c>
      <c r="E954" s="15">
        <v>-8.3099999999999993E-2</v>
      </c>
      <c r="F954" s="15">
        <v>8.8599999999999998E-2</v>
      </c>
      <c r="G954" s="15">
        <v>0.34839999999999999</v>
      </c>
      <c r="H954" s="15">
        <v>0.15590000000000001</v>
      </c>
      <c r="I954" s="15">
        <v>4.5900000000000003E-2</v>
      </c>
      <c r="J954" s="15">
        <v>3.3965141612200429</v>
      </c>
    </row>
    <row r="955" spans="1:10" x14ac:dyDescent="0.25">
      <c r="A955" s="2" t="s">
        <v>2861</v>
      </c>
      <c r="B955" s="2" t="s">
        <v>2862</v>
      </c>
      <c r="C955" s="2" t="s">
        <v>2863</v>
      </c>
      <c r="D955" s="2" t="s">
        <v>10041</v>
      </c>
      <c r="E955" s="15">
        <v>1.32E-2</v>
      </c>
      <c r="F955" s="15">
        <v>8.4400000000000003E-2</v>
      </c>
      <c r="G955" s="15">
        <v>0.87539999999999996</v>
      </c>
      <c r="H955" s="15">
        <v>0.187</v>
      </c>
      <c r="I955" s="15">
        <v>5.2200000000000003E-2</v>
      </c>
      <c r="J955" s="15">
        <v>3.5823754789272031</v>
      </c>
    </row>
    <row r="956" spans="1:10" x14ac:dyDescent="0.25">
      <c r="A956" s="2" t="s">
        <v>2864</v>
      </c>
      <c r="B956" s="2" t="s">
        <v>2865</v>
      </c>
      <c r="C956" s="2" t="s">
        <v>2866</v>
      </c>
      <c r="D956" s="2" t="s">
        <v>10041</v>
      </c>
      <c r="E956" s="15">
        <v>-8.2799999999999999E-2</v>
      </c>
      <c r="F956" s="15">
        <v>0.1065</v>
      </c>
      <c r="G956" s="15">
        <v>0.437</v>
      </c>
      <c r="H956" s="15">
        <v>0.13270000000000001</v>
      </c>
      <c r="I956" s="15">
        <v>4.41E-2</v>
      </c>
      <c r="J956" s="15">
        <v>3.0090702947845811</v>
      </c>
    </row>
    <row r="957" spans="1:10" x14ac:dyDescent="0.25">
      <c r="A957" s="2" t="s">
        <v>2867</v>
      </c>
      <c r="B957" s="2" t="s">
        <v>2868</v>
      </c>
      <c r="C957" s="2" t="s">
        <v>2869</v>
      </c>
      <c r="D957" s="2" t="s">
        <v>10041</v>
      </c>
      <c r="E957" s="15">
        <v>4.4699999999999997E-2</v>
      </c>
      <c r="F957" s="15">
        <v>0.1004</v>
      </c>
      <c r="G957" s="15">
        <v>0.65620000000000001</v>
      </c>
      <c r="H957" s="15">
        <v>0.15409999999999999</v>
      </c>
      <c r="I957" s="15">
        <v>4.07E-2</v>
      </c>
      <c r="J957" s="15">
        <v>3.7862407862407861</v>
      </c>
    </row>
    <row r="958" spans="1:10" x14ac:dyDescent="0.25">
      <c r="A958" s="2" t="s">
        <v>2870</v>
      </c>
      <c r="B958" s="2" t="s">
        <v>2871</v>
      </c>
      <c r="C958" s="2" t="s">
        <v>2872</v>
      </c>
      <c r="D958" s="2" t="s">
        <v>10041</v>
      </c>
      <c r="E958" s="15">
        <v>4.1300000000000003E-2</v>
      </c>
      <c r="F958" s="15">
        <v>7.7600000000000002E-2</v>
      </c>
      <c r="G958" s="15">
        <v>0.59460000000000002</v>
      </c>
      <c r="H958" s="15">
        <v>0.19620000000000001</v>
      </c>
      <c r="I958" s="15">
        <v>4.7899999999999998E-2</v>
      </c>
      <c r="J958" s="15">
        <v>4.0960334029227559</v>
      </c>
    </row>
    <row r="959" spans="1:10" x14ac:dyDescent="0.25">
      <c r="A959" s="2" t="s">
        <v>2873</v>
      </c>
      <c r="B959" s="2" t="s">
        <v>2874</v>
      </c>
      <c r="C959" s="2" t="s">
        <v>2875</v>
      </c>
      <c r="D959" s="2" t="s">
        <v>10041</v>
      </c>
      <c r="E959" s="15">
        <v>3.1800000000000002E-2</v>
      </c>
      <c r="F959" s="15">
        <v>9.8599999999999993E-2</v>
      </c>
      <c r="G959" s="15">
        <v>0.74719999999999998</v>
      </c>
      <c r="H959" s="15">
        <v>0.10630000000000001</v>
      </c>
      <c r="I959" s="15">
        <v>3.8800000000000001E-2</v>
      </c>
      <c r="J959" s="15">
        <v>2.739690721649485</v>
      </c>
    </row>
    <row r="960" spans="1:10" x14ac:dyDescent="0.25">
      <c r="A960" s="2" t="s">
        <v>2876</v>
      </c>
      <c r="B960" s="2" t="s">
        <v>2877</v>
      </c>
      <c r="C960" s="2" t="s">
        <v>2878</v>
      </c>
      <c r="D960" s="2" t="s">
        <v>10041</v>
      </c>
      <c r="E960" s="15">
        <v>-3.5000000000000001E-3</v>
      </c>
      <c r="F960" s="15">
        <v>9.1800000000000007E-2</v>
      </c>
      <c r="G960" s="15">
        <v>0.96950000000000003</v>
      </c>
      <c r="H960" s="15">
        <v>0.13500000000000001</v>
      </c>
      <c r="I960" s="15">
        <v>4.1300000000000003E-2</v>
      </c>
      <c r="J960" s="15">
        <v>3.2687651331719132</v>
      </c>
    </row>
    <row r="961" spans="1:10" x14ac:dyDescent="0.25">
      <c r="A961" s="2" t="s">
        <v>2879</v>
      </c>
      <c r="B961" s="2" t="s">
        <v>2880</v>
      </c>
      <c r="C961" s="2" t="s">
        <v>2881</v>
      </c>
      <c r="D961" s="2" t="s">
        <v>10041</v>
      </c>
      <c r="E961" s="15">
        <v>0.21299999999999999</v>
      </c>
      <c r="F961" s="15">
        <v>9.7199999999999995E-2</v>
      </c>
      <c r="G961" s="15">
        <v>2.8400000000000002E-2</v>
      </c>
      <c r="H961" s="15">
        <v>0.1265</v>
      </c>
      <c r="I961" s="15">
        <v>4.1700000000000001E-2</v>
      </c>
      <c r="J961" s="15">
        <v>3.0335731414868099</v>
      </c>
    </row>
    <row r="962" spans="1:10" x14ac:dyDescent="0.25">
      <c r="A962" s="2" t="s">
        <v>2882</v>
      </c>
      <c r="B962" s="2" t="s">
        <v>2883</v>
      </c>
      <c r="C962" s="2" t="s">
        <v>2884</v>
      </c>
      <c r="D962" s="2" t="s">
        <v>10041</v>
      </c>
      <c r="E962" s="15">
        <v>-0.14430000000000001</v>
      </c>
      <c r="F962" s="15">
        <v>8.3599999999999994E-2</v>
      </c>
      <c r="G962" s="15">
        <v>8.4400000000000003E-2</v>
      </c>
      <c r="H962" s="15">
        <v>0.2069</v>
      </c>
      <c r="I962" s="15">
        <v>5.91E-2</v>
      </c>
      <c r="J962" s="15">
        <v>3.5008460236886632</v>
      </c>
    </row>
    <row r="963" spans="1:10" x14ac:dyDescent="0.25">
      <c r="A963" s="2" t="s">
        <v>2885</v>
      </c>
      <c r="B963" s="2" t="s">
        <v>2886</v>
      </c>
      <c r="C963" s="2" t="s">
        <v>2887</v>
      </c>
      <c r="D963" s="2" t="s">
        <v>10041</v>
      </c>
      <c r="E963" s="15">
        <v>-2E-3</v>
      </c>
      <c r="F963" s="15">
        <v>6.9800000000000001E-2</v>
      </c>
      <c r="G963" s="15">
        <v>0.9768</v>
      </c>
      <c r="H963" s="15">
        <v>0.24429999999999999</v>
      </c>
      <c r="I963" s="15">
        <v>4.8000000000000001E-2</v>
      </c>
      <c r="J963" s="15">
        <v>5.0895833333333327</v>
      </c>
    </row>
    <row r="964" spans="1:10" x14ac:dyDescent="0.25">
      <c r="A964" s="2" t="s">
        <v>2888</v>
      </c>
      <c r="B964" s="2" t="s">
        <v>2889</v>
      </c>
      <c r="C964" s="2" t="s">
        <v>2890</v>
      </c>
      <c r="D964" s="2" t="s">
        <v>10041</v>
      </c>
      <c r="E964" s="15">
        <v>-0.1643</v>
      </c>
      <c r="F964" s="15">
        <v>9.1899999999999996E-2</v>
      </c>
      <c r="G964" s="15">
        <v>7.3700000000000002E-2</v>
      </c>
      <c r="H964" s="15">
        <v>0.14360000000000001</v>
      </c>
      <c r="I964" s="15">
        <v>4.5199999999999997E-2</v>
      </c>
      <c r="J964" s="15">
        <v>3.1769911504424782</v>
      </c>
    </row>
    <row r="965" spans="1:10" x14ac:dyDescent="0.25">
      <c r="A965" s="2" t="s">
        <v>2891</v>
      </c>
      <c r="B965" s="2" t="s">
        <v>2892</v>
      </c>
      <c r="C965" s="2" t="s">
        <v>2893</v>
      </c>
      <c r="D965" s="2" t="s">
        <v>10041</v>
      </c>
      <c r="E965" s="15">
        <v>6.0900000000000003E-2</v>
      </c>
      <c r="F965" s="15">
        <v>0.1177</v>
      </c>
      <c r="G965" s="15">
        <v>0.60499999999999998</v>
      </c>
      <c r="H965" s="15">
        <v>9.5200000000000007E-2</v>
      </c>
      <c r="I965" s="15">
        <v>3.6900000000000002E-2</v>
      </c>
      <c r="J965" s="15">
        <v>2.579945799457994</v>
      </c>
    </row>
    <row r="966" spans="1:10" x14ac:dyDescent="0.25">
      <c r="A966" s="2" t="s">
        <v>2894</v>
      </c>
      <c r="B966" s="2" t="s">
        <v>2895</v>
      </c>
      <c r="C966" s="2" t="s">
        <v>2896</v>
      </c>
      <c r="D966" s="2" t="s">
        <v>10041</v>
      </c>
      <c r="E966" s="15">
        <v>-0.14230000000000001</v>
      </c>
      <c r="F966" s="15">
        <v>0.1026</v>
      </c>
      <c r="G966" s="15">
        <v>0.16569999999999999</v>
      </c>
      <c r="H966" s="15">
        <v>0.1145</v>
      </c>
      <c r="I966" s="15">
        <v>4.1200000000000001E-2</v>
      </c>
      <c r="J966" s="15">
        <v>2.779126213592233</v>
      </c>
    </row>
    <row r="967" spans="1:10" x14ac:dyDescent="0.25">
      <c r="A967" s="2" t="s">
        <v>2897</v>
      </c>
      <c r="B967" s="2" t="s">
        <v>2898</v>
      </c>
      <c r="C967" s="2" t="s">
        <v>2899</v>
      </c>
      <c r="D967" s="2" t="s">
        <v>10041</v>
      </c>
      <c r="E967" s="15">
        <v>-9.9699999999999997E-2</v>
      </c>
      <c r="F967" s="15">
        <v>8.4900000000000003E-2</v>
      </c>
      <c r="G967" s="15">
        <v>0.24060000000000001</v>
      </c>
      <c r="H967" s="15">
        <v>0.15579999999999999</v>
      </c>
      <c r="I967" s="15">
        <v>4.1200000000000001E-2</v>
      </c>
      <c r="J967" s="15">
        <v>3.7815533980582519</v>
      </c>
    </row>
    <row r="968" spans="1:10" x14ac:dyDescent="0.25">
      <c r="A968" s="2" t="s">
        <v>2900</v>
      </c>
      <c r="B968" s="2" t="s">
        <v>2901</v>
      </c>
      <c r="C968" s="2" t="s">
        <v>2902</v>
      </c>
      <c r="D968" s="2" t="s">
        <v>10041</v>
      </c>
      <c r="E968" s="15">
        <v>-2.4799999999999999E-2</v>
      </c>
      <c r="F968" s="15">
        <v>9.4899999999999998E-2</v>
      </c>
      <c r="G968" s="15">
        <v>0.79359999999999997</v>
      </c>
      <c r="H968" s="15">
        <v>0.1343</v>
      </c>
      <c r="I968" s="15">
        <v>3.8300000000000001E-2</v>
      </c>
      <c r="J968" s="15">
        <v>3.5065274151436032</v>
      </c>
    </row>
    <row r="969" spans="1:10" x14ac:dyDescent="0.25">
      <c r="A969" s="2" t="s">
        <v>2903</v>
      </c>
      <c r="B969" s="2" t="s">
        <v>2904</v>
      </c>
      <c r="C969" s="2" t="s">
        <v>2905</v>
      </c>
      <c r="D969" s="2" t="s">
        <v>10041</v>
      </c>
      <c r="E969" s="15">
        <v>2.1299999999999999E-2</v>
      </c>
      <c r="F969" s="15">
        <v>8.0699999999999994E-2</v>
      </c>
      <c r="G969" s="15">
        <v>0.79139999999999999</v>
      </c>
      <c r="H969" s="15">
        <v>0.1651</v>
      </c>
      <c r="I969" s="15">
        <v>4.2099999999999999E-2</v>
      </c>
      <c r="J969" s="15">
        <v>3.921615201900237</v>
      </c>
    </row>
    <row r="970" spans="1:10" x14ac:dyDescent="0.25">
      <c r="A970" s="2" t="s">
        <v>2906</v>
      </c>
      <c r="B970" s="2" t="s">
        <v>2907</v>
      </c>
      <c r="C970" s="2" t="s">
        <v>2908</v>
      </c>
      <c r="D970" s="2" t="s">
        <v>10041</v>
      </c>
      <c r="E970" s="15">
        <v>5.1799999999999999E-2</v>
      </c>
      <c r="F970" s="15">
        <v>0.1108</v>
      </c>
      <c r="G970" s="15">
        <v>0.6401</v>
      </c>
      <c r="H970" s="15">
        <v>0.10249999999999999</v>
      </c>
      <c r="I970" s="15">
        <v>3.9800000000000002E-2</v>
      </c>
      <c r="J970" s="15">
        <v>2.5753768844221101</v>
      </c>
    </row>
    <row r="971" spans="1:10" x14ac:dyDescent="0.25">
      <c r="A971" s="2" t="s">
        <v>2909</v>
      </c>
      <c r="B971" s="2" t="s">
        <v>2910</v>
      </c>
      <c r="C971" s="2" t="s">
        <v>2911</v>
      </c>
      <c r="D971" s="2" t="s">
        <v>10041</v>
      </c>
      <c r="E971" s="15">
        <v>-5.1900000000000002E-2</v>
      </c>
      <c r="F971" s="15">
        <v>0.10199999999999999</v>
      </c>
      <c r="G971" s="15">
        <v>0.61070000000000002</v>
      </c>
      <c r="H971" s="15">
        <v>0.122</v>
      </c>
      <c r="I971" s="15">
        <v>4.1200000000000001E-2</v>
      </c>
      <c r="J971" s="15">
        <v>2.9611650485436889</v>
      </c>
    </row>
    <row r="972" spans="1:10" x14ac:dyDescent="0.25">
      <c r="A972" s="2" t="s">
        <v>2912</v>
      </c>
      <c r="B972" s="2" t="s">
        <v>2913</v>
      </c>
      <c r="C972" s="2" t="s">
        <v>2914</v>
      </c>
      <c r="D972" s="2" t="s">
        <v>10041</v>
      </c>
      <c r="E972" s="15">
        <v>-8.9399999999999993E-2</v>
      </c>
      <c r="F972" s="15">
        <v>0.13550000000000001</v>
      </c>
      <c r="G972" s="15">
        <v>0.50939999999999996</v>
      </c>
      <c r="H972" s="15">
        <v>7.3800000000000004E-2</v>
      </c>
      <c r="I972" s="15">
        <v>3.5999999999999997E-2</v>
      </c>
      <c r="J972" s="15">
        <v>2.0499999999999998</v>
      </c>
    </row>
    <row r="973" spans="1:10" x14ac:dyDescent="0.25">
      <c r="A973" s="2" t="s">
        <v>2915</v>
      </c>
      <c r="B973" s="2" t="s">
        <v>2916</v>
      </c>
      <c r="C973" s="2" t="s">
        <v>2917</v>
      </c>
      <c r="D973" s="2" t="s">
        <v>10041</v>
      </c>
      <c r="E973" s="15">
        <v>-2.98E-2</v>
      </c>
      <c r="F973" s="15">
        <v>7.51E-2</v>
      </c>
      <c r="G973" s="15">
        <v>0.69130000000000003</v>
      </c>
      <c r="H973" s="15">
        <v>0.1678</v>
      </c>
      <c r="I973" s="15">
        <v>4.4900000000000002E-2</v>
      </c>
      <c r="J973" s="15">
        <v>3.7371937639198221</v>
      </c>
    </row>
    <row r="974" spans="1:10" x14ac:dyDescent="0.25">
      <c r="A974" s="2" t="s">
        <v>2918</v>
      </c>
      <c r="B974" s="2" t="s">
        <v>2919</v>
      </c>
      <c r="C974" s="2" t="s">
        <v>2920</v>
      </c>
      <c r="D974" s="2" t="s">
        <v>10041</v>
      </c>
      <c r="E974" s="15">
        <v>-0.16039999999999999</v>
      </c>
      <c r="F974" s="15">
        <v>8.0399999999999999E-2</v>
      </c>
      <c r="G974" s="15">
        <v>4.6100000000000002E-2</v>
      </c>
      <c r="H974" s="15">
        <v>0.1832</v>
      </c>
      <c r="I974" s="15">
        <v>3.7900000000000003E-2</v>
      </c>
      <c r="J974" s="15">
        <v>4.8337730870712399</v>
      </c>
    </row>
    <row r="975" spans="1:10" x14ac:dyDescent="0.25">
      <c r="A975" s="2" t="s">
        <v>2921</v>
      </c>
      <c r="B975" s="2" t="s">
        <v>2922</v>
      </c>
      <c r="C975" s="2" t="s">
        <v>2923</v>
      </c>
      <c r="D975" s="2" t="s">
        <v>10041</v>
      </c>
      <c r="E975" s="15">
        <v>-0.18740000000000001</v>
      </c>
      <c r="F975" s="15">
        <v>0.11509999999999999</v>
      </c>
      <c r="G975" s="15">
        <v>0.1036</v>
      </c>
      <c r="H975" s="15">
        <v>0.10630000000000001</v>
      </c>
      <c r="I975" s="15">
        <v>4.8000000000000001E-2</v>
      </c>
      <c r="J975" s="15">
        <v>2.214583333333334</v>
      </c>
    </row>
    <row r="976" spans="1:10" x14ac:dyDescent="0.25">
      <c r="A976" s="2" t="s">
        <v>2924</v>
      </c>
      <c r="B976" s="2" t="s">
        <v>2925</v>
      </c>
      <c r="C976" s="2" t="s">
        <v>2926</v>
      </c>
      <c r="D976" s="2" t="s">
        <v>10041</v>
      </c>
      <c r="E976" s="15">
        <v>-0.161</v>
      </c>
      <c r="F976" s="15">
        <v>7.8100000000000003E-2</v>
      </c>
      <c r="G976" s="15">
        <v>3.9199999999999999E-2</v>
      </c>
      <c r="H976" s="15">
        <v>0.19839999999999999</v>
      </c>
      <c r="I976" s="15">
        <v>4.5999999999999999E-2</v>
      </c>
      <c r="J976" s="15">
        <v>4.3130434782608704</v>
      </c>
    </row>
    <row r="977" spans="1:10" x14ac:dyDescent="0.25">
      <c r="A977" s="2" t="s">
        <v>2927</v>
      </c>
      <c r="B977" s="2" t="s">
        <v>2928</v>
      </c>
      <c r="C977" s="2" t="s">
        <v>2929</v>
      </c>
      <c r="D977" s="2" t="s">
        <v>10041</v>
      </c>
      <c r="E977" s="15">
        <v>-0.27060000000000001</v>
      </c>
      <c r="F977" s="15">
        <v>0.1008</v>
      </c>
      <c r="G977" s="15">
        <v>7.1999999999999998E-3</v>
      </c>
      <c r="H977" s="15">
        <v>0.14449999999999999</v>
      </c>
      <c r="I977" s="15">
        <v>4.41E-2</v>
      </c>
      <c r="J977" s="15">
        <v>3.2766439909297049</v>
      </c>
    </row>
    <row r="978" spans="1:10" x14ac:dyDescent="0.25">
      <c r="A978" s="2" t="s">
        <v>2930</v>
      </c>
      <c r="B978" s="2" t="s">
        <v>2931</v>
      </c>
      <c r="C978" s="2" t="s">
        <v>2932</v>
      </c>
      <c r="D978" s="2" t="s">
        <v>10041</v>
      </c>
      <c r="E978" s="15">
        <v>-4.7100000000000003E-2</v>
      </c>
      <c r="F978" s="15">
        <v>8.8999999999999996E-2</v>
      </c>
      <c r="G978" s="15">
        <v>0.59689999999999999</v>
      </c>
      <c r="H978" s="15">
        <v>0.1109</v>
      </c>
      <c r="I978" s="15">
        <v>4.24E-2</v>
      </c>
      <c r="J978" s="15">
        <v>2.6155660377358489</v>
      </c>
    </row>
    <row r="979" spans="1:10" x14ac:dyDescent="0.25">
      <c r="A979" s="2" t="s">
        <v>2933</v>
      </c>
      <c r="B979" s="2" t="s">
        <v>2934</v>
      </c>
      <c r="C979" s="2" t="s">
        <v>2935</v>
      </c>
      <c r="D979" s="2" t="s">
        <v>10041</v>
      </c>
      <c r="E979" s="15">
        <v>-0.22520000000000001</v>
      </c>
      <c r="F979" s="15">
        <v>0.15229999999999999</v>
      </c>
      <c r="G979" s="15">
        <v>0.13919999999999999</v>
      </c>
      <c r="H979" s="15">
        <v>6.3100000000000003E-2</v>
      </c>
      <c r="I979" s="15">
        <v>3.4500000000000003E-2</v>
      </c>
      <c r="J979" s="15">
        <v>1.828985507246377</v>
      </c>
    </row>
    <row r="980" spans="1:10" x14ac:dyDescent="0.25">
      <c r="A980" s="2" t="s">
        <v>2936</v>
      </c>
      <c r="B980" s="2" t="s">
        <v>2937</v>
      </c>
      <c r="C980" s="2" t="s">
        <v>2938</v>
      </c>
      <c r="D980" s="2" t="s">
        <v>10041</v>
      </c>
      <c r="E980" s="15">
        <v>0.1142</v>
      </c>
      <c r="F980" s="15">
        <v>8.9399999999999993E-2</v>
      </c>
      <c r="G980" s="15">
        <v>0.20119999999999999</v>
      </c>
      <c r="H980" s="15">
        <v>0.14330000000000001</v>
      </c>
      <c r="I980" s="15">
        <v>4.0800000000000003E-2</v>
      </c>
      <c r="J980" s="15">
        <v>3.5122549019607838</v>
      </c>
    </row>
    <row r="981" spans="1:10" x14ac:dyDescent="0.25">
      <c r="A981" s="2" t="s">
        <v>2939</v>
      </c>
      <c r="B981" s="2" t="s">
        <v>2940</v>
      </c>
      <c r="C981" s="2" t="s">
        <v>2941</v>
      </c>
      <c r="D981" s="2" t="s">
        <v>10041</v>
      </c>
      <c r="E981" s="15">
        <v>2.9100000000000001E-2</v>
      </c>
      <c r="F981" s="15">
        <v>7.4999999999999997E-2</v>
      </c>
      <c r="G981" s="15">
        <v>0.69740000000000002</v>
      </c>
      <c r="H981" s="15">
        <v>0.20930000000000001</v>
      </c>
      <c r="I981" s="15">
        <v>6.5000000000000002E-2</v>
      </c>
      <c r="J981" s="15">
        <v>3.22</v>
      </c>
    </row>
    <row r="982" spans="1:10" x14ac:dyDescent="0.25">
      <c r="A982" s="2" t="s">
        <v>2942</v>
      </c>
      <c r="B982" s="2" t="s">
        <v>2943</v>
      </c>
      <c r="C982" s="2" t="s">
        <v>2944</v>
      </c>
      <c r="D982" s="2" t="s">
        <v>10041</v>
      </c>
      <c r="E982" s="15">
        <v>0.1915</v>
      </c>
      <c r="F982" s="15">
        <v>0.1668</v>
      </c>
      <c r="G982" s="15">
        <v>0.25090000000000001</v>
      </c>
      <c r="H982" s="15">
        <v>5.16E-2</v>
      </c>
      <c r="I982" s="15">
        <v>3.7699999999999997E-2</v>
      </c>
      <c r="J982" s="15">
        <v>1.36870026525199</v>
      </c>
    </row>
    <row r="983" spans="1:10" x14ac:dyDescent="0.25">
      <c r="A983" s="2" t="s">
        <v>2945</v>
      </c>
      <c r="B983" s="2" t="s">
        <v>2946</v>
      </c>
      <c r="C983" s="2" t="s">
        <v>2947</v>
      </c>
      <c r="D983" s="2" t="s">
        <v>10041</v>
      </c>
      <c r="E983" s="15">
        <v>-5.3199999999999997E-2</v>
      </c>
      <c r="F983" s="15">
        <v>8.9300000000000004E-2</v>
      </c>
      <c r="G983" s="15">
        <v>0.55189999999999995</v>
      </c>
      <c r="H983" s="15">
        <v>0.1186</v>
      </c>
      <c r="I983" s="15">
        <v>3.8399999999999997E-2</v>
      </c>
      <c r="J983" s="15">
        <v>3.088541666666667</v>
      </c>
    </row>
    <row r="984" spans="1:10" x14ac:dyDescent="0.25">
      <c r="A984" s="2" t="s">
        <v>2948</v>
      </c>
      <c r="B984" s="2" t="s">
        <v>2949</v>
      </c>
      <c r="C984" s="2" t="s">
        <v>2950</v>
      </c>
      <c r="D984" s="2" t="s">
        <v>10041</v>
      </c>
      <c r="E984" s="15">
        <v>-6.4399999999999999E-2</v>
      </c>
      <c r="F984" s="15">
        <v>8.7300000000000003E-2</v>
      </c>
      <c r="G984" s="15">
        <v>0.46100000000000002</v>
      </c>
      <c r="H984" s="15">
        <v>0.15659999999999999</v>
      </c>
      <c r="I984" s="15">
        <v>3.8100000000000002E-2</v>
      </c>
      <c r="J984" s="15">
        <v>4.1102362204724407</v>
      </c>
    </row>
    <row r="985" spans="1:10" x14ac:dyDescent="0.25">
      <c r="A985" s="2" t="s">
        <v>2951</v>
      </c>
      <c r="B985" s="2" t="s">
        <v>2952</v>
      </c>
      <c r="C985" s="2" t="s">
        <v>2953</v>
      </c>
      <c r="D985" s="2" t="s">
        <v>10041</v>
      </c>
      <c r="E985" s="15">
        <v>-0.21479999999999999</v>
      </c>
      <c r="F985" s="15">
        <v>8.0500000000000002E-2</v>
      </c>
      <c r="G985" s="15">
        <v>7.6E-3</v>
      </c>
      <c r="H985" s="15">
        <v>0.2021</v>
      </c>
      <c r="I985" s="15">
        <v>4.5400000000000003E-2</v>
      </c>
      <c r="J985" s="15">
        <v>4.4515418502202637</v>
      </c>
    </row>
    <row r="986" spans="1:10" x14ac:dyDescent="0.25">
      <c r="A986" s="2" t="s">
        <v>2954</v>
      </c>
      <c r="B986" s="2" t="s">
        <v>2955</v>
      </c>
      <c r="C986" s="2" t="s">
        <v>2956</v>
      </c>
      <c r="D986" s="2" t="s">
        <v>10041</v>
      </c>
      <c r="E986" s="15">
        <v>9.7299999999999998E-2</v>
      </c>
      <c r="F986" s="15">
        <v>0.13389999999999999</v>
      </c>
      <c r="G986" s="15">
        <v>0.46739999999999998</v>
      </c>
      <c r="H986" s="15">
        <v>7.3300000000000004E-2</v>
      </c>
      <c r="I986" s="15">
        <v>3.5499999999999997E-2</v>
      </c>
      <c r="J986" s="15">
        <v>2.064788732394367</v>
      </c>
    </row>
    <row r="987" spans="1:10" x14ac:dyDescent="0.25">
      <c r="A987" s="2" t="s">
        <v>2957</v>
      </c>
      <c r="B987" s="2" t="s">
        <v>2958</v>
      </c>
      <c r="C987" s="2" t="s">
        <v>2959</v>
      </c>
      <c r="D987" s="2" t="s">
        <v>10041</v>
      </c>
      <c r="E987" s="15">
        <v>0.30959999999999999</v>
      </c>
      <c r="F987" s="15">
        <v>0.58899999999999997</v>
      </c>
      <c r="G987" s="15">
        <v>0.59909999999999997</v>
      </c>
      <c r="H987" s="15">
        <v>1.3599999999999999E-2</v>
      </c>
      <c r="I987" s="15">
        <v>3.7400000000000003E-2</v>
      </c>
      <c r="J987" s="15">
        <v>0.36363636363636359</v>
      </c>
    </row>
    <row r="988" spans="1:10" x14ac:dyDescent="0.25">
      <c r="A988" s="2" t="s">
        <v>2960</v>
      </c>
      <c r="B988" s="2" t="s">
        <v>2961</v>
      </c>
      <c r="C988" s="2" t="s">
        <v>2962</v>
      </c>
      <c r="D988" s="2" t="s">
        <v>10041</v>
      </c>
      <c r="E988" s="15">
        <v>9.7799999999999998E-2</v>
      </c>
      <c r="F988" s="15">
        <v>7.6799999999999993E-2</v>
      </c>
      <c r="G988" s="15">
        <v>0.2029</v>
      </c>
      <c r="H988" s="15">
        <v>0.20150000000000001</v>
      </c>
      <c r="I988" s="15">
        <v>4.1700000000000001E-2</v>
      </c>
      <c r="J988" s="15">
        <v>4.8321342925659474</v>
      </c>
    </row>
    <row r="989" spans="1:10" x14ac:dyDescent="0.25">
      <c r="A989" s="2" t="s">
        <v>2963</v>
      </c>
      <c r="B989" s="2" t="s">
        <v>2964</v>
      </c>
      <c r="C989" s="2" t="s">
        <v>2965</v>
      </c>
      <c r="D989" s="2" t="s">
        <v>10041</v>
      </c>
      <c r="E989" s="15">
        <v>-1.78E-2</v>
      </c>
      <c r="F989" s="15">
        <v>7.2300000000000003E-2</v>
      </c>
      <c r="G989" s="15">
        <v>0.80610000000000004</v>
      </c>
      <c r="H989" s="15">
        <v>0.21870000000000001</v>
      </c>
      <c r="I989" s="15">
        <v>4.4499999999999998E-2</v>
      </c>
      <c r="J989" s="15">
        <v>4.9146067415730341</v>
      </c>
    </row>
    <row r="990" spans="1:10" x14ac:dyDescent="0.25">
      <c r="A990" s="2" t="s">
        <v>2966</v>
      </c>
      <c r="B990" s="2" t="s">
        <v>2967</v>
      </c>
      <c r="C990" s="2" t="s">
        <v>2968</v>
      </c>
      <c r="D990" s="2" t="s">
        <v>10041</v>
      </c>
      <c r="E990" s="15">
        <v>-4.4699999999999997E-2</v>
      </c>
      <c r="F990" s="15">
        <v>7.2800000000000004E-2</v>
      </c>
      <c r="G990" s="15">
        <v>0.53869999999999996</v>
      </c>
      <c r="H990" s="15">
        <v>0.23430000000000001</v>
      </c>
      <c r="I990" s="15">
        <v>3.7699999999999997E-2</v>
      </c>
      <c r="J990" s="15">
        <v>6.2148541114058364</v>
      </c>
    </row>
    <row r="991" spans="1:10" x14ac:dyDescent="0.25">
      <c r="A991" s="2" t="s">
        <v>2969</v>
      </c>
      <c r="B991" s="2" t="s">
        <v>2970</v>
      </c>
      <c r="C991" s="2" t="s">
        <v>2971</v>
      </c>
      <c r="D991" s="2" t="s">
        <v>10041</v>
      </c>
      <c r="E991" s="15">
        <v>7.0599999999999996E-2</v>
      </c>
      <c r="F991" s="15">
        <v>6.4899999999999999E-2</v>
      </c>
      <c r="G991" s="15">
        <v>0.27710000000000001</v>
      </c>
      <c r="H991" s="15">
        <v>0.26929999999999998</v>
      </c>
      <c r="I991" s="15">
        <v>5.4699999999999999E-2</v>
      </c>
      <c r="J991" s="15">
        <v>4.9232175502742228</v>
      </c>
    </row>
    <row r="992" spans="1:10" x14ac:dyDescent="0.25">
      <c r="A992" s="2" t="s">
        <v>2972</v>
      </c>
      <c r="B992" s="2" t="s">
        <v>2973</v>
      </c>
      <c r="C992" s="2" t="s">
        <v>2974</v>
      </c>
      <c r="D992" s="2" t="s">
        <v>10041</v>
      </c>
      <c r="E992" s="15">
        <v>-4.2599999999999999E-2</v>
      </c>
      <c r="F992" s="15">
        <v>7.1900000000000006E-2</v>
      </c>
      <c r="G992" s="15">
        <v>0.5534</v>
      </c>
      <c r="H992" s="15">
        <v>0.24149999999999999</v>
      </c>
      <c r="I992" s="15">
        <v>5.62E-2</v>
      </c>
      <c r="J992" s="15">
        <v>4.2971530249110321</v>
      </c>
    </row>
    <row r="993" spans="1:10" x14ac:dyDescent="0.25">
      <c r="A993" s="2" t="s">
        <v>2975</v>
      </c>
      <c r="B993" s="2" t="s">
        <v>2976</v>
      </c>
      <c r="C993" s="2" t="s">
        <v>2977</v>
      </c>
      <c r="D993" s="2" t="s">
        <v>10041</v>
      </c>
      <c r="E993" s="15">
        <v>-2.2100000000000002E-2</v>
      </c>
      <c r="F993" s="15">
        <v>8.3000000000000004E-2</v>
      </c>
      <c r="G993" s="15">
        <v>0.78990000000000005</v>
      </c>
      <c r="H993" s="15">
        <v>0.16189999999999999</v>
      </c>
      <c r="I993" s="15">
        <v>4.3200000000000002E-2</v>
      </c>
      <c r="J993" s="15">
        <v>3.7476851851851851</v>
      </c>
    </row>
    <row r="994" spans="1:10" x14ac:dyDescent="0.25">
      <c r="A994" s="2" t="s">
        <v>2978</v>
      </c>
      <c r="B994" s="2" t="s">
        <v>2979</v>
      </c>
      <c r="C994" s="2" t="s">
        <v>2980</v>
      </c>
      <c r="D994" s="2" t="s">
        <v>10041</v>
      </c>
      <c r="E994" s="15">
        <v>-0.1552</v>
      </c>
      <c r="F994" s="15">
        <v>0.12609999999999999</v>
      </c>
      <c r="G994" s="15">
        <v>0.21859999999999999</v>
      </c>
      <c r="H994" s="15">
        <v>8.0100000000000005E-2</v>
      </c>
      <c r="I994" s="15">
        <v>3.7400000000000003E-2</v>
      </c>
      <c r="J994" s="15">
        <v>2.141711229946524</v>
      </c>
    </row>
    <row r="995" spans="1:10" x14ac:dyDescent="0.25">
      <c r="A995" s="2" t="s">
        <v>2981</v>
      </c>
      <c r="B995" s="2" t="s">
        <v>2982</v>
      </c>
      <c r="C995" s="2" t="s">
        <v>2983</v>
      </c>
      <c r="D995" s="2" t="s">
        <v>10041</v>
      </c>
      <c r="E995" s="15">
        <v>4.0300000000000002E-2</v>
      </c>
      <c r="F995" s="15">
        <v>8.2500000000000004E-2</v>
      </c>
      <c r="G995" s="15">
        <v>0.62539999999999996</v>
      </c>
      <c r="H995" s="15">
        <v>0.1618</v>
      </c>
      <c r="I995" s="15">
        <v>4.1200000000000001E-2</v>
      </c>
      <c r="J995" s="15">
        <v>3.9271844660194168</v>
      </c>
    </row>
    <row r="996" spans="1:10" x14ac:dyDescent="0.25">
      <c r="A996" s="2" t="s">
        <v>2984</v>
      </c>
      <c r="B996" s="2" t="s">
        <v>2985</v>
      </c>
      <c r="C996" s="2" t="s">
        <v>2986</v>
      </c>
      <c r="D996" s="2" t="s">
        <v>10041</v>
      </c>
      <c r="E996" s="15">
        <v>-6.6E-3</v>
      </c>
      <c r="F996" s="15">
        <v>8.5000000000000006E-2</v>
      </c>
      <c r="G996" s="15">
        <v>0.93789999999999996</v>
      </c>
      <c r="H996" s="15">
        <v>0.16</v>
      </c>
      <c r="I996" s="15">
        <v>4.1700000000000001E-2</v>
      </c>
      <c r="J996" s="15">
        <v>3.8369304556354922</v>
      </c>
    </row>
    <row r="997" spans="1:10" x14ac:dyDescent="0.25">
      <c r="A997" s="2" t="s">
        <v>2987</v>
      </c>
      <c r="B997" s="2" t="s">
        <v>2988</v>
      </c>
      <c r="C997" s="2" t="s">
        <v>2989</v>
      </c>
      <c r="D997" s="2" t="s">
        <v>10041</v>
      </c>
      <c r="E997" s="15">
        <v>8.09E-2</v>
      </c>
      <c r="F997" s="15">
        <v>8.6900000000000005E-2</v>
      </c>
      <c r="G997" s="15">
        <v>0.35210000000000002</v>
      </c>
      <c r="H997" s="15">
        <v>0.17100000000000001</v>
      </c>
      <c r="I997" s="15">
        <v>4.2299999999999997E-2</v>
      </c>
      <c r="J997" s="15">
        <v>4.042553191489362</v>
      </c>
    </row>
    <row r="998" spans="1:10" x14ac:dyDescent="0.25">
      <c r="A998" s="2" t="s">
        <v>2990</v>
      </c>
      <c r="B998" s="2" t="s">
        <v>2991</v>
      </c>
      <c r="C998" s="2" t="s">
        <v>2992</v>
      </c>
      <c r="D998" s="2" t="s">
        <v>10041</v>
      </c>
      <c r="E998" s="15">
        <v>-9.2899999999999996E-2</v>
      </c>
      <c r="F998" s="15">
        <v>0.1132</v>
      </c>
      <c r="G998" s="15">
        <v>0.4118</v>
      </c>
      <c r="H998" s="15">
        <v>8.1100000000000005E-2</v>
      </c>
      <c r="I998" s="15">
        <v>4.3499999999999997E-2</v>
      </c>
      <c r="J998" s="15">
        <v>1.8643678160919539</v>
      </c>
    </row>
    <row r="999" spans="1:10" x14ac:dyDescent="0.25">
      <c r="A999" s="2" t="s">
        <v>2993</v>
      </c>
      <c r="B999" s="2" t="s">
        <v>2994</v>
      </c>
      <c r="C999" s="2" t="s">
        <v>2995</v>
      </c>
      <c r="D999" s="2" t="s">
        <v>10041</v>
      </c>
      <c r="E999" s="15">
        <v>2.87E-2</v>
      </c>
      <c r="F999" s="15">
        <v>8.6999999999999994E-2</v>
      </c>
      <c r="G999" s="15">
        <v>0.74180000000000001</v>
      </c>
      <c r="H999" s="15">
        <v>0.19520000000000001</v>
      </c>
      <c r="I999" s="15">
        <v>3.8699999999999998E-2</v>
      </c>
      <c r="J999" s="15">
        <v>5.043927648578812</v>
      </c>
    </row>
    <row r="1000" spans="1:10" x14ac:dyDescent="0.25">
      <c r="A1000" s="2" t="s">
        <v>2996</v>
      </c>
      <c r="B1000" s="2" t="s">
        <v>2997</v>
      </c>
      <c r="C1000" s="2" t="s">
        <v>2998</v>
      </c>
      <c r="D1000" s="2" t="s">
        <v>10041</v>
      </c>
      <c r="E1000" s="15">
        <v>-1.41E-2</v>
      </c>
      <c r="F1000" s="15">
        <v>0.13250000000000001</v>
      </c>
      <c r="G1000" s="15">
        <v>0.91549999999999998</v>
      </c>
      <c r="H1000" s="15">
        <v>6.0499999999999998E-2</v>
      </c>
      <c r="I1000" s="15">
        <v>4.2500000000000003E-2</v>
      </c>
      <c r="J1000" s="15">
        <v>1.4235294117647059</v>
      </c>
    </row>
    <row r="1001" spans="1:10" x14ac:dyDescent="0.25">
      <c r="A1001" s="2" t="s">
        <v>2999</v>
      </c>
      <c r="B1001" s="2" t="s">
        <v>3000</v>
      </c>
      <c r="C1001" s="2" t="s">
        <v>3001</v>
      </c>
      <c r="D1001" s="2" t="s">
        <v>10041</v>
      </c>
      <c r="E1001" s="15">
        <v>5.1999999999999998E-3</v>
      </c>
      <c r="F1001" s="15">
        <v>9.2399999999999996E-2</v>
      </c>
      <c r="G1001" s="15">
        <v>0.95479999999999998</v>
      </c>
      <c r="H1001" s="15">
        <v>0.1366</v>
      </c>
      <c r="I1001" s="15">
        <v>4.3299999999999998E-2</v>
      </c>
      <c r="J1001" s="15">
        <v>3.1547344110854501</v>
      </c>
    </row>
    <row r="1002" spans="1:10" x14ac:dyDescent="0.25">
      <c r="A1002" s="2" t="s">
        <v>3002</v>
      </c>
      <c r="B1002" s="2" t="s">
        <v>3003</v>
      </c>
      <c r="C1002" s="2" t="s">
        <v>3004</v>
      </c>
      <c r="D1002" s="2" t="s">
        <v>10041</v>
      </c>
      <c r="E1002" s="15">
        <v>0.1928</v>
      </c>
      <c r="F1002" s="15">
        <v>0.19139999999999999</v>
      </c>
      <c r="G1002" s="15">
        <v>0.31380000000000002</v>
      </c>
      <c r="H1002" s="15">
        <v>3.1E-2</v>
      </c>
      <c r="I1002" s="15">
        <v>3.39E-2</v>
      </c>
      <c r="J1002" s="15">
        <v>0.91445427728613571</v>
      </c>
    </row>
    <row r="1003" spans="1:10" x14ac:dyDescent="0.25">
      <c r="A1003" s="2" t="s">
        <v>3005</v>
      </c>
      <c r="B1003" s="2" t="s">
        <v>3006</v>
      </c>
      <c r="C1003" s="2" t="s">
        <v>3007</v>
      </c>
      <c r="D1003" s="2" t="s">
        <v>10041</v>
      </c>
      <c r="E1003" s="15">
        <v>-0.1265</v>
      </c>
      <c r="F1003" s="15">
        <v>0.14380000000000001</v>
      </c>
      <c r="G1003" s="15">
        <v>0.37919999999999998</v>
      </c>
      <c r="H1003" s="15">
        <v>6.0400000000000002E-2</v>
      </c>
      <c r="I1003" s="15">
        <v>3.6999999999999998E-2</v>
      </c>
      <c r="J1003" s="15">
        <v>1.6324324324324331</v>
      </c>
    </row>
    <row r="1004" spans="1:10" x14ac:dyDescent="0.25">
      <c r="A1004" s="2" t="s">
        <v>3008</v>
      </c>
      <c r="B1004" s="2" t="s">
        <v>3009</v>
      </c>
      <c r="C1004" s="2" t="s">
        <v>3010</v>
      </c>
      <c r="D1004" s="2" t="s">
        <v>10041</v>
      </c>
      <c r="E1004" s="15">
        <v>-1.3899999999999999E-2</v>
      </c>
      <c r="F1004" s="15">
        <v>8.2699999999999996E-2</v>
      </c>
      <c r="G1004" s="15">
        <v>0.86619999999999997</v>
      </c>
      <c r="H1004" s="15">
        <v>0.15640000000000001</v>
      </c>
      <c r="I1004" s="15">
        <v>3.8600000000000002E-2</v>
      </c>
      <c r="J1004" s="15">
        <v>4.0518134715025909</v>
      </c>
    </row>
    <row r="1005" spans="1:10" x14ac:dyDescent="0.25">
      <c r="A1005" s="2" t="s">
        <v>3011</v>
      </c>
      <c r="B1005" s="2" t="s">
        <v>3012</v>
      </c>
      <c r="C1005" s="2" t="s">
        <v>3013</v>
      </c>
      <c r="D1005" s="2" t="s">
        <v>10041</v>
      </c>
      <c r="E1005" s="15">
        <v>-7.8700000000000006E-2</v>
      </c>
      <c r="F1005" s="15">
        <v>0.1114</v>
      </c>
      <c r="G1005" s="15">
        <v>0.4798</v>
      </c>
      <c r="H1005" s="15">
        <v>8.72E-2</v>
      </c>
      <c r="I1005" s="15">
        <v>3.8399999999999997E-2</v>
      </c>
      <c r="J1005" s="15">
        <v>2.270833333333333</v>
      </c>
    </row>
    <row r="1006" spans="1:10" x14ac:dyDescent="0.25">
      <c r="A1006" s="2" t="s">
        <v>3014</v>
      </c>
      <c r="B1006" s="2" t="s">
        <v>3015</v>
      </c>
      <c r="C1006" s="2" t="s">
        <v>3016</v>
      </c>
      <c r="D1006" s="2" t="s">
        <v>10041</v>
      </c>
      <c r="E1006" s="15">
        <v>-0.18679999999999999</v>
      </c>
      <c r="F1006" s="15">
        <v>0.1226</v>
      </c>
      <c r="G1006" s="15">
        <v>0.12770000000000001</v>
      </c>
      <c r="H1006" s="15">
        <v>0.08</v>
      </c>
      <c r="I1006" s="15">
        <v>3.9699999999999999E-2</v>
      </c>
      <c r="J1006" s="15">
        <v>2.0151133501259451</v>
      </c>
    </row>
    <row r="1007" spans="1:10" x14ac:dyDescent="0.25">
      <c r="A1007" s="2" t="s">
        <v>3017</v>
      </c>
      <c r="B1007" s="2" t="s">
        <v>3018</v>
      </c>
      <c r="C1007" s="2" t="s">
        <v>3019</v>
      </c>
      <c r="D1007" s="2" t="s">
        <v>10041</v>
      </c>
      <c r="E1007" s="15">
        <v>-2.8500000000000001E-2</v>
      </c>
      <c r="F1007" s="15">
        <v>8.5099999999999995E-2</v>
      </c>
      <c r="G1007" s="15">
        <v>0.73819999999999997</v>
      </c>
      <c r="H1007" s="15">
        <v>0.14560000000000001</v>
      </c>
      <c r="I1007" s="15">
        <v>3.5000000000000003E-2</v>
      </c>
      <c r="J1007" s="15">
        <v>4.16</v>
      </c>
    </row>
    <row r="1008" spans="1:10" x14ac:dyDescent="0.25">
      <c r="A1008" s="2" t="s">
        <v>3020</v>
      </c>
      <c r="B1008" s="2" t="s">
        <v>3021</v>
      </c>
      <c r="C1008" s="2" t="s">
        <v>3022</v>
      </c>
      <c r="D1008" s="2" t="s">
        <v>10041</v>
      </c>
      <c r="E1008" s="15">
        <v>-0.1041</v>
      </c>
      <c r="F1008" s="15">
        <v>0.12770000000000001</v>
      </c>
      <c r="G1008" s="15">
        <v>0.4148</v>
      </c>
      <c r="H1008" s="15">
        <v>8.8499999999999995E-2</v>
      </c>
      <c r="I1008" s="15">
        <v>3.8600000000000002E-2</v>
      </c>
      <c r="J1008" s="15">
        <v>2.292746113989637</v>
      </c>
    </row>
    <row r="1009" spans="1:10" x14ac:dyDescent="0.25">
      <c r="A1009" s="2" t="s">
        <v>3023</v>
      </c>
      <c r="B1009" s="2" t="s">
        <v>3024</v>
      </c>
      <c r="C1009" s="2" t="s">
        <v>3025</v>
      </c>
      <c r="D1009" s="2" t="s">
        <v>10041</v>
      </c>
      <c r="E1009" s="15">
        <v>-4.1999999999999997E-3</v>
      </c>
      <c r="F1009" s="15">
        <v>0.1132</v>
      </c>
      <c r="G1009" s="15">
        <v>0.97050000000000003</v>
      </c>
      <c r="H1009" s="15">
        <v>8.6300000000000002E-2</v>
      </c>
      <c r="I1009" s="15">
        <v>3.6499999999999998E-2</v>
      </c>
      <c r="J1009" s="15">
        <v>2.364383561643836</v>
      </c>
    </row>
    <row r="1010" spans="1:10" x14ac:dyDescent="0.25">
      <c r="A1010" s="2" t="s">
        <v>3026</v>
      </c>
      <c r="B1010" s="2" t="s">
        <v>3027</v>
      </c>
      <c r="C1010" s="2" t="s">
        <v>3028</v>
      </c>
      <c r="D1010" s="2" t="s">
        <v>10041</v>
      </c>
      <c r="E1010" s="15">
        <v>-6.8900000000000003E-2</v>
      </c>
      <c r="F1010" s="15">
        <v>7.7200000000000005E-2</v>
      </c>
      <c r="G1010" s="15">
        <v>0.37240000000000001</v>
      </c>
      <c r="H1010" s="15">
        <v>0.18160000000000001</v>
      </c>
      <c r="I1010" s="15">
        <v>4.1399999999999999E-2</v>
      </c>
      <c r="J1010" s="15">
        <v>4.3864734299516908</v>
      </c>
    </row>
    <row r="1011" spans="1:10" x14ac:dyDescent="0.25">
      <c r="A1011" s="2" t="s">
        <v>3029</v>
      </c>
      <c r="B1011" s="2" t="s">
        <v>3030</v>
      </c>
      <c r="C1011" s="2" t="s">
        <v>3031</v>
      </c>
      <c r="D1011" s="2" t="s">
        <v>10041</v>
      </c>
      <c r="E1011" s="15">
        <v>8.0999999999999996E-3</v>
      </c>
      <c r="F1011" s="15">
        <v>7.1099999999999997E-2</v>
      </c>
      <c r="G1011" s="15">
        <v>0.90949999999999998</v>
      </c>
      <c r="H1011" s="15">
        <v>0.2341</v>
      </c>
      <c r="I1011" s="15">
        <v>4.2500000000000003E-2</v>
      </c>
      <c r="J1011" s="15">
        <v>5.5082352941176467</v>
      </c>
    </row>
    <row r="1012" spans="1:10" x14ac:dyDescent="0.25">
      <c r="A1012" s="2" t="s">
        <v>3032</v>
      </c>
      <c r="B1012" s="2" t="s">
        <v>3033</v>
      </c>
      <c r="C1012" s="2" t="s">
        <v>3034</v>
      </c>
      <c r="D1012" s="2" t="s">
        <v>10041</v>
      </c>
      <c r="E1012" s="15">
        <v>1.24E-2</v>
      </c>
      <c r="F1012" s="15">
        <v>7.1499999999999994E-2</v>
      </c>
      <c r="G1012" s="15">
        <v>0.86199999999999999</v>
      </c>
      <c r="H1012" s="15">
        <v>0.21729999999999999</v>
      </c>
      <c r="I1012" s="15">
        <v>4.2000000000000003E-2</v>
      </c>
      <c r="J1012" s="15">
        <v>5.1738095238095232</v>
      </c>
    </row>
    <row r="1013" spans="1:10" x14ac:dyDescent="0.25">
      <c r="A1013" s="2" t="s">
        <v>3035</v>
      </c>
      <c r="B1013" s="2" t="s">
        <v>3036</v>
      </c>
      <c r="C1013" s="2" t="s">
        <v>3037</v>
      </c>
      <c r="D1013" s="2" t="s">
        <v>10041</v>
      </c>
      <c r="E1013" s="15">
        <v>7.4999999999999997E-3</v>
      </c>
      <c r="F1013" s="15">
        <v>9.4799999999999995E-2</v>
      </c>
      <c r="G1013" s="15">
        <v>0.93669999999999998</v>
      </c>
      <c r="H1013" s="15">
        <v>0.12690000000000001</v>
      </c>
      <c r="I1013" s="15">
        <v>4.2000000000000003E-2</v>
      </c>
      <c r="J1013" s="15">
        <v>3.0214285714285709</v>
      </c>
    </row>
    <row r="1014" spans="1:10" x14ac:dyDescent="0.25">
      <c r="A1014" s="2" t="s">
        <v>3038</v>
      </c>
      <c r="B1014" s="2" t="s">
        <v>3039</v>
      </c>
      <c r="C1014" s="2" t="s">
        <v>3040</v>
      </c>
      <c r="D1014" s="2" t="s">
        <v>10041</v>
      </c>
      <c r="E1014" s="15">
        <v>-0.30380000000000001</v>
      </c>
      <c r="F1014" s="15">
        <v>0.11409999999999999</v>
      </c>
      <c r="G1014" s="15">
        <v>7.7000000000000002E-3</v>
      </c>
      <c r="H1014" s="15">
        <v>9.5600000000000004E-2</v>
      </c>
      <c r="I1014" s="15">
        <v>4.0899999999999999E-2</v>
      </c>
      <c r="J1014" s="15">
        <v>2.337408312958436</v>
      </c>
    </row>
    <row r="1015" spans="1:10" x14ac:dyDescent="0.25">
      <c r="A1015" s="2" t="s">
        <v>3041</v>
      </c>
      <c r="B1015" s="2" t="s">
        <v>3042</v>
      </c>
      <c r="C1015" s="2" t="s">
        <v>3043</v>
      </c>
      <c r="D1015" s="2" t="s">
        <v>10041</v>
      </c>
      <c r="E1015" s="15">
        <v>-5.5899999999999998E-2</v>
      </c>
      <c r="F1015" s="15">
        <v>9.2899999999999996E-2</v>
      </c>
      <c r="G1015" s="15">
        <v>0.54710000000000003</v>
      </c>
      <c r="H1015" s="15">
        <v>0.13070000000000001</v>
      </c>
      <c r="I1015" s="15">
        <v>4.02E-2</v>
      </c>
      <c r="J1015" s="15">
        <v>3.2512437810945278</v>
      </c>
    </row>
    <row r="1016" spans="1:10" x14ac:dyDescent="0.25">
      <c r="A1016" s="2" t="s">
        <v>3044</v>
      </c>
      <c r="B1016" s="2" t="s">
        <v>3045</v>
      </c>
      <c r="C1016" s="2" t="s">
        <v>3046</v>
      </c>
      <c r="D1016" s="2" t="s">
        <v>10041</v>
      </c>
      <c r="E1016" s="15">
        <v>-0.19400000000000001</v>
      </c>
      <c r="F1016" s="15">
        <v>0.12039999999999999</v>
      </c>
      <c r="G1016" s="15">
        <v>0.1071</v>
      </c>
      <c r="H1016" s="15">
        <v>7.7700000000000005E-2</v>
      </c>
      <c r="I1016" s="15">
        <v>3.8600000000000002E-2</v>
      </c>
      <c r="J1016" s="15">
        <v>2.0129533678756482</v>
      </c>
    </row>
    <row r="1017" spans="1:10" x14ac:dyDescent="0.25">
      <c r="A1017" s="2" t="s">
        <v>3047</v>
      </c>
      <c r="B1017" s="2" t="s">
        <v>3048</v>
      </c>
      <c r="C1017" s="2" t="s">
        <v>3049</v>
      </c>
      <c r="D1017" s="2" t="s">
        <v>10041</v>
      </c>
      <c r="E1017" s="15">
        <v>0.25719999999999998</v>
      </c>
      <c r="F1017" s="15">
        <v>0.12839999999999999</v>
      </c>
      <c r="G1017" s="15">
        <v>4.5100000000000001E-2</v>
      </c>
      <c r="H1017" s="15">
        <v>8.0399999999999999E-2</v>
      </c>
      <c r="I1017" s="15">
        <v>3.73E-2</v>
      </c>
      <c r="J1017" s="15">
        <v>2.1554959785522789</v>
      </c>
    </row>
    <row r="1018" spans="1:10" x14ac:dyDescent="0.25">
      <c r="A1018" s="2" t="s">
        <v>3050</v>
      </c>
      <c r="B1018" s="2" t="s">
        <v>3051</v>
      </c>
      <c r="C1018" s="2" t="s">
        <v>3052</v>
      </c>
      <c r="D1018" s="2" t="s">
        <v>10041</v>
      </c>
      <c r="E1018" s="15">
        <v>-0.20780000000000001</v>
      </c>
      <c r="F1018" s="15">
        <v>8.9099999999999999E-2</v>
      </c>
      <c r="G1018" s="15">
        <v>1.9699999999999999E-2</v>
      </c>
      <c r="H1018" s="15">
        <v>0.192</v>
      </c>
      <c r="I1018" s="15">
        <v>4.24E-2</v>
      </c>
      <c r="J1018" s="15">
        <v>4.5283018867924527</v>
      </c>
    </row>
    <row r="1019" spans="1:10" x14ac:dyDescent="0.25">
      <c r="A1019" s="2" t="s">
        <v>3053</v>
      </c>
      <c r="B1019" s="2" t="s">
        <v>3054</v>
      </c>
      <c r="C1019" s="2" t="s">
        <v>3055</v>
      </c>
      <c r="D1019" s="2" t="s">
        <v>10041</v>
      </c>
      <c r="E1019" s="15">
        <v>-0.17979999999999999</v>
      </c>
      <c r="F1019" s="15">
        <v>9.2700000000000005E-2</v>
      </c>
      <c r="G1019" s="15">
        <v>5.2499999999999998E-2</v>
      </c>
      <c r="H1019" s="15">
        <v>0.13439999999999999</v>
      </c>
      <c r="I1019" s="15">
        <v>3.9600000000000003E-2</v>
      </c>
      <c r="J1019" s="15">
        <v>3.393939393939394</v>
      </c>
    </row>
    <row r="1020" spans="1:10" x14ac:dyDescent="0.25">
      <c r="A1020" s="2" t="s">
        <v>3056</v>
      </c>
      <c r="B1020" s="2" t="s">
        <v>3057</v>
      </c>
      <c r="C1020" s="2" t="s">
        <v>3058</v>
      </c>
      <c r="D1020" s="2" t="s">
        <v>10041</v>
      </c>
      <c r="E1020" s="15">
        <v>-0.23039999999999999</v>
      </c>
      <c r="F1020" s="15">
        <v>0.11070000000000001</v>
      </c>
      <c r="G1020" s="15">
        <v>3.73E-2</v>
      </c>
      <c r="H1020" s="15">
        <v>0.125</v>
      </c>
      <c r="I1020" s="15">
        <v>4.0800000000000003E-2</v>
      </c>
      <c r="J1020" s="15">
        <v>3.0637254901960782</v>
      </c>
    </row>
    <row r="1021" spans="1:10" x14ac:dyDescent="0.25">
      <c r="A1021" s="2" t="s">
        <v>3059</v>
      </c>
      <c r="B1021" s="2" t="s">
        <v>3060</v>
      </c>
      <c r="C1021" s="2" t="s">
        <v>3061</v>
      </c>
      <c r="D1021" s="2" t="s">
        <v>10041</v>
      </c>
      <c r="E1021" s="15">
        <v>6.9500000000000006E-2</v>
      </c>
      <c r="F1021" s="15">
        <v>0.09</v>
      </c>
      <c r="G1021" s="15">
        <v>0.44019999999999998</v>
      </c>
      <c r="H1021" s="15">
        <v>0.13070000000000001</v>
      </c>
      <c r="I1021" s="15">
        <v>3.6700000000000003E-2</v>
      </c>
      <c r="J1021" s="15">
        <v>3.561307901907357</v>
      </c>
    </row>
    <row r="1022" spans="1:10" x14ac:dyDescent="0.25">
      <c r="A1022" s="2" t="s">
        <v>3062</v>
      </c>
      <c r="B1022" s="2" t="s">
        <v>3063</v>
      </c>
      <c r="C1022" s="2" t="s">
        <v>3064</v>
      </c>
      <c r="D1022" s="2" t="s">
        <v>10042</v>
      </c>
      <c r="E1022" s="15">
        <v>0.21640000000000001</v>
      </c>
      <c r="F1022" s="15">
        <v>8.7099999999999997E-2</v>
      </c>
      <c r="G1022" s="15">
        <v>1.2999999999999999E-2</v>
      </c>
      <c r="H1022" s="15">
        <v>0.19470000000000001</v>
      </c>
      <c r="I1022" s="15">
        <v>4.3900000000000002E-2</v>
      </c>
      <c r="J1022" s="15">
        <v>4.4350797266514803</v>
      </c>
    </row>
    <row r="1023" spans="1:10" x14ac:dyDescent="0.25">
      <c r="A1023" s="2" t="s">
        <v>3065</v>
      </c>
      <c r="B1023" s="2" t="s">
        <v>3066</v>
      </c>
      <c r="C1023" s="2" t="s">
        <v>3067</v>
      </c>
      <c r="D1023" s="2" t="s">
        <v>10042</v>
      </c>
      <c r="E1023" s="15">
        <v>0.23419999999999999</v>
      </c>
      <c r="F1023" s="15">
        <v>0.13800000000000001</v>
      </c>
      <c r="G1023" s="15">
        <v>8.9599999999999999E-2</v>
      </c>
      <c r="H1023" s="15">
        <v>7.85E-2</v>
      </c>
      <c r="I1023" s="15">
        <v>4.02E-2</v>
      </c>
      <c r="J1023" s="15">
        <v>1.95273631840796</v>
      </c>
    </row>
    <row r="1024" spans="1:10" x14ac:dyDescent="0.25">
      <c r="A1024" s="2" t="s">
        <v>3068</v>
      </c>
      <c r="B1024" s="2" t="s">
        <v>3069</v>
      </c>
      <c r="C1024" s="2" t="s">
        <v>3070</v>
      </c>
      <c r="D1024" s="2" t="s">
        <v>10042</v>
      </c>
      <c r="E1024" s="15">
        <v>-0.127</v>
      </c>
      <c r="F1024" s="15">
        <v>0.27529999999999999</v>
      </c>
      <c r="G1024" s="15">
        <v>0.64459999999999995</v>
      </c>
      <c r="H1024" s="15">
        <v>1.9099999999999999E-2</v>
      </c>
      <c r="I1024" s="15">
        <v>4.1300000000000003E-2</v>
      </c>
      <c r="J1024" s="15">
        <v>0.46246973365617428</v>
      </c>
    </row>
    <row r="1025" spans="1:10" x14ac:dyDescent="0.25">
      <c r="A1025" s="2" t="s">
        <v>3071</v>
      </c>
      <c r="B1025" s="2" t="s">
        <v>3072</v>
      </c>
      <c r="C1025" s="2" t="s">
        <v>3073</v>
      </c>
      <c r="D1025" s="2" t="s">
        <v>10042</v>
      </c>
      <c r="E1025" s="15">
        <v>0.22950000000000001</v>
      </c>
      <c r="F1025" s="15">
        <v>9.3799999999999994E-2</v>
      </c>
      <c r="G1025" s="15">
        <v>1.44E-2</v>
      </c>
      <c r="H1025" s="15">
        <v>0.187</v>
      </c>
      <c r="I1025" s="15">
        <v>4.4900000000000002E-2</v>
      </c>
      <c r="J1025" s="15">
        <v>4.1648106904231623</v>
      </c>
    </row>
    <row r="1026" spans="1:10" x14ac:dyDescent="0.25">
      <c r="A1026" s="2" t="s">
        <v>3074</v>
      </c>
      <c r="B1026" s="2" t="s">
        <v>3075</v>
      </c>
      <c r="C1026" s="2" t="s">
        <v>3076</v>
      </c>
      <c r="D1026" s="2" t="s">
        <v>10042</v>
      </c>
      <c r="E1026" s="15">
        <v>0.13489999999999999</v>
      </c>
      <c r="F1026" s="15">
        <v>7.1400000000000005E-2</v>
      </c>
      <c r="G1026" s="15">
        <v>5.8799999999999998E-2</v>
      </c>
      <c r="H1026" s="15">
        <v>0.2326</v>
      </c>
      <c r="I1026" s="15">
        <v>3.6299999999999999E-2</v>
      </c>
      <c r="J1026" s="15">
        <v>6.4077134986225897</v>
      </c>
    </row>
    <row r="1027" spans="1:10" x14ac:dyDescent="0.25">
      <c r="A1027" s="2" t="s">
        <v>3077</v>
      </c>
      <c r="B1027" s="2" t="s">
        <v>3078</v>
      </c>
      <c r="C1027" s="2" t="s">
        <v>3079</v>
      </c>
      <c r="D1027" s="2" t="s">
        <v>10042</v>
      </c>
      <c r="E1027" s="15">
        <v>0.30099999999999999</v>
      </c>
      <c r="F1027" s="15">
        <v>0.12820000000000001</v>
      </c>
      <c r="G1027" s="15">
        <v>1.89E-2</v>
      </c>
      <c r="H1027" s="15">
        <v>0.08</v>
      </c>
      <c r="I1027" s="15">
        <v>3.8300000000000001E-2</v>
      </c>
      <c r="J1027" s="15">
        <v>2.0887728459530028</v>
      </c>
    </row>
    <row r="1028" spans="1:10" x14ac:dyDescent="0.25">
      <c r="A1028" s="2" t="s">
        <v>3080</v>
      </c>
      <c r="B1028" s="2" t="s">
        <v>3081</v>
      </c>
      <c r="C1028" s="2" t="s">
        <v>3082</v>
      </c>
      <c r="D1028" s="2" t="s">
        <v>10042</v>
      </c>
      <c r="E1028" s="15">
        <v>9.6600000000000005E-2</v>
      </c>
      <c r="F1028" s="15">
        <v>8.3900000000000002E-2</v>
      </c>
      <c r="G1028" s="15">
        <v>0.24959999999999999</v>
      </c>
      <c r="H1028" s="15">
        <v>0.1787</v>
      </c>
      <c r="I1028" s="15">
        <v>3.9600000000000003E-2</v>
      </c>
      <c r="J1028" s="15">
        <v>4.5126262626262621</v>
      </c>
    </row>
    <row r="1029" spans="1:10" x14ac:dyDescent="0.25">
      <c r="A1029" s="2" t="s">
        <v>3083</v>
      </c>
      <c r="B1029" s="2" t="s">
        <v>3084</v>
      </c>
      <c r="C1029" s="2" t="s">
        <v>3085</v>
      </c>
      <c r="D1029" s="2" t="s">
        <v>10042</v>
      </c>
      <c r="E1029" s="15">
        <v>0.25190000000000001</v>
      </c>
      <c r="F1029" s="15">
        <v>8.9499999999999996E-2</v>
      </c>
      <c r="G1029" s="15">
        <v>4.8999999999999998E-3</v>
      </c>
      <c r="H1029" s="15">
        <v>0.18149999999999999</v>
      </c>
      <c r="I1029" s="15">
        <v>4.4699999999999997E-2</v>
      </c>
      <c r="J1029" s="15">
        <v>4.0604026845637584</v>
      </c>
    </row>
    <row r="1030" spans="1:10" x14ac:dyDescent="0.25">
      <c r="A1030" s="2" t="s">
        <v>3086</v>
      </c>
      <c r="B1030" s="2" t="s">
        <v>3087</v>
      </c>
      <c r="C1030" s="2" t="s">
        <v>3088</v>
      </c>
      <c r="D1030" s="2" t="s">
        <v>10042</v>
      </c>
      <c r="E1030" s="15">
        <v>0.1706</v>
      </c>
      <c r="F1030" s="15">
        <v>9.5799999999999996E-2</v>
      </c>
      <c r="G1030" s="15">
        <v>7.4999999999999997E-2</v>
      </c>
      <c r="H1030" s="15">
        <v>0.1366</v>
      </c>
      <c r="I1030" s="15">
        <v>4.1799999999999997E-2</v>
      </c>
      <c r="J1030" s="15">
        <v>3.267942583732057</v>
      </c>
    </row>
    <row r="1031" spans="1:10" x14ac:dyDescent="0.25">
      <c r="A1031" s="2" t="s">
        <v>3089</v>
      </c>
      <c r="B1031" s="2" t="s">
        <v>3090</v>
      </c>
      <c r="C1031" s="2" t="s">
        <v>3091</v>
      </c>
      <c r="D1031" s="2" t="s">
        <v>10042</v>
      </c>
      <c r="E1031" s="15">
        <v>4.53E-2</v>
      </c>
      <c r="F1031" s="15">
        <v>9.9599999999999994E-2</v>
      </c>
      <c r="G1031" s="15">
        <v>0.64890000000000003</v>
      </c>
      <c r="H1031" s="15">
        <v>0.1154</v>
      </c>
      <c r="I1031" s="15">
        <v>3.9899999999999998E-2</v>
      </c>
      <c r="J1031" s="15">
        <v>2.8922305764411029</v>
      </c>
    </row>
    <row r="1032" spans="1:10" x14ac:dyDescent="0.25">
      <c r="A1032" s="2" t="s">
        <v>3092</v>
      </c>
      <c r="B1032" s="2" t="s">
        <v>3093</v>
      </c>
      <c r="C1032" s="2" t="s">
        <v>3094</v>
      </c>
      <c r="D1032" s="2" t="s">
        <v>10042</v>
      </c>
      <c r="E1032" s="15">
        <v>0.2041</v>
      </c>
      <c r="F1032" s="15">
        <v>8.3599999999999994E-2</v>
      </c>
      <c r="G1032" s="15">
        <v>1.46E-2</v>
      </c>
      <c r="H1032" s="15">
        <v>0.20499999999999999</v>
      </c>
      <c r="I1032" s="15">
        <v>4.5499999999999999E-2</v>
      </c>
      <c r="J1032" s="15">
        <v>4.5054945054945046</v>
      </c>
    </row>
    <row r="1033" spans="1:10" x14ac:dyDescent="0.25">
      <c r="A1033" s="2" t="s">
        <v>3095</v>
      </c>
      <c r="B1033" s="2" t="s">
        <v>3096</v>
      </c>
      <c r="C1033" s="2" t="s">
        <v>3097</v>
      </c>
      <c r="D1033" s="2" t="s">
        <v>10042</v>
      </c>
      <c r="E1033" s="15">
        <v>0.2238</v>
      </c>
      <c r="F1033" s="15">
        <v>0.1056</v>
      </c>
      <c r="G1033" s="15">
        <v>3.4000000000000002E-2</v>
      </c>
      <c r="H1033" s="15">
        <v>0.1336</v>
      </c>
      <c r="I1033" s="15">
        <v>4.3400000000000001E-2</v>
      </c>
      <c r="J1033" s="15">
        <v>3.0783410138248848</v>
      </c>
    </row>
    <row r="1034" spans="1:10" x14ac:dyDescent="0.25">
      <c r="A1034" s="2" t="s">
        <v>3098</v>
      </c>
      <c r="B1034" s="2" t="s">
        <v>3099</v>
      </c>
      <c r="C1034" s="2" t="s">
        <v>3100</v>
      </c>
      <c r="D1034" s="2" t="s">
        <v>10042</v>
      </c>
      <c r="E1034" s="15">
        <v>-1.6000000000000001E-3</v>
      </c>
      <c r="F1034" s="15">
        <v>6.6900000000000001E-2</v>
      </c>
      <c r="G1034" s="15">
        <v>0.98060000000000003</v>
      </c>
      <c r="H1034" s="15">
        <v>0.23630000000000001</v>
      </c>
      <c r="I1034" s="15">
        <v>3.8800000000000001E-2</v>
      </c>
      <c r="J1034" s="15">
        <v>6.09020618556701</v>
      </c>
    </row>
    <row r="1035" spans="1:10" x14ac:dyDescent="0.25">
      <c r="A1035" s="2" t="s">
        <v>3101</v>
      </c>
      <c r="B1035" s="2" t="s">
        <v>3102</v>
      </c>
      <c r="C1035" s="2" t="s">
        <v>3103</v>
      </c>
      <c r="D1035" s="2" t="s">
        <v>10042</v>
      </c>
      <c r="E1035" s="15">
        <v>0.126</v>
      </c>
      <c r="F1035" s="15">
        <v>9.0300000000000005E-2</v>
      </c>
      <c r="G1035" s="15">
        <v>0.16300000000000001</v>
      </c>
      <c r="H1035" s="15">
        <v>0.15809999999999999</v>
      </c>
      <c r="I1035" s="15">
        <v>4.8099999999999997E-2</v>
      </c>
      <c r="J1035" s="15">
        <v>3.2869022869022868</v>
      </c>
    </row>
    <row r="1036" spans="1:10" x14ac:dyDescent="0.25">
      <c r="A1036" s="2" t="s">
        <v>3104</v>
      </c>
      <c r="B1036" s="2" t="s">
        <v>3105</v>
      </c>
      <c r="C1036" s="2" t="s">
        <v>3106</v>
      </c>
      <c r="D1036" s="2" t="s">
        <v>10042</v>
      </c>
      <c r="E1036" s="15">
        <v>0.2301</v>
      </c>
      <c r="F1036" s="15">
        <v>0.1128</v>
      </c>
      <c r="G1036" s="15">
        <v>4.1300000000000003E-2</v>
      </c>
      <c r="H1036" s="15">
        <v>0.10680000000000001</v>
      </c>
      <c r="I1036" s="15">
        <v>4.0399999999999998E-2</v>
      </c>
      <c r="J1036" s="15">
        <v>2.6435643564356441</v>
      </c>
    </row>
    <row r="1037" spans="1:10" x14ac:dyDescent="0.25">
      <c r="A1037" s="2" t="s">
        <v>3107</v>
      </c>
      <c r="B1037" s="2" t="s">
        <v>3108</v>
      </c>
      <c r="C1037" s="2" t="s">
        <v>3109</v>
      </c>
      <c r="D1037" s="2" t="s">
        <v>10042</v>
      </c>
      <c r="E1037" s="15">
        <v>0.16170000000000001</v>
      </c>
      <c r="F1037" s="15">
        <v>7.4899999999999994E-2</v>
      </c>
      <c r="G1037" s="15">
        <v>3.1E-2</v>
      </c>
      <c r="H1037" s="15">
        <v>0.19059999999999999</v>
      </c>
      <c r="I1037" s="15">
        <v>4.3700000000000003E-2</v>
      </c>
      <c r="J1037" s="15">
        <v>4.361556064073226</v>
      </c>
    </row>
    <row r="1038" spans="1:10" x14ac:dyDescent="0.25">
      <c r="A1038" s="2" t="s">
        <v>3110</v>
      </c>
      <c r="B1038" s="2" t="s">
        <v>3111</v>
      </c>
      <c r="C1038" s="2" t="s">
        <v>3112</v>
      </c>
      <c r="D1038" s="2" t="s">
        <v>10042</v>
      </c>
      <c r="E1038" s="15">
        <v>0.1164</v>
      </c>
      <c r="F1038" s="15">
        <v>8.3699999999999997E-2</v>
      </c>
      <c r="G1038" s="15">
        <v>0.1641</v>
      </c>
      <c r="H1038" s="15">
        <v>0.17349999999999999</v>
      </c>
      <c r="I1038" s="15">
        <v>4.6199999999999998E-2</v>
      </c>
      <c r="J1038" s="15">
        <v>3.7554112554112549</v>
      </c>
    </row>
    <row r="1039" spans="1:10" x14ac:dyDescent="0.25">
      <c r="A1039" s="2" t="s">
        <v>3113</v>
      </c>
      <c r="B1039" s="2" t="s">
        <v>3114</v>
      </c>
      <c r="C1039" s="2" t="s">
        <v>3115</v>
      </c>
      <c r="D1039" s="2" t="s">
        <v>10042</v>
      </c>
      <c r="E1039" s="15">
        <v>0.1043</v>
      </c>
      <c r="F1039" s="15">
        <v>9.1800000000000007E-2</v>
      </c>
      <c r="G1039" s="15">
        <v>0.25580000000000003</v>
      </c>
      <c r="H1039" s="15">
        <v>0.18290000000000001</v>
      </c>
      <c r="I1039" s="15">
        <v>4.6100000000000002E-2</v>
      </c>
      <c r="J1039" s="15">
        <v>3.9674620390455528</v>
      </c>
    </row>
    <row r="1040" spans="1:10" x14ac:dyDescent="0.25">
      <c r="A1040" s="2" t="s">
        <v>3116</v>
      </c>
      <c r="B1040" s="2" t="s">
        <v>3117</v>
      </c>
      <c r="C1040" s="2" t="s">
        <v>3118</v>
      </c>
      <c r="D1040" s="2" t="s">
        <v>10042</v>
      </c>
      <c r="E1040" s="15">
        <v>2.3800000000000002E-2</v>
      </c>
      <c r="F1040" s="15">
        <v>0.1038</v>
      </c>
      <c r="G1040" s="15">
        <v>0.81830000000000003</v>
      </c>
      <c r="H1040" s="15">
        <v>0.10100000000000001</v>
      </c>
      <c r="I1040" s="15">
        <v>3.9E-2</v>
      </c>
      <c r="J1040" s="15">
        <v>2.5897435897435899</v>
      </c>
    </row>
    <row r="1041" spans="1:10" x14ac:dyDescent="0.25">
      <c r="A1041" s="2" t="s">
        <v>3119</v>
      </c>
      <c r="B1041" s="2" t="s">
        <v>3120</v>
      </c>
      <c r="C1041" s="2" t="s">
        <v>3121</v>
      </c>
      <c r="D1041" s="2" t="s">
        <v>10042</v>
      </c>
      <c r="E1041" s="15">
        <v>0.13589999999999999</v>
      </c>
      <c r="F1041" s="15">
        <v>0.10580000000000001</v>
      </c>
      <c r="G1041" s="15">
        <v>0.19900000000000001</v>
      </c>
      <c r="H1041" s="15">
        <v>0.13900000000000001</v>
      </c>
      <c r="I1041" s="15">
        <v>3.95E-2</v>
      </c>
      <c r="J1041" s="15">
        <v>3.518987341772152</v>
      </c>
    </row>
    <row r="1042" spans="1:10" x14ac:dyDescent="0.25">
      <c r="A1042" s="2" t="s">
        <v>3122</v>
      </c>
      <c r="B1042" s="2" t="s">
        <v>3123</v>
      </c>
      <c r="C1042" s="2" t="s">
        <v>3124</v>
      </c>
      <c r="D1042" s="2" t="s">
        <v>10042</v>
      </c>
      <c r="E1042" s="15">
        <v>0.15570000000000001</v>
      </c>
      <c r="F1042" s="15">
        <v>0.1067</v>
      </c>
      <c r="G1042" s="15">
        <v>0.14449999999999999</v>
      </c>
      <c r="H1042" s="15">
        <v>9.8900000000000002E-2</v>
      </c>
      <c r="I1042" s="15">
        <v>3.6799999999999999E-2</v>
      </c>
      <c r="J1042" s="15">
        <v>2.6875</v>
      </c>
    </row>
    <row r="1043" spans="1:10" x14ac:dyDescent="0.25">
      <c r="A1043" s="2" t="s">
        <v>3125</v>
      </c>
      <c r="B1043" s="2" t="s">
        <v>3126</v>
      </c>
      <c r="C1043" s="2" t="s">
        <v>3127</v>
      </c>
      <c r="D1043" s="2" t="s">
        <v>10042</v>
      </c>
      <c r="E1043" s="15">
        <v>0.1057</v>
      </c>
      <c r="F1043" s="15">
        <v>8.1799999999999998E-2</v>
      </c>
      <c r="G1043" s="15">
        <v>0.19620000000000001</v>
      </c>
      <c r="H1043" s="15">
        <v>0.19500000000000001</v>
      </c>
      <c r="I1043" s="15">
        <v>4.1399999999999999E-2</v>
      </c>
      <c r="J1043" s="15">
        <v>4.7101449275362324</v>
      </c>
    </row>
    <row r="1044" spans="1:10" x14ac:dyDescent="0.25">
      <c r="A1044" s="2" t="s">
        <v>3128</v>
      </c>
      <c r="B1044" s="2" t="s">
        <v>3129</v>
      </c>
      <c r="C1044" s="2" t="s">
        <v>3130</v>
      </c>
      <c r="D1044" s="2" t="s">
        <v>10042</v>
      </c>
      <c r="E1044" s="15">
        <v>0.13600000000000001</v>
      </c>
      <c r="F1044" s="15">
        <v>9.1200000000000003E-2</v>
      </c>
      <c r="G1044" s="15">
        <v>0.13600000000000001</v>
      </c>
      <c r="H1044" s="15">
        <v>0.14990000000000001</v>
      </c>
      <c r="I1044" s="15">
        <v>4.1399999999999999E-2</v>
      </c>
      <c r="J1044" s="15">
        <v>3.620772946859903</v>
      </c>
    </row>
    <row r="1045" spans="1:10" x14ac:dyDescent="0.25">
      <c r="A1045" s="2" t="s">
        <v>3131</v>
      </c>
      <c r="B1045" s="2" t="s">
        <v>3132</v>
      </c>
      <c r="C1045" s="2" t="s">
        <v>3133</v>
      </c>
      <c r="D1045" s="2" t="s">
        <v>10042</v>
      </c>
      <c r="E1045" s="15">
        <v>0.23050000000000001</v>
      </c>
      <c r="F1045" s="15">
        <v>9.4399999999999998E-2</v>
      </c>
      <c r="G1045" s="15">
        <v>1.46E-2</v>
      </c>
      <c r="H1045" s="15">
        <v>0.1726</v>
      </c>
      <c r="I1045" s="15">
        <v>5.4300000000000001E-2</v>
      </c>
      <c r="J1045" s="15">
        <v>3.1786372007366479</v>
      </c>
    </row>
    <row r="1046" spans="1:10" x14ac:dyDescent="0.25">
      <c r="A1046" s="2" t="s">
        <v>3134</v>
      </c>
      <c r="B1046" s="2" t="s">
        <v>3135</v>
      </c>
      <c r="C1046" s="2" t="s">
        <v>3136</v>
      </c>
      <c r="D1046" s="2" t="s">
        <v>10042</v>
      </c>
      <c r="E1046" s="15">
        <v>0.20710000000000001</v>
      </c>
      <c r="F1046" s="15">
        <v>9.2299999999999993E-2</v>
      </c>
      <c r="G1046" s="15">
        <v>2.4799999999999999E-2</v>
      </c>
      <c r="H1046" s="15">
        <v>0.18049999999999999</v>
      </c>
      <c r="I1046" s="15">
        <v>4.3400000000000001E-2</v>
      </c>
      <c r="J1046" s="15">
        <v>4.1589861751152073</v>
      </c>
    </row>
    <row r="1047" spans="1:10" x14ac:dyDescent="0.25">
      <c r="A1047" s="2" t="s">
        <v>3137</v>
      </c>
      <c r="B1047" s="2" t="s">
        <v>3138</v>
      </c>
      <c r="C1047" s="2" t="s">
        <v>3139</v>
      </c>
      <c r="D1047" s="2" t="s">
        <v>10042</v>
      </c>
      <c r="E1047" s="15">
        <v>0.13600000000000001</v>
      </c>
      <c r="F1047" s="15">
        <v>0.104</v>
      </c>
      <c r="G1047" s="15">
        <v>0.191</v>
      </c>
      <c r="H1047" s="15">
        <v>0.1052</v>
      </c>
      <c r="I1047" s="15">
        <v>3.9399999999999998E-2</v>
      </c>
      <c r="J1047" s="15">
        <v>2.67005076142132</v>
      </c>
    </row>
    <row r="1048" spans="1:10" x14ac:dyDescent="0.25">
      <c r="A1048" s="2" t="s">
        <v>3140</v>
      </c>
      <c r="B1048" s="2" t="s">
        <v>3141</v>
      </c>
      <c r="C1048" s="2" t="s">
        <v>3142</v>
      </c>
      <c r="D1048" s="2" t="s">
        <v>10042</v>
      </c>
      <c r="E1048" s="15">
        <v>0.20630000000000001</v>
      </c>
      <c r="F1048" s="15">
        <v>8.6499999999999994E-2</v>
      </c>
      <c r="G1048" s="15">
        <v>1.7100000000000001E-2</v>
      </c>
      <c r="H1048" s="15">
        <v>0.1789</v>
      </c>
      <c r="I1048" s="15">
        <v>4.0599999999999997E-2</v>
      </c>
      <c r="J1048" s="15">
        <v>4.4064039408867002</v>
      </c>
    </row>
    <row r="1049" spans="1:10" x14ac:dyDescent="0.25">
      <c r="A1049" s="2" t="s">
        <v>3143</v>
      </c>
      <c r="B1049" s="2" t="s">
        <v>3144</v>
      </c>
      <c r="C1049" s="2" t="s">
        <v>3145</v>
      </c>
      <c r="D1049" s="2" t="s">
        <v>10042</v>
      </c>
      <c r="E1049" s="15">
        <v>0.2359</v>
      </c>
      <c r="F1049" s="15">
        <v>8.5199999999999998E-2</v>
      </c>
      <c r="G1049" s="15">
        <v>5.5999999999999999E-3</v>
      </c>
      <c r="H1049" s="15">
        <v>0.20499999999999999</v>
      </c>
      <c r="I1049" s="15">
        <v>4.2799999999999998E-2</v>
      </c>
      <c r="J1049" s="15">
        <v>4.7897196261682247</v>
      </c>
    </row>
    <row r="1050" spans="1:10" x14ac:dyDescent="0.25">
      <c r="A1050" s="2" t="s">
        <v>3146</v>
      </c>
      <c r="B1050" s="2" t="s">
        <v>3147</v>
      </c>
      <c r="C1050" s="2" t="s">
        <v>3148</v>
      </c>
      <c r="D1050" s="2" t="s">
        <v>10042</v>
      </c>
      <c r="E1050" s="15">
        <v>0.1784</v>
      </c>
      <c r="F1050" s="15">
        <v>8.6300000000000002E-2</v>
      </c>
      <c r="G1050" s="15">
        <v>3.8699999999999998E-2</v>
      </c>
      <c r="H1050" s="15">
        <v>0.18379999999999999</v>
      </c>
      <c r="I1050" s="15">
        <v>4.1099999999999998E-2</v>
      </c>
      <c r="J1050" s="15">
        <v>4.4720194647201943</v>
      </c>
    </row>
    <row r="1051" spans="1:10" x14ac:dyDescent="0.25">
      <c r="A1051" s="2" t="s">
        <v>3149</v>
      </c>
      <c r="B1051" s="2" t="s">
        <v>3150</v>
      </c>
      <c r="C1051" s="2" t="s">
        <v>3151</v>
      </c>
      <c r="D1051" s="2" t="s">
        <v>10042</v>
      </c>
      <c r="E1051" s="15">
        <v>0.2319</v>
      </c>
      <c r="F1051" s="15">
        <v>9.06E-2</v>
      </c>
      <c r="G1051" s="15">
        <v>1.0500000000000001E-2</v>
      </c>
      <c r="H1051" s="15">
        <v>0.1671</v>
      </c>
      <c r="I1051" s="15">
        <v>4.2500000000000003E-2</v>
      </c>
      <c r="J1051" s="15">
        <v>3.9317647058823528</v>
      </c>
    </row>
    <row r="1052" spans="1:10" x14ac:dyDescent="0.25">
      <c r="A1052" s="2" t="s">
        <v>3152</v>
      </c>
      <c r="B1052" s="2" t="s">
        <v>3153</v>
      </c>
      <c r="C1052" s="2" t="s">
        <v>3154</v>
      </c>
      <c r="D1052" s="2" t="s">
        <v>10042</v>
      </c>
      <c r="E1052" s="15">
        <v>9.5799999999999996E-2</v>
      </c>
      <c r="F1052" s="15">
        <v>8.8099999999999998E-2</v>
      </c>
      <c r="G1052" s="15">
        <v>0.2772</v>
      </c>
      <c r="H1052" s="15">
        <v>0.18720000000000001</v>
      </c>
      <c r="I1052" s="15">
        <v>4.0899999999999999E-2</v>
      </c>
      <c r="J1052" s="15">
        <v>4.5770171149144261</v>
      </c>
    </row>
    <row r="1053" spans="1:10" x14ac:dyDescent="0.25">
      <c r="A1053" s="2" t="s">
        <v>3155</v>
      </c>
      <c r="B1053" s="2" t="s">
        <v>3156</v>
      </c>
      <c r="C1053" s="2" t="s">
        <v>3157</v>
      </c>
      <c r="D1053" s="2" t="s">
        <v>10042</v>
      </c>
      <c r="E1053" s="15">
        <v>0.25559999999999999</v>
      </c>
      <c r="F1053" s="15">
        <v>0.1099</v>
      </c>
      <c r="G1053" s="15">
        <v>0.02</v>
      </c>
      <c r="H1053" s="15">
        <v>9.2999999999999999E-2</v>
      </c>
      <c r="I1053" s="15">
        <v>4.1300000000000003E-2</v>
      </c>
      <c r="J1053" s="15">
        <v>2.2518159806295399</v>
      </c>
    </row>
    <row r="1054" spans="1:10" x14ac:dyDescent="0.25">
      <c r="A1054" s="2" t="s">
        <v>3158</v>
      </c>
      <c r="B1054" s="2" t="s">
        <v>3159</v>
      </c>
      <c r="C1054" s="2" t="s">
        <v>3160</v>
      </c>
      <c r="D1054" s="2" t="s">
        <v>10042</v>
      </c>
      <c r="E1054" s="15">
        <v>3.6600000000000001E-2</v>
      </c>
      <c r="F1054" s="15">
        <v>9.6199999999999994E-2</v>
      </c>
      <c r="G1054" s="15">
        <v>0.70350000000000001</v>
      </c>
      <c r="H1054" s="15">
        <v>0.125</v>
      </c>
      <c r="I1054" s="15">
        <v>4.7800000000000002E-2</v>
      </c>
      <c r="J1054" s="15">
        <v>2.6150627615062758</v>
      </c>
    </row>
    <row r="1055" spans="1:10" x14ac:dyDescent="0.25">
      <c r="A1055" s="2" t="s">
        <v>3161</v>
      </c>
      <c r="B1055" s="2" t="s">
        <v>3162</v>
      </c>
      <c r="C1055" s="2" t="s">
        <v>3163</v>
      </c>
      <c r="D1055" s="2" t="s">
        <v>10042</v>
      </c>
      <c r="E1055" s="15">
        <v>0.12130000000000001</v>
      </c>
      <c r="F1055" s="15">
        <v>0.09</v>
      </c>
      <c r="G1055" s="15">
        <v>0.17780000000000001</v>
      </c>
      <c r="H1055" s="15">
        <v>0.157</v>
      </c>
      <c r="I1055" s="15">
        <v>4.0099999999999997E-2</v>
      </c>
      <c r="J1055" s="15">
        <v>3.9152119700748131</v>
      </c>
    </row>
    <row r="1056" spans="1:10" x14ac:dyDescent="0.25">
      <c r="A1056" s="2" t="s">
        <v>3164</v>
      </c>
      <c r="B1056" s="2" t="s">
        <v>3165</v>
      </c>
      <c r="C1056" s="2" t="s">
        <v>3166</v>
      </c>
      <c r="D1056" s="2" t="s">
        <v>10042</v>
      </c>
      <c r="E1056" s="15">
        <v>0.21110000000000001</v>
      </c>
      <c r="F1056" s="15">
        <v>7.6200000000000004E-2</v>
      </c>
      <c r="G1056" s="15">
        <v>5.5999999999999999E-3</v>
      </c>
      <c r="H1056" s="15">
        <v>0.20949999999999999</v>
      </c>
      <c r="I1056" s="15">
        <v>4.4400000000000002E-2</v>
      </c>
      <c r="J1056" s="15">
        <v>4.7184684684684681</v>
      </c>
    </row>
    <row r="1057" spans="1:10" x14ac:dyDescent="0.25">
      <c r="A1057" s="2" t="s">
        <v>3167</v>
      </c>
      <c r="B1057" s="2" t="s">
        <v>3168</v>
      </c>
      <c r="C1057" s="2" t="s">
        <v>3169</v>
      </c>
      <c r="D1057" s="2" t="s">
        <v>10042</v>
      </c>
      <c r="E1057" s="15">
        <v>4.2599999999999999E-2</v>
      </c>
      <c r="F1057" s="15">
        <v>8.2299999999999998E-2</v>
      </c>
      <c r="G1057" s="15">
        <v>0.60460000000000003</v>
      </c>
      <c r="H1057" s="15">
        <v>0.17430000000000001</v>
      </c>
      <c r="I1057" s="15">
        <v>3.56E-2</v>
      </c>
      <c r="J1057" s="15">
        <v>4.8960674157303377</v>
      </c>
    </row>
    <row r="1058" spans="1:10" x14ac:dyDescent="0.25">
      <c r="A1058" s="2" t="s">
        <v>3170</v>
      </c>
      <c r="B1058" s="2" t="s">
        <v>3171</v>
      </c>
      <c r="C1058" s="2" t="s">
        <v>3172</v>
      </c>
      <c r="D1058" s="2" t="s">
        <v>10042</v>
      </c>
      <c r="E1058" s="15">
        <v>-5.3499999999999999E-2</v>
      </c>
      <c r="F1058" s="15">
        <v>0.1168</v>
      </c>
      <c r="G1058" s="15">
        <v>0.64700000000000002</v>
      </c>
      <c r="H1058" s="15">
        <v>5.3999999999999999E-2</v>
      </c>
      <c r="I1058" s="15">
        <v>4.0500000000000001E-2</v>
      </c>
      <c r="J1058" s="15">
        <v>1.333333333333333</v>
      </c>
    </row>
    <row r="1059" spans="1:10" x14ac:dyDescent="0.25">
      <c r="A1059" s="2" t="s">
        <v>3173</v>
      </c>
      <c r="B1059" s="2" t="s">
        <v>3174</v>
      </c>
      <c r="C1059" s="2" t="s">
        <v>3175</v>
      </c>
      <c r="D1059" s="2" t="s">
        <v>10042</v>
      </c>
      <c r="E1059" s="15">
        <v>0.22559999999999999</v>
      </c>
      <c r="F1059" s="15">
        <v>8.1100000000000005E-2</v>
      </c>
      <c r="G1059" s="15">
        <v>5.4000000000000003E-3</v>
      </c>
      <c r="H1059" s="15">
        <v>0.18940000000000001</v>
      </c>
      <c r="I1059" s="15">
        <v>4.4900000000000002E-2</v>
      </c>
      <c r="J1059" s="15">
        <v>4.2182628062360799</v>
      </c>
    </row>
    <row r="1060" spans="1:10" x14ac:dyDescent="0.25">
      <c r="A1060" s="2" t="s">
        <v>3176</v>
      </c>
      <c r="B1060" s="2" t="s">
        <v>3177</v>
      </c>
      <c r="C1060" s="2" t="s">
        <v>3178</v>
      </c>
      <c r="D1060" s="2" t="s">
        <v>10042</v>
      </c>
      <c r="E1060" s="15">
        <v>0.11990000000000001</v>
      </c>
      <c r="F1060" s="15">
        <v>7.22E-2</v>
      </c>
      <c r="G1060" s="15">
        <v>9.7000000000000003E-2</v>
      </c>
      <c r="H1060" s="15">
        <v>0.21390000000000001</v>
      </c>
      <c r="I1060" s="15">
        <v>3.9699999999999999E-2</v>
      </c>
      <c r="J1060" s="15">
        <v>5.3879093198992436</v>
      </c>
    </row>
    <row r="1061" spans="1:10" x14ac:dyDescent="0.25">
      <c r="A1061" s="2" t="s">
        <v>3179</v>
      </c>
      <c r="B1061" s="2" t="s">
        <v>3180</v>
      </c>
      <c r="C1061" s="2" t="s">
        <v>3181</v>
      </c>
      <c r="D1061" s="2" t="s">
        <v>10042</v>
      </c>
      <c r="E1061" s="15">
        <v>0.47149999999999997</v>
      </c>
      <c r="F1061" s="15">
        <v>0.61839999999999995</v>
      </c>
      <c r="G1061" s="15">
        <v>0.44579999999999997</v>
      </c>
      <c r="H1061" s="15">
        <v>1.6500000000000001E-2</v>
      </c>
      <c r="I1061" s="15">
        <v>3.44E-2</v>
      </c>
      <c r="J1061" s="15">
        <v>0.47965116279069769</v>
      </c>
    </row>
    <row r="1062" spans="1:10" x14ac:dyDescent="0.25">
      <c r="A1062" s="2" t="s">
        <v>3182</v>
      </c>
      <c r="B1062" s="2" t="s">
        <v>3183</v>
      </c>
      <c r="C1062" s="2" t="s">
        <v>3184</v>
      </c>
      <c r="D1062" s="2" t="s">
        <v>10042</v>
      </c>
      <c r="E1062" s="15">
        <v>0.14949999999999999</v>
      </c>
      <c r="F1062" s="15">
        <v>8.1299999999999997E-2</v>
      </c>
      <c r="G1062" s="15">
        <v>6.59E-2</v>
      </c>
      <c r="H1062" s="15">
        <v>0.1651</v>
      </c>
      <c r="I1062" s="15">
        <v>3.8600000000000002E-2</v>
      </c>
      <c r="J1062" s="15">
        <v>4.2772020725388602</v>
      </c>
    </row>
    <row r="1063" spans="1:10" x14ac:dyDescent="0.25">
      <c r="A1063" s="2" t="s">
        <v>3185</v>
      </c>
      <c r="B1063" s="2" t="s">
        <v>3186</v>
      </c>
      <c r="C1063" s="2" t="s">
        <v>3187</v>
      </c>
      <c r="D1063" s="2" t="s">
        <v>10042</v>
      </c>
      <c r="E1063" s="15">
        <v>0.18079999999999999</v>
      </c>
      <c r="F1063" s="15">
        <v>7.2099999999999997E-2</v>
      </c>
      <c r="G1063" s="15">
        <v>1.21E-2</v>
      </c>
      <c r="H1063" s="15">
        <v>0.22090000000000001</v>
      </c>
      <c r="I1063" s="15">
        <v>4.2799999999999998E-2</v>
      </c>
      <c r="J1063" s="15">
        <v>5.1612149532710294</v>
      </c>
    </row>
    <row r="1064" spans="1:10" x14ac:dyDescent="0.25">
      <c r="A1064" s="2" t="s">
        <v>3188</v>
      </c>
      <c r="B1064" s="2" t="s">
        <v>3189</v>
      </c>
      <c r="C1064" s="2" t="s">
        <v>3190</v>
      </c>
      <c r="D1064" s="2" t="s">
        <v>10042</v>
      </c>
      <c r="E1064" s="15">
        <v>0.23599999999999999</v>
      </c>
      <c r="F1064" s="15">
        <v>0.11409999999999999</v>
      </c>
      <c r="G1064" s="15">
        <v>3.8600000000000002E-2</v>
      </c>
      <c r="H1064" s="15">
        <v>8.8800000000000004E-2</v>
      </c>
      <c r="I1064" s="15">
        <v>3.95E-2</v>
      </c>
      <c r="J1064" s="15">
        <v>2.2481012658227848</v>
      </c>
    </row>
    <row r="1065" spans="1:10" x14ac:dyDescent="0.25">
      <c r="A1065" s="2" t="s">
        <v>3191</v>
      </c>
      <c r="B1065" s="2" t="s">
        <v>3192</v>
      </c>
      <c r="C1065" s="2" t="s">
        <v>3193</v>
      </c>
      <c r="D1065" s="2" t="s">
        <v>10042</v>
      </c>
      <c r="E1065" s="15">
        <v>1.2E-2</v>
      </c>
      <c r="F1065" s="15">
        <v>7.0499999999999993E-2</v>
      </c>
      <c r="G1065" s="15">
        <v>0.8649</v>
      </c>
      <c r="H1065" s="15">
        <v>0.20680000000000001</v>
      </c>
      <c r="I1065" s="15">
        <v>3.9699999999999999E-2</v>
      </c>
      <c r="J1065" s="15">
        <v>5.2090680100755673</v>
      </c>
    </row>
    <row r="1066" spans="1:10" x14ac:dyDescent="0.25">
      <c r="A1066" s="2" t="s">
        <v>3194</v>
      </c>
      <c r="B1066" s="2" t="s">
        <v>3195</v>
      </c>
      <c r="C1066" s="2" t="s">
        <v>3196</v>
      </c>
      <c r="D1066" s="2" t="s">
        <v>10042</v>
      </c>
      <c r="E1066" s="15">
        <v>0.28489999999999999</v>
      </c>
      <c r="F1066" s="15">
        <v>8.2100000000000006E-2</v>
      </c>
      <c r="G1066" s="15">
        <v>5.0000000000000001E-4</v>
      </c>
      <c r="H1066" s="15">
        <v>0.19589999999999999</v>
      </c>
      <c r="I1066" s="15">
        <v>4.4200000000000003E-2</v>
      </c>
      <c r="J1066" s="15">
        <v>4.4321266968325794</v>
      </c>
    </row>
    <row r="1067" spans="1:10" x14ac:dyDescent="0.25">
      <c r="A1067" s="2" t="s">
        <v>3197</v>
      </c>
      <c r="B1067" s="2" t="s">
        <v>3198</v>
      </c>
      <c r="C1067" s="2" t="s">
        <v>3199</v>
      </c>
      <c r="D1067" s="2" t="s">
        <v>10042</v>
      </c>
      <c r="E1067" s="15">
        <v>0.12970000000000001</v>
      </c>
      <c r="F1067" s="15">
        <v>7.8600000000000003E-2</v>
      </c>
      <c r="G1067" s="15">
        <v>9.8699999999999996E-2</v>
      </c>
      <c r="H1067" s="15">
        <v>0.18240000000000001</v>
      </c>
      <c r="I1067" s="15">
        <v>4.2200000000000001E-2</v>
      </c>
      <c r="J1067" s="15">
        <v>4.3222748815165879</v>
      </c>
    </row>
    <row r="1068" spans="1:10" x14ac:dyDescent="0.25">
      <c r="A1068" s="2" t="s">
        <v>3200</v>
      </c>
      <c r="B1068" s="2" t="s">
        <v>3201</v>
      </c>
      <c r="C1068" s="2" t="s">
        <v>3202</v>
      </c>
      <c r="D1068" s="2" t="s">
        <v>10042</v>
      </c>
      <c r="E1068" s="15">
        <v>3.8899999999999997E-2</v>
      </c>
      <c r="F1068" s="15">
        <v>6.8000000000000005E-2</v>
      </c>
      <c r="G1068" s="15">
        <v>0.56779999999999997</v>
      </c>
      <c r="H1068" s="15">
        <v>0.25619999999999998</v>
      </c>
      <c r="I1068" s="15">
        <v>4.3900000000000002E-2</v>
      </c>
      <c r="J1068" s="15">
        <v>5.8359908883826872</v>
      </c>
    </row>
    <row r="1069" spans="1:10" x14ac:dyDescent="0.25">
      <c r="A1069" s="2" t="s">
        <v>3203</v>
      </c>
      <c r="B1069" s="2" t="s">
        <v>3204</v>
      </c>
      <c r="C1069" s="2" t="s">
        <v>3205</v>
      </c>
      <c r="D1069" s="2" t="s">
        <v>10042</v>
      </c>
      <c r="E1069" s="15">
        <v>2.3800000000000002E-2</v>
      </c>
      <c r="F1069" s="15">
        <v>0.1014</v>
      </c>
      <c r="G1069" s="15">
        <v>0.81430000000000002</v>
      </c>
      <c r="H1069" s="15">
        <v>0.1032</v>
      </c>
      <c r="I1069" s="15">
        <v>3.9100000000000003E-2</v>
      </c>
      <c r="J1069" s="15">
        <v>2.6393861892583121</v>
      </c>
    </row>
    <row r="1070" spans="1:10" x14ac:dyDescent="0.25">
      <c r="A1070" s="2" t="s">
        <v>3206</v>
      </c>
      <c r="B1070" s="2" t="s">
        <v>3207</v>
      </c>
      <c r="C1070" s="2" t="s">
        <v>3208</v>
      </c>
      <c r="D1070" s="2" t="s">
        <v>10042</v>
      </c>
      <c r="E1070" s="15">
        <v>0.20860000000000001</v>
      </c>
      <c r="F1070" s="15">
        <v>9.06E-2</v>
      </c>
      <c r="G1070" s="15">
        <v>2.12E-2</v>
      </c>
      <c r="H1070" s="15">
        <v>0.14799999999999999</v>
      </c>
      <c r="I1070" s="15">
        <v>4.0099999999999997E-2</v>
      </c>
      <c r="J1070" s="15">
        <v>3.690773067331671</v>
      </c>
    </row>
    <row r="1071" spans="1:10" x14ac:dyDescent="0.25">
      <c r="A1071" s="2" t="s">
        <v>3209</v>
      </c>
      <c r="B1071" s="2" t="s">
        <v>3210</v>
      </c>
      <c r="C1071" s="2" t="s">
        <v>3211</v>
      </c>
      <c r="D1071" s="2" t="s">
        <v>10042</v>
      </c>
      <c r="E1071" s="15">
        <v>6.5199999999999994E-2</v>
      </c>
      <c r="F1071" s="15">
        <v>8.5400000000000004E-2</v>
      </c>
      <c r="G1071" s="15">
        <v>0.44540000000000002</v>
      </c>
      <c r="H1071" s="15">
        <v>0.17849999999999999</v>
      </c>
      <c r="I1071" s="15">
        <v>4.5100000000000001E-2</v>
      </c>
      <c r="J1071" s="15">
        <v>3.9578713968957868</v>
      </c>
    </row>
    <row r="1072" spans="1:10" x14ac:dyDescent="0.25">
      <c r="A1072" s="2" t="s">
        <v>3212</v>
      </c>
      <c r="B1072" s="2" t="s">
        <v>3213</v>
      </c>
      <c r="C1072" s="2" t="s">
        <v>3214</v>
      </c>
      <c r="D1072" s="2" t="s">
        <v>10042</v>
      </c>
      <c r="E1072" s="15">
        <v>0.152</v>
      </c>
      <c r="F1072" s="15">
        <v>8.4400000000000003E-2</v>
      </c>
      <c r="G1072" s="15">
        <v>7.17E-2</v>
      </c>
      <c r="H1072" s="15">
        <v>0.14729999999999999</v>
      </c>
      <c r="I1072" s="15">
        <v>4.3700000000000003E-2</v>
      </c>
      <c r="J1072" s="15">
        <v>3.3707093821510292</v>
      </c>
    </row>
    <row r="1073" spans="1:10" x14ac:dyDescent="0.25">
      <c r="A1073" s="2" t="s">
        <v>3215</v>
      </c>
      <c r="B1073" s="2" t="s">
        <v>3216</v>
      </c>
      <c r="C1073" s="2" t="s">
        <v>3217</v>
      </c>
      <c r="D1073" s="2" t="s">
        <v>10042</v>
      </c>
      <c r="E1073" s="15">
        <v>0.1769</v>
      </c>
      <c r="F1073" s="15">
        <v>9.3899999999999997E-2</v>
      </c>
      <c r="G1073" s="15">
        <v>5.96E-2</v>
      </c>
      <c r="H1073" s="15">
        <v>0.12859999999999999</v>
      </c>
      <c r="I1073" s="15">
        <v>4.0099999999999997E-2</v>
      </c>
      <c r="J1073" s="15">
        <v>3.2069825436408981</v>
      </c>
    </row>
    <row r="1074" spans="1:10" x14ac:dyDescent="0.25">
      <c r="A1074" s="2" t="s">
        <v>3218</v>
      </c>
      <c r="B1074" s="2" t="s">
        <v>3219</v>
      </c>
      <c r="C1074" s="2" t="s">
        <v>3220</v>
      </c>
      <c r="D1074" s="2" t="s">
        <v>10042</v>
      </c>
      <c r="E1074" s="15">
        <v>8.0100000000000005E-2</v>
      </c>
      <c r="F1074" s="15">
        <v>0.1129</v>
      </c>
      <c r="G1074" s="15">
        <v>0.47799999999999998</v>
      </c>
      <c r="H1074" s="15">
        <v>6.9199999999999998E-2</v>
      </c>
      <c r="I1074" s="15">
        <v>3.7100000000000001E-2</v>
      </c>
      <c r="J1074" s="15">
        <v>1.865229110512129</v>
      </c>
    </row>
    <row r="1075" spans="1:10" x14ac:dyDescent="0.25">
      <c r="A1075" s="2" t="s">
        <v>3221</v>
      </c>
      <c r="B1075" s="2" t="s">
        <v>3222</v>
      </c>
      <c r="C1075" s="2" t="s">
        <v>3223</v>
      </c>
      <c r="D1075" s="2" t="s">
        <v>10042</v>
      </c>
      <c r="E1075" s="15">
        <v>0.1105</v>
      </c>
      <c r="F1075" s="15">
        <v>9.8100000000000007E-2</v>
      </c>
      <c r="G1075" s="15">
        <v>0.25979999999999998</v>
      </c>
      <c r="H1075" s="15">
        <v>0.1148</v>
      </c>
      <c r="I1075" s="15">
        <v>4.2299999999999997E-2</v>
      </c>
      <c r="J1075" s="15">
        <v>2.713947990543736</v>
      </c>
    </row>
    <row r="1076" spans="1:10" x14ac:dyDescent="0.25">
      <c r="A1076" s="2" t="s">
        <v>3224</v>
      </c>
      <c r="B1076" s="2" t="s">
        <v>3225</v>
      </c>
      <c r="C1076" s="2" t="s">
        <v>3226</v>
      </c>
      <c r="D1076" s="2" t="s">
        <v>10042</v>
      </c>
      <c r="E1076" s="15">
        <v>0.1346</v>
      </c>
      <c r="F1076" s="15">
        <v>8.7300000000000003E-2</v>
      </c>
      <c r="G1076" s="15">
        <v>0.1231</v>
      </c>
      <c r="H1076" s="15">
        <v>0.14829999999999999</v>
      </c>
      <c r="I1076" s="15">
        <v>4.2900000000000001E-2</v>
      </c>
      <c r="J1076" s="15">
        <v>3.4568764568764569</v>
      </c>
    </row>
    <row r="1077" spans="1:10" x14ac:dyDescent="0.25">
      <c r="A1077" s="2" t="s">
        <v>3227</v>
      </c>
      <c r="B1077" s="2" t="s">
        <v>3228</v>
      </c>
      <c r="C1077" s="2" t="s">
        <v>3229</v>
      </c>
      <c r="D1077" s="2" t="s">
        <v>10042</v>
      </c>
      <c r="E1077" s="15">
        <v>8.7900000000000006E-2</v>
      </c>
      <c r="F1077" s="15">
        <v>8.5000000000000006E-2</v>
      </c>
      <c r="G1077" s="15">
        <v>0.3009</v>
      </c>
      <c r="H1077" s="15">
        <v>0.1537</v>
      </c>
      <c r="I1077" s="15">
        <v>4.1500000000000002E-2</v>
      </c>
      <c r="J1077" s="15">
        <v>3.7036144578313248</v>
      </c>
    </row>
    <row r="1078" spans="1:10" x14ac:dyDescent="0.25">
      <c r="A1078" s="2" t="s">
        <v>3230</v>
      </c>
      <c r="B1078" s="2" t="s">
        <v>3231</v>
      </c>
      <c r="C1078" s="2" t="s">
        <v>3232</v>
      </c>
      <c r="D1078" s="2" t="s">
        <v>10042</v>
      </c>
      <c r="E1078" s="15">
        <v>0.10630000000000001</v>
      </c>
      <c r="F1078" s="15">
        <v>7.5499999999999998E-2</v>
      </c>
      <c r="G1078" s="15">
        <v>0.15939999999999999</v>
      </c>
      <c r="H1078" s="15">
        <v>0.2069</v>
      </c>
      <c r="I1078" s="15">
        <v>4.1399999999999999E-2</v>
      </c>
      <c r="J1078" s="15">
        <v>4.9975845410628024</v>
      </c>
    </row>
    <row r="1079" spans="1:10" x14ac:dyDescent="0.25">
      <c r="A1079" s="2" t="s">
        <v>3233</v>
      </c>
      <c r="B1079" s="2" t="s">
        <v>3234</v>
      </c>
      <c r="C1079" s="2" t="s">
        <v>3235</v>
      </c>
      <c r="D1079" s="2" t="s">
        <v>10042</v>
      </c>
      <c r="E1079" s="15">
        <v>0.18870000000000001</v>
      </c>
      <c r="F1079" s="15">
        <v>9.7500000000000003E-2</v>
      </c>
      <c r="G1079" s="15">
        <v>5.28E-2</v>
      </c>
      <c r="H1079" s="15">
        <v>0.1429</v>
      </c>
      <c r="I1079" s="15">
        <v>4.3400000000000001E-2</v>
      </c>
      <c r="J1079" s="15">
        <v>3.2926267281105992</v>
      </c>
    </row>
    <row r="1080" spans="1:10" x14ac:dyDescent="0.25">
      <c r="A1080" s="2" t="s">
        <v>3236</v>
      </c>
      <c r="B1080" s="2" t="s">
        <v>3237</v>
      </c>
      <c r="C1080" s="2" t="s">
        <v>3238</v>
      </c>
      <c r="D1080" s="2" t="s">
        <v>10042</v>
      </c>
      <c r="E1080" s="15">
        <v>0.30220000000000002</v>
      </c>
      <c r="F1080" s="15">
        <v>9.4799999999999995E-2</v>
      </c>
      <c r="G1080" s="15">
        <v>1.4E-3</v>
      </c>
      <c r="H1080" s="15">
        <v>0.1535</v>
      </c>
      <c r="I1080" s="15">
        <v>4.1500000000000002E-2</v>
      </c>
      <c r="J1080" s="15">
        <v>3.6987951807228909</v>
      </c>
    </row>
    <row r="1081" spans="1:10" x14ac:dyDescent="0.25">
      <c r="A1081" s="2" t="s">
        <v>3239</v>
      </c>
      <c r="B1081" s="2" t="s">
        <v>3240</v>
      </c>
      <c r="C1081" s="2" t="s">
        <v>3241</v>
      </c>
      <c r="D1081" s="2" t="s">
        <v>10042</v>
      </c>
      <c r="E1081" s="15">
        <v>8.2900000000000001E-2</v>
      </c>
      <c r="F1081" s="15">
        <v>8.2900000000000001E-2</v>
      </c>
      <c r="G1081" s="15">
        <v>0.3175</v>
      </c>
      <c r="H1081" s="15">
        <v>0.1353</v>
      </c>
      <c r="I1081" s="15">
        <v>4.1500000000000002E-2</v>
      </c>
      <c r="J1081" s="15">
        <v>3.2602409638554222</v>
      </c>
    </row>
    <row r="1082" spans="1:10" x14ac:dyDescent="0.25">
      <c r="A1082" s="2" t="s">
        <v>3242</v>
      </c>
      <c r="B1082" s="2" t="s">
        <v>3243</v>
      </c>
      <c r="C1082" s="2" t="s">
        <v>3244</v>
      </c>
      <c r="D1082" s="2" t="s">
        <v>10042</v>
      </c>
      <c r="E1082" s="15">
        <v>0.1779</v>
      </c>
      <c r="F1082" s="15">
        <v>8.14E-2</v>
      </c>
      <c r="G1082" s="15">
        <v>2.8799999999999999E-2</v>
      </c>
      <c r="H1082" s="15">
        <v>0.19900000000000001</v>
      </c>
      <c r="I1082" s="15">
        <v>4.3999999999999997E-2</v>
      </c>
      <c r="J1082" s="15">
        <v>4.5227272727272734</v>
      </c>
    </row>
    <row r="1083" spans="1:10" x14ac:dyDescent="0.25">
      <c r="A1083" s="2" t="s">
        <v>3245</v>
      </c>
      <c r="B1083" s="2" t="s">
        <v>3246</v>
      </c>
      <c r="C1083" s="2" t="s">
        <v>3247</v>
      </c>
      <c r="D1083" s="2" t="s">
        <v>10042</v>
      </c>
      <c r="E1083" s="15">
        <v>0.21820000000000001</v>
      </c>
      <c r="F1083" s="15">
        <v>7.7600000000000002E-2</v>
      </c>
      <c r="G1083" s="15">
        <v>4.8999999999999998E-3</v>
      </c>
      <c r="H1083" s="15">
        <v>0.19750000000000001</v>
      </c>
      <c r="I1083" s="15">
        <v>4.2799999999999998E-2</v>
      </c>
      <c r="J1083" s="15">
        <v>4.6144859813084116</v>
      </c>
    </row>
    <row r="1084" spans="1:10" x14ac:dyDescent="0.25">
      <c r="A1084" s="2" t="s">
        <v>3248</v>
      </c>
      <c r="B1084" s="2" t="s">
        <v>3249</v>
      </c>
      <c r="C1084" s="2" t="s">
        <v>3250</v>
      </c>
      <c r="D1084" s="2" t="s">
        <v>10042</v>
      </c>
      <c r="E1084" s="15">
        <v>0.2142</v>
      </c>
      <c r="F1084" s="15">
        <v>8.8099999999999998E-2</v>
      </c>
      <c r="G1084" s="15">
        <v>1.5100000000000001E-2</v>
      </c>
      <c r="H1084" s="15">
        <v>0.1595</v>
      </c>
      <c r="I1084" s="15">
        <v>4.2099999999999999E-2</v>
      </c>
      <c r="J1084" s="15">
        <v>3.7885985748218531</v>
      </c>
    </row>
    <row r="1085" spans="1:10" x14ac:dyDescent="0.25">
      <c r="A1085" s="2" t="s">
        <v>3251</v>
      </c>
      <c r="B1085" s="2" t="s">
        <v>3252</v>
      </c>
      <c r="C1085" s="2" t="s">
        <v>3253</v>
      </c>
      <c r="D1085" s="2" t="s">
        <v>10042</v>
      </c>
      <c r="E1085" s="15">
        <v>0.14460000000000001</v>
      </c>
      <c r="F1085" s="15">
        <v>7.17E-2</v>
      </c>
      <c r="G1085" s="15">
        <v>4.36E-2</v>
      </c>
      <c r="H1085" s="15">
        <v>0.25650000000000001</v>
      </c>
      <c r="I1085" s="15">
        <v>4.02E-2</v>
      </c>
      <c r="J1085" s="15">
        <v>6.3805970149253737</v>
      </c>
    </row>
    <row r="1086" spans="1:10" x14ac:dyDescent="0.25">
      <c r="A1086" s="2" t="s">
        <v>3254</v>
      </c>
      <c r="B1086" s="2" t="s">
        <v>3255</v>
      </c>
      <c r="C1086" s="2" t="s">
        <v>3256</v>
      </c>
      <c r="D1086" s="2" t="s">
        <v>10042</v>
      </c>
      <c r="E1086" s="15">
        <v>9.06E-2</v>
      </c>
      <c r="F1086" s="15">
        <v>7.8200000000000006E-2</v>
      </c>
      <c r="G1086" s="15">
        <v>0.2465</v>
      </c>
      <c r="H1086" s="15">
        <v>0.21840000000000001</v>
      </c>
      <c r="I1086" s="15">
        <v>4.4499999999999998E-2</v>
      </c>
      <c r="J1086" s="15">
        <v>4.9078651685393266</v>
      </c>
    </row>
    <row r="1087" spans="1:10" x14ac:dyDescent="0.25">
      <c r="A1087" s="2" t="s">
        <v>3257</v>
      </c>
      <c r="B1087" s="2" t="s">
        <v>3258</v>
      </c>
      <c r="C1087" s="2" t="s">
        <v>3259</v>
      </c>
      <c r="D1087" s="2" t="s">
        <v>10042</v>
      </c>
      <c r="E1087" s="15">
        <v>0.45490000000000003</v>
      </c>
      <c r="F1087" s="15">
        <v>0.5746</v>
      </c>
      <c r="G1087" s="15">
        <v>0.42859999999999998</v>
      </c>
      <c r="H1087" s="15">
        <v>1.7500000000000002E-2</v>
      </c>
      <c r="I1087" s="15">
        <v>3.6200000000000003E-2</v>
      </c>
      <c r="J1087" s="15">
        <v>0.48342541436464093</v>
      </c>
    </row>
    <row r="1088" spans="1:10" x14ac:dyDescent="0.25">
      <c r="A1088" s="2" t="s">
        <v>3260</v>
      </c>
      <c r="B1088" s="2" t="s">
        <v>3261</v>
      </c>
      <c r="C1088" s="2" t="s">
        <v>3262</v>
      </c>
      <c r="D1088" s="2" t="s">
        <v>10042</v>
      </c>
      <c r="E1088" s="15">
        <v>0.13900000000000001</v>
      </c>
      <c r="F1088" s="15">
        <v>8.6900000000000005E-2</v>
      </c>
      <c r="G1088" s="15">
        <v>0.1099</v>
      </c>
      <c r="H1088" s="15">
        <v>0.16769999999999999</v>
      </c>
      <c r="I1088" s="15">
        <v>4.8500000000000001E-2</v>
      </c>
      <c r="J1088" s="15">
        <v>3.4577319587628859</v>
      </c>
    </row>
    <row r="1089" spans="1:10" x14ac:dyDescent="0.25">
      <c r="A1089" s="2" t="s">
        <v>3263</v>
      </c>
      <c r="B1089" s="2" t="s">
        <v>3264</v>
      </c>
      <c r="C1089" s="2" t="s">
        <v>3265</v>
      </c>
      <c r="D1089" s="2" t="s">
        <v>10042</v>
      </c>
      <c r="E1089" s="15">
        <v>0.1416</v>
      </c>
      <c r="F1089" s="15">
        <v>7.3400000000000007E-2</v>
      </c>
      <c r="G1089" s="15">
        <v>5.3600000000000002E-2</v>
      </c>
      <c r="H1089" s="15">
        <v>0.1986</v>
      </c>
      <c r="I1089" s="15">
        <v>4.99E-2</v>
      </c>
      <c r="J1089" s="15">
        <v>3.97995991983968</v>
      </c>
    </row>
    <row r="1090" spans="1:10" x14ac:dyDescent="0.25">
      <c r="A1090" s="2" t="s">
        <v>3266</v>
      </c>
      <c r="B1090" s="2" t="s">
        <v>3267</v>
      </c>
      <c r="C1090" s="2" t="s">
        <v>3268</v>
      </c>
      <c r="D1090" s="2" t="s">
        <v>10042</v>
      </c>
      <c r="E1090" s="15">
        <v>7.5700000000000003E-2</v>
      </c>
      <c r="F1090" s="15">
        <v>8.3900000000000002E-2</v>
      </c>
      <c r="G1090" s="15">
        <v>0.36730000000000002</v>
      </c>
      <c r="H1090" s="15">
        <v>0.17799999999999999</v>
      </c>
      <c r="I1090" s="15">
        <v>3.7199999999999997E-2</v>
      </c>
      <c r="J1090" s="15">
        <v>4.78494623655914</v>
      </c>
    </row>
    <row r="1091" spans="1:10" x14ac:dyDescent="0.25">
      <c r="A1091" s="2" t="s">
        <v>3269</v>
      </c>
      <c r="B1091" s="2" t="s">
        <v>3270</v>
      </c>
      <c r="C1091" s="2" t="s">
        <v>3271</v>
      </c>
      <c r="D1091" s="2" t="s">
        <v>10042</v>
      </c>
      <c r="E1091" s="15">
        <v>0.1215</v>
      </c>
      <c r="F1091" s="15">
        <v>8.8200000000000001E-2</v>
      </c>
      <c r="G1091" s="15">
        <v>0.1681</v>
      </c>
      <c r="H1091" s="15">
        <v>0.18379999999999999</v>
      </c>
      <c r="I1091" s="15">
        <v>4.3200000000000002E-2</v>
      </c>
      <c r="J1091" s="15">
        <v>4.2546296296296289</v>
      </c>
    </row>
    <row r="1092" spans="1:10" x14ac:dyDescent="0.25">
      <c r="A1092" s="2" t="s">
        <v>3272</v>
      </c>
      <c r="B1092" s="2" t="s">
        <v>3273</v>
      </c>
      <c r="C1092" s="2" t="s">
        <v>3274</v>
      </c>
      <c r="D1092" s="2" t="s">
        <v>10042</v>
      </c>
      <c r="E1092" s="15">
        <v>7.0499999999999993E-2</v>
      </c>
      <c r="F1092" s="15">
        <v>8.0699999999999994E-2</v>
      </c>
      <c r="G1092" s="15">
        <v>0.38250000000000001</v>
      </c>
      <c r="H1092" s="15">
        <v>0.185</v>
      </c>
      <c r="I1092" s="15">
        <v>4.3900000000000002E-2</v>
      </c>
      <c r="J1092" s="15">
        <v>4.214123006833713</v>
      </c>
    </row>
    <row r="1093" spans="1:10" x14ac:dyDescent="0.25">
      <c r="A1093" s="2" t="s">
        <v>3275</v>
      </c>
      <c r="B1093" s="2" t="s">
        <v>3276</v>
      </c>
      <c r="C1093" s="2" t="s">
        <v>3277</v>
      </c>
      <c r="D1093" s="2" t="s">
        <v>10042</v>
      </c>
      <c r="E1093" s="15">
        <v>4.6399999999999997E-2</v>
      </c>
      <c r="F1093" s="15">
        <v>8.7499999999999994E-2</v>
      </c>
      <c r="G1093" s="15">
        <v>0.59560000000000002</v>
      </c>
      <c r="H1093" s="15">
        <v>0.1449</v>
      </c>
      <c r="I1093" s="15">
        <v>4.0300000000000002E-2</v>
      </c>
      <c r="J1093" s="15">
        <v>3.5955334987593051</v>
      </c>
    </row>
    <row r="1094" spans="1:10" x14ac:dyDescent="0.25">
      <c r="A1094" s="2" t="s">
        <v>3278</v>
      </c>
      <c r="B1094" s="2" t="s">
        <v>3279</v>
      </c>
      <c r="C1094" s="2" t="s">
        <v>3280</v>
      </c>
      <c r="D1094" s="2" t="s">
        <v>10042</v>
      </c>
      <c r="E1094" s="15">
        <v>0.128</v>
      </c>
      <c r="F1094" s="15">
        <v>0.1004</v>
      </c>
      <c r="G1094" s="15">
        <v>0.20250000000000001</v>
      </c>
      <c r="H1094" s="15">
        <v>0.1082</v>
      </c>
      <c r="I1094" s="15">
        <v>3.9399999999999998E-2</v>
      </c>
      <c r="J1094" s="15">
        <v>2.746192893401016</v>
      </c>
    </row>
    <row r="1095" spans="1:10" x14ac:dyDescent="0.25">
      <c r="A1095" s="2" t="s">
        <v>3281</v>
      </c>
      <c r="B1095" s="2" t="s">
        <v>3282</v>
      </c>
      <c r="C1095" s="2" t="s">
        <v>3283</v>
      </c>
      <c r="D1095" s="2" t="s">
        <v>10042</v>
      </c>
      <c r="E1095" s="15">
        <v>0.18740000000000001</v>
      </c>
      <c r="F1095" s="15">
        <v>0.10589999999999999</v>
      </c>
      <c r="G1095" s="15">
        <v>7.6799999999999993E-2</v>
      </c>
      <c r="H1095" s="15">
        <v>0.1168</v>
      </c>
      <c r="I1095" s="15">
        <v>4.58E-2</v>
      </c>
      <c r="J1095" s="15">
        <v>2.5502183406113539</v>
      </c>
    </row>
    <row r="1096" spans="1:10" x14ac:dyDescent="0.25">
      <c r="A1096" s="2" t="s">
        <v>3284</v>
      </c>
      <c r="B1096" s="2" t="s">
        <v>3285</v>
      </c>
      <c r="C1096" s="2" t="s">
        <v>3286</v>
      </c>
      <c r="D1096" s="2" t="s">
        <v>10042</v>
      </c>
      <c r="E1096" s="15">
        <v>0.23180000000000001</v>
      </c>
      <c r="F1096" s="15">
        <v>9.7600000000000006E-2</v>
      </c>
      <c r="G1096" s="15">
        <v>1.7500000000000002E-2</v>
      </c>
      <c r="H1096" s="15">
        <v>0.18110000000000001</v>
      </c>
      <c r="I1096" s="15">
        <v>5.2200000000000003E-2</v>
      </c>
      <c r="J1096" s="15">
        <v>3.469348659003832</v>
      </c>
    </row>
    <row r="1097" spans="1:10" x14ac:dyDescent="0.25">
      <c r="A1097" s="2" t="s">
        <v>3287</v>
      </c>
      <c r="B1097" s="2" t="s">
        <v>3288</v>
      </c>
      <c r="C1097" s="2" t="s">
        <v>3289</v>
      </c>
      <c r="D1097" s="2" t="s">
        <v>10042</v>
      </c>
      <c r="E1097" s="15">
        <v>0.1623</v>
      </c>
      <c r="F1097" s="15">
        <v>9.4299999999999995E-2</v>
      </c>
      <c r="G1097" s="15">
        <v>8.5300000000000001E-2</v>
      </c>
      <c r="H1097" s="15">
        <v>0.1595</v>
      </c>
      <c r="I1097" s="15">
        <v>4.5199999999999997E-2</v>
      </c>
      <c r="J1097" s="15">
        <v>3.528761061946903</v>
      </c>
    </row>
    <row r="1098" spans="1:10" x14ac:dyDescent="0.25">
      <c r="A1098" s="2" t="s">
        <v>3290</v>
      </c>
      <c r="B1098" s="2" t="s">
        <v>3291</v>
      </c>
      <c r="C1098" s="2" t="s">
        <v>3292</v>
      </c>
      <c r="D1098" s="2" t="s">
        <v>10042</v>
      </c>
      <c r="E1098" s="15">
        <v>0.13639999999999999</v>
      </c>
      <c r="F1098" s="15">
        <v>9.8500000000000004E-2</v>
      </c>
      <c r="G1098" s="15">
        <v>0.1661</v>
      </c>
      <c r="H1098" s="15">
        <v>0.16239999999999999</v>
      </c>
      <c r="I1098" s="15">
        <v>3.9399999999999998E-2</v>
      </c>
      <c r="J1098" s="15">
        <v>4.1218274111675131</v>
      </c>
    </row>
    <row r="1099" spans="1:10" x14ac:dyDescent="0.25">
      <c r="A1099" s="2" t="s">
        <v>3293</v>
      </c>
      <c r="B1099" s="2" t="s">
        <v>3294</v>
      </c>
      <c r="C1099" s="2" t="s">
        <v>3295</v>
      </c>
      <c r="D1099" s="2" t="s">
        <v>10042</v>
      </c>
      <c r="E1099" s="15">
        <v>0.1449</v>
      </c>
      <c r="F1099" s="15">
        <v>8.9899999999999994E-2</v>
      </c>
      <c r="G1099" s="15">
        <v>0.1072</v>
      </c>
      <c r="H1099" s="15">
        <v>0.13769999999999999</v>
      </c>
      <c r="I1099" s="15">
        <v>3.8300000000000001E-2</v>
      </c>
      <c r="J1099" s="15">
        <v>3.5953002610966061</v>
      </c>
    </row>
    <row r="1100" spans="1:10" x14ac:dyDescent="0.25">
      <c r="A1100" s="2" t="s">
        <v>3296</v>
      </c>
      <c r="B1100" s="2" t="s">
        <v>3297</v>
      </c>
      <c r="C1100" s="2" t="s">
        <v>3298</v>
      </c>
      <c r="D1100" s="2" t="s">
        <v>10042</v>
      </c>
      <c r="E1100" s="15">
        <v>9.0399999999999994E-2</v>
      </c>
      <c r="F1100" s="15">
        <v>7.1900000000000006E-2</v>
      </c>
      <c r="G1100" s="15">
        <v>0.20830000000000001</v>
      </c>
      <c r="H1100" s="15">
        <v>0.23680000000000001</v>
      </c>
      <c r="I1100" s="15">
        <v>4.2799999999999998E-2</v>
      </c>
      <c r="J1100" s="15">
        <v>5.5327102803738324</v>
      </c>
    </row>
    <row r="1101" spans="1:10" x14ac:dyDescent="0.25">
      <c r="A1101" s="2" t="s">
        <v>3299</v>
      </c>
      <c r="B1101" s="2" t="s">
        <v>3300</v>
      </c>
      <c r="C1101" s="2" t="s">
        <v>3301</v>
      </c>
      <c r="D1101" s="2" t="s">
        <v>10042</v>
      </c>
      <c r="E1101" s="15">
        <v>0.1946</v>
      </c>
      <c r="F1101" s="15">
        <v>8.8700000000000001E-2</v>
      </c>
      <c r="G1101" s="15">
        <v>2.8199999999999999E-2</v>
      </c>
      <c r="H1101" s="15">
        <v>0.18329999999999999</v>
      </c>
      <c r="I1101" s="15">
        <v>4.4600000000000001E-2</v>
      </c>
      <c r="J1101" s="15">
        <v>4.1098654708520179</v>
      </c>
    </row>
    <row r="1102" spans="1:10" x14ac:dyDescent="0.25">
      <c r="A1102" s="2" t="s">
        <v>3302</v>
      </c>
      <c r="B1102" s="2" t="s">
        <v>3303</v>
      </c>
      <c r="C1102" s="2" t="s">
        <v>3304</v>
      </c>
      <c r="D1102" s="2" t="s">
        <v>10042</v>
      </c>
      <c r="E1102" s="15">
        <v>0.28589999999999999</v>
      </c>
      <c r="F1102" s="15">
        <v>0.1212</v>
      </c>
      <c r="G1102" s="15">
        <v>1.84E-2</v>
      </c>
      <c r="H1102" s="15">
        <v>8.3299999999999999E-2</v>
      </c>
      <c r="I1102" s="15">
        <v>3.9699999999999999E-2</v>
      </c>
      <c r="J1102" s="15">
        <v>2.09823677581864</v>
      </c>
    </row>
    <row r="1103" spans="1:10" x14ac:dyDescent="0.25">
      <c r="A1103" s="2" t="s">
        <v>3305</v>
      </c>
      <c r="B1103" s="2" t="s">
        <v>3306</v>
      </c>
      <c r="C1103" s="2" t="s">
        <v>3307</v>
      </c>
      <c r="D1103" s="2" t="s">
        <v>10042</v>
      </c>
      <c r="E1103" s="15">
        <v>0.2056</v>
      </c>
      <c r="F1103" s="15">
        <v>0.1057</v>
      </c>
      <c r="G1103" s="15">
        <v>5.1900000000000002E-2</v>
      </c>
      <c r="H1103" s="15">
        <v>0.11799999999999999</v>
      </c>
      <c r="I1103" s="15">
        <v>4.0800000000000003E-2</v>
      </c>
      <c r="J1103" s="15">
        <v>2.892156862745098</v>
      </c>
    </row>
    <row r="1104" spans="1:10" x14ac:dyDescent="0.25">
      <c r="A1104" s="2" t="s">
        <v>3308</v>
      </c>
      <c r="B1104" s="2" t="s">
        <v>3309</v>
      </c>
      <c r="C1104" s="2" t="s">
        <v>3310</v>
      </c>
      <c r="D1104" s="2" t="s">
        <v>10042</v>
      </c>
      <c r="E1104" s="15">
        <v>0.20050000000000001</v>
      </c>
      <c r="F1104" s="15">
        <v>9.5000000000000001E-2</v>
      </c>
      <c r="G1104" s="15">
        <v>3.4799999999999998E-2</v>
      </c>
      <c r="H1104" s="15">
        <v>0.14779999999999999</v>
      </c>
      <c r="I1104" s="15">
        <v>4.02E-2</v>
      </c>
      <c r="J1104" s="15">
        <v>3.6766169154228852</v>
      </c>
    </row>
    <row r="1105" spans="1:10" x14ac:dyDescent="0.25">
      <c r="A1105" s="2" t="s">
        <v>3311</v>
      </c>
      <c r="B1105" s="2" t="s">
        <v>3312</v>
      </c>
      <c r="C1105" s="2" t="s">
        <v>3313</v>
      </c>
      <c r="D1105" s="2" t="s">
        <v>10042</v>
      </c>
      <c r="E1105" s="15">
        <v>7.7799999999999994E-2</v>
      </c>
      <c r="F1105" s="15">
        <v>9.0700000000000003E-2</v>
      </c>
      <c r="G1105" s="15">
        <v>0.39079999999999998</v>
      </c>
      <c r="H1105" s="15">
        <v>0.1497</v>
      </c>
      <c r="I1105" s="15">
        <v>4.1300000000000003E-2</v>
      </c>
      <c r="J1105" s="15">
        <v>3.6246973365617432</v>
      </c>
    </row>
    <row r="1106" spans="1:10" x14ac:dyDescent="0.25">
      <c r="A1106" s="2" t="s">
        <v>3314</v>
      </c>
      <c r="B1106" s="2" t="s">
        <v>3315</v>
      </c>
      <c r="C1106" s="2" t="s">
        <v>3316</v>
      </c>
      <c r="D1106" s="2" t="s">
        <v>10042</v>
      </c>
      <c r="E1106" s="15">
        <v>2.6599999999999999E-2</v>
      </c>
      <c r="F1106" s="15">
        <v>8.4199999999999997E-2</v>
      </c>
      <c r="G1106" s="15">
        <v>0.752</v>
      </c>
      <c r="H1106" s="15">
        <v>0.1401</v>
      </c>
      <c r="I1106" s="15">
        <v>4.2000000000000003E-2</v>
      </c>
      <c r="J1106" s="15">
        <v>3.335714285714285</v>
      </c>
    </row>
    <row r="1107" spans="1:10" x14ac:dyDescent="0.25">
      <c r="A1107" s="2" t="s">
        <v>3317</v>
      </c>
      <c r="B1107" s="2" t="s">
        <v>3318</v>
      </c>
      <c r="C1107" s="2" t="s">
        <v>3319</v>
      </c>
      <c r="D1107" s="2" t="s">
        <v>10042</v>
      </c>
      <c r="E1107" s="15">
        <v>8.5599999999999996E-2</v>
      </c>
      <c r="F1107" s="15">
        <v>0.1129</v>
      </c>
      <c r="G1107" s="15">
        <v>0.44800000000000001</v>
      </c>
      <c r="H1107" s="15">
        <v>8.77E-2</v>
      </c>
      <c r="I1107" s="15">
        <v>4.24E-2</v>
      </c>
      <c r="J1107" s="15">
        <v>2.0683962264150941</v>
      </c>
    </row>
    <row r="1108" spans="1:10" x14ac:dyDescent="0.25">
      <c r="A1108" s="2" t="s">
        <v>3320</v>
      </c>
      <c r="B1108" s="2" t="s">
        <v>3321</v>
      </c>
      <c r="C1108" s="2" t="s">
        <v>3322</v>
      </c>
      <c r="D1108" s="2" t="s">
        <v>10042</v>
      </c>
      <c r="E1108" s="15">
        <v>0.153</v>
      </c>
      <c r="F1108" s="15">
        <v>9.3600000000000003E-2</v>
      </c>
      <c r="G1108" s="15">
        <v>0.1023</v>
      </c>
      <c r="H1108" s="15">
        <v>0.12920000000000001</v>
      </c>
      <c r="I1108" s="15">
        <v>3.9300000000000002E-2</v>
      </c>
      <c r="J1108" s="15">
        <v>3.2875318066157759</v>
      </c>
    </row>
    <row r="1109" spans="1:10" x14ac:dyDescent="0.25">
      <c r="A1109" s="2" t="s">
        <v>3323</v>
      </c>
      <c r="B1109" s="2" t="s">
        <v>3324</v>
      </c>
      <c r="C1109" s="2" t="s">
        <v>3325</v>
      </c>
      <c r="D1109" s="2" t="s">
        <v>10042</v>
      </c>
      <c r="E1109" s="15">
        <v>9.2399999999999996E-2</v>
      </c>
      <c r="F1109" s="15">
        <v>0.09</v>
      </c>
      <c r="G1109" s="15">
        <v>0.30459999999999998</v>
      </c>
      <c r="H1109" s="15">
        <v>0.12509999999999999</v>
      </c>
      <c r="I1109" s="15">
        <v>4.1200000000000001E-2</v>
      </c>
      <c r="J1109" s="15">
        <v>3.0364077669902909</v>
      </c>
    </row>
    <row r="1110" spans="1:10" x14ac:dyDescent="0.25">
      <c r="A1110" s="2" t="s">
        <v>3326</v>
      </c>
      <c r="B1110" s="2" t="s">
        <v>3327</v>
      </c>
      <c r="C1110" s="2" t="s">
        <v>3328</v>
      </c>
      <c r="D1110" s="2" t="s">
        <v>10042</v>
      </c>
      <c r="E1110" s="15">
        <v>0.2344</v>
      </c>
      <c r="F1110" s="15">
        <v>8.9499999999999996E-2</v>
      </c>
      <c r="G1110" s="15">
        <v>8.8000000000000005E-3</v>
      </c>
      <c r="H1110" s="15">
        <v>0.16950000000000001</v>
      </c>
      <c r="I1110" s="15">
        <v>4.4200000000000003E-2</v>
      </c>
      <c r="J1110" s="15">
        <v>3.8348416289592762</v>
      </c>
    </row>
    <row r="1111" spans="1:10" x14ac:dyDescent="0.25">
      <c r="A1111" s="2" t="s">
        <v>3329</v>
      </c>
      <c r="B1111" s="2" t="s">
        <v>3330</v>
      </c>
      <c r="C1111" s="2" t="s">
        <v>3331</v>
      </c>
      <c r="D1111" s="2" t="s">
        <v>10042</v>
      </c>
      <c r="E1111" s="15">
        <v>0.16039999999999999</v>
      </c>
      <c r="F1111" s="15">
        <v>8.43E-2</v>
      </c>
      <c r="G1111" s="15">
        <v>5.7200000000000001E-2</v>
      </c>
      <c r="H1111" s="15">
        <v>0.1749</v>
      </c>
      <c r="I1111" s="15">
        <v>4.41E-2</v>
      </c>
      <c r="J1111" s="15">
        <v>3.9659863945578229</v>
      </c>
    </row>
    <row r="1112" spans="1:10" x14ac:dyDescent="0.25">
      <c r="A1112" s="2" t="s">
        <v>3332</v>
      </c>
      <c r="B1112" s="2" t="s">
        <v>3333</v>
      </c>
      <c r="C1112" s="2" t="s">
        <v>3334</v>
      </c>
      <c r="D1112" s="2" t="s">
        <v>10042</v>
      </c>
      <c r="E1112" s="15">
        <v>0.11890000000000001</v>
      </c>
      <c r="F1112" s="15">
        <v>8.4900000000000003E-2</v>
      </c>
      <c r="G1112" s="15">
        <v>0.1613</v>
      </c>
      <c r="H1112" s="15">
        <v>0.1502</v>
      </c>
      <c r="I1112" s="15">
        <v>4.3499999999999997E-2</v>
      </c>
      <c r="J1112" s="15">
        <v>3.4528735632183909</v>
      </c>
    </row>
    <row r="1113" spans="1:10" x14ac:dyDescent="0.25">
      <c r="A1113" s="2" t="s">
        <v>3335</v>
      </c>
      <c r="B1113" s="2" t="s">
        <v>3336</v>
      </c>
      <c r="C1113" s="2" t="s">
        <v>3337</v>
      </c>
      <c r="D1113" s="2" t="s">
        <v>10042</v>
      </c>
      <c r="E1113" s="15">
        <v>0.1724</v>
      </c>
      <c r="F1113" s="15">
        <v>8.9399999999999993E-2</v>
      </c>
      <c r="G1113" s="15">
        <v>5.3800000000000001E-2</v>
      </c>
      <c r="H1113" s="15">
        <v>0.15040000000000001</v>
      </c>
      <c r="I1113" s="15">
        <v>4.3999999999999997E-2</v>
      </c>
      <c r="J1113" s="15">
        <v>3.418181818181818</v>
      </c>
    </row>
    <row r="1114" spans="1:10" x14ac:dyDescent="0.25">
      <c r="A1114" s="2" t="s">
        <v>3338</v>
      </c>
      <c r="B1114" s="2" t="s">
        <v>3339</v>
      </c>
      <c r="C1114" s="2" t="s">
        <v>3340</v>
      </c>
      <c r="D1114" s="2" t="s">
        <v>10042</v>
      </c>
      <c r="E1114" s="15">
        <v>0.1555</v>
      </c>
      <c r="F1114" s="15">
        <v>6.8099999999999994E-2</v>
      </c>
      <c r="G1114" s="15">
        <v>2.24E-2</v>
      </c>
      <c r="H1114" s="15">
        <v>0.26250000000000001</v>
      </c>
      <c r="I1114" s="15">
        <v>4.2000000000000003E-2</v>
      </c>
      <c r="J1114" s="15">
        <v>6.25</v>
      </c>
    </row>
    <row r="1115" spans="1:10" x14ac:dyDescent="0.25">
      <c r="A1115" s="2" t="s">
        <v>3341</v>
      </c>
      <c r="B1115" s="2" t="s">
        <v>3342</v>
      </c>
      <c r="C1115" s="2" t="s">
        <v>3343</v>
      </c>
      <c r="D1115" s="2" t="s">
        <v>10042</v>
      </c>
      <c r="E1115" s="15">
        <v>0.24890000000000001</v>
      </c>
      <c r="F1115" s="15">
        <v>0.1014</v>
      </c>
      <c r="G1115" s="15">
        <v>1.41E-2</v>
      </c>
      <c r="H1115" s="15">
        <v>0.13120000000000001</v>
      </c>
      <c r="I1115" s="15">
        <v>3.9100000000000003E-2</v>
      </c>
      <c r="J1115" s="15">
        <v>3.3554987212276211</v>
      </c>
    </row>
    <row r="1116" spans="1:10" x14ac:dyDescent="0.25">
      <c r="A1116" s="2" t="s">
        <v>3344</v>
      </c>
      <c r="B1116" s="2" t="s">
        <v>3345</v>
      </c>
      <c r="C1116" s="2" t="s">
        <v>3346</v>
      </c>
      <c r="D1116" s="2" t="s">
        <v>10042</v>
      </c>
      <c r="E1116" s="15">
        <v>0.21940000000000001</v>
      </c>
      <c r="F1116" s="15">
        <v>0.16470000000000001</v>
      </c>
      <c r="G1116" s="15">
        <v>0.18290000000000001</v>
      </c>
      <c r="H1116" s="15">
        <v>4.8800000000000003E-2</v>
      </c>
      <c r="I1116" s="15">
        <v>3.4599999999999999E-2</v>
      </c>
      <c r="J1116" s="15">
        <v>1.4104046242774571</v>
      </c>
    </row>
    <row r="1117" spans="1:10" x14ac:dyDescent="0.25">
      <c r="A1117" s="2" t="s">
        <v>3347</v>
      </c>
      <c r="B1117" s="2" t="s">
        <v>3348</v>
      </c>
      <c r="C1117" s="2" t="s">
        <v>3349</v>
      </c>
      <c r="D1117" s="2" t="s">
        <v>10042</v>
      </c>
      <c r="E1117" s="15">
        <v>0.22109999999999999</v>
      </c>
      <c r="F1117" s="15">
        <v>0.1124</v>
      </c>
      <c r="G1117" s="15">
        <v>4.9200000000000001E-2</v>
      </c>
      <c r="H1117" s="15">
        <v>0.1018</v>
      </c>
      <c r="I1117" s="15">
        <v>4.0300000000000002E-2</v>
      </c>
      <c r="J1117" s="15">
        <v>2.5260545905707201</v>
      </c>
    </row>
    <row r="1118" spans="1:10" x14ac:dyDescent="0.25">
      <c r="A1118" s="2" t="s">
        <v>3350</v>
      </c>
      <c r="B1118" s="2" t="s">
        <v>3351</v>
      </c>
      <c r="C1118" s="2" t="s">
        <v>3352</v>
      </c>
      <c r="D1118" s="2" t="s">
        <v>10042</v>
      </c>
      <c r="E1118" s="15">
        <v>5.8400000000000001E-2</v>
      </c>
      <c r="F1118" s="15">
        <v>0.18129999999999999</v>
      </c>
      <c r="G1118" s="15">
        <v>0.74739999999999995</v>
      </c>
      <c r="H1118" s="15">
        <v>3.3700000000000001E-2</v>
      </c>
      <c r="I1118" s="15">
        <v>3.95E-2</v>
      </c>
      <c r="J1118" s="15">
        <v>0.85316455696202531</v>
      </c>
    </row>
    <row r="1119" spans="1:10" x14ac:dyDescent="0.25">
      <c r="A1119" s="2" t="s">
        <v>3353</v>
      </c>
      <c r="B1119" s="2" t="s">
        <v>3354</v>
      </c>
      <c r="C1119" s="2" t="s">
        <v>3355</v>
      </c>
      <c r="D1119" s="2" t="s">
        <v>10042</v>
      </c>
      <c r="E1119" s="15">
        <v>0.23649999999999999</v>
      </c>
      <c r="F1119" s="15">
        <v>9.5500000000000002E-2</v>
      </c>
      <c r="G1119" s="15">
        <v>1.3299999999999999E-2</v>
      </c>
      <c r="H1119" s="15">
        <v>0.18149999999999999</v>
      </c>
      <c r="I1119" s="15">
        <v>4.5400000000000003E-2</v>
      </c>
      <c r="J1119" s="15">
        <v>3.997797356828193</v>
      </c>
    </row>
    <row r="1120" spans="1:10" x14ac:dyDescent="0.25">
      <c r="A1120" s="2" t="s">
        <v>3356</v>
      </c>
      <c r="B1120" s="2" t="s">
        <v>3357</v>
      </c>
      <c r="C1120" s="2" t="s">
        <v>3358</v>
      </c>
      <c r="D1120" s="2" t="s">
        <v>10042</v>
      </c>
      <c r="E1120" s="15">
        <v>0.1328</v>
      </c>
      <c r="F1120" s="15">
        <v>7.4899999999999994E-2</v>
      </c>
      <c r="G1120" s="15">
        <v>7.6300000000000007E-2</v>
      </c>
      <c r="H1120" s="15">
        <v>0.2175</v>
      </c>
      <c r="I1120" s="15">
        <v>3.6600000000000001E-2</v>
      </c>
      <c r="J1120" s="15">
        <v>5.942622950819672</v>
      </c>
    </row>
    <row r="1121" spans="1:10" x14ac:dyDescent="0.25">
      <c r="A1121" s="2" t="s">
        <v>3359</v>
      </c>
      <c r="B1121" s="2" t="s">
        <v>3360</v>
      </c>
      <c r="C1121" s="2" t="s">
        <v>3361</v>
      </c>
      <c r="D1121" s="2" t="s">
        <v>10042</v>
      </c>
      <c r="E1121" s="15">
        <v>0.27650000000000002</v>
      </c>
      <c r="F1121" s="15">
        <v>0.13439999999999999</v>
      </c>
      <c r="G1121" s="15">
        <v>3.9699999999999999E-2</v>
      </c>
      <c r="H1121" s="15">
        <v>7.5800000000000006E-2</v>
      </c>
      <c r="I1121" s="15">
        <v>4.0899999999999999E-2</v>
      </c>
      <c r="J1121" s="15">
        <v>1.853300733496333</v>
      </c>
    </row>
    <row r="1122" spans="1:10" x14ac:dyDescent="0.25">
      <c r="A1122" s="2" t="s">
        <v>3362</v>
      </c>
      <c r="B1122" s="2" t="s">
        <v>3363</v>
      </c>
      <c r="C1122" s="2" t="s">
        <v>3364</v>
      </c>
      <c r="D1122" s="2" t="s">
        <v>10042</v>
      </c>
      <c r="E1122" s="15">
        <v>0.10349999999999999</v>
      </c>
      <c r="F1122" s="15">
        <v>8.43E-2</v>
      </c>
      <c r="G1122" s="15">
        <v>0.21940000000000001</v>
      </c>
      <c r="H1122" s="15">
        <v>0.182</v>
      </c>
      <c r="I1122" s="15">
        <v>3.9600000000000003E-2</v>
      </c>
      <c r="J1122" s="15">
        <v>4.5959595959595951</v>
      </c>
    </row>
    <row r="1123" spans="1:10" x14ac:dyDescent="0.25">
      <c r="A1123" s="2" t="s">
        <v>3365</v>
      </c>
      <c r="B1123" s="2" t="s">
        <v>3366</v>
      </c>
      <c r="C1123" s="2" t="s">
        <v>3367</v>
      </c>
      <c r="D1123" s="2" t="s">
        <v>10042</v>
      </c>
      <c r="E1123" s="15">
        <v>0.22570000000000001</v>
      </c>
      <c r="F1123" s="15">
        <v>8.5900000000000004E-2</v>
      </c>
      <c r="G1123" s="15">
        <v>8.6E-3</v>
      </c>
      <c r="H1123" s="15">
        <v>0.1898</v>
      </c>
      <c r="I1123" s="15">
        <v>4.48E-2</v>
      </c>
      <c r="J1123" s="15">
        <v>4.2366071428571432</v>
      </c>
    </row>
    <row r="1124" spans="1:10" x14ac:dyDescent="0.25">
      <c r="A1124" s="2" t="s">
        <v>3368</v>
      </c>
      <c r="B1124" s="2" t="s">
        <v>3369</v>
      </c>
      <c r="C1124" s="2" t="s">
        <v>3370</v>
      </c>
      <c r="D1124" s="2" t="s">
        <v>10042</v>
      </c>
      <c r="E1124" s="15">
        <v>0.15620000000000001</v>
      </c>
      <c r="F1124" s="15">
        <v>0.10050000000000001</v>
      </c>
      <c r="G1124" s="15">
        <v>0.12</v>
      </c>
      <c r="H1124" s="15">
        <v>0.1187</v>
      </c>
      <c r="I1124" s="15">
        <v>4.0399999999999998E-2</v>
      </c>
      <c r="J1124" s="15">
        <v>2.9381188118811878</v>
      </c>
    </row>
    <row r="1125" spans="1:10" x14ac:dyDescent="0.25">
      <c r="A1125" s="2" t="s">
        <v>3371</v>
      </c>
      <c r="B1125" s="2" t="s">
        <v>3372</v>
      </c>
      <c r="C1125" s="2" t="s">
        <v>3373</v>
      </c>
      <c r="D1125" s="2" t="s">
        <v>10042</v>
      </c>
      <c r="E1125" s="15">
        <v>6.7900000000000002E-2</v>
      </c>
      <c r="F1125" s="15">
        <v>0.10249999999999999</v>
      </c>
      <c r="G1125" s="15">
        <v>0.50770000000000004</v>
      </c>
      <c r="H1125" s="15">
        <v>0.109</v>
      </c>
      <c r="I1125" s="15">
        <v>4.0500000000000001E-2</v>
      </c>
      <c r="J1125" s="15">
        <v>2.691358024691358</v>
      </c>
    </row>
    <row r="1126" spans="1:10" x14ac:dyDescent="0.25">
      <c r="A1126" s="2" t="s">
        <v>3374</v>
      </c>
      <c r="B1126" s="2" t="s">
        <v>3375</v>
      </c>
      <c r="C1126" s="2" t="s">
        <v>3376</v>
      </c>
      <c r="D1126" s="2" t="s">
        <v>10042</v>
      </c>
      <c r="E1126" s="15">
        <v>0.1973</v>
      </c>
      <c r="F1126" s="15">
        <v>8.3500000000000005E-2</v>
      </c>
      <c r="G1126" s="15">
        <v>1.8200000000000001E-2</v>
      </c>
      <c r="H1126" s="15">
        <v>0.2049</v>
      </c>
      <c r="I1126" s="15">
        <v>4.5699999999999998E-2</v>
      </c>
      <c r="J1126" s="15">
        <v>4.4835886214442011</v>
      </c>
    </row>
    <row r="1127" spans="1:10" x14ac:dyDescent="0.25">
      <c r="A1127" s="2" t="s">
        <v>3377</v>
      </c>
      <c r="B1127" s="2" t="s">
        <v>3378</v>
      </c>
      <c r="C1127" s="2" t="s">
        <v>3379</v>
      </c>
      <c r="D1127" s="2" t="s">
        <v>10042</v>
      </c>
      <c r="E1127" s="15">
        <v>0.19989999999999999</v>
      </c>
      <c r="F1127" s="15">
        <v>9.9500000000000005E-2</v>
      </c>
      <c r="G1127" s="15">
        <v>4.4600000000000001E-2</v>
      </c>
      <c r="H1127" s="15">
        <v>0.13739999999999999</v>
      </c>
      <c r="I1127" s="15">
        <v>4.36E-2</v>
      </c>
      <c r="J1127" s="15">
        <v>3.1513761467889911</v>
      </c>
    </row>
    <row r="1128" spans="1:10" x14ac:dyDescent="0.25">
      <c r="A1128" s="2" t="s">
        <v>3380</v>
      </c>
      <c r="B1128" s="2" t="s">
        <v>3381</v>
      </c>
      <c r="C1128" s="2" t="s">
        <v>3382</v>
      </c>
      <c r="D1128" s="2" t="s">
        <v>10042</v>
      </c>
      <c r="E1128" s="15">
        <v>6.9999999999999999E-4</v>
      </c>
      <c r="F1128" s="15">
        <v>6.7400000000000002E-2</v>
      </c>
      <c r="G1128" s="15">
        <v>0.99160000000000004</v>
      </c>
      <c r="H1128" s="15">
        <v>0.2341</v>
      </c>
      <c r="I1128" s="15">
        <v>3.9E-2</v>
      </c>
      <c r="J1128" s="15">
        <v>6.0025641025641034</v>
      </c>
    </row>
    <row r="1129" spans="1:10" x14ac:dyDescent="0.25">
      <c r="A1129" s="2" t="s">
        <v>3383</v>
      </c>
      <c r="B1129" s="2" t="s">
        <v>3384</v>
      </c>
      <c r="C1129" s="2" t="s">
        <v>3385</v>
      </c>
      <c r="D1129" s="2" t="s">
        <v>10042</v>
      </c>
      <c r="E1129" s="15">
        <v>0.1246</v>
      </c>
      <c r="F1129" s="15">
        <v>9.2899999999999996E-2</v>
      </c>
      <c r="G1129" s="15">
        <v>0.1799</v>
      </c>
      <c r="H1129" s="15">
        <v>0.14979999999999999</v>
      </c>
      <c r="I1129" s="15">
        <v>5.4300000000000001E-2</v>
      </c>
      <c r="J1129" s="15">
        <v>2.7587476979742172</v>
      </c>
    </row>
    <row r="1130" spans="1:10" x14ac:dyDescent="0.25">
      <c r="A1130" s="2" t="s">
        <v>3386</v>
      </c>
      <c r="B1130" s="2" t="s">
        <v>3387</v>
      </c>
      <c r="C1130" s="2" t="s">
        <v>3388</v>
      </c>
      <c r="D1130" s="2" t="s">
        <v>10042</v>
      </c>
      <c r="E1130" s="15">
        <v>0.22939999999999999</v>
      </c>
      <c r="F1130" s="15">
        <v>0.1026</v>
      </c>
      <c r="G1130" s="15">
        <v>2.5399999999999999E-2</v>
      </c>
      <c r="H1130" s="15">
        <v>0.13439999999999999</v>
      </c>
      <c r="I1130" s="15">
        <v>4.0399999999999998E-2</v>
      </c>
      <c r="J1130" s="15">
        <v>3.326732673267327</v>
      </c>
    </row>
    <row r="1131" spans="1:10" x14ac:dyDescent="0.25">
      <c r="A1131" s="2" t="s">
        <v>3389</v>
      </c>
      <c r="B1131" s="2" t="s">
        <v>3390</v>
      </c>
      <c r="C1131" s="2" t="s">
        <v>3391</v>
      </c>
      <c r="D1131" s="2" t="s">
        <v>10042</v>
      </c>
      <c r="E1131" s="15">
        <v>0.14680000000000001</v>
      </c>
      <c r="F1131" s="15">
        <v>7.2599999999999998E-2</v>
      </c>
      <c r="G1131" s="15">
        <v>4.3299999999999998E-2</v>
      </c>
      <c r="H1131" s="15">
        <v>0.1991</v>
      </c>
      <c r="I1131" s="15">
        <v>4.3400000000000001E-2</v>
      </c>
      <c r="J1131" s="15">
        <v>4.5875576036866361</v>
      </c>
    </row>
    <row r="1132" spans="1:10" x14ac:dyDescent="0.25">
      <c r="A1132" s="2" t="s">
        <v>3392</v>
      </c>
      <c r="B1132" s="2" t="s">
        <v>3393</v>
      </c>
      <c r="C1132" s="2" t="s">
        <v>3394</v>
      </c>
      <c r="D1132" s="2" t="s">
        <v>10042</v>
      </c>
      <c r="E1132" s="15">
        <v>0.12520000000000001</v>
      </c>
      <c r="F1132" s="15">
        <v>8.9899999999999994E-2</v>
      </c>
      <c r="G1132" s="15">
        <v>0.16389999999999999</v>
      </c>
      <c r="H1132" s="15">
        <v>0.15479999999999999</v>
      </c>
      <c r="I1132" s="15">
        <v>4.6100000000000002E-2</v>
      </c>
      <c r="J1132" s="15">
        <v>3.3579175704989148</v>
      </c>
    </row>
    <row r="1133" spans="1:10" x14ac:dyDescent="0.25">
      <c r="A1133" s="2" t="s">
        <v>3395</v>
      </c>
      <c r="B1133" s="2" t="s">
        <v>3396</v>
      </c>
      <c r="C1133" s="2" t="s">
        <v>3397</v>
      </c>
      <c r="D1133" s="2" t="s">
        <v>10042</v>
      </c>
      <c r="E1133" s="15">
        <v>9.5299999999999996E-2</v>
      </c>
      <c r="F1133" s="15">
        <v>9.2999999999999999E-2</v>
      </c>
      <c r="G1133" s="15">
        <v>0.3054</v>
      </c>
      <c r="H1133" s="15">
        <v>0.1757</v>
      </c>
      <c r="I1133" s="15">
        <v>4.5100000000000001E-2</v>
      </c>
      <c r="J1133" s="15">
        <v>3.895787139689578</v>
      </c>
    </row>
    <row r="1134" spans="1:10" x14ac:dyDescent="0.25">
      <c r="A1134" s="2" t="s">
        <v>3398</v>
      </c>
      <c r="B1134" s="2" t="s">
        <v>3399</v>
      </c>
      <c r="C1134" s="2" t="s">
        <v>3400</v>
      </c>
      <c r="D1134" s="2" t="s">
        <v>10042</v>
      </c>
      <c r="E1134" s="15">
        <v>0.13800000000000001</v>
      </c>
      <c r="F1134" s="15">
        <v>9.7799999999999998E-2</v>
      </c>
      <c r="G1134" s="15">
        <v>0.15820000000000001</v>
      </c>
      <c r="H1134" s="15">
        <v>0.13120000000000001</v>
      </c>
      <c r="I1134" s="15">
        <v>3.8100000000000002E-2</v>
      </c>
      <c r="J1134" s="15">
        <v>3.4435695538057738</v>
      </c>
    </row>
    <row r="1135" spans="1:10" x14ac:dyDescent="0.25">
      <c r="A1135" s="2" t="s">
        <v>3401</v>
      </c>
      <c r="B1135" s="2" t="s">
        <v>3402</v>
      </c>
      <c r="C1135" s="2" t="s">
        <v>3403</v>
      </c>
      <c r="D1135" s="2" t="s">
        <v>10042</v>
      </c>
      <c r="E1135" s="15">
        <v>0.1449</v>
      </c>
      <c r="F1135" s="15">
        <v>0.1052</v>
      </c>
      <c r="G1135" s="15">
        <v>0.16830000000000001</v>
      </c>
      <c r="H1135" s="15">
        <v>0.14760000000000001</v>
      </c>
      <c r="I1135" s="15">
        <v>3.8699999999999998E-2</v>
      </c>
      <c r="J1135" s="15">
        <v>3.813953488372094</v>
      </c>
    </row>
    <row r="1136" spans="1:10" x14ac:dyDescent="0.25">
      <c r="A1136" s="2" t="s">
        <v>3404</v>
      </c>
      <c r="B1136" s="2" t="s">
        <v>3405</v>
      </c>
      <c r="C1136" s="2" t="s">
        <v>3406</v>
      </c>
      <c r="D1136" s="2" t="s">
        <v>10042</v>
      </c>
      <c r="E1136" s="15">
        <v>0.1603</v>
      </c>
      <c r="F1136" s="15">
        <v>0.1079</v>
      </c>
      <c r="G1136" s="15">
        <v>0.13719999999999999</v>
      </c>
      <c r="H1136" s="15">
        <v>9.7799999999999998E-2</v>
      </c>
      <c r="I1136" s="15">
        <v>3.7199999999999997E-2</v>
      </c>
      <c r="J1136" s="15">
        <v>2.629032258064516</v>
      </c>
    </row>
    <row r="1137" spans="1:10" x14ac:dyDescent="0.25">
      <c r="A1137" s="2" t="s">
        <v>3407</v>
      </c>
      <c r="B1137" s="2" t="s">
        <v>3408</v>
      </c>
      <c r="C1137" s="2" t="s">
        <v>3409</v>
      </c>
      <c r="D1137" s="2" t="s">
        <v>10042</v>
      </c>
      <c r="E1137" s="15">
        <v>0.1061</v>
      </c>
      <c r="F1137" s="15">
        <v>8.1699999999999995E-2</v>
      </c>
      <c r="G1137" s="15">
        <v>0.1943</v>
      </c>
      <c r="H1137" s="15">
        <v>0.1978</v>
      </c>
      <c r="I1137" s="15">
        <v>4.2099999999999999E-2</v>
      </c>
      <c r="J1137" s="15">
        <v>4.6983372921615203</v>
      </c>
    </row>
    <row r="1138" spans="1:10" x14ac:dyDescent="0.25">
      <c r="A1138" s="2" t="s">
        <v>3410</v>
      </c>
      <c r="B1138" s="2" t="s">
        <v>3411</v>
      </c>
      <c r="C1138" s="2" t="s">
        <v>3412</v>
      </c>
      <c r="D1138" s="2" t="s">
        <v>10042</v>
      </c>
      <c r="E1138" s="15">
        <v>0.1173</v>
      </c>
      <c r="F1138" s="15">
        <v>8.8300000000000003E-2</v>
      </c>
      <c r="G1138" s="15">
        <v>0.184</v>
      </c>
      <c r="H1138" s="15">
        <v>0.16520000000000001</v>
      </c>
      <c r="I1138" s="15">
        <v>4.1099999999999998E-2</v>
      </c>
      <c r="J1138" s="15">
        <v>4.0194647201946481</v>
      </c>
    </row>
    <row r="1139" spans="1:10" x14ac:dyDescent="0.25">
      <c r="A1139" s="2" t="s">
        <v>3413</v>
      </c>
      <c r="B1139" s="2" t="s">
        <v>3414</v>
      </c>
      <c r="C1139" s="2" t="s">
        <v>3415</v>
      </c>
      <c r="D1139" s="2" t="s">
        <v>10042</v>
      </c>
      <c r="E1139" s="15">
        <v>0.23449999999999999</v>
      </c>
      <c r="F1139" s="15">
        <v>9.4E-2</v>
      </c>
      <c r="G1139" s="15">
        <v>1.26E-2</v>
      </c>
      <c r="H1139" s="15">
        <v>0.17349999999999999</v>
      </c>
      <c r="I1139" s="15">
        <v>5.3699999999999998E-2</v>
      </c>
      <c r="J1139" s="15">
        <v>3.230912476722533</v>
      </c>
    </row>
    <row r="1140" spans="1:10" x14ac:dyDescent="0.25">
      <c r="A1140" s="2" t="s">
        <v>3416</v>
      </c>
      <c r="B1140" s="2" t="s">
        <v>3417</v>
      </c>
      <c r="C1140" s="2" t="s">
        <v>3418</v>
      </c>
      <c r="D1140" s="2" t="s">
        <v>10042</v>
      </c>
      <c r="E1140" s="15">
        <v>0.22800000000000001</v>
      </c>
      <c r="F1140" s="15">
        <v>9.3700000000000006E-2</v>
      </c>
      <c r="G1140" s="15">
        <v>1.49E-2</v>
      </c>
      <c r="H1140" s="15">
        <v>0.17949999999999999</v>
      </c>
      <c r="I1140" s="15">
        <v>4.2700000000000002E-2</v>
      </c>
      <c r="J1140" s="15">
        <v>4.2037470725995316</v>
      </c>
    </row>
    <row r="1141" spans="1:10" x14ac:dyDescent="0.25">
      <c r="A1141" s="2" t="s">
        <v>3419</v>
      </c>
      <c r="B1141" s="2" t="s">
        <v>3420</v>
      </c>
      <c r="C1141" s="2" t="s">
        <v>3421</v>
      </c>
      <c r="D1141" s="2" t="s">
        <v>10042</v>
      </c>
      <c r="E1141" s="15">
        <v>0.109</v>
      </c>
      <c r="F1141" s="15">
        <v>8.9399999999999993E-2</v>
      </c>
      <c r="G1141" s="15">
        <v>0.22239999999999999</v>
      </c>
      <c r="H1141" s="15">
        <v>0.15790000000000001</v>
      </c>
      <c r="I1141" s="15">
        <v>4.1200000000000001E-2</v>
      </c>
      <c r="J1141" s="15">
        <v>3.8325242718446599</v>
      </c>
    </row>
    <row r="1142" spans="1:10" x14ac:dyDescent="0.25">
      <c r="A1142" s="2" t="s">
        <v>3422</v>
      </c>
      <c r="B1142" s="2" t="s">
        <v>3423</v>
      </c>
      <c r="C1142" s="2" t="s">
        <v>3424</v>
      </c>
      <c r="D1142" s="2" t="s">
        <v>10042</v>
      </c>
      <c r="E1142" s="15">
        <v>0.19320000000000001</v>
      </c>
      <c r="F1142" s="15">
        <v>8.5800000000000001E-2</v>
      </c>
      <c r="G1142" s="15">
        <v>2.4299999999999999E-2</v>
      </c>
      <c r="H1142" s="15">
        <v>0.17979999999999999</v>
      </c>
      <c r="I1142" s="15">
        <v>4.0099999999999997E-2</v>
      </c>
      <c r="J1142" s="15">
        <v>4.4837905236907734</v>
      </c>
    </row>
    <row r="1143" spans="1:10" x14ac:dyDescent="0.25">
      <c r="A1143" s="2" t="s">
        <v>3425</v>
      </c>
      <c r="B1143" s="2" t="s">
        <v>3426</v>
      </c>
      <c r="C1143" s="2" t="s">
        <v>3427</v>
      </c>
      <c r="D1143" s="2" t="s">
        <v>10042</v>
      </c>
      <c r="E1143" s="15">
        <v>0.2354</v>
      </c>
      <c r="F1143" s="15">
        <v>8.4199999999999997E-2</v>
      </c>
      <c r="G1143" s="15">
        <v>5.1999999999999998E-3</v>
      </c>
      <c r="H1143" s="15">
        <v>0.20649999999999999</v>
      </c>
      <c r="I1143" s="15">
        <v>4.3799999999999999E-2</v>
      </c>
      <c r="J1143" s="15">
        <v>4.7146118721461194</v>
      </c>
    </row>
    <row r="1144" spans="1:10" x14ac:dyDescent="0.25">
      <c r="A1144" s="2" t="s">
        <v>3428</v>
      </c>
      <c r="B1144" s="2" t="s">
        <v>3429</v>
      </c>
      <c r="C1144" s="2" t="s">
        <v>3430</v>
      </c>
      <c r="D1144" s="2" t="s">
        <v>10042</v>
      </c>
      <c r="E1144" s="15">
        <v>0.18049999999999999</v>
      </c>
      <c r="F1144" s="15">
        <v>8.7800000000000003E-2</v>
      </c>
      <c r="G1144" s="15">
        <v>3.9800000000000002E-2</v>
      </c>
      <c r="H1144" s="15">
        <v>0.17380000000000001</v>
      </c>
      <c r="I1144" s="15">
        <v>4.1700000000000001E-2</v>
      </c>
      <c r="J1144" s="15">
        <v>4.1678657074340526</v>
      </c>
    </row>
    <row r="1145" spans="1:10" x14ac:dyDescent="0.25">
      <c r="A1145" s="2" t="s">
        <v>3431</v>
      </c>
      <c r="B1145" s="2" t="s">
        <v>3432</v>
      </c>
      <c r="C1145" s="2" t="s">
        <v>3433</v>
      </c>
      <c r="D1145" s="2" t="s">
        <v>10042</v>
      </c>
      <c r="E1145" s="15">
        <v>0.25590000000000002</v>
      </c>
      <c r="F1145" s="15">
        <v>9.4899999999999998E-2</v>
      </c>
      <c r="G1145" s="15">
        <v>7.0000000000000001E-3</v>
      </c>
      <c r="H1145" s="15">
        <v>0.154</v>
      </c>
      <c r="I1145" s="15">
        <v>4.1000000000000002E-2</v>
      </c>
      <c r="J1145" s="15">
        <v>3.75609756097561</v>
      </c>
    </row>
    <row r="1146" spans="1:10" x14ac:dyDescent="0.25">
      <c r="A1146" s="2" t="s">
        <v>3434</v>
      </c>
      <c r="B1146" s="2" t="s">
        <v>3435</v>
      </c>
      <c r="C1146" s="2" t="s">
        <v>3436</v>
      </c>
      <c r="D1146" s="2" t="s">
        <v>10042</v>
      </c>
      <c r="E1146" s="15">
        <v>0.1168</v>
      </c>
      <c r="F1146" s="15">
        <v>9.4100000000000003E-2</v>
      </c>
      <c r="G1146" s="15">
        <v>0.21460000000000001</v>
      </c>
      <c r="H1146" s="15">
        <v>0.17030000000000001</v>
      </c>
      <c r="I1146" s="15">
        <v>4.0800000000000003E-2</v>
      </c>
      <c r="J1146" s="15">
        <v>4.1740196078431371</v>
      </c>
    </row>
    <row r="1147" spans="1:10" x14ac:dyDescent="0.25">
      <c r="A1147" s="2" t="s">
        <v>3437</v>
      </c>
      <c r="B1147" s="2" t="s">
        <v>3438</v>
      </c>
      <c r="C1147" s="2" t="s">
        <v>3439</v>
      </c>
      <c r="D1147" s="2" t="s">
        <v>10042</v>
      </c>
      <c r="E1147" s="15">
        <v>3.32E-2</v>
      </c>
      <c r="F1147" s="15">
        <v>9.4600000000000004E-2</v>
      </c>
      <c r="G1147" s="15">
        <v>0.72509999999999997</v>
      </c>
      <c r="H1147" s="15">
        <v>0.12870000000000001</v>
      </c>
      <c r="I1147" s="15">
        <v>4.7899999999999998E-2</v>
      </c>
      <c r="J1147" s="15">
        <v>2.6868475991649272</v>
      </c>
    </row>
    <row r="1148" spans="1:10" x14ac:dyDescent="0.25">
      <c r="A1148" s="2" t="s">
        <v>3440</v>
      </c>
      <c r="B1148" s="2" t="s">
        <v>3441</v>
      </c>
      <c r="C1148" s="2" t="s">
        <v>3442</v>
      </c>
      <c r="D1148" s="2" t="s">
        <v>10042</v>
      </c>
      <c r="E1148" s="15">
        <v>8.8300000000000003E-2</v>
      </c>
      <c r="F1148" s="15">
        <v>8.2000000000000003E-2</v>
      </c>
      <c r="G1148" s="15">
        <v>0.28160000000000002</v>
      </c>
      <c r="H1148" s="15">
        <v>0.18390000000000001</v>
      </c>
      <c r="I1148" s="15">
        <v>4.4699999999999997E-2</v>
      </c>
      <c r="J1148" s="15">
        <v>4.1140939597315436</v>
      </c>
    </row>
    <row r="1149" spans="1:10" x14ac:dyDescent="0.25">
      <c r="A1149" s="2" t="s">
        <v>3443</v>
      </c>
      <c r="B1149" s="2" t="s">
        <v>3444</v>
      </c>
      <c r="C1149" s="2" t="s">
        <v>3445</v>
      </c>
      <c r="D1149" s="2" t="s">
        <v>10042</v>
      </c>
      <c r="E1149" s="15">
        <v>-3.3799999999999997E-2</v>
      </c>
      <c r="F1149" s="15">
        <v>0.11700000000000001</v>
      </c>
      <c r="G1149" s="15">
        <v>0.77290000000000003</v>
      </c>
      <c r="H1149" s="15">
        <v>5.3499999999999999E-2</v>
      </c>
      <c r="I1149" s="15">
        <v>4.0300000000000002E-2</v>
      </c>
      <c r="J1149" s="15">
        <v>1.3275434243176181</v>
      </c>
    </row>
    <row r="1150" spans="1:10" x14ac:dyDescent="0.25">
      <c r="A1150" s="2" t="s">
        <v>3446</v>
      </c>
      <c r="B1150" s="2" t="s">
        <v>3447</v>
      </c>
      <c r="C1150" s="2" t="s">
        <v>3448</v>
      </c>
      <c r="D1150" s="2" t="s">
        <v>10042</v>
      </c>
      <c r="E1150" s="15">
        <v>0.2369</v>
      </c>
      <c r="F1150" s="15">
        <v>8.2900000000000001E-2</v>
      </c>
      <c r="G1150" s="15">
        <v>4.3E-3</v>
      </c>
      <c r="H1150" s="15">
        <v>0.18590000000000001</v>
      </c>
      <c r="I1150" s="15">
        <v>4.4200000000000003E-2</v>
      </c>
      <c r="J1150" s="15">
        <v>4.2058823529411766</v>
      </c>
    </row>
    <row r="1151" spans="1:10" x14ac:dyDescent="0.25">
      <c r="A1151" s="2" t="s">
        <v>3449</v>
      </c>
      <c r="B1151" s="2" t="s">
        <v>3450</v>
      </c>
      <c r="C1151" s="2" t="s">
        <v>3451</v>
      </c>
      <c r="D1151" s="2" t="s">
        <v>10042</v>
      </c>
      <c r="E1151" s="15">
        <v>0.13070000000000001</v>
      </c>
      <c r="F1151" s="15">
        <v>7.2599999999999998E-2</v>
      </c>
      <c r="G1151" s="15">
        <v>7.1599999999999997E-2</v>
      </c>
      <c r="H1151" s="15">
        <v>0.22020000000000001</v>
      </c>
      <c r="I1151" s="15">
        <v>3.8399999999999997E-2</v>
      </c>
      <c r="J1151" s="15">
        <v>5.7343750000000009</v>
      </c>
    </row>
    <row r="1152" spans="1:10" x14ac:dyDescent="0.25">
      <c r="A1152" s="2" t="s">
        <v>3452</v>
      </c>
      <c r="B1152" s="2" t="s">
        <v>3453</v>
      </c>
      <c r="C1152" s="2" t="s">
        <v>3454</v>
      </c>
      <c r="D1152" s="2" t="s">
        <v>10042</v>
      </c>
      <c r="E1152" s="15">
        <v>0.46450000000000002</v>
      </c>
      <c r="F1152" s="15">
        <v>0.43080000000000002</v>
      </c>
      <c r="G1152" s="15">
        <v>0.28089999999999998</v>
      </c>
      <c r="H1152" s="15">
        <v>2.1999999999999999E-2</v>
      </c>
      <c r="I1152" s="15">
        <v>3.4200000000000001E-2</v>
      </c>
      <c r="J1152" s="15">
        <v>0.64327485380116955</v>
      </c>
    </row>
    <row r="1153" spans="1:10" x14ac:dyDescent="0.25">
      <c r="A1153" s="2" t="s">
        <v>3455</v>
      </c>
      <c r="B1153" s="2" t="s">
        <v>3456</v>
      </c>
      <c r="C1153" s="2" t="s">
        <v>3457</v>
      </c>
      <c r="D1153" s="2" t="s">
        <v>10042</v>
      </c>
      <c r="E1153" s="15">
        <v>0.1653</v>
      </c>
      <c r="F1153" s="15">
        <v>8.3299999999999999E-2</v>
      </c>
      <c r="G1153" s="15">
        <v>4.7199999999999999E-2</v>
      </c>
      <c r="H1153" s="15">
        <v>0.16669999999999999</v>
      </c>
      <c r="I1153" s="15">
        <v>3.9699999999999999E-2</v>
      </c>
      <c r="J1153" s="15">
        <v>4.1989924433249364</v>
      </c>
    </row>
    <row r="1154" spans="1:10" x14ac:dyDescent="0.25">
      <c r="A1154" s="2" t="s">
        <v>3458</v>
      </c>
      <c r="B1154" s="2" t="s">
        <v>3459</v>
      </c>
      <c r="C1154" s="2" t="s">
        <v>3460</v>
      </c>
      <c r="D1154" s="2" t="s">
        <v>10042</v>
      </c>
      <c r="E1154" s="15">
        <v>0.18329999999999999</v>
      </c>
      <c r="F1154" s="15">
        <v>7.2099999999999997E-2</v>
      </c>
      <c r="G1154" s="15">
        <v>1.0999999999999999E-2</v>
      </c>
      <c r="H1154" s="15">
        <v>0.21840000000000001</v>
      </c>
      <c r="I1154" s="15">
        <v>4.2900000000000001E-2</v>
      </c>
      <c r="J1154" s="15">
        <v>5.0909090909090908</v>
      </c>
    </row>
    <row r="1155" spans="1:10" x14ac:dyDescent="0.25">
      <c r="A1155" s="2" t="s">
        <v>3461</v>
      </c>
      <c r="B1155" s="2" t="s">
        <v>3462</v>
      </c>
      <c r="C1155" s="2" t="s">
        <v>3463</v>
      </c>
      <c r="D1155" s="2" t="s">
        <v>10042</v>
      </c>
      <c r="E1155" s="15">
        <v>0.23039999999999999</v>
      </c>
      <c r="F1155" s="15">
        <v>0.1076</v>
      </c>
      <c r="G1155" s="15">
        <v>3.2199999999999999E-2</v>
      </c>
      <c r="H1155" s="15">
        <v>9.1300000000000006E-2</v>
      </c>
      <c r="I1155" s="15">
        <v>3.9E-2</v>
      </c>
      <c r="J1155" s="15">
        <v>2.3410256410256411</v>
      </c>
    </row>
    <row r="1156" spans="1:10" x14ac:dyDescent="0.25">
      <c r="A1156" s="2" t="s">
        <v>3464</v>
      </c>
      <c r="B1156" s="2" t="s">
        <v>3465</v>
      </c>
      <c r="C1156" s="2" t="s">
        <v>3466</v>
      </c>
      <c r="D1156" s="2" t="s">
        <v>10042</v>
      </c>
      <c r="E1156" s="15">
        <v>1.29E-2</v>
      </c>
      <c r="F1156" s="15">
        <v>7.1800000000000003E-2</v>
      </c>
      <c r="G1156" s="15">
        <v>0.85719999999999996</v>
      </c>
      <c r="H1156" s="15">
        <v>0.1961</v>
      </c>
      <c r="I1156" s="15">
        <v>3.9699999999999999E-2</v>
      </c>
      <c r="J1156" s="15">
        <v>4.9395465994962224</v>
      </c>
    </row>
    <row r="1157" spans="1:10" x14ac:dyDescent="0.25">
      <c r="A1157" s="2" t="s">
        <v>3467</v>
      </c>
      <c r="B1157" s="2" t="s">
        <v>3468</v>
      </c>
      <c r="C1157" s="2" t="s">
        <v>3469</v>
      </c>
      <c r="D1157" s="2" t="s">
        <v>10042</v>
      </c>
      <c r="E1157" s="15">
        <v>0.27710000000000001</v>
      </c>
      <c r="F1157" s="15">
        <v>8.0199999999999994E-2</v>
      </c>
      <c r="G1157" s="15">
        <v>5.9999999999999995E-4</v>
      </c>
      <c r="H1157" s="15">
        <v>0.2036</v>
      </c>
      <c r="I1157" s="15">
        <v>4.4400000000000002E-2</v>
      </c>
      <c r="J1157" s="15">
        <v>4.5855855855855854</v>
      </c>
    </row>
    <row r="1158" spans="1:10" x14ac:dyDescent="0.25">
      <c r="A1158" s="2" t="s">
        <v>3470</v>
      </c>
      <c r="B1158" s="2" t="s">
        <v>3471</v>
      </c>
      <c r="C1158" s="2" t="s">
        <v>3472</v>
      </c>
      <c r="D1158" s="2" t="s">
        <v>10042</v>
      </c>
      <c r="E1158" s="15">
        <v>0.1673</v>
      </c>
      <c r="F1158" s="15">
        <v>8.2000000000000003E-2</v>
      </c>
      <c r="G1158" s="15">
        <v>4.1300000000000003E-2</v>
      </c>
      <c r="H1158" s="15">
        <v>0.16520000000000001</v>
      </c>
      <c r="I1158" s="15">
        <v>4.19E-2</v>
      </c>
      <c r="J1158" s="15">
        <v>3.9427207637231509</v>
      </c>
    </row>
    <row r="1159" spans="1:10" x14ac:dyDescent="0.25">
      <c r="A1159" s="2" t="s">
        <v>3473</v>
      </c>
      <c r="B1159" s="2" t="s">
        <v>3474</v>
      </c>
      <c r="C1159" s="2" t="s">
        <v>3475</v>
      </c>
      <c r="D1159" s="2" t="s">
        <v>10042</v>
      </c>
      <c r="E1159" s="15">
        <v>3.9E-2</v>
      </c>
      <c r="F1159" s="15">
        <v>6.7799999999999999E-2</v>
      </c>
      <c r="G1159" s="15">
        <v>0.56520000000000004</v>
      </c>
      <c r="H1159" s="15">
        <v>0.2535</v>
      </c>
      <c r="I1159" s="15">
        <v>4.3700000000000003E-2</v>
      </c>
      <c r="J1159" s="15">
        <v>5.8009153318077802</v>
      </c>
    </row>
    <row r="1160" spans="1:10" x14ac:dyDescent="0.25">
      <c r="A1160" s="2" t="s">
        <v>3476</v>
      </c>
      <c r="B1160" s="2" t="s">
        <v>3477</v>
      </c>
      <c r="C1160" s="2" t="s">
        <v>3478</v>
      </c>
      <c r="D1160" s="2" t="s">
        <v>10042</v>
      </c>
      <c r="E1160" s="15">
        <v>-3.3999999999999998E-3</v>
      </c>
      <c r="F1160" s="15">
        <v>8.2900000000000001E-2</v>
      </c>
      <c r="G1160" s="15">
        <v>0.96760000000000002</v>
      </c>
      <c r="H1160" s="15">
        <v>0.16159999999999999</v>
      </c>
      <c r="I1160" s="15">
        <v>4.19E-2</v>
      </c>
      <c r="J1160" s="15">
        <v>3.856801909307876</v>
      </c>
    </row>
    <row r="1161" spans="1:10" x14ac:dyDescent="0.25">
      <c r="A1161" s="2" t="s">
        <v>3479</v>
      </c>
      <c r="B1161" s="2" t="s">
        <v>3480</v>
      </c>
      <c r="C1161" s="2" t="s">
        <v>3481</v>
      </c>
      <c r="D1161" s="2" t="s">
        <v>10042</v>
      </c>
      <c r="E1161" s="15">
        <v>0.1923</v>
      </c>
      <c r="F1161" s="15">
        <v>8.3099999999999993E-2</v>
      </c>
      <c r="G1161" s="15">
        <v>2.06E-2</v>
      </c>
      <c r="H1161" s="15">
        <v>0.17419999999999999</v>
      </c>
      <c r="I1161" s="15">
        <v>4.0500000000000001E-2</v>
      </c>
      <c r="J1161" s="15">
        <v>4.3012345679012336</v>
      </c>
    </row>
    <row r="1162" spans="1:10" x14ac:dyDescent="0.25">
      <c r="A1162" s="2" t="s">
        <v>3482</v>
      </c>
      <c r="B1162" s="2" t="s">
        <v>3483</v>
      </c>
      <c r="C1162" s="2" t="s">
        <v>3484</v>
      </c>
      <c r="D1162" s="2" t="s">
        <v>10042</v>
      </c>
      <c r="E1162" s="15">
        <v>5.8400000000000001E-2</v>
      </c>
      <c r="F1162" s="15">
        <v>8.7599999999999997E-2</v>
      </c>
      <c r="G1162" s="15">
        <v>0.50509999999999999</v>
      </c>
      <c r="H1162" s="15">
        <v>0.1696</v>
      </c>
      <c r="I1162" s="15">
        <v>4.4299999999999999E-2</v>
      </c>
      <c r="J1162" s="15">
        <v>3.82844243792325</v>
      </c>
    </row>
    <row r="1163" spans="1:10" x14ac:dyDescent="0.25">
      <c r="A1163" s="2" t="s">
        <v>3485</v>
      </c>
      <c r="B1163" s="2" t="s">
        <v>3486</v>
      </c>
      <c r="C1163" s="2" t="s">
        <v>3487</v>
      </c>
      <c r="D1163" s="2" t="s">
        <v>10042</v>
      </c>
      <c r="E1163" s="15">
        <v>0.1431</v>
      </c>
      <c r="F1163" s="15">
        <v>8.2299999999999998E-2</v>
      </c>
      <c r="G1163" s="15">
        <v>8.2199999999999995E-2</v>
      </c>
      <c r="H1163" s="15">
        <v>0.1588</v>
      </c>
      <c r="I1163" s="15">
        <v>4.5400000000000003E-2</v>
      </c>
      <c r="J1163" s="15">
        <v>3.497797356828193</v>
      </c>
    </row>
    <row r="1164" spans="1:10" x14ac:dyDescent="0.25">
      <c r="A1164" s="2" t="s">
        <v>3488</v>
      </c>
      <c r="B1164" s="2" t="s">
        <v>3489</v>
      </c>
      <c r="C1164" s="2" t="s">
        <v>3490</v>
      </c>
      <c r="D1164" s="2" t="s">
        <v>10042</v>
      </c>
      <c r="E1164" s="15">
        <v>0.17530000000000001</v>
      </c>
      <c r="F1164" s="15">
        <v>9.1399999999999995E-2</v>
      </c>
      <c r="G1164" s="15">
        <v>5.5E-2</v>
      </c>
      <c r="H1164" s="15">
        <v>0.1356</v>
      </c>
      <c r="I1164" s="15">
        <v>4.0300000000000002E-2</v>
      </c>
      <c r="J1164" s="15">
        <v>3.3647642679900742</v>
      </c>
    </row>
    <row r="1165" spans="1:10" x14ac:dyDescent="0.25">
      <c r="A1165" s="2" t="s">
        <v>3491</v>
      </c>
      <c r="B1165" s="2" t="s">
        <v>3492</v>
      </c>
      <c r="C1165" s="2" t="s">
        <v>3493</v>
      </c>
      <c r="D1165" s="2" t="s">
        <v>10042</v>
      </c>
      <c r="E1165" s="15">
        <v>7.1400000000000005E-2</v>
      </c>
      <c r="F1165" s="15">
        <v>8.2500000000000004E-2</v>
      </c>
      <c r="G1165" s="15">
        <v>0.38669999999999999</v>
      </c>
      <c r="H1165" s="15">
        <v>0.13059999999999999</v>
      </c>
      <c r="I1165" s="15">
        <v>4.0599999999999997E-2</v>
      </c>
      <c r="J1165" s="15">
        <v>3.216748768472907</v>
      </c>
    </row>
    <row r="1166" spans="1:10" x14ac:dyDescent="0.25">
      <c r="A1166" s="2" t="s">
        <v>3494</v>
      </c>
      <c r="B1166" s="2" t="s">
        <v>3495</v>
      </c>
      <c r="C1166" s="2" t="s">
        <v>3496</v>
      </c>
      <c r="D1166" s="2" t="s">
        <v>10042</v>
      </c>
      <c r="E1166" s="15">
        <v>0.1318</v>
      </c>
      <c r="F1166" s="15">
        <v>9.4899999999999998E-2</v>
      </c>
      <c r="G1166" s="15">
        <v>0.16470000000000001</v>
      </c>
      <c r="H1166" s="15">
        <v>0.1195</v>
      </c>
      <c r="I1166" s="15">
        <v>4.1599999999999998E-2</v>
      </c>
      <c r="J1166" s="15">
        <v>2.8725961538461542</v>
      </c>
    </row>
    <row r="1167" spans="1:10" x14ac:dyDescent="0.25">
      <c r="A1167" s="2" t="s">
        <v>3497</v>
      </c>
      <c r="B1167" s="2" t="s">
        <v>3498</v>
      </c>
      <c r="C1167" s="2" t="s">
        <v>3499</v>
      </c>
      <c r="D1167" s="2" t="s">
        <v>10042</v>
      </c>
      <c r="E1167" s="15">
        <v>0.13350000000000001</v>
      </c>
      <c r="F1167" s="15">
        <v>8.5999999999999993E-2</v>
      </c>
      <c r="G1167" s="15">
        <v>0.1207</v>
      </c>
      <c r="H1167" s="15">
        <v>0.15110000000000001</v>
      </c>
      <c r="I1167" s="15">
        <v>4.3299999999999998E-2</v>
      </c>
      <c r="J1167" s="15">
        <v>3.4896073903002311</v>
      </c>
    </row>
    <row r="1168" spans="1:10" x14ac:dyDescent="0.25">
      <c r="A1168" s="2" t="s">
        <v>3500</v>
      </c>
      <c r="B1168" s="2" t="s">
        <v>3501</v>
      </c>
      <c r="C1168" s="2" t="s">
        <v>3502</v>
      </c>
      <c r="D1168" s="2" t="s">
        <v>10042</v>
      </c>
      <c r="E1168" s="15">
        <v>8.9300000000000004E-2</v>
      </c>
      <c r="F1168" s="15">
        <v>8.5300000000000001E-2</v>
      </c>
      <c r="G1168" s="15">
        <v>0.2949</v>
      </c>
      <c r="H1168" s="15">
        <v>0.15390000000000001</v>
      </c>
      <c r="I1168" s="15">
        <v>4.1799999999999997E-2</v>
      </c>
      <c r="J1168" s="15">
        <v>3.6818181818181821</v>
      </c>
    </row>
    <row r="1169" spans="1:10" x14ac:dyDescent="0.25">
      <c r="A1169" s="2" t="s">
        <v>3503</v>
      </c>
      <c r="B1169" s="2" t="s">
        <v>3504</v>
      </c>
      <c r="C1169" s="2" t="s">
        <v>3505</v>
      </c>
      <c r="D1169" s="2" t="s">
        <v>10042</v>
      </c>
      <c r="E1169" s="15">
        <v>8.8499999999999995E-2</v>
      </c>
      <c r="F1169" s="15">
        <v>7.5800000000000006E-2</v>
      </c>
      <c r="G1169" s="15">
        <v>0.24310000000000001</v>
      </c>
      <c r="H1169" s="15">
        <v>0.20910000000000001</v>
      </c>
      <c r="I1169" s="15">
        <v>4.19E-2</v>
      </c>
      <c r="J1169" s="15">
        <v>4.9904534606205253</v>
      </c>
    </row>
    <row r="1170" spans="1:10" x14ac:dyDescent="0.25">
      <c r="A1170" s="2" t="s">
        <v>3506</v>
      </c>
      <c r="B1170" s="2" t="s">
        <v>3507</v>
      </c>
      <c r="C1170" s="2" t="s">
        <v>3508</v>
      </c>
      <c r="D1170" s="2" t="s">
        <v>10042</v>
      </c>
      <c r="E1170" s="15">
        <v>0.1835</v>
      </c>
      <c r="F1170" s="15">
        <v>9.74E-2</v>
      </c>
      <c r="G1170" s="15">
        <v>5.9499999999999997E-2</v>
      </c>
      <c r="H1170" s="15">
        <v>0.1439</v>
      </c>
      <c r="I1170" s="15">
        <v>4.4699999999999997E-2</v>
      </c>
      <c r="J1170" s="15">
        <v>3.2192393736017899</v>
      </c>
    </row>
    <row r="1171" spans="1:10" x14ac:dyDescent="0.25">
      <c r="A1171" s="2" t="s">
        <v>3509</v>
      </c>
      <c r="B1171" s="2" t="s">
        <v>3510</v>
      </c>
      <c r="C1171" s="2" t="s">
        <v>3511</v>
      </c>
      <c r="D1171" s="2" t="s">
        <v>10042</v>
      </c>
      <c r="E1171" s="15">
        <v>0.30790000000000001</v>
      </c>
      <c r="F1171" s="15">
        <v>9.8299999999999998E-2</v>
      </c>
      <c r="G1171" s="15">
        <v>1.6999999999999999E-3</v>
      </c>
      <c r="H1171" s="15">
        <v>0.14360000000000001</v>
      </c>
      <c r="I1171" s="15">
        <v>4.1700000000000001E-2</v>
      </c>
      <c r="J1171" s="15">
        <v>3.4436450839328541</v>
      </c>
    </row>
    <row r="1172" spans="1:10" x14ac:dyDescent="0.25">
      <c r="A1172" s="2" t="s">
        <v>3512</v>
      </c>
      <c r="B1172" s="2" t="s">
        <v>3513</v>
      </c>
      <c r="C1172" s="2" t="s">
        <v>3514</v>
      </c>
      <c r="D1172" s="2" t="s">
        <v>10042</v>
      </c>
      <c r="E1172" s="15">
        <v>6.59E-2</v>
      </c>
      <c r="F1172" s="15">
        <v>9.2999999999999999E-2</v>
      </c>
      <c r="G1172" s="15">
        <v>0.47899999999999998</v>
      </c>
      <c r="H1172" s="15">
        <v>0.11</v>
      </c>
      <c r="I1172" s="15">
        <v>4.2700000000000002E-2</v>
      </c>
      <c r="J1172" s="15">
        <v>2.5761124121779861</v>
      </c>
    </row>
    <row r="1173" spans="1:10" x14ac:dyDescent="0.25">
      <c r="A1173" s="2" t="s">
        <v>3515</v>
      </c>
      <c r="B1173" s="2" t="s">
        <v>3516</v>
      </c>
      <c r="C1173" s="2" t="s">
        <v>3517</v>
      </c>
      <c r="D1173" s="2" t="s">
        <v>10042</v>
      </c>
      <c r="E1173" s="15">
        <v>0.1724</v>
      </c>
      <c r="F1173" s="15">
        <v>8.4199999999999997E-2</v>
      </c>
      <c r="G1173" s="15">
        <v>4.07E-2</v>
      </c>
      <c r="H1173" s="15">
        <v>0.19620000000000001</v>
      </c>
      <c r="I1173" s="15">
        <v>4.3400000000000001E-2</v>
      </c>
      <c r="J1173" s="15">
        <v>4.5207373271889404</v>
      </c>
    </row>
    <row r="1174" spans="1:10" x14ac:dyDescent="0.25">
      <c r="A1174" s="2" t="s">
        <v>3518</v>
      </c>
      <c r="B1174" s="2" t="s">
        <v>3519</v>
      </c>
      <c r="C1174" s="2" t="s">
        <v>3520</v>
      </c>
      <c r="D1174" s="2" t="s">
        <v>10042</v>
      </c>
      <c r="E1174" s="15">
        <v>0.2356</v>
      </c>
      <c r="F1174" s="15">
        <v>8.1799999999999998E-2</v>
      </c>
      <c r="G1174" s="15">
        <v>4.0000000000000001E-3</v>
      </c>
      <c r="H1174" s="15">
        <v>0.1812</v>
      </c>
      <c r="I1174" s="15">
        <v>4.1500000000000002E-2</v>
      </c>
      <c r="J1174" s="15">
        <v>4.3662650602409636</v>
      </c>
    </row>
    <row r="1175" spans="1:10" x14ac:dyDescent="0.25">
      <c r="A1175" s="2" t="s">
        <v>3521</v>
      </c>
      <c r="B1175" s="2" t="s">
        <v>3522</v>
      </c>
      <c r="C1175" s="2" t="s">
        <v>3523</v>
      </c>
      <c r="D1175" s="2" t="s">
        <v>10042</v>
      </c>
      <c r="E1175" s="15">
        <v>0.21859999999999999</v>
      </c>
      <c r="F1175" s="15">
        <v>8.9800000000000005E-2</v>
      </c>
      <c r="G1175" s="15">
        <v>1.49E-2</v>
      </c>
      <c r="H1175" s="15">
        <v>0.1547</v>
      </c>
      <c r="I1175" s="15">
        <v>4.1700000000000001E-2</v>
      </c>
      <c r="J1175" s="15">
        <v>3.709832134292566</v>
      </c>
    </row>
    <row r="1176" spans="1:10" x14ac:dyDescent="0.25">
      <c r="A1176" s="2" t="s">
        <v>3524</v>
      </c>
      <c r="B1176" s="2" t="s">
        <v>3525</v>
      </c>
      <c r="C1176" s="2" t="s">
        <v>3526</v>
      </c>
      <c r="D1176" s="2" t="s">
        <v>10042</v>
      </c>
      <c r="E1176" s="15">
        <v>0.14319999999999999</v>
      </c>
      <c r="F1176" s="15">
        <v>7.5200000000000003E-2</v>
      </c>
      <c r="G1176" s="15">
        <v>5.6899999999999999E-2</v>
      </c>
      <c r="H1176" s="15">
        <v>0.22950000000000001</v>
      </c>
      <c r="I1176" s="15">
        <v>3.9E-2</v>
      </c>
      <c r="J1176" s="15">
        <v>5.884615384615385</v>
      </c>
    </row>
    <row r="1177" spans="1:10" x14ac:dyDescent="0.25">
      <c r="A1177" s="2" t="s">
        <v>3527</v>
      </c>
      <c r="B1177" s="2" t="s">
        <v>3528</v>
      </c>
      <c r="C1177" s="2" t="s">
        <v>3529</v>
      </c>
      <c r="D1177" s="2" t="s">
        <v>10042</v>
      </c>
      <c r="E1177" s="15">
        <v>8.9300000000000004E-2</v>
      </c>
      <c r="F1177" s="15">
        <v>7.8100000000000003E-2</v>
      </c>
      <c r="G1177" s="15">
        <v>0.25319999999999998</v>
      </c>
      <c r="H1177" s="15">
        <v>0.21659999999999999</v>
      </c>
      <c r="I1177" s="15">
        <v>4.5400000000000003E-2</v>
      </c>
      <c r="J1177" s="15">
        <v>4.7709251101321577</v>
      </c>
    </row>
    <row r="1178" spans="1:10" x14ac:dyDescent="0.25">
      <c r="A1178" s="2" t="s">
        <v>3530</v>
      </c>
      <c r="B1178" s="2" t="s">
        <v>3531</v>
      </c>
      <c r="C1178" s="2" t="s">
        <v>3532</v>
      </c>
      <c r="D1178" s="2" t="s">
        <v>10042</v>
      </c>
      <c r="E1178" s="15">
        <v>0.13619999999999999</v>
      </c>
      <c r="F1178" s="15">
        <v>8.7300000000000003E-2</v>
      </c>
      <c r="G1178" s="15">
        <v>0.1188</v>
      </c>
      <c r="H1178" s="15">
        <v>0.1598</v>
      </c>
      <c r="I1178" s="15">
        <v>4.5999999999999999E-2</v>
      </c>
      <c r="J1178" s="15">
        <v>3.473913043478261</v>
      </c>
    </row>
    <row r="1179" spans="1:10" x14ac:dyDescent="0.25">
      <c r="A1179" s="2" t="s">
        <v>3533</v>
      </c>
      <c r="B1179" s="2" t="s">
        <v>3534</v>
      </c>
      <c r="C1179" s="2" t="s">
        <v>3535</v>
      </c>
      <c r="D1179" s="2" t="s">
        <v>10042</v>
      </c>
      <c r="E1179" s="15">
        <v>0.1022</v>
      </c>
      <c r="F1179" s="15">
        <v>6.6600000000000006E-2</v>
      </c>
      <c r="G1179" s="15">
        <v>0.12470000000000001</v>
      </c>
      <c r="H1179" s="15">
        <v>0.22639999999999999</v>
      </c>
      <c r="I1179" s="15">
        <v>4.48E-2</v>
      </c>
      <c r="J1179" s="15">
        <v>5.0535714285714288</v>
      </c>
    </row>
    <row r="1180" spans="1:10" x14ac:dyDescent="0.25">
      <c r="A1180" s="2" t="s">
        <v>3536</v>
      </c>
      <c r="B1180" s="2" t="s">
        <v>3537</v>
      </c>
      <c r="C1180" s="2" t="s">
        <v>3538</v>
      </c>
      <c r="D1180" s="2" t="s">
        <v>10042</v>
      </c>
      <c r="E1180" s="15">
        <v>0.19009999999999999</v>
      </c>
      <c r="F1180" s="15">
        <v>0.13239999999999999</v>
      </c>
      <c r="G1180" s="15">
        <v>0.1512</v>
      </c>
      <c r="H1180" s="15">
        <v>8.0699999999999994E-2</v>
      </c>
      <c r="I1180" s="15">
        <v>4.0099999999999997E-2</v>
      </c>
      <c r="J1180" s="15">
        <v>2.0124688279301748</v>
      </c>
    </row>
    <row r="1181" spans="1:10" x14ac:dyDescent="0.25">
      <c r="A1181" s="2" t="s">
        <v>3539</v>
      </c>
      <c r="B1181" s="2" t="s">
        <v>3540</v>
      </c>
      <c r="C1181" s="2" t="s">
        <v>3541</v>
      </c>
      <c r="D1181" s="2" t="s">
        <v>10042</v>
      </c>
      <c r="E1181" s="15">
        <v>0.27429999999999999</v>
      </c>
      <c r="F1181" s="15">
        <v>9.6100000000000005E-2</v>
      </c>
      <c r="G1181" s="15">
        <v>4.3E-3</v>
      </c>
      <c r="H1181" s="15">
        <v>0.15609999999999999</v>
      </c>
      <c r="I1181" s="15">
        <v>4.2000000000000003E-2</v>
      </c>
      <c r="J1181" s="15">
        <v>3.7166666666666659</v>
      </c>
    </row>
    <row r="1182" spans="1:10" x14ac:dyDescent="0.25">
      <c r="A1182" s="2" t="s">
        <v>3542</v>
      </c>
      <c r="B1182" s="2" t="s">
        <v>3543</v>
      </c>
      <c r="C1182" s="2" t="s">
        <v>3544</v>
      </c>
      <c r="D1182" s="2" t="s">
        <v>10042</v>
      </c>
      <c r="E1182" s="15">
        <v>8.4900000000000003E-2</v>
      </c>
      <c r="F1182" s="15">
        <v>9.3700000000000006E-2</v>
      </c>
      <c r="G1182" s="15">
        <v>0.36509999999999998</v>
      </c>
      <c r="H1182" s="15">
        <v>0.12759999999999999</v>
      </c>
      <c r="I1182" s="15">
        <v>4.0599999999999997E-2</v>
      </c>
      <c r="J1182" s="15">
        <v>3.1428571428571428</v>
      </c>
    </row>
    <row r="1183" spans="1:10" x14ac:dyDescent="0.25">
      <c r="A1183" s="2" t="s">
        <v>3545</v>
      </c>
      <c r="B1183" s="2" t="s">
        <v>3546</v>
      </c>
      <c r="C1183" s="2" t="s">
        <v>3547</v>
      </c>
      <c r="D1183" s="2" t="s">
        <v>10042</v>
      </c>
      <c r="E1183" s="15">
        <v>0.11020000000000001</v>
      </c>
      <c r="F1183" s="15">
        <v>7.7299999999999994E-2</v>
      </c>
      <c r="G1183" s="15">
        <v>0.15440000000000001</v>
      </c>
      <c r="H1183" s="15">
        <v>0.22209999999999999</v>
      </c>
      <c r="I1183" s="15">
        <v>4.6199999999999998E-2</v>
      </c>
      <c r="J1183" s="15">
        <v>4.8073593073593077</v>
      </c>
    </row>
    <row r="1184" spans="1:10" x14ac:dyDescent="0.25">
      <c r="A1184" s="2" t="s">
        <v>3548</v>
      </c>
      <c r="B1184" s="2" t="s">
        <v>3549</v>
      </c>
      <c r="C1184" s="2" t="s">
        <v>3550</v>
      </c>
      <c r="D1184" s="2" t="s">
        <v>10042</v>
      </c>
      <c r="E1184" s="15">
        <v>9.3100000000000002E-2</v>
      </c>
      <c r="F1184" s="15">
        <v>9.8400000000000001E-2</v>
      </c>
      <c r="G1184" s="15">
        <v>0.34410000000000002</v>
      </c>
      <c r="H1184" s="15">
        <v>0.1132</v>
      </c>
      <c r="I1184" s="15">
        <v>0.04</v>
      </c>
      <c r="J1184" s="15">
        <v>2.83</v>
      </c>
    </row>
    <row r="1185" spans="1:10" x14ac:dyDescent="0.25">
      <c r="A1185" s="2" t="s">
        <v>3551</v>
      </c>
      <c r="B1185" s="2" t="s">
        <v>3552</v>
      </c>
      <c r="C1185" s="2" t="s">
        <v>3553</v>
      </c>
      <c r="D1185" s="2" t="s">
        <v>10042</v>
      </c>
      <c r="E1185" s="15">
        <v>0.13159999999999999</v>
      </c>
      <c r="F1185" s="15">
        <v>7.85E-2</v>
      </c>
      <c r="G1185" s="15">
        <v>9.3600000000000003E-2</v>
      </c>
      <c r="H1185" s="15">
        <v>0.1966</v>
      </c>
      <c r="I1185" s="15">
        <v>4.6199999999999998E-2</v>
      </c>
      <c r="J1185" s="15">
        <v>4.2554112554112553</v>
      </c>
    </row>
    <row r="1186" spans="1:10" x14ac:dyDescent="0.25">
      <c r="A1186" s="2" t="s">
        <v>3554</v>
      </c>
      <c r="B1186" s="2" t="s">
        <v>3555</v>
      </c>
      <c r="C1186" s="2" t="s">
        <v>3556</v>
      </c>
      <c r="D1186" s="2" t="s">
        <v>10042</v>
      </c>
      <c r="E1186" s="15">
        <v>6.3600000000000004E-2</v>
      </c>
      <c r="F1186" s="15">
        <v>0.1842</v>
      </c>
      <c r="G1186" s="15">
        <v>0.72970000000000002</v>
      </c>
      <c r="H1186" s="15">
        <v>3.1600000000000003E-2</v>
      </c>
      <c r="I1186" s="15">
        <v>3.7600000000000001E-2</v>
      </c>
      <c r="J1186" s="15">
        <v>0.84042553191489366</v>
      </c>
    </row>
    <row r="1187" spans="1:10" x14ac:dyDescent="0.25">
      <c r="A1187" s="2" t="s">
        <v>3557</v>
      </c>
      <c r="B1187" s="2" t="s">
        <v>3558</v>
      </c>
      <c r="C1187" s="2" t="s">
        <v>3559</v>
      </c>
      <c r="D1187" s="2" t="s">
        <v>10042</v>
      </c>
      <c r="E1187" s="15">
        <v>0.152</v>
      </c>
      <c r="F1187" s="15">
        <v>7.3300000000000004E-2</v>
      </c>
      <c r="G1187" s="15">
        <v>3.7900000000000003E-2</v>
      </c>
      <c r="H1187" s="15">
        <v>0.20730000000000001</v>
      </c>
      <c r="I1187" s="15">
        <v>4.1700000000000001E-2</v>
      </c>
      <c r="J1187" s="15">
        <v>4.971223021582734</v>
      </c>
    </row>
    <row r="1188" spans="1:10" x14ac:dyDescent="0.25">
      <c r="A1188" s="2" t="s">
        <v>3560</v>
      </c>
      <c r="B1188" s="2" t="s">
        <v>3561</v>
      </c>
      <c r="C1188" s="2" t="s">
        <v>3562</v>
      </c>
      <c r="D1188" s="2" t="s">
        <v>10042</v>
      </c>
      <c r="E1188" s="15">
        <v>0.1244</v>
      </c>
      <c r="F1188" s="15">
        <v>0.1133</v>
      </c>
      <c r="G1188" s="15">
        <v>0.2722</v>
      </c>
      <c r="H1188" s="15">
        <v>8.6499999999999994E-2</v>
      </c>
      <c r="I1188" s="15">
        <v>4.19E-2</v>
      </c>
      <c r="J1188" s="15">
        <v>2.064439140811456</v>
      </c>
    </row>
    <row r="1189" spans="1:10" x14ac:dyDescent="0.25">
      <c r="A1189" s="2" t="s">
        <v>3563</v>
      </c>
      <c r="B1189" s="2" t="s">
        <v>3564</v>
      </c>
      <c r="C1189" s="2" t="s">
        <v>3565</v>
      </c>
      <c r="D1189" s="2" t="s">
        <v>10042</v>
      </c>
      <c r="E1189" s="15">
        <v>0.1079</v>
      </c>
      <c r="F1189" s="15">
        <v>8.5199999999999998E-2</v>
      </c>
      <c r="G1189" s="15">
        <v>0.2054</v>
      </c>
      <c r="H1189" s="15">
        <v>0.14499999999999999</v>
      </c>
      <c r="I1189" s="15">
        <v>3.6700000000000003E-2</v>
      </c>
      <c r="J1189" s="15">
        <v>3.9509536784741139</v>
      </c>
    </row>
    <row r="1190" spans="1:10" x14ac:dyDescent="0.25">
      <c r="A1190" s="2" t="s">
        <v>3566</v>
      </c>
      <c r="B1190" s="2" t="s">
        <v>3567</v>
      </c>
      <c r="C1190" s="2" t="s">
        <v>3568</v>
      </c>
      <c r="D1190" s="2" t="s">
        <v>10042</v>
      </c>
      <c r="E1190" s="15">
        <v>0.1676</v>
      </c>
      <c r="F1190" s="15">
        <v>7.2099999999999997E-2</v>
      </c>
      <c r="G1190" s="15">
        <v>2.01E-2</v>
      </c>
      <c r="H1190" s="15">
        <v>0.23369999999999999</v>
      </c>
      <c r="I1190" s="15">
        <v>3.9899999999999998E-2</v>
      </c>
      <c r="J1190" s="15">
        <v>5.8571428571428577</v>
      </c>
    </row>
    <row r="1191" spans="1:10" x14ac:dyDescent="0.25">
      <c r="A1191" s="2" t="s">
        <v>3569</v>
      </c>
      <c r="B1191" s="2" t="s">
        <v>3570</v>
      </c>
      <c r="C1191" s="2" t="s">
        <v>3571</v>
      </c>
      <c r="D1191" s="2" t="s">
        <v>10042</v>
      </c>
      <c r="E1191" s="15">
        <v>0.1094</v>
      </c>
      <c r="F1191" s="15">
        <v>8.1900000000000001E-2</v>
      </c>
      <c r="G1191" s="15">
        <v>0.18140000000000001</v>
      </c>
      <c r="H1191" s="15">
        <v>0.1918</v>
      </c>
      <c r="I1191" s="15">
        <v>4.4699999999999997E-2</v>
      </c>
      <c r="J1191" s="15">
        <v>4.29082774049217</v>
      </c>
    </row>
    <row r="1192" spans="1:10" x14ac:dyDescent="0.25">
      <c r="A1192" s="2" t="s">
        <v>3572</v>
      </c>
      <c r="B1192" s="2" t="s">
        <v>3573</v>
      </c>
      <c r="C1192" s="2" t="s">
        <v>3574</v>
      </c>
      <c r="D1192" s="2" t="s">
        <v>10042</v>
      </c>
      <c r="E1192" s="15">
        <v>0.17169999999999999</v>
      </c>
      <c r="F1192" s="15">
        <v>0.1191</v>
      </c>
      <c r="G1192" s="15">
        <v>0.14940000000000001</v>
      </c>
      <c r="H1192" s="15">
        <v>8.6999999999999994E-2</v>
      </c>
      <c r="I1192" s="15">
        <v>3.9600000000000003E-2</v>
      </c>
      <c r="J1192" s="15">
        <v>2.1969696969696968</v>
      </c>
    </row>
    <row r="1193" spans="1:10" x14ac:dyDescent="0.25">
      <c r="A1193" s="2" t="s">
        <v>3575</v>
      </c>
      <c r="B1193" s="2" t="s">
        <v>3576</v>
      </c>
      <c r="C1193" s="2" t="s">
        <v>3577</v>
      </c>
      <c r="D1193" s="2" t="s">
        <v>10042</v>
      </c>
      <c r="E1193" s="15">
        <v>0.1449</v>
      </c>
      <c r="F1193" s="15">
        <v>9.8799999999999999E-2</v>
      </c>
      <c r="G1193" s="15">
        <v>0.14269999999999999</v>
      </c>
      <c r="H1193" s="15">
        <v>0.1525</v>
      </c>
      <c r="I1193" s="15">
        <v>3.95E-2</v>
      </c>
      <c r="J1193" s="15">
        <v>3.8607594936708858</v>
      </c>
    </row>
    <row r="1194" spans="1:10" x14ac:dyDescent="0.25">
      <c r="A1194" s="2" t="s">
        <v>3578</v>
      </c>
      <c r="B1194" s="2" t="s">
        <v>3579</v>
      </c>
      <c r="C1194" s="2" t="s">
        <v>3580</v>
      </c>
      <c r="D1194" s="2" t="s">
        <v>10042</v>
      </c>
      <c r="E1194" s="15">
        <v>0.23150000000000001</v>
      </c>
      <c r="F1194" s="15">
        <v>8.8400000000000006E-2</v>
      </c>
      <c r="G1194" s="15">
        <v>8.8000000000000005E-3</v>
      </c>
      <c r="H1194" s="15">
        <v>0.1832</v>
      </c>
      <c r="I1194" s="15">
        <v>4.3200000000000002E-2</v>
      </c>
      <c r="J1194" s="15">
        <v>4.2407407407407396</v>
      </c>
    </row>
    <row r="1195" spans="1:10" x14ac:dyDescent="0.25">
      <c r="A1195" s="2" t="s">
        <v>3581</v>
      </c>
      <c r="B1195" s="2" t="s">
        <v>3582</v>
      </c>
      <c r="C1195" s="2" t="s">
        <v>3583</v>
      </c>
      <c r="D1195" s="2" t="s">
        <v>10042</v>
      </c>
      <c r="E1195" s="15">
        <v>0.251</v>
      </c>
      <c r="F1195" s="15">
        <v>9.5100000000000004E-2</v>
      </c>
      <c r="G1195" s="15">
        <v>8.3000000000000001E-3</v>
      </c>
      <c r="H1195" s="15">
        <v>0.17119999999999999</v>
      </c>
      <c r="I1195" s="15">
        <v>4.6300000000000001E-2</v>
      </c>
      <c r="J1195" s="15">
        <v>3.6976241900647939</v>
      </c>
    </row>
    <row r="1196" spans="1:10" x14ac:dyDescent="0.25">
      <c r="A1196" s="2" t="s">
        <v>3584</v>
      </c>
      <c r="B1196" s="2" t="s">
        <v>3585</v>
      </c>
      <c r="C1196" s="2" t="s">
        <v>3586</v>
      </c>
      <c r="D1196" s="2" t="s">
        <v>10042</v>
      </c>
      <c r="E1196" s="15">
        <v>9.0800000000000006E-2</v>
      </c>
      <c r="F1196" s="15">
        <v>9.2700000000000005E-2</v>
      </c>
      <c r="G1196" s="15">
        <v>0.32750000000000001</v>
      </c>
      <c r="H1196" s="15">
        <v>0.106</v>
      </c>
      <c r="I1196" s="15">
        <v>4.4499999999999998E-2</v>
      </c>
      <c r="J1196" s="15">
        <v>2.382022471910112</v>
      </c>
    </row>
    <row r="1197" spans="1:10" x14ac:dyDescent="0.25">
      <c r="A1197" s="2" t="s">
        <v>3587</v>
      </c>
      <c r="B1197" s="2" t="s">
        <v>3588</v>
      </c>
      <c r="C1197" s="2" t="s">
        <v>3589</v>
      </c>
      <c r="D1197" s="2" t="s">
        <v>10042</v>
      </c>
      <c r="E1197" s="15">
        <v>1.83E-2</v>
      </c>
      <c r="F1197" s="15">
        <v>0.1062</v>
      </c>
      <c r="G1197" s="15">
        <v>0.86309999999999998</v>
      </c>
      <c r="H1197" s="15">
        <v>0.1135</v>
      </c>
      <c r="I1197" s="15">
        <v>3.7999999999999999E-2</v>
      </c>
      <c r="J1197" s="15">
        <v>2.986842105263158</v>
      </c>
    </row>
    <row r="1198" spans="1:10" x14ac:dyDescent="0.25">
      <c r="A1198" s="2" t="s">
        <v>3590</v>
      </c>
      <c r="B1198" s="2" t="s">
        <v>3591</v>
      </c>
      <c r="C1198" s="2" t="s">
        <v>3592</v>
      </c>
      <c r="D1198" s="2" t="s">
        <v>10042</v>
      </c>
      <c r="E1198" s="15">
        <v>0.2419</v>
      </c>
      <c r="F1198" s="15">
        <v>9.3799999999999994E-2</v>
      </c>
      <c r="G1198" s="15">
        <v>9.9000000000000008E-3</v>
      </c>
      <c r="H1198" s="15">
        <v>0.16139999999999999</v>
      </c>
      <c r="I1198" s="15">
        <v>4.2599999999999999E-2</v>
      </c>
      <c r="J1198" s="15">
        <v>3.788732394366197</v>
      </c>
    </row>
    <row r="1199" spans="1:10" x14ac:dyDescent="0.25">
      <c r="A1199" s="2" t="s">
        <v>3593</v>
      </c>
      <c r="B1199" s="2" t="s">
        <v>3594</v>
      </c>
      <c r="C1199" s="2" t="s">
        <v>3595</v>
      </c>
      <c r="D1199" s="2" t="s">
        <v>10042</v>
      </c>
      <c r="E1199" s="15">
        <v>0.10299999999999999</v>
      </c>
      <c r="F1199" s="15">
        <v>8.9099999999999999E-2</v>
      </c>
      <c r="G1199" s="15">
        <v>0.2475</v>
      </c>
      <c r="H1199" s="15">
        <v>0.15049999999999999</v>
      </c>
      <c r="I1199" s="15">
        <v>3.9199999999999999E-2</v>
      </c>
      <c r="J1199" s="15">
        <v>3.839285714285714</v>
      </c>
    </row>
    <row r="1200" spans="1:10" x14ac:dyDescent="0.25">
      <c r="A1200" s="2" t="s">
        <v>3596</v>
      </c>
      <c r="B1200" s="2" t="s">
        <v>3597</v>
      </c>
      <c r="C1200" s="2" t="s">
        <v>3598</v>
      </c>
      <c r="D1200" s="2" t="s">
        <v>10042</v>
      </c>
      <c r="E1200" s="15">
        <v>6.4299999999999996E-2</v>
      </c>
      <c r="F1200" s="15">
        <v>8.7099999999999997E-2</v>
      </c>
      <c r="G1200" s="15">
        <v>0.45989999999999998</v>
      </c>
      <c r="H1200" s="15">
        <v>0.1641</v>
      </c>
      <c r="I1200" s="15">
        <v>4.5999999999999999E-2</v>
      </c>
      <c r="J1200" s="15">
        <v>3.5673913043478258</v>
      </c>
    </row>
    <row r="1201" spans="1:10" x14ac:dyDescent="0.25">
      <c r="A1201" s="2" t="s">
        <v>3599</v>
      </c>
      <c r="B1201" s="2" t="s">
        <v>3600</v>
      </c>
      <c r="C1201" s="2" t="s">
        <v>3601</v>
      </c>
      <c r="D1201" s="2" t="s">
        <v>10042</v>
      </c>
      <c r="E1201" s="15">
        <v>2.2000000000000001E-3</v>
      </c>
      <c r="F1201" s="15">
        <v>7.3300000000000004E-2</v>
      </c>
      <c r="G1201" s="15">
        <v>0.97619999999999996</v>
      </c>
      <c r="H1201" s="15">
        <v>0.2014</v>
      </c>
      <c r="I1201" s="15">
        <v>4.07E-2</v>
      </c>
      <c r="J1201" s="15">
        <v>4.9484029484029479</v>
      </c>
    </row>
    <row r="1202" spans="1:10" x14ac:dyDescent="0.25">
      <c r="A1202" s="2" t="s">
        <v>3602</v>
      </c>
      <c r="B1202" s="2" t="s">
        <v>3603</v>
      </c>
      <c r="C1202" s="2" t="s">
        <v>3604</v>
      </c>
      <c r="D1202" s="2" t="s">
        <v>10042</v>
      </c>
      <c r="E1202" s="15">
        <v>0.221</v>
      </c>
      <c r="F1202" s="15">
        <v>8.1600000000000006E-2</v>
      </c>
      <c r="G1202" s="15">
        <v>6.7999999999999996E-3</v>
      </c>
      <c r="H1202" s="15">
        <v>0.16750000000000001</v>
      </c>
      <c r="I1202" s="15">
        <v>4.4699999999999997E-2</v>
      </c>
      <c r="J1202" s="15">
        <v>3.7472035794183451</v>
      </c>
    </row>
    <row r="1203" spans="1:10" x14ac:dyDescent="0.25">
      <c r="A1203" s="2" t="s">
        <v>3605</v>
      </c>
      <c r="B1203" s="2" t="s">
        <v>3606</v>
      </c>
      <c r="C1203" s="2" t="s">
        <v>3607</v>
      </c>
      <c r="D1203" s="2" t="s">
        <v>10042</v>
      </c>
      <c r="E1203" s="15">
        <v>0.1991</v>
      </c>
      <c r="F1203" s="15">
        <v>9.9500000000000005E-2</v>
      </c>
      <c r="G1203" s="15">
        <v>4.5400000000000003E-2</v>
      </c>
      <c r="H1203" s="15">
        <v>0.13500000000000001</v>
      </c>
      <c r="I1203" s="15">
        <v>4.1700000000000001E-2</v>
      </c>
      <c r="J1203" s="15">
        <v>3.2374100719424459</v>
      </c>
    </row>
    <row r="1204" spans="1:10" x14ac:dyDescent="0.25">
      <c r="A1204" s="2" t="s">
        <v>3608</v>
      </c>
      <c r="B1204" s="2" t="s">
        <v>3609</v>
      </c>
      <c r="C1204" s="2" t="s">
        <v>3610</v>
      </c>
      <c r="D1204" s="2" t="s">
        <v>10042</v>
      </c>
      <c r="E1204" s="15">
        <v>0.15429999999999999</v>
      </c>
      <c r="F1204" s="15">
        <v>9.5699999999999993E-2</v>
      </c>
      <c r="G1204" s="15">
        <v>0.107</v>
      </c>
      <c r="H1204" s="15">
        <v>0.1512</v>
      </c>
      <c r="I1204" s="15">
        <v>4.5699999999999998E-2</v>
      </c>
      <c r="J1204" s="15">
        <v>3.308533916849016</v>
      </c>
    </row>
    <row r="1205" spans="1:10" x14ac:dyDescent="0.25">
      <c r="A1205" s="2" t="s">
        <v>3611</v>
      </c>
      <c r="B1205" s="2" t="s">
        <v>3612</v>
      </c>
      <c r="C1205" s="2" t="s">
        <v>3613</v>
      </c>
      <c r="D1205" s="2" t="s">
        <v>10042</v>
      </c>
      <c r="E1205" s="15">
        <v>0.1174</v>
      </c>
      <c r="F1205" s="15">
        <v>9.8100000000000007E-2</v>
      </c>
      <c r="G1205" s="15">
        <v>0.2316</v>
      </c>
      <c r="H1205" s="15">
        <v>0.15540000000000001</v>
      </c>
      <c r="I1205" s="15">
        <v>4.0099999999999997E-2</v>
      </c>
      <c r="J1205" s="15">
        <v>3.8753117206982548</v>
      </c>
    </row>
    <row r="1206" spans="1:10" x14ac:dyDescent="0.25">
      <c r="A1206" s="2" t="s">
        <v>3614</v>
      </c>
      <c r="B1206" s="2" t="s">
        <v>3615</v>
      </c>
      <c r="C1206" s="2" t="s">
        <v>3616</v>
      </c>
      <c r="D1206" s="2" t="s">
        <v>10042</v>
      </c>
      <c r="E1206" s="15">
        <v>0.18049999999999999</v>
      </c>
      <c r="F1206" s="15">
        <v>9.2499999999999999E-2</v>
      </c>
      <c r="G1206" s="15">
        <v>5.0900000000000001E-2</v>
      </c>
      <c r="H1206" s="15">
        <v>0.14949999999999999</v>
      </c>
      <c r="I1206" s="15">
        <v>4.2900000000000001E-2</v>
      </c>
      <c r="J1206" s="15">
        <v>3.4848484848484849</v>
      </c>
    </row>
    <row r="1207" spans="1:10" x14ac:dyDescent="0.25">
      <c r="A1207" s="2" t="s">
        <v>3617</v>
      </c>
      <c r="B1207" s="2" t="s">
        <v>3618</v>
      </c>
      <c r="C1207" s="2" t="s">
        <v>3619</v>
      </c>
      <c r="D1207" s="2" t="s">
        <v>10042</v>
      </c>
      <c r="E1207" s="15">
        <v>0.1084</v>
      </c>
      <c r="F1207" s="15">
        <v>8.4000000000000005E-2</v>
      </c>
      <c r="G1207" s="15">
        <v>0.19670000000000001</v>
      </c>
      <c r="H1207" s="15">
        <v>0.186</v>
      </c>
      <c r="I1207" s="15">
        <v>3.8100000000000002E-2</v>
      </c>
      <c r="J1207" s="15">
        <v>4.8818897637795269</v>
      </c>
    </row>
    <row r="1208" spans="1:10" x14ac:dyDescent="0.25">
      <c r="A1208" s="2" t="s">
        <v>3620</v>
      </c>
      <c r="B1208" s="2" t="s">
        <v>3621</v>
      </c>
      <c r="C1208" s="2" t="s">
        <v>3622</v>
      </c>
      <c r="D1208" s="2" t="s">
        <v>10042</v>
      </c>
      <c r="E1208" s="15">
        <v>0.2185</v>
      </c>
      <c r="F1208" s="15">
        <v>9.6500000000000002E-2</v>
      </c>
      <c r="G1208" s="15">
        <v>2.35E-2</v>
      </c>
      <c r="H1208" s="15">
        <v>0.1714</v>
      </c>
      <c r="I1208" s="15">
        <v>5.4100000000000002E-2</v>
      </c>
      <c r="J1208" s="15">
        <v>3.168207024029575</v>
      </c>
    </row>
    <row r="1209" spans="1:10" x14ac:dyDescent="0.25">
      <c r="A1209" s="2" t="s">
        <v>3623</v>
      </c>
      <c r="B1209" s="2" t="s">
        <v>3624</v>
      </c>
      <c r="C1209" s="2" t="s">
        <v>3625</v>
      </c>
      <c r="D1209" s="2" t="s">
        <v>10042</v>
      </c>
      <c r="E1209" s="15">
        <v>0.21990000000000001</v>
      </c>
      <c r="F1209" s="15">
        <v>9.3399999999999997E-2</v>
      </c>
      <c r="G1209" s="15">
        <v>1.8499999999999999E-2</v>
      </c>
      <c r="H1209" s="15">
        <v>0.16750000000000001</v>
      </c>
      <c r="I1209" s="15">
        <v>4.07E-2</v>
      </c>
      <c r="J1209" s="15">
        <v>4.1154791154791157</v>
      </c>
    </row>
    <row r="1210" spans="1:10" x14ac:dyDescent="0.25">
      <c r="A1210" s="2" t="s">
        <v>3626</v>
      </c>
      <c r="B1210" s="2" t="s">
        <v>3627</v>
      </c>
      <c r="C1210" s="2" t="s">
        <v>3628</v>
      </c>
      <c r="D1210" s="2" t="s">
        <v>10042</v>
      </c>
      <c r="E1210" s="15">
        <v>0.1215</v>
      </c>
      <c r="F1210" s="15">
        <v>8.5099999999999995E-2</v>
      </c>
      <c r="G1210" s="15">
        <v>0.1535</v>
      </c>
      <c r="H1210" s="15">
        <v>0.14729999999999999</v>
      </c>
      <c r="I1210" s="15">
        <v>4.07E-2</v>
      </c>
      <c r="J1210" s="15">
        <v>3.6191646191646192</v>
      </c>
    </row>
    <row r="1211" spans="1:10" x14ac:dyDescent="0.25">
      <c r="A1211" s="2" t="s">
        <v>3629</v>
      </c>
      <c r="B1211" s="2" t="s">
        <v>3630</v>
      </c>
      <c r="C1211" s="2" t="s">
        <v>3631</v>
      </c>
      <c r="D1211" s="2" t="s">
        <v>10042</v>
      </c>
      <c r="E1211" s="15">
        <v>-5.6899999999999999E-2</v>
      </c>
      <c r="F1211" s="15">
        <v>0.1532</v>
      </c>
      <c r="G1211" s="15">
        <v>0.71009999999999995</v>
      </c>
      <c r="H1211" s="15">
        <v>5.2299999999999999E-2</v>
      </c>
      <c r="I1211" s="15">
        <v>3.7499999999999999E-2</v>
      </c>
      <c r="J1211" s="15">
        <v>1.3946666666666669</v>
      </c>
    </row>
    <row r="1212" spans="1:10" x14ac:dyDescent="0.25">
      <c r="A1212" s="2" t="s">
        <v>3632</v>
      </c>
      <c r="B1212" s="2" t="s">
        <v>3633</v>
      </c>
      <c r="C1212" s="2" t="s">
        <v>3634</v>
      </c>
      <c r="D1212" s="2" t="s">
        <v>10042</v>
      </c>
      <c r="E1212" s="15">
        <v>6.9500000000000006E-2</v>
      </c>
      <c r="F1212" s="15">
        <v>9.1300000000000006E-2</v>
      </c>
      <c r="G1212" s="15">
        <v>0.44650000000000001</v>
      </c>
      <c r="H1212" s="15">
        <v>0.13739999999999999</v>
      </c>
      <c r="I1212" s="15">
        <v>4.3799999999999999E-2</v>
      </c>
      <c r="J1212" s="15">
        <v>3.1369863013698631</v>
      </c>
    </row>
    <row r="1213" spans="1:10" x14ac:dyDescent="0.25">
      <c r="A1213" s="2" t="s">
        <v>3635</v>
      </c>
      <c r="B1213" s="2" t="s">
        <v>3636</v>
      </c>
      <c r="C1213" s="2" t="s">
        <v>3637</v>
      </c>
      <c r="D1213" s="2" t="s">
        <v>10042</v>
      </c>
      <c r="E1213" s="15">
        <v>0.2069</v>
      </c>
      <c r="F1213" s="15">
        <v>8.6099999999999996E-2</v>
      </c>
      <c r="G1213" s="15">
        <v>1.6299999999999999E-2</v>
      </c>
      <c r="H1213" s="15">
        <v>0.18940000000000001</v>
      </c>
      <c r="I1213" s="15">
        <v>4.3299999999999998E-2</v>
      </c>
      <c r="J1213" s="15">
        <v>4.3741339491916866</v>
      </c>
    </row>
    <row r="1214" spans="1:10" x14ac:dyDescent="0.25">
      <c r="A1214" s="2" t="s">
        <v>3638</v>
      </c>
      <c r="B1214" s="2" t="s">
        <v>3639</v>
      </c>
      <c r="C1214" s="2" t="s">
        <v>3640</v>
      </c>
      <c r="D1214" s="2" t="s">
        <v>10042</v>
      </c>
      <c r="E1214" s="15">
        <v>0.2646</v>
      </c>
      <c r="F1214" s="15">
        <v>0.1139</v>
      </c>
      <c r="G1214" s="15">
        <v>2.0199999999999999E-2</v>
      </c>
      <c r="H1214" s="15">
        <v>9.5399999999999999E-2</v>
      </c>
      <c r="I1214" s="15">
        <v>3.9100000000000003E-2</v>
      </c>
      <c r="J1214" s="15">
        <v>2.4398976982097178</v>
      </c>
    </row>
    <row r="1215" spans="1:10" x14ac:dyDescent="0.25">
      <c r="A1215" s="2" t="s">
        <v>3641</v>
      </c>
      <c r="B1215" s="2" t="s">
        <v>3642</v>
      </c>
      <c r="C1215" s="2" t="s">
        <v>3643</v>
      </c>
      <c r="D1215" s="2" t="s">
        <v>10042</v>
      </c>
      <c r="E1215" s="15">
        <v>0.1983</v>
      </c>
      <c r="F1215" s="15">
        <v>8.8700000000000001E-2</v>
      </c>
      <c r="G1215" s="15">
        <v>2.5499999999999998E-2</v>
      </c>
      <c r="H1215" s="15">
        <v>0.17169999999999999</v>
      </c>
      <c r="I1215" s="15">
        <v>4.3099999999999999E-2</v>
      </c>
      <c r="J1215" s="15">
        <v>3.9837587006960562</v>
      </c>
    </row>
    <row r="1216" spans="1:10" x14ac:dyDescent="0.25">
      <c r="A1216" s="2" t="s">
        <v>3644</v>
      </c>
      <c r="B1216" s="2" t="s">
        <v>3645</v>
      </c>
      <c r="C1216" s="2" t="s">
        <v>3646</v>
      </c>
      <c r="D1216" s="2" t="s">
        <v>10042</v>
      </c>
      <c r="E1216" s="15">
        <v>0.20599999999999999</v>
      </c>
      <c r="F1216" s="15">
        <v>0.1406</v>
      </c>
      <c r="G1216" s="15">
        <v>0.14299999999999999</v>
      </c>
      <c r="H1216" s="15">
        <v>7.17E-2</v>
      </c>
      <c r="I1216" s="15">
        <v>4.02E-2</v>
      </c>
      <c r="J1216" s="15">
        <v>1.783582089552239</v>
      </c>
    </row>
    <row r="1217" spans="1:10" x14ac:dyDescent="0.25">
      <c r="A1217" s="2" t="s">
        <v>3647</v>
      </c>
      <c r="B1217" s="2" t="s">
        <v>3648</v>
      </c>
      <c r="C1217" s="2" t="s">
        <v>3649</v>
      </c>
      <c r="D1217" s="2" t="s">
        <v>10042</v>
      </c>
      <c r="E1217" s="15">
        <v>0.25740000000000002</v>
      </c>
      <c r="F1217" s="15">
        <v>9.5600000000000004E-2</v>
      </c>
      <c r="G1217" s="15">
        <v>7.1000000000000004E-3</v>
      </c>
      <c r="H1217" s="15">
        <v>0.14480000000000001</v>
      </c>
      <c r="I1217" s="15">
        <v>4.0599999999999997E-2</v>
      </c>
      <c r="J1217" s="15">
        <v>3.5665024630541882</v>
      </c>
    </row>
    <row r="1218" spans="1:10" x14ac:dyDescent="0.25">
      <c r="A1218" s="2" t="s">
        <v>3650</v>
      </c>
      <c r="B1218" s="2" t="s">
        <v>3651</v>
      </c>
      <c r="C1218" s="2" t="s">
        <v>3652</v>
      </c>
      <c r="D1218" s="2" t="s">
        <v>10042</v>
      </c>
      <c r="E1218" s="15">
        <v>6.4500000000000002E-2</v>
      </c>
      <c r="F1218" s="15">
        <v>0.15620000000000001</v>
      </c>
      <c r="G1218" s="15">
        <v>0.67969999999999997</v>
      </c>
      <c r="H1218" s="15">
        <v>4.9000000000000002E-2</v>
      </c>
      <c r="I1218" s="15">
        <v>3.3599999999999998E-2</v>
      </c>
      <c r="J1218" s="15">
        <v>1.458333333333333</v>
      </c>
    </row>
    <row r="1219" spans="1:10" x14ac:dyDescent="0.25">
      <c r="A1219" s="2" t="s">
        <v>3653</v>
      </c>
      <c r="B1219" s="2" t="s">
        <v>3654</v>
      </c>
      <c r="C1219" s="2" t="s">
        <v>3655</v>
      </c>
      <c r="D1219" s="2" t="s">
        <v>10042</v>
      </c>
      <c r="E1219" s="15">
        <v>0.21709999999999999</v>
      </c>
      <c r="F1219" s="15">
        <v>0.1323</v>
      </c>
      <c r="G1219" s="15">
        <v>0.1008</v>
      </c>
      <c r="H1219" s="15">
        <v>8.1500000000000003E-2</v>
      </c>
      <c r="I1219" s="15">
        <v>3.85E-2</v>
      </c>
      <c r="J1219" s="15">
        <v>2.116883116883117</v>
      </c>
    </row>
    <row r="1220" spans="1:10" x14ac:dyDescent="0.25">
      <c r="A1220" s="2" t="s">
        <v>3656</v>
      </c>
      <c r="B1220" s="2" t="s">
        <v>3657</v>
      </c>
      <c r="C1220" s="2" t="s">
        <v>3658</v>
      </c>
      <c r="D1220" s="2" t="s">
        <v>10042</v>
      </c>
      <c r="E1220" s="15">
        <v>0.12139999999999999</v>
      </c>
      <c r="F1220" s="15">
        <v>0.12770000000000001</v>
      </c>
      <c r="G1220" s="15">
        <v>0.3417</v>
      </c>
      <c r="H1220" s="15">
        <v>9.1600000000000001E-2</v>
      </c>
      <c r="I1220" s="15">
        <v>4.0300000000000002E-2</v>
      </c>
      <c r="J1220" s="15">
        <v>2.272952853598015</v>
      </c>
    </row>
    <row r="1221" spans="1:10" x14ac:dyDescent="0.25">
      <c r="A1221" s="2" t="s">
        <v>3659</v>
      </c>
      <c r="B1221" s="2" t="s">
        <v>3660</v>
      </c>
      <c r="C1221" s="2" t="s">
        <v>3661</v>
      </c>
      <c r="D1221" s="2" t="s">
        <v>10042</v>
      </c>
      <c r="E1221" s="15">
        <v>0.1787</v>
      </c>
      <c r="F1221" s="15">
        <v>9.1700000000000004E-2</v>
      </c>
      <c r="G1221" s="15">
        <v>5.1299999999999998E-2</v>
      </c>
      <c r="H1221" s="15">
        <v>0.16009999999999999</v>
      </c>
      <c r="I1221" s="15">
        <v>4.36E-2</v>
      </c>
      <c r="J1221" s="15">
        <v>3.6720183486238529</v>
      </c>
    </row>
    <row r="1222" spans="1:10" x14ac:dyDescent="0.25">
      <c r="A1222" s="2" t="s">
        <v>3662</v>
      </c>
      <c r="B1222" s="2" t="s">
        <v>3663</v>
      </c>
      <c r="C1222" s="2" t="s">
        <v>3664</v>
      </c>
      <c r="D1222" s="2" t="s">
        <v>10042</v>
      </c>
      <c r="E1222" s="15">
        <v>1.35E-2</v>
      </c>
      <c r="F1222" s="15">
        <v>8.6199999999999999E-2</v>
      </c>
      <c r="G1222" s="15">
        <v>0.87590000000000001</v>
      </c>
      <c r="H1222" s="15">
        <v>0.1424</v>
      </c>
      <c r="I1222" s="15">
        <v>3.73E-2</v>
      </c>
      <c r="J1222" s="15">
        <v>3.8176943699731898</v>
      </c>
    </row>
    <row r="1223" spans="1:10" x14ac:dyDescent="0.25">
      <c r="A1223" s="2" t="s">
        <v>3665</v>
      </c>
      <c r="B1223" s="2" t="s">
        <v>3666</v>
      </c>
      <c r="C1223" s="2" t="s">
        <v>3667</v>
      </c>
      <c r="D1223" s="2" t="s">
        <v>10042</v>
      </c>
      <c r="E1223" s="15">
        <v>3.6900000000000002E-2</v>
      </c>
      <c r="F1223" s="15">
        <v>9.2200000000000004E-2</v>
      </c>
      <c r="G1223" s="15">
        <v>0.68879999999999997</v>
      </c>
      <c r="H1223" s="15">
        <v>0.1258</v>
      </c>
      <c r="I1223" s="15">
        <v>3.7900000000000003E-2</v>
      </c>
      <c r="J1223" s="15">
        <v>3.3192612137203161</v>
      </c>
    </row>
    <row r="1224" spans="1:10" x14ac:dyDescent="0.25">
      <c r="A1224" s="2" t="s">
        <v>3668</v>
      </c>
      <c r="B1224" s="2" t="s">
        <v>3669</v>
      </c>
      <c r="C1224" s="2" t="s">
        <v>3670</v>
      </c>
      <c r="D1224" s="2" t="s">
        <v>10042</v>
      </c>
      <c r="E1224" s="15">
        <v>0.1646</v>
      </c>
      <c r="F1224" s="15">
        <v>9.2899999999999996E-2</v>
      </c>
      <c r="G1224" s="15">
        <v>7.6300000000000007E-2</v>
      </c>
      <c r="H1224" s="15">
        <v>0.14460000000000001</v>
      </c>
      <c r="I1224" s="15">
        <v>4.7500000000000001E-2</v>
      </c>
      <c r="J1224" s="15">
        <v>3.0442105263157901</v>
      </c>
    </row>
    <row r="1225" spans="1:10" x14ac:dyDescent="0.25">
      <c r="A1225" s="2" t="s">
        <v>3671</v>
      </c>
      <c r="B1225" s="2" t="s">
        <v>3672</v>
      </c>
      <c r="C1225" s="2" t="s">
        <v>3673</v>
      </c>
      <c r="D1225" s="2" t="s">
        <v>10042</v>
      </c>
      <c r="E1225" s="15">
        <v>0.18509999999999999</v>
      </c>
      <c r="F1225" s="15">
        <v>0.12790000000000001</v>
      </c>
      <c r="G1225" s="15">
        <v>0.14779999999999999</v>
      </c>
      <c r="H1225" s="15">
        <v>0.1084</v>
      </c>
      <c r="I1225" s="15">
        <v>4.7E-2</v>
      </c>
      <c r="J1225" s="15">
        <v>2.3063829787234038</v>
      </c>
    </row>
    <row r="1226" spans="1:10" x14ac:dyDescent="0.25">
      <c r="A1226" s="2" t="s">
        <v>3674</v>
      </c>
      <c r="B1226" s="2" t="s">
        <v>3675</v>
      </c>
      <c r="C1226" s="2" t="s">
        <v>3676</v>
      </c>
      <c r="D1226" s="2" t="s">
        <v>10042</v>
      </c>
      <c r="E1226" s="15">
        <v>4.2099999999999999E-2</v>
      </c>
      <c r="F1226" s="15">
        <v>0.19220000000000001</v>
      </c>
      <c r="G1226" s="15">
        <v>0.82650000000000001</v>
      </c>
      <c r="H1226" s="15">
        <v>3.4700000000000002E-2</v>
      </c>
      <c r="I1226" s="15">
        <v>3.95E-2</v>
      </c>
      <c r="J1226" s="15">
        <v>0.87848101265822787</v>
      </c>
    </row>
    <row r="1227" spans="1:10" x14ac:dyDescent="0.25">
      <c r="A1227" s="2" t="s">
        <v>3677</v>
      </c>
      <c r="B1227" s="2" t="s">
        <v>3678</v>
      </c>
      <c r="C1227" s="2" t="s">
        <v>3679</v>
      </c>
      <c r="D1227" s="2" t="s">
        <v>10042</v>
      </c>
      <c r="E1227" s="15">
        <v>0.2079</v>
      </c>
      <c r="F1227" s="15">
        <v>9.8799999999999999E-2</v>
      </c>
      <c r="G1227" s="15">
        <v>3.5400000000000001E-2</v>
      </c>
      <c r="H1227" s="15">
        <v>0.12529999999999999</v>
      </c>
      <c r="I1227" s="15">
        <v>4.0300000000000002E-2</v>
      </c>
      <c r="J1227" s="15">
        <v>3.1091811414392061</v>
      </c>
    </row>
    <row r="1228" spans="1:10" x14ac:dyDescent="0.25">
      <c r="A1228" s="2" t="s">
        <v>3680</v>
      </c>
      <c r="B1228" s="2" t="s">
        <v>3681</v>
      </c>
      <c r="C1228" s="2" t="s">
        <v>3682</v>
      </c>
      <c r="D1228" s="2" t="s">
        <v>10042</v>
      </c>
      <c r="E1228" s="15">
        <v>0.1376</v>
      </c>
      <c r="F1228" s="15">
        <v>8.7999999999999995E-2</v>
      </c>
      <c r="G1228" s="15">
        <v>0.1181</v>
      </c>
      <c r="H1228" s="15">
        <v>0.16109999999999999</v>
      </c>
      <c r="I1228" s="15">
        <v>4.2299999999999997E-2</v>
      </c>
      <c r="J1228" s="15">
        <v>3.808510638297872</v>
      </c>
    </row>
    <row r="1229" spans="1:10" x14ac:dyDescent="0.25">
      <c r="A1229" s="2" t="s">
        <v>3683</v>
      </c>
      <c r="B1229" s="2" t="s">
        <v>3684</v>
      </c>
      <c r="C1229" s="2" t="s">
        <v>3685</v>
      </c>
      <c r="D1229" s="2" t="s">
        <v>10042</v>
      </c>
      <c r="E1229" s="15">
        <v>0.2165</v>
      </c>
      <c r="F1229" s="15">
        <v>0.13089999999999999</v>
      </c>
      <c r="G1229" s="15">
        <v>9.8199999999999996E-2</v>
      </c>
      <c r="H1229" s="15">
        <v>7.4700000000000003E-2</v>
      </c>
      <c r="I1229" s="15">
        <v>4.1200000000000001E-2</v>
      </c>
      <c r="J1229" s="15">
        <v>1.813106796116505</v>
      </c>
    </row>
    <row r="1230" spans="1:10" x14ac:dyDescent="0.25">
      <c r="A1230" s="2" t="s">
        <v>3686</v>
      </c>
      <c r="B1230" s="2" t="s">
        <v>3687</v>
      </c>
      <c r="C1230" s="2" t="s">
        <v>3688</v>
      </c>
      <c r="D1230" s="2" t="s">
        <v>10042</v>
      </c>
      <c r="E1230" s="15">
        <v>-3.9199999999999999E-2</v>
      </c>
      <c r="F1230" s="15">
        <v>0.12540000000000001</v>
      </c>
      <c r="G1230" s="15">
        <v>0.75480000000000003</v>
      </c>
      <c r="H1230" s="15">
        <v>7.3700000000000002E-2</v>
      </c>
      <c r="I1230" s="15">
        <v>3.78E-2</v>
      </c>
      <c r="J1230" s="15">
        <v>1.94973544973545</v>
      </c>
    </row>
    <row r="1231" spans="1:10" x14ac:dyDescent="0.25">
      <c r="A1231" s="2" t="s">
        <v>3689</v>
      </c>
      <c r="B1231" s="2" t="s">
        <v>3690</v>
      </c>
      <c r="C1231" s="2" t="s">
        <v>3691</v>
      </c>
      <c r="D1231" s="2" t="s">
        <v>10042</v>
      </c>
      <c r="E1231" s="15">
        <v>0.1075</v>
      </c>
      <c r="F1231" s="15">
        <v>9.1800000000000007E-2</v>
      </c>
      <c r="G1231" s="15">
        <v>0.24129999999999999</v>
      </c>
      <c r="H1231" s="15">
        <v>0.16350000000000001</v>
      </c>
      <c r="I1231" s="15">
        <v>4.0899999999999999E-2</v>
      </c>
      <c r="J1231" s="15">
        <v>3.997555012224939</v>
      </c>
    </row>
    <row r="1232" spans="1:10" x14ac:dyDescent="0.25">
      <c r="A1232" s="2" t="s">
        <v>3692</v>
      </c>
      <c r="B1232" s="2" t="s">
        <v>3693</v>
      </c>
      <c r="C1232" s="2" t="s">
        <v>3694</v>
      </c>
      <c r="D1232" s="2" t="s">
        <v>10042</v>
      </c>
      <c r="E1232" s="15">
        <v>0.15429999999999999</v>
      </c>
      <c r="F1232" s="15">
        <v>0.1108</v>
      </c>
      <c r="G1232" s="15">
        <v>0.1638</v>
      </c>
      <c r="H1232" s="15">
        <v>9.5100000000000004E-2</v>
      </c>
      <c r="I1232" s="15">
        <v>3.9100000000000003E-2</v>
      </c>
      <c r="J1232" s="15">
        <v>2.4322250639386191</v>
      </c>
    </row>
    <row r="1233" spans="1:10" x14ac:dyDescent="0.25">
      <c r="A1233" s="2" t="s">
        <v>3695</v>
      </c>
      <c r="B1233" s="2" t="s">
        <v>3696</v>
      </c>
      <c r="C1233" s="2" t="s">
        <v>3697</v>
      </c>
      <c r="D1233" s="2" t="s">
        <v>10042</v>
      </c>
      <c r="E1233" s="15">
        <v>0.28239999999999998</v>
      </c>
      <c r="F1233" s="15">
        <v>9.35E-2</v>
      </c>
      <c r="G1233" s="15">
        <v>2.5000000000000001E-3</v>
      </c>
      <c r="H1233" s="15">
        <v>0.19739999999999999</v>
      </c>
      <c r="I1233" s="15">
        <v>4.7199999999999999E-2</v>
      </c>
      <c r="J1233" s="15">
        <v>4.1822033898305087</v>
      </c>
    </row>
    <row r="1234" spans="1:10" x14ac:dyDescent="0.25">
      <c r="A1234" s="2" t="s">
        <v>3698</v>
      </c>
      <c r="B1234" s="2" t="s">
        <v>3699</v>
      </c>
      <c r="C1234" s="2" t="s">
        <v>3700</v>
      </c>
      <c r="D1234" s="2" t="s">
        <v>10042</v>
      </c>
      <c r="E1234" s="15">
        <v>0.17929999999999999</v>
      </c>
      <c r="F1234" s="15">
        <v>0.13039999999999999</v>
      </c>
      <c r="G1234" s="15">
        <v>0.16900000000000001</v>
      </c>
      <c r="H1234" s="15">
        <v>7.22E-2</v>
      </c>
      <c r="I1234" s="15">
        <v>3.5499999999999997E-2</v>
      </c>
      <c r="J1234" s="15">
        <v>2.0338028169014088</v>
      </c>
    </row>
    <row r="1235" spans="1:10" x14ac:dyDescent="0.25">
      <c r="A1235" s="2" t="s">
        <v>3701</v>
      </c>
      <c r="B1235" s="2" t="s">
        <v>3702</v>
      </c>
      <c r="C1235" s="2" t="s">
        <v>3703</v>
      </c>
      <c r="D1235" s="2" t="s">
        <v>10042</v>
      </c>
      <c r="E1235" s="15">
        <v>0.20230000000000001</v>
      </c>
      <c r="F1235" s="15">
        <v>9.3299999999999994E-2</v>
      </c>
      <c r="G1235" s="15">
        <v>3.0200000000000001E-2</v>
      </c>
      <c r="H1235" s="15">
        <v>0.1628</v>
      </c>
      <c r="I1235" s="15">
        <v>4.3400000000000001E-2</v>
      </c>
      <c r="J1235" s="15">
        <v>3.7511520737327189</v>
      </c>
    </row>
    <row r="1236" spans="1:10" x14ac:dyDescent="0.25">
      <c r="A1236" s="2" t="s">
        <v>3704</v>
      </c>
      <c r="B1236" s="2" t="s">
        <v>3705</v>
      </c>
      <c r="C1236" s="2" t="s">
        <v>3706</v>
      </c>
      <c r="D1236" s="2" t="s">
        <v>10042</v>
      </c>
      <c r="E1236" s="15">
        <v>0.11459999999999999</v>
      </c>
      <c r="F1236" s="15">
        <v>0.1193</v>
      </c>
      <c r="G1236" s="15">
        <v>0.3367</v>
      </c>
      <c r="H1236" s="15">
        <v>7.6700000000000004E-2</v>
      </c>
      <c r="I1236" s="15">
        <v>4.3900000000000002E-2</v>
      </c>
      <c r="J1236" s="15">
        <v>1.7471526195899769</v>
      </c>
    </row>
    <row r="1237" spans="1:10" x14ac:dyDescent="0.25">
      <c r="A1237" s="2" t="s">
        <v>3707</v>
      </c>
      <c r="B1237" s="2" t="s">
        <v>3708</v>
      </c>
      <c r="C1237" s="2" t="s">
        <v>3709</v>
      </c>
      <c r="D1237" s="2" t="s">
        <v>10042</v>
      </c>
      <c r="E1237" s="15">
        <v>0.156</v>
      </c>
      <c r="F1237" s="15">
        <v>8.0399999999999999E-2</v>
      </c>
      <c r="G1237" s="15">
        <v>5.2400000000000002E-2</v>
      </c>
      <c r="H1237" s="15">
        <v>0.20860000000000001</v>
      </c>
      <c r="I1237" s="15">
        <v>3.9300000000000002E-2</v>
      </c>
      <c r="J1237" s="15">
        <v>5.3078880407124682</v>
      </c>
    </row>
    <row r="1238" spans="1:10" x14ac:dyDescent="0.25">
      <c r="A1238" s="2" t="s">
        <v>3710</v>
      </c>
      <c r="B1238" s="2" t="s">
        <v>3711</v>
      </c>
      <c r="C1238" s="2" t="s">
        <v>3712</v>
      </c>
      <c r="D1238" s="2" t="s">
        <v>10042</v>
      </c>
      <c r="E1238" s="15">
        <v>0.1192</v>
      </c>
      <c r="F1238" s="15">
        <v>0.11509999999999999</v>
      </c>
      <c r="G1238" s="15">
        <v>0.3004</v>
      </c>
      <c r="H1238" s="15">
        <v>9.9199999999999997E-2</v>
      </c>
      <c r="I1238" s="15">
        <v>4.0399999999999998E-2</v>
      </c>
      <c r="J1238" s="15">
        <v>2.455445544554455</v>
      </c>
    </row>
    <row r="1239" spans="1:10" x14ac:dyDescent="0.25">
      <c r="A1239" s="2" t="s">
        <v>3713</v>
      </c>
      <c r="B1239" s="2" t="s">
        <v>3714</v>
      </c>
      <c r="C1239" s="2" t="s">
        <v>3715</v>
      </c>
      <c r="D1239" s="2" t="s">
        <v>10042</v>
      </c>
      <c r="E1239" s="15">
        <v>6.2600000000000003E-2</v>
      </c>
      <c r="F1239" s="15">
        <v>0.1013</v>
      </c>
      <c r="G1239" s="15">
        <v>0.53659999999999997</v>
      </c>
      <c r="H1239" s="15">
        <v>0.1086</v>
      </c>
      <c r="I1239" s="15">
        <v>3.7699999999999997E-2</v>
      </c>
      <c r="J1239" s="15">
        <v>2.8806366047745362</v>
      </c>
    </row>
    <row r="1240" spans="1:10" x14ac:dyDescent="0.25">
      <c r="A1240" s="2" t="s">
        <v>3716</v>
      </c>
      <c r="B1240" s="2" t="s">
        <v>3717</v>
      </c>
      <c r="C1240" s="2" t="s">
        <v>3718</v>
      </c>
      <c r="D1240" s="2" t="s">
        <v>10042</v>
      </c>
      <c r="E1240" s="15">
        <v>4.9399999999999999E-2</v>
      </c>
      <c r="F1240" s="15">
        <v>7.0699999999999999E-2</v>
      </c>
      <c r="G1240" s="15">
        <v>0.48420000000000002</v>
      </c>
      <c r="H1240" s="15">
        <v>0.25030000000000002</v>
      </c>
      <c r="I1240" s="15">
        <v>4.53E-2</v>
      </c>
      <c r="J1240" s="15">
        <v>5.5253863134657841</v>
      </c>
    </row>
    <row r="1241" spans="1:10" x14ac:dyDescent="0.25">
      <c r="A1241" s="2" t="s">
        <v>3719</v>
      </c>
      <c r="B1241" s="2" t="s">
        <v>3720</v>
      </c>
      <c r="C1241" s="2" t="s">
        <v>3721</v>
      </c>
      <c r="D1241" s="2" t="s">
        <v>10042</v>
      </c>
      <c r="E1241" s="15">
        <v>-6.0000000000000001E-3</v>
      </c>
      <c r="F1241" s="15">
        <v>0.13009999999999999</v>
      </c>
      <c r="G1241" s="15">
        <v>0.96299999999999997</v>
      </c>
      <c r="H1241" s="15">
        <v>6.6000000000000003E-2</v>
      </c>
      <c r="I1241" s="15">
        <v>3.7699999999999997E-2</v>
      </c>
      <c r="J1241" s="15">
        <v>1.750663129973475</v>
      </c>
    </row>
    <row r="1242" spans="1:10" x14ac:dyDescent="0.25">
      <c r="A1242" s="2" t="s">
        <v>3722</v>
      </c>
      <c r="B1242" s="2" t="s">
        <v>3723</v>
      </c>
      <c r="C1242" s="2" t="s">
        <v>3724</v>
      </c>
      <c r="D1242" s="2" t="s">
        <v>10042</v>
      </c>
      <c r="E1242" s="15">
        <v>0.15029999999999999</v>
      </c>
      <c r="F1242" s="15">
        <v>0.106</v>
      </c>
      <c r="G1242" s="15">
        <v>0.15620000000000001</v>
      </c>
      <c r="H1242" s="15">
        <v>0.1046</v>
      </c>
      <c r="I1242" s="15">
        <v>4.2200000000000001E-2</v>
      </c>
      <c r="J1242" s="15">
        <v>2.4786729857819898</v>
      </c>
    </row>
    <row r="1243" spans="1:10" x14ac:dyDescent="0.25">
      <c r="A1243" s="2" t="s">
        <v>3725</v>
      </c>
      <c r="B1243" s="2" t="s">
        <v>3726</v>
      </c>
      <c r="C1243" s="2" t="s">
        <v>3727</v>
      </c>
      <c r="D1243" s="2" t="s">
        <v>10042</v>
      </c>
      <c r="E1243" s="15">
        <v>0.10829999999999999</v>
      </c>
      <c r="F1243" s="15">
        <v>9.8799999999999999E-2</v>
      </c>
      <c r="G1243" s="15">
        <v>0.27310000000000001</v>
      </c>
      <c r="H1243" s="15">
        <v>0.105</v>
      </c>
      <c r="I1243" s="15">
        <v>4.1700000000000001E-2</v>
      </c>
      <c r="J1243" s="15">
        <v>2.5179856115107908</v>
      </c>
    </row>
    <row r="1244" spans="1:10" x14ac:dyDescent="0.25">
      <c r="A1244" s="2" t="s">
        <v>3728</v>
      </c>
      <c r="B1244" s="2" t="s">
        <v>3729</v>
      </c>
      <c r="C1244" s="2" t="s">
        <v>3730</v>
      </c>
      <c r="D1244" s="2" t="s">
        <v>10042</v>
      </c>
      <c r="E1244" s="15">
        <v>0.1391</v>
      </c>
      <c r="F1244" s="15">
        <v>8.8400000000000006E-2</v>
      </c>
      <c r="G1244" s="15">
        <v>0.1157</v>
      </c>
      <c r="H1244" s="15">
        <v>0.1648</v>
      </c>
      <c r="I1244" s="15">
        <v>3.8399999999999997E-2</v>
      </c>
      <c r="J1244" s="15">
        <v>4.291666666666667</v>
      </c>
    </row>
    <row r="1245" spans="1:10" x14ac:dyDescent="0.25">
      <c r="A1245" s="2" t="s">
        <v>3731</v>
      </c>
      <c r="B1245" s="2" t="s">
        <v>3732</v>
      </c>
      <c r="C1245" s="2" t="s">
        <v>3733</v>
      </c>
      <c r="D1245" s="2" t="s">
        <v>10042</v>
      </c>
      <c r="E1245" s="15">
        <v>7.7000000000000002E-3</v>
      </c>
      <c r="F1245" s="15">
        <v>0.1079</v>
      </c>
      <c r="G1245" s="15">
        <v>0.94330000000000003</v>
      </c>
      <c r="H1245" s="15">
        <v>9.3600000000000003E-2</v>
      </c>
      <c r="I1245" s="15">
        <v>4.0899999999999999E-2</v>
      </c>
      <c r="J1245" s="15">
        <v>2.288508557457213</v>
      </c>
    </row>
    <row r="1246" spans="1:10" x14ac:dyDescent="0.25">
      <c r="A1246" s="2" t="s">
        <v>3734</v>
      </c>
      <c r="B1246" s="2" t="s">
        <v>3735</v>
      </c>
      <c r="C1246" s="2" t="s">
        <v>3736</v>
      </c>
      <c r="D1246" s="2" t="s">
        <v>10042</v>
      </c>
      <c r="E1246" s="15">
        <v>9.6000000000000002E-2</v>
      </c>
      <c r="F1246" s="15">
        <v>9.4500000000000001E-2</v>
      </c>
      <c r="G1246" s="15">
        <v>0.31</v>
      </c>
      <c r="H1246" s="15">
        <v>0.15210000000000001</v>
      </c>
      <c r="I1246" s="15">
        <v>4.2500000000000003E-2</v>
      </c>
      <c r="J1246" s="15">
        <v>3.578823529411765</v>
      </c>
    </row>
    <row r="1247" spans="1:10" x14ac:dyDescent="0.25">
      <c r="A1247" s="2" t="s">
        <v>3737</v>
      </c>
      <c r="B1247" s="2" t="s">
        <v>3738</v>
      </c>
      <c r="C1247" s="2" t="s">
        <v>3739</v>
      </c>
      <c r="D1247" s="2" t="s">
        <v>10042</v>
      </c>
      <c r="E1247" s="15">
        <v>0.24890000000000001</v>
      </c>
      <c r="F1247" s="15">
        <v>0.1041</v>
      </c>
      <c r="G1247" s="15">
        <v>1.6799999999999999E-2</v>
      </c>
      <c r="H1247" s="15">
        <v>0.14130000000000001</v>
      </c>
      <c r="I1247" s="15">
        <v>4.6300000000000001E-2</v>
      </c>
      <c r="J1247" s="15">
        <v>3.0518358531317502</v>
      </c>
    </row>
    <row r="1248" spans="1:10" x14ac:dyDescent="0.25">
      <c r="A1248" s="2" t="s">
        <v>3740</v>
      </c>
      <c r="B1248" s="2" t="s">
        <v>3741</v>
      </c>
      <c r="C1248" s="2" t="s">
        <v>3742</v>
      </c>
      <c r="D1248" s="2" t="s">
        <v>10042</v>
      </c>
      <c r="E1248" s="15">
        <v>4.3099999999999999E-2</v>
      </c>
      <c r="F1248" s="15">
        <v>9.4600000000000004E-2</v>
      </c>
      <c r="G1248" s="15">
        <v>0.64910000000000001</v>
      </c>
      <c r="H1248" s="15">
        <v>0.13039999999999999</v>
      </c>
      <c r="I1248" s="15">
        <v>4.6800000000000001E-2</v>
      </c>
      <c r="J1248" s="15">
        <v>2.7863247863247862</v>
      </c>
    </row>
    <row r="1249" spans="1:10" x14ac:dyDescent="0.25">
      <c r="A1249" s="2" t="s">
        <v>3743</v>
      </c>
      <c r="B1249" s="2" t="s">
        <v>3744</v>
      </c>
      <c r="C1249" s="2" t="s">
        <v>3745</v>
      </c>
      <c r="D1249" s="2" t="s">
        <v>10042</v>
      </c>
      <c r="E1249" s="15">
        <v>0.1903</v>
      </c>
      <c r="F1249" s="15">
        <v>0.1575</v>
      </c>
      <c r="G1249" s="15">
        <v>0.22700000000000001</v>
      </c>
      <c r="H1249" s="15">
        <v>6.3E-2</v>
      </c>
      <c r="I1249" s="15">
        <v>3.95E-2</v>
      </c>
      <c r="J1249" s="15">
        <v>1.59493670886076</v>
      </c>
    </row>
    <row r="1250" spans="1:10" x14ac:dyDescent="0.25">
      <c r="A1250" s="2" t="s">
        <v>3746</v>
      </c>
      <c r="B1250" s="2" t="s">
        <v>3747</v>
      </c>
      <c r="C1250" s="2" t="s">
        <v>3748</v>
      </c>
      <c r="D1250" s="2" t="s">
        <v>10042</v>
      </c>
      <c r="E1250" s="15">
        <v>0.20330000000000001</v>
      </c>
      <c r="F1250" s="15">
        <v>0.14910000000000001</v>
      </c>
      <c r="G1250" s="15">
        <v>0.17269999999999999</v>
      </c>
      <c r="H1250" s="15">
        <v>6.6199999999999995E-2</v>
      </c>
      <c r="I1250" s="15">
        <v>4.2599999999999999E-2</v>
      </c>
      <c r="J1250" s="15">
        <v>1.5539906103286381</v>
      </c>
    </row>
    <row r="1251" spans="1:10" x14ac:dyDescent="0.25">
      <c r="A1251" s="2" t="s">
        <v>3749</v>
      </c>
      <c r="B1251" s="2" t="s">
        <v>3750</v>
      </c>
      <c r="C1251" s="2" t="s">
        <v>3751</v>
      </c>
      <c r="D1251" s="2" t="s">
        <v>10042</v>
      </c>
      <c r="E1251" s="15">
        <v>8.0399999999999999E-2</v>
      </c>
      <c r="F1251" s="15">
        <v>0.1062</v>
      </c>
      <c r="G1251" s="15">
        <v>0.44900000000000001</v>
      </c>
      <c r="H1251" s="15">
        <v>9.8799999999999999E-2</v>
      </c>
      <c r="I1251" s="15">
        <v>3.8699999999999998E-2</v>
      </c>
      <c r="J1251" s="15">
        <v>2.5529715762273901</v>
      </c>
    </row>
    <row r="1252" spans="1:10" x14ac:dyDescent="0.25">
      <c r="A1252" s="2" t="s">
        <v>3752</v>
      </c>
      <c r="B1252" s="2" t="s">
        <v>3753</v>
      </c>
      <c r="C1252" s="2" t="s">
        <v>3754</v>
      </c>
      <c r="D1252" s="2" t="s">
        <v>10042</v>
      </c>
      <c r="E1252" s="15">
        <v>0.22869999999999999</v>
      </c>
      <c r="F1252" s="15">
        <v>0.12089999999999999</v>
      </c>
      <c r="G1252" s="15">
        <v>5.8599999999999999E-2</v>
      </c>
      <c r="H1252" s="15">
        <v>0.10639999999999999</v>
      </c>
      <c r="I1252" s="15">
        <v>4.3099999999999999E-2</v>
      </c>
      <c r="J1252" s="15">
        <v>2.468677494199536</v>
      </c>
    </row>
    <row r="1253" spans="1:10" x14ac:dyDescent="0.25">
      <c r="A1253" s="2" t="s">
        <v>3755</v>
      </c>
      <c r="B1253" s="2" t="s">
        <v>3756</v>
      </c>
      <c r="C1253" s="2" t="s">
        <v>3757</v>
      </c>
      <c r="D1253" s="2" t="s">
        <v>10042</v>
      </c>
      <c r="E1253" s="15">
        <v>0.1077</v>
      </c>
      <c r="F1253" s="15">
        <v>9.6299999999999997E-2</v>
      </c>
      <c r="G1253" s="15">
        <v>0.26340000000000002</v>
      </c>
      <c r="H1253" s="15">
        <v>0.15620000000000001</v>
      </c>
      <c r="I1253" s="15">
        <v>4.3299999999999998E-2</v>
      </c>
      <c r="J1253" s="15">
        <v>3.6073903002309469</v>
      </c>
    </row>
    <row r="1254" spans="1:10" x14ac:dyDescent="0.25">
      <c r="A1254" s="2" t="s">
        <v>3758</v>
      </c>
      <c r="B1254" s="2" t="s">
        <v>3759</v>
      </c>
      <c r="C1254" s="2" t="s">
        <v>3760</v>
      </c>
      <c r="D1254" s="2" t="s">
        <v>10042</v>
      </c>
      <c r="E1254" s="15">
        <v>7.7499999999999999E-2</v>
      </c>
      <c r="F1254" s="15">
        <v>9.5200000000000007E-2</v>
      </c>
      <c r="G1254" s="15">
        <v>0.41560000000000002</v>
      </c>
      <c r="H1254" s="15">
        <v>0.1187</v>
      </c>
      <c r="I1254" s="15">
        <v>4.0599999999999997E-2</v>
      </c>
      <c r="J1254" s="15">
        <v>2.923645320197044</v>
      </c>
    </row>
    <row r="1255" spans="1:10" x14ac:dyDescent="0.25">
      <c r="A1255" s="2" t="s">
        <v>3761</v>
      </c>
      <c r="B1255" s="2" t="s">
        <v>3762</v>
      </c>
      <c r="C1255" s="2" t="s">
        <v>3763</v>
      </c>
      <c r="D1255" s="2" t="s">
        <v>10042</v>
      </c>
      <c r="E1255" s="15">
        <v>0.25729999999999997</v>
      </c>
      <c r="F1255" s="15">
        <v>0.1472</v>
      </c>
      <c r="G1255" s="15">
        <v>8.0500000000000002E-2</v>
      </c>
      <c r="H1255" s="15">
        <v>6.7799999999999999E-2</v>
      </c>
      <c r="I1255" s="15">
        <v>3.7499999999999999E-2</v>
      </c>
      <c r="J1255" s="15">
        <v>1.8080000000000001</v>
      </c>
    </row>
    <row r="1256" spans="1:10" x14ac:dyDescent="0.25">
      <c r="A1256" s="2" t="s">
        <v>3764</v>
      </c>
      <c r="B1256" s="2" t="s">
        <v>3765</v>
      </c>
      <c r="C1256" s="2" t="s">
        <v>3766</v>
      </c>
      <c r="D1256" s="2" t="s">
        <v>10042</v>
      </c>
      <c r="E1256" s="15">
        <v>0.15190000000000001</v>
      </c>
      <c r="F1256" s="15">
        <v>7.2700000000000001E-2</v>
      </c>
      <c r="G1256" s="15">
        <v>3.6600000000000001E-2</v>
      </c>
      <c r="H1256" s="15">
        <v>0.1794</v>
      </c>
      <c r="I1256" s="15">
        <v>3.9399999999999998E-2</v>
      </c>
      <c r="J1256" s="15">
        <v>4.5532994923857872</v>
      </c>
    </row>
    <row r="1257" spans="1:10" x14ac:dyDescent="0.25">
      <c r="A1257" s="2" t="s">
        <v>3767</v>
      </c>
      <c r="B1257" s="2" t="s">
        <v>3768</v>
      </c>
      <c r="C1257" s="2" t="s">
        <v>3769</v>
      </c>
      <c r="D1257" s="2" t="s">
        <v>10042</v>
      </c>
      <c r="E1257" s="15">
        <v>2.0299999999999999E-2</v>
      </c>
      <c r="F1257" s="15">
        <v>6.9900000000000004E-2</v>
      </c>
      <c r="G1257" s="15">
        <v>0.77100000000000002</v>
      </c>
      <c r="H1257" s="15">
        <v>0.2344</v>
      </c>
      <c r="I1257" s="15">
        <v>4.1799999999999997E-2</v>
      </c>
      <c r="J1257" s="15">
        <v>5.6076555023923449</v>
      </c>
    </row>
    <row r="1258" spans="1:10" x14ac:dyDescent="0.25">
      <c r="A1258" s="2" t="s">
        <v>3770</v>
      </c>
      <c r="B1258" s="2" t="s">
        <v>3771</v>
      </c>
      <c r="C1258" s="2" t="s">
        <v>3772</v>
      </c>
      <c r="D1258" s="2" t="s">
        <v>10042</v>
      </c>
      <c r="E1258" s="15">
        <v>0.21190000000000001</v>
      </c>
      <c r="F1258" s="15">
        <v>0.12609999999999999</v>
      </c>
      <c r="G1258" s="15">
        <v>9.2999999999999999E-2</v>
      </c>
      <c r="H1258" s="15">
        <v>8.0399999999999999E-2</v>
      </c>
      <c r="I1258" s="15">
        <v>3.6200000000000003E-2</v>
      </c>
      <c r="J1258" s="15">
        <v>2.220994475138121</v>
      </c>
    </row>
    <row r="1259" spans="1:10" x14ac:dyDescent="0.25">
      <c r="A1259" s="2" t="s">
        <v>3773</v>
      </c>
      <c r="B1259" s="2" t="s">
        <v>3774</v>
      </c>
      <c r="C1259" s="2" t="s">
        <v>3775</v>
      </c>
      <c r="D1259" s="2" t="s">
        <v>10042</v>
      </c>
      <c r="E1259" s="15">
        <v>0.16250000000000001</v>
      </c>
      <c r="F1259" s="15">
        <v>0.1103</v>
      </c>
      <c r="G1259" s="15">
        <v>0.14069999999999999</v>
      </c>
      <c r="H1259" s="15">
        <v>9.7100000000000006E-2</v>
      </c>
      <c r="I1259" s="15">
        <v>4.1099999999999998E-2</v>
      </c>
      <c r="J1259" s="15">
        <v>2.3625304136253038</v>
      </c>
    </row>
    <row r="1260" spans="1:10" x14ac:dyDescent="0.25">
      <c r="A1260" s="2" t="s">
        <v>3776</v>
      </c>
      <c r="B1260" s="2" t="s">
        <v>3777</v>
      </c>
      <c r="C1260" s="2" t="s">
        <v>3778</v>
      </c>
      <c r="D1260" s="2" t="s">
        <v>10042</v>
      </c>
      <c r="E1260" s="15">
        <v>-4.1500000000000002E-2</v>
      </c>
      <c r="F1260" s="15">
        <v>0.1087</v>
      </c>
      <c r="G1260" s="15">
        <v>0.7026</v>
      </c>
      <c r="H1260" s="15">
        <v>6.5500000000000003E-2</v>
      </c>
      <c r="I1260" s="15">
        <v>3.7499999999999999E-2</v>
      </c>
      <c r="J1260" s="15">
        <v>1.746666666666667</v>
      </c>
    </row>
    <row r="1261" spans="1:10" x14ac:dyDescent="0.25">
      <c r="A1261" s="2" t="s">
        <v>3779</v>
      </c>
      <c r="B1261" s="2" t="s">
        <v>3780</v>
      </c>
      <c r="C1261" s="2" t="s">
        <v>3781</v>
      </c>
      <c r="D1261" s="2" t="s">
        <v>10042</v>
      </c>
      <c r="E1261" s="15">
        <v>0.1696</v>
      </c>
      <c r="F1261" s="15">
        <v>0.12540000000000001</v>
      </c>
      <c r="G1261" s="15">
        <v>0.17599999999999999</v>
      </c>
      <c r="H1261" s="15">
        <v>9.5500000000000002E-2</v>
      </c>
      <c r="I1261" s="15">
        <v>4.36E-2</v>
      </c>
      <c r="J1261" s="15">
        <v>2.1903669724770638</v>
      </c>
    </row>
    <row r="1262" spans="1:10" x14ac:dyDescent="0.25">
      <c r="A1262" s="2" t="s">
        <v>3782</v>
      </c>
      <c r="B1262" s="2" t="s">
        <v>3783</v>
      </c>
      <c r="C1262" s="2" t="s">
        <v>3784</v>
      </c>
      <c r="D1262" s="2" t="s">
        <v>10042</v>
      </c>
      <c r="E1262" s="15">
        <v>0.12479999999999999</v>
      </c>
      <c r="F1262" s="15">
        <v>0.1011</v>
      </c>
      <c r="G1262" s="15">
        <v>0.21690000000000001</v>
      </c>
      <c r="H1262" s="15">
        <v>0.1074</v>
      </c>
      <c r="I1262" s="15">
        <v>4.2799999999999998E-2</v>
      </c>
      <c r="J1262" s="15">
        <v>2.509345794392523</v>
      </c>
    </row>
    <row r="1263" spans="1:10" x14ac:dyDescent="0.25">
      <c r="A1263" s="2" t="s">
        <v>3785</v>
      </c>
      <c r="B1263" s="2" t="s">
        <v>3786</v>
      </c>
      <c r="C1263" s="2" t="s">
        <v>3787</v>
      </c>
      <c r="D1263" s="2" t="s">
        <v>10042</v>
      </c>
      <c r="E1263" s="15">
        <v>9.0999999999999998E-2</v>
      </c>
      <c r="F1263" s="15">
        <v>8.43E-2</v>
      </c>
      <c r="G1263" s="15">
        <v>0.2802</v>
      </c>
      <c r="H1263" s="15">
        <v>0.1186</v>
      </c>
      <c r="I1263" s="15">
        <v>4.0099999999999997E-2</v>
      </c>
      <c r="J1263" s="15">
        <v>2.9576059850374068</v>
      </c>
    </row>
    <row r="1264" spans="1:10" x14ac:dyDescent="0.25">
      <c r="A1264" s="2" t="s">
        <v>3788</v>
      </c>
      <c r="B1264" s="2" t="s">
        <v>3789</v>
      </c>
      <c r="C1264" s="2" t="s">
        <v>3790</v>
      </c>
      <c r="D1264" s="2" t="s">
        <v>10042</v>
      </c>
      <c r="E1264" s="15">
        <v>0.11799999999999999</v>
      </c>
      <c r="F1264" s="15">
        <v>7.7499999999999999E-2</v>
      </c>
      <c r="G1264" s="15">
        <v>0.12790000000000001</v>
      </c>
      <c r="H1264" s="15">
        <v>0.1837</v>
      </c>
      <c r="I1264" s="15">
        <v>3.9E-2</v>
      </c>
      <c r="J1264" s="15">
        <v>4.7102564102564104</v>
      </c>
    </row>
    <row r="1265" spans="1:10" x14ac:dyDescent="0.25">
      <c r="A1265" s="2" t="s">
        <v>3791</v>
      </c>
      <c r="B1265" s="2" t="s">
        <v>3792</v>
      </c>
      <c r="C1265" s="2" t="s">
        <v>3793</v>
      </c>
      <c r="D1265" s="2" t="s">
        <v>10042</v>
      </c>
      <c r="E1265" s="15">
        <v>0.14080000000000001</v>
      </c>
      <c r="F1265" s="15">
        <v>9.35E-2</v>
      </c>
      <c r="G1265" s="15">
        <v>0.13220000000000001</v>
      </c>
      <c r="H1265" s="15">
        <v>0.1181</v>
      </c>
      <c r="I1265" s="15">
        <v>3.9699999999999999E-2</v>
      </c>
      <c r="J1265" s="15">
        <v>2.9748110831234258</v>
      </c>
    </row>
    <row r="1266" spans="1:10" x14ac:dyDescent="0.25">
      <c r="A1266" s="2" t="s">
        <v>3794</v>
      </c>
      <c r="B1266" s="2" t="s">
        <v>3795</v>
      </c>
      <c r="C1266" s="2" t="s">
        <v>3796</v>
      </c>
      <c r="D1266" s="2" t="s">
        <v>10042</v>
      </c>
      <c r="E1266" s="15">
        <v>7.0999999999999994E-2</v>
      </c>
      <c r="F1266" s="15">
        <v>0.14610000000000001</v>
      </c>
      <c r="G1266" s="15">
        <v>0.62719999999999998</v>
      </c>
      <c r="H1266" s="15">
        <v>3.7999999999999999E-2</v>
      </c>
      <c r="I1266" s="15">
        <v>4.02E-2</v>
      </c>
      <c r="J1266" s="15">
        <v>0.94527363184079605</v>
      </c>
    </row>
    <row r="1267" spans="1:10" x14ac:dyDescent="0.25">
      <c r="A1267" s="2" t="s">
        <v>3797</v>
      </c>
      <c r="B1267" s="2" t="s">
        <v>3798</v>
      </c>
      <c r="C1267" s="2" t="s">
        <v>3799</v>
      </c>
      <c r="D1267" s="2" t="s">
        <v>10042</v>
      </c>
      <c r="E1267" s="15">
        <v>0.13400000000000001</v>
      </c>
      <c r="F1267" s="15">
        <v>0.1095</v>
      </c>
      <c r="G1267" s="15">
        <v>0.22109999999999999</v>
      </c>
      <c r="H1267" s="15">
        <v>9.8699999999999996E-2</v>
      </c>
      <c r="I1267" s="15">
        <v>4.1300000000000003E-2</v>
      </c>
      <c r="J1267" s="15">
        <v>2.3898305084745761</v>
      </c>
    </row>
    <row r="1268" spans="1:10" x14ac:dyDescent="0.25">
      <c r="A1268" s="2" t="s">
        <v>3800</v>
      </c>
      <c r="B1268" s="2" t="s">
        <v>3801</v>
      </c>
      <c r="C1268" s="2" t="s">
        <v>3802</v>
      </c>
      <c r="D1268" s="2" t="s">
        <v>10042</v>
      </c>
      <c r="E1268" s="15">
        <v>0.2142</v>
      </c>
      <c r="F1268" s="15">
        <v>7.8200000000000006E-2</v>
      </c>
      <c r="G1268" s="15">
        <v>6.1999999999999998E-3</v>
      </c>
      <c r="H1268" s="15">
        <v>0.19389999999999999</v>
      </c>
      <c r="I1268" s="15">
        <v>4.5400000000000003E-2</v>
      </c>
      <c r="J1268" s="15">
        <v>4.2709251101321577</v>
      </c>
    </row>
    <row r="1269" spans="1:10" x14ac:dyDescent="0.25">
      <c r="A1269" s="2" t="s">
        <v>3803</v>
      </c>
      <c r="B1269" s="2" t="s">
        <v>3804</v>
      </c>
      <c r="C1269" s="2" t="s">
        <v>3805</v>
      </c>
      <c r="D1269" s="2" t="s">
        <v>10042</v>
      </c>
      <c r="E1269" s="15">
        <v>0.2525</v>
      </c>
      <c r="F1269" s="15">
        <v>8.2100000000000006E-2</v>
      </c>
      <c r="G1269" s="15">
        <v>2.0999999999999999E-3</v>
      </c>
      <c r="H1269" s="15">
        <v>0.1721</v>
      </c>
      <c r="I1269" s="15">
        <v>4.1700000000000001E-2</v>
      </c>
      <c r="J1269" s="15">
        <v>4.1270983213429258</v>
      </c>
    </row>
    <row r="1270" spans="1:10" x14ac:dyDescent="0.25">
      <c r="A1270" s="2" t="s">
        <v>3806</v>
      </c>
      <c r="B1270" s="2" t="s">
        <v>3807</v>
      </c>
      <c r="C1270" s="2" t="s">
        <v>3808</v>
      </c>
      <c r="D1270" s="2" t="s">
        <v>10042</v>
      </c>
      <c r="E1270" s="15">
        <v>0.1089</v>
      </c>
      <c r="F1270" s="15">
        <v>7.7899999999999997E-2</v>
      </c>
      <c r="G1270" s="15">
        <v>0.16200000000000001</v>
      </c>
      <c r="H1270" s="15">
        <v>0.1656</v>
      </c>
      <c r="I1270" s="15">
        <v>4.0399999999999998E-2</v>
      </c>
      <c r="J1270" s="15">
        <v>4.0990099009900991</v>
      </c>
    </row>
    <row r="1271" spans="1:10" x14ac:dyDescent="0.25">
      <c r="A1271" s="2" t="s">
        <v>3809</v>
      </c>
      <c r="B1271" s="2" t="s">
        <v>3810</v>
      </c>
      <c r="C1271" s="2" t="s">
        <v>3811</v>
      </c>
      <c r="D1271" s="2" t="s">
        <v>10042</v>
      </c>
      <c r="E1271" s="15">
        <v>0.13320000000000001</v>
      </c>
      <c r="F1271" s="15">
        <v>0.10100000000000001</v>
      </c>
      <c r="G1271" s="15">
        <v>0.18709999999999999</v>
      </c>
      <c r="H1271" s="15">
        <v>0.1452</v>
      </c>
      <c r="I1271" s="15">
        <v>3.9800000000000002E-2</v>
      </c>
      <c r="J1271" s="15">
        <v>3.6482412060301499</v>
      </c>
    </row>
    <row r="1272" spans="1:10" x14ac:dyDescent="0.25">
      <c r="A1272" s="2" t="s">
        <v>3812</v>
      </c>
      <c r="B1272" s="2" t="s">
        <v>3813</v>
      </c>
      <c r="C1272" s="2" t="s">
        <v>3814</v>
      </c>
      <c r="D1272" s="2" t="s">
        <v>10042</v>
      </c>
      <c r="E1272" s="15">
        <v>0.31109999999999999</v>
      </c>
      <c r="F1272" s="15">
        <v>9.9900000000000003E-2</v>
      </c>
      <c r="G1272" s="15">
        <v>1.8E-3</v>
      </c>
      <c r="H1272" s="15">
        <v>0.15479999999999999</v>
      </c>
      <c r="I1272" s="15">
        <v>4.0599999999999997E-2</v>
      </c>
      <c r="J1272" s="15">
        <v>3.812807881773399</v>
      </c>
    </row>
    <row r="1273" spans="1:10" x14ac:dyDescent="0.25">
      <c r="A1273" s="2" t="s">
        <v>3815</v>
      </c>
      <c r="B1273" s="2" t="s">
        <v>3816</v>
      </c>
      <c r="C1273" s="2" t="s">
        <v>3817</v>
      </c>
      <c r="D1273" s="2" t="s">
        <v>10042</v>
      </c>
      <c r="E1273" s="15">
        <v>0.13869999999999999</v>
      </c>
      <c r="F1273" s="15">
        <v>9.1200000000000003E-2</v>
      </c>
      <c r="G1273" s="15">
        <v>0.1283</v>
      </c>
      <c r="H1273" s="15">
        <v>0.14180000000000001</v>
      </c>
      <c r="I1273" s="15">
        <v>3.95E-2</v>
      </c>
      <c r="J1273" s="15">
        <v>3.589873417721519</v>
      </c>
    </row>
    <row r="1274" spans="1:10" x14ac:dyDescent="0.25">
      <c r="A1274" s="2" t="s">
        <v>3818</v>
      </c>
      <c r="B1274" s="2" t="s">
        <v>3819</v>
      </c>
      <c r="C1274" s="2" t="s">
        <v>3820</v>
      </c>
      <c r="D1274" s="2" t="s">
        <v>10042</v>
      </c>
      <c r="E1274" s="15">
        <v>0.25900000000000001</v>
      </c>
      <c r="F1274" s="15">
        <v>8.8800000000000004E-2</v>
      </c>
      <c r="G1274" s="15">
        <v>3.5000000000000001E-3</v>
      </c>
      <c r="H1274" s="15">
        <v>0.1462</v>
      </c>
      <c r="I1274" s="15">
        <v>3.9800000000000002E-2</v>
      </c>
      <c r="J1274" s="15">
        <v>3.6733668341708539</v>
      </c>
    </row>
    <row r="1275" spans="1:10" x14ac:dyDescent="0.25">
      <c r="A1275" s="2" t="s">
        <v>3821</v>
      </c>
      <c r="B1275" s="2" t="s">
        <v>3822</v>
      </c>
      <c r="C1275" s="2" t="s">
        <v>3823</v>
      </c>
      <c r="D1275" s="2" t="s">
        <v>10042</v>
      </c>
      <c r="E1275" s="15">
        <v>5.33E-2</v>
      </c>
      <c r="F1275" s="15">
        <v>7.5399999999999995E-2</v>
      </c>
      <c r="G1275" s="15">
        <v>0.47970000000000002</v>
      </c>
      <c r="H1275" s="15">
        <v>0.2109</v>
      </c>
      <c r="I1275" s="15">
        <v>4.4200000000000003E-2</v>
      </c>
      <c r="J1275" s="15">
        <v>4.7714932126696832</v>
      </c>
    </row>
    <row r="1276" spans="1:10" x14ac:dyDescent="0.25">
      <c r="A1276" s="2" t="s">
        <v>3824</v>
      </c>
      <c r="B1276" s="2" t="s">
        <v>3825</v>
      </c>
      <c r="C1276" s="2" t="s">
        <v>3826</v>
      </c>
      <c r="D1276" s="2" t="s">
        <v>10042</v>
      </c>
      <c r="E1276" s="15">
        <v>0.2535</v>
      </c>
      <c r="F1276" s="15">
        <v>0.11600000000000001</v>
      </c>
      <c r="G1276" s="15">
        <v>2.8899999999999999E-2</v>
      </c>
      <c r="H1276" s="15">
        <v>9.4299999999999995E-2</v>
      </c>
      <c r="I1276" s="15">
        <v>0.04</v>
      </c>
      <c r="J1276" s="15">
        <v>2.3574999999999999</v>
      </c>
    </row>
    <row r="1277" spans="1:10" x14ac:dyDescent="0.25">
      <c r="A1277" s="2" t="s">
        <v>3827</v>
      </c>
      <c r="B1277" s="2" t="s">
        <v>3828</v>
      </c>
      <c r="C1277" s="2" t="s">
        <v>3829</v>
      </c>
      <c r="D1277" s="2" t="s">
        <v>10042</v>
      </c>
      <c r="E1277" s="15">
        <v>0.1777</v>
      </c>
      <c r="F1277" s="15">
        <v>9.3799999999999994E-2</v>
      </c>
      <c r="G1277" s="15">
        <v>5.8099999999999999E-2</v>
      </c>
      <c r="H1277" s="15">
        <v>0.13450000000000001</v>
      </c>
      <c r="I1277" s="15">
        <v>4.3799999999999999E-2</v>
      </c>
      <c r="J1277" s="15">
        <v>3.0707762557077629</v>
      </c>
    </row>
    <row r="1278" spans="1:10" x14ac:dyDescent="0.25">
      <c r="A1278" s="2" t="s">
        <v>3830</v>
      </c>
      <c r="B1278" s="2" t="s">
        <v>3831</v>
      </c>
      <c r="C1278" s="2" t="s">
        <v>3832</v>
      </c>
      <c r="D1278" s="2" t="s">
        <v>10042</v>
      </c>
      <c r="E1278" s="15">
        <v>0.13120000000000001</v>
      </c>
      <c r="F1278" s="15">
        <v>7.8399999999999997E-2</v>
      </c>
      <c r="G1278" s="15">
        <v>9.4100000000000003E-2</v>
      </c>
      <c r="H1278" s="15">
        <v>0.18959999999999999</v>
      </c>
      <c r="I1278" s="15">
        <v>4.4200000000000003E-2</v>
      </c>
      <c r="J1278" s="15">
        <v>4.2895927601809953</v>
      </c>
    </row>
    <row r="1279" spans="1:10" x14ac:dyDescent="0.25">
      <c r="A1279" s="2" t="s">
        <v>3833</v>
      </c>
      <c r="B1279" s="2" t="s">
        <v>3834</v>
      </c>
      <c r="C1279" s="2" t="s">
        <v>3835</v>
      </c>
      <c r="D1279" s="2" t="s">
        <v>10042</v>
      </c>
      <c r="E1279" s="15">
        <v>0.1187</v>
      </c>
      <c r="F1279" s="15">
        <v>8.4699999999999998E-2</v>
      </c>
      <c r="G1279" s="15">
        <v>0.1613</v>
      </c>
      <c r="H1279" s="15">
        <v>0.17480000000000001</v>
      </c>
      <c r="I1279" s="15">
        <v>4.36E-2</v>
      </c>
      <c r="J1279" s="15">
        <v>4.0091743119266061</v>
      </c>
    </row>
    <row r="1280" spans="1:10" x14ac:dyDescent="0.25">
      <c r="A1280" s="2" t="s">
        <v>3836</v>
      </c>
      <c r="B1280" s="2" t="s">
        <v>3837</v>
      </c>
      <c r="C1280" s="2" t="s">
        <v>3838</v>
      </c>
      <c r="D1280" s="2" t="s">
        <v>10042</v>
      </c>
      <c r="E1280" s="15">
        <v>0.23119999999999999</v>
      </c>
      <c r="F1280" s="15">
        <v>9.4700000000000006E-2</v>
      </c>
      <c r="G1280" s="15">
        <v>1.46E-2</v>
      </c>
      <c r="H1280" s="15">
        <v>0.14779999999999999</v>
      </c>
      <c r="I1280" s="15">
        <v>4.2000000000000003E-2</v>
      </c>
      <c r="J1280" s="15">
        <v>3.519047619047619</v>
      </c>
    </row>
    <row r="1281" spans="1:10" x14ac:dyDescent="0.25">
      <c r="A1281" s="2" t="s">
        <v>3839</v>
      </c>
      <c r="B1281" s="2" t="s">
        <v>3840</v>
      </c>
      <c r="C1281" s="2" t="s">
        <v>3841</v>
      </c>
      <c r="D1281" s="2" t="s">
        <v>10042</v>
      </c>
      <c r="E1281" s="15">
        <v>0.12659999999999999</v>
      </c>
      <c r="F1281" s="15">
        <v>9.2100000000000001E-2</v>
      </c>
      <c r="G1281" s="15">
        <v>0.1694</v>
      </c>
      <c r="H1281" s="15">
        <v>0.14069999999999999</v>
      </c>
      <c r="I1281" s="15">
        <v>4.19E-2</v>
      </c>
      <c r="J1281" s="15">
        <v>3.3579952267303099</v>
      </c>
    </row>
    <row r="1282" spans="1:10" x14ac:dyDescent="0.25">
      <c r="A1282" s="2" t="s">
        <v>3842</v>
      </c>
      <c r="B1282" s="2" t="s">
        <v>3843</v>
      </c>
      <c r="C1282" s="2" t="s">
        <v>3844</v>
      </c>
      <c r="D1282" s="2" t="s">
        <v>10042</v>
      </c>
      <c r="E1282" s="15">
        <v>0.2382</v>
      </c>
      <c r="F1282" s="15">
        <v>0.11890000000000001</v>
      </c>
      <c r="G1282" s="15">
        <v>4.5100000000000001E-2</v>
      </c>
      <c r="H1282" s="15">
        <v>0.1106</v>
      </c>
      <c r="I1282" s="15">
        <v>4.02E-2</v>
      </c>
      <c r="J1282" s="15">
        <v>2.7512437810945269</v>
      </c>
    </row>
    <row r="1283" spans="1:10" x14ac:dyDescent="0.25">
      <c r="A1283" s="2" t="s">
        <v>3845</v>
      </c>
      <c r="B1283" s="2" t="s">
        <v>3846</v>
      </c>
      <c r="C1283" s="2" t="s">
        <v>3847</v>
      </c>
      <c r="D1283" s="2" t="s">
        <v>10042</v>
      </c>
      <c r="E1283" s="15">
        <v>0.19570000000000001</v>
      </c>
      <c r="F1283" s="15">
        <v>9.2499999999999999E-2</v>
      </c>
      <c r="G1283" s="15">
        <v>3.44E-2</v>
      </c>
      <c r="H1283" s="15">
        <v>0.15229999999999999</v>
      </c>
      <c r="I1283" s="15">
        <v>4.36E-2</v>
      </c>
      <c r="J1283" s="15">
        <v>3.4931192660550461</v>
      </c>
    </row>
    <row r="1284" spans="1:10" x14ac:dyDescent="0.25">
      <c r="A1284" s="2" t="s">
        <v>3848</v>
      </c>
      <c r="B1284" s="2" t="s">
        <v>3849</v>
      </c>
      <c r="C1284" s="2" t="s">
        <v>3850</v>
      </c>
      <c r="D1284" s="2" t="s">
        <v>10042</v>
      </c>
      <c r="E1284" s="15">
        <v>8.7300000000000003E-2</v>
      </c>
      <c r="F1284" s="15">
        <v>0.115</v>
      </c>
      <c r="G1284" s="15">
        <v>0.44769999999999999</v>
      </c>
      <c r="H1284" s="15">
        <v>7.4499999999999997E-2</v>
      </c>
      <c r="I1284" s="15">
        <v>4.0599999999999997E-2</v>
      </c>
      <c r="J1284" s="15">
        <v>1.8349753694581279</v>
      </c>
    </row>
    <row r="1285" spans="1:10" x14ac:dyDescent="0.25">
      <c r="A1285" s="2" t="s">
        <v>3851</v>
      </c>
      <c r="B1285" s="2" t="s">
        <v>3852</v>
      </c>
      <c r="C1285" s="2" t="s">
        <v>3853</v>
      </c>
      <c r="D1285" s="2" t="s">
        <v>10042</v>
      </c>
      <c r="E1285" s="15">
        <v>-7.1400000000000005E-2</v>
      </c>
      <c r="F1285" s="15">
        <v>0.13300000000000001</v>
      </c>
      <c r="G1285" s="15">
        <v>0.59099999999999997</v>
      </c>
      <c r="H1285" s="15">
        <v>6.0400000000000002E-2</v>
      </c>
      <c r="I1285" s="15">
        <v>3.7699999999999997E-2</v>
      </c>
      <c r="J1285" s="15">
        <v>1.602122015915119</v>
      </c>
    </row>
    <row r="1286" spans="1:10" x14ac:dyDescent="0.25">
      <c r="A1286" s="2" t="s">
        <v>3854</v>
      </c>
      <c r="B1286" s="2" t="s">
        <v>3855</v>
      </c>
      <c r="C1286" s="2" t="s">
        <v>3856</v>
      </c>
      <c r="D1286" s="2" t="s">
        <v>10042</v>
      </c>
      <c r="E1286" s="15">
        <v>0.14810000000000001</v>
      </c>
      <c r="F1286" s="15">
        <v>8.0199999999999994E-2</v>
      </c>
      <c r="G1286" s="15">
        <v>6.4699999999999994E-2</v>
      </c>
      <c r="H1286" s="15">
        <v>0.19109999999999999</v>
      </c>
      <c r="I1286" s="15">
        <v>4.6699999999999998E-2</v>
      </c>
      <c r="J1286" s="15">
        <v>4.0920770877944328</v>
      </c>
    </row>
    <row r="1287" spans="1:10" x14ac:dyDescent="0.25">
      <c r="A1287" s="2" t="s">
        <v>3857</v>
      </c>
      <c r="B1287" s="2" t="s">
        <v>3858</v>
      </c>
      <c r="C1287" s="2" t="s">
        <v>3859</v>
      </c>
      <c r="D1287" s="2" t="s">
        <v>10042</v>
      </c>
      <c r="E1287" s="15">
        <v>0.182</v>
      </c>
      <c r="F1287" s="15">
        <v>8.09E-2</v>
      </c>
      <c r="G1287" s="15">
        <v>2.4400000000000002E-2</v>
      </c>
      <c r="H1287" s="15">
        <v>0.214</v>
      </c>
      <c r="I1287" s="15">
        <v>4.1399999999999999E-2</v>
      </c>
      <c r="J1287" s="15">
        <v>5.1690821256038646</v>
      </c>
    </row>
    <row r="1288" spans="1:10" x14ac:dyDescent="0.25">
      <c r="A1288" s="2" t="s">
        <v>3860</v>
      </c>
      <c r="B1288" s="2" t="s">
        <v>3861</v>
      </c>
      <c r="C1288" s="2" t="s">
        <v>3862</v>
      </c>
      <c r="D1288" s="2" t="s">
        <v>10042</v>
      </c>
      <c r="E1288" s="15">
        <v>9.4399999999999998E-2</v>
      </c>
      <c r="F1288" s="15">
        <v>0.10580000000000001</v>
      </c>
      <c r="G1288" s="15">
        <v>0.37230000000000002</v>
      </c>
      <c r="H1288" s="15">
        <v>0.10489999999999999</v>
      </c>
      <c r="I1288" s="15">
        <v>3.5499999999999997E-2</v>
      </c>
      <c r="J1288" s="15">
        <v>2.9549295774647888</v>
      </c>
    </row>
    <row r="1289" spans="1:10" x14ac:dyDescent="0.25">
      <c r="A1289" s="2" t="s">
        <v>3863</v>
      </c>
      <c r="B1289" s="2" t="s">
        <v>3864</v>
      </c>
      <c r="C1289" s="2" t="s">
        <v>3865</v>
      </c>
      <c r="D1289" s="2" t="s">
        <v>10042</v>
      </c>
      <c r="E1289" s="15">
        <v>7.9299999999999995E-2</v>
      </c>
      <c r="F1289" s="15">
        <v>8.9700000000000002E-2</v>
      </c>
      <c r="G1289" s="15">
        <v>0.37659999999999999</v>
      </c>
      <c r="H1289" s="15">
        <v>0.15490000000000001</v>
      </c>
      <c r="I1289" s="15">
        <v>4.1500000000000002E-2</v>
      </c>
      <c r="J1289" s="15">
        <v>3.7325301204819281</v>
      </c>
    </row>
    <row r="1290" spans="1:10" x14ac:dyDescent="0.25">
      <c r="A1290" s="2" t="s">
        <v>3866</v>
      </c>
      <c r="B1290" s="2" t="s">
        <v>3867</v>
      </c>
      <c r="C1290" s="2" t="s">
        <v>3868</v>
      </c>
      <c r="D1290" s="2" t="s">
        <v>10042</v>
      </c>
      <c r="E1290" s="15">
        <v>0.24279999999999999</v>
      </c>
      <c r="F1290" s="15">
        <v>0.13250000000000001</v>
      </c>
      <c r="G1290" s="15">
        <v>6.6900000000000001E-2</v>
      </c>
      <c r="H1290" s="15">
        <v>7.0900000000000005E-2</v>
      </c>
      <c r="I1290" s="15">
        <v>4.0500000000000001E-2</v>
      </c>
      <c r="J1290" s="15">
        <v>1.7506172839506171</v>
      </c>
    </row>
    <row r="1291" spans="1:10" x14ac:dyDescent="0.25">
      <c r="A1291" s="2" t="s">
        <v>3869</v>
      </c>
      <c r="B1291" s="2" t="s">
        <v>3870</v>
      </c>
      <c r="C1291" s="2" t="s">
        <v>3871</v>
      </c>
      <c r="D1291" s="2" t="s">
        <v>10042</v>
      </c>
      <c r="E1291" s="15">
        <v>0.22509999999999999</v>
      </c>
      <c r="F1291" s="15">
        <v>9.1800000000000007E-2</v>
      </c>
      <c r="G1291" s="15">
        <v>1.4200000000000001E-2</v>
      </c>
      <c r="H1291" s="15">
        <v>0.15920000000000001</v>
      </c>
      <c r="I1291" s="15">
        <v>4.1500000000000002E-2</v>
      </c>
      <c r="J1291" s="15">
        <v>3.8361445783132528</v>
      </c>
    </row>
    <row r="1292" spans="1:10" x14ac:dyDescent="0.25">
      <c r="A1292" s="2" t="s">
        <v>3872</v>
      </c>
      <c r="B1292" s="2" t="s">
        <v>3873</v>
      </c>
      <c r="C1292" s="2" t="s">
        <v>3874</v>
      </c>
      <c r="D1292" s="2" t="s">
        <v>10042</v>
      </c>
      <c r="E1292" s="15">
        <v>-1.9E-3</v>
      </c>
      <c r="F1292" s="15">
        <v>8.8099999999999998E-2</v>
      </c>
      <c r="G1292" s="15">
        <v>0.9829</v>
      </c>
      <c r="H1292" s="15">
        <v>0.12989999999999999</v>
      </c>
      <c r="I1292" s="15">
        <v>3.7600000000000001E-2</v>
      </c>
      <c r="J1292" s="15">
        <v>3.4547872340425529</v>
      </c>
    </row>
    <row r="1293" spans="1:10" x14ac:dyDescent="0.25">
      <c r="A1293" s="2" t="s">
        <v>3875</v>
      </c>
      <c r="B1293" s="2" t="s">
        <v>3876</v>
      </c>
      <c r="C1293" s="2" t="s">
        <v>3877</v>
      </c>
      <c r="D1293" s="2" t="s">
        <v>10042</v>
      </c>
      <c r="E1293" s="15">
        <v>0.14810000000000001</v>
      </c>
      <c r="F1293" s="15">
        <v>0.2384</v>
      </c>
      <c r="G1293" s="15">
        <v>0.53459999999999996</v>
      </c>
      <c r="H1293" s="15">
        <v>2.6700000000000002E-2</v>
      </c>
      <c r="I1293" s="15">
        <v>3.9E-2</v>
      </c>
      <c r="J1293" s="15">
        <v>0.68461538461538463</v>
      </c>
    </row>
    <row r="1294" spans="1:10" x14ac:dyDescent="0.25">
      <c r="A1294" s="2" t="s">
        <v>3878</v>
      </c>
      <c r="B1294" s="2" t="s">
        <v>3879</v>
      </c>
      <c r="C1294" s="2" t="s">
        <v>3880</v>
      </c>
      <c r="D1294" s="2" t="s">
        <v>10042</v>
      </c>
      <c r="E1294" s="15">
        <v>0.1074</v>
      </c>
      <c r="F1294" s="15">
        <v>9.2200000000000004E-2</v>
      </c>
      <c r="G1294" s="15">
        <v>0.24399999999999999</v>
      </c>
      <c r="H1294" s="15">
        <v>0.1739</v>
      </c>
      <c r="I1294" s="15">
        <v>4.0800000000000003E-2</v>
      </c>
      <c r="J1294" s="15">
        <v>4.2622549019607838</v>
      </c>
    </row>
    <row r="1295" spans="1:10" x14ac:dyDescent="0.25">
      <c r="A1295" s="2" t="s">
        <v>3881</v>
      </c>
      <c r="B1295" s="2" t="s">
        <v>3882</v>
      </c>
      <c r="C1295" s="2" t="s">
        <v>3883</v>
      </c>
      <c r="D1295" s="2" t="s">
        <v>10042</v>
      </c>
      <c r="E1295" s="15">
        <v>0.24859999999999999</v>
      </c>
      <c r="F1295" s="15">
        <v>8.9700000000000002E-2</v>
      </c>
      <c r="G1295" s="15">
        <v>5.5999999999999999E-3</v>
      </c>
      <c r="H1295" s="15">
        <v>0.1525</v>
      </c>
      <c r="I1295" s="15">
        <v>4.2299999999999997E-2</v>
      </c>
      <c r="J1295" s="15">
        <v>3.605200945626478</v>
      </c>
    </row>
    <row r="1296" spans="1:10" x14ac:dyDescent="0.25">
      <c r="A1296" s="2" t="s">
        <v>3884</v>
      </c>
      <c r="B1296" s="2" t="s">
        <v>3885</v>
      </c>
      <c r="C1296" s="2" t="s">
        <v>3886</v>
      </c>
      <c r="D1296" s="2" t="s">
        <v>10042</v>
      </c>
      <c r="E1296" s="15">
        <v>0.35039999999999999</v>
      </c>
      <c r="F1296" s="15">
        <v>0.19500000000000001</v>
      </c>
      <c r="G1296" s="15">
        <v>7.2300000000000003E-2</v>
      </c>
      <c r="H1296" s="15">
        <v>4.9200000000000001E-2</v>
      </c>
      <c r="I1296" s="15">
        <v>3.6400000000000002E-2</v>
      </c>
      <c r="J1296" s="15">
        <v>1.351648351648352</v>
      </c>
    </row>
    <row r="1297" spans="1:10" x14ac:dyDescent="0.25">
      <c r="A1297" s="2" t="s">
        <v>3887</v>
      </c>
      <c r="B1297" s="2" t="s">
        <v>3888</v>
      </c>
      <c r="C1297" s="2" t="s">
        <v>3889</v>
      </c>
      <c r="D1297" s="2" t="s">
        <v>10042</v>
      </c>
      <c r="E1297" s="15">
        <v>7.9500000000000001E-2</v>
      </c>
      <c r="F1297" s="15">
        <v>7.7700000000000005E-2</v>
      </c>
      <c r="G1297" s="15">
        <v>0.30640000000000001</v>
      </c>
      <c r="H1297" s="15">
        <v>0.21229999999999999</v>
      </c>
      <c r="I1297" s="15">
        <v>4.5900000000000003E-2</v>
      </c>
      <c r="J1297" s="15">
        <v>4.6252723311546839</v>
      </c>
    </row>
    <row r="1298" spans="1:10" x14ac:dyDescent="0.25">
      <c r="A1298" s="2" t="s">
        <v>3890</v>
      </c>
      <c r="B1298" s="2" t="s">
        <v>3891</v>
      </c>
      <c r="C1298" s="2" t="s">
        <v>3892</v>
      </c>
      <c r="D1298" s="2" t="s">
        <v>10042</v>
      </c>
      <c r="E1298" s="15">
        <v>9.5500000000000002E-2</v>
      </c>
      <c r="F1298" s="15">
        <v>9.8599999999999993E-2</v>
      </c>
      <c r="G1298" s="15">
        <v>0.33250000000000002</v>
      </c>
      <c r="H1298" s="15">
        <v>0.10630000000000001</v>
      </c>
      <c r="I1298" s="15">
        <v>4.4299999999999999E-2</v>
      </c>
      <c r="J1298" s="15">
        <v>2.399548532731377</v>
      </c>
    </row>
    <row r="1299" spans="1:10" x14ac:dyDescent="0.25">
      <c r="A1299" s="2" t="s">
        <v>3893</v>
      </c>
      <c r="B1299" s="2" t="s">
        <v>3894</v>
      </c>
      <c r="C1299" s="2" t="s">
        <v>3895</v>
      </c>
      <c r="D1299" s="2" t="s">
        <v>10042</v>
      </c>
      <c r="E1299" s="15">
        <v>0.37759999999999999</v>
      </c>
      <c r="F1299" s="15">
        <v>0.14610000000000001</v>
      </c>
      <c r="G1299" s="15">
        <v>9.7000000000000003E-3</v>
      </c>
      <c r="H1299" s="15">
        <v>9.1999999999999998E-2</v>
      </c>
      <c r="I1299" s="15">
        <v>4.2799999999999998E-2</v>
      </c>
      <c r="J1299" s="15">
        <v>2.1495327102803738</v>
      </c>
    </row>
    <row r="1300" spans="1:10" x14ac:dyDescent="0.25">
      <c r="A1300" s="2" t="s">
        <v>3896</v>
      </c>
      <c r="B1300" s="2" t="s">
        <v>3897</v>
      </c>
      <c r="C1300" s="2" t="s">
        <v>3898</v>
      </c>
      <c r="D1300" s="2" t="s">
        <v>10042</v>
      </c>
      <c r="E1300" s="15">
        <v>0.38369999999999999</v>
      </c>
      <c r="F1300" s="15">
        <v>0.14080000000000001</v>
      </c>
      <c r="G1300" s="15">
        <v>6.4000000000000003E-3</v>
      </c>
      <c r="H1300" s="15">
        <v>8.2100000000000006E-2</v>
      </c>
      <c r="I1300" s="15">
        <v>3.4599999999999999E-2</v>
      </c>
      <c r="J1300" s="15">
        <v>2.3728323699421972</v>
      </c>
    </row>
    <row r="1301" spans="1:10" x14ac:dyDescent="0.25">
      <c r="A1301" s="2" t="s">
        <v>3899</v>
      </c>
      <c r="B1301" s="2" t="s">
        <v>3900</v>
      </c>
      <c r="C1301" s="2" t="s">
        <v>3901</v>
      </c>
      <c r="D1301" s="2" t="s">
        <v>10042</v>
      </c>
      <c r="E1301" s="15">
        <v>8.1299999999999997E-2</v>
      </c>
      <c r="F1301" s="15">
        <v>7.17E-2</v>
      </c>
      <c r="G1301" s="15">
        <v>0.25659999999999999</v>
      </c>
      <c r="H1301" s="15">
        <v>0.20169999999999999</v>
      </c>
      <c r="I1301" s="15">
        <v>4.6600000000000003E-2</v>
      </c>
      <c r="J1301" s="15">
        <v>4.3283261802575099</v>
      </c>
    </row>
    <row r="1302" spans="1:10" x14ac:dyDescent="0.25">
      <c r="A1302" s="2" t="s">
        <v>3902</v>
      </c>
      <c r="B1302" s="2" t="s">
        <v>3903</v>
      </c>
      <c r="C1302" s="2" t="s">
        <v>3904</v>
      </c>
      <c r="D1302" s="2" t="s">
        <v>10042</v>
      </c>
      <c r="E1302" s="15">
        <v>5.3400000000000003E-2</v>
      </c>
      <c r="F1302" s="15">
        <v>7.3999999999999996E-2</v>
      </c>
      <c r="G1302" s="15">
        <v>0.47070000000000001</v>
      </c>
      <c r="H1302" s="15">
        <v>0.20569999999999999</v>
      </c>
      <c r="I1302" s="15">
        <v>3.7699999999999997E-2</v>
      </c>
      <c r="J1302" s="15">
        <v>5.4562334217506629</v>
      </c>
    </row>
    <row r="1303" spans="1:10" x14ac:dyDescent="0.25">
      <c r="A1303" s="2" t="s">
        <v>3905</v>
      </c>
      <c r="B1303" s="2" t="s">
        <v>3906</v>
      </c>
      <c r="C1303" s="2" t="s">
        <v>3907</v>
      </c>
      <c r="D1303" s="2" t="s">
        <v>10042</v>
      </c>
      <c r="E1303" s="15">
        <v>7.8200000000000006E-2</v>
      </c>
      <c r="F1303" s="15">
        <v>0.14410000000000001</v>
      </c>
      <c r="G1303" s="15">
        <v>0.58760000000000001</v>
      </c>
      <c r="H1303" s="15">
        <v>5.5399999999999998E-2</v>
      </c>
      <c r="I1303" s="15">
        <v>4.1099999999999998E-2</v>
      </c>
      <c r="J1303" s="15">
        <v>1.3479318734793191</v>
      </c>
    </row>
    <row r="1304" spans="1:10" x14ac:dyDescent="0.25">
      <c r="A1304" s="2" t="s">
        <v>3908</v>
      </c>
      <c r="B1304" s="2" t="s">
        <v>3909</v>
      </c>
      <c r="C1304" s="2" t="s">
        <v>3910</v>
      </c>
      <c r="D1304" s="2" t="s">
        <v>10042</v>
      </c>
      <c r="E1304" s="15">
        <v>7.85E-2</v>
      </c>
      <c r="F1304" s="15">
        <v>0.1109</v>
      </c>
      <c r="G1304" s="15">
        <v>0.47910000000000003</v>
      </c>
      <c r="H1304" s="15">
        <v>0.1</v>
      </c>
      <c r="I1304" s="15">
        <v>4.2299999999999997E-2</v>
      </c>
      <c r="J1304" s="15">
        <v>2.3640661938534282</v>
      </c>
    </row>
    <row r="1305" spans="1:10" x14ac:dyDescent="0.25">
      <c r="A1305" s="2" t="s">
        <v>3911</v>
      </c>
      <c r="B1305" s="2" t="s">
        <v>3912</v>
      </c>
      <c r="C1305" s="2" t="s">
        <v>3913</v>
      </c>
      <c r="D1305" s="2" t="s">
        <v>10042</v>
      </c>
      <c r="E1305" s="15">
        <v>0.2316</v>
      </c>
      <c r="F1305" s="15">
        <v>9.7900000000000001E-2</v>
      </c>
      <c r="G1305" s="15">
        <v>1.7999999999999999E-2</v>
      </c>
      <c r="H1305" s="15">
        <v>0.14810000000000001</v>
      </c>
      <c r="I1305" s="15">
        <v>4.8099999999999997E-2</v>
      </c>
      <c r="J1305" s="15">
        <v>3.07900207900208</v>
      </c>
    </row>
    <row r="1306" spans="1:10" x14ac:dyDescent="0.25">
      <c r="A1306" s="2" t="s">
        <v>3914</v>
      </c>
      <c r="B1306" s="2" t="s">
        <v>3915</v>
      </c>
      <c r="C1306" s="2" t="s">
        <v>3916</v>
      </c>
      <c r="D1306" s="2" t="s">
        <v>10042</v>
      </c>
      <c r="E1306" s="15">
        <v>0.1575</v>
      </c>
      <c r="F1306" s="15">
        <v>8.4900000000000003E-2</v>
      </c>
      <c r="G1306" s="15">
        <v>6.3500000000000001E-2</v>
      </c>
      <c r="H1306" s="15">
        <v>0.1888</v>
      </c>
      <c r="I1306" s="15">
        <v>3.73E-2</v>
      </c>
      <c r="J1306" s="15">
        <v>5.0616621983914207</v>
      </c>
    </row>
    <row r="1307" spans="1:10" x14ac:dyDescent="0.25">
      <c r="A1307" s="2" t="s">
        <v>3917</v>
      </c>
      <c r="B1307" s="2" t="s">
        <v>3918</v>
      </c>
      <c r="C1307" s="2" t="s">
        <v>3919</v>
      </c>
      <c r="D1307" s="2" t="s">
        <v>10042</v>
      </c>
      <c r="E1307" s="15">
        <v>0.2102</v>
      </c>
      <c r="F1307" s="15">
        <v>0.1072</v>
      </c>
      <c r="G1307" s="15">
        <v>0.05</v>
      </c>
      <c r="H1307" s="15">
        <v>0.127</v>
      </c>
      <c r="I1307" s="15">
        <v>4.3700000000000003E-2</v>
      </c>
      <c r="J1307" s="15">
        <v>2.9061784897025169</v>
      </c>
    </row>
    <row r="1308" spans="1:10" x14ac:dyDescent="0.25">
      <c r="A1308" s="2" t="s">
        <v>3920</v>
      </c>
      <c r="B1308" s="2" t="s">
        <v>3921</v>
      </c>
      <c r="C1308" s="2" t="s">
        <v>3922</v>
      </c>
      <c r="D1308" s="2" t="s">
        <v>10042</v>
      </c>
      <c r="E1308" s="15">
        <v>-2.12E-2</v>
      </c>
      <c r="F1308" s="15">
        <v>0.12870000000000001</v>
      </c>
      <c r="G1308" s="15">
        <v>0.86890000000000001</v>
      </c>
      <c r="H1308" s="15">
        <v>6.4100000000000004E-2</v>
      </c>
      <c r="I1308" s="15">
        <v>4.36E-2</v>
      </c>
      <c r="J1308" s="15">
        <v>1.4701834862385319</v>
      </c>
    </row>
    <row r="1309" spans="1:10" x14ac:dyDescent="0.25">
      <c r="A1309" s="2" t="s">
        <v>3923</v>
      </c>
      <c r="B1309" s="2" t="s">
        <v>3924</v>
      </c>
      <c r="C1309" s="2" t="s">
        <v>3925</v>
      </c>
      <c r="D1309" s="2" t="s">
        <v>10042</v>
      </c>
      <c r="E1309" s="15">
        <v>0.20030000000000001</v>
      </c>
      <c r="F1309" s="15">
        <v>8.6300000000000002E-2</v>
      </c>
      <c r="G1309" s="15">
        <v>2.0199999999999999E-2</v>
      </c>
      <c r="H1309" s="15">
        <v>0.161</v>
      </c>
      <c r="I1309" s="15">
        <v>4.2599999999999999E-2</v>
      </c>
      <c r="J1309" s="15">
        <v>3.779342723004695</v>
      </c>
    </row>
    <row r="1310" spans="1:10" x14ac:dyDescent="0.25">
      <c r="A1310" s="2" t="s">
        <v>3926</v>
      </c>
      <c r="B1310" s="2" t="s">
        <v>3927</v>
      </c>
      <c r="C1310" s="2" t="s">
        <v>3928</v>
      </c>
      <c r="D1310" s="2" t="s">
        <v>10042</v>
      </c>
      <c r="E1310" s="15">
        <v>4.6800000000000001E-2</v>
      </c>
      <c r="F1310" s="15">
        <v>0.1234</v>
      </c>
      <c r="G1310" s="15">
        <v>0.70430000000000004</v>
      </c>
      <c r="H1310" s="15">
        <v>7.2099999999999997E-2</v>
      </c>
      <c r="I1310" s="15">
        <v>3.6999999999999998E-2</v>
      </c>
      <c r="J1310" s="15">
        <v>1.948648648648649</v>
      </c>
    </row>
    <row r="1311" spans="1:10" x14ac:dyDescent="0.25">
      <c r="A1311" s="2" t="s">
        <v>3929</v>
      </c>
      <c r="B1311" s="2" t="s">
        <v>3930</v>
      </c>
      <c r="C1311" s="2" t="s">
        <v>3931</v>
      </c>
      <c r="D1311" s="2" t="s">
        <v>10042</v>
      </c>
      <c r="E1311" s="15">
        <v>0.15529999999999999</v>
      </c>
      <c r="F1311" s="15">
        <v>8.1900000000000001E-2</v>
      </c>
      <c r="G1311" s="15">
        <v>5.79E-2</v>
      </c>
      <c r="H1311" s="15">
        <v>0.1729</v>
      </c>
      <c r="I1311" s="15">
        <v>4.0300000000000002E-2</v>
      </c>
      <c r="J1311" s="15">
        <v>4.290322580645161</v>
      </c>
    </row>
    <row r="1312" spans="1:10" x14ac:dyDescent="0.25">
      <c r="A1312" s="2" t="s">
        <v>3932</v>
      </c>
      <c r="B1312" s="2" t="s">
        <v>3933</v>
      </c>
      <c r="C1312" s="2" t="s">
        <v>3934</v>
      </c>
      <c r="D1312" s="2" t="s">
        <v>10042</v>
      </c>
      <c r="E1312" s="15">
        <v>0.33040000000000003</v>
      </c>
      <c r="F1312" s="15">
        <v>0.1085</v>
      </c>
      <c r="G1312" s="15">
        <v>2.3E-3</v>
      </c>
      <c r="H1312" s="15">
        <v>0.11609999999999999</v>
      </c>
      <c r="I1312" s="15">
        <v>3.5700000000000003E-2</v>
      </c>
      <c r="J1312" s="15">
        <v>3.252100840336134</v>
      </c>
    </row>
    <row r="1313" spans="1:10" x14ac:dyDescent="0.25">
      <c r="A1313" s="2" t="s">
        <v>3935</v>
      </c>
      <c r="B1313" s="2" t="s">
        <v>3936</v>
      </c>
      <c r="C1313" s="2" t="s">
        <v>3937</v>
      </c>
      <c r="D1313" s="2" t="s">
        <v>10042</v>
      </c>
      <c r="E1313" s="15">
        <v>2.9700000000000001E-2</v>
      </c>
      <c r="F1313" s="15">
        <v>9.3399999999999997E-2</v>
      </c>
      <c r="G1313" s="15">
        <v>0.75009999999999999</v>
      </c>
      <c r="H1313" s="15">
        <v>0.12690000000000001</v>
      </c>
      <c r="I1313" s="15">
        <v>4.1799999999999997E-2</v>
      </c>
      <c r="J1313" s="15">
        <v>3.035885167464115</v>
      </c>
    </row>
    <row r="1314" spans="1:10" x14ac:dyDescent="0.25">
      <c r="A1314" s="2" t="s">
        <v>3938</v>
      </c>
      <c r="B1314" s="2" t="s">
        <v>3939</v>
      </c>
      <c r="C1314" s="2" t="s">
        <v>3940</v>
      </c>
      <c r="D1314" s="2" t="s">
        <v>10042</v>
      </c>
      <c r="E1314" s="15">
        <v>-9.7900000000000001E-2</v>
      </c>
      <c r="F1314" s="15">
        <v>7.5800000000000006E-2</v>
      </c>
      <c r="G1314" s="15">
        <v>0.19670000000000001</v>
      </c>
      <c r="H1314" s="15">
        <v>0.2009</v>
      </c>
      <c r="I1314" s="15">
        <v>4.0300000000000002E-2</v>
      </c>
      <c r="J1314" s="15">
        <v>4.9851116625310166</v>
      </c>
    </row>
    <row r="1315" spans="1:10" x14ac:dyDescent="0.25">
      <c r="A1315" s="2" t="s">
        <v>3941</v>
      </c>
      <c r="B1315" s="2" t="s">
        <v>3942</v>
      </c>
      <c r="C1315" s="2" t="s">
        <v>3943</v>
      </c>
      <c r="D1315" s="2" t="s">
        <v>10042</v>
      </c>
      <c r="E1315" s="15">
        <v>3.9600000000000003E-2</v>
      </c>
      <c r="F1315" s="15">
        <v>0.1351</v>
      </c>
      <c r="G1315" s="15">
        <v>0.76970000000000005</v>
      </c>
      <c r="H1315" s="15">
        <v>5.1700000000000003E-2</v>
      </c>
      <c r="I1315" s="15">
        <v>3.8399999999999997E-2</v>
      </c>
      <c r="J1315" s="15">
        <v>1.346354166666667</v>
      </c>
    </row>
    <row r="1316" spans="1:10" x14ac:dyDescent="0.25">
      <c r="A1316" s="2" t="s">
        <v>3944</v>
      </c>
      <c r="B1316" s="2" t="s">
        <v>3945</v>
      </c>
      <c r="C1316" s="2" t="s">
        <v>3946</v>
      </c>
      <c r="D1316" s="2" t="s">
        <v>10042</v>
      </c>
      <c r="E1316" s="15">
        <v>8.6599999999999996E-2</v>
      </c>
      <c r="F1316" s="15">
        <v>6.7299999999999999E-2</v>
      </c>
      <c r="G1316" s="15">
        <v>0.19800000000000001</v>
      </c>
      <c r="H1316" s="15">
        <v>0.2213</v>
      </c>
      <c r="I1316" s="15">
        <v>4.2500000000000003E-2</v>
      </c>
      <c r="J1316" s="15">
        <v>5.2070588235294117</v>
      </c>
    </row>
    <row r="1317" spans="1:10" x14ac:dyDescent="0.25">
      <c r="A1317" s="2" t="s">
        <v>3947</v>
      </c>
      <c r="B1317" s="2" t="s">
        <v>3948</v>
      </c>
      <c r="C1317" s="2" t="s">
        <v>3949</v>
      </c>
      <c r="D1317" s="2" t="s">
        <v>10042</v>
      </c>
      <c r="E1317" s="15">
        <v>-4.8500000000000001E-2</v>
      </c>
      <c r="F1317" s="15">
        <v>0.1009</v>
      </c>
      <c r="G1317" s="15">
        <v>0.63090000000000002</v>
      </c>
      <c r="H1317" s="15">
        <v>9.6699999999999994E-2</v>
      </c>
      <c r="I1317" s="15">
        <v>4.1399999999999999E-2</v>
      </c>
      <c r="J1317" s="15">
        <v>2.3357487922705311</v>
      </c>
    </row>
    <row r="1318" spans="1:10" x14ac:dyDescent="0.25">
      <c r="A1318" s="2" t="s">
        <v>3950</v>
      </c>
      <c r="B1318" s="2" t="s">
        <v>3951</v>
      </c>
      <c r="C1318" s="2" t="s">
        <v>3952</v>
      </c>
      <c r="D1318" s="2" t="s">
        <v>10042</v>
      </c>
      <c r="E1318" s="15">
        <v>0.3296</v>
      </c>
      <c r="F1318" s="15">
        <v>0.10390000000000001</v>
      </c>
      <c r="G1318" s="15">
        <v>1.5E-3</v>
      </c>
      <c r="H1318" s="15">
        <v>0.1384</v>
      </c>
      <c r="I1318" s="15">
        <v>3.8800000000000001E-2</v>
      </c>
      <c r="J1318" s="15">
        <v>3.5670103092783498</v>
      </c>
    </row>
    <row r="1319" spans="1:10" x14ac:dyDescent="0.25">
      <c r="A1319" s="2" t="s">
        <v>3953</v>
      </c>
      <c r="B1319" s="2" t="s">
        <v>3954</v>
      </c>
      <c r="C1319" s="2" t="s">
        <v>3955</v>
      </c>
      <c r="D1319" s="2" t="s">
        <v>10042</v>
      </c>
      <c r="E1319" s="15">
        <v>-1.6299999999999999E-2</v>
      </c>
      <c r="F1319" s="15">
        <v>6.7599999999999993E-2</v>
      </c>
      <c r="G1319" s="15">
        <v>0.8095</v>
      </c>
      <c r="H1319" s="15">
        <v>0.21679999999999999</v>
      </c>
      <c r="I1319" s="15">
        <v>4.24E-2</v>
      </c>
      <c r="J1319" s="15">
        <v>5.1132075471698109</v>
      </c>
    </row>
    <row r="1320" spans="1:10" x14ac:dyDescent="0.25">
      <c r="A1320" s="2" t="s">
        <v>3956</v>
      </c>
      <c r="B1320" s="2" t="s">
        <v>3957</v>
      </c>
      <c r="C1320" s="2" t="s">
        <v>3958</v>
      </c>
      <c r="D1320" s="2" t="s">
        <v>10042</v>
      </c>
      <c r="E1320" s="15">
        <v>4.4699999999999997E-2</v>
      </c>
      <c r="F1320" s="15">
        <v>9.0300000000000005E-2</v>
      </c>
      <c r="G1320" s="15">
        <v>0.62019999999999997</v>
      </c>
      <c r="H1320" s="15">
        <v>0.159</v>
      </c>
      <c r="I1320" s="15">
        <v>4.2099999999999999E-2</v>
      </c>
      <c r="J1320" s="15">
        <v>3.7767220902612828</v>
      </c>
    </row>
    <row r="1321" spans="1:10" x14ac:dyDescent="0.25">
      <c r="A1321" s="2" t="s">
        <v>3959</v>
      </c>
      <c r="B1321" s="2" t="s">
        <v>3960</v>
      </c>
      <c r="C1321" s="2" t="s">
        <v>3961</v>
      </c>
      <c r="D1321" s="2" t="s">
        <v>10042</v>
      </c>
      <c r="E1321" s="15">
        <v>0.1517</v>
      </c>
      <c r="F1321" s="15">
        <v>9.2899999999999996E-2</v>
      </c>
      <c r="G1321" s="15">
        <v>0.1023</v>
      </c>
      <c r="H1321" s="15">
        <v>0.1804</v>
      </c>
      <c r="I1321" s="15">
        <v>4.53E-2</v>
      </c>
      <c r="J1321" s="15">
        <v>3.98233995584989</v>
      </c>
    </row>
    <row r="1322" spans="1:10" x14ac:dyDescent="0.25">
      <c r="A1322" s="2" t="s">
        <v>3962</v>
      </c>
      <c r="B1322" s="2" t="s">
        <v>3963</v>
      </c>
      <c r="C1322" s="2" t="s">
        <v>3964</v>
      </c>
      <c r="D1322" s="2" t="s">
        <v>10042</v>
      </c>
      <c r="E1322" s="15">
        <v>0.21479999999999999</v>
      </c>
      <c r="F1322" s="15">
        <v>0.1356</v>
      </c>
      <c r="G1322" s="15">
        <v>0.113</v>
      </c>
      <c r="H1322" s="15">
        <v>7.3899999999999993E-2</v>
      </c>
      <c r="I1322" s="15">
        <v>3.85E-2</v>
      </c>
      <c r="J1322" s="15">
        <v>1.9194805194805189</v>
      </c>
    </row>
    <row r="1323" spans="1:10" x14ac:dyDescent="0.25">
      <c r="A1323" s="2" t="s">
        <v>3965</v>
      </c>
      <c r="B1323" s="2" t="s">
        <v>3966</v>
      </c>
      <c r="C1323" s="2" t="s">
        <v>3967</v>
      </c>
      <c r="D1323" s="2" t="s">
        <v>10042</v>
      </c>
      <c r="E1323" s="15">
        <v>-0.26819999999999999</v>
      </c>
      <c r="F1323" s="15">
        <v>0.1489</v>
      </c>
      <c r="G1323" s="15">
        <v>7.17E-2</v>
      </c>
      <c r="H1323" s="15">
        <v>6.9599999999999995E-2</v>
      </c>
      <c r="I1323" s="15">
        <v>3.7499999999999999E-2</v>
      </c>
      <c r="J1323" s="15">
        <v>1.8560000000000001</v>
      </c>
    </row>
    <row r="1324" spans="1:10" x14ac:dyDescent="0.25">
      <c r="A1324" s="2" t="s">
        <v>3968</v>
      </c>
      <c r="B1324" s="2" t="s">
        <v>3969</v>
      </c>
      <c r="C1324" s="2" t="s">
        <v>3970</v>
      </c>
      <c r="D1324" s="2" t="s">
        <v>10042</v>
      </c>
      <c r="E1324" s="15">
        <v>0.2228</v>
      </c>
      <c r="F1324" s="15">
        <v>9.5399999999999999E-2</v>
      </c>
      <c r="G1324" s="15">
        <v>1.95E-2</v>
      </c>
      <c r="H1324" s="15">
        <v>0.14299999999999999</v>
      </c>
      <c r="I1324" s="15">
        <v>4.5400000000000003E-2</v>
      </c>
      <c r="J1324" s="15">
        <v>3.1497797356828192</v>
      </c>
    </row>
    <row r="1325" spans="1:10" x14ac:dyDescent="0.25">
      <c r="A1325" s="2" t="s">
        <v>3971</v>
      </c>
      <c r="B1325" s="2" t="s">
        <v>3972</v>
      </c>
      <c r="C1325" s="2" t="s">
        <v>3973</v>
      </c>
      <c r="D1325" s="2" t="s">
        <v>10042</v>
      </c>
      <c r="E1325" s="15">
        <v>9.8699999999999996E-2</v>
      </c>
      <c r="F1325" s="15">
        <v>0.1328</v>
      </c>
      <c r="G1325" s="15">
        <v>0.45750000000000002</v>
      </c>
      <c r="H1325" s="15">
        <v>6.7299999999999999E-2</v>
      </c>
      <c r="I1325" s="15">
        <v>3.6900000000000002E-2</v>
      </c>
      <c r="J1325" s="15">
        <v>1.8238482384823851</v>
      </c>
    </row>
    <row r="1326" spans="1:10" x14ac:dyDescent="0.25">
      <c r="A1326" s="2" t="s">
        <v>3974</v>
      </c>
      <c r="B1326" s="2" t="s">
        <v>3975</v>
      </c>
      <c r="C1326" s="2" t="s">
        <v>3976</v>
      </c>
      <c r="D1326" s="2" t="s">
        <v>10042</v>
      </c>
      <c r="E1326" s="15">
        <v>9.4700000000000006E-2</v>
      </c>
      <c r="F1326" s="15">
        <v>7.4700000000000003E-2</v>
      </c>
      <c r="G1326" s="15">
        <v>0.20469999999999999</v>
      </c>
      <c r="H1326" s="15">
        <v>0.20319999999999999</v>
      </c>
      <c r="I1326" s="15">
        <v>4.0800000000000003E-2</v>
      </c>
      <c r="J1326" s="15">
        <v>4.9803921568627443</v>
      </c>
    </row>
    <row r="1327" spans="1:10" x14ac:dyDescent="0.25">
      <c r="A1327" s="2" t="s">
        <v>3977</v>
      </c>
      <c r="B1327" s="2" t="s">
        <v>3978</v>
      </c>
      <c r="C1327" s="2" t="s">
        <v>3979</v>
      </c>
      <c r="D1327" s="2" t="s">
        <v>10042</v>
      </c>
      <c r="E1327" s="15">
        <v>6.5699999999999995E-2</v>
      </c>
      <c r="F1327" s="15">
        <v>7.7799999999999994E-2</v>
      </c>
      <c r="G1327" s="15">
        <v>0.39810000000000001</v>
      </c>
      <c r="H1327" s="15">
        <v>0.2157</v>
      </c>
      <c r="I1327" s="15">
        <v>5.6800000000000003E-2</v>
      </c>
      <c r="J1327" s="15">
        <v>3.797535211267606</v>
      </c>
    </row>
    <row r="1328" spans="1:10" x14ac:dyDescent="0.25">
      <c r="A1328" s="2" t="s">
        <v>3980</v>
      </c>
      <c r="B1328" s="2" t="s">
        <v>3981</v>
      </c>
      <c r="C1328" s="2" t="s">
        <v>3982</v>
      </c>
      <c r="D1328" s="2" t="s">
        <v>10043</v>
      </c>
      <c r="E1328" s="15">
        <v>6.4899999999999999E-2</v>
      </c>
      <c r="F1328" s="15">
        <v>6.4899999999999999E-2</v>
      </c>
      <c r="G1328" s="15">
        <v>0.31730000000000003</v>
      </c>
      <c r="H1328" s="15">
        <v>0.24199999999999999</v>
      </c>
      <c r="I1328" s="15">
        <v>4.2299999999999997E-2</v>
      </c>
      <c r="J1328" s="15">
        <v>5.7210401891252953</v>
      </c>
    </row>
    <row r="1329" spans="1:10" x14ac:dyDescent="0.25">
      <c r="A1329" s="2" t="s">
        <v>3983</v>
      </c>
      <c r="B1329" s="2" t="s">
        <v>3984</v>
      </c>
      <c r="C1329" s="2" t="s">
        <v>3985</v>
      </c>
      <c r="D1329" s="2" t="s">
        <v>10043</v>
      </c>
      <c r="E1329" s="15">
        <v>0.10150000000000001</v>
      </c>
      <c r="F1329" s="15">
        <v>7.5700000000000003E-2</v>
      </c>
      <c r="G1329" s="15">
        <v>0.18010000000000001</v>
      </c>
      <c r="H1329" s="15">
        <v>0.25159999999999999</v>
      </c>
      <c r="I1329" s="15">
        <v>4.3400000000000001E-2</v>
      </c>
      <c r="J1329" s="15">
        <v>5.7972350230414742</v>
      </c>
    </row>
    <row r="1330" spans="1:10" x14ac:dyDescent="0.25">
      <c r="A1330" s="2" t="s">
        <v>3986</v>
      </c>
      <c r="B1330" s="2" t="s">
        <v>3987</v>
      </c>
      <c r="C1330" s="2" t="s">
        <v>3988</v>
      </c>
      <c r="D1330" s="2" t="s">
        <v>10043</v>
      </c>
      <c r="E1330" s="15">
        <v>-0.1333</v>
      </c>
      <c r="F1330" s="15">
        <v>0.17080000000000001</v>
      </c>
      <c r="G1330" s="15">
        <v>0.43540000000000001</v>
      </c>
      <c r="H1330" s="15">
        <v>3.6700000000000003E-2</v>
      </c>
      <c r="I1330" s="15">
        <v>3.7600000000000001E-2</v>
      </c>
      <c r="J1330" s="15">
        <v>0.97606382978723405</v>
      </c>
    </row>
    <row r="1331" spans="1:10" x14ac:dyDescent="0.25">
      <c r="A1331" s="2" t="s">
        <v>3989</v>
      </c>
      <c r="B1331" s="2" t="s">
        <v>3990</v>
      </c>
      <c r="C1331" s="2" t="s">
        <v>3991</v>
      </c>
      <c r="D1331" s="2" t="s">
        <v>10043</v>
      </c>
      <c r="E1331" s="15">
        <v>8.3400000000000002E-2</v>
      </c>
      <c r="F1331" s="15">
        <v>6.3E-2</v>
      </c>
      <c r="G1331" s="15">
        <v>0.18540000000000001</v>
      </c>
      <c r="H1331" s="15">
        <v>0.26329999999999998</v>
      </c>
      <c r="I1331" s="15">
        <v>3.8899999999999997E-2</v>
      </c>
      <c r="J1331" s="15">
        <v>6.7686375321336758</v>
      </c>
    </row>
    <row r="1332" spans="1:10" x14ac:dyDescent="0.25">
      <c r="A1332" s="2" t="s">
        <v>3992</v>
      </c>
      <c r="B1332" s="2" t="s">
        <v>3993</v>
      </c>
      <c r="C1332" s="2" t="s">
        <v>3994</v>
      </c>
      <c r="D1332" s="2" t="s">
        <v>10043</v>
      </c>
      <c r="E1332" s="15">
        <v>2.2599999999999999E-2</v>
      </c>
      <c r="F1332" s="15">
        <v>6.7699999999999996E-2</v>
      </c>
      <c r="G1332" s="15">
        <v>0.7379</v>
      </c>
      <c r="H1332" s="15">
        <v>0.22950000000000001</v>
      </c>
      <c r="I1332" s="15">
        <v>4.4699999999999997E-2</v>
      </c>
      <c r="J1332" s="15">
        <v>5.1342281879194633</v>
      </c>
    </row>
    <row r="1333" spans="1:10" x14ac:dyDescent="0.25">
      <c r="A1333" s="2" t="s">
        <v>3995</v>
      </c>
      <c r="B1333" s="2" t="s">
        <v>3996</v>
      </c>
      <c r="C1333" s="2" t="s">
        <v>3997</v>
      </c>
      <c r="D1333" s="2" t="s">
        <v>10043</v>
      </c>
      <c r="E1333" s="15">
        <v>-6.7000000000000004E-2</v>
      </c>
      <c r="F1333" s="15">
        <v>0.12540000000000001</v>
      </c>
      <c r="G1333" s="15">
        <v>0.59289999999999998</v>
      </c>
      <c r="H1333" s="15">
        <v>7.6300000000000007E-2</v>
      </c>
      <c r="I1333" s="15">
        <v>4.3099999999999999E-2</v>
      </c>
      <c r="J1333" s="15">
        <v>1.770301624129931</v>
      </c>
    </row>
    <row r="1334" spans="1:10" x14ac:dyDescent="0.25">
      <c r="A1334" s="2" t="s">
        <v>3998</v>
      </c>
      <c r="B1334" s="2" t="s">
        <v>3999</v>
      </c>
      <c r="C1334" s="2" t="s">
        <v>4000</v>
      </c>
      <c r="D1334" s="2" t="s">
        <v>10043</v>
      </c>
      <c r="E1334" s="15"/>
      <c r="F1334" s="15"/>
      <c r="G1334" s="15"/>
      <c r="H1334" s="15">
        <v>-1.6000000000000001E-3</v>
      </c>
      <c r="I1334" s="15">
        <v>3.15E-2</v>
      </c>
      <c r="J1334" s="15">
        <v>-5.0793650793650787E-2</v>
      </c>
    </row>
    <row r="1335" spans="1:10" x14ac:dyDescent="0.25">
      <c r="A1335" s="2" t="s">
        <v>4001</v>
      </c>
      <c r="B1335" s="2" t="s">
        <v>4002</v>
      </c>
      <c r="C1335" s="2" t="s">
        <v>4003</v>
      </c>
      <c r="D1335" s="2" t="s">
        <v>10043</v>
      </c>
      <c r="E1335" s="15">
        <v>-2.7799999999999998E-2</v>
      </c>
      <c r="F1335" s="15">
        <v>0.1082</v>
      </c>
      <c r="G1335" s="15">
        <v>0.79730000000000001</v>
      </c>
      <c r="H1335" s="15">
        <v>0.10009999999999999</v>
      </c>
      <c r="I1335" s="15">
        <v>4.1700000000000001E-2</v>
      </c>
      <c r="J1335" s="15">
        <v>2.4004796163069542</v>
      </c>
    </row>
    <row r="1336" spans="1:10" x14ac:dyDescent="0.25">
      <c r="A1336" s="2" t="s">
        <v>4004</v>
      </c>
      <c r="B1336" s="2" t="s">
        <v>4005</v>
      </c>
      <c r="C1336" s="2" t="s">
        <v>4006</v>
      </c>
      <c r="D1336" s="2" t="s">
        <v>10043</v>
      </c>
      <c r="E1336" s="15">
        <v>-3.8600000000000002E-2</v>
      </c>
      <c r="F1336" s="15">
        <v>8.5099999999999995E-2</v>
      </c>
      <c r="G1336" s="15">
        <v>0.65</v>
      </c>
      <c r="H1336" s="15">
        <v>0.15740000000000001</v>
      </c>
      <c r="I1336" s="15">
        <v>4.4699999999999997E-2</v>
      </c>
      <c r="J1336" s="15">
        <v>3.521252796420582</v>
      </c>
    </row>
    <row r="1337" spans="1:10" x14ac:dyDescent="0.25">
      <c r="A1337" s="2" t="s">
        <v>4007</v>
      </c>
      <c r="B1337" s="2" t="s">
        <v>4008</v>
      </c>
      <c r="C1337" s="2" t="s">
        <v>4009</v>
      </c>
      <c r="D1337" s="2" t="s">
        <v>10043</v>
      </c>
      <c r="E1337" s="15">
        <v>-1.4E-2</v>
      </c>
      <c r="F1337" s="15">
        <v>7.5700000000000003E-2</v>
      </c>
      <c r="G1337" s="15">
        <v>0.8528</v>
      </c>
      <c r="H1337" s="15">
        <v>0.2064</v>
      </c>
      <c r="I1337" s="15">
        <v>4.8599999999999997E-2</v>
      </c>
      <c r="J1337" s="15">
        <v>4.2469135802469138</v>
      </c>
    </row>
    <row r="1338" spans="1:10" x14ac:dyDescent="0.25">
      <c r="A1338" s="2" t="s">
        <v>4010</v>
      </c>
      <c r="B1338" s="2" t="s">
        <v>4011</v>
      </c>
      <c r="C1338" s="2" t="s">
        <v>4012</v>
      </c>
      <c r="D1338" s="2" t="s">
        <v>10043</v>
      </c>
      <c r="E1338" s="15">
        <v>-9.9000000000000008E-3</v>
      </c>
      <c r="F1338" s="15">
        <v>8.2000000000000003E-2</v>
      </c>
      <c r="G1338" s="15">
        <v>0.9042</v>
      </c>
      <c r="H1338" s="15">
        <v>0.154</v>
      </c>
      <c r="I1338" s="15">
        <v>3.9699999999999999E-2</v>
      </c>
      <c r="J1338" s="15">
        <v>3.879093198992444</v>
      </c>
    </row>
    <row r="1339" spans="1:10" x14ac:dyDescent="0.25">
      <c r="A1339" s="2" t="s">
        <v>4013</v>
      </c>
      <c r="B1339" s="2" t="s">
        <v>4014</v>
      </c>
      <c r="C1339" s="2" t="s">
        <v>4015</v>
      </c>
      <c r="D1339" s="2" t="s">
        <v>10043</v>
      </c>
      <c r="E1339" s="15">
        <v>8.6499999999999994E-2</v>
      </c>
      <c r="F1339" s="15">
        <v>9.2299999999999993E-2</v>
      </c>
      <c r="G1339" s="15">
        <v>0.34860000000000002</v>
      </c>
      <c r="H1339" s="15">
        <v>0.14829999999999999</v>
      </c>
      <c r="I1339" s="15">
        <v>3.85E-2</v>
      </c>
      <c r="J1339" s="15">
        <v>3.8519480519480518</v>
      </c>
    </row>
    <row r="1340" spans="1:10" x14ac:dyDescent="0.25">
      <c r="A1340" s="2" t="s">
        <v>4016</v>
      </c>
      <c r="B1340" s="2" t="s">
        <v>4017</v>
      </c>
      <c r="C1340" s="2" t="s">
        <v>4018</v>
      </c>
      <c r="D1340" s="2" t="s">
        <v>10043</v>
      </c>
      <c r="E1340" s="15">
        <v>2.2599999999999999E-2</v>
      </c>
      <c r="F1340" s="15">
        <v>7.7299999999999994E-2</v>
      </c>
      <c r="G1340" s="15">
        <v>0.76970000000000005</v>
      </c>
      <c r="H1340" s="15">
        <v>0.2107</v>
      </c>
      <c r="I1340" s="15">
        <v>3.9100000000000003E-2</v>
      </c>
      <c r="J1340" s="15">
        <v>5.3887468030690533</v>
      </c>
    </row>
    <row r="1341" spans="1:10" x14ac:dyDescent="0.25">
      <c r="A1341" s="2" t="s">
        <v>4019</v>
      </c>
      <c r="B1341" s="2" t="s">
        <v>4020</v>
      </c>
      <c r="C1341" s="2" t="s">
        <v>4021</v>
      </c>
      <c r="D1341" s="2" t="s">
        <v>10043</v>
      </c>
      <c r="E1341" s="15">
        <v>2.6499999999999999E-2</v>
      </c>
      <c r="F1341" s="15">
        <v>7.3400000000000007E-2</v>
      </c>
      <c r="G1341" s="15">
        <v>0.71830000000000005</v>
      </c>
      <c r="H1341" s="15">
        <v>0.25840000000000002</v>
      </c>
      <c r="I1341" s="15">
        <v>4.1399999999999999E-2</v>
      </c>
      <c r="J1341" s="15">
        <v>6.2415458937198069</v>
      </c>
    </row>
    <row r="1342" spans="1:10" x14ac:dyDescent="0.25">
      <c r="A1342" s="2" t="s">
        <v>4022</v>
      </c>
      <c r="B1342" s="2" t="s">
        <v>4023</v>
      </c>
      <c r="C1342" s="2" t="s">
        <v>4024</v>
      </c>
      <c r="D1342" s="2" t="s">
        <v>10043</v>
      </c>
      <c r="E1342" s="15">
        <v>6.3799999999999996E-2</v>
      </c>
      <c r="F1342" s="15">
        <v>0.11700000000000001</v>
      </c>
      <c r="G1342" s="15">
        <v>0.5857</v>
      </c>
      <c r="H1342" s="15">
        <v>8.5400000000000004E-2</v>
      </c>
      <c r="I1342" s="15">
        <v>3.6299999999999999E-2</v>
      </c>
      <c r="J1342" s="15">
        <v>2.3526170798898072</v>
      </c>
    </row>
    <row r="1343" spans="1:10" x14ac:dyDescent="0.25">
      <c r="A1343" s="2" t="s">
        <v>4025</v>
      </c>
      <c r="B1343" s="2" t="s">
        <v>4026</v>
      </c>
      <c r="C1343" s="2" t="s">
        <v>4027</v>
      </c>
      <c r="D1343" s="2" t="s">
        <v>10043</v>
      </c>
      <c r="E1343" s="15">
        <v>6.3899999999999998E-2</v>
      </c>
      <c r="F1343" s="15">
        <v>9.9000000000000005E-2</v>
      </c>
      <c r="G1343" s="15">
        <v>0.51839999999999997</v>
      </c>
      <c r="H1343" s="15">
        <v>0.1096</v>
      </c>
      <c r="I1343" s="15">
        <v>4.1500000000000002E-2</v>
      </c>
      <c r="J1343" s="15">
        <v>2.640963855421687</v>
      </c>
    </row>
    <row r="1344" spans="1:10" x14ac:dyDescent="0.25">
      <c r="A1344" s="2" t="s">
        <v>4028</v>
      </c>
      <c r="B1344" s="2" t="s">
        <v>4029</v>
      </c>
      <c r="C1344" s="2" t="s">
        <v>4030</v>
      </c>
      <c r="D1344" s="2" t="s">
        <v>10043</v>
      </c>
      <c r="E1344" s="15">
        <v>7.1999999999999995E-2</v>
      </c>
      <c r="F1344" s="15">
        <v>7.7100000000000002E-2</v>
      </c>
      <c r="G1344" s="15">
        <v>0.35070000000000001</v>
      </c>
      <c r="H1344" s="15">
        <v>0.18990000000000001</v>
      </c>
      <c r="I1344" s="15">
        <v>4.7300000000000002E-2</v>
      </c>
      <c r="J1344" s="15">
        <v>4.014799154334038</v>
      </c>
    </row>
    <row r="1345" spans="1:10" x14ac:dyDescent="0.25">
      <c r="A1345" s="2" t="s">
        <v>4031</v>
      </c>
      <c r="B1345" s="2" t="s">
        <v>4032</v>
      </c>
      <c r="C1345" s="2" t="s">
        <v>4033</v>
      </c>
      <c r="D1345" s="2" t="s">
        <v>10043</v>
      </c>
      <c r="E1345" s="15">
        <v>0.11310000000000001</v>
      </c>
      <c r="F1345" s="15">
        <v>6.93E-2</v>
      </c>
      <c r="G1345" s="15">
        <v>0.1028</v>
      </c>
      <c r="H1345" s="15">
        <v>0.27660000000000001</v>
      </c>
      <c r="I1345" s="15">
        <v>4.4600000000000001E-2</v>
      </c>
      <c r="J1345" s="15">
        <v>6.2017937219730941</v>
      </c>
    </row>
    <row r="1346" spans="1:10" x14ac:dyDescent="0.25">
      <c r="A1346" s="2" t="s">
        <v>4034</v>
      </c>
      <c r="B1346" s="2" t="s">
        <v>4035</v>
      </c>
      <c r="C1346" s="2" t="s">
        <v>4036</v>
      </c>
      <c r="D1346" s="2" t="s">
        <v>10043</v>
      </c>
      <c r="E1346" s="15">
        <v>0.1056</v>
      </c>
      <c r="F1346" s="15">
        <v>7.2300000000000003E-2</v>
      </c>
      <c r="G1346" s="15">
        <v>0.14419999999999999</v>
      </c>
      <c r="H1346" s="15">
        <v>0.26800000000000002</v>
      </c>
      <c r="I1346" s="15">
        <v>4.1799999999999997E-2</v>
      </c>
      <c r="J1346" s="15">
        <v>6.4114832535885178</v>
      </c>
    </row>
    <row r="1347" spans="1:10" x14ac:dyDescent="0.25">
      <c r="A1347" s="2" t="s">
        <v>4037</v>
      </c>
      <c r="B1347" s="2" t="s">
        <v>4038</v>
      </c>
      <c r="C1347" s="2" t="s">
        <v>4039</v>
      </c>
      <c r="D1347" s="2" t="s">
        <v>10043</v>
      </c>
      <c r="E1347" s="15">
        <v>0.1138</v>
      </c>
      <c r="F1347" s="15">
        <v>6.8599999999999994E-2</v>
      </c>
      <c r="G1347" s="15">
        <v>9.7000000000000003E-2</v>
      </c>
      <c r="H1347" s="15">
        <v>0.26879999999999998</v>
      </c>
      <c r="I1347" s="15">
        <v>4.3099999999999999E-2</v>
      </c>
      <c r="J1347" s="15">
        <v>6.2366589327146169</v>
      </c>
    </row>
    <row r="1348" spans="1:10" x14ac:dyDescent="0.25">
      <c r="A1348" s="2" t="s">
        <v>4040</v>
      </c>
      <c r="B1348" s="2" t="s">
        <v>4041</v>
      </c>
      <c r="C1348" s="2" t="s">
        <v>4042</v>
      </c>
      <c r="D1348" s="2" t="s">
        <v>10043</v>
      </c>
      <c r="E1348" s="15">
        <v>0.13950000000000001</v>
      </c>
      <c r="F1348" s="15">
        <v>7.9299999999999995E-2</v>
      </c>
      <c r="G1348" s="15">
        <v>7.8600000000000003E-2</v>
      </c>
      <c r="H1348" s="15">
        <v>0.2278</v>
      </c>
      <c r="I1348" s="15">
        <v>4.5499999999999999E-2</v>
      </c>
      <c r="J1348" s="15">
        <v>5.0065934065934066</v>
      </c>
    </row>
    <row r="1349" spans="1:10" x14ac:dyDescent="0.25">
      <c r="A1349" s="2" t="s">
        <v>4043</v>
      </c>
      <c r="B1349" s="2" t="s">
        <v>4044</v>
      </c>
      <c r="C1349" s="2" t="s">
        <v>4045</v>
      </c>
      <c r="D1349" s="2" t="s">
        <v>10043</v>
      </c>
      <c r="E1349" s="15">
        <v>0.15</v>
      </c>
      <c r="F1349" s="15">
        <v>7.9100000000000004E-2</v>
      </c>
      <c r="G1349" s="15">
        <v>5.8000000000000003E-2</v>
      </c>
      <c r="H1349" s="15">
        <v>0.17899999999999999</v>
      </c>
      <c r="I1349" s="15">
        <v>4.1200000000000001E-2</v>
      </c>
      <c r="J1349" s="15">
        <v>4.3446601941747574</v>
      </c>
    </row>
    <row r="1350" spans="1:10" x14ac:dyDescent="0.25">
      <c r="A1350" s="2" t="s">
        <v>4046</v>
      </c>
      <c r="B1350" s="2" t="s">
        <v>4047</v>
      </c>
      <c r="C1350" s="2" t="s">
        <v>4048</v>
      </c>
      <c r="D1350" s="2" t="s">
        <v>10043</v>
      </c>
      <c r="E1350" s="15">
        <v>0.27089999999999997</v>
      </c>
      <c r="F1350" s="15">
        <v>0.1249</v>
      </c>
      <c r="G1350" s="15">
        <v>3.0099999999999998E-2</v>
      </c>
      <c r="H1350" s="15">
        <v>8.9800000000000005E-2</v>
      </c>
      <c r="I1350" s="15">
        <v>3.9600000000000003E-2</v>
      </c>
      <c r="J1350" s="15">
        <v>2.2676767676767682</v>
      </c>
    </row>
    <row r="1351" spans="1:10" x14ac:dyDescent="0.25">
      <c r="A1351" s="2" t="s">
        <v>4049</v>
      </c>
      <c r="B1351" s="2" t="s">
        <v>4050</v>
      </c>
      <c r="C1351" s="2" t="s">
        <v>4051</v>
      </c>
      <c r="D1351" s="2" t="s">
        <v>10043</v>
      </c>
      <c r="E1351" s="15">
        <v>0.1046</v>
      </c>
      <c r="F1351" s="15">
        <v>6.2600000000000003E-2</v>
      </c>
      <c r="G1351" s="15">
        <v>9.4899999999999998E-2</v>
      </c>
      <c r="H1351" s="15">
        <v>0.27179999999999999</v>
      </c>
      <c r="I1351" s="15">
        <v>4.8000000000000001E-2</v>
      </c>
      <c r="J1351" s="15">
        <v>5.6624999999999996</v>
      </c>
    </row>
    <row r="1352" spans="1:10" x14ac:dyDescent="0.25">
      <c r="A1352" s="2" t="s">
        <v>4052</v>
      </c>
      <c r="B1352" s="2" t="s">
        <v>4053</v>
      </c>
      <c r="C1352" s="2" t="s">
        <v>4054</v>
      </c>
      <c r="D1352" s="2" t="s">
        <v>10043</v>
      </c>
      <c r="E1352" s="15">
        <v>0.15709999999999999</v>
      </c>
      <c r="F1352" s="15">
        <v>0.1009</v>
      </c>
      <c r="G1352" s="15">
        <v>0.1196</v>
      </c>
      <c r="H1352" s="15">
        <v>9.8299999999999998E-2</v>
      </c>
      <c r="I1352" s="15">
        <v>3.5700000000000003E-2</v>
      </c>
      <c r="J1352" s="15">
        <v>2.7535014005602241</v>
      </c>
    </row>
    <row r="1353" spans="1:10" x14ac:dyDescent="0.25">
      <c r="A1353" s="2" t="s">
        <v>4055</v>
      </c>
      <c r="B1353" s="2" t="s">
        <v>4056</v>
      </c>
      <c r="C1353" s="2" t="s">
        <v>4057</v>
      </c>
      <c r="D1353" s="2" t="s">
        <v>10043</v>
      </c>
      <c r="E1353" s="15">
        <v>0.15890000000000001</v>
      </c>
      <c r="F1353" s="15">
        <v>0.33629999999999999</v>
      </c>
      <c r="G1353" s="15">
        <v>0.63649999999999995</v>
      </c>
      <c r="H1353" s="15">
        <v>1.6299999999999999E-2</v>
      </c>
      <c r="I1353" s="15">
        <v>3.7199999999999997E-2</v>
      </c>
      <c r="J1353" s="15">
        <v>0.43817204301075269</v>
      </c>
    </row>
    <row r="1354" spans="1:10" x14ac:dyDescent="0.25">
      <c r="A1354" s="2" t="s">
        <v>4058</v>
      </c>
      <c r="B1354" s="2" t="s">
        <v>4059</v>
      </c>
      <c r="C1354" s="2" t="s">
        <v>4060</v>
      </c>
      <c r="D1354" s="2" t="s">
        <v>10043</v>
      </c>
      <c r="E1354" s="15">
        <v>7.1099999999999997E-2</v>
      </c>
      <c r="F1354" s="15">
        <v>8.1699999999999995E-2</v>
      </c>
      <c r="G1354" s="15">
        <v>0.38429999999999997</v>
      </c>
      <c r="H1354" s="15">
        <v>0.19040000000000001</v>
      </c>
      <c r="I1354" s="15">
        <v>4.6699999999999998E-2</v>
      </c>
      <c r="J1354" s="15">
        <v>4.0770877944325488</v>
      </c>
    </row>
    <row r="1355" spans="1:10" x14ac:dyDescent="0.25">
      <c r="A1355" s="2" t="s">
        <v>4061</v>
      </c>
      <c r="B1355" s="2" t="s">
        <v>4062</v>
      </c>
      <c r="C1355" s="2" t="s">
        <v>4063</v>
      </c>
      <c r="D1355" s="2" t="s">
        <v>10043</v>
      </c>
      <c r="E1355" s="15">
        <v>3.9300000000000002E-2</v>
      </c>
      <c r="F1355" s="15">
        <v>7.4499999999999997E-2</v>
      </c>
      <c r="G1355" s="15">
        <v>0.59770000000000001</v>
      </c>
      <c r="H1355" s="15">
        <v>0.25540000000000002</v>
      </c>
      <c r="I1355" s="15">
        <v>4.2099999999999999E-2</v>
      </c>
      <c r="J1355" s="15">
        <v>6.0665083135391926</v>
      </c>
    </row>
    <row r="1356" spans="1:10" x14ac:dyDescent="0.25">
      <c r="A1356" s="2" t="s">
        <v>4064</v>
      </c>
      <c r="B1356" s="2" t="s">
        <v>4065</v>
      </c>
      <c r="C1356" s="2" t="s">
        <v>4066</v>
      </c>
      <c r="D1356" s="2" t="s">
        <v>10043</v>
      </c>
      <c r="E1356" s="15">
        <v>0.10879999999999999</v>
      </c>
      <c r="F1356" s="15">
        <v>7.6799999999999993E-2</v>
      </c>
      <c r="G1356" s="15">
        <v>0.1565</v>
      </c>
      <c r="H1356" s="15">
        <v>0.1532</v>
      </c>
      <c r="I1356" s="15">
        <v>4.36E-2</v>
      </c>
      <c r="J1356" s="15">
        <v>3.5137614678899078</v>
      </c>
    </row>
    <row r="1357" spans="1:10" x14ac:dyDescent="0.25">
      <c r="A1357" s="2" t="s">
        <v>4067</v>
      </c>
      <c r="B1357" s="2" t="s">
        <v>4068</v>
      </c>
      <c r="C1357" s="2" t="s">
        <v>4069</v>
      </c>
      <c r="D1357" s="2" t="s">
        <v>10043</v>
      </c>
      <c r="E1357" s="15">
        <v>-8.8800000000000004E-2</v>
      </c>
      <c r="F1357" s="15">
        <v>0.1077</v>
      </c>
      <c r="G1357" s="15">
        <v>0.4098</v>
      </c>
      <c r="H1357" s="15">
        <v>7.2999999999999995E-2</v>
      </c>
      <c r="I1357" s="15">
        <v>3.6900000000000002E-2</v>
      </c>
      <c r="J1357" s="15">
        <v>1.9783197831978321</v>
      </c>
    </row>
    <row r="1358" spans="1:10" x14ac:dyDescent="0.25">
      <c r="A1358" s="2" t="s">
        <v>4070</v>
      </c>
      <c r="B1358" s="2" t="s">
        <v>4071</v>
      </c>
      <c r="C1358" s="2" t="s">
        <v>4072</v>
      </c>
      <c r="D1358" s="2" t="s">
        <v>10043</v>
      </c>
      <c r="E1358" s="15">
        <v>2.7900000000000001E-2</v>
      </c>
      <c r="F1358" s="15">
        <v>6.7900000000000002E-2</v>
      </c>
      <c r="G1358" s="15">
        <v>0.68120000000000003</v>
      </c>
      <c r="H1358" s="15">
        <v>0.21779999999999999</v>
      </c>
      <c r="I1358" s="15">
        <v>4.5199999999999997E-2</v>
      </c>
      <c r="J1358" s="15">
        <v>4.8185840707964607</v>
      </c>
    </row>
    <row r="1359" spans="1:10" x14ac:dyDescent="0.25">
      <c r="A1359" s="2" t="s">
        <v>4073</v>
      </c>
      <c r="B1359" s="2" t="s">
        <v>4074</v>
      </c>
      <c r="C1359" s="2" t="s">
        <v>4075</v>
      </c>
      <c r="D1359" s="2" t="s">
        <v>10043</v>
      </c>
      <c r="E1359" s="15">
        <v>9.3100000000000002E-2</v>
      </c>
      <c r="F1359" s="15">
        <v>6.6900000000000001E-2</v>
      </c>
      <c r="G1359" s="15">
        <v>0.1643</v>
      </c>
      <c r="H1359" s="15">
        <v>0.30980000000000002</v>
      </c>
      <c r="I1359" s="15">
        <v>4.4999999999999998E-2</v>
      </c>
      <c r="J1359" s="15">
        <v>6.884444444444445</v>
      </c>
    </row>
    <row r="1360" spans="1:10" x14ac:dyDescent="0.25">
      <c r="A1360" s="2" t="s">
        <v>4076</v>
      </c>
      <c r="B1360" s="2" t="s">
        <v>4077</v>
      </c>
      <c r="C1360" s="2" t="s">
        <v>4078</v>
      </c>
      <c r="D1360" s="2" t="s">
        <v>10043</v>
      </c>
      <c r="E1360" s="15">
        <v>0.10970000000000001</v>
      </c>
      <c r="F1360" s="15">
        <v>6.5100000000000005E-2</v>
      </c>
      <c r="G1360" s="15">
        <v>9.2100000000000001E-2</v>
      </c>
      <c r="H1360" s="15">
        <v>0.28939999999999999</v>
      </c>
      <c r="I1360" s="15">
        <v>4.6899999999999997E-2</v>
      </c>
      <c r="J1360" s="15">
        <v>6.1705756929637534</v>
      </c>
    </row>
    <row r="1361" spans="1:10" x14ac:dyDescent="0.25">
      <c r="A1361" s="2" t="s">
        <v>4079</v>
      </c>
      <c r="B1361" s="2" t="s">
        <v>4080</v>
      </c>
      <c r="C1361" s="2" t="s">
        <v>4081</v>
      </c>
      <c r="D1361" s="2" t="s">
        <v>10043</v>
      </c>
      <c r="E1361" s="15">
        <v>7.7100000000000002E-2</v>
      </c>
      <c r="F1361" s="15">
        <v>6.5699999999999995E-2</v>
      </c>
      <c r="G1361" s="15">
        <v>0.2402</v>
      </c>
      <c r="H1361" s="15">
        <v>0.29089999999999999</v>
      </c>
      <c r="I1361" s="15">
        <v>5.1999999999999998E-2</v>
      </c>
      <c r="J1361" s="15">
        <v>5.5942307692307693</v>
      </c>
    </row>
    <row r="1362" spans="1:10" x14ac:dyDescent="0.25">
      <c r="A1362" s="2" t="s">
        <v>4082</v>
      </c>
      <c r="B1362" s="2" t="s">
        <v>4083</v>
      </c>
      <c r="C1362" s="2" t="s">
        <v>4084</v>
      </c>
      <c r="D1362" s="2" t="s">
        <v>10043</v>
      </c>
      <c r="E1362" s="15">
        <v>0.10920000000000001</v>
      </c>
      <c r="F1362" s="15">
        <v>7.0900000000000005E-2</v>
      </c>
      <c r="G1362" s="15">
        <v>0.1235</v>
      </c>
      <c r="H1362" s="15">
        <v>0.29680000000000001</v>
      </c>
      <c r="I1362" s="15">
        <v>5.3499999999999999E-2</v>
      </c>
      <c r="J1362" s="15">
        <v>5.5476635514018691</v>
      </c>
    </row>
    <row r="1363" spans="1:10" x14ac:dyDescent="0.25">
      <c r="A1363" s="2" t="s">
        <v>4085</v>
      </c>
      <c r="B1363" s="2" t="s">
        <v>4086</v>
      </c>
      <c r="C1363" s="2" t="s">
        <v>4087</v>
      </c>
      <c r="D1363" s="2" t="s">
        <v>10043</v>
      </c>
      <c r="E1363" s="15">
        <v>0.10349999999999999</v>
      </c>
      <c r="F1363" s="15">
        <v>6.7799999999999999E-2</v>
      </c>
      <c r="G1363" s="15">
        <v>0.12670000000000001</v>
      </c>
      <c r="H1363" s="15">
        <v>0.2555</v>
      </c>
      <c r="I1363" s="15">
        <v>4.2700000000000002E-2</v>
      </c>
      <c r="J1363" s="15">
        <v>5.9836065573770494</v>
      </c>
    </row>
    <row r="1364" spans="1:10" x14ac:dyDescent="0.25">
      <c r="A1364" s="2" t="s">
        <v>4088</v>
      </c>
      <c r="B1364" s="2" t="s">
        <v>4089</v>
      </c>
      <c r="C1364" s="2" t="s">
        <v>4090</v>
      </c>
      <c r="D1364" s="2" t="s">
        <v>10043</v>
      </c>
      <c r="E1364" s="15">
        <v>0.18509999999999999</v>
      </c>
      <c r="F1364" s="15">
        <v>8.2299999999999998E-2</v>
      </c>
      <c r="G1364" s="15">
        <v>2.4500000000000001E-2</v>
      </c>
      <c r="H1364" s="15">
        <v>0.1759</v>
      </c>
      <c r="I1364" s="15">
        <v>4.7300000000000002E-2</v>
      </c>
      <c r="J1364" s="15">
        <v>3.7188160676532771</v>
      </c>
    </row>
    <row r="1365" spans="1:10" x14ac:dyDescent="0.25">
      <c r="A1365" s="2" t="s">
        <v>4091</v>
      </c>
      <c r="B1365" s="2" t="s">
        <v>4092</v>
      </c>
      <c r="C1365" s="2" t="s">
        <v>4093</v>
      </c>
      <c r="D1365" s="2" t="s">
        <v>10043</v>
      </c>
      <c r="E1365" s="15">
        <v>6.9699999999999998E-2</v>
      </c>
      <c r="F1365" s="15">
        <v>6.0100000000000001E-2</v>
      </c>
      <c r="G1365" s="15">
        <v>0.24560000000000001</v>
      </c>
      <c r="H1365" s="15">
        <v>0.30609999999999998</v>
      </c>
      <c r="I1365" s="15">
        <v>5.8000000000000003E-2</v>
      </c>
      <c r="J1365" s="15">
        <v>5.2775862068965509</v>
      </c>
    </row>
    <row r="1366" spans="1:10" x14ac:dyDescent="0.25">
      <c r="A1366" s="2" t="s">
        <v>4094</v>
      </c>
      <c r="B1366" s="2" t="s">
        <v>4095</v>
      </c>
      <c r="C1366" s="2" t="s">
        <v>4096</v>
      </c>
      <c r="D1366" s="2" t="s">
        <v>10043</v>
      </c>
      <c r="E1366" s="15">
        <v>0.1215</v>
      </c>
      <c r="F1366" s="15">
        <v>9.6600000000000005E-2</v>
      </c>
      <c r="G1366" s="15">
        <v>0.2082</v>
      </c>
      <c r="H1366" s="15">
        <v>0.1139</v>
      </c>
      <c r="I1366" s="15">
        <v>3.7699999999999997E-2</v>
      </c>
      <c r="J1366" s="15">
        <v>3.021220159151194</v>
      </c>
    </row>
    <row r="1367" spans="1:10" x14ac:dyDescent="0.25">
      <c r="A1367" s="2" t="s">
        <v>4097</v>
      </c>
      <c r="B1367" s="2" t="s">
        <v>4098</v>
      </c>
      <c r="C1367" s="2" t="s">
        <v>4099</v>
      </c>
      <c r="D1367" s="2" t="s">
        <v>10043</v>
      </c>
      <c r="E1367" s="15">
        <v>0.2636</v>
      </c>
      <c r="F1367" s="15">
        <v>0.1069</v>
      </c>
      <c r="G1367" s="15">
        <v>1.3599999999999999E-2</v>
      </c>
      <c r="H1367" s="15">
        <v>0.1182</v>
      </c>
      <c r="I1367" s="15">
        <v>4.1599999999999998E-2</v>
      </c>
      <c r="J1367" s="15">
        <v>2.8413461538461542</v>
      </c>
    </row>
    <row r="1368" spans="1:10" x14ac:dyDescent="0.25">
      <c r="A1368" s="2" t="s">
        <v>4100</v>
      </c>
      <c r="B1368" s="2" t="s">
        <v>4101</v>
      </c>
      <c r="C1368" s="2" t="s">
        <v>4102</v>
      </c>
      <c r="D1368" s="2" t="s">
        <v>10043</v>
      </c>
      <c r="E1368" s="15">
        <v>7.9100000000000004E-2</v>
      </c>
      <c r="F1368" s="15">
        <v>8.5000000000000006E-2</v>
      </c>
      <c r="G1368" s="15">
        <v>0.3518</v>
      </c>
      <c r="H1368" s="15">
        <v>0.19900000000000001</v>
      </c>
      <c r="I1368" s="15">
        <v>4.8099999999999997E-2</v>
      </c>
      <c r="J1368" s="15">
        <v>4.137214137214138</v>
      </c>
    </row>
    <row r="1369" spans="1:10" x14ac:dyDescent="0.25">
      <c r="A1369" s="2" t="s">
        <v>4103</v>
      </c>
      <c r="B1369" s="2" t="s">
        <v>4104</v>
      </c>
      <c r="C1369" s="2" t="s">
        <v>4105</v>
      </c>
      <c r="D1369" s="2" t="s">
        <v>10044</v>
      </c>
      <c r="E1369" s="15">
        <v>-2.0400000000000001E-2</v>
      </c>
      <c r="F1369" s="15">
        <v>0.1197</v>
      </c>
      <c r="G1369" s="15">
        <v>0.86460000000000004</v>
      </c>
      <c r="H1369" s="15">
        <v>7.9799999999999996E-2</v>
      </c>
      <c r="I1369" s="15">
        <v>3.7499999999999999E-2</v>
      </c>
      <c r="J1369" s="15">
        <v>2.1280000000000001</v>
      </c>
    </row>
    <row r="1370" spans="1:10" x14ac:dyDescent="0.25">
      <c r="A1370" s="2" t="s">
        <v>4106</v>
      </c>
      <c r="B1370" s="2" t="s">
        <v>4107</v>
      </c>
      <c r="C1370" s="2" t="s">
        <v>4108</v>
      </c>
      <c r="D1370" s="2" t="s">
        <v>10044</v>
      </c>
      <c r="E1370" s="15">
        <v>3.44E-2</v>
      </c>
      <c r="F1370" s="15">
        <v>5.9700000000000003E-2</v>
      </c>
      <c r="G1370" s="15">
        <v>0.56379999999999997</v>
      </c>
      <c r="H1370" s="15">
        <v>0.34029999999999999</v>
      </c>
      <c r="I1370" s="15">
        <v>6.3899999999999998E-2</v>
      </c>
      <c r="J1370" s="15">
        <v>5.3255086071987483</v>
      </c>
    </row>
    <row r="1371" spans="1:10" x14ac:dyDescent="0.25">
      <c r="A1371" s="2" t="s">
        <v>4109</v>
      </c>
      <c r="B1371" s="2" t="s">
        <v>4110</v>
      </c>
      <c r="C1371" s="2" t="s">
        <v>4111</v>
      </c>
      <c r="D1371" s="2" t="s">
        <v>10044</v>
      </c>
      <c r="E1371" s="15">
        <v>1.41E-2</v>
      </c>
      <c r="F1371" s="15">
        <v>7.9600000000000004E-2</v>
      </c>
      <c r="G1371" s="15">
        <v>0.85940000000000005</v>
      </c>
      <c r="H1371" s="15">
        <v>0.1638</v>
      </c>
      <c r="I1371" s="15">
        <v>4.5999999999999999E-2</v>
      </c>
      <c r="J1371" s="15">
        <v>3.560869565217391</v>
      </c>
    </row>
    <row r="1372" spans="1:10" x14ac:dyDescent="0.25">
      <c r="A1372" s="2" t="s">
        <v>4112</v>
      </c>
      <c r="B1372" s="2" t="s">
        <v>4113</v>
      </c>
      <c r="C1372" s="2" t="s">
        <v>4114</v>
      </c>
      <c r="D1372" s="2" t="s">
        <v>10044</v>
      </c>
      <c r="E1372" s="15">
        <v>-5.57E-2</v>
      </c>
      <c r="F1372" s="15">
        <v>5.91E-2</v>
      </c>
      <c r="G1372" s="15">
        <v>0.3458</v>
      </c>
      <c r="H1372" s="15">
        <v>0.30840000000000001</v>
      </c>
      <c r="I1372" s="15">
        <v>4.9700000000000001E-2</v>
      </c>
      <c r="J1372" s="15">
        <v>6.2052313883299801</v>
      </c>
    </row>
    <row r="1373" spans="1:10" x14ac:dyDescent="0.25">
      <c r="A1373" s="2" t="s">
        <v>4115</v>
      </c>
      <c r="B1373" s="2" t="s">
        <v>4116</v>
      </c>
      <c r="C1373" s="2" t="s">
        <v>4117</v>
      </c>
      <c r="D1373" s="2" t="s">
        <v>10044</v>
      </c>
      <c r="E1373" s="15">
        <v>-3.9899999999999998E-2</v>
      </c>
      <c r="F1373" s="15">
        <v>5.8500000000000003E-2</v>
      </c>
      <c r="G1373" s="15">
        <v>0.49509999999999998</v>
      </c>
      <c r="H1373" s="15">
        <v>0.4138</v>
      </c>
      <c r="I1373" s="15">
        <v>7.7200000000000005E-2</v>
      </c>
      <c r="J1373" s="15">
        <v>5.3601036269430047</v>
      </c>
    </row>
    <row r="1374" spans="1:10" x14ac:dyDescent="0.25">
      <c r="A1374" s="2" t="s">
        <v>4118</v>
      </c>
      <c r="B1374" s="2" t="s">
        <v>4119</v>
      </c>
      <c r="C1374" s="2" t="s">
        <v>4120</v>
      </c>
      <c r="D1374" s="2" t="s">
        <v>10044</v>
      </c>
      <c r="E1374" s="15">
        <v>1.1599999999999999E-2</v>
      </c>
      <c r="F1374" s="15">
        <v>8.4400000000000003E-2</v>
      </c>
      <c r="G1374" s="15">
        <v>0.89049999999999996</v>
      </c>
      <c r="H1374" s="15">
        <v>0.18740000000000001</v>
      </c>
      <c r="I1374" s="15">
        <v>0.05</v>
      </c>
      <c r="J1374" s="15">
        <v>3.7480000000000002</v>
      </c>
    </row>
    <row r="1375" spans="1:10" x14ac:dyDescent="0.25">
      <c r="A1375" s="2" t="s">
        <v>4121</v>
      </c>
      <c r="B1375" s="2" t="s">
        <v>4122</v>
      </c>
      <c r="C1375" s="2" t="s">
        <v>4123</v>
      </c>
      <c r="D1375" s="2" t="s">
        <v>10044</v>
      </c>
      <c r="E1375" s="15">
        <v>-5.6500000000000002E-2</v>
      </c>
      <c r="F1375" s="15">
        <v>5.5599999999999997E-2</v>
      </c>
      <c r="G1375" s="15">
        <v>0.30909999999999999</v>
      </c>
      <c r="H1375" s="15">
        <v>0.39639999999999997</v>
      </c>
      <c r="I1375" s="15">
        <v>6.0499999999999998E-2</v>
      </c>
      <c r="J1375" s="15">
        <v>6.5520661157024804</v>
      </c>
    </row>
    <row r="1376" spans="1:10" x14ac:dyDescent="0.25">
      <c r="A1376" s="2" t="s">
        <v>4124</v>
      </c>
      <c r="B1376" s="2" t="s">
        <v>4125</v>
      </c>
      <c r="C1376" s="2" t="s">
        <v>4126</v>
      </c>
      <c r="D1376" s="2" t="s">
        <v>10044</v>
      </c>
      <c r="E1376" s="15">
        <v>1.44E-2</v>
      </c>
      <c r="F1376" s="15">
        <v>5.6300000000000003E-2</v>
      </c>
      <c r="G1376" s="15">
        <v>0.79779999999999995</v>
      </c>
      <c r="H1376" s="15">
        <v>0.37919999999999998</v>
      </c>
      <c r="I1376" s="15">
        <v>6.2300000000000001E-2</v>
      </c>
      <c r="J1376" s="15">
        <v>6.086677367576244</v>
      </c>
    </row>
    <row r="1377" spans="1:10" x14ac:dyDescent="0.25">
      <c r="A1377" s="2" t="s">
        <v>4127</v>
      </c>
      <c r="B1377" s="2" t="s">
        <v>4128</v>
      </c>
      <c r="C1377" s="2" t="s">
        <v>4129</v>
      </c>
      <c r="D1377" s="2" t="s">
        <v>10044</v>
      </c>
      <c r="E1377" s="15">
        <v>-3.3099999999999997E-2</v>
      </c>
      <c r="F1377" s="15">
        <v>5.8200000000000002E-2</v>
      </c>
      <c r="G1377" s="15">
        <v>0.57020000000000004</v>
      </c>
      <c r="H1377" s="15">
        <v>0.33329999999999999</v>
      </c>
      <c r="I1377" s="15">
        <v>5.74E-2</v>
      </c>
      <c r="J1377" s="15">
        <v>5.8066202090592336</v>
      </c>
    </row>
    <row r="1378" spans="1:10" x14ac:dyDescent="0.25">
      <c r="A1378" s="2" t="s">
        <v>4130</v>
      </c>
      <c r="B1378" s="2" t="s">
        <v>4131</v>
      </c>
      <c r="C1378" s="2" t="s">
        <v>4132</v>
      </c>
      <c r="D1378" s="2" t="s">
        <v>10044</v>
      </c>
      <c r="E1378" s="15">
        <v>-5.5599999999999997E-2</v>
      </c>
      <c r="F1378" s="15">
        <v>6.0600000000000001E-2</v>
      </c>
      <c r="G1378" s="15">
        <v>0.35899999999999999</v>
      </c>
      <c r="H1378" s="15">
        <v>0.35189999999999999</v>
      </c>
      <c r="I1378" s="15">
        <v>6.3299999999999995E-2</v>
      </c>
      <c r="J1378" s="15">
        <v>5.5592417061611377</v>
      </c>
    </row>
    <row r="1379" spans="1:10" x14ac:dyDescent="0.25">
      <c r="A1379" s="2" t="s">
        <v>4133</v>
      </c>
      <c r="B1379" s="2" t="s">
        <v>4134</v>
      </c>
      <c r="C1379" s="2" t="s">
        <v>4135</v>
      </c>
      <c r="D1379" s="2" t="s">
        <v>10044</v>
      </c>
      <c r="E1379" s="15">
        <v>-4.3299999999999998E-2</v>
      </c>
      <c r="F1379" s="15">
        <v>5.6899999999999999E-2</v>
      </c>
      <c r="G1379" s="15">
        <v>0.4471</v>
      </c>
      <c r="H1379" s="15">
        <v>0.40970000000000001</v>
      </c>
      <c r="I1379" s="15">
        <v>6.3200000000000006E-2</v>
      </c>
      <c r="J1379" s="15">
        <v>6.4825949367088596</v>
      </c>
    </row>
    <row r="1380" spans="1:10" x14ac:dyDescent="0.25">
      <c r="A1380" s="2" t="s">
        <v>4136</v>
      </c>
      <c r="B1380" s="2" t="s">
        <v>4137</v>
      </c>
      <c r="C1380" s="2" t="s">
        <v>4138</v>
      </c>
      <c r="D1380" s="2" t="s">
        <v>10044</v>
      </c>
      <c r="E1380" s="15">
        <v>-2.3599999999999999E-2</v>
      </c>
      <c r="F1380" s="15">
        <v>5.7200000000000001E-2</v>
      </c>
      <c r="G1380" s="15">
        <v>0.68020000000000003</v>
      </c>
      <c r="H1380" s="15">
        <v>0.36120000000000002</v>
      </c>
      <c r="I1380" s="15">
        <v>6.1400000000000003E-2</v>
      </c>
      <c r="J1380" s="15">
        <v>5.8827361563517906</v>
      </c>
    </row>
    <row r="1381" spans="1:10" x14ac:dyDescent="0.25">
      <c r="A1381" s="2" t="s">
        <v>4139</v>
      </c>
      <c r="B1381" s="2" t="s">
        <v>4140</v>
      </c>
      <c r="C1381" s="2" t="s">
        <v>4141</v>
      </c>
      <c r="D1381" s="2" t="s">
        <v>10044</v>
      </c>
      <c r="E1381" s="15">
        <v>-9.3200000000000005E-2</v>
      </c>
      <c r="F1381" s="15">
        <v>6.4799999999999996E-2</v>
      </c>
      <c r="G1381" s="15">
        <v>0.14990000000000001</v>
      </c>
      <c r="H1381" s="15">
        <v>0.36359999999999998</v>
      </c>
      <c r="I1381" s="15">
        <v>5.1499999999999997E-2</v>
      </c>
      <c r="J1381" s="15">
        <v>7.0601941747572816</v>
      </c>
    </row>
    <row r="1382" spans="1:10" x14ac:dyDescent="0.25">
      <c r="A1382" s="2" t="s">
        <v>4142</v>
      </c>
      <c r="B1382" s="2" t="s">
        <v>4143</v>
      </c>
      <c r="C1382" s="2" t="s">
        <v>4144</v>
      </c>
      <c r="D1382" s="2" t="s">
        <v>10044</v>
      </c>
      <c r="E1382" s="15">
        <v>-4.6600000000000003E-2</v>
      </c>
      <c r="F1382" s="15">
        <v>6.8699999999999997E-2</v>
      </c>
      <c r="G1382" s="15">
        <v>0.49809999999999999</v>
      </c>
      <c r="H1382" s="15">
        <v>0.23730000000000001</v>
      </c>
      <c r="I1382" s="15">
        <v>5.8500000000000003E-2</v>
      </c>
      <c r="J1382" s="15">
        <v>4.0564102564102562</v>
      </c>
    </row>
    <row r="1383" spans="1:10" x14ac:dyDescent="0.25">
      <c r="A1383" s="2" t="s">
        <v>4145</v>
      </c>
      <c r="B1383" s="2" t="s">
        <v>4146</v>
      </c>
      <c r="C1383" s="2" t="s">
        <v>4147</v>
      </c>
      <c r="D1383" s="2" t="s">
        <v>10044</v>
      </c>
      <c r="E1383" s="15">
        <v>9.5999999999999992E-3</v>
      </c>
      <c r="F1383" s="15">
        <v>5.3400000000000003E-2</v>
      </c>
      <c r="G1383" s="15">
        <v>0.8569</v>
      </c>
      <c r="H1383" s="15">
        <v>0.35410000000000003</v>
      </c>
      <c r="I1383" s="15">
        <v>5.91E-2</v>
      </c>
      <c r="J1383" s="15">
        <v>5.9915397631133676</v>
      </c>
    </row>
    <row r="1384" spans="1:10" x14ac:dyDescent="0.25">
      <c r="A1384" s="2" t="s">
        <v>4148</v>
      </c>
      <c r="B1384" s="2" t="s">
        <v>4149</v>
      </c>
      <c r="C1384" s="2" t="s">
        <v>4150</v>
      </c>
      <c r="D1384" s="2" t="s">
        <v>10044</v>
      </c>
      <c r="E1384" s="15">
        <v>2.5700000000000001E-2</v>
      </c>
      <c r="F1384" s="15">
        <v>6.2199999999999998E-2</v>
      </c>
      <c r="G1384" s="15">
        <v>0.67889999999999995</v>
      </c>
      <c r="H1384" s="15">
        <v>0.28420000000000001</v>
      </c>
      <c r="I1384" s="15">
        <v>4.6399999999999997E-2</v>
      </c>
      <c r="J1384" s="15">
        <v>6.1250000000000009</v>
      </c>
    </row>
    <row r="1385" spans="1:10" x14ac:dyDescent="0.25">
      <c r="A1385" s="2" t="s">
        <v>4151</v>
      </c>
      <c r="B1385" s="2" t="s">
        <v>4152</v>
      </c>
      <c r="C1385" s="2" t="s">
        <v>4153</v>
      </c>
      <c r="D1385" s="2" t="s">
        <v>10044</v>
      </c>
      <c r="E1385" s="15">
        <v>-0.1419</v>
      </c>
      <c r="F1385" s="15">
        <v>6.1400000000000003E-2</v>
      </c>
      <c r="G1385" s="15">
        <v>2.0899999999999998E-2</v>
      </c>
      <c r="H1385" s="15">
        <v>0.36609999999999998</v>
      </c>
      <c r="I1385" s="15">
        <v>5.0299999999999997E-2</v>
      </c>
      <c r="J1385" s="15">
        <v>7.2783300198807153</v>
      </c>
    </row>
    <row r="1386" spans="1:10" x14ac:dyDescent="0.25">
      <c r="A1386" s="2" t="s">
        <v>4154</v>
      </c>
      <c r="B1386" s="2" t="s">
        <v>4155</v>
      </c>
      <c r="C1386" s="2" t="s">
        <v>4156</v>
      </c>
      <c r="D1386" s="2" t="s">
        <v>10044</v>
      </c>
      <c r="E1386" s="15">
        <v>-5.4699999999999999E-2</v>
      </c>
      <c r="F1386" s="15">
        <v>5.5599999999999997E-2</v>
      </c>
      <c r="G1386" s="15">
        <v>0.32519999999999999</v>
      </c>
      <c r="H1386" s="15">
        <v>0.39219999999999999</v>
      </c>
      <c r="I1386" s="15">
        <v>5.6599999999999998E-2</v>
      </c>
      <c r="J1386" s="15">
        <v>6.9293286219081276</v>
      </c>
    </row>
    <row r="1387" spans="1:10" x14ac:dyDescent="0.25">
      <c r="A1387" s="2" t="s">
        <v>4157</v>
      </c>
      <c r="B1387" s="2" t="s">
        <v>4158</v>
      </c>
      <c r="C1387" s="2" t="s">
        <v>4159</v>
      </c>
      <c r="D1387" s="2" t="s">
        <v>10044</v>
      </c>
      <c r="E1387" s="15">
        <v>-1.3100000000000001E-2</v>
      </c>
      <c r="F1387" s="15">
        <v>6.0199999999999997E-2</v>
      </c>
      <c r="G1387" s="15">
        <v>0.82720000000000005</v>
      </c>
      <c r="H1387" s="15">
        <v>0.29859999999999998</v>
      </c>
      <c r="I1387" s="15">
        <v>5.45E-2</v>
      </c>
      <c r="J1387" s="15">
        <v>5.4788990825688071</v>
      </c>
    </row>
    <row r="1388" spans="1:10" x14ac:dyDescent="0.25">
      <c r="A1388" s="2" t="s">
        <v>4160</v>
      </c>
      <c r="B1388" s="2" t="s">
        <v>4161</v>
      </c>
      <c r="C1388" s="2" t="s">
        <v>4162</v>
      </c>
      <c r="D1388" s="2" t="s">
        <v>10044</v>
      </c>
      <c r="E1388" s="15">
        <v>-1.4200000000000001E-2</v>
      </c>
      <c r="F1388" s="15">
        <v>5.8700000000000002E-2</v>
      </c>
      <c r="G1388" s="15">
        <v>0.8085</v>
      </c>
      <c r="H1388" s="15">
        <v>0.35639999999999999</v>
      </c>
      <c r="I1388" s="15">
        <v>5.5199999999999999E-2</v>
      </c>
      <c r="J1388" s="15">
        <v>6.4565217391304346</v>
      </c>
    </row>
    <row r="1389" spans="1:10" x14ac:dyDescent="0.25">
      <c r="A1389" s="2" t="s">
        <v>4163</v>
      </c>
      <c r="B1389" s="2" t="s">
        <v>4164</v>
      </c>
      <c r="C1389" s="2" t="s">
        <v>4165</v>
      </c>
      <c r="D1389" s="2" t="s">
        <v>10044</v>
      </c>
      <c r="E1389" s="15">
        <v>-0.10249999999999999</v>
      </c>
      <c r="F1389" s="15">
        <v>6.6199999999999995E-2</v>
      </c>
      <c r="G1389" s="15">
        <v>0.12130000000000001</v>
      </c>
      <c r="H1389" s="15">
        <v>0.28170000000000001</v>
      </c>
      <c r="I1389" s="15">
        <v>5.6099999999999997E-2</v>
      </c>
      <c r="J1389" s="15">
        <v>5.0213903743315509</v>
      </c>
    </row>
    <row r="1390" spans="1:10" x14ac:dyDescent="0.25">
      <c r="A1390" s="2" t="s">
        <v>4166</v>
      </c>
      <c r="B1390" s="2" t="s">
        <v>4167</v>
      </c>
      <c r="C1390" s="2" t="s">
        <v>4168</v>
      </c>
      <c r="D1390" s="2" t="s">
        <v>10044</v>
      </c>
      <c r="E1390" s="15">
        <v>-8.3599999999999994E-2</v>
      </c>
      <c r="F1390" s="15">
        <v>5.3900000000000003E-2</v>
      </c>
      <c r="G1390" s="15">
        <v>0.121</v>
      </c>
      <c r="H1390" s="15">
        <v>0.40870000000000001</v>
      </c>
      <c r="I1390" s="15">
        <v>6.3299999999999995E-2</v>
      </c>
      <c r="J1390" s="15">
        <v>6.4565560821485004</v>
      </c>
    </row>
    <row r="1391" spans="1:10" x14ac:dyDescent="0.25">
      <c r="A1391" s="2" t="s">
        <v>4169</v>
      </c>
      <c r="B1391" s="2" t="s">
        <v>4170</v>
      </c>
      <c r="C1391" s="2" t="s">
        <v>4171</v>
      </c>
      <c r="D1391" s="2" t="s">
        <v>10044</v>
      </c>
      <c r="E1391" s="15">
        <v>1.11E-2</v>
      </c>
      <c r="F1391" s="15">
        <v>5.8799999999999998E-2</v>
      </c>
      <c r="G1391" s="15">
        <v>0.84989999999999999</v>
      </c>
      <c r="H1391" s="15">
        <v>0.30059999999999998</v>
      </c>
      <c r="I1391" s="15">
        <v>5.1200000000000002E-2</v>
      </c>
      <c r="J1391" s="15">
        <v>5.8710937499999991</v>
      </c>
    </row>
    <row r="1392" spans="1:10" x14ac:dyDescent="0.25">
      <c r="A1392" s="2" t="s">
        <v>4172</v>
      </c>
      <c r="B1392" s="2" t="s">
        <v>4173</v>
      </c>
      <c r="C1392" s="2" t="s">
        <v>4174</v>
      </c>
      <c r="D1392" s="2" t="s">
        <v>10044</v>
      </c>
      <c r="E1392" s="15">
        <v>-0.1381</v>
      </c>
      <c r="F1392" s="15">
        <v>5.3999999999999999E-2</v>
      </c>
      <c r="G1392" s="15">
        <v>1.06E-2</v>
      </c>
      <c r="H1392" s="15">
        <v>0.34460000000000002</v>
      </c>
      <c r="I1392" s="15">
        <v>0.05</v>
      </c>
      <c r="J1392" s="15">
        <v>6.8920000000000003</v>
      </c>
    </row>
    <row r="1393" spans="1:10" x14ac:dyDescent="0.25">
      <c r="A1393" s="2" t="s">
        <v>4175</v>
      </c>
      <c r="B1393" s="2" t="s">
        <v>4176</v>
      </c>
      <c r="C1393" s="2" t="s">
        <v>4177</v>
      </c>
      <c r="D1393" s="2" t="s">
        <v>10044</v>
      </c>
      <c r="E1393" s="15">
        <v>-7.6E-3</v>
      </c>
      <c r="F1393" s="15">
        <v>5.2499999999999998E-2</v>
      </c>
      <c r="G1393" s="15">
        <v>0.88480000000000003</v>
      </c>
      <c r="H1393" s="15">
        <v>0.44929999999999998</v>
      </c>
      <c r="I1393" s="15">
        <v>6.6299999999999998E-2</v>
      </c>
      <c r="J1393" s="15">
        <v>6.7767722473604826</v>
      </c>
    </row>
    <row r="1394" spans="1:10" x14ac:dyDescent="0.25">
      <c r="A1394" s="2" t="s">
        <v>4178</v>
      </c>
      <c r="B1394" s="2" t="s">
        <v>4179</v>
      </c>
      <c r="C1394" s="2" t="s">
        <v>4180</v>
      </c>
      <c r="D1394" s="2" t="s">
        <v>10044</v>
      </c>
      <c r="E1394" s="15">
        <v>5.0000000000000001E-4</v>
      </c>
      <c r="F1394" s="15">
        <v>6.4000000000000001E-2</v>
      </c>
      <c r="G1394" s="15">
        <v>0.99350000000000005</v>
      </c>
      <c r="H1394" s="15">
        <v>0.2757</v>
      </c>
      <c r="I1394" s="15">
        <v>5.2900000000000003E-2</v>
      </c>
      <c r="J1394" s="15">
        <v>5.2117202268431004</v>
      </c>
    </row>
    <row r="1395" spans="1:10" x14ac:dyDescent="0.25">
      <c r="A1395" s="2" t="s">
        <v>4181</v>
      </c>
      <c r="B1395" s="2" t="s">
        <v>4182</v>
      </c>
      <c r="C1395" s="2" t="s">
        <v>4183</v>
      </c>
      <c r="D1395" s="2" t="s">
        <v>10044</v>
      </c>
      <c r="E1395" s="15">
        <v>-2.4799999999999999E-2</v>
      </c>
      <c r="F1395" s="15">
        <v>5.7299999999999997E-2</v>
      </c>
      <c r="G1395" s="15">
        <v>0.66469999999999996</v>
      </c>
      <c r="H1395" s="15">
        <v>0.39090000000000003</v>
      </c>
      <c r="I1395" s="15">
        <v>6.59E-2</v>
      </c>
      <c r="J1395" s="15">
        <v>5.931714719271624</v>
      </c>
    </row>
    <row r="1396" spans="1:10" x14ac:dyDescent="0.25">
      <c r="A1396" s="2" t="s">
        <v>4184</v>
      </c>
      <c r="B1396" s="2" t="s">
        <v>4185</v>
      </c>
      <c r="C1396" s="2" t="s">
        <v>4186</v>
      </c>
      <c r="D1396" s="2" t="s">
        <v>10044</v>
      </c>
      <c r="E1396" s="15">
        <v>-6.4699999999999994E-2</v>
      </c>
      <c r="F1396" s="15">
        <v>5.8799999999999998E-2</v>
      </c>
      <c r="G1396" s="15">
        <v>0.2707</v>
      </c>
      <c r="H1396" s="15">
        <v>0.35049999999999998</v>
      </c>
      <c r="I1396" s="15">
        <v>5.4899999999999997E-2</v>
      </c>
      <c r="J1396" s="15">
        <v>6.3843351548269576</v>
      </c>
    </row>
    <row r="1397" spans="1:10" x14ac:dyDescent="0.25">
      <c r="A1397" s="2" t="s">
        <v>4187</v>
      </c>
      <c r="B1397" s="2" t="s">
        <v>4188</v>
      </c>
      <c r="C1397" s="2" t="s">
        <v>4189</v>
      </c>
      <c r="D1397" s="2" t="s">
        <v>10044</v>
      </c>
      <c r="E1397" s="15">
        <v>1.1000000000000001E-3</v>
      </c>
      <c r="F1397" s="15">
        <v>5.4199999999999998E-2</v>
      </c>
      <c r="G1397" s="15">
        <v>0.98409999999999997</v>
      </c>
      <c r="H1397" s="15">
        <v>0.42420000000000002</v>
      </c>
      <c r="I1397" s="15">
        <v>6.8099999999999994E-2</v>
      </c>
      <c r="J1397" s="15">
        <v>6.2290748898678423</v>
      </c>
    </row>
    <row r="1398" spans="1:10" x14ac:dyDescent="0.25">
      <c r="A1398" s="2" t="s">
        <v>4190</v>
      </c>
      <c r="B1398" s="2" t="s">
        <v>4191</v>
      </c>
      <c r="C1398" s="2" t="s">
        <v>4192</v>
      </c>
      <c r="D1398" s="2" t="s">
        <v>10044</v>
      </c>
      <c r="E1398" s="15">
        <v>-1.2699999999999999E-2</v>
      </c>
      <c r="F1398" s="15">
        <v>5.3900000000000003E-2</v>
      </c>
      <c r="G1398" s="15">
        <v>0.81369999999999998</v>
      </c>
      <c r="H1398" s="15">
        <v>0.39850000000000002</v>
      </c>
      <c r="I1398" s="15">
        <v>5.5599999999999997E-2</v>
      </c>
      <c r="J1398" s="15">
        <v>7.1672661870503607</v>
      </c>
    </row>
    <row r="1399" spans="1:10" x14ac:dyDescent="0.25">
      <c r="A1399" s="2" t="s">
        <v>4193</v>
      </c>
      <c r="B1399" s="2" t="s">
        <v>4194</v>
      </c>
      <c r="C1399" s="2" t="s">
        <v>4195</v>
      </c>
      <c r="D1399" s="2" t="s">
        <v>10044</v>
      </c>
      <c r="E1399" s="15">
        <v>-1.18E-2</v>
      </c>
      <c r="F1399" s="15">
        <v>5.5100000000000003E-2</v>
      </c>
      <c r="G1399" s="15">
        <v>0.83050000000000002</v>
      </c>
      <c r="H1399" s="15">
        <v>0.40079999999999999</v>
      </c>
      <c r="I1399" s="15">
        <v>6.4500000000000002E-2</v>
      </c>
      <c r="J1399" s="15">
        <v>6.213953488372093</v>
      </c>
    </row>
    <row r="1400" spans="1:10" x14ac:dyDescent="0.25">
      <c r="A1400" s="2" t="s">
        <v>4196</v>
      </c>
      <c r="B1400" s="2" t="s">
        <v>4197</v>
      </c>
      <c r="C1400" s="2" t="s">
        <v>4198</v>
      </c>
      <c r="D1400" s="2" t="s">
        <v>10044</v>
      </c>
      <c r="E1400" s="15">
        <v>-8.8900000000000007E-2</v>
      </c>
      <c r="F1400" s="15">
        <v>7.85E-2</v>
      </c>
      <c r="G1400" s="15">
        <v>0.25769999999999998</v>
      </c>
      <c r="H1400" s="15">
        <v>0.1888</v>
      </c>
      <c r="I1400" s="15">
        <v>5.16E-2</v>
      </c>
      <c r="J1400" s="15">
        <v>3.6589147286821699</v>
      </c>
    </row>
    <row r="1401" spans="1:10" x14ac:dyDescent="0.25">
      <c r="A1401" s="2" t="s">
        <v>4199</v>
      </c>
      <c r="B1401" s="2" t="s">
        <v>4200</v>
      </c>
      <c r="C1401" s="2" t="s">
        <v>4201</v>
      </c>
      <c r="D1401" s="2" t="s">
        <v>10044</v>
      </c>
      <c r="E1401" s="15">
        <v>-2.9600000000000001E-2</v>
      </c>
      <c r="F1401" s="15">
        <v>7.4099999999999999E-2</v>
      </c>
      <c r="G1401" s="15">
        <v>0.68979999999999997</v>
      </c>
      <c r="H1401" s="15">
        <v>0.18840000000000001</v>
      </c>
      <c r="I1401" s="15">
        <v>4.6800000000000001E-2</v>
      </c>
      <c r="J1401" s="15">
        <v>4.0256410256410264</v>
      </c>
    </row>
    <row r="1402" spans="1:10" x14ac:dyDescent="0.25">
      <c r="A1402" s="2" t="s">
        <v>4202</v>
      </c>
      <c r="B1402" s="2" t="s">
        <v>4203</v>
      </c>
      <c r="C1402" s="2" t="s">
        <v>4204</v>
      </c>
      <c r="D1402" s="2" t="s">
        <v>10044</v>
      </c>
      <c r="E1402" s="15">
        <v>-8.8800000000000004E-2</v>
      </c>
      <c r="F1402" s="15">
        <v>6.3600000000000004E-2</v>
      </c>
      <c r="G1402" s="15">
        <v>0.16259999999999999</v>
      </c>
      <c r="H1402" s="15">
        <v>0.3654</v>
      </c>
      <c r="I1402" s="15">
        <v>6.9000000000000006E-2</v>
      </c>
      <c r="J1402" s="15">
        <v>5.2956521739130427</v>
      </c>
    </row>
    <row r="1403" spans="1:10" x14ac:dyDescent="0.25">
      <c r="A1403" s="2" t="s">
        <v>4205</v>
      </c>
      <c r="B1403" s="2" t="s">
        <v>4206</v>
      </c>
      <c r="C1403" s="2" t="s">
        <v>4207</v>
      </c>
      <c r="D1403" s="2" t="s">
        <v>10044</v>
      </c>
      <c r="E1403" s="15">
        <v>2.76E-2</v>
      </c>
      <c r="F1403" s="15">
        <v>5.8599999999999999E-2</v>
      </c>
      <c r="G1403" s="15">
        <v>0.63739999999999997</v>
      </c>
      <c r="H1403" s="15">
        <v>0.31719999999999998</v>
      </c>
      <c r="I1403" s="15">
        <v>5.0700000000000002E-2</v>
      </c>
      <c r="J1403" s="15">
        <v>6.2564102564102546</v>
      </c>
    </row>
    <row r="1404" spans="1:10" x14ac:dyDescent="0.25">
      <c r="A1404" s="2" t="s">
        <v>4208</v>
      </c>
      <c r="B1404" s="2" t="s">
        <v>4209</v>
      </c>
      <c r="C1404" s="2" t="s">
        <v>4210</v>
      </c>
      <c r="D1404" s="2" t="s">
        <v>10044</v>
      </c>
      <c r="E1404" s="15">
        <v>0.1358</v>
      </c>
      <c r="F1404" s="15">
        <v>0.1648</v>
      </c>
      <c r="G1404" s="15">
        <v>0.41</v>
      </c>
      <c r="H1404" s="15">
        <v>4.53E-2</v>
      </c>
      <c r="I1404" s="15">
        <v>3.6799999999999999E-2</v>
      </c>
      <c r="J1404" s="15">
        <v>1.230978260869565</v>
      </c>
    </row>
    <row r="1405" spans="1:10" x14ac:dyDescent="0.25">
      <c r="A1405" s="2" t="s">
        <v>4211</v>
      </c>
      <c r="B1405" s="2" t="s">
        <v>4212</v>
      </c>
      <c r="C1405" s="2" t="s">
        <v>4213</v>
      </c>
      <c r="D1405" s="2" t="s">
        <v>10044</v>
      </c>
      <c r="E1405" s="15">
        <v>2.3199999999999998E-2</v>
      </c>
      <c r="F1405" s="15">
        <v>5.6399999999999999E-2</v>
      </c>
      <c r="G1405" s="15">
        <v>0.68089999999999995</v>
      </c>
      <c r="H1405" s="15">
        <v>0.44209999999999999</v>
      </c>
      <c r="I1405" s="15">
        <v>6.5199999999999994E-2</v>
      </c>
      <c r="J1405" s="15">
        <v>6.7806748466257671</v>
      </c>
    </row>
    <row r="1406" spans="1:10" x14ac:dyDescent="0.25">
      <c r="A1406" s="2" t="s">
        <v>4214</v>
      </c>
      <c r="B1406" s="2" t="s">
        <v>4215</v>
      </c>
      <c r="C1406" s="2" t="s">
        <v>4216</v>
      </c>
      <c r="D1406" s="2" t="s">
        <v>10044</v>
      </c>
      <c r="E1406" s="15">
        <v>1.83E-2</v>
      </c>
      <c r="F1406" s="15">
        <v>0.10340000000000001</v>
      </c>
      <c r="G1406" s="15">
        <v>0.85919999999999996</v>
      </c>
      <c r="H1406" s="15">
        <v>0.11169999999999999</v>
      </c>
      <c r="I1406" s="15">
        <v>4.4200000000000003E-2</v>
      </c>
      <c r="J1406" s="15">
        <v>2.5271493212669678</v>
      </c>
    </row>
    <row r="1407" spans="1:10" x14ac:dyDescent="0.25">
      <c r="A1407" s="2" t="s">
        <v>4217</v>
      </c>
      <c r="B1407" s="2" t="s">
        <v>4218</v>
      </c>
      <c r="C1407" s="2" t="s">
        <v>4219</v>
      </c>
      <c r="D1407" s="2" t="s">
        <v>10044</v>
      </c>
      <c r="E1407" s="15">
        <v>-5.8999999999999997E-2</v>
      </c>
      <c r="F1407" s="15">
        <v>6.1199999999999997E-2</v>
      </c>
      <c r="G1407" s="15">
        <v>0.33439999999999998</v>
      </c>
      <c r="H1407" s="15">
        <v>0.28799999999999998</v>
      </c>
      <c r="I1407" s="15">
        <v>5.11E-2</v>
      </c>
      <c r="J1407" s="15">
        <v>5.6360078277886494</v>
      </c>
    </row>
    <row r="1408" spans="1:10" x14ac:dyDescent="0.25">
      <c r="A1408" s="2" t="s">
        <v>4220</v>
      </c>
      <c r="B1408" s="2" t="s">
        <v>4221</v>
      </c>
      <c r="C1408" s="2" t="s">
        <v>4222</v>
      </c>
      <c r="D1408" s="2" t="s">
        <v>10044</v>
      </c>
      <c r="E1408" s="15">
        <v>-6.0699999999999997E-2</v>
      </c>
      <c r="F1408" s="15">
        <v>6.6199999999999995E-2</v>
      </c>
      <c r="G1408" s="15">
        <v>0.35920000000000002</v>
      </c>
      <c r="H1408" s="15">
        <v>0.37259999999999999</v>
      </c>
      <c r="I1408" s="15">
        <v>6.9699999999999998E-2</v>
      </c>
      <c r="J1408" s="15">
        <v>5.345767575322812</v>
      </c>
    </row>
    <row r="1409" spans="1:10" x14ac:dyDescent="0.25">
      <c r="A1409" s="2" t="s">
        <v>4223</v>
      </c>
      <c r="B1409" s="2" t="s">
        <v>4224</v>
      </c>
      <c r="C1409" s="2" t="s">
        <v>4225</v>
      </c>
      <c r="D1409" s="2" t="s">
        <v>10044</v>
      </c>
      <c r="E1409" s="15">
        <v>-3.0700000000000002E-2</v>
      </c>
      <c r="F1409" s="15">
        <v>7.6600000000000001E-2</v>
      </c>
      <c r="G1409" s="15">
        <v>0.68799999999999994</v>
      </c>
      <c r="H1409" s="15">
        <v>0.2145</v>
      </c>
      <c r="I1409" s="15">
        <v>0.05</v>
      </c>
      <c r="J1409" s="15">
        <v>4.29</v>
      </c>
    </row>
    <row r="1410" spans="1:10" x14ac:dyDescent="0.25">
      <c r="A1410" s="2" t="s">
        <v>4226</v>
      </c>
      <c r="B1410" s="2" t="s">
        <v>4227</v>
      </c>
      <c r="C1410" s="2" t="s">
        <v>4228</v>
      </c>
      <c r="D1410" s="2" t="s">
        <v>10044</v>
      </c>
      <c r="E1410" s="15">
        <v>1.6799999999999999E-2</v>
      </c>
      <c r="F1410" s="15">
        <v>6.0299999999999999E-2</v>
      </c>
      <c r="G1410" s="15">
        <v>0.78100000000000003</v>
      </c>
      <c r="H1410" s="15">
        <v>0.38519999999999999</v>
      </c>
      <c r="I1410" s="15">
        <v>6.1800000000000001E-2</v>
      </c>
      <c r="J1410" s="15">
        <v>6.233009708737864</v>
      </c>
    </row>
    <row r="1411" spans="1:10" x14ac:dyDescent="0.25">
      <c r="A1411" s="2" t="s">
        <v>4229</v>
      </c>
      <c r="B1411" s="2" t="s">
        <v>4230</v>
      </c>
      <c r="C1411" s="2" t="s">
        <v>4231</v>
      </c>
      <c r="D1411" s="2" t="s">
        <v>10044</v>
      </c>
      <c r="E1411" s="15">
        <v>5.4999999999999997E-3</v>
      </c>
      <c r="F1411" s="15">
        <v>5.6099999999999997E-2</v>
      </c>
      <c r="G1411" s="15">
        <v>0.92130000000000001</v>
      </c>
      <c r="H1411" s="15">
        <v>0.41899999999999998</v>
      </c>
      <c r="I1411" s="15">
        <v>6.0100000000000001E-2</v>
      </c>
      <c r="J1411" s="15">
        <v>6.9717138103161398</v>
      </c>
    </row>
    <row r="1412" spans="1:10" x14ac:dyDescent="0.25">
      <c r="A1412" s="2" t="s">
        <v>4232</v>
      </c>
      <c r="B1412" s="2" t="s">
        <v>4233</v>
      </c>
      <c r="C1412" s="2" t="s">
        <v>4234</v>
      </c>
      <c r="D1412" s="2" t="s">
        <v>10044</v>
      </c>
      <c r="E1412" s="15">
        <v>-1.54E-2</v>
      </c>
      <c r="F1412" s="15">
        <v>5.6099999999999997E-2</v>
      </c>
      <c r="G1412" s="15">
        <v>0.78390000000000004</v>
      </c>
      <c r="H1412" s="15">
        <v>0.36820000000000003</v>
      </c>
      <c r="I1412" s="15">
        <v>6.08E-2</v>
      </c>
      <c r="J1412" s="15">
        <v>6.0559210526315796</v>
      </c>
    </row>
    <row r="1413" spans="1:10" x14ac:dyDescent="0.25">
      <c r="A1413" s="2" t="s">
        <v>4235</v>
      </c>
      <c r="B1413" s="2" t="s">
        <v>4236</v>
      </c>
      <c r="C1413" s="2" t="s">
        <v>4237</v>
      </c>
      <c r="D1413" s="2" t="s">
        <v>10044</v>
      </c>
      <c r="E1413" s="15">
        <v>-5.2999999999999999E-2</v>
      </c>
      <c r="F1413" s="15">
        <v>7.1400000000000005E-2</v>
      </c>
      <c r="G1413" s="15">
        <v>0.4582</v>
      </c>
      <c r="H1413" s="15">
        <v>0.2767</v>
      </c>
      <c r="I1413" s="15">
        <v>5.4800000000000001E-2</v>
      </c>
      <c r="J1413" s="15">
        <v>5.0492700729927007</v>
      </c>
    </row>
    <row r="1414" spans="1:10" x14ac:dyDescent="0.25">
      <c r="A1414" s="2" t="s">
        <v>4238</v>
      </c>
      <c r="B1414" s="2" t="s">
        <v>4239</v>
      </c>
      <c r="C1414" s="2" t="s">
        <v>4240</v>
      </c>
      <c r="D1414" s="2" t="s">
        <v>10044</v>
      </c>
      <c r="E1414" s="15">
        <v>-1.9E-2</v>
      </c>
      <c r="F1414" s="15">
        <v>5.8400000000000001E-2</v>
      </c>
      <c r="G1414" s="15">
        <v>0.74470000000000003</v>
      </c>
      <c r="H1414" s="15">
        <v>0.44929999999999998</v>
      </c>
      <c r="I1414" s="15">
        <v>5.8200000000000002E-2</v>
      </c>
      <c r="J1414" s="15">
        <v>7.7199312714776616</v>
      </c>
    </row>
    <row r="1415" spans="1:10" x14ac:dyDescent="0.25">
      <c r="A1415" s="2" t="s">
        <v>4241</v>
      </c>
      <c r="B1415" s="2" t="s">
        <v>4242</v>
      </c>
      <c r="C1415" s="2" t="s">
        <v>4243</v>
      </c>
      <c r="D1415" s="2" t="s">
        <v>10044</v>
      </c>
      <c r="E1415" s="15">
        <v>1E-4</v>
      </c>
      <c r="F1415" s="15">
        <v>6.3100000000000003E-2</v>
      </c>
      <c r="G1415" s="15">
        <v>0.99829999999999997</v>
      </c>
      <c r="H1415" s="15">
        <v>0.2974</v>
      </c>
      <c r="I1415" s="15">
        <v>5.9200000000000003E-2</v>
      </c>
      <c r="J1415" s="15">
        <v>5.0236486486486482</v>
      </c>
    </row>
    <row r="1416" spans="1:10" x14ac:dyDescent="0.25">
      <c r="A1416" s="2" t="s">
        <v>4244</v>
      </c>
      <c r="B1416" s="2" t="s">
        <v>4245</v>
      </c>
      <c r="C1416" s="2" t="s">
        <v>4246</v>
      </c>
      <c r="D1416" s="2" t="s">
        <v>10044</v>
      </c>
      <c r="E1416" s="15">
        <v>-5.0999999999999997E-2</v>
      </c>
      <c r="F1416" s="15">
        <v>6.1699999999999998E-2</v>
      </c>
      <c r="G1416" s="15">
        <v>0.40889999999999999</v>
      </c>
      <c r="H1416" s="15">
        <v>0.38479999999999998</v>
      </c>
      <c r="I1416" s="15">
        <v>5.5500000000000001E-2</v>
      </c>
      <c r="J1416" s="15">
        <v>6.9333333333333327</v>
      </c>
    </row>
    <row r="1417" spans="1:10" x14ac:dyDescent="0.25">
      <c r="A1417" s="2" t="s">
        <v>4247</v>
      </c>
      <c r="B1417" s="2" t="s">
        <v>4248</v>
      </c>
      <c r="C1417" s="2" t="s">
        <v>4249</v>
      </c>
      <c r="D1417" s="2" t="s">
        <v>10044</v>
      </c>
      <c r="E1417" s="15">
        <v>-6.8599999999999994E-2</v>
      </c>
      <c r="F1417" s="15">
        <v>7.1199999999999999E-2</v>
      </c>
      <c r="G1417" s="15">
        <v>0.33539999999999998</v>
      </c>
      <c r="H1417" s="15">
        <v>0.2515</v>
      </c>
      <c r="I1417" s="15">
        <v>5.5399999999999998E-2</v>
      </c>
      <c r="J1417" s="15">
        <v>4.5397111913357406</v>
      </c>
    </row>
    <row r="1418" spans="1:10" x14ac:dyDescent="0.25">
      <c r="A1418" s="2" t="s">
        <v>4250</v>
      </c>
      <c r="B1418" s="2" t="s">
        <v>4251</v>
      </c>
      <c r="C1418" s="2" t="s">
        <v>4252</v>
      </c>
      <c r="D1418" s="2" t="s">
        <v>10044</v>
      </c>
      <c r="E1418" s="15">
        <v>3.8899999999999997E-2</v>
      </c>
      <c r="F1418" s="15">
        <v>5.5800000000000002E-2</v>
      </c>
      <c r="G1418" s="15">
        <v>0.48599999999999999</v>
      </c>
      <c r="H1418" s="15">
        <v>0.37080000000000002</v>
      </c>
      <c r="I1418" s="15">
        <v>5.57E-2</v>
      </c>
      <c r="J1418" s="15">
        <v>6.6570915619389588</v>
      </c>
    </row>
    <row r="1419" spans="1:10" x14ac:dyDescent="0.25">
      <c r="A1419" s="2" t="s">
        <v>4253</v>
      </c>
      <c r="B1419" s="2" t="s">
        <v>4254</v>
      </c>
      <c r="C1419" s="2" t="s">
        <v>4255</v>
      </c>
      <c r="D1419" s="2" t="s">
        <v>10044</v>
      </c>
      <c r="E1419" s="15">
        <v>3.5999999999999997E-2</v>
      </c>
      <c r="F1419" s="15">
        <v>6.3700000000000007E-2</v>
      </c>
      <c r="G1419" s="15">
        <v>0.5726</v>
      </c>
      <c r="H1419" s="15">
        <v>0.28639999999999999</v>
      </c>
      <c r="I1419" s="15">
        <v>4.8500000000000001E-2</v>
      </c>
      <c r="J1419" s="15">
        <v>5.9051546391752572</v>
      </c>
    </row>
    <row r="1420" spans="1:10" x14ac:dyDescent="0.25">
      <c r="A1420" s="2" t="s">
        <v>4256</v>
      </c>
      <c r="B1420" s="2" t="s">
        <v>4257</v>
      </c>
      <c r="C1420" s="2" t="s">
        <v>4258</v>
      </c>
      <c r="D1420" s="2" t="s">
        <v>10044</v>
      </c>
      <c r="E1420" s="15">
        <v>-7.5999999999999998E-2</v>
      </c>
      <c r="F1420" s="15">
        <v>6.0699999999999997E-2</v>
      </c>
      <c r="G1420" s="15">
        <v>0.21049999999999999</v>
      </c>
      <c r="H1420" s="15">
        <v>0.32540000000000002</v>
      </c>
      <c r="I1420" s="15">
        <v>4.9200000000000001E-2</v>
      </c>
      <c r="J1420" s="15">
        <v>6.6138211382113834</v>
      </c>
    </row>
    <row r="1421" spans="1:10" x14ac:dyDescent="0.25">
      <c r="A1421" s="2" t="s">
        <v>4259</v>
      </c>
      <c r="B1421" s="2" t="s">
        <v>4260</v>
      </c>
      <c r="C1421" s="2" t="s">
        <v>4261</v>
      </c>
      <c r="D1421" s="2" t="s">
        <v>10044</v>
      </c>
      <c r="E1421" s="15">
        <v>-3.7400000000000003E-2</v>
      </c>
      <c r="F1421" s="15">
        <v>5.4899999999999997E-2</v>
      </c>
      <c r="G1421" s="15">
        <v>0.496</v>
      </c>
      <c r="H1421" s="15">
        <v>0.36430000000000001</v>
      </c>
      <c r="I1421" s="15">
        <v>5.8400000000000001E-2</v>
      </c>
      <c r="J1421" s="15">
        <v>6.2380136986301373</v>
      </c>
    </row>
    <row r="1422" spans="1:10" x14ac:dyDescent="0.25">
      <c r="A1422" s="2" t="s">
        <v>4262</v>
      </c>
      <c r="B1422" s="2" t="s">
        <v>4263</v>
      </c>
      <c r="C1422" s="2" t="s">
        <v>4264</v>
      </c>
      <c r="D1422" s="2" t="s">
        <v>10044</v>
      </c>
      <c r="E1422" s="15">
        <v>-2.2800000000000001E-2</v>
      </c>
      <c r="F1422" s="15">
        <v>7.1999999999999995E-2</v>
      </c>
      <c r="G1422" s="15">
        <v>0.75139999999999996</v>
      </c>
      <c r="H1422" s="15">
        <v>0.22750000000000001</v>
      </c>
      <c r="I1422" s="15">
        <v>5.11E-2</v>
      </c>
      <c r="J1422" s="15">
        <v>4.4520547945205484</v>
      </c>
    </row>
    <row r="1423" spans="1:10" x14ac:dyDescent="0.25">
      <c r="A1423" s="2" t="s">
        <v>4265</v>
      </c>
      <c r="B1423" s="2" t="s">
        <v>4266</v>
      </c>
      <c r="C1423" s="2" t="s">
        <v>4267</v>
      </c>
      <c r="D1423" s="2" t="s">
        <v>10044</v>
      </c>
      <c r="E1423" s="15">
        <v>8.9999999999999998E-4</v>
      </c>
      <c r="F1423" s="15">
        <v>6.3299999999999995E-2</v>
      </c>
      <c r="G1423" s="15">
        <v>0.98839999999999995</v>
      </c>
      <c r="H1423" s="15">
        <v>0.32019999999999998</v>
      </c>
      <c r="I1423" s="15">
        <v>6.6299999999999998E-2</v>
      </c>
      <c r="J1423" s="15">
        <v>4.8295625942684763</v>
      </c>
    </row>
    <row r="1424" spans="1:10" x14ac:dyDescent="0.25">
      <c r="A1424" s="2" t="s">
        <v>4268</v>
      </c>
      <c r="B1424" s="2" t="s">
        <v>4269</v>
      </c>
      <c r="C1424" s="2" t="s">
        <v>4270</v>
      </c>
      <c r="D1424" s="2" t="s">
        <v>10044</v>
      </c>
      <c r="E1424" s="15">
        <v>-0.1356</v>
      </c>
      <c r="F1424" s="15">
        <v>6.2899999999999998E-2</v>
      </c>
      <c r="G1424" s="15">
        <v>3.1E-2</v>
      </c>
      <c r="H1424" s="15">
        <v>0.313</v>
      </c>
      <c r="I1424" s="15">
        <v>5.04E-2</v>
      </c>
      <c r="J1424" s="15">
        <v>6.2103174603174596</v>
      </c>
    </row>
    <row r="1425" spans="1:10" x14ac:dyDescent="0.25">
      <c r="A1425" s="2" t="s">
        <v>4271</v>
      </c>
      <c r="B1425" s="2" t="s">
        <v>4272</v>
      </c>
      <c r="C1425" s="2" t="s">
        <v>4273</v>
      </c>
      <c r="D1425" s="2" t="s">
        <v>10044</v>
      </c>
      <c r="E1425" s="15">
        <v>-7.2599999999999998E-2</v>
      </c>
      <c r="F1425" s="15">
        <v>5.7099999999999998E-2</v>
      </c>
      <c r="G1425" s="15">
        <v>0.20319999999999999</v>
      </c>
      <c r="H1425" s="15">
        <v>0.38269999999999998</v>
      </c>
      <c r="I1425" s="15">
        <v>6.4000000000000001E-2</v>
      </c>
      <c r="J1425" s="15">
        <v>5.9796874999999998</v>
      </c>
    </row>
    <row r="1426" spans="1:10" x14ac:dyDescent="0.25">
      <c r="A1426" s="2" t="s">
        <v>4274</v>
      </c>
      <c r="B1426" s="2" t="s">
        <v>4275</v>
      </c>
      <c r="C1426" s="2" t="s">
        <v>4276</v>
      </c>
      <c r="D1426" s="2" t="s">
        <v>10044</v>
      </c>
      <c r="E1426" s="15">
        <v>4.5999999999999999E-2</v>
      </c>
      <c r="F1426" s="15">
        <v>6.6299999999999998E-2</v>
      </c>
      <c r="G1426" s="15">
        <v>0.48749999999999999</v>
      </c>
      <c r="H1426" s="15">
        <v>0.2757</v>
      </c>
      <c r="I1426" s="15">
        <v>5.8500000000000003E-2</v>
      </c>
      <c r="J1426" s="15">
        <v>4.712820512820513</v>
      </c>
    </row>
    <row r="1427" spans="1:10" x14ac:dyDescent="0.25">
      <c r="A1427" s="2" t="s">
        <v>4277</v>
      </c>
      <c r="B1427" s="2" t="s">
        <v>4278</v>
      </c>
      <c r="C1427" s="2" t="s">
        <v>4279</v>
      </c>
      <c r="D1427" s="2" t="s">
        <v>10044</v>
      </c>
      <c r="E1427" s="15">
        <v>-0.14530000000000001</v>
      </c>
      <c r="F1427" s="15">
        <v>5.8000000000000003E-2</v>
      </c>
      <c r="G1427" s="15">
        <v>1.23E-2</v>
      </c>
      <c r="H1427" s="15">
        <v>0.34339999999999998</v>
      </c>
      <c r="I1427" s="15">
        <v>5.0900000000000001E-2</v>
      </c>
      <c r="J1427" s="15">
        <v>6.7465618860510803</v>
      </c>
    </row>
    <row r="1428" spans="1:10" x14ac:dyDescent="0.25">
      <c r="A1428" s="2" t="s">
        <v>4280</v>
      </c>
      <c r="B1428" s="2" t="s">
        <v>4281</v>
      </c>
      <c r="C1428" s="2" t="s">
        <v>4282</v>
      </c>
      <c r="D1428" s="2" t="s">
        <v>10044</v>
      </c>
      <c r="E1428" s="15">
        <v>-8.8999999999999999E-3</v>
      </c>
      <c r="F1428" s="15">
        <v>5.6599999999999998E-2</v>
      </c>
      <c r="G1428" s="15">
        <v>0.87529999999999997</v>
      </c>
      <c r="H1428" s="15">
        <v>0.4229</v>
      </c>
      <c r="I1428" s="15">
        <v>6.1600000000000002E-2</v>
      </c>
      <c r="J1428" s="15">
        <v>6.8652597402597397</v>
      </c>
    </row>
    <row r="1429" spans="1:10" x14ac:dyDescent="0.25">
      <c r="A1429" s="2" t="s">
        <v>4283</v>
      </c>
      <c r="B1429" s="2" t="s">
        <v>4284</v>
      </c>
      <c r="C1429" s="2" t="s">
        <v>4285</v>
      </c>
      <c r="D1429" s="2" t="s">
        <v>10044</v>
      </c>
      <c r="E1429" s="15">
        <v>2.7900000000000001E-2</v>
      </c>
      <c r="F1429" s="15">
        <v>7.0900000000000005E-2</v>
      </c>
      <c r="G1429" s="15">
        <v>0.69399999999999995</v>
      </c>
      <c r="H1429" s="15">
        <v>0.21859999999999999</v>
      </c>
      <c r="I1429" s="15">
        <v>5.3499999999999999E-2</v>
      </c>
      <c r="J1429" s="15">
        <v>4.0859813084112151</v>
      </c>
    </row>
    <row r="1430" spans="1:10" x14ac:dyDescent="0.25">
      <c r="A1430" s="2" t="s">
        <v>4286</v>
      </c>
      <c r="B1430" s="2" t="s">
        <v>4287</v>
      </c>
      <c r="C1430" s="2" t="s">
        <v>4288</v>
      </c>
      <c r="D1430" s="2" t="s">
        <v>10044</v>
      </c>
      <c r="E1430" s="15">
        <v>-1.89E-2</v>
      </c>
      <c r="F1430" s="15">
        <v>6.2700000000000006E-2</v>
      </c>
      <c r="G1430" s="15">
        <v>0.76290000000000002</v>
      </c>
      <c r="H1430" s="15">
        <v>0.32079999999999997</v>
      </c>
      <c r="I1430" s="15">
        <v>6.59E-2</v>
      </c>
      <c r="J1430" s="15">
        <v>4.8679817905918057</v>
      </c>
    </row>
    <row r="1431" spans="1:10" x14ac:dyDescent="0.25">
      <c r="A1431" s="2" t="s">
        <v>4289</v>
      </c>
      <c r="B1431" s="2" t="s">
        <v>4290</v>
      </c>
      <c r="C1431" s="2" t="s">
        <v>4291</v>
      </c>
      <c r="D1431" s="2" t="s">
        <v>10044</v>
      </c>
      <c r="E1431" s="15">
        <v>-5.2699999999999997E-2</v>
      </c>
      <c r="F1431" s="15">
        <v>5.8900000000000001E-2</v>
      </c>
      <c r="G1431" s="15">
        <v>0.37080000000000002</v>
      </c>
      <c r="H1431" s="15">
        <v>0.34720000000000001</v>
      </c>
      <c r="I1431" s="15">
        <v>5.4100000000000002E-2</v>
      </c>
      <c r="J1431" s="15">
        <v>6.4177449168207019</v>
      </c>
    </row>
    <row r="1432" spans="1:10" x14ac:dyDescent="0.25">
      <c r="A1432" s="2" t="s">
        <v>4292</v>
      </c>
      <c r="B1432" s="2" t="s">
        <v>4293</v>
      </c>
      <c r="C1432" s="2" t="s">
        <v>4294</v>
      </c>
      <c r="D1432" s="2" t="s">
        <v>10044</v>
      </c>
      <c r="E1432" s="15">
        <v>1.0500000000000001E-2</v>
      </c>
      <c r="F1432" s="15">
        <v>5.2999999999999999E-2</v>
      </c>
      <c r="G1432" s="15">
        <v>0.84240000000000004</v>
      </c>
      <c r="H1432" s="15">
        <v>0.44119999999999998</v>
      </c>
      <c r="I1432" s="15">
        <v>6.5299999999999997E-2</v>
      </c>
      <c r="J1432" s="15">
        <v>6.7565084226646253</v>
      </c>
    </row>
    <row r="1433" spans="1:10" x14ac:dyDescent="0.25">
      <c r="A1433" s="2" t="s">
        <v>4295</v>
      </c>
      <c r="B1433" s="2" t="s">
        <v>4296</v>
      </c>
      <c r="C1433" s="2" t="s">
        <v>4297</v>
      </c>
      <c r="D1433" s="2" t="s">
        <v>10044</v>
      </c>
      <c r="E1433" s="15">
        <v>1.9099999999999999E-2</v>
      </c>
      <c r="F1433" s="15">
        <v>5.7599999999999998E-2</v>
      </c>
      <c r="G1433" s="15">
        <v>0.74009999999999998</v>
      </c>
      <c r="H1433" s="15">
        <v>0.37909999999999999</v>
      </c>
      <c r="I1433" s="15">
        <v>5.96E-2</v>
      </c>
      <c r="J1433" s="15">
        <v>6.3607382550335556</v>
      </c>
    </row>
    <row r="1434" spans="1:10" x14ac:dyDescent="0.25">
      <c r="A1434" s="2" t="s">
        <v>4298</v>
      </c>
      <c r="B1434" s="2" t="s">
        <v>4299</v>
      </c>
      <c r="C1434" s="2" t="s">
        <v>4300</v>
      </c>
      <c r="D1434" s="2" t="s">
        <v>10044</v>
      </c>
      <c r="E1434" s="15">
        <v>-2.1399999999999999E-2</v>
      </c>
      <c r="F1434" s="15">
        <v>5.5599999999999997E-2</v>
      </c>
      <c r="G1434" s="15">
        <v>0.70020000000000004</v>
      </c>
      <c r="H1434" s="15">
        <v>0.41299999999999998</v>
      </c>
      <c r="I1434" s="15">
        <v>7.3200000000000001E-2</v>
      </c>
      <c r="J1434" s="15">
        <v>5.6420765027322402</v>
      </c>
    </row>
    <row r="1435" spans="1:10" x14ac:dyDescent="0.25">
      <c r="A1435" s="2" t="s">
        <v>4301</v>
      </c>
      <c r="B1435" s="2" t="s">
        <v>4302</v>
      </c>
      <c r="C1435" s="2" t="s">
        <v>4303</v>
      </c>
      <c r="D1435" s="2" t="s">
        <v>10044</v>
      </c>
      <c r="E1435" s="15">
        <v>-5.8900000000000001E-2</v>
      </c>
      <c r="F1435" s="15">
        <v>8.3400000000000002E-2</v>
      </c>
      <c r="G1435" s="15">
        <v>0.48020000000000002</v>
      </c>
      <c r="H1435" s="15">
        <v>0.18060000000000001</v>
      </c>
      <c r="I1435" s="15">
        <v>5.04E-2</v>
      </c>
      <c r="J1435" s="15">
        <v>3.583333333333333</v>
      </c>
    </row>
    <row r="1436" spans="1:10" x14ac:dyDescent="0.25">
      <c r="A1436" s="2" t="s">
        <v>4304</v>
      </c>
      <c r="B1436" s="2" t="s">
        <v>4305</v>
      </c>
      <c r="C1436" s="2" t="s">
        <v>4306</v>
      </c>
      <c r="D1436" s="2" t="s">
        <v>10044</v>
      </c>
      <c r="E1436" s="15">
        <v>-3.8E-3</v>
      </c>
      <c r="F1436" s="15">
        <v>7.22E-2</v>
      </c>
      <c r="G1436" s="15">
        <v>0.95820000000000005</v>
      </c>
      <c r="H1436" s="15">
        <v>0.1928</v>
      </c>
      <c r="I1436" s="15">
        <v>4.4900000000000002E-2</v>
      </c>
      <c r="J1436" s="15">
        <v>4.2939866369710469</v>
      </c>
    </row>
    <row r="1437" spans="1:10" x14ac:dyDescent="0.25">
      <c r="A1437" s="2" t="s">
        <v>4307</v>
      </c>
      <c r="B1437" s="2" t="s">
        <v>4308</v>
      </c>
      <c r="C1437" s="2" t="s">
        <v>4309</v>
      </c>
      <c r="D1437" s="2" t="s">
        <v>10044</v>
      </c>
      <c r="E1437" s="15">
        <v>-8.1100000000000005E-2</v>
      </c>
      <c r="F1437" s="15">
        <v>6.5000000000000002E-2</v>
      </c>
      <c r="G1437" s="15">
        <v>0.21190000000000001</v>
      </c>
      <c r="H1437" s="15">
        <v>0.31869999999999998</v>
      </c>
      <c r="I1437" s="15">
        <v>6.6600000000000006E-2</v>
      </c>
      <c r="J1437" s="15">
        <v>4.7852852852852843</v>
      </c>
    </row>
    <row r="1438" spans="1:10" x14ac:dyDescent="0.25">
      <c r="A1438" s="2" t="s">
        <v>4310</v>
      </c>
      <c r="B1438" s="2" t="s">
        <v>4311</v>
      </c>
      <c r="C1438" s="2" t="s">
        <v>4312</v>
      </c>
      <c r="D1438" s="2" t="s">
        <v>10044</v>
      </c>
      <c r="E1438" s="15">
        <v>-4.5400000000000003E-2</v>
      </c>
      <c r="F1438" s="15">
        <v>6.7900000000000002E-2</v>
      </c>
      <c r="G1438" s="15">
        <v>0.50349999999999995</v>
      </c>
      <c r="H1438" s="15">
        <v>0.25069999999999998</v>
      </c>
      <c r="I1438" s="15">
        <v>5.3800000000000001E-2</v>
      </c>
      <c r="J1438" s="15">
        <v>4.6598513011152409</v>
      </c>
    </row>
    <row r="1439" spans="1:10" x14ac:dyDescent="0.25">
      <c r="A1439" s="2" t="s">
        <v>4313</v>
      </c>
      <c r="B1439" s="2" t="s">
        <v>4314</v>
      </c>
      <c r="C1439" s="2" t="s">
        <v>4315</v>
      </c>
      <c r="D1439" s="2" t="s">
        <v>10045</v>
      </c>
      <c r="E1439" s="15">
        <v>-4.4600000000000001E-2</v>
      </c>
      <c r="F1439" s="15">
        <v>6.7500000000000004E-2</v>
      </c>
      <c r="G1439" s="15">
        <v>0.50929999999999997</v>
      </c>
      <c r="H1439" s="15">
        <v>0.26290000000000002</v>
      </c>
      <c r="I1439" s="15">
        <v>5.4699999999999999E-2</v>
      </c>
      <c r="J1439" s="15">
        <v>4.8062157221206583</v>
      </c>
    </row>
    <row r="1440" spans="1:10" x14ac:dyDescent="0.25">
      <c r="A1440" s="2" t="s">
        <v>4316</v>
      </c>
      <c r="B1440" s="2" t="s">
        <v>4317</v>
      </c>
      <c r="C1440" s="2" t="s">
        <v>4318</v>
      </c>
      <c r="D1440" s="2" t="s">
        <v>10046</v>
      </c>
      <c r="E1440" s="15">
        <v>8.7900000000000006E-2</v>
      </c>
      <c r="F1440" s="15">
        <v>9.4100000000000003E-2</v>
      </c>
      <c r="G1440" s="15">
        <v>0.3503</v>
      </c>
      <c r="H1440" s="15">
        <v>0.15939999999999999</v>
      </c>
      <c r="I1440" s="15">
        <v>7.4800000000000005E-2</v>
      </c>
      <c r="J1440" s="15">
        <v>2.131016042780749</v>
      </c>
    </row>
    <row r="1441" spans="1:10" x14ac:dyDescent="0.25">
      <c r="A1441" s="2" t="s">
        <v>4319</v>
      </c>
      <c r="B1441" s="2" t="s">
        <v>4320</v>
      </c>
      <c r="C1441" s="2" t="s">
        <v>4321</v>
      </c>
      <c r="D1441" s="2" t="s">
        <v>10046</v>
      </c>
      <c r="E1441" s="15">
        <v>5.4699999999999999E-2</v>
      </c>
      <c r="F1441" s="15">
        <v>6.5299999999999997E-2</v>
      </c>
      <c r="G1441" s="15">
        <v>0.40229999999999999</v>
      </c>
      <c r="H1441" s="15">
        <v>0.23499999999999999</v>
      </c>
      <c r="I1441" s="15">
        <v>4.7699999999999999E-2</v>
      </c>
      <c r="J1441" s="15">
        <v>4.9266247379454926</v>
      </c>
    </row>
    <row r="1442" spans="1:10" x14ac:dyDescent="0.25">
      <c r="A1442" s="2" t="s">
        <v>4322</v>
      </c>
      <c r="B1442" s="2" t="s">
        <v>4323</v>
      </c>
      <c r="C1442" s="2" t="s">
        <v>4324</v>
      </c>
      <c r="D1442" s="2" t="s">
        <v>10046</v>
      </c>
      <c r="E1442" s="15">
        <v>-6.0000000000000001E-3</v>
      </c>
      <c r="F1442" s="15">
        <v>7.7100000000000002E-2</v>
      </c>
      <c r="G1442" s="15">
        <v>0.93779999999999997</v>
      </c>
      <c r="H1442" s="15">
        <v>0.18260000000000001</v>
      </c>
      <c r="I1442" s="15">
        <v>4.3700000000000003E-2</v>
      </c>
      <c r="J1442" s="15">
        <v>4.1784897025171626</v>
      </c>
    </row>
    <row r="1443" spans="1:10" x14ac:dyDescent="0.25">
      <c r="A1443" s="2" t="s">
        <v>4325</v>
      </c>
      <c r="B1443" s="2" t="s">
        <v>4326</v>
      </c>
      <c r="C1443" s="2" t="s">
        <v>4327</v>
      </c>
      <c r="D1443" s="2" t="s">
        <v>10046</v>
      </c>
      <c r="E1443" s="15">
        <v>-2.1100000000000001E-2</v>
      </c>
      <c r="F1443" s="15">
        <v>7.4899999999999994E-2</v>
      </c>
      <c r="G1443" s="15">
        <v>0.77829999999999999</v>
      </c>
      <c r="H1443" s="15">
        <v>0.17069999999999999</v>
      </c>
      <c r="I1443" s="15">
        <v>4.4299999999999999E-2</v>
      </c>
      <c r="J1443" s="15">
        <v>3.8532731376975171</v>
      </c>
    </row>
    <row r="1444" spans="1:10" x14ac:dyDescent="0.25">
      <c r="A1444" s="2" t="s">
        <v>4328</v>
      </c>
      <c r="B1444" s="2" t="s">
        <v>4329</v>
      </c>
      <c r="C1444" s="2" t="s">
        <v>4330</v>
      </c>
      <c r="D1444" s="2" t="s">
        <v>10046</v>
      </c>
      <c r="E1444" s="15">
        <v>5.5999999999999999E-3</v>
      </c>
      <c r="F1444" s="15">
        <v>6.1800000000000001E-2</v>
      </c>
      <c r="G1444" s="15">
        <v>0.92800000000000005</v>
      </c>
      <c r="H1444" s="15">
        <v>0.31040000000000001</v>
      </c>
      <c r="I1444" s="15">
        <v>5.5599999999999997E-2</v>
      </c>
      <c r="J1444" s="15">
        <v>5.5827338129496411</v>
      </c>
    </row>
    <row r="1445" spans="1:10" x14ac:dyDescent="0.25">
      <c r="A1445" s="2" t="s">
        <v>4331</v>
      </c>
      <c r="B1445" s="2" t="s">
        <v>4332</v>
      </c>
      <c r="C1445" s="2" t="s">
        <v>4333</v>
      </c>
      <c r="D1445" s="2" t="s">
        <v>10046</v>
      </c>
      <c r="E1445" s="15">
        <v>3.9300000000000002E-2</v>
      </c>
      <c r="F1445" s="15">
        <v>5.2999999999999999E-2</v>
      </c>
      <c r="G1445" s="15">
        <v>0.45789999999999997</v>
      </c>
      <c r="H1445" s="15">
        <v>0.3871</v>
      </c>
      <c r="I1445" s="15">
        <v>5.4600000000000003E-2</v>
      </c>
      <c r="J1445" s="15">
        <v>7.0897435897435894</v>
      </c>
    </row>
    <row r="1446" spans="1:10" x14ac:dyDescent="0.25">
      <c r="A1446" s="2" t="s">
        <v>4334</v>
      </c>
      <c r="B1446" s="2" t="s">
        <v>4335</v>
      </c>
      <c r="C1446" s="2" t="s">
        <v>4336</v>
      </c>
      <c r="D1446" s="2" t="s">
        <v>10046</v>
      </c>
      <c r="E1446" s="15">
        <v>1.14E-2</v>
      </c>
      <c r="F1446" s="15">
        <v>6.7199999999999996E-2</v>
      </c>
      <c r="G1446" s="15">
        <v>0.86519999999999997</v>
      </c>
      <c r="H1446" s="15">
        <v>0.28029999999999999</v>
      </c>
      <c r="I1446" s="15">
        <v>4.9500000000000002E-2</v>
      </c>
      <c r="J1446" s="15">
        <v>5.6626262626262616</v>
      </c>
    </row>
    <row r="1447" spans="1:10" x14ac:dyDescent="0.25">
      <c r="A1447" s="2" t="s">
        <v>4337</v>
      </c>
      <c r="B1447" s="2" t="s">
        <v>4338</v>
      </c>
      <c r="C1447" s="2" t="s">
        <v>4339</v>
      </c>
      <c r="D1447" s="2" t="s">
        <v>10046</v>
      </c>
      <c r="E1447" s="15">
        <v>-8.5000000000000006E-3</v>
      </c>
      <c r="F1447" s="15">
        <v>6.0999999999999999E-2</v>
      </c>
      <c r="G1447" s="15">
        <v>0.8891</v>
      </c>
      <c r="H1447" s="15">
        <v>0.31190000000000001</v>
      </c>
      <c r="I1447" s="15">
        <v>5.3900000000000003E-2</v>
      </c>
      <c r="J1447" s="15">
        <v>5.7866419294990719</v>
      </c>
    </row>
    <row r="1448" spans="1:10" x14ac:dyDescent="0.25">
      <c r="A1448" s="2" t="s">
        <v>4340</v>
      </c>
      <c r="B1448" s="2" t="s">
        <v>4341</v>
      </c>
      <c r="C1448" s="2" t="s">
        <v>4342</v>
      </c>
      <c r="D1448" s="2" t="s">
        <v>10046</v>
      </c>
      <c r="E1448" s="15">
        <v>-0.25469999999999998</v>
      </c>
      <c r="F1448" s="15">
        <v>0.13250000000000001</v>
      </c>
      <c r="G1448" s="15">
        <v>5.4600000000000003E-2</v>
      </c>
      <c r="H1448" s="15">
        <v>7.6499999999999999E-2</v>
      </c>
      <c r="I1448" s="15">
        <v>3.9899999999999998E-2</v>
      </c>
      <c r="J1448" s="15">
        <v>1.917293233082707</v>
      </c>
    </row>
    <row r="1449" spans="1:10" x14ac:dyDescent="0.25">
      <c r="A1449" s="2" t="s">
        <v>4343</v>
      </c>
      <c r="B1449" s="2" t="s">
        <v>4344</v>
      </c>
      <c r="C1449" s="2" t="s">
        <v>4345</v>
      </c>
      <c r="D1449" s="2" t="s">
        <v>10046</v>
      </c>
      <c r="E1449" s="15">
        <v>-0.15090000000000001</v>
      </c>
      <c r="F1449" s="15">
        <v>0.1225</v>
      </c>
      <c r="G1449" s="15">
        <v>0.21790000000000001</v>
      </c>
      <c r="H1449" s="15">
        <v>9.2399999999999996E-2</v>
      </c>
      <c r="I1449" s="15">
        <v>4.0300000000000002E-2</v>
      </c>
      <c r="J1449" s="15">
        <v>2.2928039702233249</v>
      </c>
    </row>
    <row r="1450" spans="1:10" x14ac:dyDescent="0.25">
      <c r="A1450" s="2" t="s">
        <v>4346</v>
      </c>
      <c r="B1450" s="2" t="s">
        <v>4347</v>
      </c>
      <c r="C1450" s="2" t="s">
        <v>4348</v>
      </c>
      <c r="D1450" s="2" t="s">
        <v>10046</v>
      </c>
      <c r="E1450" s="15">
        <v>-0.13900000000000001</v>
      </c>
      <c r="F1450" s="15">
        <v>0.15129999999999999</v>
      </c>
      <c r="G1450" s="15">
        <v>0.35820000000000002</v>
      </c>
      <c r="H1450" s="15">
        <v>5.1799999999999999E-2</v>
      </c>
      <c r="I1450" s="15">
        <v>3.7600000000000001E-2</v>
      </c>
      <c r="J1450" s="15">
        <v>1.3776595744680851</v>
      </c>
    </row>
    <row r="1451" spans="1:10" x14ac:dyDescent="0.25">
      <c r="A1451" s="2" t="s">
        <v>4349</v>
      </c>
      <c r="B1451" s="2" t="s">
        <v>4350</v>
      </c>
      <c r="C1451" s="2" t="s">
        <v>4351</v>
      </c>
      <c r="D1451" s="2" t="s">
        <v>10046</v>
      </c>
      <c r="E1451" s="15">
        <v>1.2699999999999999E-2</v>
      </c>
      <c r="F1451" s="15">
        <v>0.14729999999999999</v>
      </c>
      <c r="G1451" s="15">
        <v>0.93149999999999999</v>
      </c>
      <c r="H1451" s="15">
        <v>5.2999999999999999E-2</v>
      </c>
      <c r="I1451" s="15">
        <v>3.7699999999999997E-2</v>
      </c>
      <c r="J1451" s="15">
        <v>1.4058355437665779</v>
      </c>
    </row>
    <row r="1452" spans="1:10" x14ac:dyDescent="0.25">
      <c r="A1452" s="2" t="s">
        <v>4352</v>
      </c>
      <c r="B1452" s="2" t="s">
        <v>4353</v>
      </c>
      <c r="C1452" s="2" t="s">
        <v>4354</v>
      </c>
      <c r="D1452" s="2" t="s">
        <v>10046</v>
      </c>
      <c r="E1452" s="15">
        <v>-2.9100000000000001E-2</v>
      </c>
      <c r="F1452" s="15">
        <v>8.2000000000000003E-2</v>
      </c>
      <c r="G1452" s="15">
        <v>0.72219999999999995</v>
      </c>
      <c r="H1452" s="15">
        <v>0.184</v>
      </c>
      <c r="I1452" s="15">
        <v>4.6199999999999998E-2</v>
      </c>
      <c r="J1452" s="15">
        <v>3.9826839826839828</v>
      </c>
    </row>
    <row r="1453" spans="1:10" x14ac:dyDescent="0.25">
      <c r="A1453" s="2" t="s">
        <v>4355</v>
      </c>
      <c r="B1453" s="2" t="s">
        <v>4356</v>
      </c>
      <c r="C1453" s="2" t="s">
        <v>4357</v>
      </c>
      <c r="D1453" s="2" t="s">
        <v>10046</v>
      </c>
      <c r="E1453" s="15">
        <v>-0.10970000000000001</v>
      </c>
      <c r="F1453" s="15">
        <v>0.1003</v>
      </c>
      <c r="G1453" s="15">
        <v>0.27450000000000002</v>
      </c>
      <c r="H1453" s="15">
        <v>0.1105</v>
      </c>
      <c r="I1453" s="15">
        <v>4.4999999999999998E-2</v>
      </c>
      <c r="J1453" s="15">
        <v>2.4555555555555562</v>
      </c>
    </row>
    <row r="1454" spans="1:10" x14ac:dyDescent="0.25">
      <c r="A1454" s="2" t="s">
        <v>4358</v>
      </c>
      <c r="B1454" s="2" t="s">
        <v>4359</v>
      </c>
      <c r="C1454" s="2" t="s">
        <v>4360</v>
      </c>
      <c r="D1454" s="2" t="s">
        <v>10047</v>
      </c>
      <c r="E1454" s="15">
        <v>0.1086</v>
      </c>
      <c r="F1454" s="15">
        <v>6.7799999999999999E-2</v>
      </c>
      <c r="G1454" s="15">
        <v>0.109</v>
      </c>
      <c r="H1454" s="15">
        <v>0.25900000000000001</v>
      </c>
      <c r="I1454" s="15">
        <v>4.3499999999999997E-2</v>
      </c>
      <c r="J1454" s="15">
        <v>5.9540229885057476</v>
      </c>
    </row>
    <row r="1455" spans="1:10" x14ac:dyDescent="0.25">
      <c r="A1455" s="2" t="s">
        <v>4361</v>
      </c>
      <c r="B1455" s="2" t="s">
        <v>4362</v>
      </c>
      <c r="C1455" s="2" t="s">
        <v>4363</v>
      </c>
      <c r="D1455" s="2" t="s">
        <v>10047</v>
      </c>
      <c r="E1455" s="15">
        <v>-7.1000000000000004E-3</v>
      </c>
      <c r="F1455" s="15">
        <v>8.0500000000000002E-2</v>
      </c>
      <c r="G1455" s="15">
        <v>0.92949999999999999</v>
      </c>
      <c r="H1455" s="15">
        <v>0.16300000000000001</v>
      </c>
      <c r="I1455" s="15">
        <v>4.53E-2</v>
      </c>
      <c r="J1455" s="15">
        <v>3.5982339955849891</v>
      </c>
    </row>
    <row r="1456" spans="1:10" x14ac:dyDescent="0.25">
      <c r="A1456" s="2" t="s">
        <v>4364</v>
      </c>
      <c r="B1456" s="2" t="s">
        <v>4365</v>
      </c>
      <c r="C1456" s="2" t="s">
        <v>4366</v>
      </c>
      <c r="D1456" s="2" t="s">
        <v>10047</v>
      </c>
      <c r="E1456" s="15">
        <v>1.77E-2</v>
      </c>
      <c r="F1456" s="15">
        <v>6.0199999999999997E-2</v>
      </c>
      <c r="G1456" s="15">
        <v>0.76890000000000003</v>
      </c>
      <c r="H1456" s="15">
        <v>0.30730000000000002</v>
      </c>
      <c r="I1456" s="15">
        <v>4.4499999999999998E-2</v>
      </c>
      <c r="J1456" s="15">
        <v>6.9056179775280908</v>
      </c>
    </row>
    <row r="1457" spans="1:10" x14ac:dyDescent="0.25">
      <c r="A1457" s="2" t="s">
        <v>4367</v>
      </c>
      <c r="B1457" s="2" t="s">
        <v>4368</v>
      </c>
      <c r="C1457" s="2" t="s">
        <v>4369</v>
      </c>
      <c r="D1457" s="2" t="s">
        <v>10047</v>
      </c>
      <c r="E1457" s="15">
        <v>1.9400000000000001E-2</v>
      </c>
      <c r="F1457" s="15">
        <v>5.9200000000000003E-2</v>
      </c>
      <c r="G1457" s="15">
        <v>0.74370000000000003</v>
      </c>
      <c r="H1457" s="15">
        <v>0.29399999999999998</v>
      </c>
      <c r="I1457" s="15">
        <v>4.5900000000000003E-2</v>
      </c>
      <c r="J1457" s="15">
        <v>6.4052287581699341</v>
      </c>
    </row>
    <row r="1458" spans="1:10" x14ac:dyDescent="0.25">
      <c r="A1458" s="2" t="s">
        <v>4370</v>
      </c>
      <c r="B1458" s="2" t="s">
        <v>4371</v>
      </c>
      <c r="C1458" s="2" t="s">
        <v>4372</v>
      </c>
      <c r="D1458" s="2" t="s">
        <v>10047</v>
      </c>
      <c r="E1458" s="15">
        <v>0.1215</v>
      </c>
      <c r="F1458" s="15">
        <v>7.3999999999999996E-2</v>
      </c>
      <c r="G1458" s="15">
        <v>0.1004</v>
      </c>
      <c r="H1458" s="15">
        <v>0.22700000000000001</v>
      </c>
      <c r="I1458" s="15">
        <v>4.8000000000000001E-2</v>
      </c>
      <c r="J1458" s="15">
        <v>4.729166666666667</v>
      </c>
    </row>
    <row r="1459" spans="1:10" x14ac:dyDescent="0.25">
      <c r="A1459" s="2" t="s">
        <v>4373</v>
      </c>
      <c r="B1459" s="2" t="s">
        <v>4374</v>
      </c>
      <c r="C1459" s="2" t="s">
        <v>4375</v>
      </c>
      <c r="D1459" s="2" t="s">
        <v>10047</v>
      </c>
      <c r="E1459" s="15">
        <v>-0.13020000000000001</v>
      </c>
      <c r="F1459" s="15">
        <v>7.3400000000000007E-2</v>
      </c>
      <c r="G1459" s="15">
        <v>7.6300000000000007E-2</v>
      </c>
      <c r="H1459" s="15">
        <v>0.23580000000000001</v>
      </c>
      <c r="I1459" s="15">
        <v>4.7100000000000003E-2</v>
      </c>
      <c r="J1459" s="15">
        <v>5.0063694267515926</v>
      </c>
    </row>
    <row r="1460" spans="1:10" x14ac:dyDescent="0.25">
      <c r="A1460" s="2" t="s">
        <v>4376</v>
      </c>
      <c r="B1460" s="2" t="s">
        <v>4377</v>
      </c>
      <c r="C1460" s="2" t="s">
        <v>4378</v>
      </c>
      <c r="D1460" s="2" t="s">
        <v>10047</v>
      </c>
      <c r="E1460" s="15">
        <v>6.1199999999999997E-2</v>
      </c>
      <c r="F1460" s="15">
        <v>7.6200000000000004E-2</v>
      </c>
      <c r="G1460" s="15">
        <v>0.42159999999999997</v>
      </c>
      <c r="H1460" s="15">
        <v>0.17599999999999999</v>
      </c>
      <c r="I1460" s="15">
        <v>4.41E-2</v>
      </c>
      <c r="J1460" s="15">
        <v>3.9909297052154189</v>
      </c>
    </row>
    <row r="1461" spans="1:10" x14ac:dyDescent="0.25">
      <c r="A1461" s="2" t="s">
        <v>4379</v>
      </c>
      <c r="B1461" s="2" t="s">
        <v>4380</v>
      </c>
      <c r="C1461" s="2" t="s">
        <v>4381</v>
      </c>
      <c r="D1461" s="2" t="s">
        <v>10047</v>
      </c>
      <c r="E1461" s="15">
        <v>0.2326</v>
      </c>
      <c r="F1461" s="15">
        <v>0.1061</v>
      </c>
      <c r="G1461" s="15">
        <v>2.8400000000000002E-2</v>
      </c>
      <c r="H1461" s="15">
        <v>0.109</v>
      </c>
      <c r="I1461" s="15">
        <v>3.6600000000000001E-2</v>
      </c>
      <c r="J1461" s="15">
        <v>2.9781420765027322</v>
      </c>
    </row>
    <row r="1462" spans="1:10" x14ac:dyDescent="0.25">
      <c r="A1462" s="2" t="s">
        <v>4382</v>
      </c>
      <c r="B1462" s="2" t="s">
        <v>4383</v>
      </c>
      <c r="C1462" s="2" t="s">
        <v>4384</v>
      </c>
      <c r="D1462" s="2" t="s">
        <v>10047</v>
      </c>
      <c r="E1462" s="15">
        <v>5.33E-2</v>
      </c>
      <c r="F1462" s="15">
        <v>7.46E-2</v>
      </c>
      <c r="G1462" s="15">
        <v>0.47470000000000001</v>
      </c>
      <c r="H1462" s="15">
        <v>0.18690000000000001</v>
      </c>
      <c r="I1462" s="15">
        <v>3.9300000000000002E-2</v>
      </c>
      <c r="J1462" s="15">
        <v>4.7557251908396951</v>
      </c>
    </row>
    <row r="1463" spans="1:10" x14ac:dyDescent="0.25">
      <c r="A1463" s="2" t="s">
        <v>4385</v>
      </c>
      <c r="B1463" s="2" t="s">
        <v>4386</v>
      </c>
      <c r="C1463" s="2" t="s">
        <v>4387</v>
      </c>
      <c r="D1463" s="2" t="s">
        <v>10047</v>
      </c>
      <c r="E1463" s="15">
        <v>7.5700000000000003E-2</v>
      </c>
      <c r="F1463" s="15">
        <v>9.7299999999999998E-2</v>
      </c>
      <c r="G1463" s="15">
        <v>0.43640000000000001</v>
      </c>
      <c r="H1463" s="15">
        <v>0.12089999999999999</v>
      </c>
      <c r="I1463" s="15">
        <v>4.0599999999999997E-2</v>
      </c>
      <c r="J1463" s="15">
        <v>2.9778325123152709</v>
      </c>
    </row>
    <row r="1464" spans="1:10" x14ac:dyDescent="0.25">
      <c r="A1464" s="2" t="s">
        <v>4388</v>
      </c>
      <c r="B1464" s="2" t="s">
        <v>4389</v>
      </c>
      <c r="C1464" s="2" t="s">
        <v>4390</v>
      </c>
      <c r="D1464" s="2" t="s">
        <v>10047</v>
      </c>
      <c r="E1464" s="15">
        <v>-4.48E-2</v>
      </c>
      <c r="F1464" s="15">
        <v>6.3600000000000004E-2</v>
      </c>
      <c r="G1464" s="15">
        <v>0.48139999999999999</v>
      </c>
      <c r="H1464" s="15">
        <v>0.2586</v>
      </c>
      <c r="I1464" s="15">
        <v>4.1799999999999997E-2</v>
      </c>
      <c r="J1464" s="15">
        <v>6.1866028708133971</v>
      </c>
    </row>
    <row r="1465" spans="1:10" x14ac:dyDescent="0.25">
      <c r="A1465" s="2" t="s">
        <v>4391</v>
      </c>
      <c r="B1465" s="2" t="s">
        <v>4392</v>
      </c>
      <c r="C1465" s="2" t="s">
        <v>4393</v>
      </c>
      <c r="D1465" s="2" t="s">
        <v>10047</v>
      </c>
      <c r="E1465" s="15">
        <v>-1.5900000000000001E-2</v>
      </c>
      <c r="F1465" s="15">
        <v>7.2900000000000006E-2</v>
      </c>
      <c r="G1465" s="15">
        <v>0.82779999999999998</v>
      </c>
      <c r="H1465" s="15">
        <v>0.17979999999999999</v>
      </c>
      <c r="I1465" s="15">
        <v>3.9899999999999998E-2</v>
      </c>
      <c r="J1465" s="15">
        <v>4.5062656641604013</v>
      </c>
    </row>
    <row r="1466" spans="1:10" x14ac:dyDescent="0.25">
      <c r="A1466" s="2" t="s">
        <v>4394</v>
      </c>
      <c r="B1466" s="2" t="s">
        <v>4395</v>
      </c>
      <c r="C1466" s="2" t="s">
        <v>4396</v>
      </c>
      <c r="D1466" s="2" t="s">
        <v>10047</v>
      </c>
      <c r="E1466" s="15">
        <v>0.14099999999999999</v>
      </c>
      <c r="F1466" s="15">
        <v>5.7200000000000001E-2</v>
      </c>
      <c r="G1466" s="15">
        <v>1.38E-2</v>
      </c>
      <c r="H1466" s="15">
        <v>0.2959</v>
      </c>
      <c r="I1466" s="15">
        <v>4.1300000000000003E-2</v>
      </c>
      <c r="J1466" s="15">
        <v>7.1646489104116213</v>
      </c>
    </row>
    <row r="1467" spans="1:10" x14ac:dyDescent="0.25">
      <c r="A1467" s="2" t="s">
        <v>4397</v>
      </c>
      <c r="B1467" s="2" t="s">
        <v>4398</v>
      </c>
      <c r="C1467" s="2" t="s">
        <v>4399</v>
      </c>
      <c r="D1467" s="2" t="s">
        <v>10047</v>
      </c>
      <c r="E1467" s="15">
        <v>0.16239999999999999</v>
      </c>
      <c r="F1467" s="15">
        <v>6.0299999999999999E-2</v>
      </c>
      <c r="G1467" s="15">
        <v>7.1000000000000004E-3</v>
      </c>
      <c r="H1467" s="15">
        <v>0.28249999999999997</v>
      </c>
      <c r="I1467" s="15">
        <v>4.0399999999999998E-2</v>
      </c>
      <c r="J1467" s="15">
        <v>6.9925742574257423</v>
      </c>
    </row>
    <row r="1468" spans="1:10" x14ac:dyDescent="0.25">
      <c r="A1468" s="2" t="s">
        <v>4400</v>
      </c>
      <c r="B1468" s="2" t="s">
        <v>4401</v>
      </c>
      <c r="C1468" s="2" t="s">
        <v>4402</v>
      </c>
      <c r="D1468" s="2" t="s">
        <v>10047</v>
      </c>
      <c r="E1468" s="15">
        <v>6.1100000000000002E-2</v>
      </c>
      <c r="F1468" s="15">
        <v>6.9099999999999995E-2</v>
      </c>
      <c r="G1468" s="15">
        <v>0.37680000000000002</v>
      </c>
      <c r="H1468" s="15">
        <v>0.2661</v>
      </c>
      <c r="I1468" s="15">
        <v>4.3999999999999997E-2</v>
      </c>
      <c r="J1468" s="15">
        <v>6.0477272727272728</v>
      </c>
    </row>
    <row r="1469" spans="1:10" x14ac:dyDescent="0.25">
      <c r="A1469" s="2" t="s">
        <v>4403</v>
      </c>
      <c r="B1469" s="2" t="s">
        <v>4404</v>
      </c>
      <c r="C1469" s="2" t="s">
        <v>4405</v>
      </c>
      <c r="D1469" s="2" t="s">
        <v>10047</v>
      </c>
      <c r="E1469" s="15">
        <v>6.4199999999999993E-2</v>
      </c>
      <c r="F1469" s="15">
        <v>7.4899999999999994E-2</v>
      </c>
      <c r="G1469" s="15">
        <v>0.39119999999999999</v>
      </c>
      <c r="H1469" s="15">
        <v>0.2349</v>
      </c>
      <c r="I1469" s="15">
        <v>4.19E-2</v>
      </c>
      <c r="J1469" s="15">
        <v>5.6062052505966591</v>
      </c>
    </row>
    <row r="1470" spans="1:10" x14ac:dyDescent="0.25">
      <c r="A1470" s="2" t="s">
        <v>4406</v>
      </c>
      <c r="B1470" s="2" t="s">
        <v>4407</v>
      </c>
      <c r="C1470" s="2" t="s">
        <v>4408</v>
      </c>
      <c r="D1470" s="2" t="s">
        <v>10047</v>
      </c>
      <c r="E1470" s="15">
        <v>6.0400000000000002E-2</v>
      </c>
      <c r="F1470" s="15">
        <v>7.17E-2</v>
      </c>
      <c r="G1470" s="15">
        <v>0.39900000000000002</v>
      </c>
      <c r="H1470" s="15">
        <v>0.27979999999999999</v>
      </c>
      <c r="I1470" s="15">
        <v>4.48E-2</v>
      </c>
      <c r="J1470" s="15">
        <v>6.2455357142857144</v>
      </c>
    </row>
    <row r="1471" spans="1:10" x14ac:dyDescent="0.25">
      <c r="A1471" s="2" t="s">
        <v>4409</v>
      </c>
      <c r="B1471" s="2" t="s">
        <v>4410</v>
      </c>
      <c r="C1471" s="2" t="s">
        <v>4411</v>
      </c>
      <c r="D1471" s="2" t="s">
        <v>10047</v>
      </c>
      <c r="E1471" s="15">
        <v>1.46E-2</v>
      </c>
      <c r="F1471" s="15">
        <v>7.1999999999999995E-2</v>
      </c>
      <c r="G1471" s="15">
        <v>0.83960000000000001</v>
      </c>
      <c r="H1471" s="15">
        <v>0.26800000000000002</v>
      </c>
      <c r="I1471" s="15">
        <v>4.7899999999999998E-2</v>
      </c>
      <c r="J1471" s="15">
        <v>5.5949895615866394</v>
      </c>
    </row>
    <row r="1472" spans="1:10" x14ac:dyDescent="0.25">
      <c r="A1472" s="2" t="s">
        <v>4412</v>
      </c>
      <c r="B1472" s="2" t="s">
        <v>4413</v>
      </c>
      <c r="C1472" s="2" t="s">
        <v>4414</v>
      </c>
      <c r="D1472" s="2" t="s">
        <v>10047</v>
      </c>
      <c r="E1472" s="15">
        <v>0.1018</v>
      </c>
      <c r="F1472" s="15">
        <v>7.1599999999999997E-2</v>
      </c>
      <c r="G1472" s="15">
        <v>0.155</v>
      </c>
      <c r="H1472" s="15">
        <v>0.27460000000000001</v>
      </c>
      <c r="I1472" s="15">
        <v>4.9599999999999998E-2</v>
      </c>
      <c r="J1472" s="15">
        <v>5.5362903225806459</v>
      </c>
    </row>
    <row r="1473" spans="1:10" x14ac:dyDescent="0.25">
      <c r="A1473" s="2" t="s">
        <v>4415</v>
      </c>
      <c r="B1473" s="2" t="s">
        <v>4416</v>
      </c>
      <c r="C1473" s="2" t="s">
        <v>4417</v>
      </c>
      <c r="D1473" s="2" t="s">
        <v>10047</v>
      </c>
      <c r="E1473" s="15">
        <v>8.9899999999999994E-2</v>
      </c>
      <c r="F1473" s="15">
        <v>6.3200000000000006E-2</v>
      </c>
      <c r="G1473" s="15">
        <v>0.15490000000000001</v>
      </c>
      <c r="H1473" s="15">
        <v>0.33169999999999999</v>
      </c>
      <c r="I1473" s="15">
        <v>5.3199999999999997E-2</v>
      </c>
      <c r="J1473" s="15">
        <v>6.2349624060150379</v>
      </c>
    </row>
    <row r="1474" spans="1:10" x14ac:dyDescent="0.25">
      <c r="A1474" s="2" t="s">
        <v>4418</v>
      </c>
      <c r="B1474" s="2" t="s">
        <v>4419</v>
      </c>
      <c r="C1474" s="2" t="s">
        <v>4420</v>
      </c>
      <c r="D1474" s="2" t="s">
        <v>10047</v>
      </c>
      <c r="E1474" s="15">
        <v>0.106</v>
      </c>
      <c r="F1474" s="15">
        <v>6.6799999999999998E-2</v>
      </c>
      <c r="G1474" s="15">
        <v>0.1125</v>
      </c>
      <c r="H1474" s="15">
        <v>0.25</v>
      </c>
      <c r="I1474" s="15">
        <v>4.7E-2</v>
      </c>
      <c r="J1474" s="15">
        <v>5.3191489361702127</v>
      </c>
    </row>
    <row r="1475" spans="1:10" x14ac:dyDescent="0.25">
      <c r="A1475" s="2" t="s">
        <v>4421</v>
      </c>
      <c r="B1475" s="2" t="s">
        <v>4422</v>
      </c>
      <c r="C1475" s="2" t="s">
        <v>4423</v>
      </c>
      <c r="D1475" s="2" t="s">
        <v>10047</v>
      </c>
      <c r="E1475" s="15">
        <v>4.0899999999999999E-2</v>
      </c>
      <c r="F1475" s="15">
        <v>7.3499999999999996E-2</v>
      </c>
      <c r="G1475" s="15">
        <v>0.57799999999999996</v>
      </c>
      <c r="H1475" s="15">
        <v>0.22289999999999999</v>
      </c>
      <c r="I1475" s="15">
        <v>4.7600000000000003E-2</v>
      </c>
      <c r="J1475" s="15">
        <v>4.6827731092436968</v>
      </c>
    </row>
    <row r="1476" spans="1:10" x14ac:dyDescent="0.25">
      <c r="A1476" s="2" t="s">
        <v>4424</v>
      </c>
      <c r="B1476" s="2" t="s">
        <v>4425</v>
      </c>
      <c r="C1476" s="2" t="s">
        <v>4426</v>
      </c>
      <c r="D1476" s="2" t="s">
        <v>10047</v>
      </c>
      <c r="E1476" s="15">
        <v>1.6299999999999999E-2</v>
      </c>
      <c r="F1476" s="15">
        <v>6.3899999999999998E-2</v>
      </c>
      <c r="G1476" s="15">
        <v>0.79800000000000004</v>
      </c>
      <c r="H1476" s="15">
        <v>0.29949999999999999</v>
      </c>
      <c r="I1476" s="15">
        <v>4.4200000000000003E-2</v>
      </c>
      <c r="J1476" s="15">
        <v>6.7760180995475103</v>
      </c>
    </row>
    <row r="1477" spans="1:10" x14ac:dyDescent="0.25">
      <c r="A1477" s="2" t="s">
        <v>4427</v>
      </c>
      <c r="B1477" s="2" t="s">
        <v>4428</v>
      </c>
      <c r="C1477" s="2" t="s">
        <v>4429</v>
      </c>
      <c r="D1477" s="2" t="s">
        <v>10047</v>
      </c>
      <c r="E1477" s="15">
        <v>2.3199999999999998E-2</v>
      </c>
      <c r="F1477" s="15">
        <v>6.2E-2</v>
      </c>
      <c r="G1477" s="15">
        <v>0.70840000000000003</v>
      </c>
      <c r="H1477" s="15">
        <v>0.3165</v>
      </c>
      <c r="I1477" s="15">
        <v>4.4999999999999998E-2</v>
      </c>
      <c r="J1477" s="15">
        <v>7.0333333333333341</v>
      </c>
    </row>
    <row r="1478" spans="1:10" x14ac:dyDescent="0.25">
      <c r="A1478" s="2" t="s">
        <v>4430</v>
      </c>
      <c r="B1478" s="2" t="s">
        <v>4431</v>
      </c>
      <c r="C1478" s="2" t="s">
        <v>4432</v>
      </c>
      <c r="D1478" s="2" t="s">
        <v>10047</v>
      </c>
      <c r="E1478" s="15">
        <v>0.1047</v>
      </c>
      <c r="F1478" s="15">
        <v>7.2400000000000006E-2</v>
      </c>
      <c r="G1478" s="15">
        <v>0.1479</v>
      </c>
      <c r="H1478" s="15">
        <v>0.24859999999999999</v>
      </c>
      <c r="I1478" s="15">
        <v>4.6199999999999998E-2</v>
      </c>
      <c r="J1478" s="15">
        <v>5.3809523809523796</v>
      </c>
    </row>
    <row r="1479" spans="1:10" x14ac:dyDescent="0.25">
      <c r="A1479" s="2" t="s">
        <v>4433</v>
      </c>
      <c r="B1479" s="2" t="s">
        <v>4434</v>
      </c>
      <c r="C1479" s="2" t="s">
        <v>4435</v>
      </c>
      <c r="D1479" s="2" t="s">
        <v>10047</v>
      </c>
      <c r="E1479" s="15">
        <v>0.15740000000000001</v>
      </c>
      <c r="F1479" s="15">
        <v>8.0500000000000002E-2</v>
      </c>
      <c r="G1479" s="15">
        <v>5.04E-2</v>
      </c>
      <c r="H1479" s="15">
        <v>0.20100000000000001</v>
      </c>
      <c r="I1479" s="15">
        <v>4.7199999999999999E-2</v>
      </c>
      <c r="J1479" s="15">
        <v>4.2584745762711869</v>
      </c>
    </row>
    <row r="1480" spans="1:10" x14ac:dyDescent="0.25">
      <c r="A1480" s="2" t="s">
        <v>4436</v>
      </c>
      <c r="B1480" s="2" t="s">
        <v>4437</v>
      </c>
      <c r="C1480" s="2" t="s">
        <v>4438</v>
      </c>
      <c r="D1480" s="2" t="s">
        <v>10047</v>
      </c>
      <c r="E1480" s="15">
        <v>0.1638</v>
      </c>
      <c r="F1480" s="15">
        <v>8.6999999999999994E-2</v>
      </c>
      <c r="G1480" s="15">
        <v>5.9499999999999997E-2</v>
      </c>
      <c r="H1480" s="15">
        <v>0.21079999999999999</v>
      </c>
      <c r="I1480" s="15">
        <v>4.2500000000000003E-2</v>
      </c>
      <c r="J1480" s="15">
        <v>4.9599999999999991</v>
      </c>
    </row>
    <row r="1481" spans="1:10" x14ac:dyDescent="0.25">
      <c r="A1481" s="2" t="s">
        <v>4439</v>
      </c>
      <c r="B1481" s="2" t="s">
        <v>4440</v>
      </c>
      <c r="C1481" s="2" t="s">
        <v>4441</v>
      </c>
      <c r="D1481" s="2" t="s">
        <v>10047</v>
      </c>
      <c r="E1481" s="15">
        <v>0.1071</v>
      </c>
      <c r="F1481" s="15">
        <v>8.2799999999999999E-2</v>
      </c>
      <c r="G1481" s="15">
        <v>0.1958</v>
      </c>
      <c r="H1481" s="15">
        <v>0.22550000000000001</v>
      </c>
      <c r="I1481" s="15">
        <v>4.87E-2</v>
      </c>
      <c r="J1481" s="15">
        <v>4.6303901437371664</v>
      </c>
    </row>
    <row r="1482" spans="1:10" x14ac:dyDescent="0.25">
      <c r="A1482" s="2" t="s">
        <v>4442</v>
      </c>
      <c r="B1482" s="2" t="s">
        <v>4443</v>
      </c>
      <c r="C1482" s="2" t="s">
        <v>4444</v>
      </c>
      <c r="D1482" s="2" t="s">
        <v>10047</v>
      </c>
      <c r="E1482" s="15">
        <v>0.12939999999999999</v>
      </c>
      <c r="F1482" s="15">
        <v>7.1099999999999997E-2</v>
      </c>
      <c r="G1482" s="15">
        <v>6.8699999999999997E-2</v>
      </c>
      <c r="H1482" s="15">
        <v>0.26340000000000002</v>
      </c>
      <c r="I1482" s="15">
        <v>4.7800000000000002E-2</v>
      </c>
      <c r="J1482" s="15">
        <v>5.510460251046025</v>
      </c>
    </row>
    <row r="1483" spans="1:10" x14ac:dyDescent="0.25">
      <c r="A1483" s="2" t="s">
        <v>4445</v>
      </c>
      <c r="B1483" s="2" t="s">
        <v>4446</v>
      </c>
      <c r="C1483" s="2" t="s">
        <v>4447</v>
      </c>
      <c r="D1483" s="2" t="s">
        <v>10047</v>
      </c>
      <c r="E1483" s="15">
        <v>0.11459999999999999</v>
      </c>
      <c r="F1483" s="15">
        <v>6.5699999999999995E-2</v>
      </c>
      <c r="G1483" s="15">
        <v>8.1100000000000005E-2</v>
      </c>
      <c r="H1483" s="15">
        <v>0.27650000000000002</v>
      </c>
      <c r="I1483" s="15">
        <v>4.7E-2</v>
      </c>
      <c r="J1483" s="15">
        <v>5.8829787234042561</v>
      </c>
    </row>
    <row r="1484" spans="1:10" x14ac:dyDescent="0.25">
      <c r="A1484" s="2" t="s">
        <v>4448</v>
      </c>
      <c r="B1484" s="2" t="s">
        <v>4449</v>
      </c>
      <c r="C1484" s="2" t="s">
        <v>4450</v>
      </c>
      <c r="D1484" s="2" t="s">
        <v>10047</v>
      </c>
      <c r="E1484" s="15">
        <v>8.6699999999999999E-2</v>
      </c>
      <c r="F1484" s="15">
        <v>7.6399999999999996E-2</v>
      </c>
      <c r="G1484" s="15">
        <v>0.25600000000000001</v>
      </c>
      <c r="H1484" s="15">
        <v>0.27010000000000001</v>
      </c>
      <c r="I1484" s="15">
        <v>4.8000000000000001E-2</v>
      </c>
      <c r="J1484" s="15">
        <v>5.6270833333333332</v>
      </c>
    </row>
    <row r="1485" spans="1:10" x14ac:dyDescent="0.25">
      <c r="A1485" s="2" t="s">
        <v>4451</v>
      </c>
      <c r="B1485" s="2" t="s">
        <v>4452</v>
      </c>
      <c r="C1485" s="2" t="s">
        <v>4453</v>
      </c>
      <c r="D1485" s="2" t="s">
        <v>10047</v>
      </c>
      <c r="E1485" s="15">
        <v>6.4600000000000005E-2</v>
      </c>
      <c r="F1485" s="15">
        <v>7.4899999999999994E-2</v>
      </c>
      <c r="G1485" s="15">
        <v>0.3886</v>
      </c>
      <c r="H1485" s="15">
        <v>0.2298</v>
      </c>
      <c r="I1485" s="15">
        <v>4.87E-2</v>
      </c>
      <c r="J1485" s="15">
        <v>4.7186858316221763</v>
      </c>
    </row>
    <row r="1486" spans="1:10" x14ac:dyDescent="0.25">
      <c r="A1486" s="2" t="s">
        <v>4454</v>
      </c>
      <c r="B1486" s="2" t="s">
        <v>4455</v>
      </c>
      <c r="C1486" s="2" t="s">
        <v>4456</v>
      </c>
      <c r="D1486" s="2" t="s">
        <v>10047</v>
      </c>
      <c r="E1486" s="15">
        <v>8.0999999999999996E-3</v>
      </c>
      <c r="F1486" s="15">
        <v>7.4499999999999997E-2</v>
      </c>
      <c r="G1486" s="15">
        <v>0.91339999999999999</v>
      </c>
      <c r="H1486" s="15">
        <v>0.26629999999999998</v>
      </c>
      <c r="I1486" s="15">
        <v>4.6800000000000001E-2</v>
      </c>
      <c r="J1486" s="15">
        <v>5.6901709401709386</v>
      </c>
    </row>
    <row r="1487" spans="1:10" x14ac:dyDescent="0.25">
      <c r="A1487" s="2" t="s">
        <v>4457</v>
      </c>
      <c r="B1487" s="2" t="s">
        <v>4458</v>
      </c>
      <c r="C1487" s="2" t="s">
        <v>4459</v>
      </c>
      <c r="D1487" s="2" t="s">
        <v>10047</v>
      </c>
      <c r="E1487" s="15">
        <v>-1.5900000000000001E-2</v>
      </c>
      <c r="F1487" s="15">
        <v>7.4399999999999994E-2</v>
      </c>
      <c r="G1487" s="15">
        <v>0.83099999999999996</v>
      </c>
      <c r="H1487" s="15">
        <v>0.27879999999999999</v>
      </c>
      <c r="I1487" s="15">
        <v>4.4200000000000003E-2</v>
      </c>
      <c r="J1487" s="15">
        <v>6.3076923076923066</v>
      </c>
    </row>
    <row r="1488" spans="1:10" x14ac:dyDescent="0.25">
      <c r="A1488" s="2" t="s">
        <v>4460</v>
      </c>
      <c r="B1488" s="2" t="s">
        <v>4461</v>
      </c>
      <c r="C1488" s="2" t="s">
        <v>4462</v>
      </c>
      <c r="D1488" s="2" t="s">
        <v>10047</v>
      </c>
      <c r="E1488" s="15">
        <v>1.4999999999999999E-2</v>
      </c>
      <c r="F1488" s="15">
        <v>6.6100000000000006E-2</v>
      </c>
      <c r="G1488" s="15">
        <v>0.82079999999999997</v>
      </c>
      <c r="H1488" s="15">
        <v>0.3165</v>
      </c>
      <c r="I1488" s="15">
        <v>4.3099999999999999E-2</v>
      </c>
      <c r="J1488" s="15">
        <v>7.3433874709976799</v>
      </c>
    </row>
    <row r="1489" spans="1:10" x14ac:dyDescent="0.25">
      <c r="A1489" s="2" t="s">
        <v>4463</v>
      </c>
      <c r="B1489" s="2" t="s">
        <v>4464</v>
      </c>
      <c r="C1489" s="2" t="s">
        <v>4465</v>
      </c>
      <c r="D1489" s="2" t="s">
        <v>10047</v>
      </c>
      <c r="E1489" s="15">
        <v>5.5999999999999999E-3</v>
      </c>
      <c r="F1489" s="15">
        <v>6.7299999999999999E-2</v>
      </c>
      <c r="G1489" s="15">
        <v>0.93320000000000003</v>
      </c>
      <c r="H1489" s="15">
        <v>0.28349999999999997</v>
      </c>
      <c r="I1489" s="15">
        <v>4.6899999999999997E-2</v>
      </c>
      <c r="J1489" s="15">
        <v>6.044776119402985</v>
      </c>
    </row>
    <row r="1490" spans="1:10" x14ac:dyDescent="0.25">
      <c r="A1490" s="2" t="s">
        <v>4466</v>
      </c>
      <c r="B1490" s="2" t="s">
        <v>4467</v>
      </c>
      <c r="C1490" s="2" t="s">
        <v>4468</v>
      </c>
      <c r="D1490" s="2" t="s">
        <v>10047</v>
      </c>
      <c r="E1490" s="15">
        <v>0.1482</v>
      </c>
      <c r="F1490" s="15">
        <v>7.8100000000000003E-2</v>
      </c>
      <c r="G1490" s="15">
        <v>5.7599999999999998E-2</v>
      </c>
      <c r="H1490" s="15">
        <v>0.20349999999999999</v>
      </c>
      <c r="I1490" s="15">
        <v>4.0899999999999999E-2</v>
      </c>
      <c r="J1490" s="15">
        <v>4.9755501222493894</v>
      </c>
    </row>
    <row r="1491" spans="1:10" x14ac:dyDescent="0.25">
      <c r="A1491" s="2" t="s">
        <v>4469</v>
      </c>
      <c r="B1491" s="2" t="s">
        <v>4470</v>
      </c>
      <c r="C1491" s="2" t="s">
        <v>4471</v>
      </c>
      <c r="D1491" s="2" t="s">
        <v>10047</v>
      </c>
      <c r="E1491" s="15">
        <v>0.1038</v>
      </c>
      <c r="F1491" s="15">
        <v>6.4600000000000005E-2</v>
      </c>
      <c r="G1491" s="15">
        <v>0.1081</v>
      </c>
      <c r="H1491" s="15">
        <v>0.28710000000000002</v>
      </c>
      <c r="I1491" s="15">
        <v>3.85E-2</v>
      </c>
      <c r="J1491" s="15">
        <v>7.4571428571428582</v>
      </c>
    </row>
    <row r="1492" spans="1:10" x14ac:dyDescent="0.25">
      <c r="A1492" s="2" t="s">
        <v>4472</v>
      </c>
      <c r="B1492" s="2" t="s">
        <v>4473</v>
      </c>
      <c r="C1492" s="2" t="s">
        <v>4474</v>
      </c>
      <c r="D1492" s="2" t="s">
        <v>10047</v>
      </c>
      <c r="E1492" s="15">
        <v>1.9900000000000001E-2</v>
      </c>
      <c r="F1492" s="15">
        <v>6.7500000000000004E-2</v>
      </c>
      <c r="G1492" s="15">
        <v>0.76800000000000002</v>
      </c>
      <c r="H1492" s="15">
        <v>0.22339999999999999</v>
      </c>
      <c r="I1492" s="15">
        <v>4.3200000000000002E-2</v>
      </c>
      <c r="J1492" s="15">
        <v>5.1712962962962958</v>
      </c>
    </row>
    <row r="1493" spans="1:10" x14ac:dyDescent="0.25">
      <c r="A1493" s="2" t="s">
        <v>4475</v>
      </c>
      <c r="B1493" s="2" t="s">
        <v>4476</v>
      </c>
      <c r="C1493" s="2" t="s">
        <v>4477</v>
      </c>
      <c r="D1493" s="2" t="s">
        <v>10047</v>
      </c>
      <c r="E1493" s="15">
        <v>3.8399999999999997E-2</v>
      </c>
      <c r="F1493" s="15">
        <v>7.0800000000000002E-2</v>
      </c>
      <c r="G1493" s="15">
        <v>0.58720000000000006</v>
      </c>
      <c r="H1493" s="15">
        <v>0.2152</v>
      </c>
      <c r="I1493" s="15">
        <v>4.8000000000000001E-2</v>
      </c>
      <c r="J1493" s="15">
        <v>4.4833333333333334</v>
      </c>
    </row>
    <row r="1494" spans="1:10" x14ac:dyDescent="0.25">
      <c r="A1494" s="2" t="s">
        <v>4478</v>
      </c>
      <c r="B1494" s="2" t="s">
        <v>4479</v>
      </c>
      <c r="C1494" s="2" t="s">
        <v>4480</v>
      </c>
      <c r="D1494" s="2" t="s">
        <v>10047</v>
      </c>
      <c r="E1494" s="15">
        <v>8.3500000000000005E-2</v>
      </c>
      <c r="F1494" s="15">
        <v>6.8500000000000005E-2</v>
      </c>
      <c r="G1494" s="15">
        <v>0.22239999999999999</v>
      </c>
      <c r="H1494" s="15">
        <v>0.3009</v>
      </c>
      <c r="I1494" s="15">
        <v>4.1000000000000002E-2</v>
      </c>
      <c r="J1494" s="15">
        <v>7.3390243902439023</v>
      </c>
    </row>
    <row r="1495" spans="1:10" x14ac:dyDescent="0.25">
      <c r="A1495" s="2" t="s">
        <v>4481</v>
      </c>
      <c r="B1495" s="2" t="s">
        <v>4482</v>
      </c>
      <c r="C1495" s="2" t="s">
        <v>4483</v>
      </c>
      <c r="D1495" s="2" t="s">
        <v>10047</v>
      </c>
      <c r="E1495" s="15">
        <v>0.12520000000000001</v>
      </c>
      <c r="F1495" s="15">
        <v>7.3400000000000007E-2</v>
      </c>
      <c r="G1495" s="15">
        <v>8.7900000000000006E-2</v>
      </c>
      <c r="H1495" s="15">
        <v>0.27489999999999998</v>
      </c>
      <c r="I1495" s="15">
        <v>4.5100000000000001E-2</v>
      </c>
      <c r="J1495" s="15">
        <v>6.0953436807095338</v>
      </c>
    </row>
    <row r="1496" spans="1:10" x14ac:dyDescent="0.25">
      <c r="A1496" s="2" t="s">
        <v>4484</v>
      </c>
      <c r="B1496" s="2" t="s">
        <v>4485</v>
      </c>
      <c r="C1496" s="2" t="s">
        <v>4486</v>
      </c>
      <c r="D1496" s="2" t="s">
        <v>10047</v>
      </c>
      <c r="E1496" s="15">
        <v>-6.3600000000000004E-2</v>
      </c>
      <c r="F1496" s="15">
        <v>6.0100000000000001E-2</v>
      </c>
      <c r="G1496" s="15">
        <v>0.28949999999999998</v>
      </c>
      <c r="H1496" s="15">
        <v>0.30769999999999997</v>
      </c>
      <c r="I1496" s="15">
        <v>4.58E-2</v>
      </c>
      <c r="J1496" s="15">
        <v>6.7183406113537112</v>
      </c>
    </row>
    <row r="1497" spans="1:10" x14ac:dyDescent="0.25">
      <c r="A1497" s="2" t="s">
        <v>4487</v>
      </c>
      <c r="B1497" s="2" t="s">
        <v>4488</v>
      </c>
      <c r="C1497" s="2" t="s">
        <v>4489</v>
      </c>
      <c r="D1497" s="2" t="s">
        <v>10047</v>
      </c>
      <c r="E1497" s="15">
        <v>-7.4999999999999997E-3</v>
      </c>
      <c r="F1497" s="15">
        <v>6.8699999999999997E-2</v>
      </c>
      <c r="G1497" s="15">
        <v>0.91320000000000001</v>
      </c>
      <c r="H1497" s="15">
        <v>0.25240000000000001</v>
      </c>
      <c r="I1497" s="15">
        <v>4.5400000000000003E-2</v>
      </c>
      <c r="J1497" s="15">
        <v>5.5594713656387666</v>
      </c>
    </row>
    <row r="1498" spans="1:10" x14ac:dyDescent="0.25">
      <c r="A1498" s="2" t="s">
        <v>4490</v>
      </c>
      <c r="B1498" s="2" t="s">
        <v>4491</v>
      </c>
      <c r="C1498" s="2" t="s">
        <v>4492</v>
      </c>
      <c r="D1498" s="2" t="s">
        <v>10047</v>
      </c>
      <c r="E1498" s="15">
        <v>-4.7999999999999996E-3</v>
      </c>
      <c r="F1498" s="15">
        <v>7.2099999999999997E-2</v>
      </c>
      <c r="G1498" s="15">
        <v>0.94640000000000002</v>
      </c>
      <c r="H1498" s="15">
        <v>0.25459999999999999</v>
      </c>
      <c r="I1498" s="15">
        <v>4.9399999999999999E-2</v>
      </c>
      <c r="J1498" s="15">
        <v>5.1538461538461542</v>
      </c>
    </row>
    <row r="1499" spans="1:10" x14ac:dyDescent="0.25">
      <c r="A1499" s="2" t="s">
        <v>4493</v>
      </c>
      <c r="B1499" s="2" t="s">
        <v>4494</v>
      </c>
      <c r="C1499" s="2" t="s">
        <v>4495</v>
      </c>
      <c r="D1499" s="2" t="s">
        <v>10047</v>
      </c>
      <c r="E1499" s="15">
        <v>2.8999999999999998E-3</v>
      </c>
      <c r="F1499" s="15">
        <v>7.5899999999999995E-2</v>
      </c>
      <c r="G1499" s="15">
        <v>0.9698</v>
      </c>
      <c r="H1499" s="15">
        <v>0.30280000000000001</v>
      </c>
      <c r="I1499" s="15">
        <v>5.8799999999999998E-2</v>
      </c>
      <c r="J1499" s="15">
        <v>5.1496598639455788</v>
      </c>
    </row>
    <row r="1500" spans="1:10" x14ac:dyDescent="0.25">
      <c r="A1500" s="2" t="s">
        <v>4496</v>
      </c>
      <c r="B1500" s="2" t="s">
        <v>4497</v>
      </c>
      <c r="C1500" s="2" t="s">
        <v>4498</v>
      </c>
      <c r="D1500" s="2" t="s">
        <v>10047</v>
      </c>
      <c r="E1500" s="15">
        <v>9.2799999999999994E-2</v>
      </c>
      <c r="F1500" s="15">
        <v>7.51E-2</v>
      </c>
      <c r="G1500" s="15">
        <v>0.21679999999999999</v>
      </c>
      <c r="H1500" s="15">
        <v>0.19900000000000001</v>
      </c>
      <c r="I1500" s="15">
        <v>4.2200000000000001E-2</v>
      </c>
      <c r="J1500" s="15">
        <v>4.7156398104265396</v>
      </c>
    </row>
    <row r="1501" spans="1:10" x14ac:dyDescent="0.25">
      <c r="A1501" s="2" t="s">
        <v>4499</v>
      </c>
      <c r="B1501" s="2" t="s">
        <v>4500</v>
      </c>
      <c r="C1501" s="2" t="s">
        <v>4501</v>
      </c>
      <c r="D1501" s="2" t="s">
        <v>10047</v>
      </c>
      <c r="E1501" s="15">
        <v>0.12559999999999999</v>
      </c>
      <c r="F1501" s="15">
        <v>8.0199999999999994E-2</v>
      </c>
      <c r="G1501" s="15">
        <v>0.1173</v>
      </c>
      <c r="H1501" s="15">
        <v>0.18210000000000001</v>
      </c>
      <c r="I1501" s="15">
        <v>3.8699999999999998E-2</v>
      </c>
      <c r="J1501" s="15">
        <v>4.7054263565891477</v>
      </c>
    </row>
    <row r="1502" spans="1:10" x14ac:dyDescent="0.25">
      <c r="A1502" s="2" t="s">
        <v>4502</v>
      </c>
      <c r="B1502" s="2" t="s">
        <v>4503</v>
      </c>
      <c r="C1502" s="2" t="s">
        <v>4504</v>
      </c>
      <c r="D1502" s="2" t="s">
        <v>10047</v>
      </c>
      <c r="E1502" s="15">
        <v>7.6600000000000001E-2</v>
      </c>
      <c r="F1502" s="15">
        <v>8.6699999999999999E-2</v>
      </c>
      <c r="G1502" s="15">
        <v>0.37690000000000001</v>
      </c>
      <c r="H1502" s="15">
        <v>0.21</v>
      </c>
      <c r="I1502" s="15">
        <v>4.2000000000000003E-2</v>
      </c>
      <c r="J1502" s="15">
        <v>4.9999999999999991</v>
      </c>
    </row>
    <row r="1503" spans="1:10" x14ac:dyDescent="0.25">
      <c r="A1503" s="2" t="s">
        <v>4505</v>
      </c>
      <c r="B1503" s="2" t="s">
        <v>4506</v>
      </c>
      <c r="C1503" s="2" t="s">
        <v>4507</v>
      </c>
      <c r="D1503" s="2" t="s">
        <v>10047</v>
      </c>
      <c r="E1503" s="15">
        <v>9.3399999999999997E-2</v>
      </c>
      <c r="F1503" s="15">
        <v>8.0600000000000005E-2</v>
      </c>
      <c r="G1503" s="15">
        <v>0.24610000000000001</v>
      </c>
      <c r="H1503" s="15">
        <v>0.21890000000000001</v>
      </c>
      <c r="I1503" s="15">
        <v>4.7899999999999998E-2</v>
      </c>
      <c r="J1503" s="15">
        <v>4.5699373695198338</v>
      </c>
    </row>
    <row r="1504" spans="1:10" x14ac:dyDescent="0.25">
      <c r="A1504" s="2" t="s">
        <v>4508</v>
      </c>
      <c r="B1504" s="2" t="s">
        <v>4509</v>
      </c>
      <c r="C1504" s="2" t="s">
        <v>4510</v>
      </c>
      <c r="D1504" s="2" t="s">
        <v>10047</v>
      </c>
      <c r="E1504" s="15">
        <v>4.3799999999999999E-2</v>
      </c>
      <c r="F1504" s="15">
        <v>6.6500000000000004E-2</v>
      </c>
      <c r="G1504" s="15">
        <v>0.5101</v>
      </c>
      <c r="H1504" s="15">
        <v>0.28920000000000001</v>
      </c>
      <c r="I1504" s="15">
        <v>4.6600000000000003E-2</v>
      </c>
      <c r="J1504" s="15">
        <v>6.2060085836909868</v>
      </c>
    </row>
    <row r="1505" spans="1:10" x14ac:dyDescent="0.25">
      <c r="A1505" s="2" t="s">
        <v>4511</v>
      </c>
      <c r="B1505" s="2" t="s">
        <v>4512</v>
      </c>
      <c r="C1505" s="2" t="s">
        <v>4513</v>
      </c>
      <c r="D1505" s="2" t="s">
        <v>10047</v>
      </c>
      <c r="E1505" s="15">
        <v>7.4200000000000002E-2</v>
      </c>
      <c r="F1505" s="15">
        <v>6.4799999999999996E-2</v>
      </c>
      <c r="G1505" s="15">
        <v>0.252</v>
      </c>
      <c r="H1505" s="15">
        <v>0.30969999999999998</v>
      </c>
      <c r="I1505" s="15">
        <v>4.9000000000000002E-2</v>
      </c>
      <c r="J1505" s="15">
        <v>6.3204081632653057</v>
      </c>
    </row>
    <row r="1506" spans="1:10" x14ac:dyDescent="0.25">
      <c r="A1506" s="2" t="s">
        <v>4514</v>
      </c>
      <c r="B1506" s="2" t="s">
        <v>4515</v>
      </c>
      <c r="C1506" s="2" t="s">
        <v>4516</v>
      </c>
      <c r="D1506" s="2" t="s">
        <v>10047</v>
      </c>
      <c r="E1506" s="15">
        <v>6.8099999999999994E-2</v>
      </c>
      <c r="F1506" s="15">
        <v>9.5200000000000007E-2</v>
      </c>
      <c r="G1506" s="15">
        <v>0.47420000000000001</v>
      </c>
      <c r="H1506" s="15">
        <v>0.16120000000000001</v>
      </c>
      <c r="I1506" s="15">
        <v>4.1700000000000001E-2</v>
      </c>
      <c r="J1506" s="15">
        <v>3.8657074340527582</v>
      </c>
    </row>
    <row r="1507" spans="1:10" x14ac:dyDescent="0.25">
      <c r="A1507" s="2" t="s">
        <v>4517</v>
      </c>
      <c r="B1507" s="2" t="s">
        <v>4518</v>
      </c>
      <c r="C1507" s="2" t="s">
        <v>4519</v>
      </c>
      <c r="D1507" s="2" t="s">
        <v>10047</v>
      </c>
      <c r="E1507" s="15">
        <v>-1.89E-2</v>
      </c>
      <c r="F1507" s="15">
        <v>7.9500000000000001E-2</v>
      </c>
      <c r="G1507" s="15">
        <v>0.81220000000000003</v>
      </c>
      <c r="H1507" s="15">
        <v>0.19350000000000001</v>
      </c>
      <c r="I1507" s="15">
        <v>4.2200000000000001E-2</v>
      </c>
      <c r="J1507" s="15">
        <v>4.5853080568720381</v>
      </c>
    </row>
    <row r="1508" spans="1:10" x14ac:dyDescent="0.25">
      <c r="A1508" s="2" t="s">
        <v>4520</v>
      </c>
      <c r="B1508" s="2" t="s">
        <v>4521</v>
      </c>
      <c r="C1508" s="2" t="s">
        <v>4522</v>
      </c>
      <c r="D1508" s="2" t="s">
        <v>10047</v>
      </c>
      <c r="E1508" s="15">
        <v>7.3300000000000004E-2</v>
      </c>
      <c r="F1508" s="15">
        <v>0.1</v>
      </c>
      <c r="G1508" s="15">
        <v>0.46360000000000001</v>
      </c>
      <c r="H1508" s="15">
        <v>0.1053</v>
      </c>
      <c r="I1508" s="15">
        <v>4.1399999999999999E-2</v>
      </c>
      <c r="J1508" s="15">
        <v>2.543478260869565</v>
      </c>
    </row>
    <row r="1509" spans="1:10" x14ac:dyDescent="0.25">
      <c r="A1509" s="2" t="s">
        <v>4523</v>
      </c>
      <c r="B1509" s="2" t="s">
        <v>4524</v>
      </c>
      <c r="C1509" s="2" t="s">
        <v>4525</v>
      </c>
      <c r="D1509" s="2" t="s">
        <v>10047</v>
      </c>
      <c r="E1509" s="15">
        <v>7.7700000000000005E-2</v>
      </c>
      <c r="F1509" s="15">
        <v>7.3899999999999993E-2</v>
      </c>
      <c r="G1509" s="15">
        <v>0.29270000000000002</v>
      </c>
      <c r="H1509" s="15">
        <v>0.1769</v>
      </c>
      <c r="I1509" s="15">
        <v>4.0899999999999999E-2</v>
      </c>
      <c r="J1509" s="15">
        <v>4.3251833740831298</v>
      </c>
    </row>
    <row r="1510" spans="1:10" x14ac:dyDescent="0.25">
      <c r="A1510" s="2" t="s">
        <v>4526</v>
      </c>
      <c r="B1510" s="2" t="s">
        <v>4527</v>
      </c>
      <c r="C1510" s="2" t="s">
        <v>4528</v>
      </c>
      <c r="D1510" s="2" t="s">
        <v>10047</v>
      </c>
      <c r="E1510" s="15">
        <v>0.17399999999999999</v>
      </c>
      <c r="F1510" s="15">
        <v>8.4099999999999994E-2</v>
      </c>
      <c r="G1510" s="15">
        <v>3.8600000000000002E-2</v>
      </c>
      <c r="H1510" s="15">
        <v>0.1681</v>
      </c>
      <c r="I1510" s="15">
        <v>4.0899999999999999E-2</v>
      </c>
      <c r="J1510" s="15">
        <v>4.1100244498777503</v>
      </c>
    </row>
    <row r="1511" spans="1:10" x14ac:dyDescent="0.25">
      <c r="A1511" s="2" t="s">
        <v>4529</v>
      </c>
      <c r="B1511" s="2" t="s">
        <v>4530</v>
      </c>
      <c r="C1511" s="2" t="s">
        <v>4531</v>
      </c>
      <c r="D1511" s="2" t="s">
        <v>10047</v>
      </c>
      <c r="E1511" s="15">
        <v>0.17910000000000001</v>
      </c>
      <c r="F1511" s="15">
        <v>8.3900000000000002E-2</v>
      </c>
      <c r="G1511" s="15">
        <v>3.2800000000000003E-2</v>
      </c>
      <c r="H1511" s="15">
        <v>0.18990000000000001</v>
      </c>
      <c r="I1511" s="15">
        <v>4.2700000000000002E-2</v>
      </c>
      <c r="J1511" s="15">
        <v>4.4473067915690869</v>
      </c>
    </row>
    <row r="1512" spans="1:10" x14ac:dyDescent="0.25">
      <c r="A1512" s="2" t="s">
        <v>4532</v>
      </c>
      <c r="B1512" s="2" t="s">
        <v>4533</v>
      </c>
      <c r="C1512" s="2" t="s">
        <v>4534</v>
      </c>
      <c r="D1512" s="2" t="s">
        <v>10047</v>
      </c>
      <c r="E1512" s="15">
        <v>5.0999999999999997E-2</v>
      </c>
      <c r="F1512" s="15">
        <v>7.8399999999999997E-2</v>
      </c>
      <c r="G1512" s="15">
        <v>0.51539999999999997</v>
      </c>
      <c r="H1512" s="15">
        <v>0.1807</v>
      </c>
      <c r="I1512" s="15">
        <v>4.4200000000000003E-2</v>
      </c>
      <c r="J1512" s="15">
        <v>4.0882352941176467</v>
      </c>
    </row>
    <row r="1513" spans="1:10" x14ac:dyDescent="0.25">
      <c r="A1513" s="2" t="s">
        <v>4535</v>
      </c>
      <c r="B1513" s="2" t="s">
        <v>4536</v>
      </c>
      <c r="C1513" s="2" t="s">
        <v>4537</v>
      </c>
      <c r="D1513" s="2" t="s">
        <v>10047</v>
      </c>
      <c r="E1513" s="15">
        <v>8.5599999999999996E-2</v>
      </c>
      <c r="F1513" s="15">
        <v>6.25E-2</v>
      </c>
      <c r="G1513" s="15">
        <v>0.1706</v>
      </c>
      <c r="H1513" s="15">
        <v>0.33839999999999998</v>
      </c>
      <c r="I1513" s="15">
        <v>4.7899999999999998E-2</v>
      </c>
      <c r="J1513" s="15">
        <v>7.0647181628392479</v>
      </c>
    </row>
    <row r="1514" spans="1:10" x14ac:dyDescent="0.25">
      <c r="A1514" s="2" t="s">
        <v>4538</v>
      </c>
      <c r="B1514" s="2" t="s">
        <v>4539</v>
      </c>
      <c r="C1514" s="2" t="s">
        <v>4540</v>
      </c>
      <c r="D1514" s="2" t="s">
        <v>10047</v>
      </c>
      <c r="E1514" s="15">
        <v>3.0800000000000001E-2</v>
      </c>
      <c r="F1514" s="15">
        <v>6.3799999999999996E-2</v>
      </c>
      <c r="G1514" s="15">
        <v>0.62939999999999996</v>
      </c>
      <c r="H1514" s="15">
        <v>0.30330000000000001</v>
      </c>
      <c r="I1514" s="15">
        <v>5.04E-2</v>
      </c>
      <c r="J1514" s="15">
        <v>6.0178571428571432</v>
      </c>
    </row>
    <row r="1515" spans="1:10" x14ac:dyDescent="0.25">
      <c r="A1515" s="2" t="s">
        <v>4541</v>
      </c>
      <c r="B1515" s="2" t="s">
        <v>4542</v>
      </c>
      <c r="C1515" s="2" t="s">
        <v>4543</v>
      </c>
      <c r="D1515" s="2" t="s">
        <v>10047</v>
      </c>
      <c r="E1515" s="15">
        <v>6.6900000000000001E-2</v>
      </c>
      <c r="F1515" s="15">
        <v>5.9200000000000003E-2</v>
      </c>
      <c r="G1515" s="15">
        <v>0.25869999999999999</v>
      </c>
      <c r="H1515" s="15">
        <v>0.32869999999999999</v>
      </c>
      <c r="I1515" s="15">
        <v>5.0700000000000002E-2</v>
      </c>
      <c r="J1515" s="15">
        <v>6.4832347140039444</v>
      </c>
    </row>
    <row r="1516" spans="1:10" x14ac:dyDescent="0.25">
      <c r="A1516" s="2" t="s">
        <v>4544</v>
      </c>
      <c r="B1516" s="2" t="s">
        <v>4545</v>
      </c>
      <c r="C1516" s="2" t="s">
        <v>4546</v>
      </c>
      <c r="D1516" s="2" t="s">
        <v>10047</v>
      </c>
      <c r="E1516" s="15">
        <v>8.4500000000000006E-2</v>
      </c>
      <c r="F1516" s="15">
        <v>5.9700000000000003E-2</v>
      </c>
      <c r="G1516" s="15">
        <v>0.1565</v>
      </c>
      <c r="H1516" s="15">
        <v>0.31940000000000002</v>
      </c>
      <c r="I1516" s="15">
        <v>0.05</v>
      </c>
      <c r="J1516" s="15">
        <v>6.3879999999999999</v>
      </c>
    </row>
    <row r="1517" spans="1:10" x14ac:dyDescent="0.25">
      <c r="A1517" s="2" t="s">
        <v>4547</v>
      </c>
      <c r="B1517" s="2" t="s">
        <v>4548</v>
      </c>
      <c r="C1517" s="2" t="s">
        <v>4549</v>
      </c>
      <c r="D1517" s="2" t="s">
        <v>10047</v>
      </c>
      <c r="E1517" s="15">
        <v>7.5300000000000006E-2</v>
      </c>
      <c r="F1517" s="15">
        <v>6.0600000000000001E-2</v>
      </c>
      <c r="G1517" s="15">
        <v>0.21360000000000001</v>
      </c>
      <c r="H1517" s="15">
        <v>0.31990000000000002</v>
      </c>
      <c r="I1517" s="15">
        <v>5.0599999999999999E-2</v>
      </c>
      <c r="J1517" s="15">
        <v>6.3221343873517792</v>
      </c>
    </row>
    <row r="1518" spans="1:10" x14ac:dyDescent="0.25">
      <c r="A1518" s="2" t="s">
        <v>4550</v>
      </c>
      <c r="B1518" s="2" t="s">
        <v>4551</v>
      </c>
      <c r="C1518" s="2" t="s">
        <v>4552</v>
      </c>
      <c r="D1518" s="2" t="s">
        <v>10047</v>
      </c>
      <c r="E1518" s="15">
        <v>0.1145</v>
      </c>
      <c r="F1518" s="15">
        <v>8.8900000000000007E-2</v>
      </c>
      <c r="G1518" s="15">
        <v>0.1976</v>
      </c>
      <c r="H1518" s="15">
        <v>0.1313</v>
      </c>
      <c r="I1518" s="15">
        <v>4.1099999999999998E-2</v>
      </c>
      <c r="J1518" s="15">
        <v>3.1946472019464718</v>
      </c>
    </row>
    <row r="1519" spans="1:10" x14ac:dyDescent="0.25">
      <c r="A1519" s="2" t="s">
        <v>4553</v>
      </c>
      <c r="B1519" s="2" t="s">
        <v>4554</v>
      </c>
      <c r="C1519" s="2" t="s">
        <v>4555</v>
      </c>
      <c r="D1519" s="2" t="s">
        <v>10047</v>
      </c>
      <c r="E1519" s="15">
        <v>2.06E-2</v>
      </c>
      <c r="F1519" s="15">
        <v>8.1799999999999998E-2</v>
      </c>
      <c r="G1519" s="15">
        <v>0.80110000000000003</v>
      </c>
      <c r="H1519" s="15">
        <v>0.1583</v>
      </c>
      <c r="I1519" s="15">
        <v>4.3999999999999997E-2</v>
      </c>
      <c r="J1519" s="15">
        <v>3.5977272727272731</v>
      </c>
    </row>
    <row r="1520" spans="1:10" x14ac:dyDescent="0.25">
      <c r="A1520" s="2" t="s">
        <v>4556</v>
      </c>
      <c r="B1520" s="2" t="s">
        <v>4557</v>
      </c>
      <c r="C1520" s="2" t="s">
        <v>4558</v>
      </c>
      <c r="D1520" s="2" t="s">
        <v>10047</v>
      </c>
      <c r="E1520" s="15">
        <v>8.3400000000000002E-2</v>
      </c>
      <c r="F1520" s="15">
        <v>8.7999999999999995E-2</v>
      </c>
      <c r="G1520" s="15">
        <v>0.34310000000000002</v>
      </c>
      <c r="H1520" s="15">
        <v>0.14499999999999999</v>
      </c>
      <c r="I1520" s="15">
        <v>4.0800000000000003E-2</v>
      </c>
      <c r="J1520" s="15">
        <v>3.5539215686274499</v>
      </c>
    </row>
    <row r="1521" spans="1:10" x14ac:dyDescent="0.25">
      <c r="A1521" s="2" t="s">
        <v>4559</v>
      </c>
      <c r="B1521" s="2" t="s">
        <v>4560</v>
      </c>
      <c r="C1521" s="2" t="s">
        <v>4561</v>
      </c>
      <c r="D1521" s="2" t="s">
        <v>10047</v>
      </c>
      <c r="E1521" s="15">
        <v>6.0199999999999997E-2</v>
      </c>
      <c r="F1521" s="15">
        <v>6.5699999999999995E-2</v>
      </c>
      <c r="G1521" s="15">
        <v>0.35970000000000002</v>
      </c>
      <c r="H1521" s="15">
        <v>0.24740000000000001</v>
      </c>
      <c r="I1521" s="15">
        <v>5.04E-2</v>
      </c>
      <c r="J1521" s="15">
        <v>4.9087301587301591</v>
      </c>
    </row>
    <row r="1522" spans="1:10" x14ac:dyDescent="0.25">
      <c r="A1522" s="2" t="s">
        <v>4562</v>
      </c>
      <c r="B1522" s="2" t="s">
        <v>4563</v>
      </c>
      <c r="C1522" s="2" t="s">
        <v>4564</v>
      </c>
      <c r="D1522" s="2" t="s">
        <v>10047</v>
      </c>
      <c r="E1522" s="15">
        <v>0.1104</v>
      </c>
      <c r="F1522" s="15">
        <v>7.4899999999999994E-2</v>
      </c>
      <c r="G1522" s="15">
        <v>0.1406</v>
      </c>
      <c r="H1522" s="15">
        <v>0.22800000000000001</v>
      </c>
      <c r="I1522" s="15">
        <v>4.7399999999999998E-2</v>
      </c>
      <c r="J1522" s="15">
        <v>4.8101265822784818</v>
      </c>
    </row>
    <row r="1523" spans="1:10" x14ac:dyDescent="0.25">
      <c r="A1523" s="2" t="s">
        <v>4565</v>
      </c>
      <c r="B1523" s="2" t="s">
        <v>4566</v>
      </c>
      <c r="C1523" s="2" t="s">
        <v>4567</v>
      </c>
      <c r="D1523" s="2" t="s">
        <v>10047</v>
      </c>
      <c r="E1523" s="15">
        <v>6.54E-2</v>
      </c>
      <c r="F1523" s="15">
        <v>6.4600000000000005E-2</v>
      </c>
      <c r="G1523" s="15">
        <v>0.31140000000000001</v>
      </c>
      <c r="H1523" s="15">
        <v>0.3226</v>
      </c>
      <c r="I1523" s="15">
        <v>4.9099999999999998E-2</v>
      </c>
      <c r="J1523" s="15">
        <v>6.5702647657841142</v>
      </c>
    </row>
    <row r="1524" spans="1:10" x14ac:dyDescent="0.25">
      <c r="A1524" s="2" t="s">
        <v>4568</v>
      </c>
      <c r="B1524" s="2" t="s">
        <v>4569</v>
      </c>
      <c r="C1524" s="2" t="s">
        <v>4570</v>
      </c>
      <c r="D1524" s="2" t="s">
        <v>10047</v>
      </c>
      <c r="E1524" s="15">
        <v>4.2999999999999997E-2</v>
      </c>
      <c r="F1524" s="15">
        <v>6.2600000000000003E-2</v>
      </c>
      <c r="G1524" s="15">
        <v>0.49199999999999999</v>
      </c>
      <c r="H1524" s="15">
        <v>0.33729999999999999</v>
      </c>
      <c r="I1524" s="15">
        <v>4.4200000000000003E-2</v>
      </c>
      <c r="J1524" s="15">
        <v>7.6312217194570131</v>
      </c>
    </row>
    <row r="1525" spans="1:10" x14ac:dyDescent="0.25">
      <c r="A1525" s="2" t="s">
        <v>4571</v>
      </c>
      <c r="B1525" s="2" t="s">
        <v>4572</v>
      </c>
      <c r="C1525" s="2" t="s">
        <v>4573</v>
      </c>
      <c r="D1525" s="2" t="s">
        <v>10047</v>
      </c>
      <c r="E1525" s="15">
        <v>0.12909999999999999</v>
      </c>
      <c r="F1525" s="15">
        <v>8.2699999999999996E-2</v>
      </c>
      <c r="G1525" s="15">
        <v>0.1187</v>
      </c>
      <c r="H1525" s="15">
        <v>0.22189999999999999</v>
      </c>
      <c r="I1525" s="15">
        <v>4.6100000000000002E-2</v>
      </c>
      <c r="J1525" s="15">
        <v>4.8134490238611711</v>
      </c>
    </row>
    <row r="1526" spans="1:10" x14ac:dyDescent="0.25">
      <c r="A1526" s="2" t="s">
        <v>4574</v>
      </c>
      <c r="B1526" s="2" t="s">
        <v>4575</v>
      </c>
      <c r="C1526" s="2" t="s">
        <v>4576</v>
      </c>
      <c r="D1526" s="2" t="s">
        <v>10047</v>
      </c>
      <c r="E1526" s="15">
        <v>0.14330000000000001</v>
      </c>
      <c r="F1526" s="15">
        <v>8.2500000000000004E-2</v>
      </c>
      <c r="G1526" s="15">
        <v>8.2400000000000001E-2</v>
      </c>
      <c r="H1526" s="15">
        <v>0.23019999999999999</v>
      </c>
      <c r="I1526" s="15">
        <v>4.48E-2</v>
      </c>
      <c r="J1526" s="15">
        <v>5.1383928571428568</v>
      </c>
    </row>
    <row r="1527" spans="1:10" x14ac:dyDescent="0.25">
      <c r="A1527" s="2" t="s">
        <v>4577</v>
      </c>
      <c r="B1527" s="2" t="s">
        <v>4578</v>
      </c>
      <c r="C1527" s="2" t="s">
        <v>4579</v>
      </c>
      <c r="D1527" s="2" t="s">
        <v>10047</v>
      </c>
      <c r="E1527" s="15">
        <v>3.6299999999999999E-2</v>
      </c>
      <c r="F1527" s="15">
        <v>7.7499999999999999E-2</v>
      </c>
      <c r="G1527" s="15">
        <v>0.63919999999999999</v>
      </c>
      <c r="H1527" s="15">
        <v>0.216</v>
      </c>
      <c r="I1527" s="15">
        <v>4.4900000000000002E-2</v>
      </c>
      <c r="J1527" s="15">
        <v>4.8106904231625833</v>
      </c>
    </row>
    <row r="1528" spans="1:10" x14ac:dyDescent="0.25">
      <c r="A1528" s="2" t="s">
        <v>4580</v>
      </c>
      <c r="B1528" s="2" t="s">
        <v>4581</v>
      </c>
      <c r="C1528" s="2" t="s">
        <v>4582</v>
      </c>
      <c r="D1528" s="2" t="s">
        <v>10047</v>
      </c>
      <c r="E1528" s="15">
        <v>4.8500000000000001E-2</v>
      </c>
      <c r="F1528" s="15">
        <v>6.3500000000000001E-2</v>
      </c>
      <c r="G1528" s="15">
        <v>0.44550000000000001</v>
      </c>
      <c r="H1528" s="15">
        <v>0.25240000000000001</v>
      </c>
      <c r="I1528" s="15">
        <v>4.4499999999999998E-2</v>
      </c>
      <c r="J1528" s="15">
        <v>5.6719101123595506</v>
      </c>
    </row>
    <row r="1529" spans="1:10" x14ac:dyDescent="0.25">
      <c r="A1529" s="2" t="s">
        <v>4583</v>
      </c>
      <c r="B1529" s="2" t="s">
        <v>4584</v>
      </c>
      <c r="C1529" s="2" t="s">
        <v>4585</v>
      </c>
      <c r="D1529" s="2" t="s">
        <v>10048</v>
      </c>
      <c r="E1529" s="15">
        <v>3.6400000000000002E-2</v>
      </c>
      <c r="F1529" s="15">
        <v>8.1299999999999997E-2</v>
      </c>
      <c r="G1529" s="15">
        <v>0.65490000000000004</v>
      </c>
      <c r="H1529" s="15">
        <v>0.21909999999999999</v>
      </c>
      <c r="I1529" s="15">
        <v>4.3200000000000002E-2</v>
      </c>
      <c r="J1529" s="15">
        <v>5.0717592592592586</v>
      </c>
    </row>
    <row r="1530" spans="1:10" x14ac:dyDescent="0.25">
      <c r="A1530" s="2" t="s">
        <v>4586</v>
      </c>
      <c r="B1530" s="2" t="s">
        <v>4587</v>
      </c>
      <c r="C1530" s="2" t="s">
        <v>4588</v>
      </c>
      <c r="D1530" s="2" t="s">
        <v>10048</v>
      </c>
      <c r="E1530" s="15">
        <v>0.04</v>
      </c>
      <c r="F1530" s="15">
        <v>7.1900000000000006E-2</v>
      </c>
      <c r="G1530" s="15">
        <v>0.57809999999999995</v>
      </c>
      <c r="H1530" s="15">
        <v>0.25990000000000002</v>
      </c>
      <c r="I1530" s="15">
        <v>6.7699999999999996E-2</v>
      </c>
      <c r="J1530" s="15">
        <v>3.8389955686853772</v>
      </c>
    </row>
    <row r="1531" spans="1:10" x14ac:dyDescent="0.25">
      <c r="A1531" s="2" t="s">
        <v>4589</v>
      </c>
      <c r="B1531" s="2" t="s">
        <v>4590</v>
      </c>
      <c r="C1531" s="2" t="s">
        <v>4591</v>
      </c>
      <c r="D1531" s="2" t="s">
        <v>10048</v>
      </c>
      <c r="E1531" s="15">
        <v>-5.1000000000000004E-3</v>
      </c>
      <c r="F1531" s="15">
        <v>9.4100000000000003E-2</v>
      </c>
      <c r="G1531" s="15">
        <v>0.95669999999999999</v>
      </c>
      <c r="H1531" s="15">
        <v>0.1132</v>
      </c>
      <c r="I1531" s="15">
        <v>3.9699999999999999E-2</v>
      </c>
      <c r="J1531" s="15">
        <v>2.851385390428212</v>
      </c>
    </row>
    <row r="1532" spans="1:10" x14ac:dyDescent="0.25">
      <c r="A1532" s="2" t="s">
        <v>4592</v>
      </c>
      <c r="B1532" s="2" t="s">
        <v>4593</v>
      </c>
      <c r="C1532" s="2" t="s">
        <v>4594</v>
      </c>
      <c r="D1532" s="2" t="s">
        <v>10048</v>
      </c>
      <c r="E1532" s="15">
        <v>-1.11E-2</v>
      </c>
      <c r="F1532" s="15">
        <v>7.0999999999999994E-2</v>
      </c>
      <c r="G1532" s="15">
        <v>0.87529999999999997</v>
      </c>
      <c r="H1532" s="15">
        <v>0.2387</v>
      </c>
      <c r="I1532" s="15">
        <v>4.8300000000000003E-2</v>
      </c>
      <c r="J1532" s="15">
        <v>4.9420289855072461</v>
      </c>
    </row>
    <row r="1533" spans="1:10" x14ac:dyDescent="0.25">
      <c r="A1533" s="2" t="s">
        <v>4595</v>
      </c>
      <c r="B1533" s="2" t="s">
        <v>4596</v>
      </c>
      <c r="C1533" s="2" t="s">
        <v>4597</v>
      </c>
      <c r="D1533" s="2" t="s">
        <v>10048</v>
      </c>
      <c r="E1533" s="15">
        <v>0.10680000000000001</v>
      </c>
      <c r="F1533" s="15">
        <v>0.06</v>
      </c>
      <c r="G1533" s="15">
        <v>7.5200000000000003E-2</v>
      </c>
      <c r="H1533" s="15">
        <v>0.31669999999999998</v>
      </c>
      <c r="I1533" s="15">
        <v>4.7E-2</v>
      </c>
      <c r="J1533" s="15">
        <v>6.738297872340425</v>
      </c>
    </row>
    <row r="1534" spans="1:10" x14ac:dyDescent="0.25">
      <c r="A1534" s="2" t="s">
        <v>4598</v>
      </c>
      <c r="B1534" s="2" t="s">
        <v>4599</v>
      </c>
      <c r="C1534" s="2" t="s">
        <v>4600</v>
      </c>
      <c r="D1534" s="2" t="s">
        <v>10048</v>
      </c>
      <c r="E1534" s="15">
        <v>-0.114</v>
      </c>
      <c r="F1534" s="15">
        <v>0.11990000000000001</v>
      </c>
      <c r="G1534" s="15">
        <v>0.34150000000000003</v>
      </c>
      <c r="H1534" s="15">
        <v>7.6499999999999999E-2</v>
      </c>
      <c r="I1534" s="15">
        <v>3.7199999999999997E-2</v>
      </c>
      <c r="J1534" s="15">
        <v>2.056451612903226</v>
      </c>
    </row>
    <row r="1535" spans="1:10" x14ac:dyDescent="0.25">
      <c r="A1535" s="2" t="s">
        <v>4601</v>
      </c>
      <c r="B1535" s="2" t="s">
        <v>4602</v>
      </c>
      <c r="C1535" s="2" t="s">
        <v>4603</v>
      </c>
      <c r="D1535" s="2" t="s">
        <v>10048</v>
      </c>
      <c r="E1535" s="15">
        <v>4.6699999999999998E-2</v>
      </c>
      <c r="F1535" s="15">
        <v>0.10050000000000001</v>
      </c>
      <c r="G1535" s="15">
        <v>0.64190000000000003</v>
      </c>
      <c r="H1535" s="15">
        <v>0.11310000000000001</v>
      </c>
      <c r="I1535" s="15">
        <v>3.7699999999999997E-2</v>
      </c>
      <c r="J1535" s="15">
        <v>3</v>
      </c>
    </row>
    <row r="1536" spans="1:10" x14ac:dyDescent="0.25">
      <c r="A1536" s="2" t="s">
        <v>4604</v>
      </c>
      <c r="B1536" s="2" t="s">
        <v>4605</v>
      </c>
      <c r="C1536" s="2" t="s">
        <v>4606</v>
      </c>
      <c r="D1536" s="2" t="s">
        <v>10048</v>
      </c>
      <c r="E1536" s="15"/>
      <c r="F1536" s="15"/>
      <c r="G1536" s="15"/>
      <c r="H1536" s="15"/>
      <c r="I1536" s="15"/>
      <c r="J1536" s="15"/>
    </row>
    <row r="1537" spans="1:10" x14ac:dyDescent="0.25">
      <c r="A1537" s="2" t="s">
        <v>4607</v>
      </c>
      <c r="B1537" s="2" t="s">
        <v>4608</v>
      </c>
      <c r="C1537" s="2" t="s">
        <v>4609</v>
      </c>
      <c r="D1537" s="2" t="s">
        <v>10048</v>
      </c>
      <c r="E1537" s="15">
        <v>0.14599999999999999</v>
      </c>
      <c r="F1537" s="15">
        <v>7.0599999999999996E-2</v>
      </c>
      <c r="G1537" s="15">
        <v>3.8800000000000001E-2</v>
      </c>
      <c r="H1537" s="15">
        <v>0.2225</v>
      </c>
      <c r="I1537" s="15">
        <v>4.41E-2</v>
      </c>
      <c r="J1537" s="15">
        <v>5.0453514739229028</v>
      </c>
    </row>
    <row r="1538" spans="1:10" x14ac:dyDescent="0.25">
      <c r="A1538" s="2" t="s">
        <v>4610</v>
      </c>
      <c r="B1538" s="2" t="s">
        <v>4611</v>
      </c>
      <c r="C1538" s="2" t="s">
        <v>4612</v>
      </c>
      <c r="D1538" s="2" t="s">
        <v>10048</v>
      </c>
      <c r="E1538" s="15">
        <v>6.5699999999999995E-2</v>
      </c>
      <c r="F1538" s="15">
        <v>8.0600000000000005E-2</v>
      </c>
      <c r="G1538" s="15">
        <v>0.41510000000000002</v>
      </c>
      <c r="H1538" s="15">
        <v>0.17630000000000001</v>
      </c>
      <c r="I1538" s="15">
        <v>3.7400000000000003E-2</v>
      </c>
      <c r="J1538" s="15">
        <v>4.713903743315508</v>
      </c>
    </row>
    <row r="1539" spans="1:10" x14ac:dyDescent="0.25">
      <c r="A1539" s="2" t="s">
        <v>4613</v>
      </c>
      <c r="B1539" s="2" t="s">
        <v>4614</v>
      </c>
      <c r="C1539" s="2" t="s">
        <v>4615</v>
      </c>
      <c r="D1539" s="2" t="s">
        <v>10048</v>
      </c>
      <c r="E1539" s="15">
        <v>6.3E-3</v>
      </c>
      <c r="F1539" s="15">
        <v>7.7399999999999997E-2</v>
      </c>
      <c r="G1539" s="15">
        <v>0.93489999999999995</v>
      </c>
      <c r="H1539" s="15">
        <v>0.1835</v>
      </c>
      <c r="I1539" s="15">
        <v>4.1000000000000002E-2</v>
      </c>
      <c r="J1539" s="15">
        <v>4.475609756097561</v>
      </c>
    </row>
    <row r="1540" spans="1:10" x14ac:dyDescent="0.25">
      <c r="A1540" s="2" t="s">
        <v>4616</v>
      </c>
      <c r="B1540" s="2" t="s">
        <v>4617</v>
      </c>
      <c r="C1540" s="2" t="s">
        <v>4618</v>
      </c>
      <c r="D1540" s="2" t="s">
        <v>10048</v>
      </c>
      <c r="E1540" s="15">
        <v>-5.0700000000000002E-2</v>
      </c>
      <c r="F1540" s="15">
        <v>8.6900000000000005E-2</v>
      </c>
      <c r="G1540" s="15">
        <v>0.55959999999999999</v>
      </c>
      <c r="H1540" s="15">
        <v>0.13339999999999999</v>
      </c>
      <c r="I1540" s="15">
        <v>4.3200000000000002E-2</v>
      </c>
      <c r="J1540" s="15">
        <v>3.0879629629629628</v>
      </c>
    </row>
    <row r="1541" spans="1:10" x14ac:dyDescent="0.25">
      <c r="A1541" s="2" t="s">
        <v>4619</v>
      </c>
      <c r="B1541" s="2" t="s">
        <v>4620</v>
      </c>
      <c r="C1541" s="2" t="s">
        <v>4621</v>
      </c>
      <c r="D1541" s="2" t="s">
        <v>10048</v>
      </c>
      <c r="E1541" s="15">
        <v>0.26419999999999999</v>
      </c>
      <c r="F1541" s="15">
        <v>8.8400000000000006E-2</v>
      </c>
      <c r="G1541" s="15">
        <v>2.8E-3</v>
      </c>
      <c r="H1541" s="15">
        <v>0.14399999999999999</v>
      </c>
      <c r="I1541" s="15">
        <v>3.9600000000000003E-2</v>
      </c>
      <c r="J1541" s="15">
        <v>3.6363636363636358</v>
      </c>
    </row>
    <row r="1542" spans="1:10" x14ac:dyDescent="0.25">
      <c r="A1542" s="2" t="s">
        <v>4622</v>
      </c>
      <c r="B1542" s="2" t="s">
        <v>4623</v>
      </c>
      <c r="C1542" s="2" t="s">
        <v>4624</v>
      </c>
      <c r="D1542" s="2" t="s">
        <v>10048</v>
      </c>
      <c r="E1542" s="15">
        <v>8.1199999999999994E-2</v>
      </c>
      <c r="F1542" s="15">
        <v>7.9399999999999998E-2</v>
      </c>
      <c r="G1542" s="15">
        <v>0.30640000000000001</v>
      </c>
      <c r="H1542" s="15">
        <v>0.14710000000000001</v>
      </c>
      <c r="I1542" s="15">
        <v>3.8800000000000001E-2</v>
      </c>
      <c r="J1542" s="15">
        <v>3.7912371134020622</v>
      </c>
    </row>
    <row r="1543" spans="1:10" x14ac:dyDescent="0.25">
      <c r="A1543" s="2" t="s">
        <v>4625</v>
      </c>
      <c r="B1543" s="2" t="s">
        <v>4626</v>
      </c>
      <c r="C1543" s="2" t="s">
        <v>4627</v>
      </c>
      <c r="D1543" s="2" t="s">
        <v>10048</v>
      </c>
      <c r="E1543" s="15">
        <v>6.0900000000000003E-2</v>
      </c>
      <c r="F1543" s="15">
        <v>7.0800000000000002E-2</v>
      </c>
      <c r="G1543" s="15">
        <v>0.38979999999999998</v>
      </c>
      <c r="H1543" s="15">
        <v>0.2636</v>
      </c>
      <c r="I1543" s="15">
        <v>4.2500000000000003E-2</v>
      </c>
      <c r="J1543" s="15">
        <v>6.2023529411764704</v>
      </c>
    </row>
    <row r="1544" spans="1:10" x14ac:dyDescent="0.25">
      <c r="A1544" s="2" t="s">
        <v>4628</v>
      </c>
      <c r="B1544" s="2" t="s">
        <v>4629</v>
      </c>
      <c r="C1544" s="2" t="s">
        <v>4630</v>
      </c>
      <c r="D1544" s="2" t="s">
        <v>10048</v>
      </c>
      <c r="E1544" s="15">
        <v>3.4799999999999998E-2</v>
      </c>
      <c r="F1544" s="15">
        <v>6.8199999999999997E-2</v>
      </c>
      <c r="G1544" s="15">
        <v>0.60960000000000003</v>
      </c>
      <c r="H1544" s="15">
        <v>0.28870000000000001</v>
      </c>
      <c r="I1544" s="15">
        <v>4.9299999999999997E-2</v>
      </c>
      <c r="J1544" s="15">
        <v>5.8559837728194726</v>
      </c>
    </row>
    <row r="1545" spans="1:10" x14ac:dyDescent="0.25">
      <c r="A1545" s="2" t="s">
        <v>4631</v>
      </c>
      <c r="B1545" s="2" t="s">
        <v>4632</v>
      </c>
      <c r="C1545" s="2" t="s">
        <v>4633</v>
      </c>
      <c r="D1545" s="2" t="s">
        <v>10048</v>
      </c>
      <c r="E1545" s="15">
        <v>0.13439999999999999</v>
      </c>
      <c r="F1545" s="15">
        <v>6.7000000000000004E-2</v>
      </c>
      <c r="G1545" s="15">
        <v>4.4900000000000002E-2</v>
      </c>
      <c r="H1545" s="15">
        <v>0.30559999999999998</v>
      </c>
      <c r="I1545" s="15">
        <v>4.7E-2</v>
      </c>
      <c r="J1545" s="15">
        <v>6.5021276595744677</v>
      </c>
    </row>
    <row r="1546" spans="1:10" x14ac:dyDescent="0.25">
      <c r="A1546" s="2" t="s">
        <v>4634</v>
      </c>
      <c r="B1546" s="2" t="s">
        <v>4635</v>
      </c>
      <c r="C1546" s="2" t="s">
        <v>4636</v>
      </c>
      <c r="D1546" s="2" t="s">
        <v>10048</v>
      </c>
      <c r="E1546" s="15">
        <v>0.12970000000000001</v>
      </c>
      <c r="F1546" s="15">
        <v>6.9199999999999998E-2</v>
      </c>
      <c r="G1546" s="15">
        <v>6.08E-2</v>
      </c>
      <c r="H1546" s="15">
        <v>0.32050000000000001</v>
      </c>
      <c r="I1546" s="15">
        <v>4.2900000000000001E-2</v>
      </c>
      <c r="J1546" s="15">
        <v>7.4708624708624711</v>
      </c>
    </row>
    <row r="1547" spans="1:10" x14ac:dyDescent="0.25">
      <c r="A1547" s="2" t="s">
        <v>4637</v>
      </c>
      <c r="B1547" s="2" t="s">
        <v>4638</v>
      </c>
      <c r="C1547" s="2" t="s">
        <v>4639</v>
      </c>
      <c r="D1547" s="2" t="s">
        <v>10048</v>
      </c>
      <c r="E1547" s="15">
        <v>0.1197</v>
      </c>
      <c r="F1547" s="15">
        <v>5.3400000000000003E-2</v>
      </c>
      <c r="G1547" s="15">
        <v>2.4899999999999999E-2</v>
      </c>
      <c r="H1547" s="15">
        <v>0.438</v>
      </c>
      <c r="I1547" s="15">
        <v>5.1400000000000001E-2</v>
      </c>
      <c r="J1547" s="15">
        <v>8.5214007782101167</v>
      </c>
    </row>
    <row r="1548" spans="1:10" x14ac:dyDescent="0.25">
      <c r="A1548" s="2" t="s">
        <v>4640</v>
      </c>
      <c r="B1548" s="2" t="s">
        <v>4641</v>
      </c>
      <c r="C1548" s="2" t="s">
        <v>4642</v>
      </c>
      <c r="D1548" s="2" t="s">
        <v>10048</v>
      </c>
      <c r="E1548" s="15">
        <v>0.1076</v>
      </c>
      <c r="F1548" s="15">
        <v>5.6399999999999999E-2</v>
      </c>
      <c r="G1548" s="15">
        <v>5.6399999999999999E-2</v>
      </c>
      <c r="H1548" s="15">
        <v>0.39100000000000001</v>
      </c>
      <c r="I1548" s="15">
        <v>5.16E-2</v>
      </c>
      <c r="J1548" s="15">
        <v>7.5775193798449614</v>
      </c>
    </row>
    <row r="1549" spans="1:10" x14ac:dyDescent="0.25">
      <c r="A1549" s="2" t="s">
        <v>4643</v>
      </c>
      <c r="B1549" s="2" t="s">
        <v>4644</v>
      </c>
      <c r="C1549" s="2" t="s">
        <v>4645</v>
      </c>
      <c r="D1549" s="2" t="s">
        <v>10048</v>
      </c>
      <c r="E1549" s="15">
        <v>6.7000000000000002E-3</v>
      </c>
      <c r="F1549" s="15">
        <v>7.2599999999999998E-2</v>
      </c>
      <c r="G1549" s="15">
        <v>0.92589999999999995</v>
      </c>
      <c r="H1549" s="15">
        <v>0.22950000000000001</v>
      </c>
      <c r="I1549" s="15">
        <v>3.9100000000000003E-2</v>
      </c>
      <c r="J1549" s="15">
        <v>5.8695652173913038</v>
      </c>
    </row>
    <row r="1550" spans="1:10" x14ac:dyDescent="0.25">
      <c r="A1550" s="2" t="s">
        <v>4646</v>
      </c>
      <c r="B1550" s="2" t="s">
        <v>4647</v>
      </c>
      <c r="C1550" s="2" t="s">
        <v>4648</v>
      </c>
      <c r="D1550" s="2" t="s">
        <v>10048</v>
      </c>
      <c r="E1550" s="15">
        <v>7.4999999999999997E-2</v>
      </c>
      <c r="F1550" s="15">
        <v>6.6500000000000004E-2</v>
      </c>
      <c r="G1550" s="15">
        <v>0.25929999999999997</v>
      </c>
      <c r="H1550" s="15">
        <v>0.22989999999999999</v>
      </c>
      <c r="I1550" s="15">
        <v>4.8000000000000001E-2</v>
      </c>
      <c r="J1550" s="15">
        <v>4.7895833333333329</v>
      </c>
    </row>
    <row r="1551" spans="1:10" x14ac:dyDescent="0.25">
      <c r="A1551" s="2" t="s">
        <v>4649</v>
      </c>
      <c r="B1551" s="2" t="s">
        <v>4650</v>
      </c>
      <c r="C1551" s="2" t="s">
        <v>4651</v>
      </c>
      <c r="D1551" s="2" t="s">
        <v>10048</v>
      </c>
      <c r="E1551" s="15">
        <v>-2.7E-2</v>
      </c>
      <c r="F1551" s="15">
        <v>6.2899999999999998E-2</v>
      </c>
      <c r="G1551" s="15">
        <v>0.66849999999999998</v>
      </c>
      <c r="H1551" s="15">
        <v>0.27700000000000002</v>
      </c>
      <c r="I1551" s="15">
        <v>4.0099999999999997E-2</v>
      </c>
      <c r="J1551" s="15">
        <v>6.907730673316709</v>
      </c>
    </row>
    <row r="1552" spans="1:10" x14ac:dyDescent="0.25">
      <c r="A1552" s="2" t="s">
        <v>4652</v>
      </c>
      <c r="B1552" s="2" t="s">
        <v>4653</v>
      </c>
      <c r="C1552" s="2" t="s">
        <v>4654</v>
      </c>
      <c r="D1552" s="2" t="s">
        <v>10048</v>
      </c>
      <c r="E1552" s="15">
        <v>1.54E-2</v>
      </c>
      <c r="F1552" s="15">
        <v>6.9699999999999998E-2</v>
      </c>
      <c r="G1552" s="15">
        <v>0.8256</v>
      </c>
      <c r="H1552" s="15">
        <v>0.25519999999999998</v>
      </c>
      <c r="I1552" s="15">
        <v>4.2599999999999999E-2</v>
      </c>
      <c r="J1552" s="15">
        <v>5.9906103286384971</v>
      </c>
    </row>
    <row r="1553" spans="1:10" x14ac:dyDescent="0.25">
      <c r="A1553" s="2" t="s">
        <v>4655</v>
      </c>
      <c r="B1553" s="2" t="s">
        <v>4656</v>
      </c>
      <c r="C1553" s="2" t="s">
        <v>4657</v>
      </c>
      <c r="D1553" s="2" t="s">
        <v>10048</v>
      </c>
      <c r="E1553" s="15">
        <v>0.1399</v>
      </c>
      <c r="F1553" s="15">
        <v>7.1900000000000006E-2</v>
      </c>
      <c r="G1553" s="15">
        <v>5.1799999999999999E-2</v>
      </c>
      <c r="H1553" s="15">
        <v>0.31819999999999998</v>
      </c>
      <c r="I1553" s="15">
        <v>4.07E-2</v>
      </c>
      <c r="J1553" s="15">
        <v>7.8181818181818166</v>
      </c>
    </row>
    <row r="1554" spans="1:10" x14ac:dyDescent="0.25">
      <c r="A1554" s="2" t="s">
        <v>4658</v>
      </c>
      <c r="B1554" s="2" t="s">
        <v>4659</v>
      </c>
      <c r="C1554" s="2" t="s">
        <v>4660</v>
      </c>
      <c r="D1554" s="2" t="s">
        <v>10048</v>
      </c>
      <c r="E1554" s="15">
        <v>0.13950000000000001</v>
      </c>
      <c r="F1554" s="15">
        <v>7.0400000000000004E-2</v>
      </c>
      <c r="G1554" s="15">
        <v>4.7500000000000001E-2</v>
      </c>
      <c r="H1554" s="15">
        <v>0.28899999999999998</v>
      </c>
      <c r="I1554" s="15">
        <v>4.4999999999999998E-2</v>
      </c>
      <c r="J1554" s="15">
        <v>6.4222222222222216</v>
      </c>
    </row>
    <row r="1555" spans="1:10" x14ac:dyDescent="0.25">
      <c r="A1555" s="2" t="s">
        <v>4661</v>
      </c>
      <c r="B1555" s="2" t="s">
        <v>4662</v>
      </c>
      <c r="C1555" s="2" t="s">
        <v>4663</v>
      </c>
      <c r="D1555" s="2" t="s">
        <v>10048</v>
      </c>
      <c r="E1555" s="15">
        <v>8.7099999999999997E-2</v>
      </c>
      <c r="F1555" s="15">
        <v>6.6799999999999998E-2</v>
      </c>
      <c r="G1555" s="15">
        <v>0.1923</v>
      </c>
      <c r="H1555" s="15">
        <v>0.27989999999999998</v>
      </c>
      <c r="I1555" s="15">
        <v>4.1799999999999997E-2</v>
      </c>
      <c r="J1555" s="15">
        <v>6.696172248803828</v>
      </c>
    </row>
    <row r="1556" spans="1:10" x14ac:dyDescent="0.25">
      <c r="A1556" s="2" t="s">
        <v>4664</v>
      </c>
      <c r="B1556" s="2" t="s">
        <v>4665</v>
      </c>
      <c r="C1556" s="2" t="s">
        <v>4666</v>
      </c>
      <c r="D1556" s="2" t="s">
        <v>10048</v>
      </c>
      <c r="E1556" s="15">
        <v>0.15409999999999999</v>
      </c>
      <c r="F1556" s="15">
        <v>6.7599999999999993E-2</v>
      </c>
      <c r="G1556" s="15">
        <v>2.2700000000000001E-2</v>
      </c>
      <c r="H1556" s="15">
        <v>0.2384</v>
      </c>
      <c r="I1556" s="15">
        <v>4.3799999999999999E-2</v>
      </c>
      <c r="J1556" s="15">
        <v>5.4429223744292239</v>
      </c>
    </row>
    <row r="1557" spans="1:10" x14ac:dyDescent="0.25">
      <c r="A1557" s="2" t="s">
        <v>4667</v>
      </c>
      <c r="B1557" s="2" t="s">
        <v>4668</v>
      </c>
      <c r="C1557" s="2" t="s">
        <v>4669</v>
      </c>
      <c r="D1557" s="2" t="s">
        <v>10048</v>
      </c>
      <c r="E1557" s="15">
        <v>-3.95E-2</v>
      </c>
      <c r="F1557" s="15">
        <v>9.1200000000000003E-2</v>
      </c>
      <c r="G1557" s="15">
        <v>0.66469999999999996</v>
      </c>
      <c r="H1557" s="15">
        <v>0.16250000000000001</v>
      </c>
      <c r="I1557" s="15">
        <v>4.3099999999999999E-2</v>
      </c>
      <c r="J1557" s="15">
        <v>3.7703016241299312</v>
      </c>
    </row>
    <row r="1558" spans="1:10" x14ac:dyDescent="0.25">
      <c r="A1558" s="2" t="s">
        <v>4670</v>
      </c>
      <c r="B1558" s="2" t="s">
        <v>4671</v>
      </c>
      <c r="C1558" s="2" t="s">
        <v>4672</v>
      </c>
      <c r="D1558" s="2" t="s">
        <v>10048</v>
      </c>
      <c r="E1558" s="15">
        <v>6.0900000000000003E-2</v>
      </c>
      <c r="F1558" s="15">
        <v>8.9599999999999999E-2</v>
      </c>
      <c r="G1558" s="15">
        <v>0.49640000000000001</v>
      </c>
      <c r="H1558" s="15">
        <v>0.1512</v>
      </c>
      <c r="I1558" s="15">
        <v>4.3099999999999999E-2</v>
      </c>
      <c r="J1558" s="15">
        <v>3.5081206496519721</v>
      </c>
    </row>
    <row r="1559" spans="1:10" x14ac:dyDescent="0.25">
      <c r="A1559" s="2" t="s">
        <v>4673</v>
      </c>
      <c r="B1559" s="2" t="s">
        <v>4674</v>
      </c>
      <c r="C1559" s="2" t="s">
        <v>4675</v>
      </c>
      <c r="D1559" s="2" t="s">
        <v>10048</v>
      </c>
      <c r="E1559" s="15">
        <v>-5.4100000000000002E-2</v>
      </c>
      <c r="F1559" s="15">
        <v>8.4699999999999998E-2</v>
      </c>
      <c r="G1559" s="15">
        <v>0.52300000000000002</v>
      </c>
      <c r="H1559" s="15">
        <v>0.2107</v>
      </c>
      <c r="I1559" s="15">
        <v>4.0500000000000001E-2</v>
      </c>
      <c r="J1559" s="15">
        <v>5.2024691358024686</v>
      </c>
    </row>
    <row r="1560" spans="1:10" x14ac:dyDescent="0.25">
      <c r="A1560" s="2" t="s">
        <v>4676</v>
      </c>
      <c r="B1560" s="2" t="s">
        <v>4677</v>
      </c>
      <c r="C1560" s="2" t="s">
        <v>4678</v>
      </c>
      <c r="D1560" s="2" t="s">
        <v>10048</v>
      </c>
      <c r="E1560" s="15">
        <v>-3.1099999999999999E-2</v>
      </c>
      <c r="F1560" s="15">
        <v>7.0900000000000005E-2</v>
      </c>
      <c r="G1560" s="15">
        <v>0.66059999999999997</v>
      </c>
      <c r="H1560" s="15">
        <v>0.20610000000000001</v>
      </c>
      <c r="I1560" s="15">
        <v>3.78E-2</v>
      </c>
      <c r="J1560" s="15">
        <v>5.4523809523809534</v>
      </c>
    </row>
    <row r="1561" spans="1:10" x14ac:dyDescent="0.25">
      <c r="A1561" s="2" t="s">
        <v>4679</v>
      </c>
      <c r="B1561" s="2" t="s">
        <v>4680</v>
      </c>
      <c r="C1561" s="2" t="s">
        <v>4681</v>
      </c>
      <c r="D1561" s="2" t="s">
        <v>10048</v>
      </c>
      <c r="E1561" s="15">
        <v>-8.3900000000000002E-2</v>
      </c>
      <c r="F1561" s="15">
        <v>7.3800000000000004E-2</v>
      </c>
      <c r="G1561" s="15">
        <v>0.25590000000000002</v>
      </c>
      <c r="H1561" s="15">
        <v>0.22370000000000001</v>
      </c>
      <c r="I1561" s="15">
        <v>4.2200000000000001E-2</v>
      </c>
      <c r="J1561" s="15">
        <v>5.3009478672985786</v>
      </c>
    </row>
    <row r="1562" spans="1:10" x14ac:dyDescent="0.25">
      <c r="A1562" s="2" t="s">
        <v>4682</v>
      </c>
      <c r="B1562" s="2" t="s">
        <v>4683</v>
      </c>
      <c r="C1562" s="2" t="s">
        <v>4684</v>
      </c>
      <c r="D1562" s="2" t="s">
        <v>10048</v>
      </c>
      <c r="E1562" s="15">
        <v>-0.1075</v>
      </c>
      <c r="F1562" s="15">
        <v>7.1900000000000006E-2</v>
      </c>
      <c r="G1562" s="15">
        <v>0.13519999999999999</v>
      </c>
      <c r="H1562" s="15">
        <v>0.25690000000000002</v>
      </c>
      <c r="I1562" s="15">
        <v>4.3700000000000003E-2</v>
      </c>
      <c r="J1562" s="15">
        <v>5.8787185354691074</v>
      </c>
    </row>
    <row r="1563" spans="1:10" x14ac:dyDescent="0.25">
      <c r="A1563" s="2" t="s">
        <v>4685</v>
      </c>
      <c r="B1563" s="2" t="s">
        <v>4686</v>
      </c>
      <c r="C1563" s="2" t="s">
        <v>4687</v>
      </c>
      <c r="D1563" s="2" t="s">
        <v>10048</v>
      </c>
      <c r="E1563" s="15">
        <v>-4.3400000000000001E-2</v>
      </c>
      <c r="F1563" s="15">
        <v>7.1900000000000006E-2</v>
      </c>
      <c r="G1563" s="15">
        <v>0.54659999999999997</v>
      </c>
      <c r="H1563" s="15">
        <v>0.20349999999999999</v>
      </c>
      <c r="I1563" s="15">
        <v>4.41E-2</v>
      </c>
      <c r="J1563" s="15">
        <v>4.6145124716553294</v>
      </c>
    </row>
    <row r="1564" spans="1:10" x14ac:dyDescent="0.25">
      <c r="A1564" s="2" t="s">
        <v>4688</v>
      </c>
      <c r="B1564" s="2" t="s">
        <v>4689</v>
      </c>
      <c r="C1564" s="2" t="s">
        <v>4690</v>
      </c>
      <c r="D1564" s="2" t="s">
        <v>10048</v>
      </c>
      <c r="E1564" s="15">
        <v>-3.1099999999999999E-2</v>
      </c>
      <c r="F1564" s="15">
        <v>6.6900000000000001E-2</v>
      </c>
      <c r="G1564" s="15">
        <v>0.64190000000000003</v>
      </c>
      <c r="H1564" s="15">
        <v>0.25929999999999997</v>
      </c>
      <c r="I1564" s="15">
        <v>4.2099999999999999E-2</v>
      </c>
      <c r="J1564" s="15">
        <v>6.1591448931116384</v>
      </c>
    </row>
    <row r="1565" spans="1:10" x14ac:dyDescent="0.25">
      <c r="A1565" s="2" t="s">
        <v>4691</v>
      </c>
      <c r="B1565" s="2" t="s">
        <v>4692</v>
      </c>
      <c r="C1565" s="2" t="s">
        <v>4693</v>
      </c>
      <c r="D1565" s="2" t="s">
        <v>10048</v>
      </c>
      <c r="E1565" s="15">
        <v>6.7500000000000004E-2</v>
      </c>
      <c r="F1565" s="15">
        <v>7.8E-2</v>
      </c>
      <c r="G1565" s="15">
        <v>0.3866</v>
      </c>
      <c r="H1565" s="15">
        <v>0.16059999999999999</v>
      </c>
      <c r="I1565" s="15">
        <v>4.6600000000000003E-2</v>
      </c>
      <c r="J1565" s="15">
        <v>3.4463519313304718</v>
      </c>
    </row>
    <row r="1566" spans="1:10" x14ac:dyDescent="0.25">
      <c r="A1566" s="2" t="s">
        <v>4694</v>
      </c>
      <c r="B1566" s="2" t="s">
        <v>4695</v>
      </c>
      <c r="C1566" s="2" t="s">
        <v>4696</v>
      </c>
      <c r="D1566" s="2" t="s">
        <v>10048</v>
      </c>
      <c r="E1566" s="15">
        <v>0.1128</v>
      </c>
      <c r="F1566" s="15">
        <v>8.0100000000000005E-2</v>
      </c>
      <c r="G1566" s="15">
        <v>0.159</v>
      </c>
      <c r="H1566" s="15">
        <v>0.1779</v>
      </c>
      <c r="I1566" s="15">
        <v>4.8300000000000003E-2</v>
      </c>
      <c r="J1566" s="15">
        <v>3.683229813664596</v>
      </c>
    </row>
    <row r="1567" spans="1:10" x14ac:dyDescent="0.25">
      <c r="A1567" s="2" t="s">
        <v>4697</v>
      </c>
      <c r="B1567" s="2" t="s">
        <v>4698</v>
      </c>
      <c r="C1567" s="2" t="s">
        <v>4699</v>
      </c>
      <c r="D1567" s="2" t="s">
        <v>10048</v>
      </c>
      <c r="E1567" s="15">
        <v>-3.2399999999999998E-2</v>
      </c>
      <c r="F1567" s="15">
        <v>6.7100000000000007E-2</v>
      </c>
      <c r="G1567" s="15">
        <v>0.62939999999999996</v>
      </c>
      <c r="H1567" s="15">
        <v>0.25840000000000002</v>
      </c>
      <c r="I1567" s="15">
        <v>4.7E-2</v>
      </c>
      <c r="J1567" s="15">
        <v>5.4978723404255323</v>
      </c>
    </row>
    <row r="1568" spans="1:10" x14ac:dyDescent="0.25">
      <c r="A1568" s="2" t="s">
        <v>4700</v>
      </c>
      <c r="B1568" s="2" t="s">
        <v>4701</v>
      </c>
      <c r="C1568" s="2" t="s">
        <v>4702</v>
      </c>
      <c r="D1568" s="2" t="s">
        <v>10048</v>
      </c>
      <c r="E1568" s="15">
        <v>-0.10970000000000001</v>
      </c>
      <c r="F1568" s="15">
        <v>7.1099999999999997E-2</v>
      </c>
      <c r="G1568" s="15">
        <v>0.1231</v>
      </c>
      <c r="H1568" s="15">
        <v>0.2208</v>
      </c>
      <c r="I1568" s="15">
        <v>4.7E-2</v>
      </c>
      <c r="J1568" s="15">
        <v>4.6978723404255316</v>
      </c>
    </row>
    <row r="1569" spans="1:10" x14ac:dyDescent="0.25">
      <c r="A1569" s="2" t="s">
        <v>4703</v>
      </c>
      <c r="B1569" s="2" t="s">
        <v>4704</v>
      </c>
      <c r="C1569" s="2" t="s">
        <v>4705</v>
      </c>
      <c r="D1569" s="2" t="s">
        <v>10048</v>
      </c>
      <c r="E1569" s="15">
        <v>5.33E-2</v>
      </c>
      <c r="F1569" s="15">
        <v>8.1500000000000003E-2</v>
      </c>
      <c r="G1569" s="15">
        <v>0.51300000000000001</v>
      </c>
      <c r="H1569" s="15">
        <v>0.20880000000000001</v>
      </c>
      <c r="I1569" s="15">
        <v>4.1099999999999998E-2</v>
      </c>
      <c r="J1569" s="15">
        <v>5.0802919708029206</v>
      </c>
    </row>
    <row r="1570" spans="1:10" x14ac:dyDescent="0.25">
      <c r="A1570" s="2" t="s">
        <v>4706</v>
      </c>
      <c r="B1570" s="2" t="s">
        <v>4707</v>
      </c>
      <c r="C1570" s="2" t="s">
        <v>4708</v>
      </c>
      <c r="D1570" s="2" t="s">
        <v>10048</v>
      </c>
      <c r="E1570" s="15">
        <v>6.4299999999999996E-2</v>
      </c>
      <c r="F1570" s="15">
        <v>8.8300000000000003E-2</v>
      </c>
      <c r="G1570" s="15">
        <v>0.46660000000000001</v>
      </c>
      <c r="H1570" s="15">
        <v>0.17369999999999999</v>
      </c>
      <c r="I1570" s="15">
        <v>4.3200000000000002E-2</v>
      </c>
      <c r="J1570" s="15">
        <v>4.020833333333333</v>
      </c>
    </row>
    <row r="1571" spans="1:10" x14ac:dyDescent="0.25">
      <c r="A1571" s="2" t="s">
        <v>4709</v>
      </c>
      <c r="B1571" s="2" t="s">
        <v>4710</v>
      </c>
      <c r="C1571" s="2" t="s">
        <v>4711</v>
      </c>
      <c r="D1571" s="2" t="s">
        <v>10048</v>
      </c>
      <c r="E1571" s="15">
        <v>0.124</v>
      </c>
      <c r="F1571" s="15">
        <v>0.1081</v>
      </c>
      <c r="G1571" s="15">
        <v>0.25130000000000002</v>
      </c>
      <c r="H1571" s="15">
        <v>0.1052</v>
      </c>
      <c r="I1571" s="15">
        <v>4.3099999999999999E-2</v>
      </c>
      <c r="J1571" s="15">
        <v>2.4408352668213462</v>
      </c>
    </row>
    <row r="1572" spans="1:10" x14ac:dyDescent="0.25">
      <c r="A1572" s="2" t="s">
        <v>4712</v>
      </c>
      <c r="B1572" s="2" t="s">
        <v>4713</v>
      </c>
      <c r="C1572" s="2" t="s">
        <v>4714</v>
      </c>
      <c r="D1572" s="2" t="s">
        <v>10048</v>
      </c>
      <c r="E1572" s="15">
        <v>1.18E-2</v>
      </c>
      <c r="F1572" s="15">
        <v>9.3700000000000006E-2</v>
      </c>
      <c r="G1572" s="15">
        <v>0.9</v>
      </c>
      <c r="H1572" s="15">
        <v>0.12590000000000001</v>
      </c>
      <c r="I1572" s="15">
        <v>4.1700000000000001E-2</v>
      </c>
      <c r="J1572" s="15">
        <v>3.0191846522781778</v>
      </c>
    </row>
    <row r="1573" spans="1:10" x14ac:dyDescent="0.25">
      <c r="A1573" s="2" t="s">
        <v>4715</v>
      </c>
      <c r="B1573" s="2" t="s">
        <v>4716</v>
      </c>
      <c r="C1573" s="2" t="s">
        <v>4717</v>
      </c>
      <c r="D1573" s="2" t="s">
        <v>10048</v>
      </c>
      <c r="E1573" s="15">
        <v>-0.1032</v>
      </c>
      <c r="F1573" s="15">
        <v>7.4099999999999999E-2</v>
      </c>
      <c r="G1573" s="15">
        <v>0.1638</v>
      </c>
      <c r="H1573" s="15">
        <v>0.18940000000000001</v>
      </c>
      <c r="I1573" s="15">
        <v>4.2500000000000003E-2</v>
      </c>
      <c r="J1573" s="15">
        <v>4.4564705882352937</v>
      </c>
    </row>
    <row r="1574" spans="1:10" x14ac:dyDescent="0.25">
      <c r="A1574" s="2" t="s">
        <v>4718</v>
      </c>
      <c r="B1574" s="2" t="s">
        <v>4719</v>
      </c>
      <c r="C1574" s="2" t="s">
        <v>4720</v>
      </c>
      <c r="D1574" s="2" t="s">
        <v>10048</v>
      </c>
      <c r="E1574" s="15">
        <v>-8.3999999999999995E-3</v>
      </c>
      <c r="F1574" s="15">
        <v>8.5300000000000001E-2</v>
      </c>
      <c r="G1574" s="15">
        <v>0.92120000000000002</v>
      </c>
      <c r="H1574" s="15">
        <v>0.19900000000000001</v>
      </c>
      <c r="I1574" s="15">
        <v>4.0500000000000001E-2</v>
      </c>
      <c r="J1574" s="15">
        <v>4.9135802469135808</v>
      </c>
    </row>
    <row r="1575" spans="1:10" x14ac:dyDescent="0.25">
      <c r="A1575" s="2" t="s">
        <v>4721</v>
      </c>
      <c r="B1575" s="2" t="s">
        <v>4722</v>
      </c>
      <c r="C1575" s="2" t="s">
        <v>4723</v>
      </c>
      <c r="D1575" s="2" t="s">
        <v>10048</v>
      </c>
      <c r="E1575" s="15">
        <v>0.22559999999999999</v>
      </c>
      <c r="F1575" s="15">
        <v>0.158</v>
      </c>
      <c r="G1575" s="15">
        <v>0.15329999999999999</v>
      </c>
      <c r="H1575" s="15">
        <v>6.4399999999999999E-2</v>
      </c>
      <c r="I1575" s="15">
        <v>4.2200000000000001E-2</v>
      </c>
      <c r="J1575" s="15">
        <v>1.5260663507109</v>
      </c>
    </row>
    <row r="1576" spans="1:10" x14ac:dyDescent="0.25">
      <c r="A1576" s="2" t="s">
        <v>4724</v>
      </c>
      <c r="B1576" s="2" t="s">
        <v>4725</v>
      </c>
      <c r="C1576" s="2" t="s">
        <v>4726</v>
      </c>
      <c r="D1576" s="2" t="s">
        <v>10048</v>
      </c>
      <c r="E1576" s="15">
        <v>0.10929999999999999</v>
      </c>
      <c r="F1576" s="15">
        <v>9.2799999999999994E-2</v>
      </c>
      <c r="G1576" s="15">
        <v>0.23880000000000001</v>
      </c>
      <c r="H1576" s="15">
        <v>0.1462</v>
      </c>
      <c r="I1576" s="15">
        <v>4.4200000000000003E-2</v>
      </c>
      <c r="J1576" s="15">
        <v>3.307692307692307</v>
      </c>
    </row>
    <row r="1577" spans="1:10" x14ac:dyDescent="0.25">
      <c r="A1577" s="2" t="s">
        <v>4727</v>
      </c>
      <c r="B1577" s="2" t="s">
        <v>4728</v>
      </c>
      <c r="C1577" s="2" t="s">
        <v>4729</v>
      </c>
      <c r="D1577" s="2" t="s">
        <v>10048</v>
      </c>
      <c r="E1577" s="15">
        <v>5.9299999999999999E-2</v>
      </c>
      <c r="F1577" s="15">
        <v>0.17430000000000001</v>
      </c>
      <c r="G1577" s="15">
        <v>0.73350000000000004</v>
      </c>
      <c r="H1577" s="15">
        <v>4.4699999999999997E-2</v>
      </c>
      <c r="I1577" s="15">
        <v>3.95E-2</v>
      </c>
      <c r="J1577" s="15">
        <v>1.131645569620253</v>
      </c>
    </row>
    <row r="1578" spans="1:10" x14ac:dyDescent="0.25">
      <c r="A1578" s="2" t="s">
        <v>4730</v>
      </c>
      <c r="B1578" s="2" t="s">
        <v>4731</v>
      </c>
      <c r="C1578" s="2" t="s">
        <v>4732</v>
      </c>
      <c r="D1578" s="2" t="s">
        <v>10048</v>
      </c>
      <c r="E1578" s="15">
        <v>9.3899999999999997E-2</v>
      </c>
      <c r="F1578" s="15">
        <v>0.11600000000000001</v>
      </c>
      <c r="G1578" s="15">
        <v>0.41799999999999998</v>
      </c>
      <c r="H1578" s="15">
        <v>8.5900000000000004E-2</v>
      </c>
      <c r="I1578" s="15">
        <v>3.9800000000000002E-2</v>
      </c>
      <c r="J1578" s="15">
        <v>2.158291457286432</v>
      </c>
    </row>
    <row r="1579" spans="1:10" x14ac:dyDescent="0.25">
      <c r="A1579" s="2" t="s">
        <v>4733</v>
      </c>
      <c r="B1579" s="2" t="s">
        <v>4734</v>
      </c>
      <c r="C1579" s="2" t="s">
        <v>4735</v>
      </c>
      <c r="D1579" s="2" t="s">
        <v>10048</v>
      </c>
      <c r="E1579" s="15">
        <v>-1.2999999999999999E-3</v>
      </c>
      <c r="F1579" s="15">
        <v>8.8800000000000004E-2</v>
      </c>
      <c r="G1579" s="15">
        <v>0.98870000000000002</v>
      </c>
      <c r="H1579" s="15">
        <v>0.1555</v>
      </c>
      <c r="I1579" s="15">
        <v>3.7699999999999997E-2</v>
      </c>
      <c r="J1579" s="15">
        <v>4.1246684350132634</v>
      </c>
    </row>
    <row r="1580" spans="1:10" x14ac:dyDescent="0.25">
      <c r="A1580" s="2" t="s">
        <v>4736</v>
      </c>
      <c r="B1580" s="2" t="s">
        <v>4737</v>
      </c>
      <c r="C1580" s="2" t="s">
        <v>4738</v>
      </c>
      <c r="D1580" s="2" t="s">
        <v>10048</v>
      </c>
      <c r="E1580" s="15">
        <v>4.3E-3</v>
      </c>
      <c r="F1580" s="15">
        <v>0.108</v>
      </c>
      <c r="G1580" s="15">
        <v>0.96860000000000002</v>
      </c>
      <c r="H1580" s="15">
        <v>0.1096</v>
      </c>
      <c r="I1580" s="15">
        <v>0.04</v>
      </c>
      <c r="J1580" s="15">
        <v>2.74</v>
      </c>
    </row>
    <row r="1581" spans="1:10" x14ac:dyDescent="0.25">
      <c r="A1581" s="2" t="s">
        <v>4739</v>
      </c>
      <c r="B1581" s="2" t="s">
        <v>4740</v>
      </c>
      <c r="C1581" s="2" t="s">
        <v>4741</v>
      </c>
      <c r="D1581" s="2" t="s">
        <v>10048</v>
      </c>
      <c r="E1581" s="15">
        <v>-6.0299999999999999E-2</v>
      </c>
      <c r="F1581" s="15">
        <v>8.8599999999999998E-2</v>
      </c>
      <c r="G1581" s="15">
        <v>0.49640000000000001</v>
      </c>
      <c r="H1581" s="15">
        <v>0.15210000000000001</v>
      </c>
      <c r="I1581" s="15">
        <v>4.1700000000000001E-2</v>
      </c>
      <c r="J1581" s="15">
        <v>3.6474820143884901</v>
      </c>
    </row>
    <row r="1582" spans="1:10" x14ac:dyDescent="0.25">
      <c r="A1582" s="2" t="s">
        <v>4742</v>
      </c>
      <c r="B1582" s="2" t="s">
        <v>4743</v>
      </c>
      <c r="C1582" s="2" t="s">
        <v>4744</v>
      </c>
      <c r="D1582" s="2" t="s">
        <v>10048</v>
      </c>
      <c r="E1582" s="15">
        <v>-8.6199999999999999E-2</v>
      </c>
      <c r="F1582" s="15">
        <v>8.1100000000000005E-2</v>
      </c>
      <c r="G1582" s="15">
        <v>0.2878</v>
      </c>
      <c r="H1582" s="15">
        <v>0.18060000000000001</v>
      </c>
      <c r="I1582" s="15">
        <v>4.3700000000000003E-2</v>
      </c>
      <c r="J1582" s="15">
        <v>4.1327231121281462</v>
      </c>
    </row>
    <row r="1583" spans="1:10" x14ac:dyDescent="0.25">
      <c r="A1583" s="2" t="s">
        <v>4745</v>
      </c>
      <c r="B1583" s="2" t="s">
        <v>4746</v>
      </c>
      <c r="C1583" s="2" t="s">
        <v>4747</v>
      </c>
      <c r="D1583" s="2" t="s">
        <v>10048</v>
      </c>
      <c r="E1583" s="15">
        <v>9.9199999999999997E-2</v>
      </c>
      <c r="F1583" s="15">
        <v>0.11210000000000001</v>
      </c>
      <c r="G1583" s="15">
        <v>0.37580000000000002</v>
      </c>
      <c r="H1583" s="15">
        <v>9.4500000000000001E-2</v>
      </c>
      <c r="I1583" s="15">
        <v>4.24E-2</v>
      </c>
      <c r="J1583" s="15">
        <v>2.2287735849056598</v>
      </c>
    </row>
    <row r="1584" spans="1:10" x14ac:dyDescent="0.25">
      <c r="A1584" s="2" t="s">
        <v>4748</v>
      </c>
      <c r="B1584" s="2" t="s">
        <v>4749</v>
      </c>
      <c r="C1584" s="2" t="s">
        <v>4750</v>
      </c>
      <c r="D1584" s="2" t="s">
        <v>10048</v>
      </c>
      <c r="E1584" s="15">
        <v>1.72E-2</v>
      </c>
      <c r="F1584" s="15">
        <v>9.2200000000000004E-2</v>
      </c>
      <c r="G1584" s="15">
        <v>0.85219999999999996</v>
      </c>
      <c r="H1584" s="15">
        <v>0.1138</v>
      </c>
      <c r="I1584" s="15">
        <v>4.0099999999999997E-2</v>
      </c>
      <c r="J1584" s="15">
        <v>2.8379052369077309</v>
      </c>
    </row>
    <row r="1585" spans="1:10" x14ac:dyDescent="0.25">
      <c r="A1585" s="2" t="s">
        <v>4751</v>
      </c>
      <c r="B1585" s="2" t="s">
        <v>4752</v>
      </c>
      <c r="C1585" s="2" t="s">
        <v>4753</v>
      </c>
      <c r="D1585" s="2" t="s">
        <v>10048</v>
      </c>
      <c r="E1585" s="15">
        <v>0.1114</v>
      </c>
      <c r="F1585" s="15">
        <v>7.85E-2</v>
      </c>
      <c r="G1585" s="15">
        <v>0.15620000000000001</v>
      </c>
      <c r="H1585" s="15">
        <v>0.191</v>
      </c>
      <c r="I1585" s="15">
        <v>3.9100000000000003E-2</v>
      </c>
      <c r="J1585" s="15">
        <v>4.8849104859335037</v>
      </c>
    </row>
    <row r="1586" spans="1:10" x14ac:dyDescent="0.25">
      <c r="A1586" s="2" t="s">
        <v>4754</v>
      </c>
      <c r="B1586" s="2" t="s">
        <v>4755</v>
      </c>
      <c r="C1586" s="2" t="s">
        <v>4756</v>
      </c>
      <c r="D1586" s="2" t="s">
        <v>10048</v>
      </c>
      <c r="E1586" s="15">
        <v>0.1555</v>
      </c>
      <c r="F1586" s="15">
        <v>8.8400000000000006E-2</v>
      </c>
      <c r="G1586" s="15">
        <v>7.85E-2</v>
      </c>
      <c r="H1586" s="15">
        <v>0.1663</v>
      </c>
      <c r="I1586" s="15">
        <v>4.0399999999999998E-2</v>
      </c>
      <c r="J1586" s="15">
        <v>4.1163366336633667</v>
      </c>
    </row>
    <row r="1587" spans="1:10" x14ac:dyDescent="0.25">
      <c r="A1587" s="2" t="s">
        <v>4757</v>
      </c>
      <c r="B1587" s="2" t="s">
        <v>4758</v>
      </c>
      <c r="C1587" s="2" t="s">
        <v>4759</v>
      </c>
      <c r="D1587" s="2" t="s">
        <v>10048</v>
      </c>
      <c r="E1587" s="15">
        <v>6.6500000000000004E-2</v>
      </c>
      <c r="F1587" s="15">
        <v>9.7699999999999995E-2</v>
      </c>
      <c r="G1587" s="15">
        <v>0.496</v>
      </c>
      <c r="H1587" s="15">
        <v>0.12690000000000001</v>
      </c>
      <c r="I1587" s="15">
        <v>4.36E-2</v>
      </c>
      <c r="J1587" s="15">
        <v>2.9105504587155968</v>
      </c>
    </row>
    <row r="1588" spans="1:10" x14ac:dyDescent="0.25">
      <c r="A1588" s="2" t="s">
        <v>4760</v>
      </c>
      <c r="B1588" s="2" t="s">
        <v>4761</v>
      </c>
      <c r="C1588" s="2" t="s">
        <v>4762</v>
      </c>
      <c r="D1588" s="2" t="s">
        <v>10048</v>
      </c>
      <c r="E1588" s="15">
        <v>8.0600000000000005E-2</v>
      </c>
      <c r="F1588" s="15">
        <v>6.9599999999999995E-2</v>
      </c>
      <c r="G1588" s="15">
        <v>0.24709999999999999</v>
      </c>
      <c r="H1588" s="15">
        <v>0.26700000000000002</v>
      </c>
      <c r="I1588" s="15">
        <v>4.2099999999999999E-2</v>
      </c>
      <c r="J1588" s="15">
        <v>6.3420427553444183</v>
      </c>
    </row>
    <row r="1589" spans="1:10" x14ac:dyDescent="0.25">
      <c r="A1589" s="2" t="s">
        <v>4763</v>
      </c>
      <c r="B1589" s="2" t="s">
        <v>4764</v>
      </c>
      <c r="C1589" s="2" t="s">
        <v>4765</v>
      </c>
      <c r="D1589" s="2" t="s">
        <v>10048</v>
      </c>
      <c r="E1589" s="15">
        <v>-7.5800000000000006E-2</v>
      </c>
      <c r="F1589" s="15">
        <v>8.0500000000000002E-2</v>
      </c>
      <c r="G1589" s="15">
        <v>0.34639999999999999</v>
      </c>
      <c r="H1589" s="15">
        <v>0.16420000000000001</v>
      </c>
      <c r="I1589" s="15">
        <v>4.2299999999999997E-2</v>
      </c>
      <c r="J1589" s="15">
        <v>3.8817966903073291</v>
      </c>
    </row>
    <row r="1590" spans="1:10" x14ac:dyDescent="0.25">
      <c r="A1590" s="2" t="s">
        <v>4766</v>
      </c>
      <c r="B1590" s="2" t="s">
        <v>4767</v>
      </c>
      <c r="C1590" s="2" t="s">
        <v>4768</v>
      </c>
      <c r="D1590" s="2" t="s">
        <v>10048</v>
      </c>
      <c r="E1590" s="15">
        <v>-8.6999999999999994E-2</v>
      </c>
      <c r="F1590" s="15">
        <v>7.7899999999999997E-2</v>
      </c>
      <c r="G1590" s="15">
        <v>0.26400000000000001</v>
      </c>
      <c r="H1590" s="15">
        <v>0.20849999999999999</v>
      </c>
      <c r="I1590" s="15">
        <v>3.9300000000000002E-2</v>
      </c>
      <c r="J1590" s="15">
        <v>5.3053435114503813</v>
      </c>
    </row>
    <row r="1591" spans="1:10" x14ac:dyDescent="0.25">
      <c r="A1591" s="2" t="s">
        <v>4769</v>
      </c>
      <c r="B1591" s="2" t="s">
        <v>4770</v>
      </c>
      <c r="C1591" s="2" t="s">
        <v>4771</v>
      </c>
      <c r="D1591" s="2" t="s">
        <v>10048</v>
      </c>
      <c r="E1591" s="15">
        <v>2.7300000000000001E-2</v>
      </c>
      <c r="F1591" s="15">
        <v>8.2299999999999998E-2</v>
      </c>
      <c r="G1591" s="15">
        <v>0.74050000000000005</v>
      </c>
      <c r="H1591" s="15">
        <v>0.16800000000000001</v>
      </c>
      <c r="I1591" s="15">
        <v>4.0399999999999998E-2</v>
      </c>
      <c r="J1591" s="15">
        <v>4.1584158415841586</v>
      </c>
    </row>
    <row r="1592" spans="1:10" x14ac:dyDescent="0.25">
      <c r="A1592" s="2" t="s">
        <v>4772</v>
      </c>
      <c r="B1592" s="2" t="s">
        <v>4773</v>
      </c>
      <c r="C1592" s="2" t="s">
        <v>4774</v>
      </c>
      <c r="D1592" s="2" t="s">
        <v>10048</v>
      </c>
      <c r="E1592" s="15">
        <v>-0.1295</v>
      </c>
      <c r="F1592" s="15">
        <v>8.1799999999999998E-2</v>
      </c>
      <c r="G1592" s="15">
        <v>0.1134</v>
      </c>
      <c r="H1592" s="15">
        <v>0.2084</v>
      </c>
      <c r="I1592" s="15">
        <v>4.19E-2</v>
      </c>
      <c r="J1592" s="15">
        <v>4.9737470167064437</v>
      </c>
    </row>
    <row r="1593" spans="1:10" x14ac:dyDescent="0.25">
      <c r="A1593" s="2" t="s">
        <v>4775</v>
      </c>
      <c r="B1593" s="2" t="s">
        <v>4776</v>
      </c>
      <c r="C1593" s="2" t="s">
        <v>4777</v>
      </c>
      <c r="D1593" s="2" t="s">
        <v>10048</v>
      </c>
      <c r="E1593" s="15">
        <v>6.6799999999999998E-2</v>
      </c>
      <c r="F1593" s="15">
        <v>9.0399999999999994E-2</v>
      </c>
      <c r="G1593" s="15">
        <v>0.45960000000000001</v>
      </c>
      <c r="H1593" s="15">
        <v>0.1298</v>
      </c>
      <c r="I1593" s="15">
        <v>4.1799999999999997E-2</v>
      </c>
      <c r="J1593" s="15">
        <v>3.1052631578947372</v>
      </c>
    </row>
    <row r="1594" spans="1:10" x14ac:dyDescent="0.25">
      <c r="A1594" s="2" t="s">
        <v>4778</v>
      </c>
      <c r="B1594" s="2" t="s">
        <v>4779</v>
      </c>
      <c r="C1594" s="2" t="s">
        <v>4780</v>
      </c>
      <c r="D1594" s="2" t="s">
        <v>10048</v>
      </c>
      <c r="E1594" s="15">
        <v>2.93E-2</v>
      </c>
      <c r="F1594" s="15">
        <v>7.0199999999999999E-2</v>
      </c>
      <c r="G1594" s="15">
        <v>0.67620000000000002</v>
      </c>
      <c r="H1594" s="15">
        <v>0.21879999999999999</v>
      </c>
      <c r="I1594" s="15">
        <v>3.7600000000000001E-2</v>
      </c>
      <c r="J1594" s="15">
        <v>5.8191489361702127</v>
      </c>
    </row>
    <row r="1595" spans="1:10" x14ac:dyDescent="0.25">
      <c r="A1595" s="2" t="s">
        <v>4781</v>
      </c>
      <c r="B1595" s="2" t="s">
        <v>4782</v>
      </c>
      <c r="C1595" s="2" t="s">
        <v>4783</v>
      </c>
      <c r="D1595" s="2" t="s">
        <v>10048</v>
      </c>
      <c r="E1595" s="15">
        <v>3.0599999999999999E-2</v>
      </c>
      <c r="F1595" s="15">
        <v>7.3499999999999996E-2</v>
      </c>
      <c r="G1595" s="15">
        <v>0.67679999999999996</v>
      </c>
      <c r="H1595" s="15">
        <v>0.2046</v>
      </c>
      <c r="I1595" s="15">
        <v>4.6100000000000002E-2</v>
      </c>
      <c r="J1595" s="15">
        <v>4.4381778741865512</v>
      </c>
    </row>
    <row r="1596" spans="1:10" x14ac:dyDescent="0.25">
      <c r="A1596" s="2" t="s">
        <v>4784</v>
      </c>
      <c r="B1596" s="2" t="s">
        <v>4785</v>
      </c>
      <c r="C1596" s="2" t="s">
        <v>4786</v>
      </c>
      <c r="D1596" s="2" t="s">
        <v>10048</v>
      </c>
      <c r="E1596" s="15">
        <v>-7.5899999999999995E-2</v>
      </c>
      <c r="F1596" s="15">
        <v>8.0799999999999997E-2</v>
      </c>
      <c r="G1596" s="15">
        <v>0.3473</v>
      </c>
      <c r="H1596" s="15">
        <v>0.17399999999999999</v>
      </c>
      <c r="I1596" s="15">
        <v>4.5499999999999999E-2</v>
      </c>
      <c r="J1596" s="15">
        <v>3.8241758241758239</v>
      </c>
    </row>
    <row r="1597" spans="1:10" x14ac:dyDescent="0.25">
      <c r="A1597" s="2" t="s">
        <v>4787</v>
      </c>
      <c r="B1597" s="2" t="s">
        <v>4788</v>
      </c>
      <c r="C1597" s="2" t="s">
        <v>4789</v>
      </c>
      <c r="D1597" s="2" t="s">
        <v>10048</v>
      </c>
      <c r="E1597" s="15">
        <v>-4.3099999999999999E-2</v>
      </c>
      <c r="F1597" s="15">
        <v>8.6300000000000002E-2</v>
      </c>
      <c r="G1597" s="15">
        <v>0.61760000000000004</v>
      </c>
      <c r="H1597" s="15">
        <v>0.16489999999999999</v>
      </c>
      <c r="I1597" s="15">
        <v>4.3200000000000002E-2</v>
      </c>
      <c r="J1597" s="15">
        <v>3.8171296296296289</v>
      </c>
    </row>
    <row r="1598" spans="1:10" x14ac:dyDescent="0.25">
      <c r="A1598" s="2" t="s">
        <v>4790</v>
      </c>
      <c r="B1598" s="2" t="s">
        <v>4791</v>
      </c>
      <c r="C1598" s="2" t="s">
        <v>4792</v>
      </c>
      <c r="D1598" s="2" t="s">
        <v>10048</v>
      </c>
      <c r="E1598" s="15">
        <v>0.1074</v>
      </c>
      <c r="F1598" s="15">
        <v>8.6599999999999996E-2</v>
      </c>
      <c r="G1598" s="15">
        <v>0.2147</v>
      </c>
      <c r="H1598" s="15">
        <v>0.1857</v>
      </c>
      <c r="I1598" s="15">
        <v>4.3400000000000001E-2</v>
      </c>
      <c r="J1598" s="15">
        <v>4.2788018433179724</v>
      </c>
    </row>
    <row r="1599" spans="1:10" x14ac:dyDescent="0.25">
      <c r="A1599" s="2" t="s">
        <v>4793</v>
      </c>
      <c r="B1599" s="2" t="s">
        <v>4794</v>
      </c>
      <c r="C1599" s="2" t="s">
        <v>4795</v>
      </c>
      <c r="D1599" s="2" t="s">
        <v>10048</v>
      </c>
      <c r="E1599" s="15">
        <v>5.0700000000000002E-2</v>
      </c>
      <c r="F1599" s="15">
        <v>7.4499999999999997E-2</v>
      </c>
      <c r="G1599" s="15">
        <v>0.49680000000000002</v>
      </c>
      <c r="H1599" s="15">
        <v>0.254</v>
      </c>
      <c r="I1599" s="15">
        <v>4.6100000000000002E-2</v>
      </c>
      <c r="J1599" s="15">
        <v>5.5097613882863339</v>
      </c>
    </row>
    <row r="1600" spans="1:10" x14ac:dyDescent="0.25">
      <c r="A1600" s="2" t="s">
        <v>4796</v>
      </c>
      <c r="B1600" s="2" t="s">
        <v>4797</v>
      </c>
      <c r="C1600" s="2" t="s">
        <v>4798</v>
      </c>
      <c r="D1600" s="2" t="s">
        <v>10048</v>
      </c>
      <c r="E1600" s="15">
        <v>0.1061</v>
      </c>
      <c r="F1600" s="15">
        <v>7.0599999999999996E-2</v>
      </c>
      <c r="G1600" s="15">
        <v>0.13270000000000001</v>
      </c>
      <c r="H1600" s="15">
        <v>0.2641</v>
      </c>
      <c r="I1600" s="15">
        <v>4.1799999999999997E-2</v>
      </c>
      <c r="J1600" s="15">
        <v>6.3181818181818183</v>
      </c>
    </row>
    <row r="1601" spans="1:10" x14ac:dyDescent="0.25">
      <c r="A1601" s="2" t="s">
        <v>4799</v>
      </c>
      <c r="B1601" s="2" t="s">
        <v>4800</v>
      </c>
      <c r="C1601" s="2" t="s">
        <v>4801</v>
      </c>
      <c r="D1601" s="2" t="s">
        <v>10048</v>
      </c>
      <c r="E1601" s="15">
        <v>8.1500000000000003E-2</v>
      </c>
      <c r="F1601" s="15">
        <v>7.6100000000000001E-2</v>
      </c>
      <c r="G1601" s="15">
        <v>0.2843</v>
      </c>
      <c r="H1601" s="15">
        <v>0.24379999999999999</v>
      </c>
      <c r="I1601" s="15">
        <v>4.4299999999999999E-2</v>
      </c>
      <c r="J1601" s="15">
        <v>5.503386004514673</v>
      </c>
    </row>
    <row r="1602" spans="1:10" x14ac:dyDescent="0.25">
      <c r="A1602" s="2" t="s">
        <v>4802</v>
      </c>
      <c r="B1602" s="2" t="s">
        <v>4803</v>
      </c>
      <c r="C1602" s="2" t="s">
        <v>4804</v>
      </c>
      <c r="D1602" s="2" t="s">
        <v>10048</v>
      </c>
      <c r="E1602" s="15">
        <v>-4.4000000000000003E-3</v>
      </c>
      <c r="F1602" s="15">
        <v>0.11219999999999999</v>
      </c>
      <c r="G1602" s="15">
        <v>0.96879999999999999</v>
      </c>
      <c r="H1602" s="15">
        <v>0.1113</v>
      </c>
      <c r="I1602" s="15">
        <v>4.1200000000000001E-2</v>
      </c>
      <c r="J1602" s="15">
        <v>2.7014563106796121</v>
      </c>
    </row>
    <row r="1603" spans="1:10" x14ac:dyDescent="0.25">
      <c r="A1603" s="2" t="s">
        <v>4805</v>
      </c>
      <c r="B1603" s="2" t="s">
        <v>4806</v>
      </c>
      <c r="C1603" s="2" t="s">
        <v>4807</v>
      </c>
      <c r="D1603" s="2" t="s">
        <v>10048</v>
      </c>
      <c r="E1603" s="15">
        <v>-0.2397</v>
      </c>
      <c r="F1603" s="15">
        <v>0.1211</v>
      </c>
      <c r="G1603" s="15">
        <v>4.7800000000000002E-2</v>
      </c>
      <c r="H1603" s="15">
        <v>0.1024</v>
      </c>
      <c r="I1603" s="15">
        <v>4.5699999999999998E-2</v>
      </c>
      <c r="J1603" s="15">
        <v>2.2407002188183811</v>
      </c>
    </row>
    <row r="1604" spans="1:10" x14ac:dyDescent="0.25">
      <c r="A1604" s="2" t="s">
        <v>4808</v>
      </c>
      <c r="B1604" s="2" t="s">
        <v>4809</v>
      </c>
      <c r="C1604" s="2" t="s">
        <v>4810</v>
      </c>
      <c r="D1604" s="2" t="s">
        <v>10049</v>
      </c>
      <c r="E1604" s="15">
        <v>-5.5199999999999999E-2</v>
      </c>
      <c r="F1604" s="15">
        <v>6.9900000000000004E-2</v>
      </c>
      <c r="G1604" s="15">
        <v>0.4294</v>
      </c>
      <c r="H1604" s="15">
        <v>0.1905</v>
      </c>
      <c r="I1604" s="15">
        <v>4.0500000000000001E-2</v>
      </c>
      <c r="J1604" s="15">
        <v>4.7037037037037033</v>
      </c>
    </row>
    <row r="1605" spans="1:10" x14ac:dyDescent="0.25">
      <c r="A1605" s="2" t="s">
        <v>4811</v>
      </c>
      <c r="B1605" s="2" t="s">
        <v>4812</v>
      </c>
      <c r="C1605" s="2" t="s">
        <v>4813</v>
      </c>
      <c r="D1605" s="2" t="s">
        <v>10049</v>
      </c>
      <c r="E1605" s="15">
        <v>-1.2500000000000001E-2</v>
      </c>
      <c r="F1605" s="15">
        <v>7.6600000000000001E-2</v>
      </c>
      <c r="G1605" s="15">
        <v>0.87019999999999997</v>
      </c>
      <c r="H1605" s="15">
        <v>0.18310000000000001</v>
      </c>
      <c r="I1605" s="15">
        <v>4.0800000000000003E-2</v>
      </c>
      <c r="J1605" s="15">
        <v>4.4877450980392153</v>
      </c>
    </row>
    <row r="1606" spans="1:10" x14ac:dyDescent="0.25">
      <c r="A1606" s="2" t="s">
        <v>4814</v>
      </c>
      <c r="B1606" s="2" t="s">
        <v>4815</v>
      </c>
      <c r="C1606" s="2" t="s">
        <v>4816</v>
      </c>
      <c r="D1606" s="2" t="s">
        <v>10049</v>
      </c>
      <c r="E1606" s="15">
        <v>2.5999999999999999E-2</v>
      </c>
      <c r="F1606" s="15">
        <v>5.7099999999999998E-2</v>
      </c>
      <c r="G1606" s="15">
        <v>0.64829999999999999</v>
      </c>
      <c r="H1606" s="15">
        <v>0.32840000000000003</v>
      </c>
      <c r="I1606" s="15">
        <v>4.2299999999999997E-2</v>
      </c>
      <c r="J1606" s="15">
        <v>7.7635933806146582</v>
      </c>
    </row>
    <row r="1607" spans="1:10" x14ac:dyDescent="0.25">
      <c r="A1607" s="2" t="s">
        <v>4817</v>
      </c>
      <c r="B1607" s="2" t="s">
        <v>4818</v>
      </c>
      <c r="C1607" s="2" t="s">
        <v>4819</v>
      </c>
      <c r="D1607" s="2" t="s">
        <v>10049</v>
      </c>
      <c r="E1607" s="15">
        <v>4.8899999999999999E-2</v>
      </c>
      <c r="F1607" s="15">
        <v>5.7500000000000002E-2</v>
      </c>
      <c r="G1607" s="15">
        <v>0.39479999999999998</v>
      </c>
      <c r="H1607" s="15">
        <v>0.29859999999999998</v>
      </c>
      <c r="I1607" s="15">
        <v>4.5499999999999999E-2</v>
      </c>
      <c r="J1607" s="15">
        <v>6.5626373626373624</v>
      </c>
    </row>
    <row r="1608" spans="1:10" x14ac:dyDescent="0.25">
      <c r="A1608" s="2" t="s">
        <v>4820</v>
      </c>
      <c r="B1608" s="2" t="s">
        <v>4821</v>
      </c>
      <c r="C1608" s="2" t="s">
        <v>4822</v>
      </c>
      <c r="D1608" s="2" t="s">
        <v>10049</v>
      </c>
      <c r="E1608" s="15">
        <v>4.4400000000000002E-2</v>
      </c>
      <c r="F1608" s="15">
        <v>6.8400000000000002E-2</v>
      </c>
      <c r="G1608" s="15">
        <v>0.5161</v>
      </c>
      <c r="H1608" s="15">
        <v>0.26619999999999999</v>
      </c>
      <c r="I1608" s="15">
        <v>4.5400000000000003E-2</v>
      </c>
      <c r="J1608" s="15">
        <v>5.8634361233480172</v>
      </c>
    </row>
    <row r="1609" spans="1:10" x14ac:dyDescent="0.25">
      <c r="A1609" s="2" t="s">
        <v>4823</v>
      </c>
      <c r="B1609" s="2" t="s">
        <v>4824</v>
      </c>
      <c r="C1609" s="2" t="s">
        <v>4825</v>
      </c>
      <c r="D1609" s="2" t="s">
        <v>10049</v>
      </c>
      <c r="E1609" s="15">
        <v>0.13489999999999999</v>
      </c>
      <c r="F1609" s="15">
        <v>6.9199999999999998E-2</v>
      </c>
      <c r="G1609" s="15">
        <v>5.1499999999999997E-2</v>
      </c>
      <c r="H1609" s="15">
        <v>0.27960000000000002</v>
      </c>
      <c r="I1609" s="15">
        <v>4.82E-2</v>
      </c>
      <c r="J1609" s="15">
        <v>5.8008298755186729</v>
      </c>
    </row>
    <row r="1610" spans="1:10" x14ac:dyDescent="0.25">
      <c r="A1610" s="2" t="s">
        <v>4826</v>
      </c>
      <c r="B1610" s="2" t="s">
        <v>4827</v>
      </c>
      <c r="C1610" s="2" t="s">
        <v>4828</v>
      </c>
      <c r="D1610" s="2" t="s">
        <v>10049</v>
      </c>
      <c r="E1610" s="15">
        <v>-2.64E-2</v>
      </c>
      <c r="F1610" s="15">
        <v>7.4700000000000003E-2</v>
      </c>
      <c r="G1610" s="15">
        <v>0.72389999999999999</v>
      </c>
      <c r="H1610" s="15">
        <v>0.18099999999999999</v>
      </c>
      <c r="I1610" s="15">
        <v>4.1500000000000002E-2</v>
      </c>
      <c r="J1610" s="15">
        <v>4.3614457831325302</v>
      </c>
    </row>
    <row r="1611" spans="1:10" x14ac:dyDescent="0.25">
      <c r="A1611" s="2" t="s">
        <v>4829</v>
      </c>
      <c r="B1611" s="2" t="s">
        <v>4830</v>
      </c>
      <c r="C1611" s="2" t="s">
        <v>4831</v>
      </c>
      <c r="D1611" s="2" t="s">
        <v>10049</v>
      </c>
      <c r="E1611" s="15">
        <v>-1.7899999999999999E-2</v>
      </c>
      <c r="F1611" s="15">
        <v>9.0499999999999997E-2</v>
      </c>
      <c r="G1611" s="15">
        <v>0.84330000000000005</v>
      </c>
      <c r="H1611" s="15">
        <v>0.14399999999999999</v>
      </c>
      <c r="I1611" s="15">
        <v>3.8600000000000002E-2</v>
      </c>
      <c r="J1611" s="15">
        <v>3.730569948186528</v>
      </c>
    </row>
    <row r="1612" spans="1:10" x14ac:dyDescent="0.25">
      <c r="A1612" s="2" t="s">
        <v>4832</v>
      </c>
      <c r="B1612" s="2" t="s">
        <v>4833</v>
      </c>
      <c r="C1612" s="2" t="s">
        <v>4834</v>
      </c>
      <c r="D1612" s="2" t="s">
        <v>10049</v>
      </c>
      <c r="E1612" s="15">
        <v>4.0000000000000002E-4</v>
      </c>
      <c r="F1612" s="15">
        <v>0.1008</v>
      </c>
      <c r="G1612" s="15">
        <v>0.99680000000000002</v>
      </c>
      <c r="H1612" s="15">
        <v>0.1178</v>
      </c>
      <c r="I1612" s="15">
        <v>3.7600000000000001E-2</v>
      </c>
      <c r="J1612" s="15">
        <v>3.1329787234042552</v>
      </c>
    </row>
    <row r="1613" spans="1:10" x14ac:dyDescent="0.25">
      <c r="A1613" s="2" t="s">
        <v>4835</v>
      </c>
      <c r="B1613" s="2" t="s">
        <v>4836</v>
      </c>
      <c r="C1613" s="2" t="s">
        <v>4837</v>
      </c>
      <c r="D1613" s="2" t="s">
        <v>10049</v>
      </c>
      <c r="E1613" s="15">
        <v>-4.6399999999999997E-2</v>
      </c>
      <c r="F1613" s="15">
        <v>0.1197</v>
      </c>
      <c r="G1613" s="15">
        <v>0.69869999999999999</v>
      </c>
      <c r="H1613" s="15">
        <v>8.5400000000000004E-2</v>
      </c>
      <c r="I1613" s="15">
        <v>3.8300000000000001E-2</v>
      </c>
      <c r="J1613" s="15">
        <v>2.229765013054831</v>
      </c>
    </row>
    <row r="1614" spans="1:10" x14ac:dyDescent="0.25">
      <c r="A1614" s="2" t="s">
        <v>4838</v>
      </c>
      <c r="B1614" s="2" t="s">
        <v>4839</v>
      </c>
      <c r="C1614" s="2" t="s">
        <v>4840</v>
      </c>
      <c r="D1614" s="2" t="s">
        <v>10049</v>
      </c>
      <c r="E1614" s="15">
        <v>1.14E-2</v>
      </c>
      <c r="F1614" s="15">
        <v>8.4699999999999998E-2</v>
      </c>
      <c r="G1614" s="15">
        <v>0.89259999999999995</v>
      </c>
      <c r="H1614" s="15">
        <v>0.1421</v>
      </c>
      <c r="I1614" s="15">
        <v>3.9699999999999999E-2</v>
      </c>
      <c r="J1614" s="15">
        <v>3.579345088161209</v>
      </c>
    </row>
    <row r="1615" spans="1:10" x14ac:dyDescent="0.25">
      <c r="A1615" s="2" t="s">
        <v>4841</v>
      </c>
      <c r="B1615" s="2" t="s">
        <v>4842</v>
      </c>
      <c r="C1615" s="2" t="s">
        <v>4843</v>
      </c>
      <c r="D1615" s="2" t="s">
        <v>10049</v>
      </c>
      <c r="E1615" s="15">
        <v>-1.09E-2</v>
      </c>
      <c r="F1615" s="15">
        <v>0.10290000000000001</v>
      </c>
      <c r="G1615" s="15">
        <v>0.91569999999999996</v>
      </c>
      <c r="H1615" s="15">
        <v>0.1042</v>
      </c>
      <c r="I1615" s="15">
        <v>3.7100000000000001E-2</v>
      </c>
      <c r="J1615" s="15">
        <v>2.808625336927224</v>
      </c>
    </row>
    <row r="1616" spans="1:10" x14ac:dyDescent="0.25">
      <c r="A1616" s="2" t="s">
        <v>4844</v>
      </c>
      <c r="B1616" s="2" t="s">
        <v>4845</v>
      </c>
      <c r="C1616" s="2" t="s">
        <v>4846</v>
      </c>
      <c r="D1616" s="2" t="s">
        <v>10049</v>
      </c>
      <c r="E1616" s="15">
        <v>-0.04</v>
      </c>
      <c r="F1616" s="15">
        <v>6.9599999999999995E-2</v>
      </c>
      <c r="G1616" s="15">
        <v>0.5655</v>
      </c>
      <c r="H1616" s="15">
        <v>0.20080000000000001</v>
      </c>
      <c r="I1616" s="15">
        <v>4.1700000000000001E-2</v>
      </c>
      <c r="J1616" s="15">
        <v>4.8153477218225422</v>
      </c>
    </row>
    <row r="1617" spans="1:10" x14ac:dyDescent="0.25">
      <c r="A1617" s="2" t="s">
        <v>4847</v>
      </c>
      <c r="B1617" s="2" t="s">
        <v>4848</v>
      </c>
      <c r="C1617" s="2" t="s">
        <v>4849</v>
      </c>
      <c r="D1617" s="2" t="s">
        <v>10049</v>
      </c>
      <c r="E1617" s="15">
        <v>-4.0099999999999997E-2</v>
      </c>
      <c r="F1617" s="15">
        <v>7.2599999999999998E-2</v>
      </c>
      <c r="G1617" s="15">
        <v>0.58089999999999997</v>
      </c>
      <c r="H1617" s="15">
        <v>0.20200000000000001</v>
      </c>
      <c r="I1617" s="15">
        <v>4.2900000000000001E-2</v>
      </c>
      <c r="J1617" s="15">
        <v>4.7086247086247086</v>
      </c>
    </row>
    <row r="1618" spans="1:10" x14ac:dyDescent="0.25">
      <c r="A1618" s="2" t="s">
        <v>4850</v>
      </c>
      <c r="B1618" s="2" t="s">
        <v>4851</v>
      </c>
      <c r="C1618" s="2" t="s">
        <v>4852</v>
      </c>
      <c r="D1618" s="2" t="s">
        <v>10049</v>
      </c>
      <c r="E1618" s="15">
        <v>4.7999999999999996E-3</v>
      </c>
      <c r="F1618" s="15">
        <v>7.9200000000000007E-2</v>
      </c>
      <c r="G1618" s="15">
        <v>0.95169999999999999</v>
      </c>
      <c r="H1618" s="15">
        <v>0.17519999999999999</v>
      </c>
      <c r="I1618" s="15">
        <v>4.1500000000000002E-2</v>
      </c>
      <c r="J1618" s="15">
        <v>4.2216867469879524</v>
      </c>
    </row>
    <row r="1619" spans="1:10" x14ac:dyDescent="0.25">
      <c r="A1619" s="2" t="s">
        <v>4853</v>
      </c>
      <c r="B1619" s="2" t="s">
        <v>4854</v>
      </c>
      <c r="C1619" s="2" t="s">
        <v>4855</v>
      </c>
      <c r="D1619" s="2" t="s">
        <v>10049</v>
      </c>
      <c r="E1619" s="15">
        <v>8.0199999999999994E-2</v>
      </c>
      <c r="F1619" s="15">
        <v>7.8200000000000006E-2</v>
      </c>
      <c r="G1619" s="15">
        <v>0.30530000000000002</v>
      </c>
      <c r="H1619" s="15">
        <v>0.17380000000000001</v>
      </c>
      <c r="I1619" s="15">
        <v>4.3400000000000001E-2</v>
      </c>
      <c r="J1619" s="15">
        <v>4.0046082949308746</v>
      </c>
    </row>
    <row r="1620" spans="1:10" x14ac:dyDescent="0.25">
      <c r="A1620" s="2" t="s">
        <v>4856</v>
      </c>
      <c r="B1620" s="2" t="s">
        <v>4857</v>
      </c>
      <c r="C1620" s="2" t="s">
        <v>4858</v>
      </c>
      <c r="D1620" s="2" t="s">
        <v>10049</v>
      </c>
      <c r="E1620" s="15">
        <v>3.8600000000000002E-2</v>
      </c>
      <c r="F1620" s="15">
        <v>8.3099999999999993E-2</v>
      </c>
      <c r="G1620" s="15">
        <v>0.64249999999999996</v>
      </c>
      <c r="H1620" s="15">
        <v>0.19439999999999999</v>
      </c>
      <c r="I1620" s="15">
        <v>4.41E-2</v>
      </c>
      <c r="J1620" s="15">
        <v>4.408163265306122</v>
      </c>
    </row>
    <row r="1621" spans="1:10" x14ac:dyDescent="0.25">
      <c r="A1621" s="2" t="s">
        <v>4859</v>
      </c>
      <c r="B1621" s="2" t="s">
        <v>4860</v>
      </c>
      <c r="C1621" s="2" t="s">
        <v>4861</v>
      </c>
      <c r="D1621" s="2" t="s">
        <v>10049</v>
      </c>
      <c r="E1621" s="15">
        <v>0.14649999999999999</v>
      </c>
      <c r="F1621" s="15">
        <v>8.5400000000000004E-2</v>
      </c>
      <c r="G1621" s="15">
        <v>8.6400000000000005E-2</v>
      </c>
      <c r="H1621" s="15">
        <v>0.18229999999999999</v>
      </c>
      <c r="I1621" s="15">
        <v>4.5900000000000003E-2</v>
      </c>
      <c r="J1621" s="15">
        <v>3.971677559912854</v>
      </c>
    </row>
    <row r="1622" spans="1:10" x14ac:dyDescent="0.25">
      <c r="A1622" s="2" t="s">
        <v>4862</v>
      </c>
      <c r="B1622" s="2" t="s">
        <v>4863</v>
      </c>
      <c r="C1622" s="2" t="s">
        <v>4864</v>
      </c>
      <c r="D1622" s="2" t="s">
        <v>10049</v>
      </c>
      <c r="E1622" s="15">
        <v>3.9E-2</v>
      </c>
      <c r="F1622" s="15">
        <v>8.2600000000000007E-2</v>
      </c>
      <c r="G1622" s="15">
        <v>0.63680000000000003</v>
      </c>
      <c r="H1622" s="15">
        <v>0.19189999999999999</v>
      </c>
      <c r="I1622" s="15">
        <v>4.58E-2</v>
      </c>
      <c r="J1622" s="15">
        <v>4.1899563318777293</v>
      </c>
    </row>
    <row r="1623" spans="1:10" x14ac:dyDescent="0.25">
      <c r="A1623" s="2" t="s">
        <v>4865</v>
      </c>
      <c r="B1623" s="2" t="s">
        <v>4866</v>
      </c>
      <c r="C1623" s="2" t="s">
        <v>4867</v>
      </c>
      <c r="D1623" s="2" t="s">
        <v>10049</v>
      </c>
      <c r="E1623" s="15">
        <v>9.01E-2</v>
      </c>
      <c r="F1623" s="15">
        <v>7.7700000000000005E-2</v>
      </c>
      <c r="G1623" s="15">
        <v>0.24660000000000001</v>
      </c>
      <c r="H1623" s="15">
        <v>0.20469999999999999</v>
      </c>
      <c r="I1623" s="15">
        <v>4.8500000000000001E-2</v>
      </c>
      <c r="J1623" s="15">
        <v>4.220618556701031</v>
      </c>
    </row>
    <row r="1624" spans="1:10" x14ac:dyDescent="0.25">
      <c r="A1624" s="2" t="s">
        <v>4868</v>
      </c>
      <c r="B1624" s="2" t="s">
        <v>4869</v>
      </c>
      <c r="C1624" s="2" t="s">
        <v>4870</v>
      </c>
      <c r="D1624" s="2" t="s">
        <v>10049</v>
      </c>
      <c r="E1624" s="15">
        <v>2.18E-2</v>
      </c>
      <c r="F1624" s="15">
        <v>7.5800000000000006E-2</v>
      </c>
      <c r="G1624" s="15">
        <v>0.77429999999999999</v>
      </c>
      <c r="H1624" s="15">
        <v>0.2051</v>
      </c>
      <c r="I1624" s="15">
        <v>4.5699999999999998E-2</v>
      </c>
      <c r="J1624" s="15">
        <v>4.4879649890590816</v>
      </c>
    </row>
    <row r="1625" spans="1:10" x14ac:dyDescent="0.25">
      <c r="A1625" s="2" t="s">
        <v>4871</v>
      </c>
      <c r="B1625" s="2" t="s">
        <v>4872</v>
      </c>
      <c r="C1625" s="2" t="s">
        <v>4873</v>
      </c>
      <c r="D1625" s="2" t="s">
        <v>10049</v>
      </c>
      <c r="E1625" s="15">
        <v>7.5399999999999995E-2</v>
      </c>
      <c r="F1625" s="15">
        <v>7.3099999999999998E-2</v>
      </c>
      <c r="G1625" s="15">
        <v>0.30230000000000001</v>
      </c>
      <c r="H1625" s="15">
        <v>0.2286</v>
      </c>
      <c r="I1625" s="15">
        <v>5.2400000000000002E-2</v>
      </c>
      <c r="J1625" s="15">
        <v>4.3625954198473282</v>
      </c>
    </row>
    <row r="1626" spans="1:10" x14ac:dyDescent="0.25">
      <c r="A1626" s="2" t="s">
        <v>4874</v>
      </c>
      <c r="B1626" s="2" t="s">
        <v>4875</v>
      </c>
      <c r="C1626" s="2" t="s">
        <v>4876</v>
      </c>
      <c r="D1626" s="2" t="s">
        <v>10049</v>
      </c>
      <c r="E1626" s="15">
        <v>2.01E-2</v>
      </c>
      <c r="F1626" s="15">
        <v>6.83E-2</v>
      </c>
      <c r="G1626" s="15">
        <v>0.76839999999999997</v>
      </c>
      <c r="H1626" s="15">
        <v>0.30099999999999999</v>
      </c>
      <c r="I1626" s="15">
        <v>5.0099999999999999E-2</v>
      </c>
      <c r="J1626" s="15">
        <v>6.007984031936128</v>
      </c>
    </row>
    <row r="1627" spans="1:10" x14ac:dyDescent="0.25">
      <c r="A1627" s="2" t="s">
        <v>4877</v>
      </c>
      <c r="B1627" s="2" t="s">
        <v>4878</v>
      </c>
      <c r="C1627" s="2" t="s">
        <v>4879</v>
      </c>
      <c r="D1627" s="2" t="s">
        <v>10049</v>
      </c>
      <c r="E1627" s="15">
        <v>2.7E-2</v>
      </c>
      <c r="F1627" s="15">
        <v>6.7900000000000002E-2</v>
      </c>
      <c r="G1627" s="15">
        <v>0.69079999999999997</v>
      </c>
      <c r="H1627" s="15">
        <v>0.311</v>
      </c>
      <c r="I1627" s="15">
        <v>5.2400000000000002E-2</v>
      </c>
      <c r="J1627" s="15">
        <v>5.9351145038167941</v>
      </c>
    </row>
    <row r="1628" spans="1:10" x14ac:dyDescent="0.25">
      <c r="A1628" s="2" t="s">
        <v>4880</v>
      </c>
      <c r="B1628" s="2" t="s">
        <v>4881</v>
      </c>
      <c r="C1628" s="2" t="s">
        <v>4882</v>
      </c>
      <c r="D1628" s="2" t="s">
        <v>10049</v>
      </c>
      <c r="E1628" s="15">
        <v>2.29E-2</v>
      </c>
      <c r="F1628" s="15">
        <v>7.1599999999999997E-2</v>
      </c>
      <c r="G1628" s="15">
        <v>0.749</v>
      </c>
      <c r="H1628" s="15">
        <v>0.2576</v>
      </c>
      <c r="I1628" s="15">
        <v>4.8500000000000001E-2</v>
      </c>
      <c r="J1628" s="15">
        <v>5.3113402061855668</v>
      </c>
    </row>
    <row r="1629" spans="1:10" x14ac:dyDescent="0.25">
      <c r="A1629" s="2" t="s">
        <v>4883</v>
      </c>
      <c r="B1629" s="2" t="s">
        <v>4884</v>
      </c>
      <c r="C1629" s="2" t="s">
        <v>4885</v>
      </c>
      <c r="D1629" s="2" t="s">
        <v>10049</v>
      </c>
      <c r="E1629" s="15">
        <v>-2.4199999999999999E-2</v>
      </c>
      <c r="F1629" s="15">
        <v>7.0800000000000002E-2</v>
      </c>
      <c r="G1629" s="15">
        <v>0.73280000000000001</v>
      </c>
      <c r="H1629" s="15">
        <v>0.27800000000000002</v>
      </c>
      <c r="I1629" s="15">
        <v>5.0799999999999998E-2</v>
      </c>
      <c r="J1629" s="15">
        <v>5.4724409448818907</v>
      </c>
    </row>
    <row r="1630" spans="1:10" x14ac:dyDescent="0.25">
      <c r="A1630" s="2" t="s">
        <v>4886</v>
      </c>
      <c r="B1630" s="2" t="s">
        <v>4887</v>
      </c>
      <c r="C1630" s="2" t="s">
        <v>4888</v>
      </c>
      <c r="D1630" s="2" t="s">
        <v>10049</v>
      </c>
      <c r="E1630" s="15">
        <v>-2.7400000000000001E-2</v>
      </c>
      <c r="F1630" s="15">
        <v>7.85E-2</v>
      </c>
      <c r="G1630" s="15">
        <v>0.72660000000000002</v>
      </c>
      <c r="H1630" s="15">
        <v>0.22120000000000001</v>
      </c>
      <c r="I1630" s="15">
        <v>4.8599999999999997E-2</v>
      </c>
      <c r="J1630" s="15">
        <v>4.5514403292181074</v>
      </c>
    </row>
    <row r="1631" spans="1:10" x14ac:dyDescent="0.25">
      <c r="A1631" s="2" t="s">
        <v>4889</v>
      </c>
      <c r="B1631" s="2" t="s">
        <v>4890</v>
      </c>
      <c r="C1631" s="2" t="s">
        <v>4891</v>
      </c>
      <c r="D1631" s="2" t="s">
        <v>10049</v>
      </c>
      <c r="E1631" s="15">
        <v>-1.6400000000000001E-2</v>
      </c>
      <c r="F1631" s="15">
        <v>7.6600000000000001E-2</v>
      </c>
      <c r="G1631" s="15">
        <v>0.83</v>
      </c>
      <c r="H1631" s="15">
        <v>0.22259999999999999</v>
      </c>
      <c r="I1631" s="15">
        <v>4.9599999999999998E-2</v>
      </c>
      <c r="J1631" s="15">
        <v>4.487903225806452</v>
      </c>
    </row>
    <row r="1632" spans="1:10" x14ac:dyDescent="0.25">
      <c r="A1632" s="2" t="s">
        <v>4892</v>
      </c>
      <c r="B1632" s="2" t="s">
        <v>4893</v>
      </c>
      <c r="C1632" s="2" t="s">
        <v>4894</v>
      </c>
      <c r="D1632" s="2" t="s">
        <v>10049</v>
      </c>
      <c r="E1632" s="15">
        <v>-7.5700000000000003E-2</v>
      </c>
      <c r="F1632" s="15">
        <v>8.3699999999999997E-2</v>
      </c>
      <c r="G1632" s="15">
        <v>0.36620000000000003</v>
      </c>
      <c r="H1632" s="15">
        <v>0.19819999999999999</v>
      </c>
      <c r="I1632" s="15">
        <v>4.4699999999999997E-2</v>
      </c>
      <c r="J1632" s="15">
        <v>4.434004474272931</v>
      </c>
    </row>
    <row r="1633" spans="1:10" x14ac:dyDescent="0.25">
      <c r="A1633" s="2" t="s">
        <v>4895</v>
      </c>
      <c r="B1633" s="2" t="s">
        <v>4896</v>
      </c>
      <c r="C1633" s="2" t="s">
        <v>4897</v>
      </c>
      <c r="D1633" s="2" t="s">
        <v>10049</v>
      </c>
      <c r="E1633" s="15">
        <v>-1.8599999999999998E-2</v>
      </c>
      <c r="F1633" s="15">
        <v>7.7399999999999997E-2</v>
      </c>
      <c r="G1633" s="15">
        <v>0.81</v>
      </c>
      <c r="H1633" s="15">
        <v>0.24440000000000001</v>
      </c>
      <c r="I1633" s="15">
        <v>4.9200000000000001E-2</v>
      </c>
      <c r="J1633" s="15">
        <v>4.9674796747967482</v>
      </c>
    </row>
    <row r="1634" spans="1:10" x14ac:dyDescent="0.25">
      <c r="A1634" s="2" t="s">
        <v>4898</v>
      </c>
      <c r="B1634" s="2" t="s">
        <v>4899</v>
      </c>
      <c r="C1634" s="2" t="s">
        <v>4900</v>
      </c>
      <c r="D1634" s="2" t="s">
        <v>10049</v>
      </c>
      <c r="E1634" s="15">
        <v>-2.2100000000000002E-2</v>
      </c>
      <c r="F1634" s="15">
        <v>6.7900000000000002E-2</v>
      </c>
      <c r="G1634" s="15">
        <v>0.74480000000000002</v>
      </c>
      <c r="H1634" s="15">
        <v>0.27100000000000002</v>
      </c>
      <c r="I1634" s="15">
        <v>4.9299999999999997E-2</v>
      </c>
      <c r="J1634" s="15">
        <v>5.4969574036511162</v>
      </c>
    </row>
    <row r="1635" spans="1:10" x14ac:dyDescent="0.25">
      <c r="A1635" s="2" t="s">
        <v>4901</v>
      </c>
      <c r="B1635" s="2" t="s">
        <v>4902</v>
      </c>
      <c r="C1635" s="2" t="s">
        <v>4903</v>
      </c>
      <c r="D1635" s="2" t="s">
        <v>10049</v>
      </c>
      <c r="E1635" s="15">
        <v>-4.4400000000000002E-2</v>
      </c>
      <c r="F1635" s="15">
        <v>7.3099999999999998E-2</v>
      </c>
      <c r="G1635" s="15">
        <v>0.54300000000000004</v>
      </c>
      <c r="H1635" s="15">
        <v>0.25209999999999999</v>
      </c>
      <c r="I1635" s="15">
        <v>5.2400000000000002E-2</v>
      </c>
      <c r="J1635" s="15">
        <v>4.8110687022900764</v>
      </c>
    </row>
    <row r="1636" spans="1:10" x14ac:dyDescent="0.25">
      <c r="A1636" s="2" t="s">
        <v>4904</v>
      </c>
      <c r="B1636" s="2" t="s">
        <v>4905</v>
      </c>
      <c r="C1636" s="2" t="s">
        <v>4906</v>
      </c>
      <c r="D1636" s="2" t="s">
        <v>10049</v>
      </c>
      <c r="E1636" s="15">
        <v>1.2E-2</v>
      </c>
      <c r="F1636" s="15">
        <v>8.7099999999999997E-2</v>
      </c>
      <c r="G1636" s="15">
        <v>0.89019999999999999</v>
      </c>
      <c r="H1636" s="15">
        <v>0.20730000000000001</v>
      </c>
      <c r="I1636" s="15">
        <v>5.0299999999999997E-2</v>
      </c>
      <c r="J1636" s="15">
        <v>4.1212723658051704</v>
      </c>
    </row>
    <row r="1637" spans="1:10" x14ac:dyDescent="0.25">
      <c r="A1637" s="2" t="s">
        <v>4907</v>
      </c>
      <c r="B1637" s="2" t="s">
        <v>4908</v>
      </c>
      <c r="C1637" s="2" t="s">
        <v>4909</v>
      </c>
      <c r="D1637" s="2" t="s">
        <v>10049</v>
      </c>
      <c r="E1637" s="15">
        <v>4.6399999999999997E-2</v>
      </c>
      <c r="F1637" s="15">
        <v>7.8799999999999995E-2</v>
      </c>
      <c r="G1637" s="15">
        <v>0.55649999999999999</v>
      </c>
      <c r="H1637" s="15">
        <v>0.24390000000000001</v>
      </c>
      <c r="I1637" s="15">
        <v>4.8800000000000003E-2</v>
      </c>
      <c r="J1637" s="15">
        <v>4.9979508196721314</v>
      </c>
    </row>
    <row r="1638" spans="1:10" x14ac:dyDescent="0.25">
      <c r="A1638" s="2" t="s">
        <v>4910</v>
      </c>
      <c r="B1638" s="2" t="s">
        <v>4911</v>
      </c>
      <c r="C1638" s="2" t="s">
        <v>4912</v>
      </c>
      <c r="D1638" s="2" t="s">
        <v>10049</v>
      </c>
      <c r="E1638" s="15">
        <v>-2.4E-2</v>
      </c>
      <c r="F1638" s="15">
        <v>7.2099999999999997E-2</v>
      </c>
      <c r="G1638" s="15">
        <v>0.73970000000000002</v>
      </c>
      <c r="H1638" s="15">
        <v>0.23799999999999999</v>
      </c>
      <c r="I1638" s="15">
        <v>4.58E-2</v>
      </c>
      <c r="J1638" s="15">
        <v>5.1965065502183414</v>
      </c>
    </row>
    <row r="1639" spans="1:10" x14ac:dyDescent="0.25">
      <c r="A1639" s="2" t="s">
        <v>4913</v>
      </c>
      <c r="B1639" s="2" t="s">
        <v>4914</v>
      </c>
      <c r="C1639" s="2" t="s">
        <v>4915</v>
      </c>
      <c r="D1639" s="2" t="s">
        <v>10049</v>
      </c>
      <c r="E1639" s="15">
        <v>-1.15E-2</v>
      </c>
      <c r="F1639" s="15">
        <v>7.7700000000000005E-2</v>
      </c>
      <c r="G1639" s="15">
        <v>0.88260000000000005</v>
      </c>
      <c r="H1639" s="15">
        <v>0.1991</v>
      </c>
      <c r="I1639" s="15">
        <v>4.3700000000000003E-2</v>
      </c>
      <c r="J1639" s="15">
        <v>4.5560640732265441</v>
      </c>
    </row>
    <row r="1640" spans="1:10" x14ac:dyDescent="0.25">
      <c r="A1640" s="2" t="s">
        <v>4916</v>
      </c>
      <c r="B1640" s="2" t="s">
        <v>4917</v>
      </c>
      <c r="C1640" s="2" t="s">
        <v>4918</v>
      </c>
      <c r="D1640" s="2" t="s">
        <v>10049</v>
      </c>
      <c r="E1640" s="15">
        <v>9.1000000000000004E-3</v>
      </c>
      <c r="F1640" s="15">
        <v>7.3099999999999998E-2</v>
      </c>
      <c r="G1640" s="15">
        <v>0.90049999999999997</v>
      </c>
      <c r="H1640" s="15">
        <v>0.21879999999999999</v>
      </c>
      <c r="I1640" s="15">
        <v>4.1399999999999999E-2</v>
      </c>
      <c r="J1640" s="15">
        <v>5.2850241545893724</v>
      </c>
    </row>
    <row r="1641" spans="1:10" x14ac:dyDescent="0.25">
      <c r="A1641" s="2" t="s">
        <v>4919</v>
      </c>
      <c r="B1641" s="2" t="s">
        <v>4920</v>
      </c>
      <c r="C1641" s="2" t="s">
        <v>4921</v>
      </c>
      <c r="D1641" s="2" t="s">
        <v>10049</v>
      </c>
      <c r="E1641" s="15">
        <v>5.1299999999999998E-2</v>
      </c>
      <c r="F1641" s="15">
        <v>7.4399999999999994E-2</v>
      </c>
      <c r="G1641" s="15">
        <v>0.49070000000000003</v>
      </c>
      <c r="H1641" s="15">
        <v>0.19070000000000001</v>
      </c>
      <c r="I1641" s="15">
        <v>3.9600000000000003E-2</v>
      </c>
      <c r="J1641" s="15">
        <v>4.8156565656565657</v>
      </c>
    </row>
    <row r="1642" spans="1:10" x14ac:dyDescent="0.25">
      <c r="A1642" s="2" t="s">
        <v>4922</v>
      </c>
      <c r="B1642" s="2" t="s">
        <v>4923</v>
      </c>
      <c r="C1642" s="2" t="s">
        <v>4924</v>
      </c>
      <c r="D1642" s="2" t="s">
        <v>10049</v>
      </c>
      <c r="E1642" s="15">
        <v>-2.8E-3</v>
      </c>
      <c r="F1642" s="15">
        <v>8.6599999999999996E-2</v>
      </c>
      <c r="G1642" s="15">
        <v>0.97389999999999999</v>
      </c>
      <c r="H1642" s="15">
        <v>0.1265</v>
      </c>
      <c r="I1642" s="15">
        <v>4.19E-2</v>
      </c>
      <c r="J1642" s="15">
        <v>3.0190930787589498</v>
      </c>
    </row>
    <row r="1643" spans="1:10" x14ac:dyDescent="0.25">
      <c r="A1643" s="2" t="s">
        <v>4925</v>
      </c>
      <c r="B1643" s="2" t="s">
        <v>4926</v>
      </c>
      <c r="C1643" s="2" t="s">
        <v>4927</v>
      </c>
      <c r="D1643" s="2" t="s">
        <v>10049</v>
      </c>
      <c r="E1643" s="15">
        <v>-5.6599999999999998E-2</v>
      </c>
      <c r="F1643" s="15">
        <v>8.4199999999999997E-2</v>
      </c>
      <c r="G1643" s="15">
        <v>0.50109999999999999</v>
      </c>
      <c r="H1643" s="15">
        <v>0.17469999999999999</v>
      </c>
      <c r="I1643" s="15">
        <v>4.4999999999999998E-2</v>
      </c>
      <c r="J1643" s="15">
        <v>3.882222222222222</v>
      </c>
    </row>
    <row r="1644" spans="1:10" x14ac:dyDescent="0.25">
      <c r="A1644" s="2" t="s">
        <v>4928</v>
      </c>
      <c r="B1644" s="2" t="s">
        <v>4929</v>
      </c>
      <c r="C1644" s="2" t="s">
        <v>4930</v>
      </c>
      <c r="D1644" s="2" t="s">
        <v>10049</v>
      </c>
      <c r="E1644" s="15">
        <v>-1.0800000000000001E-2</v>
      </c>
      <c r="F1644" s="15">
        <v>6.2E-2</v>
      </c>
      <c r="G1644" s="15">
        <v>0.86229999999999996</v>
      </c>
      <c r="H1644" s="15">
        <v>0.32550000000000001</v>
      </c>
      <c r="I1644" s="15">
        <v>4.9299999999999997E-2</v>
      </c>
      <c r="J1644" s="15">
        <v>6.6024340770791081</v>
      </c>
    </row>
    <row r="1645" spans="1:10" x14ac:dyDescent="0.25">
      <c r="A1645" s="2" t="s">
        <v>4931</v>
      </c>
      <c r="B1645" s="2" t="s">
        <v>4932</v>
      </c>
      <c r="C1645" s="2" t="s">
        <v>4933</v>
      </c>
      <c r="D1645" s="2" t="s">
        <v>10049</v>
      </c>
      <c r="E1645" s="15">
        <v>-2.29E-2</v>
      </c>
      <c r="F1645" s="15">
        <v>6.5100000000000005E-2</v>
      </c>
      <c r="G1645" s="15">
        <v>0.72570000000000001</v>
      </c>
      <c r="H1645" s="15">
        <v>0.31840000000000002</v>
      </c>
      <c r="I1645" s="15">
        <v>4.9500000000000002E-2</v>
      </c>
      <c r="J1645" s="15">
        <v>6.432323232323232</v>
      </c>
    </row>
    <row r="1646" spans="1:10" x14ac:dyDescent="0.25">
      <c r="A1646" s="2" t="s">
        <v>4934</v>
      </c>
      <c r="B1646" s="2" t="s">
        <v>4935</v>
      </c>
      <c r="C1646" s="2" t="s">
        <v>4936</v>
      </c>
      <c r="D1646" s="2" t="s">
        <v>10049</v>
      </c>
      <c r="E1646" s="15">
        <v>4.1099999999999998E-2</v>
      </c>
      <c r="F1646" s="15">
        <v>8.0600000000000005E-2</v>
      </c>
      <c r="G1646" s="15">
        <v>0.61029999999999995</v>
      </c>
      <c r="H1646" s="15">
        <v>0.17510000000000001</v>
      </c>
      <c r="I1646" s="15">
        <v>0.04</v>
      </c>
      <c r="J1646" s="15">
        <v>4.3775000000000004</v>
      </c>
    </row>
    <row r="1647" spans="1:10" x14ac:dyDescent="0.25">
      <c r="A1647" s="2" t="s">
        <v>4937</v>
      </c>
      <c r="B1647" s="2" t="s">
        <v>4938</v>
      </c>
      <c r="C1647" s="2" t="s">
        <v>4939</v>
      </c>
      <c r="D1647" s="2" t="s">
        <v>10049</v>
      </c>
      <c r="E1647" s="15">
        <v>6.1000000000000004E-3</v>
      </c>
      <c r="F1647" s="15">
        <v>7.8700000000000006E-2</v>
      </c>
      <c r="G1647" s="15">
        <v>0.93810000000000004</v>
      </c>
      <c r="H1647" s="15">
        <v>0.17780000000000001</v>
      </c>
      <c r="I1647" s="15">
        <v>4.1000000000000002E-2</v>
      </c>
      <c r="J1647" s="15">
        <v>4.3365853658536588</v>
      </c>
    </row>
    <row r="1648" spans="1:10" x14ac:dyDescent="0.25">
      <c r="A1648" s="2" t="s">
        <v>4940</v>
      </c>
      <c r="B1648" s="2" t="s">
        <v>4941</v>
      </c>
      <c r="C1648" s="2" t="s">
        <v>4942</v>
      </c>
      <c r="D1648" s="2" t="s">
        <v>10049</v>
      </c>
      <c r="E1648" s="15">
        <v>8.6800000000000002E-2</v>
      </c>
      <c r="F1648" s="15">
        <v>8.3500000000000005E-2</v>
      </c>
      <c r="G1648" s="15">
        <v>0.29859999999999998</v>
      </c>
      <c r="H1648" s="15">
        <v>0.1724</v>
      </c>
      <c r="I1648" s="15">
        <v>3.8600000000000002E-2</v>
      </c>
      <c r="J1648" s="15">
        <v>4.4663212435233159</v>
      </c>
    </row>
    <row r="1649" spans="1:10" x14ac:dyDescent="0.25">
      <c r="A1649" s="2" t="s">
        <v>4943</v>
      </c>
      <c r="B1649" s="2" t="s">
        <v>4944</v>
      </c>
      <c r="C1649" s="2" t="s">
        <v>4945</v>
      </c>
      <c r="D1649" s="2" t="s">
        <v>10049</v>
      </c>
      <c r="E1649" s="15">
        <v>0.1009</v>
      </c>
      <c r="F1649" s="15">
        <v>9.5799999999999996E-2</v>
      </c>
      <c r="G1649" s="15">
        <v>0.2923</v>
      </c>
      <c r="H1649" s="15">
        <v>0.14050000000000001</v>
      </c>
      <c r="I1649" s="15">
        <v>3.8699999999999998E-2</v>
      </c>
      <c r="J1649" s="15">
        <v>3.6304909560723519</v>
      </c>
    </row>
    <row r="1650" spans="1:10" x14ac:dyDescent="0.25">
      <c r="A1650" s="2" t="s">
        <v>4946</v>
      </c>
      <c r="B1650" s="2" t="s">
        <v>4947</v>
      </c>
      <c r="C1650" s="2" t="s">
        <v>4948</v>
      </c>
      <c r="D1650" s="2" t="s">
        <v>10049</v>
      </c>
      <c r="E1650" s="15">
        <v>-4.2599999999999999E-2</v>
      </c>
      <c r="F1650" s="15">
        <v>7.2099999999999997E-2</v>
      </c>
      <c r="G1650" s="15">
        <v>0.55430000000000001</v>
      </c>
      <c r="H1650" s="15">
        <v>0.2049</v>
      </c>
      <c r="I1650" s="15">
        <v>4.53E-2</v>
      </c>
      <c r="J1650" s="15">
        <v>4.5231788079470201</v>
      </c>
    </row>
    <row r="1651" spans="1:10" x14ac:dyDescent="0.25">
      <c r="A1651" s="2" t="s">
        <v>4949</v>
      </c>
      <c r="B1651" s="2" t="s">
        <v>4950</v>
      </c>
      <c r="C1651" s="2" t="s">
        <v>4951</v>
      </c>
      <c r="D1651" s="2" t="s">
        <v>10049</v>
      </c>
      <c r="E1651" s="15">
        <v>-5.3499999999999999E-2</v>
      </c>
      <c r="F1651" s="15">
        <v>8.6199999999999999E-2</v>
      </c>
      <c r="G1651" s="15">
        <v>0.53490000000000004</v>
      </c>
      <c r="H1651" s="15">
        <v>0.17499999999999999</v>
      </c>
      <c r="I1651" s="15">
        <v>4.65E-2</v>
      </c>
      <c r="J1651" s="15">
        <v>3.763440860215054</v>
      </c>
    </row>
    <row r="1652" spans="1:10" x14ac:dyDescent="0.25">
      <c r="A1652" s="2" t="s">
        <v>4952</v>
      </c>
      <c r="B1652" s="2" t="s">
        <v>4953</v>
      </c>
      <c r="C1652" s="2" t="s">
        <v>4954</v>
      </c>
      <c r="D1652" s="2" t="s">
        <v>10049</v>
      </c>
      <c r="E1652" s="15">
        <v>2.69E-2</v>
      </c>
      <c r="F1652" s="15">
        <v>7.6700000000000004E-2</v>
      </c>
      <c r="G1652" s="15">
        <v>0.72560000000000002</v>
      </c>
      <c r="H1652" s="15">
        <v>0.1883</v>
      </c>
      <c r="I1652" s="15">
        <v>4.4999999999999998E-2</v>
      </c>
      <c r="J1652" s="15">
        <v>4.1844444444444449</v>
      </c>
    </row>
    <row r="1653" spans="1:10" x14ac:dyDescent="0.25">
      <c r="A1653" s="2" t="s">
        <v>4955</v>
      </c>
      <c r="B1653" s="2" t="s">
        <v>4956</v>
      </c>
      <c r="C1653" s="2" t="s">
        <v>4957</v>
      </c>
      <c r="D1653" s="2" t="s">
        <v>10049</v>
      </c>
      <c r="E1653" s="15">
        <v>1.3299999999999999E-2</v>
      </c>
      <c r="F1653" s="15">
        <v>7.4899999999999994E-2</v>
      </c>
      <c r="G1653" s="15">
        <v>0.8589</v>
      </c>
      <c r="H1653" s="15">
        <v>0.20150000000000001</v>
      </c>
      <c r="I1653" s="15">
        <v>3.9800000000000002E-2</v>
      </c>
      <c r="J1653" s="15">
        <v>5.0628140703517586</v>
      </c>
    </row>
    <row r="1654" spans="1:10" x14ac:dyDescent="0.25">
      <c r="A1654" s="2" t="s">
        <v>4958</v>
      </c>
      <c r="B1654" s="2" t="s">
        <v>4959</v>
      </c>
      <c r="C1654" s="2" t="s">
        <v>4960</v>
      </c>
      <c r="D1654" s="2" t="s">
        <v>10049</v>
      </c>
      <c r="E1654" s="15">
        <v>2.93E-2</v>
      </c>
      <c r="F1654" s="15">
        <v>6.2100000000000002E-2</v>
      </c>
      <c r="G1654" s="15">
        <v>0.63729999999999998</v>
      </c>
      <c r="H1654" s="15">
        <v>0.28660000000000002</v>
      </c>
      <c r="I1654" s="15">
        <v>4.5699999999999998E-2</v>
      </c>
      <c r="J1654" s="15">
        <v>6.2713347921225404</v>
      </c>
    </row>
    <row r="1655" spans="1:10" x14ac:dyDescent="0.25">
      <c r="A1655" s="2" t="s">
        <v>4961</v>
      </c>
      <c r="B1655" s="2" t="s">
        <v>4962</v>
      </c>
      <c r="C1655" s="2" t="s">
        <v>4963</v>
      </c>
      <c r="D1655" s="2" t="s">
        <v>10049</v>
      </c>
      <c r="E1655" s="15">
        <v>7.1599999999999997E-2</v>
      </c>
      <c r="F1655" s="15">
        <v>5.9799999999999999E-2</v>
      </c>
      <c r="G1655" s="15">
        <v>0.23100000000000001</v>
      </c>
      <c r="H1655" s="15">
        <v>0.27089999999999997</v>
      </c>
      <c r="I1655" s="15">
        <v>3.95E-2</v>
      </c>
      <c r="J1655" s="15">
        <v>6.8582278481012651</v>
      </c>
    </row>
    <row r="1656" spans="1:10" x14ac:dyDescent="0.25">
      <c r="A1656" s="2" t="s">
        <v>4964</v>
      </c>
      <c r="B1656" s="2" t="s">
        <v>4965</v>
      </c>
      <c r="C1656" s="2" t="s">
        <v>4966</v>
      </c>
      <c r="D1656" s="2" t="s">
        <v>10049</v>
      </c>
      <c r="E1656" s="15">
        <v>0.12180000000000001</v>
      </c>
      <c r="F1656" s="15">
        <v>5.3900000000000003E-2</v>
      </c>
      <c r="G1656" s="15">
        <v>2.3699999999999999E-2</v>
      </c>
      <c r="H1656" s="15">
        <v>0.35189999999999999</v>
      </c>
      <c r="I1656" s="15">
        <v>4.8899999999999999E-2</v>
      </c>
      <c r="J1656" s="15">
        <v>7.1963190184049077</v>
      </c>
    </row>
    <row r="1657" spans="1:10" x14ac:dyDescent="0.25">
      <c r="A1657" s="2" t="s">
        <v>4967</v>
      </c>
      <c r="B1657" s="2" t="s">
        <v>4968</v>
      </c>
      <c r="C1657" s="2" t="s">
        <v>4969</v>
      </c>
      <c r="D1657" s="2" t="s">
        <v>10049</v>
      </c>
      <c r="E1657" s="15">
        <v>0.1235</v>
      </c>
      <c r="F1657" s="15">
        <v>6.7699999999999996E-2</v>
      </c>
      <c r="G1657" s="15">
        <v>6.8000000000000005E-2</v>
      </c>
      <c r="H1657" s="15">
        <v>0.29099999999999998</v>
      </c>
      <c r="I1657" s="15">
        <v>4.82E-2</v>
      </c>
      <c r="J1657" s="15">
        <v>6.0373443983402488</v>
      </c>
    </row>
    <row r="1658" spans="1:10" x14ac:dyDescent="0.25">
      <c r="A1658" s="2" t="s">
        <v>4970</v>
      </c>
      <c r="B1658" s="2" t="s">
        <v>4971</v>
      </c>
      <c r="C1658" s="2" t="s">
        <v>4972</v>
      </c>
      <c r="D1658" s="2" t="s">
        <v>10049</v>
      </c>
      <c r="E1658" s="15">
        <v>1.43E-2</v>
      </c>
      <c r="F1658" s="15">
        <v>8.3799999999999999E-2</v>
      </c>
      <c r="G1658" s="15">
        <v>0.86439999999999995</v>
      </c>
      <c r="H1658" s="15">
        <v>0.14760000000000001</v>
      </c>
      <c r="I1658" s="15">
        <v>3.9600000000000003E-2</v>
      </c>
      <c r="J1658" s="15">
        <v>3.7272727272727271</v>
      </c>
    </row>
    <row r="1659" spans="1:10" x14ac:dyDescent="0.25">
      <c r="A1659" s="2" t="s">
        <v>4973</v>
      </c>
      <c r="B1659" s="2" t="s">
        <v>4974</v>
      </c>
      <c r="C1659" s="2" t="s">
        <v>4975</v>
      </c>
      <c r="D1659" s="2" t="s">
        <v>10049</v>
      </c>
      <c r="E1659" s="15">
        <v>9.6000000000000002E-2</v>
      </c>
      <c r="F1659" s="15">
        <v>0.10580000000000001</v>
      </c>
      <c r="G1659" s="15">
        <v>0.3644</v>
      </c>
      <c r="H1659" s="15">
        <v>0.1057</v>
      </c>
      <c r="I1659" s="15">
        <v>3.6700000000000003E-2</v>
      </c>
      <c r="J1659" s="15">
        <v>2.8801089918256131</v>
      </c>
    </row>
    <row r="1660" spans="1:10" x14ac:dyDescent="0.25">
      <c r="A1660" s="2" t="s">
        <v>4976</v>
      </c>
      <c r="B1660" s="2" t="s">
        <v>4977</v>
      </c>
      <c r="C1660" s="2" t="s">
        <v>4978</v>
      </c>
      <c r="D1660" s="2" t="s">
        <v>10049</v>
      </c>
      <c r="E1660" s="15">
        <v>2.92E-2</v>
      </c>
      <c r="F1660" s="15">
        <v>0.08</v>
      </c>
      <c r="G1660" s="15">
        <v>0.71460000000000001</v>
      </c>
      <c r="H1660" s="15">
        <v>0.184</v>
      </c>
      <c r="I1660" s="15">
        <v>4.24E-2</v>
      </c>
      <c r="J1660" s="15">
        <v>4.3396226415094334</v>
      </c>
    </row>
    <row r="1661" spans="1:10" x14ac:dyDescent="0.25">
      <c r="A1661" s="2" t="s">
        <v>4979</v>
      </c>
      <c r="B1661" s="2" t="s">
        <v>4980</v>
      </c>
      <c r="C1661" s="2" t="s">
        <v>4981</v>
      </c>
      <c r="D1661" s="2" t="s">
        <v>10049</v>
      </c>
      <c r="E1661" s="15">
        <v>-1.2699999999999999E-2</v>
      </c>
      <c r="F1661" s="15">
        <v>9.2600000000000002E-2</v>
      </c>
      <c r="G1661" s="15">
        <v>0.89090000000000003</v>
      </c>
      <c r="H1661" s="15">
        <v>0.13639999999999999</v>
      </c>
      <c r="I1661" s="15">
        <v>4.4499999999999998E-2</v>
      </c>
      <c r="J1661" s="15">
        <v>3.065168539325843</v>
      </c>
    </row>
    <row r="1662" spans="1:10" x14ac:dyDescent="0.25">
      <c r="A1662" s="2" t="s">
        <v>4982</v>
      </c>
      <c r="B1662" s="2" t="s">
        <v>4983</v>
      </c>
      <c r="C1662" s="2" t="s">
        <v>4984</v>
      </c>
      <c r="D1662" s="2" t="s">
        <v>10049</v>
      </c>
      <c r="E1662" s="15">
        <v>-1.24E-2</v>
      </c>
      <c r="F1662" s="15">
        <v>7.7700000000000005E-2</v>
      </c>
      <c r="G1662" s="15">
        <v>0.87339999999999995</v>
      </c>
      <c r="H1662" s="15">
        <v>0.17449999999999999</v>
      </c>
      <c r="I1662" s="15">
        <v>4.2599999999999999E-2</v>
      </c>
      <c r="J1662" s="15">
        <v>4.096244131455399</v>
      </c>
    </row>
    <row r="1663" spans="1:10" x14ac:dyDescent="0.25">
      <c r="A1663" s="2" t="s">
        <v>4985</v>
      </c>
      <c r="B1663" s="2" t="s">
        <v>4986</v>
      </c>
      <c r="C1663" s="2" t="s">
        <v>4987</v>
      </c>
      <c r="D1663" s="2" t="s">
        <v>10049</v>
      </c>
      <c r="E1663" s="15">
        <v>-5.0099999999999999E-2</v>
      </c>
      <c r="F1663" s="15">
        <v>7.7399999999999997E-2</v>
      </c>
      <c r="G1663" s="15">
        <v>0.51729999999999998</v>
      </c>
      <c r="H1663" s="15">
        <v>0.17680000000000001</v>
      </c>
      <c r="I1663" s="15">
        <v>4.1300000000000003E-2</v>
      </c>
      <c r="J1663" s="15">
        <v>4.2808716707021794</v>
      </c>
    </row>
    <row r="1664" spans="1:10" x14ac:dyDescent="0.25">
      <c r="A1664" s="2" t="s">
        <v>4988</v>
      </c>
      <c r="B1664" s="2" t="s">
        <v>4989</v>
      </c>
      <c r="C1664" s="2" t="s">
        <v>4990</v>
      </c>
      <c r="D1664" s="2" t="s">
        <v>10049</v>
      </c>
      <c r="E1664" s="15">
        <v>0.1212</v>
      </c>
      <c r="F1664" s="15">
        <v>8.9499999999999996E-2</v>
      </c>
      <c r="G1664" s="15">
        <v>0.1757</v>
      </c>
      <c r="H1664" s="15">
        <v>0.14080000000000001</v>
      </c>
      <c r="I1664" s="15">
        <v>4.1500000000000002E-2</v>
      </c>
      <c r="J1664" s="15">
        <v>3.3927710843373489</v>
      </c>
    </row>
    <row r="1665" spans="1:10" x14ac:dyDescent="0.25">
      <c r="A1665" s="2" t="s">
        <v>4991</v>
      </c>
      <c r="B1665" s="2" t="s">
        <v>4992</v>
      </c>
      <c r="C1665" s="2" t="s">
        <v>4993</v>
      </c>
      <c r="D1665" s="2" t="s">
        <v>10049</v>
      </c>
      <c r="E1665" s="15">
        <v>0.115</v>
      </c>
      <c r="F1665" s="15">
        <v>7.9000000000000001E-2</v>
      </c>
      <c r="G1665" s="15">
        <v>0.1457</v>
      </c>
      <c r="H1665" s="15">
        <v>0.16650000000000001</v>
      </c>
      <c r="I1665" s="15">
        <v>4.1500000000000002E-2</v>
      </c>
      <c r="J1665" s="15">
        <v>4.0120481927710836</v>
      </c>
    </row>
    <row r="1666" spans="1:10" x14ac:dyDescent="0.25">
      <c r="A1666" s="2" t="s">
        <v>4994</v>
      </c>
      <c r="B1666" s="2" t="s">
        <v>4995</v>
      </c>
      <c r="C1666" s="2" t="s">
        <v>4996</v>
      </c>
      <c r="D1666" s="2" t="s">
        <v>10049</v>
      </c>
      <c r="E1666" s="15">
        <v>4.0399999999999998E-2</v>
      </c>
      <c r="F1666" s="15">
        <v>6.4299999999999996E-2</v>
      </c>
      <c r="G1666" s="15">
        <v>0.53029999999999999</v>
      </c>
      <c r="H1666" s="15">
        <v>0.314</v>
      </c>
      <c r="I1666" s="15">
        <v>4.58E-2</v>
      </c>
      <c r="J1666" s="15">
        <v>6.85589519650655</v>
      </c>
    </row>
    <row r="1667" spans="1:10" x14ac:dyDescent="0.25">
      <c r="A1667" s="2" t="s">
        <v>4997</v>
      </c>
      <c r="B1667" s="2" t="s">
        <v>4998</v>
      </c>
      <c r="C1667" s="2" t="s">
        <v>4999</v>
      </c>
      <c r="D1667" s="2" t="s">
        <v>10049</v>
      </c>
      <c r="E1667" s="15">
        <v>0.10639999999999999</v>
      </c>
      <c r="F1667" s="15">
        <v>5.8299999999999998E-2</v>
      </c>
      <c r="G1667" s="15">
        <v>6.8199999999999997E-2</v>
      </c>
      <c r="H1667" s="15">
        <v>0.30309999999999998</v>
      </c>
      <c r="I1667" s="15">
        <v>4.41E-2</v>
      </c>
      <c r="J1667" s="15">
        <v>6.8730158730158726</v>
      </c>
    </row>
    <row r="1668" spans="1:10" x14ac:dyDescent="0.25">
      <c r="A1668" s="2" t="s">
        <v>5000</v>
      </c>
      <c r="B1668" s="2" t="s">
        <v>5001</v>
      </c>
      <c r="C1668" s="2" t="s">
        <v>5002</v>
      </c>
      <c r="D1668" s="2" t="s">
        <v>10049</v>
      </c>
      <c r="E1668" s="15">
        <v>9.1899999999999996E-2</v>
      </c>
      <c r="F1668" s="15">
        <v>7.9100000000000004E-2</v>
      </c>
      <c r="G1668" s="15">
        <v>0.2455</v>
      </c>
      <c r="H1668" s="15">
        <v>0.1923</v>
      </c>
      <c r="I1668" s="15">
        <v>3.7699999999999997E-2</v>
      </c>
      <c r="J1668" s="15">
        <v>5.1007957559681696</v>
      </c>
    </row>
    <row r="1669" spans="1:10" x14ac:dyDescent="0.25">
      <c r="A1669" s="2" t="s">
        <v>5003</v>
      </c>
      <c r="B1669" s="2" t="s">
        <v>5004</v>
      </c>
      <c r="C1669" s="2" t="s">
        <v>5005</v>
      </c>
      <c r="D1669" s="2" t="s">
        <v>10049</v>
      </c>
      <c r="E1669" s="15">
        <v>0.17380000000000001</v>
      </c>
      <c r="F1669" s="15">
        <v>8.9599999999999999E-2</v>
      </c>
      <c r="G1669" s="15">
        <v>5.2400000000000002E-2</v>
      </c>
      <c r="H1669" s="15">
        <v>0.1618</v>
      </c>
      <c r="I1669" s="15">
        <v>4.0099999999999997E-2</v>
      </c>
      <c r="J1669" s="15">
        <v>4.034912718204489</v>
      </c>
    </row>
    <row r="1670" spans="1:10" x14ac:dyDescent="0.25">
      <c r="A1670" s="2" t="s">
        <v>5006</v>
      </c>
      <c r="B1670" s="2" t="s">
        <v>5007</v>
      </c>
      <c r="C1670" s="2" t="s">
        <v>5008</v>
      </c>
      <c r="D1670" s="2" t="s">
        <v>10049</v>
      </c>
      <c r="E1670" s="15">
        <v>0.1012</v>
      </c>
      <c r="F1670" s="15">
        <v>6.0600000000000001E-2</v>
      </c>
      <c r="G1670" s="15">
        <v>9.5000000000000001E-2</v>
      </c>
      <c r="H1670" s="15">
        <v>0.38140000000000002</v>
      </c>
      <c r="I1670" s="15">
        <v>5.0299999999999997E-2</v>
      </c>
      <c r="J1670" s="15">
        <v>7.5825049701789284</v>
      </c>
    </row>
    <row r="1671" spans="1:10" x14ac:dyDescent="0.25">
      <c r="A1671" s="2" t="s">
        <v>5009</v>
      </c>
      <c r="B1671" s="2" t="s">
        <v>5010</v>
      </c>
      <c r="C1671" s="2" t="s">
        <v>5011</v>
      </c>
      <c r="D1671" s="2" t="s">
        <v>10049</v>
      </c>
      <c r="E1671" s="15">
        <v>0.13980000000000001</v>
      </c>
      <c r="F1671" s="15">
        <v>6.4500000000000002E-2</v>
      </c>
      <c r="G1671" s="15">
        <v>3.0200000000000001E-2</v>
      </c>
      <c r="H1671" s="15">
        <v>0.33150000000000002</v>
      </c>
      <c r="I1671" s="15">
        <v>5.0900000000000001E-2</v>
      </c>
      <c r="J1671" s="15">
        <v>6.5127701375245586</v>
      </c>
    </row>
    <row r="1672" spans="1:10" x14ac:dyDescent="0.25">
      <c r="A1672" s="2" t="s">
        <v>5012</v>
      </c>
      <c r="B1672" s="2" t="s">
        <v>5013</v>
      </c>
      <c r="C1672" s="2" t="s">
        <v>5014</v>
      </c>
      <c r="D1672" s="2" t="s">
        <v>10049</v>
      </c>
      <c r="E1672" s="15">
        <v>0.1188</v>
      </c>
      <c r="F1672" s="15">
        <v>8.2699999999999996E-2</v>
      </c>
      <c r="G1672" s="15">
        <v>0.151</v>
      </c>
      <c r="H1672" s="15">
        <v>0.1847</v>
      </c>
      <c r="I1672" s="15">
        <v>3.95E-2</v>
      </c>
      <c r="J1672" s="15">
        <v>4.6759493670886076</v>
      </c>
    </row>
    <row r="1673" spans="1:10" x14ac:dyDescent="0.25">
      <c r="A1673" s="2" t="s">
        <v>5015</v>
      </c>
      <c r="B1673" s="2" t="s">
        <v>5016</v>
      </c>
      <c r="C1673" s="2" t="s">
        <v>5017</v>
      </c>
      <c r="D1673" s="2" t="s">
        <v>10049</v>
      </c>
      <c r="E1673" s="15">
        <v>0.13059999999999999</v>
      </c>
      <c r="F1673" s="15">
        <v>7.8799999999999995E-2</v>
      </c>
      <c r="G1673" s="15">
        <v>9.7500000000000003E-2</v>
      </c>
      <c r="H1673" s="15">
        <v>0.18410000000000001</v>
      </c>
      <c r="I1673" s="15">
        <v>4.4299999999999999E-2</v>
      </c>
      <c r="J1673" s="15">
        <v>4.1557562076749441</v>
      </c>
    </row>
    <row r="1674" spans="1:10" x14ac:dyDescent="0.25">
      <c r="A1674" s="2" t="s">
        <v>5018</v>
      </c>
      <c r="B1674" s="2" t="s">
        <v>5019</v>
      </c>
      <c r="C1674" s="2" t="s">
        <v>5020</v>
      </c>
      <c r="D1674" s="2" t="s">
        <v>10049</v>
      </c>
      <c r="E1674" s="15">
        <v>2.9000000000000001E-2</v>
      </c>
      <c r="F1674" s="15">
        <v>7.6200000000000004E-2</v>
      </c>
      <c r="G1674" s="15">
        <v>0.70340000000000003</v>
      </c>
      <c r="H1674" s="15">
        <v>0.2243</v>
      </c>
      <c r="I1674" s="15">
        <v>4.5499999999999999E-2</v>
      </c>
      <c r="J1674" s="15">
        <v>4.9296703296703299</v>
      </c>
    </row>
    <row r="1675" spans="1:10" x14ac:dyDescent="0.25">
      <c r="A1675" s="2" t="s">
        <v>5021</v>
      </c>
      <c r="B1675" s="2" t="s">
        <v>5022</v>
      </c>
      <c r="C1675" s="2" t="s">
        <v>5023</v>
      </c>
      <c r="D1675" s="2" t="s">
        <v>10049</v>
      </c>
      <c r="E1675" s="15">
        <v>5.7099999999999998E-2</v>
      </c>
      <c r="F1675" s="15">
        <v>7.7499999999999999E-2</v>
      </c>
      <c r="G1675" s="15">
        <v>0.46139999999999998</v>
      </c>
      <c r="H1675" s="15">
        <v>0.2147</v>
      </c>
      <c r="I1675" s="15">
        <v>4.2799999999999998E-2</v>
      </c>
      <c r="J1675" s="15">
        <v>5.0163551401869162</v>
      </c>
    </row>
    <row r="1676" spans="1:10" x14ac:dyDescent="0.25">
      <c r="A1676" s="2" t="s">
        <v>5024</v>
      </c>
      <c r="B1676" s="2" t="s">
        <v>5025</v>
      </c>
      <c r="C1676" s="2" t="s">
        <v>5026</v>
      </c>
      <c r="D1676" s="2" t="s">
        <v>10049</v>
      </c>
      <c r="E1676" s="15">
        <v>7.7499999999999999E-2</v>
      </c>
      <c r="F1676" s="15">
        <v>7.22E-2</v>
      </c>
      <c r="G1676" s="15">
        <v>0.28310000000000002</v>
      </c>
      <c r="H1676" s="15">
        <v>0.29349999999999998</v>
      </c>
      <c r="I1676" s="15">
        <v>4.4400000000000002E-2</v>
      </c>
      <c r="J1676" s="15">
        <v>6.6103603603603593</v>
      </c>
    </row>
    <row r="1677" spans="1:10" x14ac:dyDescent="0.25">
      <c r="A1677" s="2" t="s">
        <v>5027</v>
      </c>
      <c r="B1677" s="2" t="s">
        <v>5028</v>
      </c>
      <c r="C1677" s="2" t="s">
        <v>5029</v>
      </c>
      <c r="D1677" s="2" t="s">
        <v>10049</v>
      </c>
      <c r="E1677" s="15">
        <v>5.74E-2</v>
      </c>
      <c r="F1677" s="15">
        <v>6.9400000000000003E-2</v>
      </c>
      <c r="G1677" s="15">
        <v>0.40820000000000001</v>
      </c>
      <c r="H1677" s="15">
        <v>0.27739999999999998</v>
      </c>
      <c r="I1677" s="15">
        <v>4.6300000000000001E-2</v>
      </c>
      <c r="J1677" s="15">
        <v>5.9913606911447079</v>
      </c>
    </row>
    <row r="1678" spans="1:10" x14ac:dyDescent="0.25">
      <c r="A1678" s="2" t="s">
        <v>5030</v>
      </c>
      <c r="B1678" s="2" t="s">
        <v>5031</v>
      </c>
      <c r="C1678" s="2" t="s">
        <v>5032</v>
      </c>
      <c r="D1678" s="2" t="s">
        <v>10049</v>
      </c>
      <c r="E1678" s="15">
        <v>7.8100000000000003E-2</v>
      </c>
      <c r="F1678" s="15">
        <v>7.5499999999999998E-2</v>
      </c>
      <c r="G1678" s="15">
        <v>0.3009</v>
      </c>
      <c r="H1678" s="15">
        <v>0.2261</v>
      </c>
      <c r="I1678" s="15">
        <v>4.5199999999999997E-2</v>
      </c>
      <c r="J1678" s="15">
        <v>5.0022123893805306</v>
      </c>
    </row>
    <row r="1679" spans="1:10" x14ac:dyDescent="0.25">
      <c r="A1679" s="2" t="s">
        <v>5033</v>
      </c>
      <c r="B1679" s="2" t="s">
        <v>5034</v>
      </c>
      <c r="C1679" s="2" t="s">
        <v>5035</v>
      </c>
      <c r="D1679" s="2" t="s">
        <v>10049</v>
      </c>
      <c r="E1679" s="15">
        <v>5.57E-2</v>
      </c>
      <c r="F1679" s="15">
        <v>7.51E-2</v>
      </c>
      <c r="G1679" s="15">
        <v>0.4582</v>
      </c>
      <c r="H1679" s="15">
        <v>0.22359999999999999</v>
      </c>
      <c r="I1679" s="15">
        <v>4.5999999999999999E-2</v>
      </c>
      <c r="J1679" s="15">
        <v>4.8608695652173912</v>
      </c>
    </row>
    <row r="1680" spans="1:10" x14ac:dyDescent="0.25">
      <c r="A1680" s="2" t="s">
        <v>5036</v>
      </c>
      <c r="B1680" s="2" t="s">
        <v>5037</v>
      </c>
      <c r="C1680" s="2" t="s">
        <v>5038</v>
      </c>
      <c r="D1680" s="2" t="s">
        <v>10049</v>
      </c>
      <c r="E1680" s="15">
        <v>3.5000000000000001E-3</v>
      </c>
      <c r="F1680" s="15">
        <v>8.9899999999999994E-2</v>
      </c>
      <c r="G1680" s="15">
        <v>0.96879999999999999</v>
      </c>
      <c r="H1680" s="15">
        <v>0.1983</v>
      </c>
      <c r="I1680" s="15">
        <v>4.4200000000000003E-2</v>
      </c>
      <c r="J1680" s="15">
        <v>4.4864253393665159</v>
      </c>
    </row>
    <row r="1681" spans="1:10" x14ac:dyDescent="0.25">
      <c r="A1681" s="2" t="s">
        <v>5039</v>
      </c>
      <c r="B1681" s="2" t="s">
        <v>5040</v>
      </c>
      <c r="C1681" s="2" t="s">
        <v>5041</v>
      </c>
      <c r="D1681" s="2" t="s">
        <v>10049</v>
      </c>
      <c r="E1681" s="15">
        <v>8.0500000000000002E-2</v>
      </c>
      <c r="F1681" s="15">
        <v>9.0499999999999997E-2</v>
      </c>
      <c r="G1681" s="15">
        <v>0.37359999999999999</v>
      </c>
      <c r="H1681" s="15">
        <v>0.21970000000000001</v>
      </c>
      <c r="I1681" s="15">
        <v>4.7300000000000002E-2</v>
      </c>
      <c r="J1681" s="15">
        <v>4.6448202959830862</v>
      </c>
    </row>
    <row r="1682" spans="1:10" x14ac:dyDescent="0.25">
      <c r="A1682" s="2" t="s">
        <v>5042</v>
      </c>
      <c r="B1682" s="2" t="s">
        <v>5043</v>
      </c>
      <c r="C1682" s="2" t="s">
        <v>5044</v>
      </c>
      <c r="D1682" s="2" t="s">
        <v>10049</v>
      </c>
      <c r="E1682" s="15">
        <v>4.0300000000000002E-2</v>
      </c>
      <c r="F1682" s="15">
        <v>7.9100000000000004E-2</v>
      </c>
      <c r="G1682" s="15">
        <v>0.61080000000000001</v>
      </c>
      <c r="H1682" s="15">
        <v>0.2288</v>
      </c>
      <c r="I1682" s="15">
        <v>4.8399999999999999E-2</v>
      </c>
      <c r="J1682" s="15">
        <v>4.7272727272727284</v>
      </c>
    </row>
    <row r="1683" spans="1:10" x14ac:dyDescent="0.25">
      <c r="A1683" s="2" t="s">
        <v>5045</v>
      </c>
      <c r="B1683" s="2" t="s">
        <v>5046</v>
      </c>
      <c r="C1683" s="2" t="s">
        <v>5047</v>
      </c>
      <c r="D1683" s="2" t="s">
        <v>10049</v>
      </c>
      <c r="E1683" s="15">
        <v>-2.0899999999999998E-2</v>
      </c>
      <c r="F1683" s="15">
        <v>7.9899999999999999E-2</v>
      </c>
      <c r="G1683" s="15">
        <v>0.79359999999999997</v>
      </c>
      <c r="H1683" s="15">
        <v>0.21820000000000001</v>
      </c>
      <c r="I1683" s="15">
        <v>4.4900000000000002E-2</v>
      </c>
      <c r="J1683" s="15">
        <v>4.8596881959910911</v>
      </c>
    </row>
    <row r="1684" spans="1:10" x14ac:dyDescent="0.25">
      <c r="A1684" s="2" t="s">
        <v>5048</v>
      </c>
      <c r="B1684" s="2" t="s">
        <v>5049</v>
      </c>
      <c r="C1684" s="2" t="s">
        <v>5050</v>
      </c>
      <c r="D1684" s="2" t="s">
        <v>10049</v>
      </c>
      <c r="E1684" s="15">
        <v>1.7000000000000001E-2</v>
      </c>
      <c r="F1684" s="15">
        <v>8.1000000000000003E-2</v>
      </c>
      <c r="G1684" s="15">
        <v>0.83379999999999999</v>
      </c>
      <c r="H1684" s="15">
        <v>0.20330000000000001</v>
      </c>
      <c r="I1684" s="15">
        <v>4.9599999999999998E-2</v>
      </c>
      <c r="J1684" s="15">
        <v>4.0987903225806459</v>
      </c>
    </row>
    <row r="1685" spans="1:10" x14ac:dyDescent="0.25">
      <c r="A1685" s="2" t="s">
        <v>5051</v>
      </c>
      <c r="B1685" s="2" t="s">
        <v>5052</v>
      </c>
      <c r="C1685" s="2" t="s">
        <v>5053</v>
      </c>
      <c r="D1685" s="2" t="s">
        <v>10049</v>
      </c>
      <c r="E1685" s="15">
        <v>2.4899999999999999E-2</v>
      </c>
      <c r="F1685" s="15">
        <v>7.6399999999999996E-2</v>
      </c>
      <c r="G1685" s="15">
        <v>0.74470000000000003</v>
      </c>
      <c r="H1685" s="15">
        <v>0.22950000000000001</v>
      </c>
      <c r="I1685" s="15">
        <v>4.7300000000000002E-2</v>
      </c>
      <c r="J1685" s="15">
        <v>4.8520084566596191</v>
      </c>
    </row>
    <row r="1686" spans="1:10" x14ac:dyDescent="0.25">
      <c r="A1686" s="2" t="s">
        <v>5054</v>
      </c>
      <c r="B1686" s="2" t="s">
        <v>5055</v>
      </c>
      <c r="C1686" s="2" t="s">
        <v>5056</v>
      </c>
      <c r="D1686" s="2" t="s">
        <v>10049</v>
      </c>
      <c r="E1686" s="15">
        <v>-1.77E-2</v>
      </c>
      <c r="F1686" s="15">
        <v>5.6300000000000003E-2</v>
      </c>
      <c r="G1686" s="15">
        <v>0.75260000000000005</v>
      </c>
      <c r="H1686" s="15">
        <v>0.33879999999999999</v>
      </c>
      <c r="I1686" s="15">
        <v>4.6399999999999997E-2</v>
      </c>
      <c r="J1686" s="15">
        <v>7.3017241379310347</v>
      </c>
    </row>
    <row r="1687" spans="1:10" x14ac:dyDescent="0.25">
      <c r="A1687" s="2" t="s">
        <v>5057</v>
      </c>
      <c r="B1687" s="2" t="s">
        <v>5058</v>
      </c>
      <c r="C1687" s="2" t="s">
        <v>5059</v>
      </c>
      <c r="D1687" s="2" t="s">
        <v>10049</v>
      </c>
      <c r="E1687" s="15">
        <v>-1.9699999999999999E-2</v>
      </c>
      <c r="F1687" s="15">
        <v>6.3799999999999996E-2</v>
      </c>
      <c r="G1687" s="15">
        <v>0.75800000000000001</v>
      </c>
      <c r="H1687" s="15">
        <v>0.28770000000000001</v>
      </c>
      <c r="I1687" s="15">
        <v>4.48E-2</v>
      </c>
      <c r="J1687" s="15">
        <v>6.421875</v>
      </c>
    </row>
    <row r="1688" spans="1:10" x14ac:dyDescent="0.25">
      <c r="A1688" s="2" t="s">
        <v>5060</v>
      </c>
      <c r="B1688" s="2" t="s">
        <v>5061</v>
      </c>
      <c r="C1688" s="2" t="s">
        <v>5062</v>
      </c>
      <c r="D1688" s="2" t="s">
        <v>10049</v>
      </c>
      <c r="E1688" s="15">
        <v>0.16059999999999999</v>
      </c>
      <c r="F1688" s="15">
        <v>8.2199999999999995E-2</v>
      </c>
      <c r="G1688" s="15">
        <v>5.0799999999999998E-2</v>
      </c>
      <c r="H1688" s="15">
        <v>0.17280000000000001</v>
      </c>
      <c r="I1688" s="15">
        <v>4.5199999999999997E-2</v>
      </c>
      <c r="J1688" s="15">
        <v>3.8230088495575232</v>
      </c>
    </row>
    <row r="1689" spans="1:10" x14ac:dyDescent="0.25">
      <c r="A1689" s="2" t="s">
        <v>5063</v>
      </c>
      <c r="B1689" s="2" t="s">
        <v>5064</v>
      </c>
      <c r="C1689" s="2" t="s">
        <v>5065</v>
      </c>
      <c r="D1689" s="2" t="s">
        <v>10049</v>
      </c>
      <c r="E1689" s="15">
        <v>0.1593</v>
      </c>
      <c r="F1689" s="15">
        <v>7.2300000000000003E-2</v>
      </c>
      <c r="G1689" s="15">
        <v>2.75E-2</v>
      </c>
      <c r="H1689" s="15">
        <v>0.20050000000000001</v>
      </c>
      <c r="I1689" s="15">
        <v>4.4600000000000001E-2</v>
      </c>
      <c r="J1689" s="15">
        <v>4.4955156950672643</v>
      </c>
    </row>
    <row r="1690" spans="1:10" x14ac:dyDescent="0.25">
      <c r="A1690" s="2" t="s">
        <v>5066</v>
      </c>
      <c r="B1690" s="2" t="s">
        <v>5067</v>
      </c>
      <c r="C1690" s="2" t="s">
        <v>5068</v>
      </c>
      <c r="D1690" s="2" t="s">
        <v>10049</v>
      </c>
      <c r="E1690" s="15">
        <v>1.7399999999999999E-2</v>
      </c>
      <c r="F1690" s="15">
        <v>9.1700000000000004E-2</v>
      </c>
      <c r="G1690" s="15">
        <v>0.8498</v>
      </c>
      <c r="H1690" s="15">
        <v>0.13689999999999999</v>
      </c>
      <c r="I1690" s="15">
        <v>4.0300000000000002E-2</v>
      </c>
      <c r="J1690" s="15">
        <v>3.3970223325062028</v>
      </c>
    </row>
    <row r="1691" spans="1:10" x14ac:dyDescent="0.25">
      <c r="A1691" s="2" t="s">
        <v>5069</v>
      </c>
      <c r="B1691" s="2" t="s">
        <v>5070</v>
      </c>
      <c r="C1691" s="2" t="s">
        <v>5071</v>
      </c>
      <c r="D1691" s="2" t="s">
        <v>10049</v>
      </c>
      <c r="E1691" s="15">
        <v>-2.7400000000000001E-2</v>
      </c>
      <c r="F1691" s="15">
        <v>8.7099999999999997E-2</v>
      </c>
      <c r="G1691" s="15">
        <v>0.75349999999999995</v>
      </c>
      <c r="H1691" s="15">
        <v>0.17610000000000001</v>
      </c>
      <c r="I1691" s="15">
        <v>4.6899999999999997E-2</v>
      </c>
      <c r="J1691" s="15">
        <v>3.7547974413646061</v>
      </c>
    </row>
    <row r="1692" spans="1:10" x14ac:dyDescent="0.25">
      <c r="A1692" s="2" t="s">
        <v>5072</v>
      </c>
      <c r="B1692" s="2" t="s">
        <v>5073</v>
      </c>
      <c r="C1692" s="2" t="s">
        <v>5074</v>
      </c>
      <c r="D1692" s="2" t="s">
        <v>10049</v>
      </c>
      <c r="E1692" s="15">
        <v>5.3699999999999998E-2</v>
      </c>
      <c r="F1692" s="15">
        <v>6.3399999999999998E-2</v>
      </c>
      <c r="G1692" s="15">
        <v>0.3972</v>
      </c>
      <c r="H1692" s="15">
        <v>0.2994</v>
      </c>
      <c r="I1692" s="15">
        <v>4.6199999999999998E-2</v>
      </c>
      <c r="J1692" s="15">
        <v>6.4805194805194803</v>
      </c>
    </row>
    <row r="1693" spans="1:10" x14ac:dyDescent="0.25">
      <c r="A1693" s="2" t="s">
        <v>5075</v>
      </c>
      <c r="B1693" s="2" t="s">
        <v>5076</v>
      </c>
      <c r="C1693" s="2" t="s">
        <v>5077</v>
      </c>
      <c r="D1693" s="2" t="s">
        <v>10049</v>
      </c>
      <c r="E1693" s="15">
        <v>6.6299999999999998E-2</v>
      </c>
      <c r="F1693" s="15">
        <v>6.2399999999999997E-2</v>
      </c>
      <c r="G1693" s="15">
        <v>0.28810000000000002</v>
      </c>
      <c r="H1693" s="15">
        <v>0.30919999999999997</v>
      </c>
      <c r="I1693" s="15">
        <v>4.6800000000000001E-2</v>
      </c>
      <c r="J1693" s="15">
        <v>6.6068376068376056</v>
      </c>
    </row>
    <row r="1694" spans="1:10" x14ac:dyDescent="0.25">
      <c r="A1694" s="2" t="s">
        <v>5078</v>
      </c>
      <c r="B1694" s="2" t="s">
        <v>5079</v>
      </c>
      <c r="C1694" s="2" t="s">
        <v>5080</v>
      </c>
      <c r="D1694" s="2" t="s">
        <v>10049</v>
      </c>
      <c r="E1694" s="15">
        <v>-1.24E-2</v>
      </c>
      <c r="F1694" s="15">
        <v>8.8300000000000003E-2</v>
      </c>
      <c r="G1694" s="15">
        <v>0.88839999999999997</v>
      </c>
      <c r="H1694" s="15">
        <v>0.1653</v>
      </c>
      <c r="I1694" s="15">
        <v>3.9600000000000003E-2</v>
      </c>
      <c r="J1694" s="15">
        <v>4.1742424242424239</v>
      </c>
    </row>
    <row r="1695" spans="1:10" x14ac:dyDescent="0.25">
      <c r="A1695" s="2" t="s">
        <v>5081</v>
      </c>
      <c r="B1695" s="2" t="s">
        <v>5082</v>
      </c>
      <c r="C1695" s="2" t="s">
        <v>5083</v>
      </c>
      <c r="D1695" s="2" t="s">
        <v>10049</v>
      </c>
      <c r="E1695" s="15">
        <v>7.3000000000000001E-3</v>
      </c>
      <c r="F1695" s="15">
        <v>8.7599999999999997E-2</v>
      </c>
      <c r="G1695" s="15">
        <v>0.93400000000000005</v>
      </c>
      <c r="H1695" s="15">
        <v>0.14230000000000001</v>
      </c>
      <c r="I1695" s="15">
        <v>3.8899999999999997E-2</v>
      </c>
      <c r="J1695" s="15">
        <v>3.6580976863753221</v>
      </c>
    </row>
    <row r="1696" spans="1:10" x14ac:dyDescent="0.25">
      <c r="A1696" s="2" t="s">
        <v>5084</v>
      </c>
      <c r="B1696" s="2" t="s">
        <v>5085</v>
      </c>
      <c r="C1696" s="2" t="s">
        <v>5086</v>
      </c>
      <c r="D1696" s="2" t="s">
        <v>10049</v>
      </c>
      <c r="E1696" s="15">
        <v>5.3499999999999999E-2</v>
      </c>
      <c r="F1696" s="15">
        <v>7.5200000000000003E-2</v>
      </c>
      <c r="G1696" s="15">
        <v>0.47720000000000001</v>
      </c>
      <c r="H1696" s="15">
        <v>0.21709999999999999</v>
      </c>
      <c r="I1696" s="15">
        <v>4.1599999999999998E-2</v>
      </c>
      <c r="J1696" s="15">
        <v>5.21875</v>
      </c>
    </row>
    <row r="1697" spans="1:10" x14ac:dyDescent="0.25">
      <c r="A1697" s="2" t="s">
        <v>5087</v>
      </c>
      <c r="B1697" s="2" t="s">
        <v>5088</v>
      </c>
      <c r="C1697" s="2" t="s">
        <v>5089</v>
      </c>
      <c r="D1697" s="2" t="s">
        <v>10049</v>
      </c>
      <c r="E1697" s="15">
        <v>7.3999999999999996E-2</v>
      </c>
      <c r="F1697" s="15">
        <v>6.7400000000000002E-2</v>
      </c>
      <c r="G1697" s="15">
        <v>0.27200000000000002</v>
      </c>
      <c r="H1697" s="15">
        <v>0.27779999999999999</v>
      </c>
      <c r="I1697" s="15">
        <v>3.7600000000000001E-2</v>
      </c>
      <c r="J1697" s="15">
        <v>7.3882978723404253</v>
      </c>
    </row>
    <row r="1698" spans="1:10" x14ac:dyDescent="0.25">
      <c r="A1698" s="2" t="s">
        <v>5090</v>
      </c>
      <c r="B1698" s="2" t="s">
        <v>5091</v>
      </c>
      <c r="C1698" s="2" t="s">
        <v>5092</v>
      </c>
      <c r="D1698" s="2" t="s">
        <v>10049</v>
      </c>
      <c r="E1698" s="15">
        <v>7.1999999999999998E-3</v>
      </c>
      <c r="F1698" s="15">
        <v>8.5900000000000004E-2</v>
      </c>
      <c r="G1698" s="15">
        <v>0.93340000000000001</v>
      </c>
      <c r="H1698" s="15">
        <v>0.1522</v>
      </c>
      <c r="I1698" s="15">
        <v>4.1099999999999998E-2</v>
      </c>
      <c r="J1698" s="15">
        <v>3.7031630170316299</v>
      </c>
    </row>
    <row r="1699" spans="1:10" x14ac:dyDescent="0.25">
      <c r="A1699" s="2" t="s">
        <v>5093</v>
      </c>
      <c r="B1699" s="2" t="s">
        <v>5094</v>
      </c>
      <c r="C1699" s="2" t="s">
        <v>5095</v>
      </c>
      <c r="D1699" s="2" t="s">
        <v>10049</v>
      </c>
      <c r="E1699" s="15">
        <v>1.67E-2</v>
      </c>
      <c r="F1699" s="15">
        <v>8.8499999999999995E-2</v>
      </c>
      <c r="G1699" s="15">
        <v>0.85070000000000001</v>
      </c>
      <c r="H1699" s="15">
        <v>0.17180000000000001</v>
      </c>
      <c r="I1699" s="15">
        <v>5.6000000000000001E-2</v>
      </c>
      <c r="J1699" s="15">
        <v>3.0678571428571431</v>
      </c>
    </row>
    <row r="1700" spans="1:10" x14ac:dyDescent="0.25">
      <c r="A1700" s="2" t="s">
        <v>5096</v>
      </c>
      <c r="B1700" s="2" t="s">
        <v>5097</v>
      </c>
      <c r="C1700" s="2" t="s">
        <v>5098</v>
      </c>
      <c r="D1700" s="2" t="s">
        <v>10049</v>
      </c>
      <c r="E1700" s="15">
        <v>-8.6999999999999994E-2</v>
      </c>
      <c r="F1700" s="15">
        <v>6.7299999999999999E-2</v>
      </c>
      <c r="G1700" s="15">
        <v>0.19650000000000001</v>
      </c>
      <c r="H1700" s="15">
        <v>0.22239999999999999</v>
      </c>
      <c r="I1700" s="15">
        <v>4.0899999999999999E-2</v>
      </c>
      <c r="J1700" s="15">
        <v>5.4376528117359424</v>
      </c>
    </row>
    <row r="1701" spans="1:10" x14ac:dyDescent="0.25">
      <c r="A1701" s="2" t="s">
        <v>5099</v>
      </c>
      <c r="B1701" s="2" t="s">
        <v>5100</v>
      </c>
      <c r="C1701" s="2" t="s">
        <v>5101</v>
      </c>
      <c r="D1701" s="2" t="s">
        <v>10049</v>
      </c>
      <c r="E1701" s="15">
        <v>-3.4799999999999998E-2</v>
      </c>
      <c r="F1701" s="15">
        <v>8.1299999999999997E-2</v>
      </c>
      <c r="G1701" s="15">
        <v>0.66869999999999996</v>
      </c>
      <c r="H1701" s="15">
        <v>0.17119999999999999</v>
      </c>
      <c r="I1701" s="15">
        <v>4.0099999999999997E-2</v>
      </c>
      <c r="J1701" s="15">
        <v>4.2693266832917711</v>
      </c>
    </row>
    <row r="1702" spans="1:10" x14ac:dyDescent="0.25">
      <c r="A1702" s="2" t="s">
        <v>5102</v>
      </c>
      <c r="B1702" s="2" t="s">
        <v>5103</v>
      </c>
      <c r="C1702" s="2" t="s">
        <v>5104</v>
      </c>
      <c r="D1702" s="2" t="s">
        <v>10049</v>
      </c>
      <c r="E1702" s="15">
        <v>-1.3599999999999999E-2</v>
      </c>
      <c r="F1702" s="15">
        <v>6.0199999999999997E-2</v>
      </c>
      <c r="G1702" s="15">
        <v>0.82169999999999999</v>
      </c>
      <c r="H1702" s="15">
        <v>0.30099999999999999</v>
      </c>
      <c r="I1702" s="15">
        <v>4.3200000000000002E-2</v>
      </c>
      <c r="J1702" s="15">
        <v>6.9675925925925917</v>
      </c>
    </row>
    <row r="1703" spans="1:10" x14ac:dyDescent="0.25">
      <c r="A1703" s="2" t="s">
        <v>5105</v>
      </c>
      <c r="B1703" s="2" t="s">
        <v>5106</v>
      </c>
      <c r="C1703" s="2" t="s">
        <v>5107</v>
      </c>
      <c r="D1703" s="2" t="s">
        <v>10049</v>
      </c>
      <c r="E1703" s="15">
        <v>-0.01</v>
      </c>
      <c r="F1703" s="15">
        <v>6.0699999999999997E-2</v>
      </c>
      <c r="G1703" s="15">
        <v>0.86880000000000002</v>
      </c>
      <c r="H1703" s="15">
        <v>0.27379999999999999</v>
      </c>
      <c r="I1703" s="15">
        <v>4.6699999999999998E-2</v>
      </c>
      <c r="J1703" s="15">
        <v>5.8629550321199142</v>
      </c>
    </row>
    <row r="1704" spans="1:10" x14ac:dyDescent="0.25">
      <c r="A1704" s="2" t="s">
        <v>5108</v>
      </c>
      <c r="B1704" s="2" t="s">
        <v>5109</v>
      </c>
      <c r="C1704" s="2" t="s">
        <v>5110</v>
      </c>
      <c r="D1704" s="2" t="s">
        <v>10049</v>
      </c>
      <c r="E1704" s="15">
        <v>-0.1041</v>
      </c>
      <c r="F1704" s="15">
        <v>7.5499999999999998E-2</v>
      </c>
      <c r="G1704" s="15">
        <v>0.16800000000000001</v>
      </c>
      <c r="H1704" s="15">
        <v>0.21579999999999999</v>
      </c>
      <c r="I1704" s="15">
        <v>4.8500000000000001E-2</v>
      </c>
      <c r="J1704" s="15">
        <v>4.4494845360824744</v>
      </c>
    </row>
    <row r="1705" spans="1:10" x14ac:dyDescent="0.25">
      <c r="A1705" s="2" t="s">
        <v>5111</v>
      </c>
      <c r="B1705" s="2" t="s">
        <v>5112</v>
      </c>
      <c r="C1705" s="2" t="s">
        <v>5113</v>
      </c>
      <c r="D1705" s="2" t="s">
        <v>10049</v>
      </c>
      <c r="E1705" s="15">
        <v>0.13200000000000001</v>
      </c>
      <c r="F1705" s="15">
        <v>7.0400000000000004E-2</v>
      </c>
      <c r="G1705" s="15">
        <v>6.08E-2</v>
      </c>
      <c r="H1705" s="15">
        <v>0.26629999999999998</v>
      </c>
      <c r="I1705" s="15">
        <v>4.7500000000000001E-2</v>
      </c>
      <c r="J1705" s="15">
        <v>5.6063157894736841</v>
      </c>
    </row>
    <row r="1706" spans="1:10" x14ac:dyDescent="0.25">
      <c r="A1706" s="2" t="s">
        <v>5114</v>
      </c>
      <c r="B1706" s="2" t="s">
        <v>5115</v>
      </c>
      <c r="C1706" s="2" t="s">
        <v>5116</v>
      </c>
      <c r="D1706" s="2" t="s">
        <v>10049</v>
      </c>
      <c r="E1706" s="15">
        <v>-4.9200000000000001E-2</v>
      </c>
      <c r="F1706" s="15">
        <v>7.5399999999999995E-2</v>
      </c>
      <c r="G1706" s="15">
        <v>0.51429999999999998</v>
      </c>
      <c r="H1706" s="15">
        <v>0.19</v>
      </c>
      <c r="I1706" s="15">
        <v>4.2099999999999999E-2</v>
      </c>
      <c r="J1706" s="15">
        <v>4.513064133016627</v>
      </c>
    </row>
    <row r="1707" spans="1:10" x14ac:dyDescent="0.25">
      <c r="A1707" s="2" t="s">
        <v>5117</v>
      </c>
      <c r="B1707" s="2" t="s">
        <v>5118</v>
      </c>
      <c r="C1707" s="2" t="s">
        <v>5119</v>
      </c>
      <c r="D1707" s="2" t="s">
        <v>10049</v>
      </c>
      <c r="E1707" s="15">
        <v>-0.108</v>
      </c>
      <c r="F1707" s="15">
        <v>8.8499999999999995E-2</v>
      </c>
      <c r="G1707" s="15">
        <v>0.22220000000000001</v>
      </c>
      <c r="H1707" s="15">
        <v>0.14199999999999999</v>
      </c>
      <c r="I1707" s="15">
        <v>3.73E-2</v>
      </c>
      <c r="J1707" s="15">
        <v>3.8069705093833779</v>
      </c>
    </row>
    <row r="1708" spans="1:10" x14ac:dyDescent="0.25">
      <c r="A1708" s="2" t="s">
        <v>5120</v>
      </c>
      <c r="B1708" s="2" t="s">
        <v>5121</v>
      </c>
      <c r="C1708" s="2" t="s">
        <v>5122</v>
      </c>
      <c r="D1708" s="2" t="s">
        <v>10049</v>
      </c>
      <c r="E1708" s="15">
        <v>-9.2299999999999993E-2</v>
      </c>
      <c r="F1708" s="15">
        <v>9.5000000000000001E-2</v>
      </c>
      <c r="G1708" s="15">
        <v>0.33169999999999999</v>
      </c>
      <c r="H1708" s="15">
        <v>0.13950000000000001</v>
      </c>
      <c r="I1708" s="15">
        <v>3.7999999999999999E-2</v>
      </c>
      <c r="J1708" s="15">
        <v>3.6710526315789478</v>
      </c>
    </row>
    <row r="1709" spans="1:10" x14ac:dyDescent="0.25">
      <c r="A1709" s="2" t="s">
        <v>5123</v>
      </c>
      <c r="B1709" s="2" t="s">
        <v>5124</v>
      </c>
      <c r="C1709" s="2" t="s">
        <v>5125</v>
      </c>
      <c r="D1709" s="2" t="s">
        <v>10049</v>
      </c>
      <c r="E1709" s="15">
        <v>-0.13439999999999999</v>
      </c>
      <c r="F1709" s="15">
        <v>0.14349999999999999</v>
      </c>
      <c r="G1709" s="15">
        <v>0.34899999999999998</v>
      </c>
      <c r="H1709" s="15">
        <v>6.3600000000000004E-2</v>
      </c>
      <c r="I1709" s="15">
        <v>3.5400000000000001E-2</v>
      </c>
      <c r="J1709" s="15">
        <v>1.796610169491526</v>
      </c>
    </row>
    <row r="1710" spans="1:10" x14ac:dyDescent="0.25">
      <c r="A1710" s="2" t="s">
        <v>5126</v>
      </c>
      <c r="B1710" s="2" t="s">
        <v>5127</v>
      </c>
      <c r="C1710" s="2" t="s">
        <v>5128</v>
      </c>
      <c r="D1710" s="2" t="s">
        <v>10049</v>
      </c>
      <c r="E1710" s="15">
        <v>5.1999999999999998E-3</v>
      </c>
      <c r="F1710" s="15">
        <v>7.51E-2</v>
      </c>
      <c r="G1710" s="15">
        <v>0.94530000000000003</v>
      </c>
      <c r="H1710" s="15">
        <v>0.19009999999999999</v>
      </c>
      <c r="I1710" s="15">
        <v>4.3099999999999999E-2</v>
      </c>
      <c r="J1710" s="15">
        <v>4.4106728538283058</v>
      </c>
    </row>
    <row r="1711" spans="1:10" x14ac:dyDescent="0.25">
      <c r="A1711" s="2" t="s">
        <v>5129</v>
      </c>
      <c r="B1711" s="2" t="s">
        <v>5130</v>
      </c>
      <c r="C1711" s="2" t="s">
        <v>5131</v>
      </c>
      <c r="D1711" s="2" t="s">
        <v>10049</v>
      </c>
      <c r="E1711" s="15">
        <v>-1.2800000000000001E-2</v>
      </c>
      <c r="F1711" s="15">
        <v>9.9299999999999999E-2</v>
      </c>
      <c r="G1711" s="15">
        <v>0.89749999999999996</v>
      </c>
      <c r="H1711" s="15">
        <v>0.1018</v>
      </c>
      <c r="I1711" s="15">
        <v>4.0099999999999997E-2</v>
      </c>
      <c r="J1711" s="15">
        <v>2.5386533665835409</v>
      </c>
    </row>
    <row r="1712" spans="1:10" x14ac:dyDescent="0.25">
      <c r="A1712" s="2" t="s">
        <v>5132</v>
      </c>
      <c r="B1712" s="2" t="s">
        <v>5133</v>
      </c>
      <c r="C1712" s="2" t="s">
        <v>5134</v>
      </c>
      <c r="D1712" s="2" t="s">
        <v>10049</v>
      </c>
      <c r="E1712" s="15">
        <v>-0.1181</v>
      </c>
      <c r="F1712" s="15">
        <v>5.8000000000000003E-2</v>
      </c>
      <c r="G1712" s="15">
        <v>4.1599999999999998E-2</v>
      </c>
      <c r="H1712" s="15">
        <v>0.2903</v>
      </c>
      <c r="I1712" s="15">
        <v>4.1500000000000002E-2</v>
      </c>
      <c r="J1712" s="15">
        <v>6.9951807228915657</v>
      </c>
    </row>
    <row r="1713" spans="1:10" x14ac:dyDescent="0.25">
      <c r="A1713" s="2" t="s">
        <v>5135</v>
      </c>
      <c r="B1713" s="2" t="s">
        <v>5136</v>
      </c>
      <c r="C1713" s="2" t="s">
        <v>5137</v>
      </c>
      <c r="D1713" s="2" t="s">
        <v>10049</v>
      </c>
      <c r="E1713" s="15">
        <v>-0.108</v>
      </c>
      <c r="F1713" s="15">
        <v>5.8999999999999997E-2</v>
      </c>
      <c r="G1713" s="15">
        <v>6.7199999999999996E-2</v>
      </c>
      <c r="H1713" s="15">
        <v>0.29499999999999998</v>
      </c>
      <c r="I1713" s="15">
        <v>4.2299999999999997E-2</v>
      </c>
      <c r="J1713" s="15">
        <v>6.9739952718676124</v>
      </c>
    </row>
    <row r="1714" spans="1:10" x14ac:dyDescent="0.25">
      <c r="A1714" s="2" t="s">
        <v>5138</v>
      </c>
      <c r="B1714" s="2" t="s">
        <v>5139</v>
      </c>
      <c r="C1714" s="2" t="s">
        <v>5140</v>
      </c>
      <c r="D1714" s="2" t="s">
        <v>10049</v>
      </c>
      <c r="E1714" s="15">
        <v>-4.4900000000000002E-2</v>
      </c>
      <c r="F1714" s="15">
        <v>8.0500000000000002E-2</v>
      </c>
      <c r="G1714" s="15">
        <v>0.57679999999999998</v>
      </c>
      <c r="H1714" s="15">
        <v>0.1928</v>
      </c>
      <c r="I1714" s="15">
        <v>4.0899999999999999E-2</v>
      </c>
      <c r="J1714" s="15">
        <v>4.7139364303178484</v>
      </c>
    </row>
    <row r="1715" spans="1:10" x14ac:dyDescent="0.25">
      <c r="A1715" s="2" t="s">
        <v>5141</v>
      </c>
      <c r="B1715" s="2" t="s">
        <v>5142</v>
      </c>
      <c r="C1715" s="2" t="s">
        <v>5143</v>
      </c>
      <c r="D1715" s="2" t="s">
        <v>10049</v>
      </c>
      <c r="E1715" s="15">
        <v>-1.9E-3</v>
      </c>
      <c r="F1715" s="15">
        <v>8.4599999999999995E-2</v>
      </c>
      <c r="G1715" s="15">
        <v>0.98229999999999995</v>
      </c>
      <c r="H1715" s="15">
        <v>0.18160000000000001</v>
      </c>
      <c r="I1715" s="15">
        <v>4.0899999999999999E-2</v>
      </c>
      <c r="J1715" s="15">
        <v>4.4400977995110029</v>
      </c>
    </row>
    <row r="1716" spans="1:10" x14ac:dyDescent="0.25">
      <c r="A1716" s="2" t="s">
        <v>5144</v>
      </c>
      <c r="B1716" s="2" t="s">
        <v>5145</v>
      </c>
      <c r="C1716" s="2" t="s">
        <v>5146</v>
      </c>
      <c r="D1716" s="2" t="s">
        <v>10049</v>
      </c>
      <c r="E1716" s="15">
        <v>-8.2299999999999998E-2</v>
      </c>
      <c r="F1716" s="15">
        <v>8.3099999999999993E-2</v>
      </c>
      <c r="G1716" s="15">
        <v>0.3216</v>
      </c>
      <c r="H1716" s="15">
        <v>0.217</v>
      </c>
      <c r="I1716" s="15">
        <v>4.4200000000000003E-2</v>
      </c>
      <c r="J1716" s="15">
        <v>4.9095022624434383</v>
      </c>
    </row>
    <row r="1717" spans="1:10" x14ac:dyDescent="0.25">
      <c r="A1717" s="2" t="s">
        <v>5147</v>
      </c>
      <c r="B1717" s="2" t="s">
        <v>5148</v>
      </c>
      <c r="C1717" s="2" t="s">
        <v>5149</v>
      </c>
      <c r="D1717" s="2" t="s">
        <v>10049</v>
      </c>
      <c r="E1717" s="15">
        <v>2.7300000000000001E-2</v>
      </c>
      <c r="F1717" s="15">
        <v>7.8700000000000006E-2</v>
      </c>
      <c r="G1717" s="15">
        <v>0.7288</v>
      </c>
      <c r="H1717" s="15">
        <v>0.22700000000000001</v>
      </c>
      <c r="I1717" s="15">
        <v>4.4400000000000002E-2</v>
      </c>
      <c r="J1717" s="15">
        <v>5.1126126126126126</v>
      </c>
    </row>
    <row r="1718" spans="1:10" x14ac:dyDescent="0.25">
      <c r="A1718" s="2" t="s">
        <v>5150</v>
      </c>
      <c r="B1718" s="2" t="s">
        <v>5151</v>
      </c>
      <c r="C1718" s="2" t="s">
        <v>5152</v>
      </c>
      <c r="D1718" s="2" t="s">
        <v>10049</v>
      </c>
      <c r="E1718" s="15">
        <v>-0.1246</v>
      </c>
      <c r="F1718" s="15">
        <v>7.1599999999999997E-2</v>
      </c>
      <c r="G1718" s="15">
        <v>8.1799999999999998E-2</v>
      </c>
      <c r="H1718" s="15">
        <v>0.2455</v>
      </c>
      <c r="I1718" s="15">
        <v>4.7800000000000002E-2</v>
      </c>
      <c r="J1718" s="15">
        <v>5.1359832635983258</v>
      </c>
    </row>
    <row r="1719" spans="1:10" x14ac:dyDescent="0.25">
      <c r="A1719" s="2" t="s">
        <v>5153</v>
      </c>
      <c r="B1719" s="2" t="s">
        <v>5154</v>
      </c>
      <c r="C1719" s="2" t="s">
        <v>5155</v>
      </c>
      <c r="D1719" s="2" t="s">
        <v>10049</v>
      </c>
      <c r="E1719" s="15">
        <v>-8.0199999999999994E-2</v>
      </c>
      <c r="F1719" s="15">
        <v>6.13E-2</v>
      </c>
      <c r="G1719" s="15">
        <v>0.19059999999999999</v>
      </c>
      <c r="H1719" s="15">
        <v>0.31190000000000001</v>
      </c>
      <c r="I1719" s="15">
        <v>4.9500000000000002E-2</v>
      </c>
      <c r="J1719" s="15">
        <v>6.3010101010101014</v>
      </c>
    </row>
    <row r="1720" spans="1:10" x14ac:dyDescent="0.25">
      <c r="A1720" s="2" t="s">
        <v>5156</v>
      </c>
      <c r="B1720" s="2" t="s">
        <v>5157</v>
      </c>
      <c r="C1720" s="2" t="s">
        <v>5158</v>
      </c>
      <c r="D1720" s="2" t="s">
        <v>10049</v>
      </c>
      <c r="E1720" s="15">
        <v>-3.0599999999999999E-2</v>
      </c>
      <c r="F1720" s="15">
        <v>7.0599999999999996E-2</v>
      </c>
      <c r="G1720" s="15">
        <v>0.66490000000000005</v>
      </c>
      <c r="H1720" s="15">
        <v>0.22620000000000001</v>
      </c>
      <c r="I1720" s="15">
        <v>4.7600000000000003E-2</v>
      </c>
      <c r="J1720" s="15">
        <v>4.7521008403361336</v>
      </c>
    </row>
    <row r="1721" spans="1:10" x14ac:dyDescent="0.25">
      <c r="A1721" s="2" t="s">
        <v>5159</v>
      </c>
      <c r="B1721" s="2" t="s">
        <v>5160</v>
      </c>
      <c r="C1721" s="2" t="s">
        <v>5161</v>
      </c>
      <c r="D1721" s="2" t="s">
        <v>10049</v>
      </c>
      <c r="E1721" s="15">
        <v>-1.09E-2</v>
      </c>
      <c r="F1721" s="15">
        <v>7.3599999999999999E-2</v>
      </c>
      <c r="G1721" s="15">
        <v>0.8821</v>
      </c>
      <c r="H1721" s="15">
        <v>0.21310000000000001</v>
      </c>
      <c r="I1721" s="15">
        <v>4.8500000000000001E-2</v>
      </c>
      <c r="J1721" s="15">
        <v>4.3938144329896911</v>
      </c>
    </row>
    <row r="1722" spans="1:10" x14ac:dyDescent="0.25">
      <c r="A1722" s="2" t="s">
        <v>5162</v>
      </c>
      <c r="B1722" s="2" t="s">
        <v>5163</v>
      </c>
      <c r="C1722" s="2" t="s">
        <v>5164</v>
      </c>
      <c r="D1722" s="2" t="s">
        <v>10049</v>
      </c>
      <c r="E1722" s="15">
        <v>7.9000000000000008E-3</v>
      </c>
      <c r="F1722" s="15">
        <v>6.7500000000000004E-2</v>
      </c>
      <c r="G1722" s="15">
        <v>0.90680000000000005</v>
      </c>
      <c r="H1722" s="15">
        <v>0.30280000000000001</v>
      </c>
      <c r="I1722" s="15">
        <v>5.11E-2</v>
      </c>
      <c r="J1722" s="15">
        <v>5.925636007827789</v>
      </c>
    </row>
    <row r="1723" spans="1:10" x14ac:dyDescent="0.25">
      <c r="A1723" s="2" t="s">
        <v>5165</v>
      </c>
      <c r="B1723" s="2" t="s">
        <v>5166</v>
      </c>
      <c r="C1723" s="2" t="s">
        <v>5167</v>
      </c>
      <c r="D1723" s="2" t="s">
        <v>10049</v>
      </c>
      <c r="E1723" s="15">
        <v>-1E-3</v>
      </c>
      <c r="F1723" s="15">
        <v>6.6000000000000003E-2</v>
      </c>
      <c r="G1723" s="15">
        <v>0.98839999999999995</v>
      </c>
      <c r="H1723" s="15">
        <v>0.33629999999999999</v>
      </c>
      <c r="I1723" s="15">
        <v>5.1499999999999997E-2</v>
      </c>
      <c r="J1723" s="15">
        <v>6.5300970873786408</v>
      </c>
    </row>
    <row r="1724" spans="1:10" x14ac:dyDescent="0.25">
      <c r="A1724" s="2" t="s">
        <v>5168</v>
      </c>
      <c r="B1724" s="2" t="s">
        <v>5169</v>
      </c>
      <c r="C1724" s="2" t="s">
        <v>5170</v>
      </c>
      <c r="D1724" s="2" t="s">
        <v>10049</v>
      </c>
      <c r="E1724" s="15">
        <v>-0.111</v>
      </c>
      <c r="F1724" s="15">
        <v>7.8200000000000006E-2</v>
      </c>
      <c r="G1724" s="15">
        <v>0.15579999999999999</v>
      </c>
      <c r="H1724" s="15">
        <v>0.2127</v>
      </c>
      <c r="I1724" s="15">
        <v>4.5499999999999999E-2</v>
      </c>
      <c r="J1724" s="15">
        <v>4.674725274725275</v>
      </c>
    </row>
    <row r="1725" spans="1:10" x14ac:dyDescent="0.25">
      <c r="A1725" s="2" t="s">
        <v>5171</v>
      </c>
      <c r="B1725" s="2" t="s">
        <v>5172</v>
      </c>
      <c r="C1725" s="2" t="s">
        <v>5173</v>
      </c>
      <c r="D1725" s="2" t="s">
        <v>10049</v>
      </c>
      <c r="E1725" s="15">
        <v>-0.14560000000000001</v>
      </c>
      <c r="F1725" s="15">
        <v>7.8799999999999995E-2</v>
      </c>
      <c r="G1725" s="15">
        <v>6.4500000000000002E-2</v>
      </c>
      <c r="H1725" s="15">
        <v>0.20599999999999999</v>
      </c>
      <c r="I1725" s="15">
        <v>4.53E-2</v>
      </c>
      <c r="J1725" s="15">
        <v>4.5474613686534218</v>
      </c>
    </row>
    <row r="1726" spans="1:10" x14ac:dyDescent="0.25">
      <c r="A1726" s="2" t="s">
        <v>5174</v>
      </c>
      <c r="B1726" s="2" t="s">
        <v>5175</v>
      </c>
      <c r="C1726" s="2" t="s">
        <v>5176</v>
      </c>
      <c r="D1726" s="2" t="s">
        <v>10049</v>
      </c>
      <c r="E1726" s="15">
        <v>-0.1055</v>
      </c>
      <c r="F1726" s="15">
        <v>8.7300000000000003E-2</v>
      </c>
      <c r="G1726" s="15">
        <v>0.22700000000000001</v>
      </c>
      <c r="H1726" s="15">
        <v>0.18909999999999999</v>
      </c>
      <c r="I1726" s="15">
        <v>4.4200000000000003E-2</v>
      </c>
      <c r="J1726" s="15">
        <v>4.2782805429864252</v>
      </c>
    </row>
    <row r="1727" spans="1:10" x14ac:dyDescent="0.25">
      <c r="A1727" s="2" t="s">
        <v>5177</v>
      </c>
      <c r="B1727" s="2" t="s">
        <v>5178</v>
      </c>
      <c r="C1727" s="2" t="s">
        <v>5179</v>
      </c>
      <c r="D1727" s="2" t="s">
        <v>10049</v>
      </c>
      <c r="E1727" s="15">
        <v>-9.8400000000000001E-2</v>
      </c>
      <c r="F1727" s="15">
        <v>7.8600000000000003E-2</v>
      </c>
      <c r="G1727" s="15">
        <v>0.2109</v>
      </c>
      <c r="H1727" s="15">
        <v>0.20760000000000001</v>
      </c>
      <c r="I1727" s="15">
        <v>4.7699999999999999E-2</v>
      </c>
      <c r="J1727" s="15">
        <v>4.3522012578616351</v>
      </c>
    </row>
    <row r="1728" spans="1:10" x14ac:dyDescent="0.25">
      <c r="A1728" s="2" t="s">
        <v>5180</v>
      </c>
      <c r="B1728" s="2" t="s">
        <v>5181</v>
      </c>
      <c r="C1728" s="2" t="s">
        <v>5182</v>
      </c>
      <c r="D1728" s="2" t="s">
        <v>10049</v>
      </c>
      <c r="E1728" s="15">
        <v>-8.43E-2</v>
      </c>
      <c r="F1728" s="15">
        <v>7.5200000000000003E-2</v>
      </c>
      <c r="G1728" s="15">
        <v>0.2621</v>
      </c>
      <c r="H1728" s="15">
        <v>0.2293</v>
      </c>
      <c r="I1728" s="15">
        <v>4.5499999999999999E-2</v>
      </c>
      <c r="J1728" s="15">
        <v>5.0395604395604394</v>
      </c>
    </row>
    <row r="1729" spans="1:10" x14ac:dyDescent="0.25">
      <c r="A1729" s="2" t="s">
        <v>5183</v>
      </c>
      <c r="B1729" s="2" t="s">
        <v>5184</v>
      </c>
      <c r="C1729" s="2" t="s">
        <v>5185</v>
      </c>
      <c r="D1729" s="2" t="s">
        <v>10049</v>
      </c>
      <c r="E1729" s="15">
        <v>-8.0600000000000005E-2</v>
      </c>
      <c r="F1729" s="15">
        <v>6.6799999999999998E-2</v>
      </c>
      <c r="G1729" s="15">
        <v>0.22770000000000001</v>
      </c>
      <c r="H1729" s="15">
        <v>0.2409</v>
      </c>
      <c r="I1729" s="15">
        <v>4.8000000000000001E-2</v>
      </c>
      <c r="J1729" s="15">
        <v>5.0187499999999998</v>
      </c>
    </row>
    <row r="1730" spans="1:10" x14ac:dyDescent="0.25">
      <c r="A1730" s="2" t="s">
        <v>5186</v>
      </c>
      <c r="B1730" s="2" t="s">
        <v>5187</v>
      </c>
      <c r="C1730" s="2" t="s">
        <v>5188</v>
      </c>
      <c r="D1730" s="2" t="s">
        <v>10049</v>
      </c>
      <c r="E1730" s="15">
        <v>-3.6499999999999998E-2</v>
      </c>
      <c r="F1730" s="15">
        <v>7.0400000000000004E-2</v>
      </c>
      <c r="G1730" s="15">
        <v>0.60419999999999996</v>
      </c>
      <c r="H1730" s="15">
        <v>0.28870000000000001</v>
      </c>
      <c r="I1730" s="15">
        <v>4.53E-2</v>
      </c>
      <c r="J1730" s="15">
        <v>6.373068432671082</v>
      </c>
    </row>
    <row r="1731" spans="1:10" x14ac:dyDescent="0.25">
      <c r="A1731" s="2" t="s">
        <v>5189</v>
      </c>
      <c r="B1731" s="2" t="s">
        <v>5190</v>
      </c>
      <c r="C1731" s="2" t="s">
        <v>5191</v>
      </c>
      <c r="D1731" s="2" t="s">
        <v>10049</v>
      </c>
      <c r="E1731" s="15">
        <v>-3.7999999999999999E-2</v>
      </c>
      <c r="F1731" s="15">
        <v>6.9199999999999998E-2</v>
      </c>
      <c r="G1731" s="15">
        <v>0.58309999999999995</v>
      </c>
      <c r="H1731" s="15">
        <v>0.24149999999999999</v>
      </c>
      <c r="I1731" s="15">
        <v>4.6899999999999997E-2</v>
      </c>
      <c r="J1731" s="15">
        <v>5.1492537313432836</v>
      </c>
    </row>
    <row r="1732" spans="1:10" x14ac:dyDescent="0.25">
      <c r="A1732" s="2" t="s">
        <v>5192</v>
      </c>
      <c r="B1732" s="2" t="s">
        <v>5193</v>
      </c>
      <c r="C1732" s="2" t="s">
        <v>5194</v>
      </c>
      <c r="D1732" s="2" t="s">
        <v>10049</v>
      </c>
      <c r="E1732" s="15">
        <v>3.1699999999999999E-2</v>
      </c>
      <c r="F1732" s="15">
        <v>8.1600000000000006E-2</v>
      </c>
      <c r="G1732" s="15">
        <v>0.69710000000000005</v>
      </c>
      <c r="H1732" s="15">
        <v>0.24160000000000001</v>
      </c>
      <c r="I1732" s="15">
        <v>5.0599999999999999E-2</v>
      </c>
      <c r="J1732" s="15">
        <v>4.7747035573122529</v>
      </c>
    </row>
    <row r="1733" spans="1:10" x14ac:dyDescent="0.25">
      <c r="A1733" s="2" t="s">
        <v>5195</v>
      </c>
      <c r="B1733" s="2" t="s">
        <v>5196</v>
      </c>
      <c r="C1733" s="2" t="s">
        <v>5197</v>
      </c>
      <c r="D1733" s="2" t="s">
        <v>10049</v>
      </c>
      <c r="E1733" s="15">
        <v>8.0199999999999994E-2</v>
      </c>
      <c r="F1733" s="15">
        <v>7.7299999999999994E-2</v>
      </c>
      <c r="G1733" s="15">
        <v>0.29959999999999998</v>
      </c>
      <c r="H1733" s="15">
        <v>0.2631</v>
      </c>
      <c r="I1733" s="15">
        <v>4.7399999999999998E-2</v>
      </c>
      <c r="J1733" s="15">
        <v>5.5506329113924053</v>
      </c>
    </row>
    <row r="1734" spans="1:10" x14ac:dyDescent="0.25">
      <c r="A1734" s="2" t="s">
        <v>5198</v>
      </c>
      <c r="B1734" s="2" t="s">
        <v>5199</v>
      </c>
      <c r="C1734" s="2" t="s">
        <v>5200</v>
      </c>
      <c r="D1734" s="2" t="s">
        <v>10049</v>
      </c>
      <c r="E1734" s="15">
        <v>-7.4000000000000003E-3</v>
      </c>
      <c r="F1734" s="15">
        <v>7.0599999999999996E-2</v>
      </c>
      <c r="G1734" s="15">
        <v>0.91700000000000004</v>
      </c>
      <c r="H1734" s="15">
        <v>0.26840000000000003</v>
      </c>
      <c r="I1734" s="15">
        <v>4.4999999999999998E-2</v>
      </c>
      <c r="J1734" s="15">
        <v>5.9644444444444451</v>
      </c>
    </row>
    <row r="1735" spans="1:10" x14ac:dyDescent="0.25">
      <c r="A1735" s="2" t="s">
        <v>5201</v>
      </c>
      <c r="B1735" s="2" t="s">
        <v>5202</v>
      </c>
      <c r="C1735" s="2" t="s">
        <v>5203</v>
      </c>
      <c r="D1735" s="2" t="s">
        <v>10049</v>
      </c>
      <c r="E1735" s="15">
        <v>1.46E-2</v>
      </c>
      <c r="F1735" s="15">
        <v>7.17E-2</v>
      </c>
      <c r="G1735" s="15">
        <v>0.83850000000000002</v>
      </c>
      <c r="H1735" s="15">
        <v>0.2525</v>
      </c>
      <c r="I1735" s="15">
        <v>4.5999999999999999E-2</v>
      </c>
      <c r="J1735" s="15">
        <v>5.4891304347826084</v>
      </c>
    </row>
    <row r="1736" spans="1:10" x14ac:dyDescent="0.25">
      <c r="A1736" s="2" t="s">
        <v>5204</v>
      </c>
      <c r="B1736" s="2" t="s">
        <v>5205</v>
      </c>
      <c r="C1736" s="2" t="s">
        <v>5206</v>
      </c>
      <c r="D1736" s="2" t="s">
        <v>10049</v>
      </c>
      <c r="E1736" s="15">
        <v>-8.5099999999999995E-2</v>
      </c>
      <c r="F1736" s="15">
        <v>7.3400000000000007E-2</v>
      </c>
      <c r="G1736" s="15">
        <v>0.2465</v>
      </c>
      <c r="H1736" s="15">
        <v>0.2298</v>
      </c>
      <c r="I1736" s="15">
        <v>3.8300000000000001E-2</v>
      </c>
      <c r="J1736" s="15">
        <v>6</v>
      </c>
    </row>
    <row r="1737" spans="1:10" x14ac:dyDescent="0.25">
      <c r="A1737" s="2" t="s">
        <v>5207</v>
      </c>
      <c r="B1737" s="2" t="s">
        <v>5208</v>
      </c>
      <c r="C1737" s="2" t="s">
        <v>5209</v>
      </c>
      <c r="D1737" s="2" t="s">
        <v>10049</v>
      </c>
      <c r="E1737" s="15">
        <v>-6.4899999999999999E-2</v>
      </c>
      <c r="F1737" s="15">
        <v>6.9099999999999995E-2</v>
      </c>
      <c r="G1737" s="15">
        <v>0.3478</v>
      </c>
      <c r="H1737" s="15">
        <v>0.23619999999999999</v>
      </c>
      <c r="I1737" s="15">
        <v>3.9300000000000002E-2</v>
      </c>
      <c r="J1737" s="15">
        <v>6.0101781170483459</v>
      </c>
    </row>
    <row r="1738" spans="1:10" x14ac:dyDescent="0.25">
      <c r="A1738" s="2" t="s">
        <v>5210</v>
      </c>
      <c r="B1738" s="2" t="s">
        <v>5211</v>
      </c>
      <c r="C1738" s="2" t="s">
        <v>5212</v>
      </c>
      <c r="D1738" s="2" t="s">
        <v>10049</v>
      </c>
      <c r="E1738" s="15">
        <v>8.3999999999999995E-3</v>
      </c>
      <c r="F1738" s="15">
        <v>6.9900000000000004E-2</v>
      </c>
      <c r="G1738" s="15">
        <v>0.90459999999999996</v>
      </c>
      <c r="H1738" s="15">
        <v>0.20480000000000001</v>
      </c>
      <c r="I1738" s="15">
        <v>4.1599999999999998E-2</v>
      </c>
      <c r="J1738" s="15">
        <v>4.9230769230769234</v>
      </c>
    </row>
    <row r="1739" spans="1:10" x14ac:dyDescent="0.25">
      <c r="A1739" s="2" t="s">
        <v>5213</v>
      </c>
      <c r="B1739" s="2" t="s">
        <v>5214</v>
      </c>
      <c r="C1739" s="2" t="s">
        <v>5215</v>
      </c>
      <c r="D1739" s="2" t="s">
        <v>10049</v>
      </c>
      <c r="E1739" s="15">
        <v>-1.06E-2</v>
      </c>
      <c r="F1739" s="15">
        <v>7.3300000000000004E-2</v>
      </c>
      <c r="G1739" s="15">
        <v>0.88539999999999996</v>
      </c>
      <c r="H1739" s="15">
        <v>0.20080000000000001</v>
      </c>
      <c r="I1739" s="15">
        <v>4.4999999999999998E-2</v>
      </c>
      <c r="J1739" s="15">
        <v>4.4622222222222234</v>
      </c>
    </row>
    <row r="1740" spans="1:10" x14ac:dyDescent="0.25">
      <c r="A1740" s="2" t="s">
        <v>5216</v>
      </c>
      <c r="B1740" s="2" t="s">
        <v>5217</v>
      </c>
      <c r="C1740" s="2" t="s">
        <v>5218</v>
      </c>
      <c r="D1740" s="2" t="s">
        <v>10049</v>
      </c>
      <c r="E1740" s="15">
        <v>-4.1000000000000002E-2</v>
      </c>
      <c r="F1740" s="15">
        <v>6.7699999999999996E-2</v>
      </c>
      <c r="G1740" s="15">
        <v>0.5444</v>
      </c>
      <c r="H1740" s="15">
        <v>0.3039</v>
      </c>
      <c r="I1740" s="15">
        <v>4.2700000000000002E-2</v>
      </c>
      <c r="J1740" s="15">
        <v>7.1170960187353627</v>
      </c>
    </row>
    <row r="1741" spans="1:10" x14ac:dyDescent="0.25">
      <c r="A1741" s="2" t="s">
        <v>5219</v>
      </c>
      <c r="B1741" s="2" t="s">
        <v>5220</v>
      </c>
      <c r="C1741" s="2" t="s">
        <v>5221</v>
      </c>
      <c r="D1741" s="2" t="s">
        <v>10049</v>
      </c>
      <c r="E1741" s="15">
        <v>-7.1800000000000003E-2</v>
      </c>
      <c r="F1741" s="15">
        <v>7.3099999999999998E-2</v>
      </c>
      <c r="G1741" s="15">
        <v>0.32600000000000001</v>
      </c>
      <c r="H1741" s="15">
        <v>0.26769999999999999</v>
      </c>
      <c r="I1741" s="15">
        <v>4.41E-2</v>
      </c>
      <c r="J1741" s="15">
        <v>6.0702947845804989</v>
      </c>
    </row>
    <row r="1742" spans="1:10" x14ac:dyDescent="0.25">
      <c r="A1742" s="2" t="s">
        <v>5222</v>
      </c>
      <c r="B1742" s="2" t="s">
        <v>5223</v>
      </c>
      <c r="C1742" s="2" t="s">
        <v>5224</v>
      </c>
      <c r="D1742" s="2" t="s">
        <v>10049</v>
      </c>
      <c r="E1742" s="15">
        <v>9.1999999999999998E-3</v>
      </c>
      <c r="F1742" s="15">
        <v>7.1300000000000002E-2</v>
      </c>
      <c r="G1742" s="15">
        <v>0.89729999999999999</v>
      </c>
      <c r="H1742" s="15">
        <v>0.20380000000000001</v>
      </c>
      <c r="I1742" s="15">
        <v>4.07E-2</v>
      </c>
      <c r="J1742" s="15">
        <v>5.0073710073710078</v>
      </c>
    </row>
    <row r="1743" spans="1:10" x14ac:dyDescent="0.25">
      <c r="A1743" s="2" t="s">
        <v>5225</v>
      </c>
      <c r="B1743" s="2" t="s">
        <v>5226</v>
      </c>
      <c r="C1743" s="2" t="s">
        <v>5227</v>
      </c>
      <c r="D1743" s="2" t="s">
        <v>10049</v>
      </c>
      <c r="E1743" s="15">
        <v>-2.01E-2</v>
      </c>
      <c r="F1743" s="15">
        <v>8.5000000000000006E-2</v>
      </c>
      <c r="G1743" s="15">
        <v>0.81279999999999997</v>
      </c>
      <c r="H1743" s="15">
        <v>0.15759999999999999</v>
      </c>
      <c r="I1743" s="15">
        <v>4.1000000000000002E-2</v>
      </c>
      <c r="J1743" s="15">
        <v>3.8439024390243901</v>
      </c>
    </row>
    <row r="1744" spans="1:10" x14ac:dyDescent="0.25">
      <c r="A1744" s="2" t="s">
        <v>5228</v>
      </c>
      <c r="B1744" s="2" t="s">
        <v>5229</v>
      </c>
      <c r="C1744" s="2" t="s">
        <v>5230</v>
      </c>
      <c r="D1744" s="2" t="s">
        <v>10049</v>
      </c>
      <c r="E1744" s="15">
        <v>6.4000000000000001E-2</v>
      </c>
      <c r="F1744" s="15">
        <v>7.5899999999999995E-2</v>
      </c>
      <c r="G1744" s="15">
        <v>0.39889999999999998</v>
      </c>
      <c r="H1744" s="15">
        <v>0.21609999999999999</v>
      </c>
      <c r="I1744" s="15">
        <v>4.7699999999999999E-2</v>
      </c>
      <c r="J1744" s="15">
        <v>4.5303983228511528</v>
      </c>
    </row>
    <row r="1745" spans="1:10" x14ac:dyDescent="0.25">
      <c r="A1745" s="2" t="s">
        <v>5231</v>
      </c>
      <c r="B1745" s="2" t="s">
        <v>5232</v>
      </c>
      <c r="C1745" s="2" t="s">
        <v>5233</v>
      </c>
      <c r="D1745" s="2" t="s">
        <v>10049</v>
      </c>
      <c r="E1745" s="15">
        <v>5.0200000000000002E-2</v>
      </c>
      <c r="F1745" s="15">
        <v>9.74E-2</v>
      </c>
      <c r="G1745" s="15">
        <v>0.60609999999999997</v>
      </c>
      <c r="H1745" s="15">
        <v>0.1696</v>
      </c>
      <c r="I1745" s="15">
        <v>4.5100000000000001E-2</v>
      </c>
      <c r="J1745" s="15">
        <v>3.760532150776053</v>
      </c>
    </row>
    <row r="1746" spans="1:10" x14ac:dyDescent="0.25">
      <c r="A1746" s="2" t="s">
        <v>5234</v>
      </c>
      <c r="B1746" s="2" t="s">
        <v>5235</v>
      </c>
      <c r="C1746" s="2" t="s">
        <v>5236</v>
      </c>
      <c r="D1746" s="2" t="s">
        <v>10049</v>
      </c>
      <c r="E1746" s="15">
        <v>-9.3200000000000005E-2</v>
      </c>
      <c r="F1746" s="15">
        <v>7.0499999999999993E-2</v>
      </c>
      <c r="G1746" s="15">
        <v>0.18629999999999999</v>
      </c>
      <c r="H1746" s="15">
        <v>0.22289999999999999</v>
      </c>
      <c r="I1746" s="15">
        <v>4.4200000000000003E-2</v>
      </c>
      <c r="J1746" s="15">
        <v>5.0429864253393646</v>
      </c>
    </row>
    <row r="1747" spans="1:10" x14ac:dyDescent="0.25">
      <c r="A1747" s="2" t="s">
        <v>5237</v>
      </c>
      <c r="B1747" s="2" t="s">
        <v>5238</v>
      </c>
      <c r="C1747" s="2" t="s">
        <v>5239</v>
      </c>
      <c r="D1747" s="2" t="s">
        <v>10049</v>
      </c>
      <c r="E1747" s="15">
        <v>-0.1052</v>
      </c>
      <c r="F1747" s="15">
        <v>8.2199999999999995E-2</v>
      </c>
      <c r="G1747" s="15">
        <v>0.20069999999999999</v>
      </c>
      <c r="H1747" s="15">
        <v>0.18609999999999999</v>
      </c>
      <c r="I1747" s="15">
        <v>3.8399999999999997E-2</v>
      </c>
      <c r="J1747" s="15">
        <v>4.846354166666667</v>
      </c>
    </row>
    <row r="1748" spans="1:10" x14ac:dyDescent="0.25">
      <c r="A1748" s="2" t="s">
        <v>5240</v>
      </c>
      <c r="B1748" s="2" t="s">
        <v>5241</v>
      </c>
      <c r="C1748" s="2" t="s">
        <v>5242</v>
      </c>
      <c r="D1748" s="2" t="s">
        <v>10049</v>
      </c>
      <c r="E1748" s="15">
        <v>-9.2399999999999996E-2</v>
      </c>
      <c r="F1748" s="15">
        <v>6.54E-2</v>
      </c>
      <c r="G1748" s="15">
        <v>0.15759999999999999</v>
      </c>
      <c r="H1748" s="15">
        <v>0.22409999999999999</v>
      </c>
      <c r="I1748" s="15">
        <v>4.0399999999999998E-2</v>
      </c>
      <c r="J1748" s="15">
        <v>5.5470297029702973</v>
      </c>
    </row>
    <row r="1749" spans="1:10" x14ac:dyDescent="0.25">
      <c r="A1749" s="2" t="s">
        <v>5243</v>
      </c>
      <c r="B1749" s="2" t="s">
        <v>5244</v>
      </c>
      <c r="C1749" s="2" t="s">
        <v>5245</v>
      </c>
      <c r="D1749" s="2" t="s">
        <v>10049</v>
      </c>
      <c r="E1749" s="15">
        <v>-3.5999999999999999E-3</v>
      </c>
      <c r="F1749" s="15">
        <v>7.2499999999999995E-2</v>
      </c>
      <c r="G1749" s="15">
        <v>0.96030000000000004</v>
      </c>
      <c r="H1749" s="15">
        <v>0.19</v>
      </c>
      <c r="I1749" s="15">
        <v>4.2900000000000001E-2</v>
      </c>
      <c r="J1749" s="15">
        <v>4.4289044289044286</v>
      </c>
    </row>
    <row r="1750" spans="1:10" x14ac:dyDescent="0.25">
      <c r="A1750" s="2" t="s">
        <v>5246</v>
      </c>
      <c r="B1750" s="2" t="s">
        <v>5247</v>
      </c>
      <c r="C1750" s="2" t="s">
        <v>5248</v>
      </c>
      <c r="D1750" s="2" t="s">
        <v>10049</v>
      </c>
      <c r="E1750" s="15">
        <v>6.1999999999999998E-3</v>
      </c>
      <c r="F1750" s="15">
        <v>5.6800000000000003E-2</v>
      </c>
      <c r="G1750" s="15">
        <v>0.91310000000000002</v>
      </c>
      <c r="H1750" s="15">
        <v>0.32869999999999999</v>
      </c>
      <c r="I1750" s="15">
        <v>4.1099999999999998E-2</v>
      </c>
      <c r="J1750" s="15">
        <v>7.997566909975669</v>
      </c>
    </row>
    <row r="1751" spans="1:10" x14ac:dyDescent="0.25">
      <c r="A1751" s="2" t="s">
        <v>5249</v>
      </c>
      <c r="B1751" s="2" t="s">
        <v>5250</v>
      </c>
      <c r="C1751" s="2" t="s">
        <v>5251</v>
      </c>
      <c r="D1751" s="2" t="s">
        <v>10049</v>
      </c>
      <c r="E1751" s="15">
        <v>2.23E-2</v>
      </c>
      <c r="F1751" s="15">
        <v>5.7200000000000001E-2</v>
      </c>
      <c r="G1751" s="15">
        <v>0.69589999999999996</v>
      </c>
      <c r="H1751" s="15">
        <v>0.30819999999999997</v>
      </c>
      <c r="I1751" s="15">
        <v>4.6399999999999997E-2</v>
      </c>
      <c r="J1751" s="15">
        <v>6.6422413793103443</v>
      </c>
    </row>
    <row r="1752" spans="1:10" x14ac:dyDescent="0.25">
      <c r="A1752" s="2" t="s">
        <v>5252</v>
      </c>
      <c r="B1752" s="2" t="s">
        <v>5253</v>
      </c>
      <c r="C1752" s="2" t="s">
        <v>5254</v>
      </c>
      <c r="D1752" s="2" t="s">
        <v>10049</v>
      </c>
      <c r="E1752" s="15">
        <v>-1.89E-2</v>
      </c>
      <c r="F1752" s="15">
        <v>7.6100000000000001E-2</v>
      </c>
      <c r="G1752" s="15">
        <v>0.80420000000000003</v>
      </c>
      <c r="H1752" s="15">
        <v>0.22409999999999999</v>
      </c>
      <c r="I1752" s="15">
        <v>4.6600000000000003E-2</v>
      </c>
      <c r="J1752" s="15">
        <v>4.8090128755364807</v>
      </c>
    </row>
    <row r="1753" spans="1:10" x14ac:dyDescent="0.25">
      <c r="A1753" s="2" t="s">
        <v>5255</v>
      </c>
      <c r="B1753" s="2" t="s">
        <v>5256</v>
      </c>
      <c r="C1753" s="2" t="s">
        <v>5257</v>
      </c>
      <c r="D1753" s="2" t="s">
        <v>10049</v>
      </c>
      <c r="E1753" s="15">
        <v>0.13439999999999999</v>
      </c>
      <c r="F1753" s="15">
        <v>7.0099999999999996E-2</v>
      </c>
      <c r="G1753" s="15">
        <v>5.5399999999999998E-2</v>
      </c>
      <c r="H1753" s="15">
        <v>0.27060000000000001</v>
      </c>
      <c r="I1753" s="15">
        <v>4.8000000000000001E-2</v>
      </c>
      <c r="J1753" s="15">
        <v>5.6375000000000002</v>
      </c>
    </row>
    <row r="1754" spans="1:10" x14ac:dyDescent="0.25">
      <c r="A1754" s="2" t="s">
        <v>5258</v>
      </c>
      <c r="B1754" s="2" t="s">
        <v>5259</v>
      </c>
      <c r="C1754" s="2" t="s">
        <v>5260</v>
      </c>
      <c r="D1754" s="2" t="s">
        <v>10049</v>
      </c>
      <c r="E1754" s="15">
        <v>-4.0899999999999999E-2</v>
      </c>
      <c r="F1754" s="15">
        <v>6.9500000000000006E-2</v>
      </c>
      <c r="G1754" s="15">
        <v>0.55630000000000002</v>
      </c>
      <c r="H1754" s="15">
        <v>0.20130000000000001</v>
      </c>
      <c r="I1754" s="15">
        <v>4.2599999999999999E-2</v>
      </c>
      <c r="J1754" s="15">
        <v>4.7253521126760569</v>
      </c>
    </row>
    <row r="1755" spans="1:10" x14ac:dyDescent="0.25">
      <c r="A1755" s="2" t="s">
        <v>5261</v>
      </c>
      <c r="B1755" s="2" t="s">
        <v>5262</v>
      </c>
      <c r="C1755" s="2" t="s">
        <v>5263</v>
      </c>
      <c r="D1755" s="2" t="s">
        <v>10049</v>
      </c>
      <c r="E1755" s="15">
        <v>-7.22E-2</v>
      </c>
      <c r="F1755" s="15">
        <v>8.72E-2</v>
      </c>
      <c r="G1755" s="15">
        <v>0.40789999999999998</v>
      </c>
      <c r="H1755" s="15">
        <v>0.15890000000000001</v>
      </c>
      <c r="I1755" s="15">
        <v>3.8699999999999998E-2</v>
      </c>
      <c r="J1755" s="15">
        <v>4.1059431524547811</v>
      </c>
    </row>
    <row r="1756" spans="1:10" x14ac:dyDescent="0.25">
      <c r="A1756" s="2" t="s">
        <v>5264</v>
      </c>
      <c r="B1756" s="2" t="s">
        <v>5265</v>
      </c>
      <c r="C1756" s="2" t="s">
        <v>5266</v>
      </c>
      <c r="D1756" s="2" t="s">
        <v>10049</v>
      </c>
      <c r="E1756" s="15">
        <v>-2.5999999999999999E-3</v>
      </c>
      <c r="F1756" s="15">
        <v>0.10290000000000001</v>
      </c>
      <c r="G1756" s="15">
        <v>0.97960000000000003</v>
      </c>
      <c r="H1756" s="15">
        <v>0.10630000000000001</v>
      </c>
      <c r="I1756" s="15">
        <v>3.8899999999999997E-2</v>
      </c>
      <c r="J1756" s="15">
        <v>2.7326478149100262</v>
      </c>
    </row>
    <row r="1757" spans="1:10" x14ac:dyDescent="0.25">
      <c r="A1757" s="2" t="s">
        <v>5267</v>
      </c>
      <c r="B1757" s="2" t="s">
        <v>5268</v>
      </c>
      <c r="C1757" s="2" t="s">
        <v>5269</v>
      </c>
      <c r="D1757" s="2" t="s">
        <v>10049</v>
      </c>
      <c r="E1757" s="15">
        <v>-5.4300000000000001E-2</v>
      </c>
      <c r="F1757" s="15">
        <v>0.11219999999999999</v>
      </c>
      <c r="G1757" s="15">
        <v>0.62849999999999995</v>
      </c>
      <c r="H1757" s="15">
        <v>9.6199999999999994E-2</v>
      </c>
      <c r="I1757" s="15">
        <v>3.73E-2</v>
      </c>
      <c r="J1757" s="15">
        <v>2.5790884718498659</v>
      </c>
    </row>
    <row r="1758" spans="1:10" x14ac:dyDescent="0.25">
      <c r="A1758" s="2" t="s">
        <v>5270</v>
      </c>
      <c r="B1758" s="2" t="s">
        <v>5271</v>
      </c>
      <c r="C1758" s="2" t="s">
        <v>5272</v>
      </c>
      <c r="D1758" s="2" t="s">
        <v>10049</v>
      </c>
      <c r="E1758" s="15">
        <v>3.4700000000000002E-2</v>
      </c>
      <c r="F1758" s="15">
        <v>7.17E-2</v>
      </c>
      <c r="G1758" s="15">
        <v>0.62819999999999998</v>
      </c>
      <c r="H1758" s="15">
        <v>0.19919999999999999</v>
      </c>
      <c r="I1758" s="15">
        <v>4.1399999999999999E-2</v>
      </c>
      <c r="J1758" s="15">
        <v>4.8115942028985508</v>
      </c>
    </row>
    <row r="1759" spans="1:10" x14ac:dyDescent="0.25">
      <c r="A1759" s="2" t="s">
        <v>5273</v>
      </c>
      <c r="B1759" s="2" t="s">
        <v>5274</v>
      </c>
      <c r="C1759" s="2" t="s">
        <v>5275</v>
      </c>
      <c r="D1759" s="2" t="s">
        <v>10049</v>
      </c>
      <c r="E1759" s="15">
        <v>1.66E-2</v>
      </c>
      <c r="F1759" s="15">
        <v>8.2199999999999995E-2</v>
      </c>
      <c r="G1759" s="15">
        <v>0.84040000000000004</v>
      </c>
      <c r="H1759" s="15">
        <v>0.15720000000000001</v>
      </c>
      <c r="I1759" s="15">
        <v>3.6900000000000002E-2</v>
      </c>
      <c r="J1759" s="15">
        <v>4.2601626016260159</v>
      </c>
    </row>
    <row r="1760" spans="1:10" x14ac:dyDescent="0.25">
      <c r="A1760" s="2" t="s">
        <v>5276</v>
      </c>
      <c r="B1760" s="2" t="s">
        <v>5277</v>
      </c>
      <c r="C1760" s="2" t="s">
        <v>5278</v>
      </c>
      <c r="D1760" s="2" t="s">
        <v>10049</v>
      </c>
      <c r="E1760" s="15">
        <v>-8.5000000000000006E-2</v>
      </c>
      <c r="F1760" s="15">
        <v>5.9299999999999999E-2</v>
      </c>
      <c r="G1760" s="15">
        <v>0.15179999999999999</v>
      </c>
      <c r="H1760" s="15">
        <v>0.26819999999999999</v>
      </c>
      <c r="I1760" s="15">
        <v>4.2799999999999998E-2</v>
      </c>
      <c r="J1760" s="15">
        <v>6.2663551401869162</v>
      </c>
    </row>
    <row r="1761" spans="1:10" x14ac:dyDescent="0.25">
      <c r="A1761" s="2" t="s">
        <v>5279</v>
      </c>
      <c r="B1761" s="2" t="s">
        <v>5280</v>
      </c>
      <c r="C1761" s="2" t="s">
        <v>5281</v>
      </c>
      <c r="D1761" s="2" t="s">
        <v>10049</v>
      </c>
      <c r="E1761" s="15">
        <v>-0.12529999999999999</v>
      </c>
      <c r="F1761" s="15">
        <v>6.2399999999999997E-2</v>
      </c>
      <c r="G1761" s="15">
        <v>4.4600000000000001E-2</v>
      </c>
      <c r="H1761" s="15">
        <v>0.26219999999999999</v>
      </c>
      <c r="I1761" s="15">
        <v>4.41E-2</v>
      </c>
      <c r="J1761" s="15">
        <v>5.9455782312925169</v>
      </c>
    </row>
    <row r="1762" spans="1:10" x14ac:dyDescent="0.25">
      <c r="A1762" s="2" t="s">
        <v>5282</v>
      </c>
      <c r="B1762" s="2" t="s">
        <v>5283</v>
      </c>
      <c r="C1762" s="2" t="s">
        <v>5284</v>
      </c>
      <c r="D1762" s="2" t="s">
        <v>10049</v>
      </c>
      <c r="E1762" s="15">
        <v>-2.87E-2</v>
      </c>
      <c r="F1762" s="15">
        <v>7.2800000000000004E-2</v>
      </c>
      <c r="G1762" s="15">
        <v>0.69320000000000004</v>
      </c>
      <c r="H1762" s="15">
        <v>0.18859999999999999</v>
      </c>
      <c r="I1762" s="15">
        <v>4.4900000000000002E-2</v>
      </c>
      <c r="J1762" s="15">
        <v>4.200445434298441</v>
      </c>
    </row>
    <row r="1763" spans="1:10" x14ac:dyDescent="0.25">
      <c r="A1763" s="2" t="s">
        <v>5285</v>
      </c>
      <c r="B1763" s="2" t="s">
        <v>5286</v>
      </c>
      <c r="C1763" s="2" t="s">
        <v>5287</v>
      </c>
      <c r="D1763" s="2" t="s">
        <v>10049</v>
      </c>
      <c r="E1763" s="15">
        <v>-1.29E-2</v>
      </c>
      <c r="F1763" s="15">
        <v>8.5000000000000006E-2</v>
      </c>
      <c r="G1763" s="15">
        <v>0.87960000000000005</v>
      </c>
      <c r="H1763" s="15">
        <v>0.16259999999999999</v>
      </c>
      <c r="I1763" s="15">
        <v>4.5199999999999997E-2</v>
      </c>
      <c r="J1763" s="15">
        <v>3.5973451327433632</v>
      </c>
    </row>
    <row r="1764" spans="1:10" x14ac:dyDescent="0.25">
      <c r="A1764" s="2" t="s">
        <v>5288</v>
      </c>
      <c r="B1764" s="2" t="s">
        <v>5289</v>
      </c>
      <c r="C1764" s="2" t="s">
        <v>5290</v>
      </c>
      <c r="D1764" s="2" t="s">
        <v>10049</v>
      </c>
      <c r="E1764" s="15">
        <v>2.7799999999999998E-2</v>
      </c>
      <c r="F1764" s="15">
        <v>7.0499999999999993E-2</v>
      </c>
      <c r="G1764" s="15">
        <v>0.69289999999999996</v>
      </c>
      <c r="H1764" s="15">
        <v>0.2823</v>
      </c>
      <c r="I1764" s="15">
        <v>4.48E-2</v>
      </c>
      <c r="J1764" s="15">
        <v>6.3013392857142856</v>
      </c>
    </row>
    <row r="1765" spans="1:10" x14ac:dyDescent="0.25">
      <c r="A1765" s="2" t="s">
        <v>5291</v>
      </c>
      <c r="B1765" s="2" t="s">
        <v>5292</v>
      </c>
      <c r="C1765" s="2" t="s">
        <v>5293</v>
      </c>
      <c r="D1765" s="2" t="s">
        <v>10049</v>
      </c>
      <c r="E1765" s="15">
        <v>9.5799999999999996E-2</v>
      </c>
      <c r="F1765" s="15">
        <v>7.2700000000000001E-2</v>
      </c>
      <c r="G1765" s="15">
        <v>0.18740000000000001</v>
      </c>
      <c r="H1765" s="15">
        <v>0.2722</v>
      </c>
      <c r="I1765" s="15">
        <v>5.0999999999999997E-2</v>
      </c>
      <c r="J1765" s="15">
        <v>5.3372549019607849</v>
      </c>
    </row>
    <row r="1766" spans="1:10" x14ac:dyDescent="0.25">
      <c r="A1766" s="2" t="s">
        <v>5294</v>
      </c>
      <c r="B1766" s="2" t="s">
        <v>5295</v>
      </c>
      <c r="C1766" s="2" t="s">
        <v>5296</v>
      </c>
      <c r="D1766" s="2" t="s">
        <v>10049</v>
      </c>
      <c r="E1766" s="15">
        <v>1.8599999999999998E-2</v>
      </c>
      <c r="F1766" s="15">
        <v>7.5999999999999998E-2</v>
      </c>
      <c r="G1766" s="15">
        <v>0.80689999999999995</v>
      </c>
      <c r="H1766" s="15">
        <v>0.22600000000000001</v>
      </c>
      <c r="I1766" s="15">
        <v>4.2700000000000002E-2</v>
      </c>
      <c r="J1766" s="15">
        <v>5.2927400468384072</v>
      </c>
    </row>
    <row r="1767" spans="1:10" x14ac:dyDescent="0.25">
      <c r="A1767" s="2" t="s">
        <v>5297</v>
      </c>
      <c r="B1767" s="2" t="s">
        <v>5298</v>
      </c>
      <c r="C1767" s="2" t="s">
        <v>5299</v>
      </c>
      <c r="D1767" s="2" t="s">
        <v>10049</v>
      </c>
      <c r="E1767" s="15">
        <v>1.18E-2</v>
      </c>
      <c r="F1767" s="15">
        <v>7.0499999999999993E-2</v>
      </c>
      <c r="G1767" s="15">
        <v>0.86650000000000005</v>
      </c>
      <c r="H1767" s="15">
        <v>0.25879999999999997</v>
      </c>
      <c r="I1767" s="15">
        <v>4.7600000000000003E-2</v>
      </c>
      <c r="J1767" s="15">
        <v>5.4369747899159657</v>
      </c>
    </row>
    <row r="1768" spans="1:10" x14ac:dyDescent="0.25">
      <c r="A1768" s="2" t="s">
        <v>5300</v>
      </c>
      <c r="B1768" s="2" t="s">
        <v>5301</v>
      </c>
      <c r="C1768" s="2" t="s">
        <v>5302</v>
      </c>
      <c r="D1768" s="2" t="s">
        <v>10049</v>
      </c>
      <c r="E1768" s="15">
        <v>-5.7099999999999998E-2</v>
      </c>
      <c r="F1768" s="15">
        <v>6.7400000000000002E-2</v>
      </c>
      <c r="G1768" s="15">
        <v>0.39710000000000001</v>
      </c>
      <c r="H1768" s="15">
        <v>0.23980000000000001</v>
      </c>
      <c r="I1768" s="15">
        <v>4.9299999999999997E-2</v>
      </c>
      <c r="J1768" s="15">
        <v>4.8640973630831654</v>
      </c>
    </row>
    <row r="1769" spans="1:10" x14ac:dyDescent="0.25">
      <c r="A1769" s="2" t="s">
        <v>5303</v>
      </c>
      <c r="B1769" s="2" t="s">
        <v>5304</v>
      </c>
      <c r="C1769" s="2" t="s">
        <v>5305</v>
      </c>
      <c r="D1769" s="2" t="s">
        <v>10049</v>
      </c>
      <c r="E1769" s="15">
        <v>3.09E-2</v>
      </c>
      <c r="F1769" s="15">
        <v>7.3200000000000001E-2</v>
      </c>
      <c r="G1769" s="15">
        <v>0.67279999999999995</v>
      </c>
      <c r="H1769" s="15">
        <v>0.2397</v>
      </c>
      <c r="I1769" s="15">
        <v>5.1499999999999997E-2</v>
      </c>
      <c r="J1769" s="15">
        <v>4.6543689320388353</v>
      </c>
    </row>
    <row r="1770" spans="1:10" x14ac:dyDescent="0.25">
      <c r="A1770" s="2" t="s">
        <v>5306</v>
      </c>
      <c r="B1770" s="2" t="s">
        <v>5307</v>
      </c>
      <c r="C1770" s="2" t="s">
        <v>5308</v>
      </c>
      <c r="D1770" s="2" t="s">
        <v>10049</v>
      </c>
      <c r="E1770" s="15">
        <v>1.1999999999999999E-3</v>
      </c>
      <c r="F1770" s="15">
        <v>6.3299999999999995E-2</v>
      </c>
      <c r="G1770" s="15">
        <v>0.98440000000000005</v>
      </c>
      <c r="H1770" s="15">
        <v>0.3226</v>
      </c>
      <c r="I1770" s="15">
        <v>4.6899999999999997E-2</v>
      </c>
      <c r="J1770" s="15">
        <v>6.8784648187633266</v>
      </c>
    </row>
    <row r="1771" spans="1:10" x14ac:dyDescent="0.25">
      <c r="A1771" s="2" t="s">
        <v>5309</v>
      </c>
      <c r="B1771" s="2" t="s">
        <v>5310</v>
      </c>
      <c r="C1771" s="2" t="s">
        <v>5311</v>
      </c>
      <c r="D1771" s="2" t="s">
        <v>10049</v>
      </c>
      <c r="E1771" s="15">
        <v>7.4000000000000003E-3</v>
      </c>
      <c r="F1771" s="15">
        <v>6.2799999999999995E-2</v>
      </c>
      <c r="G1771" s="15">
        <v>0.90659999999999996</v>
      </c>
      <c r="H1771" s="15">
        <v>0.3211</v>
      </c>
      <c r="I1771" s="15">
        <v>4.9700000000000001E-2</v>
      </c>
      <c r="J1771" s="15">
        <v>6.4607645875251496</v>
      </c>
    </row>
    <row r="1772" spans="1:10" x14ac:dyDescent="0.25">
      <c r="A1772" s="2" t="s">
        <v>5312</v>
      </c>
      <c r="B1772" s="2" t="s">
        <v>5313</v>
      </c>
      <c r="C1772" s="2" t="s">
        <v>5314</v>
      </c>
      <c r="D1772" s="2" t="s">
        <v>10049</v>
      </c>
      <c r="E1772" s="15">
        <v>1.7999999999999999E-2</v>
      </c>
      <c r="F1772" s="15">
        <v>6.59E-2</v>
      </c>
      <c r="G1772" s="15">
        <v>0.78490000000000004</v>
      </c>
      <c r="H1772" s="15">
        <v>0.29310000000000003</v>
      </c>
      <c r="I1772" s="15">
        <v>4.48E-2</v>
      </c>
      <c r="J1772" s="15">
        <v>6.5424107142857153</v>
      </c>
    </row>
    <row r="1773" spans="1:10" x14ac:dyDescent="0.25">
      <c r="A1773" s="2" t="s">
        <v>5315</v>
      </c>
      <c r="B1773" s="2" t="s">
        <v>5316</v>
      </c>
      <c r="C1773" s="2" t="s">
        <v>5317</v>
      </c>
      <c r="D1773" s="2" t="s">
        <v>10049</v>
      </c>
      <c r="E1773" s="15">
        <v>-3.3099999999999997E-2</v>
      </c>
      <c r="F1773" s="15">
        <v>7.0099999999999996E-2</v>
      </c>
      <c r="G1773" s="15">
        <v>0.63690000000000002</v>
      </c>
      <c r="H1773" s="15">
        <v>0.2787</v>
      </c>
      <c r="I1773" s="15">
        <v>4.99E-2</v>
      </c>
      <c r="J1773" s="15">
        <v>5.5851703406813629</v>
      </c>
    </row>
    <row r="1774" spans="1:10" x14ac:dyDescent="0.25">
      <c r="A1774" s="2" t="s">
        <v>5318</v>
      </c>
      <c r="B1774" s="2" t="s">
        <v>5319</v>
      </c>
      <c r="C1774" s="2" t="s">
        <v>5320</v>
      </c>
      <c r="D1774" s="2" t="s">
        <v>10049</v>
      </c>
      <c r="E1774" s="15">
        <v>-5.62E-2</v>
      </c>
      <c r="F1774" s="15">
        <v>7.1400000000000005E-2</v>
      </c>
      <c r="G1774" s="15">
        <v>0.43120000000000003</v>
      </c>
      <c r="H1774" s="15">
        <v>0.25430000000000003</v>
      </c>
      <c r="I1774" s="15">
        <v>4.6300000000000001E-2</v>
      </c>
      <c r="J1774" s="15">
        <v>5.4924406047516214</v>
      </c>
    </row>
    <row r="1775" spans="1:10" x14ac:dyDescent="0.25">
      <c r="A1775" s="2" t="s">
        <v>5321</v>
      </c>
      <c r="B1775" s="2" t="s">
        <v>5322</v>
      </c>
      <c r="C1775" s="2" t="s">
        <v>5323</v>
      </c>
      <c r="D1775" s="2" t="s">
        <v>10049</v>
      </c>
      <c r="E1775" s="15">
        <v>-1.9199999999999998E-2</v>
      </c>
      <c r="F1775" s="15">
        <v>7.5600000000000001E-2</v>
      </c>
      <c r="G1775" s="15">
        <v>0.8</v>
      </c>
      <c r="H1775" s="15">
        <v>0.23230000000000001</v>
      </c>
      <c r="I1775" s="15">
        <v>4.8500000000000001E-2</v>
      </c>
      <c r="J1775" s="15">
        <v>4.7896907216494844</v>
      </c>
    </row>
    <row r="1776" spans="1:10" x14ac:dyDescent="0.25">
      <c r="A1776" s="2" t="s">
        <v>5324</v>
      </c>
      <c r="B1776" s="2" t="s">
        <v>5325</v>
      </c>
      <c r="C1776" s="2" t="s">
        <v>5326</v>
      </c>
      <c r="D1776" s="2" t="s">
        <v>10049</v>
      </c>
      <c r="E1776" s="15">
        <v>-0.1328</v>
      </c>
      <c r="F1776" s="15">
        <v>7.6999999999999999E-2</v>
      </c>
      <c r="G1776" s="15">
        <v>8.4500000000000006E-2</v>
      </c>
      <c r="H1776" s="15">
        <v>0.22459999999999999</v>
      </c>
      <c r="I1776" s="15">
        <v>4.6699999999999998E-2</v>
      </c>
      <c r="J1776" s="15">
        <v>4.8094218415417558</v>
      </c>
    </row>
    <row r="1777" spans="1:10" x14ac:dyDescent="0.25">
      <c r="A1777" s="2" t="s">
        <v>5327</v>
      </c>
      <c r="B1777" s="2" t="s">
        <v>5328</v>
      </c>
      <c r="C1777" s="2" t="s">
        <v>5329</v>
      </c>
      <c r="D1777" s="2" t="s">
        <v>10049</v>
      </c>
      <c r="E1777" s="15">
        <v>-6.6600000000000006E-2</v>
      </c>
      <c r="F1777" s="15">
        <v>7.1999999999999995E-2</v>
      </c>
      <c r="G1777" s="15">
        <v>0.35449999999999998</v>
      </c>
      <c r="H1777" s="15">
        <v>0.2676</v>
      </c>
      <c r="I1777" s="15">
        <v>5.0599999999999999E-2</v>
      </c>
      <c r="J1777" s="15">
        <v>5.2885375494071152</v>
      </c>
    </row>
    <row r="1778" spans="1:10" x14ac:dyDescent="0.25">
      <c r="A1778" s="2" t="s">
        <v>5330</v>
      </c>
      <c r="B1778" s="2" t="s">
        <v>5331</v>
      </c>
      <c r="C1778" s="2" t="s">
        <v>5332</v>
      </c>
      <c r="D1778" s="2" t="s">
        <v>10049</v>
      </c>
      <c r="E1778" s="15">
        <v>-6.8900000000000003E-2</v>
      </c>
      <c r="F1778" s="15">
        <v>6.9400000000000003E-2</v>
      </c>
      <c r="G1778" s="15">
        <v>0.32069999999999999</v>
      </c>
      <c r="H1778" s="15">
        <v>0.26729999999999998</v>
      </c>
      <c r="I1778" s="15">
        <v>5.2900000000000003E-2</v>
      </c>
      <c r="J1778" s="15">
        <v>5.0529300567107747</v>
      </c>
    </row>
    <row r="1779" spans="1:10" x14ac:dyDescent="0.25">
      <c r="A1779" s="2" t="s">
        <v>5333</v>
      </c>
      <c r="B1779" s="2" t="s">
        <v>5334</v>
      </c>
      <c r="C1779" s="2" t="s">
        <v>5335</v>
      </c>
      <c r="D1779" s="2" t="s">
        <v>10049</v>
      </c>
      <c r="E1779" s="15">
        <v>-6.5299999999999997E-2</v>
      </c>
      <c r="F1779" s="15">
        <v>7.3200000000000001E-2</v>
      </c>
      <c r="G1779" s="15">
        <v>0.3725</v>
      </c>
      <c r="H1779" s="15">
        <v>0.24779999999999999</v>
      </c>
      <c r="I1779" s="15">
        <v>5.5500000000000001E-2</v>
      </c>
      <c r="J1779" s="15">
        <v>4.4648648648648646</v>
      </c>
    </row>
    <row r="1780" spans="1:10" x14ac:dyDescent="0.25">
      <c r="A1780" s="2" t="s">
        <v>5336</v>
      </c>
      <c r="B1780" s="2" t="s">
        <v>5337</v>
      </c>
      <c r="C1780" s="2" t="s">
        <v>5338</v>
      </c>
      <c r="D1780" s="2" t="s">
        <v>10049</v>
      </c>
      <c r="E1780" s="15">
        <v>-1.9900000000000001E-2</v>
      </c>
      <c r="F1780" s="15">
        <v>8.3199999999999996E-2</v>
      </c>
      <c r="G1780" s="15">
        <v>0.81100000000000005</v>
      </c>
      <c r="H1780" s="15">
        <v>0.22059999999999999</v>
      </c>
      <c r="I1780" s="15">
        <v>4.8599999999999997E-2</v>
      </c>
      <c r="J1780" s="15">
        <v>4.5390946502057616</v>
      </c>
    </row>
    <row r="1781" spans="1:10" x14ac:dyDescent="0.25">
      <c r="A1781" s="2" t="s">
        <v>5339</v>
      </c>
      <c r="B1781" s="2" t="s">
        <v>5340</v>
      </c>
      <c r="C1781" s="2" t="s">
        <v>5341</v>
      </c>
      <c r="D1781" s="2" t="s">
        <v>10049</v>
      </c>
      <c r="E1781" s="15">
        <v>2.3E-3</v>
      </c>
      <c r="F1781" s="15">
        <v>7.6399999999999996E-2</v>
      </c>
      <c r="G1781" s="15">
        <v>0.97629999999999995</v>
      </c>
      <c r="H1781" s="15">
        <v>0.2606</v>
      </c>
      <c r="I1781" s="15">
        <v>4.6600000000000003E-2</v>
      </c>
      <c r="J1781" s="15">
        <v>5.592274678111588</v>
      </c>
    </row>
    <row r="1782" spans="1:10" x14ac:dyDescent="0.25">
      <c r="A1782" s="2" t="s">
        <v>5342</v>
      </c>
      <c r="B1782" s="2" t="s">
        <v>5343</v>
      </c>
      <c r="C1782" s="2" t="s">
        <v>5344</v>
      </c>
      <c r="D1782" s="2" t="s">
        <v>10049</v>
      </c>
      <c r="E1782" s="15">
        <v>-3.1800000000000002E-2</v>
      </c>
      <c r="F1782" s="15">
        <v>7.6399999999999996E-2</v>
      </c>
      <c r="G1782" s="15">
        <v>0.6774</v>
      </c>
      <c r="H1782" s="15">
        <v>0.24160000000000001</v>
      </c>
      <c r="I1782" s="15">
        <v>4.1799999999999997E-2</v>
      </c>
      <c r="J1782" s="15">
        <v>5.7799043062200974</v>
      </c>
    </row>
    <row r="1783" spans="1:10" x14ac:dyDescent="0.25">
      <c r="A1783" s="2" t="s">
        <v>5345</v>
      </c>
      <c r="B1783" s="2" t="s">
        <v>5346</v>
      </c>
      <c r="C1783" s="2" t="s">
        <v>5347</v>
      </c>
      <c r="D1783" s="2" t="s">
        <v>10049</v>
      </c>
      <c r="E1783" s="15">
        <v>-1.95E-2</v>
      </c>
      <c r="F1783" s="15">
        <v>7.5899999999999995E-2</v>
      </c>
      <c r="G1783" s="15">
        <v>0.79710000000000003</v>
      </c>
      <c r="H1783" s="15">
        <v>0.22309999999999999</v>
      </c>
      <c r="I1783" s="15">
        <v>4.4299999999999999E-2</v>
      </c>
      <c r="J1783" s="15">
        <v>5.0361173814898423</v>
      </c>
    </row>
    <row r="1784" spans="1:10" x14ac:dyDescent="0.25">
      <c r="A1784" s="2" t="s">
        <v>5348</v>
      </c>
      <c r="B1784" s="2" t="s">
        <v>5349</v>
      </c>
      <c r="C1784" s="2" t="s">
        <v>5350</v>
      </c>
      <c r="D1784" s="2" t="s">
        <v>10049</v>
      </c>
      <c r="E1784" s="15">
        <v>-9.2799999999999994E-2</v>
      </c>
      <c r="F1784" s="15">
        <v>7.4800000000000005E-2</v>
      </c>
      <c r="G1784" s="15">
        <v>0.2152</v>
      </c>
      <c r="H1784" s="15">
        <v>0.2142</v>
      </c>
      <c r="I1784" s="15">
        <v>4.0300000000000002E-2</v>
      </c>
      <c r="J1784" s="15">
        <v>5.3151364764267983</v>
      </c>
    </row>
    <row r="1785" spans="1:10" x14ac:dyDescent="0.25">
      <c r="A1785" s="2" t="s">
        <v>5351</v>
      </c>
      <c r="B1785" s="2" t="s">
        <v>5352</v>
      </c>
      <c r="C1785" s="2" t="s">
        <v>5353</v>
      </c>
      <c r="D1785" s="2" t="s">
        <v>10049</v>
      </c>
      <c r="E1785" s="15">
        <v>-2.6599999999999999E-2</v>
      </c>
      <c r="F1785" s="15">
        <v>7.0499999999999993E-2</v>
      </c>
      <c r="G1785" s="15">
        <v>0.70650000000000002</v>
      </c>
      <c r="H1785" s="15">
        <v>0.24540000000000001</v>
      </c>
      <c r="I1785" s="15">
        <v>4.0599999999999997E-2</v>
      </c>
      <c r="J1785" s="15">
        <v>6.0443349753694591</v>
      </c>
    </row>
    <row r="1786" spans="1:10" x14ac:dyDescent="0.25">
      <c r="A1786" s="2" t="s">
        <v>5354</v>
      </c>
      <c r="B1786" s="2" t="s">
        <v>5355</v>
      </c>
      <c r="C1786" s="2" t="s">
        <v>5356</v>
      </c>
      <c r="D1786" s="2" t="s">
        <v>10049</v>
      </c>
      <c r="E1786" s="15">
        <v>-5.0299999999999997E-2</v>
      </c>
      <c r="F1786" s="15">
        <v>8.3099999999999993E-2</v>
      </c>
      <c r="G1786" s="15">
        <v>0.54490000000000005</v>
      </c>
      <c r="H1786" s="15">
        <v>0.1288</v>
      </c>
      <c r="I1786" s="15">
        <v>4.0800000000000003E-2</v>
      </c>
      <c r="J1786" s="15">
        <v>3.1568627450980391</v>
      </c>
    </row>
    <row r="1787" spans="1:10" x14ac:dyDescent="0.25">
      <c r="A1787" s="2" t="s">
        <v>5357</v>
      </c>
      <c r="B1787" s="2" t="s">
        <v>5358</v>
      </c>
      <c r="C1787" s="2" t="s">
        <v>5359</v>
      </c>
      <c r="D1787" s="2" t="s">
        <v>10049</v>
      </c>
      <c r="E1787" s="15">
        <v>-8.8999999999999996E-2</v>
      </c>
      <c r="F1787" s="15">
        <v>8.2000000000000003E-2</v>
      </c>
      <c r="G1787" s="15">
        <v>0.27750000000000002</v>
      </c>
      <c r="H1787" s="15">
        <v>0.1749</v>
      </c>
      <c r="I1787" s="15">
        <v>4.2700000000000002E-2</v>
      </c>
      <c r="J1787" s="15">
        <v>4.0960187353629971</v>
      </c>
    </row>
    <row r="1788" spans="1:10" x14ac:dyDescent="0.25">
      <c r="A1788" s="2" t="s">
        <v>5360</v>
      </c>
      <c r="B1788" s="2" t="s">
        <v>5361</v>
      </c>
      <c r="C1788" s="2" t="s">
        <v>5362</v>
      </c>
      <c r="D1788" s="2" t="s">
        <v>10049</v>
      </c>
      <c r="E1788" s="15">
        <v>-5.7200000000000001E-2</v>
      </c>
      <c r="F1788" s="15">
        <v>6.6400000000000001E-2</v>
      </c>
      <c r="G1788" s="15">
        <v>0.38929999999999998</v>
      </c>
      <c r="H1788" s="15">
        <v>0.29160000000000003</v>
      </c>
      <c r="I1788" s="15">
        <v>4.7E-2</v>
      </c>
      <c r="J1788" s="15">
        <v>6.2042553191489356</v>
      </c>
    </row>
    <row r="1789" spans="1:10" x14ac:dyDescent="0.25">
      <c r="A1789" s="2" t="s">
        <v>5363</v>
      </c>
      <c r="B1789" s="2" t="s">
        <v>5364</v>
      </c>
      <c r="C1789" s="2" t="s">
        <v>5365</v>
      </c>
      <c r="D1789" s="2" t="s">
        <v>10049</v>
      </c>
      <c r="E1789" s="15">
        <v>-7.7399999999999997E-2</v>
      </c>
      <c r="F1789" s="15">
        <v>6.8900000000000003E-2</v>
      </c>
      <c r="G1789" s="15">
        <v>0.2611</v>
      </c>
      <c r="H1789" s="15">
        <v>0.29039999999999999</v>
      </c>
      <c r="I1789" s="15">
        <v>4.9500000000000002E-2</v>
      </c>
      <c r="J1789" s="15">
        <v>5.8666666666666663</v>
      </c>
    </row>
    <row r="1790" spans="1:10" x14ac:dyDescent="0.25">
      <c r="A1790" s="2" t="s">
        <v>5366</v>
      </c>
      <c r="B1790" s="2" t="s">
        <v>5367</v>
      </c>
      <c r="C1790" s="2" t="s">
        <v>5368</v>
      </c>
      <c r="D1790" s="2" t="s">
        <v>10049</v>
      </c>
      <c r="E1790" s="15">
        <v>8.0799999999999997E-2</v>
      </c>
      <c r="F1790" s="15">
        <v>6.5699999999999995E-2</v>
      </c>
      <c r="G1790" s="15">
        <v>0.21859999999999999</v>
      </c>
      <c r="H1790" s="15">
        <v>0.2472</v>
      </c>
      <c r="I1790" s="15">
        <v>4.1099999999999998E-2</v>
      </c>
      <c r="J1790" s="15">
        <v>6.014598540145986</v>
      </c>
    </row>
    <row r="1791" spans="1:10" x14ac:dyDescent="0.25">
      <c r="A1791" s="2" t="s">
        <v>5369</v>
      </c>
      <c r="B1791" s="2" t="s">
        <v>5370</v>
      </c>
      <c r="C1791" s="2" t="s">
        <v>5371</v>
      </c>
      <c r="D1791" s="2" t="s">
        <v>10049</v>
      </c>
      <c r="E1791" s="15">
        <v>2.2499999999999999E-2</v>
      </c>
      <c r="F1791" s="15">
        <v>6.6199999999999995E-2</v>
      </c>
      <c r="G1791" s="15">
        <v>0.73370000000000002</v>
      </c>
      <c r="H1791" s="15">
        <v>0.25309999999999999</v>
      </c>
      <c r="I1791" s="15">
        <v>4.2099999999999999E-2</v>
      </c>
      <c r="J1791" s="15">
        <v>6.0118764845605703</v>
      </c>
    </row>
    <row r="1792" spans="1:10" x14ac:dyDescent="0.25">
      <c r="A1792" s="2" t="s">
        <v>5372</v>
      </c>
      <c r="B1792" s="2" t="s">
        <v>5373</v>
      </c>
      <c r="C1792" s="2" t="s">
        <v>5374</v>
      </c>
      <c r="D1792" s="2" t="s">
        <v>10049</v>
      </c>
      <c r="E1792" s="15">
        <v>2.35E-2</v>
      </c>
      <c r="F1792" s="15">
        <v>8.2199999999999995E-2</v>
      </c>
      <c r="G1792" s="15">
        <v>0.77470000000000006</v>
      </c>
      <c r="H1792" s="15">
        <v>0.1799</v>
      </c>
      <c r="I1792" s="15">
        <v>3.8800000000000001E-2</v>
      </c>
      <c r="J1792" s="15">
        <v>4.6365979381443303</v>
      </c>
    </row>
    <row r="1793" spans="1:10" x14ac:dyDescent="0.25">
      <c r="A1793" s="2" t="s">
        <v>5375</v>
      </c>
      <c r="B1793" s="2" t="s">
        <v>5376</v>
      </c>
      <c r="C1793" s="2" t="s">
        <v>5377</v>
      </c>
      <c r="D1793" s="2" t="s">
        <v>10049</v>
      </c>
      <c r="E1793" s="15">
        <v>4.1399999999999999E-2</v>
      </c>
      <c r="F1793" s="15">
        <v>8.4500000000000006E-2</v>
      </c>
      <c r="G1793" s="15">
        <v>0.62439999999999996</v>
      </c>
      <c r="H1793" s="15">
        <v>0.21479999999999999</v>
      </c>
      <c r="I1793" s="15">
        <v>4.6300000000000001E-2</v>
      </c>
      <c r="J1793" s="15">
        <v>4.639308855291576</v>
      </c>
    </row>
    <row r="1794" spans="1:10" x14ac:dyDescent="0.25">
      <c r="A1794" s="2" t="s">
        <v>5378</v>
      </c>
      <c r="B1794" s="2" t="s">
        <v>5379</v>
      </c>
      <c r="C1794" s="2" t="s">
        <v>5380</v>
      </c>
      <c r="D1794" s="2" t="s">
        <v>10049</v>
      </c>
      <c r="E1794" s="15">
        <v>-5.0799999999999998E-2</v>
      </c>
      <c r="F1794" s="15">
        <v>7.2999999999999995E-2</v>
      </c>
      <c r="G1794" s="15">
        <v>0.48620000000000002</v>
      </c>
      <c r="H1794" s="15">
        <v>0.19289999999999999</v>
      </c>
      <c r="I1794" s="15">
        <v>4.4499999999999998E-2</v>
      </c>
      <c r="J1794" s="15">
        <v>4.3348314606741569</v>
      </c>
    </row>
    <row r="1795" spans="1:10" x14ac:dyDescent="0.25">
      <c r="A1795" s="2" t="s">
        <v>5381</v>
      </c>
      <c r="B1795" s="2" t="s">
        <v>5382</v>
      </c>
      <c r="C1795" s="2" t="s">
        <v>5383</v>
      </c>
      <c r="D1795" s="2" t="s">
        <v>10049</v>
      </c>
      <c r="E1795" s="15">
        <v>-8.6300000000000002E-2</v>
      </c>
      <c r="F1795" s="15">
        <v>8.8599999999999998E-2</v>
      </c>
      <c r="G1795" s="15">
        <v>0.33029999999999998</v>
      </c>
      <c r="H1795" s="15">
        <v>0.15959999999999999</v>
      </c>
      <c r="I1795" s="15">
        <v>3.9300000000000002E-2</v>
      </c>
      <c r="J1795" s="15">
        <v>4.0610687022900764</v>
      </c>
    </row>
    <row r="1796" spans="1:10" x14ac:dyDescent="0.25">
      <c r="A1796" s="2" t="s">
        <v>5384</v>
      </c>
      <c r="B1796" s="2" t="s">
        <v>5385</v>
      </c>
      <c r="C1796" s="2" t="s">
        <v>5386</v>
      </c>
      <c r="D1796" s="2" t="s">
        <v>10049</v>
      </c>
      <c r="E1796" s="15">
        <v>-5.0000000000000001E-3</v>
      </c>
      <c r="F1796" s="15">
        <v>7.9100000000000004E-2</v>
      </c>
      <c r="G1796" s="15">
        <v>0.94930000000000003</v>
      </c>
      <c r="H1796" s="15">
        <v>0.18540000000000001</v>
      </c>
      <c r="I1796" s="15">
        <v>4.24E-2</v>
      </c>
      <c r="J1796" s="15">
        <v>4.3726415094339623</v>
      </c>
    </row>
    <row r="1797" spans="1:10" x14ac:dyDescent="0.25">
      <c r="A1797" s="2" t="s">
        <v>5387</v>
      </c>
      <c r="B1797" s="2" t="s">
        <v>5388</v>
      </c>
      <c r="C1797" s="2" t="s">
        <v>5389</v>
      </c>
      <c r="D1797" s="2" t="s">
        <v>10049</v>
      </c>
      <c r="E1797" s="15">
        <v>5.9700000000000003E-2</v>
      </c>
      <c r="F1797" s="15">
        <v>7.4499999999999997E-2</v>
      </c>
      <c r="G1797" s="15">
        <v>0.42309999999999998</v>
      </c>
      <c r="H1797" s="15">
        <v>0.1666</v>
      </c>
      <c r="I1797" s="15">
        <v>4.0399999999999998E-2</v>
      </c>
      <c r="J1797" s="15">
        <v>4.1237623762376243</v>
      </c>
    </row>
    <row r="1798" spans="1:10" x14ac:dyDescent="0.25">
      <c r="A1798" s="2" t="s">
        <v>5390</v>
      </c>
      <c r="B1798" s="2" t="s">
        <v>5391</v>
      </c>
      <c r="C1798" s="2" t="s">
        <v>5392</v>
      </c>
      <c r="D1798" s="2" t="s">
        <v>10049</v>
      </c>
      <c r="E1798" s="15">
        <v>9.3799999999999994E-2</v>
      </c>
      <c r="F1798" s="15">
        <v>7.8899999999999998E-2</v>
      </c>
      <c r="G1798" s="15">
        <v>0.2346</v>
      </c>
      <c r="H1798" s="15">
        <v>0.2419</v>
      </c>
      <c r="I1798" s="15">
        <v>4.5900000000000003E-2</v>
      </c>
      <c r="J1798" s="15">
        <v>5.2701525054466227</v>
      </c>
    </row>
    <row r="1799" spans="1:10" x14ac:dyDescent="0.25">
      <c r="A1799" s="2" t="s">
        <v>5393</v>
      </c>
      <c r="B1799" s="2" t="s">
        <v>5394</v>
      </c>
      <c r="C1799" s="2" t="s">
        <v>5395</v>
      </c>
      <c r="D1799" s="2" t="s">
        <v>10049</v>
      </c>
      <c r="E1799" s="15">
        <v>3.6900000000000002E-2</v>
      </c>
      <c r="F1799" s="15">
        <v>7.4499999999999997E-2</v>
      </c>
      <c r="G1799" s="15">
        <v>0.62080000000000002</v>
      </c>
      <c r="H1799" s="15">
        <v>0.24840000000000001</v>
      </c>
      <c r="I1799" s="15">
        <v>4.7199999999999999E-2</v>
      </c>
      <c r="J1799" s="15">
        <v>5.2627118644067803</v>
      </c>
    </row>
    <row r="1800" spans="1:10" x14ac:dyDescent="0.25">
      <c r="A1800" s="2" t="s">
        <v>5396</v>
      </c>
      <c r="B1800" s="2" t="s">
        <v>5397</v>
      </c>
      <c r="C1800" s="2" t="s">
        <v>5398</v>
      </c>
      <c r="D1800" s="2" t="s">
        <v>10049</v>
      </c>
      <c r="E1800" s="15">
        <v>-4.07E-2</v>
      </c>
      <c r="F1800" s="15">
        <v>7.6799999999999993E-2</v>
      </c>
      <c r="G1800" s="15">
        <v>0.59609999999999996</v>
      </c>
      <c r="H1800" s="15">
        <v>0.2054</v>
      </c>
      <c r="I1800" s="15">
        <v>4.5900000000000003E-2</v>
      </c>
      <c r="J1800" s="15">
        <v>4.4749455337690627</v>
      </c>
    </row>
    <row r="1801" spans="1:10" x14ac:dyDescent="0.25">
      <c r="A1801" s="2" t="s">
        <v>5399</v>
      </c>
      <c r="B1801" s="2" t="s">
        <v>5400</v>
      </c>
      <c r="C1801" s="2" t="s">
        <v>5401</v>
      </c>
      <c r="D1801" s="2" t="s">
        <v>10049</v>
      </c>
      <c r="E1801" s="15">
        <v>1.1900000000000001E-2</v>
      </c>
      <c r="F1801" s="15">
        <v>7.0900000000000005E-2</v>
      </c>
      <c r="G1801" s="15">
        <v>0.8669</v>
      </c>
      <c r="H1801" s="15">
        <v>0.22750000000000001</v>
      </c>
      <c r="I1801" s="15">
        <v>4.5499999999999999E-2</v>
      </c>
      <c r="J1801" s="15">
        <v>5</v>
      </c>
    </row>
    <row r="1802" spans="1:10" x14ac:dyDescent="0.25">
      <c r="A1802" s="2" t="s">
        <v>5402</v>
      </c>
      <c r="B1802" s="2" t="s">
        <v>5403</v>
      </c>
      <c r="C1802" s="2" t="s">
        <v>5404</v>
      </c>
      <c r="D1802" s="2" t="s">
        <v>10049</v>
      </c>
      <c r="E1802" s="15">
        <v>3.2500000000000001E-2</v>
      </c>
      <c r="F1802" s="15">
        <v>0.1021</v>
      </c>
      <c r="G1802" s="15">
        <v>0.75009999999999999</v>
      </c>
      <c r="H1802" s="15">
        <v>0.1162</v>
      </c>
      <c r="I1802" s="15">
        <v>3.9699999999999999E-2</v>
      </c>
      <c r="J1802" s="15">
        <v>2.9269521410579351</v>
      </c>
    </row>
    <row r="1803" spans="1:10" x14ac:dyDescent="0.25">
      <c r="A1803" s="2" t="s">
        <v>5405</v>
      </c>
      <c r="B1803" s="2" t="s">
        <v>5406</v>
      </c>
      <c r="C1803" s="2" t="s">
        <v>5407</v>
      </c>
      <c r="D1803" s="2" t="s">
        <v>10049</v>
      </c>
      <c r="E1803" s="15">
        <v>4.7899999999999998E-2</v>
      </c>
      <c r="F1803" s="15">
        <v>8.7300000000000003E-2</v>
      </c>
      <c r="G1803" s="15">
        <v>0.5837</v>
      </c>
      <c r="H1803" s="15">
        <v>0.15759999999999999</v>
      </c>
      <c r="I1803" s="15">
        <v>3.6700000000000003E-2</v>
      </c>
      <c r="J1803" s="15">
        <v>4.2942779291553128</v>
      </c>
    </row>
    <row r="1804" spans="1:10" x14ac:dyDescent="0.25">
      <c r="A1804" s="2" t="s">
        <v>5408</v>
      </c>
      <c r="B1804" s="2" t="s">
        <v>5409</v>
      </c>
      <c r="C1804" s="2" t="s">
        <v>5410</v>
      </c>
      <c r="D1804" s="2" t="s">
        <v>10049</v>
      </c>
      <c r="E1804" s="15">
        <v>4.3099999999999999E-2</v>
      </c>
      <c r="F1804" s="15">
        <v>7.9799999999999996E-2</v>
      </c>
      <c r="G1804" s="15">
        <v>0.58909999999999996</v>
      </c>
      <c r="H1804" s="15">
        <v>0.18709999999999999</v>
      </c>
      <c r="I1804" s="15">
        <v>4.0500000000000001E-2</v>
      </c>
      <c r="J1804" s="15">
        <v>4.6197530864197516</v>
      </c>
    </row>
    <row r="1805" spans="1:10" x14ac:dyDescent="0.25">
      <c r="A1805" s="2" t="s">
        <v>5411</v>
      </c>
      <c r="B1805" s="2" t="s">
        <v>5412</v>
      </c>
      <c r="C1805" s="2" t="s">
        <v>5413</v>
      </c>
      <c r="D1805" s="2" t="s">
        <v>10049</v>
      </c>
      <c r="E1805" s="15">
        <v>-9.7000000000000003E-3</v>
      </c>
      <c r="F1805" s="15">
        <v>6.9800000000000001E-2</v>
      </c>
      <c r="G1805" s="15">
        <v>0.88900000000000001</v>
      </c>
      <c r="H1805" s="15">
        <v>0.19889999999999999</v>
      </c>
      <c r="I1805" s="15">
        <v>4.1500000000000002E-2</v>
      </c>
      <c r="J1805" s="15">
        <v>4.7927710843373488</v>
      </c>
    </row>
    <row r="1806" spans="1:10" x14ac:dyDescent="0.25">
      <c r="A1806" s="2" t="s">
        <v>5414</v>
      </c>
      <c r="B1806" s="2" t="s">
        <v>5415</v>
      </c>
      <c r="C1806" s="2" t="s">
        <v>5416</v>
      </c>
      <c r="D1806" s="2" t="s">
        <v>10049</v>
      </c>
      <c r="E1806" s="15">
        <v>2E-3</v>
      </c>
      <c r="F1806" s="15">
        <v>7.0400000000000004E-2</v>
      </c>
      <c r="G1806" s="15">
        <v>0.97729999999999995</v>
      </c>
      <c r="H1806" s="15">
        <v>0.2424</v>
      </c>
      <c r="I1806" s="15">
        <v>4.5600000000000002E-2</v>
      </c>
      <c r="J1806" s="15">
        <v>5.3157894736842106</v>
      </c>
    </row>
    <row r="1807" spans="1:10" x14ac:dyDescent="0.25">
      <c r="A1807" s="2" t="s">
        <v>5417</v>
      </c>
      <c r="B1807" s="2" t="s">
        <v>5418</v>
      </c>
      <c r="C1807" s="2" t="s">
        <v>5419</v>
      </c>
      <c r="D1807" s="2" t="s">
        <v>10049</v>
      </c>
      <c r="E1807" s="15">
        <v>2.29E-2</v>
      </c>
      <c r="F1807" s="15">
        <v>6.9400000000000003E-2</v>
      </c>
      <c r="G1807" s="15">
        <v>0.74109999999999998</v>
      </c>
      <c r="H1807" s="15">
        <v>0.28870000000000001</v>
      </c>
      <c r="I1807" s="15">
        <v>5.0999999999999997E-2</v>
      </c>
      <c r="J1807" s="15">
        <v>5.6607843137254914</v>
      </c>
    </row>
    <row r="1808" spans="1:10" x14ac:dyDescent="0.25">
      <c r="A1808" s="2" t="s">
        <v>5420</v>
      </c>
      <c r="B1808" s="2" t="s">
        <v>5421</v>
      </c>
      <c r="C1808" s="2" t="s">
        <v>5422</v>
      </c>
      <c r="D1808" s="2" t="s">
        <v>10049</v>
      </c>
      <c r="E1808" s="15">
        <v>4.9500000000000002E-2</v>
      </c>
      <c r="F1808" s="15">
        <v>6.8599999999999994E-2</v>
      </c>
      <c r="G1808" s="15">
        <v>0.47089999999999999</v>
      </c>
      <c r="H1808" s="15">
        <v>0.30830000000000002</v>
      </c>
      <c r="I1808" s="15">
        <v>5.4399999999999997E-2</v>
      </c>
      <c r="J1808" s="15">
        <v>5.6672794117647074</v>
      </c>
    </row>
    <row r="1809" spans="1:10" x14ac:dyDescent="0.25">
      <c r="A1809" s="2" t="s">
        <v>5423</v>
      </c>
      <c r="B1809" s="2" t="s">
        <v>5424</v>
      </c>
      <c r="C1809" s="2" t="s">
        <v>5425</v>
      </c>
      <c r="D1809" s="2" t="s">
        <v>10049</v>
      </c>
      <c r="E1809" s="15">
        <v>5.0000000000000001E-4</v>
      </c>
      <c r="F1809" s="15">
        <v>6.5299999999999997E-2</v>
      </c>
      <c r="G1809" s="15">
        <v>0.99390000000000001</v>
      </c>
      <c r="H1809" s="15">
        <v>0.27910000000000001</v>
      </c>
      <c r="I1809" s="15">
        <v>4.82E-2</v>
      </c>
      <c r="J1809" s="15">
        <v>5.7904564315352696</v>
      </c>
    </row>
    <row r="1810" spans="1:10" x14ac:dyDescent="0.25">
      <c r="A1810" s="2" t="s">
        <v>5426</v>
      </c>
      <c r="B1810" s="2" t="s">
        <v>5427</v>
      </c>
      <c r="C1810" s="2" t="s">
        <v>5428</v>
      </c>
      <c r="D1810" s="2" t="s">
        <v>10049</v>
      </c>
      <c r="E1810" s="15">
        <v>1.1299999999999999E-2</v>
      </c>
      <c r="F1810" s="15">
        <v>6.5199999999999994E-2</v>
      </c>
      <c r="G1810" s="15">
        <v>0.86209999999999998</v>
      </c>
      <c r="H1810" s="15">
        <v>0.311</v>
      </c>
      <c r="I1810" s="15">
        <v>4.82E-2</v>
      </c>
      <c r="J1810" s="15">
        <v>6.4522821576763487</v>
      </c>
    </row>
    <row r="1811" spans="1:10" x14ac:dyDescent="0.25">
      <c r="A1811" s="2" t="s">
        <v>5429</v>
      </c>
      <c r="B1811" s="2" t="s">
        <v>5430</v>
      </c>
      <c r="C1811" s="2" t="s">
        <v>5431</v>
      </c>
      <c r="D1811" s="2" t="s">
        <v>10049</v>
      </c>
      <c r="E1811" s="15">
        <v>-1.6000000000000001E-3</v>
      </c>
      <c r="F1811" s="15">
        <v>6.4899999999999999E-2</v>
      </c>
      <c r="G1811" s="15">
        <v>0.98040000000000005</v>
      </c>
      <c r="H1811" s="15">
        <v>0.29499999999999998</v>
      </c>
      <c r="I1811" s="15">
        <v>4.6300000000000001E-2</v>
      </c>
      <c r="J1811" s="15">
        <v>6.3714902807775378</v>
      </c>
    </row>
    <row r="1812" spans="1:10" x14ac:dyDescent="0.25">
      <c r="A1812" s="2" t="s">
        <v>5432</v>
      </c>
      <c r="B1812" s="2" t="s">
        <v>5433</v>
      </c>
      <c r="C1812" s="2" t="s">
        <v>5434</v>
      </c>
      <c r="D1812" s="2" t="s">
        <v>10049</v>
      </c>
      <c r="E1812" s="15">
        <v>2.5000000000000001E-3</v>
      </c>
      <c r="F1812" s="15">
        <v>9.11E-2</v>
      </c>
      <c r="G1812" s="15">
        <v>0.97809999999999997</v>
      </c>
      <c r="H1812" s="15">
        <v>0.1119</v>
      </c>
      <c r="I1812" s="15">
        <v>3.8199999999999998E-2</v>
      </c>
      <c r="J1812" s="15">
        <v>2.929319371727749</v>
      </c>
    </row>
    <row r="1813" spans="1:10" x14ac:dyDescent="0.25">
      <c r="A1813" s="2" t="s">
        <v>5435</v>
      </c>
      <c r="B1813" s="2" t="s">
        <v>5436</v>
      </c>
      <c r="C1813" s="2" t="s">
        <v>5437</v>
      </c>
      <c r="D1813" s="2" t="s">
        <v>10049</v>
      </c>
      <c r="E1813" s="15">
        <v>-0.1275</v>
      </c>
      <c r="F1813" s="15">
        <v>0.1105</v>
      </c>
      <c r="G1813" s="15">
        <v>0.2485</v>
      </c>
      <c r="H1813" s="15">
        <v>9.8500000000000004E-2</v>
      </c>
      <c r="I1813" s="15">
        <v>4.1799999999999997E-2</v>
      </c>
      <c r="J1813" s="15">
        <v>2.356459330143541</v>
      </c>
    </row>
    <row r="1814" spans="1:10" x14ac:dyDescent="0.25">
      <c r="A1814" s="2" t="s">
        <v>5438</v>
      </c>
      <c r="B1814" s="2" t="s">
        <v>5439</v>
      </c>
      <c r="C1814" s="2" t="s">
        <v>5440</v>
      </c>
      <c r="D1814" s="2" t="s">
        <v>10049</v>
      </c>
      <c r="E1814" s="15">
        <v>8.0699999999999994E-2</v>
      </c>
      <c r="F1814" s="15">
        <v>0.1363</v>
      </c>
      <c r="G1814" s="15">
        <v>0.55369999999999997</v>
      </c>
      <c r="H1814" s="15">
        <v>6.2399999999999997E-2</v>
      </c>
      <c r="I1814" s="15">
        <v>3.5499999999999997E-2</v>
      </c>
      <c r="J1814" s="15">
        <v>1.75774647887324</v>
      </c>
    </row>
    <row r="1815" spans="1:10" x14ac:dyDescent="0.25">
      <c r="A1815" s="2" t="s">
        <v>5441</v>
      </c>
      <c r="B1815" s="2" t="s">
        <v>5442</v>
      </c>
      <c r="C1815" s="2" t="s">
        <v>5443</v>
      </c>
      <c r="D1815" s="2" t="s">
        <v>10049</v>
      </c>
      <c r="E1815" s="15">
        <v>6.7000000000000004E-2</v>
      </c>
      <c r="F1815" s="15">
        <v>8.7999999999999995E-2</v>
      </c>
      <c r="G1815" s="15">
        <v>0.44669999999999999</v>
      </c>
      <c r="H1815" s="15">
        <v>0.16789999999999999</v>
      </c>
      <c r="I1815" s="15">
        <v>4.3900000000000002E-2</v>
      </c>
      <c r="J1815" s="15">
        <v>3.8246013667425971</v>
      </c>
    </row>
    <row r="1816" spans="1:10" x14ac:dyDescent="0.25">
      <c r="A1816" s="2" t="s">
        <v>5444</v>
      </c>
      <c r="B1816" s="2" t="s">
        <v>5445</v>
      </c>
      <c r="C1816" s="2" t="s">
        <v>5446</v>
      </c>
      <c r="D1816" s="2" t="s">
        <v>10049</v>
      </c>
      <c r="E1816" s="15">
        <v>7.6E-3</v>
      </c>
      <c r="F1816" s="15">
        <v>8.6199999999999999E-2</v>
      </c>
      <c r="G1816" s="15">
        <v>0.92979999999999996</v>
      </c>
      <c r="H1816" s="15">
        <v>0.1628</v>
      </c>
      <c r="I1816" s="15">
        <v>4.2799999999999998E-2</v>
      </c>
      <c r="J1816" s="15">
        <v>3.8037383177570101</v>
      </c>
    </row>
    <row r="1817" spans="1:10" x14ac:dyDescent="0.25">
      <c r="A1817" s="2" t="s">
        <v>5447</v>
      </c>
      <c r="B1817" s="2" t="s">
        <v>5448</v>
      </c>
      <c r="C1817" s="2" t="s">
        <v>5449</v>
      </c>
      <c r="D1817" s="2" t="s">
        <v>10049</v>
      </c>
      <c r="E1817" s="15">
        <v>4.7000000000000002E-3</v>
      </c>
      <c r="F1817" s="15">
        <v>6.2799999999999995E-2</v>
      </c>
      <c r="G1817" s="15">
        <v>0.94020000000000004</v>
      </c>
      <c r="H1817" s="15">
        <v>0.3221</v>
      </c>
      <c r="I1817" s="15">
        <v>4.9500000000000002E-2</v>
      </c>
      <c r="J1817" s="15">
        <v>6.5070707070707066</v>
      </c>
    </row>
    <row r="1818" spans="1:10" x14ac:dyDescent="0.25">
      <c r="A1818" s="2" t="s">
        <v>5450</v>
      </c>
      <c r="B1818" s="2" t="s">
        <v>5451</v>
      </c>
      <c r="C1818" s="2" t="s">
        <v>5452</v>
      </c>
      <c r="D1818" s="2" t="s">
        <v>10049</v>
      </c>
      <c r="E1818" s="15">
        <v>8.8000000000000005E-3</v>
      </c>
      <c r="F1818" s="15">
        <v>6.1199999999999997E-2</v>
      </c>
      <c r="G1818" s="15">
        <v>0.88580000000000003</v>
      </c>
      <c r="H1818" s="15">
        <v>0.33850000000000002</v>
      </c>
      <c r="I1818" s="15">
        <v>5.04E-2</v>
      </c>
      <c r="J1818" s="15">
        <v>6.7162698412698418</v>
      </c>
    </row>
    <row r="1819" spans="1:10" x14ac:dyDescent="0.25">
      <c r="A1819" s="2" t="s">
        <v>5453</v>
      </c>
      <c r="B1819" s="2" t="s">
        <v>5454</v>
      </c>
      <c r="C1819" s="2" t="s">
        <v>5455</v>
      </c>
      <c r="D1819" s="2" t="s">
        <v>10049</v>
      </c>
      <c r="E1819" s="15">
        <v>3.27E-2</v>
      </c>
      <c r="F1819" s="15">
        <v>7.6799999999999993E-2</v>
      </c>
      <c r="G1819" s="15">
        <v>0.67</v>
      </c>
      <c r="H1819" s="15">
        <v>0.20499999999999999</v>
      </c>
      <c r="I1819" s="15">
        <v>4.82E-2</v>
      </c>
      <c r="J1819" s="15">
        <v>4.2531120331950207</v>
      </c>
    </row>
    <row r="1820" spans="1:10" x14ac:dyDescent="0.25">
      <c r="A1820" s="2" t="s">
        <v>5456</v>
      </c>
      <c r="B1820" s="2" t="s">
        <v>5457</v>
      </c>
      <c r="C1820" s="2" t="s">
        <v>5458</v>
      </c>
      <c r="D1820" s="2" t="s">
        <v>10049</v>
      </c>
      <c r="E1820" s="15">
        <v>-0.01</v>
      </c>
      <c r="F1820" s="15">
        <v>7.4399999999999994E-2</v>
      </c>
      <c r="G1820" s="15">
        <v>0.89339999999999997</v>
      </c>
      <c r="H1820" s="15">
        <v>0.2238</v>
      </c>
      <c r="I1820" s="15">
        <v>4.4299999999999999E-2</v>
      </c>
      <c r="J1820" s="15">
        <v>5.0519187358916477</v>
      </c>
    </row>
    <row r="1821" spans="1:10" x14ac:dyDescent="0.25">
      <c r="A1821" s="2" t="s">
        <v>5459</v>
      </c>
      <c r="B1821" s="2" t="s">
        <v>5460</v>
      </c>
      <c r="C1821" s="2" t="s">
        <v>5461</v>
      </c>
      <c r="D1821" s="2" t="s">
        <v>10049</v>
      </c>
      <c r="E1821" s="15">
        <v>9.4899999999999998E-2</v>
      </c>
      <c r="F1821" s="15">
        <v>7.4700000000000003E-2</v>
      </c>
      <c r="G1821" s="15">
        <v>0.20380000000000001</v>
      </c>
      <c r="H1821" s="15">
        <v>0.2117</v>
      </c>
      <c r="I1821" s="15">
        <v>4.1000000000000002E-2</v>
      </c>
      <c r="J1821" s="15">
        <v>5.1634146341463412</v>
      </c>
    </row>
    <row r="1822" spans="1:10" x14ac:dyDescent="0.25">
      <c r="A1822" s="2" t="s">
        <v>5462</v>
      </c>
      <c r="B1822" s="2" t="s">
        <v>5463</v>
      </c>
      <c r="C1822" s="2" t="s">
        <v>5464</v>
      </c>
      <c r="D1822" s="2" t="s">
        <v>10049</v>
      </c>
      <c r="E1822" s="15">
        <v>3.2399999999999998E-2</v>
      </c>
      <c r="F1822" s="15">
        <v>6.4100000000000004E-2</v>
      </c>
      <c r="G1822" s="15">
        <v>0.61350000000000005</v>
      </c>
      <c r="H1822" s="15">
        <v>0.27529999999999999</v>
      </c>
      <c r="I1822" s="15">
        <v>4.5600000000000002E-2</v>
      </c>
      <c r="J1822" s="15">
        <v>6.0372807017543852</v>
      </c>
    </row>
    <row r="1823" spans="1:10" x14ac:dyDescent="0.25">
      <c r="A1823" s="2" t="s">
        <v>5465</v>
      </c>
      <c r="B1823" s="2" t="s">
        <v>5466</v>
      </c>
      <c r="C1823" s="2" t="s">
        <v>5467</v>
      </c>
      <c r="D1823" s="2" t="s">
        <v>10049</v>
      </c>
      <c r="E1823" s="15">
        <v>6.6100000000000006E-2</v>
      </c>
      <c r="F1823" s="15">
        <v>9.4899999999999998E-2</v>
      </c>
      <c r="G1823" s="15">
        <v>0.48580000000000001</v>
      </c>
      <c r="H1823" s="15">
        <v>0.1255</v>
      </c>
      <c r="I1823" s="15">
        <v>3.7600000000000001E-2</v>
      </c>
      <c r="J1823" s="15">
        <v>3.337765957446809</v>
      </c>
    </row>
    <row r="1824" spans="1:10" x14ac:dyDescent="0.25">
      <c r="A1824" s="2" t="s">
        <v>5468</v>
      </c>
      <c r="B1824" s="2" t="s">
        <v>5469</v>
      </c>
      <c r="C1824" s="2" t="s">
        <v>5470</v>
      </c>
      <c r="D1824" s="2" t="s">
        <v>10049</v>
      </c>
      <c r="E1824" s="15">
        <v>0.12920000000000001</v>
      </c>
      <c r="F1824" s="15">
        <v>8.1199999999999994E-2</v>
      </c>
      <c r="G1824" s="15">
        <v>0.1114</v>
      </c>
      <c r="H1824" s="15">
        <v>0.16819999999999999</v>
      </c>
      <c r="I1824" s="15">
        <v>3.7600000000000001E-2</v>
      </c>
      <c r="J1824" s="15">
        <v>4.4734042553191484</v>
      </c>
    </row>
    <row r="1825" spans="1:10" x14ac:dyDescent="0.25">
      <c r="A1825" s="2" t="s">
        <v>5471</v>
      </c>
      <c r="B1825" s="2" t="s">
        <v>5472</v>
      </c>
      <c r="C1825" s="2" t="s">
        <v>5473</v>
      </c>
      <c r="D1825" s="2" t="s">
        <v>10049</v>
      </c>
      <c r="E1825" s="15">
        <v>0.16839999999999999</v>
      </c>
      <c r="F1825" s="15">
        <v>9.7900000000000001E-2</v>
      </c>
      <c r="G1825" s="15">
        <v>8.5300000000000001E-2</v>
      </c>
      <c r="H1825" s="15">
        <v>0.1673</v>
      </c>
      <c r="I1825" s="15">
        <v>4.3700000000000003E-2</v>
      </c>
      <c r="J1825" s="15">
        <v>3.8283752860411902</v>
      </c>
    </row>
    <row r="1826" spans="1:10" x14ac:dyDescent="0.25">
      <c r="A1826" s="2" t="s">
        <v>5474</v>
      </c>
      <c r="B1826" s="2" t="s">
        <v>5475</v>
      </c>
      <c r="C1826" s="2" t="s">
        <v>5476</v>
      </c>
      <c r="D1826" s="2" t="s">
        <v>10049</v>
      </c>
      <c r="E1826" s="15">
        <v>0.1004</v>
      </c>
      <c r="F1826" s="15">
        <v>8.6900000000000005E-2</v>
      </c>
      <c r="G1826" s="15">
        <v>0.24829999999999999</v>
      </c>
      <c r="H1826" s="15">
        <v>0.20480000000000001</v>
      </c>
      <c r="I1826" s="15">
        <v>4.6100000000000002E-2</v>
      </c>
      <c r="J1826" s="15">
        <v>4.4425162689804774</v>
      </c>
    </row>
    <row r="1827" spans="1:10" x14ac:dyDescent="0.25">
      <c r="A1827" s="2" t="s">
        <v>5477</v>
      </c>
      <c r="B1827" s="2" t="s">
        <v>5478</v>
      </c>
      <c r="C1827" s="2" t="s">
        <v>5479</v>
      </c>
      <c r="D1827" s="2" t="s">
        <v>10049</v>
      </c>
      <c r="E1827" s="15">
        <v>-8.5000000000000006E-3</v>
      </c>
      <c r="F1827" s="15">
        <v>8.7599999999999997E-2</v>
      </c>
      <c r="G1827" s="15">
        <v>0.92269999999999996</v>
      </c>
      <c r="H1827" s="15">
        <v>0.1903</v>
      </c>
      <c r="I1827" s="15">
        <v>3.85E-2</v>
      </c>
      <c r="J1827" s="15">
        <v>4.9428571428571431</v>
      </c>
    </row>
    <row r="1828" spans="1:10" x14ac:dyDescent="0.25">
      <c r="A1828" s="2" t="s">
        <v>5480</v>
      </c>
      <c r="B1828" s="2" t="s">
        <v>5481</v>
      </c>
      <c r="C1828" s="2" t="s">
        <v>5482</v>
      </c>
      <c r="D1828" s="2" t="s">
        <v>10049</v>
      </c>
      <c r="E1828" s="15">
        <v>-2.8500000000000001E-2</v>
      </c>
      <c r="F1828" s="15">
        <v>6.7299999999999999E-2</v>
      </c>
      <c r="G1828" s="15">
        <v>0.67230000000000001</v>
      </c>
      <c r="H1828" s="15">
        <v>0.24440000000000001</v>
      </c>
      <c r="I1828" s="15">
        <v>4.6100000000000002E-2</v>
      </c>
      <c r="J1828" s="15">
        <v>5.3015184381778742</v>
      </c>
    </row>
    <row r="1829" spans="1:10" x14ac:dyDescent="0.25">
      <c r="A1829" s="2" t="s">
        <v>5483</v>
      </c>
      <c r="B1829" s="2" t="s">
        <v>5484</v>
      </c>
      <c r="C1829" s="2" t="s">
        <v>5485</v>
      </c>
      <c r="D1829" s="2" t="s">
        <v>10049</v>
      </c>
      <c r="E1829" s="15">
        <v>0.15579999999999999</v>
      </c>
      <c r="F1829" s="15">
        <v>0.1449</v>
      </c>
      <c r="G1829" s="15">
        <v>0.2823</v>
      </c>
      <c r="H1829" s="15">
        <v>6.5799999999999997E-2</v>
      </c>
      <c r="I1829" s="15">
        <v>3.9800000000000002E-2</v>
      </c>
      <c r="J1829" s="15">
        <v>1.653266331658291</v>
      </c>
    </row>
    <row r="1830" spans="1:10" x14ac:dyDescent="0.25">
      <c r="A1830" s="2" t="s">
        <v>5486</v>
      </c>
      <c r="B1830" s="2" t="s">
        <v>5487</v>
      </c>
      <c r="C1830" s="2" t="s">
        <v>5488</v>
      </c>
      <c r="D1830" s="2" t="s">
        <v>10049</v>
      </c>
      <c r="E1830" s="15">
        <v>0.12559999999999999</v>
      </c>
      <c r="F1830" s="15">
        <v>9.64E-2</v>
      </c>
      <c r="G1830" s="15">
        <v>0.19239999999999999</v>
      </c>
      <c r="H1830" s="15">
        <v>0.15029999999999999</v>
      </c>
      <c r="I1830" s="15">
        <v>4.1000000000000002E-2</v>
      </c>
      <c r="J1830" s="15">
        <v>3.6658536585365851</v>
      </c>
    </row>
    <row r="1831" spans="1:10" x14ac:dyDescent="0.25">
      <c r="A1831" s="2" t="s">
        <v>5489</v>
      </c>
      <c r="B1831" s="2" t="s">
        <v>5490</v>
      </c>
      <c r="C1831" s="2" t="s">
        <v>5491</v>
      </c>
      <c r="D1831" s="2" t="s">
        <v>10049</v>
      </c>
      <c r="E1831" s="15">
        <v>0.1517</v>
      </c>
      <c r="F1831" s="15">
        <v>6.9199999999999998E-2</v>
      </c>
      <c r="G1831" s="15">
        <v>2.8400000000000002E-2</v>
      </c>
      <c r="H1831" s="15">
        <v>0.27029999999999998</v>
      </c>
      <c r="I1831" s="15">
        <v>4.6199999999999998E-2</v>
      </c>
      <c r="J1831" s="15">
        <v>5.8506493506493502</v>
      </c>
    </row>
    <row r="1832" spans="1:10" x14ac:dyDescent="0.25">
      <c r="A1832" s="2" t="s">
        <v>5492</v>
      </c>
      <c r="B1832" s="2" t="s">
        <v>5493</v>
      </c>
      <c r="C1832" s="2" t="s">
        <v>5494</v>
      </c>
      <c r="D1832" s="2" t="s">
        <v>10049</v>
      </c>
      <c r="E1832" s="15">
        <v>9.6500000000000002E-2</v>
      </c>
      <c r="F1832" s="15">
        <v>6.5699999999999995E-2</v>
      </c>
      <c r="G1832" s="15">
        <v>0.14149999999999999</v>
      </c>
      <c r="H1832" s="15">
        <v>0.26140000000000002</v>
      </c>
      <c r="I1832" s="15">
        <v>4.1700000000000001E-2</v>
      </c>
      <c r="J1832" s="15">
        <v>6.2685851318944854</v>
      </c>
    </row>
    <row r="1833" spans="1:10" x14ac:dyDescent="0.25">
      <c r="A1833" s="2" t="s">
        <v>5495</v>
      </c>
      <c r="B1833" s="2" t="s">
        <v>5496</v>
      </c>
      <c r="C1833" s="2" t="s">
        <v>5497</v>
      </c>
      <c r="D1833" s="2" t="s">
        <v>10049</v>
      </c>
      <c r="E1833" s="15">
        <v>4.5499999999999999E-2</v>
      </c>
      <c r="F1833" s="15">
        <v>7.4399999999999994E-2</v>
      </c>
      <c r="G1833" s="15">
        <v>0.54039999999999999</v>
      </c>
      <c r="H1833" s="15">
        <v>0.2329</v>
      </c>
      <c r="I1833" s="15">
        <v>4.3499999999999997E-2</v>
      </c>
      <c r="J1833" s="15">
        <v>5.3540229885057471</v>
      </c>
    </row>
    <row r="1834" spans="1:10" x14ac:dyDescent="0.25">
      <c r="A1834" s="2" t="s">
        <v>5498</v>
      </c>
      <c r="B1834" s="2" t="s">
        <v>5499</v>
      </c>
      <c r="C1834" s="2" t="s">
        <v>5500</v>
      </c>
      <c r="D1834" s="2" t="s">
        <v>10049</v>
      </c>
      <c r="E1834" s="15">
        <v>8.6099999999999996E-2</v>
      </c>
      <c r="F1834" s="15">
        <v>6.8099999999999994E-2</v>
      </c>
      <c r="G1834" s="15">
        <v>0.20649999999999999</v>
      </c>
      <c r="H1834" s="15">
        <v>0.28770000000000001</v>
      </c>
      <c r="I1834" s="15">
        <v>4.9399999999999999E-2</v>
      </c>
      <c r="J1834" s="15">
        <v>5.8238866396761138</v>
      </c>
    </row>
    <row r="1835" spans="1:10" x14ac:dyDescent="0.25">
      <c r="A1835" s="2" t="s">
        <v>5501</v>
      </c>
      <c r="B1835" s="2" t="s">
        <v>5502</v>
      </c>
      <c r="C1835" s="2" t="s">
        <v>5503</v>
      </c>
      <c r="D1835" s="2" t="s">
        <v>10049</v>
      </c>
      <c r="E1835" s="15">
        <v>7.5200000000000003E-2</v>
      </c>
      <c r="F1835" s="15">
        <v>7.6499999999999999E-2</v>
      </c>
      <c r="G1835" s="15">
        <v>0.32569999999999999</v>
      </c>
      <c r="H1835" s="15">
        <v>0.26240000000000002</v>
      </c>
      <c r="I1835" s="15">
        <v>5.16E-2</v>
      </c>
      <c r="J1835" s="15">
        <v>5.0852713178294584</v>
      </c>
    </row>
    <row r="1836" spans="1:10" x14ac:dyDescent="0.25">
      <c r="A1836" s="2" t="s">
        <v>5504</v>
      </c>
      <c r="B1836" s="2" t="s">
        <v>5505</v>
      </c>
      <c r="C1836" s="2" t="s">
        <v>5506</v>
      </c>
      <c r="D1836" s="2" t="s">
        <v>10049</v>
      </c>
      <c r="E1836" s="15">
        <v>5.4600000000000003E-2</v>
      </c>
      <c r="F1836" s="15">
        <v>7.46E-2</v>
      </c>
      <c r="G1836" s="15">
        <v>0.46460000000000001</v>
      </c>
      <c r="H1836" s="15">
        <v>0.23380000000000001</v>
      </c>
      <c r="I1836" s="15">
        <v>4.7300000000000002E-2</v>
      </c>
      <c r="J1836" s="15">
        <v>4.9429175475687099</v>
      </c>
    </row>
    <row r="1837" spans="1:10" x14ac:dyDescent="0.25">
      <c r="A1837" s="2" t="s">
        <v>5507</v>
      </c>
      <c r="B1837" s="2" t="s">
        <v>5508</v>
      </c>
      <c r="C1837" s="2" t="s">
        <v>5509</v>
      </c>
      <c r="D1837" s="2" t="s">
        <v>10049</v>
      </c>
      <c r="E1837" s="15">
        <v>9.5399999999999999E-2</v>
      </c>
      <c r="F1837" s="15">
        <v>7.4800000000000005E-2</v>
      </c>
      <c r="G1837" s="15">
        <v>0.2019</v>
      </c>
      <c r="H1837" s="15">
        <v>0.27100000000000002</v>
      </c>
      <c r="I1837" s="15">
        <v>4.6699999999999998E-2</v>
      </c>
      <c r="J1837" s="15">
        <v>5.8029978586723772</v>
      </c>
    </row>
    <row r="1838" spans="1:10" x14ac:dyDescent="0.25">
      <c r="A1838" s="2" t="s">
        <v>5510</v>
      </c>
      <c r="B1838" s="2" t="s">
        <v>5511</v>
      </c>
      <c r="C1838" s="2" t="s">
        <v>5512</v>
      </c>
      <c r="D1838" s="2" t="s">
        <v>10049</v>
      </c>
      <c r="E1838" s="15">
        <v>5.6000000000000001E-2</v>
      </c>
      <c r="F1838" s="15">
        <v>7.22E-2</v>
      </c>
      <c r="G1838" s="15">
        <v>0.43790000000000001</v>
      </c>
      <c r="H1838" s="15">
        <v>0.27800000000000002</v>
      </c>
      <c r="I1838" s="15">
        <v>4.53E-2</v>
      </c>
      <c r="J1838" s="15">
        <v>6.1368653421633557</v>
      </c>
    </row>
    <row r="1839" spans="1:10" x14ac:dyDescent="0.25">
      <c r="A1839" s="2" t="s">
        <v>5513</v>
      </c>
      <c r="B1839" s="2" t="s">
        <v>5514</v>
      </c>
      <c r="C1839" s="2" t="s">
        <v>5515</v>
      </c>
      <c r="D1839" s="2" t="s">
        <v>10049</v>
      </c>
      <c r="E1839" s="15">
        <v>4.1200000000000001E-2</v>
      </c>
      <c r="F1839" s="15">
        <v>8.2000000000000003E-2</v>
      </c>
      <c r="G1839" s="15">
        <v>0.61570000000000003</v>
      </c>
      <c r="H1839" s="15">
        <v>0.13120000000000001</v>
      </c>
      <c r="I1839" s="15">
        <v>0.04</v>
      </c>
      <c r="J1839" s="15">
        <v>3.28</v>
      </c>
    </row>
    <row r="1840" spans="1:10" x14ac:dyDescent="0.25">
      <c r="A1840" s="2" t="s">
        <v>5516</v>
      </c>
      <c r="B1840" s="2" t="s">
        <v>5517</v>
      </c>
      <c r="C1840" s="2" t="s">
        <v>5518</v>
      </c>
      <c r="D1840" s="2" t="s">
        <v>10049</v>
      </c>
      <c r="E1840" s="15">
        <v>-6.6699999999999995E-2</v>
      </c>
      <c r="F1840" s="15">
        <v>8.9499999999999996E-2</v>
      </c>
      <c r="G1840" s="15">
        <v>0.45600000000000002</v>
      </c>
      <c r="H1840" s="15">
        <v>0.15079999999999999</v>
      </c>
      <c r="I1840" s="15">
        <v>4.02E-2</v>
      </c>
      <c r="J1840" s="15">
        <v>3.7512437810945269</v>
      </c>
    </row>
    <row r="1841" spans="1:10" x14ac:dyDescent="0.25">
      <c r="A1841" s="2" t="s">
        <v>5519</v>
      </c>
      <c r="B1841" s="2" t="s">
        <v>5520</v>
      </c>
      <c r="C1841" s="2" t="s">
        <v>5521</v>
      </c>
      <c r="D1841" s="2" t="s">
        <v>10049</v>
      </c>
      <c r="E1841" s="15">
        <v>9.6500000000000002E-2</v>
      </c>
      <c r="F1841" s="15">
        <v>0.13109999999999999</v>
      </c>
      <c r="G1841" s="15">
        <v>0.46160000000000001</v>
      </c>
      <c r="H1841" s="15">
        <v>7.7799999999999994E-2</v>
      </c>
      <c r="I1841" s="15">
        <v>3.7600000000000001E-2</v>
      </c>
      <c r="J1841" s="15">
        <v>2.0691489361702131</v>
      </c>
    </row>
    <row r="1842" spans="1:10" x14ac:dyDescent="0.25">
      <c r="A1842" s="2" t="s">
        <v>5522</v>
      </c>
      <c r="B1842" s="2" t="s">
        <v>5523</v>
      </c>
      <c r="C1842" s="2" t="s">
        <v>5524</v>
      </c>
      <c r="D1842" s="2" t="s">
        <v>10049</v>
      </c>
      <c r="E1842" s="15">
        <v>0.1512</v>
      </c>
      <c r="F1842" s="15">
        <v>9.8900000000000002E-2</v>
      </c>
      <c r="G1842" s="15">
        <v>0.1263</v>
      </c>
      <c r="H1842" s="15">
        <v>0.15110000000000001</v>
      </c>
      <c r="I1842" s="15">
        <v>4.2000000000000003E-2</v>
      </c>
      <c r="J1842" s="15">
        <v>3.5976190476190482</v>
      </c>
    </row>
    <row r="1843" spans="1:10" x14ac:dyDescent="0.25">
      <c r="A1843" s="2" t="s">
        <v>5525</v>
      </c>
      <c r="B1843" s="2" t="s">
        <v>5526</v>
      </c>
      <c r="C1843" s="2" t="s">
        <v>5527</v>
      </c>
      <c r="D1843" s="2" t="s">
        <v>10049</v>
      </c>
      <c r="E1843" s="15">
        <v>7.7899999999999997E-2</v>
      </c>
      <c r="F1843" s="15">
        <v>8.8700000000000001E-2</v>
      </c>
      <c r="G1843" s="15">
        <v>0.38009999999999999</v>
      </c>
      <c r="H1843" s="15">
        <v>0.18360000000000001</v>
      </c>
      <c r="I1843" s="15">
        <v>4.3400000000000001E-2</v>
      </c>
      <c r="J1843" s="15">
        <v>4.2304147465437794</v>
      </c>
    </row>
    <row r="1844" spans="1:10" x14ac:dyDescent="0.25">
      <c r="A1844" s="2" t="s">
        <v>5528</v>
      </c>
      <c r="B1844" s="2" t="s">
        <v>5529</v>
      </c>
      <c r="C1844" s="2" t="s">
        <v>5530</v>
      </c>
      <c r="D1844" s="2" t="s">
        <v>10049</v>
      </c>
      <c r="E1844" s="15">
        <v>6.3399999999999998E-2</v>
      </c>
      <c r="F1844" s="15">
        <v>6.2100000000000002E-2</v>
      </c>
      <c r="G1844" s="15">
        <v>0.30719999999999997</v>
      </c>
      <c r="H1844" s="15">
        <v>0.3261</v>
      </c>
      <c r="I1844" s="15">
        <v>4.8000000000000001E-2</v>
      </c>
      <c r="J1844" s="15">
        <v>6.7937500000000002</v>
      </c>
    </row>
    <row r="1845" spans="1:10" x14ac:dyDescent="0.25">
      <c r="A1845" s="2" t="s">
        <v>5531</v>
      </c>
      <c r="B1845" s="2" t="s">
        <v>5532</v>
      </c>
      <c r="C1845" s="2" t="s">
        <v>5533</v>
      </c>
      <c r="D1845" s="2" t="s">
        <v>10049</v>
      </c>
      <c r="E1845" s="15">
        <v>4.2000000000000003E-2</v>
      </c>
      <c r="F1845" s="15">
        <v>6.0499999999999998E-2</v>
      </c>
      <c r="G1845" s="15">
        <v>0.48749999999999999</v>
      </c>
      <c r="H1845" s="15">
        <v>0.34399999999999997</v>
      </c>
      <c r="I1845" s="15">
        <v>4.9799999999999997E-2</v>
      </c>
      <c r="J1845" s="15">
        <v>6.9076305220883532</v>
      </c>
    </row>
    <row r="1846" spans="1:10" x14ac:dyDescent="0.25">
      <c r="A1846" s="2" t="s">
        <v>5534</v>
      </c>
      <c r="B1846" s="2" t="s">
        <v>5535</v>
      </c>
      <c r="C1846" s="2" t="s">
        <v>5536</v>
      </c>
      <c r="D1846" s="2" t="s">
        <v>10049</v>
      </c>
      <c r="E1846" s="15">
        <v>0.11</v>
      </c>
      <c r="F1846" s="15">
        <v>7.4300000000000005E-2</v>
      </c>
      <c r="G1846" s="15">
        <v>0.13880000000000001</v>
      </c>
      <c r="H1846" s="15">
        <v>0.25259999999999999</v>
      </c>
      <c r="I1846" s="15">
        <v>4.5499999999999999E-2</v>
      </c>
      <c r="J1846" s="15">
        <v>5.5516483516483506</v>
      </c>
    </row>
    <row r="1847" spans="1:10" x14ac:dyDescent="0.25">
      <c r="A1847" s="2" t="s">
        <v>5537</v>
      </c>
      <c r="B1847" s="2" t="s">
        <v>5538</v>
      </c>
      <c r="C1847" s="2" t="s">
        <v>5539</v>
      </c>
      <c r="D1847" s="2" t="s">
        <v>10049</v>
      </c>
      <c r="E1847" s="15">
        <v>7.4700000000000003E-2</v>
      </c>
      <c r="F1847" s="15">
        <v>6.6900000000000001E-2</v>
      </c>
      <c r="G1847" s="15">
        <v>0.2641</v>
      </c>
      <c r="H1847" s="15">
        <v>0.29430000000000001</v>
      </c>
      <c r="I1847" s="15">
        <v>4.48E-2</v>
      </c>
      <c r="J1847" s="15">
        <v>6.5691964285714288</v>
      </c>
    </row>
    <row r="1848" spans="1:10" x14ac:dyDescent="0.25">
      <c r="A1848" s="2" t="s">
        <v>5540</v>
      </c>
      <c r="B1848" s="2" t="s">
        <v>5541</v>
      </c>
      <c r="C1848" s="2" t="s">
        <v>5542</v>
      </c>
      <c r="D1848" s="2" t="s">
        <v>10049</v>
      </c>
      <c r="E1848" s="15">
        <v>0.1313</v>
      </c>
      <c r="F1848" s="15">
        <v>6.5699999999999995E-2</v>
      </c>
      <c r="G1848" s="15">
        <v>4.5499999999999999E-2</v>
      </c>
      <c r="H1848" s="15">
        <v>0.25380000000000003</v>
      </c>
      <c r="I1848" s="15">
        <v>4.1399999999999999E-2</v>
      </c>
      <c r="J1848" s="15">
        <v>6.1304347826086962</v>
      </c>
    </row>
    <row r="1849" spans="1:10" x14ac:dyDescent="0.25">
      <c r="A1849" s="2" t="s">
        <v>5543</v>
      </c>
      <c r="B1849" s="2" t="s">
        <v>5544</v>
      </c>
      <c r="C1849" s="2" t="s">
        <v>5545</v>
      </c>
      <c r="D1849" s="2" t="s">
        <v>10049</v>
      </c>
      <c r="E1849" s="15">
        <v>7.1199999999999999E-2</v>
      </c>
      <c r="F1849" s="15">
        <v>6.4899999999999999E-2</v>
      </c>
      <c r="G1849" s="15">
        <v>0.2727</v>
      </c>
      <c r="H1849" s="15">
        <v>0.27229999999999999</v>
      </c>
      <c r="I1849" s="15">
        <v>4.6199999999999998E-2</v>
      </c>
      <c r="J1849" s="15">
        <v>5.8939393939393936</v>
      </c>
    </row>
    <row r="1850" spans="1:10" x14ac:dyDescent="0.25">
      <c r="A1850" s="2" t="s">
        <v>5546</v>
      </c>
      <c r="B1850" s="2" t="s">
        <v>5547</v>
      </c>
      <c r="C1850" s="2" t="s">
        <v>5548</v>
      </c>
      <c r="D1850" s="2" t="s">
        <v>10049</v>
      </c>
      <c r="E1850" s="15">
        <v>-3.8899999999999997E-2</v>
      </c>
      <c r="F1850" s="15">
        <v>8.2000000000000003E-2</v>
      </c>
      <c r="G1850" s="15">
        <v>0.63529999999999998</v>
      </c>
      <c r="H1850" s="15">
        <v>0.1825</v>
      </c>
      <c r="I1850" s="15">
        <v>4.4299999999999999E-2</v>
      </c>
      <c r="J1850" s="15">
        <v>4.1196388261851018</v>
      </c>
    </row>
    <row r="1851" spans="1:10" x14ac:dyDescent="0.25">
      <c r="A1851" s="2" t="s">
        <v>5549</v>
      </c>
      <c r="B1851" s="2" t="s">
        <v>5550</v>
      </c>
      <c r="C1851" s="2" t="s">
        <v>5551</v>
      </c>
      <c r="D1851" s="2" t="s">
        <v>10049</v>
      </c>
      <c r="E1851" s="15">
        <v>2.9499999999999998E-2</v>
      </c>
      <c r="F1851" s="15">
        <v>8.14E-2</v>
      </c>
      <c r="G1851" s="15">
        <v>0.71650000000000003</v>
      </c>
      <c r="H1851" s="15">
        <v>0.14610000000000001</v>
      </c>
      <c r="I1851" s="15">
        <v>4.5600000000000002E-2</v>
      </c>
      <c r="J1851" s="15">
        <v>3.2039473684210531</v>
      </c>
    </row>
    <row r="1852" spans="1:10" x14ac:dyDescent="0.25">
      <c r="A1852" s="2" t="s">
        <v>5552</v>
      </c>
      <c r="B1852" s="2" t="s">
        <v>5553</v>
      </c>
      <c r="C1852" s="2" t="s">
        <v>5554</v>
      </c>
      <c r="D1852" s="2" t="s">
        <v>10049</v>
      </c>
      <c r="E1852" s="15">
        <v>5.8200000000000002E-2</v>
      </c>
      <c r="F1852" s="15">
        <v>7.2800000000000004E-2</v>
      </c>
      <c r="G1852" s="15">
        <v>0.42380000000000001</v>
      </c>
      <c r="H1852" s="15">
        <v>0.27010000000000001</v>
      </c>
      <c r="I1852" s="15">
        <v>4.65E-2</v>
      </c>
      <c r="J1852" s="15">
        <v>5.8086021505376344</v>
      </c>
    </row>
    <row r="1853" spans="1:10" x14ac:dyDescent="0.25">
      <c r="A1853" s="2" t="s">
        <v>5555</v>
      </c>
      <c r="B1853" s="2" t="s">
        <v>5556</v>
      </c>
      <c r="C1853" s="2" t="s">
        <v>5557</v>
      </c>
      <c r="D1853" s="2" t="s">
        <v>10049</v>
      </c>
      <c r="E1853" s="15">
        <v>1.1599999999999999E-2</v>
      </c>
      <c r="F1853" s="15">
        <v>7.0099999999999996E-2</v>
      </c>
      <c r="G1853" s="15">
        <v>0.86799999999999999</v>
      </c>
      <c r="H1853" s="15">
        <v>0.26340000000000002</v>
      </c>
      <c r="I1853" s="15">
        <v>4.7699999999999999E-2</v>
      </c>
      <c r="J1853" s="15">
        <v>5.5220125786163532</v>
      </c>
    </row>
    <row r="1854" spans="1:10" x14ac:dyDescent="0.25">
      <c r="A1854" s="2" t="s">
        <v>5558</v>
      </c>
      <c r="B1854" s="2" t="s">
        <v>5559</v>
      </c>
      <c r="C1854" s="2" t="s">
        <v>5560</v>
      </c>
      <c r="D1854" s="2" t="s">
        <v>10049</v>
      </c>
      <c r="E1854" s="15">
        <v>-2.7000000000000001E-3</v>
      </c>
      <c r="F1854" s="15">
        <v>7.6600000000000001E-2</v>
      </c>
      <c r="G1854" s="15">
        <v>0.97189999999999999</v>
      </c>
      <c r="H1854" s="15">
        <v>0.21909999999999999</v>
      </c>
      <c r="I1854" s="15">
        <v>4.7699999999999999E-2</v>
      </c>
      <c r="J1854" s="15">
        <v>4.5932914046121596</v>
      </c>
    </row>
    <row r="1855" spans="1:10" x14ac:dyDescent="0.25">
      <c r="A1855" s="2" t="s">
        <v>5561</v>
      </c>
      <c r="B1855" s="2" t="s">
        <v>5562</v>
      </c>
      <c r="C1855" s="2" t="s">
        <v>5563</v>
      </c>
      <c r="D1855" s="2" t="s">
        <v>10049</v>
      </c>
      <c r="E1855" s="15">
        <v>5.16E-2</v>
      </c>
      <c r="F1855" s="15">
        <v>7.22E-2</v>
      </c>
      <c r="G1855" s="15">
        <v>0.47470000000000001</v>
      </c>
      <c r="H1855" s="15">
        <v>0.2346</v>
      </c>
      <c r="I1855" s="15">
        <v>4.4999999999999998E-2</v>
      </c>
      <c r="J1855" s="15">
        <v>5.2133333333333338</v>
      </c>
    </row>
    <row r="1856" spans="1:10" x14ac:dyDescent="0.25">
      <c r="A1856" s="2" t="s">
        <v>5564</v>
      </c>
      <c r="B1856" s="2" t="s">
        <v>5565</v>
      </c>
      <c r="C1856" s="2" t="s">
        <v>5566</v>
      </c>
      <c r="D1856" s="2" t="s">
        <v>10049</v>
      </c>
      <c r="E1856" s="15">
        <v>-1.7399999999999999E-2</v>
      </c>
      <c r="F1856" s="15">
        <v>9.4399999999999998E-2</v>
      </c>
      <c r="G1856" s="15">
        <v>0.85389999999999999</v>
      </c>
      <c r="H1856" s="15">
        <v>0.12720000000000001</v>
      </c>
      <c r="I1856" s="15">
        <v>4.1000000000000002E-2</v>
      </c>
      <c r="J1856" s="15">
        <v>3.102439024390244</v>
      </c>
    </row>
    <row r="1857" spans="1:10" x14ac:dyDescent="0.25">
      <c r="A1857" s="2" t="s">
        <v>5567</v>
      </c>
      <c r="B1857" s="2" t="s">
        <v>5568</v>
      </c>
      <c r="C1857" s="2" t="s">
        <v>5569</v>
      </c>
      <c r="D1857" s="2" t="s">
        <v>10049</v>
      </c>
      <c r="E1857" s="15">
        <v>1.9300000000000001E-2</v>
      </c>
      <c r="F1857" s="15">
        <v>8.3299999999999999E-2</v>
      </c>
      <c r="G1857" s="15">
        <v>0.81679999999999997</v>
      </c>
      <c r="H1857" s="15">
        <v>0.15959999999999999</v>
      </c>
      <c r="I1857" s="15">
        <v>3.5499999999999997E-2</v>
      </c>
      <c r="J1857" s="15">
        <v>4.4957746478873242</v>
      </c>
    </row>
    <row r="1858" spans="1:10" x14ac:dyDescent="0.25">
      <c r="A1858" s="2" t="s">
        <v>5570</v>
      </c>
      <c r="B1858" s="2" t="s">
        <v>5571</v>
      </c>
      <c r="C1858" s="2" t="s">
        <v>5572</v>
      </c>
      <c r="D1858" s="2" t="s">
        <v>10049</v>
      </c>
      <c r="E1858" s="15">
        <v>-6.6500000000000004E-2</v>
      </c>
      <c r="F1858" s="15">
        <v>7.7399999999999997E-2</v>
      </c>
      <c r="G1858" s="15">
        <v>0.39069999999999999</v>
      </c>
      <c r="H1858" s="15">
        <v>0.17130000000000001</v>
      </c>
      <c r="I1858" s="15">
        <v>4.5699999999999998E-2</v>
      </c>
      <c r="J1858" s="15">
        <v>3.7483588621444199</v>
      </c>
    </row>
    <row r="1859" spans="1:10" x14ac:dyDescent="0.25">
      <c r="A1859" s="2" t="s">
        <v>5573</v>
      </c>
      <c r="B1859" s="2" t="s">
        <v>5574</v>
      </c>
      <c r="C1859" s="2" t="s">
        <v>5575</v>
      </c>
      <c r="D1859" s="2" t="s">
        <v>10049</v>
      </c>
      <c r="E1859" s="15">
        <v>-0.1169</v>
      </c>
      <c r="F1859" s="15">
        <v>8.2000000000000003E-2</v>
      </c>
      <c r="G1859" s="15">
        <v>0.15379999999999999</v>
      </c>
      <c r="H1859" s="15">
        <v>0.1638</v>
      </c>
      <c r="I1859" s="15">
        <v>4.1000000000000002E-2</v>
      </c>
      <c r="J1859" s="15">
        <v>3.9951219512195122</v>
      </c>
    </row>
    <row r="1860" spans="1:10" x14ac:dyDescent="0.25">
      <c r="A1860" s="2" t="s">
        <v>5576</v>
      </c>
      <c r="B1860" s="2" t="s">
        <v>5577</v>
      </c>
      <c r="C1860" s="2" t="s">
        <v>5578</v>
      </c>
      <c r="D1860" s="2" t="s">
        <v>10049</v>
      </c>
      <c r="E1860" s="15">
        <v>-2.7199999999999998E-2</v>
      </c>
      <c r="F1860" s="15">
        <v>7.1199999999999999E-2</v>
      </c>
      <c r="G1860" s="15">
        <v>0.70220000000000005</v>
      </c>
      <c r="H1860" s="15">
        <v>0.21690000000000001</v>
      </c>
      <c r="I1860" s="15">
        <v>4.5100000000000001E-2</v>
      </c>
      <c r="J1860" s="15">
        <v>4.8093126385809306</v>
      </c>
    </row>
    <row r="1861" spans="1:10" x14ac:dyDescent="0.25">
      <c r="A1861" s="2" t="s">
        <v>5579</v>
      </c>
      <c r="B1861" s="2" t="s">
        <v>5580</v>
      </c>
      <c r="C1861" s="2" t="s">
        <v>5581</v>
      </c>
      <c r="D1861" s="2" t="s">
        <v>10049</v>
      </c>
      <c r="E1861" s="15">
        <v>-1.52E-2</v>
      </c>
      <c r="F1861" s="15">
        <v>6.7400000000000002E-2</v>
      </c>
      <c r="G1861" s="15">
        <v>0.82130000000000003</v>
      </c>
      <c r="H1861" s="15">
        <v>0.30270000000000002</v>
      </c>
      <c r="I1861" s="15">
        <v>4.9700000000000001E-2</v>
      </c>
      <c r="J1861" s="15">
        <v>6.0905432595573448</v>
      </c>
    </row>
    <row r="1862" spans="1:10" x14ac:dyDescent="0.25">
      <c r="A1862" s="2" t="s">
        <v>5582</v>
      </c>
      <c r="B1862" s="2" t="s">
        <v>5583</v>
      </c>
      <c r="C1862" s="2" t="s">
        <v>5584</v>
      </c>
      <c r="D1862" s="2" t="s">
        <v>10049</v>
      </c>
      <c r="E1862" s="15">
        <v>4.1000000000000002E-2</v>
      </c>
      <c r="F1862" s="15">
        <v>6.3600000000000004E-2</v>
      </c>
      <c r="G1862" s="15">
        <v>0.51890000000000003</v>
      </c>
      <c r="H1862" s="15">
        <v>0.3201</v>
      </c>
      <c r="I1862" s="15">
        <v>5.3499999999999999E-2</v>
      </c>
      <c r="J1862" s="15">
        <v>5.9831775700934582</v>
      </c>
    </row>
    <row r="1863" spans="1:10" x14ac:dyDescent="0.25">
      <c r="A1863" s="2" t="s">
        <v>5585</v>
      </c>
      <c r="B1863" s="2" t="s">
        <v>5586</v>
      </c>
      <c r="C1863" s="2" t="s">
        <v>5587</v>
      </c>
      <c r="D1863" s="2" t="s">
        <v>10049</v>
      </c>
      <c r="E1863" s="15">
        <v>1.1000000000000001E-3</v>
      </c>
      <c r="F1863" s="15">
        <v>6.0900000000000003E-2</v>
      </c>
      <c r="G1863" s="15">
        <v>0.98609999999999998</v>
      </c>
      <c r="H1863" s="15">
        <v>0.30230000000000001</v>
      </c>
      <c r="I1863" s="15">
        <v>4.8500000000000001E-2</v>
      </c>
      <c r="J1863" s="15">
        <v>6.2329896907216504</v>
      </c>
    </row>
    <row r="1864" spans="1:10" x14ac:dyDescent="0.25">
      <c r="A1864" s="2" t="s">
        <v>5588</v>
      </c>
      <c r="B1864" s="2" t="s">
        <v>5589</v>
      </c>
      <c r="C1864" s="2" t="s">
        <v>5590</v>
      </c>
      <c r="D1864" s="2" t="s">
        <v>10049</v>
      </c>
      <c r="E1864" s="15">
        <v>-2.1100000000000001E-2</v>
      </c>
      <c r="F1864" s="15">
        <v>5.96E-2</v>
      </c>
      <c r="G1864" s="15">
        <v>0.72389999999999999</v>
      </c>
      <c r="H1864" s="15">
        <v>0.3251</v>
      </c>
      <c r="I1864" s="15">
        <v>4.8000000000000001E-2</v>
      </c>
      <c r="J1864" s="15">
        <v>6.7729166666666663</v>
      </c>
    </row>
    <row r="1865" spans="1:10" x14ac:dyDescent="0.25">
      <c r="A1865" s="2" t="s">
        <v>5591</v>
      </c>
      <c r="B1865" s="2" t="s">
        <v>5592</v>
      </c>
      <c r="C1865" s="2" t="s">
        <v>5593</v>
      </c>
      <c r="D1865" s="2" t="s">
        <v>10049</v>
      </c>
      <c r="E1865" s="15">
        <v>-5.3E-3</v>
      </c>
      <c r="F1865" s="15">
        <v>6.1400000000000003E-2</v>
      </c>
      <c r="G1865" s="15">
        <v>0.93069999999999997</v>
      </c>
      <c r="H1865" s="15">
        <v>0.30719999999999997</v>
      </c>
      <c r="I1865" s="15">
        <v>4.6600000000000003E-2</v>
      </c>
      <c r="J1865" s="15">
        <v>6.5922746781115871</v>
      </c>
    </row>
    <row r="1866" spans="1:10" x14ac:dyDescent="0.25">
      <c r="A1866" s="2" t="s">
        <v>5594</v>
      </c>
      <c r="B1866" s="2" t="s">
        <v>5595</v>
      </c>
      <c r="C1866" s="2" t="s">
        <v>5596</v>
      </c>
      <c r="D1866" s="2" t="s">
        <v>10049</v>
      </c>
      <c r="E1866" s="15">
        <v>-3.5900000000000001E-2</v>
      </c>
      <c r="F1866" s="15">
        <v>0.1046</v>
      </c>
      <c r="G1866" s="15">
        <v>0.73129999999999995</v>
      </c>
      <c r="H1866" s="15">
        <v>9.2399999999999996E-2</v>
      </c>
      <c r="I1866" s="15">
        <v>3.9300000000000002E-2</v>
      </c>
      <c r="J1866" s="15">
        <v>2.3511450381679388</v>
      </c>
    </row>
    <row r="1867" spans="1:10" x14ac:dyDescent="0.25">
      <c r="A1867" s="2" t="s">
        <v>5597</v>
      </c>
      <c r="B1867" s="2" t="s">
        <v>5598</v>
      </c>
      <c r="C1867" s="2" t="s">
        <v>5599</v>
      </c>
      <c r="D1867" s="2" t="s">
        <v>10049</v>
      </c>
      <c r="E1867" s="15">
        <v>-0.12820000000000001</v>
      </c>
      <c r="F1867" s="15">
        <v>0.1113</v>
      </c>
      <c r="G1867" s="15">
        <v>0.24959999999999999</v>
      </c>
      <c r="H1867" s="15">
        <v>9.4E-2</v>
      </c>
      <c r="I1867" s="15">
        <v>4.2299999999999997E-2</v>
      </c>
      <c r="J1867" s="15">
        <v>2.2222222222222219</v>
      </c>
    </row>
    <row r="1868" spans="1:10" x14ac:dyDescent="0.25">
      <c r="A1868" s="2" t="s">
        <v>5600</v>
      </c>
      <c r="B1868" s="2" t="s">
        <v>5601</v>
      </c>
      <c r="C1868" s="2" t="s">
        <v>5602</v>
      </c>
      <c r="D1868" s="2" t="s">
        <v>10049</v>
      </c>
      <c r="E1868" s="15">
        <v>4.5499999999999999E-2</v>
      </c>
      <c r="F1868" s="15">
        <v>0.1011</v>
      </c>
      <c r="G1868" s="15">
        <v>0.65290000000000004</v>
      </c>
      <c r="H1868" s="15">
        <v>0.1061</v>
      </c>
      <c r="I1868" s="15">
        <v>3.6700000000000003E-2</v>
      </c>
      <c r="J1868" s="15">
        <v>2.8910081743869211</v>
      </c>
    </row>
    <row r="1869" spans="1:10" x14ac:dyDescent="0.25">
      <c r="A1869" s="2" t="s">
        <v>5603</v>
      </c>
      <c r="B1869" s="2" t="s">
        <v>5604</v>
      </c>
      <c r="C1869" s="2" t="s">
        <v>5605</v>
      </c>
      <c r="D1869" s="2" t="s">
        <v>10049</v>
      </c>
      <c r="E1869" s="15">
        <v>4.0099999999999997E-2</v>
      </c>
      <c r="F1869" s="15">
        <v>7.6499999999999999E-2</v>
      </c>
      <c r="G1869" s="15">
        <v>0.60019999999999996</v>
      </c>
      <c r="H1869" s="15">
        <v>0.18529999999999999</v>
      </c>
      <c r="I1869" s="15">
        <v>4.5699999999999998E-2</v>
      </c>
      <c r="J1869" s="15">
        <v>4.0547045951859957</v>
      </c>
    </row>
    <row r="1870" spans="1:10" x14ac:dyDescent="0.25">
      <c r="A1870" s="2" t="s">
        <v>5606</v>
      </c>
      <c r="B1870" s="2" t="s">
        <v>5607</v>
      </c>
      <c r="C1870" s="2" t="s">
        <v>5608</v>
      </c>
      <c r="D1870" s="2" t="s">
        <v>10049</v>
      </c>
      <c r="E1870" s="15">
        <v>-3.3999999999999998E-3</v>
      </c>
      <c r="F1870" s="15">
        <v>0.08</v>
      </c>
      <c r="G1870" s="15">
        <v>0.96560000000000001</v>
      </c>
      <c r="H1870" s="15">
        <v>0.17899999999999999</v>
      </c>
      <c r="I1870" s="15">
        <v>4.2900000000000001E-2</v>
      </c>
      <c r="J1870" s="15">
        <v>4.1724941724941722</v>
      </c>
    </row>
    <row r="1871" spans="1:10" x14ac:dyDescent="0.25">
      <c r="A1871" s="2" t="s">
        <v>5609</v>
      </c>
      <c r="B1871" s="2" t="s">
        <v>5610</v>
      </c>
      <c r="C1871" s="2" t="s">
        <v>5611</v>
      </c>
      <c r="D1871" s="2" t="s">
        <v>10049</v>
      </c>
      <c r="E1871" s="15">
        <v>-3.15E-2</v>
      </c>
      <c r="F1871" s="15">
        <v>6.3799999999999996E-2</v>
      </c>
      <c r="G1871" s="15">
        <v>0.62190000000000001</v>
      </c>
      <c r="H1871" s="15">
        <v>0.31669999999999998</v>
      </c>
      <c r="I1871" s="15">
        <v>4.7899999999999998E-2</v>
      </c>
      <c r="J1871" s="15">
        <v>6.6116910229645089</v>
      </c>
    </row>
    <row r="1872" spans="1:10" x14ac:dyDescent="0.25">
      <c r="A1872" s="2" t="s">
        <v>5612</v>
      </c>
      <c r="B1872" s="2" t="s">
        <v>5613</v>
      </c>
      <c r="C1872" s="2" t="s">
        <v>5614</v>
      </c>
      <c r="D1872" s="2" t="s">
        <v>10049</v>
      </c>
      <c r="E1872" s="15">
        <v>-1.18E-2</v>
      </c>
      <c r="F1872" s="15">
        <v>6.2899999999999998E-2</v>
      </c>
      <c r="G1872" s="15">
        <v>0.85099999999999998</v>
      </c>
      <c r="H1872" s="15">
        <v>0.34710000000000002</v>
      </c>
      <c r="I1872" s="15">
        <v>4.58E-2</v>
      </c>
      <c r="J1872" s="15">
        <v>7.5786026200873362</v>
      </c>
    </row>
    <row r="1873" spans="1:10" x14ac:dyDescent="0.25">
      <c r="A1873" s="2" t="s">
        <v>5615</v>
      </c>
      <c r="B1873" s="2" t="s">
        <v>5616</v>
      </c>
      <c r="C1873" s="2" t="s">
        <v>5617</v>
      </c>
      <c r="D1873" s="2" t="s">
        <v>10049</v>
      </c>
      <c r="E1873" s="15">
        <v>-6.0100000000000001E-2</v>
      </c>
      <c r="F1873" s="15">
        <v>7.9899999999999999E-2</v>
      </c>
      <c r="G1873" s="15">
        <v>0.45190000000000002</v>
      </c>
      <c r="H1873" s="15">
        <v>0.19109999999999999</v>
      </c>
      <c r="I1873" s="15">
        <v>4.5100000000000001E-2</v>
      </c>
      <c r="J1873" s="15">
        <v>4.2372505543237251</v>
      </c>
    </row>
    <row r="1874" spans="1:10" x14ac:dyDescent="0.25">
      <c r="A1874" s="2" t="s">
        <v>5618</v>
      </c>
      <c r="B1874" s="2" t="s">
        <v>5619</v>
      </c>
      <c r="C1874" s="2" t="s">
        <v>5620</v>
      </c>
      <c r="D1874" s="2" t="s">
        <v>10049</v>
      </c>
      <c r="E1874" s="15">
        <v>-9.5799999999999996E-2</v>
      </c>
      <c r="F1874" s="15">
        <v>8.8700000000000001E-2</v>
      </c>
      <c r="G1874" s="15">
        <v>0.2802</v>
      </c>
      <c r="H1874" s="15">
        <v>0.1802</v>
      </c>
      <c r="I1874" s="15">
        <v>4.1399999999999999E-2</v>
      </c>
      <c r="J1874" s="15">
        <v>4.3526570048309177</v>
      </c>
    </row>
    <row r="1875" spans="1:10" x14ac:dyDescent="0.25">
      <c r="A1875" s="2" t="s">
        <v>5621</v>
      </c>
      <c r="B1875" s="2" t="s">
        <v>5622</v>
      </c>
      <c r="C1875" s="2" t="s">
        <v>5623</v>
      </c>
      <c r="D1875" s="2" t="s">
        <v>10049</v>
      </c>
      <c r="E1875" s="15">
        <v>7.6700000000000004E-2</v>
      </c>
      <c r="F1875" s="15">
        <v>7.8399999999999997E-2</v>
      </c>
      <c r="G1875" s="15">
        <v>0.32800000000000001</v>
      </c>
      <c r="H1875" s="15">
        <v>0.20219999999999999</v>
      </c>
      <c r="I1875" s="15">
        <v>4.1599999999999998E-2</v>
      </c>
      <c r="J1875" s="15">
        <v>4.8605769230769234</v>
      </c>
    </row>
    <row r="1876" spans="1:10" x14ac:dyDescent="0.25">
      <c r="A1876" s="2" t="s">
        <v>5624</v>
      </c>
      <c r="B1876" s="2" t="s">
        <v>5625</v>
      </c>
      <c r="C1876" s="2" t="s">
        <v>5626</v>
      </c>
      <c r="D1876" s="2" t="s">
        <v>10049</v>
      </c>
      <c r="E1876" s="15">
        <v>4.1700000000000001E-2</v>
      </c>
      <c r="F1876" s="15">
        <v>6.5100000000000005E-2</v>
      </c>
      <c r="G1876" s="15">
        <v>0.52200000000000002</v>
      </c>
      <c r="H1876" s="15">
        <v>0.26579999999999998</v>
      </c>
      <c r="I1876" s="15">
        <v>4.4900000000000002E-2</v>
      </c>
      <c r="J1876" s="15">
        <v>5.9198218262806233</v>
      </c>
    </row>
    <row r="1877" spans="1:10" x14ac:dyDescent="0.25">
      <c r="A1877" s="2" t="s">
        <v>5627</v>
      </c>
      <c r="B1877" s="2" t="s">
        <v>5628</v>
      </c>
      <c r="C1877" s="2" t="s">
        <v>5629</v>
      </c>
      <c r="D1877" s="2" t="s">
        <v>10049</v>
      </c>
      <c r="E1877" s="15">
        <v>-2.98E-2</v>
      </c>
      <c r="F1877" s="15">
        <v>7.6899999999999996E-2</v>
      </c>
      <c r="G1877" s="15">
        <v>0.69830000000000003</v>
      </c>
      <c r="H1877" s="15">
        <v>0.21909999999999999</v>
      </c>
      <c r="I1877" s="15">
        <v>4.4600000000000001E-2</v>
      </c>
      <c r="J1877" s="15">
        <v>4.9125560538116586</v>
      </c>
    </row>
    <row r="1878" spans="1:10" x14ac:dyDescent="0.25">
      <c r="A1878" s="2" t="s">
        <v>5630</v>
      </c>
      <c r="B1878" s="2" t="s">
        <v>5631</v>
      </c>
      <c r="C1878" s="2" t="s">
        <v>5632</v>
      </c>
      <c r="D1878" s="2" t="s">
        <v>10049</v>
      </c>
      <c r="E1878" s="15">
        <v>1.1999999999999999E-3</v>
      </c>
      <c r="F1878" s="15">
        <v>7.2300000000000003E-2</v>
      </c>
      <c r="G1878" s="15">
        <v>0.98709999999999998</v>
      </c>
      <c r="H1878" s="15">
        <v>0.17929999999999999</v>
      </c>
      <c r="I1878" s="15">
        <v>4.2099999999999999E-2</v>
      </c>
      <c r="J1878" s="15">
        <v>4.2589073634204277</v>
      </c>
    </row>
    <row r="1879" spans="1:10" x14ac:dyDescent="0.25">
      <c r="A1879" s="2" t="s">
        <v>5633</v>
      </c>
      <c r="B1879" s="2" t="s">
        <v>5634</v>
      </c>
      <c r="C1879" s="2" t="s">
        <v>5635</v>
      </c>
      <c r="D1879" s="2" t="s">
        <v>10049</v>
      </c>
      <c r="E1879" s="15">
        <v>4.99E-2</v>
      </c>
      <c r="F1879" s="15">
        <v>7.2499999999999995E-2</v>
      </c>
      <c r="G1879" s="15">
        <v>0.4914</v>
      </c>
      <c r="H1879" s="15">
        <v>0.26519999999999999</v>
      </c>
      <c r="I1879" s="15">
        <v>4.6600000000000003E-2</v>
      </c>
      <c r="J1879" s="15">
        <v>5.6909871244635184</v>
      </c>
    </row>
    <row r="1880" spans="1:10" x14ac:dyDescent="0.25">
      <c r="A1880" s="2" t="s">
        <v>5636</v>
      </c>
      <c r="B1880" s="2" t="s">
        <v>5637</v>
      </c>
      <c r="C1880" s="2" t="s">
        <v>5638</v>
      </c>
      <c r="D1880" s="2" t="s">
        <v>10049</v>
      </c>
      <c r="E1880" s="15">
        <v>-2.0999999999999999E-3</v>
      </c>
      <c r="F1880" s="15">
        <v>6.83E-2</v>
      </c>
      <c r="G1880" s="15">
        <v>0.97570000000000001</v>
      </c>
      <c r="H1880" s="15">
        <v>0.27910000000000001</v>
      </c>
      <c r="I1880" s="15">
        <v>4.7300000000000002E-2</v>
      </c>
      <c r="J1880" s="15">
        <v>5.9006342494714588</v>
      </c>
    </row>
    <row r="1881" spans="1:10" x14ac:dyDescent="0.25">
      <c r="A1881" s="2" t="s">
        <v>5639</v>
      </c>
      <c r="B1881" s="2" t="s">
        <v>5640</v>
      </c>
      <c r="C1881" s="2" t="s">
        <v>5641</v>
      </c>
      <c r="D1881" s="2" t="s">
        <v>10049</v>
      </c>
      <c r="E1881" s="15">
        <v>-6.8000000000000005E-2</v>
      </c>
      <c r="F1881" s="15">
        <v>8.9300000000000004E-2</v>
      </c>
      <c r="G1881" s="15">
        <v>0.4466</v>
      </c>
      <c r="H1881" s="15">
        <v>0.16569999999999999</v>
      </c>
      <c r="I1881" s="15">
        <v>4.6199999999999998E-2</v>
      </c>
      <c r="J1881" s="15">
        <v>3.5865800865800859</v>
      </c>
    </row>
    <row r="1882" spans="1:10" x14ac:dyDescent="0.25">
      <c r="A1882" s="2" t="s">
        <v>5642</v>
      </c>
      <c r="B1882" s="2" t="s">
        <v>5643</v>
      </c>
      <c r="C1882" s="2" t="s">
        <v>5644</v>
      </c>
      <c r="D1882" s="2" t="s">
        <v>10049</v>
      </c>
      <c r="E1882" s="15">
        <v>1.1900000000000001E-2</v>
      </c>
      <c r="F1882" s="15">
        <v>7.9600000000000004E-2</v>
      </c>
      <c r="G1882" s="15">
        <v>0.88109999999999999</v>
      </c>
      <c r="H1882" s="15">
        <v>0.19</v>
      </c>
      <c r="I1882" s="15">
        <v>4.2200000000000001E-2</v>
      </c>
      <c r="J1882" s="15">
        <v>4.5023696682464456</v>
      </c>
    </row>
    <row r="1883" spans="1:10" x14ac:dyDescent="0.25">
      <c r="A1883" s="2" t="s">
        <v>5645</v>
      </c>
      <c r="B1883" s="2" t="s">
        <v>5646</v>
      </c>
      <c r="C1883" s="2" t="s">
        <v>5647</v>
      </c>
      <c r="D1883" s="2" t="s">
        <v>10049</v>
      </c>
      <c r="E1883" s="15">
        <v>6.4999999999999997E-3</v>
      </c>
      <c r="F1883" s="15">
        <v>9.3600000000000003E-2</v>
      </c>
      <c r="G1883" s="15">
        <v>0.94450000000000001</v>
      </c>
      <c r="H1883" s="15">
        <v>0.13339999999999999</v>
      </c>
      <c r="I1883" s="15">
        <v>3.9E-2</v>
      </c>
      <c r="J1883" s="15">
        <v>3.4205128205128199</v>
      </c>
    </row>
    <row r="1884" spans="1:10" x14ac:dyDescent="0.25">
      <c r="A1884" s="2" t="s">
        <v>5648</v>
      </c>
      <c r="B1884" s="2" t="s">
        <v>5649</v>
      </c>
      <c r="C1884" s="2" t="s">
        <v>5650</v>
      </c>
      <c r="D1884" s="2" t="s">
        <v>10049</v>
      </c>
      <c r="E1884" s="15">
        <v>1.35E-2</v>
      </c>
      <c r="F1884" s="15">
        <v>8.4599999999999995E-2</v>
      </c>
      <c r="G1884" s="15">
        <v>0.873</v>
      </c>
      <c r="H1884" s="15">
        <v>0.15359999999999999</v>
      </c>
      <c r="I1884" s="15">
        <v>3.6499999999999998E-2</v>
      </c>
      <c r="J1884" s="15">
        <v>4.2082191780821914</v>
      </c>
    </row>
    <row r="1885" spans="1:10" x14ac:dyDescent="0.25">
      <c r="A1885" s="2" t="s">
        <v>5651</v>
      </c>
      <c r="B1885" s="2" t="s">
        <v>5652</v>
      </c>
      <c r="C1885" s="2" t="s">
        <v>5653</v>
      </c>
      <c r="D1885" s="2" t="s">
        <v>10049</v>
      </c>
      <c r="E1885" s="15">
        <v>-6.2899999999999998E-2</v>
      </c>
      <c r="F1885" s="15">
        <v>8.8800000000000004E-2</v>
      </c>
      <c r="G1885" s="15">
        <v>0.47920000000000001</v>
      </c>
      <c r="H1885" s="15">
        <v>0.13869999999999999</v>
      </c>
      <c r="I1885" s="15">
        <v>4.3499999999999997E-2</v>
      </c>
      <c r="J1885" s="15">
        <v>3.1885057471264369</v>
      </c>
    </row>
    <row r="1886" spans="1:10" x14ac:dyDescent="0.25">
      <c r="A1886" s="2" t="s">
        <v>5654</v>
      </c>
      <c r="B1886" s="2" t="s">
        <v>5655</v>
      </c>
      <c r="C1886" s="2" t="s">
        <v>5656</v>
      </c>
      <c r="D1886" s="2" t="s">
        <v>10049</v>
      </c>
      <c r="E1886" s="15">
        <v>-7.3800000000000004E-2</v>
      </c>
      <c r="F1886" s="15">
        <v>7.7799999999999994E-2</v>
      </c>
      <c r="G1886" s="15">
        <v>0.34320000000000001</v>
      </c>
      <c r="H1886" s="15">
        <v>0.17050000000000001</v>
      </c>
      <c r="I1886" s="15">
        <v>0.04</v>
      </c>
      <c r="J1886" s="15">
        <v>4.2625000000000002</v>
      </c>
    </row>
    <row r="1887" spans="1:10" x14ac:dyDescent="0.25">
      <c r="A1887" s="2" t="s">
        <v>5657</v>
      </c>
      <c r="B1887" s="2" t="s">
        <v>5658</v>
      </c>
      <c r="C1887" s="2" t="s">
        <v>5659</v>
      </c>
      <c r="D1887" s="2" t="s">
        <v>10049</v>
      </c>
      <c r="E1887" s="15">
        <v>-1.04E-2</v>
      </c>
      <c r="F1887" s="15">
        <v>7.2400000000000006E-2</v>
      </c>
      <c r="G1887" s="15">
        <v>0.88539999999999996</v>
      </c>
      <c r="H1887" s="15">
        <v>0.21990000000000001</v>
      </c>
      <c r="I1887" s="15">
        <v>4.5100000000000001E-2</v>
      </c>
      <c r="J1887" s="15">
        <v>4.8758314855875833</v>
      </c>
    </row>
    <row r="1888" spans="1:10" x14ac:dyDescent="0.25">
      <c r="A1888" s="2" t="s">
        <v>5660</v>
      </c>
      <c r="B1888" s="2" t="s">
        <v>5661</v>
      </c>
      <c r="C1888" s="2" t="s">
        <v>5662</v>
      </c>
      <c r="D1888" s="2" t="s">
        <v>10049</v>
      </c>
      <c r="E1888" s="15">
        <v>-1.9599999999999999E-2</v>
      </c>
      <c r="F1888" s="15">
        <v>6.7500000000000004E-2</v>
      </c>
      <c r="G1888" s="15">
        <v>0.7712</v>
      </c>
      <c r="H1888" s="15">
        <v>0.2964</v>
      </c>
      <c r="I1888" s="15">
        <v>4.9000000000000002E-2</v>
      </c>
      <c r="J1888" s="15">
        <v>6.0489795918367344</v>
      </c>
    </row>
    <row r="1889" spans="1:10" x14ac:dyDescent="0.25">
      <c r="A1889" s="2" t="s">
        <v>5663</v>
      </c>
      <c r="B1889" s="2" t="s">
        <v>5664</v>
      </c>
      <c r="C1889" s="2" t="s">
        <v>5665</v>
      </c>
      <c r="D1889" s="2" t="s">
        <v>10049</v>
      </c>
      <c r="E1889" s="15">
        <v>1.04E-2</v>
      </c>
      <c r="F1889" s="15">
        <v>6.7100000000000007E-2</v>
      </c>
      <c r="G1889" s="15">
        <v>0.87629999999999997</v>
      </c>
      <c r="H1889" s="15">
        <v>0.29909999999999998</v>
      </c>
      <c r="I1889" s="15">
        <v>5.3100000000000001E-2</v>
      </c>
      <c r="J1889" s="15">
        <v>5.6327683615819204</v>
      </c>
    </row>
    <row r="1890" spans="1:10" x14ac:dyDescent="0.25">
      <c r="A1890" s="2" t="s">
        <v>5666</v>
      </c>
      <c r="B1890" s="2" t="s">
        <v>5667</v>
      </c>
      <c r="C1890" s="2" t="s">
        <v>5668</v>
      </c>
      <c r="D1890" s="2" t="s">
        <v>10049</v>
      </c>
      <c r="E1890" s="15">
        <v>-5.0299999999999997E-2</v>
      </c>
      <c r="F1890" s="15">
        <v>6.2199999999999998E-2</v>
      </c>
      <c r="G1890" s="15">
        <v>0.41870000000000002</v>
      </c>
      <c r="H1890" s="15">
        <v>0.29349999999999998</v>
      </c>
      <c r="I1890" s="15">
        <v>5.0599999999999999E-2</v>
      </c>
      <c r="J1890" s="15">
        <v>5.8003952569169961</v>
      </c>
    </row>
    <row r="1891" spans="1:10" x14ac:dyDescent="0.25">
      <c r="A1891" s="2" t="s">
        <v>5669</v>
      </c>
      <c r="B1891" s="2" t="s">
        <v>5670</v>
      </c>
      <c r="C1891" s="2" t="s">
        <v>5671</v>
      </c>
      <c r="D1891" s="2" t="s">
        <v>10049</v>
      </c>
      <c r="E1891" s="15">
        <v>-3.4299999999999997E-2</v>
      </c>
      <c r="F1891" s="15">
        <v>6.3700000000000007E-2</v>
      </c>
      <c r="G1891" s="15">
        <v>0.59060000000000001</v>
      </c>
      <c r="H1891" s="15">
        <v>0.29949999999999999</v>
      </c>
      <c r="I1891" s="15">
        <v>4.8300000000000003E-2</v>
      </c>
      <c r="J1891" s="15">
        <v>6.2008281573498962</v>
      </c>
    </row>
    <row r="1892" spans="1:10" x14ac:dyDescent="0.25">
      <c r="A1892" s="2" t="s">
        <v>5672</v>
      </c>
      <c r="B1892" s="2" t="s">
        <v>5673</v>
      </c>
      <c r="C1892" s="2" t="s">
        <v>5674</v>
      </c>
      <c r="D1892" s="2" t="s">
        <v>10049</v>
      </c>
      <c r="E1892" s="15">
        <v>-5.4699999999999999E-2</v>
      </c>
      <c r="F1892" s="15">
        <v>6.3399999999999998E-2</v>
      </c>
      <c r="G1892" s="15">
        <v>0.38840000000000002</v>
      </c>
      <c r="H1892" s="15">
        <v>0.2913</v>
      </c>
      <c r="I1892" s="15">
        <v>4.8599999999999997E-2</v>
      </c>
      <c r="J1892" s="15">
        <v>5.9938271604938276</v>
      </c>
    </row>
    <row r="1893" spans="1:10" x14ac:dyDescent="0.25">
      <c r="A1893" s="2" t="s">
        <v>5675</v>
      </c>
      <c r="B1893" s="2" t="s">
        <v>5676</v>
      </c>
      <c r="C1893" s="2" t="s">
        <v>5677</v>
      </c>
      <c r="D1893" s="2" t="s">
        <v>10049</v>
      </c>
      <c r="E1893" s="15">
        <v>-3.7100000000000001E-2</v>
      </c>
      <c r="F1893" s="15">
        <v>9.69E-2</v>
      </c>
      <c r="G1893" s="15">
        <v>0.70189999999999997</v>
      </c>
      <c r="H1893" s="15">
        <v>0.10680000000000001</v>
      </c>
      <c r="I1893" s="15">
        <v>3.6600000000000001E-2</v>
      </c>
      <c r="J1893" s="15">
        <v>2.918032786885246</v>
      </c>
    </row>
    <row r="1894" spans="1:10" x14ac:dyDescent="0.25">
      <c r="A1894" s="2" t="s">
        <v>5678</v>
      </c>
      <c r="B1894" s="2" t="s">
        <v>5679</v>
      </c>
      <c r="C1894" s="2" t="s">
        <v>5680</v>
      </c>
      <c r="D1894" s="2" t="s">
        <v>10049</v>
      </c>
      <c r="E1894" s="15">
        <v>-0.14660000000000001</v>
      </c>
      <c r="F1894" s="15">
        <v>0.1109</v>
      </c>
      <c r="G1894" s="15">
        <v>0.18629999999999999</v>
      </c>
      <c r="H1894" s="15">
        <v>9.4100000000000003E-2</v>
      </c>
      <c r="I1894" s="15">
        <v>4.2999999999999997E-2</v>
      </c>
      <c r="J1894" s="15">
        <v>2.188372093023256</v>
      </c>
    </row>
    <row r="1895" spans="1:10" x14ac:dyDescent="0.25">
      <c r="A1895" s="2" t="s">
        <v>5681</v>
      </c>
      <c r="B1895" s="2" t="s">
        <v>5682</v>
      </c>
      <c r="C1895" s="2" t="s">
        <v>5683</v>
      </c>
      <c r="D1895" s="2" t="s">
        <v>10049</v>
      </c>
      <c r="E1895" s="15">
        <v>4.02E-2</v>
      </c>
      <c r="F1895" s="15">
        <v>0.115</v>
      </c>
      <c r="G1895" s="15">
        <v>0.72660000000000002</v>
      </c>
      <c r="H1895" s="15">
        <v>7.9200000000000007E-2</v>
      </c>
      <c r="I1895" s="15">
        <v>3.6700000000000003E-2</v>
      </c>
      <c r="J1895" s="15">
        <v>2.158038147138964</v>
      </c>
    </row>
    <row r="1896" spans="1:10" x14ac:dyDescent="0.25">
      <c r="A1896" s="2" t="s">
        <v>5684</v>
      </c>
      <c r="B1896" s="2" t="s">
        <v>5685</v>
      </c>
      <c r="C1896" s="2" t="s">
        <v>5686</v>
      </c>
      <c r="D1896" s="2" t="s">
        <v>10049</v>
      </c>
      <c r="E1896" s="15">
        <v>-1E-3</v>
      </c>
      <c r="F1896" s="15">
        <v>8.1699999999999995E-2</v>
      </c>
      <c r="G1896" s="15">
        <v>0.99039999999999995</v>
      </c>
      <c r="H1896" s="15">
        <v>0.1842</v>
      </c>
      <c r="I1896" s="15">
        <v>4.53E-2</v>
      </c>
      <c r="J1896" s="15">
        <v>4.0662251655629138</v>
      </c>
    </row>
    <row r="1897" spans="1:10" x14ac:dyDescent="0.25">
      <c r="A1897" s="2" t="s">
        <v>5687</v>
      </c>
      <c r="B1897" s="2" t="s">
        <v>5688</v>
      </c>
      <c r="C1897" s="2" t="s">
        <v>5689</v>
      </c>
      <c r="D1897" s="2" t="s">
        <v>10049</v>
      </c>
      <c r="E1897" s="15">
        <v>-6.8000000000000005E-2</v>
      </c>
      <c r="F1897" s="15">
        <v>8.2500000000000004E-2</v>
      </c>
      <c r="G1897" s="15">
        <v>0.40989999999999999</v>
      </c>
      <c r="H1897" s="15">
        <v>0.16250000000000001</v>
      </c>
      <c r="I1897" s="15">
        <v>4.4499999999999998E-2</v>
      </c>
      <c r="J1897" s="15">
        <v>3.6516853932584268</v>
      </c>
    </row>
    <row r="1898" spans="1:10" x14ac:dyDescent="0.25">
      <c r="A1898" s="2" t="s">
        <v>5690</v>
      </c>
      <c r="B1898" s="2" t="s">
        <v>5691</v>
      </c>
      <c r="C1898" s="2" t="s">
        <v>5692</v>
      </c>
      <c r="D1898" s="2" t="s">
        <v>10049</v>
      </c>
      <c r="E1898" s="15">
        <v>-1.84E-2</v>
      </c>
      <c r="F1898" s="15">
        <v>6.5299999999999997E-2</v>
      </c>
      <c r="G1898" s="15">
        <v>0.77780000000000005</v>
      </c>
      <c r="H1898" s="15">
        <v>0.29909999999999998</v>
      </c>
      <c r="I1898" s="15">
        <v>5.0799999999999998E-2</v>
      </c>
      <c r="J1898" s="15">
        <v>5.8877952755905509</v>
      </c>
    </row>
    <row r="1899" spans="1:10" x14ac:dyDescent="0.25">
      <c r="A1899" s="2" t="s">
        <v>5693</v>
      </c>
      <c r="B1899" s="2" t="s">
        <v>5694</v>
      </c>
      <c r="C1899" s="2" t="s">
        <v>5695</v>
      </c>
      <c r="D1899" s="2" t="s">
        <v>10049</v>
      </c>
      <c r="E1899" s="15">
        <v>-1.2200000000000001E-2</v>
      </c>
      <c r="F1899" s="15">
        <v>6.2199999999999998E-2</v>
      </c>
      <c r="G1899" s="15">
        <v>0.84460000000000002</v>
      </c>
      <c r="H1899" s="15">
        <v>0.3125</v>
      </c>
      <c r="I1899" s="15">
        <v>4.8500000000000001E-2</v>
      </c>
      <c r="J1899" s="15">
        <v>6.4432989690721651</v>
      </c>
    </row>
    <row r="1900" spans="1:10" x14ac:dyDescent="0.25">
      <c r="A1900" s="2" t="s">
        <v>5696</v>
      </c>
      <c r="B1900" s="2" t="s">
        <v>5697</v>
      </c>
      <c r="C1900" s="2" t="s">
        <v>5698</v>
      </c>
      <c r="D1900" s="2" t="s">
        <v>10049</v>
      </c>
      <c r="E1900" s="15">
        <v>-0.02</v>
      </c>
      <c r="F1900" s="15">
        <v>8.0799999999999997E-2</v>
      </c>
      <c r="G1900" s="15">
        <v>0.80469999999999997</v>
      </c>
      <c r="H1900" s="15">
        <v>0.19159999999999999</v>
      </c>
      <c r="I1900" s="15">
        <v>4.6899999999999997E-2</v>
      </c>
      <c r="J1900" s="15">
        <v>4.0852878464818767</v>
      </c>
    </row>
    <row r="1901" spans="1:10" x14ac:dyDescent="0.25">
      <c r="A1901" s="2" t="s">
        <v>5699</v>
      </c>
      <c r="B1901" s="2" t="s">
        <v>5700</v>
      </c>
      <c r="C1901" s="2" t="s">
        <v>5701</v>
      </c>
      <c r="D1901" s="2" t="s">
        <v>10049</v>
      </c>
      <c r="E1901" s="15">
        <v>-6.8599999999999994E-2</v>
      </c>
      <c r="F1901" s="15">
        <v>7.85E-2</v>
      </c>
      <c r="G1901" s="15">
        <v>0.38229999999999997</v>
      </c>
      <c r="H1901" s="15">
        <v>0.20569999999999999</v>
      </c>
      <c r="I1901" s="15">
        <v>4.2999999999999997E-2</v>
      </c>
      <c r="J1901" s="15">
        <v>4.7837209302325583</v>
      </c>
    </row>
    <row r="1902" spans="1:10" x14ac:dyDescent="0.25">
      <c r="A1902" s="2" t="s">
        <v>5702</v>
      </c>
      <c r="B1902" s="2" t="s">
        <v>5703</v>
      </c>
      <c r="C1902" s="2" t="s">
        <v>5704</v>
      </c>
      <c r="D1902" s="2" t="s">
        <v>10049</v>
      </c>
      <c r="E1902" s="15">
        <v>5.16E-2</v>
      </c>
      <c r="F1902" s="15">
        <v>7.8E-2</v>
      </c>
      <c r="G1902" s="15">
        <v>0.50790000000000002</v>
      </c>
      <c r="H1902" s="15">
        <v>0.19539999999999999</v>
      </c>
      <c r="I1902" s="15">
        <v>4.0399999999999998E-2</v>
      </c>
      <c r="J1902" s="15">
        <v>4.8366336633663369</v>
      </c>
    </row>
    <row r="1903" spans="1:10" x14ac:dyDescent="0.25">
      <c r="A1903" s="2" t="s">
        <v>5705</v>
      </c>
      <c r="B1903" s="2" t="s">
        <v>5706</v>
      </c>
      <c r="C1903" s="2" t="s">
        <v>5707</v>
      </c>
      <c r="D1903" s="2" t="s">
        <v>10049</v>
      </c>
      <c r="E1903" s="15">
        <v>-2.0899999999999998E-2</v>
      </c>
      <c r="F1903" s="15">
        <v>6.5000000000000002E-2</v>
      </c>
      <c r="G1903" s="15">
        <v>0.748</v>
      </c>
      <c r="H1903" s="15">
        <v>0.25180000000000002</v>
      </c>
      <c r="I1903" s="15">
        <v>4.48E-2</v>
      </c>
      <c r="J1903" s="15">
        <v>5.6205357142857153</v>
      </c>
    </row>
    <row r="1904" spans="1:10" x14ac:dyDescent="0.25">
      <c r="A1904" s="2" t="s">
        <v>5708</v>
      </c>
      <c r="B1904" s="2" t="s">
        <v>5709</v>
      </c>
      <c r="C1904" s="2" t="s">
        <v>5710</v>
      </c>
      <c r="D1904" s="2" t="s">
        <v>10050</v>
      </c>
      <c r="E1904" s="15">
        <v>2.7099999999999999E-2</v>
      </c>
      <c r="F1904" s="15">
        <v>6.7599999999999993E-2</v>
      </c>
      <c r="G1904" s="15">
        <v>0.68820000000000003</v>
      </c>
      <c r="H1904" s="15">
        <v>0.27389999999999998</v>
      </c>
      <c r="I1904" s="15">
        <v>4.8099999999999997E-2</v>
      </c>
      <c r="J1904" s="15">
        <v>5.6943866943866954</v>
      </c>
    </row>
    <row r="1905" spans="1:10" x14ac:dyDescent="0.25">
      <c r="A1905" s="2" t="s">
        <v>5711</v>
      </c>
      <c r="B1905" s="2" t="s">
        <v>5712</v>
      </c>
      <c r="C1905" s="2" t="s">
        <v>5713</v>
      </c>
      <c r="D1905" s="2" t="s">
        <v>10050</v>
      </c>
      <c r="E1905" s="15">
        <v>-2.9399999999999999E-2</v>
      </c>
      <c r="F1905" s="15">
        <v>7.2900000000000006E-2</v>
      </c>
      <c r="G1905" s="15">
        <v>0.68669999999999998</v>
      </c>
      <c r="H1905" s="15">
        <v>0.20230000000000001</v>
      </c>
      <c r="I1905" s="15">
        <v>4.3400000000000001E-2</v>
      </c>
      <c r="J1905" s="15">
        <v>4.661290322580645</v>
      </c>
    </row>
    <row r="1906" spans="1:10" x14ac:dyDescent="0.25">
      <c r="A1906" s="2" t="s">
        <v>5714</v>
      </c>
      <c r="B1906" s="2" t="s">
        <v>5715</v>
      </c>
      <c r="C1906" s="2" t="s">
        <v>5716</v>
      </c>
      <c r="D1906" s="2" t="s">
        <v>10050</v>
      </c>
      <c r="E1906" s="15">
        <v>-3.9100000000000003E-2</v>
      </c>
      <c r="F1906" s="15">
        <v>0.06</v>
      </c>
      <c r="G1906" s="15">
        <v>0.51529999999999998</v>
      </c>
      <c r="H1906" s="15">
        <v>0.36730000000000002</v>
      </c>
      <c r="I1906" s="15">
        <v>5.5500000000000001E-2</v>
      </c>
      <c r="J1906" s="15">
        <v>6.6180180180180184</v>
      </c>
    </row>
    <row r="1907" spans="1:10" x14ac:dyDescent="0.25">
      <c r="A1907" s="2" t="s">
        <v>5717</v>
      </c>
      <c r="B1907" s="2" t="s">
        <v>5718</v>
      </c>
      <c r="C1907" s="2" t="s">
        <v>5719</v>
      </c>
      <c r="D1907" s="2" t="s">
        <v>10050</v>
      </c>
      <c r="E1907" s="15">
        <v>-1.4999999999999999E-2</v>
      </c>
      <c r="F1907" s="15">
        <v>6.54E-2</v>
      </c>
      <c r="G1907" s="15">
        <v>0.81840000000000002</v>
      </c>
      <c r="H1907" s="15">
        <v>0.32819999999999999</v>
      </c>
      <c r="I1907" s="15">
        <v>5.9299999999999999E-2</v>
      </c>
      <c r="J1907" s="15">
        <v>5.5345699831365938</v>
      </c>
    </row>
    <row r="1908" spans="1:10" x14ac:dyDescent="0.25">
      <c r="A1908" s="2" t="s">
        <v>5720</v>
      </c>
      <c r="B1908" s="2" t="s">
        <v>5721</v>
      </c>
      <c r="C1908" s="2" t="s">
        <v>5722</v>
      </c>
      <c r="D1908" s="2" t="s">
        <v>10050</v>
      </c>
      <c r="E1908" s="15">
        <v>2.8999999999999998E-3</v>
      </c>
      <c r="F1908" s="15">
        <v>6.8900000000000003E-2</v>
      </c>
      <c r="G1908" s="15">
        <v>0.96589999999999998</v>
      </c>
      <c r="H1908" s="15">
        <v>0.28520000000000001</v>
      </c>
      <c r="I1908" s="15">
        <v>5.0700000000000002E-2</v>
      </c>
      <c r="J1908" s="15">
        <v>5.6252465483234717</v>
      </c>
    </row>
    <row r="1909" spans="1:10" x14ac:dyDescent="0.25">
      <c r="A1909" s="2" t="s">
        <v>5723</v>
      </c>
      <c r="B1909" s="2" t="s">
        <v>5724</v>
      </c>
      <c r="C1909" s="2" t="s">
        <v>5725</v>
      </c>
      <c r="D1909" s="2" t="s">
        <v>10050</v>
      </c>
      <c r="E1909" s="15">
        <v>-7.17E-2</v>
      </c>
      <c r="F1909" s="15">
        <v>0.1057</v>
      </c>
      <c r="G1909" s="15">
        <v>0.49759999999999999</v>
      </c>
      <c r="H1909" s="15">
        <v>0.1128</v>
      </c>
      <c r="I1909" s="15">
        <v>4.1599999999999998E-2</v>
      </c>
      <c r="J1909" s="15">
        <v>2.7115384615384621</v>
      </c>
    </row>
    <row r="1910" spans="1:10" x14ac:dyDescent="0.25">
      <c r="A1910" s="2" t="s">
        <v>5726</v>
      </c>
      <c r="B1910" s="2" t="s">
        <v>5727</v>
      </c>
      <c r="C1910" s="2" t="s">
        <v>5728</v>
      </c>
      <c r="D1910" s="2" t="s">
        <v>10050</v>
      </c>
      <c r="E1910" s="15">
        <v>2.5499999999999998E-2</v>
      </c>
      <c r="F1910" s="15">
        <v>9.0999999999999998E-2</v>
      </c>
      <c r="G1910" s="15">
        <v>0.77969999999999995</v>
      </c>
      <c r="H1910" s="15">
        <v>0.12759999999999999</v>
      </c>
      <c r="I1910" s="15">
        <v>4.1500000000000002E-2</v>
      </c>
      <c r="J1910" s="15">
        <v>3.0746987951807219</v>
      </c>
    </row>
    <row r="1911" spans="1:10" x14ac:dyDescent="0.25">
      <c r="A1911" s="2" t="s">
        <v>5729</v>
      </c>
      <c r="B1911" s="2" t="s">
        <v>5730</v>
      </c>
      <c r="C1911" s="2" t="s">
        <v>5731</v>
      </c>
      <c r="D1911" s="2" t="s">
        <v>10050</v>
      </c>
      <c r="E1911" s="15">
        <v>-2E-3</v>
      </c>
      <c r="F1911" s="15">
        <v>7.7100000000000002E-2</v>
      </c>
      <c r="G1911" s="15">
        <v>0.97940000000000005</v>
      </c>
      <c r="H1911" s="15">
        <v>0.17319999999999999</v>
      </c>
      <c r="I1911" s="15">
        <v>4.1700000000000001E-2</v>
      </c>
      <c r="J1911" s="15">
        <v>4.1534772182254196</v>
      </c>
    </row>
    <row r="1912" spans="1:10" x14ac:dyDescent="0.25">
      <c r="A1912" s="2" t="s">
        <v>5732</v>
      </c>
      <c r="B1912" s="2" t="s">
        <v>5733</v>
      </c>
      <c r="C1912" s="2" t="s">
        <v>5734</v>
      </c>
      <c r="D1912" s="2" t="s">
        <v>10050</v>
      </c>
      <c r="E1912" s="15">
        <v>-1.83E-2</v>
      </c>
      <c r="F1912" s="15">
        <v>7.4899999999999994E-2</v>
      </c>
      <c r="G1912" s="15">
        <v>0.80720000000000003</v>
      </c>
      <c r="H1912" s="15">
        <v>0.19040000000000001</v>
      </c>
      <c r="I1912" s="15">
        <v>4.7800000000000002E-2</v>
      </c>
      <c r="J1912" s="15">
        <v>3.98326359832636</v>
      </c>
    </row>
    <row r="1913" spans="1:10" x14ac:dyDescent="0.25">
      <c r="A1913" s="2" t="s">
        <v>5735</v>
      </c>
      <c r="B1913" s="2" t="s">
        <v>5736</v>
      </c>
      <c r="C1913" s="2" t="s">
        <v>5737</v>
      </c>
      <c r="D1913" s="2" t="s">
        <v>10050</v>
      </c>
      <c r="E1913" s="15">
        <v>-2.1100000000000001E-2</v>
      </c>
      <c r="F1913" s="15">
        <v>7.22E-2</v>
      </c>
      <c r="G1913" s="15">
        <v>0.77</v>
      </c>
      <c r="H1913" s="15">
        <v>0.217</v>
      </c>
      <c r="I1913" s="15">
        <v>4.8500000000000001E-2</v>
      </c>
      <c r="J1913" s="15">
        <v>4.4742268041237114</v>
      </c>
    </row>
    <row r="1914" spans="1:10" x14ac:dyDescent="0.25">
      <c r="A1914" s="2" t="s">
        <v>5738</v>
      </c>
      <c r="B1914" s="2" t="s">
        <v>5739</v>
      </c>
      <c r="C1914" s="2" t="s">
        <v>5740</v>
      </c>
      <c r="D1914" s="2" t="s">
        <v>10050</v>
      </c>
      <c r="E1914" s="15">
        <v>3.0599999999999999E-2</v>
      </c>
      <c r="F1914" s="15">
        <v>6.7000000000000004E-2</v>
      </c>
      <c r="G1914" s="15">
        <v>0.6472</v>
      </c>
      <c r="H1914" s="15">
        <v>0.2203</v>
      </c>
      <c r="I1914" s="15">
        <v>4.65E-2</v>
      </c>
      <c r="J1914" s="15">
        <v>4.7376344086021502</v>
      </c>
    </row>
    <row r="1915" spans="1:10" x14ac:dyDescent="0.25">
      <c r="A1915" s="2" t="s">
        <v>5741</v>
      </c>
      <c r="B1915" s="2" t="s">
        <v>5742</v>
      </c>
      <c r="C1915" s="2" t="s">
        <v>5743</v>
      </c>
      <c r="D1915" s="2" t="s">
        <v>10050</v>
      </c>
      <c r="E1915" s="15">
        <v>-1.3299999999999999E-2</v>
      </c>
      <c r="F1915" s="15">
        <v>6.3200000000000006E-2</v>
      </c>
      <c r="G1915" s="15">
        <v>0.83389999999999997</v>
      </c>
      <c r="H1915" s="15">
        <v>0.26140000000000002</v>
      </c>
      <c r="I1915" s="15">
        <v>4.6800000000000001E-2</v>
      </c>
      <c r="J1915" s="15">
        <v>5.5854700854700861</v>
      </c>
    </row>
    <row r="1916" spans="1:10" x14ac:dyDescent="0.25">
      <c r="A1916" s="2" t="s">
        <v>5744</v>
      </c>
      <c r="B1916" s="2" t="s">
        <v>5745</v>
      </c>
      <c r="C1916" s="2" t="s">
        <v>5746</v>
      </c>
      <c r="D1916" s="2" t="s">
        <v>10050</v>
      </c>
      <c r="E1916" s="15">
        <v>1.7999999999999999E-2</v>
      </c>
      <c r="F1916" s="15">
        <v>6.1199999999999997E-2</v>
      </c>
      <c r="G1916" s="15">
        <v>0.7681</v>
      </c>
      <c r="H1916" s="15">
        <v>0.29149999999999998</v>
      </c>
      <c r="I1916" s="15">
        <v>4.5499999999999999E-2</v>
      </c>
      <c r="J1916" s="15">
        <v>6.406593406593406</v>
      </c>
    </row>
    <row r="1917" spans="1:10" x14ac:dyDescent="0.25">
      <c r="A1917" s="2" t="s">
        <v>5747</v>
      </c>
      <c r="B1917" s="2" t="s">
        <v>5748</v>
      </c>
      <c r="C1917" s="2" t="s">
        <v>5749</v>
      </c>
      <c r="D1917" s="2" t="s">
        <v>10050</v>
      </c>
      <c r="E1917" s="15">
        <v>5.2900000000000003E-2</v>
      </c>
      <c r="F1917" s="15">
        <v>6.1600000000000002E-2</v>
      </c>
      <c r="G1917" s="15">
        <v>0.38990000000000002</v>
      </c>
      <c r="H1917" s="15">
        <v>0.29220000000000002</v>
      </c>
      <c r="I1917" s="15">
        <v>4.7100000000000003E-2</v>
      </c>
      <c r="J1917" s="15">
        <v>6.2038216560509554</v>
      </c>
    </row>
    <row r="1918" spans="1:10" x14ac:dyDescent="0.25">
      <c r="A1918" s="2" t="s">
        <v>5750</v>
      </c>
      <c r="B1918" s="2" t="s">
        <v>5751</v>
      </c>
      <c r="C1918" s="2" t="s">
        <v>5752</v>
      </c>
      <c r="D1918" s="2" t="s">
        <v>10050</v>
      </c>
      <c r="E1918" s="15">
        <v>4.7100000000000003E-2</v>
      </c>
      <c r="F1918" s="15">
        <v>5.8299999999999998E-2</v>
      </c>
      <c r="G1918" s="15">
        <v>0.41970000000000002</v>
      </c>
      <c r="H1918" s="15">
        <v>0.3402</v>
      </c>
      <c r="I1918" s="15">
        <v>4.4499999999999998E-2</v>
      </c>
      <c r="J1918" s="15">
        <v>7.6449438202247197</v>
      </c>
    </row>
    <row r="1919" spans="1:10" x14ac:dyDescent="0.25">
      <c r="A1919" s="2" t="s">
        <v>5753</v>
      </c>
      <c r="B1919" s="2" t="s">
        <v>5754</v>
      </c>
      <c r="C1919" s="2" t="s">
        <v>5755</v>
      </c>
      <c r="D1919" s="2" t="s">
        <v>10050</v>
      </c>
      <c r="E1919" s="15">
        <v>4.9599999999999998E-2</v>
      </c>
      <c r="F1919" s="15">
        <v>6.0400000000000002E-2</v>
      </c>
      <c r="G1919" s="15">
        <v>0.41189999999999999</v>
      </c>
      <c r="H1919" s="15">
        <v>0.31709999999999999</v>
      </c>
      <c r="I1919" s="15">
        <v>4.0099999999999997E-2</v>
      </c>
      <c r="J1919" s="15">
        <v>7.907730673316709</v>
      </c>
    </row>
    <row r="1920" spans="1:10" x14ac:dyDescent="0.25">
      <c r="A1920" s="2" t="s">
        <v>5756</v>
      </c>
      <c r="B1920" s="2" t="s">
        <v>5757</v>
      </c>
      <c r="C1920" s="2" t="s">
        <v>5758</v>
      </c>
      <c r="D1920" s="2" t="s">
        <v>10050</v>
      </c>
      <c r="E1920" s="15">
        <v>-2.3099999999999999E-2</v>
      </c>
      <c r="F1920" s="15">
        <v>6.1499999999999999E-2</v>
      </c>
      <c r="G1920" s="15">
        <v>0.70740000000000003</v>
      </c>
      <c r="H1920" s="15">
        <v>0.31190000000000001</v>
      </c>
      <c r="I1920" s="15">
        <v>4.6399999999999997E-2</v>
      </c>
      <c r="J1920" s="15">
        <v>6.7219827586206904</v>
      </c>
    </row>
    <row r="1921" spans="1:10" x14ac:dyDescent="0.25">
      <c r="A1921" s="2" t="s">
        <v>5759</v>
      </c>
      <c r="B1921" s="2" t="s">
        <v>5760</v>
      </c>
      <c r="C1921" s="2" t="s">
        <v>5761</v>
      </c>
      <c r="D1921" s="2" t="s">
        <v>10050</v>
      </c>
      <c r="E1921" s="15">
        <v>-2.64E-2</v>
      </c>
      <c r="F1921" s="15">
        <v>6.0999999999999999E-2</v>
      </c>
      <c r="G1921" s="15">
        <v>0.66559999999999997</v>
      </c>
      <c r="H1921" s="15">
        <v>0.307</v>
      </c>
      <c r="I1921" s="15">
        <v>5.1499999999999997E-2</v>
      </c>
      <c r="J1921" s="15">
        <v>5.9611650485436893</v>
      </c>
    </row>
    <row r="1922" spans="1:10" x14ac:dyDescent="0.25">
      <c r="A1922" s="2" t="s">
        <v>5762</v>
      </c>
      <c r="B1922" s="2" t="s">
        <v>5763</v>
      </c>
      <c r="C1922" s="2" t="s">
        <v>5764</v>
      </c>
      <c r="D1922" s="2" t="s">
        <v>10050</v>
      </c>
      <c r="E1922" s="15">
        <v>-1.7100000000000001E-2</v>
      </c>
      <c r="F1922" s="15">
        <v>5.6899999999999999E-2</v>
      </c>
      <c r="G1922" s="15">
        <v>0.76429999999999998</v>
      </c>
      <c r="H1922" s="15">
        <v>0.35849999999999999</v>
      </c>
      <c r="I1922" s="15">
        <v>5.3800000000000001E-2</v>
      </c>
      <c r="J1922" s="15">
        <v>6.6635687732342008</v>
      </c>
    </row>
    <row r="1923" spans="1:10" x14ac:dyDescent="0.25">
      <c r="A1923" s="2" t="s">
        <v>5765</v>
      </c>
      <c r="B1923" s="2" t="s">
        <v>5766</v>
      </c>
      <c r="C1923" s="2" t="s">
        <v>5767</v>
      </c>
      <c r="D1923" s="2" t="s">
        <v>10050</v>
      </c>
      <c r="E1923" s="15">
        <v>-4.7000000000000002E-3</v>
      </c>
      <c r="F1923" s="15">
        <v>6.4799999999999996E-2</v>
      </c>
      <c r="G1923" s="15">
        <v>0.94259999999999999</v>
      </c>
      <c r="H1923" s="15">
        <v>0.29330000000000001</v>
      </c>
      <c r="I1923" s="15">
        <v>5.11E-2</v>
      </c>
      <c r="J1923" s="15">
        <v>5.7397260273972606</v>
      </c>
    </row>
    <row r="1924" spans="1:10" x14ac:dyDescent="0.25">
      <c r="A1924" s="2" t="s">
        <v>5768</v>
      </c>
      <c r="B1924" s="2" t="s">
        <v>5769</v>
      </c>
      <c r="C1924" s="2" t="s">
        <v>5770</v>
      </c>
      <c r="D1924" s="2" t="s">
        <v>10050</v>
      </c>
      <c r="E1924" s="15">
        <v>-7.1000000000000004E-3</v>
      </c>
      <c r="F1924" s="15">
        <v>6.7299999999999999E-2</v>
      </c>
      <c r="G1924" s="15">
        <v>0.9163</v>
      </c>
      <c r="H1924" s="15">
        <v>0.25819999999999999</v>
      </c>
      <c r="I1924" s="15">
        <v>5.6399999999999999E-2</v>
      </c>
      <c r="J1924" s="15">
        <v>4.5780141843971629</v>
      </c>
    </row>
    <row r="1925" spans="1:10" x14ac:dyDescent="0.25">
      <c r="A1925" s="2" t="s">
        <v>5771</v>
      </c>
      <c r="B1925" s="2" t="s">
        <v>5772</v>
      </c>
      <c r="C1925" s="2" t="s">
        <v>5773</v>
      </c>
      <c r="D1925" s="2" t="s">
        <v>10050</v>
      </c>
      <c r="E1925" s="15">
        <v>1.7999999999999999E-2</v>
      </c>
      <c r="F1925" s="15">
        <v>7.46E-2</v>
      </c>
      <c r="G1925" s="15">
        <v>0.80920000000000003</v>
      </c>
      <c r="H1925" s="15">
        <v>0.2445</v>
      </c>
      <c r="I1925" s="15">
        <v>5.8299999999999998E-2</v>
      </c>
      <c r="J1925" s="15">
        <v>4.193825042881647</v>
      </c>
    </row>
    <row r="1926" spans="1:10" x14ac:dyDescent="0.25">
      <c r="A1926" s="2" t="s">
        <v>5774</v>
      </c>
      <c r="B1926" s="2" t="s">
        <v>5775</v>
      </c>
      <c r="C1926" s="2" t="s">
        <v>5776</v>
      </c>
      <c r="D1926" s="2" t="s">
        <v>10050</v>
      </c>
      <c r="E1926" s="15">
        <v>-1.9699999999999999E-2</v>
      </c>
      <c r="F1926" s="15">
        <v>6.3700000000000007E-2</v>
      </c>
      <c r="G1926" s="15">
        <v>0.75719999999999998</v>
      </c>
      <c r="H1926" s="15">
        <v>0.32319999999999999</v>
      </c>
      <c r="I1926" s="15">
        <v>5.1799999999999999E-2</v>
      </c>
      <c r="J1926" s="15">
        <v>6.2393822393822393</v>
      </c>
    </row>
    <row r="1927" spans="1:10" x14ac:dyDescent="0.25">
      <c r="A1927" s="2" t="s">
        <v>5777</v>
      </c>
      <c r="B1927" s="2" t="s">
        <v>5778</v>
      </c>
      <c r="C1927" s="2" t="s">
        <v>5779</v>
      </c>
      <c r="D1927" s="2" t="s">
        <v>10050</v>
      </c>
      <c r="E1927" s="15">
        <v>-1.8599999999999998E-2</v>
      </c>
      <c r="F1927" s="15">
        <v>6.4100000000000004E-2</v>
      </c>
      <c r="G1927" s="15">
        <v>0.77180000000000004</v>
      </c>
      <c r="H1927" s="15">
        <v>0.32440000000000002</v>
      </c>
      <c r="I1927" s="15">
        <v>5.5100000000000003E-2</v>
      </c>
      <c r="J1927" s="15">
        <v>5.8874773139745917</v>
      </c>
    </row>
    <row r="1928" spans="1:10" x14ac:dyDescent="0.25">
      <c r="A1928" s="2" t="s">
        <v>5780</v>
      </c>
      <c r="B1928" s="2" t="s">
        <v>5781</v>
      </c>
      <c r="C1928" s="2" t="s">
        <v>5782</v>
      </c>
      <c r="D1928" s="2" t="s">
        <v>10050</v>
      </c>
      <c r="E1928" s="15">
        <v>2.0000000000000001E-4</v>
      </c>
      <c r="F1928" s="15">
        <v>6.6500000000000004E-2</v>
      </c>
      <c r="G1928" s="15">
        <v>0.99719999999999998</v>
      </c>
      <c r="H1928" s="15">
        <v>0.31859999999999999</v>
      </c>
      <c r="I1928" s="15">
        <v>5.3900000000000003E-2</v>
      </c>
      <c r="J1928" s="15">
        <v>5.9109461966604817</v>
      </c>
    </row>
    <row r="1929" spans="1:10" x14ac:dyDescent="0.25">
      <c r="A1929" s="2" t="s">
        <v>5783</v>
      </c>
      <c r="B1929" s="2" t="s">
        <v>5784</v>
      </c>
      <c r="C1929" s="2" t="s">
        <v>5785</v>
      </c>
      <c r="D1929" s="2" t="s">
        <v>10050</v>
      </c>
      <c r="E1929" s="15">
        <v>1.8499999999999999E-2</v>
      </c>
      <c r="F1929" s="15">
        <v>7.0300000000000001E-2</v>
      </c>
      <c r="G1929" s="15">
        <v>0.79249999999999998</v>
      </c>
      <c r="H1929" s="15">
        <v>0.2989</v>
      </c>
      <c r="I1929" s="15">
        <v>5.5500000000000001E-2</v>
      </c>
      <c r="J1929" s="15">
        <v>5.3855855855855852</v>
      </c>
    </row>
    <row r="1930" spans="1:10" x14ac:dyDescent="0.25">
      <c r="A1930" s="2" t="s">
        <v>5786</v>
      </c>
      <c r="B1930" s="2" t="s">
        <v>5787</v>
      </c>
      <c r="C1930" s="2" t="s">
        <v>5788</v>
      </c>
      <c r="D1930" s="2" t="s">
        <v>10050</v>
      </c>
      <c r="E1930" s="15">
        <v>4.2900000000000001E-2</v>
      </c>
      <c r="F1930" s="15">
        <v>7.2400000000000006E-2</v>
      </c>
      <c r="G1930" s="15">
        <v>0.55330000000000001</v>
      </c>
      <c r="H1930" s="15">
        <v>0.26219999999999999</v>
      </c>
      <c r="I1930" s="15">
        <v>5.0700000000000002E-2</v>
      </c>
      <c r="J1930" s="15">
        <v>5.171597633136094</v>
      </c>
    </row>
    <row r="1931" spans="1:10" x14ac:dyDescent="0.25">
      <c r="A1931" s="2" t="s">
        <v>5789</v>
      </c>
      <c r="B1931" s="2" t="s">
        <v>5790</v>
      </c>
      <c r="C1931" s="2" t="s">
        <v>5791</v>
      </c>
      <c r="D1931" s="2" t="s">
        <v>10050</v>
      </c>
      <c r="E1931" s="15">
        <v>1.43E-2</v>
      </c>
      <c r="F1931" s="15">
        <v>7.0199999999999999E-2</v>
      </c>
      <c r="G1931" s="15">
        <v>0.83840000000000003</v>
      </c>
      <c r="H1931" s="15">
        <v>0.27400000000000002</v>
      </c>
      <c r="I1931" s="15">
        <v>5.2999999999999999E-2</v>
      </c>
      <c r="J1931" s="15">
        <v>5.1698113207547172</v>
      </c>
    </row>
    <row r="1932" spans="1:10" x14ac:dyDescent="0.25">
      <c r="A1932" s="2" t="s">
        <v>5792</v>
      </c>
      <c r="B1932" s="2" t="s">
        <v>5793</v>
      </c>
      <c r="C1932" s="2" t="s">
        <v>5794</v>
      </c>
      <c r="D1932" s="2" t="s">
        <v>10050</v>
      </c>
      <c r="E1932" s="15">
        <v>5.1400000000000001E-2</v>
      </c>
      <c r="F1932" s="15">
        <v>7.1800000000000003E-2</v>
      </c>
      <c r="G1932" s="15">
        <v>0.47420000000000001</v>
      </c>
      <c r="H1932" s="15">
        <v>0.26440000000000002</v>
      </c>
      <c r="I1932" s="15">
        <v>5.2600000000000001E-2</v>
      </c>
      <c r="J1932" s="15">
        <v>5.0266159695817496</v>
      </c>
    </row>
    <row r="1933" spans="1:10" x14ac:dyDescent="0.25">
      <c r="A1933" s="2" t="s">
        <v>5795</v>
      </c>
      <c r="B1933" s="2" t="s">
        <v>5796</v>
      </c>
      <c r="C1933" s="2" t="s">
        <v>5797</v>
      </c>
      <c r="D1933" s="2" t="s">
        <v>10050</v>
      </c>
      <c r="E1933" s="15">
        <v>2.5000000000000001E-2</v>
      </c>
      <c r="F1933" s="15">
        <v>6.6100000000000006E-2</v>
      </c>
      <c r="G1933" s="15">
        <v>0.70520000000000005</v>
      </c>
      <c r="H1933" s="15">
        <v>0.3216</v>
      </c>
      <c r="I1933" s="15">
        <v>5.2299999999999999E-2</v>
      </c>
      <c r="J1933" s="15">
        <v>6.1491395793499048</v>
      </c>
    </row>
    <row r="1934" spans="1:10" x14ac:dyDescent="0.25">
      <c r="A1934" s="2" t="s">
        <v>5798</v>
      </c>
      <c r="B1934" s="2" t="s">
        <v>5799</v>
      </c>
      <c r="C1934" s="2" t="s">
        <v>5800</v>
      </c>
      <c r="D1934" s="2" t="s">
        <v>10050</v>
      </c>
      <c r="E1934" s="15">
        <v>1.41E-2</v>
      </c>
      <c r="F1934" s="15">
        <v>6.6500000000000004E-2</v>
      </c>
      <c r="G1934" s="15">
        <v>0.83250000000000002</v>
      </c>
      <c r="H1934" s="15">
        <v>0.28100000000000003</v>
      </c>
      <c r="I1934" s="15">
        <v>5.7200000000000001E-2</v>
      </c>
      <c r="J1934" s="15">
        <v>4.9125874125874134</v>
      </c>
    </row>
    <row r="1935" spans="1:10" x14ac:dyDescent="0.25">
      <c r="A1935" s="2" t="s">
        <v>5801</v>
      </c>
      <c r="B1935" s="2" t="s">
        <v>5802</v>
      </c>
      <c r="C1935" s="2" t="s">
        <v>5803</v>
      </c>
      <c r="D1935" s="2" t="s">
        <v>10050</v>
      </c>
      <c r="E1935" s="15">
        <v>-3.8999999999999998E-3</v>
      </c>
      <c r="F1935" s="15">
        <v>6.6100000000000006E-2</v>
      </c>
      <c r="G1935" s="15">
        <v>0.95279999999999998</v>
      </c>
      <c r="H1935" s="15">
        <v>0.28639999999999999</v>
      </c>
      <c r="I1935" s="15">
        <v>5.8799999999999998E-2</v>
      </c>
      <c r="J1935" s="15">
        <v>4.870748299319728</v>
      </c>
    </row>
    <row r="1936" spans="1:10" x14ac:dyDescent="0.25">
      <c r="A1936" s="2" t="s">
        <v>5804</v>
      </c>
      <c r="B1936" s="2" t="s">
        <v>5805</v>
      </c>
      <c r="C1936" s="2" t="s">
        <v>5806</v>
      </c>
      <c r="D1936" s="2" t="s">
        <v>10050</v>
      </c>
      <c r="E1936" s="15">
        <v>-1.15E-2</v>
      </c>
      <c r="F1936" s="15">
        <v>7.5800000000000006E-2</v>
      </c>
      <c r="G1936" s="15">
        <v>0.87929999999999997</v>
      </c>
      <c r="H1936" s="15">
        <v>0.24759999999999999</v>
      </c>
      <c r="I1936" s="15">
        <v>5.0599999999999999E-2</v>
      </c>
      <c r="J1936" s="15">
        <v>4.8932806324110674</v>
      </c>
    </row>
    <row r="1937" spans="1:10" x14ac:dyDescent="0.25">
      <c r="A1937" s="2" t="s">
        <v>5807</v>
      </c>
      <c r="B1937" s="2" t="s">
        <v>5808</v>
      </c>
      <c r="C1937" s="2" t="s">
        <v>5809</v>
      </c>
      <c r="D1937" s="2" t="s">
        <v>10050</v>
      </c>
      <c r="E1937" s="15">
        <v>-2.8199999999999999E-2</v>
      </c>
      <c r="F1937" s="15">
        <v>7.4499999999999997E-2</v>
      </c>
      <c r="G1937" s="15">
        <v>0.70499999999999996</v>
      </c>
      <c r="H1937" s="15">
        <v>0.26469999999999999</v>
      </c>
      <c r="I1937" s="15">
        <v>5.0799999999999998E-2</v>
      </c>
      <c r="J1937" s="15">
        <v>5.2106299212598426</v>
      </c>
    </row>
    <row r="1938" spans="1:10" x14ac:dyDescent="0.25">
      <c r="A1938" s="2" t="s">
        <v>5810</v>
      </c>
      <c r="B1938" s="2" t="s">
        <v>5811</v>
      </c>
      <c r="C1938" s="2" t="s">
        <v>5812</v>
      </c>
      <c r="D1938" s="2" t="s">
        <v>10050</v>
      </c>
      <c r="E1938" s="15">
        <v>-5.0900000000000001E-2</v>
      </c>
      <c r="F1938" s="15">
        <v>6.3100000000000003E-2</v>
      </c>
      <c r="G1938" s="15">
        <v>0.41970000000000002</v>
      </c>
      <c r="H1938" s="15">
        <v>0.315</v>
      </c>
      <c r="I1938" s="15">
        <v>5.5599999999999997E-2</v>
      </c>
      <c r="J1938" s="15">
        <v>5.6654676258992813</v>
      </c>
    </row>
    <row r="1939" spans="1:10" x14ac:dyDescent="0.25">
      <c r="A1939" s="2" t="s">
        <v>5813</v>
      </c>
      <c r="B1939" s="2" t="s">
        <v>5814</v>
      </c>
      <c r="C1939" s="2" t="s">
        <v>5815</v>
      </c>
      <c r="D1939" s="2" t="s">
        <v>10050</v>
      </c>
      <c r="E1939" s="15">
        <v>-5.04E-2</v>
      </c>
      <c r="F1939" s="15">
        <v>6.08E-2</v>
      </c>
      <c r="G1939" s="15">
        <v>0.40660000000000002</v>
      </c>
      <c r="H1939" s="15">
        <v>0.34239999999999998</v>
      </c>
      <c r="I1939" s="15">
        <v>5.6099999999999997E-2</v>
      </c>
      <c r="J1939" s="15">
        <v>6.1033868092691623</v>
      </c>
    </row>
    <row r="1940" spans="1:10" x14ac:dyDescent="0.25">
      <c r="A1940" s="2" t="s">
        <v>5816</v>
      </c>
      <c r="B1940" s="2" t="s">
        <v>5817</v>
      </c>
      <c r="C1940" s="2" t="s">
        <v>5818</v>
      </c>
      <c r="D1940" s="2" t="s">
        <v>10050</v>
      </c>
      <c r="E1940" s="15">
        <v>7.1099999999999997E-2</v>
      </c>
      <c r="F1940" s="15">
        <v>6.3700000000000007E-2</v>
      </c>
      <c r="G1940" s="15">
        <v>0.26400000000000001</v>
      </c>
      <c r="H1940" s="15">
        <v>0.30159999999999998</v>
      </c>
      <c r="I1940" s="15">
        <v>4.7399999999999998E-2</v>
      </c>
      <c r="J1940" s="15">
        <v>6.3628691983122359</v>
      </c>
    </row>
    <row r="1941" spans="1:10" x14ac:dyDescent="0.25">
      <c r="A1941" s="2" t="s">
        <v>5819</v>
      </c>
      <c r="B1941" s="2" t="s">
        <v>5820</v>
      </c>
      <c r="C1941" s="2" t="s">
        <v>5821</v>
      </c>
      <c r="D1941" s="2" t="s">
        <v>10050</v>
      </c>
      <c r="E1941" s="15">
        <v>1.41E-2</v>
      </c>
      <c r="F1941" s="15">
        <v>6.0499999999999998E-2</v>
      </c>
      <c r="G1941" s="15">
        <v>0.81579999999999997</v>
      </c>
      <c r="H1941" s="15">
        <v>0.29920000000000002</v>
      </c>
      <c r="I1941" s="15">
        <v>4.5999999999999999E-2</v>
      </c>
      <c r="J1941" s="15">
        <v>6.5043478260869572</v>
      </c>
    </row>
    <row r="1942" spans="1:10" x14ac:dyDescent="0.25">
      <c r="A1942" s="2" t="s">
        <v>5822</v>
      </c>
      <c r="B1942" s="2" t="s">
        <v>5823</v>
      </c>
      <c r="C1942" s="2" t="s">
        <v>5824</v>
      </c>
      <c r="D1942" s="2" t="s">
        <v>10050</v>
      </c>
      <c r="E1942" s="15">
        <v>1.15E-2</v>
      </c>
      <c r="F1942" s="15">
        <v>7.2900000000000006E-2</v>
      </c>
      <c r="G1942" s="15">
        <v>0.875</v>
      </c>
      <c r="H1942" s="15">
        <v>0.23949999999999999</v>
      </c>
      <c r="I1942" s="15">
        <v>5.4600000000000003E-2</v>
      </c>
      <c r="J1942" s="15">
        <v>4.386446886446886</v>
      </c>
    </row>
    <row r="1943" spans="1:10" x14ac:dyDescent="0.25">
      <c r="A1943" s="2" t="s">
        <v>5825</v>
      </c>
      <c r="B1943" s="2" t="s">
        <v>5826</v>
      </c>
      <c r="C1943" s="2" t="s">
        <v>5827</v>
      </c>
      <c r="D1943" s="2" t="s">
        <v>10050</v>
      </c>
      <c r="E1943" s="15">
        <v>1.0999999999999999E-2</v>
      </c>
      <c r="F1943" s="15">
        <v>7.1999999999999995E-2</v>
      </c>
      <c r="G1943" s="15">
        <v>0.87860000000000005</v>
      </c>
      <c r="H1943" s="15">
        <v>0.2424</v>
      </c>
      <c r="I1943" s="15">
        <v>5.2299999999999999E-2</v>
      </c>
      <c r="J1943" s="15">
        <v>4.6347992351816449</v>
      </c>
    </row>
    <row r="1944" spans="1:10" x14ac:dyDescent="0.25">
      <c r="A1944" s="2" t="s">
        <v>5828</v>
      </c>
      <c r="B1944" s="2" t="s">
        <v>5829</v>
      </c>
      <c r="C1944" s="2" t="s">
        <v>5830</v>
      </c>
      <c r="D1944" s="2" t="s">
        <v>10050</v>
      </c>
      <c r="E1944" s="15">
        <v>-1.1299999999999999E-2</v>
      </c>
      <c r="F1944" s="15">
        <v>6.5000000000000002E-2</v>
      </c>
      <c r="G1944" s="15">
        <v>0.86160000000000003</v>
      </c>
      <c r="H1944" s="15">
        <v>0.31230000000000002</v>
      </c>
      <c r="I1944" s="15">
        <v>5.1900000000000002E-2</v>
      </c>
      <c r="J1944" s="15">
        <v>6.0173410404624281</v>
      </c>
    </row>
    <row r="1945" spans="1:10" x14ac:dyDescent="0.25">
      <c r="A1945" s="2" t="s">
        <v>5831</v>
      </c>
      <c r="B1945" s="2" t="s">
        <v>5832</v>
      </c>
      <c r="C1945" s="2" t="s">
        <v>5833</v>
      </c>
      <c r="D1945" s="2" t="s">
        <v>10050</v>
      </c>
      <c r="E1945" s="15">
        <v>1.89E-2</v>
      </c>
      <c r="F1945" s="15">
        <v>6.6400000000000001E-2</v>
      </c>
      <c r="G1945" s="15">
        <v>0.7752</v>
      </c>
      <c r="H1945" s="15">
        <v>0.30880000000000002</v>
      </c>
      <c r="I1945" s="15">
        <v>5.0999999999999997E-2</v>
      </c>
      <c r="J1945" s="15">
        <v>6.0549019607843144</v>
      </c>
    </row>
    <row r="1946" spans="1:10" x14ac:dyDescent="0.25">
      <c r="A1946" s="2" t="s">
        <v>5834</v>
      </c>
      <c r="B1946" s="2" t="s">
        <v>5835</v>
      </c>
      <c r="C1946" s="2" t="s">
        <v>5836</v>
      </c>
      <c r="D1946" s="2" t="s">
        <v>10050</v>
      </c>
      <c r="E1946" s="15">
        <v>8.3999999999999995E-3</v>
      </c>
      <c r="F1946" s="15">
        <v>6.8000000000000005E-2</v>
      </c>
      <c r="G1946" s="15">
        <v>0.90190000000000003</v>
      </c>
      <c r="H1946" s="15">
        <v>0.26100000000000001</v>
      </c>
      <c r="I1946" s="15">
        <v>4.8599999999999997E-2</v>
      </c>
      <c r="J1946" s="15">
        <v>5.3703703703703711</v>
      </c>
    </row>
    <row r="1947" spans="1:10" x14ac:dyDescent="0.25">
      <c r="A1947" s="2" t="s">
        <v>5837</v>
      </c>
      <c r="B1947" s="2" t="s">
        <v>5838</v>
      </c>
      <c r="C1947" s="2" t="s">
        <v>5839</v>
      </c>
      <c r="D1947" s="2" t="s">
        <v>10050</v>
      </c>
      <c r="E1947" s="15">
        <v>-3.7100000000000001E-2</v>
      </c>
      <c r="F1947" s="15">
        <v>6.8199999999999997E-2</v>
      </c>
      <c r="G1947" s="15">
        <v>0.5867</v>
      </c>
      <c r="H1947" s="15">
        <v>0.2611</v>
      </c>
      <c r="I1947" s="15">
        <v>4.9299999999999997E-2</v>
      </c>
      <c r="J1947" s="15">
        <v>5.2961460446247468</v>
      </c>
    </row>
    <row r="1948" spans="1:10" x14ac:dyDescent="0.25">
      <c r="A1948" s="2" t="s">
        <v>5840</v>
      </c>
      <c r="B1948" s="2" t="s">
        <v>5841</v>
      </c>
      <c r="C1948" s="2" t="s">
        <v>5842</v>
      </c>
      <c r="D1948" s="2" t="s">
        <v>10050</v>
      </c>
      <c r="E1948" s="15">
        <v>-0.06</v>
      </c>
      <c r="F1948" s="15">
        <v>6.9500000000000006E-2</v>
      </c>
      <c r="G1948" s="15">
        <v>0.3876</v>
      </c>
      <c r="H1948" s="15">
        <v>0.27960000000000002</v>
      </c>
      <c r="I1948" s="15">
        <v>4.2500000000000003E-2</v>
      </c>
      <c r="J1948" s="15">
        <v>6.578823529411765</v>
      </c>
    </row>
    <row r="1949" spans="1:10" x14ac:dyDescent="0.25">
      <c r="A1949" s="2" t="s">
        <v>5843</v>
      </c>
      <c r="B1949" s="2" t="s">
        <v>5844</v>
      </c>
      <c r="C1949" s="2" t="s">
        <v>5845</v>
      </c>
      <c r="D1949" s="2" t="s">
        <v>10050</v>
      </c>
      <c r="E1949" s="15">
        <v>-1.23E-2</v>
      </c>
      <c r="F1949" s="15">
        <v>7.2099999999999997E-2</v>
      </c>
      <c r="G1949" s="15">
        <v>0.86439999999999995</v>
      </c>
      <c r="H1949" s="15">
        <v>0.28089999999999998</v>
      </c>
      <c r="I1949" s="15">
        <v>4.3499999999999997E-2</v>
      </c>
      <c r="J1949" s="15">
        <v>6.4574712643678156</v>
      </c>
    </row>
    <row r="1950" spans="1:10" x14ac:dyDescent="0.25">
      <c r="A1950" s="2" t="s">
        <v>5846</v>
      </c>
      <c r="B1950" s="2" t="s">
        <v>5847</v>
      </c>
      <c r="C1950" s="2" t="s">
        <v>5848</v>
      </c>
      <c r="D1950" s="2" t="s">
        <v>10050</v>
      </c>
      <c r="E1950" s="15">
        <v>8.9999999999999998E-4</v>
      </c>
      <c r="F1950" s="15">
        <v>7.8700000000000006E-2</v>
      </c>
      <c r="G1950" s="15">
        <v>0.99050000000000005</v>
      </c>
      <c r="H1950" s="15">
        <v>0.20069999999999999</v>
      </c>
      <c r="I1950" s="15">
        <v>4.2299999999999997E-2</v>
      </c>
      <c r="J1950" s="15">
        <v>4.7446808510638299</v>
      </c>
    </row>
    <row r="1951" spans="1:10" x14ac:dyDescent="0.25">
      <c r="A1951" s="2" t="s">
        <v>5849</v>
      </c>
      <c r="B1951" s="2" t="s">
        <v>5850</v>
      </c>
      <c r="C1951" s="2" t="s">
        <v>5851</v>
      </c>
      <c r="D1951" s="2" t="s">
        <v>10050</v>
      </c>
      <c r="E1951" s="15">
        <v>6.7599999999999993E-2</v>
      </c>
      <c r="F1951" s="15">
        <v>9.3399999999999997E-2</v>
      </c>
      <c r="G1951" s="15">
        <v>0.46879999999999999</v>
      </c>
      <c r="H1951" s="15">
        <v>0.12870000000000001</v>
      </c>
      <c r="I1951" s="15">
        <v>3.8800000000000001E-2</v>
      </c>
      <c r="J1951" s="15">
        <v>3.3170103092783512</v>
      </c>
    </row>
    <row r="1952" spans="1:10" x14ac:dyDescent="0.25">
      <c r="A1952" s="2" t="s">
        <v>5852</v>
      </c>
      <c r="B1952" s="2" t="s">
        <v>5853</v>
      </c>
      <c r="C1952" s="2" t="s">
        <v>5854</v>
      </c>
      <c r="D1952" s="2" t="s">
        <v>10050</v>
      </c>
      <c r="E1952" s="15">
        <v>-2.6700000000000002E-2</v>
      </c>
      <c r="F1952" s="15">
        <v>7.3999999999999996E-2</v>
      </c>
      <c r="G1952" s="15">
        <v>0.71799999999999997</v>
      </c>
      <c r="H1952" s="15">
        <v>0.27850000000000003</v>
      </c>
      <c r="I1952" s="15">
        <v>4.9200000000000001E-2</v>
      </c>
      <c r="J1952" s="15">
        <v>5.6605691056910574</v>
      </c>
    </row>
    <row r="1953" spans="1:10" x14ac:dyDescent="0.25">
      <c r="A1953" s="2" t="s">
        <v>5855</v>
      </c>
      <c r="B1953" s="2" t="s">
        <v>5856</v>
      </c>
      <c r="C1953" s="2" t="s">
        <v>5857</v>
      </c>
      <c r="D1953" s="2" t="s">
        <v>10050</v>
      </c>
      <c r="E1953" s="15">
        <v>-2.3900000000000001E-2</v>
      </c>
      <c r="F1953" s="15">
        <v>7.0699999999999999E-2</v>
      </c>
      <c r="G1953" s="15">
        <v>0.73529999999999995</v>
      </c>
      <c r="H1953" s="15">
        <v>0.27779999999999999</v>
      </c>
      <c r="I1953" s="15">
        <v>5.1499999999999997E-2</v>
      </c>
      <c r="J1953" s="15">
        <v>5.3941747572815526</v>
      </c>
    </row>
    <row r="1954" spans="1:10" x14ac:dyDescent="0.25">
      <c r="A1954" s="2" t="s">
        <v>5858</v>
      </c>
      <c r="B1954" s="2" t="s">
        <v>5859</v>
      </c>
      <c r="C1954" s="2" t="s">
        <v>5860</v>
      </c>
      <c r="D1954" s="2" t="s">
        <v>10050</v>
      </c>
      <c r="E1954" s="15">
        <v>-2.46E-2</v>
      </c>
      <c r="F1954" s="15">
        <v>6.6299999999999998E-2</v>
      </c>
      <c r="G1954" s="15">
        <v>0.71109999999999995</v>
      </c>
      <c r="H1954" s="15">
        <v>0.28560000000000002</v>
      </c>
      <c r="I1954" s="15">
        <v>5.2699999999999997E-2</v>
      </c>
      <c r="J1954" s="15">
        <v>5.4193548387096779</v>
      </c>
    </row>
    <row r="1955" spans="1:10" x14ac:dyDescent="0.25">
      <c r="A1955" s="2" t="s">
        <v>5861</v>
      </c>
      <c r="B1955" s="2" t="s">
        <v>5862</v>
      </c>
      <c r="C1955" s="2" t="s">
        <v>5863</v>
      </c>
      <c r="D1955" s="2" t="s">
        <v>10050</v>
      </c>
      <c r="E1955" s="15">
        <v>-6.6E-3</v>
      </c>
      <c r="F1955" s="15">
        <v>6.7199999999999996E-2</v>
      </c>
      <c r="G1955" s="15">
        <v>0.92200000000000004</v>
      </c>
      <c r="H1955" s="15">
        <v>0.27929999999999999</v>
      </c>
      <c r="I1955" s="15">
        <v>5.0900000000000001E-2</v>
      </c>
      <c r="J1955" s="15">
        <v>5.4872298624754414</v>
      </c>
    </row>
    <row r="1956" spans="1:10" x14ac:dyDescent="0.25">
      <c r="A1956" s="2" t="s">
        <v>5864</v>
      </c>
      <c r="B1956" s="2" t="s">
        <v>5865</v>
      </c>
      <c r="C1956" s="2" t="s">
        <v>5866</v>
      </c>
      <c r="D1956" s="2" t="s">
        <v>10050</v>
      </c>
      <c r="E1956" s="15">
        <v>-5.4000000000000003E-3</v>
      </c>
      <c r="F1956" s="15">
        <v>6.8900000000000003E-2</v>
      </c>
      <c r="G1956" s="15">
        <v>0.93740000000000001</v>
      </c>
      <c r="H1956" s="15">
        <v>0.26319999999999999</v>
      </c>
      <c r="I1956" s="15">
        <v>5.2499999999999998E-2</v>
      </c>
      <c r="J1956" s="15">
        <v>5.0133333333333336</v>
      </c>
    </row>
    <row r="1957" spans="1:10" x14ac:dyDescent="0.25">
      <c r="A1957" s="2" t="s">
        <v>5867</v>
      </c>
      <c r="B1957" s="2" t="s">
        <v>5868</v>
      </c>
      <c r="C1957" s="2" t="s">
        <v>5869</v>
      </c>
      <c r="D1957" s="2" t="s">
        <v>10050</v>
      </c>
      <c r="E1957" s="15">
        <v>-0.05</v>
      </c>
      <c r="F1957" s="15">
        <v>7.0999999999999994E-2</v>
      </c>
      <c r="G1957" s="15">
        <v>0.48110000000000003</v>
      </c>
      <c r="H1957" s="15">
        <v>0.25609999999999999</v>
      </c>
      <c r="I1957" s="15">
        <v>4.8099999999999997E-2</v>
      </c>
      <c r="J1957" s="15">
        <v>5.3243243243243246</v>
      </c>
    </row>
    <row r="1958" spans="1:10" x14ac:dyDescent="0.25">
      <c r="A1958" s="2" t="s">
        <v>5870</v>
      </c>
      <c r="B1958" s="2" t="s">
        <v>5871</v>
      </c>
      <c r="C1958" s="2" t="s">
        <v>5872</v>
      </c>
      <c r="D1958" s="2" t="s">
        <v>10050</v>
      </c>
      <c r="E1958" s="15">
        <v>2.1700000000000001E-2</v>
      </c>
      <c r="F1958" s="15">
        <v>6.4699999999999994E-2</v>
      </c>
      <c r="G1958" s="15">
        <v>0.7379</v>
      </c>
      <c r="H1958" s="15">
        <v>0.245</v>
      </c>
      <c r="I1958" s="15">
        <v>4.5199999999999997E-2</v>
      </c>
      <c r="J1958" s="15">
        <v>5.4203539823008846</v>
      </c>
    </row>
    <row r="1959" spans="1:10" x14ac:dyDescent="0.25">
      <c r="A1959" s="2" t="s">
        <v>5873</v>
      </c>
      <c r="B1959" s="2" t="s">
        <v>5874</v>
      </c>
      <c r="C1959" s="2" t="s">
        <v>5875</v>
      </c>
      <c r="D1959" s="2" t="s">
        <v>10050</v>
      </c>
      <c r="E1959" s="15">
        <v>7.7700000000000005E-2</v>
      </c>
      <c r="F1959" s="15">
        <v>7.4700000000000003E-2</v>
      </c>
      <c r="G1959" s="15">
        <v>0.29859999999999998</v>
      </c>
      <c r="H1959" s="15">
        <v>0.2366</v>
      </c>
      <c r="I1959" s="15">
        <v>4.2299999999999997E-2</v>
      </c>
      <c r="J1959" s="15">
        <v>5.5933806146572111</v>
      </c>
    </row>
    <row r="1960" spans="1:10" x14ac:dyDescent="0.25">
      <c r="A1960" s="2" t="s">
        <v>5876</v>
      </c>
      <c r="B1960" s="2" t="s">
        <v>5877</v>
      </c>
      <c r="C1960" s="2" t="s">
        <v>5878</v>
      </c>
      <c r="D1960" s="2" t="s">
        <v>10050</v>
      </c>
      <c r="E1960" s="15">
        <v>3.2300000000000002E-2</v>
      </c>
      <c r="F1960" s="15">
        <v>7.1099999999999997E-2</v>
      </c>
      <c r="G1960" s="15">
        <v>0.65</v>
      </c>
      <c r="H1960" s="15">
        <v>0.26450000000000001</v>
      </c>
      <c r="I1960" s="15">
        <v>4.8800000000000003E-2</v>
      </c>
      <c r="J1960" s="15">
        <v>5.4200819672131146</v>
      </c>
    </row>
    <row r="1961" spans="1:10" x14ac:dyDescent="0.25">
      <c r="A1961" s="2" t="s">
        <v>5879</v>
      </c>
      <c r="B1961" s="2" t="s">
        <v>5880</v>
      </c>
      <c r="C1961" s="2" t="s">
        <v>5881</v>
      </c>
      <c r="D1961" s="2" t="s">
        <v>10050</v>
      </c>
      <c r="E1961" s="15">
        <v>-5.1000000000000004E-3</v>
      </c>
      <c r="F1961" s="15">
        <v>6.3E-2</v>
      </c>
      <c r="G1961" s="15">
        <v>0.93610000000000004</v>
      </c>
      <c r="H1961" s="15">
        <v>0.32290000000000002</v>
      </c>
      <c r="I1961" s="15">
        <v>5.1900000000000002E-2</v>
      </c>
      <c r="J1961" s="15">
        <v>6.2215799614643554</v>
      </c>
    </row>
    <row r="1962" spans="1:10" x14ac:dyDescent="0.25">
      <c r="A1962" s="2" t="s">
        <v>5882</v>
      </c>
      <c r="B1962" s="2" t="s">
        <v>5883</v>
      </c>
      <c r="C1962" s="2" t="s">
        <v>5884</v>
      </c>
      <c r="D1962" s="2" t="s">
        <v>10050</v>
      </c>
      <c r="E1962" s="15">
        <v>1.52E-2</v>
      </c>
      <c r="F1962" s="15">
        <v>6.7000000000000004E-2</v>
      </c>
      <c r="G1962" s="15">
        <v>0.82069999999999999</v>
      </c>
      <c r="H1962" s="15">
        <v>0.29380000000000001</v>
      </c>
      <c r="I1962" s="15">
        <v>5.2999999999999999E-2</v>
      </c>
      <c r="J1962" s="15">
        <v>5.5433962264150942</v>
      </c>
    </row>
    <row r="1963" spans="1:10" x14ac:dyDescent="0.25">
      <c r="A1963" s="2" t="s">
        <v>5885</v>
      </c>
      <c r="B1963" s="2" t="s">
        <v>5886</v>
      </c>
      <c r="C1963" s="2" t="s">
        <v>5887</v>
      </c>
      <c r="D1963" s="2" t="s">
        <v>10050</v>
      </c>
      <c r="E1963" s="15">
        <v>-2.3300000000000001E-2</v>
      </c>
      <c r="F1963" s="15">
        <v>6.2399999999999997E-2</v>
      </c>
      <c r="G1963" s="15">
        <v>0.70940000000000003</v>
      </c>
      <c r="H1963" s="15">
        <v>0.34200000000000003</v>
      </c>
      <c r="I1963" s="15">
        <v>5.6800000000000003E-2</v>
      </c>
      <c r="J1963" s="15">
        <v>6.02112676056338</v>
      </c>
    </row>
    <row r="1964" spans="1:10" x14ac:dyDescent="0.25">
      <c r="A1964" s="2" t="s">
        <v>5888</v>
      </c>
      <c r="B1964" s="2" t="s">
        <v>5889</v>
      </c>
      <c r="C1964" s="2" t="s">
        <v>5890</v>
      </c>
      <c r="D1964" s="2" t="s">
        <v>10050</v>
      </c>
      <c r="E1964" s="15">
        <v>-1.03E-2</v>
      </c>
      <c r="F1964" s="15">
        <v>6.8000000000000005E-2</v>
      </c>
      <c r="G1964" s="15">
        <v>0.87990000000000002</v>
      </c>
      <c r="H1964" s="15">
        <v>0.30549999999999999</v>
      </c>
      <c r="I1964" s="15">
        <v>5.79E-2</v>
      </c>
      <c r="J1964" s="15">
        <v>5.2763385146804831</v>
      </c>
    </row>
    <row r="1965" spans="1:10" x14ac:dyDescent="0.25">
      <c r="A1965" s="2" t="s">
        <v>5891</v>
      </c>
      <c r="B1965" s="2" t="s">
        <v>5892</v>
      </c>
      <c r="C1965" s="2" t="s">
        <v>5893</v>
      </c>
      <c r="D1965" s="2" t="s">
        <v>10050</v>
      </c>
      <c r="E1965" s="15">
        <v>2.3999999999999998E-3</v>
      </c>
      <c r="F1965" s="15">
        <v>6.6400000000000001E-2</v>
      </c>
      <c r="G1965" s="15">
        <v>0.97109999999999996</v>
      </c>
      <c r="H1965" s="15">
        <v>0.30669999999999997</v>
      </c>
      <c r="I1965" s="15">
        <v>5.5899999999999998E-2</v>
      </c>
      <c r="J1965" s="15">
        <v>5.4865831842576016</v>
      </c>
    </row>
    <row r="1966" spans="1:10" x14ac:dyDescent="0.25">
      <c r="A1966" s="2" t="s">
        <v>5894</v>
      </c>
      <c r="B1966" s="2" t="s">
        <v>5895</v>
      </c>
      <c r="C1966" s="2" t="s">
        <v>5896</v>
      </c>
      <c r="D1966" s="2" t="s">
        <v>10050</v>
      </c>
      <c r="E1966" s="15">
        <v>-8.6E-3</v>
      </c>
      <c r="F1966" s="15">
        <v>6.5600000000000006E-2</v>
      </c>
      <c r="G1966" s="15">
        <v>0.89580000000000004</v>
      </c>
      <c r="H1966" s="15">
        <v>0.31359999999999999</v>
      </c>
      <c r="I1966" s="15">
        <v>5.6899999999999999E-2</v>
      </c>
      <c r="J1966" s="15">
        <v>5.5114235500878737</v>
      </c>
    </row>
    <row r="1967" spans="1:10" x14ac:dyDescent="0.25">
      <c r="A1967" s="2" t="s">
        <v>5897</v>
      </c>
      <c r="B1967" s="2" t="s">
        <v>5898</v>
      </c>
      <c r="C1967" s="2" t="s">
        <v>5899</v>
      </c>
      <c r="D1967" s="2" t="s">
        <v>10050</v>
      </c>
      <c r="E1967" s="15">
        <v>-5.7000000000000002E-3</v>
      </c>
      <c r="F1967" s="15">
        <v>6.59E-2</v>
      </c>
      <c r="G1967" s="15">
        <v>0.93089999999999995</v>
      </c>
      <c r="H1967" s="15">
        <v>0.30969999999999998</v>
      </c>
      <c r="I1967" s="15">
        <v>5.7500000000000002E-2</v>
      </c>
      <c r="J1967" s="15">
        <v>5.3860869565217389</v>
      </c>
    </row>
    <row r="1968" spans="1:10" x14ac:dyDescent="0.25">
      <c r="A1968" s="2" t="s">
        <v>5900</v>
      </c>
      <c r="B1968" s="2" t="s">
        <v>5901</v>
      </c>
      <c r="C1968" s="2" t="s">
        <v>5902</v>
      </c>
      <c r="D1968" s="2" t="s">
        <v>10050</v>
      </c>
      <c r="E1968" s="15">
        <v>4.9700000000000001E-2</v>
      </c>
      <c r="F1968" s="15">
        <v>6.9900000000000004E-2</v>
      </c>
      <c r="G1968" s="15">
        <v>0.47649999999999998</v>
      </c>
      <c r="H1968" s="15">
        <v>0.224</v>
      </c>
      <c r="I1968" s="15">
        <v>4.6399999999999997E-2</v>
      </c>
      <c r="J1968" s="15">
        <v>4.8275862068965516</v>
      </c>
    </row>
    <row r="1969" spans="1:10" x14ac:dyDescent="0.25">
      <c r="A1969" s="2" t="s">
        <v>5903</v>
      </c>
      <c r="B1969" s="2" t="s">
        <v>5904</v>
      </c>
      <c r="C1969" s="2" t="s">
        <v>5905</v>
      </c>
      <c r="D1969" s="2" t="s">
        <v>10050</v>
      </c>
      <c r="E1969" s="15">
        <v>-1.6000000000000001E-3</v>
      </c>
      <c r="F1969" s="15">
        <v>6.6199999999999995E-2</v>
      </c>
      <c r="G1969" s="15">
        <v>0.98119999999999996</v>
      </c>
      <c r="H1969" s="15">
        <v>0.25840000000000002</v>
      </c>
      <c r="I1969" s="15">
        <v>5.1499999999999997E-2</v>
      </c>
      <c r="J1969" s="15">
        <v>5.0174757281553406</v>
      </c>
    </row>
    <row r="1970" spans="1:10" x14ac:dyDescent="0.25">
      <c r="A1970" s="2" t="s">
        <v>5906</v>
      </c>
      <c r="B1970" s="2" t="s">
        <v>5907</v>
      </c>
      <c r="C1970" s="2" t="s">
        <v>5908</v>
      </c>
      <c r="D1970" s="2" t="s">
        <v>10050</v>
      </c>
      <c r="E1970" s="15">
        <v>3.7000000000000002E-3</v>
      </c>
      <c r="F1970" s="15">
        <v>6.9599999999999995E-2</v>
      </c>
      <c r="G1970" s="15">
        <v>0.95730000000000004</v>
      </c>
      <c r="H1970" s="15">
        <v>0.2571</v>
      </c>
      <c r="I1970" s="15">
        <v>5.1799999999999999E-2</v>
      </c>
      <c r="J1970" s="15">
        <v>4.9633204633204633</v>
      </c>
    </row>
    <row r="1971" spans="1:10" x14ac:dyDescent="0.25">
      <c r="A1971" s="2" t="s">
        <v>5909</v>
      </c>
      <c r="B1971" s="2" t="s">
        <v>5910</v>
      </c>
      <c r="C1971" s="2" t="s">
        <v>5911</v>
      </c>
      <c r="D1971" s="2" t="s">
        <v>10050</v>
      </c>
      <c r="E1971" s="15">
        <v>-4.8999999999999998E-3</v>
      </c>
      <c r="F1971" s="15">
        <v>6.7799999999999999E-2</v>
      </c>
      <c r="G1971" s="15">
        <v>0.9425</v>
      </c>
      <c r="H1971" s="15">
        <v>0.28939999999999999</v>
      </c>
      <c r="I1971" s="15">
        <v>5.6500000000000002E-2</v>
      </c>
      <c r="J1971" s="15">
        <v>5.1221238938053091</v>
      </c>
    </row>
    <row r="1972" spans="1:10" x14ac:dyDescent="0.25">
      <c r="A1972" s="2" t="s">
        <v>5912</v>
      </c>
      <c r="B1972" s="2" t="s">
        <v>5913</v>
      </c>
      <c r="C1972" s="2" t="s">
        <v>5914</v>
      </c>
      <c r="D1972" s="2" t="s">
        <v>10050</v>
      </c>
      <c r="E1972" s="15">
        <v>1.0800000000000001E-2</v>
      </c>
      <c r="F1972" s="15">
        <v>6.9599999999999995E-2</v>
      </c>
      <c r="G1972" s="15">
        <v>0.87719999999999998</v>
      </c>
      <c r="H1972" s="15">
        <v>0.2727</v>
      </c>
      <c r="I1972" s="15">
        <v>5.6399999999999999E-2</v>
      </c>
      <c r="J1972" s="15">
        <v>4.8351063829787231</v>
      </c>
    </row>
    <row r="1973" spans="1:10" x14ac:dyDescent="0.25">
      <c r="A1973" s="2" t="s">
        <v>5915</v>
      </c>
      <c r="B1973" s="2" t="s">
        <v>5916</v>
      </c>
      <c r="C1973" s="2" t="s">
        <v>5917</v>
      </c>
      <c r="D1973" s="2" t="s">
        <v>10050</v>
      </c>
      <c r="E1973" s="15">
        <v>-1.5100000000000001E-2</v>
      </c>
      <c r="F1973" s="15">
        <v>6.2899999999999998E-2</v>
      </c>
      <c r="G1973" s="15">
        <v>0.8105</v>
      </c>
      <c r="H1973" s="15">
        <v>0.33710000000000001</v>
      </c>
      <c r="I1973" s="15">
        <v>5.3499999999999999E-2</v>
      </c>
      <c r="J1973" s="15">
        <v>6.3009345794392528</v>
      </c>
    </row>
    <row r="1974" spans="1:10" x14ac:dyDescent="0.25">
      <c r="A1974" s="2" t="s">
        <v>5918</v>
      </c>
      <c r="B1974" s="2" t="s">
        <v>5919</v>
      </c>
      <c r="C1974" s="2" t="s">
        <v>5920</v>
      </c>
      <c r="D1974" s="2" t="s">
        <v>10050</v>
      </c>
      <c r="E1974" s="15">
        <v>-3.32E-2</v>
      </c>
      <c r="F1974" s="15">
        <v>6.1899999999999997E-2</v>
      </c>
      <c r="G1974" s="15">
        <v>0.59219999999999995</v>
      </c>
      <c r="H1974" s="15">
        <v>0.32990000000000003</v>
      </c>
      <c r="I1974" s="15">
        <v>5.3800000000000001E-2</v>
      </c>
      <c r="J1974" s="15">
        <v>6.1319702602230484</v>
      </c>
    </row>
    <row r="1975" spans="1:10" x14ac:dyDescent="0.25">
      <c r="A1975" s="2" t="s">
        <v>5921</v>
      </c>
      <c r="B1975" s="2" t="s">
        <v>5922</v>
      </c>
      <c r="C1975" s="2" t="s">
        <v>5923</v>
      </c>
      <c r="D1975" s="2" t="s">
        <v>10050</v>
      </c>
      <c r="E1975" s="15">
        <v>-1.4E-3</v>
      </c>
      <c r="F1975" s="15">
        <v>6.8400000000000002E-2</v>
      </c>
      <c r="G1975" s="15">
        <v>0.98360000000000003</v>
      </c>
      <c r="H1975" s="15">
        <v>0.2928</v>
      </c>
      <c r="I1975" s="15">
        <v>5.5399999999999998E-2</v>
      </c>
      <c r="J1975" s="15">
        <v>5.2851985559566792</v>
      </c>
    </row>
    <row r="1976" spans="1:10" x14ac:dyDescent="0.25">
      <c r="A1976" s="2" t="s">
        <v>5924</v>
      </c>
      <c r="B1976" s="2" t="s">
        <v>5925</v>
      </c>
      <c r="C1976" s="2" t="s">
        <v>5926</v>
      </c>
      <c r="D1976" s="2" t="s">
        <v>10050</v>
      </c>
      <c r="E1976" s="15">
        <v>-5.5999999999999999E-3</v>
      </c>
      <c r="F1976" s="15">
        <v>5.9900000000000002E-2</v>
      </c>
      <c r="G1976" s="15">
        <v>0.92510000000000003</v>
      </c>
      <c r="H1976" s="15">
        <v>0.36849999999999999</v>
      </c>
      <c r="I1976" s="15">
        <v>5.6599999999999998E-2</v>
      </c>
      <c r="J1976" s="15">
        <v>6.510600706713781</v>
      </c>
    </row>
    <row r="1977" spans="1:10" x14ac:dyDescent="0.25">
      <c r="A1977" s="2" t="s">
        <v>5927</v>
      </c>
      <c r="B1977" s="2" t="s">
        <v>5928</v>
      </c>
      <c r="C1977" s="2" t="s">
        <v>5929</v>
      </c>
      <c r="D1977" s="2" t="s">
        <v>10050</v>
      </c>
      <c r="E1977" s="15">
        <v>-1.8499999999999999E-2</v>
      </c>
      <c r="F1977" s="15">
        <v>7.4099999999999999E-2</v>
      </c>
      <c r="G1977" s="15">
        <v>0.80279999999999996</v>
      </c>
      <c r="H1977" s="15">
        <v>0.27050000000000002</v>
      </c>
      <c r="I1977" s="15">
        <v>4.2000000000000003E-2</v>
      </c>
      <c r="J1977" s="15">
        <v>6.4404761904761907</v>
      </c>
    </row>
    <row r="1978" spans="1:10" x14ac:dyDescent="0.25">
      <c r="A1978" s="2" t="s">
        <v>5930</v>
      </c>
      <c r="B1978" s="2" t="s">
        <v>5931</v>
      </c>
      <c r="C1978" s="2" t="s">
        <v>5932</v>
      </c>
      <c r="D1978" s="2" t="s">
        <v>10050</v>
      </c>
      <c r="E1978" s="15">
        <v>-2.1499999999999998E-2</v>
      </c>
      <c r="F1978" s="15">
        <v>6.6400000000000001E-2</v>
      </c>
      <c r="G1978" s="15">
        <v>0.74570000000000003</v>
      </c>
      <c r="H1978" s="15">
        <v>0.30280000000000001</v>
      </c>
      <c r="I1978" s="15">
        <v>4.6399999999999997E-2</v>
      </c>
      <c r="J1978" s="15">
        <v>6.5258620689655178</v>
      </c>
    </row>
    <row r="1979" spans="1:10" x14ac:dyDescent="0.25">
      <c r="A1979" s="2" t="s">
        <v>5933</v>
      </c>
      <c r="B1979" s="2" t="s">
        <v>5934</v>
      </c>
      <c r="C1979" s="2" t="s">
        <v>5935</v>
      </c>
      <c r="D1979" s="2" t="s">
        <v>10051</v>
      </c>
      <c r="E1979" s="15">
        <v>-8.8700000000000001E-2</v>
      </c>
      <c r="F1979" s="15">
        <v>8.6400000000000005E-2</v>
      </c>
      <c r="G1979" s="15">
        <v>0.30470000000000003</v>
      </c>
      <c r="H1979" s="15">
        <v>0.18740000000000001</v>
      </c>
      <c r="I1979" s="15">
        <v>4.53E-2</v>
      </c>
      <c r="J1979" s="15">
        <v>4.1368653421633557</v>
      </c>
    </row>
    <row r="1980" spans="1:10" x14ac:dyDescent="0.25">
      <c r="A1980" s="2" t="s">
        <v>5936</v>
      </c>
      <c r="B1980" s="2" t="s">
        <v>5937</v>
      </c>
      <c r="C1980" s="2" t="s">
        <v>5938</v>
      </c>
      <c r="D1980" s="2" t="s">
        <v>10051</v>
      </c>
      <c r="E1980" s="15">
        <v>-7.4000000000000003E-3</v>
      </c>
      <c r="F1980" s="15">
        <v>6.6900000000000001E-2</v>
      </c>
      <c r="G1980" s="15">
        <v>0.91149999999999998</v>
      </c>
      <c r="H1980" s="15">
        <v>0.24740000000000001</v>
      </c>
      <c r="I1980" s="15">
        <v>4.53E-2</v>
      </c>
      <c r="J1980" s="15">
        <v>5.4613686534216326</v>
      </c>
    </row>
    <row r="1981" spans="1:10" x14ac:dyDescent="0.25">
      <c r="A1981" s="2" t="s">
        <v>5939</v>
      </c>
      <c r="B1981" s="2" t="s">
        <v>5940</v>
      </c>
      <c r="C1981" s="2" t="s">
        <v>5941</v>
      </c>
      <c r="D1981" s="2" t="s">
        <v>10051</v>
      </c>
      <c r="E1981" s="15">
        <v>-8.6499999999999994E-2</v>
      </c>
      <c r="F1981" s="15">
        <v>7.8899999999999998E-2</v>
      </c>
      <c r="G1981" s="15">
        <v>0.2727</v>
      </c>
      <c r="H1981" s="15">
        <v>0.18820000000000001</v>
      </c>
      <c r="I1981" s="15">
        <v>4.2599999999999999E-2</v>
      </c>
      <c r="J1981" s="15">
        <v>4.4178403755868549</v>
      </c>
    </row>
    <row r="1982" spans="1:10" x14ac:dyDescent="0.25">
      <c r="A1982" s="2" t="s">
        <v>5942</v>
      </c>
      <c r="B1982" s="2" t="s">
        <v>5943</v>
      </c>
      <c r="C1982" s="2" t="s">
        <v>5944</v>
      </c>
      <c r="D1982" s="2" t="s">
        <v>10051</v>
      </c>
      <c r="E1982" s="15">
        <v>-2.6499999999999999E-2</v>
      </c>
      <c r="F1982" s="15">
        <v>6.9199999999999998E-2</v>
      </c>
      <c r="G1982" s="15">
        <v>0.70169999999999999</v>
      </c>
      <c r="H1982" s="15">
        <v>0.25109999999999999</v>
      </c>
      <c r="I1982" s="15">
        <v>4.2200000000000001E-2</v>
      </c>
      <c r="J1982" s="15">
        <v>5.9502369668246438</v>
      </c>
    </row>
    <row r="1983" spans="1:10" x14ac:dyDescent="0.25">
      <c r="A1983" s="2" t="s">
        <v>5945</v>
      </c>
      <c r="B1983" s="2" t="s">
        <v>5946</v>
      </c>
      <c r="C1983" s="2" t="s">
        <v>5947</v>
      </c>
      <c r="D1983" s="2" t="s">
        <v>10051</v>
      </c>
      <c r="E1983" s="15">
        <v>-0.10050000000000001</v>
      </c>
      <c r="F1983" s="15">
        <v>5.4100000000000002E-2</v>
      </c>
      <c r="G1983" s="15">
        <v>6.3E-2</v>
      </c>
      <c r="H1983" s="15">
        <v>0.30830000000000002</v>
      </c>
      <c r="I1983" s="15">
        <v>4.8399999999999999E-2</v>
      </c>
      <c r="J1983" s="15">
        <v>6.3698347107438016</v>
      </c>
    </row>
    <row r="1984" spans="1:10" x14ac:dyDescent="0.25">
      <c r="A1984" s="2" t="s">
        <v>5948</v>
      </c>
      <c r="B1984" s="2" t="s">
        <v>5949</v>
      </c>
      <c r="C1984" s="2" t="s">
        <v>5950</v>
      </c>
      <c r="D1984" s="2" t="s">
        <v>10051</v>
      </c>
      <c r="E1984" s="15">
        <v>0.13239999999999999</v>
      </c>
      <c r="F1984" s="15">
        <v>9.2200000000000004E-2</v>
      </c>
      <c r="G1984" s="15">
        <v>0.15079999999999999</v>
      </c>
      <c r="H1984" s="15">
        <v>0.14779999999999999</v>
      </c>
      <c r="I1984" s="15">
        <v>4.1599999999999998E-2</v>
      </c>
      <c r="J1984" s="15">
        <v>3.552884615384615</v>
      </c>
    </row>
    <row r="1985" spans="1:10" x14ac:dyDescent="0.25">
      <c r="A1985" s="2" t="s">
        <v>5951</v>
      </c>
      <c r="B1985" s="2" t="s">
        <v>5952</v>
      </c>
      <c r="C1985" s="2" t="s">
        <v>5953</v>
      </c>
      <c r="D1985" s="2" t="s">
        <v>10051</v>
      </c>
      <c r="E1985" s="15">
        <v>-9.1200000000000003E-2</v>
      </c>
      <c r="F1985" s="15">
        <v>8.72E-2</v>
      </c>
      <c r="G1985" s="15">
        <v>0.29520000000000002</v>
      </c>
      <c r="H1985" s="15">
        <v>0.16980000000000001</v>
      </c>
      <c r="I1985" s="15">
        <v>3.8699999999999998E-2</v>
      </c>
      <c r="J1985" s="15">
        <v>4.3875968992248069</v>
      </c>
    </row>
    <row r="1986" spans="1:10" x14ac:dyDescent="0.25">
      <c r="A1986" s="2" t="s">
        <v>5954</v>
      </c>
      <c r="B1986" s="2" t="s">
        <v>5955</v>
      </c>
      <c r="C1986" s="2" t="s">
        <v>5956</v>
      </c>
      <c r="D1986" s="2" t="s">
        <v>10051</v>
      </c>
      <c r="E1986" s="15">
        <v>-0.26889999999999997</v>
      </c>
      <c r="F1986" s="15">
        <v>0.13239999999999999</v>
      </c>
      <c r="G1986" s="15">
        <v>4.2299999999999997E-2</v>
      </c>
      <c r="H1986" s="15">
        <v>7.5800000000000006E-2</v>
      </c>
      <c r="I1986" s="15">
        <v>3.95E-2</v>
      </c>
      <c r="J1986" s="15">
        <v>1.9189873417721519</v>
      </c>
    </row>
    <row r="1987" spans="1:10" x14ac:dyDescent="0.25">
      <c r="A1987" s="2" t="s">
        <v>5957</v>
      </c>
      <c r="B1987" s="2" t="s">
        <v>5958</v>
      </c>
      <c r="C1987" s="2" t="s">
        <v>5959</v>
      </c>
      <c r="D1987" s="2" t="s">
        <v>10051</v>
      </c>
      <c r="E1987" s="15">
        <v>7.1000000000000004E-3</v>
      </c>
      <c r="F1987" s="15">
        <v>6.7799999999999999E-2</v>
      </c>
      <c r="G1987" s="15">
        <v>0.91690000000000005</v>
      </c>
      <c r="H1987" s="15">
        <v>0.23369999999999999</v>
      </c>
      <c r="I1987" s="15">
        <v>4.3299999999999998E-2</v>
      </c>
      <c r="J1987" s="15">
        <v>5.3972286374133951</v>
      </c>
    </row>
    <row r="1988" spans="1:10" x14ac:dyDescent="0.25">
      <c r="A1988" s="2" t="s">
        <v>5960</v>
      </c>
      <c r="B1988" s="2" t="s">
        <v>5961</v>
      </c>
      <c r="C1988" s="2" t="s">
        <v>5962</v>
      </c>
      <c r="D1988" s="2" t="s">
        <v>10051</v>
      </c>
      <c r="E1988" s="15">
        <v>6.1000000000000004E-3</v>
      </c>
      <c r="F1988" s="15">
        <v>8.2900000000000001E-2</v>
      </c>
      <c r="G1988" s="15">
        <v>0.94159999999999999</v>
      </c>
      <c r="H1988" s="15">
        <v>0.17530000000000001</v>
      </c>
      <c r="I1988" s="15">
        <v>4.2200000000000001E-2</v>
      </c>
      <c r="J1988" s="15">
        <v>4.1540284360189572</v>
      </c>
    </row>
    <row r="1989" spans="1:10" x14ac:dyDescent="0.25">
      <c r="A1989" s="2" t="s">
        <v>5963</v>
      </c>
      <c r="B1989" s="2" t="s">
        <v>5964</v>
      </c>
      <c r="C1989" s="2" t="s">
        <v>5965</v>
      </c>
      <c r="D1989" s="2" t="s">
        <v>10051</v>
      </c>
      <c r="E1989" s="15">
        <v>5.0500000000000003E-2</v>
      </c>
      <c r="F1989" s="15">
        <v>7.1999999999999995E-2</v>
      </c>
      <c r="G1989" s="15">
        <v>0.48280000000000001</v>
      </c>
      <c r="H1989" s="15">
        <v>0.21679999999999999</v>
      </c>
      <c r="I1989" s="15">
        <v>4.6199999999999998E-2</v>
      </c>
      <c r="J1989" s="15">
        <v>4.6926406926406923</v>
      </c>
    </row>
    <row r="1990" spans="1:10" x14ac:dyDescent="0.25">
      <c r="A1990" s="2" t="s">
        <v>5966</v>
      </c>
      <c r="B1990" s="2" t="s">
        <v>5967</v>
      </c>
      <c r="C1990" s="2" t="s">
        <v>5968</v>
      </c>
      <c r="D1990" s="2" t="s">
        <v>10051</v>
      </c>
      <c r="E1990" s="15">
        <v>9.9000000000000008E-3</v>
      </c>
      <c r="F1990" s="15">
        <v>7.8799999999999995E-2</v>
      </c>
      <c r="G1990" s="15">
        <v>0.89980000000000004</v>
      </c>
      <c r="H1990" s="15">
        <v>0.15770000000000001</v>
      </c>
      <c r="I1990" s="15">
        <v>4.1300000000000003E-2</v>
      </c>
      <c r="J1990" s="15">
        <v>3.8184019370460049</v>
      </c>
    </row>
    <row r="1991" spans="1:10" x14ac:dyDescent="0.25">
      <c r="A1991" s="2" t="s">
        <v>5969</v>
      </c>
      <c r="B1991" s="2" t="s">
        <v>5970</v>
      </c>
      <c r="C1991" s="2" t="s">
        <v>5971</v>
      </c>
      <c r="D1991" s="2" t="s">
        <v>10051</v>
      </c>
      <c r="E1991" s="15">
        <v>-0.24360000000000001</v>
      </c>
      <c r="F1991" s="15">
        <v>8.6499999999999994E-2</v>
      </c>
      <c r="G1991" s="15">
        <v>4.7999999999999996E-3</v>
      </c>
      <c r="H1991" s="15">
        <v>0.1588</v>
      </c>
      <c r="I1991" s="15">
        <v>4.5600000000000002E-2</v>
      </c>
      <c r="J1991" s="15">
        <v>3.4824561403508771</v>
      </c>
    </row>
    <row r="1992" spans="1:10" x14ac:dyDescent="0.25">
      <c r="A1992" s="2" t="s">
        <v>5972</v>
      </c>
      <c r="B1992" s="2" t="s">
        <v>5973</v>
      </c>
      <c r="C1992" s="2" t="s">
        <v>5974</v>
      </c>
      <c r="D1992" s="2" t="s">
        <v>10051</v>
      </c>
      <c r="E1992" s="15">
        <v>-9.7900000000000001E-2</v>
      </c>
      <c r="F1992" s="15">
        <v>7.4700000000000003E-2</v>
      </c>
      <c r="G1992" s="15">
        <v>0.19</v>
      </c>
      <c r="H1992" s="15">
        <v>0.18260000000000001</v>
      </c>
      <c r="I1992" s="15">
        <v>4.3700000000000003E-2</v>
      </c>
      <c r="J1992" s="15">
        <v>4.1784897025171626</v>
      </c>
    </row>
    <row r="1993" spans="1:10" x14ac:dyDescent="0.25">
      <c r="A1993" s="2" t="s">
        <v>5975</v>
      </c>
      <c r="B1993" s="2" t="s">
        <v>5976</v>
      </c>
      <c r="C1993" s="2" t="s">
        <v>5977</v>
      </c>
      <c r="D1993" s="2" t="s">
        <v>10051</v>
      </c>
      <c r="E1993" s="15">
        <v>-4.0300000000000002E-2</v>
      </c>
      <c r="F1993" s="15">
        <v>6.3500000000000001E-2</v>
      </c>
      <c r="G1993" s="15">
        <v>0.52559999999999996</v>
      </c>
      <c r="H1993" s="15">
        <v>0.3382</v>
      </c>
      <c r="I1993" s="15">
        <v>4.5699999999999998E-2</v>
      </c>
      <c r="J1993" s="15">
        <v>7.4004376367614881</v>
      </c>
    </row>
    <row r="1994" spans="1:10" x14ac:dyDescent="0.25">
      <c r="A1994" s="2" t="s">
        <v>5978</v>
      </c>
      <c r="B1994" s="2" t="s">
        <v>5979</v>
      </c>
      <c r="C1994" s="2" t="s">
        <v>5980</v>
      </c>
      <c r="D1994" s="2" t="s">
        <v>10051</v>
      </c>
      <c r="E1994" s="15">
        <v>-6.9900000000000004E-2</v>
      </c>
      <c r="F1994" s="15">
        <v>5.8200000000000002E-2</v>
      </c>
      <c r="G1994" s="15">
        <v>0.22989999999999999</v>
      </c>
      <c r="H1994" s="15">
        <v>0.3508</v>
      </c>
      <c r="I1994" s="15">
        <v>4.4400000000000002E-2</v>
      </c>
      <c r="J1994" s="15">
        <v>7.9009009009009006</v>
      </c>
    </row>
    <row r="1995" spans="1:10" x14ac:dyDescent="0.25">
      <c r="A1995" s="2" t="s">
        <v>5981</v>
      </c>
      <c r="B1995" s="2" t="s">
        <v>5982</v>
      </c>
      <c r="C1995" s="2" t="s">
        <v>5983</v>
      </c>
      <c r="D1995" s="2" t="s">
        <v>10051</v>
      </c>
      <c r="E1995" s="15">
        <v>-0.13139999999999999</v>
      </c>
      <c r="F1995" s="15">
        <v>8.6300000000000002E-2</v>
      </c>
      <c r="G1995" s="15">
        <v>0.12770000000000001</v>
      </c>
      <c r="H1995" s="15">
        <v>0.17380000000000001</v>
      </c>
      <c r="I1995" s="15">
        <v>4.07E-2</v>
      </c>
      <c r="J1995" s="15">
        <v>4.2702702702702702</v>
      </c>
    </row>
    <row r="1996" spans="1:10" x14ac:dyDescent="0.25">
      <c r="A1996" s="2" t="s">
        <v>5984</v>
      </c>
      <c r="B1996" s="2" t="s">
        <v>5985</v>
      </c>
      <c r="C1996" s="2" t="s">
        <v>5986</v>
      </c>
      <c r="D1996" s="2" t="s">
        <v>10051</v>
      </c>
      <c r="E1996" s="15">
        <v>-0.15870000000000001</v>
      </c>
      <c r="F1996" s="15">
        <v>7.6999999999999999E-2</v>
      </c>
      <c r="G1996" s="15">
        <v>3.9199999999999999E-2</v>
      </c>
      <c r="H1996" s="15">
        <v>0.19800000000000001</v>
      </c>
      <c r="I1996" s="15">
        <v>0.04</v>
      </c>
      <c r="J1996" s="15">
        <v>4.95</v>
      </c>
    </row>
    <row r="1997" spans="1:10" x14ac:dyDescent="0.25">
      <c r="A1997" s="2" t="s">
        <v>5987</v>
      </c>
      <c r="B1997" s="2" t="s">
        <v>5988</v>
      </c>
      <c r="C1997" s="2" t="s">
        <v>5989</v>
      </c>
      <c r="D1997" s="2" t="s">
        <v>10051</v>
      </c>
      <c r="E1997" s="15">
        <v>-9.5699999999999993E-2</v>
      </c>
      <c r="F1997" s="15">
        <v>6.1699999999999998E-2</v>
      </c>
      <c r="G1997" s="15">
        <v>0.12089999999999999</v>
      </c>
      <c r="H1997" s="15">
        <v>0.38369999999999999</v>
      </c>
      <c r="I1997" s="15">
        <v>5.1299999999999998E-2</v>
      </c>
      <c r="J1997" s="15">
        <v>7.4795321637426904</v>
      </c>
    </row>
    <row r="1998" spans="1:10" x14ac:dyDescent="0.25">
      <c r="A1998" s="2" t="s">
        <v>5990</v>
      </c>
      <c r="B1998" s="2" t="s">
        <v>5991</v>
      </c>
      <c r="C1998" s="2" t="s">
        <v>5992</v>
      </c>
      <c r="D1998" s="2" t="s">
        <v>10051</v>
      </c>
      <c r="E1998" s="15">
        <v>-0.10009999999999999</v>
      </c>
      <c r="F1998" s="15">
        <v>6.0499999999999998E-2</v>
      </c>
      <c r="G1998" s="15">
        <v>9.8299999999999998E-2</v>
      </c>
      <c r="H1998" s="15">
        <v>0.36349999999999999</v>
      </c>
      <c r="I1998" s="15">
        <v>5.1999999999999998E-2</v>
      </c>
      <c r="J1998" s="15">
        <v>6.9903846153846159</v>
      </c>
    </row>
    <row r="1999" spans="1:10" x14ac:dyDescent="0.25">
      <c r="A1999" s="2" t="s">
        <v>5993</v>
      </c>
      <c r="B1999" s="2" t="s">
        <v>5994</v>
      </c>
      <c r="C1999" s="2" t="s">
        <v>5995</v>
      </c>
      <c r="D1999" s="2" t="s">
        <v>10051</v>
      </c>
      <c r="E1999" s="15">
        <v>-0.11849999999999999</v>
      </c>
      <c r="F1999" s="15">
        <v>7.3200000000000001E-2</v>
      </c>
      <c r="G1999" s="15">
        <v>0.1056</v>
      </c>
      <c r="H1999" s="15">
        <v>0.23930000000000001</v>
      </c>
      <c r="I1999" s="15">
        <v>3.9899999999999998E-2</v>
      </c>
      <c r="J1999" s="15">
        <v>5.9974937343358414</v>
      </c>
    </row>
    <row r="2000" spans="1:10" x14ac:dyDescent="0.25">
      <c r="A2000" s="2" t="s">
        <v>5996</v>
      </c>
      <c r="B2000" s="2" t="s">
        <v>5997</v>
      </c>
      <c r="C2000" s="2" t="s">
        <v>5998</v>
      </c>
      <c r="D2000" s="2" t="s">
        <v>10051</v>
      </c>
      <c r="E2000" s="15">
        <v>-0.1089</v>
      </c>
      <c r="F2000" s="15">
        <v>7.51E-2</v>
      </c>
      <c r="G2000" s="15">
        <v>0.1469</v>
      </c>
      <c r="H2000" s="15">
        <v>0.2039</v>
      </c>
      <c r="I2000" s="15">
        <v>4.1799999999999997E-2</v>
      </c>
      <c r="J2000" s="15">
        <v>4.8779904306220097</v>
      </c>
    </row>
    <row r="2001" spans="1:10" x14ac:dyDescent="0.25">
      <c r="A2001" s="2" t="s">
        <v>5999</v>
      </c>
      <c r="B2001" s="2" t="s">
        <v>6000</v>
      </c>
      <c r="C2001" s="2" t="s">
        <v>6001</v>
      </c>
      <c r="D2001" s="2" t="s">
        <v>10051</v>
      </c>
      <c r="E2001" s="15">
        <v>-1.7299999999999999E-2</v>
      </c>
      <c r="F2001" s="15">
        <v>7.8200000000000006E-2</v>
      </c>
      <c r="G2001" s="15">
        <v>0.82509999999999994</v>
      </c>
      <c r="H2001" s="15">
        <v>0.1951</v>
      </c>
      <c r="I2001" s="15">
        <v>4.6300000000000001E-2</v>
      </c>
      <c r="J2001" s="15">
        <v>4.2138228941684668</v>
      </c>
    </row>
    <row r="2002" spans="1:10" x14ac:dyDescent="0.25">
      <c r="A2002" s="2" t="s">
        <v>6002</v>
      </c>
      <c r="B2002" s="2" t="s">
        <v>6003</v>
      </c>
      <c r="C2002" s="2" t="s">
        <v>6004</v>
      </c>
      <c r="D2002" s="2" t="s">
        <v>10051</v>
      </c>
      <c r="E2002" s="15">
        <v>-2.92E-2</v>
      </c>
      <c r="F2002" s="15">
        <v>7.4999999999999997E-2</v>
      </c>
      <c r="G2002" s="15">
        <v>0.69730000000000003</v>
      </c>
      <c r="H2002" s="15">
        <v>0.20699999999999999</v>
      </c>
      <c r="I2002" s="15">
        <v>4.4699999999999997E-2</v>
      </c>
      <c r="J2002" s="15">
        <v>4.6308724832214763</v>
      </c>
    </row>
    <row r="2003" spans="1:10" x14ac:dyDescent="0.25">
      <c r="A2003" s="2" t="s">
        <v>6005</v>
      </c>
      <c r="B2003" s="2" t="s">
        <v>6006</v>
      </c>
      <c r="C2003" s="2" t="s">
        <v>6007</v>
      </c>
      <c r="D2003" s="2" t="s">
        <v>10051</v>
      </c>
      <c r="E2003" s="15">
        <v>-0.1053</v>
      </c>
      <c r="F2003" s="15">
        <v>7.2499999999999995E-2</v>
      </c>
      <c r="G2003" s="15">
        <v>0.14630000000000001</v>
      </c>
      <c r="H2003" s="15">
        <v>0.30099999999999999</v>
      </c>
      <c r="I2003" s="15">
        <v>4.07E-2</v>
      </c>
      <c r="J2003" s="15">
        <v>7.3955773955773951</v>
      </c>
    </row>
    <row r="2004" spans="1:10" x14ac:dyDescent="0.25">
      <c r="A2004" s="2" t="s">
        <v>6008</v>
      </c>
      <c r="B2004" s="2" t="s">
        <v>6009</v>
      </c>
      <c r="C2004" s="2" t="s">
        <v>6010</v>
      </c>
      <c r="D2004" s="2" t="s">
        <v>10051</v>
      </c>
      <c r="E2004" s="15">
        <v>-0.1358</v>
      </c>
      <c r="F2004" s="15">
        <v>7.7499999999999999E-2</v>
      </c>
      <c r="G2004" s="15">
        <v>7.9899999999999999E-2</v>
      </c>
      <c r="H2004" s="15">
        <v>0.2346</v>
      </c>
      <c r="I2004" s="15">
        <v>4.3099999999999999E-2</v>
      </c>
      <c r="J2004" s="15">
        <v>5.4431554524361951</v>
      </c>
    </row>
    <row r="2005" spans="1:10" x14ac:dyDescent="0.25">
      <c r="A2005" s="2" t="s">
        <v>6011</v>
      </c>
      <c r="B2005" s="2" t="s">
        <v>6012</v>
      </c>
      <c r="C2005" s="2" t="s">
        <v>6013</v>
      </c>
      <c r="D2005" s="2" t="s">
        <v>10051</v>
      </c>
      <c r="E2005" s="15">
        <v>-7.6899999999999996E-2</v>
      </c>
      <c r="F2005" s="15">
        <v>7.6799999999999993E-2</v>
      </c>
      <c r="G2005" s="15">
        <v>0.31680000000000003</v>
      </c>
      <c r="H2005" s="15">
        <v>0.25059999999999999</v>
      </c>
      <c r="I2005" s="15">
        <v>4.2599999999999999E-2</v>
      </c>
      <c r="J2005" s="15">
        <v>5.882629107981221</v>
      </c>
    </row>
    <row r="2006" spans="1:10" x14ac:dyDescent="0.25">
      <c r="A2006" s="2" t="s">
        <v>6014</v>
      </c>
      <c r="B2006" s="2" t="s">
        <v>6015</v>
      </c>
      <c r="C2006" s="2" t="s">
        <v>6016</v>
      </c>
      <c r="D2006" s="2" t="s">
        <v>10051</v>
      </c>
      <c r="E2006" s="15">
        <v>-0.1231</v>
      </c>
      <c r="F2006" s="15">
        <v>8.2299999999999998E-2</v>
      </c>
      <c r="G2006" s="15">
        <v>0.13469999999999999</v>
      </c>
      <c r="H2006" s="15">
        <v>0.2089</v>
      </c>
      <c r="I2006" s="15">
        <v>4.2799999999999998E-2</v>
      </c>
      <c r="J2006" s="15">
        <v>4.8808411214953278</v>
      </c>
    </row>
    <row r="2007" spans="1:10" x14ac:dyDescent="0.25">
      <c r="A2007" s="2" t="s">
        <v>6017</v>
      </c>
      <c r="B2007" s="2" t="s">
        <v>6018</v>
      </c>
      <c r="C2007" s="2" t="s">
        <v>6019</v>
      </c>
      <c r="D2007" s="2" t="s">
        <v>10051</v>
      </c>
      <c r="E2007" s="15">
        <v>-8.8099999999999998E-2</v>
      </c>
      <c r="F2007" s="15">
        <v>9.4E-2</v>
      </c>
      <c r="G2007" s="15">
        <v>0.34860000000000002</v>
      </c>
      <c r="H2007" s="15">
        <v>0.16980000000000001</v>
      </c>
      <c r="I2007" s="15">
        <v>4.3700000000000003E-2</v>
      </c>
      <c r="J2007" s="15">
        <v>3.8855835240274601</v>
      </c>
    </row>
    <row r="2008" spans="1:10" x14ac:dyDescent="0.25">
      <c r="A2008" s="2" t="s">
        <v>6020</v>
      </c>
      <c r="B2008" s="2" t="s">
        <v>6021</v>
      </c>
      <c r="C2008" s="2" t="s">
        <v>6022</v>
      </c>
      <c r="D2008" s="2" t="s">
        <v>10051</v>
      </c>
      <c r="E2008" s="15">
        <v>-7.4399999999999994E-2</v>
      </c>
      <c r="F2008" s="15">
        <v>8.9200000000000002E-2</v>
      </c>
      <c r="G2008" s="15">
        <v>0.40439999999999998</v>
      </c>
      <c r="H2008" s="15">
        <v>0.19919999999999999</v>
      </c>
      <c r="I2008" s="15">
        <v>4.2000000000000003E-2</v>
      </c>
      <c r="J2008" s="15">
        <v>4.742857142857142</v>
      </c>
    </row>
    <row r="2009" spans="1:10" x14ac:dyDescent="0.25">
      <c r="A2009" s="2" t="s">
        <v>6023</v>
      </c>
      <c r="B2009" s="2" t="s">
        <v>6024</v>
      </c>
      <c r="C2009" s="2" t="s">
        <v>6025</v>
      </c>
      <c r="D2009" s="2" t="s">
        <v>10051</v>
      </c>
      <c r="E2009" s="15">
        <v>-8.0199999999999994E-2</v>
      </c>
      <c r="F2009" s="15">
        <v>8.8700000000000001E-2</v>
      </c>
      <c r="G2009" s="15">
        <v>0.36609999999999998</v>
      </c>
      <c r="H2009" s="15">
        <v>0.192</v>
      </c>
      <c r="I2009" s="15">
        <v>4.2099999999999999E-2</v>
      </c>
      <c r="J2009" s="15">
        <v>4.5605700712589066</v>
      </c>
    </row>
    <row r="2010" spans="1:10" x14ac:dyDescent="0.25">
      <c r="A2010" s="2" t="s">
        <v>6026</v>
      </c>
      <c r="B2010" s="2" t="s">
        <v>6027</v>
      </c>
      <c r="C2010" s="2" t="s">
        <v>6028</v>
      </c>
      <c r="D2010" s="2" t="s">
        <v>10051</v>
      </c>
      <c r="E2010" s="15">
        <v>-7.1300000000000002E-2</v>
      </c>
      <c r="F2010" s="15">
        <v>9.01E-2</v>
      </c>
      <c r="G2010" s="15">
        <v>0.42870000000000003</v>
      </c>
      <c r="H2010" s="15">
        <v>0.16200000000000001</v>
      </c>
      <c r="I2010" s="15">
        <v>3.5700000000000003E-2</v>
      </c>
      <c r="J2010" s="15">
        <v>4.53781512605042</v>
      </c>
    </row>
    <row r="2011" spans="1:10" x14ac:dyDescent="0.25">
      <c r="A2011" s="2" t="s">
        <v>6029</v>
      </c>
      <c r="B2011" s="2" t="s">
        <v>6030</v>
      </c>
      <c r="C2011" s="2" t="s">
        <v>6031</v>
      </c>
      <c r="D2011" s="2" t="s">
        <v>10051</v>
      </c>
      <c r="E2011" s="15">
        <v>6.9999999999999999E-4</v>
      </c>
      <c r="F2011" s="15">
        <v>6.9599999999999995E-2</v>
      </c>
      <c r="G2011" s="15">
        <v>0.99150000000000005</v>
      </c>
      <c r="H2011" s="15">
        <v>0.25059999999999999</v>
      </c>
      <c r="I2011" s="15">
        <v>4.6399999999999997E-2</v>
      </c>
      <c r="J2011" s="15">
        <v>5.4008620689655178</v>
      </c>
    </row>
    <row r="2012" spans="1:10" x14ac:dyDescent="0.25">
      <c r="A2012" s="2" t="s">
        <v>6032</v>
      </c>
      <c r="B2012" s="2" t="s">
        <v>6033</v>
      </c>
      <c r="C2012" s="2" t="s">
        <v>6034</v>
      </c>
      <c r="D2012" s="2" t="s">
        <v>10051</v>
      </c>
      <c r="E2012" s="15">
        <v>-1.03E-2</v>
      </c>
      <c r="F2012" s="15">
        <v>7.5300000000000006E-2</v>
      </c>
      <c r="G2012" s="15">
        <v>0.8911</v>
      </c>
      <c r="H2012" s="15">
        <v>0.2432</v>
      </c>
      <c r="I2012" s="15">
        <v>4.7699999999999999E-2</v>
      </c>
      <c r="J2012" s="15">
        <v>5.0985324947589099</v>
      </c>
    </row>
    <row r="2013" spans="1:10" x14ac:dyDescent="0.25">
      <c r="A2013" s="2" t="s">
        <v>6035</v>
      </c>
      <c r="B2013" s="2" t="s">
        <v>6036</v>
      </c>
      <c r="C2013" s="2" t="s">
        <v>6037</v>
      </c>
      <c r="D2013" s="2" t="s">
        <v>10051</v>
      </c>
      <c r="E2013" s="15">
        <v>-1.38E-2</v>
      </c>
      <c r="F2013" s="15">
        <v>6.6000000000000003E-2</v>
      </c>
      <c r="G2013" s="15">
        <v>0.83440000000000003</v>
      </c>
      <c r="H2013" s="15">
        <v>0.2964</v>
      </c>
      <c r="I2013" s="15">
        <v>4.4200000000000003E-2</v>
      </c>
      <c r="J2013" s="15">
        <v>6.7058823529411757</v>
      </c>
    </row>
    <row r="2014" spans="1:10" x14ac:dyDescent="0.25">
      <c r="A2014" s="2" t="s">
        <v>6038</v>
      </c>
      <c r="B2014" s="2" t="s">
        <v>6039</v>
      </c>
      <c r="C2014" s="2" t="s">
        <v>6040</v>
      </c>
      <c r="D2014" s="2" t="s">
        <v>10051</v>
      </c>
      <c r="E2014" s="15">
        <v>7.3843000000000004E-5</v>
      </c>
      <c r="F2014" s="15">
        <v>6.4699999999999994E-2</v>
      </c>
      <c r="G2014" s="15">
        <v>0.99909999999999999</v>
      </c>
      <c r="H2014" s="15">
        <v>0.2681</v>
      </c>
      <c r="I2014" s="15">
        <v>4.2700000000000002E-2</v>
      </c>
      <c r="J2014" s="15">
        <v>6.278688524590164</v>
      </c>
    </row>
    <row r="2015" spans="1:10" x14ac:dyDescent="0.25">
      <c r="A2015" s="2" t="s">
        <v>6041</v>
      </c>
      <c r="B2015" s="2" t="s">
        <v>6042</v>
      </c>
      <c r="C2015" s="2" t="s">
        <v>6043</v>
      </c>
      <c r="D2015" s="2" t="s">
        <v>10051</v>
      </c>
      <c r="E2015" s="15">
        <v>-0.1416</v>
      </c>
      <c r="F2015" s="15">
        <v>8.1000000000000003E-2</v>
      </c>
      <c r="G2015" s="15">
        <v>8.0600000000000005E-2</v>
      </c>
      <c r="H2015" s="15">
        <v>0.17449999999999999</v>
      </c>
      <c r="I2015" s="15">
        <v>4.7100000000000003E-2</v>
      </c>
      <c r="J2015" s="15">
        <v>3.7048832271762202</v>
      </c>
    </row>
    <row r="2016" spans="1:10" x14ac:dyDescent="0.25">
      <c r="A2016" s="2" t="s">
        <v>6044</v>
      </c>
      <c r="B2016" s="2" t="s">
        <v>6045</v>
      </c>
      <c r="C2016" s="2" t="s">
        <v>6046</v>
      </c>
      <c r="D2016" s="2" t="s">
        <v>10051</v>
      </c>
      <c r="E2016" s="15">
        <v>-0.12620000000000001</v>
      </c>
      <c r="F2016" s="15">
        <v>6.7900000000000002E-2</v>
      </c>
      <c r="G2016" s="15">
        <v>6.3299999999999995E-2</v>
      </c>
      <c r="H2016" s="15">
        <v>0.2324</v>
      </c>
      <c r="I2016" s="15">
        <v>4.9299999999999997E-2</v>
      </c>
      <c r="J2016" s="15">
        <v>4.7139959432048686</v>
      </c>
    </row>
    <row r="2017" spans="1:10" x14ac:dyDescent="0.25">
      <c r="A2017" s="2" t="s">
        <v>6047</v>
      </c>
      <c r="B2017" s="2" t="s">
        <v>6048</v>
      </c>
      <c r="C2017" s="2" t="s">
        <v>6049</v>
      </c>
      <c r="D2017" s="2" t="s">
        <v>10051</v>
      </c>
      <c r="E2017" s="15">
        <v>-1.9400000000000001E-2</v>
      </c>
      <c r="F2017" s="15">
        <v>7.6799999999999993E-2</v>
      </c>
      <c r="G2017" s="15">
        <v>0.8</v>
      </c>
      <c r="H2017" s="15">
        <v>0.19850000000000001</v>
      </c>
      <c r="I2017" s="15">
        <v>4.1099999999999998E-2</v>
      </c>
      <c r="J2017" s="15">
        <v>4.8296836982968374</v>
      </c>
    </row>
    <row r="2018" spans="1:10" x14ac:dyDescent="0.25">
      <c r="A2018" s="2" t="s">
        <v>6050</v>
      </c>
      <c r="B2018" s="2" t="s">
        <v>6051</v>
      </c>
      <c r="C2018" s="2" t="s">
        <v>6052</v>
      </c>
      <c r="D2018" s="2" t="s">
        <v>10051</v>
      </c>
      <c r="E2018" s="15">
        <v>-2.0500000000000001E-2</v>
      </c>
      <c r="F2018" s="15">
        <v>7.1099999999999997E-2</v>
      </c>
      <c r="G2018" s="15">
        <v>0.77280000000000004</v>
      </c>
      <c r="H2018" s="15">
        <v>0.22239999999999999</v>
      </c>
      <c r="I2018" s="15">
        <v>4.87E-2</v>
      </c>
      <c r="J2018" s="15">
        <v>4.5667351129363443</v>
      </c>
    </row>
    <row r="2019" spans="1:10" x14ac:dyDescent="0.25">
      <c r="A2019" s="2" t="s">
        <v>6053</v>
      </c>
      <c r="B2019" s="2" t="s">
        <v>6054</v>
      </c>
      <c r="C2019" s="2" t="s">
        <v>6055</v>
      </c>
      <c r="D2019" s="2" t="s">
        <v>10051</v>
      </c>
      <c r="E2019" s="15">
        <v>-4.6699999999999998E-2</v>
      </c>
      <c r="F2019" s="15">
        <v>7.7600000000000002E-2</v>
      </c>
      <c r="G2019" s="15">
        <v>0.54720000000000002</v>
      </c>
      <c r="H2019" s="15">
        <v>0.2452</v>
      </c>
      <c r="I2019" s="15">
        <v>4.1799999999999997E-2</v>
      </c>
      <c r="J2019" s="15">
        <v>5.8660287081339719</v>
      </c>
    </row>
    <row r="2020" spans="1:10" x14ac:dyDescent="0.25">
      <c r="A2020" s="2" t="s">
        <v>6056</v>
      </c>
      <c r="B2020" s="2" t="s">
        <v>6057</v>
      </c>
      <c r="C2020" s="2" t="s">
        <v>6058</v>
      </c>
      <c r="D2020" s="2" t="s">
        <v>10051</v>
      </c>
      <c r="E2020" s="15">
        <v>-7.5899999999999995E-2</v>
      </c>
      <c r="F2020" s="15">
        <v>7.5300000000000006E-2</v>
      </c>
      <c r="G2020" s="15">
        <v>0.31359999999999999</v>
      </c>
      <c r="H2020" s="15">
        <v>0.26650000000000001</v>
      </c>
      <c r="I2020" s="15">
        <v>4.5199999999999997E-2</v>
      </c>
      <c r="J2020" s="15">
        <v>5.8960176991150446</v>
      </c>
    </row>
    <row r="2021" spans="1:10" x14ac:dyDescent="0.25">
      <c r="A2021" s="2" t="s">
        <v>6059</v>
      </c>
      <c r="B2021" s="2" t="s">
        <v>6060</v>
      </c>
      <c r="C2021" s="2" t="s">
        <v>6061</v>
      </c>
      <c r="D2021" s="2" t="s">
        <v>10051</v>
      </c>
      <c r="E2021" s="15">
        <v>3.2000000000000001E-2</v>
      </c>
      <c r="F2021" s="15">
        <v>6.6400000000000001E-2</v>
      </c>
      <c r="G2021" s="15">
        <v>0.63009999999999999</v>
      </c>
      <c r="H2021" s="15">
        <v>0.27600000000000002</v>
      </c>
      <c r="I2021" s="15">
        <v>4.3799999999999999E-2</v>
      </c>
      <c r="J2021" s="15">
        <v>6.3013698630136989</v>
      </c>
    </row>
    <row r="2022" spans="1:10" x14ac:dyDescent="0.25">
      <c r="A2022" s="2" t="s">
        <v>6062</v>
      </c>
      <c r="B2022" s="2" t="s">
        <v>6063</v>
      </c>
      <c r="C2022" s="2" t="s">
        <v>6064</v>
      </c>
      <c r="D2022" s="2" t="s">
        <v>10051</v>
      </c>
      <c r="E2022" s="15">
        <v>-1.7500000000000002E-2</v>
      </c>
      <c r="F2022" s="15">
        <v>8.1500000000000003E-2</v>
      </c>
      <c r="G2022" s="15">
        <v>0.8296</v>
      </c>
      <c r="H2022" s="15">
        <v>0.1925</v>
      </c>
      <c r="I2022" s="15">
        <v>4.3799999999999999E-2</v>
      </c>
      <c r="J2022" s="15">
        <v>4.3949771689497723</v>
      </c>
    </row>
    <row r="2023" spans="1:10" x14ac:dyDescent="0.25">
      <c r="A2023" s="2" t="s">
        <v>6065</v>
      </c>
      <c r="B2023" s="2" t="s">
        <v>6066</v>
      </c>
      <c r="C2023" s="2" t="s">
        <v>6067</v>
      </c>
      <c r="D2023" s="2" t="s">
        <v>10051</v>
      </c>
      <c r="E2023" s="15">
        <v>-2.2800000000000001E-2</v>
      </c>
      <c r="F2023" s="15">
        <v>7.1300000000000002E-2</v>
      </c>
      <c r="G2023" s="15">
        <v>0.74909999999999999</v>
      </c>
      <c r="H2023" s="15">
        <v>0.25969999999999999</v>
      </c>
      <c r="I2023" s="15">
        <v>4.82E-2</v>
      </c>
      <c r="J2023" s="15">
        <v>5.3879668049792526</v>
      </c>
    </row>
    <row r="2024" spans="1:10" x14ac:dyDescent="0.25">
      <c r="A2024" s="2" t="s">
        <v>6068</v>
      </c>
      <c r="B2024" s="2" t="s">
        <v>6069</v>
      </c>
      <c r="C2024" s="2" t="s">
        <v>6070</v>
      </c>
      <c r="D2024" s="2" t="s">
        <v>10051</v>
      </c>
      <c r="E2024" s="15">
        <v>-2.2599999999999999E-2</v>
      </c>
      <c r="F2024" s="15">
        <v>7.1999999999999995E-2</v>
      </c>
      <c r="G2024" s="15">
        <v>0.754</v>
      </c>
      <c r="H2024" s="15">
        <v>0.31290000000000001</v>
      </c>
      <c r="I2024" s="15">
        <v>4.58E-2</v>
      </c>
      <c r="J2024" s="15">
        <v>6.8318777292576423</v>
      </c>
    </row>
    <row r="2025" spans="1:10" x14ac:dyDescent="0.25">
      <c r="A2025" s="2" t="s">
        <v>6071</v>
      </c>
      <c r="B2025" s="2" t="s">
        <v>6072</v>
      </c>
      <c r="C2025" s="2" t="s">
        <v>6073</v>
      </c>
      <c r="D2025" s="2" t="s">
        <v>10051</v>
      </c>
      <c r="E2025" s="15">
        <v>-0.15490000000000001</v>
      </c>
      <c r="F2025" s="15">
        <v>9.9000000000000005E-2</v>
      </c>
      <c r="G2025" s="15">
        <v>0.1176</v>
      </c>
      <c r="H2025" s="15">
        <v>0.1275</v>
      </c>
      <c r="I2025" s="15">
        <v>3.4799999999999998E-2</v>
      </c>
      <c r="J2025" s="15">
        <v>3.6637931034482758</v>
      </c>
    </row>
    <row r="2026" spans="1:10" x14ac:dyDescent="0.25">
      <c r="A2026" s="2" t="s">
        <v>6074</v>
      </c>
      <c r="B2026" s="2" t="s">
        <v>6075</v>
      </c>
      <c r="C2026" s="2" t="s">
        <v>6076</v>
      </c>
      <c r="D2026" s="2" t="s">
        <v>10051</v>
      </c>
      <c r="E2026" s="15">
        <v>-0.1162</v>
      </c>
      <c r="F2026" s="15">
        <v>0.1042</v>
      </c>
      <c r="G2026" s="15">
        <v>0.26469999999999999</v>
      </c>
      <c r="H2026" s="15">
        <v>9.8599999999999993E-2</v>
      </c>
      <c r="I2026" s="15">
        <v>4.0099999999999997E-2</v>
      </c>
      <c r="J2026" s="15">
        <v>2.4588528678304238</v>
      </c>
    </row>
    <row r="2027" spans="1:10" x14ac:dyDescent="0.25">
      <c r="A2027" s="2" t="s">
        <v>6077</v>
      </c>
      <c r="B2027" s="2" t="s">
        <v>6078</v>
      </c>
      <c r="C2027" s="2" t="s">
        <v>6079</v>
      </c>
      <c r="D2027" s="2" t="s">
        <v>10051</v>
      </c>
      <c r="E2027" s="15">
        <v>-0.1384</v>
      </c>
      <c r="F2027" s="15">
        <v>0.1338</v>
      </c>
      <c r="G2027" s="15">
        <v>0.30109999999999998</v>
      </c>
      <c r="H2027" s="15">
        <v>7.9799999999999996E-2</v>
      </c>
      <c r="I2027" s="15">
        <v>3.9699999999999999E-2</v>
      </c>
      <c r="J2027" s="15">
        <v>2.01007556675063</v>
      </c>
    </row>
    <row r="2028" spans="1:10" x14ac:dyDescent="0.25">
      <c r="A2028" s="2" t="s">
        <v>6080</v>
      </c>
      <c r="B2028" s="2" t="s">
        <v>6081</v>
      </c>
      <c r="C2028" s="2" t="s">
        <v>6082</v>
      </c>
      <c r="D2028" s="2" t="s">
        <v>10051</v>
      </c>
      <c r="E2028" s="15">
        <v>-0.16800000000000001</v>
      </c>
      <c r="F2028" s="15">
        <v>0.1014</v>
      </c>
      <c r="G2028" s="15">
        <v>9.7600000000000006E-2</v>
      </c>
      <c r="H2028" s="15">
        <v>0.15129999999999999</v>
      </c>
      <c r="I2028" s="15">
        <v>4.3299999999999998E-2</v>
      </c>
      <c r="J2028" s="15">
        <v>3.4942263279445731</v>
      </c>
    </row>
    <row r="2029" spans="1:10" x14ac:dyDescent="0.25">
      <c r="A2029" s="2" t="s">
        <v>6083</v>
      </c>
      <c r="B2029" s="2" t="s">
        <v>6084</v>
      </c>
      <c r="C2029" s="2" t="s">
        <v>6085</v>
      </c>
      <c r="D2029" s="2" t="s">
        <v>10051</v>
      </c>
      <c r="E2029" s="15">
        <v>-0.13650000000000001</v>
      </c>
      <c r="F2029" s="15">
        <v>8.4099999999999994E-2</v>
      </c>
      <c r="G2029" s="15">
        <v>0.1045</v>
      </c>
      <c r="H2029" s="15">
        <v>0.1653</v>
      </c>
      <c r="I2029" s="15">
        <v>4.1500000000000002E-2</v>
      </c>
      <c r="J2029" s="15">
        <v>3.9831325301204821</v>
      </c>
    </row>
    <row r="2030" spans="1:10" x14ac:dyDescent="0.25">
      <c r="A2030" s="2" t="s">
        <v>6086</v>
      </c>
      <c r="B2030" s="2" t="s">
        <v>6087</v>
      </c>
      <c r="C2030" s="2" t="s">
        <v>6088</v>
      </c>
      <c r="D2030" s="2" t="s">
        <v>10051</v>
      </c>
      <c r="E2030" s="15">
        <v>-0.1162</v>
      </c>
      <c r="F2030" s="15">
        <v>8.43E-2</v>
      </c>
      <c r="G2030" s="15">
        <v>0.16800000000000001</v>
      </c>
      <c r="H2030" s="15">
        <v>0.21240000000000001</v>
      </c>
      <c r="I2030" s="15">
        <v>4.3999999999999997E-2</v>
      </c>
      <c r="J2030" s="15">
        <v>4.827272727272728</v>
      </c>
    </row>
    <row r="2031" spans="1:10" x14ac:dyDescent="0.25">
      <c r="A2031" s="2" t="s">
        <v>6089</v>
      </c>
      <c r="B2031" s="2" t="s">
        <v>6090</v>
      </c>
      <c r="C2031" s="2" t="s">
        <v>6091</v>
      </c>
      <c r="D2031" s="2" t="s">
        <v>10051</v>
      </c>
      <c r="E2031" s="15">
        <v>-9.0899999999999995E-2</v>
      </c>
      <c r="F2031" s="15">
        <v>0.1242</v>
      </c>
      <c r="G2031" s="15">
        <v>0.46410000000000001</v>
      </c>
      <c r="H2031" s="15">
        <v>9.3299999999999994E-2</v>
      </c>
      <c r="I2031" s="15">
        <v>3.56E-2</v>
      </c>
      <c r="J2031" s="15">
        <v>2.6207865168539319</v>
      </c>
    </row>
    <row r="2032" spans="1:10" x14ac:dyDescent="0.25">
      <c r="A2032" s="2" t="s">
        <v>6092</v>
      </c>
      <c r="B2032" s="2" t="s">
        <v>6093</v>
      </c>
      <c r="C2032" s="2" t="s">
        <v>6094</v>
      </c>
      <c r="D2032" s="2" t="s">
        <v>10051</v>
      </c>
      <c r="E2032" s="15">
        <v>1.5699999999999999E-2</v>
      </c>
      <c r="F2032" s="15">
        <v>9.7500000000000003E-2</v>
      </c>
      <c r="G2032" s="15">
        <v>0.87229999999999996</v>
      </c>
      <c r="H2032" s="15">
        <v>0.1293</v>
      </c>
      <c r="I2032" s="15">
        <v>4.1599999999999998E-2</v>
      </c>
      <c r="J2032" s="15">
        <v>3.1081730769230771</v>
      </c>
    </row>
    <row r="2033" spans="1:10" x14ac:dyDescent="0.25">
      <c r="A2033" s="2" t="s">
        <v>6095</v>
      </c>
      <c r="B2033" s="2" t="s">
        <v>6096</v>
      </c>
      <c r="C2033" s="2" t="s">
        <v>6097</v>
      </c>
      <c r="D2033" s="2" t="s">
        <v>10051</v>
      </c>
      <c r="E2033" s="15">
        <v>-9.2899999999999996E-2</v>
      </c>
      <c r="F2033" s="15">
        <v>0.1166</v>
      </c>
      <c r="G2033" s="15">
        <v>0.42570000000000002</v>
      </c>
      <c r="H2033" s="15">
        <v>7.4099999999999999E-2</v>
      </c>
      <c r="I2033" s="15">
        <v>4.5199999999999997E-2</v>
      </c>
      <c r="J2033" s="15">
        <v>1.639380530973451</v>
      </c>
    </row>
    <row r="2034" spans="1:10" x14ac:dyDescent="0.25">
      <c r="A2034" s="2" t="s">
        <v>6098</v>
      </c>
      <c r="B2034" s="2" t="s">
        <v>6099</v>
      </c>
      <c r="C2034" s="2" t="s">
        <v>6100</v>
      </c>
      <c r="D2034" s="2" t="s">
        <v>10051</v>
      </c>
      <c r="E2034" s="15">
        <v>-8.5199999999999998E-2</v>
      </c>
      <c r="F2034" s="15">
        <v>0.1</v>
      </c>
      <c r="G2034" s="15">
        <v>0.39419999999999999</v>
      </c>
      <c r="H2034" s="15">
        <v>0.10249999999999999</v>
      </c>
      <c r="I2034" s="15">
        <v>3.95E-2</v>
      </c>
      <c r="J2034" s="15">
        <v>2.5949367088607591</v>
      </c>
    </row>
    <row r="2035" spans="1:10" x14ac:dyDescent="0.25">
      <c r="A2035" s="2" t="s">
        <v>6101</v>
      </c>
      <c r="B2035" s="2" t="s">
        <v>6102</v>
      </c>
      <c r="C2035" s="2" t="s">
        <v>6103</v>
      </c>
      <c r="D2035" s="2" t="s">
        <v>10051</v>
      </c>
      <c r="E2035" s="15">
        <v>-0.15859999999999999</v>
      </c>
      <c r="F2035" s="15">
        <v>7.1999999999999995E-2</v>
      </c>
      <c r="G2035" s="15">
        <v>2.76E-2</v>
      </c>
      <c r="H2035" s="15">
        <v>0.2437</v>
      </c>
      <c r="I2035" s="15">
        <v>4.2500000000000003E-2</v>
      </c>
      <c r="J2035" s="15">
        <v>5.7341176470588229</v>
      </c>
    </row>
    <row r="2036" spans="1:10" x14ac:dyDescent="0.25">
      <c r="A2036" s="2" t="s">
        <v>6104</v>
      </c>
      <c r="B2036" s="2" t="s">
        <v>6105</v>
      </c>
      <c r="C2036" s="2" t="s">
        <v>6106</v>
      </c>
      <c r="D2036" s="2" t="s">
        <v>10051</v>
      </c>
      <c r="E2036" s="15">
        <v>-0.1389</v>
      </c>
      <c r="F2036" s="15">
        <v>7.4399999999999994E-2</v>
      </c>
      <c r="G2036" s="15">
        <v>6.1699999999999998E-2</v>
      </c>
      <c r="H2036" s="15">
        <v>0.24979999999999999</v>
      </c>
      <c r="I2036" s="15">
        <v>4.4499999999999998E-2</v>
      </c>
      <c r="J2036" s="15">
        <v>5.6134831460674146</v>
      </c>
    </row>
    <row r="2037" spans="1:10" x14ac:dyDescent="0.25">
      <c r="A2037" s="2" t="s">
        <v>6107</v>
      </c>
      <c r="B2037" s="2" t="s">
        <v>6108</v>
      </c>
      <c r="C2037" s="2" t="s">
        <v>6109</v>
      </c>
      <c r="D2037" s="2" t="s">
        <v>10051</v>
      </c>
      <c r="E2037" s="15">
        <v>-0.1404</v>
      </c>
      <c r="F2037" s="15">
        <v>0.13289999999999999</v>
      </c>
      <c r="G2037" s="15">
        <v>0.2908</v>
      </c>
      <c r="H2037" s="15">
        <v>7.3400000000000007E-2</v>
      </c>
      <c r="I2037" s="15">
        <v>4.5499999999999999E-2</v>
      </c>
      <c r="J2037" s="15">
        <v>1.613186813186813</v>
      </c>
    </row>
    <row r="2038" spans="1:10" x14ac:dyDescent="0.25">
      <c r="A2038" s="2" t="s">
        <v>6110</v>
      </c>
      <c r="B2038" s="2" t="s">
        <v>6111</v>
      </c>
      <c r="C2038" s="2" t="s">
        <v>6112</v>
      </c>
      <c r="D2038" s="2" t="s">
        <v>10051</v>
      </c>
      <c r="E2038" s="15">
        <v>-0.16089999999999999</v>
      </c>
      <c r="F2038" s="15">
        <v>6.4799999999999996E-2</v>
      </c>
      <c r="G2038" s="15">
        <v>1.2999999999999999E-2</v>
      </c>
      <c r="H2038" s="15">
        <v>0.2611</v>
      </c>
      <c r="I2038" s="15">
        <v>4.4600000000000001E-2</v>
      </c>
      <c r="J2038" s="15">
        <v>5.8542600896860986</v>
      </c>
    </row>
    <row r="2039" spans="1:10" x14ac:dyDescent="0.25">
      <c r="A2039" s="2" t="s">
        <v>6113</v>
      </c>
      <c r="B2039" s="2" t="s">
        <v>6114</v>
      </c>
      <c r="C2039" s="2" t="s">
        <v>6115</v>
      </c>
      <c r="D2039" s="2" t="s">
        <v>10051</v>
      </c>
      <c r="E2039" s="15">
        <v>-1.89E-2</v>
      </c>
      <c r="F2039" s="15">
        <v>9.1800000000000007E-2</v>
      </c>
      <c r="G2039" s="15">
        <v>0.83689999999999998</v>
      </c>
      <c r="H2039" s="15">
        <v>0.13239999999999999</v>
      </c>
      <c r="I2039" s="15">
        <v>3.9899999999999998E-2</v>
      </c>
      <c r="J2039" s="15">
        <v>3.318295739348371</v>
      </c>
    </row>
    <row r="2040" spans="1:10" x14ac:dyDescent="0.25">
      <c r="A2040" s="2" t="s">
        <v>6116</v>
      </c>
      <c r="B2040" s="2" t="s">
        <v>6117</v>
      </c>
      <c r="C2040" s="2" t="s">
        <v>6118</v>
      </c>
      <c r="D2040" s="2" t="s">
        <v>10051</v>
      </c>
      <c r="E2040" s="15">
        <v>-0.1041</v>
      </c>
      <c r="F2040" s="15">
        <v>7.8700000000000006E-2</v>
      </c>
      <c r="G2040" s="15">
        <v>0.18579999999999999</v>
      </c>
      <c r="H2040" s="15">
        <v>0.18540000000000001</v>
      </c>
      <c r="I2040" s="15">
        <v>4.1799999999999997E-2</v>
      </c>
      <c r="J2040" s="15">
        <v>4.4354066985645941</v>
      </c>
    </row>
    <row r="2041" spans="1:10" x14ac:dyDescent="0.25">
      <c r="A2041" s="2" t="s">
        <v>6119</v>
      </c>
      <c r="B2041" s="2" t="s">
        <v>6120</v>
      </c>
      <c r="C2041" s="2" t="s">
        <v>6121</v>
      </c>
      <c r="D2041" s="2" t="s">
        <v>10051</v>
      </c>
      <c r="E2041" s="15">
        <v>-0.16189999999999999</v>
      </c>
      <c r="F2041" s="15">
        <v>9.4E-2</v>
      </c>
      <c r="G2041" s="15">
        <v>8.5099999999999995E-2</v>
      </c>
      <c r="H2041" s="15">
        <v>0.1326</v>
      </c>
      <c r="I2041" s="15">
        <v>3.9699999999999999E-2</v>
      </c>
      <c r="J2041" s="15">
        <v>3.3400503778337529</v>
      </c>
    </row>
    <row r="2042" spans="1:10" x14ac:dyDescent="0.25">
      <c r="A2042" s="2" t="s">
        <v>6122</v>
      </c>
      <c r="B2042" s="2" t="s">
        <v>6123</v>
      </c>
      <c r="C2042" s="2" t="s">
        <v>6124</v>
      </c>
      <c r="D2042" s="2" t="s">
        <v>10051</v>
      </c>
      <c r="E2042" s="15">
        <v>-9.98E-2</v>
      </c>
      <c r="F2042" s="15">
        <v>8.5599999999999996E-2</v>
      </c>
      <c r="G2042" s="15">
        <v>0.24399999999999999</v>
      </c>
      <c r="H2042" s="15">
        <v>0.20630000000000001</v>
      </c>
      <c r="I2042" s="15">
        <v>4.1500000000000002E-2</v>
      </c>
      <c r="J2042" s="15">
        <v>4.9710843373493976</v>
      </c>
    </row>
    <row r="2043" spans="1:10" x14ac:dyDescent="0.25">
      <c r="A2043" s="2" t="s">
        <v>6125</v>
      </c>
      <c r="B2043" s="2" t="s">
        <v>6126</v>
      </c>
      <c r="C2043" s="2" t="s">
        <v>6127</v>
      </c>
      <c r="D2043" s="2" t="s">
        <v>10051</v>
      </c>
      <c r="E2043" s="15">
        <v>-8.5699999999999998E-2</v>
      </c>
      <c r="F2043" s="15">
        <v>0.10630000000000001</v>
      </c>
      <c r="G2043" s="15">
        <v>0.42</v>
      </c>
      <c r="H2043" s="15">
        <v>7.9500000000000001E-2</v>
      </c>
      <c r="I2043" s="15">
        <v>3.61E-2</v>
      </c>
      <c r="J2043" s="15">
        <v>2.202216066481995</v>
      </c>
    </row>
    <row r="2044" spans="1:10" x14ac:dyDescent="0.25">
      <c r="A2044" s="2" t="s">
        <v>6128</v>
      </c>
      <c r="B2044" s="2" t="s">
        <v>6129</v>
      </c>
      <c r="C2044" s="2" t="s">
        <v>6130</v>
      </c>
      <c r="D2044" s="2" t="s">
        <v>10051</v>
      </c>
      <c r="E2044" s="15">
        <v>-3.6299999999999999E-2</v>
      </c>
      <c r="F2044" s="15">
        <v>6.9000000000000006E-2</v>
      </c>
      <c r="G2044" s="15">
        <v>0.5988</v>
      </c>
      <c r="H2044" s="15">
        <v>0.2258</v>
      </c>
      <c r="I2044" s="15">
        <v>4.3200000000000002E-2</v>
      </c>
      <c r="J2044" s="15">
        <v>5.2268518518518512</v>
      </c>
    </row>
    <row r="2045" spans="1:10" x14ac:dyDescent="0.25">
      <c r="A2045" s="2" t="s">
        <v>6131</v>
      </c>
      <c r="B2045" s="2" t="s">
        <v>6132</v>
      </c>
      <c r="C2045" s="2" t="s">
        <v>6133</v>
      </c>
      <c r="D2045" s="2" t="s">
        <v>10051</v>
      </c>
      <c r="E2045" s="15">
        <v>-2.5700000000000001E-2</v>
      </c>
      <c r="F2045" s="15">
        <v>7.6499999999999999E-2</v>
      </c>
      <c r="G2045" s="15">
        <v>0.73709999999999998</v>
      </c>
      <c r="H2045" s="15">
        <v>0.19409999999999999</v>
      </c>
      <c r="I2045" s="15">
        <v>4.0800000000000003E-2</v>
      </c>
      <c r="J2045" s="15">
        <v>4.7573529411764701</v>
      </c>
    </row>
    <row r="2046" spans="1:10" x14ac:dyDescent="0.25">
      <c r="A2046" s="2" t="s">
        <v>6134</v>
      </c>
      <c r="B2046" s="2" t="s">
        <v>6135</v>
      </c>
      <c r="C2046" s="2" t="s">
        <v>6136</v>
      </c>
      <c r="D2046" s="2" t="s">
        <v>10051</v>
      </c>
      <c r="E2046" s="15">
        <v>-0.10730000000000001</v>
      </c>
      <c r="F2046" s="15">
        <v>9.5500000000000002E-2</v>
      </c>
      <c r="G2046" s="15">
        <v>0.26119999999999999</v>
      </c>
      <c r="H2046" s="15">
        <v>0.1157</v>
      </c>
      <c r="I2046" s="15">
        <v>4.3400000000000001E-2</v>
      </c>
      <c r="J2046" s="15">
        <v>2.66589861751152</v>
      </c>
    </row>
    <row r="2047" spans="1:10" x14ac:dyDescent="0.25">
      <c r="A2047" s="2" t="s">
        <v>6137</v>
      </c>
      <c r="B2047" s="2" t="s">
        <v>6138</v>
      </c>
      <c r="C2047" s="2" t="s">
        <v>6139</v>
      </c>
      <c r="D2047" s="2" t="s">
        <v>10051</v>
      </c>
      <c r="E2047" s="15">
        <v>-0.14099999999999999</v>
      </c>
      <c r="F2047" s="15">
        <v>9.8500000000000004E-2</v>
      </c>
      <c r="G2047" s="15">
        <v>0.1522</v>
      </c>
      <c r="H2047" s="15">
        <v>0.14000000000000001</v>
      </c>
      <c r="I2047" s="15">
        <v>3.9800000000000002E-2</v>
      </c>
      <c r="J2047" s="15">
        <v>3.517587939698493</v>
      </c>
    </row>
    <row r="2048" spans="1:10" x14ac:dyDescent="0.25">
      <c r="A2048" s="2" t="s">
        <v>6140</v>
      </c>
      <c r="B2048" s="2" t="s">
        <v>6141</v>
      </c>
      <c r="C2048" s="2" t="s">
        <v>6142</v>
      </c>
      <c r="D2048" s="2" t="s">
        <v>10051</v>
      </c>
      <c r="E2048" s="15">
        <v>-0.11020000000000001</v>
      </c>
      <c r="F2048" s="15">
        <v>7.6600000000000001E-2</v>
      </c>
      <c r="G2048" s="15">
        <v>0.1502</v>
      </c>
      <c r="H2048" s="15">
        <v>0.27929999999999999</v>
      </c>
      <c r="I2048" s="15">
        <v>5.2299999999999999E-2</v>
      </c>
      <c r="J2048" s="15">
        <v>5.3403441682600379</v>
      </c>
    </row>
    <row r="2049" spans="1:10" x14ac:dyDescent="0.25">
      <c r="A2049" s="2" t="s">
        <v>6143</v>
      </c>
      <c r="B2049" s="2" t="s">
        <v>6144</v>
      </c>
      <c r="C2049" s="2" t="s">
        <v>6145</v>
      </c>
      <c r="D2049" s="2" t="s">
        <v>10051</v>
      </c>
      <c r="E2049" s="15">
        <v>-4.3200000000000002E-2</v>
      </c>
      <c r="F2049" s="15">
        <v>7.0000000000000007E-2</v>
      </c>
      <c r="G2049" s="15">
        <v>0.5373</v>
      </c>
      <c r="H2049" s="15">
        <v>0.32040000000000002</v>
      </c>
      <c r="I2049" s="15">
        <v>4.5600000000000002E-2</v>
      </c>
      <c r="J2049" s="15">
        <v>7.0263157894736841</v>
      </c>
    </row>
    <row r="2050" spans="1:10" x14ac:dyDescent="0.25">
      <c r="A2050" s="2" t="s">
        <v>6146</v>
      </c>
      <c r="B2050" s="2" t="s">
        <v>6147</v>
      </c>
      <c r="C2050" s="2" t="s">
        <v>6148</v>
      </c>
      <c r="D2050" s="2" t="s">
        <v>10051</v>
      </c>
      <c r="E2050" s="15">
        <v>-0.14119999999999999</v>
      </c>
      <c r="F2050" s="15">
        <v>7.9299999999999995E-2</v>
      </c>
      <c r="G2050" s="15">
        <v>7.4899999999999994E-2</v>
      </c>
      <c r="H2050" s="15">
        <v>0.2495</v>
      </c>
      <c r="I2050" s="15">
        <v>4.2099999999999999E-2</v>
      </c>
      <c r="J2050" s="15">
        <v>5.9263657957244664</v>
      </c>
    </row>
    <row r="2051" spans="1:10" x14ac:dyDescent="0.25">
      <c r="A2051" s="2" t="s">
        <v>6149</v>
      </c>
      <c r="B2051" s="2" t="s">
        <v>6150</v>
      </c>
      <c r="C2051" s="2" t="s">
        <v>6151</v>
      </c>
      <c r="D2051" s="2" t="s">
        <v>10051</v>
      </c>
      <c r="E2051" s="15">
        <v>-0.15640000000000001</v>
      </c>
      <c r="F2051" s="15">
        <v>8.0600000000000005E-2</v>
      </c>
      <c r="G2051" s="15">
        <v>5.2499999999999998E-2</v>
      </c>
      <c r="H2051" s="15">
        <v>0.24460000000000001</v>
      </c>
      <c r="I2051" s="15">
        <v>3.95E-2</v>
      </c>
      <c r="J2051" s="15">
        <v>6.1924050632911394</v>
      </c>
    </row>
    <row r="2052" spans="1:10" x14ac:dyDescent="0.25">
      <c r="A2052" s="2" t="s">
        <v>6152</v>
      </c>
      <c r="B2052" s="2" t="s">
        <v>6153</v>
      </c>
      <c r="C2052" s="2" t="s">
        <v>6154</v>
      </c>
      <c r="D2052" s="2" t="s">
        <v>10051</v>
      </c>
      <c r="E2052" s="15">
        <v>-5.5100000000000003E-2</v>
      </c>
      <c r="F2052" s="15">
        <v>7.4800000000000005E-2</v>
      </c>
      <c r="G2052" s="15">
        <v>0.46139999999999998</v>
      </c>
      <c r="H2052" s="15">
        <v>0.21379999999999999</v>
      </c>
      <c r="I2052" s="15">
        <v>4.65E-2</v>
      </c>
      <c r="J2052" s="15">
        <v>4.5978494623655912</v>
      </c>
    </row>
    <row r="2053" spans="1:10" x14ac:dyDescent="0.25">
      <c r="A2053" s="2" t="s">
        <v>6155</v>
      </c>
      <c r="B2053" s="2" t="s">
        <v>6156</v>
      </c>
      <c r="C2053" s="2" t="s">
        <v>6157</v>
      </c>
      <c r="D2053" s="2" t="s">
        <v>10051</v>
      </c>
      <c r="E2053" s="15">
        <v>-7.5899999999999995E-2</v>
      </c>
      <c r="F2053" s="15">
        <v>8.0600000000000005E-2</v>
      </c>
      <c r="G2053" s="15">
        <v>0.3463</v>
      </c>
      <c r="H2053" s="15">
        <v>0.16869999999999999</v>
      </c>
      <c r="I2053" s="15">
        <v>4.3499999999999997E-2</v>
      </c>
      <c r="J2053" s="15">
        <v>3.87816091954023</v>
      </c>
    </row>
    <row r="2054" spans="1:10" x14ac:dyDescent="0.25">
      <c r="A2054" s="2" t="s">
        <v>6158</v>
      </c>
      <c r="B2054" s="2" t="s">
        <v>6159</v>
      </c>
      <c r="C2054" s="2" t="s">
        <v>6160</v>
      </c>
      <c r="D2054" s="2" t="s">
        <v>10052</v>
      </c>
      <c r="E2054" s="15">
        <v>-5.0200000000000002E-2</v>
      </c>
      <c r="F2054" s="15">
        <v>7.9699999999999993E-2</v>
      </c>
      <c r="G2054" s="15">
        <v>0.52880000000000005</v>
      </c>
      <c r="H2054" s="15">
        <v>0.1633</v>
      </c>
      <c r="I2054" s="15">
        <v>3.9699999999999999E-2</v>
      </c>
      <c r="J2054" s="15">
        <v>4.1133501259445842</v>
      </c>
    </row>
    <row r="2055" spans="1:10" x14ac:dyDescent="0.25">
      <c r="A2055" s="2" t="s">
        <v>6161</v>
      </c>
      <c r="B2055" s="2" t="s">
        <v>6162</v>
      </c>
      <c r="C2055" s="2" t="s">
        <v>6163</v>
      </c>
      <c r="D2055" s="2" t="s">
        <v>10052</v>
      </c>
      <c r="E2055" s="15">
        <v>-1.5E-3</v>
      </c>
      <c r="F2055" s="15">
        <v>8.5400000000000004E-2</v>
      </c>
      <c r="G2055" s="15">
        <v>0.98580000000000001</v>
      </c>
      <c r="H2055" s="15">
        <v>0.16589999999999999</v>
      </c>
      <c r="I2055" s="15">
        <v>4.19E-2</v>
      </c>
      <c r="J2055" s="15">
        <v>3.9594272076372312</v>
      </c>
    </row>
    <row r="2056" spans="1:10" x14ac:dyDescent="0.25">
      <c r="A2056" s="2" t="s">
        <v>6164</v>
      </c>
      <c r="B2056" s="2" t="s">
        <v>6165</v>
      </c>
      <c r="C2056" s="2" t="s">
        <v>6166</v>
      </c>
      <c r="D2056" s="2" t="s">
        <v>10052</v>
      </c>
      <c r="E2056" s="15">
        <v>-1.11E-2</v>
      </c>
      <c r="F2056" s="15">
        <v>7.3200000000000001E-2</v>
      </c>
      <c r="G2056" s="15">
        <v>0.87990000000000002</v>
      </c>
      <c r="H2056" s="15">
        <v>0.21</v>
      </c>
      <c r="I2056" s="15">
        <v>3.6900000000000002E-2</v>
      </c>
      <c r="J2056" s="15">
        <v>5.6910569105691051</v>
      </c>
    </row>
    <row r="2057" spans="1:10" x14ac:dyDescent="0.25">
      <c r="A2057" s="2" t="s">
        <v>6167</v>
      </c>
      <c r="B2057" s="2" t="s">
        <v>6168</v>
      </c>
      <c r="C2057" s="2" t="s">
        <v>6169</v>
      </c>
      <c r="D2057" s="2" t="s">
        <v>10052</v>
      </c>
      <c r="E2057" s="15">
        <v>3.4200000000000001E-2</v>
      </c>
      <c r="F2057" s="15">
        <v>6.5699999999999995E-2</v>
      </c>
      <c r="G2057" s="15">
        <v>0.60199999999999998</v>
      </c>
      <c r="H2057" s="15">
        <v>0.25219999999999998</v>
      </c>
      <c r="I2057" s="15">
        <v>4.2799999999999998E-2</v>
      </c>
      <c r="J2057" s="15">
        <v>5.8925233644859816</v>
      </c>
    </row>
    <row r="2058" spans="1:10" x14ac:dyDescent="0.25">
      <c r="A2058" s="2" t="s">
        <v>6170</v>
      </c>
      <c r="B2058" s="2" t="s">
        <v>6171</v>
      </c>
      <c r="C2058" s="2" t="s">
        <v>6172</v>
      </c>
      <c r="D2058" s="2" t="s">
        <v>10052</v>
      </c>
      <c r="E2058" s="15">
        <v>1.5299999999999999E-2</v>
      </c>
      <c r="F2058" s="15">
        <v>0.1087</v>
      </c>
      <c r="G2058" s="15">
        <v>0.88829999999999998</v>
      </c>
      <c r="H2058" s="15">
        <v>0.1018</v>
      </c>
      <c r="I2058" s="15">
        <v>3.8199999999999998E-2</v>
      </c>
      <c r="J2058" s="15">
        <v>2.664921465968586</v>
      </c>
    </row>
    <row r="2059" spans="1:10" x14ac:dyDescent="0.25">
      <c r="A2059" s="2" t="s">
        <v>6173</v>
      </c>
      <c r="B2059" s="2" t="s">
        <v>6174</v>
      </c>
      <c r="C2059" s="2" t="s">
        <v>6175</v>
      </c>
      <c r="D2059" s="2" t="s">
        <v>10052</v>
      </c>
      <c r="E2059" s="15">
        <v>0.11899999999999999</v>
      </c>
      <c r="F2059" s="15">
        <v>6.7900000000000002E-2</v>
      </c>
      <c r="G2059" s="15">
        <v>7.9699999999999993E-2</v>
      </c>
      <c r="H2059" s="15">
        <v>0.28699999999999998</v>
      </c>
      <c r="I2059" s="15">
        <v>4.8899999999999999E-2</v>
      </c>
      <c r="J2059" s="15">
        <v>5.8691206543967276</v>
      </c>
    </row>
    <row r="2060" spans="1:10" x14ac:dyDescent="0.25">
      <c r="A2060" s="2" t="s">
        <v>6176</v>
      </c>
      <c r="B2060" s="2" t="s">
        <v>6177</v>
      </c>
      <c r="C2060" s="2" t="s">
        <v>6178</v>
      </c>
      <c r="D2060" s="2" t="s">
        <v>10052</v>
      </c>
      <c r="E2060" s="15">
        <v>2.5000000000000001E-3</v>
      </c>
      <c r="F2060" s="15">
        <v>9.0800000000000006E-2</v>
      </c>
      <c r="G2060" s="15">
        <v>0.97819999999999996</v>
      </c>
      <c r="H2060" s="15">
        <v>0.13350000000000001</v>
      </c>
      <c r="I2060" s="15">
        <v>3.7600000000000001E-2</v>
      </c>
      <c r="J2060" s="15">
        <v>3.5505319148936172</v>
      </c>
    </row>
    <row r="2061" spans="1:10" x14ac:dyDescent="0.25">
      <c r="A2061" s="2" t="s">
        <v>6179</v>
      </c>
      <c r="B2061" s="2" t="s">
        <v>6180</v>
      </c>
      <c r="C2061" s="2" t="s">
        <v>6181</v>
      </c>
      <c r="D2061" s="2" t="s">
        <v>10052</v>
      </c>
      <c r="E2061" s="15">
        <v>-2.0199999999999999E-2</v>
      </c>
      <c r="F2061" s="15">
        <v>0.1003</v>
      </c>
      <c r="G2061" s="15">
        <v>0.8407</v>
      </c>
      <c r="H2061" s="15">
        <v>0.11899999999999999</v>
      </c>
      <c r="I2061" s="15">
        <v>3.9E-2</v>
      </c>
      <c r="J2061" s="15">
        <v>3.0512820512820511</v>
      </c>
    </row>
    <row r="2062" spans="1:10" x14ac:dyDescent="0.25">
      <c r="A2062" s="2" t="s">
        <v>6182</v>
      </c>
      <c r="B2062" s="2" t="s">
        <v>6183</v>
      </c>
      <c r="C2062" s="2" t="s">
        <v>6184</v>
      </c>
      <c r="D2062" s="2" t="s">
        <v>10052</v>
      </c>
      <c r="E2062" s="15">
        <v>-1.2999999999999999E-3</v>
      </c>
      <c r="F2062" s="15">
        <v>0.11749999999999999</v>
      </c>
      <c r="G2062" s="15">
        <v>0.99099999999999999</v>
      </c>
      <c r="H2062" s="15">
        <v>8.9300000000000004E-2</v>
      </c>
      <c r="I2062" s="15">
        <v>3.7600000000000001E-2</v>
      </c>
      <c r="J2062" s="15">
        <v>2.375</v>
      </c>
    </row>
    <row r="2063" spans="1:10" x14ac:dyDescent="0.25">
      <c r="A2063" s="2" t="s">
        <v>6185</v>
      </c>
      <c r="B2063" s="2" t="s">
        <v>6186</v>
      </c>
      <c r="C2063" s="2" t="s">
        <v>6187</v>
      </c>
      <c r="D2063" s="2" t="s">
        <v>10052</v>
      </c>
      <c r="E2063" s="15">
        <v>-0.1007</v>
      </c>
      <c r="F2063" s="15">
        <v>0.1308</v>
      </c>
      <c r="G2063" s="15">
        <v>0.44140000000000001</v>
      </c>
      <c r="H2063" s="15">
        <v>7.1499999999999994E-2</v>
      </c>
      <c r="I2063" s="15">
        <v>3.78E-2</v>
      </c>
      <c r="J2063" s="15">
        <v>1.891534391534391</v>
      </c>
    </row>
    <row r="2064" spans="1:10" x14ac:dyDescent="0.25">
      <c r="A2064" s="2" t="s">
        <v>6188</v>
      </c>
      <c r="B2064" s="2" t="s">
        <v>6189</v>
      </c>
      <c r="C2064" s="2" t="s">
        <v>6190</v>
      </c>
      <c r="D2064" s="2" t="s">
        <v>10052</v>
      </c>
      <c r="E2064" s="15">
        <v>1.9E-2</v>
      </c>
      <c r="F2064" s="15">
        <v>0.14460000000000001</v>
      </c>
      <c r="G2064" s="15">
        <v>0.89559999999999995</v>
      </c>
      <c r="H2064" s="15">
        <v>4.99E-2</v>
      </c>
      <c r="I2064" s="15">
        <v>3.9399999999999998E-2</v>
      </c>
      <c r="J2064" s="15">
        <v>1.266497461928934</v>
      </c>
    </row>
    <row r="2065" spans="1:10" x14ac:dyDescent="0.25">
      <c r="A2065" s="2" t="s">
        <v>6191</v>
      </c>
      <c r="B2065" s="2" t="s">
        <v>6192</v>
      </c>
      <c r="C2065" s="2" t="s">
        <v>6193</v>
      </c>
      <c r="D2065" s="2" t="s">
        <v>10052</v>
      </c>
      <c r="E2065" s="15">
        <v>-9.0800000000000006E-2</v>
      </c>
      <c r="F2065" s="15">
        <v>0.15110000000000001</v>
      </c>
      <c r="G2065" s="15">
        <v>0.54810000000000003</v>
      </c>
      <c r="H2065" s="15">
        <v>4.7100000000000003E-2</v>
      </c>
      <c r="I2065" s="15">
        <v>3.2800000000000003E-2</v>
      </c>
      <c r="J2065" s="15">
        <v>1.4359756097560981</v>
      </c>
    </row>
    <row r="2066" spans="1:10" x14ac:dyDescent="0.25">
      <c r="A2066" s="2" t="s">
        <v>6194</v>
      </c>
      <c r="B2066" s="2" t="s">
        <v>6195</v>
      </c>
      <c r="C2066" s="2" t="s">
        <v>6196</v>
      </c>
      <c r="D2066" s="2" t="s">
        <v>10052</v>
      </c>
      <c r="E2066" s="15">
        <v>-6.3299999999999995E-2</v>
      </c>
      <c r="F2066" s="15">
        <v>8.0399999999999999E-2</v>
      </c>
      <c r="G2066" s="15">
        <v>0.43099999999999999</v>
      </c>
      <c r="H2066" s="15">
        <v>0.15770000000000001</v>
      </c>
      <c r="I2066" s="15">
        <v>4.0599999999999997E-2</v>
      </c>
      <c r="J2066" s="15">
        <v>3.8842364532019711</v>
      </c>
    </row>
    <row r="2067" spans="1:10" x14ac:dyDescent="0.25">
      <c r="A2067" s="2" t="s">
        <v>6197</v>
      </c>
      <c r="B2067" s="2" t="s">
        <v>6198</v>
      </c>
      <c r="C2067" s="2" t="s">
        <v>6199</v>
      </c>
      <c r="D2067" s="2" t="s">
        <v>10052</v>
      </c>
      <c r="E2067" s="15">
        <v>-4.07E-2</v>
      </c>
      <c r="F2067" s="15">
        <v>8.5000000000000006E-2</v>
      </c>
      <c r="G2067" s="15">
        <v>0.63170000000000004</v>
      </c>
      <c r="H2067" s="15">
        <v>0.1699</v>
      </c>
      <c r="I2067" s="15">
        <v>4.2299999999999997E-2</v>
      </c>
      <c r="J2067" s="15">
        <v>4.0165484633569744</v>
      </c>
    </row>
    <row r="2068" spans="1:10" x14ac:dyDescent="0.25">
      <c r="A2068" s="2" t="s">
        <v>6200</v>
      </c>
      <c r="B2068" s="2" t="s">
        <v>6201</v>
      </c>
      <c r="C2068" s="2" t="s">
        <v>6202</v>
      </c>
      <c r="D2068" s="2" t="s">
        <v>10052</v>
      </c>
      <c r="E2068" s="15">
        <v>8.8700000000000001E-2</v>
      </c>
      <c r="F2068" s="15">
        <v>0.13869999999999999</v>
      </c>
      <c r="G2068" s="15">
        <v>0.52249999999999996</v>
      </c>
      <c r="H2068" s="15">
        <v>5.2900000000000003E-2</v>
      </c>
      <c r="I2068" s="15">
        <v>3.7999999999999999E-2</v>
      </c>
      <c r="J2068" s="15">
        <v>1.392105263157895</v>
      </c>
    </row>
    <row r="2069" spans="1:10" x14ac:dyDescent="0.25">
      <c r="A2069" s="2" t="s">
        <v>6203</v>
      </c>
      <c r="B2069" s="2" t="s">
        <v>6204</v>
      </c>
      <c r="C2069" s="2" t="s">
        <v>6205</v>
      </c>
      <c r="D2069" s="2" t="s">
        <v>10052</v>
      </c>
      <c r="E2069" s="15">
        <v>0.20300000000000001</v>
      </c>
      <c r="F2069" s="15">
        <v>0.13439999999999999</v>
      </c>
      <c r="G2069" s="15">
        <v>0.13089999999999999</v>
      </c>
      <c r="H2069" s="15">
        <v>6.8500000000000005E-2</v>
      </c>
      <c r="I2069" s="15">
        <v>3.8800000000000001E-2</v>
      </c>
      <c r="J2069" s="15">
        <v>1.7654639175257729</v>
      </c>
    </row>
    <row r="2070" spans="1:10" x14ac:dyDescent="0.25">
      <c r="A2070" s="2" t="s">
        <v>6206</v>
      </c>
      <c r="B2070" s="2" t="s">
        <v>6207</v>
      </c>
      <c r="C2070" s="2" t="s">
        <v>6208</v>
      </c>
      <c r="D2070" s="2" t="s">
        <v>10052</v>
      </c>
      <c r="E2070" s="15">
        <v>-2.2100000000000002E-2</v>
      </c>
      <c r="F2070" s="15">
        <v>8.43E-2</v>
      </c>
      <c r="G2070" s="15">
        <v>0.79320000000000002</v>
      </c>
      <c r="H2070" s="15">
        <v>0.1986</v>
      </c>
      <c r="I2070" s="15">
        <v>4.1300000000000003E-2</v>
      </c>
      <c r="J2070" s="15">
        <v>4.8087167070217918</v>
      </c>
    </row>
    <row r="2071" spans="1:10" x14ac:dyDescent="0.25">
      <c r="A2071" s="2" t="s">
        <v>6209</v>
      </c>
      <c r="B2071" s="2" t="s">
        <v>6210</v>
      </c>
      <c r="C2071" s="2" t="s">
        <v>6211</v>
      </c>
      <c r="D2071" s="2" t="s">
        <v>10052</v>
      </c>
      <c r="E2071" s="15">
        <v>6.5500000000000003E-2</v>
      </c>
      <c r="F2071" s="15">
        <v>6.59E-2</v>
      </c>
      <c r="G2071" s="15">
        <v>0.32040000000000002</v>
      </c>
      <c r="H2071" s="15">
        <v>0.24590000000000001</v>
      </c>
      <c r="I2071" s="15">
        <v>3.9600000000000003E-2</v>
      </c>
      <c r="J2071" s="15">
        <v>6.2095959595959593</v>
      </c>
    </row>
    <row r="2072" spans="1:10" x14ac:dyDescent="0.25">
      <c r="A2072" s="2" t="s">
        <v>6212</v>
      </c>
      <c r="B2072" s="2" t="s">
        <v>6213</v>
      </c>
      <c r="C2072" s="2" t="s">
        <v>6214</v>
      </c>
      <c r="D2072" s="2" t="s">
        <v>10052</v>
      </c>
      <c r="E2072" s="15">
        <v>4.4999999999999998E-2</v>
      </c>
      <c r="F2072" s="15">
        <v>0.15989999999999999</v>
      </c>
      <c r="G2072" s="15">
        <v>0.77859999999999996</v>
      </c>
      <c r="H2072" s="15">
        <v>5.3800000000000001E-2</v>
      </c>
      <c r="I2072" s="15">
        <v>4.1599999999999998E-2</v>
      </c>
      <c r="J2072" s="15">
        <v>1.2932692307692311</v>
      </c>
    </row>
    <row r="2073" spans="1:10" x14ac:dyDescent="0.25">
      <c r="A2073" s="2" t="s">
        <v>6215</v>
      </c>
      <c r="B2073" s="2" t="s">
        <v>6216</v>
      </c>
      <c r="C2073" s="2" t="s">
        <v>6217</v>
      </c>
      <c r="D2073" s="2" t="s">
        <v>10052</v>
      </c>
      <c r="E2073" s="15">
        <v>0.1071</v>
      </c>
      <c r="F2073" s="15">
        <v>0.16420000000000001</v>
      </c>
      <c r="G2073" s="15">
        <v>0.51419999999999999</v>
      </c>
      <c r="H2073" s="15">
        <v>4.2799999999999998E-2</v>
      </c>
      <c r="I2073" s="15">
        <v>3.8699999999999998E-2</v>
      </c>
      <c r="J2073" s="15">
        <v>1.10594315245478</v>
      </c>
    </row>
    <row r="2074" spans="1:10" x14ac:dyDescent="0.25">
      <c r="A2074" s="2" t="s">
        <v>6218</v>
      </c>
      <c r="B2074" s="2" t="s">
        <v>6219</v>
      </c>
      <c r="C2074" s="2" t="s">
        <v>6220</v>
      </c>
      <c r="D2074" s="2" t="s">
        <v>10052</v>
      </c>
      <c r="E2074" s="15">
        <v>-1.0200000000000001E-2</v>
      </c>
      <c r="F2074" s="15">
        <v>7.3599999999999999E-2</v>
      </c>
      <c r="G2074" s="15">
        <v>0.88970000000000005</v>
      </c>
      <c r="H2074" s="15">
        <v>0.18859999999999999</v>
      </c>
      <c r="I2074" s="15">
        <v>4.5699999999999998E-2</v>
      </c>
      <c r="J2074" s="15">
        <v>4.1269146608315097</v>
      </c>
    </row>
    <row r="2075" spans="1:10" x14ac:dyDescent="0.25">
      <c r="A2075" s="2" t="s">
        <v>6221</v>
      </c>
      <c r="B2075" s="2" t="s">
        <v>6222</v>
      </c>
      <c r="C2075" s="2" t="s">
        <v>6223</v>
      </c>
      <c r="D2075" s="2" t="s">
        <v>10052</v>
      </c>
      <c r="E2075" s="15">
        <v>0.1709</v>
      </c>
      <c r="F2075" s="15">
        <v>0.1046</v>
      </c>
      <c r="G2075" s="15">
        <v>0.10249999999999999</v>
      </c>
      <c r="H2075" s="15">
        <v>0.1067</v>
      </c>
      <c r="I2075" s="15">
        <v>3.9300000000000002E-2</v>
      </c>
      <c r="J2075" s="15">
        <v>2.715012722646311</v>
      </c>
    </row>
    <row r="2076" spans="1:10" x14ac:dyDescent="0.25">
      <c r="A2076" s="2" t="s">
        <v>6224</v>
      </c>
      <c r="B2076" s="2" t="s">
        <v>6225</v>
      </c>
      <c r="C2076" s="2" t="s">
        <v>6226</v>
      </c>
      <c r="D2076" s="2" t="s">
        <v>10052</v>
      </c>
      <c r="E2076" s="15">
        <v>-3.8600000000000002E-2</v>
      </c>
      <c r="F2076" s="15">
        <v>8.1699999999999995E-2</v>
      </c>
      <c r="G2076" s="15">
        <v>0.63629999999999998</v>
      </c>
      <c r="H2076" s="15">
        <v>0.18659999999999999</v>
      </c>
      <c r="I2076" s="15">
        <v>3.9699999999999999E-2</v>
      </c>
      <c r="J2076" s="15">
        <v>4.7002518891687659</v>
      </c>
    </row>
    <row r="2077" spans="1:10" x14ac:dyDescent="0.25">
      <c r="A2077" s="2" t="s">
        <v>6227</v>
      </c>
      <c r="B2077" s="2" t="s">
        <v>6228</v>
      </c>
      <c r="C2077" s="2" t="s">
        <v>6229</v>
      </c>
      <c r="D2077" s="2" t="s">
        <v>10052</v>
      </c>
      <c r="E2077" s="15">
        <v>2.5000000000000001E-3</v>
      </c>
      <c r="F2077" s="15">
        <v>8.5699999999999998E-2</v>
      </c>
      <c r="G2077" s="15">
        <v>0.9768</v>
      </c>
      <c r="H2077" s="15">
        <v>0.17119999999999999</v>
      </c>
      <c r="I2077" s="15">
        <v>4.0599999999999997E-2</v>
      </c>
      <c r="J2077" s="15">
        <v>4.2167487684729066</v>
      </c>
    </row>
    <row r="2078" spans="1:10" x14ac:dyDescent="0.25">
      <c r="A2078" s="2" t="s">
        <v>6230</v>
      </c>
      <c r="B2078" s="2" t="s">
        <v>6231</v>
      </c>
      <c r="C2078" s="2" t="s">
        <v>6232</v>
      </c>
      <c r="D2078" s="2" t="s">
        <v>10052</v>
      </c>
      <c r="E2078" s="15">
        <v>-3.32E-2</v>
      </c>
      <c r="F2078" s="15">
        <v>9.2499999999999999E-2</v>
      </c>
      <c r="G2078" s="15">
        <v>0.7198</v>
      </c>
      <c r="H2078" s="15">
        <v>0.1351</v>
      </c>
      <c r="I2078" s="15">
        <v>3.6299999999999999E-2</v>
      </c>
      <c r="J2078" s="15">
        <v>3.721763085399449</v>
      </c>
    </row>
    <row r="2079" spans="1:10" x14ac:dyDescent="0.25">
      <c r="A2079" s="2" t="s">
        <v>6233</v>
      </c>
      <c r="B2079" s="2" t="s">
        <v>6234</v>
      </c>
      <c r="C2079" s="2" t="s">
        <v>6235</v>
      </c>
      <c r="D2079" s="2" t="s">
        <v>10052</v>
      </c>
      <c r="E2079" s="15">
        <v>-9.8500000000000004E-2</v>
      </c>
      <c r="F2079" s="15">
        <v>8.3900000000000002E-2</v>
      </c>
      <c r="G2079" s="15">
        <v>0.24030000000000001</v>
      </c>
      <c r="H2079" s="15">
        <v>0.16520000000000001</v>
      </c>
      <c r="I2079" s="15">
        <v>3.9199999999999999E-2</v>
      </c>
      <c r="J2079" s="15">
        <v>4.2142857142857144</v>
      </c>
    </row>
    <row r="2080" spans="1:10" x14ac:dyDescent="0.25">
      <c r="A2080" s="2" t="s">
        <v>6236</v>
      </c>
      <c r="B2080" s="2" t="s">
        <v>6237</v>
      </c>
      <c r="C2080" s="2" t="s">
        <v>6238</v>
      </c>
      <c r="D2080" s="2" t="s">
        <v>10052</v>
      </c>
      <c r="E2080" s="15">
        <v>4.2200000000000001E-2</v>
      </c>
      <c r="F2080" s="15">
        <v>8.5900000000000004E-2</v>
      </c>
      <c r="G2080" s="15">
        <v>0.62329999999999997</v>
      </c>
      <c r="H2080" s="15">
        <v>0.14080000000000001</v>
      </c>
      <c r="I2080" s="15">
        <v>4.1000000000000002E-2</v>
      </c>
      <c r="J2080" s="15">
        <v>3.434146341463415</v>
      </c>
    </row>
    <row r="2081" spans="1:10" x14ac:dyDescent="0.25">
      <c r="A2081" s="2" t="s">
        <v>6239</v>
      </c>
      <c r="B2081" s="2" t="s">
        <v>6240</v>
      </c>
      <c r="C2081" s="2" t="s">
        <v>6241</v>
      </c>
      <c r="D2081" s="2" t="s">
        <v>10052</v>
      </c>
      <c r="E2081" s="15">
        <v>-4.87E-2</v>
      </c>
      <c r="F2081" s="15">
        <v>8.8599999999999998E-2</v>
      </c>
      <c r="G2081" s="15">
        <v>0.58250000000000002</v>
      </c>
      <c r="H2081" s="15">
        <v>0.157</v>
      </c>
      <c r="I2081" s="15">
        <v>4.4600000000000001E-2</v>
      </c>
      <c r="J2081" s="15">
        <v>3.52017937219731</v>
      </c>
    </row>
    <row r="2082" spans="1:10" x14ac:dyDescent="0.25">
      <c r="A2082" s="2" t="s">
        <v>6242</v>
      </c>
      <c r="B2082" s="2" t="s">
        <v>6243</v>
      </c>
      <c r="C2082" s="2" t="s">
        <v>6244</v>
      </c>
      <c r="D2082" s="2" t="s">
        <v>10052</v>
      </c>
      <c r="E2082" s="15">
        <v>-4.3999999999999997E-2</v>
      </c>
      <c r="F2082" s="15">
        <v>7.5600000000000001E-2</v>
      </c>
      <c r="G2082" s="15">
        <v>0.56020000000000003</v>
      </c>
      <c r="H2082" s="15">
        <v>0.21310000000000001</v>
      </c>
      <c r="I2082" s="15">
        <v>4.3999999999999997E-2</v>
      </c>
      <c r="J2082" s="15">
        <v>4.8431818181818187</v>
      </c>
    </row>
    <row r="2083" spans="1:10" x14ac:dyDescent="0.25">
      <c r="A2083" s="2" t="s">
        <v>6245</v>
      </c>
      <c r="B2083" s="2" t="s">
        <v>6246</v>
      </c>
      <c r="C2083" s="2" t="s">
        <v>6247</v>
      </c>
      <c r="D2083" s="2" t="s">
        <v>10052</v>
      </c>
      <c r="E2083" s="15">
        <v>3.39E-2</v>
      </c>
      <c r="F2083" s="15">
        <v>9.1800000000000007E-2</v>
      </c>
      <c r="G2083" s="15">
        <v>0.71189999999999998</v>
      </c>
      <c r="H2083" s="15">
        <v>0.15079999999999999</v>
      </c>
      <c r="I2083" s="15">
        <v>4.87E-2</v>
      </c>
      <c r="J2083" s="15">
        <v>3.0965092402464069</v>
      </c>
    </row>
    <row r="2084" spans="1:10" x14ac:dyDescent="0.25">
      <c r="A2084" s="2" t="s">
        <v>6248</v>
      </c>
      <c r="B2084" s="2" t="s">
        <v>6249</v>
      </c>
      <c r="C2084" s="2" t="s">
        <v>6250</v>
      </c>
      <c r="D2084" s="2" t="s">
        <v>10052</v>
      </c>
      <c r="E2084" s="15">
        <v>-3.1300000000000001E-2</v>
      </c>
      <c r="F2084" s="15">
        <v>9.0399999999999994E-2</v>
      </c>
      <c r="G2084" s="15">
        <v>0.72919999999999996</v>
      </c>
      <c r="H2084" s="15">
        <v>0.14169999999999999</v>
      </c>
      <c r="I2084" s="15">
        <v>4.1500000000000002E-2</v>
      </c>
      <c r="J2084" s="15">
        <v>3.4144578313253011</v>
      </c>
    </row>
    <row r="2085" spans="1:10" x14ac:dyDescent="0.25">
      <c r="A2085" s="2" t="s">
        <v>6251</v>
      </c>
      <c r="B2085" s="2" t="s">
        <v>6252</v>
      </c>
      <c r="C2085" s="2" t="s">
        <v>6253</v>
      </c>
      <c r="D2085" s="2" t="s">
        <v>10052</v>
      </c>
      <c r="E2085" s="15">
        <v>-7.3400000000000007E-2</v>
      </c>
      <c r="F2085" s="15">
        <v>7.46E-2</v>
      </c>
      <c r="G2085" s="15">
        <v>0.32519999999999999</v>
      </c>
      <c r="H2085" s="15">
        <v>0.1764</v>
      </c>
      <c r="I2085" s="15">
        <v>4.2700000000000002E-2</v>
      </c>
      <c r="J2085" s="15">
        <v>4.1311475409836067</v>
      </c>
    </row>
    <row r="2086" spans="1:10" x14ac:dyDescent="0.25">
      <c r="A2086" s="2" t="s">
        <v>6254</v>
      </c>
      <c r="B2086" s="2" t="s">
        <v>6255</v>
      </c>
      <c r="C2086" s="2" t="s">
        <v>6256</v>
      </c>
      <c r="D2086" s="2" t="s">
        <v>10052</v>
      </c>
      <c r="E2086" s="15">
        <v>5.7299999999999997E-2</v>
      </c>
      <c r="F2086" s="15">
        <v>7.4800000000000005E-2</v>
      </c>
      <c r="G2086" s="15">
        <v>0.44359999999999999</v>
      </c>
      <c r="H2086" s="15">
        <v>0.20669999999999999</v>
      </c>
      <c r="I2086" s="15">
        <v>5.0799999999999998E-2</v>
      </c>
      <c r="J2086" s="15">
        <v>4.0688976377952759</v>
      </c>
    </row>
    <row r="2087" spans="1:10" x14ac:dyDescent="0.25">
      <c r="A2087" s="2" t="s">
        <v>6257</v>
      </c>
      <c r="B2087" s="2" t="s">
        <v>6258</v>
      </c>
      <c r="C2087" s="2" t="s">
        <v>6259</v>
      </c>
      <c r="D2087" s="2" t="s">
        <v>10052</v>
      </c>
      <c r="E2087" s="15">
        <v>1.49E-2</v>
      </c>
      <c r="F2087" s="15">
        <v>7.7399999999999997E-2</v>
      </c>
      <c r="G2087" s="15">
        <v>0.84719999999999995</v>
      </c>
      <c r="H2087" s="15">
        <v>0.2135</v>
      </c>
      <c r="I2087" s="15">
        <v>5.0500000000000003E-2</v>
      </c>
      <c r="J2087" s="15">
        <v>4.227722772277227</v>
      </c>
    </row>
    <row r="2088" spans="1:10" x14ac:dyDescent="0.25">
      <c r="A2088" s="2" t="s">
        <v>6260</v>
      </c>
      <c r="B2088" s="2" t="s">
        <v>6261</v>
      </c>
      <c r="C2088" s="2" t="s">
        <v>6262</v>
      </c>
      <c r="D2088" s="2" t="s">
        <v>10052</v>
      </c>
      <c r="E2088" s="15">
        <v>-0.15590000000000001</v>
      </c>
      <c r="F2088" s="15">
        <v>6.7500000000000004E-2</v>
      </c>
      <c r="G2088" s="15">
        <v>2.0899999999999998E-2</v>
      </c>
      <c r="H2088" s="15">
        <v>0.23100000000000001</v>
      </c>
      <c r="I2088" s="15">
        <v>4.6600000000000003E-2</v>
      </c>
      <c r="J2088" s="15">
        <v>4.9570815450643773</v>
      </c>
    </row>
    <row r="2089" spans="1:10" x14ac:dyDescent="0.25">
      <c r="A2089" s="2" t="s">
        <v>6263</v>
      </c>
      <c r="B2089" s="2" t="s">
        <v>6264</v>
      </c>
      <c r="C2089" s="2" t="s">
        <v>6265</v>
      </c>
      <c r="D2089" s="2" t="s">
        <v>10052</v>
      </c>
      <c r="E2089" s="15">
        <v>-0.1119</v>
      </c>
      <c r="F2089" s="15">
        <v>7.7200000000000005E-2</v>
      </c>
      <c r="G2089" s="15">
        <v>0.1472</v>
      </c>
      <c r="H2089" s="15">
        <v>0.1981</v>
      </c>
      <c r="I2089" s="15">
        <v>4.7E-2</v>
      </c>
      <c r="J2089" s="15">
        <v>4.2148936170212767</v>
      </c>
    </row>
    <row r="2090" spans="1:10" x14ac:dyDescent="0.25">
      <c r="A2090" s="2" t="s">
        <v>6266</v>
      </c>
      <c r="B2090" s="2" t="s">
        <v>6267</v>
      </c>
      <c r="C2090" s="2" t="s">
        <v>6268</v>
      </c>
      <c r="D2090" s="2" t="s">
        <v>10052</v>
      </c>
      <c r="E2090" s="15">
        <v>0.1278</v>
      </c>
      <c r="F2090" s="15">
        <v>0.1641</v>
      </c>
      <c r="G2090" s="15">
        <v>0.436</v>
      </c>
      <c r="H2090" s="15">
        <v>5.8599999999999999E-2</v>
      </c>
      <c r="I2090" s="15">
        <v>3.9899999999999998E-2</v>
      </c>
      <c r="J2090" s="15">
        <v>1.468671679197995</v>
      </c>
    </row>
    <row r="2091" spans="1:10" x14ac:dyDescent="0.25">
      <c r="A2091" s="2" t="s">
        <v>6269</v>
      </c>
      <c r="B2091" s="2" t="s">
        <v>6270</v>
      </c>
      <c r="C2091" s="2" t="s">
        <v>6271</v>
      </c>
      <c r="D2091" s="2" t="s">
        <v>10052</v>
      </c>
      <c r="E2091" s="15">
        <v>4.6699999999999998E-2</v>
      </c>
      <c r="F2091" s="15">
        <v>0.1741</v>
      </c>
      <c r="G2091" s="15">
        <v>0.78849999999999998</v>
      </c>
      <c r="H2091" s="15">
        <v>3.9399999999999998E-2</v>
      </c>
      <c r="I2091" s="15">
        <v>3.95E-2</v>
      </c>
      <c r="J2091" s="15">
        <v>0.99746835443037962</v>
      </c>
    </row>
    <row r="2092" spans="1:10" x14ac:dyDescent="0.25">
      <c r="A2092" s="2" t="s">
        <v>6272</v>
      </c>
      <c r="B2092" s="2" t="s">
        <v>6273</v>
      </c>
      <c r="C2092" s="2" t="s">
        <v>6274</v>
      </c>
      <c r="D2092" s="2" t="s">
        <v>10052</v>
      </c>
      <c r="E2092" s="15">
        <v>-1.47E-2</v>
      </c>
      <c r="F2092" s="15">
        <v>9.8500000000000004E-2</v>
      </c>
      <c r="G2092" s="15">
        <v>0.88109999999999999</v>
      </c>
      <c r="H2092" s="15">
        <v>9.9000000000000005E-2</v>
      </c>
      <c r="I2092" s="15">
        <v>3.9199999999999999E-2</v>
      </c>
      <c r="J2092" s="15">
        <v>2.5255102040816331</v>
      </c>
    </row>
    <row r="2093" spans="1:10" x14ac:dyDescent="0.25">
      <c r="A2093" s="2" t="s">
        <v>6275</v>
      </c>
      <c r="B2093" s="2" t="s">
        <v>6276</v>
      </c>
      <c r="C2093" s="2" t="s">
        <v>6277</v>
      </c>
      <c r="D2093" s="2" t="s">
        <v>10052</v>
      </c>
      <c r="E2093" s="15">
        <v>-0.1169</v>
      </c>
      <c r="F2093" s="15">
        <v>0.15079999999999999</v>
      </c>
      <c r="G2093" s="15">
        <v>0.43809999999999999</v>
      </c>
      <c r="H2093" s="15">
        <v>5.5E-2</v>
      </c>
      <c r="I2093" s="15">
        <v>3.8600000000000002E-2</v>
      </c>
      <c r="J2093" s="15">
        <v>1.424870466321243</v>
      </c>
    </row>
    <row r="2094" spans="1:10" x14ac:dyDescent="0.25">
      <c r="A2094" s="2" t="s">
        <v>6278</v>
      </c>
      <c r="B2094" s="2" t="s">
        <v>6279</v>
      </c>
      <c r="C2094" s="2" t="s">
        <v>6280</v>
      </c>
      <c r="D2094" s="2" t="s">
        <v>10052</v>
      </c>
      <c r="E2094" s="15">
        <v>-7.2800000000000004E-2</v>
      </c>
      <c r="F2094" s="15">
        <v>6.3799999999999996E-2</v>
      </c>
      <c r="G2094" s="15">
        <v>0.25369999999999998</v>
      </c>
      <c r="H2094" s="15">
        <v>0.23050000000000001</v>
      </c>
      <c r="I2094" s="15">
        <v>4.5699999999999998E-2</v>
      </c>
      <c r="J2094" s="15">
        <v>5.0437636761487967</v>
      </c>
    </row>
    <row r="2095" spans="1:10" x14ac:dyDescent="0.25">
      <c r="A2095" s="2" t="s">
        <v>6281</v>
      </c>
      <c r="B2095" s="2" t="s">
        <v>6282</v>
      </c>
      <c r="C2095" s="2" t="s">
        <v>6283</v>
      </c>
      <c r="D2095" s="2" t="s">
        <v>10052</v>
      </c>
      <c r="E2095" s="15">
        <v>-1.7999999999999999E-2</v>
      </c>
      <c r="F2095" s="15">
        <v>6.5500000000000003E-2</v>
      </c>
      <c r="G2095" s="15">
        <v>0.78310000000000002</v>
      </c>
      <c r="H2095" s="15">
        <v>0.23980000000000001</v>
      </c>
      <c r="I2095" s="15">
        <v>4.4600000000000001E-2</v>
      </c>
      <c r="J2095" s="15">
        <v>5.376681614349776</v>
      </c>
    </row>
    <row r="2096" spans="1:10" x14ac:dyDescent="0.25">
      <c r="A2096" s="2" t="s">
        <v>6284</v>
      </c>
      <c r="B2096" s="2" t="s">
        <v>6285</v>
      </c>
      <c r="C2096" s="2" t="s">
        <v>6286</v>
      </c>
      <c r="D2096" s="2" t="s">
        <v>10052</v>
      </c>
      <c r="E2096" s="15">
        <v>6.5699999999999995E-2</v>
      </c>
      <c r="F2096" s="15">
        <v>0.1043</v>
      </c>
      <c r="G2096" s="15">
        <v>0.52880000000000005</v>
      </c>
      <c r="H2096" s="15">
        <v>9.7500000000000003E-2</v>
      </c>
      <c r="I2096" s="15">
        <v>3.9899999999999998E-2</v>
      </c>
      <c r="J2096" s="15">
        <v>2.4436090225563909</v>
      </c>
    </row>
    <row r="2097" spans="1:10" x14ac:dyDescent="0.25">
      <c r="A2097" s="2" t="s">
        <v>6287</v>
      </c>
      <c r="B2097" s="2" t="s">
        <v>6288</v>
      </c>
      <c r="C2097" s="2" t="s">
        <v>6289</v>
      </c>
      <c r="D2097" s="2" t="s">
        <v>10052</v>
      </c>
      <c r="E2097" s="15">
        <v>-4.7100000000000003E-2</v>
      </c>
      <c r="F2097" s="15">
        <v>0.12809999999999999</v>
      </c>
      <c r="G2097" s="15">
        <v>0.71330000000000005</v>
      </c>
      <c r="H2097" s="15">
        <v>6.4600000000000005E-2</v>
      </c>
      <c r="I2097" s="15">
        <v>0.04</v>
      </c>
      <c r="J2097" s="15">
        <v>1.615</v>
      </c>
    </row>
    <row r="2098" spans="1:10" x14ac:dyDescent="0.25">
      <c r="A2098" s="2" t="s">
        <v>6290</v>
      </c>
      <c r="B2098" s="2" t="s">
        <v>6291</v>
      </c>
      <c r="C2098" s="2" t="s">
        <v>6292</v>
      </c>
      <c r="D2098" s="2" t="s">
        <v>10052</v>
      </c>
      <c r="E2098" s="15">
        <v>6.1400000000000003E-2</v>
      </c>
      <c r="F2098" s="15">
        <v>0.1258</v>
      </c>
      <c r="G2098" s="15">
        <v>0.62560000000000004</v>
      </c>
      <c r="H2098" s="15">
        <v>6.6900000000000001E-2</v>
      </c>
      <c r="I2098" s="15">
        <v>3.7400000000000003E-2</v>
      </c>
      <c r="J2098" s="15">
        <v>1.7887700534759361</v>
      </c>
    </row>
    <row r="2099" spans="1:10" x14ac:dyDescent="0.25">
      <c r="A2099" s="2" t="s">
        <v>6293</v>
      </c>
      <c r="B2099" s="2" t="s">
        <v>6294</v>
      </c>
      <c r="C2099" s="2" t="s">
        <v>6295</v>
      </c>
      <c r="D2099" s="2" t="s">
        <v>10052</v>
      </c>
      <c r="E2099" s="15">
        <v>0.2261</v>
      </c>
      <c r="F2099" s="15">
        <v>0.15290000000000001</v>
      </c>
      <c r="G2099" s="15">
        <v>0.13930000000000001</v>
      </c>
      <c r="H2099" s="15">
        <v>6.3899999999999998E-2</v>
      </c>
      <c r="I2099" s="15">
        <v>3.6600000000000001E-2</v>
      </c>
      <c r="J2099" s="15">
        <v>1.7459016393442619</v>
      </c>
    </row>
    <row r="2100" spans="1:10" x14ac:dyDescent="0.25">
      <c r="A2100" s="2" t="s">
        <v>6296</v>
      </c>
      <c r="B2100" s="2" t="s">
        <v>6297</v>
      </c>
      <c r="C2100" s="2" t="s">
        <v>6298</v>
      </c>
      <c r="D2100" s="2" t="s">
        <v>10052</v>
      </c>
      <c r="E2100" s="15">
        <v>-8.5300000000000001E-2</v>
      </c>
      <c r="F2100" s="15">
        <v>0.08</v>
      </c>
      <c r="G2100" s="15">
        <v>0.28599999999999998</v>
      </c>
      <c r="H2100" s="15">
        <v>0.18160000000000001</v>
      </c>
      <c r="I2100" s="15">
        <v>4.3099999999999999E-2</v>
      </c>
      <c r="J2100" s="15">
        <v>4.2134570765661259</v>
      </c>
    </row>
    <row r="2101" spans="1:10" x14ac:dyDescent="0.25">
      <c r="A2101" s="2" t="s">
        <v>6299</v>
      </c>
      <c r="B2101" s="2" t="s">
        <v>6300</v>
      </c>
      <c r="C2101" s="2" t="s">
        <v>6301</v>
      </c>
      <c r="D2101" s="2" t="s">
        <v>10052</v>
      </c>
      <c r="E2101" s="15">
        <v>-4.4499999999999998E-2</v>
      </c>
      <c r="F2101" s="15">
        <v>0.1072</v>
      </c>
      <c r="G2101" s="15">
        <v>0.67810000000000004</v>
      </c>
      <c r="H2101" s="15">
        <v>0.1166</v>
      </c>
      <c r="I2101" s="15">
        <v>4.8099999999999997E-2</v>
      </c>
      <c r="J2101" s="15">
        <v>2.4241164241164239</v>
      </c>
    </row>
    <row r="2102" spans="1:10" x14ac:dyDescent="0.25">
      <c r="A2102" s="2" t="s">
        <v>6302</v>
      </c>
      <c r="B2102" s="2" t="s">
        <v>6303</v>
      </c>
      <c r="C2102" s="2" t="s">
        <v>6304</v>
      </c>
      <c r="D2102" s="2" t="s">
        <v>10052</v>
      </c>
      <c r="E2102" s="15">
        <v>-4.87E-2</v>
      </c>
      <c r="F2102" s="15">
        <v>0.1024</v>
      </c>
      <c r="G2102" s="15">
        <v>0.63460000000000005</v>
      </c>
      <c r="H2102" s="15">
        <v>0.1045</v>
      </c>
      <c r="I2102" s="15">
        <v>4.0800000000000003E-2</v>
      </c>
      <c r="J2102" s="15">
        <v>2.5612745098039209</v>
      </c>
    </row>
    <row r="2103" spans="1:10" x14ac:dyDescent="0.25">
      <c r="A2103" s="2" t="s">
        <v>6305</v>
      </c>
      <c r="B2103" s="2" t="s">
        <v>6306</v>
      </c>
      <c r="C2103" s="2" t="s">
        <v>6307</v>
      </c>
      <c r="D2103" s="2" t="s">
        <v>10052</v>
      </c>
      <c r="E2103" s="15">
        <v>1.41E-2</v>
      </c>
      <c r="F2103" s="15">
        <v>7.3099999999999998E-2</v>
      </c>
      <c r="G2103" s="15">
        <v>0.84699999999999998</v>
      </c>
      <c r="H2103" s="15">
        <v>0.19370000000000001</v>
      </c>
      <c r="I2103" s="15">
        <v>4.5999999999999999E-2</v>
      </c>
      <c r="J2103" s="15">
        <v>4.2108695652173918</v>
      </c>
    </row>
    <row r="2104" spans="1:10" x14ac:dyDescent="0.25">
      <c r="A2104" s="2" t="s">
        <v>6308</v>
      </c>
      <c r="B2104" s="2" t="s">
        <v>6309</v>
      </c>
      <c r="C2104" s="2" t="s">
        <v>6310</v>
      </c>
      <c r="D2104" s="2" t="s">
        <v>10052</v>
      </c>
      <c r="E2104" s="15">
        <v>8.5599999999999996E-2</v>
      </c>
      <c r="F2104" s="15">
        <v>9.1800000000000007E-2</v>
      </c>
      <c r="G2104" s="15">
        <v>0.3513</v>
      </c>
      <c r="H2104" s="15">
        <v>0.1552</v>
      </c>
      <c r="I2104" s="15">
        <v>4.3900000000000002E-2</v>
      </c>
      <c r="J2104" s="15">
        <v>3.535307517084282</v>
      </c>
    </row>
    <row r="2105" spans="1:10" x14ac:dyDescent="0.25">
      <c r="A2105" s="2" t="s">
        <v>6311</v>
      </c>
      <c r="B2105" s="2" t="s">
        <v>6312</v>
      </c>
      <c r="C2105" s="2" t="s">
        <v>6313</v>
      </c>
      <c r="D2105" s="2" t="s">
        <v>10052</v>
      </c>
      <c r="E2105" s="15">
        <v>-1.5E-3</v>
      </c>
      <c r="F2105" s="15">
        <v>9.5100000000000004E-2</v>
      </c>
      <c r="G2105" s="15">
        <v>0.98709999999999998</v>
      </c>
      <c r="H2105" s="15">
        <v>0.15920000000000001</v>
      </c>
      <c r="I2105" s="15">
        <v>4.3499999999999997E-2</v>
      </c>
      <c r="J2105" s="15">
        <v>3.6597701149425288</v>
      </c>
    </row>
    <row r="2106" spans="1:10" x14ac:dyDescent="0.25">
      <c r="A2106" s="2" t="s">
        <v>6314</v>
      </c>
      <c r="B2106" s="2" t="s">
        <v>6315</v>
      </c>
      <c r="C2106" s="2" t="s">
        <v>6316</v>
      </c>
      <c r="D2106" s="2" t="s">
        <v>10052</v>
      </c>
      <c r="E2106" s="15">
        <v>-8.9899999999999994E-2</v>
      </c>
      <c r="F2106" s="15">
        <v>8.3699999999999997E-2</v>
      </c>
      <c r="G2106" s="15">
        <v>0.28289999999999998</v>
      </c>
      <c r="H2106" s="15">
        <v>0.16980000000000001</v>
      </c>
      <c r="I2106" s="15">
        <v>4.1700000000000001E-2</v>
      </c>
      <c r="J2106" s="15">
        <v>4.0719424460431659</v>
      </c>
    </row>
    <row r="2107" spans="1:10" x14ac:dyDescent="0.25">
      <c r="A2107" s="2" t="s">
        <v>6317</v>
      </c>
      <c r="B2107" s="2" t="s">
        <v>6318</v>
      </c>
      <c r="C2107" s="2" t="s">
        <v>6319</v>
      </c>
      <c r="D2107" s="2" t="s">
        <v>10052</v>
      </c>
      <c r="E2107" s="15">
        <v>-9.4200000000000006E-2</v>
      </c>
      <c r="F2107" s="15">
        <v>7.5200000000000003E-2</v>
      </c>
      <c r="G2107" s="15">
        <v>0.21</v>
      </c>
      <c r="H2107" s="15">
        <v>0.1948</v>
      </c>
      <c r="I2107" s="15">
        <v>4.2000000000000003E-2</v>
      </c>
      <c r="J2107" s="15">
        <v>4.6380952380952376</v>
      </c>
    </row>
    <row r="2108" spans="1:10" x14ac:dyDescent="0.25">
      <c r="A2108" s="2" t="s">
        <v>6320</v>
      </c>
      <c r="B2108" s="2" t="s">
        <v>6321</v>
      </c>
      <c r="C2108" s="2" t="s">
        <v>6322</v>
      </c>
      <c r="D2108" s="2" t="s">
        <v>10052</v>
      </c>
      <c r="E2108" s="15">
        <v>3.8899999999999997E-2</v>
      </c>
      <c r="F2108" s="15">
        <v>0.1116</v>
      </c>
      <c r="G2108" s="15">
        <v>0.72729999999999995</v>
      </c>
      <c r="H2108" s="15">
        <v>9.8699999999999996E-2</v>
      </c>
      <c r="I2108" s="15">
        <v>3.8399999999999997E-2</v>
      </c>
      <c r="J2108" s="15">
        <v>2.5703125</v>
      </c>
    </row>
    <row r="2109" spans="1:10" x14ac:dyDescent="0.25">
      <c r="A2109" s="2" t="s">
        <v>6323</v>
      </c>
      <c r="B2109" s="2" t="s">
        <v>6324</v>
      </c>
      <c r="C2109" s="2" t="s">
        <v>6325</v>
      </c>
      <c r="D2109" s="2" t="s">
        <v>10052</v>
      </c>
      <c r="E2109" s="15">
        <v>7.5700000000000003E-2</v>
      </c>
      <c r="F2109" s="15">
        <v>9.4E-2</v>
      </c>
      <c r="G2109" s="15">
        <v>0.42030000000000001</v>
      </c>
      <c r="H2109" s="15">
        <v>0.1472</v>
      </c>
      <c r="I2109" s="15">
        <v>3.6999999999999998E-2</v>
      </c>
      <c r="J2109" s="15">
        <v>3.978378378378379</v>
      </c>
    </row>
    <row r="2110" spans="1:10" x14ac:dyDescent="0.25">
      <c r="A2110" s="2" t="s">
        <v>6326</v>
      </c>
      <c r="B2110" s="2" t="s">
        <v>6327</v>
      </c>
      <c r="C2110" s="2" t="s">
        <v>6328</v>
      </c>
      <c r="D2110" s="2" t="s">
        <v>10052</v>
      </c>
      <c r="E2110" s="15">
        <v>3.4700000000000002E-2</v>
      </c>
      <c r="F2110" s="15">
        <v>9.7699999999999995E-2</v>
      </c>
      <c r="G2110" s="15">
        <v>0.72260000000000002</v>
      </c>
      <c r="H2110" s="15">
        <v>0.1348</v>
      </c>
      <c r="I2110" s="15">
        <v>4.3400000000000001E-2</v>
      </c>
      <c r="J2110" s="15">
        <v>3.1059907834101379</v>
      </c>
    </row>
    <row r="2111" spans="1:10" x14ac:dyDescent="0.25">
      <c r="A2111" s="2" t="s">
        <v>6329</v>
      </c>
      <c r="B2111" s="2" t="s">
        <v>6330</v>
      </c>
      <c r="C2111" s="2" t="s">
        <v>6331</v>
      </c>
      <c r="D2111" s="2" t="s">
        <v>10052</v>
      </c>
      <c r="E2111" s="15">
        <v>-2.6800000000000001E-2</v>
      </c>
      <c r="F2111" s="15">
        <v>8.1199999999999994E-2</v>
      </c>
      <c r="G2111" s="15">
        <v>0.74150000000000005</v>
      </c>
      <c r="H2111" s="15">
        <v>0.15709999999999999</v>
      </c>
      <c r="I2111" s="15">
        <v>4.0500000000000001E-2</v>
      </c>
      <c r="J2111" s="15">
        <v>3.879012345679012</v>
      </c>
    </row>
    <row r="2112" spans="1:10" x14ac:dyDescent="0.25">
      <c r="A2112" s="2" t="s">
        <v>6332</v>
      </c>
      <c r="B2112" s="2" t="s">
        <v>6333</v>
      </c>
      <c r="C2112" s="2" t="s">
        <v>6334</v>
      </c>
      <c r="D2112" s="2" t="s">
        <v>10052</v>
      </c>
      <c r="E2112" s="15">
        <v>-1.3754000000000001E-5</v>
      </c>
      <c r="F2112" s="15">
        <v>7.7299999999999994E-2</v>
      </c>
      <c r="G2112" s="15">
        <v>0.99990000000000001</v>
      </c>
      <c r="H2112" s="15">
        <v>0.20280000000000001</v>
      </c>
      <c r="I2112" s="15">
        <v>4.7300000000000002E-2</v>
      </c>
      <c r="J2112" s="15">
        <v>4.2875264270613096</v>
      </c>
    </row>
    <row r="2113" spans="1:10" x14ac:dyDescent="0.25">
      <c r="A2113" s="2" t="s">
        <v>6335</v>
      </c>
      <c r="B2113" s="2" t="s">
        <v>6336</v>
      </c>
      <c r="C2113" s="2" t="s">
        <v>6337</v>
      </c>
      <c r="D2113" s="2" t="s">
        <v>10052</v>
      </c>
      <c r="E2113" s="15">
        <v>-2.47E-2</v>
      </c>
      <c r="F2113" s="15">
        <v>8.5000000000000006E-2</v>
      </c>
      <c r="G2113" s="15">
        <v>0.77180000000000004</v>
      </c>
      <c r="H2113" s="15">
        <v>0.18</v>
      </c>
      <c r="I2113" s="15">
        <v>4.7800000000000002E-2</v>
      </c>
      <c r="J2113" s="15">
        <v>3.765690376569037</v>
      </c>
    </row>
    <row r="2114" spans="1:10" x14ac:dyDescent="0.25">
      <c r="A2114" s="2" t="s">
        <v>6338</v>
      </c>
      <c r="B2114" s="2" t="s">
        <v>6339</v>
      </c>
      <c r="C2114" s="2" t="s">
        <v>6340</v>
      </c>
      <c r="D2114" s="2" t="s">
        <v>10052</v>
      </c>
      <c r="E2114" s="15">
        <v>4.1099999999999998E-2</v>
      </c>
      <c r="F2114" s="15">
        <v>8.0699999999999994E-2</v>
      </c>
      <c r="G2114" s="15">
        <v>0.61080000000000001</v>
      </c>
      <c r="H2114" s="15">
        <v>0.20380000000000001</v>
      </c>
      <c r="I2114" s="15">
        <v>4.82E-2</v>
      </c>
      <c r="J2114" s="15">
        <v>4.2282157676348548</v>
      </c>
    </row>
    <row r="2115" spans="1:10" x14ac:dyDescent="0.25">
      <c r="A2115" s="2" t="s">
        <v>6341</v>
      </c>
      <c r="B2115" s="2" t="s">
        <v>6342</v>
      </c>
      <c r="C2115" s="2" t="s">
        <v>6343</v>
      </c>
      <c r="D2115" s="2" t="s">
        <v>10052</v>
      </c>
      <c r="E2115" s="15">
        <v>-2.35E-2</v>
      </c>
      <c r="F2115" s="15">
        <v>8.2699999999999996E-2</v>
      </c>
      <c r="G2115" s="15">
        <v>0.77669999999999995</v>
      </c>
      <c r="H2115" s="15">
        <v>0.183</v>
      </c>
      <c r="I2115" s="15">
        <v>4.8399999999999999E-2</v>
      </c>
      <c r="J2115" s="15">
        <v>3.78099173553719</v>
      </c>
    </row>
    <row r="2116" spans="1:10" x14ac:dyDescent="0.25">
      <c r="A2116" s="2" t="s">
        <v>6344</v>
      </c>
      <c r="B2116" s="2" t="s">
        <v>6345</v>
      </c>
      <c r="C2116" s="2" t="s">
        <v>6346</v>
      </c>
      <c r="D2116" s="2" t="s">
        <v>10052</v>
      </c>
      <c r="E2116" s="15">
        <v>2.2000000000000001E-3</v>
      </c>
      <c r="F2116" s="15">
        <v>7.0999999999999994E-2</v>
      </c>
      <c r="G2116" s="15">
        <v>0.97550000000000003</v>
      </c>
      <c r="H2116" s="15">
        <v>0.22550000000000001</v>
      </c>
      <c r="I2116" s="15">
        <v>4.7699999999999999E-2</v>
      </c>
      <c r="J2116" s="15">
        <v>4.7274633123689727</v>
      </c>
    </row>
    <row r="2117" spans="1:10" x14ac:dyDescent="0.25">
      <c r="A2117" s="2" t="s">
        <v>6347</v>
      </c>
      <c r="B2117" s="2" t="s">
        <v>6348</v>
      </c>
      <c r="C2117" s="2" t="s">
        <v>6349</v>
      </c>
      <c r="D2117" s="2" t="s">
        <v>10052</v>
      </c>
      <c r="E2117" s="15">
        <v>-1.6400000000000001E-2</v>
      </c>
      <c r="F2117" s="15">
        <v>6.9400000000000003E-2</v>
      </c>
      <c r="G2117" s="15">
        <v>0.81269999999999998</v>
      </c>
      <c r="H2117" s="15">
        <v>0.24249999999999999</v>
      </c>
      <c r="I2117" s="15">
        <v>4.9500000000000002E-2</v>
      </c>
      <c r="J2117" s="15">
        <v>4.8989898989898988</v>
      </c>
    </row>
    <row r="2118" spans="1:10" x14ac:dyDescent="0.25">
      <c r="A2118" s="2" t="s">
        <v>6350</v>
      </c>
      <c r="B2118" s="2" t="s">
        <v>6351</v>
      </c>
      <c r="C2118" s="2" t="s">
        <v>6352</v>
      </c>
      <c r="D2118" s="2" t="s">
        <v>10052</v>
      </c>
      <c r="E2118" s="15">
        <v>1.1299999999999999E-2</v>
      </c>
      <c r="F2118" s="15">
        <v>9.8400000000000001E-2</v>
      </c>
      <c r="G2118" s="15">
        <v>0.9083</v>
      </c>
      <c r="H2118" s="15">
        <v>9.8100000000000007E-2</v>
      </c>
      <c r="I2118" s="15">
        <v>3.8899999999999997E-2</v>
      </c>
      <c r="J2118" s="15">
        <v>2.521850899742931</v>
      </c>
    </row>
    <row r="2119" spans="1:10" x14ac:dyDescent="0.25">
      <c r="A2119" s="2" t="s">
        <v>6353</v>
      </c>
      <c r="B2119" s="2" t="s">
        <v>6354</v>
      </c>
      <c r="C2119" s="2" t="s">
        <v>6355</v>
      </c>
      <c r="D2119" s="2" t="s">
        <v>10052</v>
      </c>
      <c r="E2119" s="15">
        <v>-0.18090000000000001</v>
      </c>
      <c r="F2119" s="15">
        <v>0.1547</v>
      </c>
      <c r="G2119" s="15">
        <v>0.24210000000000001</v>
      </c>
      <c r="H2119" s="15">
        <v>5.4100000000000002E-2</v>
      </c>
      <c r="I2119" s="15">
        <v>3.8399999999999997E-2</v>
      </c>
      <c r="J2119" s="15">
        <v>1.408854166666667</v>
      </c>
    </row>
    <row r="2120" spans="1:10" x14ac:dyDescent="0.25">
      <c r="A2120" s="2" t="s">
        <v>6356</v>
      </c>
      <c r="B2120" s="2" t="s">
        <v>6357</v>
      </c>
      <c r="C2120" s="2" t="s">
        <v>6358</v>
      </c>
      <c r="D2120" s="2" t="s">
        <v>10052</v>
      </c>
      <c r="E2120" s="15">
        <v>2.46E-2</v>
      </c>
      <c r="F2120" s="15">
        <v>0.13370000000000001</v>
      </c>
      <c r="G2120" s="15">
        <v>0.85399999999999998</v>
      </c>
      <c r="H2120" s="15">
        <v>6.4000000000000001E-2</v>
      </c>
      <c r="I2120" s="15">
        <v>3.6400000000000002E-2</v>
      </c>
      <c r="J2120" s="15">
        <v>1.758241758241758</v>
      </c>
    </row>
    <row r="2121" spans="1:10" x14ac:dyDescent="0.25">
      <c r="A2121" s="2" t="s">
        <v>6359</v>
      </c>
      <c r="B2121" s="2" t="s">
        <v>6360</v>
      </c>
      <c r="C2121" s="2" t="s">
        <v>6361</v>
      </c>
      <c r="D2121" s="2" t="s">
        <v>10052</v>
      </c>
      <c r="E2121" s="15">
        <v>0.08</v>
      </c>
      <c r="F2121" s="15">
        <v>9.9299999999999999E-2</v>
      </c>
      <c r="G2121" s="15">
        <v>0.4204</v>
      </c>
      <c r="H2121" s="15">
        <v>0.14979999999999999</v>
      </c>
      <c r="I2121" s="15">
        <v>4.3999999999999997E-2</v>
      </c>
      <c r="J2121" s="15">
        <v>3.4045454545454539</v>
      </c>
    </row>
    <row r="2122" spans="1:10" x14ac:dyDescent="0.25">
      <c r="A2122" s="2" t="s">
        <v>6362</v>
      </c>
      <c r="B2122" s="2" t="s">
        <v>6363</v>
      </c>
      <c r="C2122" s="2" t="s">
        <v>6364</v>
      </c>
      <c r="D2122" s="2" t="s">
        <v>10052</v>
      </c>
      <c r="E2122" s="15">
        <v>-2.0000000000000001E-4</v>
      </c>
      <c r="F2122" s="15">
        <v>9.3700000000000006E-2</v>
      </c>
      <c r="G2122" s="15">
        <v>0.99829999999999997</v>
      </c>
      <c r="H2122" s="15">
        <v>0.14799999999999999</v>
      </c>
      <c r="I2122" s="15">
        <v>4.1200000000000001E-2</v>
      </c>
      <c r="J2122" s="15">
        <v>3.592233009708738</v>
      </c>
    </row>
    <row r="2123" spans="1:10" x14ac:dyDescent="0.25">
      <c r="A2123" s="2" t="s">
        <v>6365</v>
      </c>
      <c r="B2123" s="2" t="s">
        <v>6366</v>
      </c>
      <c r="C2123" s="2" t="s">
        <v>6367</v>
      </c>
      <c r="D2123" s="2" t="s">
        <v>10052</v>
      </c>
      <c r="E2123" s="15">
        <v>-2.8500000000000001E-2</v>
      </c>
      <c r="F2123" s="15">
        <v>6.08E-2</v>
      </c>
      <c r="G2123" s="15">
        <v>0.63890000000000002</v>
      </c>
      <c r="H2123" s="15">
        <v>0.28960000000000002</v>
      </c>
      <c r="I2123" s="15">
        <v>4.8800000000000003E-2</v>
      </c>
      <c r="J2123" s="15">
        <v>5.9344262295081966</v>
      </c>
    </row>
    <row r="2124" spans="1:10" x14ac:dyDescent="0.25">
      <c r="A2124" s="2" t="s">
        <v>6368</v>
      </c>
      <c r="B2124" s="2" t="s">
        <v>6369</v>
      </c>
      <c r="C2124" s="2" t="s">
        <v>6370</v>
      </c>
      <c r="D2124" s="2" t="s">
        <v>10052</v>
      </c>
      <c r="E2124" s="15">
        <v>-6.1100000000000002E-2</v>
      </c>
      <c r="F2124" s="15">
        <v>5.8299999999999998E-2</v>
      </c>
      <c r="G2124" s="15">
        <v>0.29449999999999998</v>
      </c>
      <c r="H2124" s="15">
        <v>0.31519999999999998</v>
      </c>
      <c r="I2124" s="15">
        <v>4.8300000000000003E-2</v>
      </c>
      <c r="J2124" s="15">
        <v>6.5258799171842643</v>
      </c>
    </row>
    <row r="2125" spans="1:10" x14ac:dyDescent="0.25">
      <c r="A2125" s="2" t="s">
        <v>6371</v>
      </c>
      <c r="B2125" s="2" t="s">
        <v>6372</v>
      </c>
      <c r="C2125" s="2" t="s">
        <v>6373</v>
      </c>
      <c r="D2125" s="2" t="s">
        <v>10052</v>
      </c>
      <c r="E2125" s="15">
        <v>-1.6899999999999998E-2</v>
      </c>
      <c r="F2125" s="15">
        <v>7.0599999999999996E-2</v>
      </c>
      <c r="G2125" s="15">
        <v>0.81110000000000004</v>
      </c>
      <c r="H2125" s="15">
        <v>0.2409</v>
      </c>
      <c r="I2125" s="15">
        <v>4.48E-2</v>
      </c>
      <c r="J2125" s="15">
        <v>5.3772321428571432</v>
      </c>
    </row>
    <row r="2126" spans="1:10" x14ac:dyDescent="0.25">
      <c r="A2126" s="2" t="s">
        <v>6374</v>
      </c>
      <c r="B2126" s="2" t="s">
        <v>6375</v>
      </c>
      <c r="C2126" s="2" t="s">
        <v>6376</v>
      </c>
      <c r="D2126" s="2" t="s">
        <v>10052</v>
      </c>
      <c r="E2126" s="15">
        <v>-6.1100000000000002E-2</v>
      </c>
      <c r="F2126" s="15">
        <v>8.3799999999999999E-2</v>
      </c>
      <c r="G2126" s="15">
        <v>0.46600000000000003</v>
      </c>
      <c r="H2126" s="15">
        <v>0.19309999999999999</v>
      </c>
      <c r="I2126" s="15">
        <v>3.8800000000000001E-2</v>
      </c>
      <c r="J2126" s="15">
        <v>4.9768041237113403</v>
      </c>
    </row>
    <row r="2127" spans="1:10" x14ac:dyDescent="0.25">
      <c r="A2127" s="2" t="s">
        <v>6377</v>
      </c>
      <c r="B2127" s="2" t="s">
        <v>6378</v>
      </c>
      <c r="C2127" s="2" t="s">
        <v>6379</v>
      </c>
      <c r="D2127" s="2" t="s">
        <v>10052</v>
      </c>
      <c r="E2127" s="15">
        <v>0.1235</v>
      </c>
      <c r="F2127" s="15">
        <v>8.5800000000000001E-2</v>
      </c>
      <c r="G2127" s="15">
        <v>0.15</v>
      </c>
      <c r="H2127" s="15">
        <v>0.14910000000000001</v>
      </c>
      <c r="I2127" s="15">
        <v>4.5600000000000002E-2</v>
      </c>
      <c r="J2127" s="15">
        <v>3.2697368421052628</v>
      </c>
    </row>
    <row r="2128" spans="1:10" x14ac:dyDescent="0.25">
      <c r="A2128" s="2" t="s">
        <v>6380</v>
      </c>
      <c r="B2128" s="2" t="s">
        <v>6381</v>
      </c>
      <c r="C2128" s="2" t="s">
        <v>6382</v>
      </c>
      <c r="D2128" s="2" t="s">
        <v>10052</v>
      </c>
      <c r="E2128" s="15">
        <v>-8.9999999999999998E-4</v>
      </c>
      <c r="F2128" s="15">
        <v>7.2599999999999998E-2</v>
      </c>
      <c r="G2128" s="15">
        <v>0.99019999999999997</v>
      </c>
      <c r="H2128" s="15">
        <v>0.2152</v>
      </c>
      <c r="I2128" s="15">
        <v>4.2200000000000001E-2</v>
      </c>
      <c r="J2128" s="15">
        <v>5.0995260663507107</v>
      </c>
    </row>
    <row r="2129" spans="1:10" x14ac:dyDescent="0.25">
      <c r="A2129" s="2" t="s">
        <v>6383</v>
      </c>
      <c r="B2129" s="2" t="s">
        <v>6384</v>
      </c>
      <c r="C2129" s="2" t="s">
        <v>6385</v>
      </c>
      <c r="D2129" s="2" t="s">
        <v>10053</v>
      </c>
      <c r="E2129" s="15">
        <v>-0.17849999999999999</v>
      </c>
      <c r="F2129" s="15">
        <v>0.13089999999999999</v>
      </c>
      <c r="G2129" s="15">
        <v>0.17269999999999999</v>
      </c>
      <c r="H2129" s="15">
        <v>8.6999999999999994E-2</v>
      </c>
      <c r="I2129" s="15">
        <v>3.85E-2</v>
      </c>
      <c r="J2129" s="15">
        <v>2.2597402597402598</v>
      </c>
    </row>
    <row r="2130" spans="1:10" x14ac:dyDescent="0.25">
      <c r="A2130" s="2" t="s">
        <v>6386</v>
      </c>
      <c r="B2130" s="2" t="s">
        <v>6387</v>
      </c>
      <c r="C2130" s="2" t="s">
        <v>6388</v>
      </c>
      <c r="D2130" s="2" t="s">
        <v>10053</v>
      </c>
      <c r="E2130" s="15">
        <v>-7.8700000000000006E-2</v>
      </c>
      <c r="F2130" s="15">
        <v>0.10879999999999999</v>
      </c>
      <c r="G2130" s="15">
        <v>0.46960000000000002</v>
      </c>
      <c r="H2130" s="15">
        <v>0.109</v>
      </c>
      <c r="I2130" s="15">
        <v>3.9800000000000002E-2</v>
      </c>
      <c r="J2130" s="15">
        <v>2.7386934673366832</v>
      </c>
    </row>
    <row r="2131" spans="1:10" x14ac:dyDescent="0.25">
      <c r="A2131" s="2" t="s">
        <v>6389</v>
      </c>
      <c r="B2131" s="2" t="s">
        <v>6390</v>
      </c>
      <c r="C2131" s="2" t="s">
        <v>6391</v>
      </c>
      <c r="D2131" s="2" t="s">
        <v>10053</v>
      </c>
      <c r="E2131" s="15">
        <v>-0.1676</v>
      </c>
      <c r="F2131" s="15">
        <v>0.2301</v>
      </c>
      <c r="G2131" s="15">
        <v>0.46639999999999998</v>
      </c>
      <c r="H2131" s="15">
        <v>3.3599999999999998E-2</v>
      </c>
      <c r="I2131" s="15">
        <v>3.7100000000000001E-2</v>
      </c>
      <c r="J2131" s="15">
        <v>0.90566037735849048</v>
      </c>
    </row>
    <row r="2132" spans="1:10" x14ac:dyDescent="0.25">
      <c r="A2132" s="2" t="s">
        <v>6392</v>
      </c>
      <c r="B2132" s="2" t="s">
        <v>6393</v>
      </c>
      <c r="C2132" s="2" t="s">
        <v>6394</v>
      </c>
      <c r="D2132" s="2" t="s">
        <v>10053</v>
      </c>
      <c r="E2132" s="15">
        <v>-5.7299999999999997E-2</v>
      </c>
      <c r="F2132" s="15">
        <v>0.22850000000000001</v>
      </c>
      <c r="G2132" s="15">
        <v>0.80210000000000004</v>
      </c>
      <c r="H2132" s="15">
        <v>2.8199999999999999E-2</v>
      </c>
      <c r="I2132" s="15">
        <v>3.7199999999999997E-2</v>
      </c>
      <c r="J2132" s="15">
        <v>0.75806451612903225</v>
      </c>
    </row>
    <row r="2133" spans="1:10" x14ac:dyDescent="0.25">
      <c r="A2133" s="2" t="s">
        <v>6395</v>
      </c>
      <c r="B2133" s="2" t="s">
        <v>6396</v>
      </c>
      <c r="C2133" s="2" t="s">
        <v>6397</v>
      </c>
      <c r="D2133" s="2" t="s">
        <v>10053</v>
      </c>
      <c r="E2133" s="15">
        <v>-0.1144</v>
      </c>
      <c r="F2133" s="15">
        <v>0.12959999999999999</v>
      </c>
      <c r="G2133" s="15">
        <v>0.3775</v>
      </c>
      <c r="H2133" s="15">
        <v>9.1300000000000006E-2</v>
      </c>
      <c r="I2133" s="15">
        <v>4.0800000000000003E-2</v>
      </c>
      <c r="J2133" s="15">
        <v>2.2377450980392162</v>
      </c>
    </row>
    <row r="2134" spans="1:10" x14ac:dyDescent="0.25">
      <c r="A2134" s="2" t="s">
        <v>6398</v>
      </c>
      <c r="B2134" s="2" t="s">
        <v>6399</v>
      </c>
      <c r="C2134" s="2" t="s">
        <v>6400</v>
      </c>
      <c r="D2134" s="2" t="s">
        <v>10053</v>
      </c>
      <c r="E2134" s="15">
        <v>-5.3800000000000001E-2</v>
      </c>
      <c r="F2134" s="15">
        <v>0.12280000000000001</v>
      </c>
      <c r="G2134" s="15">
        <v>0.66110000000000002</v>
      </c>
      <c r="H2134" s="15">
        <v>8.9300000000000004E-2</v>
      </c>
      <c r="I2134" s="15">
        <v>3.8899999999999997E-2</v>
      </c>
      <c r="J2134" s="15">
        <v>2.2956298200514138</v>
      </c>
    </row>
    <row r="2135" spans="1:10" x14ac:dyDescent="0.25">
      <c r="A2135" s="2" t="s">
        <v>6401</v>
      </c>
      <c r="B2135" s="2" t="s">
        <v>6402</v>
      </c>
      <c r="C2135" s="2" t="s">
        <v>6403</v>
      </c>
      <c r="D2135" s="2" t="s">
        <v>10053</v>
      </c>
      <c r="E2135" s="15">
        <v>-8.8099999999999998E-2</v>
      </c>
      <c r="F2135" s="15">
        <v>0.2041</v>
      </c>
      <c r="G2135" s="15">
        <v>0.66590000000000005</v>
      </c>
      <c r="H2135" s="15">
        <v>3.9600000000000003E-2</v>
      </c>
      <c r="I2135" s="15">
        <v>3.7600000000000001E-2</v>
      </c>
      <c r="J2135" s="15">
        <v>1.053191489361702</v>
      </c>
    </row>
    <row r="2136" spans="1:10" x14ac:dyDescent="0.25">
      <c r="A2136" s="2" t="s">
        <v>6404</v>
      </c>
      <c r="B2136" s="2" t="s">
        <v>6405</v>
      </c>
      <c r="C2136" s="2" t="s">
        <v>6406</v>
      </c>
      <c r="D2136" s="2" t="s">
        <v>10053</v>
      </c>
      <c r="E2136" s="15"/>
      <c r="F2136" s="15"/>
      <c r="G2136" s="15"/>
      <c r="H2136" s="15"/>
      <c r="I2136" s="15"/>
      <c r="J2136" s="15"/>
    </row>
    <row r="2137" spans="1:10" x14ac:dyDescent="0.25">
      <c r="A2137" s="2" t="s">
        <v>6407</v>
      </c>
      <c r="B2137" s="2" t="s">
        <v>6408</v>
      </c>
      <c r="C2137" s="2" t="s">
        <v>6409</v>
      </c>
      <c r="D2137" s="2" t="s">
        <v>10053</v>
      </c>
      <c r="E2137" s="15">
        <v>2.8899999999999999E-2</v>
      </c>
      <c r="F2137" s="15">
        <v>0.1105</v>
      </c>
      <c r="G2137" s="15">
        <v>0.79359999999999997</v>
      </c>
      <c r="H2137" s="15">
        <v>8.4699999999999998E-2</v>
      </c>
      <c r="I2137" s="15">
        <v>3.6700000000000003E-2</v>
      </c>
      <c r="J2137" s="15">
        <v>2.307901907356948</v>
      </c>
    </row>
    <row r="2138" spans="1:10" x14ac:dyDescent="0.25">
      <c r="A2138" s="2" t="s">
        <v>6410</v>
      </c>
      <c r="B2138" s="2" t="s">
        <v>6411</v>
      </c>
      <c r="C2138" s="2" t="s">
        <v>6412</v>
      </c>
      <c r="D2138" s="2" t="s">
        <v>10053</v>
      </c>
      <c r="E2138" s="15">
        <v>3.9800000000000002E-2</v>
      </c>
      <c r="F2138" s="15">
        <v>9.1899999999999996E-2</v>
      </c>
      <c r="G2138" s="15">
        <v>0.66510000000000002</v>
      </c>
      <c r="H2138" s="15">
        <v>0.1137</v>
      </c>
      <c r="I2138" s="15">
        <v>3.5799999999999998E-2</v>
      </c>
      <c r="J2138" s="15">
        <v>3.1759776536312851</v>
      </c>
    </row>
    <row r="2139" spans="1:10" x14ac:dyDescent="0.25">
      <c r="A2139" s="2" t="s">
        <v>6413</v>
      </c>
      <c r="B2139" s="2" t="s">
        <v>6414</v>
      </c>
      <c r="C2139" s="2" t="s">
        <v>6415</v>
      </c>
      <c r="D2139" s="2" t="s">
        <v>10053</v>
      </c>
      <c r="E2139" s="15">
        <v>8.6499999999999994E-2</v>
      </c>
      <c r="F2139" s="15">
        <v>0.1182</v>
      </c>
      <c r="G2139" s="15">
        <v>0.46450000000000002</v>
      </c>
      <c r="H2139" s="15">
        <v>7.4899999999999994E-2</v>
      </c>
      <c r="I2139" s="15">
        <v>3.5200000000000002E-2</v>
      </c>
      <c r="J2139" s="15">
        <v>2.1278409090909092</v>
      </c>
    </row>
    <row r="2140" spans="1:10" x14ac:dyDescent="0.25">
      <c r="A2140" s="2" t="s">
        <v>6416</v>
      </c>
      <c r="B2140" s="2" t="s">
        <v>6417</v>
      </c>
      <c r="C2140" s="2" t="s">
        <v>6418</v>
      </c>
      <c r="D2140" s="2" t="s">
        <v>10053</v>
      </c>
      <c r="E2140" s="15">
        <v>0.17849999999999999</v>
      </c>
      <c r="F2140" s="15">
        <v>0.1575</v>
      </c>
      <c r="G2140" s="15">
        <v>0.25690000000000002</v>
      </c>
      <c r="H2140" s="15">
        <v>4.5999999999999999E-2</v>
      </c>
      <c r="I2140" s="15">
        <v>3.4099999999999998E-2</v>
      </c>
      <c r="J2140" s="15">
        <v>1.3489736070381231</v>
      </c>
    </row>
    <row r="2141" spans="1:10" x14ac:dyDescent="0.25">
      <c r="A2141" s="2" t="s">
        <v>6419</v>
      </c>
      <c r="B2141" s="2" t="s">
        <v>6420</v>
      </c>
      <c r="C2141" s="2" t="s">
        <v>6421</v>
      </c>
      <c r="D2141" s="2" t="s">
        <v>10053</v>
      </c>
      <c r="E2141" s="15">
        <v>0.1321</v>
      </c>
      <c r="F2141" s="15">
        <v>9.8100000000000007E-2</v>
      </c>
      <c r="G2141" s="15">
        <v>0.17829999999999999</v>
      </c>
      <c r="H2141" s="15">
        <v>0.129</v>
      </c>
      <c r="I2141" s="15">
        <v>3.9E-2</v>
      </c>
      <c r="J2141" s="15">
        <v>3.3076923076923079</v>
      </c>
    </row>
    <row r="2142" spans="1:10" x14ac:dyDescent="0.25">
      <c r="A2142" s="2" t="s">
        <v>6422</v>
      </c>
      <c r="B2142" s="2" t="s">
        <v>6423</v>
      </c>
      <c r="C2142" s="2" t="s">
        <v>6424</v>
      </c>
      <c r="D2142" s="2" t="s">
        <v>10053</v>
      </c>
      <c r="E2142" s="15">
        <v>8.2000000000000003E-2</v>
      </c>
      <c r="F2142" s="15">
        <v>0.13109999999999999</v>
      </c>
      <c r="G2142" s="15">
        <v>0.53190000000000004</v>
      </c>
      <c r="H2142" s="15">
        <v>7.7700000000000005E-2</v>
      </c>
      <c r="I2142" s="15">
        <v>3.9399999999999998E-2</v>
      </c>
      <c r="J2142" s="15">
        <v>1.9720812182741121</v>
      </c>
    </row>
    <row r="2143" spans="1:10" x14ac:dyDescent="0.25">
      <c r="A2143" s="2" t="s">
        <v>6425</v>
      </c>
      <c r="B2143" s="2" t="s">
        <v>6426</v>
      </c>
      <c r="C2143" s="2" t="s">
        <v>6427</v>
      </c>
      <c r="D2143" s="2" t="s">
        <v>10053</v>
      </c>
      <c r="E2143" s="15">
        <v>0.1706</v>
      </c>
      <c r="F2143" s="15">
        <v>0.10150000000000001</v>
      </c>
      <c r="G2143" s="15">
        <v>9.2999999999999999E-2</v>
      </c>
      <c r="H2143" s="15">
        <v>0.121</v>
      </c>
      <c r="I2143" s="15">
        <v>4.02E-2</v>
      </c>
      <c r="J2143" s="15">
        <v>3.0099502487562191</v>
      </c>
    </row>
    <row r="2144" spans="1:10" x14ac:dyDescent="0.25">
      <c r="A2144" s="2" t="s">
        <v>6428</v>
      </c>
      <c r="B2144" s="2" t="s">
        <v>6429</v>
      </c>
      <c r="C2144" s="2" t="s">
        <v>6430</v>
      </c>
      <c r="D2144" s="2" t="s">
        <v>10053</v>
      </c>
      <c r="E2144" s="15">
        <v>0.1968</v>
      </c>
      <c r="F2144" s="15">
        <v>0.18290000000000001</v>
      </c>
      <c r="G2144" s="15">
        <v>0.28210000000000002</v>
      </c>
      <c r="H2144" s="15">
        <v>4.6699999999999998E-2</v>
      </c>
      <c r="I2144" s="15">
        <v>3.9600000000000003E-2</v>
      </c>
      <c r="J2144" s="15">
        <v>1.1792929292929291</v>
      </c>
    </row>
    <row r="2145" spans="1:10" x14ac:dyDescent="0.25">
      <c r="A2145" s="2" t="s">
        <v>6431</v>
      </c>
      <c r="B2145" s="2" t="s">
        <v>6432</v>
      </c>
      <c r="C2145" s="2" t="s">
        <v>6433</v>
      </c>
      <c r="D2145" s="2" t="s">
        <v>10054</v>
      </c>
      <c r="E2145" s="15">
        <v>6.3E-2</v>
      </c>
      <c r="F2145" s="15">
        <v>8.5699999999999998E-2</v>
      </c>
      <c r="G2145" s="15">
        <v>0.46210000000000001</v>
      </c>
      <c r="H2145" s="15">
        <v>0.17780000000000001</v>
      </c>
      <c r="I2145" s="15">
        <v>3.7999999999999999E-2</v>
      </c>
      <c r="J2145" s="15">
        <v>4.6789473684210527</v>
      </c>
    </row>
    <row r="2146" spans="1:10" x14ac:dyDescent="0.25">
      <c r="A2146" s="2" t="s">
        <v>6434</v>
      </c>
      <c r="B2146" s="2" t="s">
        <v>6432</v>
      </c>
      <c r="C2146" s="2" t="s">
        <v>6435</v>
      </c>
      <c r="D2146" s="2" t="s">
        <v>10054</v>
      </c>
      <c r="E2146" s="15">
        <v>-0.27929999999999999</v>
      </c>
      <c r="F2146" s="15">
        <v>0.18890000000000001</v>
      </c>
      <c r="G2146" s="15">
        <v>0.13930000000000001</v>
      </c>
      <c r="H2146" s="15">
        <v>4.9200000000000001E-2</v>
      </c>
      <c r="I2146" s="15">
        <v>3.73E-2</v>
      </c>
      <c r="J2146" s="15">
        <v>1.3190348525469171</v>
      </c>
    </row>
    <row r="2147" spans="1:10" x14ac:dyDescent="0.25">
      <c r="A2147" s="2" t="s">
        <v>6436</v>
      </c>
      <c r="B2147" s="2" t="s">
        <v>6432</v>
      </c>
      <c r="C2147" s="2" t="s">
        <v>6437</v>
      </c>
      <c r="D2147" s="2" t="s">
        <v>10054</v>
      </c>
      <c r="E2147" s="15">
        <v>0.1203</v>
      </c>
      <c r="F2147" s="15">
        <v>0.1038</v>
      </c>
      <c r="G2147" s="15">
        <v>0.2467</v>
      </c>
      <c r="H2147" s="15">
        <v>0.121</v>
      </c>
      <c r="I2147" s="15">
        <v>3.9100000000000003E-2</v>
      </c>
      <c r="J2147" s="15">
        <v>3.0946291560102299</v>
      </c>
    </row>
    <row r="2148" spans="1:10" x14ac:dyDescent="0.25">
      <c r="A2148" s="2" t="s">
        <v>6438</v>
      </c>
      <c r="B2148" s="2" t="s">
        <v>6432</v>
      </c>
      <c r="C2148" s="2" t="s">
        <v>6439</v>
      </c>
      <c r="D2148" s="2" t="s">
        <v>10054</v>
      </c>
      <c r="E2148" s="15">
        <v>-0.33589999999999998</v>
      </c>
      <c r="F2148" s="15">
        <v>0.35010000000000002</v>
      </c>
      <c r="G2148" s="15">
        <v>0.33739999999999998</v>
      </c>
      <c r="H2148" s="15">
        <v>2.2499999999999999E-2</v>
      </c>
      <c r="I2148" s="15">
        <v>3.4299999999999997E-2</v>
      </c>
      <c r="J2148" s="15">
        <v>0.6559766763848397</v>
      </c>
    </row>
    <row r="2149" spans="1:10" x14ac:dyDescent="0.25">
      <c r="A2149" s="2" t="s">
        <v>6440</v>
      </c>
      <c r="B2149" s="2" t="s">
        <v>6432</v>
      </c>
      <c r="C2149" s="2" t="s">
        <v>6441</v>
      </c>
      <c r="D2149" s="2" t="s">
        <v>10054</v>
      </c>
      <c r="E2149" s="15">
        <v>0.1154</v>
      </c>
      <c r="F2149" s="15">
        <v>0.1016</v>
      </c>
      <c r="G2149" s="15">
        <v>0.25580000000000003</v>
      </c>
      <c r="H2149" s="15">
        <v>9.6799999999999997E-2</v>
      </c>
      <c r="I2149" s="15">
        <v>4.48E-2</v>
      </c>
      <c r="J2149" s="15">
        <v>2.160714285714286</v>
      </c>
    </row>
    <row r="2150" spans="1:10" x14ac:dyDescent="0.25">
      <c r="A2150" s="2" t="s">
        <v>6442</v>
      </c>
      <c r="B2150" s="2" t="s">
        <v>6432</v>
      </c>
      <c r="C2150" s="2" t="s">
        <v>6443</v>
      </c>
      <c r="D2150" s="2" t="s">
        <v>10054</v>
      </c>
      <c r="E2150" s="15">
        <v>6.0900000000000003E-2</v>
      </c>
      <c r="F2150" s="15">
        <v>0.1062</v>
      </c>
      <c r="G2150" s="15">
        <v>0.5665</v>
      </c>
      <c r="H2150" s="15">
        <v>0.1075</v>
      </c>
      <c r="I2150" s="15">
        <v>4.2299999999999997E-2</v>
      </c>
      <c r="J2150" s="15">
        <v>2.541371158392435</v>
      </c>
    </row>
    <row r="2151" spans="1:10" x14ac:dyDescent="0.25">
      <c r="A2151" s="2" t="s">
        <v>6444</v>
      </c>
      <c r="B2151" s="2" t="s">
        <v>6432</v>
      </c>
      <c r="C2151" s="2" t="s">
        <v>6445</v>
      </c>
      <c r="D2151" s="2" t="s">
        <v>10054</v>
      </c>
      <c r="E2151" s="15">
        <v>0.12770000000000001</v>
      </c>
      <c r="F2151" s="15">
        <v>0.12509999999999999</v>
      </c>
      <c r="G2151" s="15">
        <v>0.30730000000000002</v>
      </c>
      <c r="H2151" s="15">
        <v>7.3899999999999993E-2</v>
      </c>
      <c r="I2151" s="15">
        <v>4.0300000000000002E-2</v>
      </c>
      <c r="J2151" s="15">
        <v>1.8337468982630269</v>
      </c>
    </row>
    <row r="2152" spans="1:10" x14ac:dyDescent="0.25">
      <c r="A2152" s="2" t="s">
        <v>6446</v>
      </c>
      <c r="B2152" s="2" t="s">
        <v>6432</v>
      </c>
      <c r="C2152" s="2" t="s">
        <v>6447</v>
      </c>
      <c r="D2152" s="2" t="s">
        <v>10054</v>
      </c>
      <c r="E2152" s="15">
        <v>-3.6799999999999999E-2</v>
      </c>
      <c r="F2152" s="15">
        <v>0.13070000000000001</v>
      </c>
      <c r="G2152" s="15">
        <v>0.77810000000000001</v>
      </c>
      <c r="H2152" s="15">
        <v>8.2699999999999996E-2</v>
      </c>
      <c r="I2152" s="15">
        <v>3.6799999999999999E-2</v>
      </c>
      <c r="J2152" s="15">
        <v>2.2472826086956519</v>
      </c>
    </row>
    <row r="2153" spans="1:10" x14ac:dyDescent="0.25">
      <c r="A2153" s="2" t="s">
        <v>6448</v>
      </c>
      <c r="B2153" s="2" t="s">
        <v>6432</v>
      </c>
      <c r="C2153" s="2" t="s">
        <v>6449</v>
      </c>
      <c r="D2153" s="2" t="s">
        <v>10054</v>
      </c>
      <c r="E2153" s="15">
        <v>-0.1024</v>
      </c>
      <c r="F2153" s="15">
        <v>9.4500000000000001E-2</v>
      </c>
      <c r="G2153" s="15">
        <v>0.2787</v>
      </c>
      <c r="H2153" s="15">
        <v>0.12809999999999999</v>
      </c>
      <c r="I2153" s="15">
        <v>4.0500000000000001E-2</v>
      </c>
      <c r="J2153" s="15">
        <v>3.162962962962963</v>
      </c>
    </row>
    <row r="2154" spans="1:10" x14ac:dyDescent="0.25">
      <c r="A2154" s="2" t="s">
        <v>6450</v>
      </c>
      <c r="B2154" s="2" t="s">
        <v>6432</v>
      </c>
      <c r="C2154" s="2" t="s">
        <v>6451</v>
      </c>
      <c r="D2154" s="2" t="s">
        <v>10054</v>
      </c>
      <c r="E2154" s="15">
        <v>-0.16120000000000001</v>
      </c>
      <c r="F2154" s="15">
        <v>9.6000000000000002E-2</v>
      </c>
      <c r="G2154" s="15">
        <v>9.3100000000000002E-2</v>
      </c>
      <c r="H2154" s="15">
        <v>0.1231</v>
      </c>
      <c r="I2154" s="15">
        <v>0.04</v>
      </c>
      <c r="J2154" s="15">
        <v>3.0775000000000001</v>
      </c>
    </row>
    <row r="2155" spans="1:10" x14ac:dyDescent="0.25">
      <c r="A2155" s="2" t="s">
        <v>6452</v>
      </c>
      <c r="B2155" s="2" t="s">
        <v>6432</v>
      </c>
      <c r="C2155" s="2" t="s">
        <v>6453</v>
      </c>
      <c r="D2155" s="2" t="s">
        <v>10054</v>
      </c>
      <c r="E2155" s="15">
        <v>-0.1152</v>
      </c>
      <c r="F2155" s="15">
        <v>0.1065</v>
      </c>
      <c r="G2155" s="15">
        <v>0.2792</v>
      </c>
      <c r="H2155" s="15">
        <v>0.1091</v>
      </c>
      <c r="I2155" s="15">
        <v>3.8699999999999998E-2</v>
      </c>
      <c r="J2155" s="15">
        <v>2.819121447028424</v>
      </c>
    </row>
    <row r="2156" spans="1:10" x14ac:dyDescent="0.25">
      <c r="A2156" s="2" t="s">
        <v>6454</v>
      </c>
      <c r="B2156" s="2" t="s">
        <v>6432</v>
      </c>
      <c r="C2156" s="2" t="s">
        <v>6455</v>
      </c>
      <c r="D2156" s="2" t="s">
        <v>10054</v>
      </c>
      <c r="E2156" s="15">
        <v>1.15E-2</v>
      </c>
      <c r="F2156" s="15">
        <v>8.9700000000000002E-2</v>
      </c>
      <c r="G2156" s="15">
        <v>0.89790000000000003</v>
      </c>
      <c r="H2156" s="15">
        <v>0.1376</v>
      </c>
      <c r="I2156" s="15">
        <v>3.8399999999999997E-2</v>
      </c>
      <c r="J2156" s="15">
        <v>3.583333333333333</v>
      </c>
    </row>
    <row r="2157" spans="1:10" x14ac:dyDescent="0.25">
      <c r="A2157" s="2" t="s">
        <v>6456</v>
      </c>
      <c r="B2157" s="2" t="s">
        <v>6432</v>
      </c>
      <c r="C2157" s="2" t="s">
        <v>6457</v>
      </c>
      <c r="D2157" s="2" t="s">
        <v>10054</v>
      </c>
      <c r="E2157" s="15">
        <v>0.13780000000000001</v>
      </c>
      <c r="F2157" s="15">
        <v>0.1076</v>
      </c>
      <c r="G2157" s="15">
        <v>0.20030000000000001</v>
      </c>
      <c r="H2157" s="15">
        <v>0.1174</v>
      </c>
      <c r="I2157" s="15">
        <v>3.9899999999999998E-2</v>
      </c>
      <c r="J2157" s="15">
        <v>2.9423558897243112</v>
      </c>
    </row>
    <row r="2158" spans="1:10" x14ac:dyDescent="0.25">
      <c r="A2158" s="2" t="s">
        <v>6458</v>
      </c>
      <c r="B2158" s="2" t="s">
        <v>6432</v>
      </c>
      <c r="C2158" s="2" t="s">
        <v>6459</v>
      </c>
      <c r="D2158" s="2" t="s">
        <v>10054</v>
      </c>
      <c r="E2158" s="15">
        <v>-0.1003</v>
      </c>
      <c r="F2158" s="15">
        <v>0.1053</v>
      </c>
      <c r="G2158" s="15">
        <v>0.34079999999999999</v>
      </c>
      <c r="H2158" s="15">
        <v>9.3100000000000002E-2</v>
      </c>
      <c r="I2158" s="15">
        <v>3.9300000000000002E-2</v>
      </c>
      <c r="J2158" s="15">
        <v>2.3689567430025451</v>
      </c>
    </row>
    <row r="2159" spans="1:10" x14ac:dyDescent="0.25">
      <c r="A2159" s="2" t="s">
        <v>6460</v>
      </c>
      <c r="B2159" s="2" t="s">
        <v>6432</v>
      </c>
      <c r="C2159" s="2" t="s">
        <v>6461</v>
      </c>
      <c r="D2159" s="2" t="s">
        <v>10054</v>
      </c>
      <c r="E2159" s="15">
        <v>2.9899999999999999E-2</v>
      </c>
      <c r="F2159" s="15">
        <v>9.6199999999999994E-2</v>
      </c>
      <c r="G2159" s="15">
        <v>0.75609999999999999</v>
      </c>
      <c r="H2159" s="15">
        <v>0.1089</v>
      </c>
      <c r="I2159" s="15">
        <v>3.9E-2</v>
      </c>
      <c r="J2159" s="15">
        <v>2.7923076923076922</v>
      </c>
    </row>
    <row r="2160" spans="1:10" x14ac:dyDescent="0.25">
      <c r="A2160" s="2" t="s">
        <v>6462</v>
      </c>
      <c r="B2160" s="2" t="s">
        <v>6432</v>
      </c>
      <c r="C2160" s="2" t="s">
        <v>6463</v>
      </c>
      <c r="D2160" s="2" t="s">
        <v>10054</v>
      </c>
      <c r="E2160" s="15">
        <v>9.5999999999999992E-3</v>
      </c>
      <c r="F2160" s="15">
        <v>8.7999999999999995E-2</v>
      </c>
      <c r="G2160" s="15">
        <v>0.91320000000000001</v>
      </c>
      <c r="H2160" s="15">
        <v>0.12809999999999999</v>
      </c>
      <c r="I2160" s="15">
        <v>4.5999999999999999E-2</v>
      </c>
      <c r="J2160" s="15">
        <v>2.784782608695652</v>
      </c>
    </row>
    <row r="2161" spans="1:10" x14ac:dyDescent="0.25">
      <c r="A2161" s="2" t="s">
        <v>6464</v>
      </c>
      <c r="B2161" s="2" t="s">
        <v>6432</v>
      </c>
      <c r="C2161" s="2" t="s">
        <v>6465</v>
      </c>
      <c r="D2161" s="2" t="s">
        <v>10054</v>
      </c>
      <c r="E2161" s="15">
        <v>-8.8599999999999998E-2</v>
      </c>
      <c r="F2161" s="15">
        <v>0.11260000000000001</v>
      </c>
      <c r="G2161" s="15">
        <v>0.43120000000000003</v>
      </c>
      <c r="H2161" s="15">
        <v>8.3299999999999999E-2</v>
      </c>
      <c r="I2161" s="15">
        <v>3.9699999999999999E-2</v>
      </c>
      <c r="J2161" s="15">
        <v>2.09823677581864</v>
      </c>
    </row>
    <row r="2162" spans="1:10" x14ac:dyDescent="0.25">
      <c r="A2162" s="2" t="s">
        <v>6466</v>
      </c>
      <c r="B2162" s="2" t="s">
        <v>6432</v>
      </c>
      <c r="C2162" s="2" t="s">
        <v>6467</v>
      </c>
      <c r="D2162" s="2" t="s">
        <v>10054</v>
      </c>
      <c r="E2162" s="15">
        <v>-6.8500000000000005E-2</v>
      </c>
      <c r="F2162" s="15">
        <v>0.1231</v>
      </c>
      <c r="G2162" s="15">
        <v>0.57779999999999998</v>
      </c>
      <c r="H2162" s="15">
        <v>8.1500000000000003E-2</v>
      </c>
      <c r="I2162" s="15">
        <v>3.78E-2</v>
      </c>
      <c r="J2162" s="15">
        <v>2.1560846560846558</v>
      </c>
    </row>
    <row r="2163" spans="1:10" x14ac:dyDescent="0.25">
      <c r="A2163" s="2" t="s">
        <v>6468</v>
      </c>
      <c r="B2163" s="2" t="s">
        <v>6432</v>
      </c>
      <c r="C2163" s="2" t="s">
        <v>6469</v>
      </c>
      <c r="D2163" s="2" t="s">
        <v>10054</v>
      </c>
      <c r="E2163" s="15">
        <v>-2.76E-2</v>
      </c>
      <c r="F2163" s="15">
        <v>0.1202</v>
      </c>
      <c r="G2163" s="15">
        <v>0.81810000000000005</v>
      </c>
      <c r="H2163" s="15">
        <v>8.3000000000000004E-2</v>
      </c>
      <c r="I2163" s="15">
        <v>3.9199999999999999E-2</v>
      </c>
      <c r="J2163" s="15">
        <v>2.1173469387755102</v>
      </c>
    </row>
    <row r="2164" spans="1:10" x14ac:dyDescent="0.25">
      <c r="A2164" s="2" t="s">
        <v>6470</v>
      </c>
      <c r="B2164" s="2" t="s">
        <v>6432</v>
      </c>
      <c r="C2164" s="2" t="s">
        <v>6471</v>
      </c>
      <c r="D2164" s="2" t="s">
        <v>10054</v>
      </c>
      <c r="E2164" s="15">
        <v>0.1295</v>
      </c>
      <c r="F2164" s="15">
        <v>0.1011</v>
      </c>
      <c r="G2164" s="15">
        <v>0.20039999999999999</v>
      </c>
      <c r="H2164" s="15">
        <v>0.1036</v>
      </c>
      <c r="I2164" s="15">
        <v>3.61E-2</v>
      </c>
      <c r="J2164" s="15">
        <v>2.8698060941828261</v>
      </c>
    </row>
    <row r="2165" spans="1:10" x14ac:dyDescent="0.25">
      <c r="A2165" s="2" t="s">
        <v>6472</v>
      </c>
      <c r="B2165" s="2" t="s">
        <v>6432</v>
      </c>
      <c r="C2165" s="2" t="s">
        <v>6473</v>
      </c>
      <c r="D2165" s="2" t="s">
        <v>10054</v>
      </c>
      <c r="E2165" s="15">
        <v>8.8999999999999999E-3</v>
      </c>
      <c r="F2165" s="15">
        <v>8.0500000000000002E-2</v>
      </c>
      <c r="G2165" s="15">
        <v>0.91190000000000004</v>
      </c>
      <c r="H2165" s="15">
        <v>0.17549999999999999</v>
      </c>
      <c r="I2165" s="15">
        <v>4.0300000000000002E-2</v>
      </c>
      <c r="J2165" s="15">
        <v>4.354838709677419</v>
      </c>
    </row>
    <row r="2166" spans="1:10" x14ac:dyDescent="0.25">
      <c r="A2166" s="2" t="s">
        <v>6474</v>
      </c>
      <c r="B2166" s="2" t="s">
        <v>6475</v>
      </c>
      <c r="C2166" s="2" t="s">
        <v>6476</v>
      </c>
      <c r="D2166" s="2" t="s">
        <v>10054</v>
      </c>
      <c r="E2166" s="15">
        <v>-0.32540000000000002</v>
      </c>
      <c r="F2166" s="15">
        <v>0.3473</v>
      </c>
      <c r="G2166" s="15">
        <v>0.3488</v>
      </c>
      <c r="H2166" s="15">
        <v>2.7400000000000001E-2</v>
      </c>
      <c r="I2166" s="15">
        <v>3.6499999999999998E-2</v>
      </c>
      <c r="J2166" s="15">
        <v>0.75068493150684934</v>
      </c>
    </row>
    <row r="2167" spans="1:10" x14ac:dyDescent="0.25">
      <c r="A2167" s="2" t="s">
        <v>6477</v>
      </c>
      <c r="B2167" s="2" t="s">
        <v>6475</v>
      </c>
      <c r="C2167" s="2" t="s">
        <v>6478</v>
      </c>
      <c r="D2167" s="2" t="s">
        <v>10054</v>
      </c>
      <c r="E2167" s="15">
        <v>0.1135</v>
      </c>
      <c r="F2167" s="15">
        <v>0.1053</v>
      </c>
      <c r="G2167" s="15">
        <v>0.28089999999999998</v>
      </c>
      <c r="H2167" s="15">
        <v>0.11550000000000001</v>
      </c>
      <c r="I2167" s="15">
        <v>3.9800000000000002E-2</v>
      </c>
      <c r="J2167" s="15">
        <v>2.9020100502512558</v>
      </c>
    </row>
    <row r="2168" spans="1:10" x14ac:dyDescent="0.25">
      <c r="A2168" s="2" t="s">
        <v>6479</v>
      </c>
      <c r="B2168" s="2" t="s">
        <v>6475</v>
      </c>
      <c r="C2168" s="2" t="s">
        <v>6480</v>
      </c>
      <c r="D2168" s="2" t="s">
        <v>10054</v>
      </c>
      <c r="E2168" s="15">
        <v>-0.21709999999999999</v>
      </c>
      <c r="F2168" s="15">
        <v>0.21290000000000001</v>
      </c>
      <c r="G2168" s="15">
        <v>0.30769999999999997</v>
      </c>
      <c r="H2168" s="15">
        <v>4.3900000000000002E-2</v>
      </c>
      <c r="I2168" s="15">
        <v>3.9E-2</v>
      </c>
      <c r="J2168" s="15">
        <v>1.1256410256410261</v>
      </c>
    </row>
    <row r="2169" spans="1:10" x14ac:dyDescent="0.25">
      <c r="A2169" s="2" t="s">
        <v>6481</v>
      </c>
      <c r="B2169" s="2" t="s">
        <v>6475</v>
      </c>
      <c r="C2169" s="2" t="s">
        <v>6482</v>
      </c>
      <c r="D2169" s="2" t="s">
        <v>10054</v>
      </c>
      <c r="E2169" s="15">
        <v>-0.31630000000000003</v>
      </c>
      <c r="F2169" s="15">
        <v>0.30859999999999999</v>
      </c>
      <c r="G2169" s="15">
        <v>0.3054</v>
      </c>
      <c r="H2169" s="15">
        <v>2.52E-2</v>
      </c>
      <c r="I2169" s="15">
        <v>3.6200000000000003E-2</v>
      </c>
      <c r="J2169" s="15">
        <v>0.69613259668508287</v>
      </c>
    </row>
    <row r="2170" spans="1:10" x14ac:dyDescent="0.25">
      <c r="A2170" s="2" t="s">
        <v>6483</v>
      </c>
      <c r="B2170" s="2" t="s">
        <v>6475</v>
      </c>
      <c r="C2170" s="2" t="s">
        <v>6484</v>
      </c>
      <c r="D2170" s="2" t="s">
        <v>10054</v>
      </c>
      <c r="E2170" s="15">
        <v>0.18129999999999999</v>
      </c>
      <c r="F2170" s="15">
        <v>0.1174</v>
      </c>
      <c r="G2170" s="15">
        <v>0.1225</v>
      </c>
      <c r="H2170" s="15">
        <v>7.0099999999999996E-2</v>
      </c>
      <c r="I2170" s="15">
        <v>3.7699999999999997E-2</v>
      </c>
      <c r="J2170" s="15">
        <v>1.859416445623342</v>
      </c>
    </row>
    <row r="2171" spans="1:10" x14ac:dyDescent="0.25">
      <c r="A2171" s="2" t="s">
        <v>6485</v>
      </c>
      <c r="B2171" s="2" t="s">
        <v>6475</v>
      </c>
      <c r="C2171" s="2" t="s">
        <v>6486</v>
      </c>
      <c r="D2171" s="2" t="s">
        <v>10054</v>
      </c>
      <c r="E2171" s="15">
        <v>-3.5700000000000003E-2</v>
      </c>
      <c r="F2171" s="15">
        <v>0.10059999999999999</v>
      </c>
      <c r="G2171" s="15">
        <v>0.72299999999999998</v>
      </c>
      <c r="H2171" s="15">
        <v>0.1201</v>
      </c>
      <c r="I2171" s="15">
        <v>3.9899999999999998E-2</v>
      </c>
      <c r="J2171" s="15">
        <v>3.0100250626566418</v>
      </c>
    </row>
    <row r="2172" spans="1:10" x14ac:dyDescent="0.25">
      <c r="A2172" s="2" t="s">
        <v>6487</v>
      </c>
      <c r="B2172" s="2" t="s">
        <v>6475</v>
      </c>
      <c r="C2172" s="2" t="s">
        <v>6488</v>
      </c>
      <c r="D2172" s="2" t="s">
        <v>10054</v>
      </c>
      <c r="E2172" s="15">
        <v>1.5E-3</v>
      </c>
      <c r="F2172" s="15">
        <v>8.5800000000000001E-2</v>
      </c>
      <c r="G2172" s="15">
        <v>0.9859</v>
      </c>
      <c r="H2172" s="15">
        <v>0.14249999999999999</v>
      </c>
      <c r="I2172" s="15">
        <v>3.9800000000000002E-2</v>
      </c>
      <c r="J2172" s="15">
        <v>3.5804020100502512</v>
      </c>
    </row>
    <row r="2173" spans="1:10" x14ac:dyDescent="0.25">
      <c r="A2173" s="2" t="s">
        <v>6489</v>
      </c>
      <c r="B2173" s="2" t="s">
        <v>6475</v>
      </c>
      <c r="C2173" s="2" t="s">
        <v>6490</v>
      </c>
      <c r="D2173" s="2" t="s">
        <v>10054</v>
      </c>
      <c r="E2173" s="15">
        <v>-6.6E-3</v>
      </c>
      <c r="F2173" s="15">
        <v>0.1196</v>
      </c>
      <c r="G2173" s="15">
        <v>0.95609999999999995</v>
      </c>
      <c r="H2173" s="15">
        <v>9.1899999999999996E-2</v>
      </c>
      <c r="I2173" s="15">
        <v>3.6499999999999998E-2</v>
      </c>
      <c r="J2173" s="15">
        <v>2.517808219178082</v>
      </c>
    </row>
    <row r="2174" spans="1:10" x14ac:dyDescent="0.25">
      <c r="A2174" s="2" t="s">
        <v>6491</v>
      </c>
      <c r="B2174" s="2" t="s">
        <v>6475</v>
      </c>
      <c r="C2174" s="2" t="s">
        <v>6492</v>
      </c>
      <c r="D2174" s="2" t="s">
        <v>10054</v>
      </c>
      <c r="E2174" s="15">
        <v>3.4799999999999998E-2</v>
      </c>
      <c r="F2174" s="15">
        <v>7.46E-2</v>
      </c>
      <c r="G2174" s="15">
        <v>0.64029999999999998</v>
      </c>
      <c r="H2174" s="15">
        <v>0.2046</v>
      </c>
      <c r="I2174" s="15">
        <v>4.1300000000000003E-2</v>
      </c>
      <c r="J2174" s="15">
        <v>4.9539951573849876</v>
      </c>
    </row>
    <row r="2175" spans="1:10" x14ac:dyDescent="0.25">
      <c r="A2175" s="2" t="s">
        <v>6493</v>
      </c>
      <c r="B2175" s="2" t="s">
        <v>6475</v>
      </c>
      <c r="C2175" s="2" t="s">
        <v>6494</v>
      </c>
      <c r="D2175" s="2" t="s">
        <v>10054</v>
      </c>
      <c r="E2175" s="15">
        <v>8.1900000000000001E-2</v>
      </c>
      <c r="F2175" s="15">
        <v>0.17960000000000001</v>
      </c>
      <c r="G2175" s="15">
        <v>0.64859999999999995</v>
      </c>
      <c r="H2175" s="15">
        <v>3.4299999999999997E-2</v>
      </c>
      <c r="I2175" s="15">
        <v>3.6999999999999998E-2</v>
      </c>
      <c r="J2175" s="15">
        <v>0.927027027027027</v>
      </c>
    </row>
    <row r="2176" spans="1:10" x14ac:dyDescent="0.25">
      <c r="A2176" s="2" t="s">
        <v>6495</v>
      </c>
      <c r="B2176" s="2" t="s">
        <v>6475</v>
      </c>
      <c r="C2176" s="2" t="s">
        <v>6496</v>
      </c>
      <c r="D2176" s="2" t="s">
        <v>10054</v>
      </c>
      <c r="E2176" s="15">
        <v>4.7100000000000003E-2</v>
      </c>
      <c r="F2176" s="15">
        <v>0.1037</v>
      </c>
      <c r="G2176" s="15">
        <v>0.64980000000000004</v>
      </c>
      <c r="H2176" s="15">
        <v>9.3700000000000006E-2</v>
      </c>
      <c r="I2176" s="15">
        <v>3.8800000000000001E-2</v>
      </c>
      <c r="J2176" s="15">
        <v>2.4149484536082468</v>
      </c>
    </row>
    <row r="2177" spans="1:10" x14ac:dyDescent="0.25">
      <c r="A2177" s="2" t="s">
        <v>6497</v>
      </c>
      <c r="B2177" s="2" t="s">
        <v>6475</v>
      </c>
      <c r="C2177" s="2" t="s">
        <v>6498</v>
      </c>
      <c r="D2177" s="2" t="s">
        <v>10054</v>
      </c>
      <c r="E2177" s="15">
        <v>7.4300000000000005E-2</v>
      </c>
      <c r="F2177" s="15">
        <v>0.1016</v>
      </c>
      <c r="G2177" s="15">
        <v>0.46429999999999999</v>
      </c>
      <c r="H2177" s="15">
        <v>0.1041</v>
      </c>
      <c r="I2177" s="15">
        <v>4.3700000000000003E-2</v>
      </c>
      <c r="J2177" s="15">
        <v>2.3821510297482842</v>
      </c>
    </row>
    <row r="2178" spans="1:10" x14ac:dyDescent="0.25">
      <c r="A2178" s="2" t="s">
        <v>6499</v>
      </c>
      <c r="B2178" s="2" t="s">
        <v>6475</v>
      </c>
      <c r="C2178" s="2" t="s">
        <v>6500</v>
      </c>
      <c r="D2178" s="2" t="s">
        <v>10054</v>
      </c>
      <c r="E2178" s="15">
        <v>5.7000000000000002E-3</v>
      </c>
      <c r="F2178" s="15">
        <v>6.9900000000000004E-2</v>
      </c>
      <c r="G2178" s="15">
        <v>0.93520000000000003</v>
      </c>
      <c r="H2178" s="15">
        <v>0.1918</v>
      </c>
      <c r="I2178" s="15">
        <v>4.4499999999999998E-2</v>
      </c>
      <c r="J2178" s="15">
        <v>4.3101123595505619</v>
      </c>
    </row>
    <row r="2179" spans="1:10" x14ac:dyDescent="0.25">
      <c r="A2179" s="2" t="s">
        <v>6501</v>
      </c>
      <c r="B2179" s="2" t="s">
        <v>6475</v>
      </c>
      <c r="C2179" s="2" t="s">
        <v>6502</v>
      </c>
      <c r="D2179" s="2" t="s">
        <v>10054</v>
      </c>
      <c r="E2179" s="15">
        <v>-0.11749999999999999</v>
      </c>
      <c r="F2179" s="15">
        <v>0.14899999999999999</v>
      </c>
      <c r="G2179" s="15">
        <v>0.43020000000000003</v>
      </c>
      <c r="H2179" s="15">
        <v>6.13E-2</v>
      </c>
      <c r="I2179" s="15">
        <v>3.61E-2</v>
      </c>
      <c r="J2179" s="15">
        <v>1.6980609418282551</v>
      </c>
    </row>
    <row r="2180" spans="1:10" x14ac:dyDescent="0.25">
      <c r="A2180" s="2" t="s">
        <v>6503</v>
      </c>
      <c r="B2180" s="2" t="s">
        <v>6475</v>
      </c>
      <c r="C2180" s="2" t="s">
        <v>6504</v>
      </c>
      <c r="D2180" s="2" t="s">
        <v>10054</v>
      </c>
      <c r="E2180" s="15">
        <v>3.3799999999999997E-2</v>
      </c>
      <c r="F2180" s="15">
        <v>8.7099999999999997E-2</v>
      </c>
      <c r="G2180" s="15">
        <v>0.69779999999999998</v>
      </c>
      <c r="H2180" s="15">
        <v>0.15210000000000001</v>
      </c>
      <c r="I2180" s="15">
        <v>4.24E-2</v>
      </c>
      <c r="J2180" s="15">
        <v>3.5872641509433971</v>
      </c>
    </row>
    <row r="2181" spans="1:10" x14ac:dyDescent="0.25">
      <c r="A2181" s="2" t="s">
        <v>6505</v>
      </c>
      <c r="B2181" s="2" t="s">
        <v>6475</v>
      </c>
      <c r="C2181" s="2" t="s">
        <v>6506</v>
      </c>
      <c r="D2181" s="2" t="s">
        <v>10054</v>
      </c>
      <c r="E2181" s="15">
        <v>-1.14E-2</v>
      </c>
      <c r="F2181" s="15">
        <v>0.1258</v>
      </c>
      <c r="G2181" s="15">
        <v>0.92800000000000005</v>
      </c>
      <c r="H2181" s="15">
        <v>6.2899999999999998E-2</v>
      </c>
      <c r="I2181" s="15">
        <v>3.9399999999999998E-2</v>
      </c>
      <c r="J2181" s="15">
        <v>1.5964467005076139</v>
      </c>
    </row>
    <row r="2182" spans="1:10" x14ac:dyDescent="0.25">
      <c r="A2182" s="2" t="s">
        <v>6507</v>
      </c>
      <c r="B2182" s="2" t="s">
        <v>6475</v>
      </c>
      <c r="C2182" s="2" t="s">
        <v>6508</v>
      </c>
      <c r="D2182" s="2" t="s">
        <v>10054</v>
      </c>
      <c r="E2182" s="15">
        <v>5.62E-2</v>
      </c>
      <c r="F2182" s="15">
        <v>7.0699999999999999E-2</v>
      </c>
      <c r="G2182" s="15">
        <v>0.4269</v>
      </c>
      <c r="H2182" s="15">
        <v>0.19850000000000001</v>
      </c>
      <c r="I2182" s="15">
        <v>3.9399999999999998E-2</v>
      </c>
      <c r="J2182" s="15">
        <v>5.0380710659898487</v>
      </c>
    </row>
    <row r="2183" spans="1:10" x14ac:dyDescent="0.25">
      <c r="A2183" s="2" t="s">
        <v>6509</v>
      </c>
      <c r="B2183" s="2" t="s">
        <v>6475</v>
      </c>
      <c r="C2183" s="2" t="s">
        <v>6510</v>
      </c>
      <c r="D2183" s="2" t="s">
        <v>10054</v>
      </c>
      <c r="E2183" s="15">
        <v>-1.37E-2</v>
      </c>
      <c r="F2183" s="15">
        <v>9.98E-2</v>
      </c>
      <c r="G2183" s="15">
        <v>0.89070000000000005</v>
      </c>
      <c r="H2183" s="15">
        <v>0.104</v>
      </c>
      <c r="I2183" s="15">
        <v>3.6700000000000003E-2</v>
      </c>
      <c r="J2183" s="15">
        <v>2.8337874659400542</v>
      </c>
    </row>
    <row r="2184" spans="1:10" x14ac:dyDescent="0.25">
      <c r="A2184" s="2" t="s">
        <v>6511</v>
      </c>
      <c r="B2184" s="2" t="s">
        <v>6475</v>
      </c>
      <c r="C2184" s="2" t="s">
        <v>6512</v>
      </c>
      <c r="D2184" s="2" t="s">
        <v>10054</v>
      </c>
      <c r="E2184" s="15">
        <v>0.1196</v>
      </c>
      <c r="F2184" s="15">
        <v>0.1067</v>
      </c>
      <c r="G2184" s="15">
        <v>0.26250000000000001</v>
      </c>
      <c r="H2184" s="15">
        <v>9.2299999999999993E-2</v>
      </c>
      <c r="I2184" s="15">
        <v>3.8800000000000001E-2</v>
      </c>
      <c r="J2184" s="15">
        <v>2.3788659793814428</v>
      </c>
    </row>
    <row r="2185" spans="1:10" x14ac:dyDescent="0.25">
      <c r="A2185" s="2" t="s">
        <v>6513</v>
      </c>
      <c r="B2185" s="2" t="s">
        <v>6475</v>
      </c>
      <c r="C2185" s="2" t="s">
        <v>6514</v>
      </c>
      <c r="D2185" s="2" t="s">
        <v>10054</v>
      </c>
      <c r="E2185" s="15">
        <v>-9.9500000000000005E-2</v>
      </c>
      <c r="F2185" s="15">
        <v>9.1399999999999995E-2</v>
      </c>
      <c r="G2185" s="15">
        <v>0.2762</v>
      </c>
      <c r="H2185" s="15">
        <v>0.13469999999999999</v>
      </c>
      <c r="I2185" s="15">
        <v>3.3799999999999997E-2</v>
      </c>
      <c r="J2185" s="15">
        <v>3.9852071005917158</v>
      </c>
    </row>
    <row r="2186" spans="1:10" x14ac:dyDescent="0.25">
      <c r="A2186" s="2" t="s">
        <v>6515</v>
      </c>
      <c r="B2186" s="2" t="s">
        <v>6475</v>
      </c>
      <c r="C2186" s="2" t="s">
        <v>6516</v>
      </c>
      <c r="D2186" s="2" t="s">
        <v>10054</v>
      </c>
      <c r="E2186" s="15">
        <v>3.4500000000000003E-2</v>
      </c>
      <c r="F2186" s="15">
        <v>8.0500000000000002E-2</v>
      </c>
      <c r="G2186" s="15">
        <v>0.66849999999999998</v>
      </c>
      <c r="H2186" s="15">
        <v>0.21809999999999999</v>
      </c>
      <c r="I2186" s="15">
        <v>4.5900000000000003E-2</v>
      </c>
      <c r="J2186" s="15">
        <v>4.7516339869281037</v>
      </c>
    </row>
    <row r="2187" spans="1:10" x14ac:dyDescent="0.25">
      <c r="A2187" s="2" t="s">
        <v>6517</v>
      </c>
      <c r="B2187" s="2" t="s">
        <v>6475</v>
      </c>
      <c r="C2187" s="2" t="s">
        <v>6518</v>
      </c>
      <c r="D2187" s="2" t="s">
        <v>10054</v>
      </c>
      <c r="E2187" s="15">
        <v>-0.12609999999999999</v>
      </c>
      <c r="F2187" s="15">
        <v>7.9399999999999998E-2</v>
      </c>
      <c r="G2187" s="15">
        <v>0.1123</v>
      </c>
      <c r="H2187" s="15">
        <v>0.15870000000000001</v>
      </c>
      <c r="I2187" s="15">
        <v>4.3299999999999998E-2</v>
      </c>
      <c r="J2187" s="15">
        <v>3.6651270207852198</v>
      </c>
    </row>
    <row r="2188" spans="1:10" x14ac:dyDescent="0.25">
      <c r="A2188" s="2" t="s">
        <v>6519</v>
      </c>
      <c r="B2188" s="2" t="s">
        <v>6475</v>
      </c>
      <c r="C2188" s="2" t="s">
        <v>6520</v>
      </c>
      <c r="D2188" s="2" t="s">
        <v>10054</v>
      </c>
      <c r="E2188" s="15">
        <v>-5.8999999999999999E-3</v>
      </c>
      <c r="F2188" s="15">
        <v>9.0399999999999994E-2</v>
      </c>
      <c r="G2188" s="15">
        <v>0.94789999999999996</v>
      </c>
      <c r="H2188" s="15">
        <v>0.11650000000000001</v>
      </c>
      <c r="I2188" s="15">
        <v>4.1799999999999997E-2</v>
      </c>
      <c r="J2188" s="15">
        <v>2.7870813397129188</v>
      </c>
    </row>
    <row r="2189" spans="1:10" x14ac:dyDescent="0.25">
      <c r="A2189" s="2" t="s">
        <v>6521</v>
      </c>
      <c r="B2189" s="2" t="s">
        <v>6475</v>
      </c>
      <c r="C2189" s="2" t="s">
        <v>6522</v>
      </c>
      <c r="D2189" s="2" t="s">
        <v>10054</v>
      </c>
      <c r="E2189" s="15">
        <v>9.1399999999999995E-2</v>
      </c>
      <c r="F2189" s="15">
        <v>0.14779999999999999</v>
      </c>
      <c r="G2189" s="15">
        <v>0.53649999999999998</v>
      </c>
      <c r="H2189" s="15">
        <v>5.5199999999999999E-2</v>
      </c>
      <c r="I2189" s="15">
        <v>3.5499999999999997E-2</v>
      </c>
      <c r="J2189" s="15">
        <v>1.5549295774647891</v>
      </c>
    </row>
    <row r="2190" spans="1:10" x14ac:dyDescent="0.25">
      <c r="A2190" s="2" t="s">
        <v>6523</v>
      </c>
      <c r="B2190" s="2" t="s">
        <v>6475</v>
      </c>
      <c r="C2190" s="2" t="s">
        <v>6524</v>
      </c>
      <c r="D2190" s="2" t="s">
        <v>10054</v>
      </c>
      <c r="E2190" s="15">
        <v>-7.0999999999999994E-2</v>
      </c>
      <c r="F2190" s="15">
        <v>9.3200000000000005E-2</v>
      </c>
      <c r="G2190" s="15">
        <v>0.44590000000000002</v>
      </c>
      <c r="H2190" s="15">
        <v>0.151</v>
      </c>
      <c r="I2190" s="15">
        <v>4.0599999999999997E-2</v>
      </c>
      <c r="J2190" s="15">
        <v>3.7192118226600992</v>
      </c>
    </row>
    <row r="2191" spans="1:10" x14ac:dyDescent="0.25">
      <c r="A2191" s="2" t="s">
        <v>6525</v>
      </c>
      <c r="B2191" s="2" t="s">
        <v>6475</v>
      </c>
      <c r="C2191" s="2" t="s">
        <v>6526</v>
      </c>
      <c r="D2191" s="2" t="s">
        <v>10054</v>
      </c>
      <c r="E2191" s="15">
        <v>0.13719999999999999</v>
      </c>
      <c r="F2191" s="15">
        <v>0.1051</v>
      </c>
      <c r="G2191" s="15">
        <v>0.19189999999999999</v>
      </c>
      <c r="H2191" s="15">
        <v>0.104</v>
      </c>
      <c r="I2191" s="15">
        <v>3.8899999999999997E-2</v>
      </c>
      <c r="J2191" s="15">
        <v>2.6735218508997431</v>
      </c>
    </row>
    <row r="2192" spans="1:10" x14ac:dyDescent="0.25">
      <c r="A2192" s="2" t="s">
        <v>6527</v>
      </c>
      <c r="B2192" s="2" t="s">
        <v>6475</v>
      </c>
      <c r="C2192" s="2" t="s">
        <v>6528</v>
      </c>
      <c r="D2192" s="2" t="s">
        <v>10054</v>
      </c>
      <c r="E2192" s="15">
        <v>-0.11459999999999999</v>
      </c>
      <c r="F2192" s="15">
        <v>0.1148</v>
      </c>
      <c r="G2192" s="15">
        <v>0.318</v>
      </c>
      <c r="H2192" s="15">
        <v>8.3500000000000005E-2</v>
      </c>
      <c r="I2192" s="15">
        <v>4.0599999999999997E-2</v>
      </c>
      <c r="J2192" s="15">
        <v>2.056650246305419</v>
      </c>
    </row>
    <row r="2193" spans="1:10" x14ac:dyDescent="0.25">
      <c r="A2193" s="2" t="s">
        <v>6529</v>
      </c>
      <c r="B2193" s="2" t="s">
        <v>6475</v>
      </c>
      <c r="C2193" s="2" t="s">
        <v>6530</v>
      </c>
      <c r="D2193" s="2" t="s">
        <v>10054</v>
      </c>
      <c r="E2193" s="15">
        <v>0.21820000000000001</v>
      </c>
      <c r="F2193" s="15">
        <v>0.1157</v>
      </c>
      <c r="G2193" s="15">
        <v>5.9400000000000001E-2</v>
      </c>
      <c r="H2193" s="15">
        <v>0.1104</v>
      </c>
      <c r="I2193" s="15">
        <v>4.1399999999999999E-2</v>
      </c>
      <c r="J2193" s="15">
        <v>2.666666666666667</v>
      </c>
    </row>
    <row r="2194" spans="1:10" x14ac:dyDescent="0.25">
      <c r="A2194" s="2" t="s">
        <v>6531</v>
      </c>
      <c r="B2194" s="2" t="s">
        <v>6475</v>
      </c>
      <c r="C2194" s="2" t="s">
        <v>6532</v>
      </c>
      <c r="D2194" s="2" t="s">
        <v>10054</v>
      </c>
      <c r="E2194" s="15">
        <v>0.15989999999999999</v>
      </c>
      <c r="F2194" s="15">
        <v>0.1696</v>
      </c>
      <c r="G2194" s="15">
        <v>0.34570000000000001</v>
      </c>
      <c r="H2194" s="15">
        <v>4.6800000000000001E-2</v>
      </c>
      <c r="I2194" s="15">
        <v>3.5499999999999997E-2</v>
      </c>
      <c r="J2194" s="15">
        <v>1.31830985915493</v>
      </c>
    </row>
    <row r="2195" spans="1:10" x14ac:dyDescent="0.25">
      <c r="A2195" s="2" t="s">
        <v>6533</v>
      </c>
      <c r="B2195" s="2" t="s">
        <v>6475</v>
      </c>
      <c r="C2195" s="2" t="s">
        <v>6534</v>
      </c>
      <c r="D2195" s="2" t="s">
        <v>10054</v>
      </c>
      <c r="E2195" s="15">
        <v>7.1300000000000002E-2</v>
      </c>
      <c r="F2195" s="15">
        <v>0.1244</v>
      </c>
      <c r="G2195" s="15">
        <v>0.56620000000000004</v>
      </c>
      <c r="H2195" s="15">
        <v>8.0799999999999997E-2</v>
      </c>
      <c r="I2195" s="15">
        <v>3.9600000000000003E-2</v>
      </c>
      <c r="J2195" s="15">
        <v>2.0404040404040402</v>
      </c>
    </row>
    <row r="2196" spans="1:10" x14ac:dyDescent="0.25">
      <c r="A2196" s="2" t="s">
        <v>6535</v>
      </c>
      <c r="B2196" s="2" t="s">
        <v>6475</v>
      </c>
      <c r="C2196" s="2" t="s">
        <v>6536</v>
      </c>
      <c r="D2196" s="2" t="s">
        <v>10054</v>
      </c>
      <c r="E2196" s="15">
        <v>0.1449</v>
      </c>
      <c r="F2196" s="15">
        <v>0.15329999999999999</v>
      </c>
      <c r="G2196" s="15">
        <v>0.34449999999999997</v>
      </c>
      <c r="H2196" s="15">
        <v>5.1700000000000003E-2</v>
      </c>
      <c r="I2196" s="15">
        <v>3.9300000000000002E-2</v>
      </c>
      <c r="J2196" s="15">
        <v>1.3155216284987279</v>
      </c>
    </row>
    <row r="2197" spans="1:10" x14ac:dyDescent="0.25">
      <c r="A2197" s="2" t="s">
        <v>6537</v>
      </c>
      <c r="B2197" s="2" t="s">
        <v>6475</v>
      </c>
      <c r="C2197" s="2" t="s">
        <v>6538</v>
      </c>
      <c r="D2197" s="2" t="s">
        <v>10054</v>
      </c>
      <c r="E2197" s="15">
        <v>-0.1128</v>
      </c>
      <c r="F2197" s="15">
        <v>9.64E-2</v>
      </c>
      <c r="G2197" s="15">
        <v>0.24199999999999999</v>
      </c>
      <c r="H2197" s="15">
        <v>0.13600000000000001</v>
      </c>
      <c r="I2197" s="15">
        <v>4.3900000000000002E-2</v>
      </c>
      <c r="J2197" s="15">
        <v>3.0979498861047841</v>
      </c>
    </row>
    <row r="2198" spans="1:10" x14ac:dyDescent="0.25">
      <c r="A2198" s="2" t="s">
        <v>6539</v>
      </c>
      <c r="B2198" s="2" t="s">
        <v>6475</v>
      </c>
      <c r="C2198" s="2" t="s">
        <v>6540</v>
      </c>
      <c r="D2198" s="2" t="s">
        <v>10054</v>
      </c>
      <c r="E2198" s="15">
        <v>0.1181</v>
      </c>
      <c r="F2198" s="15">
        <v>8.9399999999999993E-2</v>
      </c>
      <c r="G2198" s="15">
        <v>0.1867</v>
      </c>
      <c r="H2198" s="15">
        <v>0.18740000000000001</v>
      </c>
      <c r="I2198" s="15">
        <v>4.0500000000000001E-2</v>
      </c>
      <c r="J2198" s="15">
        <v>4.6271604938271604</v>
      </c>
    </row>
    <row r="2199" spans="1:10" x14ac:dyDescent="0.25">
      <c r="A2199" s="2" t="s">
        <v>6541</v>
      </c>
      <c r="B2199" s="2" t="s">
        <v>6475</v>
      </c>
      <c r="C2199" s="2" t="s">
        <v>6542</v>
      </c>
      <c r="D2199" s="2" t="s">
        <v>10054</v>
      </c>
      <c r="E2199" s="15">
        <v>7.4399999999999994E-2</v>
      </c>
      <c r="F2199" s="15">
        <v>7.7499999999999999E-2</v>
      </c>
      <c r="G2199" s="15">
        <v>0.33689999999999998</v>
      </c>
      <c r="H2199" s="15">
        <v>0.152</v>
      </c>
      <c r="I2199" s="15">
        <v>3.7400000000000003E-2</v>
      </c>
      <c r="J2199" s="15">
        <v>4.0641711229946518</v>
      </c>
    </row>
    <row r="2200" spans="1:10" x14ac:dyDescent="0.25">
      <c r="A2200" s="2" t="s">
        <v>6543</v>
      </c>
      <c r="B2200" s="2" t="s">
        <v>6475</v>
      </c>
      <c r="C2200" s="2" t="s">
        <v>6544</v>
      </c>
      <c r="D2200" s="2" t="s">
        <v>10054</v>
      </c>
      <c r="E2200" s="15">
        <v>5.2999999999999999E-2</v>
      </c>
      <c r="F2200" s="15">
        <v>9.6299999999999997E-2</v>
      </c>
      <c r="G2200" s="15">
        <v>0.58220000000000005</v>
      </c>
      <c r="H2200" s="15">
        <v>0.1275</v>
      </c>
      <c r="I2200" s="15">
        <v>3.6799999999999999E-2</v>
      </c>
      <c r="J2200" s="15">
        <v>3.464673913043478</v>
      </c>
    </row>
    <row r="2201" spans="1:10" x14ac:dyDescent="0.25">
      <c r="A2201" s="2" t="s">
        <v>6545</v>
      </c>
      <c r="B2201" s="2" t="s">
        <v>6475</v>
      </c>
      <c r="C2201" s="2" t="s">
        <v>6546</v>
      </c>
      <c r="D2201" s="2" t="s">
        <v>10054</v>
      </c>
      <c r="E2201" s="15">
        <v>0.19989999999999999</v>
      </c>
      <c r="F2201" s="15">
        <v>0.1231</v>
      </c>
      <c r="G2201" s="15">
        <v>0.1045</v>
      </c>
      <c r="H2201" s="15">
        <v>8.6900000000000005E-2</v>
      </c>
      <c r="I2201" s="15">
        <v>3.8300000000000001E-2</v>
      </c>
      <c r="J2201" s="15">
        <v>2.268929503916449</v>
      </c>
    </row>
    <row r="2202" spans="1:10" x14ac:dyDescent="0.25">
      <c r="A2202" s="2" t="s">
        <v>6547</v>
      </c>
      <c r="B2202" s="2" t="s">
        <v>6475</v>
      </c>
      <c r="C2202" s="2" t="s">
        <v>6548</v>
      </c>
      <c r="D2202" s="2" t="s">
        <v>10054</v>
      </c>
      <c r="E2202" s="15">
        <v>4.8399999999999999E-2</v>
      </c>
      <c r="F2202" s="15">
        <v>7.4800000000000005E-2</v>
      </c>
      <c r="G2202" s="15">
        <v>0.51739999999999997</v>
      </c>
      <c r="H2202" s="15">
        <v>0.17319999999999999</v>
      </c>
      <c r="I2202" s="15">
        <v>4.0800000000000003E-2</v>
      </c>
      <c r="J2202" s="15">
        <v>4.2450980392156854</v>
      </c>
    </row>
    <row r="2203" spans="1:10" x14ac:dyDescent="0.25">
      <c r="A2203" s="2" t="s">
        <v>6549</v>
      </c>
      <c r="B2203" s="2" t="s">
        <v>6475</v>
      </c>
      <c r="C2203" s="2" t="s">
        <v>6550</v>
      </c>
      <c r="D2203" s="2" t="s">
        <v>10054</v>
      </c>
      <c r="E2203" s="15">
        <v>-2.7E-2</v>
      </c>
      <c r="F2203" s="15">
        <v>9.1200000000000003E-2</v>
      </c>
      <c r="G2203" s="15">
        <v>0.76739999999999997</v>
      </c>
      <c r="H2203" s="15">
        <v>0.1313</v>
      </c>
      <c r="I2203" s="15">
        <v>4.0599999999999997E-2</v>
      </c>
      <c r="J2203" s="15">
        <v>3.2339901477832509</v>
      </c>
    </row>
    <row r="2204" spans="1:10" x14ac:dyDescent="0.25">
      <c r="A2204" s="2" t="s">
        <v>6551</v>
      </c>
      <c r="B2204" s="2" t="s">
        <v>6475</v>
      </c>
      <c r="C2204" s="2" t="s">
        <v>6552</v>
      </c>
      <c r="D2204" s="2" t="s">
        <v>10054</v>
      </c>
      <c r="E2204" s="15">
        <v>0.30020000000000002</v>
      </c>
      <c r="F2204" s="15">
        <v>0.1308</v>
      </c>
      <c r="G2204" s="15">
        <v>2.1700000000000001E-2</v>
      </c>
      <c r="H2204" s="15">
        <v>7.2099999999999997E-2</v>
      </c>
      <c r="I2204" s="15">
        <v>3.7699999999999997E-2</v>
      </c>
      <c r="J2204" s="15">
        <v>1.9124668435013259</v>
      </c>
    </row>
    <row r="2205" spans="1:10" x14ac:dyDescent="0.25">
      <c r="A2205" s="2" t="s">
        <v>6553</v>
      </c>
      <c r="B2205" s="2" t="s">
        <v>6475</v>
      </c>
      <c r="C2205" s="2" t="s">
        <v>6554</v>
      </c>
      <c r="D2205" s="2" t="s">
        <v>10054</v>
      </c>
      <c r="E2205" s="15">
        <v>5.7299999999999997E-2</v>
      </c>
      <c r="F2205" s="15">
        <v>0.1061</v>
      </c>
      <c r="G2205" s="15">
        <v>0.58930000000000005</v>
      </c>
      <c r="H2205" s="15">
        <v>9.3100000000000002E-2</v>
      </c>
      <c r="I2205" s="15">
        <v>4.1500000000000002E-2</v>
      </c>
      <c r="J2205" s="15">
        <v>2.2433734939759029</v>
      </c>
    </row>
    <row r="2206" spans="1:10" x14ac:dyDescent="0.25">
      <c r="A2206" s="2" t="s">
        <v>6555</v>
      </c>
      <c r="B2206" s="2" t="s">
        <v>6475</v>
      </c>
      <c r="C2206" s="2" t="s">
        <v>6556</v>
      </c>
      <c r="D2206" s="2" t="s">
        <v>10054</v>
      </c>
      <c r="E2206" s="15"/>
      <c r="F2206" s="15"/>
      <c r="G2206" s="15"/>
      <c r="H2206" s="15">
        <v>-4.4000000000000003E-3</v>
      </c>
      <c r="I2206" s="15">
        <v>3.4000000000000002E-2</v>
      </c>
      <c r="J2206" s="15">
        <v>-0.12941176470588239</v>
      </c>
    </row>
    <row r="2207" spans="1:10" x14ac:dyDescent="0.25">
      <c r="A2207" s="2" t="s">
        <v>6557</v>
      </c>
      <c r="B2207" s="2" t="s">
        <v>6475</v>
      </c>
      <c r="C2207" s="2" t="s">
        <v>6558</v>
      </c>
      <c r="D2207" s="2" t="s">
        <v>10054</v>
      </c>
      <c r="E2207" s="15">
        <v>9.5000000000000001E-2</v>
      </c>
      <c r="F2207" s="15">
        <v>0.13719999999999999</v>
      </c>
      <c r="G2207" s="15">
        <v>0.4889</v>
      </c>
      <c r="H2207" s="15">
        <v>6.54E-2</v>
      </c>
      <c r="I2207" s="15">
        <v>3.8800000000000001E-2</v>
      </c>
      <c r="J2207" s="15">
        <v>1.6855670103092779</v>
      </c>
    </row>
    <row r="2208" spans="1:10" x14ac:dyDescent="0.25">
      <c r="A2208" s="2" t="s">
        <v>6559</v>
      </c>
      <c r="B2208" s="2" t="s">
        <v>6475</v>
      </c>
      <c r="C2208" s="2" t="s">
        <v>6560</v>
      </c>
      <c r="D2208" s="2" t="s">
        <v>10054</v>
      </c>
      <c r="E2208" s="15">
        <v>0.1396</v>
      </c>
      <c r="F2208" s="15">
        <v>0.14249999999999999</v>
      </c>
      <c r="G2208" s="15">
        <v>0.3271</v>
      </c>
      <c r="H2208" s="15">
        <v>6.25E-2</v>
      </c>
      <c r="I2208" s="15">
        <v>4.0599999999999997E-2</v>
      </c>
      <c r="J2208" s="15">
        <v>1.5394088669950741</v>
      </c>
    </row>
    <row r="2209" spans="1:10" x14ac:dyDescent="0.25">
      <c r="A2209" s="2" t="s">
        <v>6561</v>
      </c>
      <c r="B2209" s="2" t="s">
        <v>6475</v>
      </c>
      <c r="C2209" s="2" t="s">
        <v>6562</v>
      </c>
      <c r="D2209" s="2" t="s">
        <v>10054</v>
      </c>
      <c r="E2209" s="15">
        <v>-7.2900000000000006E-2</v>
      </c>
      <c r="F2209" s="15">
        <v>8.1299999999999997E-2</v>
      </c>
      <c r="G2209" s="15">
        <v>0.36990000000000001</v>
      </c>
      <c r="H2209" s="15">
        <v>0.15720000000000001</v>
      </c>
      <c r="I2209" s="15">
        <v>4.0500000000000001E-2</v>
      </c>
      <c r="J2209" s="15">
        <v>3.8814814814814809</v>
      </c>
    </row>
    <row r="2210" spans="1:10" x14ac:dyDescent="0.25">
      <c r="A2210" s="2" t="s">
        <v>6563</v>
      </c>
      <c r="B2210" s="2" t="s">
        <v>6475</v>
      </c>
      <c r="C2210" s="2" t="s">
        <v>6564</v>
      </c>
      <c r="D2210" s="2" t="s">
        <v>10054</v>
      </c>
      <c r="E2210" s="15">
        <v>-6.7500000000000004E-2</v>
      </c>
      <c r="F2210" s="15">
        <v>0.11650000000000001</v>
      </c>
      <c r="G2210" s="15">
        <v>0.56230000000000002</v>
      </c>
      <c r="H2210" s="15">
        <v>9.1399999999999995E-2</v>
      </c>
      <c r="I2210" s="15">
        <v>3.85E-2</v>
      </c>
      <c r="J2210" s="15">
        <v>2.3740259740259742</v>
      </c>
    </row>
    <row r="2211" spans="1:10" x14ac:dyDescent="0.25">
      <c r="A2211" s="2" t="s">
        <v>6565</v>
      </c>
      <c r="B2211" s="2" t="s">
        <v>6475</v>
      </c>
      <c r="C2211" s="2" t="s">
        <v>6566</v>
      </c>
      <c r="D2211" s="2" t="s">
        <v>10054</v>
      </c>
      <c r="E2211" s="15">
        <v>0.19270000000000001</v>
      </c>
      <c r="F2211" s="15">
        <v>8.4900000000000003E-2</v>
      </c>
      <c r="G2211" s="15">
        <v>2.3199999999999998E-2</v>
      </c>
      <c r="H2211" s="15">
        <v>0.1928</v>
      </c>
      <c r="I2211" s="15">
        <v>4.7E-2</v>
      </c>
      <c r="J2211" s="15">
        <v>4.1021276595744682</v>
      </c>
    </row>
    <row r="2212" spans="1:10" x14ac:dyDescent="0.25">
      <c r="A2212" s="2" t="s">
        <v>6567</v>
      </c>
      <c r="B2212" s="2" t="s">
        <v>6475</v>
      </c>
      <c r="C2212" s="2" t="s">
        <v>6568</v>
      </c>
      <c r="D2212" s="2" t="s">
        <v>10054</v>
      </c>
      <c r="E2212" s="15">
        <v>-0.1535</v>
      </c>
      <c r="F2212" s="15">
        <v>0.1056</v>
      </c>
      <c r="G2212" s="15">
        <v>0.14610000000000001</v>
      </c>
      <c r="H2212" s="15">
        <v>0.1071</v>
      </c>
      <c r="I2212" s="15">
        <v>4.4699999999999997E-2</v>
      </c>
      <c r="J2212" s="15">
        <v>2.3959731543624159</v>
      </c>
    </row>
    <row r="2213" spans="1:10" x14ac:dyDescent="0.25">
      <c r="A2213" s="2" t="s">
        <v>6569</v>
      </c>
      <c r="B2213" s="2" t="s">
        <v>6475</v>
      </c>
      <c r="C2213" s="2" t="s">
        <v>6570</v>
      </c>
      <c r="D2213" s="2" t="s">
        <v>10054</v>
      </c>
      <c r="E2213" s="15">
        <v>0.14430000000000001</v>
      </c>
      <c r="F2213" s="15">
        <v>8.7900000000000006E-2</v>
      </c>
      <c r="G2213" s="15">
        <v>0.10059999999999999</v>
      </c>
      <c r="H2213" s="15">
        <v>0.1749</v>
      </c>
      <c r="I2213" s="15">
        <v>4.1799999999999997E-2</v>
      </c>
      <c r="J2213" s="15">
        <v>4.1842105263157894</v>
      </c>
    </row>
    <row r="2214" spans="1:10" x14ac:dyDescent="0.25">
      <c r="A2214" s="2" t="s">
        <v>6571</v>
      </c>
      <c r="B2214" s="2" t="s">
        <v>6475</v>
      </c>
      <c r="C2214" s="2" t="s">
        <v>6572</v>
      </c>
      <c r="D2214" s="2" t="s">
        <v>10054</v>
      </c>
      <c r="E2214" s="15">
        <v>0.17749999999999999</v>
      </c>
      <c r="F2214" s="15">
        <v>0.1053</v>
      </c>
      <c r="G2214" s="15">
        <v>9.1999999999999998E-2</v>
      </c>
      <c r="H2214" s="15">
        <v>0.1181</v>
      </c>
      <c r="I2214" s="15">
        <v>4.1300000000000003E-2</v>
      </c>
      <c r="J2214" s="15">
        <v>2.8595641646489098</v>
      </c>
    </row>
    <row r="2215" spans="1:10" x14ac:dyDescent="0.25">
      <c r="A2215" s="2" t="s">
        <v>6573</v>
      </c>
      <c r="B2215" s="2" t="s">
        <v>6475</v>
      </c>
      <c r="C2215" s="2" t="s">
        <v>6574</v>
      </c>
      <c r="D2215" s="2" t="s">
        <v>10054</v>
      </c>
      <c r="E2215" s="15">
        <v>6.7500000000000004E-2</v>
      </c>
      <c r="F2215" s="15">
        <v>0.13239999999999999</v>
      </c>
      <c r="G2215" s="15">
        <v>0.61029999999999995</v>
      </c>
      <c r="H2215" s="15">
        <v>5.9299999999999999E-2</v>
      </c>
      <c r="I2215" s="15">
        <v>4.1700000000000001E-2</v>
      </c>
      <c r="J2215" s="15">
        <v>1.4220623501199039</v>
      </c>
    </row>
    <row r="2216" spans="1:10" x14ac:dyDescent="0.25">
      <c r="A2216" s="2" t="s">
        <v>6575</v>
      </c>
      <c r="B2216" s="2" t="s">
        <v>6475</v>
      </c>
      <c r="C2216" s="2" t="s">
        <v>6576</v>
      </c>
      <c r="D2216" s="2" t="s">
        <v>10054</v>
      </c>
      <c r="E2216" s="15">
        <v>-0.16400000000000001</v>
      </c>
      <c r="F2216" s="15">
        <v>0.31530000000000002</v>
      </c>
      <c r="G2216" s="15">
        <v>0.60299999999999998</v>
      </c>
      <c r="H2216" s="15">
        <v>3.3099999999999997E-2</v>
      </c>
      <c r="I2216" s="15">
        <v>4.4400000000000002E-2</v>
      </c>
      <c r="J2216" s="15">
        <v>0.74549549549549543</v>
      </c>
    </row>
    <row r="2217" spans="1:10" x14ac:dyDescent="0.25">
      <c r="A2217" s="2" t="s">
        <v>6577</v>
      </c>
      <c r="B2217" s="2" t="s">
        <v>6475</v>
      </c>
      <c r="C2217" s="2" t="s">
        <v>6578</v>
      </c>
      <c r="D2217" s="2" t="s">
        <v>10054</v>
      </c>
      <c r="E2217" s="15">
        <v>0.12859999999999999</v>
      </c>
      <c r="F2217" s="15">
        <v>0.1221</v>
      </c>
      <c r="G2217" s="15">
        <v>0.29220000000000002</v>
      </c>
      <c r="H2217" s="15">
        <v>6.4600000000000005E-2</v>
      </c>
      <c r="I2217" s="15">
        <v>3.7900000000000003E-2</v>
      </c>
      <c r="J2217" s="15">
        <v>1.7044854881266489</v>
      </c>
    </row>
    <row r="2218" spans="1:10" x14ac:dyDescent="0.25">
      <c r="A2218" s="2" t="s">
        <v>6579</v>
      </c>
      <c r="B2218" s="2" t="s">
        <v>6475</v>
      </c>
      <c r="C2218" s="2" t="s">
        <v>6580</v>
      </c>
      <c r="D2218" s="2" t="s">
        <v>10054</v>
      </c>
      <c r="E2218" s="15">
        <v>0.1111</v>
      </c>
      <c r="F2218" s="15">
        <v>9.5299999999999996E-2</v>
      </c>
      <c r="G2218" s="15">
        <v>0.24349999999999999</v>
      </c>
      <c r="H2218" s="15">
        <v>9.7600000000000006E-2</v>
      </c>
      <c r="I2218" s="15">
        <v>3.8800000000000001E-2</v>
      </c>
      <c r="J2218" s="15">
        <v>2.5154639175257731</v>
      </c>
    </row>
    <row r="2219" spans="1:10" x14ac:dyDescent="0.25">
      <c r="A2219" s="2" t="s">
        <v>6581</v>
      </c>
      <c r="B2219" s="2" t="s">
        <v>6475</v>
      </c>
      <c r="C2219" s="2" t="s">
        <v>6582</v>
      </c>
      <c r="D2219" s="2" t="s">
        <v>10054</v>
      </c>
      <c r="E2219" s="15">
        <v>5.96E-2</v>
      </c>
      <c r="F2219" s="15">
        <v>0.13270000000000001</v>
      </c>
      <c r="G2219" s="15">
        <v>0.65339999999999998</v>
      </c>
      <c r="H2219" s="15">
        <v>6.2100000000000002E-2</v>
      </c>
      <c r="I2219" s="15">
        <v>3.7999999999999999E-2</v>
      </c>
      <c r="J2219" s="15">
        <v>1.63421052631579</v>
      </c>
    </row>
    <row r="2220" spans="1:10" x14ac:dyDescent="0.25">
      <c r="A2220" s="2" t="s">
        <v>6583</v>
      </c>
      <c r="B2220" s="2" t="s">
        <v>6475</v>
      </c>
      <c r="C2220" s="2" t="s">
        <v>6584</v>
      </c>
      <c r="D2220" s="2" t="s">
        <v>10054</v>
      </c>
      <c r="E2220" s="15">
        <v>-8.6E-3</v>
      </c>
      <c r="F2220" s="15">
        <v>0.1167</v>
      </c>
      <c r="G2220" s="15">
        <v>0.94120000000000004</v>
      </c>
      <c r="H2220" s="15">
        <v>8.0299999999999996E-2</v>
      </c>
      <c r="I2220" s="15">
        <v>4.1799999999999997E-2</v>
      </c>
      <c r="J2220" s="15">
        <v>1.9210526315789469</v>
      </c>
    </row>
    <row r="2221" spans="1:10" x14ac:dyDescent="0.25">
      <c r="A2221" s="2" t="s">
        <v>6585</v>
      </c>
      <c r="B2221" s="2" t="s">
        <v>6586</v>
      </c>
      <c r="C2221" s="2" t="s">
        <v>6587</v>
      </c>
      <c r="D2221" s="2" t="s">
        <v>10055</v>
      </c>
      <c r="E2221" s="15">
        <v>0.19139999999999999</v>
      </c>
      <c r="F2221" s="15">
        <v>9.06E-2</v>
      </c>
      <c r="G2221" s="15">
        <v>3.4700000000000002E-2</v>
      </c>
      <c r="H2221" s="15">
        <v>0.13170000000000001</v>
      </c>
      <c r="I2221" s="15">
        <v>3.6999999999999998E-2</v>
      </c>
      <c r="J2221" s="15">
        <v>3.5594594594594602</v>
      </c>
    </row>
    <row r="2222" spans="1:10" x14ac:dyDescent="0.25">
      <c r="A2222" s="2" t="s">
        <v>6588</v>
      </c>
      <c r="B2222" s="2" t="s">
        <v>6586</v>
      </c>
      <c r="C2222" s="2" t="s">
        <v>6589</v>
      </c>
      <c r="D2222" s="2" t="s">
        <v>10055</v>
      </c>
      <c r="E2222" s="15">
        <v>-0.2429</v>
      </c>
      <c r="F2222" s="15">
        <v>0.15939999999999999</v>
      </c>
      <c r="G2222" s="15">
        <v>0.1275</v>
      </c>
      <c r="H2222" s="15">
        <v>4.9500000000000002E-2</v>
      </c>
      <c r="I2222" s="15">
        <v>3.5700000000000003E-2</v>
      </c>
      <c r="J2222" s="15">
        <v>1.386554621848739</v>
      </c>
    </row>
    <row r="2223" spans="1:10" x14ac:dyDescent="0.25">
      <c r="A2223" s="2" t="s">
        <v>6590</v>
      </c>
      <c r="B2223" s="2" t="s">
        <v>6586</v>
      </c>
      <c r="C2223" s="2" t="s">
        <v>6591</v>
      </c>
      <c r="D2223" s="2" t="s">
        <v>10055</v>
      </c>
      <c r="E2223" s="15"/>
      <c r="F2223" s="15"/>
      <c r="G2223" s="15"/>
      <c r="H2223" s="15">
        <v>-2.9999999999999997E-4</v>
      </c>
      <c r="I2223" s="15">
        <v>3.2300000000000002E-2</v>
      </c>
      <c r="J2223" s="15">
        <v>-9.2879256965944252E-3</v>
      </c>
    </row>
    <row r="2224" spans="1:10" x14ac:dyDescent="0.25">
      <c r="A2224" s="2" t="s">
        <v>6592</v>
      </c>
      <c r="B2224" s="2" t="s">
        <v>6586</v>
      </c>
      <c r="C2224" s="2" t="s">
        <v>6593</v>
      </c>
      <c r="D2224" s="2" t="s">
        <v>10055</v>
      </c>
      <c r="E2224" s="15"/>
      <c r="F2224" s="15"/>
      <c r="G2224" s="15"/>
      <c r="H2224" s="15">
        <v>-2.8799999999999999E-2</v>
      </c>
      <c r="I2224" s="15">
        <v>3.39E-2</v>
      </c>
      <c r="J2224" s="15">
        <v>-0.84955752212389379</v>
      </c>
    </row>
    <row r="2225" spans="1:10" x14ac:dyDescent="0.25">
      <c r="A2225" s="2" t="s">
        <v>6594</v>
      </c>
      <c r="B2225" s="2" t="s">
        <v>6586</v>
      </c>
      <c r="C2225" s="2" t="s">
        <v>6595</v>
      </c>
      <c r="D2225" s="2" t="s">
        <v>10055</v>
      </c>
      <c r="E2225" s="15"/>
      <c r="F2225" s="15"/>
      <c r="G2225" s="15"/>
      <c r="H2225" s="15">
        <v>-0.03</v>
      </c>
      <c r="I2225" s="15">
        <v>3.8800000000000001E-2</v>
      </c>
      <c r="J2225" s="15">
        <v>-0.77319587628865971</v>
      </c>
    </row>
    <row r="2226" spans="1:10" x14ac:dyDescent="0.25">
      <c r="A2226" s="2" t="s">
        <v>6596</v>
      </c>
      <c r="B2226" s="2" t="s">
        <v>6586</v>
      </c>
      <c r="C2226" s="2" t="s">
        <v>6597</v>
      </c>
      <c r="D2226" s="2" t="s">
        <v>10055</v>
      </c>
      <c r="E2226" s="15">
        <v>-0.14199999999999999</v>
      </c>
      <c r="F2226" s="15">
        <v>0.20780000000000001</v>
      </c>
      <c r="G2226" s="15">
        <v>0.49440000000000001</v>
      </c>
      <c r="H2226" s="15">
        <v>3.4099999999999998E-2</v>
      </c>
      <c r="I2226" s="15">
        <v>3.8800000000000001E-2</v>
      </c>
      <c r="J2226" s="15">
        <v>0.87886597938144329</v>
      </c>
    </row>
    <row r="2227" spans="1:10" x14ac:dyDescent="0.25">
      <c r="A2227" s="2" t="s">
        <v>6598</v>
      </c>
      <c r="B2227" s="2" t="s">
        <v>6586</v>
      </c>
      <c r="C2227" s="2" t="s">
        <v>6599</v>
      </c>
      <c r="D2227" s="2" t="s">
        <v>10055</v>
      </c>
      <c r="E2227" s="15">
        <v>-0.20280000000000001</v>
      </c>
      <c r="F2227" s="15">
        <v>0.1077</v>
      </c>
      <c r="G2227" s="15">
        <v>5.9700000000000003E-2</v>
      </c>
      <c r="H2227" s="15">
        <v>0.1177</v>
      </c>
      <c r="I2227" s="15">
        <v>3.6999999999999998E-2</v>
      </c>
      <c r="J2227" s="15">
        <v>3.1810810810810808</v>
      </c>
    </row>
    <row r="2228" spans="1:10" x14ac:dyDescent="0.25">
      <c r="A2228" s="2" t="s">
        <v>6600</v>
      </c>
      <c r="B2228" s="2" t="s">
        <v>6586</v>
      </c>
      <c r="C2228" s="2" t="s">
        <v>6601</v>
      </c>
      <c r="D2228" s="2" t="s">
        <v>10055</v>
      </c>
      <c r="E2228" s="15">
        <v>4.1999999999999997E-3</v>
      </c>
      <c r="F2228" s="15">
        <v>0.10539999999999999</v>
      </c>
      <c r="G2228" s="15">
        <v>0.96840000000000004</v>
      </c>
      <c r="H2228" s="15">
        <v>0.1187</v>
      </c>
      <c r="I2228" s="15">
        <v>3.9E-2</v>
      </c>
      <c r="J2228" s="15">
        <v>3.043589743589743</v>
      </c>
    </row>
    <row r="2229" spans="1:10" x14ac:dyDescent="0.25">
      <c r="A2229" s="2" t="s">
        <v>6602</v>
      </c>
      <c r="B2229" s="2" t="s">
        <v>6586</v>
      </c>
      <c r="C2229" s="2" t="s">
        <v>6603</v>
      </c>
      <c r="D2229" s="2" t="s">
        <v>10055</v>
      </c>
      <c r="E2229" s="15">
        <v>-9.8100000000000007E-2</v>
      </c>
      <c r="F2229" s="15">
        <v>0.12559999999999999</v>
      </c>
      <c r="G2229" s="15">
        <v>0.4345</v>
      </c>
      <c r="H2229" s="15">
        <v>7.0099999999999996E-2</v>
      </c>
      <c r="I2229" s="15">
        <v>3.85E-2</v>
      </c>
      <c r="J2229" s="15">
        <v>1.8207792207792211</v>
      </c>
    </row>
    <row r="2230" spans="1:10" x14ac:dyDescent="0.25">
      <c r="A2230" s="2" t="s">
        <v>6604</v>
      </c>
      <c r="B2230" s="2" t="s">
        <v>6586</v>
      </c>
      <c r="C2230" s="2" t="s">
        <v>6605</v>
      </c>
      <c r="D2230" s="2" t="s">
        <v>10055</v>
      </c>
      <c r="E2230" s="15">
        <v>0.65429999999999999</v>
      </c>
      <c r="F2230" s="15">
        <v>1.4312</v>
      </c>
      <c r="G2230" s="15">
        <v>0.64759999999999995</v>
      </c>
      <c r="H2230" s="15">
        <v>1.0200000000000001E-2</v>
      </c>
      <c r="I2230" s="15">
        <v>3.6200000000000003E-2</v>
      </c>
      <c r="J2230" s="15">
        <v>0.28176795580110497</v>
      </c>
    </row>
    <row r="2231" spans="1:10" x14ac:dyDescent="0.25">
      <c r="A2231" s="2" t="s">
        <v>6606</v>
      </c>
      <c r="B2231" s="2" t="s">
        <v>6586</v>
      </c>
      <c r="C2231" s="2" t="s">
        <v>6607</v>
      </c>
      <c r="D2231" s="2" t="s">
        <v>10055</v>
      </c>
      <c r="E2231" s="15">
        <v>-0.1086</v>
      </c>
      <c r="F2231" s="15">
        <v>0.15459999999999999</v>
      </c>
      <c r="G2231" s="15">
        <v>0.48259999999999997</v>
      </c>
      <c r="H2231" s="15">
        <v>5.4800000000000001E-2</v>
      </c>
      <c r="I2231" s="15">
        <v>3.9100000000000003E-2</v>
      </c>
      <c r="J2231" s="15">
        <v>1.4015345268542201</v>
      </c>
    </row>
    <row r="2232" spans="1:10" x14ac:dyDescent="0.25">
      <c r="A2232" s="2" t="s">
        <v>6608</v>
      </c>
      <c r="B2232" s="2" t="s">
        <v>6586</v>
      </c>
      <c r="C2232" s="2" t="s">
        <v>6609</v>
      </c>
      <c r="D2232" s="2" t="s">
        <v>10055</v>
      </c>
      <c r="E2232" s="15">
        <v>3.1E-2</v>
      </c>
      <c r="F2232" s="15">
        <v>0.22090000000000001</v>
      </c>
      <c r="G2232" s="15">
        <v>0.88839999999999997</v>
      </c>
      <c r="H2232" s="15">
        <v>2.1299999999999999E-2</v>
      </c>
      <c r="I2232" s="15">
        <v>4.0500000000000001E-2</v>
      </c>
      <c r="J2232" s="15">
        <v>0.52592592592592591</v>
      </c>
    </row>
    <row r="2233" spans="1:10" x14ac:dyDescent="0.25">
      <c r="A2233" s="2" t="s">
        <v>6610</v>
      </c>
      <c r="B2233" s="2" t="s">
        <v>6586</v>
      </c>
      <c r="C2233" s="2" t="s">
        <v>6611</v>
      </c>
      <c r="D2233" s="2" t="s">
        <v>10055</v>
      </c>
      <c r="E2233" s="15">
        <v>-0.15720000000000001</v>
      </c>
      <c r="F2233" s="15">
        <v>9.1600000000000001E-2</v>
      </c>
      <c r="G2233" s="15">
        <v>8.6099999999999996E-2</v>
      </c>
      <c r="H2233" s="15">
        <v>0.14130000000000001</v>
      </c>
      <c r="I2233" s="15">
        <v>4.0300000000000002E-2</v>
      </c>
      <c r="J2233" s="15">
        <v>3.5062034739454089</v>
      </c>
    </row>
    <row r="2234" spans="1:10" x14ac:dyDescent="0.25">
      <c r="A2234" s="2" t="s">
        <v>6612</v>
      </c>
      <c r="B2234" s="2" t="s">
        <v>6586</v>
      </c>
      <c r="C2234" s="2" t="s">
        <v>6613</v>
      </c>
      <c r="D2234" s="2" t="s">
        <v>10055</v>
      </c>
      <c r="E2234" s="15">
        <v>0.16400000000000001</v>
      </c>
      <c r="F2234" s="15">
        <v>0.21429999999999999</v>
      </c>
      <c r="G2234" s="15">
        <v>0.44409999999999999</v>
      </c>
      <c r="H2234" s="15">
        <v>2.93E-2</v>
      </c>
      <c r="I2234" s="15">
        <v>3.4000000000000002E-2</v>
      </c>
      <c r="J2234" s="15">
        <v>0.86176470588235288</v>
      </c>
    </row>
    <row r="2235" spans="1:10" x14ac:dyDescent="0.25">
      <c r="A2235" s="2" t="s">
        <v>6614</v>
      </c>
      <c r="B2235" s="2" t="s">
        <v>6586</v>
      </c>
      <c r="C2235" s="2" t="s">
        <v>6615</v>
      </c>
      <c r="D2235" s="2" t="s">
        <v>10055</v>
      </c>
      <c r="E2235" s="15">
        <v>5.4600000000000003E-2</v>
      </c>
      <c r="F2235" s="15">
        <v>8.0699999999999994E-2</v>
      </c>
      <c r="G2235" s="15">
        <v>0.49909999999999999</v>
      </c>
      <c r="H2235" s="15">
        <v>0.151</v>
      </c>
      <c r="I2235" s="15">
        <v>3.9199999999999999E-2</v>
      </c>
      <c r="J2235" s="15">
        <v>3.8520408163265309</v>
      </c>
    </row>
    <row r="2236" spans="1:10" x14ac:dyDescent="0.25">
      <c r="A2236" s="2" t="s">
        <v>6616</v>
      </c>
      <c r="B2236" s="2" t="s">
        <v>6586</v>
      </c>
      <c r="C2236" s="2" t="s">
        <v>6617</v>
      </c>
      <c r="D2236" s="2" t="s">
        <v>10055</v>
      </c>
      <c r="E2236" s="15">
        <v>0.1958</v>
      </c>
      <c r="F2236" s="15">
        <v>0.14829999999999999</v>
      </c>
      <c r="G2236" s="15">
        <v>0.18659999999999999</v>
      </c>
      <c r="H2236" s="15">
        <v>6.6900000000000001E-2</v>
      </c>
      <c r="I2236" s="15">
        <v>4.5600000000000002E-2</v>
      </c>
      <c r="J2236" s="15">
        <v>1.4671052631578949</v>
      </c>
    </row>
    <row r="2237" spans="1:10" x14ac:dyDescent="0.25">
      <c r="A2237" s="2" t="s">
        <v>6618</v>
      </c>
      <c r="B2237" s="2" t="s">
        <v>6586</v>
      </c>
      <c r="C2237" s="2" t="s">
        <v>6619</v>
      </c>
      <c r="D2237" s="2" t="s">
        <v>10055</v>
      </c>
      <c r="E2237" s="15">
        <v>-5.4300000000000001E-2</v>
      </c>
      <c r="F2237" s="15">
        <v>0.15820000000000001</v>
      </c>
      <c r="G2237" s="15">
        <v>0.73170000000000002</v>
      </c>
      <c r="H2237" s="15">
        <v>4.2200000000000001E-2</v>
      </c>
      <c r="I2237" s="15">
        <v>3.5900000000000001E-2</v>
      </c>
      <c r="J2237" s="15">
        <v>1.175487465181059</v>
      </c>
    </row>
    <row r="2238" spans="1:10" x14ac:dyDescent="0.25">
      <c r="A2238" s="2" t="s">
        <v>6620</v>
      </c>
      <c r="B2238" s="2" t="s">
        <v>6586</v>
      </c>
      <c r="C2238" s="2" t="s">
        <v>6621</v>
      </c>
      <c r="D2238" s="2" t="s">
        <v>10055</v>
      </c>
      <c r="E2238" s="15">
        <v>0.14199999999999999</v>
      </c>
      <c r="F2238" s="15">
        <v>0.1157</v>
      </c>
      <c r="G2238" s="15">
        <v>0.21990000000000001</v>
      </c>
      <c r="H2238" s="15">
        <v>8.1299999999999997E-2</v>
      </c>
      <c r="I2238" s="15">
        <v>3.8899999999999997E-2</v>
      </c>
      <c r="J2238" s="15">
        <v>2.0899742930591261</v>
      </c>
    </row>
    <row r="2239" spans="1:10" x14ac:dyDescent="0.25">
      <c r="A2239" s="2" t="s">
        <v>6622</v>
      </c>
      <c r="B2239" s="2" t="s">
        <v>6586</v>
      </c>
      <c r="C2239" s="2" t="s">
        <v>6623</v>
      </c>
      <c r="D2239" s="2" t="s">
        <v>10055</v>
      </c>
      <c r="E2239" s="15"/>
      <c r="F2239" s="15"/>
      <c r="G2239" s="15"/>
      <c r="H2239" s="15"/>
      <c r="I2239" s="15"/>
      <c r="J2239" s="15"/>
    </row>
    <row r="2240" spans="1:10" x14ac:dyDescent="0.25">
      <c r="A2240" s="2" t="s">
        <v>6624</v>
      </c>
      <c r="B2240" s="2" t="s">
        <v>6586</v>
      </c>
      <c r="C2240" s="2" t="s">
        <v>6625</v>
      </c>
      <c r="D2240" s="2" t="s">
        <v>10055</v>
      </c>
      <c r="E2240" s="15">
        <v>-0.60299999999999998</v>
      </c>
      <c r="F2240" s="15">
        <v>37.361899999999999</v>
      </c>
      <c r="G2240" s="15">
        <v>0.98709999999999998</v>
      </c>
      <c r="H2240" s="15">
        <v>9.2999999999999992E-3</v>
      </c>
      <c r="I2240" s="15">
        <v>3.6700000000000003E-2</v>
      </c>
      <c r="J2240" s="15">
        <v>0.25340599455040869</v>
      </c>
    </row>
    <row r="2241" spans="1:10" x14ac:dyDescent="0.25">
      <c r="A2241" s="2" t="s">
        <v>6626</v>
      </c>
      <c r="B2241" s="2" t="s">
        <v>6586</v>
      </c>
      <c r="C2241" s="2" t="s">
        <v>6627</v>
      </c>
      <c r="D2241" s="2" t="s">
        <v>10055</v>
      </c>
      <c r="E2241" s="15">
        <v>-0.11840000000000001</v>
      </c>
      <c r="F2241" s="15">
        <v>0.14829999999999999</v>
      </c>
      <c r="G2241" s="15">
        <v>0.4244</v>
      </c>
      <c r="H2241" s="15">
        <v>5.5500000000000001E-2</v>
      </c>
      <c r="I2241" s="15">
        <v>3.8100000000000002E-2</v>
      </c>
      <c r="J2241" s="15">
        <v>1.4566929133858271</v>
      </c>
    </row>
    <row r="2242" spans="1:10" x14ac:dyDescent="0.25">
      <c r="A2242" s="2" t="s">
        <v>6628</v>
      </c>
      <c r="B2242" s="2" t="s">
        <v>6586</v>
      </c>
      <c r="C2242" s="2" t="s">
        <v>6629</v>
      </c>
      <c r="D2242" s="2" t="s">
        <v>10055</v>
      </c>
      <c r="E2242" s="15">
        <v>0.14330000000000001</v>
      </c>
      <c r="F2242" s="15">
        <v>0.11899999999999999</v>
      </c>
      <c r="G2242" s="15">
        <v>0.22839999999999999</v>
      </c>
      <c r="H2242" s="15">
        <v>7.8899999999999998E-2</v>
      </c>
      <c r="I2242" s="15">
        <v>3.8300000000000001E-2</v>
      </c>
      <c r="J2242" s="15">
        <v>2.060052219321149</v>
      </c>
    </row>
    <row r="2243" spans="1:10" x14ac:dyDescent="0.25">
      <c r="A2243" s="2" t="s">
        <v>6630</v>
      </c>
      <c r="B2243" s="2" t="s">
        <v>6586</v>
      </c>
      <c r="C2243" s="2" t="s">
        <v>6631</v>
      </c>
      <c r="D2243" s="2" t="s">
        <v>10055</v>
      </c>
      <c r="E2243" s="15">
        <v>-6.8000000000000005E-2</v>
      </c>
      <c r="F2243" s="15">
        <v>0.1487</v>
      </c>
      <c r="G2243" s="15">
        <v>0.64710000000000001</v>
      </c>
      <c r="H2243" s="15">
        <v>6.2399999999999997E-2</v>
      </c>
      <c r="I2243" s="15">
        <v>3.9199999999999999E-2</v>
      </c>
      <c r="J2243" s="15">
        <v>1.591836734693878</v>
      </c>
    </row>
    <row r="2244" spans="1:10" x14ac:dyDescent="0.25">
      <c r="A2244" s="2" t="s">
        <v>6632</v>
      </c>
      <c r="B2244" s="2" t="s">
        <v>6586</v>
      </c>
      <c r="C2244" s="2" t="s">
        <v>6633</v>
      </c>
      <c r="D2244" s="2" t="s">
        <v>10055</v>
      </c>
      <c r="E2244" s="15">
        <v>-0.1489</v>
      </c>
      <c r="F2244" s="15">
        <v>9.8199999999999996E-2</v>
      </c>
      <c r="G2244" s="15">
        <v>0.1295</v>
      </c>
      <c r="H2244" s="15">
        <v>0.1346</v>
      </c>
      <c r="I2244" s="15">
        <v>4.02E-2</v>
      </c>
      <c r="J2244" s="15">
        <v>3.3482587064676621</v>
      </c>
    </row>
    <row r="2245" spans="1:10" x14ac:dyDescent="0.25">
      <c r="A2245" s="2" t="s">
        <v>6634</v>
      </c>
      <c r="B2245" s="2" t="s">
        <v>6586</v>
      </c>
      <c r="C2245" s="2" t="s">
        <v>6635</v>
      </c>
      <c r="D2245" s="2" t="s">
        <v>10055</v>
      </c>
      <c r="E2245" s="15"/>
      <c r="F2245" s="15"/>
      <c r="G2245" s="15"/>
      <c r="H2245" s="15">
        <v>-3.1300000000000001E-2</v>
      </c>
      <c r="I2245" s="15">
        <v>3.8300000000000001E-2</v>
      </c>
      <c r="J2245" s="15">
        <v>-0.81723237597911225</v>
      </c>
    </row>
    <row r="2246" spans="1:10" x14ac:dyDescent="0.25">
      <c r="A2246" s="2" t="s">
        <v>6636</v>
      </c>
      <c r="B2246" s="2" t="s">
        <v>6586</v>
      </c>
      <c r="C2246" s="2" t="s">
        <v>6637</v>
      </c>
      <c r="D2246" s="2" t="s">
        <v>10055</v>
      </c>
      <c r="E2246" s="15">
        <v>2.1000000000000001E-2</v>
      </c>
      <c r="F2246" s="15">
        <v>9.9299999999999999E-2</v>
      </c>
      <c r="G2246" s="15">
        <v>0.83279999999999998</v>
      </c>
      <c r="H2246" s="15">
        <v>0.1003</v>
      </c>
      <c r="I2246" s="15">
        <v>4.41E-2</v>
      </c>
      <c r="J2246" s="15">
        <v>2.2743764172335599</v>
      </c>
    </row>
    <row r="2247" spans="1:10" x14ac:dyDescent="0.25">
      <c r="A2247" s="2" t="s">
        <v>6638</v>
      </c>
      <c r="B2247" s="2" t="s">
        <v>6586</v>
      </c>
      <c r="C2247" s="2" t="s">
        <v>6639</v>
      </c>
      <c r="D2247" s="2" t="s">
        <v>10055</v>
      </c>
      <c r="E2247" s="15">
        <v>-1.3599999999999999E-2</v>
      </c>
      <c r="F2247" s="15">
        <v>0.16200000000000001</v>
      </c>
      <c r="G2247" s="15">
        <v>0.93310000000000004</v>
      </c>
      <c r="H2247" s="15">
        <v>4.9299999999999997E-2</v>
      </c>
      <c r="I2247" s="15">
        <v>3.8399999999999997E-2</v>
      </c>
      <c r="J2247" s="15">
        <v>1.283854166666667</v>
      </c>
    </row>
    <row r="2248" spans="1:10" x14ac:dyDescent="0.25">
      <c r="A2248" s="2" t="s">
        <v>6640</v>
      </c>
      <c r="B2248" s="2" t="s">
        <v>6586</v>
      </c>
      <c r="C2248" s="2" t="s">
        <v>6641</v>
      </c>
      <c r="D2248" s="2" t="s">
        <v>10055</v>
      </c>
      <c r="E2248" s="15"/>
      <c r="F2248" s="15"/>
      <c r="G2248" s="15"/>
      <c r="H2248" s="15"/>
      <c r="I2248" s="15"/>
      <c r="J2248" s="15"/>
    </row>
    <row r="2249" spans="1:10" x14ac:dyDescent="0.25">
      <c r="A2249" s="2" t="s">
        <v>6642</v>
      </c>
      <c r="B2249" s="2" t="s">
        <v>6586</v>
      </c>
      <c r="C2249" s="2" t="s">
        <v>6643</v>
      </c>
      <c r="D2249" s="2" t="s">
        <v>10055</v>
      </c>
      <c r="E2249" s="15">
        <v>-0.23480000000000001</v>
      </c>
      <c r="F2249" s="15">
        <v>0.40310000000000001</v>
      </c>
      <c r="G2249" s="15">
        <v>0.56030000000000002</v>
      </c>
      <c r="H2249" s="15">
        <v>1.44E-2</v>
      </c>
      <c r="I2249" s="15">
        <v>3.5900000000000001E-2</v>
      </c>
      <c r="J2249" s="15">
        <v>0.4011142061281337</v>
      </c>
    </row>
    <row r="2250" spans="1:10" x14ac:dyDescent="0.25">
      <c r="A2250" s="2" t="s">
        <v>6644</v>
      </c>
      <c r="B2250" s="2" t="s">
        <v>6586</v>
      </c>
      <c r="C2250" s="2" t="s">
        <v>6645</v>
      </c>
      <c r="D2250" s="2" t="s">
        <v>10055</v>
      </c>
      <c r="E2250" s="15">
        <v>0.27950000000000003</v>
      </c>
      <c r="F2250" s="15">
        <v>0.1714</v>
      </c>
      <c r="G2250" s="15">
        <v>0.10290000000000001</v>
      </c>
      <c r="H2250" s="15">
        <v>5.1900000000000002E-2</v>
      </c>
      <c r="I2250" s="15">
        <v>4.0399999999999998E-2</v>
      </c>
      <c r="J2250" s="15">
        <v>1.2846534653465349</v>
      </c>
    </row>
    <row r="2251" spans="1:10" x14ac:dyDescent="0.25">
      <c r="A2251" s="2" t="s">
        <v>6646</v>
      </c>
      <c r="B2251" s="2" t="s">
        <v>6586</v>
      </c>
      <c r="C2251" s="2" t="s">
        <v>6647</v>
      </c>
      <c r="D2251" s="2" t="s">
        <v>10055</v>
      </c>
      <c r="E2251" s="15">
        <v>8.9399999999999993E-2</v>
      </c>
      <c r="F2251" s="15">
        <v>0.1065</v>
      </c>
      <c r="G2251" s="15">
        <v>0.40139999999999998</v>
      </c>
      <c r="H2251" s="15">
        <v>0.1095</v>
      </c>
      <c r="I2251" s="15">
        <v>4.3099999999999999E-2</v>
      </c>
      <c r="J2251" s="15">
        <v>2.5406032482598611</v>
      </c>
    </row>
    <row r="2252" spans="1:10" x14ac:dyDescent="0.25">
      <c r="A2252" s="2" t="s">
        <v>6648</v>
      </c>
      <c r="B2252" s="2" t="s">
        <v>6586</v>
      </c>
      <c r="C2252" s="2" t="s">
        <v>6649</v>
      </c>
      <c r="D2252" s="2" t="s">
        <v>10055</v>
      </c>
      <c r="E2252" s="15">
        <v>5.62E-2</v>
      </c>
      <c r="F2252" s="15">
        <v>0.1547</v>
      </c>
      <c r="G2252" s="15">
        <v>0.71640000000000004</v>
      </c>
      <c r="H2252" s="15">
        <v>5.0299999999999997E-2</v>
      </c>
      <c r="I2252" s="15">
        <v>3.5299999999999998E-2</v>
      </c>
      <c r="J2252" s="15">
        <v>1.4249291784702549</v>
      </c>
    </row>
    <row r="2253" spans="1:10" x14ac:dyDescent="0.25">
      <c r="A2253" s="2" t="s">
        <v>6650</v>
      </c>
      <c r="B2253" s="2" t="s">
        <v>6586</v>
      </c>
      <c r="C2253" s="2" t="s">
        <v>6651</v>
      </c>
      <c r="D2253" s="2" t="s">
        <v>10055</v>
      </c>
      <c r="E2253" s="15">
        <v>0.15240000000000001</v>
      </c>
      <c r="F2253" s="15">
        <v>0.1124</v>
      </c>
      <c r="G2253" s="15">
        <v>0.1749</v>
      </c>
      <c r="H2253" s="15">
        <v>0.1019</v>
      </c>
      <c r="I2253" s="15">
        <v>3.7199999999999997E-2</v>
      </c>
      <c r="J2253" s="15">
        <v>2.739247311827957</v>
      </c>
    </row>
    <row r="2254" spans="1:10" x14ac:dyDescent="0.25">
      <c r="A2254" s="2" t="s">
        <v>6652</v>
      </c>
      <c r="B2254" s="2" t="s">
        <v>6586</v>
      </c>
      <c r="C2254" s="2" t="s">
        <v>6653</v>
      </c>
      <c r="D2254" s="2" t="s">
        <v>10055</v>
      </c>
      <c r="E2254" s="15">
        <v>1.1599999999999999E-2</v>
      </c>
      <c r="F2254" s="15">
        <v>0.10879999999999999</v>
      </c>
      <c r="G2254" s="15">
        <v>0.91479999999999995</v>
      </c>
      <c r="H2254" s="15">
        <v>9.8100000000000007E-2</v>
      </c>
      <c r="I2254" s="15">
        <v>4.2299999999999997E-2</v>
      </c>
      <c r="J2254" s="15">
        <v>2.3191489361702131</v>
      </c>
    </row>
    <row r="2255" spans="1:10" x14ac:dyDescent="0.25">
      <c r="A2255" s="2" t="s">
        <v>6654</v>
      </c>
      <c r="B2255" s="2" t="s">
        <v>6586</v>
      </c>
      <c r="C2255" s="2" t="s">
        <v>6655</v>
      </c>
      <c r="D2255" s="2" t="s">
        <v>10055</v>
      </c>
      <c r="E2255" s="15">
        <v>-1.26E-2</v>
      </c>
      <c r="F2255" s="15">
        <v>0.14419999999999999</v>
      </c>
      <c r="G2255" s="15">
        <v>0.9304</v>
      </c>
      <c r="H2255" s="15">
        <v>5.8999999999999997E-2</v>
      </c>
      <c r="I2255" s="15">
        <v>3.5499999999999997E-2</v>
      </c>
      <c r="J2255" s="15">
        <v>1.6619718309859151</v>
      </c>
    </row>
    <row r="2256" spans="1:10" x14ac:dyDescent="0.25">
      <c r="A2256" s="2" t="s">
        <v>6656</v>
      </c>
      <c r="B2256" s="2" t="s">
        <v>6586</v>
      </c>
      <c r="C2256" s="2" t="s">
        <v>6657</v>
      </c>
      <c r="D2256" s="2" t="s">
        <v>10055</v>
      </c>
      <c r="E2256" s="15">
        <v>-0.16789999999999999</v>
      </c>
      <c r="F2256" s="15">
        <v>0.2293</v>
      </c>
      <c r="G2256" s="15">
        <v>0.4642</v>
      </c>
      <c r="H2256" s="15">
        <v>2.64E-2</v>
      </c>
      <c r="I2256" s="15">
        <v>3.73E-2</v>
      </c>
      <c r="J2256" s="15">
        <v>0.70777479892761397</v>
      </c>
    </row>
    <row r="2257" spans="1:10" x14ac:dyDescent="0.25">
      <c r="A2257" s="2" t="s">
        <v>6658</v>
      </c>
      <c r="B2257" s="2" t="s">
        <v>6586</v>
      </c>
      <c r="C2257" s="2" t="s">
        <v>6659</v>
      </c>
      <c r="D2257" s="2" t="s">
        <v>10055</v>
      </c>
      <c r="E2257" s="15">
        <v>0.23899999999999999</v>
      </c>
      <c r="F2257" s="15">
        <v>0.15379999999999999</v>
      </c>
      <c r="G2257" s="15">
        <v>0.1203</v>
      </c>
      <c r="H2257" s="15">
        <v>5.6800000000000003E-2</v>
      </c>
      <c r="I2257" s="15">
        <v>3.9800000000000002E-2</v>
      </c>
      <c r="J2257" s="15">
        <v>1.42713567839196</v>
      </c>
    </row>
    <row r="2258" spans="1:10" x14ac:dyDescent="0.25">
      <c r="A2258" s="2" t="s">
        <v>6660</v>
      </c>
      <c r="B2258" s="2" t="s">
        <v>6586</v>
      </c>
      <c r="C2258" s="2" t="s">
        <v>6661</v>
      </c>
      <c r="D2258" s="2" t="s">
        <v>10055</v>
      </c>
      <c r="E2258" s="15">
        <v>0.1028</v>
      </c>
      <c r="F2258" s="15">
        <v>9.4799999999999995E-2</v>
      </c>
      <c r="G2258" s="15">
        <v>0.27839999999999998</v>
      </c>
      <c r="H2258" s="15">
        <v>0.11409999999999999</v>
      </c>
      <c r="I2258" s="15">
        <v>3.7199999999999997E-2</v>
      </c>
      <c r="J2258" s="15">
        <v>3.067204301075269</v>
      </c>
    </row>
    <row r="2259" spans="1:10" x14ac:dyDescent="0.25">
      <c r="A2259" s="2" t="s">
        <v>6662</v>
      </c>
      <c r="B2259" s="2" t="s">
        <v>6586</v>
      </c>
      <c r="C2259" s="2" t="s">
        <v>6663</v>
      </c>
      <c r="D2259" s="2" t="s">
        <v>10055</v>
      </c>
      <c r="E2259" s="15">
        <v>-0.2898</v>
      </c>
      <c r="F2259" s="15">
        <v>0.1328</v>
      </c>
      <c r="G2259" s="15">
        <v>2.9100000000000001E-2</v>
      </c>
      <c r="H2259" s="15">
        <v>7.1499999999999994E-2</v>
      </c>
      <c r="I2259" s="15">
        <v>3.8899999999999997E-2</v>
      </c>
      <c r="J2259" s="15">
        <v>1.8380462724935731</v>
      </c>
    </row>
    <row r="2260" spans="1:10" x14ac:dyDescent="0.25">
      <c r="A2260" s="2" t="s">
        <v>6664</v>
      </c>
      <c r="B2260" s="2" t="s">
        <v>6586</v>
      </c>
      <c r="C2260" s="2" t="s">
        <v>6665</v>
      </c>
      <c r="D2260" s="2" t="s">
        <v>10055</v>
      </c>
      <c r="E2260" s="15">
        <v>-5.4699999999999999E-2</v>
      </c>
      <c r="F2260" s="15">
        <v>0.1153</v>
      </c>
      <c r="G2260" s="15">
        <v>0.6351</v>
      </c>
      <c r="H2260" s="15">
        <v>8.2699999999999996E-2</v>
      </c>
      <c r="I2260" s="15">
        <v>3.7900000000000003E-2</v>
      </c>
      <c r="J2260" s="15">
        <v>2.182058047493403</v>
      </c>
    </row>
    <row r="2261" spans="1:10" x14ac:dyDescent="0.25">
      <c r="A2261" s="2" t="s">
        <v>6666</v>
      </c>
      <c r="B2261" s="2" t="s">
        <v>6586</v>
      </c>
      <c r="C2261" s="2" t="s">
        <v>6667</v>
      </c>
      <c r="D2261" s="2" t="s">
        <v>10055</v>
      </c>
      <c r="E2261" s="15"/>
      <c r="F2261" s="15"/>
      <c r="G2261" s="15"/>
      <c r="H2261" s="15"/>
      <c r="I2261" s="15"/>
      <c r="J2261" s="15"/>
    </row>
    <row r="2262" spans="1:10" x14ac:dyDescent="0.25">
      <c r="A2262" s="2" t="s">
        <v>6668</v>
      </c>
      <c r="B2262" s="2" t="s">
        <v>6586</v>
      </c>
      <c r="C2262" s="2" t="s">
        <v>6669</v>
      </c>
      <c r="D2262" s="2" t="s">
        <v>10055</v>
      </c>
      <c r="E2262" s="15">
        <v>0.1522</v>
      </c>
      <c r="F2262" s="15">
        <v>0.17710000000000001</v>
      </c>
      <c r="G2262" s="15">
        <v>0.39019999999999999</v>
      </c>
      <c r="H2262" s="15">
        <v>3.5499999999999997E-2</v>
      </c>
      <c r="I2262" s="15">
        <v>3.7999999999999999E-2</v>
      </c>
      <c r="J2262" s="15">
        <v>0.93421052631578938</v>
      </c>
    </row>
    <row r="2263" spans="1:10" x14ac:dyDescent="0.25">
      <c r="A2263" s="2" t="s">
        <v>6670</v>
      </c>
      <c r="B2263" s="2" t="s">
        <v>6586</v>
      </c>
      <c r="C2263" s="2" t="s">
        <v>6671</v>
      </c>
      <c r="D2263" s="2" t="s">
        <v>10055</v>
      </c>
      <c r="E2263" s="15">
        <v>-0.1056</v>
      </c>
      <c r="F2263" s="15">
        <v>0.22720000000000001</v>
      </c>
      <c r="G2263" s="15">
        <v>0.64190000000000003</v>
      </c>
      <c r="H2263" s="15">
        <v>2.69E-2</v>
      </c>
      <c r="I2263" s="15">
        <v>3.6700000000000003E-2</v>
      </c>
      <c r="J2263" s="15">
        <v>0.73297002724795635</v>
      </c>
    </row>
    <row r="2264" spans="1:10" x14ac:dyDescent="0.25">
      <c r="A2264" s="2" t="s">
        <v>6672</v>
      </c>
      <c r="B2264" s="2" t="s">
        <v>6586</v>
      </c>
      <c r="C2264" s="2" t="s">
        <v>6673</v>
      </c>
      <c r="D2264" s="2" t="s">
        <v>10055</v>
      </c>
      <c r="E2264" s="15">
        <v>-9.5299999999999996E-2</v>
      </c>
      <c r="F2264" s="15">
        <v>0.1226</v>
      </c>
      <c r="G2264" s="15">
        <v>0.43709999999999999</v>
      </c>
      <c r="H2264" s="15">
        <v>7.0699999999999999E-2</v>
      </c>
      <c r="I2264" s="15">
        <v>3.7999999999999999E-2</v>
      </c>
      <c r="J2264" s="15">
        <v>1.860526315789474</v>
      </c>
    </row>
    <row r="2265" spans="1:10" x14ac:dyDescent="0.25">
      <c r="A2265" s="2" t="s">
        <v>6674</v>
      </c>
      <c r="B2265" s="2" t="s">
        <v>6586</v>
      </c>
      <c r="C2265" s="2" t="s">
        <v>6675</v>
      </c>
      <c r="D2265" s="2" t="s">
        <v>10055</v>
      </c>
      <c r="E2265" s="15"/>
      <c r="F2265" s="15"/>
      <c r="G2265" s="15"/>
      <c r="H2265" s="15"/>
      <c r="I2265" s="15"/>
      <c r="J2265" s="15"/>
    </row>
    <row r="2266" spans="1:10" x14ac:dyDescent="0.25">
      <c r="A2266" s="2" t="s">
        <v>6676</v>
      </c>
      <c r="B2266" s="2" t="s">
        <v>6586</v>
      </c>
      <c r="C2266" s="2" t="s">
        <v>6677</v>
      </c>
      <c r="D2266" s="2" t="s">
        <v>10055</v>
      </c>
      <c r="E2266" s="15"/>
      <c r="F2266" s="15"/>
      <c r="G2266" s="15"/>
      <c r="H2266" s="15">
        <v>-0.1149</v>
      </c>
      <c r="I2266" s="15">
        <v>3.5499999999999997E-2</v>
      </c>
      <c r="J2266" s="15">
        <v>-3.2366197183098588</v>
      </c>
    </row>
    <row r="2267" spans="1:10" x14ac:dyDescent="0.25">
      <c r="A2267" s="2" t="s">
        <v>6678</v>
      </c>
      <c r="B2267" s="2" t="s">
        <v>6586</v>
      </c>
      <c r="C2267" s="2" t="s">
        <v>6679</v>
      </c>
      <c r="D2267" s="2" t="s">
        <v>10055</v>
      </c>
      <c r="E2267" s="15">
        <v>0.11310000000000001</v>
      </c>
      <c r="F2267" s="15">
        <v>0.33660000000000001</v>
      </c>
      <c r="G2267" s="15">
        <v>0.73680000000000001</v>
      </c>
      <c r="H2267" s="15">
        <v>1.4999999999999999E-2</v>
      </c>
      <c r="I2267" s="15">
        <v>3.7499999999999999E-2</v>
      </c>
      <c r="J2267" s="15">
        <v>0.4</v>
      </c>
    </row>
    <row r="2268" spans="1:10" x14ac:dyDescent="0.25">
      <c r="A2268" s="2" t="s">
        <v>6680</v>
      </c>
      <c r="B2268" s="2" t="s">
        <v>6586</v>
      </c>
      <c r="C2268" s="2" t="s">
        <v>6681</v>
      </c>
      <c r="D2268" s="2" t="s">
        <v>10055</v>
      </c>
      <c r="E2268" s="15">
        <v>-2.4899999999999999E-2</v>
      </c>
      <c r="F2268" s="15">
        <v>0.20530000000000001</v>
      </c>
      <c r="G2268" s="15">
        <v>0.90349999999999997</v>
      </c>
      <c r="H2268" s="15">
        <v>2.8199999999999999E-2</v>
      </c>
      <c r="I2268" s="15">
        <v>3.8300000000000001E-2</v>
      </c>
      <c r="J2268" s="15">
        <v>0.73629242819843344</v>
      </c>
    </row>
    <row r="2269" spans="1:10" x14ac:dyDescent="0.25">
      <c r="A2269" s="2" t="s">
        <v>6682</v>
      </c>
      <c r="B2269" s="2" t="s">
        <v>6586</v>
      </c>
      <c r="C2269" s="2" t="s">
        <v>6683</v>
      </c>
      <c r="D2269" s="2" t="s">
        <v>10055</v>
      </c>
      <c r="E2269" s="15"/>
      <c r="F2269" s="15"/>
      <c r="G2269" s="15"/>
      <c r="H2269" s="15">
        <v>-1.6E-2</v>
      </c>
      <c r="I2269" s="15">
        <v>3.8899999999999997E-2</v>
      </c>
      <c r="J2269" s="15">
        <v>-0.41131105398457579</v>
      </c>
    </row>
    <row r="2270" spans="1:10" x14ac:dyDescent="0.25">
      <c r="A2270" s="2" t="s">
        <v>6684</v>
      </c>
      <c r="B2270" s="2" t="s">
        <v>6586</v>
      </c>
      <c r="C2270" s="2" t="s">
        <v>6685</v>
      </c>
      <c r="D2270" s="2" t="s">
        <v>10055</v>
      </c>
      <c r="E2270" s="15">
        <v>0.54500000000000004</v>
      </c>
      <c r="F2270" s="15">
        <v>0.69210000000000005</v>
      </c>
      <c r="G2270" s="15">
        <v>0.43109999999999998</v>
      </c>
      <c r="H2270" s="15">
        <v>1.6799999999999999E-2</v>
      </c>
      <c r="I2270" s="15">
        <v>3.78E-2</v>
      </c>
      <c r="J2270" s="15">
        <v>0.44444444444444442</v>
      </c>
    </row>
    <row r="2271" spans="1:10" x14ac:dyDescent="0.25">
      <c r="A2271" s="2" t="s">
        <v>6686</v>
      </c>
      <c r="B2271" s="2" t="s">
        <v>6586</v>
      </c>
      <c r="C2271" s="2" t="s">
        <v>6687</v>
      </c>
      <c r="D2271" s="2" t="s">
        <v>10055</v>
      </c>
      <c r="E2271" s="15">
        <v>7.9899999999999999E-2</v>
      </c>
      <c r="F2271" s="15">
        <v>0.16769999999999999</v>
      </c>
      <c r="G2271" s="15">
        <v>0.63400000000000001</v>
      </c>
      <c r="H2271" s="15">
        <v>4.5400000000000003E-2</v>
      </c>
      <c r="I2271" s="15">
        <v>4.36E-2</v>
      </c>
      <c r="J2271" s="15">
        <v>1.0412844036697251</v>
      </c>
    </row>
    <row r="2272" spans="1:10" x14ac:dyDescent="0.25">
      <c r="A2272" s="2" t="s">
        <v>6688</v>
      </c>
      <c r="B2272" s="2" t="s">
        <v>6586</v>
      </c>
      <c r="C2272" s="2" t="s">
        <v>6689</v>
      </c>
      <c r="D2272" s="2" t="s">
        <v>10055</v>
      </c>
      <c r="E2272" s="15"/>
      <c r="F2272" s="15"/>
      <c r="G2272" s="15"/>
      <c r="H2272" s="15">
        <v>-1.18E-2</v>
      </c>
      <c r="I2272" s="15">
        <v>3.7199999999999997E-2</v>
      </c>
      <c r="J2272" s="15">
        <v>-0.31720430107526881</v>
      </c>
    </row>
    <row r="2273" spans="1:10" x14ac:dyDescent="0.25">
      <c r="A2273" s="2" t="s">
        <v>6690</v>
      </c>
      <c r="B2273" s="2" t="s">
        <v>6586</v>
      </c>
      <c r="C2273" s="2" t="s">
        <v>6691</v>
      </c>
      <c r="D2273" s="2" t="s">
        <v>10055</v>
      </c>
      <c r="E2273" s="15">
        <v>0.1056</v>
      </c>
      <c r="F2273" s="15">
        <v>0.13150000000000001</v>
      </c>
      <c r="G2273" s="15">
        <v>0.42220000000000002</v>
      </c>
      <c r="H2273" s="15">
        <v>5.21E-2</v>
      </c>
      <c r="I2273" s="15">
        <v>3.5299999999999998E-2</v>
      </c>
      <c r="J2273" s="15">
        <v>1.475920679886686</v>
      </c>
    </row>
    <row r="2274" spans="1:10" x14ac:dyDescent="0.25">
      <c r="A2274" s="2" t="s">
        <v>6692</v>
      </c>
      <c r="B2274" s="2" t="s">
        <v>6586</v>
      </c>
      <c r="C2274" s="2" t="s">
        <v>6693</v>
      </c>
      <c r="D2274" s="2" t="s">
        <v>10055</v>
      </c>
      <c r="E2274" s="15"/>
      <c r="F2274" s="15"/>
      <c r="G2274" s="15"/>
      <c r="H2274" s="15">
        <v>-2.5600000000000001E-2</v>
      </c>
      <c r="I2274" s="15">
        <v>3.9E-2</v>
      </c>
      <c r="J2274" s="15">
        <v>-0.65641025641025641</v>
      </c>
    </row>
    <row r="2275" spans="1:10" x14ac:dyDescent="0.25">
      <c r="A2275" s="2" t="s">
        <v>6694</v>
      </c>
      <c r="B2275" s="2" t="s">
        <v>6586</v>
      </c>
      <c r="C2275" s="2" t="s">
        <v>6695</v>
      </c>
      <c r="D2275" s="2" t="s">
        <v>10055</v>
      </c>
      <c r="E2275" s="15">
        <v>-1.44E-2</v>
      </c>
      <c r="F2275" s="15">
        <v>0.12640000000000001</v>
      </c>
      <c r="G2275" s="15">
        <v>0.9093</v>
      </c>
      <c r="H2275" s="15">
        <v>6.5199999999999994E-2</v>
      </c>
      <c r="I2275" s="15">
        <v>4.1799999999999997E-2</v>
      </c>
      <c r="J2275" s="15">
        <v>1.5598086124401911</v>
      </c>
    </row>
    <row r="2276" spans="1:10" x14ac:dyDescent="0.25">
      <c r="A2276" s="2" t="s">
        <v>6696</v>
      </c>
      <c r="B2276" s="2" t="s">
        <v>6586</v>
      </c>
      <c r="C2276" s="2" t="s">
        <v>6697</v>
      </c>
      <c r="D2276" s="2" t="s">
        <v>10055</v>
      </c>
      <c r="E2276" s="15"/>
      <c r="F2276" s="15"/>
      <c r="G2276" s="15"/>
      <c r="H2276" s="15"/>
      <c r="I2276" s="15"/>
      <c r="J2276" s="15"/>
    </row>
    <row r="2277" spans="1:10" x14ac:dyDescent="0.25">
      <c r="A2277" s="2" t="s">
        <v>6698</v>
      </c>
      <c r="B2277" s="2" t="s">
        <v>6586</v>
      </c>
      <c r="C2277" s="2" t="s">
        <v>6699</v>
      </c>
      <c r="D2277" s="2" t="s">
        <v>10055</v>
      </c>
      <c r="E2277" s="15">
        <v>0.12820000000000001</v>
      </c>
      <c r="F2277" s="15">
        <v>0.4541</v>
      </c>
      <c r="G2277" s="15">
        <v>0.77780000000000005</v>
      </c>
      <c r="H2277" s="15">
        <v>8.8000000000000005E-3</v>
      </c>
      <c r="I2277" s="15">
        <v>3.44E-2</v>
      </c>
      <c r="J2277" s="15">
        <v>0.2558139534883721</v>
      </c>
    </row>
    <row r="2278" spans="1:10" x14ac:dyDescent="0.25">
      <c r="A2278" s="2" t="s">
        <v>6700</v>
      </c>
      <c r="B2278" s="2" t="s">
        <v>6586</v>
      </c>
      <c r="C2278" s="2" t="s">
        <v>6701</v>
      </c>
      <c r="D2278" s="2" t="s">
        <v>10055</v>
      </c>
      <c r="E2278" s="15">
        <v>3.09E-2</v>
      </c>
      <c r="F2278" s="15">
        <v>0.1169</v>
      </c>
      <c r="G2278" s="15">
        <v>0.79190000000000005</v>
      </c>
      <c r="H2278" s="15">
        <v>7.0000000000000007E-2</v>
      </c>
      <c r="I2278" s="15">
        <v>3.9600000000000003E-2</v>
      </c>
      <c r="J2278" s="15">
        <v>1.767676767676768</v>
      </c>
    </row>
    <row r="2279" spans="1:10" x14ac:dyDescent="0.25">
      <c r="A2279" s="2" t="s">
        <v>6702</v>
      </c>
      <c r="B2279" s="2" t="s">
        <v>6586</v>
      </c>
      <c r="C2279" s="2" t="s">
        <v>6703</v>
      </c>
      <c r="D2279" s="2" t="s">
        <v>10055</v>
      </c>
      <c r="E2279" s="15">
        <v>1.3899999999999999E-2</v>
      </c>
      <c r="F2279" s="15">
        <v>0.13039999999999999</v>
      </c>
      <c r="G2279" s="15">
        <v>0.91490000000000005</v>
      </c>
      <c r="H2279" s="15">
        <v>6.3299999999999995E-2</v>
      </c>
      <c r="I2279" s="15">
        <v>3.56E-2</v>
      </c>
      <c r="J2279" s="15">
        <v>1.778089887640449</v>
      </c>
    </row>
    <row r="2280" spans="1:10" x14ac:dyDescent="0.25">
      <c r="A2280" s="2" t="s">
        <v>6704</v>
      </c>
      <c r="B2280" s="2" t="s">
        <v>6586</v>
      </c>
      <c r="C2280" s="2" t="s">
        <v>6705</v>
      </c>
      <c r="D2280" s="2" t="s">
        <v>10055</v>
      </c>
      <c r="E2280" s="15">
        <v>0.05</v>
      </c>
      <c r="F2280" s="15">
        <v>9.6500000000000002E-2</v>
      </c>
      <c r="G2280" s="15">
        <v>0.60409999999999997</v>
      </c>
      <c r="H2280" s="15">
        <v>9.98E-2</v>
      </c>
      <c r="I2280" s="15">
        <v>3.8800000000000001E-2</v>
      </c>
      <c r="J2280" s="15">
        <v>2.572164948453608</v>
      </c>
    </row>
    <row r="2281" spans="1:10" x14ac:dyDescent="0.25">
      <c r="A2281" s="2" t="s">
        <v>6706</v>
      </c>
      <c r="B2281" s="2" t="s">
        <v>6586</v>
      </c>
      <c r="C2281" s="2" t="s">
        <v>6707</v>
      </c>
      <c r="D2281" s="2" t="s">
        <v>10055</v>
      </c>
      <c r="E2281" s="15">
        <v>5.1700000000000003E-2</v>
      </c>
      <c r="F2281" s="15">
        <v>0.13250000000000001</v>
      </c>
      <c r="G2281" s="15">
        <v>0.69650000000000001</v>
      </c>
      <c r="H2281" s="15">
        <v>6.5500000000000003E-2</v>
      </c>
      <c r="I2281" s="15">
        <v>3.8600000000000002E-2</v>
      </c>
      <c r="J2281" s="15">
        <v>1.696891191709845</v>
      </c>
    </row>
    <row r="2282" spans="1:10" x14ac:dyDescent="0.25">
      <c r="A2282" s="2" t="s">
        <v>6708</v>
      </c>
      <c r="B2282" s="2" t="s">
        <v>6586</v>
      </c>
      <c r="C2282" s="2" t="s">
        <v>6709</v>
      </c>
      <c r="D2282" s="2" t="s">
        <v>10055</v>
      </c>
      <c r="E2282" s="15"/>
      <c r="F2282" s="15"/>
      <c r="G2282" s="15"/>
      <c r="H2282" s="15"/>
      <c r="I2282" s="15"/>
      <c r="J2282" s="15"/>
    </row>
    <row r="2283" spans="1:10" x14ac:dyDescent="0.25">
      <c r="A2283" s="2" t="s">
        <v>6710</v>
      </c>
      <c r="B2283" s="2" t="s">
        <v>6586</v>
      </c>
      <c r="C2283" s="2" t="s">
        <v>6711</v>
      </c>
      <c r="D2283" s="2" t="s">
        <v>10055</v>
      </c>
      <c r="E2283" s="15">
        <v>0.12590000000000001</v>
      </c>
      <c r="F2283" s="15">
        <v>0.21329999999999999</v>
      </c>
      <c r="G2283" s="15">
        <v>0.55520000000000003</v>
      </c>
      <c r="H2283" s="15">
        <v>2.93E-2</v>
      </c>
      <c r="I2283" s="15">
        <v>3.44E-2</v>
      </c>
      <c r="J2283" s="15">
        <v>0.85174418604651159</v>
      </c>
    </row>
    <row r="2284" spans="1:10" x14ac:dyDescent="0.25">
      <c r="A2284" s="2" t="s">
        <v>6712</v>
      </c>
      <c r="B2284" s="2" t="s">
        <v>6586</v>
      </c>
      <c r="C2284" s="2" t="s">
        <v>6713</v>
      </c>
      <c r="D2284" s="2" t="s">
        <v>10055</v>
      </c>
      <c r="E2284" s="15">
        <v>5.5300000000000002E-2</v>
      </c>
      <c r="F2284" s="15">
        <v>0.1502</v>
      </c>
      <c r="G2284" s="15">
        <v>0.71279999999999999</v>
      </c>
      <c r="H2284" s="15">
        <v>4.1200000000000001E-2</v>
      </c>
      <c r="I2284" s="15">
        <v>3.8100000000000002E-2</v>
      </c>
      <c r="J2284" s="15">
        <v>1.0813648293963249</v>
      </c>
    </row>
    <row r="2285" spans="1:10" x14ac:dyDescent="0.25">
      <c r="A2285" s="2" t="s">
        <v>6714</v>
      </c>
      <c r="B2285" s="2" t="s">
        <v>6586</v>
      </c>
      <c r="C2285" s="2" t="s">
        <v>6715</v>
      </c>
      <c r="D2285" s="2" t="s">
        <v>10055</v>
      </c>
      <c r="E2285" s="15">
        <v>-0.1177</v>
      </c>
      <c r="F2285" s="15">
        <v>0.11169999999999999</v>
      </c>
      <c r="G2285" s="15">
        <v>0.2918</v>
      </c>
      <c r="H2285" s="15">
        <v>9.8199999999999996E-2</v>
      </c>
      <c r="I2285" s="15">
        <v>4.0599999999999997E-2</v>
      </c>
      <c r="J2285" s="15">
        <v>2.4187192118226601</v>
      </c>
    </row>
    <row r="2286" spans="1:10" x14ac:dyDescent="0.25">
      <c r="A2286" s="2" t="s">
        <v>6716</v>
      </c>
      <c r="B2286" s="2" t="s">
        <v>6586</v>
      </c>
      <c r="C2286" s="2" t="s">
        <v>6717</v>
      </c>
      <c r="D2286" s="2" t="s">
        <v>10055</v>
      </c>
      <c r="E2286" s="15">
        <v>5.62E-2</v>
      </c>
      <c r="F2286" s="15">
        <v>0.1084</v>
      </c>
      <c r="G2286" s="15">
        <v>0.60450000000000004</v>
      </c>
      <c r="H2286" s="15">
        <v>9.98E-2</v>
      </c>
      <c r="I2286" s="15">
        <v>3.9300000000000002E-2</v>
      </c>
      <c r="J2286" s="15">
        <v>2.5394402035623411</v>
      </c>
    </row>
    <row r="2287" spans="1:10" x14ac:dyDescent="0.25">
      <c r="A2287" s="2" t="s">
        <v>6718</v>
      </c>
      <c r="B2287" s="2" t="s">
        <v>6586</v>
      </c>
      <c r="C2287" s="2" t="s">
        <v>6719</v>
      </c>
      <c r="D2287" s="2" t="s">
        <v>10055</v>
      </c>
      <c r="E2287" s="15">
        <v>9.5699999999999993E-2</v>
      </c>
      <c r="F2287" s="15">
        <v>0.13589999999999999</v>
      </c>
      <c r="G2287" s="15">
        <v>0.48110000000000003</v>
      </c>
      <c r="H2287" s="15">
        <v>5.7599999999999998E-2</v>
      </c>
      <c r="I2287" s="15">
        <v>3.5099999999999999E-2</v>
      </c>
      <c r="J2287" s="15">
        <v>1.641025641025641</v>
      </c>
    </row>
    <row r="2288" spans="1:10" x14ac:dyDescent="0.25">
      <c r="A2288" s="2" t="s">
        <v>6720</v>
      </c>
      <c r="B2288" s="2" t="s">
        <v>6586</v>
      </c>
      <c r="C2288" s="2" t="s">
        <v>6721</v>
      </c>
      <c r="D2288" s="2" t="s">
        <v>10055</v>
      </c>
      <c r="E2288" s="15">
        <v>-8.0699999999999994E-2</v>
      </c>
      <c r="F2288" s="15">
        <v>0.2341</v>
      </c>
      <c r="G2288" s="15">
        <v>0.73019999999999996</v>
      </c>
      <c r="H2288" s="15">
        <v>2.2700000000000001E-2</v>
      </c>
      <c r="I2288" s="15">
        <v>3.5999999999999997E-2</v>
      </c>
      <c r="J2288" s="15">
        <v>0.63055555555555565</v>
      </c>
    </row>
    <row r="2289" spans="1:10" x14ac:dyDescent="0.25">
      <c r="A2289" s="2" t="s">
        <v>6722</v>
      </c>
      <c r="B2289" s="2" t="s">
        <v>6586</v>
      </c>
      <c r="C2289" s="2" t="s">
        <v>6723</v>
      </c>
      <c r="D2289" s="2" t="s">
        <v>10055</v>
      </c>
      <c r="E2289" s="15">
        <v>-1.4E-2</v>
      </c>
      <c r="F2289" s="15">
        <v>0.19439999999999999</v>
      </c>
      <c r="G2289" s="15">
        <v>0.9425</v>
      </c>
      <c r="H2289" s="15">
        <v>2.9100000000000001E-2</v>
      </c>
      <c r="I2289" s="15">
        <v>3.61E-2</v>
      </c>
      <c r="J2289" s="15">
        <v>0.80609418282548484</v>
      </c>
    </row>
    <row r="2290" spans="1:10" x14ac:dyDescent="0.25">
      <c r="A2290" s="2" t="s">
        <v>6724</v>
      </c>
      <c r="B2290" s="2" t="s">
        <v>6586</v>
      </c>
      <c r="C2290" s="2" t="s">
        <v>6725</v>
      </c>
      <c r="D2290" s="2" t="s">
        <v>10055</v>
      </c>
      <c r="E2290" s="15"/>
      <c r="F2290" s="15"/>
      <c r="G2290" s="15"/>
      <c r="H2290" s="15">
        <v>-2.01E-2</v>
      </c>
      <c r="I2290" s="15">
        <v>3.3399999999999999E-2</v>
      </c>
      <c r="J2290" s="15">
        <v>-0.60179640718562877</v>
      </c>
    </row>
    <row r="2291" spans="1:10" x14ac:dyDescent="0.25">
      <c r="A2291" s="2" t="s">
        <v>6726</v>
      </c>
      <c r="B2291" s="2" t="s">
        <v>6586</v>
      </c>
      <c r="C2291" s="2" t="s">
        <v>6727</v>
      </c>
      <c r="D2291" s="2" t="s">
        <v>10055</v>
      </c>
      <c r="E2291" s="15">
        <v>-0.16370000000000001</v>
      </c>
      <c r="F2291" s="15">
        <v>0.12959999999999999</v>
      </c>
      <c r="G2291" s="15">
        <v>0.20660000000000001</v>
      </c>
      <c r="H2291" s="15">
        <v>6.3799999999999996E-2</v>
      </c>
      <c r="I2291" s="15">
        <v>3.7900000000000003E-2</v>
      </c>
      <c r="J2291" s="15">
        <v>1.683377308707124</v>
      </c>
    </row>
    <row r="2292" spans="1:10" x14ac:dyDescent="0.25">
      <c r="A2292" s="2" t="s">
        <v>6728</v>
      </c>
      <c r="B2292" s="2" t="s">
        <v>6586</v>
      </c>
      <c r="C2292" s="2" t="s">
        <v>6729</v>
      </c>
      <c r="D2292" s="2" t="s">
        <v>10055</v>
      </c>
      <c r="E2292" s="15">
        <v>0.20760000000000001</v>
      </c>
      <c r="F2292" s="15">
        <v>0.26960000000000001</v>
      </c>
      <c r="G2292" s="15">
        <v>0.44130000000000003</v>
      </c>
      <c r="H2292" s="15">
        <v>2.3300000000000001E-2</v>
      </c>
      <c r="I2292" s="15">
        <v>3.5200000000000002E-2</v>
      </c>
      <c r="J2292" s="15">
        <v>0.66193181818181823</v>
      </c>
    </row>
    <row r="2293" spans="1:10" x14ac:dyDescent="0.25">
      <c r="A2293" s="2" t="s">
        <v>6730</v>
      </c>
      <c r="B2293" s="2" t="s">
        <v>6586</v>
      </c>
      <c r="C2293" s="2" t="s">
        <v>6731</v>
      </c>
      <c r="D2293" s="2" t="s">
        <v>10055</v>
      </c>
      <c r="E2293" s="15"/>
      <c r="F2293" s="15"/>
      <c r="G2293" s="15"/>
      <c r="H2293" s="15"/>
      <c r="I2293" s="15"/>
      <c r="J2293" s="15"/>
    </row>
    <row r="2294" spans="1:10" x14ac:dyDescent="0.25">
      <c r="A2294" s="2" t="s">
        <v>6732</v>
      </c>
      <c r="B2294" s="2" t="s">
        <v>6586</v>
      </c>
      <c r="C2294" s="2" t="s">
        <v>6733</v>
      </c>
      <c r="D2294" s="2" t="s">
        <v>10055</v>
      </c>
      <c r="E2294" s="15">
        <v>-4.82E-2</v>
      </c>
      <c r="F2294" s="15">
        <v>0.1202</v>
      </c>
      <c r="G2294" s="15">
        <v>0.6885</v>
      </c>
      <c r="H2294" s="15">
        <v>8.5900000000000004E-2</v>
      </c>
      <c r="I2294" s="15">
        <v>3.4700000000000002E-2</v>
      </c>
      <c r="J2294" s="15">
        <v>2.4755043227665712</v>
      </c>
    </row>
    <row r="2295" spans="1:10" x14ac:dyDescent="0.25">
      <c r="A2295" s="2" t="s">
        <v>6734</v>
      </c>
      <c r="B2295" s="2" t="s">
        <v>6586</v>
      </c>
      <c r="C2295" s="2" t="s">
        <v>6735</v>
      </c>
      <c r="D2295" s="2" t="s">
        <v>10055</v>
      </c>
      <c r="E2295" s="15">
        <v>-0.13619999999999999</v>
      </c>
      <c r="F2295" s="15">
        <v>0.10929999999999999</v>
      </c>
      <c r="G2295" s="15">
        <v>0.21260000000000001</v>
      </c>
      <c r="H2295" s="15">
        <v>0.109</v>
      </c>
      <c r="I2295" s="15">
        <v>3.8399999999999997E-2</v>
      </c>
      <c r="J2295" s="15">
        <v>2.838541666666667</v>
      </c>
    </row>
    <row r="2296" spans="1:10" x14ac:dyDescent="0.25">
      <c r="A2296" s="2" t="s">
        <v>6736</v>
      </c>
      <c r="B2296" s="2" t="s">
        <v>6586</v>
      </c>
      <c r="C2296" s="2" t="s">
        <v>6737</v>
      </c>
      <c r="D2296" s="2" t="s">
        <v>10055</v>
      </c>
      <c r="E2296" s="15">
        <v>0.2263</v>
      </c>
      <c r="F2296" s="15">
        <v>0.25419999999999998</v>
      </c>
      <c r="G2296" s="15">
        <v>0.37330000000000002</v>
      </c>
      <c r="H2296" s="15">
        <v>2.8899999999999999E-2</v>
      </c>
      <c r="I2296" s="15">
        <v>4.02E-2</v>
      </c>
      <c r="J2296" s="15">
        <v>0.71890547263681592</v>
      </c>
    </row>
    <row r="2297" spans="1:10" x14ac:dyDescent="0.25">
      <c r="A2297" s="2" t="s">
        <v>6738</v>
      </c>
      <c r="B2297" s="2" t="s">
        <v>6586</v>
      </c>
      <c r="C2297" s="2" t="s">
        <v>6739</v>
      </c>
      <c r="D2297" s="2" t="s">
        <v>10055</v>
      </c>
      <c r="E2297" s="15">
        <v>-1.41E-2</v>
      </c>
      <c r="F2297" s="15">
        <v>0.159</v>
      </c>
      <c r="G2297" s="15">
        <v>0.9294</v>
      </c>
      <c r="H2297" s="15">
        <v>3.6600000000000001E-2</v>
      </c>
      <c r="I2297" s="15">
        <v>3.7199999999999997E-2</v>
      </c>
      <c r="J2297" s="15">
        <v>0.98387096774193561</v>
      </c>
    </row>
    <row r="2298" spans="1:10" x14ac:dyDescent="0.25">
      <c r="A2298" s="2" t="s">
        <v>6740</v>
      </c>
      <c r="B2298" s="2" t="s">
        <v>6586</v>
      </c>
      <c r="C2298" s="2" t="s">
        <v>6741</v>
      </c>
      <c r="D2298" s="2" t="s">
        <v>10055</v>
      </c>
      <c r="E2298" s="15">
        <v>-0.18279999999999999</v>
      </c>
      <c r="F2298" s="15">
        <v>0.1457</v>
      </c>
      <c r="G2298" s="15">
        <v>0.20960000000000001</v>
      </c>
      <c r="H2298" s="15">
        <v>6.3299999999999995E-2</v>
      </c>
      <c r="I2298" s="15">
        <v>3.5900000000000001E-2</v>
      </c>
      <c r="J2298" s="15">
        <v>1.763231197771588</v>
      </c>
    </row>
    <row r="2299" spans="1:10" x14ac:dyDescent="0.25">
      <c r="A2299" s="2" t="s">
        <v>6742</v>
      </c>
      <c r="B2299" s="2" t="s">
        <v>6586</v>
      </c>
      <c r="C2299" s="2" t="s">
        <v>6743</v>
      </c>
      <c r="D2299" s="2" t="s">
        <v>10055</v>
      </c>
      <c r="E2299" s="15">
        <v>-1.15E-2</v>
      </c>
      <c r="F2299" s="15">
        <v>9.0200000000000002E-2</v>
      </c>
      <c r="G2299" s="15">
        <v>0.89859999999999995</v>
      </c>
      <c r="H2299" s="15">
        <v>0.14549999999999999</v>
      </c>
      <c r="I2299" s="15">
        <v>0.04</v>
      </c>
      <c r="J2299" s="15">
        <v>3.6375000000000002</v>
      </c>
    </row>
    <row r="2300" spans="1:10" x14ac:dyDescent="0.25">
      <c r="A2300" s="2" t="s">
        <v>6744</v>
      </c>
      <c r="B2300" s="2" t="s">
        <v>6586</v>
      </c>
      <c r="C2300" s="2" t="s">
        <v>6745</v>
      </c>
      <c r="D2300" s="2" t="s">
        <v>10055</v>
      </c>
      <c r="E2300" s="15">
        <v>0.22700000000000001</v>
      </c>
      <c r="F2300" s="15">
        <v>0.16619999999999999</v>
      </c>
      <c r="G2300" s="15">
        <v>0.1721</v>
      </c>
      <c r="H2300" s="15">
        <v>4.3099999999999999E-2</v>
      </c>
      <c r="I2300" s="15">
        <v>3.4799999999999998E-2</v>
      </c>
      <c r="J2300" s="15">
        <v>1.2385057471264369</v>
      </c>
    </row>
    <row r="2301" spans="1:10" x14ac:dyDescent="0.25">
      <c r="A2301" s="2" t="s">
        <v>6746</v>
      </c>
      <c r="B2301" s="2" t="s">
        <v>6586</v>
      </c>
      <c r="C2301" s="2" t="s">
        <v>6747</v>
      </c>
      <c r="D2301" s="2" t="s">
        <v>10055</v>
      </c>
      <c r="E2301" s="15">
        <v>3.7100000000000001E-2</v>
      </c>
      <c r="F2301" s="15">
        <v>0.10150000000000001</v>
      </c>
      <c r="G2301" s="15">
        <v>0.71489999999999998</v>
      </c>
      <c r="H2301" s="15">
        <v>9.8799999999999999E-2</v>
      </c>
      <c r="I2301" s="15">
        <v>4.02E-2</v>
      </c>
      <c r="J2301" s="15">
        <v>2.4577114427860698</v>
      </c>
    </row>
    <row r="2302" spans="1:10" x14ac:dyDescent="0.25">
      <c r="A2302" s="2" t="s">
        <v>6748</v>
      </c>
      <c r="B2302" s="2" t="s">
        <v>6586</v>
      </c>
      <c r="C2302" s="2" t="s">
        <v>6749</v>
      </c>
      <c r="D2302" s="2" t="s">
        <v>10055</v>
      </c>
      <c r="E2302" s="15">
        <v>0.17949999999999999</v>
      </c>
      <c r="F2302" s="15">
        <v>0.12570000000000001</v>
      </c>
      <c r="G2302" s="15">
        <v>0.15310000000000001</v>
      </c>
      <c r="H2302" s="15">
        <v>6.7100000000000007E-2</v>
      </c>
      <c r="I2302" s="15">
        <v>3.9E-2</v>
      </c>
      <c r="J2302" s="15">
        <v>1.7205128205128211</v>
      </c>
    </row>
    <row r="2303" spans="1:10" x14ac:dyDescent="0.25">
      <c r="A2303" s="2" t="s">
        <v>6750</v>
      </c>
      <c r="B2303" s="2" t="s">
        <v>6586</v>
      </c>
      <c r="C2303" s="2" t="s">
        <v>6751</v>
      </c>
      <c r="D2303" s="2" t="s">
        <v>10055</v>
      </c>
      <c r="E2303" s="15">
        <v>-6.7000000000000002E-3</v>
      </c>
      <c r="F2303" s="15">
        <v>0.1484</v>
      </c>
      <c r="G2303" s="15">
        <v>0.96409999999999996</v>
      </c>
      <c r="H2303" s="15">
        <v>5.5199999999999999E-2</v>
      </c>
      <c r="I2303" s="15">
        <v>3.9600000000000003E-2</v>
      </c>
      <c r="J2303" s="15">
        <v>1.393939393939394</v>
      </c>
    </row>
    <row r="2304" spans="1:10" x14ac:dyDescent="0.25">
      <c r="A2304" s="2" t="s">
        <v>6752</v>
      </c>
      <c r="B2304" s="2" t="s">
        <v>6586</v>
      </c>
      <c r="C2304" s="2" t="s">
        <v>6753</v>
      </c>
      <c r="D2304" s="2" t="s">
        <v>10055</v>
      </c>
      <c r="E2304" s="15">
        <v>-8.6699999999999999E-2</v>
      </c>
      <c r="F2304" s="15">
        <v>0.1106</v>
      </c>
      <c r="G2304" s="15">
        <v>0.43290000000000001</v>
      </c>
      <c r="H2304" s="15">
        <v>8.7999999999999995E-2</v>
      </c>
      <c r="I2304" s="15">
        <v>4.1099999999999998E-2</v>
      </c>
      <c r="J2304" s="15">
        <v>2.1411192214111918</v>
      </c>
    </row>
    <row r="2305" spans="1:10" x14ac:dyDescent="0.25">
      <c r="A2305" s="2" t="s">
        <v>6754</v>
      </c>
      <c r="B2305" s="2" t="s">
        <v>6586</v>
      </c>
      <c r="C2305" s="2" t="s">
        <v>6755</v>
      </c>
      <c r="D2305" s="2" t="s">
        <v>10055</v>
      </c>
      <c r="E2305" s="15">
        <v>-0.16750000000000001</v>
      </c>
      <c r="F2305" s="15">
        <v>0.1933</v>
      </c>
      <c r="G2305" s="15">
        <v>0.3861</v>
      </c>
      <c r="H2305" s="15">
        <v>4.19E-2</v>
      </c>
      <c r="I2305" s="15">
        <v>4.2000000000000003E-2</v>
      </c>
      <c r="J2305" s="15">
        <v>0.99761904761904752</v>
      </c>
    </row>
    <row r="2306" spans="1:10" x14ac:dyDescent="0.25">
      <c r="A2306" s="2" t="s">
        <v>6756</v>
      </c>
      <c r="B2306" s="2" t="s">
        <v>6586</v>
      </c>
      <c r="C2306" s="2" t="s">
        <v>6757</v>
      </c>
      <c r="D2306" s="2" t="s">
        <v>10055</v>
      </c>
      <c r="E2306" s="15">
        <v>0.13519999999999999</v>
      </c>
      <c r="F2306" s="15">
        <v>0.123</v>
      </c>
      <c r="G2306" s="15">
        <v>0.2717</v>
      </c>
      <c r="H2306" s="15">
        <v>7.4399999999999994E-2</v>
      </c>
      <c r="I2306" s="15">
        <v>3.5000000000000003E-2</v>
      </c>
      <c r="J2306" s="15">
        <v>2.125714285714285</v>
      </c>
    </row>
    <row r="2307" spans="1:10" x14ac:dyDescent="0.25">
      <c r="A2307" s="2" t="s">
        <v>6758</v>
      </c>
      <c r="B2307" s="2" t="s">
        <v>6586</v>
      </c>
      <c r="C2307" s="2" t="s">
        <v>6759</v>
      </c>
      <c r="D2307" s="2" t="s">
        <v>10055</v>
      </c>
      <c r="E2307" s="15">
        <v>8.6E-3</v>
      </c>
      <c r="F2307" s="15">
        <v>0.18029999999999999</v>
      </c>
      <c r="G2307" s="15">
        <v>0.96209999999999996</v>
      </c>
      <c r="H2307" s="15">
        <v>3.4700000000000002E-2</v>
      </c>
      <c r="I2307" s="15">
        <v>3.8899999999999997E-2</v>
      </c>
      <c r="J2307" s="15">
        <v>0.892030848329049</v>
      </c>
    </row>
    <row r="2308" spans="1:10" x14ac:dyDescent="0.25">
      <c r="A2308" s="2" t="s">
        <v>6760</v>
      </c>
      <c r="B2308" s="2" t="s">
        <v>6586</v>
      </c>
      <c r="C2308" s="2" t="s">
        <v>6761</v>
      </c>
      <c r="D2308" s="2" t="s">
        <v>10055</v>
      </c>
      <c r="E2308" s="15">
        <v>0.1363</v>
      </c>
      <c r="F2308" s="15">
        <v>0.1431</v>
      </c>
      <c r="G2308" s="15">
        <v>0.3407</v>
      </c>
      <c r="H2308" s="15">
        <v>4.6300000000000001E-2</v>
      </c>
      <c r="I2308" s="15">
        <v>3.56E-2</v>
      </c>
      <c r="J2308" s="15">
        <v>1.300561797752809</v>
      </c>
    </row>
    <row r="2309" spans="1:10" x14ac:dyDescent="0.25">
      <c r="A2309" s="2" t="s">
        <v>6762</v>
      </c>
      <c r="B2309" s="2" t="s">
        <v>6586</v>
      </c>
      <c r="C2309" s="2" t="s">
        <v>6763</v>
      </c>
      <c r="D2309" s="2" t="s">
        <v>10055</v>
      </c>
      <c r="E2309" s="15">
        <v>-0.2621</v>
      </c>
      <c r="F2309" s="15">
        <v>0.2571</v>
      </c>
      <c r="G2309" s="15">
        <v>0.308</v>
      </c>
      <c r="H2309" s="15">
        <v>2.6599999999999999E-2</v>
      </c>
      <c r="I2309" s="15">
        <v>3.7999999999999999E-2</v>
      </c>
      <c r="J2309" s="15">
        <v>0.7</v>
      </c>
    </row>
    <row r="2310" spans="1:10" x14ac:dyDescent="0.25">
      <c r="A2310" s="2" t="s">
        <v>6764</v>
      </c>
      <c r="B2310" s="2" t="s">
        <v>6586</v>
      </c>
      <c r="C2310" s="2" t="s">
        <v>6765</v>
      </c>
      <c r="D2310" s="2" t="s">
        <v>10055</v>
      </c>
      <c r="E2310" s="15">
        <v>0.26579999999999998</v>
      </c>
      <c r="F2310" s="15">
        <v>0.18140000000000001</v>
      </c>
      <c r="G2310" s="15">
        <v>0.14299999999999999</v>
      </c>
      <c r="H2310" s="15">
        <v>4.8399999999999999E-2</v>
      </c>
      <c r="I2310" s="15">
        <v>3.7100000000000001E-2</v>
      </c>
      <c r="J2310" s="15">
        <v>1.304582210242587</v>
      </c>
    </row>
    <row r="2311" spans="1:10" x14ac:dyDescent="0.25">
      <c r="A2311" s="2" t="s">
        <v>6766</v>
      </c>
      <c r="B2311" s="2" t="s">
        <v>6586</v>
      </c>
      <c r="C2311" s="2" t="s">
        <v>6767</v>
      </c>
      <c r="D2311" s="2" t="s">
        <v>10055</v>
      </c>
      <c r="E2311" s="15">
        <v>-1.8599999999999998E-2</v>
      </c>
      <c r="F2311" s="15">
        <v>0.21640000000000001</v>
      </c>
      <c r="G2311" s="15">
        <v>0.93140000000000001</v>
      </c>
      <c r="H2311" s="15">
        <v>2.4299999999999999E-2</v>
      </c>
      <c r="I2311" s="15">
        <v>3.9899999999999998E-2</v>
      </c>
      <c r="J2311" s="15">
        <v>0.60902255639097747</v>
      </c>
    </row>
    <row r="2312" spans="1:10" x14ac:dyDescent="0.25">
      <c r="A2312" s="2" t="s">
        <v>6768</v>
      </c>
      <c r="B2312" s="2" t="s">
        <v>6586</v>
      </c>
      <c r="C2312" s="2" t="s">
        <v>6769</v>
      </c>
      <c r="D2312" s="2" t="s">
        <v>10055</v>
      </c>
      <c r="E2312" s="15">
        <v>-0.1105</v>
      </c>
      <c r="F2312" s="15">
        <v>0.2281</v>
      </c>
      <c r="G2312" s="15">
        <v>0.62809999999999999</v>
      </c>
      <c r="H2312" s="15">
        <v>2.4500000000000001E-2</v>
      </c>
      <c r="I2312" s="15">
        <v>3.5099999999999999E-2</v>
      </c>
      <c r="J2312" s="15">
        <v>0.69800569800569801</v>
      </c>
    </row>
    <row r="2313" spans="1:10" x14ac:dyDescent="0.25">
      <c r="A2313" s="2" t="s">
        <v>6770</v>
      </c>
      <c r="B2313" s="2" t="s">
        <v>6586</v>
      </c>
      <c r="C2313" s="2" t="s">
        <v>6771</v>
      </c>
      <c r="D2313" s="2" t="s">
        <v>10055</v>
      </c>
      <c r="E2313" s="15">
        <v>0.25940000000000002</v>
      </c>
      <c r="F2313" s="15">
        <v>0.20230000000000001</v>
      </c>
      <c r="G2313" s="15">
        <v>0.19989999999999999</v>
      </c>
      <c r="H2313" s="15">
        <v>3.8199999999999998E-2</v>
      </c>
      <c r="I2313" s="15">
        <v>3.2899999999999999E-2</v>
      </c>
      <c r="J2313" s="15">
        <v>1.1610942249240119</v>
      </c>
    </row>
    <row r="2314" spans="1:10" x14ac:dyDescent="0.25">
      <c r="A2314" s="2" t="s">
        <v>6772</v>
      </c>
      <c r="B2314" s="2" t="s">
        <v>6586</v>
      </c>
      <c r="C2314" s="2" t="s">
        <v>6773</v>
      </c>
      <c r="D2314" s="2" t="s">
        <v>10055</v>
      </c>
      <c r="E2314" s="15"/>
      <c r="F2314" s="15"/>
      <c r="G2314" s="15"/>
      <c r="H2314" s="15">
        <v>-9.4999999999999998E-3</v>
      </c>
      <c r="I2314" s="15">
        <v>4.0099999999999997E-2</v>
      </c>
      <c r="J2314" s="15">
        <v>-0.23690773067331669</v>
      </c>
    </row>
    <row r="2315" spans="1:10" x14ac:dyDescent="0.25">
      <c r="A2315" s="2" t="s">
        <v>6774</v>
      </c>
      <c r="B2315" s="2" t="s">
        <v>6586</v>
      </c>
      <c r="C2315" s="2" t="s">
        <v>6775</v>
      </c>
      <c r="D2315" s="2" t="s">
        <v>10055</v>
      </c>
      <c r="E2315" s="15"/>
      <c r="F2315" s="15"/>
      <c r="G2315" s="15"/>
      <c r="H2315" s="15">
        <v>-1.17E-2</v>
      </c>
      <c r="I2315" s="15">
        <v>3.5900000000000001E-2</v>
      </c>
      <c r="J2315" s="15">
        <v>-0.32590529247910871</v>
      </c>
    </row>
    <row r="2316" spans="1:10" x14ac:dyDescent="0.25">
      <c r="A2316" s="2" t="s">
        <v>6776</v>
      </c>
      <c r="B2316" s="2" t="s">
        <v>6586</v>
      </c>
      <c r="C2316" s="2" t="s">
        <v>6777</v>
      </c>
      <c r="D2316" s="2" t="s">
        <v>10055</v>
      </c>
      <c r="E2316" s="15">
        <v>-5.4399999999999997E-2</v>
      </c>
      <c r="F2316" s="15">
        <v>0.11260000000000001</v>
      </c>
      <c r="G2316" s="15">
        <v>0.62880000000000003</v>
      </c>
      <c r="H2316" s="15">
        <v>7.6999999999999999E-2</v>
      </c>
      <c r="I2316" s="15">
        <v>3.7699999999999997E-2</v>
      </c>
      <c r="J2316" s="15">
        <v>2.042440318302388</v>
      </c>
    </row>
    <row r="2317" spans="1:10" x14ac:dyDescent="0.25">
      <c r="A2317" s="2" t="s">
        <v>6778</v>
      </c>
      <c r="B2317" s="2" t="s">
        <v>6586</v>
      </c>
      <c r="C2317" s="2" t="s">
        <v>6779</v>
      </c>
      <c r="D2317" s="2" t="s">
        <v>10055</v>
      </c>
      <c r="E2317" s="15">
        <v>-7.85E-2</v>
      </c>
      <c r="F2317" s="15">
        <v>0.1086</v>
      </c>
      <c r="G2317" s="15">
        <v>0.46960000000000002</v>
      </c>
      <c r="H2317" s="15">
        <v>8.7300000000000003E-2</v>
      </c>
      <c r="I2317" s="15">
        <v>4.1200000000000001E-2</v>
      </c>
      <c r="J2317" s="15">
        <v>2.1189320388349508</v>
      </c>
    </row>
    <row r="2318" spans="1:10" x14ac:dyDescent="0.25">
      <c r="A2318" s="2" t="s">
        <v>6780</v>
      </c>
      <c r="B2318" s="2" t="s">
        <v>6586</v>
      </c>
      <c r="C2318" s="2" t="s">
        <v>6781</v>
      </c>
      <c r="D2318" s="2" t="s">
        <v>10055</v>
      </c>
      <c r="E2318" s="15"/>
      <c r="F2318" s="15"/>
      <c r="G2318" s="15"/>
      <c r="H2318" s="15">
        <v>-1.11E-2</v>
      </c>
      <c r="I2318" s="15">
        <v>3.7999999999999999E-2</v>
      </c>
      <c r="J2318" s="15">
        <v>-0.29210526315789481</v>
      </c>
    </row>
    <row r="2319" spans="1:10" x14ac:dyDescent="0.25">
      <c r="A2319" s="2" t="s">
        <v>6782</v>
      </c>
      <c r="B2319" s="2" t="s">
        <v>6586</v>
      </c>
      <c r="C2319" s="2" t="s">
        <v>6783</v>
      </c>
      <c r="D2319" s="2" t="s">
        <v>10055</v>
      </c>
      <c r="E2319" s="15">
        <v>9.3299999999999994E-2</v>
      </c>
      <c r="F2319" s="15">
        <v>0.1923</v>
      </c>
      <c r="G2319" s="15">
        <v>0.62749999999999995</v>
      </c>
      <c r="H2319" s="15">
        <v>3.6700000000000003E-2</v>
      </c>
      <c r="I2319" s="15">
        <v>4.02E-2</v>
      </c>
      <c r="J2319" s="15">
        <v>0.9129353233830847</v>
      </c>
    </row>
    <row r="2320" spans="1:10" x14ac:dyDescent="0.25">
      <c r="A2320" s="2" t="s">
        <v>6784</v>
      </c>
      <c r="B2320" s="2" t="s">
        <v>6586</v>
      </c>
      <c r="C2320" s="2" t="s">
        <v>6785</v>
      </c>
      <c r="D2320" s="2" t="s">
        <v>10055</v>
      </c>
      <c r="E2320" s="15">
        <v>-0.18099999999999999</v>
      </c>
      <c r="F2320" s="15">
        <v>0.1182</v>
      </c>
      <c r="G2320" s="15">
        <v>0.12570000000000001</v>
      </c>
      <c r="H2320" s="15">
        <v>7.5700000000000003E-2</v>
      </c>
      <c r="I2320" s="15">
        <v>3.7699999999999997E-2</v>
      </c>
      <c r="J2320" s="15">
        <v>2.0079575596816981</v>
      </c>
    </row>
    <row r="2321" spans="1:10" x14ac:dyDescent="0.25">
      <c r="A2321" s="2" t="s">
        <v>6786</v>
      </c>
      <c r="B2321" s="2" t="s">
        <v>6586</v>
      </c>
      <c r="C2321" s="2" t="s">
        <v>6787</v>
      </c>
      <c r="D2321" s="2" t="s">
        <v>10055</v>
      </c>
      <c r="E2321" s="15">
        <v>-6.4000000000000001E-2</v>
      </c>
      <c r="F2321" s="15">
        <v>0.11020000000000001</v>
      </c>
      <c r="G2321" s="15">
        <v>0.56140000000000001</v>
      </c>
      <c r="H2321" s="15">
        <v>8.6199999999999999E-2</v>
      </c>
      <c r="I2321" s="15">
        <v>3.9800000000000002E-2</v>
      </c>
      <c r="J2321" s="15">
        <v>2.1658291457286429</v>
      </c>
    </row>
    <row r="2322" spans="1:10" x14ac:dyDescent="0.25">
      <c r="A2322" s="2" t="s">
        <v>6788</v>
      </c>
      <c r="B2322" s="2" t="s">
        <v>6586</v>
      </c>
      <c r="C2322" s="2" t="s">
        <v>6789</v>
      </c>
      <c r="D2322" s="2" t="s">
        <v>10055</v>
      </c>
      <c r="E2322" s="15">
        <v>5.4699999999999999E-2</v>
      </c>
      <c r="F2322" s="15">
        <v>8.4500000000000006E-2</v>
      </c>
      <c r="G2322" s="15">
        <v>0.5171</v>
      </c>
      <c r="H2322" s="15">
        <v>0.1646</v>
      </c>
      <c r="I2322" s="15">
        <v>4.1799999999999997E-2</v>
      </c>
      <c r="J2322" s="15">
        <v>3.937799043062201</v>
      </c>
    </row>
    <row r="2323" spans="1:10" x14ac:dyDescent="0.25">
      <c r="A2323" s="2" t="s">
        <v>6790</v>
      </c>
      <c r="B2323" s="2" t="s">
        <v>6586</v>
      </c>
      <c r="C2323" s="2" t="s">
        <v>6791</v>
      </c>
      <c r="D2323" s="2" t="s">
        <v>10055</v>
      </c>
      <c r="E2323" s="15">
        <v>2.76E-2</v>
      </c>
      <c r="F2323" s="15">
        <v>0.10630000000000001</v>
      </c>
      <c r="G2323" s="15">
        <v>0.79530000000000001</v>
      </c>
      <c r="H2323" s="15">
        <v>9.4600000000000004E-2</v>
      </c>
      <c r="I2323" s="15">
        <v>3.85E-2</v>
      </c>
      <c r="J2323" s="15">
        <v>2.4571428571428569</v>
      </c>
    </row>
    <row r="2324" spans="1:10" x14ac:dyDescent="0.25">
      <c r="A2324" s="2" t="s">
        <v>6792</v>
      </c>
      <c r="B2324" s="2" t="s">
        <v>6586</v>
      </c>
      <c r="C2324" s="2" t="s">
        <v>6793</v>
      </c>
      <c r="D2324" s="2" t="s">
        <v>10055</v>
      </c>
      <c r="E2324" s="15">
        <v>0.19939999999999999</v>
      </c>
      <c r="F2324" s="15">
        <v>0.20449999999999999</v>
      </c>
      <c r="G2324" s="15">
        <v>0.3296</v>
      </c>
      <c r="H2324" s="15">
        <v>3.7499999999999999E-2</v>
      </c>
      <c r="I2324" s="15">
        <v>3.61E-2</v>
      </c>
      <c r="J2324" s="15">
        <v>1.0387811634349029</v>
      </c>
    </row>
    <row r="2325" spans="1:10" x14ac:dyDescent="0.25">
      <c r="A2325" s="2" t="s">
        <v>6794</v>
      </c>
      <c r="B2325" s="2" t="s">
        <v>6586</v>
      </c>
      <c r="C2325" s="2" t="s">
        <v>6795</v>
      </c>
      <c r="D2325" s="2" t="s">
        <v>10055</v>
      </c>
      <c r="E2325" s="15">
        <v>0.23880000000000001</v>
      </c>
      <c r="F2325" s="15">
        <v>0.33119999999999999</v>
      </c>
      <c r="G2325" s="15">
        <v>0.47089999999999999</v>
      </c>
      <c r="H2325" s="15">
        <v>2.1100000000000001E-2</v>
      </c>
      <c r="I2325" s="15">
        <v>3.5799999999999998E-2</v>
      </c>
      <c r="J2325" s="15">
        <v>0.58938547486033521</v>
      </c>
    </row>
    <row r="2326" spans="1:10" x14ac:dyDescent="0.25">
      <c r="A2326" s="2" t="s">
        <v>6796</v>
      </c>
      <c r="B2326" s="2" t="s">
        <v>6586</v>
      </c>
      <c r="C2326" s="2" t="s">
        <v>6797</v>
      </c>
      <c r="D2326" s="2" t="s">
        <v>10055</v>
      </c>
      <c r="E2326" s="15">
        <v>-0.1575</v>
      </c>
      <c r="F2326" s="15">
        <v>0.1057</v>
      </c>
      <c r="G2326" s="15">
        <v>0.13619999999999999</v>
      </c>
      <c r="H2326" s="15">
        <v>9.8799999999999999E-2</v>
      </c>
      <c r="I2326" s="15">
        <v>4.0500000000000001E-2</v>
      </c>
      <c r="J2326" s="15">
        <v>2.439506172839506</v>
      </c>
    </row>
    <row r="2327" spans="1:10" x14ac:dyDescent="0.25">
      <c r="A2327" s="2" t="s">
        <v>6798</v>
      </c>
      <c r="B2327" s="2" t="s">
        <v>6586</v>
      </c>
      <c r="C2327" s="2" t="s">
        <v>6799</v>
      </c>
      <c r="D2327" s="2" t="s">
        <v>10055</v>
      </c>
      <c r="E2327" s="15"/>
      <c r="F2327" s="15"/>
      <c r="G2327" s="15"/>
      <c r="H2327" s="15">
        <v>-2.3699999999999999E-2</v>
      </c>
      <c r="I2327" s="15">
        <v>3.2199999999999999E-2</v>
      </c>
      <c r="J2327" s="15">
        <v>-0.7360248447204969</v>
      </c>
    </row>
    <row r="2328" spans="1:10" x14ac:dyDescent="0.25">
      <c r="A2328" s="2" t="s">
        <v>6800</v>
      </c>
      <c r="B2328" s="2" t="s">
        <v>6586</v>
      </c>
      <c r="C2328" s="2" t="s">
        <v>6801</v>
      </c>
      <c r="D2328" s="2" t="s">
        <v>10055</v>
      </c>
      <c r="E2328" s="15">
        <v>-0.12529999999999999</v>
      </c>
      <c r="F2328" s="15">
        <v>9.6799999999999997E-2</v>
      </c>
      <c r="G2328" s="15">
        <v>0.1956</v>
      </c>
      <c r="H2328" s="15">
        <v>0.1144</v>
      </c>
      <c r="I2328" s="15">
        <v>3.9E-2</v>
      </c>
      <c r="J2328" s="15">
        <v>2.933333333333334</v>
      </c>
    </row>
    <row r="2329" spans="1:10" x14ac:dyDescent="0.25">
      <c r="A2329" s="2" t="s">
        <v>6802</v>
      </c>
      <c r="B2329" s="2" t="s">
        <v>6586</v>
      </c>
      <c r="C2329" s="2" t="s">
        <v>6803</v>
      </c>
      <c r="D2329" s="2" t="s">
        <v>10055</v>
      </c>
      <c r="E2329" s="15">
        <v>0.1404</v>
      </c>
      <c r="F2329" s="15">
        <v>0.1195</v>
      </c>
      <c r="G2329" s="15">
        <v>0.24030000000000001</v>
      </c>
      <c r="H2329" s="15">
        <v>7.9799999999999996E-2</v>
      </c>
      <c r="I2329" s="15">
        <v>3.9300000000000002E-2</v>
      </c>
      <c r="J2329" s="15">
        <v>2.0305343511450382</v>
      </c>
    </row>
    <row r="2330" spans="1:10" x14ac:dyDescent="0.25">
      <c r="A2330" s="2" t="s">
        <v>6804</v>
      </c>
      <c r="B2330" s="2" t="s">
        <v>6586</v>
      </c>
      <c r="C2330" s="2" t="s">
        <v>6805</v>
      </c>
      <c r="D2330" s="2" t="s">
        <v>10055</v>
      </c>
      <c r="E2330" s="15">
        <v>0.1032</v>
      </c>
      <c r="F2330" s="15">
        <v>0.12429999999999999</v>
      </c>
      <c r="G2330" s="15">
        <v>0.40620000000000001</v>
      </c>
      <c r="H2330" s="15">
        <v>7.3599999999999999E-2</v>
      </c>
      <c r="I2330" s="15">
        <v>3.9699999999999999E-2</v>
      </c>
      <c r="J2330" s="15">
        <v>1.8539042821158691</v>
      </c>
    </row>
    <row r="2331" spans="1:10" x14ac:dyDescent="0.25">
      <c r="A2331" s="2" t="s">
        <v>6806</v>
      </c>
      <c r="B2331" s="2" t="s">
        <v>6586</v>
      </c>
      <c r="C2331" s="2" t="s">
        <v>6807</v>
      </c>
      <c r="D2331" s="2" t="s">
        <v>10055</v>
      </c>
      <c r="E2331" s="15">
        <v>-2.2100000000000002E-2</v>
      </c>
      <c r="F2331" s="15">
        <v>0.1033</v>
      </c>
      <c r="G2331" s="15">
        <v>0.83079999999999998</v>
      </c>
      <c r="H2331" s="15">
        <v>0.10929999999999999</v>
      </c>
      <c r="I2331" s="15">
        <v>3.7900000000000003E-2</v>
      </c>
      <c r="J2331" s="15">
        <v>2.8839050131926118</v>
      </c>
    </row>
    <row r="2332" spans="1:10" x14ac:dyDescent="0.25">
      <c r="A2332" s="2" t="s">
        <v>6808</v>
      </c>
      <c r="B2332" s="2" t="s">
        <v>6586</v>
      </c>
      <c r="C2332" s="2" t="s">
        <v>6809</v>
      </c>
      <c r="D2332" s="2" t="s">
        <v>10055</v>
      </c>
      <c r="E2332" s="15">
        <v>2.0400000000000001E-2</v>
      </c>
      <c r="F2332" s="15">
        <v>0.12720000000000001</v>
      </c>
      <c r="G2332" s="15">
        <v>0.87280000000000002</v>
      </c>
      <c r="H2332" s="15">
        <v>5.9299999999999999E-2</v>
      </c>
      <c r="I2332" s="15">
        <v>3.8600000000000002E-2</v>
      </c>
      <c r="J2332" s="15">
        <v>1.5362694300518129</v>
      </c>
    </row>
    <row r="2333" spans="1:10" x14ac:dyDescent="0.25">
      <c r="A2333" s="2" t="s">
        <v>6810</v>
      </c>
      <c r="B2333" s="2" t="s">
        <v>6586</v>
      </c>
      <c r="C2333" s="2" t="s">
        <v>6811</v>
      </c>
      <c r="D2333" s="2" t="s">
        <v>10055</v>
      </c>
      <c r="E2333" s="15">
        <v>0.34489999999999998</v>
      </c>
      <c r="F2333" s="15">
        <v>0.12839999999999999</v>
      </c>
      <c r="G2333" s="15">
        <v>7.1999999999999998E-3</v>
      </c>
      <c r="H2333" s="15">
        <v>7.2300000000000003E-2</v>
      </c>
      <c r="I2333" s="15">
        <v>3.73E-2</v>
      </c>
      <c r="J2333" s="15">
        <v>1.938337801608579</v>
      </c>
    </row>
    <row r="2334" spans="1:10" x14ac:dyDescent="0.25">
      <c r="A2334" s="2" t="s">
        <v>6812</v>
      </c>
      <c r="B2334" s="2" t="s">
        <v>6586</v>
      </c>
      <c r="C2334" s="2" t="s">
        <v>6813</v>
      </c>
      <c r="D2334" s="2" t="s">
        <v>10055</v>
      </c>
      <c r="E2334" s="15">
        <v>1.9599999999999999E-2</v>
      </c>
      <c r="F2334" s="15">
        <v>0.15890000000000001</v>
      </c>
      <c r="G2334" s="15">
        <v>0.90190000000000003</v>
      </c>
      <c r="H2334" s="15">
        <v>4.6300000000000001E-2</v>
      </c>
      <c r="I2334" s="15">
        <v>3.9800000000000002E-2</v>
      </c>
      <c r="J2334" s="15">
        <v>1.1633165829145731</v>
      </c>
    </row>
    <row r="2335" spans="1:10" x14ac:dyDescent="0.25">
      <c r="A2335" s="2" t="s">
        <v>6814</v>
      </c>
      <c r="B2335" s="2" t="s">
        <v>6586</v>
      </c>
      <c r="C2335" s="2" t="s">
        <v>6815</v>
      </c>
      <c r="D2335" s="2" t="s">
        <v>10055</v>
      </c>
      <c r="E2335" s="15">
        <v>-0.4506</v>
      </c>
      <c r="F2335" s="15">
        <v>0.63019999999999998</v>
      </c>
      <c r="G2335" s="15">
        <v>0.47460000000000002</v>
      </c>
      <c r="H2335" s="15">
        <v>1.6400000000000001E-2</v>
      </c>
      <c r="I2335" s="15">
        <v>3.5200000000000002E-2</v>
      </c>
      <c r="J2335" s="15">
        <v>0.46590909090909088</v>
      </c>
    </row>
    <row r="2336" spans="1:10" x14ac:dyDescent="0.25">
      <c r="A2336" s="2" t="s">
        <v>6816</v>
      </c>
      <c r="B2336" s="2" t="s">
        <v>6586</v>
      </c>
      <c r="C2336" s="2" t="s">
        <v>6817</v>
      </c>
      <c r="D2336" s="2" t="s">
        <v>10055</v>
      </c>
      <c r="E2336" s="15">
        <v>4.0500000000000001E-2</v>
      </c>
      <c r="F2336" s="15">
        <v>0.19650000000000001</v>
      </c>
      <c r="G2336" s="15">
        <v>0.8367</v>
      </c>
      <c r="H2336" s="15">
        <v>2.81E-2</v>
      </c>
      <c r="I2336" s="15">
        <v>3.7100000000000001E-2</v>
      </c>
      <c r="J2336" s="15">
        <v>0.75741239892183287</v>
      </c>
    </row>
    <row r="2337" spans="1:10" x14ac:dyDescent="0.25">
      <c r="A2337" s="2" t="s">
        <v>6818</v>
      </c>
      <c r="B2337" s="2" t="s">
        <v>6586</v>
      </c>
      <c r="C2337" s="2" t="s">
        <v>6819</v>
      </c>
      <c r="D2337" s="2" t="s">
        <v>10055</v>
      </c>
      <c r="E2337" s="15">
        <v>-0.10979999999999999</v>
      </c>
      <c r="F2337" s="15">
        <v>0.23799999999999999</v>
      </c>
      <c r="G2337" s="15">
        <v>0.64459999999999995</v>
      </c>
      <c r="H2337" s="15">
        <v>2.7400000000000001E-2</v>
      </c>
      <c r="I2337" s="15">
        <v>3.8899999999999997E-2</v>
      </c>
      <c r="J2337" s="15">
        <v>0.70437017994858619</v>
      </c>
    </row>
    <row r="2338" spans="1:10" x14ac:dyDescent="0.25">
      <c r="A2338" s="2" t="s">
        <v>6820</v>
      </c>
      <c r="B2338" s="2" t="s">
        <v>6586</v>
      </c>
      <c r="C2338" s="2" t="s">
        <v>6821</v>
      </c>
      <c r="D2338" s="2" t="s">
        <v>10055</v>
      </c>
      <c r="E2338" s="15">
        <v>-9.7999999999999997E-3</v>
      </c>
      <c r="F2338" s="15">
        <v>0.113</v>
      </c>
      <c r="G2338" s="15">
        <v>0.93079999999999996</v>
      </c>
      <c r="H2338" s="15">
        <v>8.6099999999999996E-2</v>
      </c>
      <c r="I2338" s="15">
        <v>4.48E-2</v>
      </c>
      <c r="J2338" s="15">
        <v>1.921875</v>
      </c>
    </row>
    <row r="2339" spans="1:10" x14ac:dyDescent="0.25">
      <c r="A2339" s="2" t="s">
        <v>6822</v>
      </c>
      <c r="B2339" s="2" t="s">
        <v>6586</v>
      </c>
      <c r="C2339" s="2" t="s">
        <v>6823</v>
      </c>
      <c r="D2339" s="2" t="s">
        <v>10055</v>
      </c>
      <c r="E2339" s="15">
        <v>-2.8500000000000001E-2</v>
      </c>
      <c r="F2339" s="15">
        <v>0.13150000000000001</v>
      </c>
      <c r="G2339" s="15">
        <v>0.82830000000000004</v>
      </c>
      <c r="H2339" s="15">
        <v>6.1499999999999999E-2</v>
      </c>
      <c r="I2339" s="15">
        <v>3.7400000000000003E-2</v>
      </c>
      <c r="J2339" s="15">
        <v>1.644385026737968</v>
      </c>
    </row>
    <row r="2340" spans="1:10" x14ac:dyDescent="0.25">
      <c r="A2340" s="2" t="s">
        <v>6824</v>
      </c>
      <c r="B2340" s="2" t="s">
        <v>6586</v>
      </c>
      <c r="C2340" s="2" t="s">
        <v>6825</v>
      </c>
      <c r="D2340" s="2" t="s">
        <v>10055</v>
      </c>
      <c r="E2340" s="15">
        <v>-5.1000000000000004E-3</v>
      </c>
      <c r="F2340" s="15">
        <v>0.1086</v>
      </c>
      <c r="G2340" s="15">
        <v>0.96230000000000004</v>
      </c>
      <c r="H2340" s="15">
        <v>8.0799999999999997E-2</v>
      </c>
      <c r="I2340" s="15">
        <v>4.3700000000000003E-2</v>
      </c>
      <c r="J2340" s="15">
        <v>1.848970251716247</v>
      </c>
    </row>
    <row r="2341" spans="1:10" x14ac:dyDescent="0.25">
      <c r="A2341" s="2" t="s">
        <v>6826</v>
      </c>
      <c r="B2341" s="2" t="s">
        <v>6586</v>
      </c>
      <c r="C2341" s="2" t="s">
        <v>6827</v>
      </c>
      <c r="D2341" s="2" t="s">
        <v>10055</v>
      </c>
      <c r="E2341" s="15">
        <v>-6.83E-2</v>
      </c>
      <c r="F2341" s="15">
        <v>0.15620000000000001</v>
      </c>
      <c r="G2341" s="15">
        <v>0.66200000000000003</v>
      </c>
      <c r="H2341" s="15">
        <v>5.2200000000000003E-2</v>
      </c>
      <c r="I2341" s="15">
        <v>3.73E-2</v>
      </c>
      <c r="J2341" s="15">
        <v>1.399463806970509</v>
      </c>
    </row>
    <row r="2342" spans="1:10" x14ac:dyDescent="0.25">
      <c r="A2342" s="2" t="s">
        <v>6828</v>
      </c>
      <c r="B2342" s="2" t="s">
        <v>6586</v>
      </c>
      <c r="C2342" s="2" t="s">
        <v>6829</v>
      </c>
      <c r="D2342" s="2" t="s">
        <v>10055</v>
      </c>
      <c r="E2342" s="15"/>
      <c r="F2342" s="15"/>
      <c r="G2342" s="15"/>
      <c r="H2342" s="15">
        <v>-5.6399999999999999E-2</v>
      </c>
      <c r="I2342" s="15">
        <v>3.7400000000000003E-2</v>
      </c>
      <c r="J2342" s="15">
        <v>-1.5080213903743309</v>
      </c>
    </row>
    <row r="2343" spans="1:10" x14ac:dyDescent="0.25">
      <c r="A2343" s="2" t="s">
        <v>6830</v>
      </c>
      <c r="B2343" s="2" t="s">
        <v>6586</v>
      </c>
      <c r="C2343" s="2" t="s">
        <v>6831</v>
      </c>
      <c r="D2343" s="2" t="s">
        <v>10055</v>
      </c>
      <c r="E2343" s="15"/>
      <c r="F2343" s="15"/>
      <c r="G2343" s="15"/>
      <c r="H2343" s="15">
        <v>-4.0099999999999997E-2</v>
      </c>
      <c r="I2343" s="15">
        <v>3.3500000000000002E-2</v>
      </c>
      <c r="J2343" s="15">
        <v>-1.1970149253731339</v>
      </c>
    </row>
    <row r="2344" spans="1:10" x14ac:dyDescent="0.25">
      <c r="A2344" s="2" t="s">
        <v>6832</v>
      </c>
      <c r="B2344" s="2" t="s">
        <v>6586</v>
      </c>
      <c r="C2344" s="2" t="s">
        <v>6833</v>
      </c>
      <c r="D2344" s="2" t="s">
        <v>10055</v>
      </c>
      <c r="E2344" s="15"/>
      <c r="F2344" s="15"/>
      <c r="G2344" s="15"/>
      <c r="H2344" s="15"/>
      <c r="I2344" s="15"/>
      <c r="J2344" s="15"/>
    </row>
    <row r="2345" spans="1:10" x14ac:dyDescent="0.25">
      <c r="A2345" s="2" t="s">
        <v>6834</v>
      </c>
      <c r="B2345" s="2" t="s">
        <v>6586</v>
      </c>
      <c r="C2345" s="2" t="s">
        <v>6835</v>
      </c>
      <c r="D2345" s="2" t="s">
        <v>10055</v>
      </c>
      <c r="E2345" s="15">
        <v>-3.0800000000000001E-2</v>
      </c>
      <c r="F2345" s="15">
        <v>0.1144</v>
      </c>
      <c r="G2345" s="15">
        <v>0.78810000000000002</v>
      </c>
      <c r="H2345" s="15">
        <v>8.8800000000000004E-2</v>
      </c>
      <c r="I2345" s="15">
        <v>4.7300000000000002E-2</v>
      </c>
      <c r="J2345" s="15">
        <v>1.8773784355179699</v>
      </c>
    </row>
    <row r="2346" spans="1:10" x14ac:dyDescent="0.25">
      <c r="A2346" s="2" t="s">
        <v>6836</v>
      </c>
      <c r="B2346" s="2" t="s">
        <v>6586</v>
      </c>
      <c r="C2346" s="2" t="s">
        <v>6837</v>
      </c>
      <c r="D2346" s="2" t="s">
        <v>10055</v>
      </c>
      <c r="E2346" s="15">
        <v>-0.14299999999999999</v>
      </c>
      <c r="F2346" s="15">
        <v>0.1177</v>
      </c>
      <c r="G2346" s="15">
        <v>0.2243</v>
      </c>
      <c r="H2346" s="15">
        <v>7.51E-2</v>
      </c>
      <c r="I2346" s="15">
        <v>3.9899999999999998E-2</v>
      </c>
      <c r="J2346" s="15">
        <v>1.8822055137844611</v>
      </c>
    </row>
    <row r="2347" spans="1:10" x14ac:dyDescent="0.25">
      <c r="A2347" s="2" t="s">
        <v>6838</v>
      </c>
      <c r="B2347" s="2" t="s">
        <v>6586</v>
      </c>
      <c r="C2347" s="2" t="s">
        <v>6839</v>
      </c>
      <c r="D2347" s="2" t="s">
        <v>10055</v>
      </c>
      <c r="E2347" s="15"/>
      <c r="F2347" s="15"/>
      <c r="G2347" s="15"/>
      <c r="H2347" s="15">
        <v>-4.2900000000000001E-2</v>
      </c>
      <c r="I2347" s="15">
        <v>3.5900000000000001E-2</v>
      </c>
      <c r="J2347" s="15">
        <v>-1.194986072423398</v>
      </c>
    </row>
    <row r="2348" spans="1:10" x14ac:dyDescent="0.25">
      <c r="A2348" s="2" t="s">
        <v>6840</v>
      </c>
      <c r="B2348" s="2" t="s">
        <v>6586</v>
      </c>
      <c r="C2348" s="2" t="s">
        <v>6841</v>
      </c>
      <c r="D2348" s="2" t="s">
        <v>10055</v>
      </c>
      <c r="E2348" s="15">
        <v>4.1099999999999998E-2</v>
      </c>
      <c r="F2348" s="15">
        <v>0.1171</v>
      </c>
      <c r="G2348" s="15">
        <v>0.72560000000000002</v>
      </c>
      <c r="H2348" s="15">
        <v>8.2500000000000004E-2</v>
      </c>
      <c r="I2348" s="15">
        <v>0.04</v>
      </c>
      <c r="J2348" s="15">
        <v>2.0625</v>
      </c>
    </row>
    <row r="2349" spans="1:10" x14ac:dyDescent="0.25">
      <c r="A2349" s="2" t="s">
        <v>6842</v>
      </c>
      <c r="B2349" s="2" t="s">
        <v>6586</v>
      </c>
      <c r="C2349" s="2" t="s">
        <v>6843</v>
      </c>
      <c r="D2349" s="2" t="s">
        <v>10055</v>
      </c>
      <c r="E2349" s="15">
        <v>0.1273</v>
      </c>
      <c r="F2349" s="15">
        <v>0.1007</v>
      </c>
      <c r="G2349" s="15">
        <v>0.20619999999999999</v>
      </c>
      <c r="H2349" s="15">
        <v>0.1074</v>
      </c>
      <c r="I2349" s="15">
        <v>3.8899999999999997E-2</v>
      </c>
      <c r="J2349" s="15">
        <v>2.7609254498714648</v>
      </c>
    </row>
    <row r="2350" spans="1:10" x14ac:dyDescent="0.25">
      <c r="A2350" s="2" t="s">
        <v>6844</v>
      </c>
      <c r="B2350" s="2" t="s">
        <v>6586</v>
      </c>
      <c r="C2350" s="2" t="s">
        <v>6845</v>
      </c>
      <c r="D2350" s="2" t="s">
        <v>10055</v>
      </c>
      <c r="E2350" s="15">
        <v>4.7999999999999996E-3</v>
      </c>
      <c r="F2350" s="15">
        <v>0.12909999999999999</v>
      </c>
      <c r="G2350" s="15">
        <v>0.97009999999999996</v>
      </c>
      <c r="H2350" s="15">
        <v>7.5600000000000001E-2</v>
      </c>
      <c r="I2350" s="15">
        <v>3.8199999999999998E-2</v>
      </c>
      <c r="J2350" s="15">
        <v>1.9790575916230371</v>
      </c>
    </row>
    <row r="2351" spans="1:10" x14ac:dyDescent="0.25">
      <c r="A2351" s="2" t="s">
        <v>6846</v>
      </c>
      <c r="B2351" s="2" t="s">
        <v>6586</v>
      </c>
      <c r="C2351" s="2" t="s">
        <v>6847</v>
      </c>
      <c r="D2351" s="2" t="s">
        <v>10055</v>
      </c>
      <c r="E2351" s="15">
        <v>-0.3664</v>
      </c>
      <c r="F2351" s="15">
        <v>0.59540000000000004</v>
      </c>
      <c r="G2351" s="15">
        <v>0.5383</v>
      </c>
      <c r="H2351" s="15">
        <v>1.5599999999999999E-2</v>
      </c>
      <c r="I2351" s="15">
        <v>3.7400000000000003E-2</v>
      </c>
      <c r="J2351" s="15">
        <v>0.41711229946524059</v>
      </c>
    </row>
    <row r="2352" spans="1:10" x14ac:dyDescent="0.25">
      <c r="A2352" s="2" t="s">
        <v>6848</v>
      </c>
      <c r="B2352" s="2" t="s">
        <v>6586</v>
      </c>
      <c r="C2352" s="2" t="s">
        <v>6849</v>
      </c>
      <c r="D2352" s="2" t="s">
        <v>10055</v>
      </c>
      <c r="E2352" s="15">
        <v>-2.3300000000000001E-2</v>
      </c>
      <c r="F2352" s="15">
        <v>0.1096</v>
      </c>
      <c r="G2352" s="15">
        <v>0.83199999999999996</v>
      </c>
      <c r="H2352" s="15">
        <v>8.0699999999999994E-2</v>
      </c>
      <c r="I2352" s="15">
        <v>4.02E-2</v>
      </c>
      <c r="J2352" s="15">
        <v>2.0074626865671639</v>
      </c>
    </row>
    <row r="2353" spans="1:10" x14ac:dyDescent="0.25">
      <c r="A2353" s="2" t="s">
        <v>6850</v>
      </c>
      <c r="B2353" s="2" t="s">
        <v>6586</v>
      </c>
      <c r="C2353" s="2" t="s">
        <v>6851</v>
      </c>
      <c r="D2353" s="2" t="s">
        <v>10055</v>
      </c>
      <c r="E2353" s="15">
        <v>0.1285</v>
      </c>
      <c r="F2353" s="15">
        <v>0.1203</v>
      </c>
      <c r="G2353" s="15">
        <v>0.28570000000000001</v>
      </c>
      <c r="H2353" s="15">
        <v>7.6899999999999996E-2</v>
      </c>
      <c r="I2353" s="15">
        <v>3.7999999999999999E-2</v>
      </c>
      <c r="J2353" s="15">
        <v>2.0236842105263162</v>
      </c>
    </row>
    <row r="2354" spans="1:10" x14ac:dyDescent="0.25">
      <c r="A2354" s="2" t="s">
        <v>6852</v>
      </c>
      <c r="B2354" s="2" t="s">
        <v>6586</v>
      </c>
      <c r="C2354" s="2" t="s">
        <v>6853</v>
      </c>
      <c r="D2354" s="2" t="s">
        <v>10055</v>
      </c>
      <c r="E2354" s="15">
        <v>-0.1404</v>
      </c>
      <c r="F2354" s="15">
        <v>0.2253</v>
      </c>
      <c r="G2354" s="15">
        <v>0.53310000000000002</v>
      </c>
      <c r="H2354" s="15">
        <v>2.7400000000000001E-2</v>
      </c>
      <c r="I2354" s="15">
        <v>3.9300000000000002E-2</v>
      </c>
      <c r="J2354" s="15">
        <v>0.69720101781170485</v>
      </c>
    </row>
    <row r="2355" spans="1:10" x14ac:dyDescent="0.25">
      <c r="A2355" s="2" t="s">
        <v>6854</v>
      </c>
      <c r="B2355" s="2" t="s">
        <v>6586</v>
      </c>
      <c r="C2355" s="2" t="s">
        <v>6855</v>
      </c>
      <c r="D2355" s="2" t="s">
        <v>10055</v>
      </c>
      <c r="E2355" s="15">
        <v>0.27179999999999999</v>
      </c>
      <c r="F2355" s="15">
        <v>0.24160000000000001</v>
      </c>
      <c r="G2355" s="15">
        <v>0.26069999999999999</v>
      </c>
      <c r="H2355" s="15">
        <v>3.1699999999999999E-2</v>
      </c>
      <c r="I2355" s="15">
        <v>3.6499999999999998E-2</v>
      </c>
      <c r="J2355" s="15">
        <v>0.86849315068493149</v>
      </c>
    </row>
    <row r="2356" spans="1:10" x14ac:dyDescent="0.25">
      <c r="A2356" s="2" t="s">
        <v>6856</v>
      </c>
      <c r="B2356" s="2" t="s">
        <v>6586</v>
      </c>
      <c r="C2356" s="2" t="s">
        <v>6857</v>
      </c>
      <c r="D2356" s="2" t="s">
        <v>10055</v>
      </c>
      <c r="E2356" s="15">
        <v>0.2427</v>
      </c>
      <c r="F2356" s="15">
        <v>0.151</v>
      </c>
      <c r="G2356" s="15">
        <v>0.1079</v>
      </c>
      <c r="H2356" s="15">
        <v>5.6899999999999999E-2</v>
      </c>
      <c r="I2356" s="15">
        <v>3.8899999999999997E-2</v>
      </c>
      <c r="J2356" s="15">
        <v>1.4627249357326479</v>
      </c>
    </row>
    <row r="2357" spans="1:10" x14ac:dyDescent="0.25">
      <c r="A2357" s="2" t="s">
        <v>6858</v>
      </c>
      <c r="B2357" s="2" t="s">
        <v>6586</v>
      </c>
      <c r="C2357" s="2" t="s">
        <v>6859</v>
      </c>
      <c r="D2357" s="2" t="s">
        <v>10055</v>
      </c>
      <c r="E2357" s="15">
        <v>-0.14199999999999999</v>
      </c>
      <c r="F2357" s="15">
        <v>0.15770000000000001</v>
      </c>
      <c r="G2357" s="15">
        <v>0.3679</v>
      </c>
      <c r="H2357" s="15">
        <v>4.5499999999999999E-2</v>
      </c>
      <c r="I2357" s="15">
        <v>4.0300000000000002E-2</v>
      </c>
      <c r="J2357" s="15">
        <v>1.129032258064516</v>
      </c>
    </row>
    <row r="2358" spans="1:10" x14ac:dyDescent="0.25">
      <c r="A2358" s="2" t="s">
        <v>6860</v>
      </c>
      <c r="B2358" s="2" t="s">
        <v>6586</v>
      </c>
      <c r="C2358" s="2" t="s">
        <v>6861</v>
      </c>
      <c r="D2358" s="2" t="s">
        <v>10055</v>
      </c>
      <c r="E2358" s="15">
        <v>0.1502</v>
      </c>
      <c r="F2358" s="15">
        <v>0.14019999999999999</v>
      </c>
      <c r="G2358" s="15">
        <v>0.28399999999999997</v>
      </c>
      <c r="H2358" s="15">
        <v>4.9099999999999998E-2</v>
      </c>
      <c r="I2358" s="15">
        <v>3.6700000000000003E-2</v>
      </c>
      <c r="J2358" s="15">
        <v>1.3378746594005451</v>
      </c>
    </row>
    <row r="2359" spans="1:10" x14ac:dyDescent="0.25">
      <c r="A2359" s="2" t="s">
        <v>6862</v>
      </c>
      <c r="B2359" s="2" t="s">
        <v>6586</v>
      </c>
      <c r="C2359" s="2" t="s">
        <v>6863</v>
      </c>
      <c r="D2359" s="2" t="s">
        <v>10055</v>
      </c>
      <c r="E2359" s="15">
        <v>-0.39340000000000003</v>
      </c>
      <c r="F2359" s="15">
        <v>0.14099999999999999</v>
      </c>
      <c r="G2359" s="15">
        <v>5.3E-3</v>
      </c>
      <c r="H2359" s="15">
        <v>9.2600000000000002E-2</v>
      </c>
      <c r="I2359" s="15">
        <v>4.3499999999999997E-2</v>
      </c>
      <c r="J2359" s="15">
        <v>2.1287356321839082</v>
      </c>
    </row>
    <row r="2360" spans="1:10" x14ac:dyDescent="0.25">
      <c r="A2360" s="2" t="s">
        <v>6864</v>
      </c>
      <c r="B2360" s="2" t="s">
        <v>6586</v>
      </c>
      <c r="C2360" s="2" t="s">
        <v>6865</v>
      </c>
      <c r="D2360" s="2" t="s">
        <v>10055</v>
      </c>
      <c r="E2360" s="15"/>
      <c r="F2360" s="15"/>
      <c r="G2360" s="15"/>
      <c r="H2360" s="15">
        <v>-5.79E-2</v>
      </c>
      <c r="I2360" s="15">
        <v>4.02E-2</v>
      </c>
      <c r="J2360" s="15">
        <v>-1.4402985074626871</v>
      </c>
    </row>
    <row r="2361" spans="1:10" x14ac:dyDescent="0.25">
      <c r="A2361" s="2" t="s">
        <v>6866</v>
      </c>
      <c r="B2361" s="2" t="s">
        <v>6586</v>
      </c>
      <c r="C2361" s="2" t="s">
        <v>6867</v>
      </c>
      <c r="D2361" s="2" t="s">
        <v>10055</v>
      </c>
      <c r="E2361" s="15">
        <v>-0.37540000000000001</v>
      </c>
      <c r="F2361" s="15">
        <v>0.41820000000000002</v>
      </c>
      <c r="G2361" s="15">
        <v>0.36930000000000002</v>
      </c>
      <c r="H2361" s="15">
        <v>2.2599999999999999E-2</v>
      </c>
      <c r="I2361" s="15">
        <v>3.6299999999999999E-2</v>
      </c>
      <c r="J2361" s="15">
        <v>0.62258953168044073</v>
      </c>
    </row>
    <row r="2362" spans="1:10" x14ac:dyDescent="0.25">
      <c r="A2362" s="2" t="s">
        <v>6868</v>
      </c>
      <c r="B2362" s="2" t="s">
        <v>6586</v>
      </c>
      <c r="C2362" s="2" t="s">
        <v>6869</v>
      </c>
      <c r="D2362" s="2" t="s">
        <v>10055</v>
      </c>
      <c r="E2362" s="15">
        <v>-0.22939999999999999</v>
      </c>
      <c r="F2362" s="15">
        <v>0.15690000000000001</v>
      </c>
      <c r="G2362" s="15">
        <v>0.14369999999999999</v>
      </c>
      <c r="H2362" s="15">
        <v>5.3800000000000001E-2</v>
      </c>
      <c r="I2362" s="15">
        <v>3.6200000000000003E-2</v>
      </c>
      <c r="J2362" s="15">
        <v>1.4861878453038671</v>
      </c>
    </row>
    <row r="2363" spans="1:10" x14ac:dyDescent="0.25">
      <c r="A2363" s="2" t="s">
        <v>6870</v>
      </c>
      <c r="B2363" s="2" t="s">
        <v>6586</v>
      </c>
      <c r="C2363" s="2" t="s">
        <v>6871</v>
      </c>
      <c r="D2363" s="2" t="s">
        <v>10055</v>
      </c>
      <c r="E2363" s="15">
        <v>-0.216</v>
      </c>
      <c r="F2363" s="15">
        <v>0.19719999999999999</v>
      </c>
      <c r="G2363" s="15">
        <v>0.27339999999999998</v>
      </c>
      <c r="H2363" s="15">
        <v>3.9899999999999998E-2</v>
      </c>
      <c r="I2363" s="15">
        <v>3.7999999999999999E-2</v>
      </c>
      <c r="J2363" s="15">
        <v>1.05</v>
      </c>
    </row>
    <row r="2364" spans="1:10" x14ac:dyDescent="0.25">
      <c r="A2364" s="2" t="s">
        <v>6872</v>
      </c>
      <c r="B2364" s="2" t="s">
        <v>6586</v>
      </c>
      <c r="C2364" s="2" t="s">
        <v>6873</v>
      </c>
      <c r="D2364" s="2" t="s">
        <v>10055</v>
      </c>
      <c r="E2364" s="15">
        <v>0.21240000000000001</v>
      </c>
      <c r="F2364" s="15">
        <v>0.15079999999999999</v>
      </c>
      <c r="G2364" s="15">
        <v>0.159</v>
      </c>
      <c r="H2364" s="15">
        <v>6.7699999999999996E-2</v>
      </c>
      <c r="I2364" s="15">
        <v>4.1000000000000002E-2</v>
      </c>
      <c r="J2364" s="15">
        <v>1.6512195121951221</v>
      </c>
    </row>
    <row r="2365" spans="1:10" x14ac:dyDescent="0.25">
      <c r="A2365" s="2" t="s">
        <v>6874</v>
      </c>
      <c r="B2365" s="2" t="s">
        <v>6586</v>
      </c>
      <c r="C2365" s="2" t="s">
        <v>6875</v>
      </c>
      <c r="D2365" s="2" t="s">
        <v>10055</v>
      </c>
      <c r="E2365" s="15">
        <v>5.1999999999999998E-3</v>
      </c>
      <c r="F2365" s="15">
        <v>0.2132</v>
      </c>
      <c r="G2365" s="15">
        <v>0.98070000000000002</v>
      </c>
      <c r="H2365" s="15">
        <v>2.9399999999999999E-2</v>
      </c>
      <c r="I2365" s="15">
        <v>3.8699999999999998E-2</v>
      </c>
      <c r="J2365" s="15">
        <v>0.75968992248062017</v>
      </c>
    </row>
    <row r="2366" spans="1:10" x14ac:dyDescent="0.25">
      <c r="A2366" s="2" t="s">
        <v>6876</v>
      </c>
      <c r="B2366" s="2" t="s">
        <v>6586</v>
      </c>
      <c r="C2366" s="2" t="s">
        <v>6877</v>
      </c>
      <c r="D2366" s="2" t="s">
        <v>10055</v>
      </c>
      <c r="E2366" s="15">
        <v>7.9799999999999996E-2</v>
      </c>
      <c r="F2366" s="15">
        <v>9.4600000000000004E-2</v>
      </c>
      <c r="G2366" s="15">
        <v>0.39900000000000002</v>
      </c>
      <c r="H2366" s="15">
        <v>0.121</v>
      </c>
      <c r="I2366" s="15">
        <v>3.8899999999999997E-2</v>
      </c>
      <c r="J2366" s="15">
        <v>3.1105398457583551</v>
      </c>
    </row>
    <row r="2367" spans="1:10" x14ac:dyDescent="0.25">
      <c r="A2367" s="2" t="s">
        <v>6878</v>
      </c>
      <c r="B2367" s="2" t="s">
        <v>6586</v>
      </c>
      <c r="C2367" s="2" t="s">
        <v>6879</v>
      </c>
      <c r="D2367" s="2" t="s">
        <v>10055</v>
      </c>
      <c r="E2367" s="15">
        <v>0.1353</v>
      </c>
      <c r="F2367" s="15">
        <v>0.1321</v>
      </c>
      <c r="G2367" s="15">
        <v>0.30570000000000003</v>
      </c>
      <c r="H2367" s="15">
        <v>6.3200000000000006E-2</v>
      </c>
      <c r="I2367" s="15">
        <v>3.7900000000000003E-2</v>
      </c>
      <c r="J2367" s="15">
        <v>1.66754617414248</v>
      </c>
    </row>
    <row r="2368" spans="1:10" x14ac:dyDescent="0.25">
      <c r="A2368" s="2" t="s">
        <v>6880</v>
      </c>
      <c r="B2368" s="2" t="s">
        <v>6586</v>
      </c>
      <c r="C2368" s="2" t="s">
        <v>6881</v>
      </c>
      <c r="D2368" s="2" t="s">
        <v>10055</v>
      </c>
      <c r="E2368" s="15">
        <v>0.128</v>
      </c>
      <c r="F2368" s="15">
        <v>0.115</v>
      </c>
      <c r="G2368" s="15">
        <v>0.26569999999999999</v>
      </c>
      <c r="H2368" s="15">
        <v>7.6899999999999996E-2</v>
      </c>
      <c r="I2368" s="15">
        <v>3.39E-2</v>
      </c>
      <c r="J2368" s="15">
        <v>2.2684365781710909</v>
      </c>
    </row>
    <row r="2369" spans="1:10" x14ac:dyDescent="0.25">
      <c r="A2369" s="2" t="s">
        <v>6882</v>
      </c>
      <c r="B2369" s="2" t="s">
        <v>6586</v>
      </c>
      <c r="C2369" s="2" t="s">
        <v>6883</v>
      </c>
      <c r="D2369" s="2" t="s">
        <v>10055</v>
      </c>
      <c r="E2369" s="15">
        <v>0.20680000000000001</v>
      </c>
      <c r="F2369" s="15">
        <v>0.1163</v>
      </c>
      <c r="G2369" s="15">
        <v>7.5399999999999995E-2</v>
      </c>
      <c r="H2369" s="15">
        <v>8.1100000000000005E-2</v>
      </c>
      <c r="I2369" s="15">
        <v>3.6400000000000002E-2</v>
      </c>
      <c r="J2369" s="15">
        <v>2.2280219780219781</v>
      </c>
    </row>
    <row r="2370" spans="1:10" x14ac:dyDescent="0.25">
      <c r="A2370" s="2" t="s">
        <v>6884</v>
      </c>
      <c r="B2370" s="2" t="s">
        <v>6586</v>
      </c>
      <c r="C2370" s="2" t="s">
        <v>6885</v>
      </c>
      <c r="D2370" s="2" t="s">
        <v>10055</v>
      </c>
      <c r="E2370" s="15">
        <v>-2.92E-2</v>
      </c>
      <c r="F2370" s="15">
        <v>0.21279999999999999</v>
      </c>
      <c r="G2370" s="15">
        <v>0.89090000000000003</v>
      </c>
      <c r="H2370" s="15">
        <v>2.3099999999999999E-2</v>
      </c>
      <c r="I2370" s="15">
        <v>3.8199999999999998E-2</v>
      </c>
      <c r="J2370" s="15">
        <v>0.60471204188481675</v>
      </c>
    </row>
    <row r="2371" spans="1:10" x14ac:dyDescent="0.25">
      <c r="A2371" s="2" t="s">
        <v>6886</v>
      </c>
      <c r="B2371" s="2" t="s">
        <v>6586</v>
      </c>
      <c r="C2371" s="2" t="s">
        <v>6887</v>
      </c>
      <c r="D2371" s="2" t="s">
        <v>10055</v>
      </c>
      <c r="E2371" s="15">
        <v>-0.14849999999999999</v>
      </c>
      <c r="F2371" s="15">
        <v>0.13150000000000001</v>
      </c>
      <c r="G2371" s="15">
        <v>0.2586</v>
      </c>
      <c r="H2371" s="15">
        <v>6.6900000000000001E-2</v>
      </c>
      <c r="I2371" s="15">
        <v>3.6900000000000002E-2</v>
      </c>
      <c r="J2371" s="15">
        <v>1.813008130081301</v>
      </c>
    </row>
    <row r="2372" spans="1:10" x14ac:dyDescent="0.25">
      <c r="A2372" s="2" t="s">
        <v>6888</v>
      </c>
      <c r="B2372" s="2" t="s">
        <v>6586</v>
      </c>
      <c r="C2372" s="2" t="s">
        <v>6889</v>
      </c>
      <c r="D2372" s="2" t="s">
        <v>10055</v>
      </c>
      <c r="E2372" s="15">
        <v>6.4000000000000003E-3</v>
      </c>
      <c r="F2372" s="15">
        <v>0.2616</v>
      </c>
      <c r="G2372" s="15">
        <v>0.98060000000000003</v>
      </c>
      <c r="H2372" s="15">
        <v>1.5699999999999999E-2</v>
      </c>
      <c r="I2372" s="15">
        <v>3.7100000000000001E-2</v>
      </c>
      <c r="J2372" s="15">
        <v>0.42318059299191368</v>
      </c>
    </row>
    <row r="2373" spans="1:10" x14ac:dyDescent="0.25">
      <c r="A2373" s="2" t="s">
        <v>6890</v>
      </c>
      <c r="B2373" s="2" t="s">
        <v>6586</v>
      </c>
      <c r="C2373" s="2" t="s">
        <v>6891</v>
      </c>
      <c r="D2373" s="2" t="s">
        <v>10055</v>
      </c>
      <c r="E2373" s="15">
        <v>0.41470000000000001</v>
      </c>
      <c r="F2373" s="15">
        <v>0.8619</v>
      </c>
      <c r="G2373" s="15">
        <v>0.63039999999999996</v>
      </c>
      <c r="H2373" s="15">
        <v>1.3899999999999999E-2</v>
      </c>
      <c r="I2373" s="15">
        <v>4.0500000000000001E-2</v>
      </c>
      <c r="J2373" s="15">
        <v>0.34320987654320978</v>
      </c>
    </row>
    <row r="2374" spans="1:10" x14ac:dyDescent="0.25">
      <c r="A2374" s="2" t="s">
        <v>6892</v>
      </c>
      <c r="B2374" s="2" t="s">
        <v>6586</v>
      </c>
      <c r="C2374" s="2" t="s">
        <v>6893</v>
      </c>
      <c r="D2374" s="2" t="s">
        <v>10055</v>
      </c>
      <c r="E2374" s="15">
        <v>0.37780000000000002</v>
      </c>
      <c r="F2374" s="15">
        <v>0.2671</v>
      </c>
      <c r="G2374" s="15">
        <v>0.15720000000000001</v>
      </c>
      <c r="H2374" s="15">
        <v>3.3700000000000001E-2</v>
      </c>
      <c r="I2374" s="15">
        <v>3.8899999999999997E-2</v>
      </c>
      <c r="J2374" s="15">
        <v>0.86632390745501298</v>
      </c>
    </row>
    <row r="2375" spans="1:10" x14ac:dyDescent="0.25">
      <c r="A2375" s="2" t="s">
        <v>6894</v>
      </c>
      <c r="B2375" s="2" t="s">
        <v>6586</v>
      </c>
      <c r="C2375" s="2" t="s">
        <v>6895</v>
      </c>
      <c r="D2375" s="2" t="s">
        <v>10055</v>
      </c>
      <c r="E2375" s="15">
        <v>-0.1515</v>
      </c>
      <c r="F2375" s="15">
        <v>0.15429999999999999</v>
      </c>
      <c r="G2375" s="15">
        <v>0.32629999999999998</v>
      </c>
      <c r="H2375" s="15">
        <v>4.82E-2</v>
      </c>
      <c r="I2375" s="15">
        <v>3.9199999999999999E-2</v>
      </c>
      <c r="J2375" s="15">
        <v>1.2295918367346941</v>
      </c>
    </row>
    <row r="2376" spans="1:10" x14ac:dyDescent="0.25">
      <c r="A2376" s="2" t="s">
        <v>6896</v>
      </c>
      <c r="B2376" s="2" t="s">
        <v>6586</v>
      </c>
      <c r="C2376" s="2" t="s">
        <v>6897</v>
      </c>
      <c r="D2376" s="2" t="s">
        <v>10055</v>
      </c>
      <c r="E2376" s="15"/>
      <c r="F2376" s="15"/>
      <c r="G2376" s="15"/>
      <c r="H2376" s="15">
        <v>-1.5E-3</v>
      </c>
      <c r="I2376" s="15">
        <v>3.39E-2</v>
      </c>
      <c r="J2376" s="15">
        <v>-4.4247787610619468E-2</v>
      </c>
    </row>
    <row r="2377" spans="1:10" x14ac:dyDescent="0.25">
      <c r="A2377" s="2" t="s">
        <v>6898</v>
      </c>
      <c r="B2377" s="2" t="s">
        <v>6586</v>
      </c>
      <c r="C2377" s="2" t="s">
        <v>6899</v>
      </c>
      <c r="D2377" s="2" t="s">
        <v>10055</v>
      </c>
      <c r="E2377" s="15"/>
      <c r="F2377" s="15"/>
      <c r="G2377" s="15"/>
      <c r="H2377" s="15">
        <v>-3.6900000000000002E-2</v>
      </c>
      <c r="I2377" s="15">
        <v>3.78E-2</v>
      </c>
      <c r="J2377" s="15">
        <v>-0.97619047619047628</v>
      </c>
    </row>
    <row r="2378" spans="1:10" x14ac:dyDescent="0.25">
      <c r="A2378" s="2" t="s">
        <v>6900</v>
      </c>
      <c r="B2378" s="2" t="s">
        <v>6586</v>
      </c>
      <c r="C2378" s="2" t="s">
        <v>6901</v>
      </c>
      <c r="D2378" s="2" t="s">
        <v>10055</v>
      </c>
      <c r="E2378" s="15">
        <v>-0.20480000000000001</v>
      </c>
      <c r="F2378" s="15">
        <v>0.27289999999999998</v>
      </c>
      <c r="G2378" s="15">
        <v>0.45300000000000001</v>
      </c>
      <c r="H2378" s="15">
        <v>2.1600000000000001E-2</v>
      </c>
      <c r="I2378" s="15">
        <v>3.7400000000000003E-2</v>
      </c>
      <c r="J2378" s="15">
        <v>0.57754010695187163</v>
      </c>
    </row>
    <row r="2379" spans="1:10" x14ac:dyDescent="0.25">
      <c r="A2379" s="2" t="s">
        <v>6902</v>
      </c>
      <c r="B2379" s="2" t="s">
        <v>6586</v>
      </c>
      <c r="C2379" s="2" t="s">
        <v>6903</v>
      </c>
      <c r="D2379" s="2" t="s">
        <v>10055</v>
      </c>
      <c r="E2379" s="15"/>
      <c r="F2379" s="15"/>
      <c r="G2379" s="15"/>
      <c r="H2379" s="15"/>
      <c r="I2379" s="15"/>
      <c r="J2379" s="15"/>
    </row>
    <row r="2380" spans="1:10" x14ac:dyDescent="0.25">
      <c r="A2380" s="2" t="s">
        <v>6904</v>
      </c>
      <c r="B2380" s="2" t="s">
        <v>6586</v>
      </c>
      <c r="C2380" s="2" t="s">
        <v>6905</v>
      </c>
      <c r="D2380" s="2" t="s">
        <v>10055</v>
      </c>
      <c r="E2380" s="15">
        <v>-0.1085</v>
      </c>
      <c r="F2380" s="15">
        <v>0.33579999999999999</v>
      </c>
      <c r="G2380" s="15">
        <v>0.74650000000000005</v>
      </c>
      <c r="H2380" s="15">
        <v>1.34E-2</v>
      </c>
      <c r="I2380" s="15">
        <v>3.73E-2</v>
      </c>
      <c r="J2380" s="15">
        <v>0.35924932975871321</v>
      </c>
    </row>
    <row r="2381" spans="1:10" x14ac:dyDescent="0.25">
      <c r="A2381" s="2" t="s">
        <v>6906</v>
      </c>
      <c r="B2381" s="2" t="s">
        <v>6586</v>
      </c>
      <c r="C2381" s="2" t="s">
        <v>6907</v>
      </c>
      <c r="D2381" s="2" t="s">
        <v>10055</v>
      </c>
      <c r="E2381" s="15"/>
      <c r="F2381" s="15"/>
      <c r="G2381" s="15"/>
      <c r="H2381" s="15"/>
      <c r="I2381" s="15"/>
      <c r="J2381" s="15"/>
    </row>
    <row r="2382" spans="1:10" x14ac:dyDescent="0.25">
      <c r="A2382" s="2" t="s">
        <v>6908</v>
      </c>
      <c r="B2382" s="2" t="s">
        <v>6586</v>
      </c>
      <c r="C2382" s="2" t="s">
        <v>6909</v>
      </c>
      <c r="D2382" s="2" t="s">
        <v>10055</v>
      </c>
      <c r="E2382" s="15">
        <v>4.9399999999999999E-2</v>
      </c>
      <c r="F2382" s="15">
        <v>0.1515</v>
      </c>
      <c r="G2382" s="15">
        <v>0.74419999999999997</v>
      </c>
      <c r="H2382" s="15">
        <v>4.1099999999999998E-2</v>
      </c>
      <c r="I2382" s="15">
        <v>3.9300000000000002E-2</v>
      </c>
      <c r="J2382" s="15">
        <v>1.0458015267175571</v>
      </c>
    </row>
    <row r="2383" spans="1:10" x14ac:dyDescent="0.25">
      <c r="A2383" s="2" t="s">
        <v>6910</v>
      </c>
      <c r="B2383" s="2" t="s">
        <v>6586</v>
      </c>
      <c r="C2383" s="2" t="s">
        <v>6911</v>
      </c>
      <c r="D2383" s="2" t="s">
        <v>10055</v>
      </c>
      <c r="E2383" s="15"/>
      <c r="F2383" s="15"/>
      <c r="G2383" s="15"/>
      <c r="H2383" s="15"/>
      <c r="I2383" s="15"/>
      <c r="J2383" s="15"/>
    </row>
    <row r="2384" spans="1:10" x14ac:dyDescent="0.25">
      <c r="A2384" s="2" t="s">
        <v>6912</v>
      </c>
      <c r="B2384" s="2" t="s">
        <v>6586</v>
      </c>
      <c r="C2384" s="2" t="s">
        <v>6913</v>
      </c>
      <c r="D2384" s="2" t="s">
        <v>10055</v>
      </c>
      <c r="E2384" s="15">
        <v>-0.16159999999999999</v>
      </c>
      <c r="F2384" s="15">
        <v>0.28460000000000002</v>
      </c>
      <c r="G2384" s="15">
        <v>0.57010000000000005</v>
      </c>
      <c r="H2384" s="15">
        <v>2.0299999999999999E-2</v>
      </c>
      <c r="I2384" s="15">
        <v>3.6799999999999999E-2</v>
      </c>
      <c r="J2384" s="15">
        <v>0.55163043478260865</v>
      </c>
    </row>
    <row r="2385" spans="1:10" x14ac:dyDescent="0.25">
      <c r="A2385" s="2" t="s">
        <v>6914</v>
      </c>
      <c r="B2385" s="2" t="s">
        <v>6586</v>
      </c>
      <c r="C2385" s="2" t="s">
        <v>6915</v>
      </c>
      <c r="D2385" s="2" t="s">
        <v>10055</v>
      </c>
      <c r="E2385" s="15">
        <v>1.41E-2</v>
      </c>
      <c r="F2385" s="15">
        <v>0.1426</v>
      </c>
      <c r="G2385" s="15">
        <v>0.92110000000000003</v>
      </c>
      <c r="H2385" s="15">
        <v>5.3999999999999999E-2</v>
      </c>
      <c r="I2385" s="15">
        <v>4.1099999999999998E-2</v>
      </c>
      <c r="J2385" s="15">
        <v>1.3138686131386861</v>
      </c>
    </row>
    <row r="2386" spans="1:10" x14ac:dyDescent="0.25">
      <c r="A2386" s="2" t="s">
        <v>6916</v>
      </c>
      <c r="B2386" s="2" t="s">
        <v>6586</v>
      </c>
      <c r="C2386" s="2" t="s">
        <v>6917</v>
      </c>
      <c r="D2386" s="2" t="s">
        <v>10055</v>
      </c>
      <c r="E2386" s="15">
        <v>0.48430000000000001</v>
      </c>
      <c r="F2386" s="15">
        <v>0.91520000000000001</v>
      </c>
      <c r="G2386" s="15">
        <v>0.59670000000000001</v>
      </c>
      <c r="H2386" s="15">
        <v>1.4500000000000001E-2</v>
      </c>
      <c r="I2386" s="15">
        <v>3.7400000000000003E-2</v>
      </c>
      <c r="J2386" s="15">
        <v>0.38770053475935828</v>
      </c>
    </row>
    <row r="2387" spans="1:10" x14ac:dyDescent="0.25">
      <c r="A2387" s="2" t="s">
        <v>6918</v>
      </c>
      <c r="B2387" s="2" t="s">
        <v>6586</v>
      </c>
      <c r="C2387" s="2" t="s">
        <v>6919</v>
      </c>
      <c r="D2387" s="2" t="s">
        <v>10055</v>
      </c>
      <c r="E2387" s="15">
        <v>0.15379999999999999</v>
      </c>
      <c r="F2387" s="15">
        <v>0.31780000000000003</v>
      </c>
      <c r="G2387" s="15">
        <v>0.62839999999999996</v>
      </c>
      <c r="H2387" s="15">
        <v>1.7999999999999999E-2</v>
      </c>
      <c r="I2387" s="15">
        <v>3.7600000000000001E-2</v>
      </c>
      <c r="J2387" s="15">
        <v>0.47872340425531912</v>
      </c>
    </row>
    <row r="2388" spans="1:10" x14ac:dyDescent="0.25">
      <c r="A2388" s="2" t="s">
        <v>6920</v>
      </c>
      <c r="B2388" s="2" t="s">
        <v>6586</v>
      </c>
      <c r="C2388" s="2" t="s">
        <v>6921</v>
      </c>
      <c r="D2388" s="2" t="s">
        <v>10055</v>
      </c>
      <c r="E2388" s="15"/>
      <c r="F2388" s="15"/>
      <c r="G2388" s="15"/>
      <c r="H2388" s="15">
        <v>-0.01</v>
      </c>
      <c r="I2388" s="15">
        <v>3.7400000000000003E-2</v>
      </c>
      <c r="J2388" s="15">
        <v>-0.26737967914438499</v>
      </c>
    </row>
    <row r="2389" spans="1:10" x14ac:dyDescent="0.25">
      <c r="A2389" s="2" t="s">
        <v>6922</v>
      </c>
      <c r="B2389" s="2" t="s">
        <v>6586</v>
      </c>
      <c r="C2389" s="2" t="s">
        <v>6923</v>
      </c>
      <c r="D2389" s="2" t="s">
        <v>10055</v>
      </c>
      <c r="E2389" s="15">
        <v>4.6800000000000001E-2</v>
      </c>
      <c r="F2389" s="15">
        <v>0.19789999999999999</v>
      </c>
      <c r="G2389" s="15">
        <v>0.81299999999999994</v>
      </c>
      <c r="H2389" s="15">
        <v>2.75E-2</v>
      </c>
      <c r="I2389" s="15">
        <v>3.7699999999999997E-2</v>
      </c>
      <c r="J2389" s="15">
        <v>0.72944297082228127</v>
      </c>
    </row>
    <row r="2390" spans="1:10" x14ac:dyDescent="0.25">
      <c r="A2390" s="2" t="s">
        <v>6924</v>
      </c>
      <c r="B2390" s="2" t="s">
        <v>6586</v>
      </c>
      <c r="C2390" s="2" t="s">
        <v>6925</v>
      </c>
      <c r="D2390" s="2" t="s">
        <v>10055</v>
      </c>
      <c r="E2390" s="15">
        <v>-0.1222</v>
      </c>
      <c r="F2390" s="15">
        <v>0.15279999999999999</v>
      </c>
      <c r="G2390" s="15">
        <v>0.4239</v>
      </c>
      <c r="H2390" s="15">
        <v>5.5399999999999998E-2</v>
      </c>
      <c r="I2390" s="15">
        <v>3.7499999999999999E-2</v>
      </c>
      <c r="J2390" s="15">
        <v>1.4773333333333329</v>
      </c>
    </row>
    <row r="2391" spans="1:10" x14ac:dyDescent="0.25">
      <c r="A2391" s="2" t="s">
        <v>6926</v>
      </c>
      <c r="B2391" s="2" t="s">
        <v>6586</v>
      </c>
      <c r="C2391" s="2" t="s">
        <v>6927</v>
      </c>
      <c r="D2391" s="2" t="s">
        <v>10055</v>
      </c>
      <c r="E2391" s="15"/>
      <c r="F2391" s="15"/>
      <c r="G2391" s="15"/>
      <c r="H2391" s="15">
        <v>-2.7400000000000001E-2</v>
      </c>
      <c r="I2391" s="15">
        <v>3.6400000000000002E-2</v>
      </c>
      <c r="J2391" s="15">
        <v>-0.75274725274725274</v>
      </c>
    </row>
    <row r="2392" spans="1:10" x14ac:dyDescent="0.25">
      <c r="A2392" s="2" t="s">
        <v>6928</v>
      </c>
      <c r="B2392" s="2" t="s">
        <v>6586</v>
      </c>
      <c r="C2392" s="2" t="s">
        <v>6929</v>
      </c>
      <c r="D2392" s="2" t="s">
        <v>10055</v>
      </c>
      <c r="E2392" s="15">
        <v>0.1216</v>
      </c>
      <c r="F2392" s="15">
        <v>0.1</v>
      </c>
      <c r="G2392" s="15">
        <v>0.2243</v>
      </c>
      <c r="H2392" s="15">
        <v>0.106</v>
      </c>
      <c r="I2392" s="15">
        <v>3.8800000000000001E-2</v>
      </c>
      <c r="J2392" s="15">
        <v>2.731958762886598</v>
      </c>
    </row>
    <row r="2393" spans="1:10" x14ac:dyDescent="0.25">
      <c r="A2393" s="2" t="s">
        <v>6930</v>
      </c>
      <c r="B2393" s="2" t="s">
        <v>6586</v>
      </c>
      <c r="C2393" s="2" t="s">
        <v>6931</v>
      </c>
      <c r="D2393" s="2" t="s">
        <v>10055</v>
      </c>
      <c r="E2393" s="15">
        <v>4.2200000000000001E-2</v>
      </c>
      <c r="F2393" s="15">
        <v>0.28649999999999998</v>
      </c>
      <c r="G2393" s="15">
        <v>0.88280000000000003</v>
      </c>
      <c r="H2393" s="15">
        <v>1.4999999999999999E-2</v>
      </c>
      <c r="I2393" s="15">
        <v>4.0599999999999997E-2</v>
      </c>
      <c r="J2393" s="15">
        <v>0.36945812807881773</v>
      </c>
    </row>
    <row r="2394" spans="1:10" x14ac:dyDescent="0.25">
      <c r="A2394" s="2" t="s">
        <v>6932</v>
      </c>
      <c r="B2394" s="2" t="s">
        <v>6586</v>
      </c>
      <c r="C2394" s="2" t="s">
        <v>6933</v>
      </c>
      <c r="D2394" s="2" t="s">
        <v>10055</v>
      </c>
      <c r="E2394" s="15">
        <v>-0.05</v>
      </c>
      <c r="F2394" s="15">
        <v>0.1062</v>
      </c>
      <c r="G2394" s="15">
        <v>0.63800000000000001</v>
      </c>
      <c r="H2394" s="15">
        <v>9.9099999999999994E-2</v>
      </c>
      <c r="I2394" s="15">
        <v>4.0500000000000001E-2</v>
      </c>
      <c r="J2394" s="15">
        <v>2.446913580246914</v>
      </c>
    </row>
    <row r="2395" spans="1:10" x14ac:dyDescent="0.25">
      <c r="A2395" s="2" t="s">
        <v>6934</v>
      </c>
      <c r="B2395" s="2" t="s">
        <v>6586</v>
      </c>
      <c r="C2395" s="2" t="s">
        <v>6935</v>
      </c>
      <c r="D2395" s="2" t="s">
        <v>10055</v>
      </c>
      <c r="E2395" s="15">
        <v>0.17710000000000001</v>
      </c>
      <c r="F2395" s="15">
        <v>9.7900000000000001E-2</v>
      </c>
      <c r="G2395" s="15">
        <v>7.0499999999999993E-2</v>
      </c>
      <c r="H2395" s="15">
        <v>0.10050000000000001</v>
      </c>
      <c r="I2395" s="15">
        <v>3.8100000000000002E-2</v>
      </c>
      <c r="J2395" s="15">
        <v>2.6377952755905509</v>
      </c>
    </row>
    <row r="2396" spans="1:10" x14ac:dyDescent="0.25">
      <c r="A2396" s="2" t="s">
        <v>6936</v>
      </c>
      <c r="B2396" s="2" t="s">
        <v>6586</v>
      </c>
      <c r="C2396" s="2" t="s">
        <v>6937</v>
      </c>
      <c r="D2396" s="2" t="s">
        <v>10055</v>
      </c>
      <c r="E2396" s="15"/>
      <c r="F2396" s="15"/>
      <c r="G2396" s="15"/>
      <c r="H2396" s="15">
        <v>-8.0000000000000004E-4</v>
      </c>
      <c r="I2396" s="15">
        <v>3.2800000000000003E-2</v>
      </c>
      <c r="J2396" s="15">
        <v>-2.4390243902439029E-2</v>
      </c>
    </row>
    <row r="2397" spans="1:10" x14ac:dyDescent="0.25">
      <c r="A2397" s="2" t="s">
        <v>6938</v>
      </c>
      <c r="B2397" s="2" t="s">
        <v>6586</v>
      </c>
      <c r="C2397" s="2" t="s">
        <v>6939</v>
      </c>
      <c r="D2397" s="2" t="s">
        <v>10055</v>
      </c>
      <c r="E2397" s="15">
        <v>-0.1772</v>
      </c>
      <c r="F2397" s="15">
        <v>0.15110000000000001</v>
      </c>
      <c r="G2397" s="15">
        <v>0.2409</v>
      </c>
      <c r="H2397" s="15">
        <v>5.6099999999999997E-2</v>
      </c>
      <c r="I2397" s="15">
        <v>4.2900000000000001E-2</v>
      </c>
      <c r="J2397" s="15">
        <v>1.3076923076923079</v>
      </c>
    </row>
    <row r="2398" spans="1:10" x14ac:dyDescent="0.25">
      <c r="A2398" s="2" t="s">
        <v>6940</v>
      </c>
      <c r="B2398" s="2" t="s">
        <v>6586</v>
      </c>
      <c r="C2398" s="2" t="s">
        <v>6941</v>
      </c>
      <c r="D2398" s="2" t="s">
        <v>10055</v>
      </c>
      <c r="E2398" s="15">
        <v>0.11799999999999999</v>
      </c>
      <c r="F2398" s="15">
        <v>0.10589999999999999</v>
      </c>
      <c r="G2398" s="15">
        <v>0.26479999999999998</v>
      </c>
      <c r="H2398" s="15">
        <v>0.1016</v>
      </c>
      <c r="I2398" s="15">
        <v>3.9E-2</v>
      </c>
      <c r="J2398" s="15">
        <v>2.6051282051282052</v>
      </c>
    </row>
    <row r="2399" spans="1:10" x14ac:dyDescent="0.25">
      <c r="A2399" s="2" t="s">
        <v>6942</v>
      </c>
      <c r="B2399" s="2" t="s">
        <v>6586</v>
      </c>
      <c r="C2399" s="2" t="s">
        <v>6943</v>
      </c>
      <c r="D2399" s="2" t="s">
        <v>10055</v>
      </c>
      <c r="E2399" s="15">
        <v>-3.2800000000000003E-2</v>
      </c>
      <c r="F2399" s="15">
        <v>9.6500000000000002E-2</v>
      </c>
      <c r="G2399" s="15">
        <v>0.7339</v>
      </c>
      <c r="H2399" s="15">
        <v>9.4200000000000006E-2</v>
      </c>
      <c r="I2399" s="15">
        <v>3.8899999999999997E-2</v>
      </c>
      <c r="J2399" s="15">
        <v>2.42159383033419</v>
      </c>
    </row>
    <row r="2400" spans="1:10" x14ac:dyDescent="0.25">
      <c r="A2400" s="2" t="s">
        <v>6944</v>
      </c>
      <c r="B2400" s="2" t="s">
        <v>6586</v>
      </c>
      <c r="C2400" s="2" t="s">
        <v>6945</v>
      </c>
      <c r="D2400" s="2" t="s">
        <v>10055</v>
      </c>
      <c r="E2400" s="15">
        <v>-0.2732</v>
      </c>
      <c r="F2400" s="15">
        <v>0.1449</v>
      </c>
      <c r="G2400" s="15">
        <v>5.9400000000000001E-2</v>
      </c>
      <c r="H2400" s="15">
        <v>7.1099999999999997E-2</v>
      </c>
      <c r="I2400" s="15">
        <v>3.85E-2</v>
      </c>
      <c r="J2400" s="15">
        <v>1.846753246753247</v>
      </c>
    </row>
    <row r="2401" spans="1:10" x14ac:dyDescent="0.25">
      <c r="A2401" s="2" t="s">
        <v>6946</v>
      </c>
      <c r="B2401" s="2" t="s">
        <v>6586</v>
      </c>
      <c r="C2401" s="2" t="s">
        <v>6947</v>
      </c>
      <c r="D2401" s="2" t="s">
        <v>10055</v>
      </c>
      <c r="E2401" s="15">
        <v>-3.3300000000000003E-2</v>
      </c>
      <c r="F2401" s="15">
        <v>0.1066</v>
      </c>
      <c r="G2401" s="15">
        <v>0.75480000000000003</v>
      </c>
      <c r="H2401" s="15">
        <v>7.7299999999999994E-2</v>
      </c>
      <c r="I2401" s="15">
        <v>3.7100000000000001E-2</v>
      </c>
      <c r="J2401" s="15">
        <v>2.0835579514824789</v>
      </c>
    </row>
    <row r="2402" spans="1:10" x14ac:dyDescent="0.25">
      <c r="A2402" s="2" t="s">
        <v>6948</v>
      </c>
      <c r="B2402" s="2" t="s">
        <v>6586</v>
      </c>
      <c r="C2402" s="2" t="s">
        <v>6949</v>
      </c>
      <c r="D2402" s="2" t="s">
        <v>10055</v>
      </c>
      <c r="E2402" s="15">
        <v>-0.58399999999999996</v>
      </c>
      <c r="F2402" s="15">
        <v>0.71930000000000005</v>
      </c>
      <c r="G2402" s="15">
        <v>0.41689999999999999</v>
      </c>
      <c r="H2402" s="15">
        <v>1.5699999999999999E-2</v>
      </c>
      <c r="I2402" s="15">
        <v>3.3500000000000002E-2</v>
      </c>
      <c r="J2402" s="15">
        <v>0.4686567164179104</v>
      </c>
    </row>
    <row r="2403" spans="1:10" x14ac:dyDescent="0.25">
      <c r="A2403" s="2" t="s">
        <v>6950</v>
      </c>
      <c r="B2403" s="2" t="s">
        <v>6586</v>
      </c>
      <c r="C2403" s="2" t="s">
        <v>6951</v>
      </c>
      <c r="D2403" s="2" t="s">
        <v>10055</v>
      </c>
      <c r="E2403" s="15">
        <v>2.3599999999999999E-2</v>
      </c>
      <c r="F2403" s="15">
        <v>0.2437</v>
      </c>
      <c r="G2403" s="15">
        <v>0.92300000000000004</v>
      </c>
      <c r="H2403" s="15">
        <v>1.72E-2</v>
      </c>
      <c r="I2403" s="15">
        <v>3.7199999999999997E-2</v>
      </c>
      <c r="J2403" s="15">
        <v>0.4623655913978495</v>
      </c>
    </row>
    <row r="2404" spans="1:10" x14ac:dyDescent="0.25">
      <c r="A2404" s="2" t="s">
        <v>6952</v>
      </c>
      <c r="B2404" s="2" t="s">
        <v>6586</v>
      </c>
      <c r="C2404" s="2" t="s">
        <v>6953</v>
      </c>
      <c r="D2404" s="2" t="s">
        <v>10055</v>
      </c>
      <c r="E2404" s="15">
        <v>-6.8400000000000002E-2</v>
      </c>
      <c r="F2404" s="15">
        <v>0.21049999999999999</v>
      </c>
      <c r="G2404" s="15">
        <v>0.74539999999999995</v>
      </c>
      <c r="H2404" s="15">
        <v>2.7900000000000001E-2</v>
      </c>
      <c r="I2404" s="15">
        <v>3.5499999999999997E-2</v>
      </c>
      <c r="J2404" s="15">
        <v>0.78591549295774654</v>
      </c>
    </row>
    <row r="2405" spans="1:10" x14ac:dyDescent="0.25">
      <c r="A2405" s="2" t="s">
        <v>6954</v>
      </c>
      <c r="B2405" s="2" t="s">
        <v>6586</v>
      </c>
      <c r="C2405" s="2" t="s">
        <v>6955</v>
      </c>
      <c r="D2405" s="2" t="s">
        <v>10055</v>
      </c>
      <c r="E2405" s="15"/>
      <c r="F2405" s="15"/>
      <c r="G2405" s="15"/>
      <c r="H2405" s="15">
        <v>-1.5900000000000001E-2</v>
      </c>
      <c r="I2405" s="15">
        <v>3.8100000000000002E-2</v>
      </c>
      <c r="J2405" s="15">
        <v>-0.41732283464566933</v>
      </c>
    </row>
    <row r="2406" spans="1:10" x14ac:dyDescent="0.25">
      <c r="A2406" s="2" t="s">
        <v>6956</v>
      </c>
      <c r="B2406" s="2" t="s">
        <v>6586</v>
      </c>
      <c r="C2406" s="2" t="s">
        <v>6957</v>
      </c>
      <c r="D2406" s="2" t="s">
        <v>10055</v>
      </c>
      <c r="E2406" s="15">
        <v>3.2099999999999997E-2</v>
      </c>
      <c r="F2406" s="15">
        <v>0.1333</v>
      </c>
      <c r="G2406" s="15">
        <v>0.8095</v>
      </c>
      <c r="H2406" s="15">
        <v>5.8799999999999998E-2</v>
      </c>
      <c r="I2406" s="15">
        <v>3.6700000000000003E-2</v>
      </c>
      <c r="J2406" s="15">
        <v>1.602179836512261</v>
      </c>
    </row>
    <row r="2407" spans="1:10" x14ac:dyDescent="0.25">
      <c r="A2407" s="2" t="s">
        <v>6958</v>
      </c>
      <c r="B2407" s="2" t="s">
        <v>6586</v>
      </c>
      <c r="C2407" s="2" t="s">
        <v>6959</v>
      </c>
      <c r="D2407" s="2" t="s">
        <v>10055</v>
      </c>
      <c r="E2407" s="15">
        <v>-0.27010000000000001</v>
      </c>
      <c r="F2407" s="15">
        <v>0.1356</v>
      </c>
      <c r="G2407" s="15">
        <v>4.6399999999999997E-2</v>
      </c>
      <c r="H2407" s="15">
        <v>7.3599999999999999E-2</v>
      </c>
      <c r="I2407" s="15">
        <v>4.2000000000000003E-2</v>
      </c>
      <c r="J2407" s="15">
        <v>1.7523809523809519</v>
      </c>
    </row>
    <row r="2408" spans="1:10" x14ac:dyDescent="0.25">
      <c r="A2408" s="2" t="s">
        <v>6960</v>
      </c>
      <c r="B2408" s="2" t="s">
        <v>6586</v>
      </c>
      <c r="C2408" s="2" t="s">
        <v>6961</v>
      </c>
      <c r="D2408" s="2" t="s">
        <v>10055</v>
      </c>
      <c r="E2408" s="15"/>
      <c r="F2408" s="15"/>
      <c r="G2408" s="15"/>
      <c r="H2408" s="15">
        <v>-7.8700000000000006E-2</v>
      </c>
      <c r="I2408" s="15">
        <v>3.6200000000000003E-2</v>
      </c>
      <c r="J2408" s="15">
        <v>-2.174033149171271</v>
      </c>
    </row>
    <row r="2409" spans="1:10" x14ac:dyDescent="0.25">
      <c r="A2409" s="2" t="s">
        <v>6962</v>
      </c>
      <c r="B2409" s="2" t="s">
        <v>6586</v>
      </c>
      <c r="C2409" s="2" t="s">
        <v>6963</v>
      </c>
      <c r="D2409" s="2" t="s">
        <v>10055</v>
      </c>
      <c r="E2409" s="15">
        <v>-2.7000000000000001E-3</v>
      </c>
      <c r="F2409" s="15">
        <v>0.13600000000000001</v>
      </c>
      <c r="G2409" s="15">
        <v>0.98409999999999997</v>
      </c>
      <c r="H2409" s="15">
        <v>4.5699999999999998E-2</v>
      </c>
      <c r="I2409" s="15">
        <v>3.7699999999999997E-2</v>
      </c>
      <c r="J2409" s="15">
        <v>1.212201591511936</v>
      </c>
    </row>
    <row r="2410" spans="1:10" x14ac:dyDescent="0.25">
      <c r="A2410" s="2" t="s">
        <v>6964</v>
      </c>
      <c r="B2410" s="2" t="s">
        <v>6586</v>
      </c>
      <c r="C2410" s="2" t="s">
        <v>6965</v>
      </c>
      <c r="D2410" s="2" t="s">
        <v>10055</v>
      </c>
      <c r="E2410" s="15">
        <v>-0.16</v>
      </c>
      <c r="F2410" s="15">
        <v>0.19220000000000001</v>
      </c>
      <c r="G2410" s="15">
        <v>0.4052</v>
      </c>
      <c r="H2410" s="15">
        <v>3.9E-2</v>
      </c>
      <c r="I2410" s="15">
        <v>3.44E-2</v>
      </c>
      <c r="J2410" s="15">
        <v>1.1337209302325579</v>
      </c>
    </row>
    <row r="2411" spans="1:10" x14ac:dyDescent="0.25">
      <c r="A2411" s="2" t="s">
        <v>6966</v>
      </c>
      <c r="B2411" s="2" t="s">
        <v>6586</v>
      </c>
      <c r="C2411" s="2" t="s">
        <v>6967</v>
      </c>
      <c r="D2411" s="2" t="s">
        <v>10055</v>
      </c>
      <c r="E2411" s="15">
        <v>0.18079999999999999</v>
      </c>
      <c r="F2411" s="15">
        <v>0.1726</v>
      </c>
      <c r="G2411" s="15">
        <v>0.29480000000000001</v>
      </c>
      <c r="H2411" s="15">
        <v>4.1300000000000003E-2</v>
      </c>
      <c r="I2411" s="15">
        <v>3.6999999999999998E-2</v>
      </c>
      <c r="J2411" s="15">
        <v>1.1162162162162159</v>
      </c>
    </row>
    <row r="2412" spans="1:10" x14ac:dyDescent="0.25">
      <c r="A2412" s="2" t="s">
        <v>6968</v>
      </c>
      <c r="B2412" s="2" t="s">
        <v>6586</v>
      </c>
      <c r="C2412" s="2" t="s">
        <v>6969</v>
      </c>
      <c r="D2412" s="2" t="s">
        <v>10055</v>
      </c>
      <c r="E2412" s="15"/>
      <c r="F2412" s="15"/>
      <c r="G2412" s="15"/>
      <c r="H2412" s="15">
        <v>-4.8500000000000001E-2</v>
      </c>
      <c r="I2412" s="15">
        <v>3.6799999999999999E-2</v>
      </c>
      <c r="J2412" s="15">
        <v>-1.317934782608696</v>
      </c>
    </row>
    <row r="2413" spans="1:10" x14ac:dyDescent="0.25">
      <c r="A2413" s="2" t="s">
        <v>6970</v>
      </c>
      <c r="B2413" s="2" t="s">
        <v>6586</v>
      </c>
      <c r="C2413" s="2" t="s">
        <v>6971</v>
      </c>
      <c r="D2413" s="2" t="s">
        <v>10055</v>
      </c>
      <c r="E2413" s="15">
        <v>9.5000000000000001E-2</v>
      </c>
      <c r="F2413" s="15">
        <v>9.1899999999999996E-2</v>
      </c>
      <c r="G2413" s="15">
        <v>0.30149999999999999</v>
      </c>
      <c r="H2413" s="15">
        <v>0.15310000000000001</v>
      </c>
      <c r="I2413" s="15">
        <v>4.1500000000000002E-2</v>
      </c>
      <c r="J2413" s="15">
        <v>3.6891566265060241</v>
      </c>
    </row>
    <row r="2414" spans="1:10" x14ac:dyDescent="0.25">
      <c r="A2414" s="2" t="s">
        <v>6972</v>
      </c>
      <c r="B2414" s="2" t="s">
        <v>6586</v>
      </c>
      <c r="C2414" s="2" t="s">
        <v>6973</v>
      </c>
      <c r="D2414" s="2" t="s">
        <v>10055</v>
      </c>
      <c r="E2414" s="15">
        <v>-0.1265</v>
      </c>
      <c r="F2414" s="15">
        <v>0.34610000000000002</v>
      </c>
      <c r="G2414" s="15">
        <v>0.71489999999999998</v>
      </c>
      <c r="H2414" s="15">
        <v>1.4E-2</v>
      </c>
      <c r="I2414" s="15">
        <v>3.8800000000000001E-2</v>
      </c>
      <c r="J2414" s="15">
        <v>0.36082474226804118</v>
      </c>
    </row>
    <row r="2415" spans="1:10" x14ac:dyDescent="0.25">
      <c r="A2415" s="2" t="s">
        <v>6974</v>
      </c>
      <c r="B2415" s="2" t="s">
        <v>6586</v>
      </c>
      <c r="C2415" s="2" t="s">
        <v>6975</v>
      </c>
      <c r="D2415" s="2" t="s">
        <v>10055</v>
      </c>
      <c r="E2415" s="15">
        <v>-1.89E-2</v>
      </c>
      <c r="F2415" s="15">
        <v>0.10059999999999999</v>
      </c>
      <c r="G2415" s="15">
        <v>0.85119999999999996</v>
      </c>
      <c r="H2415" s="15">
        <v>0.12920000000000001</v>
      </c>
      <c r="I2415" s="15">
        <v>3.27E-2</v>
      </c>
      <c r="J2415" s="15">
        <v>3.951070336391437</v>
      </c>
    </row>
    <row r="2416" spans="1:10" x14ac:dyDescent="0.25">
      <c r="A2416" s="2" t="s">
        <v>6976</v>
      </c>
      <c r="B2416" s="2" t="s">
        <v>6586</v>
      </c>
      <c r="C2416" s="2" t="s">
        <v>6977</v>
      </c>
      <c r="D2416" s="2" t="s">
        <v>10055</v>
      </c>
      <c r="E2416" s="15">
        <v>-6.25E-2</v>
      </c>
      <c r="F2416" s="15">
        <v>9.6100000000000005E-2</v>
      </c>
      <c r="G2416" s="15">
        <v>0.51539999999999997</v>
      </c>
      <c r="H2416" s="15">
        <v>0.15310000000000001</v>
      </c>
      <c r="I2416" s="15">
        <v>4.07E-2</v>
      </c>
      <c r="J2416" s="15">
        <v>3.7616707616707621</v>
      </c>
    </row>
    <row r="2417" spans="1:10" x14ac:dyDescent="0.25">
      <c r="A2417" s="2" t="s">
        <v>6978</v>
      </c>
      <c r="B2417" s="2" t="s">
        <v>6586</v>
      </c>
      <c r="C2417" s="2" t="s">
        <v>6979</v>
      </c>
      <c r="D2417" s="2" t="s">
        <v>10055</v>
      </c>
      <c r="E2417" s="15">
        <v>0.2225</v>
      </c>
      <c r="F2417" s="15">
        <v>0.17929999999999999</v>
      </c>
      <c r="G2417" s="15">
        <v>0.21440000000000001</v>
      </c>
      <c r="H2417" s="15">
        <v>4.53E-2</v>
      </c>
      <c r="I2417" s="15">
        <v>3.8100000000000002E-2</v>
      </c>
      <c r="J2417" s="15">
        <v>1.188976377952756</v>
      </c>
    </row>
    <row r="2418" spans="1:10" x14ac:dyDescent="0.25">
      <c r="A2418" s="2" t="s">
        <v>6980</v>
      </c>
      <c r="B2418" s="2" t="s">
        <v>6586</v>
      </c>
      <c r="C2418" s="2" t="s">
        <v>6981</v>
      </c>
      <c r="D2418" s="2" t="s">
        <v>10055</v>
      </c>
      <c r="E2418" s="15">
        <v>-8.4400000000000003E-2</v>
      </c>
      <c r="F2418" s="15">
        <v>0.1532</v>
      </c>
      <c r="G2418" s="15">
        <v>0.58169999999999999</v>
      </c>
      <c r="H2418" s="15">
        <v>5.04E-2</v>
      </c>
      <c r="I2418" s="15">
        <v>3.3399999999999999E-2</v>
      </c>
      <c r="J2418" s="15">
        <v>1.5089820359281441</v>
      </c>
    </row>
    <row r="2419" spans="1:10" x14ac:dyDescent="0.25">
      <c r="A2419" s="2" t="s">
        <v>6982</v>
      </c>
      <c r="B2419" s="2" t="s">
        <v>6586</v>
      </c>
      <c r="C2419" s="2" t="s">
        <v>6983</v>
      </c>
      <c r="D2419" s="2" t="s">
        <v>10055</v>
      </c>
      <c r="E2419" s="15"/>
      <c r="F2419" s="15"/>
      <c r="G2419" s="15"/>
      <c r="H2419" s="15">
        <v>-2.5499999999999998E-2</v>
      </c>
      <c r="I2419" s="15">
        <v>3.7600000000000001E-2</v>
      </c>
      <c r="J2419" s="15">
        <v>-0.67819148936170204</v>
      </c>
    </row>
    <row r="2420" spans="1:10" x14ac:dyDescent="0.25">
      <c r="A2420" s="2" t="s">
        <v>6984</v>
      </c>
      <c r="B2420" s="2" t="s">
        <v>6586</v>
      </c>
      <c r="C2420" s="2" t="s">
        <v>6985</v>
      </c>
      <c r="D2420" s="2" t="s">
        <v>10055</v>
      </c>
      <c r="E2420" s="15">
        <v>0.1996</v>
      </c>
      <c r="F2420" s="15">
        <v>0.11360000000000001</v>
      </c>
      <c r="G2420" s="15">
        <v>7.8899999999999998E-2</v>
      </c>
      <c r="H2420" s="15">
        <v>9.1399999999999995E-2</v>
      </c>
      <c r="I2420" s="15">
        <v>3.9699999999999999E-2</v>
      </c>
      <c r="J2420" s="15">
        <v>2.3022670025188918</v>
      </c>
    </row>
    <row r="2421" spans="1:10" x14ac:dyDescent="0.25">
      <c r="A2421" s="2" t="s">
        <v>6986</v>
      </c>
      <c r="B2421" s="2" t="s">
        <v>6586</v>
      </c>
      <c r="C2421" s="2" t="s">
        <v>6987</v>
      </c>
      <c r="D2421" s="2" t="s">
        <v>10055</v>
      </c>
      <c r="E2421" s="15">
        <v>0.13009999999999999</v>
      </c>
      <c r="F2421" s="15">
        <v>0.25059999999999999</v>
      </c>
      <c r="G2421" s="15">
        <v>0.60360000000000003</v>
      </c>
      <c r="H2421" s="15">
        <v>2.5399999999999999E-2</v>
      </c>
      <c r="I2421" s="15">
        <v>3.9399999999999998E-2</v>
      </c>
      <c r="J2421" s="15">
        <v>0.64467005076142136</v>
      </c>
    </row>
    <row r="2422" spans="1:10" x14ac:dyDescent="0.25">
      <c r="A2422" s="2" t="s">
        <v>6988</v>
      </c>
      <c r="B2422" s="2" t="s">
        <v>6586</v>
      </c>
      <c r="C2422" s="2" t="s">
        <v>6989</v>
      </c>
      <c r="D2422" s="2" t="s">
        <v>10055</v>
      </c>
      <c r="E2422" s="15">
        <v>0.17549999999999999</v>
      </c>
      <c r="F2422" s="15">
        <v>0.2918</v>
      </c>
      <c r="G2422" s="15">
        <v>0.54759999999999998</v>
      </c>
      <c r="H2422" s="15">
        <v>1.9699999999999999E-2</v>
      </c>
      <c r="I2422" s="15">
        <v>3.5799999999999998E-2</v>
      </c>
      <c r="J2422" s="15">
        <v>0.55027932960893855</v>
      </c>
    </row>
    <row r="2423" spans="1:10" x14ac:dyDescent="0.25">
      <c r="A2423" s="2" t="s">
        <v>6990</v>
      </c>
      <c r="B2423" s="2" t="s">
        <v>6586</v>
      </c>
      <c r="C2423" s="2" t="s">
        <v>6991</v>
      </c>
      <c r="D2423" s="2" t="s">
        <v>10055</v>
      </c>
      <c r="E2423" s="15">
        <v>0.11990000000000001</v>
      </c>
      <c r="F2423" s="15">
        <v>0.1356</v>
      </c>
      <c r="G2423" s="15">
        <v>0.3765</v>
      </c>
      <c r="H2423" s="15">
        <v>5.5399999999999998E-2</v>
      </c>
      <c r="I2423" s="15">
        <v>3.6600000000000001E-2</v>
      </c>
      <c r="J2423" s="15">
        <v>1.513661202185792</v>
      </c>
    </row>
    <row r="2424" spans="1:10" x14ac:dyDescent="0.25">
      <c r="A2424" s="2" t="s">
        <v>6992</v>
      </c>
      <c r="B2424" s="2" t="s">
        <v>6586</v>
      </c>
      <c r="C2424" s="2" t="s">
        <v>6993</v>
      </c>
      <c r="D2424" s="2" t="s">
        <v>10055</v>
      </c>
      <c r="E2424" s="15">
        <v>-2.0000000000000001E-4</v>
      </c>
      <c r="F2424" s="15">
        <v>0.12859999999999999</v>
      </c>
      <c r="G2424" s="15">
        <v>0.99890000000000001</v>
      </c>
      <c r="H2424" s="15">
        <v>7.3700000000000002E-2</v>
      </c>
      <c r="I2424" s="15">
        <v>3.9699999999999999E-2</v>
      </c>
      <c r="J2424" s="15">
        <v>1.8564231738035271</v>
      </c>
    </row>
    <row r="2425" spans="1:10" x14ac:dyDescent="0.25">
      <c r="A2425" s="2" t="s">
        <v>6994</v>
      </c>
      <c r="B2425" s="2" t="s">
        <v>6586</v>
      </c>
      <c r="C2425" s="2" t="s">
        <v>6995</v>
      </c>
      <c r="D2425" s="2" t="s">
        <v>10055</v>
      </c>
      <c r="E2425" s="15">
        <v>-9.9699999999999997E-2</v>
      </c>
      <c r="F2425" s="15">
        <v>9.5899999999999999E-2</v>
      </c>
      <c r="G2425" s="15">
        <v>0.29849999999999999</v>
      </c>
      <c r="H2425" s="15">
        <v>0.13900000000000001</v>
      </c>
      <c r="I2425" s="15">
        <v>4.24E-2</v>
      </c>
      <c r="J2425" s="15">
        <v>3.2783018867924532</v>
      </c>
    </row>
    <row r="2426" spans="1:10" x14ac:dyDescent="0.25">
      <c r="A2426" s="2" t="s">
        <v>6996</v>
      </c>
      <c r="B2426" s="2" t="s">
        <v>6586</v>
      </c>
      <c r="C2426" s="2" t="s">
        <v>6997</v>
      </c>
      <c r="D2426" s="2" t="s">
        <v>10055</v>
      </c>
      <c r="E2426" s="15">
        <v>2.2499999999999999E-2</v>
      </c>
      <c r="F2426" s="15">
        <v>0.12139999999999999</v>
      </c>
      <c r="G2426" s="15">
        <v>0.85319999999999996</v>
      </c>
      <c r="H2426" s="15">
        <v>8.3099999999999993E-2</v>
      </c>
      <c r="I2426" s="15">
        <v>4.1700000000000001E-2</v>
      </c>
      <c r="J2426" s="15">
        <v>1.9928057553956831</v>
      </c>
    </row>
    <row r="2427" spans="1:10" x14ac:dyDescent="0.25">
      <c r="A2427" s="2" t="s">
        <v>6998</v>
      </c>
      <c r="B2427" s="2" t="s">
        <v>6586</v>
      </c>
      <c r="C2427" s="2" t="s">
        <v>6999</v>
      </c>
      <c r="D2427" s="2" t="s">
        <v>10055</v>
      </c>
      <c r="E2427" s="15"/>
      <c r="F2427" s="15"/>
      <c r="G2427" s="15"/>
      <c r="H2427" s="15"/>
      <c r="I2427" s="15"/>
      <c r="J2427" s="15"/>
    </row>
    <row r="2428" spans="1:10" x14ac:dyDescent="0.25">
      <c r="A2428" s="2" t="s">
        <v>7000</v>
      </c>
      <c r="B2428" s="2" t="s">
        <v>6586</v>
      </c>
      <c r="C2428" s="2" t="s">
        <v>7001</v>
      </c>
      <c r="D2428" s="2" t="s">
        <v>10055</v>
      </c>
      <c r="E2428" s="15">
        <v>0.2344</v>
      </c>
      <c r="F2428" s="15">
        <v>0.15329999999999999</v>
      </c>
      <c r="G2428" s="15">
        <v>0.12620000000000001</v>
      </c>
      <c r="H2428" s="15">
        <v>5.33E-2</v>
      </c>
      <c r="I2428" s="15">
        <v>4.0800000000000003E-2</v>
      </c>
      <c r="J2428" s="15">
        <v>1.3063725490196081</v>
      </c>
    </row>
    <row r="2429" spans="1:10" x14ac:dyDescent="0.25">
      <c r="A2429" s="2" t="s">
        <v>7002</v>
      </c>
      <c r="B2429" s="2" t="s">
        <v>6586</v>
      </c>
      <c r="C2429" s="2" t="s">
        <v>7003</v>
      </c>
      <c r="D2429" s="2" t="s">
        <v>10055</v>
      </c>
      <c r="E2429" s="15"/>
      <c r="F2429" s="15"/>
      <c r="G2429" s="15"/>
      <c r="H2429" s="15">
        <v>-7.3000000000000001E-3</v>
      </c>
      <c r="I2429" s="15">
        <v>4.0899999999999999E-2</v>
      </c>
      <c r="J2429" s="15">
        <v>-0.17848410757946209</v>
      </c>
    </row>
    <row r="2430" spans="1:10" x14ac:dyDescent="0.25">
      <c r="A2430" s="2" t="s">
        <v>7004</v>
      </c>
      <c r="B2430" s="2" t="s">
        <v>6586</v>
      </c>
      <c r="C2430" s="2" t="s">
        <v>7005</v>
      </c>
      <c r="D2430" s="2" t="s">
        <v>10055</v>
      </c>
      <c r="E2430" s="15">
        <v>0.2387</v>
      </c>
      <c r="F2430" s="15">
        <v>0.13589999999999999</v>
      </c>
      <c r="G2430" s="15">
        <v>7.8899999999999998E-2</v>
      </c>
      <c r="H2430" s="15">
        <v>7.2700000000000001E-2</v>
      </c>
      <c r="I2430" s="15">
        <v>4.3999999999999997E-2</v>
      </c>
      <c r="J2430" s="15">
        <v>1.6522727272727269</v>
      </c>
    </row>
    <row r="2431" spans="1:10" x14ac:dyDescent="0.25">
      <c r="A2431" s="2" t="s">
        <v>7006</v>
      </c>
      <c r="B2431" s="2" t="s">
        <v>7007</v>
      </c>
      <c r="C2431" s="2" t="s">
        <v>7008</v>
      </c>
      <c r="D2431" s="2" t="s">
        <v>10055</v>
      </c>
      <c r="E2431" s="15">
        <v>-0.28949999999999998</v>
      </c>
      <c r="F2431" s="15">
        <v>0.36520000000000002</v>
      </c>
      <c r="G2431" s="15">
        <v>0.4279</v>
      </c>
      <c r="H2431" s="15">
        <v>1.9400000000000001E-2</v>
      </c>
      <c r="I2431" s="15">
        <v>3.5099999999999999E-2</v>
      </c>
      <c r="J2431" s="15">
        <v>0.55270655270655278</v>
      </c>
    </row>
    <row r="2432" spans="1:10" x14ac:dyDescent="0.25">
      <c r="A2432" s="2" t="s">
        <v>7009</v>
      </c>
      <c r="B2432" s="2" t="s">
        <v>7007</v>
      </c>
      <c r="C2432" s="2" t="s">
        <v>7010</v>
      </c>
      <c r="D2432" s="2" t="s">
        <v>10055</v>
      </c>
      <c r="E2432" s="15"/>
      <c r="F2432" s="15"/>
      <c r="G2432" s="15"/>
      <c r="H2432" s="15">
        <v>-4.0099999999999997E-2</v>
      </c>
      <c r="I2432" s="15">
        <v>2.92E-2</v>
      </c>
      <c r="J2432" s="15">
        <v>-1.373287671232877</v>
      </c>
    </row>
    <row r="2433" spans="1:10" x14ac:dyDescent="0.25">
      <c r="A2433" s="2" t="s">
        <v>7011</v>
      </c>
      <c r="B2433" s="2" t="s">
        <v>7007</v>
      </c>
      <c r="C2433" s="2" t="s">
        <v>7012</v>
      </c>
      <c r="D2433" s="2" t="s">
        <v>10055</v>
      </c>
      <c r="E2433" s="15">
        <v>9.3799999999999994E-2</v>
      </c>
      <c r="F2433" s="15">
        <v>0.18149999999999999</v>
      </c>
      <c r="G2433" s="15">
        <v>0.60529999999999995</v>
      </c>
      <c r="H2433" s="15">
        <v>3.2800000000000003E-2</v>
      </c>
      <c r="I2433" s="15">
        <v>4.0599999999999997E-2</v>
      </c>
      <c r="J2433" s="15">
        <v>0.8078817733990149</v>
      </c>
    </row>
    <row r="2434" spans="1:10" x14ac:dyDescent="0.25">
      <c r="A2434" s="2" t="s">
        <v>7013</v>
      </c>
      <c r="B2434" s="2" t="s">
        <v>7007</v>
      </c>
      <c r="C2434" s="2" t="s">
        <v>7014</v>
      </c>
      <c r="D2434" s="2" t="s">
        <v>10055</v>
      </c>
      <c r="E2434" s="15"/>
      <c r="F2434" s="15"/>
      <c r="G2434" s="15"/>
      <c r="H2434" s="15">
        <v>-4.1799999999999997E-2</v>
      </c>
      <c r="I2434" s="15">
        <v>3.4000000000000002E-2</v>
      </c>
      <c r="J2434" s="15">
        <v>-1.229411764705882</v>
      </c>
    </row>
    <row r="2435" spans="1:10" x14ac:dyDescent="0.25">
      <c r="A2435" s="2" t="s">
        <v>7015</v>
      </c>
      <c r="B2435" s="2" t="s">
        <v>7007</v>
      </c>
      <c r="C2435" s="2" t="s">
        <v>7016</v>
      </c>
      <c r="D2435" s="2" t="s">
        <v>10055</v>
      </c>
      <c r="E2435" s="15">
        <v>0.13739999999999999</v>
      </c>
      <c r="F2435" s="15">
        <v>0.128</v>
      </c>
      <c r="G2435" s="15">
        <v>0.28339999999999999</v>
      </c>
      <c r="H2435" s="15">
        <v>6.9500000000000006E-2</v>
      </c>
      <c r="I2435" s="15">
        <v>4.02E-2</v>
      </c>
      <c r="J2435" s="15">
        <v>1.7288557213930349</v>
      </c>
    </row>
    <row r="2436" spans="1:10" x14ac:dyDescent="0.25">
      <c r="A2436" s="2" t="s">
        <v>7017</v>
      </c>
      <c r="B2436" s="2" t="s">
        <v>7007</v>
      </c>
      <c r="C2436" s="2" t="s">
        <v>7018</v>
      </c>
      <c r="D2436" s="2" t="s">
        <v>10055</v>
      </c>
      <c r="E2436" s="15">
        <v>-0.255</v>
      </c>
      <c r="F2436" s="15">
        <v>0.13769999999999999</v>
      </c>
      <c r="G2436" s="15">
        <v>6.4000000000000001E-2</v>
      </c>
      <c r="H2436" s="15">
        <v>6.7400000000000002E-2</v>
      </c>
      <c r="I2436" s="15">
        <v>4.02E-2</v>
      </c>
      <c r="J2436" s="15">
        <v>1.676616915422886</v>
      </c>
    </row>
    <row r="2437" spans="1:10" x14ac:dyDescent="0.25">
      <c r="A2437" s="2" t="s">
        <v>7019</v>
      </c>
      <c r="B2437" s="2" t="s">
        <v>7007</v>
      </c>
      <c r="C2437" s="2" t="s">
        <v>7020</v>
      </c>
      <c r="D2437" s="2" t="s">
        <v>10055</v>
      </c>
      <c r="E2437" s="15">
        <v>1.8599999999999998E-2</v>
      </c>
      <c r="F2437" s="15">
        <v>0.17449999999999999</v>
      </c>
      <c r="G2437" s="15">
        <v>0.9153</v>
      </c>
      <c r="H2437" s="15">
        <v>2.93E-2</v>
      </c>
      <c r="I2437" s="15">
        <v>3.8300000000000001E-2</v>
      </c>
      <c r="J2437" s="15">
        <v>0.76501305483028714</v>
      </c>
    </row>
    <row r="2438" spans="1:10" x14ac:dyDescent="0.25">
      <c r="A2438" s="2" t="s">
        <v>7021</v>
      </c>
      <c r="B2438" s="2" t="s">
        <v>7007</v>
      </c>
      <c r="C2438" s="2" t="s">
        <v>7022</v>
      </c>
      <c r="D2438" s="2" t="s">
        <v>10055</v>
      </c>
      <c r="E2438" s="15"/>
      <c r="F2438" s="15"/>
      <c r="G2438" s="15"/>
      <c r="H2438" s="15">
        <v>-3.3300000000000003E-2</v>
      </c>
      <c r="I2438" s="15">
        <v>4.0399999999999998E-2</v>
      </c>
      <c r="J2438" s="15">
        <v>-0.82425742574257432</v>
      </c>
    </row>
    <row r="2439" spans="1:10" x14ac:dyDescent="0.25">
      <c r="A2439" s="2" t="s">
        <v>7023</v>
      </c>
      <c r="B2439" s="2" t="s">
        <v>7007</v>
      </c>
      <c r="C2439" s="2" t="s">
        <v>7024</v>
      </c>
      <c r="D2439" s="2" t="s">
        <v>10055</v>
      </c>
      <c r="E2439" s="15"/>
      <c r="F2439" s="15"/>
      <c r="G2439" s="15"/>
      <c r="H2439" s="15">
        <v>-1.95E-2</v>
      </c>
      <c r="I2439" s="15">
        <v>3.7100000000000001E-2</v>
      </c>
      <c r="J2439" s="15">
        <v>-0.52560646900269536</v>
      </c>
    </row>
    <row r="2440" spans="1:10" x14ac:dyDescent="0.25">
      <c r="A2440" s="2" t="s">
        <v>7025</v>
      </c>
      <c r="B2440" s="2" t="s">
        <v>7007</v>
      </c>
      <c r="C2440" s="2" t="s">
        <v>7026</v>
      </c>
      <c r="D2440" s="2" t="s">
        <v>10055</v>
      </c>
      <c r="E2440" s="15">
        <v>0.18229999999999999</v>
      </c>
      <c r="F2440" s="15">
        <v>0.16800000000000001</v>
      </c>
      <c r="G2440" s="15">
        <v>0.27789999999999998</v>
      </c>
      <c r="H2440" s="15">
        <v>4.53E-2</v>
      </c>
      <c r="I2440" s="15">
        <v>4.02E-2</v>
      </c>
      <c r="J2440" s="15">
        <v>1.1268656716417911</v>
      </c>
    </row>
    <row r="2441" spans="1:10" x14ac:dyDescent="0.25">
      <c r="A2441" s="2" t="s">
        <v>7027</v>
      </c>
      <c r="B2441" s="2" t="s">
        <v>7007</v>
      </c>
      <c r="C2441" s="2" t="s">
        <v>7028</v>
      </c>
      <c r="D2441" s="2" t="s">
        <v>10055</v>
      </c>
      <c r="E2441" s="15"/>
      <c r="F2441" s="15"/>
      <c r="G2441" s="15"/>
      <c r="H2441" s="15">
        <v>-2.0000000000000001E-4</v>
      </c>
      <c r="I2441" s="15">
        <v>4.2900000000000001E-2</v>
      </c>
      <c r="J2441" s="15">
        <v>-4.662004662004662E-3</v>
      </c>
    </row>
    <row r="2442" spans="1:10" x14ac:dyDescent="0.25">
      <c r="A2442" s="2" t="s">
        <v>7029</v>
      </c>
      <c r="B2442" s="2" t="s">
        <v>7007</v>
      </c>
      <c r="C2442" s="2" t="s">
        <v>7030</v>
      </c>
      <c r="D2442" s="2" t="s">
        <v>10055</v>
      </c>
      <c r="E2442" s="15">
        <v>-1.1599999999999999E-2</v>
      </c>
      <c r="F2442" s="15">
        <v>0.16220000000000001</v>
      </c>
      <c r="G2442" s="15">
        <v>0.94289999999999996</v>
      </c>
      <c r="H2442" s="15">
        <v>3.9399999999999998E-2</v>
      </c>
      <c r="I2442" s="15">
        <v>3.7900000000000003E-2</v>
      </c>
      <c r="J2442" s="15">
        <v>1.0395778364116091</v>
      </c>
    </row>
    <row r="2443" spans="1:10" x14ac:dyDescent="0.25">
      <c r="A2443" s="2" t="s">
        <v>7031</v>
      </c>
      <c r="B2443" s="2" t="s">
        <v>7007</v>
      </c>
      <c r="C2443" s="2" t="s">
        <v>7032</v>
      </c>
      <c r="D2443" s="2" t="s">
        <v>10055</v>
      </c>
      <c r="E2443" s="15"/>
      <c r="F2443" s="15"/>
      <c r="G2443" s="15"/>
      <c r="H2443" s="15">
        <v>-7.7999999999999996E-3</v>
      </c>
      <c r="I2443" s="15">
        <v>3.8800000000000001E-2</v>
      </c>
      <c r="J2443" s="15">
        <v>-0.2010309278350515</v>
      </c>
    </row>
    <row r="2444" spans="1:10" x14ac:dyDescent="0.25">
      <c r="A2444" s="2" t="s">
        <v>7033</v>
      </c>
      <c r="B2444" s="2" t="s">
        <v>7007</v>
      </c>
      <c r="C2444" s="2" t="s">
        <v>7034</v>
      </c>
      <c r="D2444" s="2" t="s">
        <v>10055</v>
      </c>
      <c r="E2444" s="15"/>
      <c r="F2444" s="15"/>
      <c r="G2444" s="15"/>
      <c r="H2444" s="15"/>
      <c r="I2444" s="15"/>
      <c r="J2444" s="15"/>
    </row>
    <row r="2445" spans="1:10" x14ac:dyDescent="0.25">
      <c r="A2445" s="2" t="s">
        <v>7035</v>
      </c>
      <c r="B2445" s="2" t="s">
        <v>7007</v>
      </c>
      <c r="C2445" s="2" t="s">
        <v>7036</v>
      </c>
      <c r="D2445" s="2" t="s">
        <v>10055</v>
      </c>
      <c r="E2445" s="15"/>
      <c r="F2445" s="15"/>
      <c r="G2445" s="15"/>
      <c r="H2445" s="15">
        <v>-3.7600000000000001E-2</v>
      </c>
      <c r="I2445" s="15">
        <v>3.6200000000000003E-2</v>
      </c>
      <c r="J2445" s="15">
        <v>-1.0386740331491711</v>
      </c>
    </row>
    <row r="2446" spans="1:10" x14ac:dyDescent="0.25">
      <c r="A2446" s="2" t="s">
        <v>7037</v>
      </c>
      <c r="B2446" s="2" t="s">
        <v>7007</v>
      </c>
      <c r="C2446" s="2" t="s">
        <v>7038</v>
      </c>
      <c r="D2446" s="2" t="s">
        <v>10055</v>
      </c>
      <c r="E2446" s="15"/>
      <c r="F2446" s="15"/>
      <c r="G2446" s="15"/>
      <c r="H2446" s="15">
        <v>-2.1999999999999999E-2</v>
      </c>
      <c r="I2446" s="15">
        <v>3.6999999999999998E-2</v>
      </c>
      <c r="J2446" s="15">
        <v>-0.59459459459459463</v>
      </c>
    </row>
    <row r="2447" spans="1:10" x14ac:dyDescent="0.25">
      <c r="A2447" s="2" t="s">
        <v>7039</v>
      </c>
      <c r="B2447" s="2" t="s">
        <v>7007</v>
      </c>
      <c r="C2447" s="2" t="s">
        <v>7040</v>
      </c>
      <c r="D2447" s="2" t="s">
        <v>10055</v>
      </c>
      <c r="E2447" s="15">
        <v>0.38290000000000002</v>
      </c>
      <c r="F2447" s="15">
        <v>0.4073</v>
      </c>
      <c r="G2447" s="15">
        <v>0.34720000000000001</v>
      </c>
      <c r="H2447" s="15">
        <v>2.3099999999999999E-2</v>
      </c>
      <c r="I2447" s="15">
        <v>3.7900000000000003E-2</v>
      </c>
      <c r="J2447" s="15">
        <v>0.60949868073878621</v>
      </c>
    </row>
    <row r="2448" spans="1:10" x14ac:dyDescent="0.25">
      <c r="A2448" s="2" t="s">
        <v>7041</v>
      </c>
      <c r="B2448" s="2" t="s">
        <v>7007</v>
      </c>
      <c r="C2448" s="2" t="s">
        <v>7042</v>
      </c>
      <c r="D2448" s="2" t="s">
        <v>10055</v>
      </c>
      <c r="E2448" s="15"/>
      <c r="F2448" s="15"/>
      <c r="G2448" s="15"/>
      <c r="H2448" s="15"/>
      <c r="I2448" s="15"/>
      <c r="J2448" s="15"/>
    </row>
    <row r="2449" spans="1:10" x14ac:dyDescent="0.25">
      <c r="A2449" s="2" t="s">
        <v>7043</v>
      </c>
      <c r="B2449" s="2" t="s">
        <v>7007</v>
      </c>
      <c r="C2449" s="2" t="s">
        <v>7044</v>
      </c>
      <c r="D2449" s="2" t="s">
        <v>10055</v>
      </c>
      <c r="E2449" s="15">
        <v>2.8000000000000001E-2</v>
      </c>
      <c r="F2449" s="15">
        <v>0.16109999999999999</v>
      </c>
      <c r="G2449" s="15">
        <v>0.86199999999999999</v>
      </c>
      <c r="H2449" s="15">
        <v>4.5600000000000002E-2</v>
      </c>
      <c r="I2449" s="15">
        <v>4.4900000000000002E-2</v>
      </c>
      <c r="J2449" s="15">
        <v>1.015590200445434</v>
      </c>
    </row>
    <row r="2450" spans="1:10" x14ac:dyDescent="0.25">
      <c r="A2450" s="2" t="s">
        <v>7045</v>
      </c>
      <c r="B2450" s="2" t="s">
        <v>7007</v>
      </c>
      <c r="C2450" s="2" t="s">
        <v>7046</v>
      </c>
      <c r="D2450" s="2" t="s">
        <v>10055</v>
      </c>
      <c r="E2450" s="15">
        <v>-0.20150000000000001</v>
      </c>
      <c r="F2450" s="15">
        <v>0.14130000000000001</v>
      </c>
      <c r="G2450" s="15">
        <v>0.15390000000000001</v>
      </c>
      <c r="H2450" s="15">
        <v>7.0499999999999993E-2</v>
      </c>
      <c r="I2450" s="15">
        <v>3.8199999999999998E-2</v>
      </c>
      <c r="J2450" s="15">
        <v>1.8455497382198951</v>
      </c>
    </row>
    <row r="2451" spans="1:10" x14ac:dyDescent="0.25">
      <c r="A2451" s="2" t="s">
        <v>7047</v>
      </c>
      <c r="B2451" s="2" t="s">
        <v>7007</v>
      </c>
      <c r="C2451" s="2" t="s">
        <v>7048</v>
      </c>
      <c r="D2451" s="2" t="s">
        <v>10055</v>
      </c>
      <c r="E2451" s="15"/>
      <c r="F2451" s="15"/>
      <c r="G2451" s="15"/>
      <c r="H2451" s="15"/>
      <c r="I2451" s="15"/>
      <c r="J2451" s="15"/>
    </row>
    <row r="2452" spans="1:10" x14ac:dyDescent="0.25">
      <c r="A2452" s="2" t="s">
        <v>7049</v>
      </c>
      <c r="B2452" s="2" t="s">
        <v>7007</v>
      </c>
      <c r="C2452" s="2" t="s">
        <v>7050</v>
      </c>
      <c r="D2452" s="2" t="s">
        <v>10055</v>
      </c>
      <c r="E2452" s="15">
        <v>-2.93E-2</v>
      </c>
      <c r="F2452" s="15">
        <v>6.5299999999999997E-2</v>
      </c>
      <c r="G2452" s="15">
        <v>0.65359999999999996</v>
      </c>
      <c r="H2452" s="15">
        <v>0.2225</v>
      </c>
      <c r="I2452" s="15">
        <v>4.3799999999999999E-2</v>
      </c>
      <c r="J2452" s="15">
        <v>5.0799086757990866</v>
      </c>
    </row>
    <row r="2453" spans="1:10" x14ac:dyDescent="0.25">
      <c r="A2453" s="2" t="s">
        <v>7051</v>
      </c>
      <c r="B2453" s="2" t="s">
        <v>7007</v>
      </c>
      <c r="C2453" s="2" t="s">
        <v>7052</v>
      </c>
      <c r="D2453" s="2" t="s">
        <v>10055</v>
      </c>
      <c r="E2453" s="15">
        <v>-8.2000000000000003E-2</v>
      </c>
      <c r="F2453" s="15">
        <v>0.4446</v>
      </c>
      <c r="G2453" s="15">
        <v>0.85360000000000003</v>
      </c>
      <c r="H2453" s="15">
        <v>1.3299999999999999E-2</v>
      </c>
      <c r="I2453" s="15">
        <v>4.1200000000000001E-2</v>
      </c>
      <c r="J2453" s="15">
        <v>0.32281553398058249</v>
      </c>
    </row>
    <row r="2454" spans="1:10" x14ac:dyDescent="0.25">
      <c r="A2454" s="2" t="s">
        <v>7053</v>
      </c>
      <c r="B2454" s="2" t="s">
        <v>7007</v>
      </c>
      <c r="C2454" s="2" t="s">
        <v>7054</v>
      </c>
      <c r="D2454" s="2" t="s">
        <v>10055</v>
      </c>
      <c r="E2454" s="15">
        <v>-0.1133</v>
      </c>
      <c r="F2454" s="15">
        <v>0.1716</v>
      </c>
      <c r="G2454" s="15">
        <v>0.50929999999999997</v>
      </c>
      <c r="H2454" s="15">
        <v>4.41E-2</v>
      </c>
      <c r="I2454" s="15">
        <v>3.5499999999999997E-2</v>
      </c>
      <c r="J2454" s="15">
        <v>1.2422535211267609</v>
      </c>
    </row>
    <row r="2455" spans="1:10" x14ac:dyDescent="0.25">
      <c r="A2455" s="2" t="s">
        <v>7055</v>
      </c>
      <c r="B2455" s="2" t="s">
        <v>7007</v>
      </c>
      <c r="C2455" s="2" t="s">
        <v>7056</v>
      </c>
      <c r="D2455" s="2" t="s">
        <v>10055</v>
      </c>
      <c r="E2455" s="15">
        <v>8.77E-2</v>
      </c>
      <c r="F2455" s="15">
        <v>0.1091</v>
      </c>
      <c r="G2455" s="15">
        <v>0.4214</v>
      </c>
      <c r="H2455" s="15">
        <v>0.1147</v>
      </c>
      <c r="I2455" s="15">
        <v>4.1099999999999998E-2</v>
      </c>
      <c r="J2455" s="15">
        <v>2.7907542579075431</v>
      </c>
    </row>
    <row r="2456" spans="1:10" x14ac:dyDescent="0.25">
      <c r="A2456" s="2" t="s">
        <v>7057</v>
      </c>
      <c r="B2456" s="2" t="s">
        <v>7007</v>
      </c>
      <c r="C2456" s="2" t="s">
        <v>7058</v>
      </c>
      <c r="D2456" s="2" t="s">
        <v>10055</v>
      </c>
      <c r="E2456" s="15">
        <v>-0.14149999999999999</v>
      </c>
      <c r="F2456" s="15">
        <v>0.31769999999999998</v>
      </c>
      <c r="G2456" s="15">
        <v>0.65600000000000003</v>
      </c>
      <c r="H2456" s="15">
        <v>1.38E-2</v>
      </c>
      <c r="I2456" s="15">
        <v>3.61E-2</v>
      </c>
      <c r="J2456" s="15">
        <v>0.38227146814404428</v>
      </c>
    </row>
    <row r="2457" spans="1:10" x14ac:dyDescent="0.25">
      <c r="A2457" s="2" t="s">
        <v>7059</v>
      </c>
      <c r="B2457" s="2" t="s">
        <v>7007</v>
      </c>
      <c r="C2457" s="2" t="s">
        <v>7060</v>
      </c>
      <c r="D2457" s="2" t="s">
        <v>10055</v>
      </c>
      <c r="E2457" s="15">
        <v>0.1318</v>
      </c>
      <c r="F2457" s="15">
        <v>0.10639999999999999</v>
      </c>
      <c r="G2457" s="15">
        <v>0.2155</v>
      </c>
      <c r="H2457" s="15">
        <v>9.6000000000000002E-2</v>
      </c>
      <c r="I2457" s="15">
        <v>3.9399999999999998E-2</v>
      </c>
      <c r="J2457" s="15">
        <v>2.436548223350254</v>
      </c>
    </row>
    <row r="2458" spans="1:10" x14ac:dyDescent="0.25">
      <c r="A2458" s="2" t="s">
        <v>7061</v>
      </c>
      <c r="B2458" s="2" t="s">
        <v>7007</v>
      </c>
      <c r="C2458" s="2" t="s">
        <v>7062</v>
      </c>
      <c r="D2458" s="2" t="s">
        <v>10055</v>
      </c>
      <c r="E2458" s="15"/>
      <c r="F2458" s="15"/>
      <c r="G2458" s="15"/>
      <c r="H2458" s="15">
        <v>-1.7100000000000001E-2</v>
      </c>
      <c r="I2458" s="15">
        <v>4.07E-2</v>
      </c>
      <c r="J2458" s="15">
        <v>-0.42014742014742018</v>
      </c>
    </row>
    <row r="2459" spans="1:10" x14ac:dyDescent="0.25">
      <c r="A2459" s="2" t="s">
        <v>7063</v>
      </c>
      <c r="B2459" s="2" t="s">
        <v>7007</v>
      </c>
      <c r="C2459" s="2" t="s">
        <v>7064</v>
      </c>
      <c r="D2459" s="2" t="s">
        <v>10055</v>
      </c>
      <c r="E2459" s="15">
        <v>0.13239999999999999</v>
      </c>
      <c r="F2459" s="15">
        <v>0.27039999999999997</v>
      </c>
      <c r="G2459" s="15">
        <v>0.62450000000000006</v>
      </c>
      <c r="H2459" s="15">
        <v>2.0500000000000001E-2</v>
      </c>
      <c r="I2459" s="15">
        <v>3.5900000000000001E-2</v>
      </c>
      <c r="J2459" s="15">
        <v>0.57103064066852371</v>
      </c>
    </row>
    <row r="2460" spans="1:10" x14ac:dyDescent="0.25">
      <c r="A2460" s="2" t="s">
        <v>7065</v>
      </c>
      <c r="B2460" s="2" t="s">
        <v>7007</v>
      </c>
      <c r="C2460" s="2" t="s">
        <v>7066</v>
      </c>
      <c r="D2460" s="2" t="s">
        <v>10055</v>
      </c>
      <c r="E2460" s="15">
        <v>0.31929999999999997</v>
      </c>
      <c r="F2460" s="15">
        <v>0.2039</v>
      </c>
      <c r="G2460" s="15">
        <v>0.1172</v>
      </c>
      <c r="H2460" s="15">
        <v>4.07E-2</v>
      </c>
      <c r="I2460" s="15">
        <v>3.61E-2</v>
      </c>
      <c r="J2460" s="15">
        <v>1.1274238227146809</v>
      </c>
    </row>
    <row r="2461" spans="1:10" x14ac:dyDescent="0.25">
      <c r="A2461" s="2" t="s">
        <v>7067</v>
      </c>
      <c r="B2461" s="2" t="s">
        <v>7007</v>
      </c>
      <c r="C2461" s="2" t="s">
        <v>7068</v>
      </c>
      <c r="D2461" s="2" t="s">
        <v>10055</v>
      </c>
      <c r="E2461" s="15"/>
      <c r="F2461" s="15"/>
      <c r="G2461" s="15"/>
      <c r="H2461" s="15">
        <v>-2.4500000000000001E-2</v>
      </c>
      <c r="I2461" s="15">
        <v>3.4500000000000003E-2</v>
      </c>
      <c r="J2461" s="15">
        <v>-0.71014492753623182</v>
      </c>
    </row>
    <row r="2462" spans="1:10" x14ac:dyDescent="0.25">
      <c r="A2462" s="2" t="s">
        <v>7069</v>
      </c>
      <c r="B2462" s="2" t="s">
        <v>7007</v>
      </c>
      <c r="C2462" s="2" t="s">
        <v>7070</v>
      </c>
      <c r="D2462" s="2" t="s">
        <v>10055</v>
      </c>
      <c r="E2462" s="15"/>
      <c r="F2462" s="15"/>
      <c r="G2462" s="15"/>
      <c r="H2462" s="15">
        <v>-2.93E-2</v>
      </c>
      <c r="I2462" s="15">
        <v>3.5700000000000003E-2</v>
      </c>
      <c r="J2462" s="15">
        <v>-0.82072829131652658</v>
      </c>
    </row>
    <row r="2463" spans="1:10" x14ac:dyDescent="0.25">
      <c r="A2463" s="2" t="s">
        <v>7071</v>
      </c>
      <c r="B2463" s="2" t="s">
        <v>7007</v>
      </c>
      <c r="C2463" s="2" t="s">
        <v>7072</v>
      </c>
      <c r="D2463" s="2" t="s">
        <v>10055</v>
      </c>
      <c r="E2463" s="15">
        <v>4.7399999999999998E-2</v>
      </c>
      <c r="F2463" s="15">
        <v>0.1206</v>
      </c>
      <c r="G2463" s="15">
        <v>0.69420000000000004</v>
      </c>
      <c r="H2463" s="15">
        <v>7.8700000000000006E-2</v>
      </c>
      <c r="I2463" s="15">
        <v>4.1300000000000003E-2</v>
      </c>
      <c r="J2463" s="15">
        <v>1.905569007263922</v>
      </c>
    </row>
    <row r="2464" spans="1:10" x14ac:dyDescent="0.25">
      <c r="A2464" s="2" t="s">
        <v>7073</v>
      </c>
      <c r="B2464" s="2" t="s">
        <v>7007</v>
      </c>
      <c r="C2464" s="2" t="s">
        <v>7074</v>
      </c>
      <c r="D2464" s="2" t="s">
        <v>10055</v>
      </c>
      <c r="E2464" s="15">
        <v>-0.54510000000000003</v>
      </c>
      <c r="F2464" s="15">
        <v>0.65310000000000001</v>
      </c>
      <c r="G2464" s="15">
        <v>0.40389999999999998</v>
      </c>
      <c r="H2464" s="15">
        <v>1.9300000000000001E-2</v>
      </c>
      <c r="I2464" s="15">
        <v>3.9899999999999998E-2</v>
      </c>
      <c r="J2464" s="15">
        <v>0.48370927318295742</v>
      </c>
    </row>
    <row r="2465" spans="1:10" x14ac:dyDescent="0.25">
      <c r="A2465" s="2" t="s">
        <v>7075</v>
      </c>
      <c r="B2465" s="2" t="s">
        <v>7007</v>
      </c>
      <c r="C2465" s="2" t="s">
        <v>7076</v>
      </c>
      <c r="D2465" s="2" t="s">
        <v>10055</v>
      </c>
      <c r="E2465" s="15">
        <v>-4.4999999999999997E-3</v>
      </c>
      <c r="F2465" s="15">
        <v>0.14119999999999999</v>
      </c>
      <c r="G2465" s="15">
        <v>0.97430000000000005</v>
      </c>
      <c r="H2465" s="15">
        <v>5.9700000000000003E-2</v>
      </c>
      <c r="I2465" s="15">
        <v>4.24E-2</v>
      </c>
      <c r="J2465" s="15">
        <v>1.408018867924528</v>
      </c>
    </row>
    <row r="2466" spans="1:10" x14ac:dyDescent="0.25">
      <c r="A2466" s="2" t="s">
        <v>7077</v>
      </c>
      <c r="B2466" s="2" t="s">
        <v>7007</v>
      </c>
      <c r="C2466" s="2" t="s">
        <v>7078</v>
      </c>
      <c r="D2466" s="2" t="s">
        <v>10055</v>
      </c>
      <c r="E2466" s="15"/>
      <c r="F2466" s="15"/>
      <c r="G2466" s="15"/>
      <c r="H2466" s="15"/>
      <c r="I2466" s="15"/>
      <c r="J2466" s="15"/>
    </row>
    <row r="2467" spans="1:10" x14ac:dyDescent="0.25">
      <c r="A2467" s="2" t="s">
        <v>7079</v>
      </c>
      <c r="B2467" s="2" t="s">
        <v>7007</v>
      </c>
      <c r="C2467" s="2" t="s">
        <v>7080</v>
      </c>
      <c r="D2467" s="2" t="s">
        <v>10055</v>
      </c>
      <c r="E2467" s="15"/>
      <c r="F2467" s="15"/>
      <c r="G2467" s="15"/>
      <c r="H2467" s="15">
        <v>-2.3E-3</v>
      </c>
      <c r="I2467" s="15">
        <v>3.73E-2</v>
      </c>
      <c r="J2467" s="15">
        <v>-6.1662198391420911E-2</v>
      </c>
    </row>
    <row r="2468" spans="1:10" x14ac:dyDescent="0.25">
      <c r="A2468" s="2" t="s">
        <v>7081</v>
      </c>
      <c r="B2468" s="2" t="s">
        <v>7007</v>
      </c>
      <c r="C2468" s="2" t="s">
        <v>7082</v>
      </c>
      <c r="D2468" s="2" t="s">
        <v>10055</v>
      </c>
      <c r="E2468" s="15">
        <v>4.6100000000000002E-2</v>
      </c>
      <c r="F2468" s="15">
        <v>0.10680000000000001</v>
      </c>
      <c r="G2468" s="15">
        <v>0.66579999999999995</v>
      </c>
      <c r="H2468" s="15">
        <v>9.4E-2</v>
      </c>
      <c r="I2468" s="15">
        <v>3.7699999999999997E-2</v>
      </c>
      <c r="J2468" s="15">
        <v>2.4933687002652518</v>
      </c>
    </row>
    <row r="2469" spans="1:10" x14ac:dyDescent="0.25">
      <c r="A2469" s="2" t="s">
        <v>7083</v>
      </c>
      <c r="B2469" s="2" t="s">
        <v>7007</v>
      </c>
      <c r="C2469" s="2" t="s">
        <v>7084</v>
      </c>
      <c r="D2469" s="2" t="s">
        <v>10055</v>
      </c>
      <c r="E2469" s="15">
        <v>6.4999999999999997E-3</v>
      </c>
      <c r="F2469" s="15">
        <v>0.114</v>
      </c>
      <c r="G2469" s="15">
        <v>0.95469999999999999</v>
      </c>
      <c r="H2469" s="15">
        <v>0.1111</v>
      </c>
      <c r="I2469" s="15">
        <v>4.5199999999999997E-2</v>
      </c>
      <c r="J2469" s="15">
        <v>2.4579646017699122</v>
      </c>
    </row>
    <row r="2470" spans="1:10" x14ac:dyDescent="0.25">
      <c r="A2470" s="2" t="s">
        <v>7085</v>
      </c>
      <c r="B2470" s="2" t="s">
        <v>7007</v>
      </c>
      <c r="C2470" s="2" t="s">
        <v>7086</v>
      </c>
      <c r="D2470" s="2" t="s">
        <v>10055</v>
      </c>
      <c r="E2470" s="15">
        <v>-0.01</v>
      </c>
      <c r="F2470" s="15">
        <v>0.1216</v>
      </c>
      <c r="G2470" s="15">
        <v>0.93459999999999999</v>
      </c>
      <c r="H2470" s="15">
        <v>5.2600000000000001E-2</v>
      </c>
      <c r="I2470" s="15">
        <v>3.6600000000000001E-2</v>
      </c>
      <c r="J2470" s="15">
        <v>1.437158469945355</v>
      </c>
    </row>
    <row r="2471" spans="1:10" x14ac:dyDescent="0.25">
      <c r="A2471" s="2" t="s">
        <v>7087</v>
      </c>
      <c r="B2471" s="2" t="s">
        <v>7007</v>
      </c>
      <c r="C2471" s="2" t="s">
        <v>7088</v>
      </c>
      <c r="D2471" s="2" t="s">
        <v>10055</v>
      </c>
      <c r="E2471" s="15">
        <v>-0.11020000000000001</v>
      </c>
      <c r="F2471" s="15">
        <v>0.18210000000000001</v>
      </c>
      <c r="G2471" s="15">
        <v>0.54510000000000003</v>
      </c>
      <c r="H2471" s="15">
        <v>3.56E-2</v>
      </c>
      <c r="I2471" s="15">
        <v>3.7600000000000001E-2</v>
      </c>
      <c r="J2471" s="15">
        <v>0.94680851063829785</v>
      </c>
    </row>
    <row r="2472" spans="1:10" x14ac:dyDescent="0.25">
      <c r="A2472" s="2" t="s">
        <v>7089</v>
      </c>
      <c r="B2472" s="2" t="s">
        <v>7007</v>
      </c>
      <c r="C2472" s="2" t="s">
        <v>7090</v>
      </c>
      <c r="D2472" s="2" t="s">
        <v>10055</v>
      </c>
      <c r="E2472" s="15"/>
      <c r="F2472" s="15"/>
      <c r="G2472" s="15"/>
      <c r="H2472" s="15">
        <v>-2.93E-2</v>
      </c>
      <c r="I2472" s="15">
        <v>4.0300000000000002E-2</v>
      </c>
      <c r="J2472" s="15">
        <v>-0.72704714640198509</v>
      </c>
    </row>
    <row r="2473" spans="1:10" x14ac:dyDescent="0.25">
      <c r="A2473" s="2" t="s">
        <v>7091</v>
      </c>
      <c r="B2473" s="2" t="s">
        <v>7007</v>
      </c>
      <c r="C2473" s="2" t="s">
        <v>7092</v>
      </c>
      <c r="D2473" s="2" t="s">
        <v>10055</v>
      </c>
      <c r="E2473" s="15">
        <v>0.1153</v>
      </c>
      <c r="F2473" s="15">
        <v>0.16719999999999999</v>
      </c>
      <c r="G2473" s="15">
        <v>0.49049999999999999</v>
      </c>
      <c r="H2473" s="15">
        <v>4.82E-2</v>
      </c>
      <c r="I2473" s="15">
        <v>4.1099999999999998E-2</v>
      </c>
      <c r="J2473" s="15">
        <v>1.172749391727494</v>
      </c>
    </row>
    <row r="2474" spans="1:10" x14ac:dyDescent="0.25">
      <c r="A2474" s="2" t="s">
        <v>7093</v>
      </c>
      <c r="B2474" s="2" t="s">
        <v>7007</v>
      </c>
      <c r="C2474" s="2" t="s">
        <v>7094</v>
      </c>
      <c r="D2474" s="2" t="s">
        <v>10055</v>
      </c>
      <c r="E2474" s="15">
        <v>0.22209999999999999</v>
      </c>
      <c r="F2474" s="15">
        <v>0.15049999999999999</v>
      </c>
      <c r="G2474" s="15">
        <v>0.14000000000000001</v>
      </c>
      <c r="H2474" s="15">
        <v>5.7000000000000002E-2</v>
      </c>
      <c r="I2474" s="15">
        <v>4.1500000000000002E-2</v>
      </c>
      <c r="J2474" s="15">
        <v>1.373493975903614</v>
      </c>
    </row>
    <row r="2475" spans="1:10" x14ac:dyDescent="0.25">
      <c r="A2475" s="2" t="s">
        <v>7095</v>
      </c>
      <c r="B2475" s="2" t="s">
        <v>7007</v>
      </c>
      <c r="C2475" s="2" t="s">
        <v>7096</v>
      </c>
      <c r="D2475" s="2" t="s">
        <v>10055</v>
      </c>
      <c r="E2475" s="15">
        <v>-1.34E-2</v>
      </c>
      <c r="F2475" s="15">
        <v>9.6500000000000002E-2</v>
      </c>
      <c r="G2475" s="15">
        <v>0.88959999999999995</v>
      </c>
      <c r="H2475" s="15">
        <v>0.11169999999999999</v>
      </c>
      <c r="I2475" s="15">
        <v>3.9199999999999999E-2</v>
      </c>
      <c r="J2475" s="15">
        <v>2.8494897959183669</v>
      </c>
    </row>
    <row r="2476" spans="1:10" x14ac:dyDescent="0.25">
      <c r="A2476" s="2" t="s">
        <v>7097</v>
      </c>
      <c r="B2476" s="2" t="s">
        <v>7007</v>
      </c>
      <c r="C2476" s="2" t="s">
        <v>7098</v>
      </c>
      <c r="D2476" s="2" t="s">
        <v>10055</v>
      </c>
      <c r="E2476" s="15">
        <v>-4.3099999999999999E-2</v>
      </c>
      <c r="F2476" s="15">
        <v>0.1933</v>
      </c>
      <c r="G2476" s="15">
        <v>0.82369999999999999</v>
      </c>
      <c r="H2476" s="15">
        <v>2.46E-2</v>
      </c>
      <c r="I2476" s="15">
        <v>3.6299999999999999E-2</v>
      </c>
      <c r="J2476" s="15">
        <v>0.67768595041322321</v>
      </c>
    </row>
    <row r="2477" spans="1:10" x14ac:dyDescent="0.25">
      <c r="A2477" s="2" t="s">
        <v>7099</v>
      </c>
      <c r="B2477" s="2" t="s">
        <v>7007</v>
      </c>
      <c r="C2477" s="2" t="s">
        <v>7100</v>
      </c>
      <c r="D2477" s="2" t="s">
        <v>10055</v>
      </c>
      <c r="E2477" s="15">
        <v>-0.1565</v>
      </c>
      <c r="F2477" s="15">
        <v>0.21440000000000001</v>
      </c>
      <c r="G2477" s="15">
        <v>0.46560000000000001</v>
      </c>
      <c r="H2477" s="15">
        <v>3.1300000000000001E-2</v>
      </c>
      <c r="I2477" s="15">
        <v>4.0399999999999998E-2</v>
      </c>
      <c r="J2477" s="15">
        <v>0.77475247524752477</v>
      </c>
    </row>
    <row r="2478" spans="1:10" x14ac:dyDescent="0.25">
      <c r="A2478" s="2" t="s">
        <v>7101</v>
      </c>
      <c r="B2478" s="2" t="s">
        <v>7007</v>
      </c>
      <c r="C2478" s="2" t="s">
        <v>7102</v>
      </c>
      <c r="D2478" s="2" t="s">
        <v>10055</v>
      </c>
      <c r="E2478" s="15">
        <v>0.27529999999999999</v>
      </c>
      <c r="F2478" s="15">
        <v>0.22520000000000001</v>
      </c>
      <c r="G2478" s="15">
        <v>0.2215</v>
      </c>
      <c r="H2478" s="15">
        <v>3.8199999999999998E-2</v>
      </c>
      <c r="I2478" s="15">
        <v>3.8899999999999997E-2</v>
      </c>
      <c r="J2478" s="15">
        <v>0.98200514138817485</v>
      </c>
    </row>
    <row r="2479" spans="1:10" x14ac:dyDescent="0.25">
      <c r="A2479" s="2" t="s">
        <v>7103</v>
      </c>
      <c r="B2479" s="2" t="s">
        <v>7007</v>
      </c>
      <c r="C2479" s="2" t="s">
        <v>7104</v>
      </c>
      <c r="D2479" s="2" t="s">
        <v>10055</v>
      </c>
      <c r="E2479" s="15"/>
      <c r="F2479" s="15"/>
      <c r="G2479" s="15"/>
      <c r="H2479" s="15">
        <v>-8.0399999999999999E-2</v>
      </c>
      <c r="I2479" s="15">
        <v>3.39E-2</v>
      </c>
      <c r="J2479" s="15">
        <v>-2.3716814159292041</v>
      </c>
    </row>
    <row r="2480" spans="1:10" x14ac:dyDescent="0.25">
      <c r="A2480" s="2" t="s">
        <v>7105</v>
      </c>
      <c r="B2480" s="2" t="s">
        <v>7007</v>
      </c>
      <c r="C2480" s="2" t="s">
        <v>7106</v>
      </c>
      <c r="D2480" s="2" t="s">
        <v>10055</v>
      </c>
      <c r="E2480" s="15">
        <v>3.8699999999999998E-2</v>
      </c>
      <c r="F2480" s="15">
        <v>9.3700000000000006E-2</v>
      </c>
      <c r="G2480" s="15">
        <v>0.67979999999999996</v>
      </c>
      <c r="H2480" s="15">
        <v>0.13350000000000001</v>
      </c>
      <c r="I2480" s="15">
        <v>3.8399999999999997E-2</v>
      </c>
      <c r="J2480" s="15">
        <v>3.4765625</v>
      </c>
    </row>
    <row r="2481" spans="1:10" x14ac:dyDescent="0.25">
      <c r="A2481" s="2" t="s">
        <v>7107</v>
      </c>
      <c r="B2481" s="2" t="s">
        <v>7007</v>
      </c>
      <c r="C2481" s="2" t="s">
        <v>7108</v>
      </c>
      <c r="D2481" s="2" t="s">
        <v>10055</v>
      </c>
      <c r="E2481" s="15"/>
      <c r="F2481" s="15"/>
      <c r="G2481" s="15"/>
      <c r="H2481" s="15">
        <v>-2.6800000000000001E-2</v>
      </c>
      <c r="I2481" s="15">
        <v>3.9800000000000002E-2</v>
      </c>
      <c r="J2481" s="15">
        <v>-0.6733668341708543</v>
      </c>
    </row>
    <row r="2482" spans="1:10" x14ac:dyDescent="0.25">
      <c r="A2482" s="2" t="s">
        <v>7109</v>
      </c>
      <c r="B2482" s="2" t="s">
        <v>7007</v>
      </c>
      <c r="C2482" s="2" t="s">
        <v>7110</v>
      </c>
      <c r="D2482" s="2" t="s">
        <v>10055</v>
      </c>
      <c r="E2482" s="15">
        <v>-0.1177</v>
      </c>
      <c r="F2482" s="15">
        <v>0.13550000000000001</v>
      </c>
      <c r="G2482" s="15">
        <v>0.38479999999999998</v>
      </c>
      <c r="H2482" s="15">
        <v>5.5800000000000002E-2</v>
      </c>
      <c r="I2482" s="15">
        <v>3.7100000000000001E-2</v>
      </c>
      <c r="J2482" s="15">
        <v>1.5040431266846359</v>
      </c>
    </row>
    <row r="2483" spans="1:10" x14ac:dyDescent="0.25">
      <c r="A2483" s="2" t="s">
        <v>7111</v>
      </c>
      <c r="B2483" s="2" t="s">
        <v>7007</v>
      </c>
      <c r="C2483" s="2" t="s">
        <v>7112</v>
      </c>
      <c r="D2483" s="2" t="s">
        <v>10055</v>
      </c>
      <c r="E2483" s="15">
        <v>-0.26550000000000001</v>
      </c>
      <c r="F2483" s="15">
        <v>0.1913</v>
      </c>
      <c r="G2483" s="15">
        <v>0.16520000000000001</v>
      </c>
      <c r="H2483" s="15">
        <v>4.5400000000000003E-2</v>
      </c>
      <c r="I2483" s="15">
        <v>4.02E-2</v>
      </c>
      <c r="J2483" s="15">
        <v>1.1293532338308461</v>
      </c>
    </row>
    <row r="2484" spans="1:10" x14ac:dyDescent="0.25">
      <c r="A2484" s="2" t="s">
        <v>7113</v>
      </c>
      <c r="B2484" s="2" t="s">
        <v>7007</v>
      </c>
      <c r="C2484" s="2" t="s">
        <v>7114</v>
      </c>
      <c r="D2484" s="2" t="s">
        <v>10055</v>
      </c>
      <c r="E2484" s="15"/>
      <c r="F2484" s="15"/>
      <c r="G2484" s="15"/>
      <c r="H2484" s="15">
        <v>-4.4000000000000003E-3</v>
      </c>
      <c r="I2484" s="15">
        <v>4.0399999999999998E-2</v>
      </c>
      <c r="J2484" s="15">
        <v>-0.1089108910891089</v>
      </c>
    </row>
    <row r="2485" spans="1:10" x14ac:dyDescent="0.25">
      <c r="A2485" s="2" t="s">
        <v>7115</v>
      </c>
      <c r="B2485" s="2" t="s">
        <v>7007</v>
      </c>
      <c r="C2485" s="2" t="s">
        <v>7116</v>
      </c>
      <c r="D2485" s="2" t="s">
        <v>10055</v>
      </c>
      <c r="E2485" s="15">
        <v>-0.14499999999999999</v>
      </c>
      <c r="F2485" s="15">
        <v>0.1462</v>
      </c>
      <c r="G2485" s="15">
        <v>0.32129999999999997</v>
      </c>
      <c r="H2485" s="15">
        <v>5.5399999999999998E-2</v>
      </c>
      <c r="I2485" s="15">
        <v>4.2200000000000001E-2</v>
      </c>
      <c r="J2485" s="15">
        <v>1.312796208530806</v>
      </c>
    </row>
    <row r="2486" spans="1:10" x14ac:dyDescent="0.25">
      <c r="A2486" s="2" t="s">
        <v>7117</v>
      </c>
      <c r="B2486" s="2" t="s">
        <v>7007</v>
      </c>
      <c r="C2486" s="2" t="s">
        <v>7118</v>
      </c>
      <c r="D2486" s="2" t="s">
        <v>10055</v>
      </c>
      <c r="E2486" s="15"/>
      <c r="F2486" s="15"/>
      <c r="G2486" s="15"/>
      <c r="H2486" s="15">
        <v>-8.0000000000000002E-3</v>
      </c>
      <c r="I2486" s="15">
        <v>3.8800000000000001E-2</v>
      </c>
      <c r="J2486" s="15">
        <v>-0.2061855670103093</v>
      </c>
    </row>
    <row r="2487" spans="1:10" x14ac:dyDescent="0.25">
      <c r="A2487" s="2" t="s">
        <v>7119</v>
      </c>
      <c r="B2487" s="2" t="s">
        <v>7007</v>
      </c>
      <c r="C2487" s="2" t="s">
        <v>7120</v>
      </c>
      <c r="D2487" s="2" t="s">
        <v>10055</v>
      </c>
      <c r="E2487" s="15"/>
      <c r="F2487" s="15"/>
      <c r="G2487" s="15"/>
      <c r="H2487" s="15"/>
      <c r="I2487" s="15"/>
      <c r="J2487" s="15"/>
    </row>
    <row r="2488" spans="1:10" x14ac:dyDescent="0.25">
      <c r="A2488" s="2" t="s">
        <v>7121</v>
      </c>
      <c r="B2488" s="2" t="s">
        <v>7007</v>
      </c>
      <c r="C2488" s="2" t="s">
        <v>7122</v>
      </c>
      <c r="D2488" s="2" t="s">
        <v>10055</v>
      </c>
      <c r="E2488" s="15">
        <v>2.29E-2</v>
      </c>
      <c r="F2488" s="15">
        <v>0.115</v>
      </c>
      <c r="G2488" s="15">
        <v>0.84230000000000005</v>
      </c>
      <c r="H2488" s="15">
        <v>6.8400000000000002E-2</v>
      </c>
      <c r="I2488" s="15">
        <v>4.1500000000000002E-2</v>
      </c>
      <c r="J2488" s="15">
        <v>1.6481927710843369</v>
      </c>
    </row>
    <row r="2489" spans="1:10" x14ac:dyDescent="0.25">
      <c r="A2489" s="2" t="s">
        <v>7123</v>
      </c>
      <c r="B2489" s="2" t="s">
        <v>7007</v>
      </c>
      <c r="C2489" s="2" t="s">
        <v>7124</v>
      </c>
      <c r="D2489" s="2" t="s">
        <v>10055</v>
      </c>
      <c r="E2489" s="15">
        <v>-0.437</v>
      </c>
      <c r="F2489" s="15">
        <v>0.504</v>
      </c>
      <c r="G2489" s="15">
        <v>0.38590000000000002</v>
      </c>
      <c r="H2489" s="15">
        <v>2.07E-2</v>
      </c>
      <c r="I2489" s="15">
        <v>3.5200000000000002E-2</v>
      </c>
      <c r="J2489" s="15">
        <v>0.58806818181818177</v>
      </c>
    </row>
    <row r="2490" spans="1:10" x14ac:dyDescent="0.25">
      <c r="A2490" s="2" t="s">
        <v>7125</v>
      </c>
      <c r="B2490" s="2" t="s">
        <v>7007</v>
      </c>
      <c r="C2490" s="2" t="s">
        <v>7126</v>
      </c>
      <c r="D2490" s="2" t="s">
        <v>10055</v>
      </c>
      <c r="E2490" s="15">
        <v>8.7099999999999997E-2</v>
      </c>
      <c r="F2490" s="15">
        <v>0.1075</v>
      </c>
      <c r="G2490" s="15">
        <v>0.41770000000000002</v>
      </c>
      <c r="H2490" s="15">
        <v>0.112</v>
      </c>
      <c r="I2490" s="15">
        <v>4.0399999999999998E-2</v>
      </c>
      <c r="J2490" s="15">
        <v>2.772277227722773</v>
      </c>
    </row>
    <row r="2491" spans="1:10" x14ac:dyDescent="0.25">
      <c r="A2491" s="2" t="s">
        <v>7127</v>
      </c>
      <c r="B2491" s="2" t="s">
        <v>7007</v>
      </c>
      <c r="C2491" s="2" t="s">
        <v>7128</v>
      </c>
      <c r="D2491" s="2" t="s">
        <v>10055</v>
      </c>
      <c r="E2491" s="15"/>
      <c r="F2491" s="15"/>
      <c r="G2491" s="15"/>
      <c r="H2491" s="15">
        <v>-2.6200000000000001E-2</v>
      </c>
      <c r="I2491" s="15">
        <v>4.1000000000000002E-2</v>
      </c>
      <c r="J2491" s="15">
        <v>-0.63902439024390245</v>
      </c>
    </row>
    <row r="2492" spans="1:10" x14ac:dyDescent="0.25">
      <c r="A2492" s="2" t="s">
        <v>7129</v>
      </c>
      <c r="B2492" s="2" t="s">
        <v>7007</v>
      </c>
      <c r="C2492" s="2" t="s">
        <v>7130</v>
      </c>
      <c r="D2492" s="2" t="s">
        <v>10055</v>
      </c>
      <c r="E2492" s="15">
        <v>-0.14000000000000001</v>
      </c>
      <c r="F2492" s="15">
        <v>0.1462</v>
      </c>
      <c r="G2492" s="15">
        <v>0.33839999999999998</v>
      </c>
      <c r="H2492" s="15">
        <v>6.1499999999999999E-2</v>
      </c>
      <c r="I2492" s="15">
        <v>3.9600000000000003E-2</v>
      </c>
      <c r="J2492" s="15">
        <v>1.553030303030303</v>
      </c>
    </row>
    <row r="2493" spans="1:10" x14ac:dyDescent="0.25">
      <c r="A2493" s="2" t="s">
        <v>7131</v>
      </c>
      <c r="B2493" s="2" t="s">
        <v>7007</v>
      </c>
      <c r="C2493" s="2" t="s">
        <v>7132</v>
      </c>
      <c r="D2493" s="2" t="s">
        <v>10055</v>
      </c>
      <c r="E2493" s="15"/>
      <c r="F2493" s="15"/>
      <c r="G2493" s="15"/>
      <c r="H2493" s="15"/>
      <c r="I2493" s="15"/>
      <c r="J2493" s="15"/>
    </row>
    <row r="2494" spans="1:10" x14ac:dyDescent="0.25">
      <c r="A2494" s="2" t="s">
        <v>7133</v>
      </c>
      <c r="B2494" s="2" t="s">
        <v>7007</v>
      </c>
      <c r="C2494" s="2" t="s">
        <v>7134</v>
      </c>
      <c r="D2494" s="2" t="s">
        <v>10055</v>
      </c>
      <c r="E2494" s="15"/>
      <c r="F2494" s="15"/>
      <c r="G2494" s="15"/>
      <c r="H2494" s="15">
        <v>-2.5899999999999999E-2</v>
      </c>
      <c r="I2494" s="15">
        <v>4.0599999999999997E-2</v>
      </c>
      <c r="J2494" s="15">
        <v>-0.63793103448275867</v>
      </c>
    </row>
    <row r="2495" spans="1:10" x14ac:dyDescent="0.25">
      <c r="A2495" s="2" t="s">
        <v>7135</v>
      </c>
      <c r="B2495" s="2" t="s">
        <v>7007</v>
      </c>
      <c r="C2495" s="2" t="s">
        <v>7136</v>
      </c>
      <c r="D2495" s="2" t="s">
        <v>10055</v>
      </c>
      <c r="E2495" s="15">
        <v>0.41389999999999999</v>
      </c>
      <c r="F2495" s="15">
        <v>0.32719999999999999</v>
      </c>
      <c r="G2495" s="15">
        <v>0.2059</v>
      </c>
      <c r="H2495" s="15">
        <v>2.7900000000000001E-2</v>
      </c>
      <c r="I2495" s="15">
        <v>3.6400000000000002E-2</v>
      </c>
      <c r="J2495" s="15">
        <v>0.76648351648351642</v>
      </c>
    </row>
    <row r="2496" spans="1:10" x14ac:dyDescent="0.25">
      <c r="A2496" s="2" t="s">
        <v>7137</v>
      </c>
      <c r="B2496" s="2" t="s">
        <v>7007</v>
      </c>
      <c r="C2496" s="2" t="s">
        <v>7138</v>
      </c>
      <c r="D2496" s="2" t="s">
        <v>10055</v>
      </c>
      <c r="E2496" s="15">
        <v>-8.6300000000000002E-2</v>
      </c>
      <c r="F2496" s="15">
        <v>0.10589999999999999</v>
      </c>
      <c r="G2496" s="15">
        <v>0.4153</v>
      </c>
      <c r="H2496" s="15">
        <v>0.1139</v>
      </c>
      <c r="I2496" s="15">
        <v>3.8800000000000001E-2</v>
      </c>
      <c r="J2496" s="15">
        <v>2.9355670103092781</v>
      </c>
    </row>
    <row r="2497" spans="1:10" x14ac:dyDescent="0.25">
      <c r="A2497" s="2" t="s">
        <v>7139</v>
      </c>
      <c r="B2497" s="2" t="s">
        <v>7007</v>
      </c>
      <c r="C2497" s="2" t="s">
        <v>7140</v>
      </c>
      <c r="D2497" s="2" t="s">
        <v>10055</v>
      </c>
      <c r="E2497" s="15"/>
      <c r="F2497" s="15"/>
      <c r="G2497" s="15"/>
      <c r="H2497" s="15">
        <v>-4.3400000000000001E-2</v>
      </c>
      <c r="I2497" s="15">
        <v>3.0099999999999998E-2</v>
      </c>
      <c r="J2497" s="15">
        <v>-1.441860465116279</v>
      </c>
    </row>
    <row r="2498" spans="1:10" x14ac:dyDescent="0.25">
      <c r="A2498" s="2" t="s">
        <v>7141</v>
      </c>
      <c r="B2498" s="2" t="s">
        <v>7007</v>
      </c>
      <c r="C2498" s="2" t="s">
        <v>7142</v>
      </c>
      <c r="D2498" s="2" t="s">
        <v>10055</v>
      </c>
      <c r="E2498" s="15"/>
      <c r="F2498" s="15"/>
      <c r="G2498" s="15"/>
      <c r="H2498" s="15"/>
      <c r="I2498" s="15"/>
      <c r="J2498" s="15"/>
    </row>
    <row r="2499" spans="1:10" x14ac:dyDescent="0.25">
      <c r="A2499" s="2" t="s">
        <v>7143</v>
      </c>
      <c r="B2499" s="2" t="s">
        <v>7007</v>
      </c>
      <c r="C2499" s="2" t="s">
        <v>7144</v>
      </c>
      <c r="D2499" s="2" t="s">
        <v>10055</v>
      </c>
      <c r="E2499" s="15"/>
      <c r="F2499" s="15"/>
      <c r="G2499" s="15"/>
      <c r="H2499" s="15">
        <v>-3.3599999999999998E-2</v>
      </c>
      <c r="I2499" s="15">
        <v>3.6799999999999999E-2</v>
      </c>
      <c r="J2499" s="15">
        <v>-0.91304347826086951</v>
      </c>
    </row>
    <row r="2500" spans="1:10" x14ac:dyDescent="0.25">
      <c r="A2500" s="2" t="s">
        <v>7145</v>
      </c>
      <c r="B2500" s="2" t="s">
        <v>7007</v>
      </c>
      <c r="C2500" s="2" t="s">
        <v>7146</v>
      </c>
      <c r="D2500" s="2" t="s">
        <v>10055</v>
      </c>
      <c r="E2500" s="15">
        <v>9.3100000000000002E-2</v>
      </c>
      <c r="F2500" s="15">
        <v>0.11890000000000001</v>
      </c>
      <c r="G2500" s="15">
        <v>0.43340000000000001</v>
      </c>
      <c r="H2500" s="15">
        <v>7.5999999999999998E-2</v>
      </c>
      <c r="I2500" s="15">
        <v>3.56E-2</v>
      </c>
      <c r="J2500" s="15">
        <v>2.1348314606741572</v>
      </c>
    </row>
    <row r="2501" spans="1:10" x14ac:dyDescent="0.25">
      <c r="A2501" s="2" t="s">
        <v>7147</v>
      </c>
      <c r="B2501" s="2" t="s">
        <v>7007</v>
      </c>
      <c r="C2501" s="2" t="s">
        <v>7148</v>
      </c>
      <c r="D2501" s="2" t="s">
        <v>10055</v>
      </c>
      <c r="E2501" s="15">
        <v>0.21229999999999999</v>
      </c>
      <c r="F2501" s="15">
        <v>0.127</v>
      </c>
      <c r="G2501" s="15">
        <v>9.4600000000000004E-2</v>
      </c>
      <c r="H2501" s="15">
        <v>8.8200000000000001E-2</v>
      </c>
      <c r="I2501" s="15">
        <v>3.9300000000000002E-2</v>
      </c>
      <c r="J2501" s="15">
        <v>2.2442748091603049</v>
      </c>
    </row>
    <row r="2502" spans="1:10" x14ac:dyDescent="0.25">
      <c r="A2502" s="2" t="s">
        <v>7149</v>
      </c>
      <c r="B2502" s="2" t="s">
        <v>7007</v>
      </c>
      <c r="C2502" s="2" t="s">
        <v>7150</v>
      </c>
      <c r="D2502" s="2" t="s">
        <v>10055</v>
      </c>
      <c r="E2502" s="15">
        <v>0.2626</v>
      </c>
      <c r="F2502" s="15">
        <v>0.1933</v>
      </c>
      <c r="G2502" s="15">
        <v>0.17430000000000001</v>
      </c>
      <c r="H2502" s="15">
        <v>4.1399999999999999E-2</v>
      </c>
      <c r="I2502" s="15">
        <v>3.49E-2</v>
      </c>
      <c r="J2502" s="15">
        <v>1.186246418338109</v>
      </c>
    </row>
    <row r="2503" spans="1:10" x14ac:dyDescent="0.25">
      <c r="A2503" s="2" t="s">
        <v>7151</v>
      </c>
      <c r="B2503" s="2" t="s">
        <v>7007</v>
      </c>
      <c r="C2503" s="2" t="s">
        <v>7152</v>
      </c>
      <c r="D2503" s="2" t="s">
        <v>10055</v>
      </c>
      <c r="E2503" s="15"/>
      <c r="F2503" s="15"/>
      <c r="G2503" s="15"/>
      <c r="H2503" s="15"/>
      <c r="I2503" s="15"/>
      <c r="J2503" s="15"/>
    </row>
    <row r="2504" spans="1:10" x14ac:dyDescent="0.25">
      <c r="A2504" s="2" t="s">
        <v>7153</v>
      </c>
      <c r="B2504" s="2" t="s">
        <v>7007</v>
      </c>
      <c r="C2504" s="2" t="s">
        <v>7154</v>
      </c>
      <c r="D2504" s="2" t="s">
        <v>10055</v>
      </c>
      <c r="E2504" s="15">
        <v>0.25879999999999997</v>
      </c>
      <c r="F2504" s="15">
        <v>0.40129999999999999</v>
      </c>
      <c r="G2504" s="15">
        <v>0.51910000000000001</v>
      </c>
      <c r="H2504" s="15">
        <v>2.3400000000000001E-2</v>
      </c>
      <c r="I2504" s="15">
        <v>3.7100000000000001E-2</v>
      </c>
      <c r="J2504" s="15">
        <v>0.6307277628032345</v>
      </c>
    </row>
    <row r="2505" spans="1:10" x14ac:dyDescent="0.25">
      <c r="A2505" s="2" t="s">
        <v>7155</v>
      </c>
      <c r="B2505" s="2" t="s">
        <v>7007</v>
      </c>
      <c r="C2505" s="2" t="s">
        <v>7156</v>
      </c>
      <c r="D2505" s="2" t="s">
        <v>10055</v>
      </c>
      <c r="E2505" s="15">
        <v>-1.2999999999999999E-2</v>
      </c>
      <c r="F2505" s="15">
        <v>0.127</v>
      </c>
      <c r="G2505" s="15">
        <v>0.91830000000000001</v>
      </c>
      <c r="H2505" s="15">
        <v>6.6799999999999998E-2</v>
      </c>
      <c r="I2505" s="15">
        <v>3.7699999999999997E-2</v>
      </c>
      <c r="J2505" s="15">
        <v>1.771883289124669</v>
      </c>
    </row>
    <row r="2506" spans="1:10" x14ac:dyDescent="0.25">
      <c r="A2506" s="2" t="s">
        <v>7157</v>
      </c>
      <c r="B2506" s="2" t="s">
        <v>7007</v>
      </c>
      <c r="C2506" s="2" t="s">
        <v>7158</v>
      </c>
      <c r="D2506" s="2" t="s">
        <v>10055</v>
      </c>
      <c r="E2506" s="15">
        <v>0.1075</v>
      </c>
      <c r="F2506" s="15">
        <v>0.1072</v>
      </c>
      <c r="G2506" s="15">
        <v>0.31609999999999999</v>
      </c>
      <c r="H2506" s="15">
        <v>0.10440000000000001</v>
      </c>
      <c r="I2506" s="15">
        <v>4.0599999999999997E-2</v>
      </c>
      <c r="J2506" s="15">
        <v>2.5714285714285721</v>
      </c>
    </row>
    <row r="2507" spans="1:10" x14ac:dyDescent="0.25">
      <c r="A2507" s="2" t="s">
        <v>7159</v>
      </c>
      <c r="B2507" s="2" t="s">
        <v>7007</v>
      </c>
      <c r="C2507" s="2" t="s">
        <v>7160</v>
      </c>
      <c r="D2507" s="2" t="s">
        <v>10055</v>
      </c>
      <c r="E2507" s="15">
        <v>-0.11990000000000001</v>
      </c>
      <c r="F2507" s="15">
        <v>0.14149999999999999</v>
      </c>
      <c r="G2507" s="15">
        <v>0.3967</v>
      </c>
      <c r="H2507" s="15">
        <v>0.05</v>
      </c>
      <c r="I2507" s="15">
        <v>3.4700000000000002E-2</v>
      </c>
      <c r="J2507" s="15">
        <v>1.4409221902017291</v>
      </c>
    </row>
    <row r="2508" spans="1:10" x14ac:dyDescent="0.25">
      <c r="A2508" s="2" t="s">
        <v>7161</v>
      </c>
      <c r="B2508" s="2" t="s">
        <v>7007</v>
      </c>
      <c r="C2508" s="2" t="s">
        <v>7162</v>
      </c>
      <c r="D2508" s="2" t="s">
        <v>10055</v>
      </c>
      <c r="E2508" s="15">
        <v>0.11700000000000001</v>
      </c>
      <c r="F2508" s="15">
        <v>0.13</v>
      </c>
      <c r="G2508" s="15">
        <v>0.36840000000000001</v>
      </c>
      <c r="H2508" s="15">
        <v>8.3199999999999996E-2</v>
      </c>
      <c r="I2508" s="15">
        <v>3.8300000000000001E-2</v>
      </c>
      <c r="J2508" s="15">
        <v>2.172323759791122</v>
      </c>
    </row>
    <row r="2509" spans="1:10" x14ac:dyDescent="0.25">
      <c r="A2509" s="2" t="s">
        <v>7163</v>
      </c>
      <c r="B2509" s="2" t="s">
        <v>7007</v>
      </c>
      <c r="C2509" s="2" t="s">
        <v>7164</v>
      </c>
      <c r="D2509" s="2" t="s">
        <v>10055</v>
      </c>
      <c r="E2509" s="15">
        <v>9.69E-2</v>
      </c>
      <c r="F2509" s="15">
        <v>0.1368</v>
      </c>
      <c r="G2509" s="15">
        <v>0.4788</v>
      </c>
      <c r="H2509" s="15">
        <v>6.3700000000000007E-2</v>
      </c>
      <c r="I2509" s="15">
        <v>3.4799999999999998E-2</v>
      </c>
      <c r="J2509" s="15">
        <v>1.830459770114943</v>
      </c>
    </row>
    <row r="2510" spans="1:10" x14ac:dyDescent="0.25">
      <c r="A2510" s="2" t="s">
        <v>7165</v>
      </c>
      <c r="B2510" s="2" t="s">
        <v>7007</v>
      </c>
      <c r="C2510" s="2" t="s">
        <v>7166</v>
      </c>
      <c r="D2510" s="2" t="s">
        <v>10055</v>
      </c>
      <c r="E2510" s="15"/>
      <c r="F2510" s="15"/>
      <c r="G2510" s="15"/>
      <c r="H2510" s="15">
        <v>-2.1299999999999999E-2</v>
      </c>
      <c r="I2510" s="15">
        <v>3.1800000000000002E-2</v>
      </c>
      <c r="J2510" s="15">
        <v>-0.66981132075471694</v>
      </c>
    </row>
    <row r="2511" spans="1:10" x14ac:dyDescent="0.25">
      <c r="A2511" s="2" t="s">
        <v>7167</v>
      </c>
      <c r="B2511" s="2" t="s">
        <v>7007</v>
      </c>
      <c r="C2511" s="2" t="s">
        <v>7168</v>
      </c>
      <c r="D2511" s="2" t="s">
        <v>10055</v>
      </c>
      <c r="E2511" s="15">
        <v>1.18E-2</v>
      </c>
      <c r="F2511" s="15">
        <v>0.12809999999999999</v>
      </c>
      <c r="G2511" s="15">
        <v>0.92669999999999997</v>
      </c>
      <c r="H2511" s="15">
        <v>7.8600000000000003E-2</v>
      </c>
      <c r="I2511" s="15">
        <v>4.0399999999999998E-2</v>
      </c>
      <c r="J2511" s="15">
        <v>1.9455445544554459</v>
      </c>
    </row>
    <row r="2512" spans="1:10" x14ac:dyDescent="0.25">
      <c r="A2512" s="2" t="s">
        <v>7169</v>
      </c>
      <c r="B2512" s="2" t="s">
        <v>7007</v>
      </c>
      <c r="C2512" s="2" t="s">
        <v>7170</v>
      </c>
      <c r="D2512" s="2" t="s">
        <v>10055</v>
      </c>
      <c r="E2512" s="15">
        <v>-4.7300000000000002E-2</v>
      </c>
      <c r="F2512" s="15">
        <v>0.1537</v>
      </c>
      <c r="G2512" s="15">
        <v>0.75800000000000001</v>
      </c>
      <c r="H2512" s="15">
        <v>5.7599999999999998E-2</v>
      </c>
      <c r="I2512" s="15">
        <v>4.4600000000000001E-2</v>
      </c>
      <c r="J2512" s="15">
        <v>1.2914798206278031</v>
      </c>
    </row>
    <row r="2513" spans="1:10" x14ac:dyDescent="0.25">
      <c r="A2513" s="2" t="s">
        <v>7171</v>
      </c>
      <c r="B2513" s="2" t="s">
        <v>7007</v>
      </c>
      <c r="C2513" s="2" t="s">
        <v>7172</v>
      </c>
      <c r="D2513" s="2" t="s">
        <v>10055</v>
      </c>
      <c r="E2513" s="15">
        <v>0.16800000000000001</v>
      </c>
      <c r="F2513" s="15">
        <v>0.1391</v>
      </c>
      <c r="G2513" s="15">
        <v>0.2271</v>
      </c>
      <c r="H2513" s="15">
        <v>5.7500000000000002E-2</v>
      </c>
      <c r="I2513" s="15">
        <v>3.7499999999999999E-2</v>
      </c>
      <c r="J2513" s="15">
        <v>1.533333333333333</v>
      </c>
    </row>
    <row r="2514" spans="1:10" x14ac:dyDescent="0.25">
      <c r="A2514" s="2" t="s">
        <v>7173</v>
      </c>
      <c r="B2514" s="2" t="s">
        <v>7007</v>
      </c>
      <c r="C2514" s="2" t="s">
        <v>7174</v>
      </c>
      <c r="D2514" s="2" t="s">
        <v>10055</v>
      </c>
      <c r="E2514" s="15">
        <v>0.1426</v>
      </c>
      <c r="F2514" s="15">
        <v>0.15459999999999999</v>
      </c>
      <c r="G2514" s="15">
        <v>0.35639999999999999</v>
      </c>
      <c r="H2514" s="15">
        <v>4.1700000000000001E-2</v>
      </c>
      <c r="I2514" s="15">
        <v>3.7499999999999999E-2</v>
      </c>
      <c r="J2514" s="15">
        <v>1.1120000000000001</v>
      </c>
    </row>
    <row r="2515" spans="1:10" x14ac:dyDescent="0.25">
      <c r="A2515" s="2" t="s">
        <v>7175</v>
      </c>
      <c r="B2515" s="2" t="s">
        <v>7007</v>
      </c>
      <c r="C2515" s="2" t="s">
        <v>7176</v>
      </c>
      <c r="D2515" s="2" t="s">
        <v>10055</v>
      </c>
      <c r="E2515" s="15">
        <v>2.75E-2</v>
      </c>
      <c r="F2515" s="15">
        <v>0.13819999999999999</v>
      </c>
      <c r="G2515" s="15">
        <v>0.84209999999999996</v>
      </c>
      <c r="H2515" s="15">
        <v>8.8900000000000007E-2</v>
      </c>
      <c r="I2515" s="15">
        <v>4.1599999999999998E-2</v>
      </c>
      <c r="J2515" s="15">
        <v>2.1370192307692308</v>
      </c>
    </row>
    <row r="2516" spans="1:10" x14ac:dyDescent="0.25">
      <c r="A2516" s="2" t="s">
        <v>7177</v>
      </c>
      <c r="B2516" s="2" t="s">
        <v>7007</v>
      </c>
      <c r="C2516" s="2" t="s">
        <v>7178</v>
      </c>
      <c r="D2516" s="2" t="s">
        <v>10055</v>
      </c>
      <c r="E2516" s="15">
        <v>-7.3800000000000004E-2</v>
      </c>
      <c r="F2516" s="15">
        <v>0.1719</v>
      </c>
      <c r="G2516" s="15">
        <v>0.66769999999999996</v>
      </c>
      <c r="H2516" s="15">
        <v>4.0399999999999998E-2</v>
      </c>
      <c r="I2516" s="15">
        <v>3.5299999999999998E-2</v>
      </c>
      <c r="J2516" s="15">
        <v>1.1444759206798869</v>
      </c>
    </row>
    <row r="2517" spans="1:10" x14ac:dyDescent="0.25">
      <c r="A2517" s="2" t="s">
        <v>7179</v>
      </c>
      <c r="B2517" s="2" t="s">
        <v>7007</v>
      </c>
      <c r="C2517" s="2" t="s">
        <v>7180</v>
      </c>
      <c r="D2517" s="2" t="s">
        <v>10055</v>
      </c>
      <c r="E2517" s="15">
        <v>-2.7000000000000001E-3</v>
      </c>
      <c r="F2517" s="15">
        <v>0.12379999999999999</v>
      </c>
      <c r="G2517" s="15">
        <v>0.9829</v>
      </c>
      <c r="H2517" s="15">
        <v>8.6800000000000002E-2</v>
      </c>
      <c r="I2517" s="15">
        <v>3.9699999999999999E-2</v>
      </c>
      <c r="J2517" s="15">
        <v>2.1863979848866499</v>
      </c>
    </row>
    <row r="2518" spans="1:10" x14ac:dyDescent="0.25">
      <c r="A2518" s="2" t="s">
        <v>7181</v>
      </c>
      <c r="B2518" s="2" t="s">
        <v>7007</v>
      </c>
      <c r="C2518" s="2" t="s">
        <v>7182</v>
      </c>
      <c r="D2518" s="2" t="s">
        <v>10055</v>
      </c>
      <c r="E2518" s="15">
        <v>0.1101</v>
      </c>
      <c r="F2518" s="15">
        <v>0.17960000000000001</v>
      </c>
      <c r="G2518" s="15">
        <v>0.53969999999999996</v>
      </c>
      <c r="H2518" s="15">
        <v>4.0899999999999999E-2</v>
      </c>
      <c r="I2518" s="15">
        <v>3.7499999999999999E-2</v>
      </c>
      <c r="J2518" s="15">
        <v>1.0906666666666669</v>
      </c>
    </row>
    <row r="2519" spans="1:10" x14ac:dyDescent="0.25">
      <c r="A2519" s="2" t="s">
        <v>7183</v>
      </c>
      <c r="B2519" s="2" t="s">
        <v>7007</v>
      </c>
      <c r="C2519" s="2" t="s">
        <v>7184</v>
      </c>
      <c r="D2519" s="2" t="s">
        <v>10055</v>
      </c>
      <c r="E2519" s="15"/>
      <c r="F2519" s="15"/>
      <c r="G2519" s="15"/>
      <c r="H2519" s="15">
        <v>-2.0199999999999999E-2</v>
      </c>
      <c r="I2519" s="15">
        <v>3.9399999999999998E-2</v>
      </c>
      <c r="J2519" s="15">
        <v>-0.51269035532994922</v>
      </c>
    </row>
    <row r="2520" spans="1:10" x14ac:dyDescent="0.25">
      <c r="A2520" s="2" t="s">
        <v>7185</v>
      </c>
      <c r="B2520" s="2" t="s">
        <v>7007</v>
      </c>
      <c r="C2520" s="2" t="s">
        <v>7186</v>
      </c>
      <c r="D2520" s="2" t="s">
        <v>10055</v>
      </c>
      <c r="E2520" s="15">
        <v>0.26889999999999997</v>
      </c>
      <c r="F2520" s="15">
        <v>0.19020000000000001</v>
      </c>
      <c r="G2520" s="15">
        <v>0.1573</v>
      </c>
      <c r="H2520" s="15">
        <v>4.4600000000000001E-2</v>
      </c>
      <c r="I2520" s="15">
        <v>3.5000000000000003E-2</v>
      </c>
      <c r="J2520" s="15">
        <v>1.274285714285714</v>
      </c>
    </row>
    <row r="2521" spans="1:10" x14ac:dyDescent="0.25">
      <c r="A2521" s="2" t="s">
        <v>7187</v>
      </c>
      <c r="B2521" s="2" t="s">
        <v>7007</v>
      </c>
      <c r="C2521" s="2" t="s">
        <v>7188</v>
      </c>
      <c r="D2521" s="2" t="s">
        <v>10055</v>
      </c>
      <c r="E2521" s="15">
        <v>-0.1434</v>
      </c>
      <c r="F2521" s="15">
        <v>0.13850000000000001</v>
      </c>
      <c r="G2521" s="15">
        <v>0.30030000000000001</v>
      </c>
      <c r="H2521" s="15">
        <v>4.9700000000000001E-2</v>
      </c>
      <c r="I2521" s="15">
        <v>3.5900000000000001E-2</v>
      </c>
      <c r="J2521" s="15">
        <v>1.3844011142061281</v>
      </c>
    </row>
    <row r="2522" spans="1:10" x14ac:dyDescent="0.25">
      <c r="A2522" s="2" t="s">
        <v>7189</v>
      </c>
      <c r="B2522" s="2" t="s">
        <v>7007</v>
      </c>
      <c r="C2522" s="2" t="s">
        <v>7190</v>
      </c>
      <c r="D2522" s="2" t="s">
        <v>10055</v>
      </c>
      <c r="E2522" s="15"/>
      <c r="F2522" s="15"/>
      <c r="G2522" s="15"/>
      <c r="H2522" s="15">
        <v>-2.6800000000000001E-2</v>
      </c>
      <c r="I2522" s="15">
        <v>3.56E-2</v>
      </c>
      <c r="J2522" s="15">
        <v>-0.75280898876404501</v>
      </c>
    </row>
    <row r="2523" spans="1:10" x14ac:dyDescent="0.25">
      <c r="A2523" s="2" t="s">
        <v>7191</v>
      </c>
      <c r="B2523" s="2" t="s">
        <v>7007</v>
      </c>
      <c r="C2523" s="2" t="s">
        <v>7192</v>
      </c>
      <c r="D2523" s="2" t="s">
        <v>10055</v>
      </c>
      <c r="E2523" s="15">
        <v>-2.8899999999999999E-2</v>
      </c>
      <c r="F2523" s="15">
        <v>9.3700000000000006E-2</v>
      </c>
      <c r="G2523" s="15">
        <v>0.75749999999999995</v>
      </c>
      <c r="H2523" s="15">
        <v>0.10920000000000001</v>
      </c>
      <c r="I2523" s="15">
        <v>3.7699999999999997E-2</v>
      </c>
      <c r="J2523" s="15">
        <v>2.896551724137931</v>
      </c>
    </row>
    <row r="2524" spans="1:10" x14ac:dyDescent="0.25">
      <c r="A2524" s="2" t="s">
        <v>7193</v>
      </c>
      <c r="B2524" s="2" t="s">
        <v>7007</v>
      </c>
      <c r="C2524" s="2" t="s">
        <v>7194</v>
      </c>
      <c r="D2524" s="2" t="s">
        <v>10055</v>
      </c>
      <c r="E2524" s="15"/>
      <c r="F2524" s="15"/>
      <c r="G2524" s="15"/>
      <c r="H2524" s="15"/>
      <c r="I2524" s="15"/>
      <c r="J2524" s="15"/>
    </row>
    <row r="2525" spans="1:10" x14ac:dyDescent="0.25">
      <c r="A2525" s="2" t="s">
        <v>7195</v>
      </c>
      <c r="B2525" s="2" t="s">
        <v>7007</v>
      </c>
      <c r="C2525" s="2" t="s">
        <v>7196</v>
      </c>
      <c r="D2525" s="2" t="s">
        <v>10055</v>
      </c>
      <c r="E2525" s="15">
        <v>0.2399</v>
      </c>
      <c r="F2525" s="15">
        <v>0.28289999999999998</v>
      </c>
      <c r="G2525" s="15">
        <v>0.39650000000000002</v>
      </c>
      <c r="H2525" s="15">
        <v>2.7099999999999999E-2</v>
      </c>
      <c r="I2525" s="15">
        <v>3.78E-2</v>
      </c>
      <c r="J2525" s="15">
        <v>0.71693121693121686</v>
      </c>
    </row>
    <row r="2526" spans="1:10" x14ac:dyDescent="0.25">
      <c r="A2526" s="2" t="s">
        <v>7197</v>
      </c>
      <c r="B2526" s="2" t="s">
        <v>7007</v>
      </c>
      <c r="C2526" s="2" t="s">
        <v>7198</v>
      </c>
      <c r="D2526" s="2" t="s">
        <v>10055</v>
      </c>
      <c r="E2526" s="15">
        <v>-8.9200000000000002E-2</v>
      </c>
      <c r="F2526" s="15">
        <v>0.253</v>
      </c>
      <c r="G2526" s="15">
        <v>0.72430000000000005</v>
      </c>
      <c r="H2526" s="15">
        <v>1.8599999999999998E-2</v>
      </c>
      <c r="I2526" s="15">
        <v>3.95E-2</v>
      </c>
      <c r="J2526" s="15">
        <v>0.47088607594936699</v>
      </c>
    </row>
    <row r="2527" spans="1:10" x14ac:dyDescent="0.25">
      <c r="A2527" s="2" t="s">
        <v>7199</v>
      </c>
      <c r="B2527" s="2" t="s">
        <v>7007</v>
      </c>
      <c r="C2527" s="2" t="s">
        <v>7200</v>
      </c>
      <c r="D2527" s="2" t="s">
        <v>10055</v>
      </c>
      <c r="E2527" s="15">
        <v>2.8E-3</v>
      </c>
      <c r="F2527" s="15">
        <v>0.16889999999999999</v>
      </c>
      <c r="G2527" s="15">
        <v>0.98680000000000001</v>
      </c>
      <c r="H2527" s="15">
        <v>4.0599999999999997E-2</v>
      </c>
      <c r="I2527" s="15">
        <v>3.7199999999999997E-2</v>
      </c>
      <c r="J2527" s="15">
        <v>1.091397849462366</v>
      </c>
    </row>
    <row r="2528" spans="1:10" x14ac:dyDescent="0.25">
      <c r="A2528" s="2" t="s">
        <v>7201</v>
      </c>
      <c r="B2528" s="2" t="s">
        <v>7007</v>
      </c>
      <c r="C2528" s="2" t="s">
        <v>7202</v>
      </c>
      <c r="D2528" s="2" t="s">
        <v>10055</v>
      </c>
      <c r="E2528" s="15"/>
      <c r="F2528" s="15"/>
      <c r="G2528" s="15"/>
      <c r="H2528" s="15">
        <v>-2.0000000000000001E-4</v>
      </c>
      <c r="I2528" s="15">
        <v>3.8199999999999998E-2</v>
      </c>
      <c r="J2528" s="15">
        <v>-5.235602094240838E-3</v>
      </c>
    </row>
    <row r="2529" spans="1:10" x14ac:dyDescent="0.25">
      <c r="A2529" s="2" t="s">
        <v>7203</v>
      </c>
      <c r="B2529" s="2" t="s">
        <v>7007</v>
      </c>
      <c r="C2529" s="2" t="s">
        <v>7204</v>
      </c>
      <c r="D2529" s="2" t="s">
        <v>10055</v>
      </c>
      <c r="E2529" s="15">
        <v>0.38929999999999998</v>
      </c>
      <c r="F2529" s="15">
        <v>0.16900000000000001</v>
      </c>
      <c r="G2529" s="15">
        <v>2.12E-2</v>
      </c>
      <c r="H2529" s="15">
        <v>5.6599999999999998E-2</v>
      </c>
      <c r="I2529" s="15">
        <v>3.6900000000000002E-2</v>
      </c>
      <c r="J2529" s="15">
        <v>1.533875338753387</v>
      </c>
    </row>
    <row r="2530" spans="1:10" x14ac:dyDescent="0.25">
      <c r="A2530" s="2" t="s">
        <v>7205</v>
      </c>
      <c r="B2530" s="2" t="s">
        <v>7007</v>
      </c>
      <c r="C2530" s="2" t="s">
        <v>7206</v>
      </c>
      <c r="D2530" s="2" t="s">
        <v>10055</v>
      </c>
      <c r="E2530" s="15">
        <v>5.0200000000000002E-2</v>
      </c>
      <c r="F2530" s="15">
        <v>0.1119</v>
      </c>
      <c r="G2530" s="15">
        <v>0.65349999999999997</v>
      </c>
      <c r="H2530" s="15">
        <v>9.5500000000000002E-2</v>
      </c>
      <c r="I2530" s="15">
        <v>3.6900000000000002E-2</v>
      </c>
      <c r="J2530" s="15">
        <v>2.588075880758808</v>
      </c>
    </row>
    <row r="2531" spans="1:10" x14ac:dyDescent="0.25">
      <c r="A2531" s="2" t="s">
        <v>7207</v>
      </c>
      <c r="B2531" s="2" t="s">
        <v>7007</v>
      </c>
      <c r="C2531" s="2" t="s">
        <v>7208</v>
      </c>
      <c r="D2531" s="2" t="s">
        <v>10055</v>
      </c>
      <c r="E2531" s="15">
        <v>5.7299999999999997E-2</v>
      </c>
      <c r="F2531" s="15">
        <v>9.4600000000000004E-2</v>
      </c>
      <c r="G2531" s="15">
        <v>0.54469999999999996</v>
      </c>
      <c r="H2531" s="15">
        <v>0.1123</v>
      </c>
      <c r="I2531" s="15">
        <v>4.4999999999999998E-2</v>
      </c>
      <c r="J2531" s="15">
        <v>2.4955555555555562</v>
      </c>
    </row>
    <row r="2532" spans="1:10" x14ac:dyDescent="0.25">
      <c r="A2532" s="2" t="s">
        <v>7209</v>
      </c>
      <c r="B2532" s="2" t="s">
        <v>7007</v>
      </c>
      <c r="C2532" s="2" t="s">
        <v>7210</v>
      </c>
      <c r="D2532" s="2" t="s">
        <v>10055</v>
      </c>
      <c r="E2532" s="15">
        <v>4.2599999999999999E-2</v>
      </c>
      <c r="F2532" s="15">
        <v>0.18099999999999999</v>
      </c>
      <c r="G2532" s="15">
        <v>0.81389999999999996</v>
      </c>
      <c r="H2532" s="15">
        <v>3.39E-2</v>
      </c>
      <c r="I2532" s="15">
        <v>3.9399999999999998E-2</v>
      </c>
      <c r="J2532" s="15">
        <v>0.86040609137055846</v>
      </c>
    </row>
    <row r="2533" spans="1:10" x14ac:dyDescent="0.25">
      <c r="A2533" s="2" t="s">
        <v>7211</v>
      </c>
      <c r="B2533" s="2" t="s">
        <v>7007</v>
      </c>
      <c r="C2533" s="2" t="s">
        <v>7212</v>
      </c>
      <c r="D2533" s="2" t="s">
        <v>10055</v>
      </c>
      <c r="E2533" s="15"/>
      <c r="F2533" s="15"/>
      <c r="G2533" s="15"/>
      <c r="H2533" s="15"/>
      <c r="I2533" s="15"/>
      <c r="J2533" s="15"/>
    </row>
    <row r="2534" spans="1:10" x14ac:dyDescent="0.25">
      <c r="A2534" s="2" t="s">
        <v>7213</v>
      </c>
      <c r="B2534" s="2" t="s">
        <v>7007</v>
      </c>
      <c r="C2534" s="2" t="s">
        <v>7214</v>
      </c>
      <c r="D2534" s="2" t="s">
        <v>10055</v>
      </c>
      <c r="E2534" s="15">
        <v>1.18E-2</v>
      </c>
      <c r="F2534" s="15">
        <v>0.14099999999999999</v>
      </c>
      <c r="G2534" s="15">
        <v>0.93300000000000005</v>
      </c>
      <c r="H2534" s="15">
        <v>6.3700000000000007E-2</v>
      </c>
      <c r="I2534" s="15">
        <v>4.0099999999999997E-2</v>
      </c>
      <c r="J2534" s="15">
        <v>1.58852867830424</v>
      </c>
    </row>
    <row r="2535" spans="1:10" x14ac:dyDescent="0.25">
      <c r="A2535" s="2" t="s">
        <v>7215</v>
      </c>
      <c r="B2535" s="2" t="s">
        <v>7007</v>
      </c>
      <c r="C2535" s="2" t="s">
        <v>7216</v>
      </c>
      <c r="D2535" s="2" t="s">
        <v>10055</v>
      </c>
      <c r="E2535" s="15">
        <v>2.9100000000000001E-2</v>
      </c>
      <c r="F2535" s="15">
        <v>0.18720000000000001</v>
      </c>
      <c r="G2535" s="15">
        <v>0.87649999999999995</v>
      </c>
      <c r="H2535" s="15">
        <v>2.8799999999999999E-2</v>
      </c>
      <c r="I2535" s="15">
        <v>3.9E-2</v>
      </c>
      <c r="J2535" s="15">
        <v>0.73846153846153839</v>
      </c>
    </row>
    <row r="2536" spans="1:10" x14ac:dyDescent="0.25">
      <c r="A2536" s="2" t="s">
        <v>7217</v>
      </c>
      <c r="B2536" s="2" t="s">
        <v>7007</v>
      </c>
      <c r="C2536" s="2" t="s">
        <v>7218</v>
      </c>
      <c r="D2536" s="2" t="s">
        <v>10055</v>
      </c>
      <c r="E2536" s="15">
        <v>0.20780000000000001</v>
      </c>
      <c r="F2536" s="15">
        <v>0.2447</v>
      </c>
      <c r="G2536" s="15">
        <v>0.39579999999999999</v>
      </c>
      <c r="H2536" s="15">
        <v>2.7099999999999999E-2</v>
      </c>
      <c r="I2536" s="15">
        <v>3.8699999999999998E-2</v>
      </c>
      <c r="J2536" s="15">
        <v>0.70025839793281652</v>
      </c>
    </row>
    <row r="2537" spans="1:10" x14ac:dyDescent="0.25">
      <c r="A2537" s="2" t="s">
        <v>7219</v>
      </c>
      <c r="B2537" s="2" t="s">
        <v>7007</v>
      </c>
      <c r="C2537" s="2" t="s">
        <v>7220</v>
      </c>
      <c r="D2537" s="2" t="s">
        <v>10055</v>
      </c>
      <c r="E2537" s="15"/>
      <c r="F2537" s="15"/>
      <c r="G2537" s="15"/>
      <c r="H2537" s="15">
        <v>-1.5900000000000001E-2</v>
      </c>
      <c r="I2537" s="15">
        <v>3.3099999999999997E-2</v>
      </c>
      <c r="J2537" s="15">
        <v>-0.48036253776435051</v>
      </c>
    </row>
    <row r="2538" spans="1:10" x14ac:dyDescent="0.25">
      <c r="A2538" s="2" t="s">
        <v>7221</v>
      </c>
      <c r="B2538" s="2" t="s">
        <v>7007</v>
      </c>
      <c r="C2538" s="2" t="s">
        <v>7222</v>
      </c>
      <c r="D2538" s="2" t="s">
        <v>10055</v>
      </c>
      <c r="E2538" s="15">
        <v>0.1116</v>
      </c>
      <c r="F2538" s="15">
        <v>0.16830000000000001</v>
      </c>
      <c r="G2538" s="15">
        <v>0.5071</v>
      </c>
      <c r="H2538" s="15">
        <v>3.6400000000000002E-2</v>
      </c>
      <c r="I2538" s="15">
        <v>3.8399999999999997E-2</v>
      </c>
      <c r="J2538" s="15">
        <v>0.94791666666666685</v>
      </c>
    </row>
    <row r="2539" spans="1:10" x14ac:dyDescent="0.25">
      <c r="A2539" s="2" t="s">
        <v>7223</v>
      </c>
      <c r="B2539" s="2" t="s">
        <v>7007</v>
      </c>
      <c r="C2539" s="2" t="s">
        <v>7224</v>
      </c>
      <c r="D2539" s="2" t="s">
        <v>10055</v>
      </c>
      <c r="E2539" s="15">
        <v>-0.28129999999999999</v>
      </c>
      <c r="F2539" s="15">
        <v>0.27400000000000002</v>
      </c>
      <c r="G2539" s="15">
        <v>0.30459999999999998</v>
      </c>
      <c r="H2539" s="15">
        <v>2.93E-2</v>
      </c>
      <c r="I2539" s="15">
        <v>3.9300000000000002E-2</v>
      </c>
      <c r="J2539" s="15">
        <v>0.74554707379134855</v>
      </c>
    </row>
    <row r="2540" spans="1:10" x14ac:dyDescent="0.25">
      <c r="A2540" s="2" t="s">
        <v>7225</v>
      </c>
      <c r="B2540" s="2" t="s">
        <v>7007</v>
      </c>
      <c r="C2540" s="2" t="s">
        <v>7226</v>
      </c>
      <c r="D2540" s="2" t="s">
        <v>10055</v>
      </c>
      <c r="E2540" s="15"/>
      <c r="F2540" s="15"/>
      <c r="G2540" s="15"/>
      <c r="H2540" s="15">
        <v>-2.3699999999999999E-2</v>
      </c>
      <c r="I2540" s="15">
        <v>3.3000000000000002E-2</v>
      </c>
      <c r="J2540" s="15">
        <v>-0.71818181818181814</v>
      </c>
    </row>
    <row r="2541" spans="1:10" x14ac:dyDescent="0.25">
      <c r="A2541" s="2" t="s">
        <v>7227</v>
      </c>
      <c r="B2541" s="2" t="s">
        <v>7007</v>
      </c>
      <c r="C2541" s="2" t="s">
        <v>7228</v>
      </c>
      <c r="D2541" s="2" t="s">
        <v>10055</v>
      </c>
      <c r="E2541" s="15"/>
      <c r="F2541" s="15"/>
      <c r="G2541" s="15"/>
      <c r="H2541" s="15">
        <v>-1.2800000000000001E-2</v>
      </c>
      <c r="I2541" s="15">
        <v>3.44E-2</v>
      </c>
      <c r="J2541" s="15">
        <v>-0.37209302325581389</v>
      </c>
    </row>
    <row r="2542" spans="1:10" x14ac:dyDescent="0.25">
      <c r="A2542" s="2" t="s">
        <v>7229</v>
      </c>
      <c r="B2542" s="2" t="s">
        <v>7007</v>
      </c>
      <c r="C2542" s="2" t="s">
        <v>7230</v>
      </c>
      <c r="D2542" s="2" t="s">
        <v>10055</v>
      </c>
      <c r="E2542" s="15"/>
      <c r="F2542" s="15"/>
      <c r="G2542" s="15"/>
      <c r="H2542" s="15">
        <v>-5.0799999999999998E-2</v>
      </c>
      <c r="I2542" s="15">
        <v>3.1899999999999998E-2</v>
      </c>
      <c r="J2542" s="15">
        <v>-1.592476489028213</v>
      </c>
    </row>
    <row r="2543" spans="1:10" x14ac:dyDescent="0.25">
      <c r="A2543" s="2" t="s">
        <v>7231</v>
      </c>
      <c r="B2543" s="2" t="s">
        <v>7007</v>
      </c>
      <c r="C2543" s="2" t="s">
        <v>7232</v>
      </c>
      <c r="D2543" s="2" t="s">
        <v>10055</v>
      </c>
      <c r="E2543" s="15">
        <v>0.1908</v>
      </c>
      <c r="F2543" s="15">
        <v>0.19689999999999999</v>
      </c>
      <c r="G2543" s="15">
        <v>0.33239999999999997</v>
      </c>
      <c r="H2543" s="15">
        <v>3.6200000000000003E-2</v>
      </c>
      <c r="I2543" s="15">
        <v>3.7900000000000003E-2</v>
      </c>
      <c r="J2543" s="15">
        <v>0.95514511873350927</v>
      </c>
    </row>
    <row r="2544" spans="1:10" x14ac:dyDescent="0.25">
      <c r="A2544" s="2" t="s">
        <v>7233</v>
      </c>
      <c r="B2544" s="2" t="s">
        <v>7007</v>
      </c>
      <c r="C2544" s="2" t="s">
        <v>7234</v>
      </c>
      <c r="D2544" s="2" t="s">
        <v>10055</v>
      </c>
      <c r="E2544" s="15"/>
      <c r="F2544" s="15"/>
      <c r="G2544" s="15"/>
      <c r="H2544" s="15">
        <v>-6.0000000000000001E-3</v>
      </c>
      <c r="I2544" s="15">
        <v>3.9E-2</v>
      </c>
      <c r="J2544" s="15">
        <v>-0.15384615384615391</v>
      </c>
    </row>
    <row r="2545" spans="1:10" x14ac:dyDescent="0.25">
      <c r="A2545" s="2" t="s">
        <v>7235</v>
      </c>
      <c r="B2545" s="2" t="s">
        <v>7007</v>
      </c>
      <c r="C2545" s="2" t="s">
        <v>7236</v>
      </c>
      <c r="D2545" s="2" t="s">
        <v>10055</v>
      </c>
      <c r="E2545" s="15">
        <v>-0.1502</v>
      </c>
      <c r="F2545" s="15">
        <v>0.79510000000000003</v>
      </c>
      <c r="G2545" s="15">
        <v>0.85019999999999996</v>
      </c>
      <c r="H2545" s="15">
        <v>1.18E-2</v>
      </c>
      <c r="I2545" s="15">
        <v>3.8899999999999997E-2</v>
      </c>
      <c r="J2545" s="15">
        <v>0.30334190231362468</v>
      </c>
    </row>
    <row r="2546" spans="1:10" x14ac:dyDescent="0.25">
      <c r="A2546" s="2" t="s">
        <v>7237</v>
      </c>
      <c r="B2546" s="2" t="s">
        <v>7007</v>
      </c>
      <c r="C2546" s="2" t="s">
        <v>7238</v>
      </c>
      <c r="D2546" s="2" t="s">
        <v>10055</v>
      </c>
      <c r="E2546" s="15">
        <v>-8.8000000000000005E-3</v>
      </c>
      <c r="F2546" s="15">
        <v>0.20830000000000001</v>
      </c>
      <c r="G2546" s="15">
        <v>0.96650000000000003</v>
      </c>
      <c r="H2546" s="15">
        <v>2.4299999999999999E-2</v>
      </c>
      <c r="I2546" s="15">
        <v>3.2300000000000002E-2</v>
      </c>
      <c r="J2546" s="15">
        <v>0.75232198142414852</v>
      </c>
    </row>
    <row r="2547" spans="1:10" x14ac:dyDescent="0.25">
      <c r="A2547" s="2" t="s">
        <v>7239</v>
      </c>
      <c r="B2547" s="2" t="s">
        <v>7007</v>
      </c>
      <c r="C2547" s="2" t="s">
        <v>7240</v>
      </c>
      <c r="D2547" s="2" t="s">
        <v>10055</v>
      </c>
      <c r="E2547" s="15"/>
      <c r="F2547" s="15"/>
      <c r="G2547" s="15"/>
      <c r="H2547" s="15">
        <v>-2.1399999999999999E-2</v>
      </c>
      <c r="I2547" s="15">
        <v>3.3799999999999997E-2</v>
      </c>
      <c r="J2547" s="15">
        <v>-0.63313609467455623</v>
      </c>
    </row>
    <row r="2548" spans="1:10" x14ac:dyDescent="0.25">
      <c r="A2548" s="2" t="s">
        <v>7241</v>
      </c>
      <c r="B2548" s="2" t="s">
        <v>7007</v>
      </c>
      <c r="C2548" s="2" t="s">
        <v>7242</v>
      </c>
      <c r="D2548" s="2" t="s">
        <v>10055</v>
      </c>
      <c r="E2548" s="15"/>
      <c r="F2548" s="15"/>
      <c r="G2548" s="15"/>
      <c r="H2548" s="15"/>
      <c r="I2548" s="15"/>
      <c r="J2548" s="15"/>
    </row>
    <row r="2549" spans="1:10" x14ac:dyDescent="0.25">
      <c r="A2549" s="2" t="s">
        <v>7243</v>
      </c>
      <c r="B2549" s="2" t="s">
        <v>7007</v>
      </c>
      <c r="C2549" s="2" t="s">
        <v>7244</v>
      </c>
      <c r="D2549" s="2" t="s">
        <v>10055</v>
      </c>
      <c r="E2549" s="15"/>
      <c r="F2549" s="15"/>
      <c r="G2549" s="15"/>
      <c r="H2549" s="15">
        <v>-9.4000000000000004E-3</v>
      </c>
      <c r="I2549" s="15">
        <v>3.8800000000000001E-2</v>
      </c>
      <c r="J2549" s="15">
        <v>-0.2422680412371134</v>
      </c>
    </row>
    <row r="2550" spans="1:10" x14ac:dyDescent="0.25">
      <c r="A2550" s="2" t="s">
        <v>7245</v>
      </c>
      <c r="B2550" s="2" t="s">
        <v>7007</v>
      </c>
      <c r="C2550" s="2" t="s">
        <v>7246</v>
      </c>
      <c r="D2550" s="2" t="s">
        <v>10055</v>
      </c>
      <c r="E2550" s="15"/>
      <c r="F2550" s="15"/>
      <c r="G2550" s="15"/>
      <c r="H2550" s="15">
        <v>-9.5999999999999992E-3</v>
      </c>
      <c r="I2550" s="15">
        <v>3.4200000000000001E-2</v>
      </c>
      <c r="J2550" s="15">
        <v>-0.2807017543859649</v>
      </c>
    </row>
    <row r="2551" spans="1:10" x14ac:dyDescent="0.25">
      <c r="A2551" s="2" t="s">
        <v>7247</v>
      </c>
      <c r="B2551" s="2" t="s">
        <v>7007</v>
      </c>
      <c r="C2551" s="2" t="s">
        <v>7248</v>
      </c>
      <c r="D2551" s="2" t="s">
        <v>10055</v>
      </c>
      <c r="E2551" s="15"/>
      <c r="F2551" s="15"/>
      <c r="G2551" s="15"/>
      <c r="H2551" s="15">
        <v>-1.9E-3</v>
      </c>
      <c r="I2551" s="15">
        <v>3.6799999999999999E-2</v>
      </c>
      <c r="J2551" s="15">
        <v>-5.1630434782608703E-2</v>
      </c>
    </row>
    <row r="2552" spans="1:10" x14ac:dyDescent="0.25">
      <c r="A2552" s="2" t="s">
        <v>7249</v>
      </c>
      <c r="B2552" s="2" t="s">
        <v>7007</v>
      </c>
      <c r="C2552" s="2" t="s">
        <v>7250</v>
      </c>
      <c r="D2552" s="2" t="s">
        <v>10055</v>
      </c>
      <c r="E2552" s="15">
        <v>-4.4000000000000003E-3</v>
      </c>
      <c r="F2552" s="15">
        <v>0.1537</v>
      </c>
      <c r="G2552" s="15">
        <v>0.97740000000000005</v>
      </c>
      <c r="H2552" s="15">
        <v>4.2900000000000001E-2</v>
      </c>
      <c r="I2552" s="15">
        <v>3.6400000000000002E-2</v>
      </c>
      <c r="J2552" s="15">
        <v>1.178571428571429</v>
      </c>
    </row>
    <row r="2553" spans="1:10" x14ac:dyDescent="0.25">
      <c r="A2553" s="2" t="s">
        <v>7251</v>
      </c>
      <c r="B2553" s="2" t="s">
        <v>7007</v>
      </c>
      <c r="C2553" s="2" t="s">
        <v>7252</v>
      </c>
      <c r="D2553" s="2" t="s">
        <v>10055</v>
      </c>
      <c r="E2553" s="15">
        <v>-9.0800000000000006E-2</v>
      </c>
      <c r="F2553" s="15">
        <v>0.2039</v>
      </c>
      <c r="G2553" s="15">
        <v>0.65610000000000002</v>
      </c>
      <c r="H2553" s="15">
        <v>2.92E-2</v>
      </c>
      <c r="I2553" s="15">
        <v>4.07E-2</v>
      </c>
      <c r="J2553" s="15">
        <v>0.71744471744471749</v>
      </c>
    </row>
    <row r="2554" spans="1:10" x14ac:dyDescent="0.25">
      <c r="A2554" s="2" t="s">
        <v>7253</v>
      </c>
      <c r="B2554" s="2" t="s">
        <v>7007</v>
      </c>
      <c r="C2554" s="2" t="s">
        <v>7254</v>
      </c>
      <c r="D2554" s="2" t="s">
        <v>10055</v>
      </c>
      <c r="E2554" s="15">
        <v>-1.8499999999999999E-2</v>
      </c>
      <c r="F2554" s="15">
        <v>9.6199999999999994E-2</v>
      </c>
      <c r="G2554" s="15">
        <v>0.84770000000000001</v>
      </c>
      <c r="H2554" s="15">
        <v>0.11219999999999999</v>
      </c>
      <c r="I2554" s="15">
        <v>3.9699999999999999E-2</v>
      </c>
      <c r="J2554" s="15">
        <v>2.8261964735516369</v>
      </c>
    </row>
    <row r="2555" spans="1:10" x14ac:dyDescent="0.25">
      <c r="A2555" s="2" t="s">
        <v>7255</v>
      </c>
      <c r="B2555" s="2" t="s">
        <v>7007</v>
      </c>
      <c r="C2555" s="2" t="s">
        <v>7256</v>
      </c>
      <c r="D2555" s="2" t="s">
        <v>10055</v>
      </c>
      <c r="E2555" s="15">
        <v>0.10249999999999999</v>
      </c>
      <c r="F2555" s="15">
        <v>0.1898</v>
      </c>
      <c r="G2555" s="15">
        <v>0.58930000000000005</v>
      </c>
      <c r="H2555" s="15">
        <v>3.2899999999999999E-2</v>
      </c>
      <c r="I2555" s="15">
        <v>3.5799999999999998E-2</v>
      </c>
      <c r="J2555" s="15">
        <v>0.91899441340782118</v>
      </c>
    </row>
    <row r="2556" spans="1:10" x14ac:dyDescent="0.25">
      <c r="A2556" s="2" t="s">
        <v>7257</v>
      </c>
      <c r="B2556" s="2" t="s">
        <v>7007</v>
      </c>
      <c r="C2556" s="2" t="s">
        <v>7258</v>
      </c>
      <c r="D2556" s="2" t="s">
        <v>10055</v>
      </c>
      <c r="E2556" s="15">
        <v>0.44080000000000003</v>
      </c>
      <c r="F2556" s="15">
        <v>0.45250000000000001</v>
      </c>
      <c r="G2556" s="15">
        <v>0.33</v>
      </c>
      <c r="H2556" s="15">
        <v>2.1299999999999999E-2</v>
      </c>
      <c r="I2556" s="15">
        <v>3.6700000000000003E-2</v>
      </c>
      <c r="J2556" s="15">
        <v>0.58038147138964569</v>
      </c>
    </row>
    <row r="2557" spans="1:10" x14ac:dyDescent="0.25">
      <c r="A2557" s="2" t="s">
        <v>7259</v>
      </c>
      <c r="B2557" s="2" t="s">
        <v>7007</v>
      </c>
      <c r="C2557" s="2" t="s">
        <v>7260</v>
      </c>
      <c r="D2557" s="2" t="s">
        <v>10055</v>
      </c>
      <c r="E2557" s="15">
        <v>-2.5700000000000001E-2</v>
      </c>
      <c r="F2557" s="15">
        <v>0.14810000000000001</v>
      </c>
      <c r="G2557" s="15">
        <v>0.86199999999999999</v>
      </c>
      <c r="H2557" s="15">
        <v>4.9299999999999997E-2</v>
      </c>
      <c r="I2557" s="15">
        <v>3.8699999999999998E-2</v>
      </c>
      <c r="J2557" s="15">
        <v>1.2739018087855301</v>
      </c>
    </row>
    <row r="2558" spans="1:10" x14ac:dyDescent="0.25">
      <c r="A2558" s="2" t="s">
        <v>7261</v>
      </c>
      <c r="B2558" s="2" t="s">
        <v>7007</v>
      </c>
      <c r="C2558" s="2" t="s">
        <v>7262</v>
      </c>
      <c r="D2558" s="2" t="s">
        <v>10055</v>
      </c>
      <c r="E2558" s="15">
        <v>-8.3000000000000004E-2</v>
      </c>
      <c r="F2558" s="15">
        <v>0.1633</v>
      </c>
      <c r="G2558" s="15">
        <v>0.61119999999999997</v>
      </c>
      <c r="H2558" s="15">
        <v>4.3099999999999999E-2</v>
      </c>
      <c r="I2558" s="15">
        <v>4.4299999999999999E-2</v>
      </c>
      <c r="J2558" s="15">
        <v>0.97291196388261847</v>
      </c>
    </row>
    <row r="2559" spans="1:10" x14ac:dyDescent="0.25">
      <c r="A2559" s="2" t="s">
        <v>7263</v>
      </c>
      <c r="B2559" s="2" t="s">
        <v>7007</v>
      </c>
      <c r="C2559" s="2" t="s">
        <v>7264</v>
      </c>
      <c r="D2559" s="2" t="s">
        <v>10055</v>
      </c>
      <c r="E2559" s="15"/>
      <c r="F2559" s="15"/>
      <c r="G2559" s="15"/>
      <c r="H2559" s="15"/>
      <c r="I2559" s="15"/>
      <c r="J2559" s="15"/>
    </row>
    <row r="2560" spans="1:10" x14ac:dyDescent="0.25">
      <c r="A2560" s="2" t="s">
        <v>7265</v>
      </c>
      <c r="B2560" s="2" t="s">
        <v>7007</v>
      </c>
      <c r="C2560" s="2" t="s">
        <v>7266</v>
      </c>
      <c r="D2560" s="2" t="s">
        <v>10055</v>
      </c>
      <c r="E2560" s="15"/>
      <c r="F2560" s="15"/>
      <c r="G2560" s="15"/>
      <c r="H2560" s="15">
        <v>-3.6299999999999999E-2</v>
      </c>
      <c r="I2560" s="15">
        <v>3.5400000000000001E-2</v>
      </c>
      <c r="J2560" s="15">
        <v>-1.025423728813559</v>
      </c>
    </row>
    <row r="2561" spans="1:10" x14ac:dyDescent="0.25">
      <c r="A2561" s="2" t="s">
        <v>7267</v>
      </c>
      <c r="B2561" s="2" t="s">
        <v>7007</v>
      </c>
      <c r="C2561" s="2" t="s">
        <v>7268</v>
      </c>
      <c r="D2561" s="2" t="s">
        <v>10055</v>
      </c>
      <c r="E2561" s="15">
        <v>-0.12959999999999999</v>
      </c>
      <c r="F2561" s="15">
        <v>0.12559999999999999</v>
      </c>
      <c r="G2561" s="15">
        <v>0.30180000000000001</v>
      </c>
      <c r="H2561" s="15">
        <v>8.2500000000000004E-2</v>
      </c>
      <c r="I2561" s="15">
        <v>4.5999999999999999E-2</v>
      </c>
      <c r="J2561" s="15">
        <v>1.793478260869565</v>
      </c>
    </row>
    <row r="2562" spans="1:10" x14ac:dyDescent="0.25">
      <c r="A2562" s="2" t="s">
        <v>7269</v>
      </c>
      <c r="B2562" s="2" t="s">
        <v>7007</v>
      </c>
      <c r="C2562" s="2" t="s">
        <v>7270</v>
      </c>
      <c r="D2562" s="2" t="s">
        <v>10055</v>
      </c>
      <c r="E2562" s="15">
        <v>7.2499999999999995E-2</v>
      </c>
      <c r="F2562" s="15">
        <v>0.12959999999999999</v>
      </c>
      <c r="G2562" s="15">
        <v>0.5756</v>
      </c>
      <c r="H2562" s="15">
        <v>6.2600000000000003E-2</v>
      </c>
      <c r="I2562" s="15">
        <v>0.04</v>
      </c>
      <c r="J2562" s="15">
        <v>1.5649999999999999</v>
      </c>
    </row>
    <row r="2563" spans="1:10" x14ac:dyDescent="0.25">
      <c r="A2563" s="2" t="s">
        <v>7271</v>
      </c>
      <c r="B2563" s="2" t="s">
        <v>7007</v>
      </c>
      <c r="C2563" s="2" t="s">
        <v>7272</v>
      </c>
      <c r="D2563" s="2" t="s">
        <v>10055</v>
      </c>
      <c r="E2563" s="15">
        <v>-4.5999999999999999E-2</v>
      </c>
      <c r="F2563" s="15">
        <v>0.11219999999999999</v>
      </c>
      <c r="G2563" s="15">
        <v>0.68200000000000005</v>
      </c>
      <c r="H2563" s="15">
        <v>0.1082</v>
      </c>
      <c r="I2563" s="15">
        <v>4.02E-2</v>
      </c>
      <c r="J2563" s="15">
        <v>2.6915422885572138</v>
      </c>
    </row>
    <row r="2564" spans="1:10" x14ac:dyDescent="0.25">
      <c r="A2564" s="2" t="s">
        <v>7273</v>
      </c>
      <c r="B2564" s="2" t="s">
        <v>7007</v>
      </c>
      <c r="C2564" s="2" t="s">
        <v>7274</v>
      </c>
      <c r="D2564" s="2" t="s">
        <v>10055</v>
      </c>
      <c r="E2564" s="15"/>
      <c r="F2564" s="15"/>
      <c r="G2564" s="15"/>
      <c r="H2564" s="15">
        <v>-4.4499999999999998E-2</v>
      </c>
      <c r="I2564" s="15">
        <v>3.56E-2</v>
      </c>
      <c r="J2564" s="15">
        <v>-1.25</v>
      </c>
    </row>
    <row r="2565" spans="1:10" x14ac:dyDescent="0.25">
      <c r="A2565" s="2" t="s">
        <v>7275</v>
      </c>
      <c r="B2565" s="2" t="s">
        <v>7007</v>
      </c>
      <c r="C2565" s="2" t="s">
        <v>7276</v>
      </c>
      <c r="D2565" s="2" t="s">
        <v>10055</v>
      </c>
      <c r="E2565" s="15">
        <v>-0.26219999999999999</v>
      </c>
      <c r="F2565" s="15">
        <v>0.1235</v>
      </c>
      <c r="G2565" s="15">
        <v>3.3700000000000001E-2</v>
      </c>
      <c r="H2565" s="15">
        <v>8.6599999999999996E-2</v>
      </c>
      <c r="I2565" s="15">
        <v>3.6299999999999999E-2</v>
      </c>
      <c r="J2565" s="15">
        <v>2.385674931129476</v>
      </c>
    </row>
    <row r="2566" spans="1:10" x14ac:dyDescent="0.25">
      <c r="A2566" s="2" t="s">
        <v>7277</v>
      </c>
      <c r="B2566" s="2" t="s">
        <v>7007</v>
      </c>
      <c r="C2566" s="2" t="s">
        <v>7278</v>
      </c>
      <c r="D2566" s="2" t="s">
        <v>10055</v>
      </c>
      <c r="E2566" s="15"/>
      <c r="F2566" s="15"/>
      <c r="G2566" s="15"/>
      <c r="H2566" s="15">
        <v>-5.5999999999999999E-3</v>
      </c>
      <c r="I2566" s="15">
        <v>4.1099999999999998E-2</v>
      </c>
      <c r="J2566" s="15">
        <v>-0.13625304136253041</v>
      </c>
    </row>
    <row r="2567" spans="1:10" x14ac:dyDescent="0.25">
      <c r="A2567" s="2" t="s">
        <v>7279</v>
      </c>
      <c r="B2567" s="2" t="s">
        <v>7007</v>
      </c>
      <c r="C2567" s="2" t="s">
        <v>7280</v>
      </c>
      <c r="D2567" s="2" t="s">
        <v>10055</v>
      </c>
      <c r="E2567" s="15"/>
      <c r="F2567" s="15"/>
      <c r="G2567" s="15"/>
      <c r="H2567" s="15">
        <v>-2.0299999999999999E-2</v>
      </c>
      <c r="I2567" s="15">
        <v>3.7699999999999997E-2</v>
      </c>
      <c r="J2567" s="15">
        <v>-0.53846153846153844</v>
      </c>
    </row>
    <row r="2568" spans="1:10" x14ac:dyDescent="0.25">
      <c r="A2568" s="2" t="s">
        <v>7281</v>
      </c>
      <c r="B2568" s="2" t="s">
        <v>7007</v>
      </c>
      <c r="C2568" s="2" t="s">
        <v>7282</v>
      </c>
      <c r="D2568" s="2" t="s">
        <v>10055</v>
      </c>
      <c r="E2568" s="15">
        <v>-7.0900000000000005E-2</v>
      </c>
      <c r="F2568" s="15">
        <v>0.15160000000000001</v>
      </c>
      <c r="G2568" s="15">
        <v>0.64</v>
      </c>
      <c r="H2568" s="15">
        <v>4.9599999999999998E-2</v>
      </c>
      <c r="I2568" s="15">
        <v>3.6400000000000002E-2</v>
      </c>
      <c r="J2568" s="15">
        <v>1.362637362637362</v>
      </c>
    </row>
    <row r="2569" spans="1:10" x14ac:dyDescent="0.25">
      <c r="A2569" s="2" t="s">
        <v>7283</v>
      </c>
      <c r="B2569" s="2" t="s">
        <v>7007</v>
      </c>
      <c r="C2569" s="2" t="s">
        <v>7284</v>
      </c>
      <c r="D2569" s="2" t="s">
        <v>10055</v>
      </c>
      <c r="E2569" s="15"/>
      <c r="F2569" s="15"/>
      <c r="G2569" s="15"/>
      <c r="H2569" s="15">
        <v>-5.4000000000000003E-3</v>
      </c>
      <c r="I2569" s="15">
        <v>3.7400000000000003E-2</v>
      </c>
      <c r="J2569" s="15">
        <v>-0.14438502673796791</v>
      </c>
    </row>
    <row r="2570" spans="1:10" x14ac:dyDescent="0.25">
      <c r="A2570" s="2" t="s">
        <v>7285</v>
      </c>
      <c r="B2570" s="2" t="s">
        <v>7007</v>
      </c>
      <c r="C2570" s="2" t="s">
        <v>7286</v>
      </c>
      <c r="D2570" s="2" t="s">
        <v>10055</v>
      </c>
      <c r="E2570" s="15">
        <v>0.30159999999999998</v>
      </c>
      <c r="F2570" s="15">
        <v>0.13170000000000001</v>
      </c>
      <c r="G2570" s="15">
        <v>2.1999999999999999E-2</v>
      </c>
      <c r="H2570" s="15">
        <v>0.10489999999999999</v>
      </c>
      <c r="I2570" s="15">
        <v>5.57E-2</v>
      </c>
      <c r="J2570" s="15">
        <v>1.8833034111310589</v>
      </c>
    </row>
    <row r="2571" spans="1:10" x14ac:dyDescent="0.25">
      <c r="A2571" s="2" t="s">
        <v>7287</v>
      </c>
      <c r="B2571" s="2" t="s">
        <v>7007</v>
      </c>
      <c r="C2571" s="2" t="s">
        <v>7288</v>
      </c>
      <c r="D2571" s="2" t="s">
        <v>10055</v>
      </c>
      <c r="E2571" s="15"/>
      <c r="F2571" s="15"/>
      <c r="G2571" s="15"/>
      <c r="H2571" s="15">
        <v>-4.3E-3</v>
      </c>
      <c r="I2571" s="15">
        <v>3.4500000000000003E-2</v>
      </c>
      <c r="J2571" s="15">
        <v>-0.1246376811594203</v>
      </c>
    </row>
    <row r="2572" spans="1:10" x14ac:dyDescent="0.25">
      <c r="A2572" s="2" t="s">
        <v>7289</v>
      </c>
      <c r="B2572" s="2" t="s">
        <v>7007</v>
      </c>
      <c r="C2572" s="2" t="s">
        <v>7290</v>
      </c>
      <c r="D2572" s="2" t="s">
        <v>10055</v>
      </c>
      <c r="E2572" s="15">
        <v>6.6E-3</v>
      </c>
      <c r="F2572" s="15">
        <v>0.16320000000000001</v>
      </c>
      <c r="G2572" s="15">
        <v>0.9677</v>
      </c>
      <c r="H2572" s="15">
        <v>4.5100000000000001E-2</v>
      </c>
      <c r="I2572" s="15">
        <v>4.0500000000000001E-2</v>
      </c>
      <c r="J2572" s="15">
        <v>1.11358024691358</v>
      </c>
    </row>
    <row r="2573" spans="1:10" x14ac:dyDescent="0.25">
      <c r="A2573" s="2" t="s">
        <v>7291</v>
      </c>
      <c r="B2573" s="2" t="s">
        <v>7007</v>
      </c>
      <c r="C2573" s="2" t="s">
        <v>7292</v>
      </c>
      <c r="D2573" s="2" t="s">
        <v>10055</v>
      </c>
      <c r="E2573" s="15">
        <v>2.63E-2</v>
      </c>
      <c r="F2573" s="15">
        <v>0.29139999999999999</v>
      </c>
      <c r="G2573" s="15">
        <v>0.92810000000000004</v>
      </c>
      <c r="H2573" s="15">
        <v>1.2999999999999999E-2</v>
      </c>
      <c r="I2573" s="15">
        <v>3.5400000000000001E-2</v>
      </c>
      <c r="J2573" s="15">
        <v>0.36723163841807899</v>
      </c>
    </row>
    <row r="2574" spans="1:10" x14ac:dyDescent="0.25">
      <c r="A2574" s="2" t="s">
        <v>7293</v>
      </c>
      <c r="B2574" s="2" t="s">
        <v>7007</v>
      </c>
      <c r="C2574" s="2" t="s">
        <v>7294</v>
      </c>
      <c r="D2574" s="2" t="s">
        <v>10055</v>
      </c>
      <c r="E2574" s="15">
        <v>-0.25319999999999998</v>
      </c>
      <c r="F2574" s="15">
        <v>0.1338</v>
      </c>
      <c r="G2574" s="15">
        <v>5.8299999999999998E-2</v>
      </c>
      <c r="H2574" s="15">
        <v>7.3999999999999996E-2</v>
      </c>
      <c r="I2574" s="15">
        <v>3.7199999999999997E-2</v>
      </c>
      <c r="J2574" s="15">
        <v>1.989247311827957</v>
      </c>
    </row>
    <row r="2575" spans="1:10" x14ac:dyDescent="0.25">
      <c r="A2575" s="2" t="s">
        <v>7295</v>
      </c>
      <c r="B2575" s="2" t="s">
        <v>7007</v>
      </c>
      <c r="C2575" s="2" t="s">
        <v>7296</v>
      </c>
      <c r="D2575" s="2" t="s">
        <v>10055</v>
      </c>
      <c r="E2575" s="15">
        <v>0.30270000000000002</v>
      </c>
      <c r="F2575" s="15">
        <v>0.21820000000000001</v>
      </c>
      <c r="G2575" s="15">
        <v>0.1653</v>
      </c>
      <c r="H2575" s="15">
        <v>3.6200000000000003E-2</v>
      </c>
      <c r="I2575" s="15">
        <v>3.85E-2</v>
      </c>
      <c r="J2575" s="15">
        <v>0.94025974025974035</v>
      </c>
    </row>
    <row r="2576" spans="1:10" x14ac:dyDescent="0.25">
      <c r="A2576" s="2" t="s">
        <v>7297</v>
      </c>
      <c r="B2576" s="2" t="s">
        <v>7007</v>
      </c>
      <c r="C2576" s="2" t="s">
        <v>7298</v>
      </c>
      <c r="D2576" s="2" t="s">
        <v>10055</v>
      </c>
      <c r="E2576" s="15">
        <v>0.1182</v>
      </c>
      <c r="F2576" s="15">
        <v>0.18720000000000001</v>
      </c>
      <c r="G2576" s="15">
        <v>0.52780000000000005</v>
      </c>
      <c r="H2576" s="15">
        <v>3.4099999999999998E-2</v>
      </c>
      <c r="I2576" s="15">
        <v>3.49E-2</v>
      </c>
      <c r="J2576" s="15">
        <v>0.97707736389684807</v>
      </c>
    </row>
    <row r="2577" spans="1:10" x14ac:dyDescent="0.25">
      <c r="A2577" s="2" t="s">
        <v>7299</v>
      </c>
      <c r="B2577" s="2" t="s">
        <v>7007</v>
      </c>
      <c r="C2577" s="2" t="s">
        <v>7300</v>
      </c>
      <c r="D2577" s="2" t="s">
        <v>10055</v>
      </c>
      <c r="E2577" s="15"/>
      <c r="F2577" s="15"/>
      <c r="G2577" s="15"/>
      <c r="H2577" s="15"/>
      <c r="I2577" s="15"/>
      <c r="J2577" s="15"/>
    </row>
    <row r="2578" spans="1:10" x14ac:dyDescent="0.25">
      <c r="A2578" s="2" t="s">
        <v>7301</v>
      </c>
      <c r="B2578" s="2" t="s">
        <v>7007</v>
      </c>
      <c r="C2578" s="2" t="s">
        <v>7302</v>
      </c>
      <c r="D2578" s="2" t="s">
        <v>10055</v>
      </c>
      <c r="E2578" s="15"/>
      <c r="F2578" s="15"/>
      <c r="G2578" s="15"/>
      <c r="H2578" s="15">
        <v>-2.0999999999999999E-3</v>
      </c>
      <c r="I2578" s="15">
        <v>3.5400000000000001E-2</v>
      </c>
      <c r="J2578" s="15">
        <v>-5.9322033898305079E-2</v>
      </c>
    </row>
    <row r="2579" spans="1:10" x14ac:dyDescent="0.25">
      <c r="A2579" s="2" t="s">
        <v>7303</v>
      </c>
      <c r="B2579" s="2" t="s">
        <v>7007</v>
      </c>
      <c r="C2579" s="2" t="s">
        <v>7304</v>
      </c>
      <c r="D2579" s="2" t="s">
        <v>10055</v>
      </c>
      <c r="E2579" s="15">
        <v>0.13950000000000001</v>
      </c>
      <c r="F2579" s="15">
        <v>0.11600000000000001</v>
      </c>
      <c r="G2579" s="15">
        <v>0.22939999999999999</v>
      </c>
      <c r="H2579" s="15">
        <v>8.9800000000000005E-2</v>
      </c>
      <c r="I2579" s="15">
        <v>3.7699999999999997E-2</v>
      </c>
      <c r="J2579" s="15">
        <v>2.3819628647214861</v>
      </c>
    </row>
    <row r="2580" spans="1:10" x14ac:dyDescent="0.25">
      <c r="A2580" s="2" t="s">
        <v>7305</v>
      </c>
      <c r="B2580" s="2" t="s">
        <v>7007</v>
      </c>
      <c r="C2580" s="2" t="s">
        <v>7306</v>
      </c>
      <c r="D2580" s="2" t="s">
        <v>10055</v>
      </c>
      <c r="E2580" s="15">
        <v>-0.27189999999999998</v>
      </c>
      <c r="F2580" s="15">
        <v>0.23319999999999999</v>
      </c>
      <c r="G2580" s="15">
        <v>0.2437</v>
      </c>
      <c r="H2580" s="15">
        <v>2.8500000000000001E-2</v>
      </c>
      <c r="I2580" s="15">
        <v>3.6700000000000003E-2</v>
      </c>
      <c r="J2580" s="15">
        <v>0.77656675749318793</v>
      </c>
    </row>
    <row r="2581" spans="1:10" x14ac:dyDescent="0.25">
      <c r="A2581" s="2" t="s">
        <v>7307</v>
      </c>
      <c r="B2581" s="2" t="s">
        <v>7007</v>
      </c>
      <c r="C2581" s="2" t="s">
        <v>7308</v>
      </c>
      <c r="D2581" s="2" t="s">
        <v>10055</v>
      </c>
      <c r="E2581" s="15">
        <v>-0.19439999999999999</v>
      </c>
      <c r="F2581" s="15">
        <v>0.122</v>
      </c>
      <c r="G2581" s="15">
        <v>0.111</v>
      </c>
      <c r="H2581" s="15">
        <v>7.2400000000000006E-2</v>
      </c>
      <c r="I2581" s="15">
        <v>4.0800000000000003E-2</v>
      </c>
      <c r="J2581" s="15">
        <v>1.774509803921569</v>
      </c>
    </row>
    <row r="2582" spans="1:10" x14ac:dyDescent="0.25">
      <c r="A2582" s="2" t="s">
        <v>7309</v>
      </c>
      <c r="B2582" s="2" t="s">
        <v>7007</v>
      </c>
      <c r="C2582" s="2" t="s">
        <v>7310</v>
      </c>
      <c r="D2582" s="2" t="s">
        <v>10055</v>
      </c>
      <c r="E2582" s="15"/>
      <c r="F2582" s="15"/>
      <c r="G2582" s="15"/>
      <c r="H2582" s="15"/>
      <c r="I2582" s="15"/>
      <c r="J2582" s="15"/>
    </row>
    <row r="2583" spans="1:10" x14ac:dyDescent="0.25">
      <c r="A2583" s="2" t="s">
        <v>7311</v>
      </c>
      <c r="B2583" s="2" t="s">
        <v>7007</v>
      </c>
      <c r="C2583" s="2" t="s">
        <v>7312</v>
      </c>
      <c r="D2583" s="2" t="s">
        <v>10055</v>
      </c>
      <c r="E2583" s="15"/>
      <c r="F2583" s="15"/>
      <c r="G2583" s="15"/>
      <c r="H2583" s="15">
        <v>-4.0000000000000002E-4</v>
      </c>
      <c r="I2583" s="15">
        <v>3.39E-2</v>
      </c>
      <c r="J2583" s="15">
        <v>-1.179941002949853E-2</v>
      </c>
    </row>
    <row r="2584" spans="1:10" x14ac:dyDescent="0.25">
      <c r="A2584" s="2" t="s">
        <v>7313</v>
      </c>
      <c r="B2584" s="2" t="s">
        <v>7007</v>
      </c>
      <c r="C2584" s="2" t="s">
        <v>7314</v>
      </c>
      <c r="D2584" s="2" t="s">
        <v>10055</v>
      </c>
      <c r="E2584" s="15"/>
      <c r="F2584" s="15"/>
      <c r="G2584" s="15"/>
      <c r="H2584" s="15"/>
      <c r="I2584" s="15"/>
      <c r="J2584" s="15"/>
    </row>
    <row r="2585" spans="1:10" x14ac:dyDescent="0.25">
      <c r="A2585" s="2" t="s">
        <v>7315</v>
      </c>
      <c r="B2585" s="2" t="s">
        <v>7007</v>
      </c>
      <c r="C2585" s="2" t="s">
        <v>7316</v>
      </c>
      <c r="D2585" s="2" t="s">
        <v>10055</v>
      </c>
      <c r="E2585" s="15">
        <v>0.1895</v>
      </c>
      <c r="F2585" s="15">
        <v>0.16039999999999999</v>
      </c>
      <c r="G2585" s="15">
        <v>0.2374</v>
      </c>
      <c r="H2585" s="15">
        <v>4.7899999999999998E-2</v>
      </c>
      <c r="I2585" s="15">
        <v>3.4799999999999998E-2</v>
      </c>
      <c r="J2585" s="15">
        <v>1.3764367816091949</v>
      </c>
    </row>
    <row r="2586" spans="1:10" x14ac:dyDescent="0.25">
      <c r="A2586" s="2" t="s">
        <v>7317</v>
      </c>
      <c r="B2586" s="2" t="s">
        <v>7007</v>
      </c>
      <c r="C2586" s="2" t="s">
        <v>7318</v>
      </c>
      <c r="D2586" s="2" t="s">
        <v>10055</v>
      </c>
      <c r="E2586" s="15"/>
      <c r="F2586" s="15"/>
      <c r="G2586" s="15"/>
      <c r="H2586" s="15">
        <v>-9.2999999999999992E-3</v>
      </c>
      <c r="I2586" s="15">
        <v>3.61E-2</v>
      </c>
      <c r="J2586" s="15">
        <v>-0.25761772853185588</v>
      </c>
    </row>
    <row r="2587" spans="1:10" x14ac:dyDescent="0.25">
      <c r="A2587" s="2" t="s">
        <v>7319</v>
      </c>
      <c r="B2587" s="2" t="s">
        <v>7007</v>
      </c>
      <c r="C2587" s="2" t="s">
        <v>7320</v>
      </c>
      <c r="D2587" s="2" t="s">
        <v>10055</v>
      </c>
      <c r="E2587" s="15">
        <v>-1.9800000000000002E-2</v>
      </c>
      <c r="F2587" s="15">
        <v>0.219</v>
      </c>
      <c r="G2587" s="15">
        <v>0.92800000000000005</v>
      </c>
      <c r="H2587" s="15">
        <v>2.0899999999999998E-2</v>
      </c>
      <c r="I2587" s="15">
        <v>4.2299999999999997E-2</v>
      </c>
      <c r="J2587" s="15">
        <v>0.49408983451536642</v>
      </c>
    </row>
    <row r="2588" spans="1:10" x14ac:dyDescent="0.25">
      <c r="A2588" s="2" t="s">
        <v>7321</v>
      </c>
      <c r="B2588" s="2" t="s">
        <v>7007</v>
      </c>
      <c r="C2588" s="2" t="s">
        <v>7322</v>
      </c>
      <c r="D2588" s="2" t="s">
        <v>10055</v>
      </c>
      <c r="E2588" s="15">
        <v>0.106</v>
      </c>
      <c r="F2588" s="15">
        <v>0.26419999999999999</v>
      </c>
      <c r="G2588" s="15">
        <v>0.68840000000000001</v>
      </c>
      <c r="H2588" s="15">
        <v>2.1999999999999999E-2</v>
      </c>
      <c r="I2588" s="15">
        <v>3.9199999999999999E-2</v>
      </c>
      <c r="J2588" s="15">
        <v>0.56122448979591832</v>
      </c>
    </row>
    <row r="2589" spans="1:10" x14ac:dyDescent="0.25">
      <c r="A2589" s="2" t="s">
        <v>7323</v>
      </c>
      <c r="B2589" s="2" t="s">
        <v>7007</v>
      </c>
      <c r="C2589" s="2" t="s">
        <v>7324</v>
      </c>
      <c r="D2589" s="2" t="s">
        <v>10055</v>
      </c>
      <c r="E2589" s="15">
        <v>-0.41010000000000002</v>
      </c>
      <c r="F2589" s="15">
        <v>0.3695</v>
      </c>
      <c r="G2589" s="15">
        <v>0.2671</v>
      </c>
      <c r="H2589" s="15">
        <v>2.8799999999999999E-2</v>
      </c>
      <c r="I2589" s="15">
        <v>3.7499999999999999E-2</v>
      </c>
      <c r="J2589" s="15">
        <v>0.76800000000000002</v>
      </c>
    </row>
    <row r="2590" spans="1:10" x14ac:dyDescent="0.25">
      <c r="A2590" s="2" t="s">
        <v>7325</v>
      </c>
      <c r="B2590" s="2" t="s">
        <v>7007</v>
      </c>
      <c r="C2590" s="2" t="s">
        <v>7326</v>
      </c>
      <c r="D2590" s="2" t="s">
        <v>10055</v>
      </c>
      <c r="E2590" s="15">
        <v>1.8499999999999999E-2</v>
      </c>
      <c r="F2590" s="15">
        <v>0.16520000000000001</v>
      </c>
      <c r="G2590" s="15">
        <v>0.91100000000000003</v>
      </c>
      <c r="H2590" s="15">
        <v>3.5499999999999997E-2</v>
      </c>
      <c r="I2590" s="15">
        <v>3.7199999999999997E-2</v>
      </c>
      <c r="J2590" s="15">
        <v>0.95430107526881724</v>
      </c>
    </row>
    <row r="2591" spans="1:10" x14ac:dyDescent="0.25">
      <c r="A2591" s="2" t="s">
        <v>7327</v>
      </c>
      <c r="B2591" s="2" t="s">
        <v>7007</v>
      </c>
      <c r="C2591" s="2" t="s">
        <v>7328</v>
      </c>
      <c r="D2591" s="2" t="s">
        <v>10055</v>
      </c>
      <c r="E2591" s="15">
        <v>0.35880000000000001</v>
      </c>
      <c r="F2591" s="15">
        <v>0.4214</v>
      </c>
      <c r="G2591" s="15">
        <v>0.39450000000000002</v>
      </c>
      <c r="H2591" s="15">
        <v>2.0199999999999999E-2</v>
      </c>
      <c r="I2591" s="15">
        <v>3.6600000000000001E-2</v>
      </c>
      <c r="J2591" s="15">
        <v>0.55191256830601088</v>
      </c>
    </row>
    <row r="2592" spans="1:10" x14ac:dyDescent="0.25">
      <c r="A2592" s="2" t="s">
        <v>7329</v>
      </c>
      <c r="B2592" s="2" t="s">
        <v>7007</v>
      </c>
      <c r="C2592" s="2" t="s">
        <v>7330</v>
      </c>
      <c r="D2592" s="2" t="s">
        <v>10055</v>
      </c>
      <c r="E2592" s="15">
        <v>0.1341</v>
      </c>
      <c r="F2592" s="15">
        <v>0.15260000000000001</v>
      </c>
      <c r="G2592" s="15">
        <v>0.37959999999999999</v>
      </c>
      <c r="H2592" s="15">
        <v>5.7500000000000002E-2</v>
      </c>
      <c r="I2592" s="15">
        <v>3.9399999999999998E-2</v>
      </c>
      <c r="J2592" s="15">
        <v>1.459390862944163</v>
      </c>
    </row>
    <row r="2593" spans="1:10" x14ac:dyDescent="0.25">
      <c r="A2593" s="2" t="s">
        <v>7331</v>
      </c>
      <c r="B2593" s="2" t="s">
        <v>7007</v>
      </c>
      <c r="C2593" s="2" t="s">
        <v>7332</v>
      </c>
      <c r="D2593" s="2" t="s">
        <v>10055</v>
      </c>
      <c r="E2593" s="15">
        <v>1.26E-2</v>
      </c>
      <c r="F2593" s="15">
        <v>0.1198</v>
      </c>
      <c r="G2593" s="15">
        <v>0.91649999999999998</v>
      </c>
      <c r="H2593" s="15">
        <v>7.9399999999999998E-2</v>
      </c>
      <c r="I2593" s="15">
        <v>4.1799999999999997E-2</v>
      </c>
      <c r="J2593" s="15">
        <v>1.8995215311004781</v>
      </c>
    </row>
    <row r="2594" spans="1:10" x14ac:dyDescent="0.25">
      <c r="A2594" s="2" t="s">
        <v>7333</v>
      </c>
      <c r="B2594" s="2" t="s">
        <v>7007</v>
      </c>
      <c r="C2594" s="2" t="s">
        <v>7334</v>
      </c>
      <c r="D2594" s="2" t="s">
        <v>10055</v>
      </c>
      <c r="E2594" s="15">
        <v>7.0699999999999999E-2</v>
      </c>
      <c r="F2594" s="15">
        <v>0.1089</v>
      </c>
      <c r="G2594" s="15">
        <v>0.51619999999999999</v>
      </c>
      <c r="H2594" s="15">
        <v>8.4099999999999994E-2</v>
      </c>
      <c r="I2594" s="15">
        <v>3.7199999999999997E-2</v>
      </c>
      <c r="J2594" s="15">
        <v>2.260752688172043</v>
      </c>
    </row>
    <row r="2595" spans="1:10" x14ac:dyDescent="0.25">
      <c r="A2595" s="2" t="s">
        <v>7335</v>
      </c>
      <c r="B2595" s="2" t="s">
        <v>7007</v>
      </c>
      <c r="C2595" s="2" t="s">
        <v>7336</v>
      </c>
      <c r="D2595" s="2" t="s">
        <v>10055</v>
      </c>
      <c r="E2595" s="15">
        <v>0.36320000000000002</v>
      </c>
      <c r="F2595" s="15">
        <v>0.30819999999999997</v>
      </c>
      <c r="G2595" s="15">
        <v>0.23860000000000001</v>
      </c>
      <c r="H2595" s="15">
        <v>3.0499999999999999E-2</v>
      </c>
      <c r="I2595" s="15">
        <v>3.6900000000000002E-2</v>
      </c>
      <c r="J2595" s="15">
        <v>0.82655826558265577</v>
      </c>
    </row>
    <row r="2596" spans="1:10" x14ac:dyDescent="0.25">
      <c r="A2596" s="2" t="s">
        <v>7337</v>
      </c>
      <c r="B2596" s="2" t="s">
        <v>7007</v>
      </c>
      <c r="C2596" s="2" t="s">
        <v>7338</v>
      </c>
      <c r="D2596" s="2" t="s">
        <v>10055</v>
      </c>
      <c r="E2596" s="15">
        <v>-0.188</v>
      </c>
      <c r="F2596" s="15">
        <v>0.17860000000000001</v>
      </c>
      <c r="G2596" s="15">
        <v>0.29239999999999999</v>
      </c>
      <c r="H2596" s="15">
        <v>4.3299999999999998E-2</v>
      </c>
      <c r="I2596" s="15">
        <v>3.61E-2</v>
      </c>
      <c r="J2596" s="15">
        <v>1.199445983379501</v>
      </c>
    </row>
    <row r="2597" spans="1:10" x14ac:dyDescent="0.25">
      <c r="A2597" s="2" t="s">
        <v>7339</v>
      </c>
      <c r="B2597" s="2" t="s">
        <v>7007</v>
      </c>
      <c r="C2597" s="2" t="s">
        <v>7340</v>
      </c>
      <c r="D2597" s="2" t="s">
        <v>10055</v>
      </c>
      <c r="E2597" s="15">
        <v>-0.188</v>
      </c>
      <c r="F2597" s="15">
        <v>0.17169999999999999</v>
      </c>
      <c r="G2597" s="15">
        <v>0.27350000000000002</v>
      </c>
      <c r="H2597" s="15">
        <v>4.1500000000000002E-2</v>
      </c>
      <c r="I2597" s="15">
        <v>4.0800000000000003E-2</v>
      </c>
      <c r="J2597" s="15">
        <v>1.017156862745098</v>
      </c>
    </row>
    <row r="2598" spans="1:10" x14ac:dyDescent="0.25">
      <c r="A2598" s="2" t="s">
        <v>7341</v>
      </c>
      <c r="B2598" s="2" t="s">
        <v>7007</v>
      </c>
      <c r="C2598" s="2" t="s">
        <v>7342</v>
      </c>
      <c r="D2598" s="2" t="s">
        <v>10055</v>
      </c>
      <c r="E2598" s="15"/>
      <c r="F2598" s="15"/>
      <c r="G2598" s="15"/>
      <c r="H2598" s="15">
        <v>-1.38E-2</v>
      </c>
      <c r="I2598" s="15">
        <v>3.4500000000000003E-2</v>
      </c>
      <c r="J2598" s="15">
        <v>-0.4</v>
      </c>
    </row>
    <row r="2599" spans="1:10" x14ac:dyDescent="0.25">
      <c r="A2599" s="2" t="s">
        <v>7343</v>
      </c>
      <c r="B2599" s="2" t="s">
        <v>7007</v>
      </c>
      <c r="C2599" s="2" t="s">
        <v>7344</v>
      </c>
      <c r="D2599" s="2" t="s">
        <v>10055</v>
      </c>
      <c r="E2599" s="15"/>
      <c r="F2599" s="15"/>
      <c r="G2599" s="15"/>
      <c r="H2599" s="15">
        <v>-6.0699999999999997E-2</v>
      </c>
      <c r="I2599" s="15">
        <v>3.32E-2</v>
      </c>
      <c r="J2599" s="15">
        <v>-1.8283132530120481</v>
      </c>
    </row>
    <row r="2600" spans="1:10" x14ac:dyDescent="0.25">
      <c r="A2600" s="2" t="s">
        <v>7345</v>
      </c>
      <c r="B2600" s="2" t="s">
        <v>7007</v>
      </c>
      <c r="C2600" s="2" t="s">
        <v>7346</v>
      </c>
      <c r="D2600" s="2" t="s">
        <v>10055</v>
      </c>
      <c r="E2600" s="15">
        <v>-4.8599999999999997E-2</v>
      </c>
      <c r="F2600" s="15">
        <v>0.2074</v>
      </c>
      <c r="G2600" s="15">
        <v>0.81459999999999999</v>
      </c>
      <c r="H2600" s="15">
        <v>2.8299999999999999E-2</v>
      </c>
      <c r="I2600" s="15">
        <v>3.4500000000000003E-2</v>
      </c>
      <c r="J2600" s="15">
        <v>0.82028985507246366</v>
      </c>
    </row>
    <row r="2601" spans="1:10" x14ac:dyDescent="0.25">
      <c r="A2601" s="2" t="s">
        <v>7347</v>
      </c>
      <c r="B2601" s="2" t="s">
        <v>7007</v>
      </c>
      <c r="C2601" s="2" t="s">
        <v>7348</v>
      </c>
      <c r="D2601" s="2" t="s">
        <v>10055</v>
      </c>
      <c r="E2601" s="15"/>
      <c r="F2601" s="15"/>
      <c r="G2601" s="15"/>
      <c r="H2601" s="15">
        <v>-1.15E-2</v>
      </c>
      <c r="I2601" s="15">
        <v>4.0500000000000001E-2</v>
      </c>
      <c r="J2601" s="15">
        <v>-0.2839506172839506</v>
      </c>
    </row>
    <row r="2602" spans="1:10" x14ac:dyDescent="0.25">
      <c r="A2602" s="2" t="s">
        <v>7349</v>
      </c>
      <c r="B2602" s="2" t="s">
        <v>7007</v>
      </c>
      <c r="C2602" s="2" t="s">
        <v>7350</v>
      </c>
      <c r="D2602" s="2" t="s">
        <v>10055</v>
      </c>
      <c r="E2602" s="15">
        <v>-8.8700000000000001E-2</v>
      </c>
      <c r="F2602" s="15">
        <v>0.19600000000000001</v>
      </c>
      <c r="G2602" s="15">
        <v>0.65090000000000003</v>
      </c>
      <c r="H2602" s="15">
        <v>2.8899999999999999E-2</v>
      </c>
      <c r="I2602" s="15">
        <v>4.1399999999999999E-2</v>
      </c>
      <c r="J2602" s="15">
        <v>0.69806763285024154</v>
      </c>
    </row>
    <row r="2603" spans="1:10" x14ac:dyDescent="0.25">
      <c r="A2603" s="2" t="s">
        <v>7351</v>
      </c>
      <c r="B2603" s="2" t="s">
        <v>7007</v>
      </c>
      <c r="C2603" s="2" t="s">
        <v>7352</v>
      </c>
      <c r="D2603" s="2" t="s">
        <v>10055</v>
      </c>
      <c r="E2603" s="15">
        <v>9.74E-2</v>
      </c>
      <c r="F2603" s="15">
        <v>0.1051</v>
      </c>
      <c r="G2603" s="15">
        <v>0.35389999999999999</v>
      </c>
      <c r="H2603" s="15">
        <v>0.1008</v>
      </c>
      <c r="I2603" s="15">
        <v>3.95E-2</v>
      </c>
      <c r="J2603" s="15">
        <v>2.551898734177215</v>
      </c>
    </row>
    <row r="2604" spans="1:10" x14ac:dyDescent="0.25">
      <c r="A2604" s="2" t="s">
        <v>7353</v>
      </c>
      <c r="B2604" s="2" t="s">
        <v>7007</v>
      </c>
      <c r="C2604" s="2" t="s">
        <v>7354</v>
      </c>
      <c r="D2604" s="2" t="s">
        <v>10055</v>
      </c>
      <c r="E2604" s="15">
        <v>-0.12559999999999999</v>
      </c>
      <c r="F2604" s="15">
        <v>0.1363</v>
      </c>
      <c r="G2604" s="15">
        <v>0.35699999999999998</v>
      </c>
      <c r="H2604" s="15">
        <v>6.3500000000000001E-2</v>
      </c>
      <c r="I2604" s="15">
        <v>4.0099999999999997E-2</v>
      </c>
      <c r="J2604" s="15">
        <v>1.5835411471321701</v>
      </c>
    </row>
    <row r="2605" spans="1:10" x14ac:dyDescent="0.25">
      <c r="A2605" s="2" t="s">
        <v>7355</v>
      </c>
      <c r="B2605" s="2" t="s">
        <v>7007</v>
      </c>
      <c r="C2605" s="2" t="s">
        <v>7356</v>
      </c>
      <c r="D2605" s="2" t="s">
        <v>10055</v>
      </c>
      <c r="E2605" s="15">
        <v>0.42230000000000001</v>
      </c>
      <c r="F2605" s="15">
        <v>0.4047</v>
      </c>
      <c r="G2605" s="15">
        <v>0.29670000000000002</v>
      </c>
      <c r="H2605" s="15">
        <v>2.35E-2</v>
      </c>
      <c r="I2605" s="15">
        <v>3.7100000000000001E-2</v>
      </c>
      <c r="J2605" s="15">
        <v>0.63342318059299185</v>
      </c>
    </row>
    <row r="2606" spans="1:10" x14ac:dyDescent="0.25">
      <c r="A2606" s="2" t="s">
        <v>7357</v>
      </c>
      <c r="B2606" s="2" t="s">
        <v>7007</v>
      </c>
      <c r="C2606" s="2" t="s">
        <v>7358</v>
      </c>
      <c r="D2606" s="2" t="s">
        <v>10055</v>
      </c>
      <c r="E2606" s="15">
        <v>0.39300000000000002</v>
      </c>
      <c r="F2606" s="15">
        <v>0.25669999999999998</v>
      </c>
      <c r="G2606" s="15">
        <v>0.12570000000000001</v>
      </c>
      <c r="H2606" s="15">
        <v>3.6499999999999998E-2</v>
      </c>
      <c r="I2606" s="15">
        <v>3.4700000000000002E-2</v>
      </c>
      <c r="J2606" s="15">
        <v>1.051873198847262</v>
      </c>
    </row>
    <row r="2607" spans="1:10" x14ac:dyDescent="0.25">
      <c r="A2607" s="2" t="s">
        <v>7359</v>
      </c>
      <c r="B2607" s="2" t="s">
        <v>7007</v>
      </c>
      <c r="C2607" s="2" t="s">
        <v>7360</v>
      </c>
      <c r="D2607" s="2" t="s">
        <v>10055</v>
      </c>
      <c r="E2607" s="15">
        <v>7.4399999999999994E-2</v>
      </c>
      <c r="F2607" s="15">
        <v>0.1278</v>
      </c>
      <c r="G2607" s="15">
        <v>0.5605</v>
      </c>
      <c r="H2607" s="15">
        <v>6.3100000000000003E-2</v>
      </c>
      <c r="I2607" s="15">
        <v>3.9E-2</v>
      </c>
      <c r="J2607" s="15">
        <v>1.617948717948718</v>
      </c>
    </row>
    <row r="2608" spans="1:10" x14ac:dyDescent="0.25">
      <c r="A2608" s="2" t="s">
        <v>7361</v>
      </c>
      <c r="B2608" s="2" t="s">
        <v>7007</v>
      </c>
      <c r="C2608" s="2" t="s">
        <v>7362</v>
      </c>
      <c r="D2608" s="2" t="s">
        <v>10055</v>
      </c>
      <c r="E2608" s="15"/>
      <c r="F2608" s="15"/>
      <c r="G2608" s="15"/>
      <c r="H2608" s="15">
        <v>-8.5000000000000006E-3</v>
      </c>
      <c r="I2608" s="15">
        <v>3.2800000000000003E-2</v>
      </c>
      <c r="J2608" s="15">
        <v>-0.25914634146341459</v>
      </c>
    </row>
    <row r="2609" spans="1:10" x14ac:dyDescent="0.25">
      <c r="A2609" s="2" t="s">
        <v>7363</v>
      </c>
      <c r="B2609" s="2" t="s">
        <v>7007</v>
      </c>
      <c r="C2609" s="2" t="s">
        <v>7364</v>
      </c>
      <c r="D2609" s="2" t="s">
        <v>10055</v>
      </c>
      <c r="E2609" s="15"/>
      <c r="F2609" s="15"/>
      <c r="G2609" s="15"/>
      <c r="H2609" s="15"/>
      <c r="I2609" s="15"/>
      <c r="J2609" s="15"/>
    </row>
    <row r="2610" spans="1:10" x14ac:dyDescent="0.25">
      <c r="A2610" s="2" t="s">
        <v>7365</v>
      </c>
      <c r="B2610" s="2" t="s">
        <v>7007</v>
      </c>
      <c r="C2610" s="2" t="s">
        <v>7366</v>
      </c>
      <c r="D2610" s="2" t="s">
        <v>10055</v>
      </c>
      <c r="E2610" s="15">
        <v>6.13E-2</v>
      </c>
      <c r="F2610" s="15">
        <v>0.37740000000000001</v>
      </c>
      <c r="G2610" s="15">
        <v>0.871</v>
      </c>
      <c r="H2610" s="15">
        <v>1.0500000000000001E-2</v>
      </c>
      <c r="I2610" s="15">
        <v>3.61E-2</v>
      </c>
      <c r="J2610" s="15">
        <v>0.29085872576177291</v>
      </c>
    </row>
    <row r="2611" spans="1:10" x14ac:dyDescent="0.25">
      <c r="A2611" s="2" t="s">
        <v>7367</v>
      </c>
      <c r="B2611" s="2" t="s">
        <v>7007</v>
      </c>
      <c r="C2611" s="2" t="s">
        <v>7368</v>
      </c>
      <c r="D2611" s="2" t="s">
        <v>10055</v>
      </c>
      <c r="E2611" s="15">
        <v>6.5600000000000006E-2</v>
      </c>
      <c r="F2611" s="15">
        <v>0.53490000000000004</v>
      </c>
      <c r="G2611" s="15">
        <v>0.90239999999999998</v>
      </c>
      <c r="H2611" s="15">
        <v>1.14E-2</v>
      </c>
      <c r="I2611" s="15">
        <v>3.8600000000000002E-2</v>
      </c>
      <c r="J2611" s="15">
        <v>0.29533678756476678</v>
      </c>
    </row>
    <row r="2612" spans="1:10" x14ac:dyDescent="0.25">
      <c r="A2612" s="2" t="s">
        <v>7369</v>
      </c>
      <c r="B2612" s="2" t="s">
        <v>7007</v>
      </c>
      <c r="C2612" s="2" t="s">
        <v>7370</v>
      </c>
      <c r="D2612" s="2" t="s">
        <v>10055</v>
      </c>
      <c r="E2612" s="15">
        <v>-2.63E-2</v>
      </c>
      <c r="F2612" s="15">
        <v>0.1565</v>
      </c>
      <c r="G2612" s="15">
        <v>0.86680000000000001</v>
      </c>
      <c r="H2612" s="15">
        <v>3.6600000000000001E-2</v>
      </c>
      <c r="I2612" s="15">
        <v>3.8399999999999997E-2</v>
      </c>
      <c r="J2612" s="15">
        <v>0.95312500000000011</v>
      </c>
    </row>
    <row r="2613" spans="1:10" x14ac:dyDescent="0.25">
      <c r="A2613" s="2" t="s">
        <v>7371</v>
      </c>
      <c r="B2613" s="2" t="s">
        <v>7007</v>
      </c>
      <c r="C2613" s="2" t="s">
        <v>7372</v>
      </c>
      <c r="D2613" s="2" t="s">
        <v>10055</v>
      </c>
      <c r="E2613" s="15">
        <v>-0.16389999999999999</v>
      </c>
      <c r="F2613" s="15">
        <v>0.25990000000000002</v>
      </c>
      <c r="G2613" s="15">
        <v>0.52839999999999998</v>
      </c>
      <c r="H2613" s="15">
        <v>2.3E-2</v>
      </c>
      <c r="I2613" s="15">
        <v>4.3900000000000002E-2</v>
      </c>
      <c r="J2613" s="15">
        <v>0.52391799544419126</v>
      </c>
    </row>
    <row r="2614" spans="1:10" x14ac:dyDescent="0.25">
      <c r="A2614" s="2" t="s">
        <v>7373</v>
      </c>
      <c r="B2614" s="2" t="s">
        <v>7007</v>
      </c>
      <c r="C2614" s="2" t="s">
        <v>7374</v>
      </c>
      <c r="D2614" s="2" t="s">
        <v>10055</v>
      </c>
      <c r="E2614" s="15"/>
      <c r="F2614" s="15"/>
      <c r="G2614" s="15"/>
      <c r="H2614" s="15">
        <v>-6.1999999999999998E-3</v>
      </c>
      <c r="I2614" s="15">
        <v>3.61E-2</v>
      </c>
      <c r="J2614" s="15">
        <v>-0.17174515235457061</v>
      </c>
    </row>
    <row r="2615" spans="1:10" x14ac:dyDescent="0.25">
      <c r="A2615" s="2" t="s">
        <v>7375</v>
      </c>
      <c r="B2615" s="2" t="s">
        <v>7007</v>
      </c>
      <c r="C2615" s="2" t="s">
        <v>7376</v>
      </c>
      <c r="D2615" s="2" t="s">
        <v>10055</v>
      </c>
      <c r="E2615" s="15"/>
      <c r="F2615" s="15"/>
      <c r="G2615" s="15"/>
      <c r="H2615" s="15">
        <v>-4.7699999999999999E-2</v>
      </c>
      <c r="I2615" s="15">
        <v>3.8600000000000002E-2</v>
      </c>
      <c r="J2615" s="15">
        <v>-1.235751295336788</v>
      </c>
    </row>
    <row r="2616" spans="1:10" x14ac:dyDescent="0.25">
      <c r="A2616" s="2" t="s">
        <v>7377</v>
      </c>
      <c r="B2616" s="2" t="s">
        <v>7007</v>
      </c>
      <c r="C2616" s="2" t="s">
        <v>7378</v>
      </c>
      <c r="D2616" s="2" t="s">
        <v>10055</v>
      </c>
      <c r="E2616" s="15"/>
      <c r="F2616" s="15"/>
      <c r="G2616" s="15"/>
      <c r="H2616" s="15">
        <v>-1.2999999999999999E-2</v>
      </c>
      <c r="I2616" s="15">
        <v>3.4299999999999997E-2</v>
      </c>
      <c r="J2616" s="15">
        <v>-0.37900874635568521</v>
      </c>
    </row>
    <row r="2617" spans="1:10" x14ac:dyDescent="0.25">
      <c r="A2617" s="2" t="s">
        <v>7379</v>
      </c>
      <c r="B2617" s="2" t="s">
        <v>7007</v>
      </c>
      <c r="C2617" s="2" t="s">
        <v>7380</v>
      </c>
      <c r="D2617" s="2" t="s">
        <v>10055</v>
      </c>
      <c r="E2617" s="15"/>
      <c r="F2617" s="15"/>
      <c r="G2617" s="15"/>
      <c r="H2617" s="15">
        <v>-2.23E-2</v>
      </c>
      <c r="I2617" s="15">
        <v>3.5799999999999998E-2</v>
      </c>
      <c r="J2617" s="15">
        <v>-0.62290502793296088</v>
      </c>
    </row>
    <row r="2618" spans="1:10" x14ac:dyDescent="0.25">
      <c r="A2618" s="2" t="s">
        <v>7381</v>
      </c>
      <c r="B2618" s="2" t="s">
        <v>7007</v>
      </c>
      <c r="C2618" s="2" t="s">
        <v>7382</v>
      </c>
      <c r="D2618" s="2" t="s">
        <v>10055</v>
      </c>
      <c r="E2618" s="15"/>
      <c r="F2618" s="15"/>
      <c r="G2618" s="15"/>
      <c r="H2618" s="15"/>
      <c r="I2618" s="15"/>
      <c r="J2618" s="15"/>
    </row>
    <row r="2619" spans="1:10" x14ac:dyDescent="0.25">
      <c r="A2619" s="2" t="s">
        <v>7383</v>
      </c>
      <c r="B2619" s="2" t="s">
        <v>7007</v>
      </c>
      <c r="C2619" s="2" t="s">
        <v>7384</v>
      </c>
      <c r="D2619" s="2" t="s">
        <v>10055</v>
      </c>
      <c r="E2619" s="15">
        <v>-0.15720000000000001</v>
      </c>
      <c r="F2619" s="15">
        <v>0.1187</v>
      </c>
      <c r="G2619" s="15">
        <v>0.18559999999999999</v>
      </c>
      <c r="H2619" s="15">
        <v>8.2600000000000007E-2</v>
      </c>
      <c r="I2619" s="15">
        <v>3.5099999999999999E-2</v>
      </c>
      <c r="J2619" s="15">
        <v>2.3532763532763541</v>
      </c>
    </row>
    <row r="2620" spans="1:10" x14ac:dyDescent="0.25">
      <c r="A2620" s="2" t="s">
        <v>7385</v>
      </c>
      <c r="B2620" s="2" t="s">
        <v>7007</v>
      </c>
      <c r="C2620" s="2" t="s">
        <v>7386</v>
      </c>
      <c r="D2620" s="2" t="s">
        <v>10055</v>
      </c>
      <c r="E2620" s="15">
        <v>9.2200000000000004E-2</v>
      </c>
      <c r="F2620" s="15">
        <v>0.13900000000000001</v>
      </c>
      <c r="G2620" s="15">
        <v>0.5071</v>
      </c>
      <c r="H2620" s="15">
        <v>6.08E-2</v>
      </c>
      <c r="I2620" s="15">
        <v>4.0300000000000002E-2</v>
      </c>
      <c r="J2620" s="15">
        <v>1.508684863523573</v>
      </c>
    </row>
    <row r="2621" spans="1:10" x14ac:dyDescent="0.25">
      <c r="A2621" s="2" t="s">
        <v>7387</v>
      </c>
      <c r="B2621" s="2" t="s">
        <v>7007</v>
      </c>
      <c r="C2621" s="2" t="s">
        <v>7388</v>
      </c>
      <c r="D2621" s="2" t="s">
        <v>10055</v>
      </c>
      <c r="E2621" s="15">
        <v>-0.12809999999999999</v>
      </c>
      <c r="F2621" s="15">
        <v>0.29630000000000001</v>
      </c>
      <c r="G2621" s="15">
        <v>0.66539999999999999</v>
      </c>
      <c r="H2621" s="15">
        <v>1.5800000000000002E-2</v>
      </c>
      <c r="I2621" s="15">
        <v>3.6600000000000001E-2</v>
      </c>
      <c r="J2621" s="15">
        <v>0.43169398907103829</v>
      </c>
    </row>
    <row r="2622" spans="1:10" x14ac:dyDescent="0.25">
      <c r="A2622" s="2" t="s">
        <v>7389</v>
      </c>
      <c r="B2622" s="2" t="s">
        <v>7007</v>
      </c>
      <c r="C2622" s="2" t="s">
        <v>7390</v>
      </c>
      <c r="D2622" s="2" t="s">
        <v>10055</v>
      </c>
      <c r="E2622" s="15">
        <v>0.1134</v>
      </c>
      <c r="F2622" s="15">
        <v>0.13980000000000001</v>
      </c>
      <c r="G2622" s="15">
        <v>0.41739999999999999</v>
      </c>
      <c r="H2622" s="15">
        <v>5.0799999999999998E-2</v>
      </c>
      <c r="I2622" s="15">
        <v>3.7499999999999999E-2</v>
      </c>
      <c r="J2622" s="15">
        <v>1.3546666666666669</v>
      </c>
    </row>
    <row r="2623" spans="1:10" x14ac:dyDescent="0.25">
      <c r="A2623" s="2" t="s">
        <v>7391</v>
      </c>
      <c r="B2623" s="2" t="s">
        <v>7007</v>
      </c>
      <c r="C2623" s="2" t="s">
        <v>7392</v>
      </c>
      <c r="D2623" s="2" t="s">
        <v>10055</v>
      </c>
      <c r="E2623" s="15">
        <v>9.5299999999999996E-2</v>
      </c>
      <c r="F2623" s="15">
        <v>0.13519999999999999</v>
      </c>
      <c r="G2623" s="15">
        <v>0.48080000000000001</v>
      </c>
      <c r="H2623" s="15">
        <v>6.08E-2</v>
      </c>
      <c r="I2623" s="15">
        <v>3.4599999999999999E-2</v>
      </c>
      <c r="J2623" s="15">
        <v>1.757225433526012</v>
      </c>
    </row>
    <row r="2624" spans="1:10" x14ac:dyDescent="0.25">
      <c r="A2624" s="2" t="s">
        <v>7393</v>
      </c>
      <c r="B2624" s="2" t="s">
        <v>7007</v>
      </c>
      <c r="C2624" s="2" t="s">
        <v>7394</v>
      </c>
      <c r="D2624" s="2" t="s">
        <v>10055</v>
      </c>
      <c r="E2624" s="15">
        <v>0.16550000000000001</v>
      </c>
      <c r="F2624" s="15">
        <v>0.23480000000000001</v>
      </c>
      <c r="G2624" s="15">
        <v>0.48089999999999999</v>
      </c>
      <c r="H2624" s="15">
        <v>2.58E-2</v>
      </c>
      <c r="I2624" s="15">
        <v>3.4299999999999997E-2</v>
      </c>
      <c r="J2624" s="15">
        <v>0.75218658892128287</v>
      </c>
    </row>
    <row r="2625" spans="1:10" x14ac:dyDescent="0.25">
      <c r="A2625" s="2" t="s">
        <v>7395</v>
      </c>
      <c r="B2625" s="2" t="s">
        <v>7007</v>
      </c>
      <c r="C2625" s="2" t="s">
        <v>7396</v>
      </c>
      <c r="D2625" s="2" t="s">
        <v>10055</v>
      </c>
      <c r="E2625" s="15">
        <v>8.1299999999999997E-2</v>
      </c>
      <c r="F2625" s="15">
        <v>0.13189999999999999</v>
      </c>
      <c r="G2625" s="15">
        <v>0.53749999999999998</v>
      </c>
      <c r="H2625" s="15">
        <v>6.08E-2</v>
      </c>
      <c r="I2625" s="15">
        <v>3.95E-2</v>
      </c>
      <c r="J2625" s="15">
        <v>1.5392405063291139</v>
      </c>
    </row>
    <row r="2626" spans="1:10" x14ac:dyDescent="0.25">
      <c r="A2626" s="2" t="s">
        <v>7397</v>
      </c>
      <c r="B2626" s="2" t="s">
        <v>7007</v>
      </c>
      <c r="C2626" s="2" t="s">
        <v>7398</v>
      </c>
      <c r="D2626" s="2" t="s">
        <v>10055</v>
      </c>
      <c r="E2626" s="15">
        <v>-2.24E-2</v>
      </c>
      <c r="F2626" s="15">
        <v>0.12640000000000001</v>
      </c>
      <c r="G2626" s="15">
        <v>0.85950000000000004</v>
      </c>
      <c r="H2626" s="15">
        <v>7.4399999999999994E-2</v>
      </c>
      <c r="I2626" s="15">
        <v>3.6200000000000003E-2</v>
      </c>
      <c r="J2626" s="15">
        <v>2.05524861878453</v>
      </c>
    </row>
    <row r="2627" spans="1:10" x14ac:dyDescent="0.25">
      <c r="A2627" s="2" t="s">
        <v>7399</v>
      </c>
      <c r="B2627" s="2" t="s">
        <v>7007</v>
      </c>
      <c r="C2627" s="2" t="s">
        <v>7400</v>
      </c>
      <c r="D2627" s="2" t="s">
        <v>10055</v>
      </c>
      <c r="E2627" s="15">
        <v>-8.9399999999999993E-2</v>
      </c>
      <c r="F2627" s="15">
        <v>0.11990000000000001</v>
      </c>
      <c r="G2627" s="15">
        <v>0.45590000000000003</v>
      </c>
      <c r="H2627" s="15">
        <v>7.9399999999999998E-2</v>
      </c>
      <c r="I2627" s="15">
        <v>3.9800000000000002E-2</v>
      </c>
      <c r="J2627" s="15">
        <v>1.9949748743718589</v>
      </c>
    </row>
    <row r="2628" spans="1:10" x14ac:dyDescent="0.25">
      <c r="A2628" s="2" t="s">
        <v>7401</v>
      </c>
      <c r="B2628" s="2" t="s">
        <v>7007</v>
      </c>
      <c r="C2628" s="2" t="s">
        <v>7402</v>
      </c>
      <c r="D2628" s="2" t="s">
        <v>10055</v>
      </c>
      <c r="E2628" s="15">
        <v>0.2026</v>
      </c>
      <c r="F2628" s="15">
        <v>0.3266</v>
      </c>
      <c r="G2628" s="15">
        <v>0.53510000000000002</v>
      </c>
      <c r="H2628" s="15">
        <v>2.0799999999999999E-2</v>
      </c>
      <c r="I2628" s="15">
        <v>3.9699999999999999E-2</v>
      </c>
      <c r="J2628" s="15">
        <v>0.52392947103274556</v>
      </c>
    </row>
    <row r="2629" spans="1:10" x14ac:dyDescent="0.25">
      <c r="A2629" s="2" t="s">
        <v>7403</v>
      </c>
      <c r="B2629" s="2" t="s">
        <v>7007</v>
      </c>
      <c r="C2629" s="2" t="s">
        <v>7404</v>
      </c>
      <c r="D2629" s="2" t="s">
        <v>10055</v>
      </c>
      <c r="E2629" s="15">
        <v>7.1300000000000002E-2</v>
      </c>
      <c r="F2629" s="15">
        <v>0.10349999999999999</v>
      </c>
      <c r="G2629" s="15">
        <v>0.49109999999999998</v>
      </c>
      <c r="H2629" s="15">
        <v>9.2299999999999993E-2</v>
      </c>
      <c r="I2629" s="15">
        <v>3.8399999999999997E-2</v>
      </c>
      <c r="J2629" s="15">
        <v>2.403645833333333</v>
      </c>
    </row>
    <row r="2630" spans="1:10" x14ac:dyDescent="0.25">
      <c r="A2630" s="2" t="s">
        <v>7405</v>
      </c>
      <c r="B2630" s="2" t="s">
        <v>7007</v>
      </c>
      <c r="C2630" s="2" t="s">
        <v>7406</v>
      </c>
      <c r="D2630" s="2" t="s">
        <v>10055</v>
      </c>
      <c r="E2630" s="15">
        <v>-0.16569999999999999</v>
      </c>
      <c r="F2630" s="15">
        <v>0.1072</v>
      </c>
      <c r="G2630" s="15">
        <v>0.12230000000000001</v>
      </c>
      <c r="H2630" s="15">
        <v>8.4500000000000006E-2</v>
      </c>
      <c r="I2630" s="15">
        <v>3.5799999999999998E-2</v>
      </c>
      <c r="J2630" s="15">
        <v>2.3603351955307259</v>
      </c>
    </row>
    <row r="2631" spans="1:10" x14ac:dyDescent="0.25">
      <c r="A2631" s="2" t="s">
        <v>7407</v>
      </c>
      <c r="B2631" s="2" t="s">
        <v>7007</v>
      </c>
      <c r="C2631" s="2" t="s">
        <v>7408</v>
      </c>
      <c r="D2631" s="2" t="s">
        <v>10055</v>
      </c>
      <c r="E2631" s="15">
        <v>0.21890000000000001</v>
      </c>
      <c r="F2631" s="15">
        <v>0.20380000000000001</v>
      </c>
      <c r="G2631" s="15">
        <v>0.2828</v>
      </c>
      <c r="H2631" s="15">
        <v>3.2399999999999998E-2</v>
      </c>
      <c r="I2631" s="15">
        <v>4.0599999999999997E-2</v>
      </c>
      <c r="J2631" s="15">
        <v>0.79802955665024633</v>
      </c>
    </row>
    <row r="2632" spans="1:10" x14ac:dyDescent="0.25">
      <c r="A2632" s="2" t="s">
        <v>7409</v>
      </c>
      <c r="B2632" s="2" t="s">
        <v>7007</v>
      </c>
      <c r="C2632" s="2" t="s">
        <v>7410</v>
      </c>
      <c r="D2632" s="2" t="s">
        <v>10055</v>
      </c>
      <c r="E2632" s="15">
        <v>0.06</v>
      </c>
      <c r="F2632" s="15">
        <v>0.15529999999999999</v>
      </c>
      <c r="G2632" s="15">
        <v>0.69899999999999995</v>
      </c>
      <c r="H2632" s="15">
        <v>4.4600000000000001E-2</v>
      </c>
      <c r="I2632" s="15">
        <v>3.7999999999999999E-2</v>
      </c>
      <c r="J2632" s="15">
        <v>1.1736842105263161</v>
      </c>
    </row>
    <row r="2633" spans="1:10" x14ac:dyDescent="0.25">
      <c r="A2633" s="2" t="s">
        <v>7411</v>
      </c>
      <c r="B2633" s="2" t="s">
        <v>7007</v>
      </c>
      <c r="C2633" s="2" t="s">
        <v>7412</v>
      </c>
      <c r="D2633" s="2" t="s">
        <v>10055</v>
      </c>
      <c r="E2633" s="15">
        <v>-8.6599999999999996E-2</v>
      </c>
      <c r="F2633" s="15">
        <v>8.6800000000000002E-2</v>
      </c>
      <c r="G2633" s="15">
        <v>0.31840000000000002</v>
      </c>
      <c r="H2633" s="15">
        <v>0.1371</v>
      </c>
      <c r="I2633" s="15">
        <v>4.0899999999999999E-2</v>
      </c>
      <c r="J2633" s="15">
        <v>3.3520782396088018</v>
      </c>
    </row>
    <row r="2634" spans="1:10" x14ac:dyDescent="0.25">
      <c r="A2634" s="2" t="s">
        <v>7413</v>
      </c>
      <c r="B2634" s="2" t="s">
        <v>7007</v>
      </c>
      <c r="C2634" s="2" t="s">
        <v>7414</v>
      </c>
      <c r="D2634" s="2" t="s">
        <v>10055</v>
      </c>
      <c r="E2634" s="15">
        <v>-0.10009999999999999</v>
      </c>
      <c r="F2634" s="15">
        <v>0.20610000000000001</v>
      </c>
      <c r="G2634" s="15">
        <v>0.62729999999999997</v>
      </c>
      <c r="H2634" s="15">
        <v>3.0499999999999999E-2</v>
      </c>
      <c r="I2634" s="15">
        <v>3.9E-2</v>
      </c>
      <c r="J2634" s="15">
        <v>0.78205128205128205</v>
      </c>
    </row>
    <row r="2635" spans="1:10" x14ac:dyDescent="0.25">
      <c r="A2635" s="2" t="s">
        <v>7415</v>
      </c>
      <c r="B2635" s="2" t="s">
        <v>7007</v>
      </c>
      <c r="C2635" s="2" t="s">
        <v>7416</v>
      </c>
      <c r="D2635" s="2" t="s">
        <v>10055</v>
      </c>
      <c r="E2635" s="15">
        <v>-0.22539999999999999</v>
      </c>
      <c r="F2635" s="15">
        <v>0.18729999999999999</v>
      </c>
      <c r="G2635" s="15">
        <v>0.2288</v>
      </c>
      <c r="H2635" s="15">
        <v>4.5699999999999998E-2</v>
      </c>
      <c r="I2635" s="15">
        <v>3.7400000000000003E-2</v>
      </c>
      <c r="J2635" s="15">
        <v>1.2219251336898389</v>
      </c>
    </row>
    <row r="2636" spans="1:10" x14ac:dyDescent="0.25">
      <c r="A2636" s="2" t="s">
        <v>7417</v>
      </c>
      <c r="B2636" s="2" t="s">
        <v>7007</v>
      </c>
      <c r="C2636" s="2" t="s">
        <v>7418</v>
      </c>
      <c r="D2636" s="2" t="s">
        <v>10055</v>
      </c>
      <c r="E2636" s="15"/>
      <c r="F2636" s="15"/>
      <c r="G2636" s="15"/>
      <c r="H2636" s="15">
        <v>-1.24E-2</v>
      </c>
      <c r="I2636" s="15">
        <v>3.7400000000000003E-2</v>
      </c>
      <c r="J2636" s="15">
        <v>-0.33155080213903743</v>
      </c>
    </row>
    <row r="2637" spans="1:10" x14ac:dyDescent="0.25">
      <c r="A2637" s="2" t="s">
        <v>7419</v>
      </c>
      <c r="B2637" s="2" t="s">
        <v>7007</v>
      </c>
      <c r="C2637" s="2" t="s">
        <v>7420</v>
      </c>
      <c r="D2637" s="2" t="s">
        <v>10055</v>
      </c>
      <c r="E2637" s="15">
        <v>-2.2599999999999999E-2</v>
      </c>
      <c r="F2637" s="15">
        <v>0.1163</v>
      </c>
      <c r="G2637" s="15">
        <v>0.84619999999999995</v>
      </c>
      <c r="H2637" s="15">
        <v>9.8000000000000004E-2</v>
      </c>
      <c r="I2637" s="15">
        <v>3.6900000000000002E-2</v>
      </c>
      <c r="J2637" s="15">
        <v>2.655826558265582</v>
      </c>
    </row>
    <row r="2638" spans="1:10" x14ac:dyDescent="0.25">
      <c r="A2638" s="2" t="s">
        <v>7421</v>
      </c>
      <c r="B2638" s="2" t="s">
        <v>7007</v>
      </c>
      <c r="C2638" s="2" t="s">
        <v>7422</v>
      </c>
      <c r="D2638" s="2" t="s">
        <v>10055</v>
      </c>
      <c r="E2638" s="15">
        <v>0.15859999999999999</v>
      </c>
      <c r="F2638" s="15">
        <v>0.1835</v>
      </c>
      <c r="G2638" s="15">
        <v>0.38750000000000001</v>
      </c>
      <c r="H2638" s="15">
        <v>4.2500000000000003E-2</v>
      </c>
      <c r="I2638" s="15">
        <v>3.5499999999999997E-2</v>
      </c>
      <c r="J2638" s="15">
        <v>1.197183098591549</v>
      </c>
    </row>
    <row r="2639" spans="1:10" x14ac:dyDescent="0.25">
      <c r="A2639" s="2" t="s">
        <v>7423</v>
      </c>
      <c r="B2639" s="2" t="s">
        <v>7007</v>
      </c>
      <c r="C2639" s="2" t="s">
        <v>7424</v>
      </c>
      <c r="D2639" s="2" t="s">
        <v>10055</v>
      </c>
      <c r="E2639" s="15">
        <v>0.19600000000000001</v>
      </c>
      <c r="F2639" s="15">
        <v>0.1153</v>
      </c>
      <c r="G2639" s="15">
        <v>8.9099999999999999E-2</v>
      </c>
      <c r="H2639" s="15">
        <v>9.8400000000000001E-2</v>
      </c>
      <c r="I2639" s="15">
        <v>3.7600000000000001E-2</v>
      </c>
      <c r="J2639" s="15">
        <v>2.6170212765957448</v>
      </c>
    </row>
    <row r="2640" spans="1:10" x14ac:dyDescent="0.25">
      <c r="A2640" s="2" t="s">
        <v>7425</v>
      </c>
      <c r="B2640" s="2" t="s">
        <v>7007</v>
      </c>
      <c r="C2640" s="2" t="s">
        <v>7426</v>
      </c>
      <c r="D2640" s="2" t="s">
        <v>10055</v>
      </c>
      <c r="E2640" s="15">
        <v>-0.14269999999999999</v>
      </c>
      <c r="F2640" s="15">
        <v>0.17799999999999999</v>
      </c>
      <c r="G2640" s="15">
        <v>0.42259999999999998</v>
      </c>
      <c r="H2640" s="15">
        <v>3.44E-2</v>
      </c>
      <c r="I2640" s="15">
        <v>4.07E-2</v>
      </c>
      <c r="J2640" s="15">
        <v>0.84520884520884521</v>
      </c>
    </row>
    <row r="2641" spans="1:10" x14ac:dyDescent="0.25">
      <c r="A2641" s="2" t="s">
        <v>7427</v>
      </c>
      <c r="B2641" s="2" t="s">
        <v>7007</v>
      </c>
      <c r="C2641" s="2" t="s">
        <v>7428</v>
      </c>
      <c r="D2641" s="2" t="s">
        <v>10055</v>
      </c>
      <c r="E2641" s="15">
        <v>-0.3196</v>
      </c>
      <c r="F2641" s="15">
        <v>0.54400000000000004</v>
      </c>
      <c r="G2641" s="15">
        <v>0.55689999999999995</v>
      </c>
      <c r="H2641" s="15">
        <v>1.44E-2</v>
      </c>
      <c r="I2641" s="15">
        <v>3.3799999999999997E-2</v>
      </c>
      <c r="J2641" s="15">
        <v>0.42603550295857989</v>
      </c>
    </row>
    <row r="2642" spans="1:10" x14ac:dyDescent="0.25">
      <c r="A2642" s="2" t="s">
        <v>7429</v>
      </c>
      <c r="B2642" s="2" t="s">
        <v>7007</v>
      </c>
      <c r="C2642" s="2" t="s">
        <v>7430</v>
      </c>
      <c r="D2642" s="2" t="s">
        <v>10055</v>
      </c>
      <c r="E2642" s="15">
        <v>-8.2199999999999995E-2</v>
      </c>
      <c r="F2642" s="15">
        <v>0.12570000000000001</v>
      </c>
      <c r="G2642" s="15">
        <v>0.51300000000000001</v>
      </c>
      <c r="H2642" s="15">
        <v>7.1300000000000002E-2</v>
      </c>
      <c r="I2642" s="15">
        <v>3.5900000000000001E-2</v>
      </c>
      <c r="J2642" s="15">
        <v>1.9860724233983289</v>
      </c>
    </row>
    <row r="2643" spans="1:10" x14ac:dyDescent="0.25">
      <c r="A2643" s="2" t="s">
        <v>7431</v>
      </c>
      <c r="B2643" s="2" t="s">
        <v>7007</v>
      </c>
      <c r="C2643" s="2" t="s">
        <v>7432</v>
      </c>
      <c r="D2643" s="2" t="s">
        <v>10055</v>
      </c>
      <c r="E2643" s="15">
        <v>-6.2700000000000006E-2</v>
      </c>
      <c r="F2643" s="15">
        <v>0.29389999999999999</v>
      </c>
      <c r="G2643" s="15">
        <v>0.83109999999999995</v>
      </c>
      <c r="H2643" s="15">
        <v>1.5699999999999999E-2</v>
      </c>
      <c r="I2643" s="15">
        <v>3.9199999999999999E-2</v>
      </c>
      <c r="J2643" s="15">
        <v>0.40051020408163263</v>
      </c>
    </row>
    <row r="2644" spans="1:10" x14ac:dyDescent="0.25">
      <c r="A2644" s="2" t="s">
        <v>7433</v>
      </c>
      <c r="B2644" s="2" t="s">
        <v>7007</v>
      </c>
      <c r="C2644" s="2" t="s">
        <v>7434</v>
      </c>
      <c r="D2644" s="2" t="s">
        <v>10055</v>
      </c>
      <c r="E2644" s="15">
        <v>5.8999999999999999E-3</v>
      </c>
      <c r="F2644" s="15">
        <v>0.1052</v>
      </c>
      <c r="G2644" s="15">
        <v>0.95520000000000005</v>
      </c>
      <c r="H2644" s="15">
        <v>9.6199999999999994E-2</v>
      </c>
      <c r="I2644" s="15">
        <v>3.9800000000000002E-2</v>
      </c>
      <c r="J2644" s="15">
        <v>2.4170854271356781</v>
      </c>
    </row>
    <row r="2645" spans="1:10" x14ac:dyDescent="0.25">
      <c r="A2645" s="2" t="s">
        <v>7435</v>
      </c>
      <c r="B2645" s="2" t="s">
        <v>7007</v>
      </c>
      <c r="C2645" s="2" t="s">
        <v>7436</v>
      </c>
      <c r="D2645" s="2" t="s">
        <v>10055</v>
      </c>
      <c r="E2645" s="15">
        <v>2.5499999999999998E-2</v>
      </c>
      <c r="F2645" s="15">
        <v>0.1076</v>
      </c>
      <c r="G2645" s="15">
        <v>0.81240000000000001</v>
      </c>
      <c r="H2645" s="15">
        <v>9.5399999999999999E-2</v>
      </c>
      <c r="I2645" s="15">
        <v>4.1700000000000001E-2</v>
      </c>
      <c r="J2645" s="15">
        <v>2.2877697841726619</v>
      </c>
    </row>
    <row r="2646" spans="1:10" x14ac:dyDescent="0.25">
      <c r="A2646" s="2" t="s">
        <v>7437</v>
      </c>
      <c r="B2646" s="2" t="s">
        <v>7007</v>
      </c>
      <c r="C2646" s="2" t="s">
        <v>7438</v>
      </c>
      <c r="D2646" s="2" t="s">
        <v>10055</v>
      </c>
      <c r="E2646" s="15">
        <v>-8.5599999999999996E-2</v>
      </c>
      <c r="F2646" s="15">
        <v>0.16619999999999999</v>
      </c>
      <c r="G2646" s="15">
        <v>0.60640000000000005</v>
      </c>
      <c r="H2646" s="15">
        <v>3.9300000000000002E-2</v>
      </c>
      <c r="I2646" s="15">
        <v>3.9800000000000002E-2</v>
      </c>
      <c r="J2646" s="15">
        <v>0.98743718592964824</v>
      </c>
    </row>
    <row r="2647" spans="1:10" x14ac:dyDescent="0.25">
      <c r="A2647" s="2" t="s">
        <v>7439</v>
      </c>
      <c r="B2647" s="2" t="s">
        <v>7007</v>
      </c>
      <c r="C2647" s="2" t="s">
        <v>7440</v>
      </c>
      <c r="D2647" s="2" t="s">
        <v>10055</v>
      </c>
      <c r="E2647" s="15">
        <v>-8.4400000000000003E-2</v>
      </c>
      <c r="F2647" s="15">
        <v>0.14349999999999999</v>
      </c>
      <c r="G2647" s="15">
        <v>0.55630000000000002</v>
      </c>
      <c r="H2647" s="15">
        <v>5.2200000000000003E-2</v>
      </c>
      <c r="I2647" s="15">
        <v>3.4700000000000002E-2</v>
      </c>
      <c r="J2647" s="15">
        <v>1.5043227665706049</v>
      </c>
    </row>
    <row r="2648" spans="1:10" x14ac:dyDescent="0.25">
      <c r="A2648" s="2" t="s">
        <v>7441</v>
      </c>
      <c r="B2648" s="2" t="s">
        <v>7007</v>
      </c>
      <c r="C2648" s="2" t="s">
        <v>7442</v>
      </c>
      <c r="D2648" s="2" t="s">
        <v>10055</v>
      </c>
      <c r="E2648" s="15">
        <v>-0.1206</v>
      </c>
      <c r="F2648" s="15">
        <v>0.16289999999999999</v>
      </c>
      <c r="G2648" s="15">
        <v>0.4592</v>
      </c>
      <c r="H2648" s="15">
        <v>5.4100000000000002E-2</v>
      </c>
      <c r="I2648" s="15">
        <v>3.7699999999999997E-2</v>
      </c>
      <c r="J2648" s="15">
        <v>1.43501326259947</v>
      </c>
    </row>
    <row r="2649" spans="1:10" x14ac:dyDescent="0.25">
      <c r="A2649" s="2" t="s">
        <v>7443</v>
      </c>
      <c r="B2649" s="2" t="s">
        <v>7007</v>
      </c>
      <c r="C2649" s="2" t="s">
        <v>7444</v>
      </c>
      <c r="D2649" s="2" t="s">
        <v>10055</v>
      </c>
      <c r="E2649" s="15">
        <v>-0.12770000000000001</v>
      </c>
      <c r="F2649" s="15">
        <v>0.16320000000000001</v>
      </c>
      <c r="G2649" s="15">
        <v>0.434</v>
      </c>
      <c r="H2649" s="15">
        <v>5.11E-2</v>
      </c>
      <c r="I2649" s="15">
        <v>4.2000000000000003E-2</v>
      </c>
      <c r="J2649" s="15">
        <v>1.216666666666667</v>
      </c>
    </row>
    <row r="2650" spans="1:10" x14ac:dyDescent="0.25">
      <c r="A2650" s="2" t="s">
        <v>7445</v>
      </c>
      <c r="B2650" s="2" t="s">
        <v>7007</v>
      </c>
      <c r="C2650" s="2" t="s">
        <v>7446</v>
      </c>
      <c r="D2650" s="2" t="s">
        <v>10055</v>
      </c>
      <c r="E2650" s="15">
        <v>-0.18479999999999999</v>
      </c>
      <c r="F2650" s="15">
        <v>0.14729999999999999</v>
      </c>
      <c r="G2650" s="15">
        <v>0.20960000000000001</v>
      </c>
      <c r="H2650" s="15">
        <v>5.9799999999999999E-2</v>
      </c>
      <c r="I2650" s="15">
        <v>3.6600000000000001E-2</v>
      </c>
      <c r="J2650" s="15">
        <v>1.6338797814207651</v>
      </c>
    </row>
    <row r="2651" spans="1:10" x14ac:dyDescent="0.25">
      <c r="A2651" s="2" t="s">
        <v>7447</v>
      </c>
      <c r="B2651" s="2" t="s">
        <v>7007</v>
      </c>
      <c r="C2651" s="2" t="s">
        <v>7448</v>
      </c>
      <c r="D2651" s="2" t="s">
        <v>10055</v>
      </c>
      <c r="E2651" s="15">
        <v>0.1017</v>
      </c>
      <c r="F2651" s="15">
        <v>9.6299999999999997E-2</v>
      </c>
      <c r="G2651" s="15">
        <v>0.29070000000000001</v>
      </c>
      <c r="H2651" s="15">
        <v>0.1026</v>
      </c>
      <c r="I2651" s="15">
        <v>3.9300000000000002E-2</v>
      </c>
      <c r="J2651" s="15">
        <v>2.610687022900763</v>
      </c>
    </row>
    <row r="2652" spans="1:10" x14ac:dyDescent="0.25">
      <c r="A2652" s="2" t="s">
        <v>7449</v>
      </c>
      <c r="B2652" s="2" t="s">
        <v>7007</v>
      </c>
      <c r="C2652" s="2" t="s">
        <v>7450</v>
      </c>
      <c r="D2652" s="2" t="s">
        <v>10055</v>
      </c>
      <c r="E2652" s="15">
        <v>-7.0900000000000005E-2</v>
      </c>
      <c r="F2652" s="15">
        <v>0.12989999999999999</v>
      </c>
      <c r="G2652" s="15">
        <v>0.58520000000000005</v>
      </c>
      <c r="H2652" s="15">
        <v>6.2E-2</v>
      </c>
      <c r="I2652" s="15">
        <v>3.9300000000000002E-2</v>
      </c>
      <c r="J2652" s="15">
        <v>1.577608142493639</v>
      </c>
    </row>
    <row r="2653" spans="1:10" x14ac:dyDescent="0.25">
      <c r="A2653" s="2" t="s">
        <v>7451</v>
      </c>
      <c r="B2653" s="2" t="s">
        <v>7007</v>
      </c>
      <c r="C2653" s="2" t="s">
        <v>7452</v>
      </c>
      <c r="D2653" s="2" t="s">
        <v>10055</v>
      </c>
      <c r="E2653" s="15"/>
      <c r="F2653" s="15"/>
      <c r="G2653" s="15"/>
      <c r="H2653" s="15"/>
      <c r="I2653" s="15"/>
      <c r="J2653" s="15"/>
    </row>
    <row r="2654" spans="1:10" x14ac:dyDescent="0.25">
      <c r="A2654" s="2" t="s">
        <v>7453</v>
      </c>
      <c r="B2654" s="2" t="s">
        <v>7007</v>
      </c>
      <c r="C2654" s="2" t="s">
        <v>7454</v>
      </c>
      <c r="D2654" s="2" t="s">
        <v>10055</v>
      </c>
      <c r="E2654" s="15">
        <v>-1.35E-2</v>
      </c>
      <c r="F2654" s="15">
        <v>0.1603</v>
      </c>
      <c r="G2654" s="15">
        <v>0.93289999999999995</v>
      </c>
      <c r="H2654" s="15">
        <v>4.5199999999999997E-2</v>
      </c>
      <c r="I2654" s="15">
        <v>3.8800000000000001E-2</v>
      </c>
      <c r="J2654" s="15">
        <v>1.1649484536082471</v>
      </c>
    </row>
    <row r="2655" spans="1:10" x14ac:dyDescent="0.25">
      <c r="A2655" s="2" t="s">
        <v>7455</v>
      </c>
      <c r="B2655" s="2" t="s">
        <v>7007</v>
      </c>
      <c r="C2655" s="2" t="s">
        <v>7456</v>
      </c>
      <c r="D2655" s="2" t="s">
        <v>10055</v>
      </c>
      <c r="E2655" s="15">
        <v>0.25130000000000002</v>
      </c>
      <c r="F2655" s="15">
        <v>0.1396</v>
      </c>
      <c r="G2655" s="15">
        <v>7.1800000000000003E-2</v>
      </c>
      <c r="H2655" s="15">
        <v>5.8599999999999999E-2</v>
      </c>
      <c r="I2655" s="15">
        <v>3.5799999999999998E-2</v>
      </c>
      <c r="J2655" s="15">
        <v>1.6368715083798879</v>
      </c>
    </row>
    <row r="2656" spans="1:10" x14ac:dyDescent="0.25">
      <c r="A2656" s="2" t="s">
        <v>7457</v>
      </c>
      <c r="B2656" s="2" t="s">
        <v>7007</v>
      </c>
      <c r="C2656" s="2" t="s">
        <v>7458</v>
      </c>
      <c r="D2656" s="2" t="s">
        <v>10055</v>
      </c>
      <c r="E2656" s="15">
        <v>0.217</v>
      </c>
      <c r="F2656" s="15">
        <v>0.2089</v>
      </c>
      <c r="G2656" s="15">
        <v>0.29880000000000001</v>
      </c>
      <c r="H2656" s="15">
        <v>3.1600000000000003E-2</v>
      </c>
      <c r="I2656" s="15">
        <v>3.73E-2</v>
      </c>
      <c r="J2656" s="15">
        <v>0.84718498659517438</v>
      </c>
    </row>
    <row r="2657" spans="1:10" x14ac:dyDescent="0.25">
      <c r="A2657" s="2" t="s">
        <v>7459</v>
      </c>
      <c r="B2657" s="2" t="s">
        <v>7007</v>
      </c>
      <c r="C2657" s="2" t="s">
        <v>7460</v>
      </c>
      <c r="D2657" s="2" t="s">
        <v>10055</v>
      </c>
      <c r="E2657" s="15">
        <v>0.16969999999999999</v>
      </c>
      <c r="F2657" s="15">
        <v>0.14749999999999999</v>
      </c>
      <c r="G2657" s="15">
        <v>0.25009999999999999</v>
      </c>
      <c r="H2657" s="15">
        <v>6.0499999999999998E-2</v>
      </c>
      <c r="I2657" s="15">
        <v>4.1099999999999998E-2</v>
      </c>
      <c r="J2657" s="15">
        <v>1.472019464720195</v>
      </c>
    </row>
    <row r="2658" spans="1:10" x14ac:dyDescent="0.25">
      <c r="A2658" s="2" t="s">
        <v>7461</v>
      </c>
      <c r="B2658" s="2" t="s">
        <v>7007</v>
      </c>
      <c r="C2658" s="2" t="s">
        <v>7462</v>
      </c>
      <c r="D2658" s="2" t="s">
        <v>10055</v>
      </c>
      <c r="E2658" s="15"/>
      <c r="F2658" s="15"/>
      <c r="G2658" s="15"/>
      <c r="H2658" s="15"/>
      <c r="I2658" s="15"/>
      <c r="J2658" s="15"/>
    </row>
    <row r="2659" spans="1:10" x14ac:dyDescent="0.25">
      <c r="A2659" s="2" t="s">
        <v>7463</v>
      </c>
      <c r="B2659" s="2" t="s">
        <v>7007</v>
      </c>
      <c r="C2659" s="2" t="s">
        <v>7464</v>
      </c>
      <c r="D2659" s="2" t="s">
        <v>10055</v>
      </c>
      <c r="E2659" s="15">
        <v>2.63E-2</v>
      </c>
      <c r="F2659" s="15">
        <v>0.1075</v>
      </c>
      <c r="G2659" s="15">
        <v>0.80649999999999999</v>
      </c>
      <c r="H2659" s="15">
        <v>9.0899999999999995E-2</v>
      </c>
      <c r="I2659" s="15">
        <v>0.04</v>
      </c>
      <c r="J2659" s="15">
        <v>2.2725</v>
      </c>
    </row>
    <row r="2660" spans="1:10" x14ac:dyDescent="0.25">
      <c r="A2660" s="2" t="s">
        <v>7465</v>
      </c>
      <c r="B2660" s="2" t="s">
        <v>7007</v>
      </c>
      <c r="C2660" s="2" t="s">
        <v>7466</v>
      </c>
      <c r="D2660" s="2" t="s">
        <v>10055</v>
      </c>
      <c r="E2660" s="15"/>
      <c r="F2660" s="15"/>
      <c r="G2660" s="15"/>
      <c r="H2660" s="15">
        <v>-2.47E-2</v>
      </c>
      <c r="I2660" s="15">
        <v>3.49E-2</v>
      </c>
      <c r="J2660" s="15">
        <v>-0.70773638968481378</v>
      </c>
    </row>
    <row r="2661" spans="1:10" x14ac:dyDescent="0.25">
      <c r="A2661" s="2" t="s">
        <v>7467</v>
      </c>
      <c r="B2661" s="2" t="s">
        <v>7007</v>
      </c>
      <c r="C2661" s="2" t="s">
        <v>7468</v>
      </c>
      <c r="D2661" s="2" t="s">
        <v>10055</v>
      </c>
      <c r="E2661" s="15"/>
      <c r="F2661" s="15"/>
      <c r="G2661" s="15"/>
      <c r="H2661" s="15">
        <v>-3.1699999999999999E-2</v>
      </c>
      <c r="I2661" s="15">
        <v>3.4599999999999999E-2</v>
      </c>
      <c r="J2661" s="15">
        <v>-0.91618497109826591</v>
      </c>
    </row>
    <row r="2662" spans="1:10" x14ac:dyDescent="0.25">
      <c r="A2662" s="2" t="s">
        <v>7469</v>
      </c>
      <c r="B2662" s="2" t="s">
        <v>7007</v>
      </c>
      <c r="C2662" s="2" t="s">
        <v>7470</v>
      </c>
      <c r="D2662" s="2" t="s">
        <v>10055</v>
      </c>
      <c r="E2662" s="15"/>
      <c r="F2662" s="15"/>
      <c r="G2662" s="15"/>
      <c r="H2662" s="15">
        <v>-2.29E-2</v>
      </c>
      <c r="I2662" s="15">
        <v>3.8199999999999998E-2</v>
      </c>
      <c r="J2662" s="15">
        <v>-0.59947643979057597</v>
      </c>
    </row>
    <row r="2663" spans="1:10" x14ac:dyDescent="0.25">
      <c r="A2663" s="2" t="s">
        <v>7471</v>
      </c>
      <c r="B2663" s="2" t="s">
        <v>7007</v>
      </c>
      <c r="C2663" s="2" t="s">
        <v>7472</v>
      </c>
      <c r="D2663" s="2" t="s">
        <v>10055</v>
      </c>
      <c r="E2663" s="15">
        <v>-0.3231</v>
      </c>
      <c r="F2663" s="15">
        <v>0.30859999999999999</v>
      </c>
      <c r="G2663" s="15">
        <v>0.29509999999999997</v>
      </c>
      <c r="H2663" s="15">
        <v>2.8000000000000001E-2</v>
      </c>
      <c r="I2663" s="15">
        <v>3.56E-2</v>
      </c>
      <c r="J2663" s="15">
        <v>0.7865168539325843</v>
      </c>
    </row>
    <row r="2664" spans="1:10" x14ac:dyDescent="0.25">
      <c r="A2664" s="2" t="s">
        <v>7473</v>
      </c>
      <c r="B2664" s="2" t="s">
        <v>7007</v>
      </c>
      <c r="C2664" s="2" t="s">
        <v>7474</v>
      </c>
      <c r="D2664" s="2" t="s">
        <v>10055</v>
      </c>
      <c r="E2664" s="15"/>
      <c r="F2664" s="15"/>
      <c r="G2664" s="15"/>
      <c r="H2664" s="15"/>
      <c r="I2664" s="15"/>
      <c r="J2664" s="15"/>
    </row>
    <row r="2665" spans="1:10" x14ac:dyDescent="0.25">
      <c r="A2665" s="2" t="s">
        <v>7475</v>
      </c>
      <c r="B2665" s="2" t="s">
        <v>7007</v>
      </c>
      <c r="C2665" s="2" t="s">
        <v>7476</v>
      </c>
      <c r="D2665" s="2" t="s">
        <v>10055</v>
      </c>
      <c r="E2665" s="15">
        <v>1.61E-2</v>
      </c>
      <c r="F2665" s="15">
        <v>0.1426</v>
      </c>
      <c r="G2665" s="15">
        <v>0.9103</v>
      </c>
      <c r="H2665" s="15">
        <v>5.33E-2</v>
      </c>
      <c r="I2665" s="15">
        <v>3.7400000000000003E-2</v>
      </c>
      <c r="J2665" s="15">
        <v>1.4251336898395719</v>
      </c>
    </row>
    <row r="2666" spans="1:10" x14ac:dyDescent="0.25">
      <c r="A2666" s="2" t="s">
        <v>7477</v>
      </c>
      <c r="B2666" s="2" t="s">
        <v>7007</v>
      </c>
      <c r="C2666" s="2" t="s">
        <v>7478</v>
      </c>
      <c r="D2666" s="2" t="s">
        <v>10055</v>
      </c>
      <c r="E2666" s="15"/>
      <c r="F2666" s="15"/>
      <c r="G2666" s="15"/>
      <c r="H2666" s="15"/>
      <c r="I2666" s="15"/>
      <c r="J2666" s="15"/>
    </row>
    <row r="2667" spans="1:10" x14ac:dyDescent="0.25">
      <c r="A2667" s="2" t="s">
        <v>7479</v>
      </c>
      <c r="B2667" s="2" t="s">
        <v>7007</v>
      </c>
      <c r="C2667" s="2" t="s">
        <v>7480</v>
      </c>
      <c r="D2667" s="2" t="s">
        <v>10055</v>
      </c>
      <c r="E2667" s="15">
        <v>-1.4500000000000001E-2</v>
      </c>
      <c r="F2667" s="15">
        <v>0.1125</v>
      </c>
      <c r="G2667" s="15">
        <v>0.89770000000000005</v>
      </c>
      <c r="H2667" s="15">
        <v>9.69E-2</v>
      </c>
      <c r="I2667" s="15">
        <v>3.7600000000000001E-2</v>
      </c>
      <c r="J2667" s="15">
        <v>2.5771276595744679</v>
      </c>
    </row>
    <row r="2668" spans="1:10" x14ac:dyDescent="0.25">
      <c r="A2668" s="2" t="s">
        <v>7481</v>
      </c>
      <c r="B2668" s="2" t="s">
        <v>7007</v>
      </c>
      <c r="C2668" s="2" t="s">
        <v>7482</v>
      </c>
      <c r="D2668" s="2" t="s">
        <v>10055</v>
      </c>
      <c r="E2668" s="15">
        <v>0.13170000000000001</v>
      </c>
      <c r="F2668" s="15">
        <v>0.18759999999999999</v>
      </c>
      <c r="G2668" s="15">
        <v>0.48280000000000001</v>
      </c>
      <c r="H2668" s="15">
        <v>3.5700000000000003E-2</v>
      </c>
      <c r="I2668" s="15">
        <v>3.3300000000000003E-2</v>
      </c>
      <c r="J2668" s="15">
        <v>1.072072072072072</v>
      </c>
    </row>
    <row r="2669" spans="1:10" x14ac:dyDescent="0.25">
      <c r="A2669" s="2" t="s">
        <v>7483</v>
      </c>
      <c r="B2669" s="2" t="s">
        <v>7007</v>
      </c>
      <c r="C2669" s="2" t="s">
        <v>7484</v>
      </c>
      <c r="D2669" s="2" t="s">
        <v>10055</v>
      </c>
      <c r="E2669" s="15">
        <v>8.1699999999999995E-2</v>
      </c>
      <c r="F2669" s="15">
        <v>0.13009999999999999</v>
      </c>
      <c r="G2669" s="15">
        <v>0.53010000000000002</v>
      </c>
      <c r="H2669" s="15">
        <v>6.4399999999999999E-2</v>
      </c>
      <c r="I2669" s="15">
        <v>3.9199999999999999E-2</v>
      </c>
      <c r="J2669" s="15">
        <v>1.642857142857143</v>
      </c>
    </row>
    <row r="2670" spans="1:10" x14ac:dyDescent="0.25">
      <c r="A2670" s="2" t="s">
        <v>7485</v>
      </c>
      <c r="B2670" s="2" t="s">
        <v>7007</v>
      </c>
      <c r="C2670" s="2" t="s">
        <v>7486</v>
      </c>
      <c r="D2670" s="2" t="s">
        <v>10055</v>
      </c>
      <c r="E2670" s="15"/>
      <c r="F2670" s="15"/>
      <c r="G2670" s="15"/>
      <c r="H2670" s="15"/>
      <c r="I2670" s="15"/>
      <c r="J2670" s="15"/>
    </row>
    <row r="2671" spans="1:10" x14ac:dyDescent="0.25">
      <c r="A2671" s="2" t="s">
        <v>7487</v>
      </c>
      <c r="B2671" s="2" t="s">
        <v>7007</v>
      </c>
      <c r="C2671" s="2" t="s">
        <v>7488</v>
      </c>
      <c r="D2671" s="2" t="s">
        <v>10055</v>
      </c>
      <c r="E2671" s="15"/>
      <c r="F2671" s="15"/>
      <c r="G2671" s="15"/>
      <c r="H2671" s="15">
        <v>-3.6299999999999999E-2</v>
      </c>
      <c r="I2671" s="15">
        <v>3.6200000000000003E-2</v>
      </c>
      <c r="J2671" s="15">
        <v>-1.002762430939226</v>
      </c>
    </row>
    <row r="2672" spans="1:10" x14ac:dyDescent="0.25">
      <c r="A2672" s="2" t="s">
        <v>7489</v>
      </c>
      <c r="B2672" s="2" t="s">
        <v>7007</v>
      </c>
      <c r="C2672" s="2" t="s">
        <v>7490</v>
      </c>
      <c r="D2672" s="2" t="s">
        <v>10055</v>
      </c>
      <c r="E2672" s="15"/>
      <c r="F2672" s="15"/>
      <c r="G2672" s="15"/>
      <c r="H2672" s="15">
        <v>-9.1999999999999998E-3</v>
      </c>
      <c r="I2672" s="15">
        <v>3.9899999999999998E-2</v>
      </c>
      <c r="J2672" s="15">
        <v>-0.23057644110275691</v>
      </c>
    </row>
    <row r="2673" spans="1:10" x14ac:dyDescent="0.25">
      <c r="A2673" s="2" t="s">
        <v>7491</v>
      </c>
      <c r="B2673" s="2" t="s">
        <v>7007</v>
      </c>
      <c r="C2673" s="2" t="s">
        <v>7492</v>
      </c>
      <c r="D2673" s="2" t="s">
        <v>10055</v>
      </c>
      <c r="E2673" s="15"/>
      <c r="F2673" s="15"/>
      <c r="G2673" s="15"/>
      <c r="H2673" s="15">
        <v>-1.2500000000000001E-2</v>
      </c>
      <c r="I2673" s="15">
        <v>3.61E-2</v>
      </c>
      <c r="J2673" s="15">
        <v>-0.34626038781163437</v>
      </c>
    </row>
    <row r="2674" spans="1:10" x14ac:dyDescent="0.25">
      <c r="A2674" s="2" t="s">
        <v>7493</v>
      </c>
      <c r="B2674" s="2" t="s">
        <v>7007</v>
      </c>
      <c r="C2674" s="2" t="s">
        <v>7494</v>
      </c>
      <c r="D2674" s="2" t="s">
        <v>10055</v>
      </c>
      <c r="E2674" s="15"/>
      <c r="F2674" s="15"/>
      <c r="G2674" s="15"/>
      <c r="H2674" s="15">
        <v>-2.3199999999999998E-2</v>
      </c>
      <c r="I2674" s="15">
        <v>3.7100000000000001E-2</v>
      </c>
      <c r="J2674" s="15">
        <v>-0.62533692722371959</v>
      </c>
    </row>
    <row r="2675" spans="1:10" x14ac:dyDescent="0.25">
      <c r="A2675" s="2" t="s">
        <v>7495</v>
      </c>
      <c r="B2675" s="2" t="s">
        <v>7007</v>
      </c>
      <c r="C2675" s="2" t="s">
        <v>7496</v>
      </c>
      <c r="D2675" s="2" t="s">
        <v>10055</v>
      </c>
      <c r="E2675" s="15"/>
      <c r="F2675" s="15"/>
      <c r="G2675" s="15"/>
      <c r="H2675" s="15"/>
      <c r="I2675" s="15"/>
      <c r="J2675" s="15"/>
    </row>
    <row r="2676" spans="1:10" x14ac:dyDescent="0.25">
      <c r="A2676" s="2" t="s">
        <v>7497</v>
      </c>
      <c r="B2676" s="2" t="s">
        <v>7007</v>
      </c>
      <c r="C2676" s="2" t="s">
        <v>7498</v>
      </c>
      <c r="D2676" s="2" t="s">
        <v>10055</v>
      </c>
      <c r="E2676" s="15">
        <v>-9.6299999999999997E-2</v>
      </c>
      <c r="F2676" s="15">
        <v>0.1023</v>
      </c>
      <c r="G2676" s="15">
        <v>0.34649999999999997</v>
      </c>
      <c r="H2676" s="15">
        <v>0.105</v>
      </c>
      <c r="I2676" s="15">
        <v>4.1300000000000003E-2</v>
      </c>
      <c r="J2676" s="15">
        <v>2.5423728813559321</v>
      </c>
    </row>
    <row r="2677" spans="1:10" x14ac:dyDescent="0.25">
      <c r="A2677" s="2" t="s">
        <v>7499</v>
      </c>
      <c r="B2677" s="2" t="s">
        <v>7007</v>
      </c>
      <c r="C2677" s="2" t="s">
        <v>7500</v>
      </c>
      <c r="D2677" s="2" t="s">
        <v>10055</v>
      </c>
      <c r="E2677" s="15">
        <v>-0.24440000000000001</v>
      </c>
      <c r="F2677" s="15">
        <v>0.35349999999999998</v>
      </c>
      <c r="G2677" s="15">
        <v>0.4894</v>
      </c>
      <c r="H2677" s="15">
        <v>1.7299999999999999E-2</v>
      </c>
      <c r="I2677" s="15">
        <v>3.5900000000000001E-2</v>
      </c>
      <c r="J2677" s="15">
        <v>0.48189415041782718</v>
      </c>
    </row>
    <row r="2678" spans="1:10" x14ac:dyDescent="0.25">
      <c r="A2678" s="2" t="s">
        <v>7501</v>
      </c>
      <c r="B2678" s="2" t="s">
        <v>7007</v>
      </c>
      <c r="C2678" s="2" t="s">
        <v>7502</v>
      </c>
      <c r="D2678" s="2" t="s">
        <v>10055</v>
      </c>
      <c r="E2678" s="15">
        <v>-8.3500000000000005E-2</v>
      </c>
      <c r="F2678" s="15">
        <v>8.8800000000000004E-2</v>
      </c>
      <c r="G2678" s="15">
        <v>0.34720000000000001</v>
      </c>
      <c r="H2678" s="15">
        <v>0.1663</v>
      </c>
      <c r="I2678" s="15">
        <v>3.8399999999999997E-2</v>
      </c>
      <c r="J2678" s="15">
        <v>4.330729166666667</v>
      </c>
    </row>
    <row r="2679" spans="1:10" x14ac:dyDescent="0.25">
      <c r="A2679" s="2" t="s">
        <v>7503</v>
      </c>
      <c r="B2679" s="2" t="s">
        <v>7007</v>
      </c>
      <c r="C2679" s="2" t="s">
        <v>7504</v>
      </c>
      <c r="D2679" s="2" t="s">
        <v>10055</v>
      </c>
      <c r="E2679" s="15"/>
      <c r="F2679" s="15"/>
      <c r="G2679" s="15"/>
      <c r="H2679" s="15"/>
      <c r="I2679" s="15"/>
      <c r="J2679" s="15"/>
    </row>
    <row r="2680" spans="1:10" x14ac:dyDescent="0.25">
      <c r="A2680" s="2" t="s">
        <v>7505</v>
      </c>
      <c r="B2680" s="2" t="s">
        <v>7007</v>
      </c>
      <c r="C2680" s="2" t="s">
        <v>7506</v>
      </c>
      <c r="D2680" s="2" t="s">
        <v>10055</v>
      </c>
      <c r="E2680" s="15">
        <v>-2.01E-2</v>
      </c>
      <c r="F2680" s="15">
        <v>0.15310000000000001</v>
      </c>
      <c r="G2680" s="15">
        <v>0.89549999999999996</v>
      </c>
      <c r="H2680" s="15">
        <v>3.6400000000000002E-2</v>
      </c>
      <c r="I2680" s="15">
        <v>3.6600000000000001E-2</v>
      </c>
      <c r="J2680" s="15">
        <v>0.99453551912568305</v>
      </c>
    </row>
    <row r="2681" spans="1:10" x14ac:dyDescent="0.25">
      <c r="A2681" s="2" t="s">
        <v>7507</v>
      </c>
      <c r="B2681" s="2" t="s">
        <v>7007</v>
      </c>
      <c r="C2681" s="2" t="s">
        <v>7508</v>
      </c>
      <c r="D2681" s="2" t="s">
        <v>10055</v>
      </c>
      <c r="E2681" s="15">
        <v>-0.2094</v>
      </c>
      <c r="F2681" s="15">
        <v>0.20039999999999999</v>
      </c>
      <c r="G2681" s="15">
        <v>0.29599999999999999</v>
      </c>
      <c r="H2681" s="15">
        <v>3.4700000000000002E-2</v>
      </c>
      <c r="I2681" s="15">
        <v>3.5799999999999998E-2</v>
      </c>
      <c r="J2681" s="15">
        <v>0.96927374301675984</v>
      </c>
    </row>
    <row r="2682" spans="1:10" x14ac:dyDescent="0.25">
      <c r="A2682" s="2" t="s">
        <v>7509</v>
      </c>
      <c r="B2682" s="2" t="s">
        <v>7007</v>
      </c>
      <c r="C2682" s="2" t="s">
        <v>7510</v>
      </c>
      <c r="D2682" s="2" t="s">
        <v>10055</v>
      </c>
      <c r="E2682" s="15">
        <v>-3.8600000000000002E-2</v>
      </c>
      <c r="F2682" s="15">
        <v>0.27879999999999999</v>
      </c>
      <c r="G2682" s="15">
        <v>0.88980000000000004</v>
      </c>
      <c r="H2682" s="15">
        <v>1.3299999999999999E-2</v>
      </c>
      <c r="I2682" s="15">
        <v>3.5799999999999998E-2</v>
      </c>
      <c r="J2682" s="15">
        <v>0.37150837988826818</v>
      </c>
    </row>
    <row r="2683" spans="1:10" x14ac:dyDescent="0.25">
      <c r="A2683" s="2" t="s">
        <v>7511</v>
      </c>
      <c r="B2683" s="2" t="s">
        <v>7007</v>
      </c>
      <c r="C2683" s="2" t="s">
        <v>7512</v>
      </c>
      <c r="D2683" s="2" t="s">
        <v>10055</v>
      </c>
      <c r="E2683" s="15">
        <v>-2.12E-2</v>
      </c>
      <c r="F2683" s="15">
        <v>0.14219999999999999</v>
      </c>
      <c r="G2683" s="15">
        <v>0.88129999999999997</v>
      </c>
      <c r="H2683" s="15">
        <v>5.2299999999999999E-2</v>
      </c>
      <c r="I2683" s="15">
        <v>3.9699999999999999E-2</v>
      </c>
      <c r="J2683" s="15">
        <v>1.317380352644836</v>
      </c>
    </row>
    <row r="2684" spans="1:10" x14ac:dyDescent="0.25">
      <c r="A2684" s="2" t="s">
        <v>7513</v>
      </c>
      <c r="B2684" s="2" t="s">
        <v>7007</v>
      </c>
      <c r="C2684" s="2" t="s">
        <v>7514</v>
      </c>
      <c r="D2684" s="2" t="s">
        <v>10055</v>
      </c>
      <c r="E2684" s="15">
        <v>6.3399999999999998E-2</v>
      </c>
      <c r="F2684" s="15">
        <v>0.13700000000000001</v>
      </c>
      <c r="G2684" s="15">
        <v>0.64349999999999996</v>
      </c>
      <c r="H2684" s="15">
        <v>5.4800000000000001E-2</v>
      </c>
      <c r="I2684" s="15">
        <v>4.2099999999999999E-2</v>
      </c>
      <c r="J2684" s="15">
        <v>1.3016627078384799</v>
      </c>
    </row>
    <row r="2685" spans="1:10" x14ac:dyDescent="0.25">
      <c r="A2685" s="2" t="s">
        <v>7515</v>
      </c>
      <c r="B2685" s="2" t="s">
        <v>7007</v>
      </c>
      <c r="C2685" s="2" t="s">
        <v>7516</v>
      </c>
      <c r="D2685" s="2" t="s">
        <v>10055</v>
      </c>
      <c r="E2685" s="15"/>
      <c r="F2685" s="15"/>
      <c r="G2685" s="15"/>
      <c r="H2685" s="15"/>
      <c r="I2685" s="15"/>
      <c r="J2685" s="15"/>
    </row>
    <row r="2686" spans="1:10" x14ac:dyDescent="0.25">
      <c r="A2686" s="2" t="s">
        <v>7517</v>
      </c>
      <c r="B2686" s="2" t="s">
        <v>7007</v>
      </c>
      <c r="C2686" s="2" t="s">
        <v>7518</v>
      </c>
      <c r="D2686" s="2" t="s">
        <v>10055</v>
      </c>
      <c r="E2686" s="15">
        <v>0.1263</v>
      </c>
      <c r="F2686" s="15">
        <v>0.42630000000000001</v>
      </c>
      <c r="G2686" s="15">
        <v>0.7671</v>
      </c>
      <c r="H2686" s="15">
        <v>1.32E-2</v>
      </c>
      <c r="I2686" s="15">
        <v>4.0500000000000001E-2</v>
      </c>
      <c r="J2686" s="15">
        <v>0.3259259259259259</v>
      </c>
    </row>
    <row r="2687" spans="1:10" x14ac:dyDescent="0.25">
      <c r="A2687" s="2" t="s">
        <v>7519</v>
      </c>
      <c r="B2687" s="2" t="s">
        <v>7007</v>
      </c>
      <c r="C2687" s="2" t="s">
        <v>7520</v>
      </c>
      <c r="D2687" s="2" t="s">
        <v>10055</v>
      </c>
      <c r="E2687" s="15"/>
      <c r="F2687" s="15"/>
      <c r="G2687" s="15"/>
      <c r="H2687" s="15">
        <v>-2.87E-2</v>
      </c>
      <c r="I2687" s="15">
        <v>3.6299999999999999E-2</v>
      </c>
      <c r="J2687" s="15">
        <v>-0.79063360881542699</v>
      </c>
    </row>
    <row r="2688" spans="1:10" x14ac:dyDescent="0.25">
      <c r="A2688" s="2" t="s">
        <v>7521</v>
      </c>
      <c r="B2688" s="2" t="s">
        <v>7007</v>
      </c>
      <c r="C2688" s="2" t="s">
        <v>7522</v>
      </c>
      <c r="D2688" s="2" t="s">
        <v>10055</v>
      </c>
      <c r="E2688" s="15">
        <v>0.10349999999999999</v>
      </c>
      <c r="F2688" s="15">
        <v>0.40179999999999999</v>
      </c>
      <c r="G2688" s="15">
        <v>0.79669999999999996</v>
      </c>
      <c r="H2688" s="15">
        <v>1.23E-2</v>
      </c>
      <c r="I2688" s="15">
        <v>3.7999999999999999E-2</v>
      </c>
      <c r="J2688" s="15">
        <v>0.3236842105263158</v>
      </c>
    </row>
    <row r="2689" spans="1:10" x14ac:dyDescent="0.25">
      <c r="A2689" s="2" t="s">
        <v>7523</v>
      </c>
      <c r="B2689" s="2" t="s">
        <v>7007</v>
      </c>
      <c r="C2689" s="2" t="s">
        <v>7524</v>
      </c>
      <c r="D2689" s="2" t="s">
        <v>10055</v>
      </c>
      <c r="E2689" s="15"/>
      <c r="F2689" s="15"/>
      <c r="G2689" s="15"/>
      <c r="H2689" s="15">
        <v>-2.7900000000000001E-2</v>
      </c>
      <c r="I2689" s="15">
        <v>3.7900000000000003E-2</v>
      </c>
      <c r="J2689" s="15">
        <v>-0.73614775725593662</v>
      </c>
    </row>
    <row r="2690" spans="1:10" x14ac:dyDescent="0.25">
      <c r="A2690" s="2" t="s">
        <v>7525</v>
      </c>
      <c r="B2690" s="2" t="s">
        <v>7007</v>
      </c>
      <c r="C2690" s="2" t="s">
        <v>7526</v>
      </c>
      <c r="D2690" s="2" t="s">
        <v>10055</v>
      </c>
      <c r="E2690" s="15">
        <v>0.12189999999999999</v>
      </c>
      <c r="F2690" s="15">
        <v>0.19350000000000001</v>
      </c>
      <c r="G2690" s="15">
        <v>0.52880000000000005</v>
      </c>
      <c r="H2690" s="15">
        <v>3.0499999999999999E-2</v>
      </c>
      <c r="I2690" s="15">
        <v>3.5200000000000002E-2</v>
      </c>
      <c r="J2690" s="15">
        <v>0.86647727272727271</v>
      </c>
    </row>
    <row r="2691" spans="1:10" x14ac:dyDescent="0.25">
      <c r="A2691" s="2" t="s">
        <v>7527</v>
      </c>
      <c r="B2691" s="2" t="s">
        <v>7007</v>
      </c>
      <c r="C2691" s="2" t="s">
        <v>7528</v>
      </c>
      <c r="D2691" s="2" t="s">
        <v>10055</v>
      </c>
      <c r="E2691" s="15">
        <v>7.7899999999999997E-2</v>
      </c>
      <c r="F2691" s="15">
        <v>0.1004</v>
      </c>
      <c r="G2691" s="15">
        <v>0.43790000000000001</v>
      </c>
      <c r="H2691" s="15">
        <v>0.10340000000000001</v>
      </c>
      <c r="I2691" s="15">
        <v>4.0300000000000002E-2</v>
      </c>
      <c r="J2691" s="15">
        <v>2.56575682382134</v>
      </c>
    </row>
    <row r="2692" spans="1:10" x14ac:dyDescent="0.25">
      <c r="A2692" s="2" t="s">
        <v>7529</v>
      </c>
      <c r="B2692" s="2" t="s">
        <v>7007</v>
      </c>
      <c r="C2692" s="2" t="s">
        <v>7530</v>
      </c>
      <c r="D2692" s="2" t="s">
        <v>10055</v>
      </c>
      <c r="E2692" s="15">
        <v>9.0899999999999995E-2</v>
      </c>
      <c r="F2692" s="15">
        <v>0.13669999999999999</v>
      </c>
      <c r="G2692" s="15">
        <v>0.50590000000000002</v>
      </c>
      <c r="H2692" s="15">
        <v>6.2199999999999998E-2</v>
      </c>
      <c r="I2692" s="15">
        <v>4.0500000000000001E-2</v>
      </c>
      <c r="J2692" s="15">
        <v>1.5358024691358021</v>
      </c>
    </row>
    <row r="2693" spans="1:10" x14ac:dyDescent="0.25">
      <c r="A2693" s="2" t="s">
        <v>7531</v>
      </c>
      <c r="B2693" s="2" t="s">
        <v>7007</v>
      </c>
      <c r="C2693" s="2" t="s">
        <v>7532</v>
      </c>
      <c r="D2693" s="2" t="s">
        <v>10055</v>
      </c>
      <c r="E2693" s="15">
        <v>-8.4500000000000006E-2</v>
      </c>
      <c r="F2693" s="15">
        <v>0.17599999999999999</v>
      </c>
      <c r="G2693" s="15">
        <v>0.63100000000000001</v>
      </c>
      <c r="H2693" s="15">
        <v>3.7199999999999997E-2</v>
      </c>
      <c r="I2693" s="15">
        <v>3.7999999999999999E-2</v>
      </c>
      <c r="J2693" s="15">
        <v>0.97894736842105257</v>
      </c>
    </row>
    <row r="2694" spans="1:10" x14ac:dyDescent="0.25">
      <c r="A2694" s="2" t="s">
        <v>7533</v>
      </c>
      <c r="B2694" s="2" t="s">
        <v>7007</v>
      </c>
      <c r="C2694" s="2" t="s">
        <v>7534</v>
      </c>
      <c r="D2694" s="2" t="s">
        <v>10055</v>
      </c>
      <c r="E2694" s="15">
        <v>3.4700000000000002E-2</v>
      </c>
      <c r="F2694" s="15">
        <v>0.11310000000000001</v>
      </c>
      <c r="G2694" s="15">
        <v>0.7591</v>
      </c>
      <c r="H2694" s="15">
        <v>9.4399999999999998E-2</v>
      </c>
      <c r="I2694" s="15">
        <v>3.7900000000000003E-2</v>
      </c>
      <c r="J2694" s="15">
        <v>2.4907651715039569</v>
      </c>
    </row>
    <row r="2695" spans="1:10" x14ac:dyDescent="0.25">
      <c r="A2695" s="2" t="s">
        <v>7535</v>
      </c>
      <c r="B2695" s="2" t="s">
        <v>7007</v>
      </c>
      <c r="C2695" s="2" t="s">
        <v>7536</v>
      </c>
      <c r="D2695" s="2" t="s">
        <v>10055</v>
      </c>
      <c r="E2695" s="15">
        <v>2.29E-2</v>
      </c>
      <c r="F2695" s="15">
        <v>0.1168</v>
      </c>
      <c r="G2695" s="15">
        <v>0.84460000000000002</v>
      </c>
      <c r="H2695" s="15">
        <v>9.01E-2</v>
      </c>
      <c r="I2695" s="15">
        <v>3.5799999999999998E-2</v>
      </c>
      <c r="J2695" s="15">
        <v>2.516759776536313</v>
      </c>
    </row>
    <row r="2696" spans="1:10" x14ac:dyDescent="0.25">
      <c r="A2696" s="2" t="s">
        <v>7537</v>
      </c>
      <c r="B2696" s="2" t="s">
        <v>7007</v>
      </c>
      <c r="C2696" s="2" t="s">
        <v>7538</v>
      </c>
      <c r="D2696" s="2" t="s">
        <v>10055</v>
      </c>
      <c r="E2696" s="15">
        <v>5.2400000000000002E-2</v>
      </c>
      <c r="F2696" s="15">
        <v>0.17150000000000001</v>
      </c>
      <c r="G2696" s="15">
        <v>0.75980000000000003</v>
      </c>
      <c r="H2696" s="15">
        <v>4.02E-2</v>
      </c>
      <c r="I2696" s="15">
        <v>4.1099999999999998E-2</v>
      </c>
      <c r="J2696" s="15">
        <v>0.97810218978102192</v>
      </c>
    </row>
    <row r="2697" spans="1:10" x14ac:dyDescent="0.25">
      <c r="A2697" s="2" t="s">
        <v>7539</v>
      </c>
      <c r="B2697" s="2" t="s">
        <v>7007</v>
      </c>
      <c r="C2697" s="2" t="s">
        <v>7540</v>
      </c>
      <c r="D2697" s="2" t="s">
        <v>10055</v>
      </c>
      <c r="E2697" s="15">
        <v>-8.9499999999999996E-2</v>
      </c>
      <c r="F2697" s="15">
        <v>0.1371</v>
      </c>
      <c r="G2697" s="15">
        <v>0.51390000000000002</v>
      </c>
      <c r="H2697" s="15">
        <v>6.7500000000000004E-2</v>
      </c>
      <c r="I2697" s="15">
        <v>4.2500000000000003E-2</v>
      </c>
      <c r="J2697" s="15">
        <v>1.588235294117647</v>
      </c>
    </row>
    <row r="2698" spans="1:10" x14ac:dyDescent="0.25">
      <c r="A2698" s="2" t="s">
        <v>7541</v>
      </c>
      <c r="B2698" s="2" t="s">
        <v>7007</v>
      </c>
      <c r="C2698" s="2" t="s">
        <v>7542</v>
      </c>
      <c r="D2698" s="2" t="s">
        <v>10055</v>
      </c>
      <c r="E2698" s="15">
        <v>0.12</v>
      </c>
      <c r="F2698" s="15">
        <v>0.1229</v>
      </c>
      <c r="G2698" s="15">
        <v>0.32869999999999999</v>
      </c>
      <c r="H2698" s="15">
        <v>8.1000000000000003E-2</v>
      </c>
      <c r="I2698" s="15">
        <v>3.9800000000000002E-2</v>
      </c>
      <c r="J2698" s="15">
        <v>2.0351758793969852</v>
      </c>
    </row>
    <row r="2699" spans="1:10" x14ac:dyDescent="0.25">
      <c r="A2699" s="2" t="s">
        <v>7543</v>
      </c>
      <c r="B2699" s="2" t="s">
        <v>7007</v>
      </c>
      <c r="C2699" s="2" t="s">
        <v>7544</v>
      </c>
      <c r="D2699" s="2" t="s">
        <v>10055</v>
      </c>
      <c r="E2699" s="15">
        <v>7.0699999999999999E-2</v>
      </c>
      <c r="F2699" s="15">
        <v>0.14399999999999999</v>
      </c>
      <c r="G2699" s="15">
        <v>0.62350000000000005</v>
      </c>
      <c r="H2699" s="15">
        <v>4.2799999999999998E-2</v>
      </c>
      <c r="I2699" s="15">
        <v>3.7999999999999999E-2</v>
      </c>
      <c r="J2699" s="15">
        <v>1.1263157894736839</v>
      </c>
    </row>
    <row r="2700" spans="1:10" x14ac:dyDescent="0.25">
      <c r="A2700" s="2" t="s">
        <v>7545</v>
      </c>
      <c r="B2700" s="2" t="s">
        <v>7007</v>
      </c>
      <c r="C2700" s="2" t="s">
        <v>7546</v>
      </c>
      <c r="D2700" s="2" t="s">
        <v>10055</v>
      </c>
      <c r="E2700" s="15">
        <v>-0.26750000000000002</v>
      </c>
      <c r="F2700" s="15">
        <v>0.17580000000000001</v>
      </c>
      <c r="G2700" s="15">
        <v>0.12820000000000001</v>
      </c>
      <c r="H2700" s="15">
        <v>4.9500000000000002E-2</v>
      </c>
      <c r="I2700" s="15">
        <v>4.1700000000000001E-2</v>
      </c>
      <c r="J2700" s="15">
        <v>1.1870503597122299</v>
      </c>
    </row>
    <row r="2701" spans="1:10" x14ac:dyDescent="0.25">
      <c r="A2701" s="2" t="s">
        <v>7547</v>
      </c>
      <c r="B2701" s="2" t="s">
        <v>7007</v>
      </c>
      <c r="C2701" s="2" t="s">
        <v>7548</v>
      </c>
      <c r="D2701" s="2" t="s">
        <v>10055</v>
      </c>
      <c r="E2701" s="15">
        <v>0.14180000000000001</v>
      </c>
      <c r="F2701" s="15">
        <v>0.128</v>
      </c>
      <c r="G2701" s="15">
        <v>0.26779999999999998</v>
      </c>
      <c r="H2701" s="15">
        <v>7.2300000000000003E-2</v>
      </c>
      <c r="I2701" s="15">
        <v>3.7600000000000001E-2</v>
      </c>
      <c r="J2701" s="15">
        <v>1.9228723404255319</v>
      </c>
    </row>
    <row r="2702" spans="1:10" x14ac:dyDescent="0.25">
      <c r="A2702" s="2" t="s">
        <v>7549</v>
      </c>
      <c r="B2702" s="2" t="s">
        <v>7007</v>
      </c>
      <c r="C2702" s="2" t="s">
        <v>7550</v>
      </c>
      <c r="D2702" s="2" t="s">
        <v>10055</v>
      </c>
      <c r="E2702" s="15">
        <v>0.1241</v>
      </c>
      <c r="F2702" s="15">
        <v>8.5599999999999996E-2</v>
      </c>
      <c r="G2702" s="15">
        <v>0.1469</v>
      </c>
      <c r="H2702" s="15">
        <v>0.1464</v>
      </c>
      <c r="I2702" s="15">
        <v>4.0599999999999997E-2</v>
      </c>
      <c r="J2702" s="15">
        <v>3.605911330049262</v>
      </c>
    </row>
    <row r="2703" spans="1:10" x14ac:dyDescent="0.25">
      <c r="A2703" s="2" t="s">
        <v>7551</v>
      </c>
      <c r="B2703" s="2" t="s">
        <v>7007</v>
      </c>
      <c r="C2703" s="2" t="s">
        <v>7552</v>
      </c>
      <c r="D2703" s="2" t="s">
        <v>10055</v>
      </c>
      <c r="E2703" s="15">
        <v>0.46450000000000002</v>
      </c>
      <c r="F2703" s="15">
        <v>0.61329999999999996</v>
      </c>
      <c r="G2703" s="15">
        <v>0.44879999999999998</v>
      </c>
      <c r="H2703" s="15">
        <v>1.5100000000000001E-2</v>
      </c>
      <c r="I2703" s="15">
        <v>3.5000000000000003E-2</v>
      </c>
      <c r="J2703" s="15">
        <v>0.43142857142857138</v>
      </c>
    </row>
    <row r="2704" spans="1:10" x14ac:dyDescent="0.25">
      <c r="A2704" s="2" t="s">
        <v>7553</v>
      </c>
      <c r="B2704" s="2" t="s">
        <v>7007</v>
      </c>
      <c r="C2704" s="2" t="s">
        <v>7554</v>
      </c>
      <c r="D2704" s="2" t="s">
        <v>10055</v>
      </c>
      <c r="E2704" s="15">
        <v>-6.2600000000000003E-2</v>
      </c>
      <c r="F2704" s="15">
        <v>0.1623</v>
      </c>
      <c r="G2704" s="15">
        <v>0.6996</v>
      </c>
      <c r="H2704" s="15">
        <v>5.28E-2</v>
      </c>
      <c r="I2704" s="15">
        <v>3.9199999999999999E-2</v>
      </c>
      <c r="J2704" s="15">
        <v>1.346938775510204</v>
      </c>
    </row>
    <row r="2705" spans="1:10" x14ac:dyDescent="0.25">
      <c r="A2705" s="2" t="s">
        <v>7555</v>
      </c>
      <c r="B2705" s="2" t="s">
        <v>7007</v>
      </c>
      <c r="C2705" s="2" t="s">
        <v>7556</v>
      </c>
      <c r="D2705" s="2" t="s">
        <v>10055</v>
      </c>
      <c r="E2705" s="15">
        <v>0.30049999999999999</v>
      </c>
      <c r="F2705" s="15">
        <v>0.27810000000000001</v>
      </c>
      <c r="G2705" s="15">
        <v>0.27989999999999998</v>
      </c>
      <c r="H2705" s="15">
        <v>2.8000000000000001E-2</v>
      </c>
      <c r="I2705" s="15">
        <v>3.39E-2</v>
      </c>
      <c r="J2705" s="15">
        <v>0.82595870206489674</v>
      </c>
    </row>
    <row r="2706" spans="1:10" x14ac:dyDescent="0.25">
      <c r="A2706" s="2" t="s">
        <v>7557</v>
      </c>
      <c r="B2706" s="2" t="s">
        <v>7007</v>
      </c>
      <c r="C2706" s="2" t="s">
        <v>7558</v>
      </c>
      <c r="D2706" s="2" t="s">
        <v>10055</v>
      </c>
      <c r="E2706" s="15"/>
      <c r="F2706" s="15"/>
      <c r="G2706" s="15"/>
      <c r="H2706" s="15"/>
      <c r="I2706" s="15"/>
      <c r="J2706" s="15"/>
    </row>
    <row r="2707" spans="1:10" x14ac:dyDescent="0.25">
      <c r="A2707" s="2" t="s">
        <v>7559</v>
      </c>
      <c r="B2707" s="2" t="s">
        <v>7007</v>
      </c>
      <c r="C2707" s="2" t="s">
        <v>7560</v>
      </c>
      <c r="D2707" s="2" t="s">
        <v>10055</v>
      </c>
      <c r="E2707" s="15"/>
      <c r="F2707" s="15"/>
      <c r="G2707" s="15"/>
      <c r="H2707" s="15">
        <v>-9.4999999999999998E-3</v>
      </c>
      <c r="I2707" s="15">
        <v>3.2099999999999997E-2</v>
      </c>
      <c r="J2707" s="15">
        <v>-0.29595015576323991</v>
      </c>
    </row>
    <row r="2708" spans="1:10" x14ac:dyDescent="0.25">
      <c r="A2708" s="2" t="s">
        <v>7561</v>
      </c>
      <c r="B2708" s="2" t="s">
        <v>7007</v>
      </c>
      <c r="C2708" s="2" t="s">
        <v>7562</v>
      </c>
      <c r="D2708" s="2" t="s">
        <v>10055</v>
      </c>
      <c r="E2708" s="15">
        <v>0.1368</v>
      </c>
      <c r="F2708" s="15">
        <v>0.21340000000000001</v>
      </c>
      <c r="G2708" s="15">
        <v>0.52139999999999997</v>
      </c>
      <c r="H2708" s="15">
        <v>3.3300000000000003E-2</v>
      </c>
      <c r="I2708" s="15">
        <v>3.7499999999999999E-2</v>
      </c>
      <c r="J2708" s="15">
        <v>0.88800000000000012</v>
      </c>
    </row>
    <row r="2709" spans="1:10" x14ac:dyDescent="0.25">
      <c r="A2709" s="2" t="s">
        <v>7563</v>
      </c>
      <c r="B2709" s="2" t="s">
        <v>7007</v>
      </c>
      <c r="C2709" s="2" t="s">
        <v>7564</v>
      </c>
      <c r="D2709" s="2" t="s">
        <v>10055</v>
      </c>
      <c r="E2709" s="15"/>
      <c r="F2709" s="15"/>
      <c r="G2709" s="15"/>
      <c r="H2709" s="15"/>
      <c r="I2709" s="15"/>
      <c r="J2709" s="15"/>
    </row>
    <row r="2710" spans="1:10" x14ac:dyDescent="0.25">
      <c r="A2710" s="2" t="s">
        <v>7565</v>
      </c>
      <c r="B2710" s="2" t="s">
        <v>7007</v>
      </c>
      <c r="C2710" s="2" t="s">
        <v>7566</v>
      </c>
      <c r="D2710" s="2" t="s">
        <v>10055</v>
      </c>
      <c r="E2710" s="15">
        <v>-0.37530000000000002</v>
      </c>
      <c r="F2710" s="15">
        <v>0.21959999999999999</v>
      </c>
      <c r="G2710" s="15">
        <v>8.7499999999999994E-2</v>
      </c>
      <c r="H2710" s="15">
        <v>7.46E-2</v>
      </c>
      <c r="I2710" s="15">
        <v>4.9299999999999997E-2</v>
      </c>
      <c r="J2710" s="15">
        <v>1.513184584178499</v>
      </c>
    </row>
    <row r="2711" spans="1:10" x14ac:dyDescent="0.25">
      <c r="A2711" s="2" t="s">
        <v>7567</v>
      </c>
      <c r="B2711" s="2" t="s">
        <v>7007</v>
      </c>
      <c r="C2711" s="2" t="s">
        <v>7568</v>
      </c>
      <c r="D2711" s="2" t="s">
        <v>10055</v>
      </c>
      <c r="E2711" s="15"/>
      <c r="F2711" s="15"/>
      <c r="G2711" s="15"/>
      <c r="H2711" s="15">
        <v>-8.3999999999999995E-3</v>
      </c>
      <c r="I2711" s="15">
        <v>3.8399999999999997E-2</v>
      </c>
      <c r="J2711" s="15">
        <v>-0.21875</v>
      </c>
    </row>
    <row r="2712" spans="1:10" x14ac:dyDescent="0.25">
      <c r="A2712" s="2" t="s">
        <v>7569</v>
      </c>
      <c r="B2712" s="2" t="s">
        <v>7007</v>
      </c>
      <c r="C2712" s="2" t="s">
        <v>7570</v>
      </c>
      <c r="D2712" s="2" t="s">
        <v>10055</v>
      </c>
      <c r="E2712" s="15">
        <v>-6.6400000000000001E-2</v>
      </c>
      <c r="F2712" s="15">
        <v>0.18490000000000001</v>
      </c>
      <c r="G2712" s="15">
        <v>0.71940000000000004</v>
      </c>
      <c r="H2712" s="15">
        <v>2.9100000000000001E-2</v>
      </c>
      <c r="I2712" s="15">
        <v>4.1099999999999998E-2</v>
      </c>
      <c r="J2712" s="15">
        <v>0.70802919708029199</v>
      </c>
    </row>
    <row r="2713" spans="1:10" x14ac:dyDescent="0.25">
      <c r="A2713" s="2" t="s">
        <v>7571</v>
      </c>
      <c r="B2713" s="2" t="s">
        <v>7007</v>
      </c>
      <c r="C2713" s="2" t="s">
        <v>7572</v>
      </c>
      <c r="D2713" s="2" t="s">
        <v>10055</v>
      </c>
      <c r="E2713" s="15">
        <v>-0.1502</v>
      </c>
      <c r="F2713" s="15">
        <v>0.11849999999999999</v>
      </c>
      <c r="G2713" s="15">
        <v>0.20499999999999999</v>
      </c>
      <c r="H2713" s="15">
        <v>9.64E-2</v>
      </c>
      <c r="I2713" s="15">
        <v>4.3099999999999999E-2</v>
      </c>
      <c r="J2713" s="15">
        <v>2.2366589327146169</v>
      </c>
    </row>
    <row r="2714" spans="1:10" x14ac:dyDescent="0.25">
      <c r="A2714" s="2" t="s">
        <v>7573</v>
      </c>
      <c r="B2714" s="2" t="s">
        <v>7007</v>
      </c>
      <c r="C2714" s="2" t="s">
        <v>7574</v>
      </c>
      <c r="D2714" s="2" t="s">
        <v>10055</v>
      </c>
      <c r="E2714" s="15">
        <v>0.2379</v>
      </c>
      <c r="F2714" s="15">
        <v>0.1429</v>
      </c>
      <c r="G2714" s="15">
        <v>9.5899999999999999E-2</v>
      </c>
      <c r="H2714" s="15">
        <v>6.7199999999999996E-2</v>
      </c>
      <c r="I2714" s="15">
        <v>3.56E-2</v>
      </c>
      <c r="J2714" s="15">
        <v>1.887640449438202</v>
      </c>
    </row>
    <row r="2715" spans="1:10" x14ac:dyDescent="0.25">
      <c r="A2715" s="2" t="s">
        <v>7575</v>
      </c>
      <c r="B2715" s="2" t="s">
        <v>7007</v>
      </c>
      <c r="C2715" s="2" t="s">
        <v>7576</v>
      </c>
      <c r="D2715" s="2" t="s">
        <v>10055</v>
      </c>
      <c r="E2715" s="15">
        <v>3.3000000000000002E-2</v>
      </c>
      <c r="F2715" s="15">
        <v>0.1052</v>
      </c>
      <c r="G2715" s="15">
        <v>0.75349999999999995</v>
      </c>
      <c r="H2715" s="15">
        <v>8.4500000000000006E-2</v>
      </c>
      <c r="I2715" s="15">
        <v>3.6499999999999998E-2</v>
      </c>
      <c r="J2715" s="15">
        <v>2.3150684931506849</v>
      </c>
    </row>
    <row r="2716" spans="1:10" x14ac:dyDescent="0.25">
      <c r="A2716" s="2" t="s">
        <v>7577</v>
      </c>
      <c r="B2716" s="2" t="s">
        <v>7007</v>
      </c>
      <c r="C2716" s="2" t="s">
        <v>7578</v>
      </c>
      <c r="D2716" s="2" t="s">
        <v>10055</v>
      </c>
      <c r="E2716" s="15">
        <v>-8.6999999999999994E-3</v>
      </c>
      <c r="F2716" s="15">
        <v>0.10979999999999999</v>
      </c>
      <c r="G2716" s="15">
        <v>0.93669999999999998</v>
      </c>
      <c r="H2716" s="15">
        <v>9.74E-2</v>
      </c>
      <c r="I2716" s="15">
        <v>3.5999999999999997E-2</v>
      </c>
      <c r="J2716" s="15">
        <v>2.7055555555555562</v>
      </c>
    </row>
    <row r="2717" spans="1:10" x14ac:dyDescent="0.25">
      <c r="A2717" s="2" t="s">
        <v>7579</v>
      </c>
      <c r="B2717" s="2" t="s">
        <v>7007</v>
      </c>
      <c r="C2717" s="2" t="s">
        <v>7580</v>
      </c>
      <c r="D2717" s="2" t="s">
        <v>10055</v>
      </c>
      <c r="E2717" s="15">
        <v>9.9900000000000003E-2</v>
      </c>
      <c r="F2717" s="15">
        <v>0.1469</v>
      </c>
      <c r="G2717" s="15">
        <v>0.49640000000000001</v>
      </c>
      <c r="H2717" s="15">
        <v>5.3800000000000001E-2</v>
      </c>
      <c r="I2717" s="15">
        <v>4.02E-2</v>
      </c>
      <c r="J2717" s="15">
        <v>1.338308457711443</v>
      </c>
    </row>
    <row r="2718" spans="1:10" x14ac:dyDescent="0.25">
      <c r="A2718" s="2" t="s">
        <v>7581</v>
      </c>
      <c r="B2718" s="2" t="s">
        <v>7007</v>
      </c>
      <c r="C2718" s="2" t="s">
        <v>7582</v>
      </c>
      <c r="D2718" s="2" t="s">
        <v>10055</v>
      </c>
      <c r="E2718" s="15">
        <v>2.7099999999999999E-2</v>
      </c>
      <c r="F2718" s="15">
        <v>0.105</v>
      </c>
      <c r="G2718" s="15">
        <v>0.79610000000000003</v>
      </c>
      <c r="H2718" s="15">
        <v>0.1089</v>
      </c>
      <c r="I2718" s="15">
        <v>3.9899999999999998E-2</v>
      </c>
      <c r="J2718" s="15">
        <v>2.7293233082706769</v>
      </c>
    </row>
    <row r="2719" spans="1:10" x14ac:dyDescent="0.25">
      <c r="A2719" s="2" t="s">
        <v>7583</v>
      </c>
      <c r="B2719" s="2" t="s">
        <v>7007</v>
      </c>
      <c r="C2719" s="2" t="s">
        <v>7584</v>
      </c>
      <c r="D2719" s="2" t="s">
        <v>10055</v>
      </c>
      <c r="E2719" s="15">
        <v>-2.8799999999999999E-2</v>
      </c>
      <c r="F2719" s="15">
        <v>0.20449999999999999</v>
      </c>
      <c r="G2719" s="15">
        <v>0.88819999999999999</v>
      </c>
      <c r="H2719" s="15">
        <v>2.6499999999999999E-2</v>
      </c>
      <c r="I2719" s="15">
        <v>3.8899999999999997E-2</v>
      </c>
      <c r="J2719" s="15">
        <v>0.6812339331619538</v>
      </c>
    </row>
    <row r="2720" spans="1:10" x14ac:dyDescent="0.25">
      <c r="A2720" s="2" t="s">
        <v>7585</v>
      </c>
      <c r="B2720" s="2" t="s">
        <v>7007</v>
      </c>
      <c r="C2720" s="2" t="s">
        <v>7586</v>
      </c>
      <c r="D2720" s="2" t="s">
        <v>10055</v>
      </c>
      <c r="E2720" s="15"/>
      <c r="F2720" s="15"/>
      <c r="G2720" s="15"/>
      <c r="H2720" s="15"/>
      <c r="I2720" s="15"/>
      <c r="J2720" s="15"/>
    </row>
    <row r="2721" spans="1:10" x14ac:dyDescent="0.25">
      <c r="A2721" s="2" t="s">
        <v>7587</v>
      </c>
      <c r="B2721" s="2" t="s">
        <v>7007</v>
      </c>
      <c r="C2721" s="2" t="s">
        <v>7588</v>
      </c>
      <c r="D2721" s="2" t="s">
        <v>10055</v>
      </c>
      <c r="E2721" s="15">
        <v>0.16109999999999999</v>
      </c>
      <c r="F2721" s="15">
        <v>0.13289999999999999</v>
      </c>
      <c r="G2721" s="15">
        <v>0.22559999999999999</v>
      </c>
      <c r="H2721" s="15">
        <v>5.3900000000000003E-2</v>
      </c>
      <c r="I2721" s="15">
        <v>3.6600000000000001E-2</v>
      </c>
      <c r="J2721" s="15">
        <v>1.472677595628415</v>
      </c>
    </row>
    <row r="2722" spans="1:10" x14ac:dyDescent="0.25">
      <c r="A2722" s="2" t="s">
        <v>7589</v>
      </c>
      <c r="B2722" s="2" t="s">
        <v>7007</v>
      </c>
      <c r="C2722" s="2" t="s">
        <v>7590</v>
      </c>
      <c r="D2722" s="2" t="s">
        <v>10055</v>
      </c>
      <c r="E2722" s="15"/>
      <c r="F2722" s="15"/>
      <c r="G2722" s="15"/>
      <c r="H2722" s="15">
        <v>-1.44E-2</v>
      </c>
      <c r="I2722" s="15">
        <v>3.1800000000000002E-2</v>
      </c>
      <c r="J2722" s="15">
        <v>-0.45283018867924518</v>
      </c>
    </row>
    <row r="2723" spans="1:10" x14ac:dyDescent="0.25">
      <c r="A2723" s="2" t="s">
        <v>7591</v>
      </c>
      <c r="B2723" s="2" t="s">
        <v>7007</v>
      </c>
      <c r="C2723" s="2" t="s">
        <v>7592</v>
      </c>
      <c r="D2723" s="2" t="s">
        <v>10055</v>
      </c>
      <c r="E2723" s="15">
        <v>-0.14080000000000001</v>
      </c>
      <c r="F2723" s="15">
        <v>0.12939999999999999</v>
      </c>
      <c r="G2723" s="15">
        <v>0.27629999999999999</v>
      </c>
      <c r="H2723" s="15">
        <v>7.4099999999999999E-2</v>
      </c>
      <c r="I2723" s="15">
        <v>3.49E-2</v>
      </c>
      <c r="J2723" s="15">
        <v>2.1232091690544408</v>
      </c>
    </row>
    <row r="2724" spans="1:10" x14ac:dyDescent="0.25">
      <c r="A2724" s="2" t="s">
        <v>7593</v>
      </c>
      <c r="B2724" s="2" t="s">
        <v>7007</v>
      </c>
      <c r="C2724" s="2" t="s">
        <v>7594</v>
      </c>
      <c r="D2724" s="2" t="s">
        <v>10055</v>
      </c>
      <c r="E2724" s="15">
        <v>-0.1903</v>
      </c>
      <c r="F2724" s="15">
        <v>0.17399999999999999</v>
      </c>
      <c r="G2724" s="15">
        <v>0.2742</v>
      </c>
      <c r="H2724" s="15">
        <v>4.1000000000000002E-2</v>
      </c>
      <c r="I2724" s="15">
        <v>3.7199999999999997E-2</v>
      </c>
      <c r="J2724" s="15">
        <v>1.102150537634409</v>
      </c>
    </row>
    <row r="2725" spans="1:10" x14ac:dyDescent="0.25">
      <c r="A2725" s="2" t="s">
        <v>7595</v>
      </c>
      <c r="B2725" s="2" t="s">
        <v>7007</v>
      </c>
      <c r="C2725" s="2" t="s">
        <v>7596</v>
      </c>
      <c r="D2725" s="2" t="s">
        <v>10055</v>
      </c>
      <c r="E2725" s="15">
        <v>0.122</v>
      </c>
      <c r="F2725" s="15">
        <v>9.4700000000000006E-2</v>
      </c>
      <c r="G2725" s="15">
        <v>0.19769999999999999</v>
      </c>
      <c r="H2725" s="15">
        <v>0.10979999999999999</v>
      </c>
      <c r="I2725" s="15">
        <v>4.2500000000000003E-2</v>
      </c>
      <c r="J2725" s="15">
        <v>2.583529411764705</v>
      </c>
    </row>
    <row r="2726" spans="1:10" x14ac:dyDescent="0.25">
      <c r="A2726" s="2" t="s">
        <v>7597</v>
      </c>
      <c r="B2726" s="2" t="s">
        <v>7007</v>
      </c>
      <c r="C2726" s="2" t="s">
        <v>7598</v>
      </c>
      <c r="D2726" s="2" t="s">
        <v>10055</v>
      </c>
      <c r="E2726" s="15">
        <v>0.26989999999999997</v>
      </c>
      <c r="F2726" s="15">
        <v>0.22220000000000001</v>
      </c>
      <c r="G2726" s="15">
        <v>0.22450000000000001</v>
      </c>
      <c r="H2726" s="15">
        <v>3.9100000000000003E-2</v>
      </c>
      <c r="I2726" s="15">
        <v>3.95E-2</v>
      </c>
      <c r="J2726" s="15">
        <v>0.98987341772151904</v>
      </c>
    </row>
    <row r="2727" spans="1:10" x14ac:dyDescent="0.25">
      <c r="A2727" s="2" t="s">
        <v>7599</v>
      </c>
      <c r="B2727" s="2" t="s">
        <v>7007</v>
      </c>
      <c r="C2727" s="2" t="s">
        <v>7600</v>
      </c>
      <c r="D2727" s="2" t="s">
        <v>10055</v>
      </c>
      <c r="E2727" s="15">
        <v>5.1499999999999997E-2</v>
      </c>
      <c r="F2727" s="15">
        <v>0.1069</v>
      </c>
      <c r="G2727" s="15">
        <v>0.63019999999999998</v>
      </c>
      <c r="H2727" s="15">
        <v>8.9300000000000004E-2</v>
      </c>
      <c r="I2727" s="15">
        <v>4.5400000000000003E-2</v>
      </c>
      <c r="J2727" s="15">
        <v>1.966960352422908</v>
      </c>
    </row>
    <row r="2728" spans="1:10" x14ac:dyDescent="0.25">
      <c r="A2728" s="2" t="s">
        <v>7601</v>
      </c>
      <c r="B2728" s="2" t="s">
        <v>7007</v>
      </c>
      <c r="C2728" s="2" t="s">
        <v>7602</v>
      </c>
      <c r="D2728" s="2" t="s">
        <v>10055</v>
      </c>
      <c r="E2728" s="15">
        <v>-0.18379999999999999</v>
      </c>
      <c r="F2728" s="15">
        <v>0.15659999999999999</v>
      </c>
      <c r="G2728" s="15">
        <v>0.2404</v>
      </c>
      <c r="H2728" s="15">
        <v>5.0200000000000002E-2</v>
      </c>
      <c r="I2728" s="15">
        <v>3.9100000000000003E-2</v>
      </c>
      <c r="J2728" s="15">
        <v>1.28388746803069</v>
      </c>
    </row>
    <row r="2729" spans="1:10" x14ac:dyDescent="0.25">
      <c r="A2729" s="2" t="s">
        <v>7603</v>
      </c>
      <c r="B2729" s="2" t="s">
        <v>7007</v>
      </c>
      <c r="C2729" s="2" t="s">
        <v>7604</v>
      </c>
      <c r="D2729" s="2" t="s">
        <v>10055</v>
      </c>
      <c r="E2729" s="15">
        <v>-3.0200000000000001E-2</v>
      </c>
      <c r="F2729" s="15">
        <v>0.1351</v>
      </c>
      <c r="G2729" s="15">
        <v>0.82310000000000005</v>
      </c>
      <c r="H2729" s="15">
        <v>4.8800000000000003E-2</v>
      </c>
      <c r="I2729" s="15">
        <v>3.9399999999999998E-2</v>
      </c>
      <c r="J2729" s="15">
        <v>1.2385786802030461</v>
      </c>
    </row>
    <row r="2730" spans="1:10" x14ac:dyDescent="0.25">
      <c r="A2730" s="2" t="s">
        <v>7605</v>
      </c>
      <c r="B2730" s="2" t="s">
        <v>7007</v>
      </c>
      <c r="C2730" s="2" t="s">
        <v>7606</v>
      </c>
      <c r="D2730" s="2" t="s">
        <v>10055</v>
      </c>
      <c r="E2730" s="15">
        <v>2.3699999999999999E-2</v>
      </c>
      <c r="F2730" s="15">
        <v>7.1599999999999997E-2</v>
      </c>
      <c r="G2730" s="15">
        <v>0.74060000000000004</v>
      </c>
      <c r="H2730" s="15">
        <v>0.2087</v>
      </c>
      <c r="I2730" s="15">
        <v>3.7100000000000001E-2</v>
      </c>
      <c r="J2730" s="15">
        <v>5.625336927223719</v>
      </c>
    </row>
    <row r="2731" spans="1:10" x14ac:dyDescent="0.25">
      <c r="A2731" s="2" t="s">
        <v>7607</v>
      </c>
      <c r="B2731" s="2" t="s">
        <v>7007</v>
      </c>
      <c r="C2731" s="2" t="s">
        <v>7608</v>
      </c>
      <c r="D2731" s="2" t="s">
        <v>10055</v>
      </c>
      <c r="E2731" s="15"/>
      <c r="F2731" s="15"/>
      <c r="G2731" s="15"/>
      <c r="H2731" s="15">
        <v>-2.3E-2</v>
      </c>
      <c r="I2731" s="15">
        <v>3.5400000000000001E-2</v>
      </c>
      <c r="J2731" s="15">
        <v>-0.64971751412429379</v>
      </c>
    </row>
    <row r="2732" spans="1:10" x14ac:dyDescent="0.25">
      <c r="A2732" s="2" t="s">
        <v>7609</v>
      </c>
      <c r="B2732" s="2" t="s">
        <v>7007</v>
      </c>
      <c r="C2732" s="2" t="s">
        <v>7610</v>
      </c>
      <c r="D2732" s="2" t="s">
        <v>10055</v>
      </c>
      <c r="E2732" s="15">
        <v>-8.4000000000000005E-2</v>
      </c>
      <c r="F2732" s="15">
        <v>0.16489999999999999</v>
      </c>
      <c r="G2732" s="15">
        <v>0.61019999999999996</v>
      </c>
      <c r="H2732" s="15">
        <v>4.8099999999999997E-2</v>
      </c>
      <c r="I2732" s="15">
        <v>3.9100000000000003E-2</v>
      </c>
      <c r="J2732" s="15">
        <v>1.2301790281329921</v>
      </c>
    </row>
    <row r="2733" spans="1:10" x14ac:dyDescent="0.25">
      <c r="A2733" s="2" t="s">
        <v>7611</v>
      </c>
      <c r="B2733" s="2" t="s">
        <v>7007</v>
      </c>
      <c r="C2733" s="2" t="s">
        <v>7612</v>
      </c>
      <c r="D2733" s="2" t="s">
        <v>10055</v>
      </c>
      <c r="E2733" s="15"/>
      <c r="F2733" s="15"/>
      <c r="G2733" s="15"/>
      <c r="H2733" s="15">
        <v>-4.1000000000000003E-3</v>
      </c>
      <c r="I2733" s="15">
        <v>3.6400000000000002E-2</v>
      </c>
      <c r="J2733" s="15">
        <v>-0.1126373626373626</v>
      </c>
    </row>
    <row r="2734" spans="1:10" x14ac:dyDescent="0.25">
      <c r="A2734" s="2" t="s">
        <v>7613</v>
      </c>
      <c r="B2734" s="2" t="s">
        <v>7007</v>
      </c>
      <c r="C2734" s="2" t="s">
        <v>7614</v>
      </c>
      <c r="D2734" s="2" t="s">
        <v>10055</v>
      </c>
      <c r="E2734" s="15">
        <v>-4.2299999999999997E-2</v>
      </c>
      <c r="F2734" s="15">
        <v>0.13189999999999999</v>
      </c>
      <c r="G2734" s="15">
        <v>0.74860000000000004</v>
      </c>
      <c r="H2734" s="15">
        <v>5.79E-2</v>
      </c>
      <c r="I2734" s="15">
        <v>3.5700000000000003E-2</v>
      </c>
      <c r="J2734" s="15">
        <v>1.6218487394957981</v>
      </c>
    </row>
    <row r="2735" spans="1:10" x14ac:dyDescent="0.25">
      <c r="A2735" s="2" t="s">
        <v>7615</v>
      </c>
      <c r="B2735" s="2" t="s">
        <v>7007</v>
      </c>
      <c r="C2735" s="2" t="s">
        <v>7616</v>
      </c>
      <c r="D2735" s="2" t="s">
        <v>10055</v>
      </c>
      <c r="E2735" s="15">
        <v>-0.30459999999999998</v>
      </c>
      <c r="F2735" s="15">
        <v>0.41389999999999999</v>
      </c>
      <c r="G2735" s="15">
        <v>0.46179999999999999</v>
      </c>
      <c r="H2735" s="15">
        <v>1.9300000000000001E-2</v>
      </c>
      <c r="I2735" s="15">
        <v>4.0399999999999998E-2</v>
      </c>
      <c r="J2735" s="15">
        <v>0.47772277227722781</v>
      </c>
    </row>
    <row r="2736" spans="1:10" x14ac:dyDescent="0.25">
      <c r="A2736" s="2" t="s">
        <v>7617</v>
      </c>
      <c r="B2736" s="2" t="s">
        <v>7007</v>
      </c>
      <c r="C2736" s="2" t="s">
        <v>7618</v>
      </c>
      <c r="D2736" s="2" t="s">
        <v>10055</v>
      </c>
      <c r="E2736" s="15"/>
      <c r="F2736" s="15"/>
      <c r="G2736" s="15"/>
      <c r="H2736" s="15">
        <v>-9.4000000000000004E-3</v>
      </c>
      <c r="I2736" s="15">
        <v>3.6799999999999999E-2</v>
      </c>
      <c r="J2736" s="15">
        <v>-0.25543478260869568</v>
      </c>
    </row>
    <row r="2737" spans="1:10" x14ac:dyDescent="0.25">
      <c r="A2737" s="2" t="s">
        <v>7619</v>
      </c>
      <c r="B2737" s="2" t="s">
        <v>7007</v>
      </c>
      <c r="C2737" s="2" t="s">
        <v>7620</v>
      </c>
      <c r="D2737" s="2" t="s">
        <v>10055</v>
      </c>
      <c r="E2737" s="15">
        <v>-6.6299999999999998E-2</v>
      </c>
      <c r="F2737" s="15">
        <v>0.107</v>
      </c>
      <c r="G2737" s="15">
        <v>0.53580000000000005</v>
      </c>
      <c r="H2737" s="15">
        <v>9.0399999999999994E-2</v>
      </c>
      <c r="I2737" s="15">
        <v>3.5799999999999998E-2</v>
      </c>
      <c r="J2737" s="15">
        <v>2.5251396648044691</v>
      </c>
    </row>
    <row r="2738" spans="1:10" x14ac:dyDescent="0.25">
      <c r="A2738" s="2" t="s">
        <v>7621</v>
      </c>
      <c r="B2738" s="2" t="s">
        <v>7007</v>
      </c>
      <c r="C2738" s="2" t="s">
        <v>7622</v>
      </c>
      <c r="D2738" s="2" t="s">
        <v>10055</v>
      </c>
      <c r="E2738" s="15">
        <v>-0.1192</v>
      </c>
      <c r="F2738" s="15">
        <v>0.42220000000000002</v>
      </c>
      <c r="G2738" s="15">
        <v>0.77780000000000005</v>
      </c>
      <c r="H2738" s="15">
        <v>1.11E-2</v>
      </c>
      <c r="I2738" s="15">
        <v>3.1600000000000003E-2</v>
      </c>
      <c r="J2738" s="15">
        <v>0.35126582278481011</v>
      </c>
    </row>
    <row r="2739" spans="1:10" x14ac:dyDescent="0.25">
      <c r="A2739" s="2" t="s">
        <v>7623</v>
      </c>
      <c r="B2739" s="2" t="s">
        <v>7007</v>
      </c>
      <c r="C2739" s="2" t="s">
        <v>7624</v>
      </c>
      <c r="D2739" s="2" t="s">
        <v>10055</v>
      </c>
      <c r="E2739" s="15">
        <v>-2.8799999999999999E-2</v>
      </c>
      <c r="F2739" s="15">
        <v>0.219</v>
      </c>
      <c r="G2739" s="15">
        <v>0.8952</v>
      </c>
      <c r="H2739" s="15">
        <v>3.15E-2</v>
      </c>
      <c r="I2739" s="15">
        <v>3.5499999999999997E-2</v>
      </c>
      <c r="J2739" s="15">
        <v>0.88732394366197187</v>
      </c>
    </row>
    <row r="2740" spans="1:10" x14ac:dyDescent="0.25">
      <c r="A2740" s="2" t="s">
        <v>7625</v>
      </c>
      <c r="B2740" s="2" t="s">
        <v>7007</v>
      </c>
      <c r="C2740" s="2" t="s">
        <v>7626</v>
      </c>
      <c r="D2740" s="2" t="s">
        <v>10055</v>
      </c>
      <c r="E2740" s="15">
        <v>-0.13039999999999999</v>
      </c>
      <c r="F2740" s="15">
        <v>0.13869999999999999</v>
      </c>
      <c r="G2740" s="15">
        <v>0.34699999999999998</v>
      </c>
      <c r="H2740" s="15">
        <v>5.2900000000000003E-2</v>
      </c>
      <c r="I2740" s="15">
        <v>3.5700000000000003E-2</v>
      </c>
      <c r="J2740" s="15">
        <v>1.481792717086835</v>
      </c>
    </row>
    <row r="2741" spans="1:10" x14ac:dyDescent="0.25">
      <c r="A2741" s="2" t="s">
        <v>7627</v>
      </c>
      <c r="B2741" s="2" t="s">
        <v>7007</v>
      </c>
      <c r="C2741" s="2" t="s">
        <v>7628</v>
      </c>
      <c r="D2741" s="2" t="s">
        <v>10055</v>
      </c>
      <c r="E2741" s="15">
        <v>0.10059999999999999</v>
      </c>
      <c r="F2741" s="15">
        <v>0.1138</v>
      </c>
      <c r="G2741" s="15">
        <v>0.37659999999999999</v>
      </c>
      <c r="H2741" s="15">
        <v>7.3899999999999993E-2</v>
      </c>
      <c r="I2741" s="15">
        <v>3.95E-2</v>
      </c>
      <c r="J2741" s="15">
        <v>1.8708860759493671</v>
      </c>
    </row>
    <row r="2742" spans="1:10" x14ac:dyDescent="0.25">
      <c r="A2742" s="2" t="s">
        <v>7629</v>
      </c>
      <c r="B2742" s="2" t="s">
        <v>7007</v>
      </c>
      <c r="C2742" s="2" t="s">
        <v>7630</v>
      </c>
      <c r="D2742" s="2" t="s">
        <v>10055</v>
      </c>
      <c r="E2742" s="15">
        <v>-4.1999999999999997E-3</v>
      </c>
      <c r="F2742" s="15">
        <v>0.1477</v>
      </c>
      <c r="G2742" s="15">
        <v>0.97740000000000005</v>
      </c>
      <c r="H2742" s="15">
        <v>4.8800000000000003E-2</v>
      </c>
      <c r="I2742" s="15">
        <v>3.5799999999999998E-2</v>
      </c>
      <c r="J2742" s="15">
        <v>1.3631284916201121</v>
      </c>
    </row>
    <row r="2743" spans="1:10" x14ac:dyDescent="0.25">
      <c r="A2743" s="2" t="s">
        <v>7631</v>
      </c>
      <c r="B2743" s="2" t="s">
        <v>7007</v>
      </c>
      <c r="C2743" s="2" t="s">
        <v>7632</v>
      </c>
      <c r="D2743" s="2" t="s">
        <v>10055</v>
      </c>
      <c r="E2743" s="15">
        <v>0.31769999999999998</v>
      </c>
      <c r="F2743" s="15">
        <v>0.14249999999999999</v>
      </c>
      <c r="G2743" s="15">
        <v>2.5700000000000001E-2</v>
      </c>
      <c r="H2743" s="15">
        <v>6.9000000000000006E-2</v>
      </c>
      <c r="I2743" s="15">
        <v>3.5400000000000001E-2</v>
      </c>
      <c r="J2743" s="15">
        <v>1.949152542372881</v>
      </c>
    </row>
    <row r="2744" spans="1:10" x14ac:dyDescent="0.25">
      <c r="A2744" s="2" t="s">
        <v>7633</v>
      </c>
      <c r="B2744" s="2" t="s">
        <v>7007</v>
      </c>
      <c r="C2744" s="2" t="s">
        <v>7634</v>
      </c>
      <c r="D2744" s="2" t="s">
        <v>10055</v>
      </c>
      <c r="E2744" s="15"/>
      <c r="F2744" s="15"/>
      <c r="G2744" s="15"/>
      <c r="H2744" s="15">
        <v>-6.8999999999999999E-3</v>
      </c>
      <c r="I2744" s="15">
        <v>3.95E-2</v>
      </c>
      <c r="J2744" s="15">
        <v>-0.17468354430379751</v>
      </c>
    </row>
    <row r="2745" spans="1:10" x14ac:dyDescent="0.25">
      <c r="A2745" s="2" t="s">
        <v>7635</v>
      </c>
      <c r="B2745" s="2" t="s">
        <v>7007</v>
      </c>
      <c r="C2745" s="2" t="s">
        <v>7636</v>
      </c>
      <c r="D2745" s="2" t="s">
        <v>10055</v>
      </c>
      <c r="E2745" s="15"/>
      <c r="F2745" s="15"/>
      <c r="G2745" s="15"/>
      <c r="H2745" s="15">
        <v>-6.8599999999999994E-2</v>
      </c>
      <c r="I2745" s="15">
        <v>3.5799999999999998E-2</v>
      </c>
      <c r="J2745" s="15">
        <v>-1.9162011173184359</v>
      </c>
    </row>
    <row r="2746" spans="1:10" x14ac:dyDescent="0.25">
      <c r="A2746" s="2" t="s">
        <v>7637</v>
      </c>
      <c r="B2746" s="2" t="s">
        <v>7007</v>
      </c>
      <c r="C2746" s="2" t="s">
        <v>7638</v>
      </c>
      <c r="D2746" s="2" t="s">
        <v>10055</v>
      </c>
      <c r="E2746" s="15"/>
      <c r="F2746" s="15"/>
      <c r="G2746" s="15"/>
      <c r="H2746" s="15">
        <v>-5.1799999999999999E-2</v>
      </c>
      <c r="I2746" s="15">
        <v>3.6900000000000002E-2</v>
      </c>
      <c r="J2746" s="15">
        <v>-1.403794037940379</v>
      </c>
    </row>
    <row r="2747" spans="1:10" x14ac:dyDescent="0.25">
      <c r="A2747" s="2" t="s">
        <v>7639</v>
      </c>
      <c r="B2747" s="2" t="s">
        <v>7007</v>
      </c>
      <c r="C2747" s="2" t="s">
        <v>7640</v>
      </c>
      <c r="D2747" s="2" t="s">
        <v>10055</v>
      </c>
      <c r="E2747" s="15"/>
      <c r="F2747" s="15"/>
      <c r="G2747" s="15"/>
      <c r="H2747" s="15"/>
      <c r="I2747" s="15"/>
      <c r="J2747" s="15"/>
    </row>
    <row r="2748" spans="1:10" x14ac:dyDescent="0.25">
      <c r="A2748" s="2" t="s">
        <v>7641</v>
      </c>
      <c r="B2748" s="2" t="s">
        <v>7007</v>
      </c>
      <c r="C2748" s="2" t="s">
        <v>7642</v>
      </c>
      <c r="D2748" s="2" t="s">
        <v>10055</v>
      </c>
      <c r="E2748" s="15">
        <v>0.19089999999999999</v>
      </c>
      <c r="F2748" s="15">
        <v>0.21340000000000001</v>
      </c>
      <c r="G2748" s="15">
        <v>0.37109999999999999</v>
      </c>
      <c r="H2748" s="15">
        <v>3.0099999999999998E-2</v>
      </c>
      <c r="I2748" s="15">
        <v>3.8100000000000002E-2</v>
      </c>
      <c r="J2748" s="15">
        <v>0.79002624671916</v>
      </c>
    </row>
    <row r="2749" spans="1:10" x14ac:dyDescent="0.25">
      <c r="A2749" s="2" t="s">
        <v>7643</v>
      </c>
      <c r="B2749" s="2" t="s">
        <v>7007</v>
      </c>
      <c r="C2749" s="2" t="s">
        <v>7644</v>
      </c>
      <c r="D2749" s="2" t="s">
        <v>10055</v>
      </c>
      <c r="E2749" s="15">
        <v>9.7100000000000006E-2</v>
      </c>
      <c r="F2749" s="15">
        <v>0.115</v>
      </c>
      <c r="G2749" s="15">
        <v>0.39839999999999998</v>
      </c>
      <c r="H2749" s="15">
        <v>8.8700000000000001E-2</v>
      </c>
      <c r="I2749" s="15">
        <v>4.07E-2</v>
      </c>
      <c r="J2749" s="15">
        <v>2.1793611793611789</v>
      </c>
    </row>
    <row r="2750" spans="1:10" x14ac:dyDescent="0.25">
      <c r="A2750" s="2" t="s">
        <v>7645</v>
      </c>
      <c r="B2750" s="2" t="s">
        <v>7007</v>
      </c>
      <c r="C2750" s="2" t="s">
        <v>7646</v>
      </c>
      <c r="D2750" s="2" t="s">
        <v>10055</v>
      </c>
      <c r="E2750" s="15">
        <v>-5.33E-2</v>
      </c>
      <c r="F2750" s="15">
        <v>0.25819999999999999</v>
      </c>
      <c r="G2750" s="15">
        <v>0.83640000000000003</v>
      </c>
      <c r="H2750" s="15">
        <v>1.67E-2</v>
      </c>
      <c r="I2750" s="15">
        <v>3.5799999999999998E-2</v>
      </c>
      <c r="J2750" s="15">
        <v>0.46648044692737428</v>
      </c>
    </row>
    <row r="2751" spans="1:10" x14ac:dyDescent="0.25">
      <c r="A2751" s="2" t="s">
        <v>7647</v>
      </c>
      <c r="B2751" s="2" t="s">
        <v>7007</v>
      </c>
      <c r="C2751" s="2" t="s">
        <v>7648</v>
      </c>
      <c r="D2751" s="2" t="s">
        <v>10055</v>
      </c>
      <c r="E2751" s="15">
        <v>0.4486</v>
      </c>
      <c r="F2751" s="15">
        <v>0.45179999999999998</v>
      </c>
      <c r="G2751" s="15">
        <v>0.32079999999999997</v>
      </c>
      <c r="H2751" s="15">
        <v>2.2800000000000001E-2</v>
      </c>
      <c r="I2751" s="15">
        <v>3.7400000000000003E-2</v>
      </c>
      <c r="J2751" s="15">
        <v>0.60962566844919786</v>
      </c>
    </row>
    <row r="2752" spans="1:10" x14ac:dyDescent="0.25">
      <c r="A2752" s="2" t="s">
        <v>7649</v>
      </c>
      <c r="B2752" s="2" t="s">
        <v>7007</v>
      </c>
      <c r="C2752" s="2" t="s">
        <v>7650</v>
      </c>
      <c r="D2752" s="2" t="s">
        <v>10055</v>
      </c>
      <c r="E2752" s="15">
        <v>6.6100000000000006E-2</v>
      </c>
      <c r="F2752" s="15">
        <v>0.16039999999999999</v>
      </c>
      <c r="G2752" s="15">
        <v>0.68030000000000002</v>
      </c>
      <c r="H2752" s="15">
        <v>4.3499999999999997E-2</v>
      </c>
      <c r="I2752" s="15">
        <v>3.6499999999999998E-2</v>
      </c>
      <c r="J2752" s="15">
        <v>1.1917808219178081</v>
      </c>
    </row>
    <row r="2753" spans="1:10" x14ac:dyDescent="0.25">
      <c r="A2753" s="2" t="s">
        <v>7651</v>
      </c>
      <c r="B2753" s="2" t="s">
        <v>7007</v>
      </c>
      <c r="C2753" s="2" t="s">
        <v>7652</v>
      </c>
      <c r="D2753" s="2" t="s">
        <v>10055</v>
      </c>
      <c r="E2753" s="15"/>
      <c r="F2753" s="15"/>
      <c r="G2753" s="15"/>
      <c r="H2753" s="15"/>
      <c r="I2753" s="15"/>
      <c r="J2753" s="15"/>
    </row>
    <row r="2754" spans="1:10" x14ac:dyDescent="0.25">
      <c r="A2754" s="2" t="s">
        <v>7653</v>
      </c>
      <c r="B2754" s="2" t="s">
        <v>7007</v>
      </c>
      <c r="C2754" s="2" t="s">
        <v>7654</v>
      </c>
      <c r="D2754" s="2" t="s">
        <v>10055</v>
      </c>
      <c r="E2754" s="15">
        <v>-0.23</v>
      </c>
      <c r="F2754" s="15">
        <v>0.44219999999999998</v>
      </c>
      <c r="G2754" s="15">
        <v>0.60289999999999999</v>
      </c>
      <c r="H2754" s="15">
        <v>2.1100000000000001E-2</v>
      </c>
      <c r="I2754" s="15">
        <v>4.2299999999999997E-2</v>
      </c>
      <c r="J2754" s="15">
        <v>0.49881796690307328</v>
      </c>
    </row>
    <row r="2755" spans="1:10" x14ac:dyDescent="0.25">
      <c r="A2755" s="2" t="s">
        <v>7655</v>
      </c>
      <c r="B2755" s="2" t="s">
        <v>7007</v>
      </c>
      <c r="C2755" s="2" t="s">
        <v>7656</v>
      </c>
      <c r="D2755" s="2" t="s">
        <v>10055</v>
      </c>
      <c r="E2755" s="15"/>
      <c r="F2755" s="15"/>
      <c r="G2755" s="15"/>
      <c r="H2755" s="15">
        <v>-3.1199999999999999E-2</v>
      </c>
      <c r="I2755" s="15">
        <v>3.5499999999999997E-2</v>
      </c>
      <c r="J2755" s="15">
        <v>-0.87887323943661977</v>
      </c>
    </row>
    <row r="2756" spans="1:10" x14ac:dyDescent="0.25">
      <c r="A2756" s="2" t="s">
        <v>7657</v>
      </c>
      <c r="B2756" s="2" t="s">
        <v>7007</v>
      </c>
      <c r="C2756" s="2" t="s">
        <v>7658</v>
      </c>
      <c r="D2756" s="2" t="s">
        <v>10055</v>
      </c>
      <c r="E2756" s="15"/>
      <c r="F2756" s="15"/>
      <c r="G2756" s="15"/>
      <c r="H2756" s="15"/>
      <c r="I2756" s="15"/>
      <c r="J2756" s="15"/>
    </row>
    <row r="2757" spans="1:10" x14ac:dyDescent="0.25">
      <c r="A2757" s="2" t="s">
        <v>7659</v>
      </c>
      <c r="B2757" s="2" t="s">
        <v>7007</v>
      </c>
      <c r="C2757" s="2" t="s">
        <v>7660</v>
      </c>
      <c r="D2757" s="2" t="s">
        <v>10055</v>
      </c>
      <c r="E2757" s="15">
        <v>-0.34860000000000002</v>
      </c>
      <c r="F2757" s="15">
        <v>0.3165</v>
      </c>
      <c r="G2757" s="15">
        <v>0.2707</v>
      </c>
      <c r="H2757" s="15">
        <v>3.1399999999999997E-2</v>
      </c>
      <c r="I2757" s="15">
        <v>4.0500000000000001E-2</v>
      </c>
      <c r="J2757" s="15">
        <v>0.77530864197530858</v>
      </c>
    </row>
    <row r="2758" spans="1:10" x14ac:dyDescent="0.25">
      <c r="A2758" s="2" t="s">
        <v>7661</v>
      </c>
      <c r="B2758" s="2" t="s">
        <v>7007</v>
      </c>
      <c r="C2758" s="2" t="s">
        <v>7662</v>
      </c>
      <c r="D2758" s="2" t="s">
        <v>10055</v>
      </c>
      <c r="E2758" s="15"/>
      <c r="F2758" s="15"/>
      <c r="G2758" s="15"/>
      <c r="H2758" s="15">
        <v>-6.8999999999999999E-3</v>
      </c>
      <c r="I2758" s="15">
        <v>3.5799999999999998E-2</v>
      </c>
      <c r="J2758" s="15">
        <v>-0.19273743016759781</v>
      </c>
    </row>
    <row r="2759" spans="1:10" x14ac:dyDescent="0.25">
      <c r="A2759" s="2" t="s">
        <v>7663</v>
      </c>
      <c r="B2759" s="2" t="s">
        <v>7007</v>
      </c>
      <c r="C2759" s="2" t="s">
        <v>7664</v>
      </c>
      <c r="D2759" s="2" t="s">
        <v>10055</v>
      </c>
      <c r="E2759" s="15">
        <v>8.14E-2</v>
      </c>
      <c r="F2759" s="15">
        <v>0.16139999999999999</v>
      </c>
      <c r="G2759" s="15">
        <v>0.61380000000000001</v>
      </c>
      <c r="H2759" s="15">
        <v>4.5600000000000002E-2</v>
      </c>
      <c r="I2759" s="15">
        <v>4.1300000000000003E-2</v>
      </c>
      <c r="J2759" s="15">
        <v>1.104116222760291</v>
      </c>
    </row>
    <row r="2760" spans="1:10" x14ac:dyDescent="0.25">
      <c r="A2760" s="2" t="s">
        <v>7665</v>
      </c>
      <c r="B2760" s="2" t="s">
        <v>7007</v>
      </c>
      <c r="C2760" s="2" t="s">
        <v>7666</v>
      </c>
      <c r="D2760" s="2" t="s">
        <v>10055</v>
      </c>
      <c r="E2760" s="15">
        <v>-0.20960000000000001</v>
      </c>
      <c r="F2760" s="15">
        <v>0.22969999999999999</v>
      </c>
      <c r="G2760" s="15">
        <v>0.36159999999999998</v>
      </c>
      <c r="H2760" s="15">
        <v>2.92E-2</v>
      </c>
      <c r="I2760" s="15">
        <v>3.6700000000000003E-2</v>
      </c>
      <c r="J2760" s="15">
        <v>0.79564032697547682</v>
      </c>
    </row>
    <row r="2761" spans="1:10" x14ac:dyDescent="0.25">
      <c r="A2761" s="2" t="s">
        <v>7667</v>
      </c>
      <c r="B2761" s="2" t="s">
        <v>7007</v>
      </c>
      <c r="C2761" s="2" t="s">
        <v>7668</v>
      </c>
      <c r="D2761" s="2" t="s">
        <v>10055</v>
      </c>
      <c r="E2761" s="15">
        <v>-7.22E-2</v>
      </c>
      <c r="F2761" s="15">
        <v>0.1227</v>
      </c>
      <c r="G2761" s="15">
        <v>0.55640000000000001</v>
      </c>
      <c r="H2761" s="15">
        <v>6.4199999999999993E-2</v>
      </c>
      <c r="I2761" s="15">
        <v>4.1300000000000003E-2</v>
      </c>
      <c r="J2761" s="15">
        <v>1.5544794188861979</v>
      </c>
    </row>
    <row r="2762" spans="1:10" x14ac:dyDescent="0.25">
      <c r="A2762" s="2" t="s">
        <v>7669</v>
      </c>
      <c r="B2762" s="2" t="s">
        <v>7007</v>
      </c>
      <c r="C2762" s="2" t="s">
        <v>7670</v>
      </c>
      <c r="D2762" s="2" t="s">
        <v>10055</v>
      </c>
      <c r="E2762" s="15">
        <v>0.21920000000000001</v>
      </c>
      <c r="F2762" s="15">
        <v>0.24629999999999999</v>
      </c>
      <c r="G2762" s="15">
        <v>0.37340000000000001</v>
      </c>
      <c r="H2762" s="15">
        <v>2.9100000000000001E-2</v>
      </c>
      <c r="I2762" s="15">
        <v>3.7999999999999999E-2</v>
      </c>
      <c r="J2762" s="15">
        <v>0.76578947368421058</v>
      </c>
    </row>
    <row r="2763" spans="1:10" x14ac:dyDescent="0.25">
      <c r="A2763" s="2" t="s">
        <v>7671</v>
      </c>
      <c r="B2763" s="2" t="s">
        <v>7007</v>
      </c>
      <c r="C2763" s="2" t="s">
        <v>7672</v>
      </c>
      <c r="D2763" s="2" t="s">
        <v>10055</v>
      </c>
      <c r="E2763" s="15">
        <v>7.4999999999999997E-3</v>
      </c>
      <c r="F2763" s="15">
        <v>0.13700000000000001</v>
      </c>
      <c r="G2763" s="15">
        <v>0.95609999999999995</v>
      </c>
      <c r="H2763" s="15">
        <v>6.3E-2</v>
      </c>
      <c r="I2763" s="15">
        <v>4.1300000000000003E-2</v>
      </c>
      <c r="J2763" s="15">
        <v>1.525423728813559</v>
      </c>
    </row>
    <row r="2764" spans="1:10" x14ac:dyDescent="0.25">
      <c r="A2764" s="2" t="s">
        <v>7673</v>
      </c>
      <c r="B2764" s="2" t="s">
        <v>7007</v>
      </c>
      <c r="C2764" s="2" t="s">
        <v>7674</v>
      </c>
      <c r="D2764" s="2" t="s">
        <v>10055</v>
      </c>
      <c r="E2764" s="15">
        <v>0.35599999999999998</v>
      </c>
      <c r="F2764" s="15">
        <v>0.90869999999999995</v>
      </c>
      <c r="G2764" s="15">
        <v>0.69520000000000004</v>
      </c>
      <c r="H2764" s="15">
        <v>1.2500000000000001E-2</v>
      </c>
      <c r="I2764" s="15">
        <v>3.95E-2</v>
      </c>
      <c r="J2764" s="15">
        <v>0.31645569620253172</v>
      </c>
    </row>
    <row r="2765" spans="1:10" x14ac:dyDescent="0.25">
      <c r="A2765" s="2" t="s">
        <v>7675</v>
      </c>
      <c r="B2765" s="2" t="s">
        <v>7007</v>
      </c>
      <c r="C2765" s="2" t="s">
        <v>7676</v>
      </c>
      <c r="D2765" s="2" t="s">
        <v>10055</v>
      </c>
      <c r="E2765" s="15">
        <v>0.2505</v>
      </c>
      <c r="F2765" s="15">
        <v>0.1983</v>
      </c>
      <c r="G2765" s="15">
        <v>0.20649999999999999</v>
      </c>
      <c r="H2765" s="15">
        <v>4.3799999999999999E-2</v>
      </c>
      <c r="I2765" s="15">
        <v>4.0399999999999998E-2</v>
      </c>
      <c r="J2765" s="15">
        <v>1.084158415841584</v>
      </c>
    </row>
    <row r="2766" spans="1:10" x14ac:dyDescent="0.25">
      <c r="A2766" s="2" t="s">
        <v>7677</v>
      </c>
      <c r="B2766" s="2" t="s">
        <v>7007</v>
      </c>
      <c r="C2766" s="2" t="s">
        <v>7678</v>
      </c>
      <c r="D2766" s="2" t="s">
        <v>10055</v>
      </c>
      <c r="E2766" s="15">
        <v>0.1014</v>
      </c>
      <c r="F2766" s="15">
        <v>0.11840000000000001</v>
      </c>
      <c r="G2766" s="15">
        <v>0.39169999999999999</v>
      </c>
      <c r="H2766" s="15">
        <v>7.9500000000000001E-2</v>
      </c>
      <c r="I2766" s="15">
        <v>3.7999999999999999E-2</v>
      </c>
      <c r="J2766" s="15">
        <v>2.0921052631578951</v>
      </c>
    </row>
    <row r="2767" spans="1:10" x14ac:dyDescent="0.25">
      <c r="A2767" s="2" t="s">
        <v>7679</v>
      </c>
      <c r="B2767" s="2" t="s">
        <v>7007</v>
      </c>
      <c r="C2767" s="2" t="s">
        <v>7680</v>
      </c>
      <c r="D2767" s="2" t="s">
        <v>10055</v>
      </c>
      <c r="E2767" s="15"/>
      <c r="F2767" s="15"/>
      <c r="G2767" s="15"/>
      <c r="H2767" s="15"/>
      <c r="I2767" s="15"/>
      <c r="J2767" s="15"/>
    </row>
    <row r="2768" spans="1:10" x14ac:dyDescent="0.25">
      <c r="A2768" s="2" t="s">
        <v>7681</v>
      </c>
      <c r="B2768" s="2" t="s">
        <v>7007</v>
      </c>
      <c r="C2768" s="2" t="s">
        <v>7682</v>
      </c>
      <c r="D2768" s="2" t="s">
        <v>10055</v>
      </c>
      <c r="E2768" s="15">
        <v>-3.6499999999999998E-2</v>
      </c>
      <c r="F2768" s="15">
        <v>9.4100000000000003E-2</v>
      </c>
      <c r="G2768" s="15">
        <v>0.69799999999999995</v>
      </c>
      <c r="H2768" s="15">
        <v>0.1128</v>
      </c>
      <c r="I2768" s="15">
        <v>3.78E-2</v>
      </c>
      <c r="J2768" s="15">
        <v>2.9841269841269842</v>
      </c>
    </row>
    <row r="2769" spans="1:10" x14ac:dyDescent="0.25">
      <c r="A2769" s="2" t="s">
        <v>7683</v>
      </c>
      <c r="B2769" s="2" t="s">
        <v>7007</v>
      </c>
      <c r="C2769" s="2" t="s">
        <v>7684</v>
      </c>
      <c r="D2769" s="2" t="s">
        <v>10055</v>
      </c>
      <c r="E2769" s="15">
        <v>0.2026</v>
      </c>
      <c r="F2769" s="15">
        <v>0.25159999999999999</v>
      </c>
      <c r="G2769" s="15">
        <v>0.42070000000000002</v>
      </c>
      <c r="H2769" s="15">
        <v>3.2599999999999997E-2</v>
      </c>
      <c r="I2769" s="15">
        <v>4.19E-2</v>
      </c>
      <c r="J2769" s="15">
        <v>0.77804295942720758</v>
      </c>
    </row>
    <row r="2770" spans="1:10" x14ac:dyDescent="0.25">
      <c r="A2770" s="2" t="s">
        <v>7685</v>
      </c>
      <c r="B2770" s="2" t="s">
        <v>7007</v>
      </c>
      <c r="C2770" s="2" t="s">
        <v>7686</v>
      </c>
      <c r="D2770" s="2" t="s">
        <v>10055</v>
      </c>
      <c r="E2770" s="15">
        <v>0.23530000000000001</v>
      </c>
      <c r="F2770" s="15">
        <v>0.1638</v>
      </c>
      <c r="G2770" s="15">
        <v>0.15079999999999999</v>
      </c>
      <c r="H2770" s="15">
        <v>4.5600000000000002E-2</v>
      </c>
      <c r="I2770" s="15">
        <v>3.6799999999999999E-2</v>
      </c>
      <c r="J2770" s="15">
        <v>1.2391304347826091</v>
      </c>
    </row>
    <row r="2771" spans="1:10" x14ac:dyDescent="0.25">
      <c r="A2771" s="2" t="s">
        <v>7687</v>
      </c>
      <c r="B2771" s="2" t="s">
        <v>7007</v>
      </c>
      <c r="C2771" s="2" t="s">
        <v>7688</v>
      </c>
      <c r="D2771" s="2" t="s">
        <v>10055</v>
      </c>
      <c r="E2771" s="15"/>
      <c r="F2771" s="15"/>
      <c r="G2771" s="15"/>
      <c r="H2771" s="15"/>
      <c r="I2771" s="15"/>
      <c r="J2771" s="15"/>
    </row>
    <row r="2772" spans="1:10" x14ac:dyDescent="0.25">
      <c r="A2772" s="2" t="s">
        <v>7689</v>
      </c>
      <c r="B2772" s="2" t="s">
        <v>7007</v>
      </c>
      <c r="C2772" s="2" t="s">
        <v>7690</v>
      </c>
      <c r="D2772" s="2" t="s">
        <v>10055</v>
      </c>
      <c r="E2772" s="15">
        <v>-0.1263</v>
      </c>
      <c r="F2772" s="15">
        <v>0.16339999999999999</v>
      </c>
      <c r="G2772" s="15">
        <v>0.4395</v>
      </c>
      <c r="H2772" s="15">
        <v>5.1799999999999999E-2</v>
      </c>
      <c r="I2772" s="15">
        <v>4.24E-2</v>
      </c>
      <c r="J2772" s="15">
        <v>1.2216981132075471</v>
      </c>
    </row>
    <row r="2773" spans="1:10" x14ac:dyDescent="0.25">
      <c r="A2773" s="2" t="s">
        <v>7691</v>
      </c>
      <c r="B2773" s="2" t="s">
        <v>7007</v>
      </c>
      <c r="C2773" s="2" t="s">
        <v>7692</v>
      </c>
      <c r="D2773" s="2" t="s">
        <v>10055</v>
      </c>
      <c r="E2773" s="15">
        <v>3.2099999999999997E-2</v>
      </c>
      <c r="F2773" s="15">
        <v>0.1037</v>
      </c>
      <c r="G2773" s="15">
        <v>0.75700000000000001</v>
      </c>
      <c r="H2773" s="15">
        <v>7.5600000000000001E-2</v>
      </c>
      <c r="I2773" s="15">
        <v>3.8600000000000002E-2</v>
      </c>
      <c r="J2773" s="15">
        <v>1.9585492227979271</v>
      </c>
    </row>
    <row r="2774" spans="1:10" x14ac:dyDescent="0.25">
      <c r="A2774" s="2" t="s">
        <v>7693</v>
      </c>
      <c r="B2774" s="2" t="s">
        <v>7007</v>
      </c>
      <c r="C2774" s="2" t="s">
        <v>7694</v>
      </c>
      <c r="D2774" s="2" t="s">
        <v>10055</v>
      </c>
      <c r="E2774" s="15">
        <v>0.1678</v>
      </c>
      <c r="F2774" s="15">
        <v>0.30869999999999997</v>
      </c>
      <c r="G2774" s="15">
        <v>0.58679999999999999</v>
      </c>
      <c r="H2774" s="15">
        <v>1.72E-2</v>
      </c>
      <c r="I2774" s="15">
        <v>3.7199999999999997E-2</v>
      </c>
      <c r="J2774" s="15">
        <v>0.4623655913978495</v>
      </c>
    </row>
    <row r="2775" spans="1:10" x14ac:dyDescent="0.25">
      <c r="A2775" s="2" t="s">
        <v>7695</v>
      </c>
      <c r="B2775" s="2" t="s">
        <v>7007</v>
      </c>
      <c r="C2775" s="2" t="s">
        <v>7696</v>
      </c>
      <c r="D2775" s="2" t="s">
        <v>10055</v>
      </c>
      <c r="E2775" s="15">
        <v>-9.4000000000000004E-3</v>
      </c>
      <c r="F2775" s="15">
        <v>0.13</v>
      </c>
      <c r="G2775" s="15">
        <v>0.94269999999999998</v>
      </c>
      <c r="H2775" s="15">
        <v>5.91E-2</v>
      </c>
      <c r="I2775" s="15">
        <v>3.5200000000000002E-2</v>
      </c>
      <c r="J2775" s="15">
        <v>1.6789772727272729</v>
      </c>
    </row>
    <row r="2776" spans="1:10" x14ac:dyDescent="0.25">
      <c r="A2776" s="2" t="s">
        <v>7697</v>
      </c>
      <c r="B2776" s="2" t="s">
        <v>7007</v>
      </c>
      <c r="C2776" s="2" t="s">
        <v>7698</v>
      </c>
      <c r="D2776" s="2" t="s">
        <v>10055</v>
      </c>
      <c r="E2776" s="15">
        <v>0.20599999999999999</v>
      </c>
      <c r="F2776" s="15">
        <v>0.13350000000000001</v>
      </c>
      <c r="G2776" s="15">
        <v>0.123</v>
      </c>
      <c r="H2776" s="15">
        <v>7.9899999999999999E-2</v>
      </c>
      <c r="I2776" s="15">
        <v>3.7999999999999999E-2</v>
      </c>
      <c r="J2776" s="15">
        <v>2.102631578947368</v>
      </c>
    </row>
    <row r="2777" spans="1:10" x14ac:dyDescent="0.25">
      <c r="A2777" s="2" t="s">
        <v>7699</v>
      </c>
      <c r="B2777" s="2" t="s">
        <v>7007</v>
      </c>
      <c r="C2777" s="2" t="s">
        <v>7700</v>
      </c>
      <c r="D2777" s="2" t="s">
        <v>10055</v>
      </c>
      <c r="E2777" s="15">
        <v>-2.07E-2</v>
      </c>
      <c r="F2777" s="15">
        <v>0.1057</v>
      </c>
      <c r="G2777" s="15">
        <v>0.8448</v>
      </c>
      <c r="H2777" s="15">
        <v>0.1027</v>
      </c>
      <c r="I2777" s="15">
        <v>4.1399999999999999E-2</v>
      </c>
      <c r="J2777" s="15">
        <v>2.4806763285024149</v>
      </c>
    </row>
    <row r="2778" spans="1:10" x14ac:dyDescent="0.25">
      <c r="A2778" s="2" t="s">
        <v>7701</v>
      </c>
      <c r="B2778" s="2" t="s">
        <v>7007</v>
      </c>
      <c r="C2778" s="2" t="s">
        <v>7702</v>
      </c>
      <c r="D2778" s="2" t="s">
        <v>10055</v>
      </c>
      <c r="E2778" s="15">
        <v>2E-3</v>
      </c>
      <c r="F2778" s="15">
        <v>0.1827</v>
      </c>
      <c r="G2778" s="15">
        <v>0.99119999999999997</v>
      </c>
      <c r="H2778" s="15">
        <v>3.3500000000000002E-2</v>
      </c>
      <c r="I2778" s="15">
        <v>3.6200000000000003E-2</v>
      </c>
      <c r="J2778" s="15">
        <v>0.925414364640884</v>
      </c>
    </row>
    <row r="2779" spans="1:10" x14ac:dyDescent="0.25">
      <c r="A2779" s="2" t="s">
        <v>7703</v>
      </c>
      <c r="B2779" s="2" t="s">
        <v>7007</v>
      </c>
      <c r="C2779" s="2" t="s">
        <v>7704</v>
      </c>
      <c r="D2779" s="2" t="s">
        <v>10055</v>
      </c>
      <c r="E2779" s="15">
        <v>0.26569999999999999</v>
      </c>
      <c r="F2779" s="15">
        <v>0.36030000000000001</v>
      </c>
      <c r="G2779" s="15">
        <v>0.46079999999999999</v>
      </c>
      <c r="H2779" s="15">
        <v>1.7299999999999999E-2</v>
      </c>
      <c r="I2779" s="15">
        <v>3.49E-2</v>
      </c>
      <c r="J2779" s="15">
        <v>0.49570200573065898</v>
      </c>
    </row>
    <row r="2780" spans="1:10" x14ac:dyDescent="0.25">
      <c r="A2780" s="2" t="s">
        <v>7705</v>
      </c>
      <c r="B2780" s="2" t="s">
        <v>7007</v>
      </c>
      <c r="C2780" s="2" t="s">
        <v>7706</v>
      </c>
      <c r="D2780" s="2" t="s">
        <v>10055</v>
      </c>
      <c r="E2780" s="15">
        <v>7.9600000000000004E-2</v>
      </c>
      <c r="F2780" s="15">
        <v>0.13200000000000001</v>
      </c>
      <c r="G2780" s="15">
        <v>0.5464</v>
      </c>
      <c r="H2780" s="15">
        <v>6.1600000000000002E-2</v>
      </c>
      <c r="I2780" s="15">
        <v>3.8100000000000002E-2</v>
      </c>
      <c r="J2780" s="15">
        <v>1.6167979002624671</v>
      </c>
    </row>
    <row r="2781" spans="1:10" x14ac:dyDescent="0.25">
      <c r="A2781" s="2" t="s">
        <v>7707</v>
      </c>
      <c r="B2781" s="2" t="s">
        <v>7007</v>
      </c>
      <c r="C2781" s="2" t="s">
        <v>7708</v>
      </c>
      <c r="D2781" s="2" t="s">
        <v>10055</v>
      </c>
      <c r="E2781" s="15">
        <v>-0.1076</v>
      </c>
      <c r="F2781" s="15">
        <v>9.0300000000000005E-2</v>
      </c>
      <c r="G2781" s="15">
        <v>0.23350000000000001</v>
      </c>
      <c r="H2781" s="15">
        <v>0.13289999999999999</v>
      </c>
      <c r="I2781" s="15">
        <v>4.0500000000000001E-2</v>
      </c>
      <c r="J2781" s="15">
        <v>3.2814814814814812</v>
      </c>
    </row>
    <row r="2782" spans="1:10" x14ac:dyDescent="0.25">
      <c r="A2782" s="2" t="s">
        <v>7709</v>
      </c>
      <c r="B2782" s="2" t="s">
        <v>7007</v>
      </c>
      <c r="C2782" s="2" t="s">
        <v>7710</v>
      </c>
      <c r="D2782" s="2" t="s">
        <v>10055</v>
      </c>
      <c r="E2782" s="15"/>
      <c r="F2782" s="15"/>
      <c r="G2782" s="15"/>
      <c r="H2782" s="15">
        <v>-1.84E-2</v>
      </c>
      <c r="I2782" s="15">
        <v>3.8600000000000002E-2</v>
      </c>
      <c r="J2782" s="15">
        <v>-0.47668393782383423</v>
      </c>
    </row>
    <row r="2783" spans="1:10" x14ac:dyDescent="0.25">
      <c r="A2783" s="2" t="s">
        <v>7711</v>
      </c>
      <c r="B2783" s="2" t="s">
        <v>7007</v>
      </c>
      <c r="C2783" s="2" t="s">
        <v>7712</v>
      </c>
      <c r="D2783" s="2" t="s">
        <v>10055</v>
      </c>
      <c r="E2783" s="15">
        <v>-0.25259999999999999</v>
      </c>
      <c r="F2783" s="15">
        <v>0.1351</v>
      </c>
      <c r="G2783" s="15">
        <v>6.1499999999999999E-2</v>
      </c>
      <c r="H2783" s="15">
        <v>6.5299999999999997E-2</v>
      </c>
      <c r="I2783" s="15">
        <v>3.8899999999999997E-2</v>
      </c>
      <c r="J2783" s="15">
        <v>1.67866323907455</v>
      </c>
    </row>
    <row r="2784" spans="1:10" x14ac:dyDescent="0.25">
      <c r="A2784" s="2" t="s">
        <v>7713</v>
      </c>
      <c r="B2784" s="2" t="s">
        <v>7007</v>
      </c>
      <c r="C2784" s="2" t="s">
        <v>7714</v>
      </c>
      <c r="D2784" s="2" t="s">
        <v>10055</v>
      </c>
      <c r="E2784" s="15">
        <v>-0.30659999999999998</v>
      </c>
      <c r="F2784" s="15">
        <v>0.67230000000000001</v>
      </c>
      <c r="G2784" s="15">
        <v>0.64839999999999998</v>
      </c>
      <c r="H2784" s="15">
        <v>1.06E-2</v>
      </c>
      <c r="I2784" s="15">
        <v>3.3500000000000002E-2</v>
      </c>
      <c r="J2784" s="15">
        <v>0.31641791044776119</v>
      </c>
    </row>
    <row r="2785" spans="1:10" x14ac:dyDescent="0.25">
      <c r="A2785" s="2" t="s">
        <v>7715</v>
      </c>
      <c r="B2785" s="2" t="s">
        <v>7007</v>
      </c>
      <c r="C2785" s="2" t="s">
        <v>7716</v>
      </c>
      <c r="D2785" s="2" t="s">
        <v>10055</v>
      </c>
      <c r="E2785" s="15"/>
      <c r="F2785" s="15"/>
      <c r="G2785" s="15"/>
      <c r="H2785" s="15">
        <v>-3.5499999999999997E-2</v>
      </c>
      <c r="I2785" s="15">
        <v>3.2399999999999998E-2</v>
      </c>
      <c r="J2785" s="15">
        <v>-1.095679012345679</v>
      </c>
    </row>
    <row r="2786" spans="1:10" x14ac:dyDescent="0.25">
      <c r="A2786" s="2" t="s">
        <v>7717</v>
      </c>
      <c r="B2786" s="2" t="s">
        <v>7007</v>
      </c>
      <c r="C2786" s="2" t="s">
        <v>7718</v>
      </c>
      <c r="D2786" s="2" t="s">
        <v>10055</v>
      </c>
      <c r="E2786" s="15">
        <v>-2.18E-2</v>
      </c>
      <c r="F2786" s="15">
        <v>0.1108</v>
      </c>
      <c r="G2786" s="15">
        <v>0.84430000000000005</v>
      </c>
      <c r="H2786" s="15">
        <v>9.0499999999999997E-2</v>
      </c>
      <c r="I2786" s="15">
        <v>3.9100000000000003E-2</v>
      </c>
      <c r="J2786" s="15">
        <v>2.3145780051150888</v>
      </c>
    </row>
    <row r="2787" spans="1:10" x14ac:dyDescent="0.25">
      <c r="A2787" s="2" t="s">
        <v>7719</v>
      </c>
      <c r="B2787" s="2" t="s">
        <v>7007</v>
      </c>
      <c r="C2787" s="2" t="s">
        <v>7720</v>
      </c>
      <c r="D2787" s="2" t="s">
        <v>10055</v>
      </c>
      <c r="E2787" s="15">
        <v>-0.1739</v>
      </c>
      <c r="F2787" s="15">
        <v>0.153</v>
      </c>
      <c r="G2787" s="15">
        <v>0.25590000000000002</v>
      </c>
      <c r="H2787" s="15">
        <v>5.1299999999999998E-2</v>
      </c>
      <c r="I2787" s="15">
        <v>4.0899999999999999E-2</v>
      </c>
      <c r="J2787" s="15">
        <v>1.254278728606357</v>
      </c>
    </row>
    <row r="2788" spans="1:10" x14ac:dyDescent="0.25">
      <c r="A2788" s="2" t="s">
        <v>7721</v>
      </c>
      <c r="B2788" s="2" t="s">
        <v>7007</v>
      </c>
      <c r="C2788" s="2" t="s">
        <v>7722</v>
      </c>
      <c r="D2788" s="2" t="s">
        <v>10055</v>
      </c>
      <c r="E2788" s="15">
        <v>0.17979999999999999</v>
      </c>
      <c r="F2788" s="15">
        <v>0.21240000000000001</v>
      </c>
      <c r="G2788" s="15">
        <v>0.39729999999999999</v>
      </c>
      <c r="H2788" s="15">
        <v>3.15E-2</v>
      </c>
      <c r="I2788" s="15">
        <v>3.9100000000000003E-2</v>
      </c>
      <c r="J2788" s="15">
        <v>0.80562659846547313</v>
      </c>
    </row>
    <row r="2789" spans="1:10" x14ac:dyDescent="0.25">
      <c r="A2789" s="2" t="s">
        <v>7723</v>
      </c>
      <c r="B2789" s="2" t="s">
        <v>7007</v>
      </c>
      <c r="C2789" s="2" t="s">
        <v>7724</v>
      </c>
      <c r="D2789" s="2" t="s">
        <v>10055</v>
      </c>
      <c r="E2789" s="15">
        <v>-0.18379999999999999</v>
      </c>
      <c r="F2789" s="15">
        <v>0.28260000000000002</v>
      </c>
      <c r="G2789" s="15">
        <v>0.51539999999999997</v>
      </c>
      <c r="H2789" s="15">
        <v>1.9300000000000001E-2</v>
      </c>
      <c r="I2789" s="15">
        <v>3.3099999999999997E-2</v>
      </c>
      <c r="J2789" s="15">
        <v>0.58308157099697888</v>
      </c>
    </row>
    <row r="2790" spans="1:10" x14ac:dyDescent="0.25">
      <c r="A2790" s="2" t="s">
        <v>7725</v>
      </c>
      <c r="B2790" s="2" t="s">
        <v>7007</v>
      </c>
      <c r="C2790" s="2" t="s">
        <v>7726</v>
      </c>
      <c r="D2790" s="2" t="s">
        <v>10055</v>
      </c>
      <c r="E2790" s="15">
        <v>0.12889999999999999</v>
      </c>
      <c r="F2790" s="15">
        <v>7.9200000000000007E-2</v>
      </c>
      <c r="G2790" s="15">
        <v>0.1038</v>
      </c>
      <c r="H2790" s="15">
        <v>0.15290000000000001</v>
      </c>
      <c r="I2790" s="15">
        <v>4.4699999999999997E-2</v>
      </c>
      <c r="J2790" s="15">
        <v>3.4205816554809849</v>
      </c>
    </row>
    <row r="2791" spans="1:10" x14ac:dyDescent="0.25">
      <c r="A2791" s="2" t="s">
        <v>7727</v>
      </c>
      <c r="B2791" s="2" t="s">
        <v>7007</v>
      </c>
      <c r="C2791" s="2" t="s">
        <v>7728</v>
      </c>
      <c r="D2791" s="2" t="s">
        <v>10055</v>
      </c>
      <c r="E2791" s="15">
        <v>-4.8099999999999997E-2</v>
      </c>
      <c r="F2791" s="15">
        <v>0.1113</v>
      </c>
      <c r="G2791" s="15">
        <v>0.66559999999999997</v>
      </c>
      <c r="H2791" s="15">
        <v>0.10299999999999999</v>
      </c>
      <c r="I2791" s="15">
        <v>3.6999999999999998E-2</v>
      </c>
      <c r="J2791" s="15">
        <v>2.7837837837837842</v>
      </c>
    </row>
    <row r="2792" spans="1:10" x14ac:dyDescent="0.25">
      <c r="A2792" s="2" t="s">
        <v>7729</v>
      </c>
      <c r="B2792" s="2" t="s">
        <v>7007</v>
      </c>
      <c r="C2792" s="2" t="s">
        <v>7730</v>
      </c>
      <c r="D2792" s="2" t="s">
        <v>10055</v>
      </c>
      <c r="E2792" s="15">
        <v>-9.69E-2</v>
      </c>
      <c r="F2792" s="15">
        <v>0.34399999999999997</v>
      </c>
      <c r="G2792" s="15">
        <v>0.7782</v>
      </c>
      <c r="H2792" s="15">
        <v>1.21E-2</v>
      </c>
      <c r="I2792" s="15">
        <v>3.3300000000000003E-2</v>
      </c>
      <c r="J2792" s="15">
        <v>0.36336336336336328</v>
      </c>
    </row>
    <row r="2793" spans="1:10" x14ac:dyDescent="0.25">
      <c r="A2793" s="2" t="s">
        <v>7731</v>
      </c>
      <c r="B2793" s="2" t="s">
        <v>7007</v>
      </c>
      <c r="C2793" s="2" t="s">
        <v>7732</v>
      </c>
      <c r="D2793" s="2" t="s">
        <v>10055</v>
      </c>
      <c r="E2793" s="15">
        <v>-0.23949999999999999</v>
      </c>
      <c r="F2793" s="15">
        <v>0.25080000000000002</v>
      </c>
      <c r="G2793" s="15">
        <v>0.3397</v>
      </c>
      <c r="H2793" s="15">
        <v>2.9600000000000001E-2</v>
      </c>
      <c r="I2793" s="15">
        <v>3.9300000000000002E-2</v>
      </c>
      <c r="J2793" s="15">
        <v>0.7531806615776081</v>
      </c>
    </row>
    <row r="2794" spans="1:10" x14ac:dyDescent="0.25">
      <c r="A2794" s="2" t="s">
        <v>7733</v>
      </c>
      <c r="B2794" s="2" t="s">
        <v>7007</v>
      </c>
      <c r="C2794" s="2" t="s">
        <v>7734</v>
      </c>
      <c r="D2794" s="2" t="s">
        <v>10055</v>
      </c>
      <c r="E2794" s="15">
        <v>-0.3322</v>
      </c>
      <c r="F2794" s="15">
        <v>0.27810000000000001</v>
      </c>
      <c r="G2794" s="15">
        <v>0.23219999999999999</v>
      </c>
      <c r="H2794" s="15">
        <v>3.2300000000000002E-2</v>
      </c>
      <c r="I2794" s="15">
        <v>3.6799999999999999E-2</v>
      </c>
      <c r="J2794" s="15">
        <v>0.87771739130434789</v>
      </c>
    </row>
    <row r="2795" spans="1:10" x14ac:dyDescent="0.25">
      <c r="A2795" s="2" t="s">
        <v>7735</v>
      </c>
      <c r="B2795" s="2" t="s">
        <v>7007</v>
      </c>
      <c r="C2795" s="2" t="s">
        <v>7736</v>
      </c>
      <c r="D2795" s="2" t="s">
        <v>10055</v>
      </c>
      <c r="E2795" s="15">
        <v>3.8800000000000001E-2</v>
      </c>
      <c r="F2795" s="15">
        <v>0.1759</v>
      </c>
      <c r="G2795" s="15">
        <v>0.82550000000000001</v>
      </c>
      <c r="H2795" s="15">
        <v>3.2800000000000003E-2</v>
      </c>
      <c r="I2795" s="15">
        <v>3.5000000000000003E-2</v>
      </c>
      <c r="J2795" s="15">
        <v>0.93714285714285717</v>
      </c>
    </row>
    <row r="2796" spans="1:10" x14ac:dyDescent="0.25">
      <c r="A2796" s="2" t="s">
        <v>7737</v>
      </c>
      <c r="B2796" s="2" t="s">
        <v>7007</v>
      </c>
      <c r="C2796" s="2" t="s">
        <v>7738</v>
      </c>
      <c r="D2796" s="2" t="s">
        <v>10055</v>
      </c>
      <c r="E2796" s="15"/>
      <c r="F2796" s="15"/>
      <c r="G2796" s="15"/>
      <c r="H2796" s="15">
        <v>-1.03E-2</v>
      </c>
      <c r="I2796" s="15">
        <v>3.7199999999999997E-2</v>
      </c>
      <c r="J2796" s="15">
        <v>-0.27688172043010761</v>
      </c>
    </row>
    <row r="2797" spans="1:10" x14ac:dyDescent="0.25">
      <c r="A2797" s="2" t="s">
        <v>7739</v>
      </c>
      <c r="B2797" s="2" t="s">
        <v>7007</v>
      </c>
      <c r="C2797" s="2" t="s">
        <v>7740</v>
      </c>
      <c r="D2797" s="2" t="s">
        <v>10055</v>
      </c>
      <c r="E2797" s="15">
        <v>-2.1299999999999999E-2</v>
      </c>
      <c r="F2797" s="15">
        <v>0.1067</v>
      </c>
      <c r="G2797" s="15">
        <v>0.84189999999999998</v>
      </c>
      <c r="H2797" s="15">
        <v>9.3399999999999997E-2</v>
      </c>
      <c r="I2797" s="15">
        <v>7.85E-2</v>
      </c>
      <c r="J2797" s="15">
        <v>1.189808917197452</v>
      </c>
    </row>
    <row r="2798" spans="1:10" x14ac:dyDescent="0.25">
      <c r="A2798" s="2" t="s">
        <v>7741</v>
      </c>
      <c r="B2798" s="2" t="s">
        <v>7007</v>
      </c>
      <c r="C2798" s="2" t="s">
        <v>7742</v>
      </c>
      <c r="D2798" s="2" t="s">
        <v>10055</v>
      </c>
      <c r="E2798" s="15">
        <v>-0.18129999999999999</v>
      </c>
      <c r="F2798" s="15">
        <v>0.15720000000000001</v>
      </c>
      <c r="G2798" s="15">
        <v>0.24890000000000001</v>
      </c>
      <c r="H2798" s="15">
        <v>6.2199999999999998E-2</v>
      </c>
      <c r="I2798" s="15">
        <v>4.1500000000000002E-2</v>
      </c>
      <c r="J2798" s="15">
        <v>1.498795180722891</v>
      </c>
    </row>
    <row r="2799" spans="1:10" x14ac:dyDescent="0.25">
      <c r="A2799" s="2" t="s">
        <v>7743</v>
      </c>
      <c r="B2799" s="2" t="s">
        <v>7007</v>
      </c>
      <c r="C2799" s="2" t="s">
        <v>7744</v>
      </c>
      <c r="D2799" s="2" t="s">
        <v>10055</v>
      </c>
      <c r="E2799" s="15">
        <v>-4.0300000000000002E-2</v>
      </c>
      <c r="F2799" s="15">
        <v>0.15840000000000001</v>
      </c>
      <c r="G2799" s="15">
        <v>0.79920000000000002</v>
      </c>
      <c r="H2799" s="15">
        <v>4.5100000000000001E-2</v>
      </c>
      <c r="I2799" s="15">
        <v>3.95E-2</v>
      </c>
      <c r="J2799" s="15">
        <v>1.141772151898734</v>
      </c>
    </row>
    <row r="2800" spans="1:10" x14ac:dyDescent="0.25">
      <c r="A2800" s="2" t="s">
        <v>7745</v>
      </c>
      <c r="B2800" s="2" t="s">
        <v>7007</v>
      </c>
      <c r="C2800" s="2" t="s">
        <v>7746</v>
      </c>
      <c r="D2800" s="2" t="s">
        <v>10055</v>
      </c>
      <c r="E2800" s="15">
        <v>-8.6699999999999999E-2</v>
      </c>
      <c r="F2800" s="15">
        <v>0.12920000000000001</v>
      </c>
      <c r="G2800" s="15">
        <v>0.50219999999999998</v>
      </c>
      <c r="H2800" s="15">
        <v>6.9199999999999998E-2</v>
      </c>
      <c r="I2800" s="15">
        <v>0.04</v>
      </c>
      <c r="J2800" s="15">
        <v>1.73</v>
      </c>
    </row>
    <row r="2801" spans="1:10" x14ac:dyDescent="0.25">
      <c r="A2801" s="2" t="s">
        <v>7747</v>
      </c>
      <c r="B2801" s="2" t="s">
        <v>7007</v>
      </c>
      <c r="C2801" s="2" t="s">
        <v>7748</v>
      </c>
      <c r="D2801" s="2" t="s">
        <v>10055</v>
      </c>
      <c r="E2801" s="15">
        <v>-0.14749999999999999</v>
      </c>
      <c r="F2801" s="15">
        <v>0.20180000000000001</v>
      </c>
      <c r="G2801" s="15">
        <v>0.46460000000000001</v>
      </c>
      <c r="H2801" s="15">
        <v>2.75E-2</v>
      </c>
      <c r="I2801" s="15">
        <v>3.8199999999999998E-2</v>
      </c>
      <c r="J2801" s="15">
        <v>0.71989528795811519</v>
      </c>
    </row>
    <row r="2802" spans="1:10" x14ac:dyDescent="0.25">
      <c r="A2802" s="2" t="s">
        <v>7749</v>
      </c>
      <c r="B2802" s="2" t="s">
        <v>7007</v>
      </c>
      <c r="C2802" s="2" t="s">
        <v>7750</v>
      </c>
      <c r="D2802" s="2" t="s">
        <v>10055</v>
      </c>
      <c r="E2802" s="15">
        <v>6.3E-3</v>
      </c>
      <c r="F2802" s="15">
        <v>0.11940000000000001</v>
      </c>
      <c r="G2802" s="15">
        <v>0.95779999999999998</v>
      </c>
      <c r="H2802" s="15">
        <v>7.2499999999999995E-2</v>
      </c>
      <c r="I2802" s="15">
        <v>3.7100000000000001E-2</v>
      </c>
      <c r="J2802" s="15">
        <v>1.954177897574124</v>
      </c>
    </row>
    <row r="2803" spans="1:10" x14ac:dyDescent="0.25">
      <c r="A2803" s="2" t="s">
        <v>7751</v>
      </c>
      <c r="B2803" s="2" t="s">
        <v>7007</v>
      </c>
      <c r="C2803" s="2" t="s">
        <v>7752</v>
      </c>
      <c r="D2803" s="2" t="s">
        <v>10055</v>
      </c>
      <c r="E2803" s="15">
        <v>-1.3299999999999999E-2</v>
      </c>
      <c r="F2803" s="15">
        <v>0.20960000000000001</v>
      </c>
      <c r="G2803" s="15">
        <v>0.94940000000000002</v>
      </c>
      <c r="H2803" s="15">
        <v>0.03</v>
      </c>
      <c r="I2803" s="15">
        <v>3.8300000000000001E-2</v>
      </c>
      <c r="J2803" s="15">
        <v>0.7832898172323759</v>
      </c>
    </row>
    <row r="2804" spans="1:10" x14ac:dyDescent="0.25">
      <c r="A2804" s="2" t="s">
        <v>7753</v>
      </c>
      <c r="B2804" s="2" t="s">
        <v>7007</v>
      </c>
      <c r="C2804" s="2" t="s">
        <v>7754</v>
      </c>
      <c r="D2804" s="2" t="s">
        <v>10055</v>
      </c>
      <c r="E2804" s="15">
        <v>0.19520000000000001</v>
      </c>
      <c r="F2804" s="15">
        <v>0.15329999999999999</v>
      </c>
      <c r="G2804" s="15">
        <v>0.20300000000000001</v>
      </c>
      <c r="H2804" s="15">
        <v>5.3900000000000003E-2</v>
      </c>
      <c r="I2804" s="15">
        <v>3.7100000000000001E-2</v>
      </c>
      <c r="J2804" s="15">
        <v>1.452830188679245</v>
      </c>
    </row>
    <row r="2805" spans="1:10" x14ac:dyDescent="0.25">
      <c r="A2805" s="2" t="s">
        <v>7755</v>
      </c>
      <c r="B2805" s="2" t="s">
        <v>7007</v>
      </c>
      <c r="C2805" s="2" t="s">
        <v>7756</v>
      </c>
      <c r="D2805" s="2" t="s">
        <v>10055</v>
      </c>
      <c r="E2805" s="15">
        <v>-5.1400000000000001E-2</v>
      </c>
      <c r="F2805" s="15">
        <v>0.12809999999999999</v>
      </c>
      <c r="G2805" s="15">
        <v>0.68810000000000004</v>
      </c>
      <c r="H2805" s="15">
        <v>6.6699999999999995E-2</v>
      </c>
      <c r="I2805" s="15">
        <v>3.8699999999999998E-2</v>
      </c>
      <c r="J2805" s="15">
        <v>1.7235142118863049</v>
      </c>
    </row>
    <row r="2806" spans="1:10" x14ac:dyDescent="0.25">
      <c r="A2806" s="2" t="s">
        <v>7757</v>
      </c>
      <c r="B2806" s="2" t="s">
        <v>7007</v>
      </c>
      <c r="C2806" s="2" t="s">
        <v>7758</v>
      </c>
      <c r="D2806" s="2" t="s">
        <v>10055</v>
      </c>
      <c r="E2806" s="15">
        <v>0.27010000000000001</v>
      </c>
      <c r="F2806" s="15">
        <v>0.23119999999999999</v>
      </c>
      <c r="G2806" s="15">
        <v>0.24260000000000001</v>
      </c>
      <c r="H2806" s="15">
        <v>3.3799999999999997E-2</v>
      </c>
      <c r="I2806" s="15">
        <v>3.8800000000000001E-2</v>
      </c>
      <c r="J2806" s="15">
        <v>0.8711340206185566</v>
      </c>
    </row>
    <row r="2807" spans="1:10" x14ac:dyDescent="0.25">
      <c r="A2807" s="2" t="s">
        <v>7759</v>
      </c>
      <c r="B2807" s="2" t="s">
        <v>7007</v>
      </c>
      <c r="C2807" s="2" t="s">
        <v>7760</v>
      </c>
      <c r="D2807" s="2" t="s">
        <v>10055</v>
      </c>
      <c r="E2807" s="15"/>
      <c r="F2807" s="15"/>
      <c r="G2807" s="15"/>
      <c r="H2807" s="15">
        <v>-3.8E-3</v>
      </c>
      <c r="I2807" s="15">
        <v>3.7900000000000003E-2</v>
      </c>
      <c r="J2807" s="15">
        <v>-0.1002638522427441</v>
      </c>
    </row>
    <row r="2808" spans="1:10" x14ac:dyDescent="0.25">
      <c r="A2808" s="2" t="s">
        <v>7761</v>
      </c>
      <c r="B2808" s="2" t="s">
        <v>7007</v>
      </c>
      <c r="C2808" s="2" t="s">
        <v>7762</v>
      </c>
      <c r="D2808" s="2" t="s">
        <v>10055</v>
      </c>
      <c r="E2808" s="15">
        <v>0.2681</v>
      </c>
      <c r="F2808" s="15">
        <v>0.2223</v>
      </c>
      <c r="G2808" s="15">
        <v>0.2278</v>
      </c>
      <c r="H2808" s="15">
        <v>3.56E-2</v>
      </c>
      <c r="I2808" s="15">
        <v>3.6299999999999999E-2</v>
      </c>
      <c r="J2808" s="15">
        <v>0.9807162534435262</v>
      </c>
    </row>
    <row r="2809" spans="1:10" x14ac:dyDescent="0.25">
      <c r="A2809" s="2" t="s">
        <v>7763</v>
      </c>
      <c r="B2809" s="2" t="s">
        <v>7007</v>
      </c>
      <c r="C2809" s="2" t="s">
        <v>7764</v>
      </c>
      <c r="D2809" s="2" t="s">
        <v>10055</v>
      </c>
      <c r="E2809" s="15">
        <v>-0.17299999999999999</v>
      </c>
      <c r="F2809" s="15">
        <v>0.31330000000000002</v>
      </c>
      <c r="G2809" s="15">
        <v>0.58069999999999999</v>
      </c>
      <c r="H2809" s="15">
        <v>1.83E-2</v>
      </c>
      <c r="I2809" s="15">
        <v>3.4000000000000002E-2</v>
      </c>
      <c r="J2809" s="15">
        <v>0.53823529411764703</v>
      </c>
    </row>
    <row r="2810" spans="1:10" x14ac:dyDescent="0.25">
      <c r="A2810" s="2" t="s">
        <v>7765</v>
      </c>
      <c r="B2810" s="2" t="s">
        <v>7007</v>
      </c>
      <c r="C2810" s="2" t="s">
        <v>7766</v>
      </c>
      <c r="D2810" s="2" t="s">
        <v>10055</v>
      </c>
      <c r="E2810" s="15">
        <v>8.5500000000000007E-2</v>
      </c>
      <c r="F2810" s="15">
        <v>0.11459999999999999</v>
      </c>
      <c r="G2810" s="15">
        <v>0.4556</v>
      </c>
      <c r="H2810" s="15">
        <v>0.11600000000000001</v>
      </c>
      <c r="I2810" s="15">
        <v>4.6399999999999997E-2</v>
      </c>
      <c r="J2810" s="15">
        <v>2.5</v>
      </c>
    </row>
    <row r="2811" spans="1:10" x14ac:dyDescent="0.25">
      <c r="A2811" s="2" t="s">
        <v>7767</v>
      </c>
      <c r="B2811" s="2" t="s">
        <v>7007</v>
      </c>
      <c r="C2811" s="2" t="s">
        <v>7768</v>
      </c>
      <c r="D2811" s="2" t="s">
        <v>10055</v>
      </c>
      <c r="E2811" s="15">
        <v>-0.24379999999999999</v>
      </c>
      <c r="F2811" s="15">
        <v>0.28660000000000002</v>
      </c>
      <c r="G2811" s="15">
        <v>0.39510000000000001</v>
      </c>
      <c r="H2811" s="15">
        <v>2.6700000000000002E-2</v>
      </c>
      <c r="I2811" s="15">
        <v>4.0300000000000002E-2</v>
      </c>
      <c r="J2811" s="15">
        <v>0.66253101736972708</v>
      </c>
    </row>
    <row r="2812" spans="1:10" x14ac:dyDescent="0.25">
      <c r="A2812" s="2" t="s">
        <v>7769</v>
      </c>
      <c r="B2812" s="2" t="s">
        <v>7007</v>
      </c>
      <c r="C2812" s="2" t="s">
        <v>7770</v>
      </c>
      <c r="D2812" s="2" t="s">
        <v>10055</v>
      </c>
      <c r="E2812" s="15"/>
      <c r="F2812" s="15"/>
      <c r="G2812" s="15"/>
      <c r="H2812" s="15"/>
      <c r="I2812" s="15"/>
      <c r="J2812" s="15"/>
    </row>
    <row r="2813" spans="1:10" x14ac:dyDescent="0.25">
      <c r="A2813" s="2" t="s">
        <v>7771</v>
      </c>
      <c r="B2813" s="2" t="s">
        <v>7007</v>
      </c>
      <c r="C2813" s="2" t="s">
        <v>7772</v>
      </c>
      <c r="D2813" s="2" t="s">
        <v>10055</v>
      </c>
      <c r="E2813" s="15">
        <v>-4.9000000000000002E-2</v>
      </c>
      <c r="F2813" s="15">
        <v>0.1017</v>
      </c>
      <c r="G2813" s="15">
        <v>0.63009999999999999</v>
      </c>
      <c r="H2813" s="15">
        <v>0.1371</v>
      </c>
      <c r="I2813" s="15">
        <v>3.85E-2</v>
      </c>
      <c r="J2813" s="15">
        <v>3.5610389610389608</v>
      </c>
    </row>
    <row r="2814" spans="1:10" x14ac:dyDescent="0.25">
      <c r="A2814" s="2" t="s">
        <v>7773</v>
      </c>
      <c r="B2814" s="2" t="s">
        <v>7007</v>
      </c>
      <c r="C2814" s="2" t="s">
        <v>7774</v>
      </c>
      <c r="D2814" s="2" t="s">
        <v>10055</v>
      </c>
      <c r="E2814" s="15"/>
      <c r="F2814" s="15"/>
      <c r="G2814" s="15"/>
      <c r="H2814" s="15">
        <v>-9.9500000000000005E-2</v>
      </c>
      <c r="I2814" s="15">
        <v>3.6900000000000002E-2</v>
      </c>
      <c r="J2814" s="15">
        <v>-2.6964769647696478</v>
      </c>
    </row>
    <row r="2815" spans="1:10" x14ac:dyDescent="0.25">
      <c r="A2815" s="2" t="s">
        <v>7775</v>
      </c>
      <c r="B2815" s="2" t="s">
        <v>7007</v>
      </c>
      <c r="C2815" s="2" t="s">
        <v>7776</v>
      </c>
      <c r="D2815" s="2" t="s">
        <v>10055</v>
      </c>
      <c r="E2815" s="15">
        <v>-6.9000000000000006E-2</v>
      </c>
      <c r="F2815" s="15">
        <v>0.15140000000000001</v>
      </c>
      <c r="G2815" s="15">
        <v>0.64870000000000005</v>
      </c>
      <c r="H2815" s="15">
        <v>5.11E-2</v>
      </c>
      <c r="I2815" s="15">
        <v>3.7900000000000003E-2</v>
      </c>
      <c r="J2815" s="15">
        <v>1.3482849604221629</v>
      </c>
    </row>
    <row r="2816" spans="1:10" x14ac:dyDescent="0.25">
      <c r="A2816" s="2" t="s">
        <v>7777</v>
      </c>
      <c r="B2816" s="2" t="s">
        <v>7007</v>
      </c>
      <c r="C2816" s="2" t="s">
        <v>7778</v>
      </c>
      <c r="D2816" s="2" t="s">
        <v>10055</v>
      </c>
      <c r="E2816" s="15">
        <v>0.1051</v>
      </c>
      <c r="F2816" s="15">
        <v>0.13639999999999999</v>
      </c>
      <c r="G2816" s="15">
        <v>0.44090000000000001</v>
      </c>
      <c r="H2816" s="15">
        <v>0.06</v>
      </c>
      <c r="I2816" s="15">
        <v>3.4700000000000002E-2</v>
      </c>
      <c r="J2816" s="15">
        <v>1.7291066282420751</v>
      </c>
    </row>
    <row r="2817" spans="1:10" x14ac:dyDescent="0.25">
      <c r="A2817" s="2" t="s">
        <v>7779</v>
      </c>
      <c r="B2817" s="2" t="s">
        <v>7007</v>
      </c>
      <c r="C2817" s="2" t="s">
        <v>7780</v>
      </c>
      <c r="D2817" s="2" t="s">
        <v>10055</v>
      </c>
      <c r="E2817" s="15">
        <v>-0.18870000000000001</v>
      </c>
      <c r="F2817" s="15">
        <v>9.6000000000000002E-2</v>
      </c>
      <c r="G2817" s="15">
        <v>4.9500000000000002E-2</v>
      </c>
      <c r="H2817" s="15">
        <v>0.16209999999999999</v>
      </c>
      <c r="I2817" s="15">
        <v>5.2999999999999999E-2</v>
      </c>
      <c r="J2817" s="15">
        <v>3.0584905660377362</v>
      </c>
    </row>
    <row r="2818" spans="1:10" x14ac:dyDescent="0.25">
      <c r="A2818" s="2" t="s">
        <v>7781</v>
      </c>
      <c r="B2818" s="2" t="s">
        <v>7007</v>
      </c>
      <c r="C2818" s="2" t="s">
        <v>7782</v>
      </c>
      <c r="D2818" s="2" t="s">
        <v>10055</v>
      </c>
      <c r="E2818" s="15">
        <v>5.7799999999999997E-2</v>
      </c>
      <c r="F2818" s="15">
        <v>0.1507</v>
      </c>
      <c r="G2818" s="15">
        <v>0.70130000000000003</v>
      </c>
      <c r="H2818" s="15">
        <v>5.6099999999999997E-2</v>
      </c>
      <c r="I2818" s="15">
        <v>4.0599999999999997E-2</v>
      </c>
      <c r="J2818" s="15">
        <v>1.381773399014778</v>
      </c>
    </row>
    <row r="2819" spans="1:10" x14ac:dyDescent="0.25">
      <c r="A2819" s="2" t="s">
        <v>7783</v>
      </c>
      <c r="B2819" s="2" t="s">
        <v>7007</v>
      </c>
      <c r="C2819" s="2" t="s">
        <v>7784</v>
      </c>
      <c r="D2819" s="2" t="s">
        <v>10055</v>
      </c>
      <c r="E2819" s="15"/>
      <c r="F2819" s="15"/>
      <c r="G2819" s="15"/>
      <c r="H2819" s="15">
        <v>-4.0000000000000002E-4</v>
      </c>
      <c r="I2819" s="15">
        <v>4.2000000000000003E-2</v>
      </c>
      <c r="J2819" s="15">
        <v>-9.5238095238095229E-3</v>
      </c>
    </row>
    <row r="2820" spans="1:10" x14ac:dyDescent="0.25">
      <c r="A2820" s="2" t="s">
        <v>7785</v>
      </c>
      <c r="B2820" s="2" t="s">
        <v>7007</v>
      </c>
      <c r="C2820" s="2" t="s">
        <v>7786</v>
      </c>
      <c r="D2820" s="2" t="s">
        <v>10055</v>
      </c>
      <c r="E2820" s="15">
        <v>-8.3999999999999995E-3</v>
      </c>
      <c r="F2820" s="15">
        <v>0.1139</v>
      </c>
      <c r="G2820" s="15">
        <v>0.94110000000000005</v>
      </c>
      <c r="H2820" s="15">
        <v>8.3799999999999999E-2</v>
      </c>
      <c r="I2820" s="15">
        <v>3.9399999999999998E-2</v>
      </c>
      <c r="J2820" s="15">
        <v>2.126903553299492</v>
      </c>
    </row>
    <row r="2821" spans="1:10" x14ac:dyDescent="0.25">
      <c r="A2821" s="2" t="s">
        <v>7787</v>
      </c>
      <c r="B2821" s="2" t="s">
        <v>7007</v>
      </c>
      <c r="C2821" s="2" t="s">
        <v>7788</v>
      </c>
      <c r="D2821" s="2" t="s">
        <v>10055</v>
      </c>
      <c r="E2821" s="15">
        <v>-0.1009</v>
      </c>
      <c r="F2821" s="15">
        <v>9.1200000000000003E-2</v>
      </c>
      <c r="G2821" s="15">
        <v>0.26850000000000002</v>
      </c>
      <c r="H2821" s="15">
        <v>0.15959999999999999</v>
      </c>
      <c r="I2821" s="15">
        <v>4.6699999999999998E-2</v>
      </c>
      <c r="J2821" s="15">
        <v>3.417558886509636</v>
      </c>
    </row>
    <row r="2822" spans="1:10" x14ac:dyDescent="0.25">
      <c r="A2822" s="2" t="s">
        <v>7789</v>
      </c>
      <c r="B2822" s="2" t="s">
        <v>7007</v>
      </c>
      <c r="C2822" s="2" t="s">
        <v>7790</v>
      </c>
      <c r="D2822" s="2" t="s">
        <v>10055</v>
      </c>
      <c r="E2822" s="15">
        <v>0.1245</v>
      </c>
      <c r="F2822" s="15">
        <v>0.12509999999999999</v>
      </c>
      <c r="G2822" s="15">
        <v>0.31950000000000001</v>
      </c>
      <c r="H2822" s="15">
        <v>6.54E-2</v>
      </c>
      <c r="I2822" s="15">
        <v>3.8199999999999998E-2</v>
      </c>
      <c r="J2822" s="15">
        <v>1.712041884816754</v>
      </c>
    </row>
    <row r="2823" spans="1:10" x14ac:dyDescent="0.25">
      <c r="A2823" s="2" t="s">
        <v>7791</v>
      </c>
      <c r="B2823" s="2" t="s">
        <v>7007</v>
      </c>
      <c r="C2823" s="2" t="s">
        <v>7792</v>
      </c>
      <c r="D2823" s="2" t="s">
        <v>10055</v>
      </c>
      <c r="E2823" s="15"/>
      <c r="F2823" s="15"/>
      <c r="G2823" s="15"/>
      <c r="H2823" s="15"/>
      <c r="I2823" s="15"/>
      <c r="J2823" s="15"/>
    </row>
    <row r="2824" spans="1:10" x14ac:dyDescent="0.25">
      <c r="A2824" s="2" t="s">
        <v>7793</v>
      </c>
      <c r="B2824" s="2" t="s">
        <v>7007</v>
      </c>
      <c r="C2824" s="2" t="s">
        <v>7794</v>
      </c>
      <c r="D2824" s="2" t="s">
        <v>10055</v>
      </c>
      <c r="E2824" s="15">
        <v>6.4100000000000004E-2</v>
      </c>
      <c r="F2824" s="15">
        <v>0.2195</v>
      </c>
      <c r="G2824" s="15">
        <v>0.7702</v>
      </c>
      <c r="H2824" s="15">
        <v>2.6599999999999999E-2</v>
      </c>
      <c r="I2824" s="15">
        <v>3.9300000000000002E-2</v>
      </c>
      <c r="J2824" s="15">
        <v>0.67684478371501267</v>
      </c>
    </row>
    <row r="2825" spans="1:10" x14ac:dyDescent="0.25">
      <c r="A2825" s="2" t="s">
        <v>7795</v>
      </c>
      <c r="B2825" s="2" t="s">
        <v>7007</v>
      </c>
      <c r="C2825" s="2" t="s">
        <v>7796</v>
      </c>
      <c r="D2825" s="2" t="s">
        <v>10055</v>
      </c>
      <c r="E2825" s="15">
        <v>-0.2276</v>
      </c>
      <c r="F2825" s="15">
        <v>0.24429999999999999</v>
      </c>
      <c r="G2825" s="15">
        <v>0.35149999999999998</v>
      </c>
      <c r="H2825" s="15">
        <v>3.1800000000000002E-2</v>
      </c>
      <c r="I2825" s="15">
        <v>3.61E-2</v>
      </c>
      <c r="J2825" s="15">
        <v>0.88088642659279781</v>
      </c>
    </row>
    <row r="2826" spans="1:10" x14ac:dyDescent="0.25">
      <c r="A2826" s="2" t="s">
        <v>7797</v>
      </c>
      <c r="B2826" s="2" t="s">
        <v>7007</v>
      </c>
      <c r="C2826" s="2" t="s">
        <v>7798</v>
      </c>
      <c r="D2826" s="2" t="s">
        <v>10055</v>
      </c>
      <c r="E2826" s="15">
        <v>0.3</v>
      </c>
      <c r="F2826" s="15">
        <v>0.25729999999999997</v>
      </c>
      <c r="G2826" s="15">
        <v>0.2437</v>
      </c>
      <c r="H2826" s="15">
        <v>3.2300000000000002E-2</v>
      </c>
      <c r="I2826" s="15">
        <v>3.4500000000000003E-2</v>
      </c>
      <c r="J2826" s="15">
        <v>0.93623188405797098</v>
      </c>
    </row>
    <row r="2827" spans="1:10" x14ac:dyDescent="0.25">
      <c r="A2827" s="2" t="s">
        <v>7799</v>
      </c>
      <c r="B2827" s="2" t="s">
        <v>7007</v>
      </c>
      <c r="C2827" s="2" t="s">
        <v>7800</v>
      </c>
      <c r="D2827" s="2" t="s">
        <v>10055</v>
      </c>
      <c r="E2827" s="15">
        <v>-0.16300000000000001</v>
      </c>
      <c r="F2827" s="15">
        <v>0.10299999999999999</v>
      </c>
      <c r="G2827" s="15">
        <v>0.1134</v>
      </c>
      <c r="H2827" s="15">
        <v>0.1017</v>
      </c>
      <c r="I2827" s="15">
        <v>3.6299999999999999E-2</v>
      </c>
      <c r="J2827" s="15">
        <v>2.8016528925619841</v>
      </c>
    </row>
    <row r="2828" spans="1:10" x14ac:dyDescent="0.25">
      <c r="A2828" s="2" t="s">
        <v>7801</v>
      </c>
      <c r="B2828" s="2" t="s">
        <v>7007</v>
      </c>
      <c r="C2828" s="2" t="s">
        <v>7802</v>
      </c>
      <c r="D2828" s="2" t="s">
        <v>10055</v>
      </c>
      <c r="E2828" s="15">
        <v>-0.18790000000000001</v>
      </c>
      <c r="F2828" s="15">
        <v>0.38369999999999999</v>
      </c>
      <c r="G2828" s="15">
        <v>0.62439999999999996</v>
      </c>
      <c r="H2828" s="15">
        <v>1.5299999999999999E-2</v>
      </c>
      <c r="I2828" s="15">
        <v>3.9399999999999998E-2</v>
      </c>
      <c r="J2828" s="15">
        <v>0.3883248730964467</v>
      </c>
    </row>
    <row r="2829" spans="1:10" x14ac:dyDescent="0.25">
      <c r="A2829" s="2" t="s">
        <v>7803</v>
      </c>
      <c r="B2829" s="2" t="s">
        <v>7007</v>
      </c>
      <c r="C2829" s="2" t="s">
        <v>7804</v>
      </c>
      <c r="D2829" s="2" t="s">
        <v>10055</v>
      </c>
      <c r="E2829" s="15">
        <v>-7.9799999999999996E-2</v>
      </c>
      <c r="F2829" s="15">
        <v>7.0599999999999996E-2</v>
      </c>
      <c r="G2829" s="15">
        <v>0.25800000000000001</v>
      </c>
      <c r="H2829" s="15">
        <v>0.22509999999999999</v>
      </c>
      <c r="I2829" s="15">
        <v>4.2799999999999998E-2</v>
      </c>
      <c r="J2829" s="15">
        <v>5.2593457943925239</v>
      </c>
    </row>
    <row r="2830" spans="1:10" x14ac:dyDescent="0.25">
      <c r="A2830" s="2" t="s">
        <v>7805</v>
      </c>
      <c r="B2830" s="2" t="s">
        <v>7007</v>
      </c>
      <c r="C2830" s="2" t="s">
        <v>7806</v>
      </c>
      <c r="D2830" s="2" t="s">
        <v>10055</v>
      </c>
      <c r="E2830" s="15"/>
      <c r="F2830" s="15"/>
      <c r="G2830" s="15"/>
      <c r="H2830" s="15">
        <v>-2.1700000000000001E-2</v>
      </c>
      <c r="I2830" s="15">
        <v>3.6799999999999999E-2</v>
      </c>
      <c r="J2830" s="15">
        <v>-0.58967391304347827</v>
      </c>
    </row>
    <row r="2831" spans="1:10" x14ac:dyDescent="0.25">
      <c r="A2831" s="2" t="s">
        <v>7807</v>
      </c>
      <c r="B2831" s="2" t="s">
        <v>7007</v>
      </c>
      <c r="C2831" s="2" t="s">
        <v>7808</v>
      </c>
      <c r="D2831" s="2" t="s">
        <v>10055</v>
      </c>
      <c r="E2831" s="15">
        <v>1.5100000000000001E-2</v>
      </c>
      <c r="F2831" s="15">
        <v>0.22140000000000001</v>
      </c>
      <c r="G2831" s="15">
        <v>0.94569999999999999</v>
      </c>
      <c r="H2831" s="15">
        <v>2.0400000000000001E-2</v>
      </c>
      <c r="I2831" s="15">
        <v>3.4200000000000001E-2</v>
      </c>
      <c r="J2831" s="15">
        <v>0.59649122807017541</v>
      </c>
    </row>
    <row r="2832" spans="1:10" x14ac:dyDescent="0.25">
      <c r="A2832" s="2" t="s">
        <v>7809</v>
      </c>
      <c r="B2832" s="2" t="s">
        <v>7007</v>
      </c>
      <c r="C2832" s="2" t="s">
        <v>7810</v>
      </c>
      <c r="D2832" s="2" t="s">
        <v>10055</v>
      </c>
      <c r="E2832" s="15">
        <v>-0.23</v>
      </c>
      <c r="F2832" s="15">
        <v>0.17050000000000001</v>
      </c>
      <c r="G2832" s="15">
        <v>0.17730000000000001</v>
      </c>
      <c r="H2832" s="15">
        <v>4.7100000000000003E-2</v>
      </c>
      <c r="I2832" s="15">
        <v>3.4099999999999998E-2</v>
      </c>
      <c r="J2832" s="15">
        <v>1.3812316715542521</v>
      </c>
    </row>
    <row r="2833" spans="1:10" x14ac:dyDescent="0.25">
      <c r="A2833" s="2" t="s">
        <v>7811</v>
      </c>
      <c r="B2833" s="2" t="s">
        <v>7007</v>
      </c>
      <c r="C2833" s="2" t="s">
        <v>7812</v>
      </c>
      <c r="D2833" s="2" t="s">
        <v>10055</v>
      </c>
      <c r="E2833" s="15">
        <v>-2.8E-3</v>
      </c>
      <c r="F2833" s="15">
        <v>7.22E-2</v>
      </c>
      <c r="G2833" s="15">
        <v>0.96950000000000003</v>
      </c>
      <c r="H2833" s="15">
        <v>0.21829999999999999</v>
      </c>
      <c r="I2833" s="15">
        <v>4.87E-2</v>
      </c>
      <c r="J2833" s="15">
        <v>4.482546201232033</v>
      </c>
    </row>
    <row r="2834" spans="1:10" x14ac:dyDescent="0.25">
      <c r="A2834" s="2" t="s">
        <v>7813</v>
      </c>
      <c r="B2834" s="2" t="s">
        <v>7007</v>
      </c>
      <c r="C2834" s="2" t="s">
        <v>7814</v>
      </c>
      <c r="D2834" s="2" t="s">
        <v>10055</v>
      </c>
      <c r="E2834" s="15">
        <v>0.1706</v>
      </c>
      <c r="F2834" s="15">
        <v>9.9599999999999994E-2</v>
      </c>
      <c r="G2834" s="15">
        <v>8.6900000000000005E-2</v>
      </c>
      <c r="H2834" s="15">
        <v>0.1115</v>
      </c>
      <c r="I2834" s="15">
        <v>3.9899999999999998E-2</v>
      </c>
      <c r="J2834" s="15">
        <v>2.7944862155388468</v>
      </c>
    </row>
    <row r="2835" spans="1:10" x14ac:dyDescent="0.25">
      <c r="A2835" s="2" t="s">
        <v>7815</v>
      </c>
      <c r="B2835" s="2" t="s">
        <v>7007</v>
      </c>
      <c r="C2835" s="2" t="s">
        <v>7816</v>
      </c>
      <c r="D2835" s="2" t="s">
        <v>10055</v>
      </c>
      <c r="E2835" s="15">
        <v>0.1042</v>
      </c>
      <c r="F2835" s="15">
        <v>0.14680000000000001</v>
      </c>
      <c r="G2835" s="15">
        <v>0.47770000000000001</v>
      </c>
      <c r="H2835" s="15">
        <v>5.5E-2</v>
      </c>
      <c r="I2835" s="15">
        <v>4.24E-2</v>
      </c>
      <c r="J2835" s="15">
        <v>1.297169811320755</v>
      </c>
    </row>
    <row r="2836" spans="1:10" x14ac:dyDescent="0.25">
      <c r="A2836" s="2" t="s">
        <v>7817</v>
      </c>
      <c r="B2836" s="2" t="s">
        <v>7007</v>
      </c>
      <c r="C2836" s="2" t="s">
        <v>7818</v>
      </c>
      <c r="D2836" s="2" t="s">
        <v>10055</v>
      </c>
      <c r="E2836" s="15">
        <v>-0.26250000000000001</v>
      </c>
      <c r="F2836" s="15">
        <v>0.44840000000000002</v>
      </c>
      <c r="G2836" s="15">
        <v>0.55820000000000003</v>
      </c>
      <c r="H2836" s="15">
        <v>1.61E-2</v>
      </c>
      <c r="I2836" s="15">
        <v>4.1000000000000002E-2</v>
      </c>
      <c r="J2836" s="15">
        <v>0.39268292682926831</v>
      </c>
    </row>
    <row r="2837" spans="1:10" x14ac:dyDescent="0.25">
      <c r="A2837" s="2" t="s">
        <v>7819</v>
      </c>
      <c r="B2837" s="2" t="s">
        <v>7007</v>
      </c>
      <c r="C2837" s="2" t="s">
        <v>7820</v>
      </c>
      <c r="D2837" s="2" t="s">
        <v>10055</v>
      </c>
      <c r="E2837" s="15">
        <v>2.4400000000000002E-2</v>
      </c>
      <c r="F2837" s="15">
        <v>0.158</v>
      </c>
      <c r="G2837" s="15">
        <v>0.87709999999999999</v>
      </c>
      <c r="H2837" s="15">
        <v>4.6199999999999998E-2</v>
      </c>
      <c r="I2837" s="15">
        <v>3.7999999999999999E-2</v>
      </c>
      <c r="J2837" s="15">
        <v>1.215789473684211</v>
      </c>
    </row>
    <row r="2838" spans="1:10" x14ac:dyDescent="0.25">
      <c r="A2838" s="2" t="s">
        <v>7821</v>
      </c>
      <c r="B2838" s="2" t="s">
        <v>7007</v>
      </c>
      <c r="C2838" s="2" t="s">
        <v>7822</v>
      </c>
      <c r="D2838" s="2" t="s">
        <v>10055</v>
      </c>
      <c r="E2838" s="15">
        <v>8.0199999999999994E-2</v>
      </c>
      <c r="F2838" s="15">
        <v>0.1221</v>
      </c>
      <c r="G2838" s="15">
        <v>0.51129999999999998</v>
      </c>
      <c r="H2838" s="15">
        <v>6.7599999999999993E-2</v>
      </c>
      <c r="I2838" s="15">
        <v>4.07E-2</v>
      </c>
      <c r="J2838" s="15">
        <v>1.6609336609336609</v>
      </c>
    </row>
    <row r="2839" spans="1:10" x14ac:dyDescent="0.25">
      <c r="A2839" s="2" t="s">
        <v>7823</v>
      </c>
      <c r="B2839" s="2" t="s">
        <v>7007</v>
      </c>
      <c r="C2839" s="2" t="s">
        <v>7824</v>
      </c>
      <c r="D2839" s="2" t="s">
        <v>10055</v>
      </c>
      <c r="E2839" s="15"/>
      <c r="F2839" s="15"/>
      <c r="G2839" s="15"/>
      <c r="H2839" s="15">
        <v>-2.7E-2</v>
      </c>
      <c r="I2839" s="15">
        <v>3.5200000000000002E-2</v>
      </c>
      <c r="J2839" s="15">
        <v>-0.76704545454545447</v>
      </c>
    </row>
    <row r="2840" spans="1:10" x14ac:dyDescent="0.25">
      <c r="A2840" s="2" t="s">
        <v>7825</v>
      </c>
      <c r="B2840" s="2" t="s">
        <v>7007</v>
      </c>
      <c r="C2840" s="2" t="s">
        <v>7826</v>
      </c>
      <c r="D2840" s="2" t="s">
        <v>10055</v>
      </c>
      <c r="E2840" s="15"/>
      <c r="F2840" s="15"/>
      <c r="G2840" s="15"/>
      <c r="H2840" s="15"/>
      <c r="I2840" s="15"/>
      <c r="J2840" s="15"/>
    </row>
    <row r="2841" spans="1:10" x14ac:dyDescent="0.25">
      <c r="A2841" s="2" t="s">
        <v>7827</v>
      </c>
      <c r="B2841" s="2" t="s">
        <v>7007</v>
      </c>
      <c r="C2841" s="2" t="s">
        <v>7828</v>
      </c>
      <c r="D2841" s="2" t="s">
        <v>10055</v>
      </c>
      <c r="E2841" s="15"/>
      <c r="F2841" s="15"/>
      <c r="G2841" s="15"/>
      <c r="H2841" s="15">
        <v>-3.2500000000000001E-2</v>
      </c>
      <c r="I2841" s="15">
        <v>3.32E-2</v>
      </c>
      <c r="J2841" s="15">
        <v>-0.97891566265060248</v>
      </c>
    </row>
    <row r="2842" spans="1:10" x14ac:dyDescent="0.25">
      <c r="A2842" s="2" t="s">
        <v>7829</v>
      </c>
      <c r="B2842" s="2" t="s">
        <v>7007</v>
      </c>
      <c r="C2842" s="2" t="s">
        <v>7830</v>
      </c>
      <c r="D2842" s="2" t="s">
        <v>10055</v>
      </c>
      <c r="E2842" s="15">
        <v>9.7699999999999995E-2</v>
      </c>
      <c r="F2842" s="15">
        <v>0.1208</v>
      </c>
      <c r="G2842" s="15">
        <v>0.41860000000000003</v>
      </c>
      <c r="H2842" s="15">
        <v>7.2800000000000004E-2</v>
      </c>
      <c r="I2842" s="15">
        <v>4.1099999999999998E-2</v>
      </c>
      <c r="J2842" s="15">
        <v>1.7712895377128961</v>
      </c>
    </row>
    <row r="2843" spans="1:10" x14ac:dyDescent="0.25">
      <c r="A2843" s="2" t="s">
        <v>7831</v>
      </c>
      <c r="B2843" s="2" t="s">
        <v>7007</v>
      </c>
      <c r="C2843" s="2" t="s">
        <v>7832</v>
      </c>
      <c r="D2843" s="2" t="s">
        <v>10055</v>
      </c>
      <c r="E2843" s="15"/>
      <c r="F2843" s="15"/>
      <c r="G2843" s="15"/>
      <c r="H2843" s="15">
        <v>-2.93E-2</v>
      </c>
      <c r="I2843" s="15">
        <v>3.39E-2</v>
      </c>
      <c r="J2843" s="15">
        <v>-0.86430678466076694</v>
      </c>
    </row>
    <row r="2844" spans="1:10" x14ac:dyDescent="0.25">
      <c r="A2844" s="2" t="s">
        <v>7833</v>
      </c>
      <c r="B2844" s="2" t="s">
        <v>7007</v>
      </c>
      <c r="C2844" s="2" t="s">
        <v>7834</v>
      </c>
      <c r="D2844" s="2" t="s">
        <v>10055</v>
      </c>
      <c r="E2844" s="15">
        <v>0.16919999999999999</v>
      </c>
      <c r="F2844" s="15">
        <v>0.1018</v>
      </c>
      <c r="G2844" s="15">
        <v>9.6500000000000002E-2</v>
      </c>
      <c r="H2844" s="15">
        <v>0.105</v>
      </c>
      <c r="I2844" s="15">
        <v>3.8899999999999997E-2</v>
      </c>
      <c r="J2844" s="15">
        <v>2.6992287917737792</v>
      </c>
    </row>
    <row r="2845" spans="1:10" x14ac:dyDescent="0.25">
      <c r="A2845" s="2" t="s">
        <v>7835</v>
      </c>
      <c r="B2845" s="2" t="s">
        <v>7007</v>
      </c>
      <c r="C2845" s="2" t="s">
        <v>7836</v>
      </c>
      <c r="D2845" s="2" t="s">
        <v>10055</v>
      </c>
      <c r="E2845" s="15">
        <v>-0.31979999999999997</v>
      </c>
      <c r="F2845" s="15">
        <v>0.3448</v>
      </c>
      <c r="G2845" s="15">
        <v>0.35370000000000001</v>
      </c>
      <c r="H2845" s="15">
        <v>1.9199999999999998E-2</v>
      </c>
      <c r="I2845" s="15">
        <v>3.56E-2</v>
      </c>
      <c r="J2845" s="15">
        <v>0.5393258426966292</v>
      </c>
    </row>
    <row r="2846" spans="1:10" x14ac:dyDescent="0.25">
      <c r="A2846" s="2" t="s">
        <v>7837</v>
      </c>
      <c r="B2846" s="2" t="s">
        <v>7007</v>
      </c>
      <c r="C2846" s="2" t="s">
        <v>7838</v>
      </c>
      <c r="D2846" s="2" t="s">
        <v>10055</v>
      </c>
      <c r="E2846" s="15">
        <v>-2.6100000000000002E-2</v>
      </c>
      <c r="F2846" s="15">
        <v>0.1116</v>
      </c>
      <c r="G2846" s="15">
        <v>0.81489999999999996</v>
      </c>
      <c r="H2846" s="15">
        <v>8.1299999999999997E-2</v>
      </c>
      <c r="I2846" s="15">
        <v>3.4700000000000002E-2</v>
      </c>
      <c r="J2846" s="15">
        <v>2.342939481268012</v>
      </c>
    </row>
    <row r="2847" spans="1:10" x14ac:dyDescent="0.25">
      <c r="A2847" s="2" t="s">
        <v>7839</v>
      </c>
      <c r="B2847" s="2" t="s">
        <v>7007</v>
      </c>
      <c r="C2847" s="2" t="s">
        <v>7840</v>
      </c>
      <c r="D2847" s="2" t="s">
        <v>10055</v>
      </c>
      <c r="E2847" s="15">
        <v>-0.21129999999999999</v>
      </c>
      <c r="F2847" s="15">
        <v>0.315</v>
      </c>
      <c r="G2847" s="15">
        <v>0.50229999999999997</v>
      </c>
      <c r="H2847" s="15">
        <v>2.07E-2</v>
      </c>
      <c r="I2847" s="15">
        <v>3.4299999999999997E-2</v>
      </c>
      <c r="J2847" s="15">
        <v>0.60349854227405253</v>
      </c>
    </row>
    <row r="2848" spans="1:10" x14ac:dyDescent="0.25">
      <c r="A2848" s="2" t="s">
        <v>7841</v>
      </c>
      <c r="B2848" s="2" t="s">
        <v>7007</v>
      </c>
      <c r="C2848" s="2" t="s">
        <v>7842</v>
      </c>
      <c r="D2848" s="2" t="s">
        <v>10055</v>
      </c>
      <c r="E2848" s="15">
        <v>0.41499999999999998</v>
      </c>
      <c r="F2848" s="15">
        <v>0.3674</v>
      </c>
      <c r="G2848" s="15">
        <v>0.25869999999999999</v>
      </c>
      <c r="H2848" s="15">
        <v>2.53E-2</v>
      </c>
      <c r="I2848" s="15">
        <v>3.6900000000000002E-2</v>
      </c>
      <c r="J2848" s="15">
        <v>0.68563685636856364</v>
      </c>
    </row>
    <row r="2849" spans="1:10" x14ac:dyDescent="0.25">
      <c r="A2849" s="2" t="s">
        <v>7843</v>
      </c>
      <c r="B2849" s="2" t="s">
        <v>7007</v>
      </c>
      <c r="C2849" s="2" t="s">
        <v>7844</v>
      </c>
      <c r="D2849" s="2" t="s">
        <v>10055</v>
      </c>
      <c r="E2849" s="15">
        <v>0.25469999999999998</v>
      </c>
      <c r="F2849" s="15">
        <v>0.24979999999999999</v>
      </c>
      <c r="G2849" s="15">
        <v>0.308</v>
      </c>
      <c r="H2849" s="15">
        <v>2.7400000000000001E-2</v>
      </c>
      <c r="I2849" s="15">
        <v>3.6799999999999999E-2</v>
      </c>
      <c r="J2849" s="15">
        <v>0.74456521739130443</v>
      </c>
    </row>
    <row r="2850" spans="1:10" x14ac:dyDescent="0.25">
      <c r="A2850" s="2" t="s">
        <v>7845</v>
      </c>
      <c r="B2850" s="2" t="s">
        <v>7007</v>
      </c>
      <c r="C2850" s="2" t="s">
        <v>7846</v>
      </c>
      <c r="D2850" s="2" t="s">
        <v>10055</v>
      </c>
      <c r="E2850" s="15"/>
      <c r="F2850" s="15"/>
      <c r="G2850" s="15"/>
      <c r="H2850" s="15">
        <v>-3.15E-2</v>
      </c>
      <c r="I2850" s="15">
        <v>3.8899999999999997E-2</v>
      </c>
      <c r="J2850" s="15">
        <v>-0.80976863753213379</v>
      </c>
    </row>
    <row r="2851" spans="1:10" x14ac:dyDescent="0.25">
      <c r="A2851" s="2" t="s">
        <v>7847</v>
      </c>
      <c r="B2851" s="2" t="s">
        <v>7007</v>
      </c>
      <c r="C2851" s="2" t="s">
        <v>7848</v>
      </c>
      <c r="D2851" s="2" t="s">
        <v>10055</v>
      </c>
      <c r="E2851" s="15">
        <v>0.13539999999999999</v>
      </c>
      <c r="F2851" s="15">
        <v>0.42859999999999998</v>
      </c>
      <c r="G2851" s="15">
        <v>0.75209999999999999</v>
      </c>
      <c r="H2851" s="15">
        <v>1.17E-2</v>
      </c>
      <c r="I2851" s="15">
        <v>3.5700000000000003E-2</v>
      </c>
      <c r="J2851" s="15">
        <v>0.32773109243697479</v>
      </c>
    </row>
    <row r="2852" spans="1:10" x14ac:dyDescent="0.25">
      <c r="A2852" s="2" t="s">
        <v>7849</v>
      </c>
      <c r="B2852" s="2" t="s">
        <v>7007</v>
      </c>
      <c r="C2852" s="2" t="s">
        <v>7850</v>
      </c>
      <c r="D2852" s="2" t="s">
        <v>10055</v>
      </c>
      <c r="E2852" s="15">
        <v>0.19259999999999999</v>
      </c>
      <c r="F2852" s="15">
        <v>0.29970000000000002</v>
      </c>
      <c r="G2852" s="15">
        <v>0.52049999999999996</v>
      </c>
      <c r="H2852" s="15">
        <v>1.9E-2</v>
      </c>
      <c r="I2852" s="15">
        <v>3.6799999999999999E-2</v>
      </c>
      <c r="J2852" s="15">
        <v>0.51630434782608692</v>
      </c>
    </row>
    <row r="2853" spans="1:10" x14ac:dyDescent="0.25">
      <c r="A2853" s="2" t="s">
        <v>7851</v>
      </c>
      <c r="B2853" s="2" t="s">
        <v>7007</v>
      </c>
      <c r="C2853" s="2" t="s">
        <v>7852</v>
      </c>
      <c r="D2853" s="2" t="s">
        <v>10055</v>
      </c>
      <c r="E2853" s="15"/>
      <c r="F2853" s="15"/>
      <c r="G2853" s="15"/>
      <c r="H2853" s="15"/>
      <c r="I2853" s="15"/>
      <c r="J2853" s="15"/>
    </row>
    <row r="2854" spans="1:10" x14ac:dyDescent="0.25">
      <c r="A2854" s="2" t="s">
        <v>7853</v>
      </c>
      <c r="B2854" s="2" t="s">
        <v>7007</v>
      </c>
      <c r="C2854" s="2" t="s">
        <v>7854</v>
      </c>
      <c r="D2854" s="2" t="s">
        <v>10055</v>
      </c>
      <c r="E2854" s="15">
        <v>-2.76E-2</v>
      </c>
      <c r="F2854" s="15">
        <v>0.10780000000000001</v>
      </c>
      <c r="G2854" s="15">
        <v>0.79820000000000002</v>
      </c>
      <c r="H2854" s="15">
        <v>9.2600000000000002E-2</v>
      </c>
      <c r="I2854" s="15">
        <v>3.7100000000000001E-2</v>
      </c>
      <c r="J2854" s="15">
        <v>2.4959568733153641</v>
      </c>
    </row>
    <row r="2855" spans="1:10" x14ac:dyDescent="0.25">
      <c r="A2855" s="2" t="s">
        <v>7855</v>
      </c>
      <c r="B2855" s="2" t="s">
        <v>7007</v>
      </c>
      <c r="C2855" s="2" t="s">
        <v>7856</v>
      </c>
      <c r="D2855" s="2" t="s">
        <v>10055</v>
      </c>
      <c r="E2855" s="15">
        <v>8.3099999999999993E-2</v>
      </c>
      <c r="F2855" s="15">
        <v>0.1409</v>
      </c>
      <c r="G2855" s="15">
        <v>0.5554</v>
      </c>
      <c r="H2855" s="15">
        <v>5.5300000000000002E-2</v>
      </c>
      <c r="I2855" s="15">
        <v>3.8199999999999998E-2</v>
      </c>
      <c r="J2855" s="15">
        <v>1.4476439790575919</v>
      </c>
    </row>
    <row r="2856" spans="1:10" x14ac:dyDescent="0.25">
      <c r="A2856" s="2" t="s">
        <v>7857</v>
      </c>
      <c r="B2856" s="2" t="s">
        <v>7007</v>
      </c>
      <c r="C2856" s="2" t="s">
        <v>7858</v>
      </c>
      <c r="D2856" s="2" t="s">
        <v>10055</v>
      </c>
      <c r="E2856" s="15">
        <v>6.0999999999999999E-2</v>
      </c>
      <c r="F2856" s="15">
        <v>0.15759999999999999</v>
      </c>
      <c r="G2856" s="15">
        <v>0.6986</v>
      </c>
      <c r="H2856" s="15">
        <v>4.3200000000000002E-2</v>
      </c>
      <c r="I2856" s="15">
        <v>3.7199999999999997E-2</v>
      </c>
      <c r="J2856" s="15">
        <v>1.161290322580645</v>
      </c>
    </row>
    <row r="2857" spans="1:10" x14ac:dyDescent="0.25">
      <c r="A2857" s="2" t="s">
        <v>7859</v>
      </c>
      <c r="B2857" s="2" t="s">
        <v>7007</v>
      </c>
      <c r="C2857" s="2" t="s">
        <v>7860</v>
      </c>
      <c r="D2857" s="2" t="s">
        <v>10055</v>
      </c>
      <c r="E2857" s="15"/>
      <c r="F2857" s="15"/>
      <c r="G2857" s="15"/>
      <c r="H2857" s="15"/>
      <c r="I2857" s="15"/>
      <c r="J2857" s="15"/>
    </row>
    <row r="2858" spans="1:10" x14ac:dyDescent="0.25">
      <c r="A2858" s="2" t="s">
        <v>7861</v>
      </c>
      <c r="B2858" s="2" t="s">
        <v>7007</v>
      </c>
      <c r="C2858" s="2" t="s">
        <v>7862</v>
      </c>
      <c r="D2858" s="2" t="s">
        <v>10055</v>
      </c>
      <c r="E2858" s="15">
        <v>0.1099</v>
      </c>
      <c r="F2858" s="15">
        <v>0.28499999999999998</v>
      </c>
      <c r="G2858" s="15">
        <v>0.69969999999999999</v>
      </c>
      <c r="H2858" s="15">
        <v>1.72E-2</v>
      </c>
      <c r="I2858" s="15">
        <v>3.3300000000000003E-2</v>
      </c>
      <c r="J2858" s="15">
        <v>0.51651651651651642</v>
      </c>
    </row>
    <row r="2859" spans="1:10" x14ac:dyDescent="0.25">
      <c r="A2859" s="2" t="s">
        <v>7863</v>
      </c>
      <c r="B2859" s="2" t="s">
        <v>7007</v>
      </c>
      <c r="C2859" s="2" t="s">
        <v>7864</v>
      </c>
      <c r="D2859" s="2" t="s">
        <v>10055</v>
      </c>
      <c r="E2859" s="15">
        <v>0.1183</v>
      </c>
      <c r="F2859" s="15">
        <v>0.11609999999999999</v>
      </c>
      <c r="G2859" s="15">
        <v>0.308</v>
      </c>
      <c r="H2859" s="15">
        <v>9.5600000000000004E-2</v>
      </c>
      <c r="I2859" s="15">
        <v>3.8100000000000002E-2</v>
      </c>
      <c r="J2859" s="15">
        <v>2.5091863517060369</v>
      </c>
    </row>
    <row r="2860" spans="1:10" x14ac:dyDescent="0.25">
      <c r="A2860" s="2" t="s">
        <v>7865</v>
      </c>
      <c r="B2860" s="2" t="s">
        <v>7007</v>
      </c>
      <c r="C2860" s="2" t="s">
        <v>7866</v>
      </c>
      <c r="D2860" s="2" t="s">
        <v>10055</v>
      </c>
      <c r="E2860" s="15"/>
      <c r="F2860" s="15"/>
      <c r="G2860" s="15"/>
      <c r="H2860" s="15">
        <v>-1.61E-2</v>
      </c>
      <c r="I2860" s="15">
        <v>4.1300000000000003E-2</v>
      </c>
      <c r="J2860" s="15">
        <v>-0.38983050847457618</v>
      </c>
    </row>
    <row r="2861" spans="1:10" x14ac:dyDescent="0.25">
      <c r="A2861" s="2" t="s">
        <v>7867</v>
      </c>
      <c r="B2861" s="2" t="s">
        <v>7007</v>
      </c>
      <c r="C2861" s="2" t="s">
        <v>7868</v>
      </c>
      <c r="D2861" s="2" t="s">
        <v>10055</v>
      </c>
      <c r="E2861" s="15">
        <v>0.24990000000000001</v>
      </c>
      <c r="F2861" s="15">
        <v>0.20710000000000001</v>
      </c>
      <c r="G2861" s="15">
        <v>0.22750000000000001</v>
      </c>
      <c r="H2861" s="15">
        <v>5.2299999999999999E-2</v>
      </c>
      <c r="I2861" s="15">
        <v>4.4499999999999998E-2</v>
      </c>
      <c r="J2861" s="15">
        <v>1.175280898876405</v>
      </c>
    </row>
    <row r="2862" spans="1:10" x14ac:dyDescent="0.25">
      <c r="A2862" s="2" t="s">
        <v>7869</v>
      </c>
      <c r="B2862" s="2" t="s">
        <v>7007</v>
      </c>
      <c r="C2862" s="2" t="s">
        <v>7870</v>
      </c>
      <c r="D2862" s="2" t="s">
        <v>10055</v>
      </c>
      <c r="E2862" s="15"/>
      <c r="F2862" s="15"/>
      <c r="G2862" s="15"/>
      <c r="H2862" s="15"/>
      <c r="I2862" s="15"/>
      <c r="J2862" s="15"/>
    </row>
    <row r="2863" spans="1:10" x14ac:dyDescent="0.25">
      <c r="A2863" s="2" t="s">
        <v>7871</v>
      </c>
      <c r="B2863" s="2" t="s">
        <v>7007</v>
      </c>
      <c r="C2863" s="2" t="s">
        <v>7872</v>
      </c>
      <c r="D2863" s="2" t="s">
        <v>10055</v>
      </c>
      <c r="E2863" s="15"/>
      <c r="F2863" s="15"/>
      <c r="G2863" s="15"/>
      <c r="H2863" s="15"/>
      <c r="I2863" s="15"/>
      <c r="J2863" s="15"/>
    </row>
    <row r="2864" spans="1:10" x14ac:dyDescent="0.25">
      <c r="A2864" s="2" t="s">
        <v>7873</v>
      </c>
      <c r="B2864" s="2" t="s">
        <v>7007</v>
      </c>
      <c r="C2864" s="2" t="s">
        <v>7874</v>
      </c>
      <c r="D2864" s="2" t="s">
        <v>10055</v>
      </c>
      <c r="E2864" s="15">
        <v>-0.1176</v>
      </c>
      <c r="F2864" s="15">
        <v>0.1197</v>
      </c>
      <c r="G2864" s="15">
        <v>0.32600000000000001</v>
      </c>
      <c r="H2864" s="15">
        <v>9.35E-2</v>
      </c>
      <c r="I2864" s="15">
        <v>4.2000000000000003E-2</v>
      </c>
      <c r="J2864" s="15">
        <v>2.2261904761904758</v>
      </c>
    </row>
    <row r="2865" spans="1:10" x14ac:dyDescent="0.25">
      <c r="A2865" s="2" t="s">
        <v>7875</v>
      </c>
      <c r="B2865" s="2" t="s">
        <v>7007</v>
      </c>
      <c r="C2865" s="2" t="s">
        <v>7876</v>
      </c>
      <c r="D2865" s="2" t="s">
        <v>10055</v>
      </c>
      <c r="E2865" s="15"/>
      <c r="F2865" s="15"/>
      <c r="G2865" s="15"/>
      <c r="H2865" s="15">
        <v>-3.1399999999999997E-2</v>
      </c>
      <c r="I2865" s="15">
        <v>3.6400000000000002E-2</v>
      </c>
      <c r="J2865" s="15">
        <v>-0.86263736263736257</v>
      </c>
    </row>
    <row r="2866" spans="1:10" x14ac:dyDescent="0.25">
      <c r="A2866" s="2" t="s">
        <v>7877</v>
      </c>
      <c r="B2866" s="2" t="s">
        <v>7007</v>
      </c>
      <c r="C2866" s="2" t="s">
        <v>7878</v>
      </c>
      <c r="D2866" s="2" t="s">
        <v>10055</v>
      </c>
      <c r="E2866" s="15">
        <v>9.4200000000000006E-2</v>
      </c>
      <c r="F2866" s="15">
        <v>0.12379999999999999</v>
      </c>
      <c r="G2866" s="15">
        <v>0.44650000000000001</v>
      </c>
      <c r="H2866" s="15">
        <v>7.0599999999999996E-2</v>
      </c>
      <c r="I2866" s="15">
        <v>3.7499999999999999E-2</v>
      </c>
      <c r="J2866" s="15">
        <v>1.8826666666666669</v>
      </c>
    </row>
    <row r="2867" spans="1:10" x14ac:dyDescent="0.25">
      <c r="A2867" s="2" t="s">
        <v>7879</v>
      </c>
      <c r="B2867" s="2" t="s">
        <v>7007</v>
      </c>
      <c r="C2867" s="2" t="s">
        <v>7880</v>
      </c>
      <c r="D2867" s="2" t="s">
        <v>10055</v>
      </c>
      <c r="E2867" s="15">
        <v>-0.2301</v>
      </c>
      <c r="F2867" s="15">
        <v>0.1363</v>
      </c>
      <c r="G2867" s="15">
        <v>9.1399999999999995E-2</v>
      </c>
      <c r="H2867" s="15">
        <v>6.2600000000000003E-2</v>
      </c>
      <c r="I2867" s="15">
        <v>3.4799999999999998E-2</v>
      </c>
      <c r="J2867" s="15">
        <v>1.798850574712644</v>
      </c>
    </row>
    <row r="2868" spans="1:10" x14ac:dyDescent="0.25">
      <c r="A2868" s="2" t="s">
        <v>7881</v>
      </c>
      <c r="B2868" s="2" t="s">
        <v>7007</v>
      </c>
      <c r="C2868" s="2" t="s">
        <v>7882</v>
      </c>
      <c r="D2868" s="2" t="s">
        <v>10055</v>
      </c>
      <c r="E2868" s="15">
        <v>-0.21859999999999999</v>
      </c>
      <c r="F2868" s="15">
        <v>0.11749999999999999</v>
      </c>
      <c r="G2868" s="15">
        <v>6.2799999999999995E-2</v>
      </c>
      <c r="H2868" s="15">
        <v>7.7700000000000005E-2</v>
      </c>
      <c r="I2868" s="15">
        <v>4.19E-2</v>
      </c>
      <c r="J2868" s="15">
        <v>1.8544152744630069</v>
      </c>
    </row>
    <row r="2869" spans="1:10" x14ac:dyDescent="0.25">
      <c r="A2869" s="2" t="s">
        <v>7883</v>
      </c>
      <c r="B2869" s="2" t="s">
        <v>7007</v>
      </c>
      <c r="C2869" s="2" t="s">
        <v>7884</v>
      </c>
      <c r="D2869" s="2" t="s">
        <v>10055</v>
      </c>
      <c r="E2869" s="15"/>
      <c r="F2869" s="15"/>
      <c r="G2869" s="15"/>
      <c r="H2869" s="15">
        <v>-4.0800000000000003E-2</v>
      </c>
      <c r="I2869" s="15">
        <v>3.4299999999999997E-2</v>
      </c>
      <c r="J2869" s="15">
        <v>-1.189504373177843</v>
      </c>
    </row>
    <row r="2870" spans="1:10" x14ac:dyDescent="0.25">
      <c r="A2870" s="2" t="s">
        <v>7885</v>
      </c>
      <c r="B2870" s="2" t="s">
        <v>7007</v>
      </c>
      <c r="C2870" s="2" t="s">
        <v>7886</v>
      </c>
      <c r="D2870" s="2" t="s">
        <v>10055</v>
      </c>
      <c r="E2870" s="15">
        <v>-5.5899999999999998E-2</v>
      </c>
      <c r="F2870" s="15">
        <v>9.0499999999999997E-2</v>
      </c>
      <c r="G2870" s="15">
        <v>0.5373</v>
      </c>
      <c r="H2870" s="15">
        <v>0.1089</v>
      </c>
      <c r="I2870" s="15">
        <v>3.5400000000000001E-2</v>
      </c>
      <c r="J2870" s="15">
        <v>3.0762711864406782</v>
      </c>
    </row>
    <row r="2871" spans="1:10" x14ac:dyDescent="0.25">
      <c r="A2871" s="2" t="s">
        <v>7887</v>
      </c>
      <c r="B2871" s="2" t="s">
        <v>7007</v>
      </c>
      <c r="C2871" s="2" t="s">
        <v>7888</v>
      </c>
      <c r="D2871" s="2" t="s">
        <v>10055</v>
      </c>
      <c r="E2871" s="15"/>
      <c r="F2871" s="15"/>
      <c r="G2871" s="15"/>
      <c r="H2871" s="15">
        <v>-2.5999999999999999E-3</v>
      </c>
      <c r="I2871" s="15">
        <v>3.5299999999999998E-2</v>
      </c>
      <c r="J2871" s="15">
        <v>-7.3654390934844188E-2</v>
      </c>
    </row>
    <row r="2872" spans="1:10" x14ac:dyDescent="0.25">
      <c r="A2872" s="2" t="s">
        <v>7889</v>
      </c>
      <c r="B2872" s="2" t="s">
        <v>7007</v>
      </c>
      <c r="C2872" s="2" t="s">
        <v>7890</v>
      </c>
      <c r="D2872" s="2" t="s">
        <v>10055</v>
      </c>
      <c r="E2872" s="15">
        <v>-4.1099999999999998E-2</v>
      </c>
      <c r="F2872" s="15">
        <v>0.1</v>
      </c>
      <c r="G2872" s="15">
        <v>0.68100000000000005</v>
      </c>
      <c r="H2872" s="15">
        <v>0.10009999999999999</v>
      </c>
      <c r="I2872" s="15">
        <v>3.7900000000000003E-2</v>
      </c>
      <c r="J2872" s="15">
        <v>2.6411609498680741</v>
      </c>
    </row>
    <row r="2873" spans="1:10" x14ac:dyDescent="0.25">
      <c r="A2873" s="2" t="s">
        <v>7891</v>
      </c>
      <c r="B2873" s="2" t="s">
        <v>7007</v>
      </c>
      <c r="C2873" s="2" t="s">
        <v>7892</v>
      </c>
      <c r="D2873" s="2" t="s">
        <v>10055</v>
      </c>
      <c r="E2873" s="15">
        <v>0.13750000000000001</v>
      </c>
      <c r="F2873" s="15">
        <v>0.15340000000000001</v>
      </c>
      <c r="G2873" s="15">
        <v>0.36990000000000001</v>
      </c>
      <c r="H2873" s="15">
        <v>4.5699999999999998E-2</v>
      </c>
      <c r="I2873" s="15">
        <v>3.7499999999999999E-2</v>
      </c>
      <c r="J2873" s="15">
        <v>1.218666666666667</v>
      </c>
    </row>
    <row r="2874" spans="1:10" x14ac:dyDescent="0.25">
      <c r="A2874" s="2" t="s">
        <v>7893</v>
      </c>
      <c r="B2874" s="2" t="s">
        <v>7007</v>
      </c>
      <c r="C2874" s="2" t="s">
        <v>7894</v>
      </c>
      <c r="D2874" s="2" t="s">
        <v>10055</v>
      </c>
      <c r="E2874" s="15">
        <v>-2.8799999999999999E-2</v>
      </c>
      <c r="F2874" s="15">
        <v>0.17849999999999999</v>
      </c>
      <c r="G2874" s="15">
        <v>0.872</v>
      </c>
      <c r="H2874" s="15">
        <v>3.5499999999999997E-2</v>
      </c>
      <c r="I2874" s="15">
        <v>4.2200000000000001E-2</v>
      </c>
      <c r="J2874" s="15">
        <v>0.84123222748815152</v>
      </c>
    </row>
    <row r="2875" spans="1:10" x14ac:dyDescent="0.25">
      <c r="A2875" s="2" t="s">
        <v>7895</v>
      </c>
      <c r="B2875" s="2" t="s">
        <v>7007</v>
      </c>
      <c r="C2875" s="2" t="s">
        <v>7896</v>
      </c>
      <c r="D2875" s="2" t="s">
        <v>10055</v>
      </c>
      <c r="E2875" s="15">
        <v>0.11219999999999999</v>
      </c>
      <c r="F2875" s="15">
        <v>0.155</v>
      </c>
      <c r="G2875" s="15">
        <v>0.46899999999999997</v>
      </c>
      <c r="H2875" s="15">
        <v>5.6899999999999999E-2</v>
      </c>
      <c r="I2875" s="15">
        <v>3.9100000000000003E-2</v>
      </c>
      <c r="J2875" s="15">
        <v>1.455242966751918</v>
      </c>
    </row>
    <row r="2876" spans="1:10" x14ac:dyDescent="0.25">
      <c r="A2876" s="2" t="s">
        <v>7897</v>
      </c>
      <c r="B2876" s="2" t="s">
        <v>7007</v>
      </c>
      <c r="C2876" s="2" t="s">
        <v>7898</v>
      </c>
      <c r="D2876" s="2" t="s">
        <v>10055</v>
      </c>
      <c r="E2876" s="15">
        <v>6.8099999999999994E-2</v>
      </c>
      <c r="F2876" s="15">
        <v>0.1103</v>
      </c>
      <c r="G2876" s="15">
        <v>0.53710000000000002</v>
      </c>
      <c r="H2876" s="15">
        <v>9.7600000000000006E-2</v>
      </c>
      <c r="I2876" s="15">
        <v>3.8800000000000001E-2</v>
      </c>
      <c r="J2876" s="15">
        <v>2.5154639175257731</v>
      </c>
    </row>
    <row r="2877" spans="1:10" x14ac:dyDescent="0.25">
      <c r="A2877" s="2" t="s">
        <v>7899</v>
      </c>
      <c r="B2877" s="2" t="s">
        <v>7007</v>
      </c>
      <c r="C2877" s="2" t="s">
        <v>7900</v>
      </c>
      <c r="D2877" s="2" t="s">
        <v>10055</v>
      </c>
      <c r="E2877" s="15">
        <v>0.14580000000000001</v>
      </c>
      <c r="F2877" s="15">
        <v>0.13</v>
      </c>
      <c r="G2877" s="15">
        <v>0.26190000000000002</v>
      </c>
      <c r="H2877" s="15">
        <v>7.2499999999999995E-2</v>
      </c>
      <c r="I2877" s="15">
        <v>3.6400000000000002E-2</v>
      </c>
      <c r="J2877" s="15">
        <v>1.991758241758242</v>
      </c>
    </row>
    <row r="2878" spans="1:10" x14ac:dyDescent="0.25">
      <c r="A2878" s="2" t="s">
        <v>7901</v>
      </c>
      <c r="B2878" s="2" t="s">
        <v>7007</v>
      </c>
      <c r="C2878" s="2" t="s">
        <v>7902</v>
      </c>
      <c r="D2878" s="2" t="s">
        <v>10055</v>
      </c>
      <c r="E2878" s="15">
        <v>3.5000000000000001E-3</v>
      </c>
      <c r="F2878" s="15">
        <v>0.151</v>
      </c>
      <c r="G2878" s="15">
        <v>0.98170000000000002</v>
      </c>
      <c r="H2878" s="15">
        <v>4.5400000000000003E-2</v>
      </c>
      <c r="I2878" s="15">
        <v>0.04</v>
      </c>
      <c r="J2878" s="15">
        <v>1.135</v>
      </c>
    </row>
    <row r="2879" spans="1:10" x14ac:dyDescent="0.25">
      <c r="A2879" s="2" t="s">
        <v>7903</v>
      </c>
      <c r="B2879" s="2" t="s">
        <v>7007</v>
      </c>
      <c r="C2879" s="2" t="s">
        <v>7904</v>
      </c>
      <c r="D2879" s="2" t="s">
        <v>10055</v>
      </c>
      <c r="E2879" s="15"/>
      <c r="F2879" s="15"/>
      <c r="G2879" s="15"/>
      <c r="H2879" s="15">
        <v>-2.3E-3</v>
      </c>
      <c r="I2879" s="15">
        <v>3.4700000000000002E-2</v>
      </c>
      <c r="J2879" s="15">
        <v>-6.6282420749279536E-2</v>
      </c>
    </row>
    <row r="2880" spans="1:10" x14ac:dyDescent="0.25">
      <c r="A2880" s="2" t="s">
        <v>7905</v>
      </c>
      <c r="B2880" s="2" t="s">
        <v>7007</v>
      </c>
      <c r="C2880" s="2" t="s">
        <v>7906</v>
      </c>
      <c r="D2880" s="2" t="s">
        <v>10055</v>
      </c>
      <c r="E2880" s="15">
        <v>-1.3100000000000001E-2</v>
      </c>
      <c r="F2880" s="15">
        <v>0.1116</v>
      </c>
      <c r="G2880" s="15">
        <v>0.90649999999999997</v>
      </c>
      <c r="H2880" s="15">
        <v>8.7099999999999997E-2</v>
      </c>
      <c r="I2880" s="15">
        <v>3.9300000000000002E-2</v>
      </c>
      <c r="J2880" s="15">
        <v>2.216284987277354</v>
      </c>
    </row>
    <row r="2881" spans="1:10" x14ac:dyDescent="0.25">
      <c r="A2881" s="2" t="s">
        <v>7907</v>
      </c>
      <c r="B2881" s="2" t="s">
        <v>7007</v>
      </c>
      <c r="C2881" s="2" t="s">
        <v>7908</v>
      </c>
      <c r="D2881" s="2" t="s">
        <v>10055</v>
      </c>
      <c r="E2881" s="15"/>
      <c r="F2881" s="15"/>
      <c r="G2881" s="15"/>
      <c r="H2881" s="15"/>
      <c r="I2881" s="15"/>
      <c r="J2881" s="15"/>
    </row>
    <row r="2882" spans="1:10" x14ac:dyDescent="0.25">
      <c r="A2882" s="2" t="s">
        <v>7909</v>
      </c>
      <c r="B2882" s="2" t="s">
        <v>7007</v>
      </c>
      <c r="C2882" s="2" t="s">
        <v>7910</v>
      </c>
      <c r="D2882" s="2" t="s">
        <v>10055</v>
      </c>
      <c r="E2882" s="15">
        <v>2.9899999999999999E-2</v>
      </c>
      <c r="F2882" s="15">
        <v>0.1598</v>
      </c>
      <c r="G2882" s="15">
        <v>0.85170000000000001</v>
      </c>
      <c r="H2882" s="15">
        <v>4.7100000000000003E-2</v>
      </c>
      <c r="I2882" s="15">
        <v>4.0599999999999997E-2</v>
      </c>
      <c r="J2882" s="15">
        <v>1.160098522167488</v>
      </c>
    </row>
    <row r="2883" spans="1:10" x14ac:dyDescent="0.25">
      <c r="A2883" s="2" t="s">
        <v>7911</v>
      </c>
      <c r="B2883" s="2" t="s">
        <v>7007</v>
      </c>
      <c r="C2883" s="2" t="s">
        <v>7912</v>
      </c>
      <c r="D2883" s="2" t="s">
        <v>10055</v>
      </c>
      <c r="E2883" s="15">
        <v>-7.9299999999999995E-2</v>
      </c>
      <c r="F2883" s="15">
        <v>0.14649999999999999</v>
      </c>
      <c r="G2883" s="15">
        <v>0.58819999999999995</v>
      </c>
      <c r="H2883" s="15">
        <v>5.0500000000000003E-2</v>
      </c>
      <c r="I2883" s="15">
        <v>3.8300000000000001E-2</v>
      </c>
      <c r="J2883" s="15">
        <v>1.3185378590078329</v>
      </c>
    </row>
    <row r="2884" spans="1:10" x14ac:dyDescent="0.25">
      <c r="A2884" s="2" t="s">
        <v>7913</v>
      </c>
      <c r="B2884" s="2" t="s">
        <v>7007</v>
      </c>
      <c r="C2884" s="2" t="s">
        <v>7914</v>
      </c>
      <c r="D2884" s="2" t="s">
        <v>10055</v>
      </c>
      <c r="E2884" s="15">
        <v>-1.0699999999999999E-2</v>
      </c>
      <c r="F2884" s="15">
        <v>0.15340000000000001</v>
      </c>
      <c r="G2884" s="15">
        <v>0.94430000000000003</v>
      </c>
      <c r="H2884" s="15">
        <v>5.8000000000000003E-2</v>
      </c>
      <c r="I2884" s="15">
        <v>3.8600000000000002E-2</v>
      </c>
      <c r="J2884" s="15">
        <v>1.50259067357513</v>
      </c>
    </row>
    <row r="2885" spans="1:10" x14ac:dyDescent="0.25">
      <c r="A2885" s="2" t="s">
        <v>7915</v>
      </c>
      <c r="B2885" s="2" t="s">
        <v>7007</v>
      </c>
      <c r="C2885" s="2" t="s">
        <v>7916</v>
      </c>
      <c r="D2885" s="2" t="s">
        <v>10055</v>
      </c>
      <c r="E2885" s="15"/>
      <c r="F2885" s="15"/>
      <c r="G2885" s="15"/>
      <c r="H2885" s="15">
        <v>-2.29E-2</v>
      </c>
      <c r="I2885" s="15">
        <v>3.9800000000000002E-2</v>
      </c>
      <c r="J2885" s="15">
        <v>-0.57537688442211055</v>
      </c>
    </row>
    <row r="2886" spans="1:10" x14ac:dyDescent="0.25">
      <c r="A2886" s="2" t="s">
        <v>7917</v>
      </c>
      <c r="B2886" s="2" t="s">
        <v>7007</v>
      </c>
      <c r="C2886" s="2" t="s">
        <v>7918</v>
      </c>
      <c r="D2886" s="2" t="s">
        <v>10055</v>
      </c>
      <c r="E2886" s="15">
        <v>-2.3800000000000002E-2</v>
      </c>
      <c r="F2886" s="15">
        <v>0.1079</v>
      </c>
      <c r="G2886" s="15">
        <v>0.82530000000000003</v>
      </c>
      <c r="H2886" s="15">
        <v>9.2799999999999994E-2</v>
      </c>
      <c r="I2886" s="15">
        <v>3.6600000000000001E-2</v>
      </c>
      <c r="J2886" s="15">
        <v>2.5355191256830598</v>
      </c>
    </row>
    <row r="2887" spans="1:10" x14ac:dyDescent="0.25">
      <c r="A2887" s="2" t="s">
        <v>7919</v>
      </c>
      <c r="B2887" s="2" t="s">
        <v>7007</v>
      </c>
      <c r="C2887" s="2" t="s">
        <v>7920</v>
      </c>
      <c r="D2887" s="2" t="s">
        <v>10055</v>
      </c>
      <c r="E2887" s="15">
        <v>0.11360000000000001</v>
      </c>
      <c r="F2887" s="15">
        <v>0.2306</v>
      </c>
      <c r="G2887" s="15">
        <v>0.62239999999999995</v>
      </c>
      <c r="H2887" s="15">
        <v>2.24E-2</v>
      </c>
      <c r="I2887" s="15">
        <v>3.7100000000000001E-2</v>
      </c>
      <c r="J2887" s="15">
        <v>0.60377358490566035</v>
      </c>
    </row>
    <row r="2888" spans="1:10" x14ac:dyDescent="0.25">
      <c r="A2888" s="2" t="s">
        <v>7921</v>
      </c>
      <c r="B2888" s="2" t="s">
        <v>7007</v>
      </c>
      <c r="C2888" s="2" t="s">
        <v>7922</v>
      </c>
      <c r="D2888" s="2" t="s">
        <v>10055</v>
      </c>
      <c r="E2888" s="15"/>
      <c r="F2888" s="15"/>
      <c r="G2888" s="15"/>
      <c r="H2888" s="15"/>
      <c r="I2888" s="15"/>
      <c r="J2888" s="15"/>
    </row>
    <row r="2889" spans="1:10" x14ac:dyDescent="0.25">
      <c r="A2889" s="2" t="s">
        <v>7923</v>
      </c>
      <c r="B2889" s="2" t="s">
        <v>7007</v>
      </c>
      <c r="C2889" s="2" t="s">
        <v>7924</v>
      </c>
      <c r="D2889" s="2" t="s">
        <v>10055</v>
      </c>
      <c r="E2889" s="15">
        <v>0.112</v>
      </c>
      <c r="F2889" s="15">
        <v>0.1288</v>
      </c>
      <c r="G2889" s="15">
        <v>0.38440000000000002</v>
      </c>
      <c r="H2889" s="15">
        <v>7.0999999999999994E-2</v>
      </c>
      <c r="I2889" s="15">
        <v>3.7100000000000001E-2</v>
      </c>
      <c r="J2889" s="15">
        <v>1.9137466307277631</v>
      </c>
    </row>
    <row r="2890" spans="1:10" x14ac:dyDescent="0.25">
      <c r="A2890" s="2" t="s">
        <v>7925</v>
      </c>
      <c r="B2890" s="2" t="s">
        <v>7007</v>
      </c>
      <c r="C2890" s="2" t="s">
        <v>7926</v>
      </c>
      <c r="D2890" s="2" t="s">
        <v>10055</v>
      </c>
      <c r="E2890" s="15">
        <v>-7.1999999999999998E-3</v>
      </c>
      <c r="F2890" s="15">
        <v>0.1008</v>
      </c>
      <c r="G2890" s="15">
        <v>0.94330000000000003</v>
      </c>
      <c r="H2890" s="15">
        <v>0.1115</v>
      </c>
      <c r="I2890" s="15">
        <v>3.8800000000000001E-2</v>
      </c>
      <c r="J2890" s="15">
        <v>2.873711340206186</v>
      </c>
    </row>
    <row r="2891" spans="1:10" x14ac:dyDescent="0.25">
      <c r="A2891" s="2" t="s">
        <v>7927</v>
      </c>
      <c r="B2891" s="2" t="s">
        <v>7007</v>
      </c>
      <c r="C2891" s="2" t="s">
        <v>7928</v>
      </c>
      <c r="D2891" s="2" t="s">
        <v>10055</v>
      </c>
      <c r="E2891" s="15">
        <v>-0.1188</v>
      </c>
      <c r="F2891" s="15">
        <v>0.13969999999999999</v>
      </c>
      <c r="G2891" s="15">
        <v>0.39489999999999997</v>
      </c>
      <c r="H2891" s="15">
        <v>5.0500000000000003E-2</v>
      </c>
      <c r="I2891" s="15">
        <v>3.85E-2</v>
      </c>
      <c r="J2891" s="15">
        <v>1.311688311688312</v>
      </c>
    </row>
    <row r="2892" spans="1:10" x14ac:dyDescent="0.25">
      <c r="A2892" s="2" t="s">
        <v>7929</v>
      </c>
      <c r="B2892" s="2" t="s">
        <v>7007</v>
      </c>
      <c r="C2892" s="2" t="s">
        <v>7930</v>
      </c>
      <c r="D2892" s="2" t="s">
        <v>10055</v>
      </c>
      <c r="E2892" s="15">
        <v>-6.1499999999999999E-2</v>
      </c>
      <c r="F2892" s="15">
        <v>0.13600000000000001</v>
      </c>
      <c r="G2892" s="15">
        <v>0.6512</v>
      </c>
      <c r="H2892" s="15">
        <v>5.7299999999999997E-2</v>
      </c>
      <c r="I2892" s="15">
        <v>3.7400000000000003E-2</v>
      </c>
      <c r="J2892" s="15">
        <v>1.5320855614973261</v>
      </c>
    </row>
    <row r="2893" spans="1:10" x14ac:dyDescent="0.25">
      <c r="A2893" s="2" t="s">
        <v>7931</v>
      </c>
      <c r="B2893" s="2" t="s">
        <v>7007</v>
      </c>
      <c r="C2893" s="2" t="s">
        <v>7932</v>
      </c>
      <c r="D2893" s="2" t="s">
        <v>10055</v>
      </c>
      <c r="E2893" s="15"/>
      <c r="F2893" s="15"/>
      <c r="G2893" s="15"/>
      <c r="H2893" s="15">
        <v>-3.3999999999999998E-3</v>
      </c>
      <c r="I2893" s="15">
        <v>3.6299999999999999E-2</v>
      </c>
      <c r="J2893" s="15">
        <v>-9.366391184573003E-2</v>
      </c>
    </row>
    <row r="2894" spans="1:10" x14ac:dyDescent="0.25">
      <c r="A2894" s="2" t="s">
        <v>7933</v>
      </c>
      <c r="B2894" s="2" t="s">
        <v>7007</v>
      </c>
      <c r="C2894" s="2" t="s">
        <v>7934</v>
      </c>
      <c r="D2894" s="2" t="s">
        <v>10055</v>
      </c>
      <c r="E2894" s="15">
        <v>-0.1135</v>
      </c>
      <c r="F2894" s="15">
        <v>0.1021</v>
      </c>
      <c r="G2894" s="15">
        <v>0.2666</v>
      </c>
      <c r="H2894" s="15">
        <v>0.1077</v>
      </c>
      <c r="I2894" s="15">
        <v>4.0800000000000003E-2</v>
      </c>
      <c r="J2894" s="15">
        <v>2.6397058823529411</v>
      </c>
    </row>
    <row r="2895" spans="1:10" x14ac:dyDescent="0.25">
      <c r="A2895" s="2" t="s">
        <v>7935</v>
      </c>
      <c r="B2895" s="2" t="s">
        <v>7007</v>
      </c>
      <c r="C2895" s="2" t="s">
        <v>7936</v>
      </c>
      <c r="D2895" s="2" t="s">
        <v>10055</v>
      </c>
      <c r="E2895" s="15"/>
      <c r="F2895" s="15"/>
      <c r="G2895" s="15"/>
      <c r="H2895" s="15">
        <v>-5.7299999999999997E-2</v>
      </c>
      <c r="I2895" s="15">
        <v>3.5900000000000001E-2</v>
      </c>
      <c r="J2895" s="15">
        <v>-1.5961002785515319</v>
      </c>
    </row>
    <row r="2896" spans="1:10" x14ac:dyDescent="0.25">
      <c r="A2896" s="2" t="s">
        <v>7937</v>
      </c>
      <c r="B2896" s="2" t="s">
        <v>7007</v>
      </c>
      <c r="C2896" s="2" t="s">
        <v>7938</v>
      </c>
      <c r="D2896" s="2" t="s">
        <v>10055</v>
      </c>
      <c r="E2896" s="15"/>
      <c r="F2896" s="15"/>
      <c r="G2896" s="15"/>
      <c r="H2896" s="15">
        <v>-3.9800000000000002E-2</v>
      </c>
      <c r="I2896" s="15">
        <v>3.2800000000000003E-2</v>
      </c>
      <c r="J2896" s="15">
        <v>-1.213414634146341</v>
      </c>
    </row>
    <row r="2897" spans="1:10" x14ac:dyDescent="0.25">
      <c r="A2897" s="2" t="s">
        <v>7939</v>
      </c>
      <c r="B2897" s="2" t="s">
        <v>7007</v>
      </c>
      <c r="C2897" s="2" t="s">
        <v>7940</v>
      </c>
      <c r="D2897" s="2" t="s">
        <v>10055</v>
      </c>
      <c r="E2897" s="15"/>
      <c r="F2897" s="15"/>
      <c r="G2897" s="15"/>
      <c r="H2897" s="15"/>
      <c r="I2897" s="15"/>
      <c r="J2897" s="15"/>
    </row>
    <row r="2898" spans="1:10" x14ac:dyDescent="0.25">
      <c r="A2898" s="2" t="s">
        <v>7941</v>
      </c>
      <c r="B2898" s="2" t="s">
        <v>7007</v>
      </c>
      <c r="C2898" s="2" t="s">
        <v>7942</v>
      </c>
      <c r="D2898" s="2" t="s">
        <v>10055</v>
      </c>
      <c r="E2898" s="15"/>
      <c r="F2898" s="15"/>
      <c r="G2898" s="15"/>
      <c r="H2898" s="15">
        <v>-9.0971999999999996E-5</v>
      </c>
      <c r="I2898" s="15">
        <v>3.3300000000000003E-2</v>
      </c>
      <c r="J2898" s="15">
        <v>-2.7318918918918921E-3</v>
      </c>
    </row>
    <row r="2899" spans="1:10" x14ac:dyDescent="0.25">
      <c r="A2899" s="2" t="s">
        <v>7943</v>
      </c>
      <c r="B2899" s="2" t="s">
        <v>7007</v>
      </c>
      <c r="C2899" s="2" t="s">
        <v>7944</v>
      </c>
      <c r="D2899" s="2" t="s">
        <v>10055</v>
      </c>
      <c r="E2899" s="15"/>
      <c r="F2899" s="15"/>
      <c r="G2899" s="15"/>
      <c r="H2899" s="15">
        <v>-5.3E-3</v>
      </c>
      <c r="I2899" s="15">
        <v>3.5000000000000003E-2</v>
      </c>
      <c r="J2899" s="15">
        <v>-0.15142857142857141</v>
      </c>
    </row>
    <row r="2900" spans="1:10" x14ac:dyDescent="0.25">
      <c r="A2900" s="2" t="s">
        <v>7945</v>
      </c>
      <c r="B2900" s="2" t="s">
        <v>7007</v>
      </c>
      <c r="C2900" s="2" t="s">
        <v>7946</v>
      </c>
      <c r="D2900" s="2" t="s">
        <v>10055</v>
      </c>
      <c r="E2900" s="15">
        <v>-6.9699999999999998E-2</v>
      </c>
      <c r="F2900" s="15">
        <v>0.1925</v>
      </c>
      <c r="G2900" s="15">
        <v>0.71709999999999996</v>
      </c>
      <c r="H2900" s="15">
        <v>3.04E-2</v>
      </c>
      <c r="I2900" s="15">
        <v>3.7100000000000001E-2</v>
      </c>
      <c r="J2900" s="15">
        <v>0.81940700808625333</v>
      </c>
    </row>
    <row r="2901" spans="1:10" x14ac:dyDescent="0.25">
      <c r="A2901" s="2" t="s">
        <v>7947</v>
      </c>
      <c r="B2901" s="2" t="s">
        <v>7007</v>
      </c>
      <c r="C2901" s="2" t="s">
        <v>7948</v>
      </c>
      <c r="D2901" s="2" t="s">
        <v>10055</v>
      </c>
      <c r="E2901" s="15">
        <v>6.5299999999999997E-2</v>
      </c>
      <c r="F2901" s="15">
        <v>0.15459999999999999</v>
      </c>
      <c r="G2901" s="15">
        <v>0.67300000000000004</v>
      </c>
      <c r="H2901" s="15">
        <v>4.65E-2</v>
      </c>
      <c r="I2901" s="15">
        <v>3.9100000000000003E-2</v>
      </c>
      <c r="J2901" s="15">
        <v>1.1892583120204601</v>
      </c>
    </row>
    <row r="2902" spans="1:10" x14ac:dyDescent="0.25">
      <c r="A2902" s="2" t="s">
        <v>7949</v>
      </c>
      <c r="B2902" s="2" t="s">
        <v>7007</v>
      </c>
      <c r="C2902" s="2" t="s">
        <v>7950</v>
      </c>
      <c r="D2902" s="2" t="s">
        <v>10055</v>
      </c>
      <c r="E2902" s="15">
        <v>-0.2954</v>
      </c>
      <c r="F2902" s="15">
        <v>0.48039999999999999</v>
      </c>
      <c r="G2902" s="15">
        <v>0.53859999999999997</v>
      </c>
      <c r="H2902" s="15">
        <v>1.4999999999999999E-2</v>
      </c>
      <c r="I2902" s="15">
        <v>3.6200000000000003E-2</v>
      </c>
      <c r="J2902" s="15">
        <v>0.41436464088397779</v>
      </c>
    </row>
    <row r="2903" spans="1:10" x14ac:dyDescent="0.25">
      <c r="A2903" s="2" t="s">
        <v>7951</v>
      </c>
      <c r="B2903" s="2" t="s">
        <v>7007</v>
      </c>
      <c r="C2903" s="2" t="s">
        <v>7952</v>
      </c>
      <c r="D2903" s="2" t="s">
        <v>10055</v>
      </c>
      <c r="E2903" s="15">
        <v>-4.1999999999999997E-3</v>
      </c>
      <c r="F2903" s="15">
        <v>9.3899999999999997E-2</v>
      </c>
      <c r="G2903" s="15">
        <v>0.9647</v>
      </c>
      <c r="H2903" s="15">
        <v>0.1346</v>
      </c>
      <c r="I2903" s="15">
        <v>5.4199999999999998E-2</v>
      </c>
      <c r="J2903" s="15">
        <v>2.4833948339483389</v>
      </c>
    </row>
    <row r="2904" spans="1:10" x14ac:dyDescent="0.25">
      <c r="A2904" s="2" t="s">
        <v>7953</v>
      </c>
      <c r="B2904" s="2" t="s">
        <v>7007</v>
      </c>
      <c r="C2904" s="2" t="s">
        <v>7954</v>
      </c>
      <c r="D2904" s="2" t="s">
        <v>10055</v>
      </c>
      <c r="E2904" s="15">
        <v>-0.1138</v>
      </c>
      <c r="F2904" s="15">
        <v>0.19400000000000001</v>
      </c>
      <c r="G2904" s="15">
        <v>0.5575</v>
      </c>
      <c r="H2904" s="15">
        <v>3.0300000000000001E-2</v>
      </c>
      <c r="I2904" s="15">
        <v>3.8399999999999997E-2</v>
      </c>
      <c r="J2904" s="15">
        <v>0.78906250000000011</v>
      </c>
    </row>
    <row r="2905" spans="1:10" x14ac:dyDescent="0.25">
      <c r="A2905" s="2" t="s">
        <v>7955</v>
      </c>
      <c r="B2905" s="2" t="s">
        <v>7007</v>
      </c>
      <c r="C2905" s="2" t="s">
        <v>7956</v>
      </c>
      <c r="D2905" s="2" t="s">
        <v>10055</v>
      </c>
      <c r="E2905" s="15"/>
      <c r="F2905" s="15"/>
      <c r="G2905" s="15"/>
      <c r="H2905" s="15">
        <v>-2.7300000000000001E-2</v>
      </c>
      <c r="I2905" s="15">
        <v>3.5400000000000001E-2</v>
      </c>
      <c r="J2905" s="15">
        <v>-0.77118644067796616</v>
      </c>
    </row>
    <row r="2906" spans="1:10" x14ac:dyDescent="0.25">
      <c r="A2906" s="2" t="s">
        <v>7957</v>
      </c>
      <c r="B2906" s="2" t="s">
        <v>7007</v>
      </c>
      <c r="C2906" s="2" t="s">
        <v>7958</v>
      </c>
      <c r="D2906" s="2" t="s">
        <v>10055</v>
      </c>
      <c r="E2906" s="15">
        <v>0.19389999999999999</v>
      </c>
      <c r="F2906" s="15">
        <v>0.13550000000000001</v>
      </c>
      <c r="G2906" s="15">
        <v>0.15240000000000001</v>
      </c>
      <c r="H2906" s="15">
        <v>6.9400000000000003E-2</v>
      </c>
      <c r="I2906" s="15">
        <v>3.73E-2</v>
      </c>
      <c r="J2906" s="15">
        <v>1.86058981233244</v>
      </c>
    </row>
    <row r="2907" spans="1:10" x14ac:dyDescent="0.25">
      <c r="A2907" s="2" t="s">
        <v>7959</v>
      </c>
      <c r="B2907" s="2" t="s">
        <v>7007</v>
      </c>
      <c r="C2907" s="2" t="s">
        <v>7960</v>
      </c>
      <c r="D2907" s="2" t="s">
        <v>10055</v>
      </c>
      <c r="E2907" s="15"/>
      <c r="F2907" s="15"/>
      <c r="G2907" s="15"/>
      <c r="H2907" s="15">
        <v>-8.0000000000000004E-4</v>
      </c>
      <c r="I2907" s="15">
        <v>3.61E-2</v>
      </c>
      <c r="J2907" s="15">
        <v>-2.2160664819944598E-2</v>
      </c>
    </row>
    <row r="2908" spans="1:10" x14ac:dyDescent="0.25">
      <c r="A2908" s="2" t="s">
        <v>7961</v>
      </c>
      <c r="B2908" s="2" t="s">
        <v>7007</v>
      </c>
      <c r="C2908" s="2" t="s">
        <v>7962</v>
      </c>
      <c r="D2908" s="2" t="s">
        <v>10055</v>
      </c>
      <c r="E2908" s="15"/>
      <c r="F2908" s="15"/>
      <c r="G2908" s="15"/>
      <c r="H2908" s="15">
        <v>-3.7600000000000001E-2</v>
      </c>
      <c r="I2908" s="15">
        <v>3.5200000000000002E-2</v>
      </c>
      <c r="J2908" s="15">
        <v>-1.0681818181818179</v>
      </c>
    </row>
    <row r="2909" spans="1:10" x14ac:dyDescent="0.25">
      <c r="A2909" s="2" t="s">
        <v>7963</v>
      </c>
      <c r="B2909" s="2" t="s">
        <v>7007</v>
      </c>
      <c r="C2909" s="2" t="s">
        <v>7964</v>
      </c>
      <c r="D2909" s="2" t="s">
        <v>10055</v>
      </c>
      <c r="E2909" s="15">
        <v>-4.2200000000000001E-2</v>
      </c>
      <c r="F2909" s="15">
        <v>0.18390000000000001</v>
      </c>
      <c r="G2909" s="15">
        <v>0.81859999999999999</v>
      </c>
      <c r="H2909" s="15">
        <v>3.49E-2</v>
      </c>
      <c r="I2909" s="15">
        <v>3.6400000000000002E-2</v>
      </c>
      <c r="J2909" s="15">
        <v>0.95879120879120872</v>
      </c>
    </row>
    <row r="2910" spans="1:10" x14ac:dyDescent="0.25">
      <c r="A2910" s="2" t="s">
        <v>7965</v>
      </c>
      <c r="B2910" s="2" t="s">
        <v>7007</v>
      </c>
      <c r="C2910" s="2" t="s">
        <v>7966</v>
      </c>
      <c r="D2910" s="2" t="s">
        <v>10055</v>
      </c>
      <c r="E2910" s="15">
        <v>-6.2300000000000001E-2</v>
      </c>
      <c r="F2910" s="15">
        <v>0.18770000000000001</v>
      </c>
      <c r="G2910" s="15">
        <v>0.74</v>
      </c>
      <c r="H2910" s="15">
        <v>2.93E-2</v>
      </c>
      <c r="I2910" s="15">
        <v>3.6299999999999999E-2</v>
      </c>
      <c r="J2910" s="15">
        <v>0.80716253443526176</v>
      </c>
    </row>
    <row r="2911" spans="1:10" x14ac:dyDescent="0.25">
      <c r="A2911" s="2" t="s">
        <v>7967</v>
      </c>
      <c r="B2911" s="2" t="s">
        <v>7007</v>
      </c>
      <c r="C2911" s="2" t="s">
        <v>7968</v>
      </c>
      <c r="D2911" s="2" t="s">
        <v>10055</v>
      </c>
      <c r="E2911" s="15"/>
      <c r="F2911" s="15"/>
      <c r="G2911" s="15"/>
      <c r="H2911" s="15">
        <v>-2.3800000000000002E-2</v>
      </c>
      <c r="I2911" s="15">
        <v>3.8699999999999998E-2</v>
      </c>
      <c r="J2911" s="15">
        <v>-0.61498708010335923</v>
      </c>
    </row>
    <row r="2912" spans="1:10" x14ac:dyDescent="0.25">
      <c r="A2912" s="2" t="s">
        <v>7969</v>
      </c>
      <c r="B2912" s="2" t="s">
        <v>7007</v>
      </c>
      <c r="C2912" s="2" t="s">
        <v>7970</v>
      </c>
      <c r="D2912" s="2" t="s">
        <v>10055</v>
      </c>
      <c r="E2912" s="15">
        <v>-4.5999999999999999E-3</v>
      </c>
      <c r="F2912" s="15">
        <v>0.18149999999999999</v>
      </c>
      <c r="G2912" s="15">
        <v>0.97970000000000002</v>
      </c>
      <c r="H2912" s="15">
        <v>4.0899999999999999E-2</v>
      </c>
      <c r="I2912" s="15">
        <v>3.5799999999999998E-2</v>
      </c>
      <c r="J2912" s="15">
        <v>1.1424581005586589</v>
      </c>
    </row>
    <row r="2913" spans="1:10" x14ac:dyDescent="0.25">
      <c r="A2913" s="2" t="s">
        <v>7971</v>
      </c>
      <c r="B2913" s="2" t="s">
        <v>7007</v>
      </c>
      <c r="C2913" s="2" t="s">
        <v>7972</v>
      </c>
      <c r="D2913" s="2" t="s">
        <v>10055</v>
      </c>
      <c r="E2913" s="15"/>
      <c r="F2913" s="15"/>
      <c r="G2913" s="15"/>
      <c r="H2913" s="15">
        <v>-4.9399999999999999E-2</v>
      </c>
      <c r="I2913" s="15">
        <v>3.5700000000000003E-2</v>
      </c>
      <c r="J2913" s="15">
        <v>-1.38375350140056</v>
      </c>
    </row>
    <row r="2914" spans="1:10" x14ac:dyDescent="0.25">
      <c r="A2914" s="2" t="s">
        <v>7973</v>
      </c>
      <c r="B2914" s="2" t="s">
        <v>7007</v>
      </c>
      <c r="C2914" s="2" t="s">
        <v>7974</v>
      </c>
      <c r="D2914" s="2" t="s">
        <v>10055</v>
      </c>
      <c r="E2914" s="15">
        <v>2.4299999999999999E-2</v>
      </c>
      <c r="F2914" s="15">
        <v>0.10730000000000001</v>
      </c>
      <c r="G2914" s="15">
        <v>0.82079999999999997</v>
      </c>
      <c r="H2914" s="15">
        <v>8.2500000000000004E-2</v>
      </c>
      <c r="I2914" s="15">
        <v>3.6799999999999999E-2</v>
      </c>
      <c r="J2914" s="15">
        <v>2.241847826086957</v>
      </c>
    </row>
    <row r="2915" spans="1:10" x14ac:dyDescent="0.25">
      <c r="A2915" s="2" t="s">
        <v>7975</v>
      </c>
      <c r="B2915" s="2" t="s">
        <v>7007</v>
      </c>
      <c r="C2915" s="2" t="s">
        <v>7976</v>
      </c>
      <c r="D2915" s="2" t="s">
        <v>10055</v>
      </c>
      <c r="E2915" s="15">
        <v>-1.0200000000000001E-2</v>
      </c>
      <c r="F2915" s="15">
        <v>0.11210000000000001</v>
      </c>
      <c r="G2915" s="15">
        <v>0.9274</v>
      </c>
      <c r="H2915" s="15">
        <v>8.1000000000000003E-2</v>
      </c>
      <c r="I2915" s="15">
        <v>3.4500000000000003E-2</v>
      </c>
      <c r="J2915" s="15">
        <v>2.347826086956522</v>
      </c>
    </row>
    <row r="2916" spans="1:10" x14ac:dyDescent="0.25">
      <c r="A2916" s="2" t="s">
        <v>7977</v>
      </c>
      <c r="B2916" s="2" t="s">
        <v>7007</v>
      </c>
      <c r="C2916" s="2" t="s">
        <v>7978</v>
      </c>
      <c r="D2916" s="2" t="s">
        <v>10055</v>
      </c>
      <c r="E2916" s="15"/>
      <c r="F2916" s="15"/>
      <c r="G2916" s="15"/>
      <c r="H2916" s="15">
        <v>-3.9100000000000003E-2</v>
      </c>
      <c r="I2916" s="15">
        <v>3.5400000000000001E-2</v>
      </c>
      <c r="J2916" s="15">
        <v>-1.1045197740113</v>
      </c>
    </row>
    <row r="2917" spans="1:10" x14ac:dyDescent="0.25">
      <c r="A2917" s="2" t="s">
        <v>7979</v>
      </c>
      <c r="B2917" s="2" t="s">
        <v>7007</v>
      </c>
      <c r="C2917" s="2" t="s">
        <v>7980</v>
      </c>
      <c r="D2917" s="2" t="s">
        <v>10055</v>
      </c>
      <c r="E2917" s="15">
        <v>0.15709999999999999</v>
      </c>
      <c r="F2917" s="15">
        <v>0.19170000000000001</v>
      </c>
      <c r="G2917" s="15">
        <v>0.41260000000000002</v>
      </c>
      <c r="H2917" s="15">
        <v>3.8800000000000001E-2</v>
      </c>
      <c r="I2917" s="15">
        <v>3.3700000000000001E-2</v>
      </c>
      <c r="J2917" s="15">
        <v>1.1513353115727001</v>
      </c>
    </row>
    <row r="2918" spans="1:10" x14ac:dyDescent="0.25">
      <c r="A2918" s="2" t="s">
        <v>7981</v>
      </c>
      <c r="B2918" s="2" t="s">
        <v>7007</v>
      </c>
      <c r="C2918" s="2" t="s">
        <v>7982</v>
      </c>
      <c r="D2918" s="2" t="s">
        <v>10055</v>
      </c>
      <c r="E2918" s="15">
        <v>7.46E-2</v>
      </c>
      <c r="F2918" s="15">
        <v>0.1532</v>
      </c>
      <c r="G2918" s="15">
        <v>0.62619999999999998</v>
      </c>
      <c r="H2918" s="15">
        <v>4.0500000000000001E-2</v>
      </c>
      <c r="I2918" s="15">
        <v>4.0399999999999998E-2</v>
      </c>
      <c r="J2918" s="15">
        <v>1.002475247524752</v>
      </c>
    </row>
    <row r="2919" spans="1:10" x14ac:dyDescent="0.25">
      <c r="A2919" s="2" t="s">
        <v>7983</v>
      </c>
      <c r="B2919" s="2" t="s">
        <v>7007</v>
      </c>
      <c r="C2919" s="2" t="s">
        <v>7984</v>
      </c>
      <c r="D2919" s="2" t="s">
        <v>10055</v>
      </c>
      <c r="E2919" s="15">
        <v>0.1482</v>
      </c>
      <c r="F2919" s="15">
        <v>0.1303</v>
      </c>
      <c r="G2919" s="15">
        <v>0.25519999999999998</v>
      </c>
      <c r="H2919" s="15">
        <v>6.9099999999999995E-2</v>
      </c>
      <c r="I2919" s="15">
        <v>3.8100000000000002E-2</v>
      </c>
      <c r="J2919" s="15">
        <v>1.8136482939632541</v>
      </c>
    </row>
    <row r="2920" spans="1:10" x14ac:dyDescent="0.25">
      <c r="A2920" s="2" t="s">
        <v>7985</v>
      </c>
      <c r="B2920" s="2" t="s">
        <v>7007</v>
      </c>
      <c r="C2920" s="2" t="s">
        <v>7986</v>
      </c>
      <c r="D2920" s="2" t="s">
        <v>10055</v>
      </c>
      <c r="E2920" s="15">
        <v>0.24049999999999999</v>
      </c>
      <c r="F2920" s="15">
        <v>0.42730000000000001</v>
      </c>
      <c r="G2920" s="15">
        <v>0.57350000000000001</v>
      </c>
      <c r="H2920" s="15">
        <v>1.6E-2</v>
      </c>
      <c r="I2920" s="15">
        <v>4.02E-2</v>
      </c>
      <c r="J2920" s="15">
        <v>0.39800995024875618</v>
      </c>
    </row>
    <row r="2921" spans="1:10" x14ac:dyDescent="0.25">
      <c r="A2921" s="2" t="s">
        <v>7987</v>
      </c>
      <c r="B2921" s="2" t="s">
        <v>7007</v>
      </c>
      <c r="C2921" s="2" t="s">
        <v>7988</v>
      </c>
      <c r="D2921" s="2" t="s">
        <v>10055</v>
      </c>
      <c r="E2921" s="15"/>
      <c r="F2921" s="15"/>
      <c r="G2921" s="15"/>
      <c r="H2921" s="15">
        <v>-1.0500000000000001E-2</v>
      </c>
      <c r="I2921" s="15">
        <v>3.8600000000000002E-2</v>
      </c>
      <c r="J2921" s="15">
        <v>-0.27202072538860111</v>
      </c>
    </row>
    <row r="2922" spans="1:10" x14ac:dyDescent="0.25">
      <c r="A2922" s="2" t="s">
        <v>7989</v>
      </c>
      <c r="B2922" s="2" t="s">
        <v>7007</v>
      </c>
      <c r="C2922" s="2" t="s">
        <v>7990</v>
      </c>
      <c r="D2922" s="2" t="s">
        <v>10055</v>
      </c>
      <c r="E2922" s="15">
        <v>3.4599999999999999E-2</v>
      </c>
      <c r="F2922" s="15">
        <v>0.14910000000000001</v>
      </c>
      <c r="G2922" s="15">
        <v>0.81630000000000003</v>
      </c>
      <c r="H2922" s="15">
        <v>5.7200000000000001E-2</v>
      </c>
      <c r="I2922" s="15">
        <v>4.1200000000000001E-2</v>
      </c>
      <c r="J2922" s="15">
        <v>1.3883495145631071</v>
      </c>
    </row>
    <row r="2923" spans="1:10" x14ac:dyDescent="0.25">
      <c r="A2923" s="2" t="s">
        <v>7991</v>
      </c>
      <c r="B2923" s="2" t="s">
        <v>7007</v>
      </c>
      <c r="C2923" s="2" t="s">
        <v>7992</v>
      </c>
      <c r="D2923" s="2" t="s">
        <v>10055</v>
      </c>
      <c r="E2923" s="15">
        <v>0.26629999999999998</v>
      </c>
      <c r="F2923" s="15">
        <v>0.2157</v>
      </c>
      <c r="G2923" s="15">
        <v>0.217</v>
      </c>
      <c r="H2923" s="15">
        <v>4.2999999999999997E-2</v>
      </c>
      <c r="I2923" s="15">
        <v>4.4499999999999998E-2</v>
      </c>
      <c r="J2923" s="15">
        <v>0.96629213483146059</v>
      </c>
    </row>
    <row r="2924" spans="1:10" x14ac:dyDescent="0.25">
      <c r="A2924" s="2" t="s">
        <v>7993</v>
      </c>
      <c r="B2924" s="2" t="s">
        <v>7007</v>
      </c>
      <c r="C2924" s="2" t="s">
        <v>7994</v>
      </c>
      <c r="D2924" s="2" t="s">
        <v>10055</v>
      </c>
      <c r="E2924" s="15">
        <v>1.23E-2</v>
      </c>
      <c r="F2924" s="15">
        <v>0.15479999999999999</v>
      </c>
      <c r="G2924" s="15">
        <v>0.9365</v>
      </c>
      <c r="H2924" s="15">
        <v>3.85E-2</v>
      </c>
      <c r="I2924" s="15">
        <v>3.8800000000000001E-2</v>
      </c>
      <c r="J2924" s="15">
        <v>0.99226804123711332</v>
      </c>
    </row>
    <row r="2925" spans="1:10" x14ac:dyDescent="0.25">
      <c r="A2925" s="2" t="s">
        <v>7995</v>
      </c>
      <c r="B2925" s="2" t="s">
        <v>7007</v>
      </c>
      <c r="C2925" s="2" t="s">
        <v>7996</v>
      </c>
      <c r="D2925" s="2" t="s">
        <v>10055</v>
      </c>
      <c r="E2925" s="15">
        <v>-4.53E-2</v>
      </c>
      <c r="F2925" s="15">
        <v>0.12039999999999999</v>
      </c>
      <c r="G2925" s="15">
        <v>0.70660000000000001</v>
      </c>
      <c r="H2925" s="15">
        <v>5.8700000000000002E-2</v>
      </c>
      <c r="I2925" s="15">
        <v>3.6499999999999998E-2</v>
      </c>
      <c r="J2925" s="15">
        <v>1.6082191780821919</v>
      </c>
    </row>
    <row r="2926" spans="1:10" x14ac:dyDescent="0.25">
      <c r="A2926" s="2" t="s">
        <v>7997</v>
      </c>
      <c r="B2926" s="2" t="s">
        <v>7007</v>
      </c>
      <c r="C2926" s="2" t="s">
        <v>7998</v>
      </c>
      <c r="D2926" s="2" t="s">
        <v>10055</v>
      </c>
      <c r="E2926" s="15"/>
      <c r="F2926" s="15"/>
      <c r="G2926" s="15"/>
      <c r="H2926" s="15">
        <v>-1.7999999999999999E-2</v>
      </c>
      <c r="I2926" s="15">
        <v>3.8199999999999998E-2</v>
      </c>
      <c r="J2926" s="15">
        <v>-0.47120418848167539</v>
      </c>
    </row>
    <row r="2927" spans="1:10" x14ac:dyDescent="0.25">
      <c r="A2927" s="2" t="s">
        <v>7999</v>
      </c>
      <c r="B2927" s="2" t="s">
        <v>7007</v>
      </c>
      <c r="C2927" s="2" t="s">
        <v>8000</v>
      </c>
      <c r="D2927" s="2" t="s">
        <v>10055</v>
      </c>
      <c r="E2927" s="15">
        <v>7.6399999999999996E-2</v>
      </c>
      <c r="F2927" s="15">
        <v>0.19309999999999999</v>
      </c>
      <c r="G2927" s="15">
        <v>0.69220000000000004</v>
      </c>
      <c r="H2927" s="15">
        <v>3.1E-2</v>
      </c>
      <c r="I2927" s="15">
        <v>3.8899999999999997E-2</v>
      </c>
      <c r="J2927" s="15">
        <v>0.79691516709511578</v>
      </c>
    </row>
    <row r="2928" spans="1:10" x14ac:dyDescent="0.25">
      <c r="A2928" s="2" t="s">
        <v>8001</v>
      </c>
      <c r="B2928" s="2" t="s">
        <v>7007</v>
      </c>
      <c r="C2928" s="2" t="s">
        <v>8002</v>
      </c>
      <c r="D2928" s="2" t="s">
        <v>10055</v>
      </c>
      <c r="E2928" s="15">
        <v>9.8199999999999996E-2</v>
      </c>
      <c r="F2928" s="15">
        <v>0.16039999999999999</v>
      </c>
      <c r="G2928" s="15">
        <v>0.54069999999999996</v>
      </c>
      <c r="H2928" s="15">
        <v>4.24E-2</v>
      </c>
      <c r="I2928" s="15">
        <v>3.8899999999999997E-2</v>
      </c>
      <c r="J2928" s="15">
        <v>1.0899742930591261</v>
      </c>
    </row>
    <row r="2929" spans="1:10" x14ac:dyDescent="0.25">
      <c r="A2929" s="2" t="s">
        <v>8003</v>
      </c>
      <c r="B2929" s="2" t="s">
        <v>7007</v>
      </c>
      <c r="C2929" s="2" t="s">
        <v>8004</v>
      </c>
      <c r="D2929" s="2" t="s">
        <v>10055</v>
      </c>
      <c r="E2929" s="15"/>
      <c r="F2929" s="15"/>
      <c r="G2929" s="15"/>
      <c r="H2929" s="15"/>
      <c r="I2929" s="15"/>
      <c r="J2929" s="15"/>
    </row>
    <row r="2930" spans="1:10" x14ac:dyDescent="0.25">
      <c r="A2930" s="2" t="s">
        <v>8005</v>
      </c>
      <c r="B2930" s="2" t="s">
        <v>7007</v>
      </c>
      <c r="C2930" s="2" t="s">
        <v>8006</v>
      </c>
      <c r="D2930" s="2" t="s">
        <v>10055</v>
      </c>
      <c r="E2930" s="15">
        <v>-0.1673</v>
      </c>
      <c r="F2930" s="15">
        <v>0.11600000000000001</v>
      </c>
      <c r="G2930" s="15">
        <v>0.14910000000000001</v>
      </c>
      <c r="H2930" s="15">
        <v>8.8099999999999998E-2</v>
      </c>
      <c r="I2930" s="15">
        <v>4.1000000000000002E-2</v>
      </c>
      <c r="J2930" s="15">
        <v>2.1487804878048782</v>
      </c>
    </row>
    <row r="2931" spans="1:10" x14ac:dyDescent="0.25">
      <c r="A2931" s="2" t="s">
        <v>8007</v>
      </c>
      <c r="B2931" s="2" t="s">
        <v>7007</v>
      </c>
      <c r="C2931" s="2" t="s">
        <v>8008</v>
      </c>
      <c r="D2931" s="2" t="s">
        <v>10055</v>
      </c>
      <c r="E2931" s="15">
        <v>8.4699999999999998E-2</v>
      </c>
      <c r="F2931" s="15">
        <v>0.11260000000000001</v>
      </c>
      <c r="G2931" s="15">
        <v>0.45219999999999999</v>
      </c>
      <c r="H2931" s="15">
        <v>0.10199999999999999</v>
      </c>
      <c r="I2931" s="15">
        <v>3.8300000000000001E-2</v>
      </c>
      <c r="J2931" s="15">
        <v>2.6631853785900779</v>
      </c>
    </row>
    <row r="2932" spans="1:10" x14ac:dyDescent="0.25">
      <c r="A2932" s="2" t="s">
        <v>8009</v>
      </c>
      <c r="B2932" s="2" t="s">
        <v>7007</v>
      </c>
      <c r="C2932" s="2" t="s">
        <v>8010</v>
      </c>
      <c r="D2932" s="2" t="s">
        <v>10055</v>
      </c>
      <c r="E2932" s="15"/>
      <c r="F2932" s="15"/>
      <c r="G2932" s="15"/>
      <c r="H2932" s="15">
        <v>-9.1999999999999998E-3</v>
      </c>
      <c r="I2932" s="15">
        <v>3.8699999999999998E-2</v>
      </c>
      <c r="J2932" s="15">
        <v>-0.23772609819121451</v>
      </c>
    </row>
    <row r="2933" spans="1:10" x14ac:dyDescent="0.25">
      <c r="A2933" s="2" t="s">
        <v>8011</v>
      </c>
      <c r="B2933" s="2" t="s">
        <v>7007</v>
      </c>
      <c r="C2933" s="2" t="s">
        <v>8012</v>
      </c>
      <c r="D2933" s="2" t="s">
        <v>10055</v>
      </c>
      <c r="E2933" s="15">
        <v>0.2056</v>
      </c>
      <c r="F2933" s="15">
        <v>8.7900000000000006E-2</v>
      </c>
      <c r="G2933" s="15">
        <v>1.9300000000000001E-2</v>
      </c>
      <c r="H2933" s="15">
        <v>0.16830000000000001</v>
      </c>
      <c r="I2933" s="15">
        <v>4.7600000000000003E-2</v>
      </c>
      <c r="J2933" s="15">
        <v>3.535714285714286</v>
      </c>
    </row>
    <row r="2934" spans="1:10" x14ac:dyDescent="0.25">
      <c r="A2934" s="2" t="s">
        <v>8013</v>
      </c>
      <c r="B2934" s="2" t="s">
        <v>7007</v>
      </c>
      <c r="C2934" s="2" t="s">
        <v>8014</v>
      </c>
      <c r="D2934" s="2" t="s">
        <v>10055</v>
      </c>
      <c r="E2934" s="15"/>
      <c r="F2934" s="15"/>
      <c r="G2934" s="15"/>
      <c r="H2934" s="15">
        <v>-3.0300000000000001E-2</v>
      </c>
      <c r="I2934" s="15">
        <v>3.5099999999999999E-2</v>
      </c>
      <c r="J2934" s="15">
        <v>-0.86324786324786329</v>
      </c>
    </row>
    <row r="2935" spans="1:10" x14ac:dyDescent="0.25">
      <c r="A2935" s="2" t="s">
        <v>8015</v>
      </c>
      <c r="B2935" s="2" t="s">
        <v>7007</v>
      </c>
      <c r="C2935" s="2" t="s">
        <v>8016</v>
      </c>
      <c r="D2935" s="2" t="s">
        <v>10055</v>
      </c>
      <c r="E2935" s="15"/>
      <c r="F2935" s="15"/>
      <c r="G2935" s="15"/>
      <c r="H2935" s="15"/>
      <c r="I2935" s="15"/>
      <c r="J2935" s="15"/>
    </row>
    <row r="2936" spans="1:10" x14ac:dyDescent="0.25">
      <c r="A2936" s="2" t="s">
        <v>8017</v>
      </c>
      <c r="B2936" s="2" t="s">
        <v>7007</v>
      </c>
      <c r="C2936" s="2" t="s">
        <v>8018</v>
      </c>
      <c r="D2936" s="2" t="s">
        <v>10055</v>
      </c>
      <c r="E2936" s="15">
        <v>-0.22589999999999999</v>
      </c>
      <c r="F2936" s="15">
        <v>0.25590000000000002</v>
      </c>
      <c r="G2936" s="15">
        <v>0.37740000000000001</v>
      </c>
      <c r="H2936" s="15">
        <v>2.64E-2</v>
      </c>
      <c r="I2936" s="15">
        <v>3.7900000000000003E-2</v>
      </c>
      <c r="J2936" s="15">
        <v>0.69656992084432712</v>
      </c>
    </row>
    <row r="2937" spans="1:10" x14ac:dyDescent="0.25">
      <c r="A2937" s="2" t="s">
        <v>8019</v>
      </c>
      <c r="B2937" s="2" t="s">
        <v>7007</v>
      </c>
      <c r="C2937" s="2" t="s">
        <v>8020</v>
      </c>
      <c r="D2937" s="2" t="s">
        <v>10055</v>
      </c>
      <c r="E2937" s="15">
        <v>9.0700000000000003E-2</v>
      </c>
      <c r="F2937" s="15">
        <v>9.2399999999999996E-2</v>
      </c>
      <c r="G2937" s="15">
        <v>0.32600000000000001</v>
      </c>
      <c r="H2937" s="15">
        <v>0.1424</v>
      </c>
      <c r="I2937" s="15">
        <v>4.4200000000000003E-2</v>
      </c>
      <c r="J2937" s="15">
        <v>3.2217194570135739</v>
      </c>
    </row>
    <row r="2938" spans="1:10" x14ac:dyDescent="0.25">
      <c r="A2938" s="2" t="s">
        <v>8021</v>
      </c>
      <c r="B2938" s="2" t="s">
        <v>7007</v>
      </c>
      <c r="C2938" s="2" t="s">
        <v>8022</v>
      </c>
      <c r="D2938" s="2" t="s">
        <v>10055</v>
      </c>
      <c r="E2938" s="15">
        <v>-1.37E-2</v>
      </c>
      <c r="F2938" s="15">
        <v>0.13789999999999999</v>
      </c>
      <c r="G2938" s="15">
        <v>0.92079999999999995</v>
      </c>
      <c r="H2938" s="15">
        <v>6.0400000000000002E-2</v>
      </c>
      <c r="I2938" s="15">
        <v>4.0599999999999997E-2</v>
      </c>
      <c r="J2938" s="15">
        <v>1.48768472906404</v>
      </c>
    </row>
    <row r="2939" spans="1:10" x14ac:dyDescent="0.25">
      <c r="A2939" s="2" t="s">
        <v>8023</v>
      </c>
      <c r="B2939" s="2" t="s">
        <v>7007</v>
      </c>
      <c r="C2939" s="2" t="s">
        <v>8024</v>
      </c>
      <c r="D2939" s="2" t="s">
        <v>10055</v>
      </c>
      <c r="E2939" s="15">
        <v>-0.1462</v>
      </c>
      <c r="F2939" s="15">
        <v>0.1016</v>
      </c>
      <c r="G2939" s="15">
        <v>0.15</v>
      </c>
      <c r="H2939" s="15">
        <v>0.1308</v>
      </c>
      <c r="I2939" s="15">
        <v>4.07E-2</v>
      </c>
      <c r="J2939" s="15">
        <v>3.2137592137592139</v>
      </c>
    </row>
    <row r="2940" spans="1:10" x14ac:dyDescent="0.25">
      <c r="A2940" s="2" t="s">
        <v>8025</v>
      </c>
      <c r="B2940" s="2" t="s">
        <v>7007</v>
      </c>
      <c r="C2940" s="2" t="s">
        <v>8026</v>
      </c>
      <c r="D2940" s="2" t="s">
        <v>10055</v>
      </c>
      <c r="E2940" s="15">
        <v>-2.0799999999999999E-2</v>
      </c>
      <c r="F2940" s="15">
        <v>0.14319999999999999</v>
      </c>
      <c r="G2940" s="15">
        <v>0.88429999999999997</v>
      </c>
      <c r="H2940" s="15">
        <v>5.4100000000000002E-2</v>
      </c>
      <c r="I2940" s="15">
        <v>3.9E-2</v>
      </c>
      <c r="J2940" s="15">
        <v>1.3871794871794869</v>
      </c>
    </row>
    <row r="2941" spans="1:10" x14ac:dyDescent="0.25">
      <c r="A2941" s="2" t="s">
        <v>8027</v>
      </c>
      <c r="B2941" s="2" t="s">
        <v>7007</v>
      </c>
      <c r="C2941" s="2" t="s">
        <v>8028</v>
      </c>
      <c r="D2941" s="2" t="s">
        <v>10055</v>
      </c>
      <c r="E2941" s="15">
        <v>0.42370000000000002</v>
      </c>
      <c r="F2941" s="15">
        <v>0.53839999999999999</v>
      </c>
      <c r="G2941" s="15">
        <v>0.43120000000000003</v>
      </c>
      <c r="H2941" s="15">
        <v>1.7399999999999999E-2</v>
      </c>
      <c r="I2941" s="15">
        <v>3.5499999999999997E-2</v>
      </c>
      <c r="J2941" s="15">
        <v>0.49014084507042249</v>
      </c>
    </row>
    <row r="2942" spans="1:10" x14ac:dyDescent="0.25">
      <c r="A2942" s="2" t="s">
        <v>8029</v>
      </c>
      <c r="B2942" s="2" t="s">
        <v>7007</v>
      </c>
      <c r="C2942" s="2" t="s">
        <v>8030</v>
      </c>
      <c r="D2942" s="2" t="s">
        <v>10055</v>
      </c>
      <c r="E2942" s="15"/>
      <c r="F2942" s="15"/>
      <c r="G2942" s="15"/>
      <c r="H2942" s="15">
        <v>-1.9199999999999998E-2</v>
      </c>
      <c r="I2942" s="15">
        <v>3.8800000000000001E-2</v>
      </c>
      <c r="J2942" s="15">
        <v>-0.49484536082474218</v>
      </c>
    </row>
    <row r="2943" spans="1:10" x14ac:dyDescent="0.25">
      <c r="A2943" s="2" t="s">
        <v>8031</v>
      </c>
      <c r="B2943" s="2" t="s">
        <v>7007</v>
      </c>
      <c r="C2943" s="2" t="s">
        <v>8032</v>
      </c>
      <c r="D2943" s="2" t="s">
        <v>10055</v>
      </c>
      <c r="E2943" s="15">
        <v>-8.2100000000000006E-2</v>
      </c>
      <c r="F2943" s="15">
        <v>0.33360000000000001</v>
      </c>
      <c r="G2943" s="15">
        <v>0.80569999999999997</v>
      </c>
      <c r="H2943" s="15">
        <v>1.2200000000000001E-2</v>
      </c>
      <c r="I2943" s="15">
        <v>3.5799999999999998E-2</v>
      </c>
      <c r="J2943" s="15">
        <v>0.34078212290502802</v>
      </c>
    </row>
    <row r="2944" spans="1:10" x14ac:dyDescent="0.25">
      <c r="A2944" s="2" t="s">
        <v>8033</v>
      </c>
      <c r="B2944" s="2" t="s">
        <v>7007</v>
      </c>
      <c r="C2944" s="2" t="s">
        <v>8034</v>
      </c>
      <c r="D2944" s="2" t="s">
        <v>10055</v>
      </c>
      <c r="E2944" s="15">
        <v>-0.1084</v>
      </c>
      <c r="F2944" s="15">
        <v>0.21829999999999999</v>
      </c>
      <c r="G2944" s="15">
        <v>0.61929999999999996</v>
      </c>
      <c r="H2944" s="15">
        <v>3.0099999999999998E-2</v>
      </c>
      <c r="I2944" s="15">
        <v>4.1300000000000003E-2</v>
      </c>
      <c r="J2944" s="15">
        <v>0.72881355932203384</v>
      </c>
    </row>
    <row r="2945" spans="1:10" x14ac:dyDescent="0.25">
      <c r="A2945" s="2" t="s">
        <v>8035</v>
      </c>
      <c r="B2945" s="2" t="s">
        <v>7007</v>
      </c>
      <c r="C2945" s="2" t="s">
        <v>8036</v>
      </c>
      <c r="D2945" s="2" t="s">
        <v>10055</v>
      </c>
      <c r="E2945" s="15">
        <v>-0.13619999999999999</v>
      </c>
      <c r="F2945" s="15">
        <v>0.15820000000000001</v>
      </c>
      <c r="G2945" s="15">
        <v>0.38919999999999999</v>
      </c>
      <c r="H2945" s="15">
        <v>4.7100000000000003E-2</v>
      </c>
      <c r="I2945" s="15">
        <v>3.6799999999999999E-2</v>
      </c>
      <c r="J2945" s="15">
        <v>1.2798913043478259</v>
      </c>
    </row>
    <row r="2946" spans="1:10" x14ac:dyDescent="0.25">
      <c r="A2946" s="2" t="s">
        <v>8037</v>
      </c>
      <c r="B2946" s="2" t="s">
        <v>7007</v>
      </c>
      <c r="C2946" s="2" t="s">
        <v>8038</v>
      </c>
      <c r="D2946" s="2" t="s">
        <v>10055</v>
      </c>
      <c r="E2946" s="15">
        <v>0.1636</v>
      </c>
      <c r="F2946" s="15">
        <v>0.1283</v>
      </c>
      <c r="G2946" s="15">
        <v>0.20230000000000001</v>
      </c>
      <c r="H2946" s="15">
        <v>7.1099999999999997E-2</v>
      </c>
      <c r="I2946" s="15">
        <v>3.8699999999999998E-2</v>
      </c>
      <c r="J2946" s="15">
        <v>1.8372093023255811</v>
      </c>
    </row>
    <row r="2947" spans="1:10" x14ac:dyDescent="0.25">
      <c r="A2947" s="2" t="s">
        <v>8039</v>
      </c>
      <c r="B2947" s="2" t="s">
        <v>7007</v>
      </c>
      <c r="C2947" s="2" t="s">
        <v>8040</v>
      </c>
      <c r="D2947" s="2" t="s">
        <v>10055</v>
      </c>
      <c r="E2947" s="15">
        <v>-2.3800000000000002E-2</v>
      </c>
      <c r="F2947" s="15">
        <v>0.1032</v>
      </c>
      <c r="G2947" s="15">
        <v>0.81730000000000003</v>
      </c>
      <c r="H2947" s="15">
        <v>9.4799999999999995E-2</v>
      </c>
      <c r="I2947" s="15">
        <v>3.7900000000000003E-2</v>
      </c>
      <c r="J2947" s="15">
        <v>2.5013192612137201</v>
      </c>
    </row>
    <row r="2948" spans="1:10" x14ac:dyDescent="0.25">
      <c r="A2948" s="2" t="s">
        <v>8041</v>
      </c>
      <c r="B2948" s="2" t="s">
        <v>7007</v>
      </c>
      <c r="C2948" s="2" t="s">
        <v>8042</v>
      </c>
      <c r="D2948" s="2" t="s">
        <v>10055</v>
      </c>
      <c r="E2948" s="15">
        <v>-6.3700000000000007E-2</v>
      </c>
      <c r="F2948" s="15">
        <v>0.21440000000000001</v>
      </c>
      <c r="G2948" s="15">
        <v>0.76619999999999999</v>
      </c>
      <c r="H2948" s="15">
        <v>2.01E-2</v>
      </c>
      <c r="I2948" s="15">
        <v>4.1599999999999998E-2</v>
      </c>
      <c r="J2948" s="15">
        <v>0.48317307692307693</v>
      </c>
    </row>
    <row r="2949" spans="1:10" x14ac:dyDescent="0.25">
      <c r="A2949" s="2" t="s">
        <v>8043</v>
      </c>
      <c r="B2949" s="2" t="s">
        <v>7007</v>
      </c>
      <c r="C2949" s="2" t="s">
        <v>8044</v>
      </c>
      <c r="D2949" s="2" t="s">
        <v>10055</v>
      </c>
      <c r="E2949" s="15">
        <v>-1.1599999999999999E-2</v>
      </c>
      <c r="F2949" s="15">
        <v>0.15629999999999999</v>
      </c>
      <c r="G2949" s="15">
        <v>0.94069999999999998</v>
      </c>
      <c r="H2949" s="15">
        <v>3.8899999999999997E-2</v>
      </c>
      <c r="I2949" s="15">
        <v>3.8800000000000001E-2</v>
      </c>
      <c r="J2949" s="15">
        <v>1.0025773195876291</v>
      </c>
    </row>
    <row r="2950" spans="1:10" x14ac:dyDescent="0.25">
      <c r="A2950" s="2" t="s">
        <v>8045</v>
      </c>
      <c r="B2950" s="2" t="s">
        <v>7007</v>
      </c>
      <c r="C2950" s="2" t="s">
        <v>8046</v>
      </c>
      <c r="D2950" s="2" t="s">
        <v>10055</v>
      </c>
      <c r="E2950" s="15">
        <v>6.6299999999999998E-2</v>
      </c>
      <c r="F2950" s="15">
        <v>0.25390000000000001</v>
      </c>
      <c r="G2950" s="15">
        <v>0.79390000000000005</v>
      </c>
      <c r="H2950" s="15">
        <v>2.2800000000000001E-2</v>
      </c>
      <c r="I2950" s="15">
        <v>4.2000000000000003E-2</v>
      </c>
      <c r="J2950" s="15">
        <v>0.54285714285714282</v>
      </c>
    </row>
    <row r="2951" spans="1:10" x14ac:dyDescent="0.25">
      <c r="A2951" s="2" t="s">
        <v>8047</v>
      </c>
      <c r="B2951" s="2" t="s">
        <v>7007</v>
      </c>
      <c r="C2951" s="2" t="s">
        <v>8048</v>
      </c>
      <c r="D2951" s="2" t="s">
        <v>10055</v>
      </c>
      <c r="E2951" s="15">
        <v>-6.4000000000000003E-3</v>
      </c>
      <c r="F2951" s="15">
        <v>0.1162</v>
      </c>
      <c r="G2951" s="15">
        <v>0.95620000000000005</v>
      </c>
      <c r="H2951" s="15">
        <v>7.8799999999999995E-2</v>
      </c>
      <c r="I2951" s="15">
        <v>4.2000000000000003E-2</v>
      </c>
      <c r="J2951" s="15">
        <v>1.876190476190476</v>
      </c>
    </row>
    <row r="2952" spans="1:10" x14ac:dyDescent="0.25">
      <c r="A2952" s="2" t="s">
        <v>8049</v>
      </c>
      <c r="B2952" s="2" t="s">
        <v>7007</v>
      </c>
      <c r="C2952" s="2" t="s">
        <v>8050</v>
      </c>
      <c r="D2952" s="2" t="s">
        <v>10055</v>
      </c>
      <c r="E2952" s="15">
        <v>0.41599999999999998</v>
      </c>
      <c r="F2952" s="15">
        <v>1.4325000000000001</v>
      </c>
      <c r="G2952" s="15">
        <v>0.77149999999999996</v>
      </c>
      <c r="H2952" s="15">
        <v>9.1000000000000004E-3</v>
      </c>
      <c r="I2952" s="15">
        <v>3.5299999999999998E-2</v>
      </c>
      <c r="J2952" s="15">
        <v>0.25779036827195467</v>
      </c>
    </row>
    <row r="2953" spans="1:10" x14ac:dyDescent="0.25">
      <c r="A2953" s="2" t="s">
        <v>8051</v>
      </c>
      <c r="B2953" s="2" t="s">
        <v>7007</v>
      </c>
      <c r="C2953" s="2" t="s">
        <v>8052</v>
      </c>
      <c r="D2953" s="2" t="s">
        <v>10055</v>
      </c>
      <c r="E2953" s="15"/>
      <c r="F2953" s="15"/>
      <c r="G2953" s="15"/>
      <c r="H2953" s="15">
        <v>-2.18E-2</v>
      </c>
      <c r="I2953" s="15">
        <v>3.5799999999999998E-2</v>
      </c>
      <c r="J2953" s="15">
        <v>-0.60893854748603349</v>
      </c>
    </row>
    <row r="2954" spans="1:10" x14ac:dyDescent="0.25">
      <c r="A2954" s="2" t="s">
        <v>8053</v>
      </c>
      <c r="B2954" s="2" t="s">
        <v>7007</v>
      </c>
      <c r="C2954" s="2" t="s">
        <v>8054</v>
      </c>
      <c r="D2954" s="2" t="s">
        <v>10055</v>
      </c>
      <c r="E2954" s="15">
        <v>-5.4300000000000001E-2</v>
      </c>
      <c r="F2954" s="15">
        <v>0.1183</v>
      </c>
      <c r="G2954" s="15">
        <v>0.64639999999999997</v>
      </c>
      <c r="H2954" s="15">
        <v>7.6899999999999996E-2</v>
      </c>
      <c r="I2954" s="15">
        <v>4.24E-2</v>
      </c>
      <c r="J2954" s="15">
        <v>1.813679245283019</v>
      </c>
    </row>
    <row r="2955" spans="1:10" x14ac:dyDescent="0.25">
      <c r="A2955" s="2" t="s">
        <v>8055</v>
      </c>
      <c r="B2955" s="2" t="s">
        <v>7007</v>
      </c>
      <c r="C2955" s="2" t="s">
        <v>8056</v>
      </c>
      <c r="D2955" s="2" t="s">
        <v>10055</v>
      </c>
      <c r="E2955" s="15">
        <v>0.14069999999999999</v>
      </c>
      <c r="F2955" s="15">
        <v>0.1852</v>
      </c>
      <c r="G2955" s="15">
        <v>0.44750000000000001</v>
      </c>
      <c r="H2955" s="15">
        <v>3.0599999999999999E-2</v>
      </c>
      <c r="I2955" s="15">
        <v>3.7900000000000003E-2</v>
      </c>
      <c r="J2955" s="15">
        <v>0.80738786279683372</v>
      </c>
    </row>
    <row r="2956" spans="1:10" x14ac:dyDescent="0.25">
      <c r="A2956" s="2" t="s">
        <v>8057</v>
      </c>
      <c r="B2956" s="2" t="s">
        <v>7007</v>
      </c>
      <c r="C2956" s="2" t="s">
        <v>8058</v>
      </c>
      <c r="D2956" s="2" t="s">
        <v>10055</v>
      </c>
      <c r="E2956" s="15">
        <v>-0.28370000000000001</v>
      </c>
      <c r="F2956" s="15">
        <v>0.22839999999999999</v>
      </c>
      <c r="G2956" s="15">
        <v>0.21410000000000001</v>
      </c>
      <c r="H2956" s="15">
        <v>3.73E-2</v>
      </c>
      <c r="I2956" s="15">
        <v>3.78E-2</v>
      </c>
      <c r="J2956" s="15">
        <v>0.98677248677248675</v>
      </c>
    </row>
    <row r="2957" spans="1:10" x14ac:dyDescent="0.25">
      <c r="A2957" s="2" t="s">
        <v>8059</v>
      </c>
      <c r="B2957" s="2" t="s">
        <v>7007</v>
      </c>
      <c r="C2957" s="2" t="s">
        <v>8060</v>
      </c>
      <c r="D2957" s="2" t="s">
        <v>10055</v>
      </c>
      <c r="E2957" s="15">
        <v>-0.1512</v>
      </c>
      <c r="F2957" s="15">
        <v>0.28449999999999998</v>
      </c>
      <c r="G2957" s="15">
        <v>0.59519999999999995</v>
      </c>
      <c r="H2957" s="15">
        <v>2.12E-2</v>
      </c>
      <c r="I2957" s="15">
        <v>3.6499999999999998E-2</v>
      </c>
      <c r="J2957" s="15">
        <v>0.58082191780821923</v>
      </c>
    </row>
    <row r="2958" spans="1:10" x14ac:dyDescent="0.25">
      <c r="A2958" s="2" t="s">
        <v>8061</v>
      </c>
      <c r="B2958" s="2" t="s">
        <v>7007</v>
      </c>
      <c r="C2958" s="2" t="s">
        <v>8062</v>
      </c>
      <c r="D2958" s="2" t="s">
        <v>10055</v>
      </c>
      <c r="E2958" s="15">
        <v>6.7799999999999999E-2</v>
      </c>
      <c r="F2958" s="15">
        <v>0.13200000000000001</v>
      </c>
      <c r="G2958" s="15">
        <v>0.60740000000000005</v>
      </c>
      <c r="H2958" s="15">
        <v>7.0499999999999993E-2</v>
      </c>
      <c r="I2958" s="15">
        <v>4.0899999999999999E-2</v>
      </c>
      <c r="J2958" s="15">
        <v>1.7237163814180929</v>
      </c>
    </row>
    <row r="2959" spans="1:10" x14ac:dyDescent="0.25">
      <c r="A2959" s="2" t="s">
        <v>8063</v>
      </c>
      <c r="B2959" s="2" t="s">
        <v>7007</v>
      </c>
      <c r="C2959" s="2" t="s">
        <v>8064</v>
      </c>
      <c r="D2959" s="2" t="s">
        <v>10055</v>
      </c>
      <c r="E2959" s="15"/>
      <c r="F2959" s="15"/>
      <c r="G2959" s="15"/>
      <c r="H2959" s="15">
        <v>-4.4900000000000002E-2</v>
      </c>
      <c r="I2959" s="15">
        <v>3.5400000000000001E-2</v>
      </c>
      <c r="J2959" s="15">
        <v>-1.268361581920904</v>
      </c>
    </row>
    <row r="2960" spans="1:10" x14ac:dyDescent="0.25">
      <c r="A2960" s="2" t="s">
        <v>8065</v>
      </c>
      <c r="B2960" s="2" t="s">
        <v>7007</v>
      </c>
      <c r="C2960" s="2" t="s">
        <v>8066</v>
      </c>
      <c r="D2960" s="2" t="s">
        <v>10055</v>
      </c>
      <c r="E2960" s="15">
        <v>0.24049999999999999</v>
      </c>
      <c r="F2960" s="15">
        <v>0.11749999999999999</v>
      </c>
      <c r="G2960" s="15">
        <v>4.07E-2</v>
      </c>
      <c r="H2960" s="15">
        <v>8.8400000000000006E-2</v>
      </c>
      <c r="I2960" s="15">
        <v>3.44E-2</v>
      </c>
      <c r="J2960" s="15">
        <v>2.5697674418604648</v>
      </c>
    </row>
    <row r="2961" spans="1:10" x14ac:dyDescent="0.25">
      <c r="A2961" s="2" t="s">
        <v>8067</v>
      </c>
      <c r="B2961" s="2" t="s">
        <v>7007</v>
      </c>
      <c r="C2961" s="2" t="s">
        <v>8068</v>
      </c>
      <c r="D2961" s="2" t="s">
        <v>10055</v>
      </c>
      <c r="E2961" s="15"/>
      <c r="F2961" s="15"/>
      <c r="G2961" s="15"/>
      <c r="H2961" s="15">
        <v>-4.2500000000000003E-2</v>
      </c>
      <c r="I2961" s="15">
        <v>3.6200000000000003E-2</v>
      </c>
      <c r="J2961" s="15">
        <v>-1.174033149171271</v>
      </c>
    </row>
    <row r="2962" spans="1:10" x14ac:dyDescent="0.25">
      <c r="A2962" s="2" t="s">
        <v>8069</v>
      </c>
      <c r="B2962" s="2" t="s">
        <v>7007</v>
      </c>
      <c r="C2962" s="2" t="s">
        <v>8070</v>
      </c>
      <c r="D2962" s="2" t="s">
        <v>10055</v>
      </c>
      <c r="E2962" s="15">
        <v>3.7999999999999999E-2</v>
      </c>
      <c r="F2962" s="15">
        <v>0.1144</v>
      </c>
      <c r="G2962" s="15">
        <v>0.73980000000000001</v>
      </c>
      <c r="H2962" s="15">
        <v>8.7900000000000006E-2</v>
      </c>
      <c r="I2962" s="15">
        <v>3.7900000000000003E-2</v>
      </c>
      <c r="J2962" s="15">
        <v>2.319261213720317</v>
      </c>
    </row>
    <row r="2963" spans="1:10" x14ac:dyDescent="0.25">
      <c r="A2963" s="2" t="s">
        <v>8071</v>
      </c>
      <c r="B2963" s="2" t="s">
        <v>7007</v>
      </c>
      <c r="C2963" s="2" t="s">
        <v>8072</v>
      </c>
      <c r="D2963" s="2" t="s">
        <v>10055</v>
      </c>
      <c r="E2963" s="15">
        <v>-3.1E-2</v>
      </c>
      <c r="F2963" s="15">
        <v>0.1182</v>
      </c>
      <c r="G2963" s="15">
        <v>0.79279999999999995</v>
      </c>
      <c r="H2963" s="15">
        <v>7.22E-2</v>
      </c>
      <c r="I2963" s="15">
        <v>3.6900000000000002E-2</v>
      </c>
      <c r="J2963" s="15">
        <v>1.9566395663956639</v>
      </c>
    </row>
    <row r="2964" spans="1:10" x14ac:dyDescent="0.25">
      <c r="A2964" s="2" t="s">
        <v>8073</v>
      </c>
      <c r="B2964" s="2" t="s">
        <v>7007</v>
      </c>
      <c r="C2964" s="2" t="s">
        <v>8074</v>
      </c>
      <c r="D2964" s="2" t="s">
        <v>10055</v>
      </c>
      <c r="E2964" s="15">
        <v>9.5600000000000004E-2</v>
      </c>
      <c r="F2964" s="15">
        <v>0.10440000000000001</v>
      </c>
      <c r="G2964" s="15">
        <v>0.3594</v>
      </c>
      <c r="H2964" s="15">
        <v>7.8600000000000003E-2</v>
      </c>
      <c r="I2964" s="15">
        <v>3.9E-2</v>
      </c>
      <c r="J2964" s="15">
        <v>2.0153846153846149</v>
      </c>
    </row>
    <row r="2965" spans="1:10" x14ac:dyDescent="0.25">
      <c r="A2965" s="2" t="s">
        <v>8075</v>
      </c>
      <c r="B2965" s="2" t="s">
        <v>7007</v>
      </c>
      <c r="C2965" s="2" t="s">
        <v>8076</v>
      </c>
      <c r="D2965" s="2" t="s">
        <v>10055</v>
      </c>
      <c r="E2965" s="15">
        <v>0.21190000000000001</v>
      </c>
      <c r="F2965" s="15">
        <v>0.2054</v>
      </c>
      <c r="G2965" s="15">
        <v>0.30199999999999999</v>
      </c>
      <c r="H2965" s="15">
        <v>3.39E-2</v>
      </c>
      <c r="I2965" s="15">
        <v>3.4799999999999998E-2</v>
      </c>
      <c r="J2965" s="15">
        <v>0.97413793103448276</v>
      </c>
    </row>
    <row r="2966" spans="1:10" x14ac:dyDescent="0.25">
      <c r="A2966" s="2" t="s">
        <v>8077</v>
      </c>
      <c r="B2966" s="2" t="s">
        <v>7007</v>
      </c>
      <c r="C2966" s="2" t="s">
        <v>8078</v>
      </c>
      <c r="D2966" s="2" t="s">
        <v>10055</v>
      </c>
      <c r="E2966" s="15">
        <v>-0.23169999999999999</v>
      </c>
      <c r="F2966" s="15">
        <v>0.2145</v>
      </c>
      <c r="G2966" s="15">
        <v>0.2802</v>
      </c>
      <c r="H2966" s="15">
        <v>3.0800000000000001E-2</v>
      </c>
      <c r="I2966" s="15">
        <v>3.6900000000000002E-2</v>
      </c>
      <c r="J2966" s="15">
        <v>0.83468834688346882</v>
      </c>
    </row>
    <row r="2967" spans="1:10" x14ac:dyDescent="0.25">
      <c r="A2967" s="2" t="s">
        <v>8079</v>
      </c>
      <c r="B2967" s="2" t="s">
        <v>7007</v>
      </c>
      <c r="C2967" s="2" t="s">
        <v>8080</v>
      </c>
      <c r="D2967" s="2" t="s">
        <v>10055</v>
      </c>
      <c r="E2967" s="15"/>
      <c r="F2967" s="15"/>
      <c r="G2967" s="15"/>
      <c r="H2967" s="15">
        <v>-2.81E-2</v>
      </c>
      <c r="I2967" s="15">
        <v>3.7900000000000003E-2</v>
      </c>
      <c r="J2967" s="15">
        <v>-0.74142480211081785</v>
      </c>
    </row>
    <row r="2968" spans="1:10" x14ac:dyDescent="0.25">
      <c r="A2968" s="2" t="s">
        <v>8081</v>
      </c>
      <c r="B2968" s="2" t="s">
        <v>7007</v>
      </c>
      <c r="C2968" s="2" t="s">
        <v>8082</v>
      </c>
      <c r="D2968" s="2" t="s">
        <v>10055</v>
      </c>
      <c r="E2968" s="15">
        <v>0.1895</v>
      </c>
      <c r="F2968" s="15">
        <v>0.60860000000000003</v>
      </c>
      <c r="G2968" s="15">
        <v>0.75549999999999995</v>
      </c>
      <c r="H2968" s="15">
        <v>1.12E-2</v>
      </c>
      <c r="I2968" s="15">
        <v>3.7499999999999999E-2</v>
      </c>
      <c r="J2968" s="15">
        <v>0.29866666666666669</v>
      </c>
    </row>
    <row r="2969" spans="1:10" x14ac:dyDescent="0.25">
      <c r="A2969" s="2" t="s">
        <v>8083</v>
      </c>
      <c r="B2969" s="2" t="s">
        <v>7007</v>
      </c>
      <c r="C2969" s="2" t="s">
        <v>8084</v>
      </c>
      <c r="D2969" s="2" t="s">
        <v>10055</v>
      </c>
      <c r="E2969" s="15"/>
      <c r="F2969" s="15"/>
      <c r="G2969" s="15"/>
      <c r="H2969" s="15">
        <v>-2.3E-3</v>
      </c>
      <c r="I2969" s="15">
        <v>3.32E-2</v>
      </c>
      <c r="J2969" s="15">
        <v>-6.9277108433734941E-2</v>
      </c>
    </row>
    <row r="2970" spans="1:10" x14ac:dyDescent="0.25">
      <c r="A2970" s="2" t="s">
        <v>8085</v>
      </c>
      <c r="B2970" s="2" t="s">
        <v>7007</v>
      </c>
      <c r="C2970" s="2" t="s">
        <v>8086</v>
      </c>
      <c r="D2970" s="2" t="s">
        <v>10055</v>
      </c>
      <c r="E2970" s="15">
        <v>0.1699</v>
      </c>
      <c r="F2970" s="15">
        <v>0.21709999999999999</v>
      </c>
      <c r="G2970" s="15">
        <v>0.434</v>
      </c>
      <c r="H2970" s="15">
        <v>2.9899999999999999E-2</v>
      </c>
      <c r="I2970" s="15">
        <v>3.5499999999999997E-2</v>
      </c>
      <c r="J2970" s="15">
        <v>0.84225352112676066</v>
      </c>
    </row>
    <row r="2971" spans="1:10" x14ac:dyDescent="0.25">
      <c r="A2971" s="2" t="s">
        <v>8087</v>
      </c>
      <c r="B2971" s="2" t="s">
        <v>7007</v>
      </c>
      <c r="C2971" s="2" t="s">
        <v>8088</v>
      </c>
      <c r="D2971" s="2" t="s">
        <v>10055</v>
      </c>
      <c r="E2971" s="15">
        <v>-5.9400000000000001E-2</v>
      </c>
      <c r="F2971" s="15">
        <v>0.12790000000000001</v>
      </c>
      <c r="G2971" s="15">
        <v>0.64249999999999996</v>
      </c>
      <c r="H2971" s="15">
        <v>5.8099999999999999E-2</v>
      </c>
      <c r="I2971" s="15">
        <v>4.0800000000000003E-2</v>
      </c>
      <c r="J2971" s="15">
        <v>1.4240196078431371</v>
      </c>
    </row>
    <row r="2972" spans="1:10" x14ac:dyDescent="0.25">
      <c r="A2972" s="2" t="s">
        <v>8089</v>
      </c>
      <c r="B2972" s="2" t="s">
        <v>7007</v>
      </c>
      <c r="C2972" s="2" t="s">
        <v>8090</v>
      </c>
      <c r="D2972" s="2" t="s">
        <v>10055</v>
      </c>
      <c r="E2972" s="15"/>
      <c r="F2972" s="15"/>
      <c r="G2972" s="15"/>
      <c r="H2972" s="15">
        <v>-3.09E-2</v>
      </c>
      <c r="I2972" s="15">
        <v>3.6799999999999999E-2</v>
      </c>
      <c r="J2972" s="15">
        <v>-0.83967391304347827</v>
      </c>
    </row>
    <row r="2973" spans="1:10" x14ac:dyDescent="0.25">
      <c r="A2973" s="2" t="s">
        <v>8091</v>
      </c>
      <c r="B2973" s="2" t="s">
        <v>7007</v>
      </c>
      <c r="C2973" s="2" t="s">
        <v>8092</v>
      </c>
      <c r="D2973" s="2" t="s">
        <v>10055</v>
      </c>
      <c r="E2973" s="15">
        <v>-0.19170000000000001</v>
      </c>
      <c r="F2973" s="15">
        <v>0.35220000000000001</v>
      </c>
      <c r="G2973" s="15">
        <v>0.58630000000000004</v>
      </c>
      <c r="H2973" s="15">
        <v>1.47E-2</v>
      </c>
      <c r="I2973" s="15">
        <v>3.4200000000000001E-2</v>
      </c>
      <c r="J2973" s="15">
        <v>0.42982456140350872</v>
      </c>
    </row>
    <row r="2974" spans="1:10" x14ac:dyDescent="0.25">
      <c r="A2974" s="2" t="s">
        <v>8093</v>
      </c>
      <c r="B2974" s="2" t="s">
        <v>7007</v>
      </c>
      <c r="C2974" s="2" t="s">
        <v>8094</v>
      </c>
      <c r="D2974" s="2" t="s">
        <v>10055</v>
      </c>
      <c r="E2974" s="15"/>
      <c r="F2974" s="15"/>
      <c r="G2974" s="15"/>
      <c r="H2974" s="15">
        <v>-1.11E-2</v>
      </c>
      <c r="I2974" s="15">
        <v>3.7900000000000003E-2</v>
      </c>
      <c r="J2974" s="15">
        <v>-0.29287598944591031</v>
      </c>
    </row>
    <row r="2975" spans="1:10" x14ac:dyDescent="0.25">
      <c r="A2975" s="2" t="s">
        <v>8095</v>
      </c>
      <c r="B2975" s="2" t="s">
        <v>7007</v>
      </c>
      <c r="C2975" s="2" t="s">
        <v>8096</v>
      </c>
      <c r="D2975" s="2" t="s">
        <v>10055</v>
      </c>
      <c r="E2975" s="15">
        <v>-0.1057</v>
      </c>
      <c r="F2975" s="15">
        <v>0.113</v>
      </c>
      <c r="G2975" s="15">
        <v>0.34949999999999998</v>
      </c>
      <c r="H2975" s="15">
        <v>9.7900000000000001E-2</v>
      </c>
      <c r="I2975" s="15">
        <v>4.1300000000000003E-2</v>
      </c>
      <c r="J2975" s="15">
        <v>2.3704600484261502</v>
      </c>
    </row>
    <row r="2976" spans="1:10" x14ac:dyDescent="0.25">
      <c r="A2976" s="2" t="s">
        <v>8097</v>
      </c>
      <c r="B2976" s="2" t="s">
        <v>7007</v>
      </c>
      <c r="C2976" s="2" t="s">
        <v>8098</v>
      </c>
      <c r="D2976" s="2" t="s">
        <v>10055</v>
      </c>
      <c r="E2976" s="15">
        <v>0.1217</v>
      </c>
      <c r="F2976" s="15">
        <v>9.9699999999999997E-2</v>
      </c>
      <c r="G2976" s="15">
        <v>0.2223</v>
      </c>
      <c r="H2976" s="15">
        <v>0.10199999999999999</v>
      </c>
      <c r="I2976" s="15">
        <v>3.5900000000000001E-2</v>
      </c>
      <c r="J2976" s="15">
        <v>2.8412256267409468</v>
      </c>
    </row>
    <row r="2977" spans="1:10" x14ac:dyDescent="0.25">
      <c r="A2977" s="2" t="s">
        <v>8099</v>
      </c>
      <c r="B2977" s="2" t="s">
        <v>7007</v>
      </c>
      <c r="C2977" s="2" t="s">
        <v>8100</v>
      </c>
      <c r="D2977" s="2" t="s">
        <v>10055</v>
      </c>
      <c r="E2977" s="15">
        <v>0.24279999999999999</v>
      </c>
      <c r="F2977" s="15">
        <v>0.13</v>
      </c>
      <c r="G2977" s="15">
        <v>6.1899999999999997E-2</v>
      </c>
      <c r="H2977" s="15">
        <v>6.8400000000000002E-2</v>
      </c>
      <c r="I2977" s="15">
        <v>3.8899999999999997E-2</v>
      </c>
      <c r="J2977" s="15">
        <v>1.758354755784062</v>
      </c>
    </row>
    <row r="2978" spans="1:10" x14ac:dyDescent="0.25">
      <c r="A2978" s="2" t="s">
        <v>8101</v>
      </c>
      <c r="B2978" s="2" t="s">
        <v>7007</v>
      </c>
      <c r="C2978" s="2" t="s">
        <v>8102</v>
      </c>
      <c r="D2978" s="2" t="s">
        <v>10055</v>
      </c>
      <c r="E2978" s="15"/>
      <c r="F2978" s="15"/>
      <c r="G2978" s="15"/>
      <c r="H2978" s="15">
        <v>-1.6899999999999998E-2</v>
      </c>
      <c r="I2978" s="15">
        <v>3.3799999999999997E-2</v>
      </c>
      <c r="J2978" s="15">
        <v>-0.5</v>
      </c>
    </row>
    <row r="2979" spans="1:10" x14ac:dyDescent="0.25">
      <c r="A2979" s="2" t="s">
        <v>8103</v>
      </c>
      <c r="B2979" s="2" t="s">
        <v>7007</v>
      </c>
      <c r="C2979" s="2" t="s">
        <v>8104</v>
      </c>
      <c r="D2979" s="2" t="s">
        <v>10055</v>
      </c>
      <c r="E2979" s="15"/>
      <c r="F2979" s="15"/>
      <c r="G2979" s="15"/>
      <c r="H2979" s="15">
        <v>-2.06E-2</v>
      </c>
      <c r="I2979" s="15">
        <v>3.6400000000000002E-2</v>
      </c>
      <c r="J2979" s="15">
        <v>-0.56593406593406592</v>
      </c>
    </row>
    <row r="2980" spans="1:10" x14ac:dyDescent="0.25">
      <c r="A2980" s="2" t="s">
        <v>8105</v>
      </c>
      <c r="B2980" s="2" t="s">
        <v>7007</v>
      </c>
      <c r="C2980" s="2" t="s">
        <v>8106</v>
      </c>
      <c r="D2980" s="2" t="s">
        <v>10055</v>
      </c>
      <c r="E2980" s="15">
        <v>0.11119999999999999</v>
      </c>
      <c r="F2980" s="15">
        <v>0.1799</v>
      </c>
      <c r="G2980" s="15">
        <v>0.53659999999999997</v>
      </c>
      <c r="H2980" s="15">
        <v>3.4500000000000003E-2</v>
      </c>
      <c r="I2980" s="15">
        <v>3.5499999999999997E-2</v>
      </c>
      <c r="J2980" s="15">
        <v>0.97183098591549311</v>
      </c>
    </row>
    <row r="2981" spans="1:10" x14ac:dyDescent="0.25">
      <c r="A2981" s="2" t="s">
        <v>8107</v>
      </c>
      <c r="B2981" s="2" t="s">
        <v>7007</v>
      </c>
      <c r="C2981" s="2" t="s">
        <v>8108</v>
      </c>
      <c r="D2981" s="2" t="s">
        <v>10055</v>
      </c>
      <c r="E2981" s="15"/>
      <c r="F2981" s="15"/>
      <c r="G2981" s="15"/>
      <c r="H2981" s="15">
        <v>-3.5999999999999999E-3</v>
      </c>
      <c r="I2981" s="15">
        <v>3.9399999999999998E-2</v>
      </c>
      <c r="J2981" s="15">
        <v>-9.1370558375634514E-2</v>
      </c>
    </row>
    <row r="2982" spans="1:10" x14ac:dyDescent="0.25">
      <c r="A2982" s="2" t="s">
        <v>8109</v>
      </c>
      <c r="B2982" s="2" t="s">
        <v>7007</v>
      </c>
      <c r="C2982" s="2" t="s">
        <v>8110</v>
      </c>
      <c r="D2982" s="2" t="s">
        <v>10055</v>
      </c>
      <c r="E2982" s="15">
        <v>-4.9200000000000001E-2</v>
      </c>
      <c r="F2982" s="15">
        <v>0.14180000000000001</v>
      </c>
      <c r="G2982" s="15">
        <v>0.72870000000000001</v>
      </c>
      <c r="H2982" s="15">
        <v>4.8899999999999999E-2</v>
      </c>
      <c r="I2982" s="15">
        <v>3.56E-2</v>
      </c>
      <c r="J2982" s="15">
        <v>1.3735955056179781</v>
      </c>
    </row>
    <row r="2983" spans="1:10" x14ac:dyDescent="0.25">
      <c r="A2983" s="2" t="s">
        <v>8111</v>
      </c>
      <c r="B2983" s="2" t="s">
        <v>7007</v>
      </c>
      <c r="C2983" s="2" t="s">
        <v>8112</v>
      </c>
      <c r="D2983" s="2" t="s">
        <v>10055</v>
      </c>
      <c r="E2983" s="15">
        <v>8.5999999999999993E-2</v>
      </c>
      <c r="F2983" s="15">
        <v>0.11020000000000001</v>
      </c>
      <c r="G2983" s="15">
        <v>0.43509999999999999</v>
      </c>
      <c r="H2983" s="15">
        <v>8.5000000000000006E-2</v>
      </c>
      <c r="I2983" s="15">
        <v>3.7100000000000001E-2</v>
      </c>
      <c r="J2983" s="15">
        <v>2.2911051212938012</v>
      </c>
    </row>
    <row r="2984" spans="1:10" x14ac:dyDescent="0.25">
      <c r="A2984" s="2" t="s">
        <v>8113</v>
      </c>
      <c r="B2984" s="2" t="s">
        <v>7007</v>
      </c>
      <c r="C2984" s="2" t="s">
        <v>8114</v>
      </c>
      <c r="D2984" s="2" t="s">
        <v>10055</v>
      </c>
      <c r="E2984" s="15">
        <v>0.27139999999999997</v>
      </c>
      <c r="F2984" s="15">
        <v>0.13220000000000001</v>
      </c>
      <c r="G2984" s="15">
        <v>4.0099999999999997E-2</v>
      </c>
      <c r="H2984" s="15">
        <v>6.5799999999999997E-2</v>
      </c>
      <c r="I2984" s="15">
        <v>3.4799999999999998E-2</v>
      </c>
      <c r="J2984" s="15">
        <v>1.8908045977011489</v>
      </c>
    </row>
    <row r="2985" spans="1:10" x14ac:dyDescent="0.25">
      <c r="A2985" s="2" t="s">
        <v>8115</v>
      </c>
      <c r="B2985" s="2" t="s">
        <v>7007</v>
      </c>
      <c r="C2985" s="2" t="s">
        <v>8116</v>
      </c>
      <c r="D2985" s="2" t="s">
        <v>10055</v>
      </c>
      <c r="E2985" s="15"/>
      <c r="F2985" s="15"/>
      <c r="G2985" s="15"/>
      <c r="H2985" s="15">
        <v>-2.4899999999999999E-2</v>
      </c>
      <c r="I2985" s="15">
        <v>3.6200000000000003E-2</v>
      </c>
      <c r="J2985" s="15">
        <v>-0.68784530386740317</v>
      </c>
    </row>
    <row r="2986" spans="1:10" x14ac:dyDescent="0.25">
      <c r="A2986" s="2" t="s">
        <v>8117</v>
      </c>
      <c r="B2986" s="2" t="s">
        <v>7007</v>
      </c>
      <c r="C2986" s="2" t="s">
        <v>8118</v>
      </c>
      <c r="D2986" s="2" t="s">
        <v>10055</v>
      </c>
      <c r="E2986" s="15">
        <v>-0.28289999999999998</v>
      </c>
      <c r="F2986" s="15">
        <v>0.21049999999999999</v>
      </c>
      <c r="G2986" s="15">
        <v>0.17899999999999999</v>
      </c>
      <c r="H2986" s="15">
        <v>4.0500000000000001E-2</v>
      </c>
      <c r="I2986" s="15">
        <v>3.9E-2</v>
      </c>
      <c r="J2986" s="15">
        <v>1.038461538461539</v>
      </c>
    </row>
    <row r="2987" spans="1:10" x14ac:dyDescent="0.25">
      <c r="A2987" s="2" t="s">
        <v>8119</v>
      </c>
      <c r="B2987" s="2" t="s">
        <v>7007</v>
      </c>
      <c r="C2987" s="2" t="s">
        <v>8120</v>
      </c>
      <c r="D2987" s="2" t="s">
        <v>10055</v>
      </c>
      <c r="E2987" s="15">
        <v>-4.7500000000000001E-2</v>
      </c>
      <c r="F2987" s="15">
        <v>0.1993</v>
      </c>
      <c r="G2987" s="15">
        <v>0.81159999999999999</v>
      </c>
      <c r="H2987" s="15">
        <v>3.04E-2</v>
      </c>
      <c r="I2987" s="15">
        <v>3.4599999999999999E-2</v>
      </c>
      <c r="J2987" s="15">
        <v>0.87861271676300579</v>
      </c>
    </row>
    <row r="2988" spans="1:10" x14ac:dyDescent="0.25">
      <c r="A2988" s="2" t="s">
        <v>8121</v>
      </c>
      <c r="B2988" s="2" t="s">
        <v>7007</v>
      </c>
      <c r="C2988" s="2" t="s">
        <v>8122</v>
      </c>
      <c r="D2988" s="2" t="s">
        <v>10055</v>
      </c>
      <c r="E2988" s="15">
        <v>-5.7599999999999998E-2</v>
      </c>
      <c r="F2988" s="15">
        <v>0.13220000000000001</v>
      </c>
      <c r="G2988" s="15">
        <v>0.6633</v>
      </c>
      <c r="H2988" s="15">
        <v>6.1699999999999998E-2</v>
      </c>
      <c r="I2988" s="15">
        <v>3.6200000000000003E-2</v>
      </c>
      <c r="J2988" s="15">
        <v>1.704419889502762</v>
      </c>
    </row>
    <row r="2989" spans="1:10" x14ac:dyDescent="0.25">
      <c r="A2989" s="2" t="s">
        <v>8123</v>
      </c>
      <c r="B2989" s="2" t="s">
        <v>7007</v>
      </c>
      <c r="C2989" s="2" t="s">
        <v>8124</v>
      </c>
      <c r="D2989" s="2" t="s">
        <v>10055</v>
      </c>
      <c r="E2989" s="15">
        <v>-0.1404</v>
      </c>
      <c r="F2989" s="15">
        <v>0.1898</v>
      </c>
      <c r="G2989" s="15">
        <v>0.45929999999999999</v>
      </c>
      <c r="H2989" s="15">
        <v>3.8199999999999998E-2</v>
      </c>
      <c r="I2989" s="15">
        <v>3.4700000000000002E-2</v>
      </c>
      <c r="J2989" s="15">
        <v>1.100864553314121</v>
      </c>
    </row>
    <row r="2990" spans="1:10" x14ac:dyDescent="0.25">
      <c r="A2990" s="2" t="s">
        <v>8125</v>
      </c>
      <c r="B2990" s="2" t="s">
        <v>7007</v>
      </c>
      <c r="C2990" s="2" t="s">
        <v>8126</v>
      </c>
      <c r="D2990" s="2" t="s">
        <v>10055</v>
      </c>
      <c r="E2990" s="15">
        <v>-0.23710000000000001</v>
      </c>
      <c r="F2990" s="15">
        <v>0.11749999999999999</v>
      </c>
      <c r="G2990" s="15">
        <v>4.3499999999999997E-2</v>
      </c>
      <c r="H2990" s="15">
        <v>9.5299999999999996E-2</v>
      </c>
      <c r="I2990" s="15">
        <v>3.32E-2</v>
      </c>
      <c r="J2990" s="15">
        <v>2.8704819277108431</v>
      </c>
    </row>
    <row r="2991" spans="1:10" x14ac:dyDescent="0.25">
      <c r="A2991" s="2" t="s">
        <v>8127</v>
      </c>
      <c r="B2991" s="2" t="s">
        <v>7007</v>
      </c>
      <c r="C2991" s="2" t="s">
        <v>8128</v>
      </c>
      <c r="D2991" s="2" t="s">
        <v>10055</v>
      </c>
      <c r="E2991" s="15">
        <v>-3.9300000000000002E-2</v>
      </c>
      <c r="F2991" s="15">
        <v>0.13200000000000001</v>
      </c>
      <c r="G2991" s="15">
        <v>0.76559999999999995</v>
      </c>
      <c r="H2991" s="15">
        <v>6.9099999999999995E-2</v>
      </c>
      <c r="I2991" s="15">
        <v>4.6199999999999998E-2</v>
      </c>
      <c r="J2991" s="15">
        <v>1.4956709956709959</v>
      </c>
    </row>
    <row r="2992" spans="1:10" x14ac:dyDescent="0.25">
      <c r="A2992" s="2" t="s">
        <v>8129</v>
      </c>
      <c r="B2992" s="2" t="s">
        <v>7007</v>
      </c>
      <c r="C2992" s="2" t="s">
        <v>8130</v>
      </c>
      <c r="D2992" s="2" t="s">
        <v>10055</v>
      </c>
      <c r="E2992" s="15"/>
      <c r="F2992" s="15"/>
      <c r="G2992" s="15"/>
      <c r="H2992" s="15">
        <v>-6.4000000000000003E-3</v>
      </c>
      <c r="I2992" s="15">
        <v>3.73E-2</v>
      </c>
      <c r="J2992" s="15">
        <v>-0.17158176943699729</v>
      </c>
    </row>
    <row r="2993" spans="1:10" x14ac:dyDescent="0.25">
      <c r="A2993" s="2" t="s">
        <v>8131</v>
      </c>
      <c r="B2993" s="2" t="s">
        <v>7007</v>
      </c>
      <c r="C2993" s="2" t="s">
        <v>8132</v>
      </c>
      <c r="D2993" s="2" t="s">
        <v>10055</v>
      </c>
      <c r="E2993" s="15">
        <v>4.0099999999999997E-2</v>
      </c>
      <c r="F2993" s="15">
        <v>0.13120000000000001</v>
      </c>
      <c r="G2993" s="15">
        <v>0.7601</v>
      </c>
      <c r="H2993" s="15">
        <v>7.1499999999999994E-2</v>
      </c>
      <c r="I2993" s="15">
        <v>3.8699999999999998E-2</v>
      </c>
      <c r="J2993" s="15">
        <v>1.8475452196382429</v>
      </c>
    </row>
    <row r="2994" spans="1:10" x14ac:dyDescent="0.25">
      <c r="A2994" s="2" t="s">
        <v>8133</v>
      </c>
      <c r="B2994" s="2" t="s">
        <v>7007</v>
      </c>
      <c r="C2994" s="2" t="s">
        <v>8134</v>
      </c>
      <c r="D2994" s="2" t="s">
        <v>10055</v>
      </c>
      <c r="E2994" s="15"/>
      <c r="F2994" s="15"/>
      <c r="G2994" s="15"/>
      <c r="H2994" s="15">
        <v>-2.4899999999999999E-2</v>
      </c>
      <c r="I2994" s="15">
        <v>3.6600000000000001E-2</v>
      </c>
      <c r="J2994" s="15">
        <v>-0.68032786885245899</v>
      </c>
    </row>
    <row r="2995" spans="1:10" x14ac:dyDescent="0.25">
      <c r="A2995" s="2" t="s">
        <v>8135</v>
      </c>
      <c r="B2995" s="2" t="s">
        <v>7007</v>
      </c>
      <c r="C2995" s="2" t="s">
        <v>8136</v>
      </c>
      <c r="D2995" s="2" t="s">
        <v>10055</v>
      </c>
      <c r="E2995" s="15">
        <v>2.5999999999999999E-3</v>
      </c>
      <c r="F2995" s="15">
        <v>0.2356</v>
      </c>
      <c r="G2995" s="15">
        <v>0.99109999999999998</v>
      </c>
      <c r="H2995" s="15">
        <v>1.8700000000000001E-2</v>
      </c>
      <c r="I2995" s="15">
        <v>3.85E-2</v>
      </c>
      <c r="J2995" s="15">
        <v>0.48571428571428582</v>
      </c>
    </row>
    <row r="2996" spans="1:10" x14ac:dyDescent="0.25">
      <c r="A2996" s="2" t="s">
        <v>8137</v>
      </c>
      <c r="B2996" s="2" t="s">
        <v>7007</v>
      </c>
      <c r="C2996" s="2" t="s">
        <v>8138</v>
      </c>
      <c r="D2996" s="2" t="s">
        <v>10055</v>
      </c>
      <c r="E2996" s="15">
        <v>-0.1575</v>
      </c>
      <c r="F2996" s="15">
        <v>0.15379999999999999</v>
      </c>
      <c r="G2996" s="15">
        <v>0.30580000000000002</v>
      </c>
      <c r="H2996" s="15">
        <v>5.3600000000000002E-2</v>
      </c>
      <c r="I2996" s="15">
        <v>3.8800000000000001E-2</v>
      </c>
      <c r="J2996" s="15">
        <v>1.3814432989690719</v>
      </c>
    </row>
    <row r="2997" spans="1:10" x14ac:dyDescent="0.25">
      <c r="A2997" s="2" t="s">
        <v>8139</v>
      </c>
      <c r="B2997" s="2" t="s">
        <v>7007</v>
      </c>
      <c r="C2997" s="2" t="s">
        <v>8140</v>
      </c>
      <c r="D2997" s="2" t="s">
        <v>10055</v>
      </c>
      <c r="E2997" s="15">
        <v>-2E-3</v>
      </c>
      <c r="F2997" s="15">
        <v>0.21029999999999999</v>
      </c>
      <c r="G2997" s="15">
        <v>0.99239999999999995</v>
      </c>
      <c r="H2997" s="15">
        <v>2.47E-2</v>
      </c>
      <c r="I2997" s="15">
        <v>3.85E-2</v>
      </c>
      <c r="J2997" s="15">
        <v>0.64155844155844155</v>
      </c>
    </row>
    <row r="2998" spans="1:10" x14ac:dyDescent="0.25">
      <c r="A2998" s="2" t="s">
        <v>8141</v>
      </c>
      <c r="B2998" s="2" t="s">
        <v>7007</v>
      </c>
      <c r="C2998" s="2" t="s">
        <v>8142</v>
      </c>
      <c r="D2998" s="2" t="s">
        <v>10055</v>
      </c>
      <c r="E2998" s="15">
        <v>0.16639999999999999</v>
      </c>
      <c r="F2998" s="15">
        <v>0.1777</v>
      </c>
      <c r="G2998" s="15">
        <v>0.34889999999999999</v>
      </c>
      <c r="H2998" s="15">
        <v>4.9299999999999997E-2</v>
      </c>
      <c r="I2998" s="15">
        <v>3.8800000000000001E-2</v>
      </c>
      <c r="J2998" s="15">
        <v>1.2706185567010311</v>
      </c>
    </row>
    <row r="2999" spans="1:10" x14ac:dyDescent="0.25">
      <c r="A2999" s="2" t="s">
        <v>8143</v>
      </c>
      <c r="B2999" s="2" t="s">
        <v>7007</v>
      </c>
      <c r="C2999" s="2" t="s">
        <v>8144</v>
      </c>
      <c r="D2999" s="2" t="s">
        <v>10055</v>
      </c>
      <c r="E2999" s="15">
        <v>-0.25109999999999999</v>
      </c>
      <c r="F2999" s="15">
        <v>0.22589999999999999</v>
      </c>
      <c r="G2999" s="15">
        <v>0.26640000000000003</v>
      </c>
      <c r="H2999" s="15">
        <v>3.5999999999999997E-2</v>
      </c>
      <c r="I2999" s="15">
        <v>3.61E-2</v>
      </c>
      <c r="J2999" s="15">
        <v>0.99722991689750684</v>
      </c>
    </row>
    <row r="3000" spans="1:10" x14ac:dyDescent="0.25">
      <c r="A3000" s="2" t="s">
        <v>8145</v>
      </c>
      <c r="B3000" s="2" t="s">
        <v>7007</v>
      </c>
      <c r="C3000" s="2" t="s">
        <v>8146</v>
      </c>
      <c r="D3000" s="2" t="s">
        <v>10055</v>
      </c>
      <c r="E3000" s="15">
        <v>3.7100000000000001E-2</v>
      </c>
      <c r="F3000" s="15">
        <v>0.1208</v>
      </c>
      <c r="G3000" s="15">
        <v>0.75860000000000005</v>
      </c>
      <c r="H3000" s="15">
        <v>8.0699999999999994E-2</v>
      </c>
      <c r="I3000" s="15">
        <v>3.85E-2</v>
      </c>
      <c r="J3000" s="15">
        <v>2.0961038961038958</v>
      </c>
    </row>
    <row r="3001" spans="1:10" x14ac:dyDescent="0.25">
      <c r="A3001" s="2" t="s">
        <v>8147</v>
      </c>
      <c r="B3001" s="2" t="s">
        <v>7007</v>
      </c>
      <c r="C3001" s="2" t="s">
        <v>8148</v>
      </c>
      <c r="D3001" s="2" t="s">
        <v>10055</v>
      </c>
      <c r="E3001" s="15"/>
      <c r="F3001" s="15"/>
      <c r="G3001" s="15"/>
      <c r="H3001" s="15">
        <v>-3.2000000000000002E-3</v>
      </c>
      <c r="I3001" s="15">
        <v>3.8100000000000002E-2</v>
      </c>
      <c r="J3001" s="15">
        <v>-8.3989501312335957E-2</v>
      </c>
    </row>
    <row r="3002" spans="1:10" x14ac:dyDescent="0.25">
      <c r="A3002" s="2" t="s">
        <v>8149</v>
      </c>
      <c r="B3002" s="2" t="s">
        <v>7007</v>
      </c>
      <c r="C3002" s="2" t="s">
        <v>8150</v>
      </c>
      <c r="D3002" s="2" t="s">
        <v>10055</v>
      </c>
      <c r="E3002" s="15">
        <v>0.35610000000000003</v>
      </c>
      <c r="F3002" s="15">
        <v>1.8872</v>
      </c>
      <c r="G3002" s="15">
        <v>0.85029999999999994</v>
      </c>
      <c r="H3002" s="15">
        <v>9.1000000000000004E-3</v>
      </c>
      <c r="I3002" s="15">
        <v>3.8399999999999997E-2</v>
      </c>
      <c r="J3002" s="15">
        <v>0.23697916666666671</v>
      </c>
    </row>
    <row r="3003" spans="1:10" x14ac:dyDescent="0.25">
      <c r="A3003" s="2" t="s">
        <v>8151</v>
      </c>
      <c r="B3003" s="2" t="s">
        <v>7007</v>
      </c>
      <c r="C3003" s="2" t="s">
        <v>8152</v>
      </c>
      <c r="D3003" s="2" t="s">
        <v>10055</v>
      </c>
      <c r="E3003" s="15"/>
      <c r="F3003" s="15"/>
      <c r="G3003" s="15"/>
      <c r="H3003" s="15">
        <v>-2.5700000000000001E-2</v>
      </c>
      <c r="I3003" s="15">
        <v>3.5400000000000001E-2</v>
      </c>
      <c r="J3003" s="15">
        <v>-0.72598870056497178</v>
      </c>
    </row>
    <row r="3004" spans="1:10" x14ac:dyDescent="0.25">
      <c r="A3004" s="2" t="s">
        <v>8153</v>
      </c>
      <c r="B3004" s="2" t="s">
        <v>7007</v>
      </c>
      <c r="C3004" s="2" t="s">
        <v>8154</v>
      </c>
      <c r="D3004" s="2" t="s">
        <v>10055</v>
      </c>
      <c r="E3004" s="15"/>
      <c r="F3004" s="15"/>
      <c r="G3004" s="15"/>
      <c r="H3004" s="15">
        <v>-2.12E-2</v>
      </c>
      <c r="I3004" s="15">
        <v>4.0099999999999997E-2</v>
      </c>
      <c r="J3004" s="15">
        <v>-0.52867830423940154</v>
      </c>
    </row>
    <row r="3005" spans="1:10" x14ac:dyDescent="0.25">
      <c r="A3005" s="2" t="s">
        <v>8155</v>
      </c>
      <c r="B3005" s="2" t="s">
        <v>7007</v>
      </c>
      <c r="C3005" s="2" t="s">
        <v>8156</v>
      </c>
      <c r="D3005" s="2" t="s">
        <v>10055</v>
      </c>
      <c r="E3005" s="15"/>
      <c r="F3005" s="15"/>
      <c r="G3005" s="15"/>
      <c r="H3005" s="15">
        <v>-5.33E-2</v>
      </c>
      <c r="I3005" s="15">
        <v>3.5700000000000003E-2</v>
      </c>
      <c r="J3005" s="15">
        <v>-1.4929971988795521</v>
      </c>
    </row>
    <row r="3006" spans="1:10" x14ac:dyDescent="0.25">
      <c r="A3006" s="2" t="s">
        <v>8157</v>
      </c>
      <c r="B3006" s="2" t="s">
        <v>7007</v>
      </c>
      <c r="C3006" s="2" t="s">
        <v>8158</v>
      </c>
      <c r="D3006" s="2" t="s">
        <v>10055</v>
      </c>
      <c r="E3006" s="15"/>
      <c r="F3006" s="15"/>
      <c r="G3006" s="15"/>
      <c r="H3006" s="15"/>
      <c r="I3006" s="15"/>
      <c r="J3006" s="15"/>
    </row>
    <row r="3007" spans="1:10" x14ac:dyDescent="0.25">
      <c r="A3007" s="2" t="s">
        <v>8159</v>
      </c>
      <c r="B3007" s="2" t="s">
        <v>7007</v>
      </c>
      <c r="C3007" s="2" t="s">
        <v>8160</v>
      </c>
      <c r="D3007" s="2" t="s">
        <v>10055</v>
      </c>
      <c r="E3007" s="15"/>
      <c r="F3007" s="15"/>
      <c r="G3007" s="15"/>
      <c r="H3007" s="15"/>
      <c r="I3007" s="15"/>
      <c r="J3007" s="15"/>
    </row>
    <row r="3008" spans="1:10" x14ac:dyDescent="0.25">
      <c r="A3008" s="2" t="s">
        <v>8161</v>
      </c>
      <c r="B3008" s="2" t="s">
        <v>7007</v>
      </c>
      <c r="C3008" s="2" t="s">
        <v>8162</v>
      </c>
      <c r="D3008" s="2" t="s">
        <v>10055</v>
      </c>
      <c r="E3008" s="15">
        <v>-6.3500000000000001E-2</v>
      </c>
      <c r="F3008" s="15">
        <v>0.1807</v>
      </c>
      <c r="G3008" s="15">
        <v>0.72519999999999996</v>
      </c>
      <c r="H3008" s="15">
        <v>3.3500000000000002E-2</v>
      </c>
      <c r="I3008" s="15">
        <v>4.3499999999999997E-2</v>
      </c>
      <c r="J3008" s="15">
        <v>0.77011494252873569</v>
      </c>
    </row>
    <row r="3009" spans="1:10" x14ac:dyDescent="0.25">
      <c r="A3009" s="2" t="s">
        <v>8163</v>
      </c>
      <c r="B3009" s="2" t="s">
        <v>7007</v>
      </c>
      <c r="C3009" s="2" t="s">
        <v>8164</v>
      </c>
      <c r="D3009" s="2" t="s">
        <v>10055</v>
      </c>
      <c r="E3009" s="15">
        <v>0.1663</v>
      </c>
      <c r="F3009" s="15">
        <v>0.1353</v>
      </c>
      <c r="G3009" s="15">
        <v>0.219</v>
      </c>
      <c r="H3009" s="15">
        <v>5.6899999999999999E-2</v>
      </c>
      <c r="I3009" s="15">
        <v>3.8800000000000001E-2</v>
      </c>
      <c r="J3009" s="15">
        <v>1.4664948453608251</v>
      </c>
    </row>
    <row r="3010" spans="1:10" x14ac:dyDescent="0.25">
      <c r="A3010" s="2" t="s">
        <v>8165</v>
      </c>
      <c r="B3010" s="2" t="s">
        <v>7007</v>
      </c>
      <c r="C3010" s="2" t="s">
        <v>8166</v>
      </c>
      <c r="D3010" s="2" t="s">
        <v>10055</v>
      </c>
      <c r="E3010" s="15"/>
      <c r="F3010" s="15"/>
      <c r="G3010" s="15"/>
      <c r="H3010" s="15"/>
      <c r="I3010" s="15"/>
      <c r="J3010" s="15"/>
    </row>
    <row r="3011" spans="1:10" x14ac:dyDescent="0.25">
      <c r="A3011" s="2" t="s">
        <v>8167</v>
      </c>
      <c r="B3011" s="2" t="s">
        <v>7007</v>
      </c>
      <c r="C3011" s="2" t="s">
        <v>8168</v>
      </c>
      <c r="D3011" s="2" t="s">
        <v>10055</v>
      </c>
      <c r="E3011" s="15"/>
      <c r="F3011" s="15"/>
      <c r="G3011" s="15"/>
      <c r="H3011" s="15">
        <v>-1.7999999999999999E-2</v>
      </c>
      <c r="I3011" s="15">
        <v>3.6200000000000003E-2</v>
      </c>
      <c r="J3011" s="15">
        <v>-0.49723756906077338</v>
      </c>
    </row>
    <row r="3012" spans="1:10" x14ac:dyDescent="0.25">
      <c r="A3012" s="2" t="s">
        <v>8169</v>
      </c>
      <c r="B3012" s="2" t="s">
        <v>7007</v>
      </c>
      <c r="C3012" s="2" t="s">
        <v>8170</v>
      </c>
      <c r="D3012" s="2" t="s">
        <v>10055</v>
      </c>
      <c r="E3012" s="15">
        <v>0.30869999999999997</v>
      </c>
      <c r="F3012" s="15">
        <v>0.29139999999999999</v>
      </c>
      <c r="G3012" s="15">
        <v>0.28939999999999999</v>
      </c>
      <c r="H3012" s="15">
        <v>2.75E-2</v>
      </c>
      <c r="I3012" s="15">
        <v>3.8199999999999998E-2</v>
      </c>
      <c r="J3012" s="15">
        <v>0.71989528795811519</v>
      </c>
    </row>
    <row r="3013" spans="1:10" x14ac:dyDescent="0.25">
      <c r="A3013" s="2" t="s">
        <v>8171</v>
      </c>
      <c r="B3013" s="2" t="s">
        <v>7007</v>
      </c>
      <c r="C3013" s="2" t="s">
        <v>8172</v>
      </c>
      <c r="D3013" s="2" t="s">
        <v>10055</v>
      </c>
      <c r="E3013" s="15">
        <v>0.1774</v>
      </c>
      <c r="F3013" s="15">
        <v>0.21049999999999999</v>
      </c>
      <c r="G3013" s="15">
        <v>0.39939999999999998</v>
      </c>
      <c r="H3013" s="15">
        <v>3.9E-2</v>
      </c>
      <c r="I3013" s="15">
        <v>4.07E-2</v>
      </c>
      <c r="J3013" s="15">
        <v>0.95823095823095827</v>
      </c>
    </row>
    <row r="3014" spans="1:10" x14ac:dyDescent="0.25">
      <c r="A3014" s="2" t="s">
        <v>8173</v>
      </c>
      <c r="B3014" s="2" t="s">
        <v>7007</v>
      </c>
      <c r="C3014" s="2" t="s">
        <v>8174</v>
      </c>
      <c r="D3014" s="2" t="s">
        <v>10055</v>
      </c>
      <c r="E3014" s="15">
        <v>3.1399999999999997E-2</v>
      </c>
      <c r="F3014" s="15">
        <v>0.16930000000000001</v>
      </c>
      <c r="G3014" s="15">
        <v>0.85299999999999998</v>
      </c>
      <c r="H3014" s="15">
        <v>3.6900000000000002E-2</v>
      </c>
      <c r="I3014" s="15">
        <v>3.8300000000000001E-2</v>
      </c>
      <c r="J3014" s="15">
        <v>0.96344647519582249</v>
      </c>
    </row>
    <row r="3015" spans="1:10" x14ac:dyDescent="0.25">
      <c r="A3015" s="2" t="s">
        <v>8175</v>
      </c>
      <c r="B3015" s="2" t="s">
        <v>7007</v>
      </c>
      <c r="C3015" s="2" t="s">
        <v>8176</v>
      </c>
      <c r="D3015" s="2" t="s">
        <v>10055</v>
      </c>
      <c r="E3015" s="15"/>
      <c r="F3015" s="15"/>
      <c r="G3015" s="15"/>
      <c r="H3015" s="15"/>
      <c r="I3015" s="15"/>
      <c r="J3015" s="15"/>
    </row>
    <row r="3016" spans="1:10" x14ac:dyDescent="0.25">
      <c r="A3016" s="2" t="s">
        <v>8177</v>
      </c>
      <c r="B3016" s="2" t="s">
        <v>7007</v>
      </c>
      <c r="C3016" s="2" t="s">
        <v>8178</v>
      </c>
      <c r="D3016" s="2" t="s">
        <v>10055</v>
      </c>
      <c r="E3016" s="15">
        <v>9.01E-2</v>
      </c>
      <c r="F3016" s="15">
        <v>0.1186</v>
      </c>
      <c r="G3016" s="15">
        <v>0.44750000000000001</v>
      </c>
      <c r="H3016" s="15">
        <v>7.4399999999999994E-2</v>
      </c>
      <c r="I3016" s="15">
        <v>4.0800000000000003E-2</v>
      </c>
      <c r="J3016" s="15">
        <v>1.8235294117647061</v>
      </c>
    </row>
    <row r="3017" spans="1:10" x14ac:dyDescent="0.25">
      <c r="A3017" s="2" t="s">
        <v>8179</v>
      </c>
      <c r="B3017" s="2" t="s">
        <v>7007</v>
      </c>
      <c r="C3017" s="2" t="s">
        <v>8180</v>
      </c>
      <c r="D3017" s="2" t="s">
        <v>10055</v>
      </c>
      <c r="E3017" s="15">
        <v>-0.2167</v>
      </c>
      <c r="F3017" s="15">
        <v>0.17849999999999999</v>
      </c>
      <c r="G3017" s="15">
        <v>0.22489999999999999</v>
      </c>
      <c r="H3017" s="15">
        <v>3.9300000000000002E-2</v>
      </c>
      <c r="I3017" s="15">
        <v>3.9E-2</v>
      </c>
      <c r="J3017" s="15">
        <v>1.0076923076923081</v>
      </c>
    </row>
    <row r="3018" spans="1:10" x14ac:dyDescent="0.25">
      <c r="A3018" s="2" t="s">
        <v>8181</v>
      </c>
      <c r="B3018" s="2" t="s">
        <v>7007</v>
      </c>
      <c r="C3018" s="2" t="s">
        <v>8182</v>
      </c>
      <c r="D3018" s="2" t="s">
        <v>10055</v>
      </c>
      <c r="E3018" s="15"/>
      <c r="F3018" s="15"/>
      <c r="G3018" s="15"/>
      <c r="H3018" s="15">
        <v>-3.3500000000000002E-2</v>
      </c>
      <c r="I3018" s="15">
        <v>4.0800000000000003E-2</v>
      </c>
      <c r="J3018" s="15">
        <v>-0.82107843137254899</v>
      </c>
    </row>
    <row r="3019" spans="1:10" x14ac:dyDescent="0.25">
      <c r="A3019" s="2" t="s">
        <v>8183</v>
      </c>
      <c r="B3019" s="2" t="s">
        <v>7007</v>
      </c>
      <c r="C3019" s="2" t="s">
        <v>8184</v>
      </c>
      <c r="D3019" s="2" t="s">
        <v>10055</v>
      </c>
      <c r="E3019" s="15">
        <v>7.4999999999999997E-3</v>
      </c>
      <c r="F3019" s="15">
        <v>0.1085</v>
      </c>
      <c r="G3019" s="15">
        <v>0.94469999999999998</v>
      </c>
      <c r="H3019" s="15">
        <v>9.2200000000000004E-2</v>
      </c>
      <c r="I3019" s="15">
        <v>3.7499999999999999E-2</v>
      </c>
      <c r="J3019" s="15">
        <v>2.4586666666666668</v>
      </c>
    </row>
    <row r="3020" spans="1:10" x14ac:dyDescent="0.25">
      <c r="A3020" s="2" t="s">
        <v>8185</v>
      </c>
      <c r="B3020" s="2" t="s">
        <v>7007</v>
      </c>
      <c r="C3020" s="2" t="s">
        <v>8186</v>
      </c>
      <c r="D3020" s="2" t="s">
        <v>10055</v>
      </c>
      <c r="E3020" s="15">
        <v>-2.41E-2</v>
      </c>
      <c r="F3020" s="15">
        <v>0.1158</v>
      </c>
      <c r="G3020" s="15">
        <v>0.83550000000000002</v>
      </c>
      <c r="H3020" s="15">
        <v>6.54E-2</v>
      </c>
      <c r="I3020" s="15">
        <v>4.1599999999999998E-2</v>
      </c>
      <c r="J3020" s="15">
        <v>1.572115384615385</v>
      </c>
    </row>
    <row r="3021" spans="1:10" x14ac:dyDescent="0.25">
      <c r="A3021" s="2" t="s">
        <v>8187</v>
      </c>
      <c r="B3021" s="2" t="s">
        <v>7007</v>
      </c>
      <c r="C3021" s="2" t="s">
        <v>8188</v>
      </c>
      <c r="D3021" s="2" t="s">
        <v>10055</v>
      </c>
      <c r="E3021" s="15">
        <v>-4.02E-2</v>
      </c>
      <c r="F3021" s="15">
        <v>0.128</v>
      </c>
      <c r="G3021" s="15">
        <v>0.75360000000000005</v>
      </c>
      <c r="H3021" s="15">
        <v>6.6900000000000001E-2</v>
      </c>
      <c r="I3021" s="15">
        <v>0.04</v>
      </c>
      <c r="J3021" s="15">
        <v>1.6725000000000001</v>
      </c>
    </row>
    <row r="3022" spans="1:10" x14ac:dyDescent="0.25">
      <c r="A3022" s="2" t="s">
        <v>8189</v>
      </c>
      <c r="B3022" s="2" t="s">
        <v>7007</v>
      </c>
      <c r="C3022" s="2" t="s">
        <v>8190</v>
      </c>
      <c r="D3022" s="2" t="s">
        <v>10055</v>
      </c>
      <c r="E3022" s="15"/>
      <c r="F3022" s="15"/>
      <c r="G3022" s="15"/>
      <c r="H3022" s="15">
        <v>-3.4000000000000002E-2</v>
      </c>
      <c r="I3022" s="15">
        <v>3.9199999999999999E-2</v>
      </c>
      <c r="J3022" s="15">
        <v>-0.86734693877551028</v>
      </c>
    </row>
    <row r="3023" spans="1:10" x14ac:dyDescent="0.25">
      <c r="A3023" s="2" t="s">
        <v>8191</v>
      </c>
      <c r="B3023" s="2" t="s">
        <v>7007</v>
      </c>
      <c r="C3023" s="2" t="s">
        <v>8192</v>
      </c>
      <c r="D3023" s="2" t="s">
        <v>10055</v>
      </c>
      <c r="E3023" s="15">
        <v>-9.4299999999999995E-2</v>
      </c>
      <c r="F3023" s="15">
        <v>0.17949999999999999</v>
      </c>
      <c r="G3023" s="15">
        <v>0.59950000000000003</v>
      </c>
      <c r="H3023" s="15">
        <v>4.36E-2</v>
      </c>
      <c r="I3023" s="15">
        <v>4.1500000000000002E-2</v>
      </c>
      <c r="J3023" s="15">
        <v>1.050602409638554</v>
      </c>
    </row>
    <row r="3024" spans="1:10" x14ac:dyDescent="0.25">
      <c r="A3024" s="2" t="s">
        <v>8193</v>
      </c>
      <c r="B3024" s="2" t="s">
        <v>7007</v>
      </c>
      <c r="C3024" s="2" t="s">
        <v>8194</v>
      </c>
      <c r="D3024" s="2" t="s">
        <v>10055</v>
      </c>
      <c r="E3024" s="15">
        <v>-0.29189999999999999</v>
      </c>
      <c r="F3024" s="15">
        <v>0.41849999999999998</v>
      </c>
      <c r="G3024" s="15">
        <v>0.48549999999999999</v>
      </c>
      <c r="H3024" s="15">
        <v>2.0199999999999999E-2</v>
      </c>
      <c r="I3024" s="15">
        <v>3.8600000000000002E-2</v>
      </c>
      <c r="J3024" s="15">
        <v>0.52331606217616577</v>
      </c>
    </row>
    <row r="3025" spans="1:10" x14ac:dyDescent="0.25">
      <c r="A3025" s="2" t="s">
        <v>8195</v>
      </c>
      <c r="B3025" s="2" t="s">
        <v>7007</v>
      </c>
      <c r="C3025" s="2" t="s">
        <v>8196</v>
      </c>
      <c r="D3025" s="2" t="s">
        <v>10055</v>
      </c>
      <c r="E3025" s="15">
        <v>5.1499999999999997E-2</v>
      </c>
      <c r="F3025" s="15">
        <v>0.17899999999999999</v>
      </c>
      <c r="G3025" s="15">
        <v>0.77339999999999998</v>
      </c>
      <c r="H3025" s="15">
        <v>3.2000000000000001E-2</v>
      </c>
      <c r="I3025" s="15">
        <v>3.7999999999999999E-2</v>
      </c>
      <c r="J3025" s="15">
        <v>0.8421052631578948</v>
      </c>
    </row>
    <row r="3026" spans="1:10" x14ac:dyDescent="0.25">
      <c r="A3026" s="2" t="s">
        <v>8197</v>
      </c>
      <c r="B3026" s="2" t="s">
        <v>7007</v>
      </c>
      <c r="C3026" s="2" t="s">
        <v>8198</v>
      </c>
      <c r="D3026" s="2" t="s">
        <v>10055</v>
      </c>
      <c r="E3026" s="15"/>
      <c r="F3026" s="15"/>
      <c r="G3026" s="15"/>
      <c r="H3026" s="15"/>
      <c r="I3026" s="15"/>
      <c r="J3026" s="15"/>
    </row>
    <row r="3027" spans="1:10" x14ac:dyDescent="0.25">
      <c r="A3027" s="2" t="s">
        <v>8199</v>
      </c>
      <c r="B3027" s="2" t="s">
        <v>7007</v>
      </c>
      <c r="C3027" s="2" t="s">
        <v>8200</v>
      </c>
      <c r="D3027" s="2" t="s">
        <v>10055</v>
      </c>
      <c r="E3027" s="15">
        <v>-0.17829999999999999</v>
      </c>
      <c r="F3027" s="15">
        <v>0.16120000000000001</v>
      </c>
      <c r="G3027" s="15">
        <v>0.26869999999999999</v>
      </c>
      <c r="H3027" s="15">
        <v>5.21E-2</v>
      </c>
      <c r="I3027" s="15">
        <v>3.9800000000000002E-2</v>
      </c>
      <c r="J3027" s="15">
        <v>1.3090452261306531</v>
      </c>
    </row>
    <row r="3028" spans="1:10" x14ac:dyDescent="0.25">
      <c r="A3028" s="2" t="s">
        <v>8201</v>
      </c>
      <c r="B3028" s="2" t="s">
        <v>7007</v>
      </c>
      <c r="C3028" s="2" t="s">
        <v>8202</v>
      </c>
      <c r="D3028" s="2" t="s">
        <v>10055</v>
      </c>
      <c r="E3028" s="15">
        <v>-2.0500000000000001E-2</v>
      </c>
      <c r="F3028" s="15">
        <v>0.1439</v>
      </c>
      <c r="G3028" s="15">
        <v>0.88660000000000005</v>
      </c>
      <c r="H3028" s="15">
        <v>4.6600000000000003E-2</v>
      </c>
      <c r="I3028" s="15">
        <v>4.2500000000000003E-2</v>
      </c>
      <c r="J3028" s="15">
        <v>1.0964705882352941</v>
      </c>
    </row>
    <row r="3029" spans="1:10" x14ac:dyDescent="0.25">
      <c r="A3029" s="2" t="s">
        <v>8203</v>
      </c>
      <c r="B3029" s="2" t="s">
        <v>7007</v>
      </c>
      <c r="C3029" s="2" t="s">
        <v>8204</v>
      </c>
      <c r="D3029" s="2" t="s">
        <v>10055</v>
      </c>
      <c r="E3029" s="15">
        <v>6.3E-3</v>
      </c>
      <c r="F3029" s="15">
        <v>0.14180000000000001</v>
      </c>
      <c r="G3029" s="15">
        <v>0.96430000000000005</v>
      </c>
      <c r="H3029" s="15">
        <v>6.0499999999999998E-2</v>
      </c>
      <c r="I3029" s="15">
        <v>3.9100000000000003E-2</v>
      </c>
      <c r="J3029" s="15">
        <v>1.547314578005115</v>
      </c>
    </row>
    <row r="3030" spans="1:10" x14ac:dyDescent="0.25">
      <c r="A3030" s="2" t="s">
        <v>8205</v>
      </c>
      <c r="B3030" s="2" t="s">
        <v>7007</v>
      </c>
      <c r="C3030" s="2" t="s">
        <v>8206</v>
      </c>
      <c r="D3030" s="2" t="s">
        <v>10055</v>
      </c>
      <c r="E3030" s="15">
        <v>-8.4400000000000003E-2</v>
      </c>
      <c r="F3030" s="15">
        <v>9.2600000000000002E-2</v>
      </c>
      <c r="G3030" s="15">
        <v>0.36199999999999999</v>
      </c>
      <c r="H3030" s="15">
        <v>0.12790000000000001</v>
      </c>
      <c r="I3030" s="15">
        <v>3.6299999999999999E-2</v>
      </c>
      <c r="J3030" s="15">
        <v>3.5234159779614331</v>
      </c>
    </row>
    <row r="3031" spans="1:10" x14ac:dyDescent="0.25">
      <c r="A3031" s="2" t="s">
        <v>8207</v>
      </c>
      <c r="B3031" s="2" t="s">
        <v>7007</v>
      </c>
      <c r="C3031" s="2" t="s">
        <v>8208</v>
      </c>
      <c r="D3031" s="2" t="s">
        <v>10055</v>
      </c>
      <c r="E3031" s="15">
        <v>-2.1499999999999998E-2</v>
      </c>
      <c r="F3031" s="15">
        <v>0.16930000000000001</v>
      </c>
      <c r="G3031" s="15">
        <v>0.89880000000000004</v>
      </c>
      <c r="H3031" s="15">
        <v>3.7499999999999999E-2</v>
      </c>
      <c r="I3031" s="15">
        <v>4.2799999999999998E-2</v>
      </c>
      <c r="J3031" s="15">
        <v>0.87616822429906538</v>
      </c>
    </row>
    <row r="3032" spans="1:10" x14ac:dyDescent="0.25">
      <c r="A3032" s="2" t="s">
        <v>8209</v>
      </c>
      <c r="B3032" s="2" t="s">
        <v>7007</v>
      </c>
      <c r="C3032" s="2" t="s">
        <v>8210</v>
      </c>
      <c r="D3032" s="2" t="s">
        <v>10055</v>
      </c>
      <c r="E3032" s="15">
        <v>0.22159999999999999</v>
      </c>
      <c r="F3032" s="15">
        <v>0.18840000000000001</v>
      </c>
      <c r="G3032" s="15">
        <v>0.23960000000000001</v>
      </c>
      <c r="H3032" s="15">
        <v>3.9600000000000003E-2</v>
      </c>
      <c r="I3032" s="15">
        <v>3.7100000000000001E-2</v>
      </c>
      <c r="J3032" s="15">
        <v>1.067385444743935</v>
      </c>
    </row>
    <row r="3033" spans="1:10" x14ac:dyDescent="0.25">
      <c r="A3033" s="2" t="s">
        <v>8211</v>
      </c>
      <c r="B3033" s="2" t="s">
        <v>7007</v>
      </c>
      <c r="C3033" s="2" t="s">
        <v>8212</v>
      </c>
      <c r="D3033" s="2" t="s">
        <v>10055</v>
      </c>
      <c r="E3033" s="15">
        <v>-0.37919999999999998</v>
      </c>
      <c r="F3033" s="15">
        <v>0.37869999999999998</v>
      </c>
      <c r="G3033" s="15">
        <v>0.31669999999999998</v>
      </c>
      <c r="H3033" s="15">
        <v>2.1999999999999999E-2</v>
      </c>
      <c r="I3033" s="15">
        <v>3.2899999999999999E-2</v>
      </c>
      <c r="J3033" s="15">
        <v>0.66869300911854102</v>
      </c>
    </row>
    <row r="3034" spans="1:10" x14ac:dyDescent="0.25">
      <c r="A3034" s="2" t="s">
        <v>8213</v>
      </c>
      <c r="B3034" s="2" t="s">
        <v>7007</v>
      </c>
      <c r="C3034" s="2" t="s">
        <v>8214</v>
      </c>
      <c r="D3034" s="2" t="s">
        <v>10055</v>
      </c>
      <c r="E3034" s="15">
        <v>-0.1845</v>
      </c>
      <c r="F3034" s="15">
        <v>0.1234</v>
      </c>
      <c r="G3034" s="15">
        <v>0.13489999999999999</v>
      </c>
      <c r="H3034" s="15">
        <v>8.3099999999999993E-2</v>
      </c>
      <c r="I3034" s="15">
        <v>3.9199999999999999E-2</v>
      </c>
      <c r="J3034" s="15">
        <v>2.1198979591836729</v>
      </c>
    </row>
    <row r="3035" spans="1:10" x14ac:dyDescent="0.25">
      <c r="A3035" s="2" t="s">
        <v>8215</v>
      </c>
      <c r="B3035" s="2" t="s">
        <v>7007</v>
      </c>
      <c r="C3035" s="2" t="s">
        <v>8216</v>
      </c>
      <c r="D3035" s="2" t="s">
        <v>10055</v>
      </c>
      <c r="E3035" s="15">
        <v>9.4200000000000006E-2</v>
      </c>
      <c r="F3035" s="15">
        <v>7.3899999999999993E-2</v>
      </c>
      <c r="G3035" s="15">
        <v>0.20250000000000001</v>
      </c>
      <c r="H3035" s="15">
        <v>0.2009</v>
      </c>
      <c r="I3035" s="15">
        <v>4.1599999999999998E-2</v>
      </c>
      <c r="J3035" s="15">
        <v>4.8293269230769234</v>
      </c>
    </row>
    <row r="3036" spans="1:10" x14ac:dyDescent="0.25">
      <c r="A3036" s="2" t="s">
        <v>8217</v>
      </c>
      <c r="B3036" s="2" t="s">
        <v>7007</v>
      </c>
      <c r="C3036" s="2" t="s">
        <v>8218</v>
      </c>
      <c r="D3036" s="2" t="s">
        <v>10055</v>
      </c>
      <c r="E3036" s="15">
        <v>9.8500000000000004E-2</v>
      </c>
      <c r="F3036" s="15">
        <v>0.1671</v>
      </c>
      <c r="G3036" s="15">
        <v>0.5554</v>
      </c>
      <c r="H3036" s="15">
        <v>4.3999999999999997E-2</v>
      </c>
      <c r="I3036" s="15">
        <v>3.95E-2</v>
      </c>
      <c r="J3036" s="15">
        <v>1.1139240506329109</v>
      </c>
    </row>
    <row r="3037" spans="1:10" x14ac:dyDescent="0.25">
      <c r="A3037" s="2" t="s">
        <v>8219</v>
      </c>
      <c r="B3037" s="2" t="s">
        <v>7007</v>
      </c>
      <c r="C3037" s="2" t="s">
        <v>8220</v>
      </c>
      <c r="D3037" s="2" t="s">
        <v>10055</v>
      </c>
      <c r="E3037" s="15">
        <v>-0.21970000000000001</v>
      </c>
      <c r="F3037" s="15">
        <v>0.16489999999999999</v>
      </c>
      <c r="G3037" s="15">
        <v>0.1827</v>
      </c>
      <c r="H3037" s="15">
        <v>4.8899999999999999E-2</v>
      </c>
      <c r="I3037" s="15">
        <v>3.4099999999999998E-2</v>
      </c>
      <c r="J3037" s="15">
        <v>1.4340175953079179</v>
      </c>
    </row>
    <row r="3038" spans="1:10" x14ac:dyDescent="0.25">
      <c r="A3038" s="2" t="s">
        <v>8221</v>
      </c>
      <c r="B3038" s="2" t="s">
        <v>7007</v>
      </c>
      <c r="C3038" s="2" t="s">
        <v>8222</v>
      </c>
      <c r="D3038" s="2" t="s">
        <v>10055</v>
      </c>
      <c r="E3038" s="15">
        <v>2.63E-2</v>
      </c>
      <c r="F3038" s="15">
        <v>9.2299999999999993E-2</v>
      </c>
      <c r="G3038" s="15">
        <v>0.77559999999999996</v>
      </c>
      <c r="H3038" s="15">
        <v>0.1376</v>
      </c>
      <c r="I3038" s="15">
        <v>4.9500000000000002E-2</v>
      </c>
      <c r="J3038" s="15">
        <v>2.779797979797979</v>
      </c>
    </row>
    <row r="3039" spans="1:10" x14ac:dyDescent="0.25">
      <c r="A3039" s="2" t="s">
        <v>8223</v>
      </c>
      <c r="B3039" s="2" t="s">
        <v>7007</v>
      </c>
      <c r="C3039" s="2" t="s">
        <v>8224</v>
      </c>
      <c r="D3039" s="2" t="s">
        <v>10055</v>
      </c>
      <c r="E3039" s="15">
        <v>-0.10299999999999999</v>
      </c>
      <c r="F3039" s="15">
        <v>0.2225</v>
      </c>
      <c r="G3039" s="15">
        <v>0.64349999999999996</v>
      </c>
      <c r="H3039" s="15">
        <v>2.58E-2</v>
      </c>
      <c r="I3039" s="15">
        <v>3.5799999999999998E-2</v>
      </c>
      <c r="J3039" s="15">
        <v>0.72067039106145259</v>
      </c>
    </row>
    <row r="3040" spans="1:10" x14ac:dyDescent="0.25">
      <c r="A3040" s="2" t="s">
        <v>8225</v>
      </c>
      <c r="B3040" s="2" t="s">
        <v>7007</v>
      </c>
      <c r="C3040" s="2" t="s">
        <v>8226</v>
      </c>
      <c r="D3040" s="2" t="s">
        <v>10055</v>
      </c>
      <c r="E3040" s="15">
        <v>4.6199999999999998E-2</v>
      </c>
      <c r="F3040" s="15">
        <v>0.16259999999999999</v>
      </c>
      <c r="G3040" s="15">
        <v>0.7762</v>
      </c>
      <c r="H3040" s="15">
        <v>4.6899999999999997E-2</v>
      </c>
      <c r="I3040" s="15">
        <v>3.6400000000000002E-2</v>
      </c>
      <c r="J3040" s="15">
        <v>1.2884615384615381</v>
      </c>
    </row>
    <row r="3041" spans="1:10" x14ac:dyDescent="0.25">
      <c r="A3041" s="2" t="s">
        <v>8227</v>
      </c>
      <c r="B3041" s="2" t="s">
        <v>7007</v>
      </c>
      <c r="C3041" s="2" t="s">
        <v>8228</v>
      </c>
      <c r="D3041" s="2" t="s">
        <v>10055</v>
      </c>
      <c r="E3041" s="15">
        <v>-0.12570000000000001</v>
      </c>
      <c r="F3041" s="15">
        <v>0.1162</v>
      </c>
      <c r="G3041" s="15">
        <v>0.27910000000000001</v>
      </c>
      <c r="H3041" s="15">
        <v>8.2100000000000006E-2</v>
      </c>
      <c r="I3041" s="15">
        <v>4.19E-2</v>
      </c>
      <c r="J3041" s="15">
        <v>1.9594272076372321</v>
      </c>
    </row>
    <row r="3042" spans="1:10" x14ac:dyDescent="0.25">
      <c r="A3042" s="2" t="s">
        <v>8229</v>
      </c>
      <c r="B3042" s="2" t="s">
        <v>7007</v>
      </c>
      <c r="C3042" s="2" t="s">
        <v>8230</v>
      </c>
      <c r="D3042" s="2" t="s">
        <v>10055</v>
      </c>
      <c r="E3042" s="15"/>
      <c r="F3042" s="15"/>
      <c r="G3042" s="15"/>
      <c r="H3042" s="15">
        <v>-2.8799999999999999E-2</v>
      </c>
      <c r="I3042" s="15">
        <v>4.24E-2</v>
      </c>
      <c r="J3042" s="15">
        <v>-0.67924528301886788</v>
      </c>
    </row>
    <row r="3043" spans="1:10" x14ac:dyDescent="0.25">
      <c r="A3043" s="2" t="s">
        <v>8231</v>
      </c>
      <c r="B3043" s="2" t="s">
        <v>7007</v>
      </c>
      <c r="C3043" s="2" t="s">
        <v>8232</v>
      </c>
      <c r="D3043" s="2" t="s">
        <v>10055</v>
      </c>
      <c r="E3043" s="15">
        <v>-9.5299999999999996E-2</v>
      </c>
      <c r="F3043" s="15">
        <v>0.19409999999999999</v>
      </c>
      <c r="G3043" s="15">
        <v>0.62339999999999995</v>
      </c>
      <c r="H3043" s="15">
        <v>3.4200000000000001E-2</v>
      </c>
      <c r="I3043" s="15">
        <v>3.73E-2</v>
      </c>
      <c r="J3043" s="15">
        <v>0.91689008042895448</v>
      </c>
    </row>
    <row r="3044" spans="1:10" x14ac:dyDescent="0.25">
      <c r="A3044" s="2" t="s">
        <v>8233</v>
      </c>
      <c r="B3044" s="2" t="s">
        <v>7007</v>
      </c>
      <c r="C3044" s="2" t="s">
        <v>8234</v>
      </c>
      <c r="D3044" s="2" t="s">
        <v>10055</v>
      </c>
      <c r="E3044" s="15">
        <v>-2E-3</v>
      </c>
      <c r="F3044" s="15">
        <v>8.6300000000000002E-2</v>
      </c>
      <c r="G3044" s="15">
        <v>0.98150000000000004</v>
      </c>
      <c r="H3044" s="15">
        <v>0.16439999999999999</v>
      </c>
      <c r="I3044" s="15">
        <v>4.4499999999999998E-2</v>
      </c>
      <c r="J3044" s="15">
        <v>3.6943820224719102</v>
      </c>
    </row>
    <row r="3045" spans="1:10" x14ac:dyDescent="0.25">
      <c r="A3045" s="2" t="s">
        <v>8235</v>
      </c>
      <c r="B3045" s="2" t="s">
        <v>7007</v>
      </c>
      <c r="C3045" s="2" t="s">
        <v>8236</v>
      </c>
      <c r="D3045" s="2" t="s">
        <v>10055</v>
      </c>
      <c r="E3045" s="15"/>
      <c r="F3045" s="15"/>
      <c r="G3045" s="15"/>
      <c r="H3045" s="15"/>
      <c r="I3045" s="15"/>
      <c r="J3045" s="15"/>
    </row>
    <row r="3046" spans="1:10" x14ac:dyDescent="0.25">
      <c r="A3046" s="2" t="s">
        <v>8237</v>
      </c>
      <c r="B3046" s="2" t="s">
        <v>7007</v>
      </c>
      <c r="C3046" s="2" t="s">
        <v>8238</v>
      </c>
      <c r="D3046" s="2" t="s">
        <v>10055</v>
      </c>
      <c r="E3046" s="15">
        <v>-1.66E-2</v>
      </c>
      <c r="F3046" s="15">
        <v>0.1507</v>
      </c>
      <c r="G3046" s="15">
        <v>0.9123</v>
      </c>
      <c r="H3046" s="15">
        <v>4.9200000000000001E-2</v>
      </c>
      <c r="I3046" s="15">
        <v>3.6400000000000002E-2</v>
      </c>
      <c r="J3046" s="15">
        <v>1.351648351648352</v>
      </c>
    </row>
    <row r="3047" spans="1:10" x14ac:dyDescent="0.25">
      <c r="A3047" s="2" t="s">
        <v>8239</v>
      </c>
      <c r="B3047" s="2" t="s">
        <v>7007</v>
      </c>
      <c r="C3047" s="2" t="s">
        <v>8240</v>
      </c>
      <c r="D3047" s="2" t="s">
        <v>10055</v>
      </c>
      <c r="E3047" s="15"/>
      <c r="F3047" s="15"/>
      <c r="G3047" s="15"/>
      <c r="H3047" s="15">
        <v>-2.81E-2</v>
      </c>
      <c r="I3047" s="15">
        <v>3.78E-2</v>
      </c>
      <c r="J3047" s="15">
        <v>-0.74338624338624337</v>
      </c>
    </row>
    <row r="3048" spans="1:10" x14ac:dyDescent="0.25">
      <c r="A3048" s="2" t="s">
        <v>8241</v>
      </c>
      <c r="B3048" s="2" t="s">
        <v>7007</v>
      </c>
      <c r="C3048" s="2" t="s">
        <v>8242</v>
      </c>
      <c r="D3048" s="2" t="s">
        <v>10055</v>
      </c>
      <c r="E3048" s="15">
        <v>-0.13089999999999999</v>
      </c>
      <c r="F3048" s="15">
        <v>0.19919999999999999</v>
      </c>
      <c r="G3048" s="15">
        <v>0.51119999999999999</v>
      </c>
      <c r="H3048" s="15">
        <v>3.5900000000000001E-2</v>
      </c>
      <c r="I3048" s="15">
        <v>4.0599999999999997E-2</v>
      </c>
      <c r="J3048" s="15">
        <v>0.88423645320197053</v>
      </c>
    </row>
    <row r="3049" spans="1:10" x14ac:dyDescent="0.25">
      <c r="A3049" s="2" t="s">
        <v>8243</v>
      </c>
      <c r="B3049" s="2" t="s">
        <v>7007</v>
      </c>
      <c r="C3049" s="2" t="s">
        <v>8244</v>
      </c>
      <c r="D3049" s="2" t="s">
        <v>10055</v>
      </c>
      <c r="E3049" s="15">
        <v>-1.49E-2</v>
      </c>
      <c r="F3049" s="15">
        <v>0.11020000000000001</v>
      </c>
      <c r="G3049" s="15">
        <v>0.8921</v>
      </c>
      <c r="H3049" s="15">
        <v>8.5199999999999998E-2</v>
      </c>
      <c r="I3049" s="15">
        <v>4.2799999999999998E-2</v>
      </c>
      <c r="J3049" s="15">
        <v>1.990654205607477</v>
      </c>
    </row>
    <row r="3050" spans="1:10" x14ac:dyDescent="0.25">
      <c r="A3050" s="2" t="s">
        <v>8245</v>
      </c>
      <c r="B3050" s="2" t="s">
        <v>7007</v>
      </c>
      <c r="C3050" s="2" t="s">
        <v>8246</v>
      </c>
      <c r="D3050" s="2" t="s">
        <v>10055</v>
      </c>
      <c r="E3050" s="15">
        <v>0.1249</v>
      </c>
      <c r="F3050" s="15">
        <v>0.23350000000000001</v>
      </c>
      <c r="G3050" s="15">
        <v>0.5927</v>
      </c>
      <c r="H3050" s="15">
        <v>2.3900000000000001E-2</v>
      </c>
      <c r="I3050" s="15">
        <v>3.6900000000000002E-2</v>
      </c>
      <c r="J3050" s="15">
        <v>0.64769647696476962</v>
      </c>
    </row>
    <row r="3051" spans="1:10" x14ac:dyDescent="0.25">
      <c r="A3051" s="2" t="s">
        <v>8247</v>
      </c>
      <c r="B3051" s="2" t="s">
        <v>7007</v>
      </c>
      <c r="C3051" s="2" t="s">
        <v>8248</v>
      </c>
      <c r="D3051" s="2" t="s">
        <v>10055</v>
      </c>
      <c r="E3051" s="15">
        <v>-0.1648</v>
      </c>
      <c r="F3051" s="15">
        <v>0.1888</v>
      </c>
      <c r="G3051" s="15">
        <v>0.38279999999999997</v>
      </c>
      <c r="H3051" s="15">
        <v>3.8300000000000001E-2</v>
      </c>
      <c r="I3051" s="15">
        <v>3.8100000000000002E-2</v>
      </c>
      <c r="J3051" s="15">
        <v>1.0052493438320209</v>
      </c>
    </row>
    <row r="3052" spans="1:10" x14ac:dyDescent="0.25">
      <c r="A3052" s="2" t="s">
        <v>8249</v>
      </c>
      <c r="B3052" s="2" t="s">
        <v>7007</v>
      </c>
      <c r="C3052" s="2" t="s">
        <v>8250</v>
      </c>
      <c r="D3052" s="2" t="s">
        <v>10055</v>
      </c>
      <c r="E3052" s="15">
        <v>4.2000000000000003E-2</v>
      </c>
      <c r="F3052" s="15">
        <v>0.1303</v>
      </c>
      <c r="G3052" s="15">
        <v>0.74739999999999995</v>
      </c>
      <c r="H3052" s="15">
        <v>6.6000000000000003E-2</v>
      </c>
      <c r="I3052" s="15">
        <v>3.9E-2</v>
      </c>
      <c r="J3052" s="15">
        <v>1.6923076923076921</v>
      </c>
    </row>
    <row r="3053" spans="1:10" x14ac:dyDescent="0.25">
      <c r="A3053" s="2" t="s">
        <v>8251</v>
      </c>
      <c r="B3053" s="2" t="s">
        <v>7007</v>
      </c>
      <c r="C3053" s="2" t="s">
        <v>8252</v>
      </c>
      <c r="D3053" s="2" t="s">
        <v>10055</v>
      </c>
      <c r="E3053" s="15">
        <v>-0.38650000000000001</v>
      </c>
      <c r="F3053" s="15">
        <v>0.2828</v>
      </c>
      <c r="G3053" s="15">
        <v>0.17169999999999999</v>
      </c>
      <c r="H3053" s="15">
        <v>3.2800000000000003E-2</v>
      </c>
      <c r="I3053" s="15">
        <v>3.6700000000000003E-2</v>
      </c>
      <c r="J3053" s="15">
        <v>0.89373297002724794</v>
      </c>
    </row>
    <row r="3054" spans="1:10" x14ac:dyDescent="0.25">
      <c r="A3054" s="2" t="s">
        <v>8253</v>
      </c>
      <c r="B3054" s="2" t="s">
        <v>7007</v>
      </c>
      <c r="C3054" s="2" t="s">
        <v>8254</v>
      </c>
      <c r="D3054" s="2" t="s">
        <v>10055</v>
      </c>
      <c r="E3054" s="15">
        <v>-0.1772</v>
      </c>
      <c r="F3054" s="15">
        <v>9.06E-2</v>
      </c>
      <c r="G3054" s="15">
        <v>5.0500000000000003E-2</v>
      </c>
      <c r="H3054" s="15">
        <v>0.1497</v>
      </c>
      <c r="I3054" s="15">
        <v>4.1500000000000002E-2</v>
      </c>
      <c r="J3054" s="15">
        <v>3.6072289156626498</v>
      </c>
    </row>
    <row r="3055" spans="1:10" x14ac:dyDescent="0.25">
      <c r="A3055" s="2" t="s">
        <v>8255</v>
      </c>
      <c r="B3055" s="2" t="s">
        <v>7007</v>
      </c>
      <c r="C3055" s="2" t="s">
        <v>8256</v>
      </c>
      <c r="D3055" s="2" t="s">
        <v>10055</v>
      </c>
      <c r="E3055" s="15">
        <v>-6.0600000000000001E-2</v>
      </c>
      <c r="F3055" s="15">
        <v>0.26690000000000003</v>
      </c>
      <c r="G3055" s="15">
        <v>0.82040000000000002</v>
      </c>
      <c r="H3055" s="15">
        <v>1.7299999999999999E-2</v>
      </c>
      <c r="I3055" s="15">
        <v>3.9100000000000003E-2</v>
      </c>
      <c r="J3055" s="15">
        <v>0.44245524296675193</v>
      </c>
    </row>
    <row r="3056" spans="1:10" x14ac:dyDescent="0.25">
      <c r="A3056" s="2" t="s">
        <v>8257</v>
      </c>
      <c r="B3056" s="2" t="s">
        <v>7007</v>
      </c>
      <c r="C3056" s="2" t="s">
        <v>8258</v>
      </c>
      <c r="D3056" s="2" t="s">
        <v>10055</v>
      </c>
      <c r="E3056" s="15">
        <v>-0.16550000000000001</v>
      </c>
      <c r="F3056" s="15">
        <v>0.2243</v>
      </c>
      <c r="G3056" s="15">
        <v>0.46039999999999998</v>
      </c>
      <c r="H3056" s="15">
        <v>2.69E-2</v>
      </c>
      <c r="I3056" s="15">
        <v>3.73E-2</v>
      </c>
      <c r="J3056" s="15">
        <v>0.72117962466487939</v>
      </c>
    </row>
    <row r="3057" spans="1:10" x14ac:dyDescent="0.25">
      <c r="A3057" s="2" t="s">
        <v>8259</v>
      </c>
      <c r="B3057" s="2" t="s">
        <v>7007</v>
      </c>
      <c r="C3057" s="2" t="s">
        <v>8260</v>
      </c>
      <c r="D3057" s="2" t="s">
        <v>10055</v>
      </c>
      <c r="E3057" s="15">
        <v>-3.09E-2</v>
      </c>
      <c r="F3057" s="15">
        <v>0.15959999999999999</v>
      </c>
      <c r="G3057" s="15">
        <v>0.84670000000000001</v>
      </c>
      <c r="H3057" s="15">
        <v>4.3700000000000003E-2</v>
      </c>
      <c r="I3057" s="15">
        <v>3.7900000000000003E-2</v>
      </c>
      <c r="J3057" s="15">
        <v>1.1530343007915571</v>
      </c>
    </row>
    <row r="3058" spans="1:10" x14ac:dyDescent="0.25">
      <c r="A3058" s="2" t="s">
        <v>8261</v>
      </c>
      <c r="B3058" s="2" t="s">
        <v>7007</v>
      </c>
      <c r="C3058" s="2" t="s">
        <v>8262</v>
      </c>
      <c r="D3058" s="2" t="s">
        <v>10055</v>
      </c>
      <c r="E3058" s="15">
        <v>0.12670000000000001</v>
      </c>
      <c r="F3058" s="15">
        <v>0.1007</v>
      </c>
      <c r="G3058" s="15">
        <v>0.20830000000000001</v>
      </c>
      <c r="H3058" s="15">
        <v>0.11219999999999999</v>
      </c>
      <c r="I3058" s="15">
        <v>3.7699999999999997E-2</v>
      </c>
      <c r="J3058" s="15">
        <v>2.9761273209549071</v>
      </c>
    </row>
    <row r="3059" spans="1:10" x14ac:dyDescent="0.25">
      <c r="A3059" s="2" t="s">
        <v>8263</v>
      </c>
      <c r="B3059" s="2" t="s">
        <v>7007</v>
      </c>
      <c r="C3059" s="2" t="s">
        <v>8264</v>
      </c>
      <c r="D3059" s="2" t="s">
        <v>10055</v>
      </c>
      <c r="E3059" s="15">
        <v>4.1000000000000002E-2</v>
      </c>
      <c r="F3059" s="15">
        <v>8.6599999999999996E-2</v>
      </c>
      <c r="G3059" s="15">
        <v>0.63580000000000003</v>
      </c>
      <c r="H3059" s="15">
        <v>0.12970000000000001</v>
      </c>
      <c r="I3059" s="15">
        <v>3.9600000000000003E-2</v>
      </c>
      <c r="J3059" s="15">
        <v>3.2752525252525251</v>
      </c>
    </row>
    <row r="3060" spans="1:10" x14ac:dyDescent="0.25">
      <c r="A3060" s="2" t="s">
        <v>8265</v>
      </c>
      <c r="B3060" s="2" t="s">
        <v>7007</v>
      </c>
      <c r="C3060" s="2" t="s">
        <v>8266</v>
      </c>
      <c r="D3060" s="2" t="s">
        <v>10055</v>
      </c>
      <c r="E3060" s="15">
        <v>0.28199999999999997</v>
      </c>
      <c r="F3060" s="15">
        <v>0.40789999999999998</v>
      </c>
      <c r="G3060" s="15">
        <v>0.48930000000000001</v>
      </c>
      <c r="H3060" s="15">
        <v>2.1600000000000001E-2</v>
      </c>
      <c r="I3060" s="15">
        <v>3.95E-2</v>
      </c>
      <c r="J3060" s="15">
        <v>0.54683544303797471</v>
      </c>
    </row>
    <row r="3061" spans="1:10" x14ac:dyDescent="0.25">
      <c r="A3061" s="2" t="s">
        <v>8267</v>
      </c>
      <c r="B3061" s="2" t="s">
        <v>7007</v>
      </c>
      <c r="C3061" s="2" t="s">
        <v>8268</v>
      </c>
      <c r="D3061" s="2" t="s">
        <v>10055</v>
      </c>
      <c r="E3061" s="15"/>
      <c r="F3061" s="15"/>
      <c r="G3061" s="15"/>
      <c r="H3061" s="15">
        <v>-9.7999999999999997E-3</v>
      </c>
      <c r="I3061" s="15">
        <v>3.7600000000000001E-2</v>
      </c>
      <c r="J3061" s="15">
        <v>-0.26063829787234039</v>
      </c>
    </row>
    <row r="3062" spans="1:10" x14ac:dyDescent="0.25">
      <c r="A3062" s="2" t="s">
        <v>8269</v>
      </c>
      <c r="B3062" s="2" t="s">
        <v>7007</v>
      </c>
      <c r="C3062" s="2" t="s">
        <v>8270</v>
      </c>
      <c r="D3062" s="2" t="s">
        <v>10055</v>
      </c>
      <c r="E3062" s="15">
        <v>-0.28720000000000001</v>
      </c>
      <c r="F3062" s="15">
        <v>0.39989999999999998</v>
      </c>
      <c r="G3062" s="15">
        <v>0.47249999999999998</v>
      </c>
      <c r="H3062" s="15">
        <v>2.3300000000000001E-2</v>
      </c>
      <c r="I3062" s="15">
        <v>4.1599999999999998E-2</v>
      </c>
      <c r="J3062" s="15">
        <v>0.56009615384615385</v>
      </c>
    </row>
    <row r="3063" spans="1:10" x14ac:dyDescent="0.25">
      <c r="A3063" s="2" t="s">
        <v>8271</v>
      </c>
      <c r="B3063" s="2" t="s">
        <v>7007</v>
      </c>
      <c r="C3063" s="2" t="s">
        <v>8272</v>
      </c>
      <c r="D3063" s="2" t="s">
        <v>10055</v>
      </c>
      <c r="E3063" s="15">
        <v>0.1862</v>
      </c>
      <c r="F3063" s="15">
        <v>0.16009999999999999</v>
      </c>
      <c r="G3063" s="15">
        <v>0.24490000000000001</v>
      </c>
      <c r="H3063" s="15">
        <v>5.2499999999999998E-2</v>
      </c>
      <c r="I3063" s="15">
        <v>3.7699999999999997E-2</v>
      </c>
      <c r="J3063" s="15">
        <v>1.392572944297082</v>
      </c>
    </row>
    <row r="3064" spans="1:10" x14ac:dyDescent="0.25">
      <c r="A3064" s="2" t="s">
        <v>8273</v>
      </c>
      <c r="B3064" s="2" t="s">
        <v>7007</v>
      </c>
      <c r="C3064" s="2" t="s">
        <v>8274</v>
      </c>
      <c r="D3064" s="2" t="s">
        <v>10055</v>
      </c>
      <c r="E3064" s="15"/>
      <c r="F3064" s="15"/>
      <c r="G3064" s="15"/>
      <c r="H3064" s="15"/>
      <c r="I3064" s="15"/>
      <c r="J3064" s="15"/>
    </row>
    <row r="3065" spans="1:10" x14ac:dyDescent="0.25">
      <c r="A3065" s="2" t="s">
        <v>8275</v>
      </c>
      <c r="B3065" s="2" t="s">
        <v>7007</v>
      </c>
      <c r="C3065" s="2" t="s">
        <v>8276</v>
      </c>
      <c r="D3065" s="2" t="s">
        <v>10055</v>
      </c>
      <c r="E3065" s="15">
        <v>-0.14610000000000001</v>
      </c>
      <c r="F3065" s="15">
        <v>0.12759999999999999</v>
      </c>
      <c r="G3065" s="15">
        <v>0.252</v>
      </c>
      <c r="H3065" s="15">
        <v>7.7200000000000005E-2</v>
      </c>
      <c r="I3065" s="15">
        <v>4.1500000000000002E-2</v>
      </c>
      <c r="J3065" s="15">
        <v>1.860240963855422</v>
      </c>
    </row>
    <row r="3066" spans="1:10" x14ac:dyDescent="0.25">
      <c r="A3066" s="2" t="s">
        <v>8277</v>
      </c>
      <c r="B3066" s="2" t="s">
        <v>7007</v>
      </c>
      <c r="C3066" s="2" t="s">
        <v>8278</v>
      </c>
      <c r="D3066" s="2" t="s">
        <v>10055</v>
      </c>
      <c r="E3066" s="15">
        <v>-2.1999999999999999E-2</v>
      </c>
      <c r="F3066" s="15">
        <v>0.11119999999999999</v>
      </c>
      <c r="G3066" s="15">
        <v>0.84330000000000005</v>
      </c>
      <c r="H3066" s="15">
        <v>8.4500000000000006E-2</v>
      </c>
      <c r="I3066" s="15">
        <v>3.6600000000000001E-2</v>
      </c>
      <c r="J3066" s="15">
        <v>2.3087431693989071</v>
      </c>
    </row>
    <row r="3067" spans="1:10" x14ac:dyDescent="0.25">
      <c r="A3067" s="2" t="s">
        <v>8279</v>
      </c>
      <c r="B3067" s="2" t="s">
        <v>7007</v>
      </c>
      <c r="C3067" s="2" t="s">
        <v>8280</v>
      </c>
      <c r="D3067" s="2" t="s">
        <v>10055</v>
      </c>
      <c r="E3067" s="15">
        <v>0.23649999999999999</v>
      </c>
      <c r="F3067" s="15">
        <v>0.1137</v>
      </c>
      <c r="G3067" s="15">
        <v>3.7499999999999999E-2</v>
      </c>
      <c r="H3067" s="15">
        <v>0.1206</v>
      </c>
      <c r="I3067" s="15">
        <v>3.8300000000000001E-2</v>
      </c>
      <c r="J3067" s="15">
        <v>3.148825065274151</v>
      </c>
    </row>
    <row r="3068" spans="1:10" x14ac:dyDescent="0.25">
      <c r="A3068" s="2" t="s">
        <v>8281</v>
      </c>
      <c r="B3068" s="2" t="s">
        <v>7007</v>
      </c>
      <c r="C3068" s="2" t="s">
        <v>8282</v>
      </c>
      <c r="D3068" s="2" t="s">
        <v>10055</v>
      </c>
      <c r="E3068" s="15"/>
      <c r="F3068" s="15"/>
      <c r="G3068" s="15"/>
      <c r="H3068" s="15">
        <v>-3.4099999999999998E-2</v>
      </c>
      <c r="I3068" s="15">
        <v>3.4799999999999998E-2</v>
      </c>
      <c r="J3068" s="15">
        <v>-0.97988505747126442</v>
      </c>
    </row>
    <row r="3069" spans="1:10" x14ac:dyDescent="0.25">
      <c r="A3069" s="2" t="s">
        <v>8283</v>
      </c>
      <c r="B3069" s="2" t="s">
        <v>7007</v>
      </c>
      <c r="C3069" s="2" t="s">
        <v>8284</v>
      </c>
      <c r="D3069" s="2" t="s">
        <v>10055</v>
      </c>
      <c r="E3069" s="15">
        <v>-2.4500000000000001E-2</v>
      </c>
      <c r="F3069" s="15">
        <v>0.13619999999999999</v>
      </c>
      <c r="G3069" s="15">
        <v>0.85699999999999998</v>
      </c>
      <c r="H3069" s="15">
        <v>6.8699999999999997E-2</v>
      </c>
      <c r="I3069" s="15">
        <v>4.19E-2</v>
      </c>
      <c r="J3069" s="15">
        <v>1.639618138424821</v>
      </c>
    </row>
    <row r="3070" spans="1:10" x14ac:dyDescent="0.25">
      <c r="A3070" s="2" t="s">
        <v>8285</v>
      </c>
      <c r="B3070" s="2" t="s">
        <v>7007</v>
      </c>
      <c r="C3070" s="2" t="s">
        <v>8286</v>
      </c>
      <c r="D3070" s="2" t="s">
        <v>10055</v>
      </c>
      <c r="E3070" s="15">
        <v>-0.19170000000000001</v>
      </c>
      <c r="F3070" s="15">
        <v>0.28260000000000002</v>
      </c>
      <c r="G3070" s="15">
        <v>0.49769999999999998</v>
      </c>
      <c r="H3070" s="15">
        <v>2.2200000000000001E-2</v>
      </c>
      <c r="I3070" s="15">
        <v>3.61E-2</v>
      </c>
      <c r="J3070" s="15">
        <v>0.61495844875346262</v>
      </c>
    </row>
    <row r="3071" spans="1:10" x14ac:dyDescent="0.25">
      <c r="A3071" s="2" t="s">
        <v>8287</v>
      </c>
      <c r="B3071" s="2" t="s">
        <v>7007</v>
      </c>
      <c r="C3071" s="2" t="s">
        <v>8288</v>
      </c>
      <c r="D3071" s="2" t="s">
        <v>10055</v>
      </c>
      <c r="E3071" s="15">
        <v>-0.1027</v>
      </c>
      <c r="F3071" s="15">
        <v>0.1036</v>
      </c>
      <c r="G3071" s="15">
        <v>0.32179999999999997</v>
      </c>
      <c r="H3071" s="15">
        <v>0.1053</v>
      </c>
      <c r="I3071" s="15">
        <v>3.8399999999999997E-2</v>
      </c>
      <c r="J3071" s="15">
        <v>2.7421875</v>
      </c>
    </row>
    <row r="3072" spans="1:10" x14ac:dyDescent="0.25">
      <c r="A3072" s="2" t="s">
        <v>8289</v>
      </c>
      <c r="B3072" s="2" t="s">
        <v>7007</v>
      </c>
      <c r="C3072" s="2" t="s">
        <v>8290</v>
      </c>
      <c r="D3072" s="2" t="s">
        <v>10055</v>
      </c>
      <c r="E3072" s="15">
        <v>-0.12759999999999999</v>
      </c>
      <c r="F3072" s="15">
        <v>0.1588</v>
      </c>
      <c r="G3072" s="15">
        <v>0.4219</v>
      </c>
      <c r="H3072" s="15">
        <v>4.87E-2</v>
      </c>
      <c r="I3072" s="15">
        <v>3.95E-2</v>
      </c>
      <c r="J3072" s="15">
        <v>1.232911392405063</v>
      </c>
    </row>
    <row r="3073" spans="1:10" x14ac:dyDescent="0.25">
      <c r="A3073" s="2" t="s">
        <v>8291</v>
      </c>
      <c r="B3073" s="2" t="s">
        <v>7007</v>
      </c>
      <c r="C3073" s="2" t="s">
        <v>8292</v>
      </c>
      <c r="D3073" s="2" t="s">
        <v>10055</v>
      </c>
      <c r="E3073" s="15">
        <v>0.29859999999999998</v>
      </c>
      <c r="F3073" s="15">
        <v>0.95960000000000001</v>
      </c>
      <c r="G3073" s="15">
        <v>0.75570000000000004</v>
      </c>
      <c r="H3073" s="15">
        <v>1.1599999999999999E-2</v>
      </c>
      <c r="I3073" s="15">
        <v>4.2900000000000001E-2</v>
      </c>
      <c r="J3073" s="15">
        <v>0.2703962703962704</v>
      </c>
    </row>
    <row r="3074" spans="1:10" x14ac:dyDescent="0.25">
      <c r="A3074" s="2" t="s">
        <v>8293</v>
      </c>
      <c r="B3074" s="2" t="s">
        <v>7007</v>
      </c>
      <c r="C3074" s="2" t="s">
        <v>8294</v>
      </c>
      <c r="D3074" s="2" t="s">
        <v>10055</v>
      </c>
      <c r="E3074" s="15">
        <v>8.5699999999999998E-2</v>
      </c>
      <c r="F3074" s="15">
        <v>0.21390000000000001</v>
      </c>
      <c r="G3074" s="15">
        <v>0.68889999999999996</v>
      </c>
      <c r="H3074" s="15">
        <v>2.6499999999999999E-2</v>
      </c>
      <c r="I3074" s="15">
        <v>3.7900000000000003E-2</v>
      </c>
      <c r="J3074" s="15">
        <v>0.69920844327176779</v>
      </c>
    </row>
    <row r="3075" spans="1:10" x14ac:dyDescent="0.25">
      <c r="A3075" s="2" t="s">
        <v>8295</v>
      </c>
      <c r="B3075" s="2" t="s">
        <v>7007</v>
      </c>
      <c r="C3075" s="2" t="s">
        <v>8296</v>
      </c>
      <c r="D3075" s="2" t="s">
        <v>10055</v>
      </c>
      <c r="E3075" s="15">
        <v>-0.17150000000000001</v>
      </c>
      <c r="F3075" s="15">
        <v>0.11899999999999999</v>
      </c>
      <c r="G3075" s="15">
        <v>0.14940000000000001</v>
      </c>
      <c r="H3075" s="15">
        <v>8.5199999999999998E-2</v>
      </c>
      <c r="I3075" s="15">
        <v>4.2099999999999999E-2</v>
      </c>
      <c r="J3075" s="15">
        <v>2.0237529691211402</v>
      </c>
    </row>
    <row r="3076" spans="1:10" x14ac:dyDescent="0.25">
      <c r="A3076" s="2" t="s">
        <v>8297</v>
      </c>
      <c r="B3076" s="2" t="s">
        <v>7007</v>
      </c>
      <c r="C3076" s="2" t="s">
        <v>8298</v>
      </c>
      <c r="D3076" s="2" t="s">
        <v>10055</v>
      </c>
      <c r="E3076" s="15"/>
      <c r="F3076" s="15"/>
      <c r="G3076" s="15"/>
      <c r="H3076" s="15">
        <v>-6.5000000000000002E-2</v>
      </c>
      <c r="I3076" s="15">
        <v>3.7999999999999999E-2</v>
      </c>
      <c r="J3076" s="15">
        <v>-1.7105263157894739</v>
      </c>
    </row>
    <row r="3077" spans="1:10" x14ac:dyDescent="0.25">
      <c r="A3077" s="2" t="s">
        <v>8299</v>
      </c>
      <c r="B3077" s="2" t="s">
        <v>7007</v>
      </c>
      <c r="C3077" s="2" t="s">
        <v>8300</v>
      </c>
      <c r="D3077" s="2" t="s">
        <v>10055</v>
      </c>
      <c r="E3077" s="15">
        <v>6.1800000000000001E-2</v>
      </c>
      <c r="F3077" s="15">
        <v>0.13950000000000001</v>
      </c>
      <c r="G3077" s="15">
        <v>0.65759999999999996</v>
      </c>
      <c r="H3077" s="15">
        <v>6.6699999999999995E-2</v>
      </c>
      <c r="I3077" s="15">
        <v>3.5900000000000001E-2</v>
      </c>
      <c r="J3077" s="15">
        <v>1.8579387186629519</v>
      </c>
    </row>
    <row r="3078" spans="1:10" x14ac:dyDescent="0.25">
      <c r="A3078" s="2" t="s">
        <v>8301</v>
      </c>
      <c r="B3078" s="2" t="s">
        <v>7007</v>
      </c>
      <c r="C3078" s="2" t="s">
        <v>8302</v>
      </c>
      <c r="D3078" s="2" t="s">
        <v>10055</v>
      </c>
      <c r="E3078" s="15"/>
      <c r="F3078" s="15"/>
      <c r="G3078" s="15"/>
      <c r="H3078" s="15">
        <v>-2.5999999999999999E-3</v>
      </c>
      <c r="I3078" s="15">
        <v>3.78E-2</v>
      </c>
      <c r="J3078" s="15">
        <v>-6.8783068783068779E-2</v>
      </c>
    </row>
    <row r="3079" spans="1:10" x14ac:dyDescent="0.25">
      <c r="A3079" s="2" t="s">
        <v>8303</v>
      </c>
      <c r="B3079" s="2" t="s">
        <v>7007</v>
      </c>
      <c r="C3079" s="2" t="s">
        <v>8304</v>
      </c>
      <c r="D3079" s="2" t="s">
        <v>10055</v>
      </c>
      <c r="E3079" s="15">
        <v>-7.1300000000000002E-2</v>
      </c>
      <c r="F3079" s="15">
        <v>0.11310000000000001</v>
      </c>
      <c r="G3079" s="15">
        <v>0.52839999999999998</v>
      </c>
      <c r="H3079" s="15">
        <v>0.10199999999999999</v>
      </c>
      <c r="I3079" s="15">
        <v>4.3799999999999999E-2</v>
      </c>
      <c r="J3079" s="15">
        <v>2.3287671232876712</v>
      </c>
    </row>
    <row r="3080" spans="1:10" x14ac:dyDescent="0.25">
      <c r="A3080" s="2" t="s">
        <v>8305</v>
      </c>
      <c r="B3080" s="2" t="s">
        <v>7007</v>
      </c>
      <c r="C3080" s="2" t="s">
        <v>8306</v>
      </c>
      <c r="D3080" s="2" t="s">
        <v>10055</v>
      </c>
      <c r="E3080" s="15">
        <v>5.9799999999999999E-2</v>
      </c>
      <c r="F3080" s="15">
        <v>0.1734</v>
      </c>
      <c r="G3080" s="15">
        <v>0.73029999999999995</v>
      </c>
      <c r="H3080" s="15">
        <v>4.1399999999999999E-2</v>
      </c>
      <c r="I3080" s="15">
        <v>3.3500000000000002E-2</v>
      </c>
      <c r="J3080" s="15">
        <v>1.2358208955223879</v>
      </c>
    </row>
    <row r="3081" spans="1:10" x14ac:dyDescent="0.25">
      <c r="A3081" s="2" t="s">
        <v>8307</v>
      </c>
      <c r="B3081" s="2" t="s">
        <v>7007</v>
      </c>
      <c r="C3081" s="2" t="s">
        <v>8308</v>
      </c>
      <c r="D3081" s="2" t="s">
        <v>10055</v>
      </c>
      <c r="E3081" s="15">
        <v>-0.1822</v>
      </c>
      <c r="F3081" s="15">
        <v>0.13819999999999999</v>
      </c>
      <c r="G3081" s="15">
        <v>0.1875</v>
      </c>
      <c r="H3081" s="15">
        <v>6.0400000000000002E-2</v>
      </c>
      <c r="I3081" s="15">
        <v>3.9199999999999999E-2</v>
      </c>
      <c r="J3081" s="15">
        <v>1.5408163265306121</v>
      </c>
    </row>
    <row r="3082" spans="1:10" x14ac:dyDescent="0.25">
      <c r="A3082" s="2" t="s">
        <v>8309</v>
      </c>
      <c r="B3082" s="2" t="s">
        <v>7007</v>
      </c>
      <c r="C3082" s="2" t="s">
        <v>8310</v>
      </c>
      <c r="D3082" s="2" t="s">
        <v>10055</v>
      </c>
      <c r="E3082" s="15">
        <v>9.4600000000000004E-2</v>
      </c>
      <c r="F3082" s="15">
        <v>0.1673</v>
      </c>
      <c r="G3082" s="15">
        <v>0.57179999999999997</v>
      </c>
      <c r="H3082" s="15">
        <v>0.04</v>
      </c>
      <c r="I3082" s="15">
        <v>3.6900000000000002E-2</v>
      </c>
      <c r="J3082" s="15">
        <v>1.084010840108401</v>
      </c>
    </row>
    <row r="3083" spans="1:10" x14ac:dyDescent="0.25">
      <c r="A3083" s="2" t="s">
        <v>8311</v>
      </c>
      <c r="B3083" s="2" t="s">
        <v>7007</v>
      </c>
      <c r="C3083" s="2" t="s">
        <v>8312</v>
      </c>
      <c r="D3083" s="2" t="s">
        <v>10055</v>
      </c>
      <c r="E3083" s="15"/>
      <c r="F3083" s="15"/>
      <c r="G3083" s="15"/>
      <c r="H3083" s="15"/>
      <c r="I3083" s="15"/>
      <c r="J3083" s="15"/>
    </row>
    <row r="3084" spans="1:10" x14ac:dyDescent="0.25">
      <c r="A3084" s="2" t="s">
        <v>8313</v>
      </c>
      <c r="B3084" s="2" t="s">
        <v>7007</v>
      </c>
      <c r="C3084" s="2" t="s">
        <v>8314</v>
      </c>
      <c r="D3084" s="2" t="s">
        <v>10055</v>
      </c>
      <c r="E3084" s="15">
        <v>-0.15820000000000001</v>
      </c>
      <c r="F3084" s="15">
        <v>9.5399999999999999E-2</v>
      </c>
      <c r="G3084" s="15">
        <v>9.7100000000000006E-2</v>
      </c>
      <c r="H3084" s="15">
        <v>0.12189999999999999</v>
      </c>
      <c r="I3084" s="15">
        <v>4.1000000000000002E-2</v>
      </c>
      <c r="J3084" s="15">
        <v>2.973170731707317</v>
      </c>
    </row>
    <row r="3085" spans="1:10" x14ac:dyDescent="0.25">
      <c r="A3085" s="2" t="s">
        <v>8315</v>
      </c>
      <c r="B3085" s="2" t="s">
        <v>7007</v>
      </c>
      <c r="C3085" s="2" t="s">
        <v>8316</v>
      </c>
      <c r="D3085" s="2" t="s">
        <v>10055</v>
      </c>
      <c r="E3085" s="15">
        <v>-7.51E-2</v>
      </c>
      <c r="F3085" s="15">
        <v>7.9799999999999996E-2</v>
      </c>
      <c r="G3085" s="15">
        <v>0.34720000000000001</v>
      </c>
      <c r="H3085" s="15">
        <v>0.16250000000000001</v>
      </c>
      <c r="I3085" s="15">
        <v>4.5900000000000003E-2</v>
      </c>
      <c r="J3085" s="15">
        <v>3.5403050108932459</v>
      </c>
    </row>
    <row r="3086" spans="1:10" x14ac:dyDescent="0.25">
      <c r="A3086" s="2" t="s">
        <v>8317</v>
      </c>
      <c r="B3086" s="2" t="s">
        <v>7007</v>
      </c>
      <c r="C3086" s="2" t="s">
        <v>8318</v>
      </c>
      <c r="D3086" s="2" t="s">
        <v>10055</v>
      </c>
      <c r="E3086" s="15">
        <v>-4.4600000000000001E-2</v>
      </c>
      <c r="F3086" s="15">
        <v>0.1234</v>
      </c>
      <c r="G3086" s="15">
        <v>0.7177</v>
      </c>
      <c r="H3086" s="15">
        <v>7.0499999999999993E-2</v>
      </c>
      <c r="I3086" s="15">
        <v>4.0899999999999999E-2</v>
      </c>
      <c r="J3086" s="15">
        <v>1.7237163814180929</v>
      </c>
    </row>
    <row r="3087" spans="1:10" x14ac:dyDescent="0.25">
      <c r="A3087" s="2" t="s">
        <v>8319</v>
      </c>
      <c r="B3087" s="2" t="s">
        <v>7007</v>
      </c>
      <c r="C3087" s="2" t="s">
        <v>8320</v>
      </c>
      <c r="D3087" s="2" t="s">
        <v>10055</v>
      </c>
      <c r="E3087" s="15">
        <v>-8.0000000000000002E-3</v>
      </c>
      <c r="F3087" s="15">
        <v>0.1203</v>
      </c>
      <c r="G3087" s="15">
        <v>0.94720000000000004</v>
      </c>
      <c r="H3087" s="15">
        <v>7.6300000000000007E-2</v>
      </c>
      <c r="I3087" s="15">
        <v>3.7199999999999997E-2</v>
      </c>
      <c r="J3087" s="15">
        <v>2.051075268817204</v>
      </c>
    </row>
    <row r="3088" spans="1:10" x14ac:dyDescent="0.25">
      <c r="A3088" s="2" t="s">
        <v>8321</v>
      </c>
      <c r="B3088" s="2" t="s">
        <v>7007</v>
      </c>
      <c r="C3088" s="2" t="s">
        <v>8322</v>
      </c>
      <c r="D3088" s="2" t="s">
        <v>10055</v>
      </c>
      <c r="E3088" s="15">
        <v>8.4400000000000003E-2</v>
      </c>
      <c r="F3088" s="15">
        <v>0.1338</v>
      </c>
      <c r="G3088" s="15">
        <v>0.52790000000000004</v>
      </c>
      <c r="H3088" s="15">
        <v>6.4399999999999999E-2</v>
      </c>
      <c r="I3088" s="15">
        <v>3.5000000000000003E-2</v>
      </c>
      <c r="J3088" s="15">
        <v>1.84</v>
      </c>
    </row>
    <row r="3089" spans="1:10" x14ac:dyDescent="0.25">
      <c r="A3089" s="2" t="s">
        <v>8323</v>
      </c>
      <c r="B3089" s="2" t="s">
        <v>7007</v>
      </c>
      <c r="C3089" s="2" t="s">
        <v>8324</v>
      </c>
      <c r="D3089" s="2" t="s">
        <v>10055</v>
      </c>
      <c r="E3089" s="15">
        <v>0.25059999999999999</v>
      </c>
      <c r="F3089" s="15">
        <v>0.1198</v>
      </c>
      <c r="G3089" s="15">
        <v>3.6400000000000002E-2</v>
      </c>
      <c r="H3089" s="15">
        <v>0.10929999999999999</v>
      </c>
      <c r="I3089" s="15">
        <v>4.7600000000000003E-2</v>
      </c>
      <c r="J3089" s="15">
        <v>2.2962184873949578</v>
      </c>
    </row>
    <row r="3090" spans="1:10" x14ac:dyDescent="0.25">
      <c r="A3090" s="2" t="s">
        <v>8325</v>
      </c>
      <c r="B3090" s="2" t="s">
        <v>7007</v>
      </c>
      <c r="C3090" s="2" t="s">
        <v>8326</v>
      </c>
      <c r="D3090" s="2" t="s">
        <v>10055</v>
      </c>
      <c r="E3090" s="15">
        <v>-4.9799999999999997E-2</v>
      </c>
      <c r="F3090" s="15">
        <v>0.18029999999999999</v>
      </c>
      <c r="G3090" s="15">
        <v>0.78239999999999998</v>
      </c>
      <c r="H3090" s="15">
        <v>4.1500000000000002E-2</v>
      </c>
      <c r="I3090" s="15">
        <v>3.6299999999999999E-2</v>
      </c>
      <c r="J3090" s="15">
        <v>1.1432506887052341</v>
      </c>
    </row>
    <row r="3091" spans="1:10" x14ac:dyDescent="0.25">
      <c r="A3091" s="2" t="s">
        <v>8327</v>
      </c>
      <c r="B3091" s="2" t="s">
        <v>7007</v>
      </c>
      <c r="C3091" s="2" t="s">
        <v>8328</v>
      </c>
      <c r="D3091" s="2" t="s">
        <v>10055</v>
      </c>
      <c r="E3091" s="15">
        <v>-0.2382</v>
      </c>
      <c r="F3091" s="15">
        <v>0.30230000000000001</v>
      </c>
      <c r="G3091" s="15">
        <v>0.43080000000000002</v>
      </c>
      <c r="H3091" s="15">
        <v>2.8500000000000001E-2</v>
      </c>
      <c r="I3091" s="15">
        <v>4.02E-2</v>
      </c>
      <c r="J3091" s="15">
        <v>0.70895522388059706</v>
      </c>
    </row>
    <row r="3092" spans="1:10" x14ac:dyDescent="0.25">
      <c r="A3092" s="2" t="s">
        <v>8329</v>
      </c>
      <c r="B3092" s="2" t="s">
        <v>7007</v>
      </c>
      <c r="C3092" s="2" t="s">
        <v>8330</v>
      </c>
      <c r="D3092" s="2" t="s">
        <v>10055</v>
      </c>
      <c r="E3092" s="15">
        <v>0.1133</v>
      </c>
      <c r="F3092" s="15">
        <v>0.1376</v>
      </c>
      <c r="G3092" s="15">
        <v>0.41060000000000002</v>
      </c>
      <c r="H3092" s="15">
        <v>5.6500000000000002E-2</v>
      </c>
      <c r="I3092" s="15">
        <v>3.8300000000000001E-2</v>
      </c>
      <c r="J3092" s="15">
        <v>1.475195822454308</v>
      </c>
    </row>
    <row r="3093" spans="1:10" x14ac:dyDescent="0.25">
      <c r="A3093" s="2" t="s">
        <v>8331</v>
      </c>
      <c r="B3093" s="2" t="s">
        <v>7007</v>
      </c>
      <c r="C3093" s="2" t="s">
        <v>8332</v>
      </c>
      <c r="D3093" s="2" t="s">
        <v>10055</v>
      </c>
      <c r="E3093" s="15">
        <v>0.17130000000000001</v>
      </c>
      <c r="F3093" s="15">
        <v>0.1464</v>
      </c>
      <c r="G3093" s="15">
        <v>0.24179999999999999</v>
      </c>
      <c r="H3093" s="15">
        <v>6.5299999999999997E-2</v>
      </c>
      <c r="I3093" s="15">
        <v>4.2500000000000003E-2</v>
      </c>
      <c r="J3093" s="15">
        <v>1.536470588235294</v>
      </c>
    </row>
    <row r="3094" spans="1:10" x14ac:dyDescent="0.25">
      <c r="A3094" s="2" t="s">
        <v>8333</v>
      </c>
      <c r="B3094" s="2" t="s">
        <v>7007</v>
      </c>
      <c r="C3094" s="2" t="s">
        <v>8334</v>
      </c>
      <c r="D3094" s="2" t="s">
        <v>10055</v>
      </c>
      <c r="E3094" s="15">
        <v>0.21729999999999999</v>
      </c>
      <c r="F3094" s="15">
        <v>0.14369999999999999</v>
      </c>
      <c r="G3094" s="15">
        <v>0.1305</v>
      </c>
      <c r="H3094" s="15">
        <v>5.7500000000000002E-2</v>
      </c>
      <c r="I3094" s="15">
        <v>3.73E-2</v>
      </c>
      <c r="J3094" s="15">
        <v>1.5415549597855229</v>
      </c>
    </row>
    <row r="3095" spans="1:10" x14ac:dyDescent="0.25">
      <c r="A3095" s="2" t="s">
        <v>8335</v>
      </c>
      <c r="B3095" s="2" t="s">
        <v>7007</v>
      </c>
      <c r="C3095" s="2" t="s">
        <v>8336</v>
      </c>
      <c r="D3095" s="2" t="s">
        <v>10055</v>
      </c>
      <c r="E3095" s="15">
        <v>-0.10920000000000001</v>
      </c>
      <c r="F3095" s="15">
        <v>0.34570000000000001</v>
      </c>
      <c r="G3095" s="15">
        <v>0.75219999999999998</v>
      </c>
      <c r="H3095" s="15">
        <v>1.3299999999999999E-2</v>
      </c>
      <c r="I3095" s="15">
        <v>3.85E-2</v>
      </c>
      <c r="J3095" s="15">
        <v>0.34545454545454551</v>
      </c>
    </row>
    <row r="3096" spans="1:10" x14ac:dyDescent="0.25">
      <c r="A3096" s="2" t="s">
        <v>8337</v>
      </c>
      <c r="B3096" s="2" t="s">
        <v>7007</v>
      </c>
      <c r="C3096" s="2" t="s">
        <v>8338</v>
      </c>
      <c r="D3096" s="2" t="s">
        <v>10055</v>
      </c>
      <c r="E3096" s="15">
        <v>-0.1222</v>
      </c>
      <c r="F3096" s="15">
        <v>0.1862</v>
      </c>
      <c r="G3096" s="15">
        <v>0.51160000000000005</v>
      </c>
      <c r="H3096" s="15">
        <v>3.44E-2</v>
      </c>
      <c r="I3096" s="15">
        <v>4.3700000000000003E-2</v>
      </c>
      <c r="J3096" s="15">
        <v>0.78718535469107542</v>
      </c>
    </row>
    <row r="3097" spans="1:10" x14ac:dyDescent="0.25">
      <c r="A3097" s="2" t="s">
        <v>8339</v>
      </c>
      <c r="B3097" s="2" t="s">
        <v>7007</v>
      </c>
      <c r="C3097" s="2" t="s">
        <v>8340</v>
      </c>
      <c r="D3097" s="2" t="s">
        <v>10055</v>
      </c>
      <c r="E3097" s="15">
        <v>0.2994</v>
      </c>
      <c r="F3097" s="15">
        <v>0.51280000000000003</v>
      </c>
      <c r="G3097" s="15">
        <v>0.55930000000000002</v>
      </c>
      <c r="H3097" s="15">
        <v>1.49E-2</v>
      </c>
      <c r="I3097" s="15">
        <v>3.49E-2</v>
      </c>
      <c r="J3097" s="15">
        <v>0.42693409742120342</v>
      </c>
    </row>
    <row r="3098" spans="1:10" x14ac:dyDescent="0.25">
      <c r="A3098" s="2" t="s">
        <v>8341</v>
      </c>
      <c r="B3098" s="2" t="s">
        <v>7007</v>
      </c>
      <c r="C3098" s="2" t="s">
        <v>8342</v>
      </c>
      <c r="D3098" s="2" t="s">
        <v>10055</v>
      </c>
      <c r="E3098" s="15">
        <v>8.9999999999999998E-4</v>
      </c>
      <c r="F3098" s="15">
        <v>0.15340000000000001</v>
      </c>
      <c r="G3098" s="15">
        <v>0.99529999999999996</v>
      </c>
      <c r="H3098" s="15">
        <v>0.04</v>
      </c>
      <c r="I3098" s="15">
        <v>3.7999999999999999E-2</v>
      </c>
      <c r="J3098" s="15">
        <v>1.0526315789473679</v>
      </c>
    </row>
    <row r="3099" spans="1:10" x14ac:dyDescent="0.25">
      <c r="A3099" s="2" t="s">
        <v>8343</v>
      </c>
      <c r="B3099" s="2" t="s">
        <v>7007</v>
      </c>
      <c r="C3099" s="2" t="s">
        <v>8344</v>
      </c>
      <c r="D3099" s="2" t="s">
        <v>10055</v>
      </c>
      <c r="E3099" s="15"/>
      <c r="F3099" s="15"/>
      <c r="G3099" s="15"/>
      <c r="H3099" s="15">
        <v>-2.7E-2</v>
      </c>
      <c r="I3099" s="15">
        <v>3.4099999999999998E-2</v>
      </c>
      <c r="J3099" s="15">
        <v>-0.79178885630498541</v>
      </c>
    </row>
    <row r="3100" spans="1:10" x14ac:dyDescent="0.25">
      <c r="A3100" s="2" t="s">
        <v>8345</v>
      </c>
      <c r="B3100" s="2" t="s">
        <v>7007</v>
      </c>
      <c r="C3100" s="2" t="s">
        <v>8346</v>
      </c>
      <c r="D3100" s="2" t="s">
        <v>10055</v>
      </c>
      <c r="E3100" s="15"/>
      <c r="F3100" s="15"/>
      <c r="G3100" s="15"/>
      <c r="H3100" s="15">
        <v>-3.3599999999999998E-2</v>
      </c>
      <c r="I3100" s="15">
        <v>3.6600000000000001E-2</v>
      </c>
      <c r="J3100" s="15">
        <v>-0.91803278688524581</v>
      </c>
    </row>
    <row r="3101" spans="1:10" x14ac:dyDescent="0.25">
      <c r="A3101" s="2" t="s">
        <v>8347</v>
      </c>
      <c r="B3101" s="2" t="s">
        <v>7007</v>
      </c>
      <c r="C3101" s="2" t="s">
        <v>8348</v>
      </c>
      <c r="D3101" s="2" t="s">
        <v>10055</v>
      </c>
      <c r="E3101" s="15">
        <v>-0.44469999999999998</v>
      </c>
      <c r="F3101" s="15">
        <v>0.35449999999999998</v>
      </c>
      <c r="G3101" s="15">
        <v>0.2097</v>
      </c>
      <c r="H3101" s="15">
        <v>3.0099999999999998E-2</v>
      </c>
      <c r="I3101" s="15">
        <v>4.0300000000000002E-2</v>
      </c>
      <c r="J3101" s="15">
        <v>0.74689826302729523</v>
      </c>
    </row>
    <row r="3102" spans="1:10" x14ac:dyDescent="0.25">
      <c r="A3102" s="2" t="s">
        <v>8349</v>
      </c>
      <c r="B3102" s="2" t="s">
        <v>7007</v>
      </c>
      <c r="C3102" s="2" t="s">
        <v>8350</v>
      </c>
      <c r="D3102" s="2" t="s">
        <v>10055</v>
      </c>
      <c r="E3102" s="15"/>
      <c r="F3102" s="15"/>
      <c r="G3102" s="15"/>
      <c r="H3102" s="15">
        <v>-2.23E-2</v>
      </c>
      <c r="I3102" s="15">
        <v>3.6799999999999999E-2</v>
      </c>
      <c r="J3102" s="15">
        <v>-0.60597826086956519</v>
      </c>
    </row>
    <row r="3103" spans="1:10" x14ac:dyDescent="0.25">
      <c r="A3103" s="2" t="s">
        <v>8351</v>
      </c>
      <c r="B3103" s="2" t="s">
        <v>7007</v>
      </c>
      <c r="C3103" s="2" t="s">
        <v>8352</v>
      </c>
      <c r="D3103" s="2" t="s">
        <v>10055</v>
      </c>
      <c r="E3103" s="15">
        <v>-0.1027</v>
      </c>
      <c r="F3103" s="15">
        <v>0.12180000000000001</v>
      </c>
      <c r="G3103" s="15">
        <v>0.39900000000000002</v>
      </c>
      <c r="H3103" s="15">
        <v>7.17E-2</v>
      </c>
      <c r="I3103" s="15">
        <v>3.5700000000000003E-2</v>
      </c>
      <c r="J3103" s="15">
        <v>2.0084033613445378</v>
      </c>
    </row>
    <row r="3104" spans="1:10" x14ac:dyDescent="0.25">
      <c r="A3104" s="2" t="s">
        <v>8353</v>
      </c>
      <c r="B3104" s="2" t="s">
        <v>7007</v>
      </c>
      <c r="C3104" s="2" t="s">
        <v>8354</v>
      </c>
      <c r="D3104" s="2" t="s">
        <v>10055</v>
      </c>
      <c r="E3104" s="15"/>
      <c r="F3104" s="15"/>
      <c r="G3104" s="15"/>
      <c r="H3104" s="15">
        <v>-2.7199999999999998E-2</v>
      </c>
      <c r="I3104" s="15">
        <v>3.8699999999999998E-2</v>
      </c>
      <c r="J3104" s="15">
        <v>-0.70284237726098187</v>
      </c>
    </row>
    <row r="3105" spans="1:10" x14ac:dyDescent="0.25">
      <c r="A3105" s="2" t="s">
        <v>8355</v>
      </c>
      <c r="B3105" s="2" t="s">
        <v>7007</v>
      </c>
      <c r="C3105" s="2" t="s">
        <v>8356</v>
      </c>
      <c r="D3105" s="2" t="s">
        <v>10055</v>
      </c>
      <c r="E3105" s="15">
        <v>-3.5099999999999999E-2</v>
      </c>
      <c r="F3105" s="15">
        <v>0.1018</v>
      </c>
      <c r="G3105" s="15">
        <v>0.72989999999999999</v>
      </c>
      <c r="H3105" s="15">
        <v>8.5999999999999993E-2</v>
      </c>
      <c r="I3105" s="15">
        <v>3.9399999999999998E-2</v>
      </c>
      <c r="J3105" s="15">
        <v>2.1827411167512691</v>
      </c>
    </row>
    <row r="3106" spans="1:10" x14ac:dyDescent="0.25">
      <c r="A3106" s="2" t="s">
        <v>8357</v>
      </c>
      <c r="B3106" s="2" t="s">
        <v>7007</v>
      </c>
      <c r="C3106" s="2" t="s">
        <v>8358</v>
      </c>
      <c r="D3106" s="2" t="s">
        <v>10055</v>
      </c>
      <c r="E3106" s="15"/>
      <c r="F3106" s="15"/>
      <c r="G3106" s="15"/>
      <c r="H3106" s="15">
        <v>-5.28E-2</v>
      </c>
      <c r="I3106" s="15">
        <v>3.4500000000000003E-2</v>
      </c>
      <c r="J3106" s="15">
        <v>-1.530434782608695</v>
      </c>
    </row>
    <row r="3107" spans="1:10" x14ac:dyDescent="0.25">
      <c r="A3107" s="2" t="s">
        <v>8359</v>
      </c>
      <c r="B3107" s="2" t="s">
        <v>7007</v>
      </c>
      <c r="C3107" s="2" t="s">
        <v>8360</v>
      </c>
      <c r="D3107" s="2" t="s">
        <v>10055</v>
      </c>
      <c r="E3107" s="15"/>
      <c r="F3107" s="15"/>
      <c r="G3107" s="15"/>
      <c r="H3107" s="15">
        <v>-4.2500000000000003E-2</v>
      </c>
      <c r="I3107" s="15">
        <v>3.5700000000000003E-2</v>
      </c>
      <c r="J3107" s="15">
        <v>-1.19047619047619</v>
      </c>
    </row>
    <row r="3108" spans="1:10" x14ac:dyDescent="0.25">
      <c r="A3108" s="2" t="s">
        <v>8361</v>
      </c>
      <c r="B3108" s="2" t="s">
        <v>7007</v>
      </c>
      <c r="C3108" s="2" t="s">
        <v>8362</v>
      </c>
      <c r="D3108" s="2" t="s">
        <v>10055</v>
      </c>
      <c r="E3108" s="15">
        <v>0.1565</v>
      </c>
      <c r="F3108" s="15">
        <v>0.2263</v>
      </c>
      <c r="G3108" s="15">
        <v>0.48909999999999998</v>
      </c>
      <c r="H3108" s="15">
        <v>2.6200000000000001E-2</v>
      </c>
      <c r="I3108" s="15">
        <v>3.9100000000000003E-2</v>
      </c>
      <c r="J3108" s="15">
        <v>0.67007672634271098</v>
      </c>
    </row>
    <row r="3109" spans="1:10" x14ac:dyDescent="0.25">
      <c r="A3109" s="2" t="s">
        <v>8363</v>
      </c>
      <c r="B3109" s="2" t="s">
        <v>7007</v>
      </c>
      <c r="C3109" s="2" t="s">
        <v>8364</v>
      </c>
      <c r="D3109" s="2" t="s">
        <v>10055</v>
      </c>
      <c r="E3109" s="15">
        <v>-6.4799999999999996E-2</v>
      </c>
      <c r="F3109" s="15">
        <v>0.22040000000000001</v>
      </c>
      <c r="G3109" s="15">
        <v>0.76870000000000005</v>
      </c>
      <c r="H3109" s="15">
        <v>2.41E-2</v>
      </c>
      <c r="I3109" s="15">
        <v>3.6200000000000003E-2</v>
      </c>
      <c r="J3109" s="15">
        <v>0.66574585635359107</v>
      </c>
    </row>
    <row r="3110" spans="1:10" x14ac:dyDescent="0.25">
      <c r="A3110" s="2" t="s">
        <v>8365</v>
      </c>
      <c r="B3110" s="2" t="s">
        <v>7007</v>
      </c>
      <c r="C3110" s="2" t="s">
        <v>8366</v>
      </c>
      <c r="D3110" s="2" t="s">
        <v>10055</v>
      </c>
      <c r="E3110" s="15">
        <v>0.27060000000000001</v>
      </c>
      <c r="F3110" s="15">
        <v>1.3069</v>
      </c>
      <c r="G3110" s="15">
        <v>0.83599999999999997</v>
      </c>
      <c r="H3110" s="15">
        <v>7.1000000000000004E-3</v>
      </c>
      <c r="I3110" s="15">
        <v>3.5299999999999998E-2</v>
      </c>
      <c r="J3110" s="15">
        <v>0.20113314447592071</v>
      </c>
    </row>
    <row r="3111" spans="1:10" x14ac:dyDescent="0.25">
      <c r="A3111" s="2" t="s">
        <v>8367</v>
      </c>
      <c r="B3111" s="2" t="s">
        <v>7007</v>
      </c>
      <c r="C3111" s="2" t="s">
        <v>8368</v>
      </c>
      <c r="D3111" s="2" t="s">
        <v>10055</v>
      </c>
      <c r="E3111" s="15">
        <v>-1.77E-2</v>
      </c>
      <c r="F3111" s="15">
        <v>0.27160000000000001</v>
      </c>
      <c r="G3111" s="15">
        <v>0.94820000000000004</v>
      </c>
      <c r="H3111" s="15">
        <v>1.9099999999999999E-2</v>
      </c>
      <c r="I3111" s="15">
        <v>3.4200000000000001E-2</v>
      </c>
      <c r="J3111" s="15">
        <v>0.55847953216374269</v>
      </c>
    </row>
    <row r="3112" spans="1:10" x14ac:dyDescent="0.25">
      <c r="A3112" s="2" t="s">
        <v>8369</v>
      </c>
      <c r="B3112" s="2" t="s">
        <v>7007</v>
      </c>
      <c r="C3112" s="2" t="s">
        <v>8370</v>
      </c>
      <c r="D3112" s="2" t="s">
        <v>10055</v>
      </c>
      <c r="E3112" s="15"/>
      <c r="F3112" s="15"/>
      <c r="G3112" s="15"/>
      <c r="H3112" s="15">
        <v>-3.5200000000000002E-2</v>
      </c>
      <c r="I3112" s="15">
        <v>3.6799999999999999E-2</v>
      </c>
      <c r="J3112" s="15">
        <v>-0.95652173913043481</v>
      </c>
    </row>
    <row r="3113" spans="1:10" x14ac:dyDescent="0.25">
      <c r="A3113" s="2" t="s">
        <v>8371</v>
      </c>
      <c r="B3113" s="2" t="s">
        <v>7007</v>
      </c>
      <c r="C3113" s="2" t="s">
        <v>8372</v>
      </c>
      <c r="D3113" s="2" t="s">
        <v>10055</v>
      </c>
      <c r="E3113" s="15"/>
      <c r="F3113" s="15"/>
      <c r="G3113" s="15"/>
      <c r="H3113" s="15"/>
      <c r="I3113" s="15"/>
      <c r="J3113" s="15"/>
    </row>
    <row r="3114" spans="1:10" x14ac:dyDescent="0.25">
      <c r="A3114" s="2" t="s">
        <v>8373</v>
      </c>
      <c r="B3114" s="2" t="s">
        <v>7007</v>
      </c>
      <c r="C3114" s="2" t="s">
        <v>8374</v>
      </c>
      <c r="D3114" s="2" t="s">
        <v>10055</v>
      </c>
      <c r="E3114" s="15">
        <v>-0.2273</v>
      </c>
      <c r="F3114" s="15">
        <v>0.27589999999999998</v>
      </c>
      <c r="G3114" s="15">
        <v>0.41010000000000002</v>
      </c>
      <c r="H3114" s="15">
        <v>2.53E-2</v>
      </c>
      <c r="I3114" s="15">
        <v>3.9699999999999999E-2</v>
      </c>
      <c r="J3114" s="15">
        <v>0.63727959697732994</v>
      </c>
    </row>
    <row r="3115" spans="1:10" x14ac:dyDescent="0.25">
      <c r="A3115" s="2" t="s">
        <v>8375</v>
      </c>
      <c r="B3115" s="2" t="s">
        <v>7007</v>
      </c>
      <c r="C3115" s="2" t="s">
        <v>8376</v>
      </c>
      <c r="D3115" s="2" t="s">
        <v>10055</v>
      </c>
      <c r="E3115" s="15">
        <v>-6.4500000000000002E-2</v>
      </c>
      <c r="F3115" s="15">
        <v>0.1525</v>
      </c>
      <c r="G3115" s="15">
        <v>0.67220000000000002</v>
      </c>
      <c r="H3115" s="15">
        <v>4.5100000000000001E-2</v>
      </c>
      <c r="I3115" s="15">
        <v>4.0800000000000003E-2</v>
      </c>
      <c r="J3115" s="15">
        <v>1.1053921568627449</v>
      </c>
    </row>
    <row r="3116" spans="1:10" x14ac:dyDescent="0.25">
      <c r="A3116" s="2" t="s">
        <v>8377</v>
      </c>
      <c r="B3116" s="2" t="s">
        <v>7007</v>
      </c>
      <c r="C3116" s="2" t="s">
        <v>8378</v>
      </c>
      <c r="D3116" s="2" t="s">
        <v>10055</v>
      </c>
      <c r="E3116" s="15">
        <v>0.16159999999999999</v>
      </c>
      <c r="F3116" s="15">
        <v>0.11749999999999999</v>
      </c>
      <c r="G3116" s="15">
        <v>0.1691</v>
      </c>
      <c r="H3116" s="15">
        <v>0.1004</v>
      </c>
      <c r="I3116" s="15">
        <v>3.9199999999999999E-2</v>
      </c>
      <c r="J3116" s="15">
        <v>2.5612244897959191</v>
      </c>
    </row>
    <row r="3117" spans="1:10" x14ac:dyDescent="0.25">
      <c r="A3117" s="2" t="s">
        <v>8379</v>
      </c>
      <c r="B3117" s="2" t="s">
        <v>7007</v>
      </c>
      <c r="C3117" s="2" t="s">
        <v>8380</v>
      </c>
      <c r="D3117" s="2" t="s">
        <v>10055</v>
      </c>
      <c r="E3117" s="15"/>
      <c r="F3117" s="15"/>
      <c r="G3117" s="15"/>
      <c r="H3117" s="15"/>
      <c r="I3117" s="15"/>
      <c r="J3117" s="15"/>
    </row>
    <row r="3118" spans="1:10" x14ac:dyDescent="0.25">
      <c r="A3118" s="2" t="s">
        <v>8381</v>
      </c>
      <c r="B3118" s="2" t="s">
        <v>7007</v>
      </c>
      <c r="C3118" s="2" t="s">
        <v>8382</v>
      </c>
      <c r="D3118" s="2" t="s">
        <v>10055</v>
      </c>
      <c r="E3118" s="15">
        <v>-7.8299999999999995E-2</v>
      </c>
      <c r="F3118" s="15">
        <v>0.1109</v>
      </c>
      <c r="G3118" s="15">
        <v>0.48039999999999999</v>
      </c>
      <c r="H3118" s="15">
        <v>9.5899999999999999E-2</v>
      </c>
      <c r="I3118" s="15">
        <v>3.9300000000000002E-2</v>
      </c>
      <c r="J3118" s="15">
        <v>2.440203562340967</v>
      </c>
    </row>
    <row r="3119" spans="1:10" x14ac:dyDescent="0.25">
      <c r="A3119" s="2" t="s">
        <v>8383</v>
      </c>
      <c r="B3119" s="2" t="s">
        <v>7007</v>
      </c>
      <c r="C3119" s="2" t="s">
        <v>8384</v>
      </c>
      <c r="D3119" s="2" t="s">
        <v>10055</v>
      </c>
      <c r="E3119" s="15">
        <v>-0.62580000000000002</v>
      </c>
      <c r="F3119" s="15">
        <v>2.4117999999999999</v>
      </c>
      <c r="G3119" s="15">
        <v>0.79530000000000001</v>
      </c>
      <c r="H3119" s="15">
        <v>9.1999999999999998E-3</v>
      </c>
      <c r="I3119" s="15">
        <v>3.7100000000000001E-2</v>
      </c>
      <c r="J3119" s="15">
        <v>0.24797843665768191</v>
      </c>
    </row>
    <row r="3120" spans="1:10" x14ac:dyDescent="0.25">
      <c r="A3120" s="2" t="s">
        <v>8385</v>
      </c>
      <c r="B3120" s="2" t="s">
        <v>7007</v>
      </c>
      <c r="C3120" s="2" t="s">
        <v>8386</v>
      </c>
      <c r="D3120" s="2" t="s">
        <v>10055</v>
      </c>
      <c r="E3120" s="15"/>
      <c r="F3120" s="15"/>
      <c r="G3120" s="15"/>
      <c r="H3120" s="15">
        <v>-4.1500000000000002E-2</v>
      </c>
      <c r="I3120" s="15">
        <v>3.39E-2</v>
      </c>
      <c r="J3120" s="15">
        <v>-1.224188790560472</v>
      </c>
    </row>
    <row r="3121" spans="1:10" x14ac:dyDescent="0.25">
      <c r="A3121" s="2" t="s">
        <v>8387</v>
      </c>
      <c r="B3121" s="2" t="s">
        <v>7007</v>
      </c>
      <c r="C3121" s="2" t="s">
        <v>8388</v>
      </c>
      <c r="D3121" s="2" t="s">
        <v>10055</v>
      </c>
      <c r="E3121" s="15"/>
      <c r="F3121" s="15"/>
      <c r="G3121" s="15"/>
      <c r="H3121" s="15">
        <v>-3.3000000000000002E-2</v>
      </c>
      <c r="I3121" s="15">
        <v>4.2099999999999999E-2</v>
      </c>
      <c r="J3121" s="15">
        <v>-0.78384798099762476</v>
      </c>
    </row>
    <row r="3122" spans="1:10" x14ac:dyDescent="0.25">
      <c r="A3122" s="2" t="s">
        <v>8389</v>
      </c>
      <c r="B3122" s="2" t="s">
        <v>7007</v>
      </c>
      <c r="C3122" s="2" t="s">
        <v>8390</v>
      </c>
      <c r="D3122" s="2" t="s">
        <v>10055</v>
      </c>
      <c r="E3122" s="15">
        <v>6.8000000000000005E-2</v>
      </c>
      <c r="F3122" s="15">
        <v>0.2369</v>
      </c>
      <c r="G3122" s="15">
        <v>0.7742</v>
      </c>
      <c r="H3122" s="15">
        <v>1.7000000000000001E-2</v>
      </c>
      <c r="I3122" s="15">
        <v>3.6200000000000003E-2</v>
      </c>
      <c r="J3122" s="15">
        <v>0.46961325966850831</v>
      </c>
    </row>
    <row r="3123" spans="1:10" x14ac:dyDescent="0.25">
      <c r="A3123" s="2" t="s">
        <v>8391</v>
      </c>
      <c r="B3123" s="2" t="s">
        <v>7007</v>
      </c>
      <c r="C3123" s="2" t="s">
        <v>8392</v>
      </c>
      <c r="D3123" s="2" t="s">
        <v>10055</v>
      </c>
      <c r="E3123" s="15">
        <v>-0.1099</v>
      </c>
      <c r="F3123" s="15">
        <v>0.1106</v>
      </c>
      <c r="G3123" s="15">
        <v>0.32050000000000001</v>
      </c>
      <c r="H3123" s="15">
        <v>9.8299999999999998E-2</v>
      </c>
      <c r="I3123" s="15">
        <v>4.07E-2</v>
      </c>
      <c r="J3123" s="15">
        <v>2.4152334152334149</v>
      </c>
    </row>
    <row r="3124" spans="1:10" x14ac:dyDescent="0.25">
      <c r="A3124" s="2" t="s">
        <v>8393</v>
      </c>
      <c r="B3124" s="2" t="s">
        <v>7007</v>
      </c>
      <c r="C3124" s="2" t="s">
        <v>8394</v>
      </c>
      <c r="D3124" s="2" t="s">
        <v>10055</v>
      </c>
      <c r="E3124" s="15">
        <v>-4.07E-2</v>
      </c>
      <c r="F3124" s="15">
        <v>0.14080000000000001</v>
      </c>
      <c r="G3124" s="15">
        <v>0.77229999999999999</v>
      </c>
      <c r="H3124" s="15">
        <v>5.91E-2</v>
      </c>
      <c r="I3124" s="15">
        <v>3.6700000000000003E-2</v>
      </c>
      <c r="J3124" s="15">
        <v>1.610354223433242</v>
      </c>
    </row>
    <row r="3125" spans="1:10" x14ac:dyDescent="0.25">
      <c r="A3125" s="2" t="s">
        <v>8395</v>
      </c>
      <c r="B3125" s="2" t="s">
        <v>7007</v>
      </c>
      <c r="C3125" s="2" t="s">
        <v>8396</v>
      </c>
      <c r="D3125" s="2" t="s">
        <v>10055</v>
      </c>
      <c r="E3125" s="15"/>
      <c r="F3125" s="15"/>
      <c r="G3125" s="15"/>
      <c r="H3125" s="15">
        <v>-3.0000000000000001E-3</v>
      </c>
      <c r="I3125" s="15">
        <v>3.7199999999999997E-2</v>
      </c>
      <c r="J3125" s="15">
        <v>-8.0645161290322592E-2</v>
      </c>
    </row>
    <row r="3126" spans="1:10" x14ac:dyDescent="0.25">
      <c r="A3126" s="2" t="s">
        <v>8397</v>
      </c>
      <c r="B3126" s="2" t="s">
        <v>7007</v>
      </c>
      <c r="C3126" s="2" t="s">
        <v>8398</v>
      </c>
      <c r="D3126" s="2" t="s">
        <v>10055</v>
      </c>
      <c r="E3126" s="15"/>
      <c r="F3126" s="15"/>
      <c r="G3126" s="15"/>
      <c r="H3126" s="15">
        <v>-2.5999999999999999E-3</v>
      </c>
      <c r="I3126" s="15">
        <v>3.7100000000000001E-2</v>
      </c>
      <c r="J3126" s="15">
        <v>-7.0080862533692723E-2</v>
      </c>
    </row>
    <row r="3127" spans="1:10" x14ac:dyDescent="0.25">
      <c r="A3127" s="2" t="s">
        <v>8399</v>
      </c>
      <c r="B3127" s="2" t="s">
        <v>7007</v>
      </c>
      <c r="C3127" s="2" t="s">
        <v>8400</v>
      </c>
      <c r="D3127" s="2" t="s">
        <v>10055</v>
      </c>
      <c r="E3127" s="15">
        <v>7.5999999999999998E-2</v>
      </c>
      <c r="F3127" s="15">
        <v>0.1197</v>
      </c>
      <c r="G3127" s="15">
        <v>0.52569999999999995</v>
      </c>
      <c r="H3127" s="15">
        <v>7.1400000000000005E-2</v>
      </c>
      <c r="I3127" s="15">
        <v>3.7600000000000001E-2</v>
      </c>
      <c r="J3127" s="15">
        <v>1.8989361702127661</v>
      </c>
    </row>
    <row r="3128" spans="1:10" x14ac:dyDescent="0.25">
      <c r="A3128" s="2" t="s">
        <v>8401</v>
      </c>
      <c r="B3128" s="2" t="s">
        <v>7007</v>
      </c>
      <c r="C3128" s="2" t="s">
        <v>8402</v>
      </c>
      <c r="D3128" s="2" t="s">
        <v>10055</v>
      </c>
      <c r="E3128" s="15">
        <v>0.16350000000000001</v>
      </c>
      <c r="F3128" s="15">
        <v>0.156</v>
      </c>
      <c r="G3128" s="15">
        <v>0.29459999999999997</v>
      </c>
      <c r="H3128" s="15">
        <v>4.3200000000000002E-2</v>
      </c>
      <c r="I3128" s="15">
        <v>3.8100000000000002E-2</v>
      </c>
      <c r="J3128" s="15">
        <v>1.133858267716535</v>
      </c>
    </row>
    <row r="3129" spans="1:10" x14ac:dyDescent="0.25">
      <c r="A3129" s="2" t="s">
        <v>8403</v>
      </c>
      <c r="B3129" s="2" t="s">
        <v>7007</v>
      </c>
      <c r="C3129" s="2" t="s">
        <v>8404</v>
      </c>
      <c r="D3129" s="2" t="s">
        <v>10055</v>
      </c>
      <c r="E3129" s="15">
        <v>-1.5699999999999999E-2</v>
      </c>
      <c r="F3129" s="15">
        <v>0.1578</v>
      </c>
      <c r="G3129" s="15">
        <v>0.92069999999999996</v>
      </c>
      <c r="H3129" s="15">
        <v>3.5400000000000001E-2</v>
      </c>
      <c r="I3129" s="15">
        <v>3.9899999999999998E-2</v>
      </c>
      <c r="J3129" s="15">
        <v>0.88721804511278202</v>
      </c>
    </row>
    <row r="3130" spans="1:10" x14ac:dyDescent="0.25">
      <c r="A3130" s="2" t="s">
        <v>8405</v>
      </c>
      <c r="B3130" s="2" t="s">
        <v>7007</v>
      </c>
      <c r="C3130" s="2" t="s">
        <v>8406</v>
      </c>
      <c r="D3130" s="2" t="s">
        <v>10055</v>
      </c>
      <c r="E3130" s="15">
        <v>-0.5121</v>
      </c>
      <c r="F3130" s="15">
        <v>0.69450000000000001</v>
      </c>
      <c r="G3130" s="15">
        <v>0.46100000000000002</v>
      </c>
      <c r="H3130" s="15">
        <v>1.7399999999999999E-2</v>
      </c>
      <c r="I3130" s="15">
        <v>3.8100000000000002E-2</v>
      </c>
      <c r="J3130" s="15">
        <v>0.45669291338582668</v>
      </c>
    </row>
    <row r="3131" spans="1:10" x14ac:dyDescent="0.25">
      <c r="A3131" s="2" t="s">
        <v>8407</v>
      </c>
      <c r="B3131" s="2" t="s">
        <v>7007</v>
      </c>
      <c r="C3131" s="2" t="s">
        <v>8408</v>
      </c>
      <c r="D3131" s="2" t="s">
        <v>10055</v>
      </c>
      <c r="E3131" s="15">
        <v>7.7499999999999999E-2</v>
      </c>
      <c r="F3131" s="15">
        <v>8.6199999999999999E-2</v>
      </c>
      <c r="G3131" s="15">
        <v>0.36919999999999997</v>
      </c>
      <c r="H3131" s="15">
        <v>0.14480000000000001</v>
      </c>
      <c r="I3131" s="15">
        <v>3.4500000000000003E-2</v>
      </c>
      <c r="J3131" s="15">
        <v>4.1971014492753627</v>
      </c>
    </row>
    <row r="3132" spans="1:10" x14ac:dyDescent="0.25">
      <c r="A3132" s="2" t="s">
        <v>8409</v>
      </c>
      <c r="B3132" s="2" t="s">
        <v>7007</v>
      </c>
      <c r="C3132" s="2" t="s">
        <v>8410</v>
      </c>
      <c r="D3132" s="2" t="s">
        <v>10055</v>
      </c>
      <c r="E3132" s="15"/>
      <c r="F3132" s="15"/>
      <c r="G3132" s="15"/>
      <c r="H3132" s="15">
        <v>-3.2399999999999998E-2</v>
      </c>
      <c r="I3132" s="15">
        <v>3.4200000000000001E-2</v>
      </c>
      <c r="J3132" s="15">
        <v>-0.94736842105263153</v>
      </c>
    </row>
    <row r="3133" spans="1:10" x14ac:dyDescent="0.25">
      <c r="A3133" s="2" t="s">
        <v>8411</v>
      </c>
      <c r="B3133" s="2" t="s">
        <v>7007</v>
      </c>
      <c r="C3133" s="2" t="s">
        <v>8412</v>
      </c>
      <c r="D3133" s="2" t="s">
        <v>10055</v>
      </c>
      <c r="E3133" s="15">
        <v>0.1537</v>
      </c>
      <c r="F3133" s="15">
        <v>0.191</v>
      </c>
      <c r="G3133" s="15">
        <v>0.42099999999999999</v>
      </c>
      <c r="H3133" s="15">
        <v>3.8600000000000002E-2</v>
      </c>
      <c r="I3133" s="15">
        <v>3.9E-2</v>
      </c>
      <c r="J3133" s="15">
        <v>0.98974358974358978</v>
      </c>
    </row>
    <row r="3134" spans="1:10" x14ac:dyDescent="0.25">
      <c r="A3134" s="2" t="s">
        <v>8413</v>
      </c>
      <c r="B3134" s="2" t="s">
        <v>7007</v>
      </c>
      <c r="C3134" s="2" t="s">
        <v>8414</v>
      </c>
      <c r="D3134" s="2" t="s">
        <v>10055</v>
      </c>
      <c r="E3134" s="15"/>
      <c r="F3134" s="15"/>
      <c r="G3134" s="15"/>
      <c r="H3134" s="15"/>
      <c r="I3134" s="15"/>
      <c r="J3134" s="15"/>
    </row>
    <row r="3135" spans="1:10" x14ac:dyDescent="0.25">
      <c r="A3135" s="2" t="s">
        <v>8415</v>
      </c>
      <c r="B3135" s="2" t="s">
        <v>7007</v>
      </c>
      <c r="C3135" s="2" t="s">
        <v>8416</v>
      </c>
      <c r="D3135" s="2" t="s">
        <v>10055</v>
      </c>
      <c r="E3135" s="15">
        <v>-0.1409</v>
      </c>
      <c r="F3135" s="15">
        <v>0.10340000000000001</v>
      </c>
      <c r="G3135" s="15">
        <v>0.1729</v>
      </c>
      <c r="H3135" s="15">
        <v>9.1300000000000006E-2</v>
      </c>
      <c r="I3135" s="15">
        <v>3.5799999999999998E-2</v>
      </c>
      <c r="J3135" s="15">
        <v>2.550279329608939</v>
      </c>
    </row>
    <row r="3136" spans="1:10" x14ac:dyDescent="0.25">
      <c r="A3136" s="2" t="s">
        <v>8417</v>
      </c>
      <c r="B3136" s="2" t="s">
        <v>7007</v>
      </c>
      <c r="C3136" s="2" t="s">
        <v>8418</v>
      </c>
      <c r="D3136" s="2" t="s">
        <v>10055</v>
      </c>
      <c r="E3136" s="15">
        <v>-0.19470000000000001</v>
      </c>
      <c r="F3136" s="15">
        <v>0.13350000000000001</v>
      </c>
      <c r="G3136" s="15">
        <v>0.1447</v>
      </c>
      <c r="H3136" s="15">
        <v>7.7600000000000002E-2</v>
      </c>
      <c r="I3136" s="15">
        <v>3.8300000000000001E-2</v>
      </c>
      <c r="J3136" s="15">
        <v>2.026109660574412</v>
      </c>
    </row>
    <row r="3137" spans="1:10" x14ac:dyDescent="0.25">
      <c r="A3137" s="2" t="s">
        <v>8419</v>
      </c>
      <c r="B3137" s="2" t="s">
        <v>7007</v>
      </c>
      <c r="C3137" s="2" t="s">
        <v>8420</v>
      </c>
      <c r="D3137" s="2" t="s">
        <v>10055</v>
      </c>
      <c r="E3137" s="15">
        <v>6.1400000000000003E-2</v>
      </c>
      <c r="F3137" s="15">
        <v>0.10730000000000001</v>
      </c>
      <c r="G3137" s="15">
        <v>0.5675</v>
      </c>
      <c r="H3137" s="15">
        <v>9.3899999999999997E-2</v>
      </c>
      <c r="I3137" s="15">
        <v>3.56E-2</v>
      </c>
      <c r="J3137" s="15">
        <v>2.637640449438202</v>
      </c>
    </row>
    <row r="3138" spans="1:10" x14ac:dyDescent="0.25">
      <c r="A3138" s="2" t="s">
        <v>8421</v>
      </c>
      <c r="B3138" s="2" t="s">
        <v>7007</v>
      </c>
      <c r="C3138" s="2" t="s">
        <v>8422</v>
      </c>
      <c r="D3138" s="2" t="s">
        <v>10055</v>
      </c>
      <c r="E3138" s="15">
        <v>-0.13719999999999999</v>
      </c>
      <c r="F3138" s="15">
        <v>0.11940000000000001</v>
      </c>
      <c r="G3138" s="15">
        <v>0.2505</v>
      </c>
      <c r="H3138" s="15">
        <v>6.8900000000000003E-2</v>
      </c>
      <c r="I3138" s="15">
        <v>3.9E-2</v>
      </c>
      <c r="J3138" s="15">
        <v>1.7666666666666671</v>
      </c>
    </row>
    <row r="3139" spans="1:10" x14ac:dyDescent="0.25">
      <c r="A3139" s="2" t="s">
        <v>8423</v>
      </c>
      <c r="B3139" s="2" t="s">
        <v>7007</v>
      </c>
      <c r="C3139" s="2" t="s">
        <v>8424</v>
      </c>
      <c r="D3139" s="2" t="s">
        <v>10055</v>
      </c>
      <c r="E3139" s="15"/>
      <c r="F3139" s="15"/>
      <c r="G3139" s="15"/>
      <c r="H3139" s="15">
        <v>-2.8799999999999999E-2</v>
      </c>
      <c r="I3139" s="15">
        <v>3.9300000000000002E-2</v>
      </c>
      <c r="J3139" s="15">
        <v>-0.73282442748091603</v>
      </c>
    </row>
    <row r="3140" spans="1:10" x14ac:dyDescent="0.25">
      <c r="A3140" s="2" t="s">
        <v>8425</v>
      </c>
      <c r="B3140" s="2" t="s">
        <v>7007</v>
      </c>
      <c r="C3140" s="2" t="s">
        <v>8426</v>
      </c>
      <c r="D3140" s="2" t="s">
        <v>10055</v>
      </c>
      <c r="E3140" s="15"/>
      <c r="F3140" s="15"/>
      <c r="G3140" s="15"/>
      <c r="H3140" s="15">
        <v>-8.0000000000000002E-3</v>
      </c>
      <c r="I3140" s="15">
        <v>3.5099999999999999E-2</v>
      </c>
      <c r="J3140" s="15">
        <v>-0.2279202279202279</v>
      </c>
    </row>
    <row r="3141" spans="1:10" x14ac:dyDescent="0.25">
      <c r="A3141" s="2" t="s">
        <v>8427</v>
      </c>
      <c r="B3141" s="2" t="s">
        <v>7007</v>
      </c>
      <c r="C3141" s="2" t="s">
        <v>8428</v>
      </c>
      <c r="D3141" s="2" t="s">
        <v>10055</v>
      </c>
      <c r="E3141" s="15"/>
      <c r="F3141" s="15"/>
      <c r="G3141" s="15"/>
      <c r="H3141" s="15">
        <v>-1.2999999999999999E-3</v>
      </c>
      <c r="I3141" s="15">
        <v>3.5400000000000001E-2</v>
      </c>
      <c r="J3141" s="15">
        <v>-3.6723163841807897E-2</v>
      </c>
    </row>
    <row r="3142" spans="1:10" x14ac:dyDescent="0.25">
      <c r="A3142" s="2" t="s">
        <v>8429</v>
      </c>
      <c r="B3142" s="2" t="s">
        <v>7007</v>
      </c>
      <c r="C3142" s="2" t="s">
        <v>8430</v>
      </c>
      <c r="D3142" s="2" t="s">
        <v>10055</v>
      </c>
      <c r="E3142" s="15"/>
      <c r="F3142" s="15"/>
      <c r="G3142" s="15"/>
      <c r="H3142" s="15">
        <v>-6.4000000000000003E-3</v>
      </c>
      <c r="I3142" s="15">
        <v>3.9600000000000003E-2</v>
      </c>
      <c r="J3142" s="15">
        <v>-0.1616161616161616</v>
      </c>
    </row>
    <row r="3143" spans="1:10" x14ac:dyDescent="0.25">
      <c r="A3143" s="2" t="s">
        <v>8431</v>
      </c>
      <c r="B3143" s="2" t="s">
        <v>7007</v>
      </c>
      <c r="C3143" s="2" t="s">
        <v>8432</v>
      </c>
      <c r="D3143" s="2" t="s">
        <v>10055</v>
      </c>
      <c r="E3143" s="15"/>
      <c r="F3143" s="15"/>
      <c r="G3143" s="15"/>
      <c r="H3143" s="15"/>
      <c r="I3143" s="15"/>
      <c r="J3143" s="15"/>
    </row>
    <row r="3144" spans="1:10" x14ac:dyDescent="0.25">
      <c r="A3144" s="2" t="s">
        <v>8433</v>
      </c>
      <c r="B3144" s="2" t="s">
        <v>7007</v>
      </c>
      <c r="C3144" s="2" t="s">
        <v>8434</v>
      </c>
      <c r="D3144" s="2" t="s">
        <v>10055</v>
      </c>
      <c r="E3144" s="15">
        <v>-0.77610000000000001</v>
      </c>
      <c r="F3144" s="15">
        <v>0.78549999999999998</v>
      </c>
      <c r="G3144" s="15">
        <v>0.3231</v>
      </c>
      <c r="H3144" s="15">
        <v>2.5000000000000001E-2</v>
      </c>
      <c r="I3144" s="15">
        <v>3.9100000000000003E-2</v>
      </c>
      <c r="J3144" s="15">
        <v>0.63938618925831203</v>
      </c>
    </row>
    <row r="3145" spans="1:10" x14ac:dyDescent="0.25">
      <c r="A3145" s="2" t="s">
        <v>8435</v>
      </c>
      <c r="B3145" s="2" t="s">
        <v>7007</v>
      </c>
      <c r="C3145" s="2" t="s">
        <v>8436</v>
      </c>
      <c r="D3145" s="2" t="s">
        <v>10055</v>
      </c>
      <c r="E3145" s="15">
        <v>-7.7600000000000002E-2</v>
      </c>
      <c r="F3145" s="15">
        <v>0.1787</v>
      </c>
      <c r="G3145" s="15">
        <v>0.6643</v>
      </c>
      <c r="H3145" s="15">
        <v>3.2099999999999997E-2</v>
      </c>
      <c r="I3145" s="15">
        <v>3.9199999999999999E-2</v>
      </c>
      <c r="J3145" s="15">
        <v>0.81887755102040816</v>
      </c>
    </row>
    <row r="3146" spans="1:10" x14ac:dyDescent="0.25">
      <c r="A3146" s="2" t="s">
        <v>8437</v>
      </c>
      <c r="B3146" s="2" t="s">
        <v>7007</v>
      </c>
      <c r="C3146" s="2" t="s">
        <v>8438</v>
      </c>
      <c r="D3146" s="2" t="s">
        <v>10055</v>
      </c>
      <c r="E3146" s="15">
        <v>-5.74E-2</v>
      </c>
      <c r="F3146" s="15">
        <v>0.11849999999999999</v>
      </c>
      <c r="G3146" s="15">
        <v>0.62790000000000001</v>
      </c>
      <c r="H3146" s="15">
        <v>8.4699999999999998E-2</v>
      </c>
      <c r="I3146" s="15">
        <v>4.0899999999999999E-2</v>
      </c>
      <c r="J3146" s="15">
        <v>2.070904645476773</v>
      </c>
    </row>
    <row r="3147" spans="1:10" x14ac:dyDescent="0.25">
      <c r="A3147" s="2" t="s">
        <v>8439</v>
      </c>
      <c r="B3147" s="2" t="s">
        <v>7007</v>
      </c>
      <c r="C3147" s="2" t="s">
        <v>8440</v>
      </c>
      <c r="D3147" s="2" t="s">
        <v>10055</v>
      </c>
      <c r="E3147" s="15">
        <v>-0.56979999999999997</v>
      </c>
      <c r="F3147" s="15">
        <v>1.4239999999999999</v>
      </c>
      <c r="G3147" s="15">
        <v>0.68899999999999995</v>
      </c>
      <c r="H3147" s="15">
        <v>9.7000000000000003E-3</v>
      </c>
      <c r="I3147" s="15">
        <v>3.6299999999999999E-2</v>
      </c>
      <c r="J3147" s="15">
        <v>0.26721763085399453</v>
      </c>
    </row>
    <row r="3148" spans="1:10" x14ac:dyDescent="0.25">
      <c r="A3148" s="2" t="s">
        <v>8441</v>
      </c>
      <c r="B3148" s="2" t="s">
        <v>7007</v>
      </c>
      <c r="C3148" s="2" t="s">
        <v>8442</v>
      </c>
      <c r="D3148" s="2" t="s">
        <v>10055</v>
      </c>
      <c r="E3148" s="15">
        <v>-0.104</v>
      </c>
      <c r="F3148" s="15">
        <v>0.1336</v>
      </c>
      <c r="G3148" s="15">
        <v>0.436</v>
      </c>
      <c r="H3148" s="15">
        <v>6.83E-2</v>
      </c>
      <c r="I3148" s="15">
        <v>3.8100000000000002E-2</v>
      </c>
      <c r="J3148" s="15">
        <v>1.79265091863517</v>
      </c>
    </row>
    <row r="3149" spans="1:10" x14ac:dyDescent="0.25">
      <c r="A3149" s="2" t="s">
        <v>8443</v>
      </c>
      <c r="B3149" s="2" t="s">
        <v>7007</v>
      </c>
      <c r="C3149" s="2" t="s">
        <v>8444</v>
      </c>
      <c r="D3149" s="2" t="s">
        <v>10055</v>
      </c>
      <c r="E3149" s="15">
        <v>8.0100000000000005E-2</v>
      </c>
      <c r="F3149" s="15">
        <v>0.2</v>
      </c>
      <c r="G3149" s="15">
        <v>0.68879999999999997</v>
      </c>
      <c r="H3149" s="15">
        <v>3.0300000000000001E-2</v>
      </c>
      <c r="I3149" s="15">
        <v>0.04</v>
      </c>
      <c r="J3149" s="15">
        <v>0.75749999999999995</v>
      </c>
    </row>
    <row r="3150" spans="1:10" x14ac:dyDescent="0.25">
      <c r="A3150" s="2" t="s">
        <v>8445</v>
      </c>
      <c r="B3150" s="2" t="s">
        <v>7007</v>
      </c>
      <c r="C3150" s="2" t="s">
        <v>8446</v>
      </c>
      <c r="D3150" s="2" t="s">
        <v>10055</v>
      </c>
      <c r="E3150" s="15"/>
      <c r="F3150" s="15"/>
      <c r="G3150" s="15"/>
      <c r="H3150" s="15">
        <v>-1.8E-3</v>
      </c>
      <c r="I3150" s="15">
        <v>3.7999999999999999E-2</v>
      </c>
      <c r="J3150" s="15">
        <v>-4.736842105263158E-2</v>
      </c>
    </row>
    <row r="3151" spans="1:10" x14ac:dyDescent="0.25">
      <c r="A3151" s="2" t="s">
        <v>8447</v>
      </c>
      <c r="B3151" s="2" t="s">
        <v>7007</v>
      </c>
      <c r="C3151" s="2" t="s">
        <v>8448</v>
      </c>
      <c r="D3151" s="2" t="s">
        <v>10055</v>
      </c>
      <c r="E3151" s="15">
        <v>0.21290000000000001</v>
      </c>
      <c r="F3151" s="15">
        <v>0.21010000000000001</v>
      </c>
      <c r="G3151" s="15">
        <v>0.311</v>
      </c>
      <c r="H3151" s="15">
        <v>3.2899999999999999E-2</v>
      </c>
      <c r="I3151" s="15">
        <v>3.7999999999999999E-2</v>
      </c>
      <c r="J3151" s="15">
        <v>0.86578947368421055</v>
      </c>
    </row>
    <row r="3152" spans="1:10" x14ac:dyDescent="0.25">
      <c r="A3152" s="2" t="s">
        <v>8449</v>
      </c>
      <c r="B3152" s="2" t="s">
        <v>7007</v>
      </c>
      <c r="C3152" s="2" t="s">
        <v>8450</v>
      </c>
      <c r="D3152" s="2" t="s">
        <v>10055</v>
      </c>
      <c r="E3152" s="15">
        <v>2.92E-2</v>
      </c>
      <c r="F3152" s="15">
        <v>0.1061</v>
      </c>
      <c r="G3152" s="15">
        <v>0.7833</v>
      </c>
      <c r="H3152" s="15">
        <v>8.5699999999999998E-2</v>
      </c>
      <c r="I3152" s="15">
        <v>4.1099999999999998E-2</v>
      </c>
      <c r="J3152" s="15">
        <v>2.0851581508515822</v>
      </c>
    </row>
    <row r="3153" spans="1:10" x14ac:dyDescent="0.25">
      <c r="A3153" s="2" t="s">
        <v>8451</v>
      </c>
      <c r="B3153" s="2" t="s">
        <v>7007</v>
      </c>
      <c r="C3153" s="2" t="s">
        <v>8452</v>
      </c>
      <c r="D3153" s="2" t="s">
        <v>10055</v>
      </c>
      <c r="E3153" s="15">
        <v>-0.1525</v>
      </c>
      <c r="F3153" s="15">
        <v>0.18629999999999999</v>
      </c>
      <c r="G3153" s="15">
        <v>0.41310000000000002</v>
      </c>
      <c r="H3153" s="15">
        <v>3.5700000000000003E-2</v>
      </c>
      <c r="I3153" s="15">
        <v>3.8699999999999998E-2</v>
      </c>
      <c r="J3153" s="15">
        <v>0.92248062015503884</v>
      </c>
    </row>
    <row r="3154" spans="1:10" x14ac:dyDescent="0.25">
      <c r="A3154" s="2" t="s">
        <v>8453</v>
      </c>
      <c r="B3154" s="2" t="s">
        <v>7007</v>
      </c>
      <c r="C3154" s="2" t="s">
        <v>8454</v>
      </c>
      <c r="D3154" s="2" t="s">
        <v>10055</v>
      </c>
      <c r="E3154" s="15">
        <v>2.4400000000000002E-2</v>
      </c>
      <c r="F3154" s="15">
        <v>0.1033</v>
      </c>
      <c r="G3154" s="15">
        <v>0.81330000000000002</v>
      </c>
      <c r="H3154" s="15">
        <v>0.1096</v>
      </c>
      <c r="I3154" s="15">
        <v>3.6200000000000003E-2</v>
      </c>
      <c r="J3154" s="15">
        <v>3.027624309392265</v>
      </c>
    </row>
    <row r="3155" spans="1:10" x14ac:dyDescent="0.25">
      <c r="A3155" s="2" t="s">
        <v>8455</v>
      </c>
      <c r="B3155" s="2" t="s">
        <v>7007</v>
      </c>
      <c r="C3155" s="2" t="s">
        <v>8456</v>
      </c>
      <c r="D3155" s="2" t="s">
        <v>10055</v>
      </c>
      <c r="E3155" s="15">
        <v>4.9500000000000002E-2</v>
      </c>
      <c r="F3155" s="15">
        <v>0.1361</v>
      </c>
      <c r="G3155" s="15">
        <v>0.71619999999999995</v>
      </c>
      <c r="H3155" s="15">
        <v>5.5100000000000003E-2</v>
      </c>
      <c r="I3155" s="15">
        <v>3.7400000000000003E-2</v>
      </c>
      <c r="J3155" s="15">
        <v>1.4732620320855609</v>
      </c>
    </row>
    <row r="3156" spans="1:10" x14ac:dyDescent="0.25">
      <c r="A3156" s="2" t="s">
        <v>8457</v>
      </c>
      <c r="B3156" s="2" t="s">
        <v>7007</v>
      </c>
      <c r="C3156" s="2" t="s">
        <v>8458</v>
      </c>
      <c r="D3156" s="2" t="s">
        <v>10055</v>
      </c>
      <c r="E3156" s="15">
        <v>0.22459999999999999</v>
      </c>
      <c r="F3156" s="15">
        <v>0.12330000000000001</v>
      </c>
      <c r="G3156" s="15">
        <v>6.8599999999999994E-2</v>
      </c>
      <c r="H3156" s="15">
        <v>9.0700000000000003E-2</v>
      </c>
      <c r="I3156" s="15">
        <v>4.2700000000000002E-2</v>
      </c>
      <c r="J3156" s="15">
        <v>2.1241217798594851</v>
      </c>
    </row>
    <row r="3157" spans="1:10" x14ac:dyDescent="0.25">
      <c r="A3157" s="2" t="s">
        <v>8459</v>
      </c>
      <c r="B3157" s="2" t="s">
        <v>7007</v>
      </c>
      <c r="C3157" s="2" t="s">
        <v>8460</v>
      </c>
      <c r="D3157" s="2" t="s">
        <v>10055</v>
      </c>
      <c r="E3157" s="15">
        <v>9.11E-2</v>
      </c>
      <c r="F3157" s="15">
        <v>0.15049999999999999</v>
      </c>
      <c r="G3157" s="15">
        <v>0.54500000000000004</v>
      </c>
      <c r="H3157" s="15">
        <v>5.0099999999999999E-2</v>
      </c>
      <c r="I3157" s="15">
        <v>3.9E-2</v>
      </c>
      <c r="J3157" s="15">
        <v>1.284615384615384</v>
      </c>
    </row>
    <row r="3158" spans="1:10" x14ac:dyDescent="0.25">
      <c r="A3158" s="2" t="s">
        <v>8461</v>
      </c>
      <c r="B3158" s="2" t="s">
        <v>7007</v>
      </c>
      <c r="C3158" s="2" t="s">
        <v>8462</v>
      </c>
      <c r="D3158" s="2" t="s">
        <v>10055</v>
      </c>
      <c r="E3158" s="15">
        <v>4.2700000000000002E-2</v>
      </c>
      <c r="F3158" s="15">
        <v>0.22189999999999999</v>
      </c>
      <c r="G3158" s="15">
        <v>0.84730000000000005</v>
      </c>
      <c r="H3158" s="15">
        <v>2.4400000000000002E-2</v>
      </c>
      <c r="I3158" s="15">
        <v>3.78E-2</v>
      </c>
      <c r="J3158" s="15">
        <v>0.64550264550264558</v>
      </c>
    </row>
    <row r="3159" spans="1:10" x14ac:dyDescent="0.25">
      <c r="A3159" s="2" t="s">
        <v>8463</v>
      </c>
      <c r="B3159" s="2" t="s">
        <v>7007</v>
      </c>
      <c r="C3159" s="2" t="s">
        <v>8464</v>
      </c>
      <c r="D3159" s="2" t="s">
        <v>10055</v>
      </c>
      <c r="E3159" s="15">
        <v>0.17860000000000001</v>
      </c>
      <c r="F3159" s="15">
        <v>0.26529999999999998</v>
      </c>
      <c r="G3159" s="15">
        <v>0.50080000000000002</v>
      </c>
      <c r="H3159" s="15">
        <v>2.23E-2</v>
      </c>
      <c r="I3159" s="15">
        <v>3.8800000000000001E-2</v>
      </c>
      <c r="J3159" s="15">
        <v>0.57474226804123707</v>
      </c>
    </row>
    <row r="3160" spans="1:10" x14ac:dyDescent="0.25">
      <c r="A3160" s="2" t="s">
        <v>8465</v>
      </c>
      <c r="B3160" s="2" t="s">
        <v>7007</v>
      </c>
      <c r="C3160" s="2" t="s">
        <v>8466</v>
      </c>
      <c r="D3160" s="2" t="s">
        <v>10055</v>
      </c>
      <c r="E3160" s="15">
        <v>0.1057</v>
      </c>
      <c r="F3160" s="15">
        <v>0.108</v>
      </c>
      <c r="G3160" s="15">
        <v>0.32800000000000001</v>
      </c>
      <c r="H3160" s="15">
        <v>9.3200000000000005E-2</v>
      </c>
      <c r="I3160" s="15">
        <v>4.1700000000000001E-2</v>
      </c>
      <c r="J3160" s="15">
        <v>2.2350119904076742</v>
      </c>
    </row>
    <row r="3161" spans="1:10" x14ac:dyDescent="0.25">
      <c r="A3161" s="2" t="s">
        <v>8467</v>
      </c>
      <c r="B3161" s="2" t="s">
        <v>7007</v>
      </c>
      <c r="C3161" s="2" t="s">
        <v>8468</v>
      </c>
      <c r="D3161" s="2" t="s">
        <v>10055</v>
      </c>
      <c r="E3161" s="15"/>
      <c r="F3161" s="15"/>
      <c r="G3161" s="15"/>
      <c r="H3161" s="15">
        <v>-1.5E-3</v>
      </c>
      <c r="I3161" s="15">
        <v>4.02E-2</v>
      </c>
      <c r="J3161" s="15">
        <v>-3.7313432835820899E-2</v>
      </c>
    </row>
    <row r="3162" spans="1:10" x14ac:dyDescent="0.25">
      <c r="A3162" s="2" t="s">
        <v>8469</v>
      </c>
      <c r="B3162" s="2" t="s">
        <v>7007</v>
      </c>
      <c r="C3162" s="2" t="s">
        <v>8470</v>
      </c>
      <c r="D3162" s="2" t="s">
        <v>10055</v>
      </c>
      <c r="E3162" s="15">
        <v>0.161</v>
      </c>
      <c r="F3162" s="15">
        <v>8.9599999999999999E-2</v>
      </c>
      <c r="G3162" s="15">
        <v>7.2300000000000003E-2</v>
      </c>
      <c r="H3162" s="15">
        <v>0.17130000000000001</v>
      </c>
      <c r="I3162" s="15">
        <v>4.7199999999999999E-2</v>
      </c>
      <c r="J3162" s="15">
        <v>3.629237288135593</v>
      </c>
    </row>
    <row r="3163" spans="1:10" x14ac:dyDescent="0.25">
      <c r="A3163" s="2" t="s">
        <v>8471</v>
      </c>
      <c r="B3163" s="2" t="s">
        <v>7007</v>
      </c>
      <c r="C3163" s="2" t="s">
        <v>8472</v>
      </c>
      <c r="D3163" s="2" t="s">
        <v>10055</v>
      </c>
      <c r="E3163" s="15">
        <v>-0.27179999999999999</v>
      </c>
      <c r="F3163" s="15">
        <v>0.17069999999999999</v>
      </c>
      <c r="G3163" s="15">
        <v>0.1113</v>
      </c>
      <c r="H3163" s="15">
        <v>5.0200000000000002E-2</v>
      </c>
      <c r="I3163" s="15">
        <v>3.6200000000000003E-2</v>
      </c>
      <c r="J3163" s="15">
        <v>1.3867403314917131</v>
      </c>
    </row>
    <row r="3164" spans="1:10" x14ac:dyDescent="0.25">
      <c r="A3164" s="2" t="s">
        <v>8473</v>
      </c>
      <c r="B3164" s="2" t="s">
        <v>7007</v>
      </c>
      <c r="C3164" s="2" t="s">
        <v>8474</v>
      </c>
      <c r="D3164" s="2" t="s">
        <v>10055</v>
      </c>
      <c r="E3164" s="15"/>
      <c r="F3164" s="15"/>
      <c r="G3164" s="15"/>
      <c r="H3164" s="15">
        <v>-1.5100000000000001E-2</v>
      </c>
      <c r="I3164" s="15">
        <v>3.2399999999999998E-2</v>
      </c>
      <c r="J3164" s="15">
        <v>-0.4660493827160494</v>
      </c>
    </row>
    <row r="3165" spans="1:10" x14ac:dyDescent="0.25">
      <c r="A3165" s="2" t="s">
        <v>8475</v>
      </c>
      <c r="B3165" s="2" t="s">
        <v>7007</v>
      </c>
      <c r="C3165" s="2" t="s">
        <v>8476</v>
      </c>
      <c r="D3165" s="2" t="s">
        <v>10055</v>
      </c>
      <c r="E3165" s="15"/>
      <c r="F3165" s="15"/>
      <c r="G3165" s="15"/>
      <c r="H3165" s="15">
        <v>-4.8999999999999998E-3</v>
      </c>
      <c r="I3165" s="15">
        <v>3.6499999999999998E-2</v>
      </c>
      <c r="J3165" s="15">
        <v>-0.13424657534246581</v>
      </c>
    </row>
    <row r="3166" spans="1:10" x14ac:dyDescent="0.25">
      <c r="A3166" s="2" t="s">
        <v>8477</v>
      </c>
      <c r="B3166" s="2" t="s">
        <v>7007</v>
      </c>
      <c r="C3166" s="2" t="s">
        <v>8478</v>
      </c>
      <c r="D3166" s="2" t="s">
        <v>10055</v>
      </c>
      <c r="E3166" s="15">
        <v>-0.26579999999999998</v>
      </c>
      <c r="F3166" s="15">
        <v>0.39279999999999998</v>
      </c>
      <c r="G3166" s="15">
        <v>0.4985</v>
      </c>
      <c r="H3166" s="15">
        <v>1.67E-2</v>
      </c>
      <c r="I3166" s="15">
        <v>3.5099999999999999E-2</v>
      </c>
      <c r="J3166" s="15">
        <v>0.4757834757834758</v>
      </c>
    </row>
    <row r="3167" spans="1:10" x14ac:dyDescent="0.25">
      <c r="A3167" s="2" t="s">
        <v>8479</v>
      </c>
      <c r="B3167" s="2" t="s">
        <v>7007</v>
      </c>
      <c r="C3167" s="2" t="s">
        <v>8480</v>
      </c>
      <c r="D3167" s="2" t="s">
        <v>10055</v>
      </c>
      <c r="E3167" s="15">
        <v>0.1615</v>
      </c>
      <c r="F3167" s="15">
        <v>0.33260000000000001</v>
      </c>
      <c r="G3167" s="15">
        <v>0.62709999999999999</v>
      </c>
      <c r="H3167" s="15">
        <v>1.4500000000000001E-2</v>
      </c>
      <c r="I3167" s="15">
        <v>3.5200000000000002E-2</v>
      </c>
      <c r="J3167" s="15">
        <v>0.41193181818181818</v>
      </c>
    </row>
    <row r="3168" spans="1:10" x14ac:dyDescent="0.25">
      <c r="A3168" s="2" t="s">
        <v>8481</v>
      </c>
      <c r="B3168" s="2" t="s">
        <v>7007</v>
      </c>
      <c r="C3168" s="2" t="s">
        <v>8482</v>
      </c>
      <c r="D3168" s="2" t="s">
        <v>10055</v>
      </c>
      <c r="E3168" s="15"/>
      <c r="F3168" s="15"/>
      <c r="G3168" s="15"/>
      <c r="H3168" s="15">
        <v>-7.4000000000000003E-3</v>
      </c>
      <c r="I3168" s="15">
        <v>3.7900000000000003E-2</v>
      </c>
      <c r="J3168" s="15">
        <v>-0.19525065963060689</v>
      </c>
    </row>
    <row r="3169" spans="1:10" x14ac:dyDescent="0.25">
      <c r="A3169" s="2" t="s">
        <v>8483</v>
      </c>
      <c r="B3169" s="2" t="s">
        <v>7007</v>
      </c>
      <c r="C3169" s="2" t="s">
        <v>8484</v>
      </c>
      <c r="D3169" s="2" t="s">
        <v>10055</v>
      </c>
      <c r="E3169" s="15">
        <v>0.24340000000000001</v>
      </c>
      <c r="F3169" s="15">
        <v>0.15509999999999999</v>
      </c>
      <c r="G3169" s="15">
        <v>0.11650000000000001</v>
      </c>
      <c r="H3169" s="15">
        <v>5.7000000000000002E-2</v>
      </c>
      <c r="I3169" s="15">
        <v>3.8899999999999997E-2</v>
      </c>
      <c r="J3169" s="15">
        <v>1.4652956298200519</v>
      </c>
    </row>
    <row r="3170" spans="1:10" x14ac:dyDescent="0.25">
      <c r="A3170" s="2" t="s">
        <v>8485</v>
      </c>
      <c r="B3170" s="2" t="s">
        <v>7007</v>
      </c>
      <c r="C3170" s="2" t="s">
        <v>8486</v>
      </c>
      <c r="D3170" s="2" t="s">
        <v>10055</v>
      </c>
      <c r="E3170" s="15">
        <v>0.1663</v>
      </c>
      <c r="F3170" s="15">
        <v>0.18340000000000001</v>
      </c>
      <c r="G3170" s="15">
        <v>0.36449999999999999</v>
      </c>
      <c r="H3170" s="15">
        <v>0.04</v>
      </c>
      <c r="I3170" s="15">
        <v>3.8199999999999998E-2</v>
      </c>
      <c r="J3170" s="15">
        <v>1.047120418848168</v>
      </c>
    </row>
    <row r="3171" spans="1:10" x14ac:dyDescent="0.25">
      <c r="A3171" s="2" t="s">
        <v>8487</v>
      </c>
      <c r="B3171" s="2" t="s">
        <v>7007</v>
      </c>
      <c r="C3171" s="2" t="s">
        <v>8488</v>
      </c>
      <c r="D3171" s="2" t="s">
        <v>10055</v>
      </c>
      <c r="E3171" s="15"/>
      <c r="F3171" s="15"/>
      <c r="G3171" s="15"/>
      <c r="H3171" s="15"/>
      <c r="I3171" s="15"/>
      <c r="J3171" s="15"/>
    </row>
    <row r="3172" spans="1:10" x14ac:dyDescent="0.25">
      <c r="A3172" s="2" t="s">
        <v>8489</v>
      </c>
      <c r="B3172" s="2" t="s">
        <v>7007</v>
      </c>
      <c r="C3172" s="2" t="s">
        <v>8490</v>
      </c>
      <c r="D3172" s="2" t="s">
        <v>10055</v>
      </c>
      <c r="E3172" s="15"/>
      <c r="F3172" s="15"/>
      <c r="G3172" s="15"/>
      <c r="H3172" s="15"/>
      <c r="I3172" s="15"/>
      <c r="J3172" s="15"/>
    </row>
    <row r="3173" spans="1:10" x14ac:dyDescent="0.25">
      <c r="A3173" s="2" t="s">
        <v>8491</v>
      </c>
      <c r="B3173" s="2" t="s">
        <v>7007</v>
      </c>
      <c r="C3173" s="2" t="s">
        <v>8492</v>
      </c>
      <c r="D3173" s="2" t="s">
        <v>10055</v>
      </c>
      <c r="E3173" s="15">
        <v>-6.4999999999999997E-3</v>
      </c>
      <c r="F3173" s="15">
        <v>0.125</v>
      </c>
      <c r="G3173" s="15">
        <v>0.95840000000000003</v>
      </c>
      <c r="H3173" s="15">
        <v>6.1600000000000002E-2</v>
      </c>
      <c r="I3173" s="15">
        <v>3.6700000000000003E-2</v>
      </c>
      <c r="J3173" s="15">
        <v>1.678474114441417</v>
      </c>
    </row>
    <row r="3174" spans="1:10" x14ac:dyDescent="0.25">
      <c r="A3174" s="2" t="s">
        <v>8493</v>
      </c>
      <c r="B3174" s="2" t="s">
        <v>7007</v>
      </c>
      <c r="C3174" s="2" t="s">
        <v>8494</v>
      </c>
      <c r="D3174" s="2" t="s">
        <v>10055</v>
      </c>
      <c r="E3174" s="15">
        <v>0.2366</v>
      </c>
      <c r="F3174" s="15">
        <v>0.2742</v>
      </c>
      <c r="G3174" s="15">
        <v>0.38819999999999999</v>
      </c>
      <c r="H3174" s="15">
        <v>2.6800000000000001E-2</v>
      </c>
      <c r="I3174" s="15">
        <v>3.8199999999999998E-2</v>
      </c>
      <c r="J3174" s="15">
        <v>0.70157068062827233</v>
      </c>
    </row>
    <row r="3175" spans="1:10" x14ac:dyDescent="0.25">
      <c r="A3175" s="2" t="s">
        <v>8495</v>
      </c>
      <c r="B3175" s="2" t="s">
        <v>7007</v>
      </c>
      <c r="C3175" s="2" t="s">
        <v>8496</v>
      </c>
      <c r="D3175" s="2" t="s">
        <v>10055</v>
      </c>
      <c r="E3175" s="15">
        <v>0.2225</v>
      </c>
      <c r="F3175" s="15">
        <v>0.11070000000000001</v>
      </c>
      <c r="G3175" s="15">
        <v>4.4400000000000002E-2</v>
      </c>
      <c r="H3175" s="15">
        <v>9.2499999999999999E-2</v>
      </c>
      <c r="I3175" s="15">
        <v>3.4500000000000003E-2</v>
      </c>
      <c r="J3175" s="15">
        <v>2.681159420289855</v>
      </c>
    </row>
    <row r="3176" spans="1:10" x14ac:dyDescent="0.25">
      <c r="A3176" s="2" t="s">
        <v>8497</v>
      </c>
      <c r="B3176" s="2" t="s">
        <v>7007</v>
      </c>
      <c r="C3176" s="2" t="s">
        <v>8498</v>
      </c>
      <c r="D3176" s="2" t="s">
        <v>10055</v>
      </c>
      <c r="E3176" s="15">
        <v>-5.96E-2</v>
      </c>
      <c r="F3176" s="15">
        <v>0.11559999999999999</v>
      </c>
      <c r="G3176" s="15">
        <v>0.60650000000000004</v>
      </c>
      <c r="H3176" s="15">
        <v>8.1199999999999994E-2</v>
      </c>
      <c r="I3176" s="15">
        <v>5.0299999999999997E-2</v>
      </c>
      <c r="J3176" s="15">
        <v>1.6143141153081511</v>
      </c>
    </row>
    <row r="3177" spans="1:10" x14ac:dyDescent="0.25">
      <c r="A3177" s="2" t="s">
        <v>8499</v>
      </c>
      <c r="B3177" s="2" t="s">
        <v>7007</v>
      </c>
      <c r="C3177" s="2" t="s">
        <v>8500</v>
      </c>
      <c r="D3177" s="2" t="s">
        <v>10055</v>
      </c>
      <c r="E3177" s="15"/>
      <c r="F3177" s="15"/>
      <c r="G3177" s="15"/>
      <c r="H3177" s="15"/>
      <c r="I3177" s="15"/>
      <c r="J3177" s="15"/>
    </row>
    <row r="3178" spans="1:10" x14ac:dyDescent="0.25">
      <c r="A3178" s="2" t="s">
        <v>8501</v>
      </c>
      <c r="B3178" s="2" t="s">
        <v>7007</v>
      </c>
      <c r="C3178" s="2" t="s">
        <v>8502</v>
      </c>
      <c r="D3178" s="2" t="s">
        <v>10055</v>
      </c>
      <c r="E3178" s="15">
        <v>0.14169999999999999</v>
      </c>
      <c r="F3178" s="15">
        <v>0.1159</v>
      </c>
      <c r="G3178" s="15">
        <v>0.2213</v>
      </c>
      <c r="H3178" s="15">
        <v>8.5999999999999993E-2</v>
      </c>
      <c r="I3178" s="15">
        <v>3.8800000000000001E-2</v>
      </c>
      <c r="J3178" s="15">
        <v>2.216494845360824</v>
      </c>
    </row>
    <row r="3179" spans="1:10" x14ac:dyDescent="0.25">
      <c r="A3179" s="2" t="s">
        <v>8503</v>
      </c>
      <c r="B3179" s="2" t="s">
        <v>7007</v>
      </c>
      <c r="C3179" s="2" t="s">
        <v>8504</v>
      </c>
      <c r="D3179" s="2" t="s">
        <v>10055</v>
      </c>
      <c r="E3179" s="15"/>
      <c r="F3179" s="15"/>
      <c r="G3179" s="15"/>
      <c r="H3179" s="15">
        <v>-2.0199999999999999E-2</v>
      </c>
      <c r="I3179" s="15">
        <v>3.7900000000000003E-2</v>
      </c>
      <c r="J3179" s="15">
        <v>-0.53298153034300788</v>
      </c>
    </row>
    <row r="3180" spans="1:10" x14ac:dyDescent="0.25">
      <c r="A3180" s="2" t="s">
        <v>8505</v>
      </c>
      <c r="B3180" s="2" t="s">
        <v>7007</v>
      </c>
      <c r="C3180" s="2" t="s">
        <v>8506</v>
      </c>
      <c r="D3180" s="2" t="s">
        <v>10055</v>
      </c>
      <c r="E3180" s="15"/>
      <c r="F3180" s="15"/>
      <c r="G3180" s="15"/>
      <c r="H3180" s="15">
        <v>-3.1600000000000003E-2</v>
      </c>
      <c r="I3180" s="15">
        <v>3.6299999999999999E-2</v>
      </c>
      <c r="J3180" s="15">
        <v>-0.87052341597796157</v>
      </c>
    </row>
    <row r="3181" spans="1:10" x14ac:dyDescent="0.25">
      <c r="A3181" s="2" t="s">
        <v>8507</v>
      </c>
      <c r="B3181" s="2" t="s">
        <v>7007</v>
      </c>
      <c r="C3181" s="2" t="s">
        <v>8508</v>
      </c>
      <c r="D3181" s="2" t="s">
        <v>10055</v>
      </c>
      <c r="E3181" s="15">
        <v>8.7599999999999997E-2</v>
      </c>
      <c r="F3181" s="15">
        <v>0.16339999999999999</v>
      </c>
      <c r="G3181" s="15">
        <v>0.59199999999999997</v>
      </c>
      <c r="H3181" s="15">
        <v>4.1300000000000003E-2</v>
      </c>
      <c r="I3181" s="15">
        <v>3.5200000000000002E-2</v>
      </c>
      <c r="J3181" s="15">
        <v>1.173295454545455</v>
      </c>
    </row>
    <row r="3182" spans="1:10" x14ac:dyDescent="0.25">
      <c r="A3182" s="2" t="s">
        <v>8509</v>
      </c>
      <c r="B3182" s="2" t="s">
        <v>7007</v>
      </c>
      <c r="C3182" s="2" t="s">
        <v>8510</v>
      </c>
      <c r="D3182" s="2" t="s">
        <v>10055</v>
      </c>
      <c r="E3182" s="15">
        <v>-2.5100000000000001E-2</v>
      </c>
      <c r="F3182" s="15">
        <v>8.2100000000000006E-2</v>
      </c>
      <c r="G3182" s="15">
        <v>0.75980000000000003</v>
      </c>
      <c r="H3182" s="15">
        <v>0.1275</v>
      </c>
      <c r="I3182" s="15">
        <v>3.6400000000000002E-2</v>
      </c>
      <c r="J3182" s="15">
        <v>3.5027472527472532</v>
      </c>
    </row>
    <row r="3183" spans="1:10" x14ac:dyDescent="0.25">
      <c r="A3183" s="2" t="s">
        <v>8511</v>
      </c>
      <c r="B3183" s="2" t="s">
        <v>7007</v>
      </c>
      <c r="C3183" s="2" t="s">
        <v>8512</v>
      </c>
      <c r="D3183" s="2" t="s">
        <v>10055</v>
      </c>
      <c r="E3183" s="15"/>
      <c r="F3183" s="15"/>
      <c r="G3183" s="15"/>
      <c r="H3183" s="15">
        <v>-1.4E-2</v>
      </c>
      <c r="I3183" s="15">
        <v>3.8300000000000001E-2</v>
      </c>
      <c r="J3183" s="15">
        <v>-0.36553524804177551</v>
      </c>
    </row>
    <row r="3184" spans="1:10" x14ac:dyDescent="0.25">
      <c r="A3184" s="2" t="s">
        <v>8513</v>
      </c>
      <c r="B3184" s="2" t="s">
        <v>7007</v>
      </c>
      <c r="C3184" s="2" t="s">
        <v>8514</v>
      </c>
      <c r="D3184" s="2" t="s">
        <v>10055</v>
      </c>
      <c r="E3184" s="15">
        <v>9.1499999999999998E-2</v>
      </c>
      <c r="F3184" s="15">
        <v>8.8800000000000004E-2</v>
      </c>
      <c r="G3184" s="15">
        <v>0.30280000000000001</v>
      </c>
      <c r="H3184" s="15">
        <v>0.1507</v>
      </c>
      <c r="I3184" s="15">
        <v>3.6700000000000003E-2</v>
      </c>
      <c r="J3184" s="15">
        <v>4.1062670299727513</v>
      </c>
    </row>
    <row r="3185" spans="1:10" x14ac:dyDescent="0.25">
      <c r="A3185" s="2" t="s">
        <v>8515</v>
      </c>
      <c r="B3185" s="2" t="s">
        <v>7007</v>
      </c>
      <c r="C3185" s="2" t="s">
        <v>8516</v>
      </c>
      <c r="D3185" s="2" t="s">
        <v>10055</v>
      </c>
      <c r="E3185" s="15">
        <v>5.7999999999999996E-3</v>
      </c>
      <c r="F3185" s="15">
        <v>0.13750000000000001</v>
      </c>
      <c r="G3185" s="15">
        <v>0.96650000000000003</v>
      </c>
      <c r="H3185" s="15">
        <v>6.3299999999999995E-2</v>
      </c>
      <c r="I3185" s="15">
        <v>3.7100000000000001E-2</v>
      </c>
      <c r="J3185" s="15">
        <v>1.7061994609164419</v>
      </c>
    </row>
    <row r="3186" spans="1:10" x14ac:dyDescent="0.25">
      <c r="A3186" s="2" t="s">
        <v>8517</v>
      </c>
      <c r="B3186" s="2" t="s">
        <v>7007</v>
      </c>
      <c r="C3186" s="2" t="s">
        <v>8518</v>
      </c>
      <c r="D3186" s="2" t="s">
        <v>10055</v>
      </c>
      <c r="E3186" s="15"/>
      <c r="F3186" s="15"/>
      <c r="G3186" s="15"/>
      <c r="H3186" s="15">
        <v>-1.1599999999999999E-2</v>
      </c>
      <c r="I3186" s="15">
        <v>3.61E-2</v>
      </c>
      <c r="J3186" s="15">
        <v>-0.32132963988919672</v>
      </c>
    </row>
    <row r="3187" spans="1:10" x14ac:dyDescent="0.25">
      <c r="A3187" s="2" t="s">
        <v>8519</v>
      </c>
      <c r="B3187" s="2" t="s">
        <v>7007</v>
      </c>
      <c r="C3187" s="2" t="s">
        <v>8520</v>
      </c>
      <c r="D3187" s="2" t="s">
        <v>10055</v>
      </c>
      <c r="E3187" s="15">
        <v>2.2000000000000001E-3</v>
      </c>
      <c r="F3187" s="15">
        <v>0.114</v>
      </c>
      <c r="G3187" s="15">
        <v>0.98440000000000005</v>
      </c>
      <c r="H3187" s="15">
        <v>7.7899999999999997E-2</v>
      </c>
      <c r="I3187" s="15">
        <v>3.5999999999999997E-2</v>
      </c>
      <c r="J3187" s="15">
        <v>2.1638888888888892</v>
      </c>
    </row>
    <row r="3188" spans="1:10" x14ac:dyDescent="0.25">
      <c r="A3188" s="2" t="s">
        <v>8521</v>
      </c>
      <c r="B3188" s="2" t="s">
        <v>7007</v>
      </c>
      <c r="C3188" s="2" t="s">
        <v>8522</v>
      </c>
      <c r="D3188" s="2" t="s">
        <v>10055</v>
      </c>
      <c r="E3188" s="15"/>
      <c r="F3188" s="15"/>
      <c r="G3188" s="15"/>
      <c r="H3188" s="15">
        <v>-1.5800000000000002E-2</v>
      </c>
      <c r="I3188" s="15">
        <v>3.7600000000000001E-2</v>
      </c>
      <c r="J3188" s="15">
        <v>-0.42021276595744678</v>
      </c>
    </row>
    <row r="3189" spans="1:10" x14ac:dyDescent="0.25">
      <c r="A3189" s="2" t="s">
        <v>8523</v>
      </c>
      <c r="B3189" s="2" t="s">
        <v>7007</v>
      </c>
      <c r="C3189" s="2" t="s">
        <v>8524</v>
      </c>
      <c r="D3189" s="2" t="s">
        <v>10055</v>
      </c>
      <c r="E3189" s="15">
        <v>4.2200000000000001E-2</v>
      </c>
      <c r="F3189" s="15">
        <v>0.14119999999999999</v>
      </c>
      <c r="G3189" s="15">
        <v>0.76519999999999999</v>
      </c>
      <c r="H3189" s="15">
        <v>4.7500000000000001E-2</v>
      </c>
      <c r="I3189" s="15">
        <v>3.6200000000000003E-2</v>
      </c>
      <c r="J3189" s="15">
        <v>1.3121546961325961</v>
      </c>
    </row>
    <row r="3190" spans="1:10" x14ac:dyDescent="0.25">
      <c r="A3190" s="2" t="s">
        <v>8525</v>
      </c>
      <c r="B3190" s="2" t="s">
        <v>7007</v>
      </c>
      <c r="C3190" s="2" t="s">
        <v>8526</v>
      </c>
      <c r="D3190" s="2" t="s">
        <v>10055</v>
      </c>
      <c r="E3190" s="15">
        <v>-0.255</v>
      </c>
      <c r="F3190" s="15">
        <v>0.13700000000000001</v>
      </c>
      <c r="G3190" s="15">
        <v>6.2799999999999995E-2</v>
      </c>
      <c r="H3190" s="15">
        <v>6.7199999999999996E-2</v>
      </c>
      <c r="I3190" s="15">
        <v>3.78E-2</v>
      </c>
      <c r="J3190" s="15">
        <v>1.7777777777777779</v>
      </c>
    </row>
    <row r="3191" spans="1:10" x14ac:dyDescent="0.25">
      <c r="A3191" s="2" t="s">
        <v>8527</v>
      </c>
      <c r="B3191" s="2" t="s">
        <v>7007</v>
      </c>
      <c r="C3191" s="2" t="s">
        <v>8528</v>
      </c>
      <c r="D3191" s="2" t="s">
        <v>10055</v>
      </c>
      <c r="E3191" s="15">
        <v>-9.4E-2</v>
      </c>
      <c r="F3191" s="15">
        <v>0.1852</v>
      </c>
      <c r="G3191" s="15">
        <v>0.61180000000000001</v>
      </c>
      <c r="H3191" s="15">
        <v>2.8199999999999999E-2</v>
      </c>
      <c r="I3191" s="15">
        <v>3.7499999999999999E-2</v>
      </c>
      <c r="J3191" s="15">
        <v>0.752</v>
      </c>
    </row>
    <row r="3192" spans="1:10" x14ac:dyDescent="0.25">
      <c r="A3192" s="2" t="s">
        <v>8529</v>
      </c>
      <c r="B3192" s="2" t="s">
        <v>7007</v>
      </c>
      <c r="C3192" s="2" t="s">
        <v>8530</v>
      </c>
      <c r="D3192" s="2" t="s">
        <v>10055</v>
      </c>
      <c r="E3192" s="15">
        <v>-4.4000000000000003E-3</v>
      </c>
      <c r="F3192" s="15">
        <v>0.13869999999999999</v>
      </c>
      <c r="G3192" s="15">
        <v>0.9748</v>
      </c>
      <c r="H3192" s="15">
        <v>6.1400000000000003E-2</v>
      </c>
      <c r="I3192" s="15">
        <v>4.02E-2</v>
      </c>
      <c r="J3192" s="15">
        <v>1.527363184079602</v>
      </c>
    </row>
    <row r="3193" spans="1:10" x14ac:dyDescent="0.25">
      <c r="A3193" s="2" t="s">
        <v>8531</v>
      </c>
      <c r="B3193" s="2" t="s">
        <v>7007</v>
      </c>
      <c r="C3193" s="2" t="s">
        <v>8532</v>
      </c>
      <c r="D3193" s="2" t="s">
        <v>10055</v>
      </c>
      <c r="E3193" s="15">
        <v>0.1041</v>
      </c>
      <c r="F3193" s="15">
        <v>0.33019999999999999</v>
      </c>
      <c r="G3193" s="15">
        <v>0.75249999999999995</v>
      </c>
      <c r="H3193" s="15">
        <v>1.54E-2</v>
      </c>
      <c r="I3193" s="15">
        <v>3.5799999999999998E-2</v>
      </c>
      <c r="J3193" s="15">
        <v>0.43016759776536317</v>
      </c>
    </row>
    <row r="3194" spans="1:10" x14ac:dyDescent="0.25">
      <c r="A3194" s="2" t="s">
        <v>8533</v>
      </c>
      <c r="B3194" s="2" t="s">
        <v>7007</v>
      </c>
      <c r="C3194" s="2" t="s">
        <v>8534</v>
      </c>
      <c r="D3194" s="2" t="s">
        <v>10055</v>
      </c>
      <c r="E3194" s="15">
        <v>-0.151</v>
      </c>
      <c r="F3194" s="15">
        <v>0.2999</v>
      </c>
      <c r="G3194" s="15">
        <v>0.61460000000000004</v>
      </c>
      <c r="H3194" s="15">
        <v>1.95E-2</v>
      </c>
      <c r="I3194" s="15">
        <v>4.07E-2</v>
      </c>
      <c r="J3194" s="15">
        <v>0.47911547911547908</v>
      </c>
    </row>
    <row r="3195" spans="1:10" x14ac:dyDescent="0.25">
      <c r="A3195" s="2" t="s">
        <v>8535</v>
      </c>
      <c r="B3195" s="2" t="s">
        <v>7007</v>
      </c>
      <c r="C3195" s="2" t="s">
        <v>8536</v>
      </c>
      <c r="D3195" s="2" t="s">
        <v>10055</v>
      </c>
      <c r="E3195" s="15">
        <v>-5.74E-2</v>
      </c>
      <c r="F3195" s="15">
        <v>0.1263</v>
      </c>
      <c r="G3195" s="15">
        <v>0.64939999999999998</v>
      </c>
      <c r="H3195" s="15">
        <v>7.4800000000000005E-2</v>
      </c>
      <c r="I3195" s="15">
        <v>3.6700000000000003E-2</v>
      </c>
      <c r="J3195" s="15">
        <v>2.038147138964578</v>
      </c>
    </row>
    <row r="3196" spans="1:10" x14ac:dyDescent="0.25">
      <c r="A3196" s="2" t="s">
        <v>8537</v>
      </c>
      <c r="B3196" s="2" t="s">
        <v>7007</v>
      </c>
      <c r="C3196" s="2" t="s">
        <v>8538</v>
      </c>
      <c r="D3196" s="2" t="s">
        <v>10055</v>
      </c>
      <c r="E3196" s="15">
        <v>-4.1099999999999998E-2</v>
      </c>
      <c r="F3196" s="15">
        <v>8.7900000000000006E-2</v>
      </c>
      <c r="G3196" s="15">
        <v>0.64029999999999998</v>
      </c>
      <c r="H3196" s="15">
        <v>0.13930000000000001</v>
      </c>
      <c r="I3196" s="15">
        <v>3.6600000000000001E-2</v>
      </c>
      <c r="J3196" s="15">
        <v>3.806010928961749</v>
      </c>
    </row>
    <row r="3197" spans="1:10" x14ac:dyDescent="0.25">
      <c r="A3197" s="2" t="s">
        <v>8539</v>
      </c>
      <c r="B3197" s="2" t="s">
        <v>7007</v>
      </c>
      <c r="C3197" s="2" t="s">
        <v>8540</v>
      </c>
      <c r="D3197" s="2" t="s">
        <v>10055</v>
      </c>
      <c r="E3197" s="15">
        <v>-7.0900000000000005E-2</v>
      </c>
      <c r="F3197" s="15">
        <v>9.5899999999999999E-2</v>
      </c>
      <c r="G3197" s="15">
        <v>0.45950000000000002</v>
      </c>
      <c r="H3197" s="15">
        <v>0.1246</v>
      </c>
      <c r="I3197" s="15">
        <v>4.3700000000000003E-2</v>
      </c>
      <c r="J3197" s="15">
        <v>2.8512585812356979</v>
      </c>
    </row>
    <row r="3198" spans="1:10" x14ac:dyDescent="0.25">
      <c r="A3198" s="2" t="s">
        <v>8541</v>
      </c>
      <c r="B3198" s="2" t="s">
        <v>7007</v>
      </c>
      <c r="C3198" s="2" t="s">
        <v>8542</v>
      </c>
      <c r="D3198" s="2" t="s">
        <v>10055</v>
      </c>
      <c r="E3198" s="15"/>
      <c r="F3198" s="15"/>
      <c r="G3198" s="15"/>
      <c r="H3198" s="15"/>
      <c r="I3198" s="15"/>
      <c r="J3198" s="15"/>
    </row>
    <row r="3199" spans="1:10" x14ac:dyDescent="0.25">
      <c r="A3199" s="2" t="s">
        <v>8543</v>
      </c>
      <c r="B3199" s="2" t="s">
        <v>7007</v>
      </c>
      <c r="C3199" s="2" t="s">
        <v>8544</v>
      </c>
      <c r="D3199" s="2" t="s">
        <v>10055</v>
      </c>
      <c r="E3199" s="15"/>
      <c r="F3199" s="15"/>
      <c r="G3199" s="15"/>
      <c r="H3199" s="15">
        <v>-3.44E-2</v>
      </c>
      <c r="I3199" s="15">
        <v>3.6999999999999998E-2</v>
      </c>
      <c r="J3199" s="15">
        <v>-0.92972972972972978</v>
      </c>
    </row>
    <row r="3200" spans="1:10" x14ac:dyDescent="0.25">
      <c r="A3200" s="2" t="s">
        <v>8545</v>
      </c>
      <c r="B3200" s="2" t="s">
        <v>7007</v>
      </c>
      <c r="C3200" s="2" t="s">
        <v>8546</v>
      </c>
      <c r="D3200" s="2" t="s">
        <v>10055</v>
      </c>
      <c r="E3200" s="15">
        <v>0.27929999999999999</v>
      </c>
      <c r="F3200" s="15">
        <v>0.52110000000000001</v>
      </c>
      <c r="G3200" s="15">
        <v>0.59189999999999998</v>
      </c>
      <c r="H3200" s="15">
        <v>2.1399999999999999E-2</v>
      </c>
      <c r="I3200" s="15">
        <v>4.1700000000000001E-2</v>
      </c>
      <c r="J3200" s="15">
        <v>0.51318944844124692</v>
      </c>
    </row>
    <row r="3201" spans="1:10" x14ac:dyDescent="0.25">
      <c r="A3201" s="2" t="s">
        <v>8547</v>
      </c>
      <c r="B3201" s="2" t="s">
        <v>7007</v>
      </c>
      <c r="C3201" s="2" t="s">
        <v>8548</v>
      </c>
      <c r="D3201" s="2" t="s">
        <v>10055</v>
      </c>
      <c r="E3201" s="15">
        <v>4.58E-2</v>
      </c>
      <c r="F3201" s="15">
        <v>0.17899999999999999</v>
      </c>
      <c r="G3201" s="15">
        <v>0.79810000000000003</v>
      </c>
      <c r="H3201" s="15">
        <v>3.49E-2</v>
      </c>
      <c r="I3201" s="15">
        <v>3.7499999999999999E-2</v>
      </c>
      <c r="J3201" s="15">
        <v>0.93066666666666675</v>
      </c>
    </row>
    <row r="3202" spans="1:10" x14ac:dyDescent="0.25">
      <c r="A3202" s="2" t="s">
        <v>8549</v>
      </c>
      <c r="B3202" s="2" t="s">
        <v>7007</v>
      </c>
      <c r="C3202" s="2" t="s">
        <v>8550</v>
      </c>
      <c r="D3202" s="2" t="s">
        <v>10055</v>
      </c>
      <c r="E3202" s="15">
        <v>-0.18</v>
      </c>
      <c r="F3202" s="15">
        <v>0.11459999999999999</v>
      </c>
      <c r="G3202" s="15">
        <v>0.11600000000000001</v>
      </c>
      <c r="H3202" s="15">
        <v>8.1500000000000003E-2</v>
      </c>
      <c r="I3202" s="15">
        <v>3.8199999999999998E-2</v>
      </c>
      <c r="J3202" s="15">
        <v>2.1335078534031422</v>
      </c>
    </row>
    <row r="3203" spans="1:10" x14ac:dyDescent="0.25">
      <c r="A3203" s="2" t="s">
        <v>8551</v>
      </c>
      <c r="B3203" s="2" t="s">
        <v>7007</v>
      </c>
      <c r="C3203" s="2" t="s">
        <v>8552</v>
      </c>
      <c r="D3203" s="2" t="s">
        <v>10055</v>
      </c>
      <c r="E3203" s="15"/>
      <c r="F3203" s="15"/>
      <c r="G3203" s="15"/>
      <c r="H3203" s="15">
        <v>-8.0000000000000002E-3</v>
      </c>
      <c r="I3203" s="15">
        <v>3.9100000000000003E-2</v>
      </c>
      <c r="J3203" s="15">
        <v>-0.20460358056265979</v>
      </c>
    </row>
    <row r="3204" spans="1:10" x14ac:dyDescent="0.25">
      <c r="A3204" s="2" t="s">
        <v>8553</v>
      </c>
      <c r="B3204" s="2" t="s">
        <v>7007</v>
      </c>
      <c r="C3204" s="2" t="s">
        <v>8554</v>
      </c>
      <c r="D3204" s="2" t="s">
        <v>10055</v>
      </c>
      <c r="E3204" s="15"/>
      <c r="F3204" s="15"/>
      <c r="G3204" s="15"/>
      <c r="H3204" s="15">
        <v>-6.3E-3</v>
      </c>
      <c r="I3204" s="15">
        <v>3.7499999999999999E-2</v>
      </c>
      <c r="J3204" s="15">
        <v>-0.16800000000000001</v>
      </c>
    </row>
    <row r="3205" spans="1:10" x14ac:dyDescent="0.25">
      <c r="A3205" s="2" t="s">
        <v>8555</v>
      </c>
      <c r="B3205" s="2" t="s">
        <v>7007</v>
      </c>
      <c r="C3205" s="2" t="s">
        <v>8556</v>
      </c>
      <c r="D3205" s="2" t="s">
        <v>10055</v>
      </c>
      <c r="E3205" s="15"/>
      <c r="F3205" s="15"/>
      <c r="G3205" s="15"/>
      <c r="H3205" s="15"/>
      <c r="I3205" s="15"/>
      <c r="J3205" s="15"/>
    </row>
    <row r="3206" spans="1:10" x14ac:dyDescent="0.25">
      <c r="A3206" s="2" t="s">
        <v>8557</v>
      </c>
      <c r="B3206" s="2" t="s">
        <v>7007</v>
      </c>
      <c r="C3206" s="2" t="s">
        <v>8558</v>
      </c>
      <c r="D3206" s="2" t="s">
        <v>10055</v>
      </c>
      <c r="E3206" s="15"/>
      <c r="F3206" s="15"/>
      <c r="G3206" s="15"/>
      <c r="H3206" s="15">
        <v>-2.8000000000000001E-2</v>
      </c>
      <c r="I3206" s="15">
        <v>3.6799999999999999E-2</v>
      </c>
      <c r="J3206" s="15">
        <v>-0.76086956521739135</v>
      </c>
    </row>
    <row r="3207" spans="1:10" x14ac:dyDescent="0.25">
      <c r="A3207" s="2" t="s">
        <v>8559</v>
      </c>
      <c r="B3207" s="2" t="s">
        <v>7007</v>
      </c>
      <c r="C3207" s="2" t="s">
        <v>8560</v>
      </c>
      <c r="D3207" s="2" t="s">
        <v>10055</v>
      </c>
      <c r="E3207" s="15">
        <v>0.39340000000000003</v>
      </c>
      <c r="F3207" s="15">
        <v>0.31409999999999999</v>
      </c>
      <c r="G3207" s="15">
        <v>0.2104</v>
      </c>
      <c r="H3207" s="15">
        <v>2.9499999999999998E-2</v>
      </c>
      <c r="I3207" s="15">
        <v>3.5999999999999997E-2</v>
      </c>
      <c r="J3207" s="15">
        <v>0.81944444444444442</v>
      </c>
    </row>
    <row r="3208" spans="1:10" x14ac:dyDescent="0.25">
      <c r="A3208" s="2" t="s">
        <v>8561</v>
      </c>
      <c r="B3208" s="2" t="s">
        <v>7007</v>
      </c>
      <c r="C3208" s="2" t="s">
        <v>8562</v>
      </c>
      <c r="D3208" s="2" t="s">
        <v>10055</v>
      </c>
      <c r="E3208" s="15">
        <v>-6.1199999999999997E-2</v>
      </c>
      <c r="F3208" s="15">
        <v>0.1081</v>
      </c>
      <c r="G3208" s="15">
        <v>0.57130000000000003</v>
      </c>
      <c r="H3208" s="15">
        <v>8.7400000000000005E-2</v>
      </c>
      <c r="I3208" s="15">
        <v>4.3099999999999999E-2</v>
      </c>
      <c r="J3208" s="15">
        <v>2.0278422273781902</v>
      </c>
    </row>
    <row r="3209" spans="1:10" x14ac:dyDescent="0.25">
      <c r="A3209" s="2" t="s">
        <v>8563</v>
      </c>
      <c r="B3209" s="2" t="s">
        <v>7007</v>
      </c>
      <c r="C3209" s="2" t="s">
        <v>8564</v>
      </c>
      <c r="D3209" s="2" t="s">
        <v>10055</v>
      </c>
      <c r="E3209" s="15"/>
      <c r="F3209" s="15"/>
      <c r="G3209" s="15"/>
      <c r="H3209" s="15">
        <v>-1.7399999999999999E-2</v>
      </c>
      <c r="I3209" s="15">
        <v>3.7900000000000003E-2</v>
      </c>
      <c r="J3209" s="15">
        <v>-0.45910290237467011</v>
      </c>
    </row>
    <row r="3210" spans="1:10" x14ac:dyDescent="0.25">
      <c r="A3210" s="2" t="s">
        <v>8565</v>
      </c>
      <c r="B3210" s="2" t="s">
        <v>7007</v>
      </c>
      <c r="C3210" s="2" t="s">
        <v>8566</v>
      </c>
      <c r="D3210" s="2" t="s">
        <v>10055</v>
      </c>
      <c r="E3210" s="15">
        <v>4.1200000000000001E-2</v>
      </c>
      <c r="F3210" s="15">
        <v>9.9199999999999997E-2</v>
      </c>
      <c r="G3210" s="15">
        <v>0.67749999999999999</v>
      </c>
      <c r="H3210" s="15">
        <v>0.1116</v>
      </c>
      <c r="I3210" s="15">
        <v>4.0399999999999998E-2</v>
      </c>
      <c r="J3210" s="15">
        <v>2.7623762376237631</v>
      </c>
    </row>
    <row r="3211" spans="1:10" x14ac:dyDescent="0.25">
      <c r="A3211" s="2" t="s">
        <v>8567</v>
      </c>
      <c r="B3211" s="2" t="s">
        <v>7007</v>
      </c>
      <c r="C3211" s="2" t="s">
        <v>8568</v>
      </c>
      <c r="D3211" s="2" t="s">
        <v>10055</v>
      </c>
      <c r="E3211" s="15"/>
      <c r="F3211" s="15"/>
      <c r="G3211" s="15"/>
      <c r="H3211" s="15">
        <v>-3.4000000000000002E-2</v>
      </c>
      <c r="I3211" s="15">
        <v>3.56E-2</v>
      </c>
      <c r="J3211" s="15">
        <v>-0.95505617977528101</v>
      </c>
    </row>
    <row r="3212" spans="1:10" x14ac:dyDescent="0.25">
      <c r="A3212" s="2" t="s">
        <v>8569</v>
      </c>
      <c r="B3212" s="2" t="s">
        <v>7007</v>
      </c>
      <c r="C3212" s="2" t="s">
        <v>8570</v>
      </c>
      <c r="D3212" s="2" t="s">
        <v>10055</v>
      </c>
      <c r="E3212" s="15">
        <v>0.1489</v>
      </c>
      <c r="F3212" s="15">
        <v>0.20300000000000001</v>
      </c>
      <c r="G3212" s="15">
        <v>0.46329999999999999</v>
      </c>
      <c r="H3212" s="15">
        <v>3.32E-2</v>
      </c>
      <c r="I3212" s="15">
        <v>4.1799999999999997E-2</v>
      </c>
      <c r="J3212" s="15">
        <v>0.79425837320574166</v>
      </c>
    </row>
    <row r="3213" spans="1:10" x14ac:dyDescent="0.25">
      <c r="A3213" s="2" t="s">
        <v>8571</v>
      </c>
      <c r="B3213" s="2" t="s">
        <v>7007</v>
      </c>
      <c r="C3213" s="2" t="s">
        <v>8572</v>
      </c>
      <c r="D3213" s="2" t="s">
        <v>10055</v>
      </c>
      <c r="E3213" s="15"/>
      <c r="F3213" s="15"/>
      <c r="G3213" s="15"/>
      <c r="H3213" s="15">
        <v>-5.7700000000000001E-2</v>
      </c>
      <c r="I3213" s="15">
        <v>3.8300000000000001E-2</v>
      </c>
      <c r="J3213" s="15">
        <v>-1.506527415143603</v>
      </c>
    </row>
    <row r="3214" spans="1:10" x14ac:dyDescent="0.25">
      <c r="A3214" s="2" t="s">
        <v>8573</v>
      </c>
      <c r="B3214" s="2" t="s">
        <v>7007</v>
      </c>
      <c r="C3214" s="2" t="s">
        <v>8574</v>
      </c>
      <c r="D3214" s="2" t="s">
        <v>10055</v>
      </c>
      <c r="E3214" s="15"/>
      <c r="F3214" s="15"/>
      <c r="G3214" s="15"/>
      <c r="H3214" s="15">
        <v>-6.6100000000000006E-2</v>
      </c>
      <c r="I3214" s="15">
        <v>3.49E-2</v>
      </c>
      <c r="J3214" s="15">
        <v>-1.8939828080229231</v>
      </c>
    </row>
    <row r="3215" spans="1:10" x14ac:dyDescent="0.25">
      <c r="A3215" s="2" t="s">
        <v>8575</v>
      </c>
      <c r="B3215" s="2" t="s">
        <v>7007</v>
      </c>
      <c r="C3215" s="2" t="s">
        <v>8576</v>
      </c>
      <c r="D3215" s="2" t="s">
        <v>10055</v>
      </c>
      <c r="E3215" s="15">
        <v>-3.4799999999999998E-2</v>
      </c>
      <c r="F3215" s="15">
        <v>0.12939999999999999</v>
      </c>
      <c r="G3215" s="15">
        <v>0.78769999999999996</v>
      </c>
      <c r="H3215" s="15">
        <v>6.9199999999999998E-2</v>
      </c>
      <c r="I3215" s="15">
        <v>3.8100000000000002E-2</v>
      </c>
      <c r="J3215" s="15">
        <v>1.8162729658792649</v>
      </c>
    </row>
    <row r="3216" spans="1:10" x14ac:dyDescent="0.25">
      <c r="A3216" s="2" t="s">
        <v>8577</v>
      </c>
      <c r="B3216" s="2" t="s">
        <v>7007</v>
      </c>
      <c r="C3216" s="2" t="s">
        <v>8578</v>
      </c>
      <c r="D3216" s="2" t="s">
        <v>10055</v>
      </c>
      <c r="E3216" s="15">
        <v>5.0200000000000002E-2</v>
      </c>
      <c r="F3216" s="15">
        <v>0.19769999999999999</v>
      </c>
      <c r="G3216" s="15">
        <v>0.79979999999999996</v>
      </c>
      <c r="H3216" s="15">
        <v>2.6800000000000001E-2</v>
      </c>
      <c r="I3216" s="15">
        <v>3.6600000000000001E-2</v>
      </c>
      <c r="J3216" s="15">
        <v>0.73224043715846998</v>
      </c>
    </row>
    <row r="3217" spans="1:10" x14ac:dyDescent="0.25">
      <c r="A3217" s="2" t="s">
        <v>8579</v>
      </c>
      <c r="B3217" s="2" t="s">
        <v>7007</v>
      </c>
      <c r="C3217" s="2" t="s">
        <v>8580</v>
      </c>
      <c r="D3217" s="2" t="s">
        <v>10055</v>
      </c>
      <c r="E3217" s="15">
        <v>2.1600000000000001E-2</v>
      </c>
      <c r="F3217" s="15">
        <v>0.1464</v>
      </c>
      <c r="G3217" s="15">
        <v>0.88249999999999995</v>
      </c>
      <c r="H3217" s="15">
        <v>5.5899999999999998E-2</v>
      </c>
      <c r="I3217" s="15">
        <v>4.1000000000000002E-2</v>
      </c>
      <c r="J3217" s="15">
        <v>1.3634146341463409</v>
      </c>
    </row>
    <row r="3218" spans="1:10" x14ac:dyDescent="0.25">
      <c r="A3218" s="2" t="s">
        <v>8581</v>
      </c>
      <c r="B3218" s="2" t="s">
        <v>7007</v>
      </c>
      <c r="C3218" s="2" t="s">
        <v>8582</v>
      </c>
      <c r="D3218" s="2" t="s">
        <v>10055</v>
      </c>
      <c r="E3218" s="15">
        <v>8.0999999999999996E-3</v>
      </c>
      <c r="F3218" s="15">
        <v>0.10150000000000001</v>
      </c>
      <c r="G3218" s="15">
        <v>0.93640000000000001</v>
      </c>
      <c r="H3218" s="15">
        <v>0.1042</v>
      </c>
      <c r="I3218" s="15">
        <v>3.6999999999999998E-2</v>
      </c>
      <c r="J3218" s="15">
        <v>2.8162162162162159</v>
      </c>
    </row>
    <row r="3219" spans="1:10" x14ac:dyDescent="0.25">
      <c r="A3219" s="2" t="s">
        <v>8583</v>
      </c>
      <c r="B3219" s="2" t="s">
        <v>7007</v>
      </c>
      <c r="C3219" s="2" t="s">
        <v>8584</v>
      </c>
      <c r="D3219" s="2" t="s">
        <v>10055</v>
      </c>
      <c r="E3219" s="15"/>
      <c r="F3219" s="15"/>
      <c r="G3219" s="15"/>
      <c r="H3219" s="15"/>
      <c r="I3219" s="15"/>
      <c r="J3219" s="15"/>
    </row>
    <row r="3220" spans="1:10" x14ac:dyDescent="0.25">
      <c r="A3220" s="2" t="s">
        <v>8585</v>
      </c>
      <c r="B3220" s="2" t="s">
        <v>7007</v>
      </c>
      <c r="C3220" s="2" t="s">
        <v>8586</v>
      </c>
      <c r="D3220" s="2" t="s">
        <v>10055</v>
      </c>
      <c r="E3220" s="15"/>
      <c r="F3220" s="15"/>
      <c r="G3220" s="15"/>
      <c r="H3220" s="15"/>
      <c r="I3220" s="15"/>
      <c r="J3220" s="15"/>
    </row>
    <row r="3221" spans="1:10" x14ac:dyDescent="0.25">
      <c r="A3221" s="2" t="s">
        <v>8587</v>
      </c>
      <c r="B3221" s="2" t="s">
        <v>7007</v>
      </c>
      <c r="C3221" s="2" t="s">
        <v>8588</v>
      </c>
      <c r="D3221" s="2" t="s">
        <v>10055</v>
      </c>
      <c r="E3221" s="15">
        <v>0.26719999999999999</v>
      </c>
      <c r="F3221" s="15">
        <v>0.24429999999999999</v>
      </c>
      <c r="G3221" s="15">
        <v>0.27400000000000002</v>
      </c>
      <c r="H3221" s="15">
        <v>0.03</v>
      </c>
      <c r="I3221" s="15">
        <v>3.6999999999999998E-2</v>
      </c>
      <c r="J3221" s="15">
        <v>0.81081081081081086</v>
      </c>
    </row>
    <row r="3222" spans="1:10" x14ac:dyDescent="0.25">
      <c r="A3222" s="2" t="s">
        <v>8589</v>
      </c>
      <c r="B3222" s="2" t="s">
        <v>7007</v>
      </c>
      <c r="C3222" s="2" t="s">
        <v>8590</v>
      </c>
      <c r="D3222" s="2" t="s">
        <v>10055</v>
      </c>
      <c r="E3222" s="15">
        <v>0.1217</v>
      </c>
      <c r="F3222" s="15">
        <v>0.40860000000000002</v>
      </c>
      <c r="G3222" s="15">
        <v>0.76590000000000003</v>
      </c>
      <c r="H3222" s="15">
        <v>1.2999999999999999E-2</v>
      </c>
      <c r="I3222" s="15">
        <v>4.0300000000000002E-2</v>
      </c>
      <c r="J3222" s="15">
        <v>0.32258064516129031</v>
      </c>
    </row>
    <row r="3223" spans="1:10" x14ac:dyDescent="0.25">
      <c r="A3223" s="2" t="s">
        <v>8591</v>
      </c>
      <c r="B3223" s="2" t="s">
        <v>7007</v>
      </c>
      <c r="C3223" s="2" t="s">
        <v>8592</v>
      </c>
      <c r="D3223" s="2" t="s">
        <v>10055</v>
      </c>
      <c r="E3223" s="15">
        <v>0.13009999999999999</v>
      </c>
      <c r="F3223" s="15">
        <v>0.1201</v>
      </c>
      <c r="G3223" s="15">
        <v>0.27860000000000001</v>
      </c>
      <c r="H3223" s="15">
        <v>7.4099999999999999E-2</v>
      </c>
      <c r="I3223" s="15">
        <v>3.5000000000000003E-2</v>
      </c>
      <c r="J3223" s="15">
        <v>2.117142857142857</v>
      </c>
    </row>
    <row r="3224" spans="1:10" x14ac:dyDescent="0.25">
      <c r="A3224" s="2" t="s">
        <v>8593</v>
      </c>
      <c r="B3224" s="2" t="s">
        <v>7007</v>
      </c>
      <c r="C3224" s="2" t="s">
        <v>8594</v>
      </c>
      <c r="D3224" s="2" t="s">
        <v>10055</v>
      </c>
      <c r="E3224" s="15"/>
      <c r="F3224" s="15"/>
      <c r="G3224" s="15"/>
      <c r="H3224" s="15"/>
      <c r="I3224" s="15"/>
      <c r="J3224" s="15"/>
    </row>
    <row r="3225" spans="1:10" x14ac:dyDescent="0.25">
      <c r="A3225" s="2" t="s">
        <v>8595</v>
      </c>
      <c r="B3225" s="2" t="s">
        <v>7007</v>
      </c>
      <c r="C3225" s="2" t="s">
        <v>8596</v>
      </c>
      <c r="D3225" s="2" t="s">
        <v>10055</v>
      </c>
      <c r="E3225" s="15">
        <v>-7.9200000000000007E-2</v>
      </c>
      <c r="F3225" s="15">
        <v>0.1769</v>
      </c>
      <c r="G3225" s="15">
        <v>0.65429999999999999</v>
      </c>
      <c r="H3225" s="15">
        <v>3.8899999999999997E-2</v>
      </c>
      <c r="I3225" s="15">
        <v>4.0300000000000002E-2</v>
      </c>
      <c r="J3225" s="15">
        <v>0.96526054590570709</v>
      </c>
    </row>
    <row r="3226" spans="1:10" x14ac:dyDescent="0.25">
      <c r="A3226" s="2" t="s">
        <v>8597</v>
      </c>
      <c r="B3226" s="2" t="s">
        <v>7007</v>
      </c>
      <c r="C3226" s="2" t="s">
        <v>8598</v>
      </c>
      <c r="D3226" s="2" t="s">
        <v>10055</v>
      </c>
      <c r="E3226" s="15">
        <v>-0.11360000000000001</v>
      </c>
      <c r="F3226" s="15">
        <v>0.11269999999999999</v>
      </c>
      <c r="G3226" s="15">
        <v>0.31359999999999999</v>
      </c>
      <c r="H3226" s="15">
        <v>7.2700000000000001E-2</v>
      </c>
      <c r="I3226" s="15">
        <v>3.5099999999999999E-2</v>
      </c>
      <c r="J3226" s="15">
        <v>2.0712250712250708</v>
      </c>
    </row>
    <row r="3227" spans="1:10" x14ac:dyDescent="0.25">
      <c r="A3227" s="2" t="s">
        <v>8599</v>
      </c>
      <c r="B3227" s="2" t="s">
        <v>7007</v>
      </c>
      <c r="C3227" s="2" t="s">
        <v>8600</v>
      </c>
      <c r="D3227" s="2" t="s">
        <v>10055</v>
      </c>
      <c r="E3227" s="15">
        <v>-0.16170000000000001</v>
      </c>
      <c r="F3227" s="15">
        <v>0.21440000000000001</v>
      </c>
      <c r="G3227" s="15">
        <v>0.45079999999999998</v>
      </c>
      <c r="H3227" s="15">
        <v>3.1800000000000002E-2</v>
      </c>
      <c r="I3227" s="15">
        <v>3.95E-2</v>
      </c>
      <c r="J3227" s="15">
        <v>0.80506329113924058</v>
      </c>
    </row>
    <row r="3228" spans="1:10" x14ac:dyDescent="0.25">
      <c r="A3228" s="2" t="s">
        <v>8601</v>
      </c>
      <c r="B3228" s="2" t="s">
        <v>7007</v>
      </c>
      <c r="C3228" s="2" t="s">
        <v>8602</v>
      </c>
      <c r="D3228" s="2" t="s">
        <v>10055</v>
      </c>
      <c r="E3228" s="15">
        <v>-0.22620000000000001</v>
      </c>
      <c r="F3228" s="15">
        <v>0.1537</v>
      </c>
      <c r="G3228" s="15">
        <v>0.14119999999999999</v>
      </c>
      <c r="H3228" s="15">
        <v>5.0099999999999999E-2</v>
      </c>
      <c r="I3228" s="15">
        <v>3.9800000000000002E-2</v>
      </c>
      <c r="J3228" s="15">
        <v>1.2587939698492461</v>
      </c>
    </row>
    <row r="3229" spans="1:10" x14ac:dyDescent="0.25">
      <c r="A3229" s="2" t="s">
        <v>8603</v>
      </c>
      <c r="B3229" s="2" t="s">
        <v>7007</v>
      </c>
      <c r="C3229" s="2" t="s">
        <v>8604</v>
      </c>
      <c r="D3229" s="2" t="s">
        <v>10055</v>
      </c>
      <c r="E3229" s="15"/>
      <c r="F3229" s="15"/>
      <c r="G3229" s="15"/>
      <c r="H3229" s="15"/>
      <c r="I3229" s="15"/>
      <c r="J3229" s="15"/>
    </row>
    <row r="3230" spans="1:10" x14ac:dyDescent="0.25">
      <c r="A3230" s="2" t="s">
        <v>8605</v>
      </c>
      <c r="B3230" s="2" t="s">
        <v>7007</v>
      </c>
      <c r="C3230" s="2" t="s">
        <v>8606</v>
      </c>
      <c r="D3230" s="2" t="s">
        <v>10055</v>
      </c>
      <c r="E3230" s="15">
        <v>-2.2665000000000001E-5</v>
      </c>
      <c r="F3230" s="15">
        <v>0.1268</v>
      </c>
      <c r="G3230" s="15">
        <v>0.99990000000000001</v>
      </c>
      <c r="H3230" s="15">
        <v>6.2100000000000002E-2</v>
      </c>
      <c r="I3230" s="15">
        <v>3.4299999999999997E-2</v>
      </c>
      <c r="J3230" s="15">
        <v>1.8104956268221579</v>
      </c>
    </row>
    <row r="3231" spans="1:10" x14ac:dyDescent="0.25">
      <c r="A3231" s="2" t="s">
        <v>8607</v>
      </c>
      <c r="B3231" s="2" t="s">
        <v>7007</v>
      </c>
      <c r="C3231" s="2" t="s">
        <v>8608</v>
      </c>
      <c r="D3231" s="2" t="s">
        <v>10055</v>
      </c>
      <c r="E3231" s="15"/>
      <c r="F3231" s="15"/>
      <c r="G3231" s="15"/>
      <c r="H3231" s="15">
        <v>-3.5999999999999999E-3</v>
      </c>
      <c r="I3231" s="15">
        <v>3.7900000000000003E-2</v>
      </c>
      <c r="J3231" s="15">
        <v>-9.498680738786279E-2</v>
      </c>
    </row>
    <row r="3232" spans="1:10" x14ac:dyDescent="0.25">
      <c r="A3232" s="2" t="s">
        <v>8609</v>
      </c>
      <c r="B3232" s="2" t="s">
        <v>7007</v>
      </c>
      <c r="C3232" s="2" t="s">
        <v>8610</v>
      </c>
      <c r="D3232" s="2" t="s">
        <v>10055</v>
      </c>
      <c r="E3232" s="15">
        <v>1.1999999999999999E-3</v>
      </c>
      <c r="F3232" s="15">
        <v>0.1139</v>
      </c>
      <c r="G3232" s="15">
        <v>0.99180000000000001</v>
      </c>
      <c r="H3232" s="15">
        <v>8.5599999999999996E-2</v>
      </c>
      <c r="I3232" s="15">
        <v>3.7199999999999997E-2</v>
      </c>
      <c r="J3232" s="15">
        <v>2.301075268817204</v>
      </c>
    </row>
    <row r="3233" spans="1:10" x14ac:dyDescent="0.25">
      <c r="A3233" s="2" t="s">
        <v>8611</v>
      </c>
      <c r="B3233" s="2" t="s">
        <v>7007</v>
      </c>
      <c r="C3233" s="2" t="s">
        <v>8612</v>
      </c>
      <c r="D3233" s="2" t="s">
        <v>10055</v>
      </c>
      <c r="E3233" s="15">
        <v>-0.2389</v>
      </c>
      <c r="F3233" s="15">
        <v>0.2089</v>
      </c>
      <c r="G3233" s="15">
        <v>0.25269999999999998</v>
      </c>
      <c r="H3233" s="15">
        <v>3.4099999999999998E-2</v>
      </c>
      <c r="I3233" s="15">
        <v>3.6499999999999998E-2</v>
      </c>
      <c r="J3233" s="15">
        <v>0.9342465753424658</v>
      </c>
    </row>
    <row r="3234" spans="1:10" x14ac:dyDescent="0.25">
      <c r="A3234" s="2" t="s">
        <v>8613</v>
      </c>
      <c r="B3234" s="2" t="s">
        <v>7007</v>
      </c>
      <c r="C3234" s="2" t="s">
        <v>8614</v>
      </c>
      <c r="D3234" s="2" t="s">
        <v>10055</v>
      </c>
      <c r="E3234" s="15">
        <v>-4.9500000000000002E-2</v>
      </c>
      <c r="F3234" s="15">
        <v>0.1056</v>
      </c>
      <c r="G3234" s="15">
        <v>0.63900000000000001</v>
      </c>
      <c r="H3234" s="15">
        <v>8.8499999999999995E-2</v>
      </c>
      <c r="I3234" s="15">
        <v>4.6899999999999997E-2</v>
      </c>
      <c r="J3234" s="15">
        <v>1.886993603411514</v>
      </c>
    </row>
    <row r="3235" spans="1:10" x14ac:dyDescent="0.25">
      <c r="A3235" s="2" t="s">
        <v>8615</v>
      </c>
      <c r="B3235" s="2" t="s">
        <v>7007</v>
      </c>
      <c r="C3235" s="2" t="s">
        <v>8616</v>
      </c>
      <c r="D3235" s="2" t="s">
        <v>10055</v>
      </c>
      <c r="E3235" s="15"/>
      <c r="F3235" s="15"/>
      <c r="G3235" s="15"/>
      <c r="H3235" s="15">
        <v>-1.6799999999999999E-2</v>
      </c>
      <c r="I3235" s="15">
        <v>3.4200000000000001E-2</v>
      </c>
      <c r="J3235" s="15">
        <v>-0.49122807017543862</v>
      </c>
    </row>
    <row r="3236" spans="1:10" x14ac:dyDescent="0.25">
      <c r="A3236" s="2" t="s">
        <v>8617</v>
      </c>
      <c r="B3236" s="2" t="s">
        <v>7007</v>
      </c>
      <c r="C3236" s="2" t="s">
        <v>8618</v>
      </c>
      <c r="D3236" s="2" t="s">
        <v>10055</v>
      </c>
      <c r="E3236" s="15">
        <v>0.14019999999999999</v>
      </c>
      <c r="F3236" s="15">
        <v>0.18809999999999999</v>
      </c>
      <c r="G3236" s="15">
        <v>0.45590000000000003</v>
      </c>
      <c r="H3236" s="15">
        <v>3.1699999999999999E-2</v>
      </c>
      <c r="I3236" s="15">
        <v>3.8699999999999998E-2</v>
      </c>
      <c r="J3236" s="15">
        <v>0.81912144702842382</v>
      </c>
    </row>
    <row r="3237" spans="1:10" x14ac:dyDescent="0.25">
      <c r="A3237" s="2" t="s">
        <v>8619</v>
      </c>
      <c r="B3237" s="2" t="s">
        <v>7007</v>
      </c>
      <c r="C3237" s="2" t="s">
        <v>8620</v>
      </c>
      <c r="D3237" s="2" t="s">
        <v>10055</v>
      </c>
      <c r="E3237" s="15"/>
      <c r="F3237" s="15"/>
      <c r="G3237" s="15"/>
      <c r="H3237" s="15">
        <v>-1.3100000000000001E-2</v>
      </c>
      <c r="I3237" s="15">
        <v>3.5900000000000001E-2</v>
      </c>
      <c r="J3237" s="15">
        <v>-0.36490250696378829</v>
      </c>
    </row>
    <row r="3238" spans="1:10" x14ac:dyDescent="0.25">
      <c r="A3238" s="2" t="s">
        <v>8621</v>
      </c>
      <c r="B3238" s="2" t="s">
        <v>7007</v>
      </c>
      <c r="C3238" s="2" t="s">
        <v>8622</v>
      </c>
      <c r="D3238" s="2" t="s">
        <v>10055</v>
      </c>
      <c r="E3238" s="15"/>
      <c r="F3238" s="15"/>
      <c r="G3238" s="15"/>
      <c r="H3238" s="15">
        <v>-2.9899999999999999E-2</v>
      </c>
      <c r="I3238" s="15">
        <v>4.07E-2</v>
      </c>
      <c r="J3238" s="15">
        <v>-0.73464373464373467</v>
      </c>
    </row>
    <row r="3239" spans="1:10" x14ac:dyDescent="0.25">
      <c r="A3239" s="2" t="s">
        <v>8623</v>
      </c>
      <c r="B3239" s="2" t="s">
        <v>7007</v>
      </c>
      <c r="C3239" s="2" t="s">
        <v>8624</v>
      </c>
      <c r="D3239" s="2" t="s">
        <v>10055</v>
      </c>
      <c r="E3239" s="15">
        <v>6.6400000000000001E-2</v>
      </c>
      <c r="F3239" s="15">
        <v>0.1024</v>
      </c>
      <c r="G3239" s="15">
        <v>0.51659999999999995</v>
      </c>
      <c r="H3239" s="15">
        <v>9.8500000000000004E-2</v>
      </c>
      <c r="I3239" s="15">
        <v>3.9100000000000003E-2</v>
      </c>
      <c r="J3239" s="15">
        <v>2.5191815856777491</v>
      </c>
    </row>
    <row r="3240" spans="1:10" x14ac:dyDescent="0.25">
      <c r="A3240" s="2" t="s">
        <v>8625</v>
      </c>
      <c r="B3240" s="2" t="s">
        <v>7007</v>
      </c>
      <c r="C3240" s="2" t="s">
        <v>8626</v>
      </c>
      <c r="D3240" s="2" t="s">
        <v>10055</v>
      </c>
      <c r="E3240" s="15">
        <v>7.6899999999999996E-2</v>
      </c>
      <c r="F3240" s="15">
        <v>0.11990000000000001</v>
      </c>
      <c r="G3240" s="15">
        <v>0.5212</v>
      </c>
      <c r="H3240" s="15">
        <v>7.6799999999999993E-2</v>
      </c>
      <c r="I3240" s="15">
        <v>3.9100000000000003E-2</v>
      </c>
      <c r="J3240" s="15">
        <v>1.9641943734015339</v>
      </c>
    </row>
    <row r="3241" spans="1:10" x14ac:dyDescent="0.25">
      <c r="A3241" s="2" t="s">
        <v>8627</v>
      </c>
      <c r="B3241" s="2" t="s">
        <v>7007</v>
      </c>
      <c r="C3241" s="2" t="s">
        <v>8628</v>
      </c>
      <c r="D3241" s="2" t="s">
        <v>10055</v>
      </c>
      <c r="E3241" s="15"/>
      <c r="F3241" s="15"/>
      <c r="G3241" s="15"/>
      <c r="H3241" s="15"/>
      <c r="I3241" s="15"/>
      <c r="J3241" s="15"/>
    </row>
    <row r="3242" spans="1:10" x14ac:dyDescent="0.25">
      <c r="A3242" s="2" t="s">
        <v>8629</v>
      </c>
      <c r="B3242" s="2" t="s">
        <v>7007</v>
      </c>
      <c r="C3242" s="2" t="s">
        <v>8630</v>
      </c>
      <c r="D3242" s="2" t="s">
        <v>10055</v>
      </c>
      <c r="E3242" s="15">
        <v>-0.1206</v>
      </c>
      <c r="F3242" s="15">
        <v>0.13450000000000001</v>
      </c>
      <c r="G3242" s="15">
        <v>0.36980000000000002</v>
      </c>
      <c r="H3242" s="15">
        <v>5.7700000000000001E-2</v>
      </c>
      <c r="I3242" s="15">
        <v>3.6799999999999999E-2</v>
      </c>
      <c r="J3242" s="15">
        <v>1.567934782608696</v>
      </c>
    </row>
    <row r="3243" spans="1:10" x14ac:dyDescent="0.25">
      <c r="A3243" s="2" t="s">
        <v>8631</v>
      </c>
      <c r="B3243" s="2" t="s">
        <v>7007</v>
      </c>
      <c r="C3243" s="2" t="s">
        <v>8632</v>
      </c>
      <c r="D3243" s="2" t="s">
        <v>10055</v>
      </c>
      <c r="E3243" s="15"/>
      <c r="F3243" s="15"/>
      <c r="G3243" s="15"/>
      <c r="H3243" s="15">
        <v>-5.0200000000000002E-2</v>
      </c>
      <c r="I3243" s="15">
        <v>3.7999999999999999E-2</v>
      </c>
      <c r="J3243" s="15">
        <v>-1.321052631578947</v>
      </c>
    </row>
    <row r="3244" spans="1:10" x14ac:dyDescent="0.25">
      <c r="A3244" s="2" t="s">
        <v>8633</v>
      </c>
      <c r="B3244" s="2" t="s">
        <v>7007</v>
      </c>
      <c r="C3244" s="2" t="s">
        <v>8634</v>
      </c>
      <c r="D3244" s="2" t="s">
        <v>10055</v>
      </c>
      <c r="E3244" s="15"/>
      <c r="F3244" s="15"/>
      <c r="G3244" s="15"/>
      <c r="H3244" s="15"/>
      <c r="I3244" s="15"/>
      <c r="J3244" s="15"/>
    </row>
    <row r="3245" spans="1:10" x14ac:dyDescent="0.25">
      <c r="A3245" s="2" t="s">
        <v>8635</v>
      </c>
      <c r="B3245" s="2" t="s">
        <v>7007</v>
      </c>
      <c r="C3245" s="2" t="s">
        <v>8636</v>
      </c>
      <c r="D3245" s="2" t="s">
        <v>10055</v>
      </c>
      <c r="E3245" s="15"/>
      <c r="F3245" s="15"/>
      <c r="G3245" s="15"/>
      <c r="H3245" s="15">
        <v>-3.78E-2</v>
      </c>
      <c r="I3245" s="15">
        <v>3.7499999999999999E-2</v>
      </c>
      <c r="J3245" s="15">
        <v>-1.008</v>
      </c>
    </row>
    <row r="3246" spans="1:10" x14ac:dyDescent="0.25">
      <c r="A3246" s="2" t="s">
        <v>8637</v>
      </c>
      <c r="B3246" s="2" t="s">
        <v>7007</v>
      </c>
      <c r="C3246" s="2" t="s">
        <v>8638</v>
      </c>
      <c r="D3246" s="2" t="s">
        <v>10055</v>
      </c>
      <c r="E3246" s="15">
        <v>0.18029999999999999</v>
      </c>
      <c r="F3246" s="15">
        <v>0.1041</v>
      </c>
      <c r="G3246" s="15">
        <v>8.3199999999999996E-2</v>
      </c>
      <c r="H3246" s="15">
        <v>0.1069</v>
      </c>
      <c r="I3246" s="15">
        <v>4.0099999999999997E-2</v>
      </c>
      <c r="J3246" s="15">
        <v>2.6658354114713219</v>
      </c>
    </row>
    <row r="3247" spans="1:10" x14ac:dyDescent="0.25">
      <c r="A3247" s="2" t="s">
        <v>8639</v>
      </c>
      <c r="B3247" s="2" t="s">
        <v>7007</v>
      </c>
      <c r="C3247" s="2" t="s">
        <v>8640</v>
      </c>
      <c r="D3247" s="2" t="s">
        <v>10055</v>
      </c>
      <c r="E3247" s="15">
        <v>0.17130000000000001</v>
      </c>
      <c r="F3247" s="15">
        <v>0.26619999999999999</v>
      </c>
      <c r="G3247" s="15">
        <v>0.52</v>
      </c>
      <c r="H3247" s="15">
        <v>2.8000000000000001E-2</v>
      </c>
      <c r="I3247" s="15">
        <v>4.1599999999999998E-2</v>
      </c>
      <c r="J3247" s="15">
        <v>0.67307692307692313</v>
      </c>
    </row>
    <row r="3248" spans="1:10" x14ac:dyDescent="0.25">
      <c r="A3248" s="2" t="s">
        <v>8641</v>
      </c>
      <c r="B3248" s="2" t="s">
        <v>7007</v>
      </c>
      <c r="C3248" s="2" t="s">
        <v>8642</v>
      </c>
      <c r="D3248" s="2" t="s">
        <v>10055</v>
      </c>
      <c r="E3248" s="15"/>
      <c r="F3248" s="15"/>
      <c r="G3248" s="15"/>
      <c r="H3248" s="15">
        <v>-1.0200000000000001E-2</v>
      </c>
      <c r="I3248" s="15">
        <v>3.7100000000000001E-2</v>
      </c>
      <c r="J3248" s="15">
        <v>-0.27493261455525608</v>
      </c>
    </row>
    <row r="3249" spans="1:10" x14ac:dyDescent="0.25">
      <c r="A3249" s="2" t="s">
        <v>8643</v>
      </c>
      <c r="B3249" s="2" t="s">
        <v>7007</v>
      </c>
      <c r="C3249" s="2" t="s">
        <v>8644</v>
      </c>
      <c r="D3249" s="2" t="s">
        <v>10055</v>
      </c>
      <c r="E3249" s="15">
        <v>4.5499999999999999E-2</v>
      </c>
      <c r="F3249" s="15">
        <v>0.11260000000000001</v>
      </c>
      <c r="G3249" s="15">
        <v>0.68610000000000004</v>
      </c>
      <c r="H3249" s="15">
        <v>8.9099999999999999E-2</v>
      </c>
      <c r="I3249" s="15">
        <v>3.7999999999999999E-2</v>
      </c>
      <c r="J3249" s="15">
        <v>2.344736842105263</v>
      </c>
    </row>
    <row r="3250" spans="1:10" x14ac:dyDescent="0.25">
      <c r="A3250" s="2" t="s">
        <v>8645</v>
      </c>
      <c r="B3250" s="2" t="s">
        <v>7007</v>
      </c>
      <c r="C3250" s="2" t="s">
        <v>8646</v>
      </c>
      <c r="D3250" s="2" t="s">
        <v>10055</v>
      </c>
      <c r="E3250" s="15"/>
      <c r="F3250" s="15"/>
      <c r="G3250" s="15"/>
      <c r="H3250" s="15"/>
      <c r="I3250" s="15"/>
      <c r="J3250" s="15"/>
    </row>
    <row r="3251" spans="1:10" x14ac:dyDescent="0.25">
      <c r="A3251" s="2" t="s">
        <v>8647</v>
      </c>
      <c r="B3251" s="2" t="s">
        <v>7007</v>
      </c>
      <c r="C3251" s="2" t="s">
        <v>8648</v>
      </c>
      <c r="D3251" s="2" t="s">
        <v>10055</v>
      </c>
      <c r="E3251" s="15"/>
      <c r="F3251" s="15"/>
      <c r="G3251" s="15"/>
      <c r="H3251" s="15">
        <v>-1E-3</v>
      </c>
      <c r="I3251" s="15">
        <v>3.5499999999999997E-2</v>
      </c>
      <c r="J3251" s="15">
        <v>-2.816901408450705E-2</v>
      </c>
    </row>
    <row r="3252" spans="1:10" x14ac:dyDescent="0.25">
      <c r="A3252" s="2" t="s">
        <v>8649</v>
      </c>
      <c r="B3252" s="2" t="s">
        <v>7007</v>
      </c>
      <c r="C3252" s="2" t="s">
        <v>8650</v>
      </c>
      <c r="D3252" s="2" t="s">
        <v>10055</v>
      </c>
      <c r="E3252" s="15"/>
      <c r="F3252" s="15"/>
      <c r="G3252" s="15"/>
      <c r="H3252" s="15"/>
      <c r="I3252" s="15"/>
      <c r="J3252" s="15"/>
    </row>
    <row r="3253" spans="1:10" x14ac:dyDescent="0.25">
      <c r="A3253" s="2" t="s">
        <v>8651</v>
      </c>
      <c r="B3253" s="2" t="s">
        <v>7007</v>
      </c>
      <c r="C3253" s="2" t="s">
        <v>8652</v>
      </c>
      <c r="D3253" s="2" t="s">
        <v>10055</v>
      </c>
      <c r="E3253" s="15"/>
      <c r="F3253" s="15"/>
      <c r="G3253" s="15"/>
      <c r="H3253" s="15"/>
      <c r="I3253" s="15"/>
      <c r="J3253" s="15"/>
    </row>
    <row r="3254" spans="1:10" x14ac:dyDescent="0.25">
      <c r="A3254" s="2" t="s">
        <v>8653</v>
      </c>
      <c r="B3254" s="2" t="s">
        <v>7007</v>
      </c>
      <c r="C3254" s="2" t="s">
        <v>8654</v>
      </c>
      <c r="D3254" s="2" t="s">
        <v>10055</v>
      </c>
      <c r="E3254" s="15">
        <v>-2.5499999999999998E-2</v>
      </c>
      <c r="F3254" s="15">
        <v>0.1439</v>
      </c>
      <c r="G3254" s="15">
        <v>0.85960000000000003</v>
      </c>
      <c r="H3254" s="15">
        <v>5.1900000000000002E-2</v>
      </c>
      <c r="I3254" s="15">
        <v>3.7199999999999997E-2</v>
      </c>
      <c r="J3254" s="15">
        <v>1.395161290322581</v>
      </c>
    </row>
    <row r="3255" spans="1:10" x14ac:dyDescent="0.25">
      <c r="A3255" s="2" t="s">
        <v>8655</v>
      </c>
      <c r="B3255" s="2" t="s">
        <v>7007</v>
      </c>
      <c r="C3255" s="2" t="s">
        <v>8656</v>
      </c>
      <c r="D3255" s="2" t="s">
        <v>10055</v>
      </c>
      <c r="E3255" s="15">
        <v>-4.5600000000000002E-2</v>
      </c>
      <c r="F3255" s="15">
        <v>0.10340000000000001</v>
      </c>
      <c r="G3255" s="15">
        <v>0.65900000000000003</v>
      </c>
      <c r="H3255" s="15">
        <v>0.1087</v>
      </c>
      <c r="I3255" s="15">
        <v>3.6200000000000003E-2</v>
      </c>
      <c r="J3255" s="15">
        <v>3.0027624309392258</v>
      </c>
    </row>
    <row r="3256" spans="1:10" x14ac:dyDescent="0.25">
      <c r="A3256" s="2" t="s">
        <v>8657</v>
      </c>
      <c r="B3256" s="2" t="s">
        <v>7007</v>
      </c>
      <c r="C3256" s="2" t="s">
        <v>8658</v>
      </c>
      <c r="D3256" s="2" t="s">
        <v>10055</v>
      </c>
      <c r="E3256" s="15">
        <v>0.35759999999999997</v>
      </c>
      <c r="F3256" s="15">
        <v>0.64019999999999999</v>
      </c>
      <c r="G3256" s="15">
        <v>0.57650000000000001</v>
      </c>
      <c r="H3256" s="15">
        <v>1.6899999999999998E-2</v>
      </c>
      <c r="I3256" s="15">
        <v>4.19E-2</v>
      </c>
      <c r="J3256" s="15">
        <v>0.40334128878281622</v>
      </c>
    </row>
    <row r="3257" spans="1:10" x14ac:dyDescent="0.25">
      <c r="A3257" s="2" t="s">
        <v>8659</v>
      </c>
      <c r="B3257" s="2" t="s">
        <v>7007</v>
      </c>
      <c r="C3257" s="2" t="s">
        <v>8660</v>
      </c>
      <c r="D3257" s="2" t="s">
        <v>10055</v>
      </c>
      <c r="E3257" s="15"/>
      <c r="F3257" s="15"/>
      <c r="G3257" s="15"/>
      <c r="H3257" s="15">
        <v>-2.06E-2</v>
      </c>
      <c r="I3257" s="15">
        <v>3.4000000000000002E-2</v>
      </c>
      <c r="J3257" s="15">
        <v>-0.60588235294117643</v>
      </c>
    </row>
    <row r="3258" spans="1:10" x14ac:dyDescent="0.25">
      <c r="A3258" s="2" t="s">
        <v>8661</v>
      </c>
      <c r="B3258" s="2" t="s">
        <v>7007</v>
      </c>
      <c r="C3258" s="2" t="s">
        <v>8662</v>
      </c>
      <c r="D3258" s="2" t="s">
        <v>10055</v>
      </c>
      <c r="E3258" s="15">
        <v>-5.7099999999999998E-2</v>
      </c>
      <c r="F3258" s="15">
        <v>0.124</v>
      </c>
      <c r="G3258" s="15">
        <v>0.64549999999999996</v>
      </c>
      <c r="H3258" s="15">
        <v>7.6700000000000004E-2</v>
      </c>
      <c r="I3258" s="15">
        <v>4.1500000000000002E-2</v>
      </c>
      <c r="J3258" s="15">
        <v>1.8481927710843371</v>
      </c>
    </row>
    <row r="3259" spans="1:10" x14ac:dyDescent="0.25">
      <c r="A3259" s="2" t="s">
        <v>8663</v>
      </c>
      <c r="B3259" s="2" t="s">
        <v>7007</v>
      </c>
      <c r="C3259" s="2" t="s">
        <v>8664</v>
      </c>
      <c r="D3259" s="2" t="s">
        <v>10055</v>
      </c>
      <c r="E3259" s="15">
        <v>9.7000000000000003E-3</v>
      </c>
      <c r="F3259" s="15">
        <v>0.28470000000000001</v>
      </c>
      <c r="G3259" s="15">
        <v>0.97289999999999999</v>
      </c>
      <c r="H3259" s="15">
        <v>1.6199999999999999E-2</v>
      </c>
      <c r="I3259" s="15">
        <v>3.95E-2</v>
      </c>
      <c r="J3259" s="15">
        <v>0.41012658227848098</v>
      </c>
    </row>
    <row r="3260" spans="1:10" x14ac:dyDescent="0.25">
      <c r="A3260" s="2" t="s">
        <v>8665</v>
      </c>
      <c r="B3260" s="2" t="s">
        <v>7007</v>
      </c>
      <c r="C3260" s="2" t="s">
        <v>8666</v>
      </c>
      <c r="D3260" s="2" t="s">
        <v>10055</v>
      </c>
      <c r="E3260" s="15"/>
      <c r="F3260" s="15"/>
      <c r="G3260" s="15"/>
      <c r="H3260" s="15">
        <v>-3.3099999999999997E-2</v>
      </c>
      <c r="I3260" s="15">
        <v>3.73E-2</v>
      </c>
      <c r="J3260" s="15">
        <v>-0.88739946380697043</v>
      </c>
    </row>
    <row r="3261" spans="1:10" x14ac:dyDescent="0.25">
      <c r="A3261" s="2" t="s">
        <v>8667</v>
      </c>
      <c r="B3261" s="2" t="s">
        <v>7007</v>
      </c>
      <c r="C3261" s="2" t="s">
        <v>8668</v>
      </c>
      <c r="D3261" s="2" t="s">
        <v>10055</v>
      </c>
      <c r="E3261" s="15">
        <v>-0.30359999999999998</v>
      </c>
      <c r="F3261" s="15">
        <v>0.33579999999999999</v>
      </c>
      <c r="G3261" s="15">
        <v>0.3659</v>
      </c>
      <c r="H3261" s="15">
        <v>2.3900000000000001E-2</v>
      </c>
      <c r="I3261" s="15">
        <v>3.5799999999999998E-2</v>
      </c>
      <c r="J3261" s="15">
        <v>0.66759776536312854</v>
      </c>
    </row>
    <row r="3262" spans="1:10" x14ac:dyDescent="0.25">
      <c r="A3262" s="2" t="s">
        <v>8669</v>
      </c>
      <c r="B3262" s="2" t="s">
        <v>7007</v>
      </c>
      <c r="C3262" s="2" t="s">
        <v>8670</v>
      </c>
      <c r="D3262" s="2" t="s">
        <v>10055</v>
      </c>
      <c r="E3262" s="15">
        <v>-6.7799999999999999E-2</v>
      </c>
      <c r="F3262" s="15">
        <v>0.16</v>
      </c>
      <c r="G3262" s="15">
        <v>0.67190000000000005</v>
      </c>
      <c r="H3262" s="15">
        <v>4.0899999999999999E-2</v>
      </c>
      <c r="I3262" s="15">
        <v>3.3300000000000003E-2</v>
      </c>
      <c r="J3262" s="15">
        <v>1.228228228228228</v>
      </c>
    </row>
    <row r="3263" spans="1:10" x14ac:dyDescent="0.25">
      <c r="A3263" s="2" t="s">
        <v>8671</v>
      </c>
      <c r="B3263" s="2" t="s">
        <v>7007</v>
      </c>
      <c r="C3263" s="2" t="s">
        <v>8672</v>
      </c>
      <c r="D3263" s="2" t="s">
        <v>10055</v>
      </c>
      <c r="E3263" s="15">
        <v>4.7600000000000003E-2</v>
      </c>
      <c r="F3263" s="15">
        <v>0.20330000000000001</v>
      </c>
      <c r="G3263" s="15">
        <v>0.81499999999999995</v>
      </c>
      <c r="H3263" s="15">
        <v>3.61E-2</v>
      </c>
      <c r="I3263" s="15">
        <v>4.1799999999999997E-2</v>
      </c>
      <c r="J3263" s="15">
        <v>0.86363636363636376</v>
      </c>
    </row>
    <row r="3264" spans="1:10" x14ac:dyDescent="0.25">
      <c r="A3264" s="2" t="s">
        <v>8673</v>
      </c>
      <c r="B3264" s="2" t="s">
        <v>7007</v>
      </c>
      <c r="C3264" s="2" t="s">
        <v>8674</v>
      </c>
      <c r="D3264" s="2" t="s">
        <v>10055</v>
      </c>
      <c r="E3264" s="15"/>
      <c r="F3264" s="15"/>
      <c r="G3264" s="15"/>
      <c r="H3264" s="15"/>
      <c r="I3264" s="15"/>
      <c r="J3264" s="15"/>
    </row>
    <row r="3265" spans="1:10" x14ac:dyDescent="0.25">
      <c r="A3265" s="2" t="s">
        <v>8675</v>
      </c>
      <c r="B3265" s="2" t="s">
        <v>7007</v>
      </c>
      <c r="C3265" s="2" t="s">
        <v>8676</v>
      </c>
      <c r="D3265" s="2" t="s">
        <v>10055</v>
      </c>
      <c r="E3265" s="15">
        <v>-0.20319999999999999</v>
      </c>
      <c r="F3265" s="15">
        <v>0.2336</v>
      </c>
      <c r="G3265" s="15">
        <v>0.38450000000000001</v>
      </c>
      <c r="H3265" s="15">
        <v>2.9499999999999998E-2</v>
      </c>
      <c r="I3265" s="15">
        <v>0.04</v>
      </c>
      <c r="J3265" s="15">
        <v>0.73749999999999993</v>
      </c>
    </row>
    <row r="3266" spans="1:10" x14ac:dyDescent="0.25">
      <c r="A3266" s="2" t="s">
        <v>8677</v>
      </c>
      <c r="B3266" s="2" t="s">
        <v>7007</v>
      </c>
      <c r="C3266" s="2" t="s">
        <v>8678</v>
      </c>
      <c r="D3266" s="2" t="s">
        <v>10055</v>
      </c>
      <c r="E3266" s="15">
        <v>6.4799999999999996E-2</v>
      </c>
      <c r="F3266" s="15">
        <v>0.2059</v>
      </c>
      <c r="G3266" s="15">
        <v>0.753</v>
      </c>
      <c r="H3266" s="15">
        <v>2.87E-2</v>
      </c>
      <c r="I3266" s="15">
        <v>4.3400000000000001E-2</v>
      </c>
      <c r="J3266" s="15">
        <v>0.66129032258064513</v>
      </c>
    </row>
    <row r="3267" spans="1:10" x14ac:dyDescent="0.25">
      <c r="A3267" s="2" t="s">
        <v>8679</v>
      </c>
      <c r="B3267" s="2" t="s">
        <v>7007</v>
      </c>
      <c r="C3267" s="2" t="s">
        <v>8680</v>
      </c>
      <c r="D3267" s="2" t="s">
        <v>10055</v>
      </c>
      <c r="E3267" s="15">
        <v>5.4600000000000003E-2</v>
      </c>
      <c r="F3267" s="15">
        <v>0.16569999999999999</v>
      </c>
      <c r="G3267" s="15">
        <v>0.74170000000000003</v>
      </c>
      <c r="H3267" s="15">
        <v>4.7399999999999998E-2</v>
      </c>
      <c r="I3267" s="15">
        <v>3.6200000000000003E-2</v>
      </c>
      <c r="J3267" s="15">
        <v>1.30939226519337</v>
      </c>
    </row>
    <row r="3268" spans="1:10" x14ac:dyDescent="0.25">
      <c r="A3268" s="2" t="s">
        <v>8681</v>
      </c>
      <c r="B3268" s="2" t="s">
        <v>7007</v>
      </c>
      <c r="C3268" s="2" t="s">
        <v>8682</v>
      </c>
      <c r="D3268" s="2" t="s">
        <v>10055</v>
      </c>
      <c r="E3268" s="15">
        <v>-0.12</v>
      </c>
      <c r="F3268" s="15">
        <v>0.12909999999999999</v>
      </c>
      <c r="G3268" s="15">
        <v>0.35249999999999998</v>
      </c>
      <c r="H3268" s="15">
        <v>7.1499999999999994E-2</v>
      </c>
      <c r="I3268" s="15">
        <v>3.5900000000000001E-2</v>
      </c>
      <c r="J3268" s="15">
        <v>1.9916434540389969</v>
      </c>
    </row>
    <row r="3269" spans="1:10" x14ac:dyDescent="0.25">
      <c r="A3269" s="2" t="s">
        <v>8683</v>
      </c>
      <c r="B3269" s="2" t="s">
        <v>7007</v>
      </c>
      <c r="C3269" s="2" t="s">
        <v>8684</v>
      </c>
      <c r="D3269" s="2" t="s">
        <v>10055</v>
      </c>
      <c r="E3269" s="15">
        <v>7.9299999999999995E-2</v>
      </c>
      <c r="F3269" s="15">
        <v>0.12759999999999999</v>
      </c>
      <c r="G3269" s="15">
        <v>0.53420000000000001</v>
      </c>
      <c r="H3269" s="15">
        <v>7.8799999999999995E-2</v>
      </c>
      <c r="I3269" s="15">
        <v>4.41E-2</v>
      </c>
      <c r="J3269" s="15">
        <v>1.7868480725623579</v>
      </c>
    </row>
    <row r="3270" spans="1:10" x14ac:dyDescent="0.25">
      <c r="A3270" s="2" t="s">
        <v>8685</v>
      </c>
      <c r="B3270" s="2" t="s">
        <v>7007</v>
      </c>
      <c r="C3270" s="2" t="s">
        <v>8686</v>
      </c>
      <c r="D3270" s="2" t="s">
        <v>10055</v>
      </c>
      <c r="E3270" s="15">
        <v>-0.1409</v>
      </c>
      <c r="F3270" s="15">
        <v>0.1162</v>
      </c>
      <c r="G3270" s="15">
        <v>0.22509999999999999</v>
      </c>
      <c r="H3270" s="15">
        <v>7.2300000000000003E-2</v>
      </c>
      <c r="I3270" s="15">
        <v>3.73E-2</v>
      </c>
      <c r="J3270" s="15">
        <v>1.938337801608579</v>
      </c>
    </row>
    <row r="3271" spans="1:10" x14ac:dyDescent="0.25">
      <c r="A3271" s="2" t="s">
        <v>8687</v>
      </c>
      <c r="B3271" s="2" t="s">
        <v>7007</v>
      </c>
      <c r="C3271" s="2" t="s">
        <v>8688</v>
      </c>
      <c r="D3271" s="2" t="s">
        <v>10055</v>
      </c>
      <c r="E3271" s="15">
        <v>0.14349999999999999</v>
      </c>
      <c r="F3271" s="15">
        <v>0.16539999999999999</v>
      </c>
      <c r="G3271" s="15">
        <v>0.38550000000000001</v>
      </c>
      <c r="H3271" s="15">
        <v>4.0300000000000002E-2</v>
      </c>
      <c r="I3271" s="15">
        <v>3.3000000000000002E-2</v>
      </c>
      <c r="J3271" s="15">
        <v>1.221212121212121</v>
      </c>
    </row>
    <row r="3272" spans="1:10" x14ac:dyDescent="0.25">
      <c r="A3272" s="2" t="s">
        <v>8689</v>
      </c>
      <c r="B3272" s="2" t="s">
        <v>7007</v>
      </c>
      <c r="C3272" s="2" t="s">
        <v>8690</v>
      </c>
      <c r="D3272" s="2" t="s">
        <v>10055</v>
      </c>
      <c r="E3272" s="15">
        <v>-1.5299999999999999E-2</v>
      </c>
      <c r="F3272" s="15">
        <v>0.122</v>
      </c>
      <c r="G3272" s="15">
        <v>0.90049999999999997</v>
      </c>
      <c r="H3272" s="15">
        <v>7.4899999999999994E-2</v>
      </c>
      <c r="I3272" s="15">
        <v>3.3700000000000001E-2</v>
      </c>
      <c r="J3272" s="15">
        <v>2.2225519287833819</v>
      </c>
    </row>
    <row r="3273" spans="1:10" x14ac:dyDescent="0.25">
      <c r="A3273" s="2" t="s">
        <v>8691</v>
      </c>
      <c r="B3273" s="2" t="s">
        <v>7007</v>
      </c>
      <c r="C3273" s="2" t="s">
        <v>8692</v>
      </c>
      <c r="D3273" s="2" t="s">
        <v>10055</v>
      </c>
      <c r="E3273" s="15">
        <v>-3.7400000000000003E-2</v>
      </c>
      <c r="F3273" s="15">
        <v>0.1613</v>
      </c>
      <c r="G3273" s="15">
        <v>0.81659999999999999</v>
      </c>
      <c r="H3273" s="15">
        <v>3.6799999999999999E-2</v>
      </c>
      <c r="I3273" s="15">
        <v>3.56E-2</v>
      </c>
      <c r="J3273" s="15">
        <v>1.033707865168539</v>
      </c>
    </row>
    <row r="3274" spans="1:10" x14ac:dyDescent="0.25">
      <c r="A3274" s="2" t="s">
        <v>8693</v>
      </c>
      <c r="B3274" s="2" t="s">
        <v>7007</v>
      </c>
      <c r="C3274" s="2" t="s">
        <v>8694</v>
      </c>
      <c r="D3274" s="2" t="s">
        <v>10055</v>
      </c>
      <c r="E3274" s="15">
        <v>-9.69E-2</v>
      </c>
      <c r="F3274" s="15">
        <v>9.9699999999999997E-2</v>
      </c>
      <c r="G3274" s="15">
        <v>0.33119999999999999</v>
      </c>
      <c r="H3274" s="15">
        <v>0.11409999999999999</v>
      </c>
      <c r="I3274" s="15">
        <v>3.7100000000000001E-2</v>
      </c>
      <c r="J3274" s="15">
        <v>3.0754716981132071</v>
      </c>
    </row>
    <row r="3275" spans="1:10" x14ac:dyDescent="0.25">
      <c r="A3275" s="2" t="s">
        <v>8695</v>
      </c>
      <c r="B3275" s="2" t="s">
        <v>7007</v>
      </c>
      <c r="C3275" s="2" t="s">
        <v>8696</v>
      </c>
      <c r="D3275" s="2" t="s">
        <v>10055</v>
      </c>
      <c r="E3275" s="15">
        <v>0.04</v>
      </c>
      <c r="F3275" s="15">
        <v>9.4399999999999998E-2</v>
      </c>
      <c r="G3275" s="15">
        <v>0.67200000000000004</v>
      </c>
      <c r="H3275" s="15">
        <v>0.11260000000000001</v>
      </c>
      <c r="I3275" s="15">
        <v>3.9199999999999999E-2</v>
      </c>
      <c r="J3275" s="15">
        <v>2.8724489795918369</v>
      </c>
    </row>
    <row r="3276" spans="1:10" x14ac:dyDescent="0.25">
      <c r="A3276" s="2" t="s">
        <v>8697</v>
      </c>
      <c r="B3276" s="2" t="s">
        <v>7007</v>
      </c>
      <c r="C3276" s="2" t="s">
        <v>8698</v>
      </c>
      <c r="D3276" s="2" t="s">
        <v>10055</v>
      </c>
      <c r="E3276" s="15"/>
      <c r="F3276" s="15"/>
      <c r="G3276" s="15"/>
      <c r="H3276" s="15">
        <v>-1.8800000000000001E-2</v>
      </c>
      <c r="I3276" s="15">
        <v>3.27E-2</v>
      </c>
      <c r="J3276" s="15">
        <v>-0.57492354740061169</v>
      </c>
    </row>
    <row r="3277" spans="1:10" x14ac:dyDescent="0.25">
      <c r="A3277" s="2" t="s">
        <v>8699</v>
      </c>
      <c r="B3277" s="2" t="s">
        <v>7007</v>
      </c>
      <c r="C3277" s="2" t="s">
        <v>8700</v>
      </c>
      <c r="D3277" s="2" t="s">
        <v>10055</v>
      </c>
      <c r="E3277" s="15">
        <v>-4.6600000000000003E-2</v>
      </c>
      <c r="F3277" s="15">
        <v>0.13500000000000001</v>
      </c>
      <c r="G3277" s="15">
        <v>0.72989999999999999</v>
      </c>
      <c r="H3277" s="15">
        <v>5.79E-2</v>
      </c>
      <c r="I3277" s="15">
        <v>0.04</v>
      </c>
      <c r="J3277" s="15">
        <v>1.4475</v>
      </c>
    </row>
    <row r="3278" spans="1:10" x14ac:dyDescent="0.25">
      <c r="A3278" s="2" t="s">
        <v>8701</v>
      </c>
      <c r="B3278" s="2" t="s">
        <v>7007</v>
      </c>
      <c r="C3278" s="2" t="s">
        <v>8702</v>
      </c>
      <c r="D3278" s="2" t="s">
        <v>10055</v>
      </c>
      <c r="E3278" s="15">
        <v>-0.1726</v>
      </c>
      <c r="F3278" s="15">
        <v>0.38529999999999998</v>
      </c>
      <c r="G3278" s="15">
        <v>0.65429999999999999</v>
      </c>
      <c r="H3278" s="15">
        <v>1.5800000000000002E-2</v>
      </c>
      <c r="I3278" s="15">
        <v>3.7900000000000003E-2</v>
      </c>
      <c r="J3278" s="15">
        <v>0.41688654353561999</v>
      </c>
    </row>
    <row r="3279" spans="1:10" x14ac:dyDescent="0.25">
      <c r="A3279" s="2" t="s">
        <v>8703</v>
      </c>
      <c r="B3279" s="2" t="s">
        <v>7007</v>
      </c>
      <c r="C3279" s="2" t="s">
        <v>8704</v>
      </c>
      <c r="D3279" s="2" t="s">
        <v>10055</v>
      </c>
      <c r="E3279" s="15">
        <v>0.15229999999999999</v>
      </c>
      <c r="F3279" s="15">
        <v>0.2177</v>
      </c>
      <c r="G3279" s="15">
        <v>0.48430000000000001</v>
      </c>
      <c r="H3279" s="15">
        <v>2.9399999999999999E-2</v>
      </c>
      <c r="I3279" s="15">
        <v>3.7199999999999997E-2</v>
      </c>
      <c r="J3279" s="15">
        <v>0.79032258064516137</v>
      </c>
    </row>
    <row r="3280" spans="1:10" x14ac:dyDescent="0.25">
      <c r="A3280" s="2" t="s">
        <v>8705</v>
      </c>
      <c r="B3280" s="2" t="s">
        <v>7007</v>
      </c>
      <c r="C3280" s="2" t="s">
        <v>8706</v>
      </c>
      <c r="D3280" s="2" t="s">
        <v>10055</v>
      </c>
      <c r="E3280" s="15">
        <v>0.1008</v>
      </c>
      <c r="F3280" s="15">
        <v>0.16220000000000001</v>
      </c>
      <c r="G3280" s="15">
        <v>0.5343</v>
      </c>
      <c r="H3280" s="15">
        <v>4.5900000000000003E-2</v>
      </c>
      <c r="I3280" s="15">
        <v>3.6200000000000003E-2</v>
      </c>
      <c r="J3280" s="15">
        <v>1.2679558011049721</v>
      </c>
    </row>
    <row r="3281" spans="1:10" x14ac:dyDescent="0.25">
      <c r="A3281" s="2" t="s">
        <v>8707</v>
      </c>
      <c r="B3281" s="2" t="s">
        <v>7007</v>
      </c>
      <c r="C3281" s="2" t="s">
        <v>8708</v>
      </c>
      <c r="D3281" s="2" t="s">
        <v>10055</v>
      </c>
      <c r="E3281" s="15"/>
      <c r="F3281" s="15"/>
      <c r="G3281" s="15"/>
      <c r="H3281" s="15">
        <v>-8.6999999999999994E-3</v>
      </c>
      <c r="I3281" s="15">
        <v>3.6499999999999998E-2</v>
      </c>
      <c r="J3281" s="15">
        <v>-0.23835616438356161</v>
      </c>
    </row>
    <row r="3282" spans="1:10" x14ac:dyDescent="0.25">
      <c r="A3282" s="2" t="s">
        <v>8709</v>
      </c>
      <c r="B3282" s="2" t="s">
        <v>7007</v>
      </c>
      <c r="C3282" s="2" t="s">
        <v>8710</v>
      </c>
      <c r="D3282" s="2" t="s">
        <v>10055</v>
      </c>
      <c r="E3282" s="15">
        <v>-9.3700000000000006E-2</v>
      </c>
      <c r="F3282" s="15">
        <v>0.14230000000000001</v>
      </c>
      <c r="G3282" s="15">
        <v>0.51039999999999996</v>
      </c>
      <c r="H3282" s="15">
        <v>4.7899999999999998E-2</v>
      </c>
      <c r="I3282" s="15">
        <v>4.02E-2</v>
      </c>
      <c r="J3282" s="15">
        <v>1.191542288557214</v>
      </c>
    </row>
    <row r="3283" spans="1:10" x14ac:dyDescent="0.25">
      <c r="A3283" s="2" t="s">
        <v>8711</v>
      </c>
      <c r="B3283" s="2" t="s">
        <v>7007</v>
      </c>
      <c r="C3283" s="2" t="s">
        <v>8712</v>
      </c>
      <c r="D3283" s="2" t="s">
        <v>10055</v>
      </c>
      <c r="E3283" s="15">
        <v>-0.17169999999999999</v>
      </c>
      <c r="F3283" s="15">
        <v>9.8100000000000007E-2</v>
      </c>
      <c r="G3283" s="15">
        <v>8.0199999999999994E-2</v>
      </c>
      <c r="H3283" s="15">
        <v>0.1192</v>
      </c>
      <c r="I3283" s="15">
        <v>4.1099999999999998E-2</v>
      </c>
      <c r="J3283" s="15">
        <v>2.9002433090024331</v>
      </c>
    </row>
    <row r="3284" spans="1:10" x14ac:dyDescent="0.25">
      <c r="A3284" s="2" t="s">
        <v>8713</v>
      </c>
      <c r="B3284" s="2" t="s">
        <v>7007</v>
      </c>
      <c r="C3284" s="2" t="s">
        <v>8714</v>
      </c>
      <c r="D3284" s="2" t="s">
        <v>10055</v>
      </c>
      <c r="E3284" s="15">
        <v>0.31369999999999998</v>
      </c>
      <c r="F3284" s="15">
        <v>0.55289999999999995</v>
      </c>
      <c r="G3284" s="15">
        <v>0.57040000000000002</v>
      </c>
      <c r="H3284" s="15">
        <v>1.5699999999999999E-2</v>
      </c>
      <c r="I3284" s="15">
        <v>3.5700000000000003E-2</v>
      </c>
      <c r="J3284" s="15">
        <v>0.43977591036414559</v>
      </c>
    </row>
    <row r="3285" spans="1:10" x14ac:dyDescent="0.25">
      <c r="A3285" s="2" t="s">
        <v>8715</v>
      </c>
      <c r="B3285" s="2" t="s">
        <v>7007</v>
      </c>
      <c r="C3285" s="2" t="s">
        <v>8716</v>
      </c>
      <c r="D3285" s="2" t="s">
        <v>10055</v>
      </c>
      <c r="E3285" s="15"/>
      <c r="F3285" s="15"/>
      <c r="G3285" s="15"/>
      <c r="H3285" s="15">
        <v>-3.3599999999999998E-2</v>
      </c>
      <c r="I3285" s="15">
        <v>3.7999999999999999E-2</v>
      </c>
      <c r="J3285" s="15">
        <v>-0.88421052631578945</v>
      </c>
    </row>
    <row r="3286" spans="1:10" x14ac:dyDescent="0.25">
      <c r="A3286" s="2" t="s">
        <v>8717</v>
      </c>
      <c r="B3286" s="2" t="s">
        <v>7007</v>
      </c>
      <c r="C3286" s="2" t="s">
        <v>8718</v>
      </c>
      <c r="D3286" s="2" t="s">
        <v>10055</v>
      </c>
      <c r="E3286" s="15">
        <v>-6.83E-2</v>
      </c>
      <c r="F3286" s="15">
        <v>0.15190000000000001</v>
      </c>
      <c r="G3286" s="15">
        <v>0.65310000000000001</v>
      </c>
      <c r="H3286" s="15">
        <v>4.1000000000000002E-2</v>
      </c>
      <c r="I3286" s="15">
        <v>3.8899999999999997E-2</v>
      </c>
      <c r="J3286" s="15">
        <v>1.053984575835476</v>
      </c>
    </row>
    <row r="3287" spans="1:10" x14ac:dyDescent="0.25">
      <c r="A3287" s="2" t="s">
        <v>8719</v>
      </c>
      <c r="B3287" s="2" t="s">
        <v>7007</v>
      </c>
      <c r="C3287" s="2" t="s">
        <v>8720</v>
      </c>
      <c r="D3287" s="2" t="s">
        <v>10055</v>
      </c>
      <c r="E3287" s="15">
        <v>4.0300000000000002E-2</v>
      </c>
      <c r="F3287" s="15">
        <v>0.1232</v>
      </c>
      <c r="G3287" s="15">
        <v>0.74370000000000003</v>
      </c>
      <c r="H3287" s="15">
        <v>7.2300000000000003E-2</v>
      </c>
      <c r="I3287" s="15">
        <v>3.6900000000000002E-2</v>
      </c>
      <c r="J3287" s="15">
        <v>1.9593495934959351</v>
      </c>
    </row>
    <row r="3288" spans="1:10" x14ac:dyDescent="0.25">
      <c r="A3288" s="2" t="s">
        <v>8721</v>
      </c>
      <c r="B3288" s="2" t="s">
        <v>7007</v>
      </c>
      <c r="C3288" s="2" t="s">
        <v>8722</v>
      </c>
      <c r="D3288" s="2" t="s">
        <v>10055</v>
      </c>
      <c r="E3288" s="15"/>
      <c r="F3288" s="15"/>
      <c r="G3288" s="15"/>
      <c r="H3288" s="15">
        <v>-6.4500000000000002E-2</v>
      </c>
      <c r="I3288" s="15">
        <v>3.4500000000000003E-2</v>
      </c>
      <c r="J3288" s="15">
        <v>-1.869565217391304</v>
      </c>
    </row>
    <row r="3289" spans="1:10" x14ac:dyDescent="0.25">
      <c r="A3289" s="2" t="s">
        <v>8723</v>
      </c>
      <c r="B3289" s="2" t="s">
        <v>7007</v>
      </c>
      <c r="C3289" s="2" t="s">
        <v>8724</v>
      </c>
      <c r="D3289" s="2" t="s">
        <v>10055</v>
      </c>
      <c r="E3289" s="15"/>
      <c r="F3289" s="15"/>
      <c r="G3289" s="15"/>
      <c r="H3289" s="15"/>
      <c r="I3289" s="15"/>
      <c r="J3289" s="15"/>
    </row>
    <row r="3290" spans="1:10" x14ac:dyDescent="0.25">
      <c r="A3290" s="2" t="s">
        <v>8725</v>
      </c>
      <c r="B3290" s="2" t="s">
        <v>7007</v>
      </c>
      <c r="C3290" s="2" t="s">
        <v>8726</v>
      </c>
      <c r="D3290" s="2" t="s">
        <v>10055</v>
      </c>
      <c r="E3290" s="15">
        <v>0.22789999999999999</v>
      </c>
      <c r="F3290" s="15">
        <v>0.1545</v>
      </c>
      <c r="G3290" s="15">
        <v>0.14019999999999999</v>
      </c>
      <c r="H3290" s="15">
        <v>6.0900000000000003E-2</v>
      </c>
      <c r="I3290" s="15">
        <v>3.78E-2</v>
      </c>
      <c r="J3290" s="15">
        <v>1.6111111111111109</v>
      </c>
    </row>
    <row r="3291" spans="1:10" x14ac:dyDescent="0.25">
      <c r="A3291" s="2" t="s">
        <v>8727</v>
      </c>
      <c r="B3291" s="2" t="s">
        <v>7007</v>
      </c>
      <c r="C3291" s="2" t="s">
        <v>8728</v>
      </c>
      <c r="D3291" s="2" t="s">
        <v>10055</v>
      </c>
      <c r="E3291" s="15">
        <v>-0.12790000000000001</v>
      </c>
      <c r="F3291" s="15">
        <v>0.15840000000000001</v>
      </c>
      <c r="G3291" s="15">
        <v>0.41930000000000001</v>
      </c>
      <c r="H3291" s="15">
        <v>4.7699999999999999E-2</v>
      </c>
      <c r="I3291" s="15">
        <v>3.8199999999999998E-2</v>
      </c>
      <c r="J3291" s="15">
        <v>1.24869109947644</v>
      </c>
    </row>
    <row r="3292" spans="1:10" x14ac:dyDescent="0.25">
      <c r="A3292" s="2" t="s">
        <v>8729</v>
      </c>
      <c r="B3292" s="2" t="s">
        <v>7007</v>
      </c>
      <c r="C3292" s="2" t="s">
        <v>8730</v>
      </c>
      <c r="D3292" s="2" t="s">
        <v>10055</v>
      </c>
      <c r="E3292" s="15">
        <v>9.35E-2</v>
      </c>
      <c r="F3292" s="15">
        <v>0.1767</v>
      </c>
      <c r="G3292" s="15">
        <v>0.59670000000000001</v>
      </c>
      <c r="H3292" s="15">
        <v>3.2899999999999999E-2</v>
      </c>
      <c r="I3292" s="15">
        <v>3.49E-2</v>
      </c>
      <c r="J3292" s="15">
        <v>0.94269340974212035</v>
      </c>
    </row>
    <row r="3293" spans="1:10" x14ac:dyDescent="0.25">
      <c r="A3293" s="2" t="s">
        <v>8731</v>
      </c>
      <c r="B3293" s="2" t="s">
        <v>7007</v>
      </c>
      <c r="C3293" s="2" t="s">
        <v>8732</v>
      </c>
      <c r="D3293" s="2" t="s">
        <v>10055</v>
      </c>
      <c r="E3293" s="15">
        <v>2.4500000000000001E-2</v>
      </c>
      <c r="F3293" s="15">
        <v>0.14480000000000001</v>
      </c>
      <c r="G3293" s="15">
        <v>0.86580000000000001</v>
      </c>
      <c r="H3293" s="15">
        <v>5.5599999999999997E-2</v>
      </c>
      <c r="I3293" s="15">
        <v>3.8899999999999997E-2</v>
      </c>
      <c r="J3293" s="15">
        <v>1.4293059125964009</v>
      </c>
    </row>
    <row r="3294" spans="1:10" x14ac:dyDescent="0.25">
      <c r="A3294" s="2" t="s">
        <v>8733</v>
      </c>
      <c r="B3294" s="2" t="s">
        <v>7007</v>
      </c>
      <c r="C3294" s="2" t="s">
        <v>8734</v>
      </c>
      <c r="D3294" s="2" t="s">
        <v>10055</v>
      </c>
      <c r="E3294" s="15"/>
      <c r="F3294" s="15"/>
      <c r="G3294" s="15"/>
      <c r="H3294" s="15">
        <v>-2.0000000000000001E-4</v>
      </c>
      <c r="I3294" s="15">
        <v>3.5799999999999998E-2</v>
      </c>
      <c r="J3294" s="15">
        <v>-5.5865921787709499E-3</v>
      </c>
    </row>
    <row r="3295" spans="1:10" x14ac:dyDescent="0.25">
      <c r="A3295" s="2" t="s">
        <v>8735</v>
      </c>
      <c r="B3295" s="2" t="s">
        <v>7007</v>
      </c>
      <c r="C3295" s="2" t="s">
        <v>8736</v>
      </c>
      <c r="D3295" s="2" t="s">
        <v>10055</v>
      </c>
      <c r="E3295" s="15"/>
      <c r="F3295" s="15"/>
      <c r="G3295" s="15"/>
      <c r="H3295" s="15">
        <v>-1.1000000000000001E-3</v>
      </c>
      <c r="I3295" s="15">
        <v>3.85E-2</v>
      </c>
      <c r="J3295" s="15">
        <v>-2.8571428571428571E-2</v>
      </c>
    </row>
    <row r="3296" spans="1:10" x14ac:dyDescent="0.25">
      <c r="A3296" s="2" t="s">
        <v>8737</v>
      </c>
      <c r="B3296" s="2" t="s">
        <v>7007</v>
      </c>
      <c r="C3296" s="2" t="s">
        <v>8738</v>
      </c>
      <c r="D3296" s="2" t="s">
        <v>10055</v>
      </c>
      <c r="E3296" s="15"/>
      <c r="F3296" s="15"/>
      <c r="G3296" s="15"/>
      <c r="H3296" s="15">
        <v>-2.8500000000000001E-2</v>
      </c>
      <c r="I3296" s="15">
        <v>3.32E-2</v>
      </c>
      <c r="J3296" s="15">
        <v>-0.85843373493975905</v>
      </c>
    </row>
    <row r="3297" spans="1:10" x14ac:dyDescent="0.25">
      <c r="A3297" s="2" t="s">
        <v>8739</v>
      </c>
      <c r="B3297" s="2" t="s">
        <v>7007</v>
      </c>
      <c r="C3297" s="2" t="s">
        <v>8740</v>
      </c>
      <c r="D3297" s="2" t="s">
        <v>10055</v>
      </c>
      <c r="E3297" s="15">
        <v>5.1499999999999997E-2</v>
      </c>
      <c r="F3297" s="15">
        <v>0.36020000000000002</v>
      </c>
      <c r="G3297" s="15">
        <v>0.88619999999999999</v>
      </c>
      <c r="H3297" s="15">
        <v>1.04E-2</v>
      </c>
      <c r="I3297" s="15">
        <v>3.5799999999999998E-2</v>
      </c>
      <c r="J3297" s="15">
        <v>0.29050279329608941</v>
      </c>
    </row>
    <row r="3298" spans="1:10" x14ac:dyDescent="0.25">
      <c r="A3298" s="2" t="s">
        <v>8741</v>
      </c>
      <c r="B3298" s="2" t="s">
        <v>7007</v>
      </c>
      <c r="C3298" s="2" t="s">
        <v>8742</v>
      </c>
      <c r="D3298" s="2" t="s">
        <v>10055</v>
      </c>
      <c r="E3298" s="15">
        <v>2.7099999999999999E-2</v>
      </c>
      <c r="F3298" s="15">
        <v>0.1229</v>
      </c>
      <c r="G3298" s="15">
        <v>0.82550000000000001</v>
      </c>
      <c r="H3298" s="15">
        <v>7.4899999999999994E-2</v>
      </c>
      <c r="I3298" s="15">
        <v>4.1399999999999999E-2</v>
      </c>
      <c r="J3298" s="15">
        <v>1.809178743961352</v>
      </c>
    </row>
    <row r="3299" spans="1:10" x14ac:dyDescent="0.25">
      <c r="A3299" s="2" t="s">
        <v>8743</v>
      </c>
      <c r="B3299" s="2" t="s">
        <v>7007</v>
      </c>
      <c r="C3299" s="2" t="s">
        <v>8744</v>
      </c>
      <c r="D3299" s="2" t="s">
        <v>10055</v>
      </c>
      <c r="E3299" s="15">
        <v>0.21129999999999999</v>
      </c>
      <c r="F3299" s="15">
        <v>0.2913</v>
      </c>
      <c r="G3299" s="15">
        <v>0.46810000000000002</v>
      </c>
      <c r="H3299" s="15">
        <v>2.07E-2</v>
      </c>
      <c r="I3299" s="15">
        <v>3.5499999999999997E-2</v>
      </c>
      <c r="J3299" s="15">
        <v>0.58309859154929577</v>
      </c>
    </row>
    <row r="3300" spans="1:10" x14ac:dyDescent="0.25">
      <c r="A3300" s="2" t="s">
        <v>8745</v>
      </c>
      <c r="B3300" s="2" t="s">
        <v>7007</v>
      </c>
      <c r="C3300" s="2" t="s">
        <v>8746</v>
      </c>
      <c r="D3300" s="2" t="s">
        <v>10055</v>
      </c>
      <c r="E3300" s="15">
        <v>-3.5000000000000001E-3</v>
      </c>
      <c r="F3300" s="15">
        <v>0.12709999999999999</v>
      </c>
      <c r="G3300" s="15">
        <v>0.9778</v>
      </c>
      <c r="H3300" s="15">
        <v>6.2799999999999995E-2</v>
      </c>
      <c r="I3300" s="15">
        <v>4.2299999999999997E-2</v>
      </c>
      <c r="J3300" s="15">
        <v>1.4846335697399531</v>
      </c>
    </row>
    <row r="3301" spans="1:10" x14ac:dyDescent="0.25">
      <c r="A3301" s="2" t="s">
        <v>8747</v>
      </c>
      <c r="B3301" s="2" t="s">
        <v>7007</v>
      </c>
      <c r="C3301" s="2" t="s">
        <v>8748</v>
      </c>
      <c r="D3301" s="2" t="s">
        <v>10055</v>
      </c>
      <c r="E3301" s="15">
        <v>3.73E-2</v>
      </c>
      <c r="F3301" s="15">
        <v>0.10879999999999999</v>
      </c>
      <c r="G3301" s="15">
        <v>0.73150000000000004</v>
      </c>
      <c r="H3301" s="15">
        <v>0.1089</v>
      </c>
      <c r="I3301" s="15">
        <v>4.2299999999999997E-2</v>
      </c>
      <c r="J3301" s="15">
        <v>2.5744680851063828</v>
      </c>
    </row>
    <row r="3302" spans="1:10" x14ac:dyDescent="0.25">
      <c r="A3302" s="2" t="s">
        <v>8749</v>
      </c>
      <c r="B3302" s="2" t="s">
        <v>7007</v>
      </c>
      <c r="C3302" s="2" t="s">
        <v>8750</v>
      </c>
      <c r="D3302" s="2" t="s">
        <v>10055</v>
      </c>
      <c r="E3302" s="15">
        <v>2.5100000000000001E-2</v>
      </c>
      <c r="F3302" s="15">
        <v>0.12670000000000001</v>
      </c>
      <c r="G3302" s="15">
        <v>0.8427</v>
      </c>
      <c r="H3302" s="15">
        <v>6.0299999999999999E-2</v>
      </c>
      <c r="I3302" s="15">
        <v>3.8800000000000001E-2</v>
      </c>
      <c r="J3302" s="15">
        <v>1.554123711340206</v>
      </c>
    </row>
    <row r="3303" spans="1:10" x14ac:dyDescent="0.25">
      <c r="A3303" s="2" t="s">
        <v>8751</v>
      </c>
      <c r="B3303" s="2" t="s">
        <v>7007</v>
      </c>
      <c r="C3303" s="2" t="s">
        <v>8752</v>
      </c>
      <c r="D3303" s="2" t="s">
        <v>10055</v>
      </c>
      <c r="E3303" s="15">
        <v>0.1019</v>
      </c>
      <c r="F3303" s="15">
        <v>0.1258</v>
      </c>
      <c r="G3303" s="15">
        <v>0.41770000000000002</v>
      </c>
      <c r="H3303" s="15">
        <v>7.1400000000000005E-2</v>
      </c>
      <c r="I3303" s="15">
        <v>4.2700000000000002E-2</v>
      </c>
      <c r="J3303" s="15">
        <v>1.6721311475409839</v>
      </c>
    </row>
    <row r="3304" spans="1:10" x14ac:dyDescent="0.25">
      <c r="A3304" s="2" t="s">
        <v>8753</v>
      </c>
      <c r="B3304" s="2" t="s">
        <v>7007</v>
      </c>
      <c r="C3304" s="2" t="s">
        <v>8754</v>
      </c>
      <c r="D3304" s="2" t="s">
        <v>10055</v>
      </c>
      <c r="E3304" s="15"/>
      <c r="F3304" s="15"/>
      <c r="G3304" s="15"/>
      <c r="H3304" s="15">
        <v>-1.78E-2</v>
      </c>
      <c r="I3304" s="15">
        <v>3.8399999999999997E-2</v>
      </c>
      <c r="J3304" s="15">
        <v>-0.46354166666666669</v>
      </c>
    </row>
    <row r="3305" spans="1:10" x14ac:dyDescent="0.25">
      <c r="A3305" s="2" t="s">
        <v>8755</v>
      </c>
      <c r="B3305" s="2" t="s">
        <v>7007</v>
      </c>
      <c r="C3305" s="2" t="s">
        <v>8756</v>
      </c>
      <c r="D3305" s="2" t="s">
        <v>10055</v>
      </c>
      <c r="E3305" s="15"/>
      <c r="F3305" s="15"/>
      <c r="G3305" s="15"/>
      <c r="H3305" s="15">
        <v>-1.4E-3</v>
      </c>
      <c r="I3305" s="15">
        <v>3.6600000000000001E-2</v>
      </c>
      <c r="J3305" s="15">
        <v>-3.825136612021858E-2</v>
      </c>
    </row>
    <row r="3306" spans="1:10" x14ac:dyDescent="0.25">
      <c r="A3306" s="2" t="s">
        <v>8757</v>
      </c>
      <c r="B3306" s="2" t="s">
        <v>7007</v>
      </c>
      <c r="C3306" s="2" t="s">
        <v>8758</v>
      </c>
      <c r="D3306" s="2" t="s">
        <v>10055</v>
      </c>
      <c r="E3306" s="15">
        <v>-0.10829999999999999</v>
      </c>
      <c r="F3306" s="15">
        <v>9.2600000000000002E-2</v>
      </c>
      <c r="G3306" s="15">
        <v>0.24210000000000001</v>
      </c>
      <c r="H3306" s="15">
        <v>0.1139</v>
      </c>
      <c r="I3306" s="15">
        <v>4.0500000000000001E-2</v>
      </c>
      <c r="J3306" s="15">
        <v>2.812345679012346</v>
      </c>
    </row>
    <row r="3307" spans="1:10" x14ac:dyDescent="0.25">
      <c r="A3307" s="2" t="s">
        <v>8759</v>
      </c>
      <c r="B3307" s="2" t="s">
        <v>7007</v>
      </c>
      <c r="C3307" s="2" t="s">
        <v>8760</v>
      </c>
      <c r="D3307" s="2" t="s">
        <v>10055</v>
      </c>
      <c r="E3307" s="15"/>
      <c r="F3307" s="15"/>
      <c r="G3307" s="15"/>
      <c r="H3307" s="15">
        <v>-4.4999999999999997E-3</v>
      </c>
      <c r="I3307" s="15">
        <v>3.9699999999999999E-2</v>
      </c>
      <c r="J3307" s="15">
        <v>-0.11335012594458441</v>
      </c>
    </row>
    <row r="3308" spans="1:10" x14ac:dyDescent="0.25">
      <c r="A3308" s="2" t="s">
        <v>8761</v>
      </c>
      <c r="B3308" s="2" t="s">
        <v>7007</v>
      </c>
      <c r="C3308" s="2" t="s">
        <v>8762</v>
      </c>
      <c r="D3308" s="2" t="s">
        <v>10055</v>
      </c>
      <c r="E3308" s="15"/>
      <c r="F3308" s="15"/>
      <c r="G3308" s="15"/>
      <c r="H3308" s="15">
        <v>-8.09E-2</v>
      </c>
      <c r="I3308" s="15">
        <v>3.8800000000000001E-2</v>
      </c>
      <c r="J3308" s="15">
        <v>-2.0850515463917532</v>
      </c>
    </row>
    <row r="3309" spans="1:10" x14ac:dyDescent="0.25">
      <c r="A3309" s="2" t="s">
        <v>8763</v>
      </c>
      <c r="B3309" s="2" t="s">
        <v>7007</v>
      </c>
      <c r="C3309" s="2" t="s">
        <v>8764</v>
      </c>
      <c r="D3309" s="2" t="s">
        <v>10055</v>
      </c>
      <c r="E3309" s="15"/>
      <c r="F3309" s="15"/>
      <c r="G3309" s="15"/>
      <c r="H3309" s="15">
        <v>-3.7499999999999999E-2</v>
      </c>
      <c r="I3309" s="15">
        <v>3.8699999999999998E-2</v>
      </c>
      <c r="J3309" s="15">
        <v>-0.96899224806201556</v>
      </c>
    </row>
    <row r="3310" spans="1:10" x14ac:dyDescent="0.25">
      <c r="A3310" s="2" t="s">
        <v>8765</v>
      </c>
      <c r="B3310" s="2" t="s">
        <v>7007</v>
      </c>
      <c r="C3310" s="2" t="s">
        <v>8766</v>
      </c>
      <c r="D3310" s="2" t="s">
        <v>10055</v>
      </c>
      <c r="E3310" s="15">
        <v>-7.1400000000000005E-2</v>
      </c>
      <c r="F3310" s="15">
        <v>0.2087</v>
      </c>
      <c r="G3310" s="15">
        <v>0.73229999999999995</v>
      </c>
      <c r="H3310" s="15">
        <v>2.9600000000000001E-2</v>
      </c>
      <c r="I3310" s="15">
        <v>3.8399999999999997E-2</v>
      </c>
      <c r="J3310" s="15">
        <v>0.77083333333333348</v>
      </c>
    </row>
    <row r="3311" spans="1:10" x14ac:dyDescent="0.25">
      <c r="A3311" s="2" t="s">
        <v>8767</v>
      </c>
      <c r="B3311" s="2" t="s">
        <v>7007</v>
      </c>
      <c r="C3311" s="2" t="s">
        <v>8768</v>
      </c>
      <c r="D3311" s="2" t="s">
        <v>10055</v>
      </c>
      <c r="E3311" s="15"/>
      <c r="F3311" s="15"/>
      <c r="G3311" s="15"/>
      <c r="H3311" s="15">
        <v>-3.7900000000000003E-2</v>
      </c>
      <c r="I3311" s="15">
        <v>3.1300000000000001E-2</v>
      </c>
      <c r="J3311" s="15">
        <v>-1.210862619808307</v>
      </c>
    </row>
    <row r="3312" spans="1:10" x14ac:dyDescent="0.25">
      <c r="A3312" s="2" t="s">
        <v>8769</v>
      </c>
      <c r="B3312" s="2" t="s">
        <v>7007</v>
      </c>
      <c r="C3312" s="2" t="s">
        <v>8770</v>
      </c>
      <c r="D3312" s="2" t="s">
        <v>10055</v>
      </c>
      <c r="E3312" s="15">
        <v>0.22309999999999999</v>
      </c>
      <c r="F3312" s="15">
        <v>0.76770000000000005</v>
      </c>
      <c r="G3312" s="15">
        <v>0.77129999999999999</v>
      </c>
      <c r="H3312" s="15">
        <v>1.4200000000000001E-2</v>
      </c>
      <c r="I3312" s="15">
        <v>4.1700000000000001E-2</v>
      </c>
      <c r="J3312" s="15">
        <v>0.34052757793764987</v>
      </c>
    </row>
    <row r="3313" spans="1:10" x14ac:dyDescent="0.25">
      <c r="A3313" s="2" t="s">
        <v>8771</v>
      </c>
      <c r="B3313" s="2" t="s">
        <v>7007</v>
      </c>
      <c r="C3313" s="2" t="s">
        <v>8772</v>
      </c>
      <c r="D3313" s="2" t="s">
        <v>10055</v>
      </c>
      <c r="E3313" s="15">
        <v>3.0200000000000001E-2</v>
      </c>
      <c r="F3313" s="15">
        <v>0.12529999999999999</v>
      </c>
      <c r="G3313" s="15">
        <v>0.80930000000000002</v>
      </c>
      <c r="H3313" s="15">
        <v>6.4500000000000002E-2</v>
      </c>
      <c r="I3313" s="15">
        <v>3.7400000000000003E-2</v>
      </c>
      <c r="J3313" s="15">
        <v>1.724598930481283</v>
      </c>
    </row>
    <row r="3314" spans="1:10" x14ac:dyDescent="0.25">
      <c r="A3314" s="2" t="s">
        <v>8773</v>
      </c>
      <c r="B3314" s="2" t="s">
        <v>7007</v>
      </c>
      <c r="C3314" s="2" t="s">
        <v>8774</v>
      </c>
      <c r="D3314" s="2" t="s">
        <v>10055</v>
      </c>
      <c r="E3314" s="15"/>
      <c r="F3314" s="15"/>
      <c r="G3314" s="15"/>
      <c r="H3314" s="15">
        <v>-3.5999999999999997E-2</v>
      </c>
      <c r="I3314" s="15">
        <v>3.7100000000000001E-2</v>
      </c>
      <c r="J3314" s="15">
        <v>-0.97035040431266839</v>
      </c>
    </row>
    <row r="3315" spans="1:10" x14ac:dyDescent="0.25">
      <c r="A3315" s="2" t="s">
        <v>8775</v>
      </c>
      <c r="B3315" s="2" t="s">
        <v>7007</v>
      </c>
      <c r="C3315" s="2" t="s">
        <v>8776</v>
      </c>
      <c r="D3315" s="2" t="s">
        <v>10055</v>
      </c>
      <c r="E3315" s="15">
        <v>-9.4899999999999998E-2</v>
      </c>
      <c r="F3315" s="15">
        <v>0.1343</v>
      </c>
      <c r="G3315" s="15">
        <v>0.4798</v>
      </c>
      <c r="H3315" s="15">
        <v>5.5599999999999997E-2</v>
      </c>
      <c r="I3315" s="15">
        <v>3.7699999999999997E-2</v>
      </c>
      <c r="J3315" s="15">
        <v>1.474801061007958</v>
      </c>
    </row>
    <row r="3316" spans="1:10" x14ac:dyDescent="0.25">
      <c r="A3316" s="2" t="s">
        <v>8777</v>
      </c>
      <c r="B3316" s="2" t="s">
        <v>7007</v>
      </c>
      <c r="C3316" s="2" t="s">
        <v>8778</v>
      </c>
      <c r="D3316" s="2" t="s">
        <v>10055</v>
      </c>
      <c r="E3316" s="15">
        <v>-3.0599999999999999E-2</v>
      </c>
      <c r="F3316" s="15">
        <v>0.109</v>
      </c>
      <c r="G3316" s="15">
        <v>0.77880000000000005</v>
      </c>
      <c r="H3316" s="15">
        <v>8.3000000000000004E-2</v>
      </c>
      <c r="I3316" s="15">
        <v>3.9E-2</v>
      </c>
      <c r="J3316" s="15">
        <v>2.1282051282051282</v>
      </c>
    </row>
    <row r="3317" spans="1:10" x14ac:dyDescent="0.25">
      <c r="A3317" s="2" t="s">
        <v>8779</v>
      </c>
      <c r="B3317" s="2" t="s">
        <v>7007</v>
      </c>
      <c r="C3317" s="2" t="s">
        <v>8780</v>
      </c>
      <c r="D3317" s="2" t="s">
        <v>10055</v>
      </c>
      <c r="E3317" s="15"/>
      <c r="F3317" s="15"/>
      <c r="G3317" s="15"/>
      <c r="H3317" s="15"/>
      <c r="I3317" s="15"/>
      <c r="J3317" s="15"/>
    </row>
    <row r="3318" spans="1:10" x14ac:dyDescent="0.25">
      <c r="A3318" s="2" t="s">
        <v>8781</v>
      </c>
      <c r="B3318" s="2" t="s">
        <v>7007</v>
      </c>
      <c r="C3318" s="2" t="s">
        <v>8782</v>
      </c>
      <c r="D3318" s="2" t="s">
        <v>10055</v>
      </c>
      <c r="E3318" s="15"/>
      <c r="F3318" s="15"/>
      <c r="G3318" s="15"/>
      <c r="H3318" s="15">
        <v>-2.9899999999999999E-2</v>
      </c>
      <c r="I3318" s="15">
        <v>4.02E-2</v>
      </c>
      <c r="J3318" s="15">
        <v>-0.74378109452736318</v>
      </c>
    </row>
    <row r="3319" spans="1:10" x14ac:dyDescent="0.25">
      <c r="A3319" s="2" t="s">
        <v>8783</v>
      </c>
      <c r="B3319" s="2" t="s">
        <v>7007</v>
      </c>
      <c r="C3319" s="2" t="s">
        <v>8784</v>
      </c>
      <c r="D3319" s="2" t="s">
        <v>10055</v>
      </c>
      <c r="E3319" s="15">
        <v>-0.64270000000000005</v>
      </c>
      <c r="F3319" s="15">
        <v>2.2078000000000002</v>
      </c>
      <c r="G3319" s="15">
        <v>0.77100000000000002</v>
      </c>
      <c r="H3319" s="15">
        <v>1.04E-2</v>
      </c>
      <c r="I3319" s="15">
        <v>4.24E-2</v>
      </c>
      <c r="J3319" s="15">
        <v>0.2452830188679245</v>
      </c>
    </row>
    <row r="3320" spans="1:10" x14ac:dyDescent="0.25">
      <c r="A3320" s="2" t="s">
        <v>8785</v>
      </c>
      <c r="B3320" s="2" t="s">
        <v>7007</v>
      </c>
      <c r="C3320" s="2" t="s">
        <v>8786</v>
      </c>
      <c r="D3320" s="2" t="s">
        <v>10055</v>
      </c>
      <c r="E3320" s="15"/>
      <c r="F3320" s="15"/>
      <c r="G3320" s="15"/>
      <c r="H3320" s="15">
        <v>-2.3E-3</v>
      </c>
      <c r="I3320" s="15">
        <v>3.2300000000000002E-2</v>
      </c>
      <c r="J3320" s="15">
        <v>-7.1207430340557265E-2</v>
      </c>
    </row>
    <row r="3321" spans="1:10" x14ac:dyDescent="0.25">
      <c r="A3321" s="2" t="s">
        <v>8787</v>
      </c>
      <c r="B3321" s="2" t="s">
        <v>7007</v>
      </c>
      <c r="C3321" s="2" t="s">
        <v>8788</v>
      </c>
      <c r="D3321" s="2" t="s">
        <v>10055</v>
      </c>
      <c r="E3321" s="15">
        <v>-0.1981</v>
      </c>
      <c r="F3321" s="15">
        <v>0.24610000000000001</v>
      </c>
      <c r="G3321" s="15">
        <v>0.42080000000000001</v>
      </c>
      <c r="H3321" s="15">
        <v>2.4899999999999999E-2</v>
      </c>
      <c r="I3321" s="15">
        <v>3.5700000000000003E-2</v>
      </c>
      <c r="J3321" s="15">
        <v>0.69747899159663851</v>
      </c>
    </row>
    <row r="3322" spans="1:10" x14ac:dyDescent="0.25">
      <c r="A3322" s="2" t="s">
        <v>8789</v>
      </c>
      <c r="B3322" s="2" t="s">
        <v>7007</v>
      </c>
      <c r="C3322" s="2" t="s">
        <v>8790</v>
      </c>
      <c r="D3322" s="2" t="s">
        <v>10055</v>
      </c>
      <c r="E3322" s="15">
        <v>-9.4500000000000001E-2</v>
      </c>
      <c r="F3322" s="15">
        <v>0.26989999999999997</v>
      </c>
      <c r="G3322" s="15">
        <v>0.72629999999999995</v>
      </c>
      <c r="H3322" s="15">
        <v>1.89E-2</v>
      </c>
      <c r="I3322" s="15">
        <v>3.5700000000000003E-2</v>
      </c>
      <c r="J3322" s="15">
        <v>0.52941176470588236</v>
      </c>
    </row>
    <row r="3323" spans="1:10" x14ac:dyDescent="0.25">
      <c r="A3323" s="2" t="s">
        <v>8791</v>
      </c>
      <c r="B3323" s="2" t="s">
        <v>7007</v>
      </c>
      <c r="C3323" s="2" t="s">
        <v>8792</v>
      </c>
      <c r="D3323" s="2" t="s">
        <v>10055</v>
      </c>
      <c r="E3323" s="15"/>
      <c r="F3323" s="15"/>
      <c r="G3323" s="15"/>
      <c r="H3323" s="15">
        <v>-3.0200000000000001E-2</v>
      </c>
      <c r="I3323" s="15">
        <v>3.56E-2</v>
      </c>
      <c r="J3323" s="15">
        <v>-0.84831460674157311</v>
      </c>
    </row>
    <row r="3324" spans="1:10" x14ac:dyDescent="0.25">
      <c r="A3324" s="2" t="s">
        <v>8793</v>
      </c>
      <c r="B3324" s="2" t="s">
        <v>7007</v>
      </c>
      <c r="C3324" s="2" t="s">
        <v>8794</v>
      </c>
      <c r="D3324" s="2" t="s">
        <v>10055</v>
      </c>
      <c r="E3324" s="15">
        <v>-2.87E-2</v>
      </c>
      <c r="F3324" s="15">
        <v>0.17280000000000001</v>
      </c>
      <c r="G3324" s="15">
        <v>0.8679</v>
      </c>
      <c r="H3324" s="15">
        <v>3.6799999999999999E-2</v>
      </c>
      <c r="I3324" s="15">
        <v>3.9800000000000002E-2</v>
      </c>
      <c r="J3324" s="15">
        <v>0.92462311557788934</v>
      </c>
    </row>
    <row r="3325" spans="1:10" x14ac:dyDescent="0.25">
      <c r="A3325" s="2" t="s">
        <v>8795</v>
      </c>
      <c r="B3325" s="2" t="s">
        <v>7007</v>
      </c>
      <c r="C3325" s="2" t="s">
        <v>8796</v>
      </c>
      <c r="D3325" s="2" t="s">
        <v>10055</v>
      </c>
      <c r="E3325" s="15">
        <v>0.27410000000000001</v>
      </c>
      <c r="F3325" s="15">
        <v>0.251</v>
      </c>
      <c r="G3325" s="15">
        <v>0.27489999999999998</v>
      </c>
      <c r="H3325" s="15">
        <v>3.32E-2</v>
      </c>
      <c r="I3325" s="15">
        <v>3.6400000000000002E-2</v>
      </c>
      <c r="J3325" s="15">
        <v>0.91208791208791207</v>
      </c>
    </row>
    <row r="3326" spans="1:10" x14ac:dyDescent="0.25">
      <c r="A3326" s="2" t="s">
        <v>8797</v>
      </c>
      <c r="B3326" s="2" t="s">
        <v>7007</v>
      </c>
      <c r="C3326" s="2" t="s">
        <v>8798</v>
      </c>
      <c r="D3326" s="2" t="s">
        <v>10055</v>
      </c>
      <c r="E3326" s="15">
        <v>-0.23880000000000001</v>
      </c>
      <c r="F3326" s="15">
        <v>0.1605</v>
      </c>
      <c r="G3326" s="15">
        <v>0.1368</v>
      </c>
      <c r="H3326" s="15">
        <v>5.1299999999999998E-2</v>
      </c>
      <c r="I3326" s="15">
        <v>3.6700000000000003E-2</v>
      </c>
      <c r="J3326" s="15">
        <v>1.3978201634877381</v>
      </c>
    </row>
    <row r="3327" spans="1:10" x14ac:dyDescent="0.25">
      <c r="A3327" s="2" t="s">
        <v>8799</v>
      </c>
      <c r="B3327" s="2" t="s">
        <v>7007</v>
      </c>
      <c r="C3327" s="2" t="s">
        <v>8800</v>
      </c>
      <c r="D3327" s="2" t="s">
        <v>10055</v>
      </c>
      <c r="E3327" s="15"/>
      <c r="F3327" s="15"/>
      <c r="G3327" s="15"/>
      <c r="H3327" s="15">
        <v>-1.9599999999999999E-2</v>
      </c>
      <c r="I3327" s="15">
        <v>3.8399999999999997E-2</v>
      </c>
      <c r="J3327" s="15">
        <v>-0.51041666666666674</v>
      </c>
    </row>
    <row r="3328" spans="1:10" x14ac:dyDescent="0.25">
      <c r="A3328" s="2" t="s">
        <v>8801</v>
      </c>
      <c r="B3328" s="2" t="s">
        <v>7007</v>
      </c>
      <c r="C3328" s="2" t="s">
        <v>8802</v>
      </c>
      <c r="D3328" s="2" t="s">
        <v>10055</v>
      </c>
      <c r="E3328" s="15">
        <v>-0.18429999999999999</v>
      </c>
      <c r="F3328" s="15">
        <v>0.11799999999999999</v>
      </c>
      <c r="G3328" s="15">
        <v>0.1183</v>
      </c>
      <c r="H3328" s="15">
        <v>7.9699999999999993E-2</v>
      </c>
      <c r="I3328" s="15">
        <v>3.5999999999999997E-2</v>
      </c>
      <c r="J3328" s="15">
        <v>2.213888888888889</v>
      </c>
    </row>
    <row r="3329" spans="1:10" x14ac:dyDescent="0.25">
      <c r="A3329" s="2" t="s">
        <v>8803</v>
      </c>
      <c r="B3329" s="2" t="s">
        <v>7007</v>
      </c>
      <c r="C3329" s="2" t="s">
        <v>8804</v>
      </c>
      <c r="D3329" s="2" t="s">
        <v>10055</v>
      </c>
      <c r="E3329" s="15">
        <v>-0.13070000000000001</v>
      </c>
      <c r="F3329" s="15">
        <v>0.20649999999999999</v>
      </c>
      <c r="G3329" s="15">
        <v>0.52680000000000005</v>
      </c>
      <c r="H3329" s="15">
        <v>2.3400000000000001E-2</v>
      </c>
      <c r="I3329" s="15">
        <v>3.32E-2</v>
      </c>
      <c r="J3329" s="15">
        <v>0.70481927710843373</v>
      </c>
    </row>
    <row r="3330" spans="1:10" x14ac:dyDescent="0.25">
      <c r="A3330" s="2" t="s">
        <v>8805</v>
      </c>
      <c r="B3330" s="2" t="s">
        <v>7007</v>
      </c>
      <c r="C3330" s="2" t="s">
        <v>8806</v>
      </c>
      <c r="D3330" s="2" t="s">
        <v>10055</v>
      </c>
      <c r="E3330" s="15"/>
      <c r="F3330" s="15"/>
      <c r="G3330" s="15"/>
      <c r="H3330" s="15">
        <v>-1.0200000000000001E-2</v>
      </c>
      <c r="I3330" s="15">
        <v>3.4700000000000002E-2</v>
      </c>
      <c r="J3330" s="15">
        <v>-0.29394812680115268</v>
      </c>
    </row>
    <row r="3331" spans="1:10" x14ac:dyDescent="0.25">
      <c r="A3331" s="2" t="s">
        <v>8807</v>
      </c>
      <c r="B3331" s="2" t="s">
        <v>7007</v>
      </c>
      <c r="C3331" s="2" t="s">
        <v>8808</v>
      </c>
      <c r="D3331" s="2" t="s">
        <v>10055</v>
      </c>
      <c r="E3331" s="15">
        <v>0.18229999999999999</v>
      </c>
      <c r="F3331" s="15">
        <v>0.68910000000000005</v>
      </c>
      <c r="G3331" s="15">
        <v>0.79139999999999999</v>
      </c>
      <c r="H3331" s="15">
        <v>0.01</v>
      </c>
      <c r="I3331" s="15">
        <v>3.6900000000000002E-2</v>
      </c>
      <c r="J3331" s="15">
        <v>0.27100271002710019</v>
      </c>
    </row>
    <row r="3332" spans="1:10" x14ac:dyDescent="0.25">
      <c r="A3332" s="2" t="s">
        <v>8809</v>
      </c>
      <c r="B3332" s="2" t="s">
        <v>7007</v>
      </c>
      <c r="C3332" s="2" t="s">
        <v>8810</v>
      </c>
      <c r="D3332" s="2" t="s">
        <v>10055</v>
      </c>
      <c r="E3332" s="15"/>
      <c r="F3332" s="15"/>
      <c r="G3332" s="15"/>
      <c r="H3332" s="15"/>
      <c r="I3332" s="15"/>
      <c r="J3332" s="15"/>
    </row>
    <row r="3333" spans="1:10" x14ac:dyDescent="0.25">
      <c r="A3333" s="2" t="s">
        <v>8811</v>
      </c>
      <c r="B3333" s="2" t="s">
        <v>7007</v>
      </c>
      <c r="C3333" s="2" t="s">
        <v>8812</v>
      </c>
      <c r="D3333" s="2" t="s">
        <v>10055</v>
      </c>
      <c r="E3333" s="15"/>
      <c r="F3333" s="15"/>
      <c r="G3333" s="15"/>
      <c r="H3333" s="15">
        <v>-1.8800000000000001E-2</v>
      </c>
      <c r="I3333" s="15">
        <v>3.8600000000000002E-2</v>
      </c>
      <c r="J3333" s="15">
        <v>-0.48704663212435229</v>
      </c>
    </row>
    <row r="3334" spans="1:10" x14ac:dyDescent="0.25">
      <c r="A3334" s="2" t="s">
        <v>8813</v>
      </c>
      <c r="B3334" s="2" t="s">
        <v>7007</v>
      </c>
      <c r="C3334" s="2" t="s">
        <v>8814</v>
      </c>
      <c r="D3334" s="2" t="s">
        <v>10055</v>
      </c>
      <c r="E3334" s="15">
        <v>-7.0199999999999999E-2</v>
      </c>
      <c r="F3334" s="15">
        <v>0.12130000000000001</v>
      </c>
      <c r="G3334" s="15">
        <v>0.56240000000000001</v>
      </c>
      <c r="H3334" s="15">
        <v>7.5999999999999998E-2</v>
      </c>
      <c r="I3334" s="15">
        <v>4.24E-2</v>
      </c>
      <c r="J3334" s="15">
        <v>1.7924528301886791</v>
      </c>
    </row>
    <row r="3335" spans="1:10" x14ac:dyDescent="0.25">
      <c r="A3335" s="2" t="s">
        <v>8815</v>
      </c>
      <c r="B3335" s="2" t="s">
        <v>7007</v>
      </c>
      <c r="C3335" s="2" t="s">
        <v>8816</v>
      </c>
      <c r="D3335" s="2" t="s">
        <v>10055</v>
      </c>
      <c r="E3335" s="15">
        <v>0.05</v>
      </c>
      <c r="F3335" s="15">
        <v>0.20300000000000001</v>
      </c>
      <c r="G3335" s="15">
        <v>0.80549999999999999</v>
      </c>
      <c r="H3335" s="15">
        <v>2.7400000000000001E-2</v>
      </c>
      <c r="I3335" s="15">
        <v>3.4299999999999997E-2</v>
      </c>
      <c r="J3335" s="15">
        <v>0.7988338192419826</v>
      </c>
    </row>
    <row r="3336" spans="1:10" x14ac:dyDescent="0.25">
      <c r="A3336" s="2" t="s">
        <v>8817</v>
      </c>
      <c r="B3336" s="2" t="s">
        <v>7007</v>
      </c>
      <c r="C3336" s="2" t="s">
        <v>8818</v>
      </c>
      <c r="D3336" s="2" t="s">
        <v>10055</v>
      </c>
      <c r="E3336" s="15">
        <v>-7.8899999999999998E-2</v>
      </c>
      <c r="F3336" s="15">
        <v>0.14230000000000001</v>
      </c>
      <c r="G3336" s="15">
        <v>0.57920000000000005</v>
      </c>
      <c r="H3336" s="15">
        <v>5.6899999999999999E-2</v>
      </c>
      <c r="I3336" s="15">
        <v>3.8600000000000002E-2</v>
      </c>
      <c r="J3336" s="15">
        <v>1.474093264248705</v>
      </c>
    </row>
    <row r="3337" spans="1:10" x14ac:dyDescent="0.25">
      <c r="A3337" s="2" t="s">
        <v>8819</v>
      </c>
      <c r="B3337" s="2" t="s">
        <v>7007</v>
      </c>
      <c r="C3337" s="2" t="s">
        <v>8820</v>
      </c>
      <c r="D3337" s="2" t="s">
        <v>10055</v>
      </c>
      <c r="E3337" s="15"/>
      <c r="F3337" s="15"/>
      <c r="G3337" s="15"/>
      <c r="H3337" s="15">
        <v>-1.7100000000000001E-2</v>
      </c>
      <c r="I3337" s="15">
        <v>3.7199999999999997E-2</v>
      </c>
      <c r="J3337" s="15">
        <v>-0.45967741935483869</v>
      </c>
    </row>
    <row r="3338" spans="1:10" x14ac:dyDescent="0.25">
      <c r="A3338" s="2" t="s">
        <v>8821</v>
      </c>
      <c r="B3338" s="2" t="s">
        <v>7007</v>
      </c>
      <c r="C3338" s="2" t="s">
        <v>8822</v>
      </c>
      <c r="D3338" s="2" t="s">
        <v>10055</v>
      </c>
      <c r="E3338" s="15">
        <v>8.2600000000000007E-2</v>
      </c>
      <c r="F3338" s="15">
        <v>9.8500000000000004E-2</v>
      </c>
      <c r="G3338" s="15">
        <v>0.40160000000000001</v>
      </c>
      <c r="H3338" s="15">
        <v>0.12889999999999999</v>
      </c>
      <c r="I3338" s="15">
        <v>3.7199999999999997E-2</v>
      </c>
      <c r="J3338" s="15">
        <v>3.46505376344086</v>
      </c>
    </row>
    <row r="3339" spans="1:10" x14ac:dyDescent="0.25">
      <c r="A3339" s="2" t="s">
        <v>8823</v>
      </c>
      <c r="B3339" s="2" t="s">
        <v>7007</v>
      </c>
      <c r="C3339" s="2" t="s">
        <v>8824</v>
      </c>
      <c r="D3339" s="2" t="s">
        <v>10055</v>
      </c>
      <c r="E3339" s="15"/>
      <c r="F3339" s="15"/>
      <c r="G3339" s="15"/>
      <c r="H3339" s="15">
        <v>-1E-3</v>
      </c>
      <c r="I3339" s="15">
        <v>3.3300000000000003E-2</v>
      </c>
      <c r="J3339" s="15">
        <v>-3.003003003003003E-2</v>
      </c>
    </row>
    <row r="3340" spans="1:10" x14ac:dyDescent="0.25">
      <c r="A3340" s="2" t="s">
        <v>8825</v>
      </c>
      <c r="B3340" s="2" t="s">
        <v>7007</v>
      </c>
      <c r="C3340" s="2" t="s">
        <v>8826</v>
      </c>
      <c r="D3340" s="2" t="s">
        <v>10055</v>
      </c>
      <c r="E3340" s="15">
        <v>-0.21659999999999999</v>
      </c>
      <c r="F3340" s="15">
        <v>0.1308</v>
      </c>
      <c r="G3340" s="15">
        <v>9.7799999999999998E-2</v>
      </c>
      <c r="H3340" s="15">
        <v>7.4200000000000002E-2</v>
      </c>
      <c r="I3340" s="15">
        <v>3.9100000000000003E-2</v>
      </c>
      <c r="J3340" s="15">
        <v>1.8976982097186701</v>
      </c>
    </row>
    <row r="3341" spans="1:10" x14ac:dyDescent="0.25">
      <c r="A3341" s="2" t="s">
        <v>8827</v>
      </c>
      <c r="B3341" s="2" t="s">
        <v>7007</v>
      </c>
      <c r="C3341" s="2" t="s">
        <v>8828</v>
      </c>
      <c r="D3341" s="2" t="s">
        <v>10055</v>
      </c>
      <c r="E3341" s="15">
        <v>0.1477</v>
      </c>
      <c r="F3341" s="15">
        <v>0.32479999999999998</v>
      </c>
      <c r="G3341" s="15">
        <v>0.64939999999999998</v>
      </c>
      <c r="H3341" s="15">
        <v>1.6E-2</v>
      </c>
      <c r="I3341" s="15">
        <v>3.85E-2</v>
      </c>
      <c r="J3341" s="15">
        <v>0.41558441558441561</v>
      </c>
    </row>
    <row r="3342" spans="1:10" x14ac:dyDescent="0.25">
      <c r="A3342" s="2" t="s">
        <v>8829</v>
      </c>
      <c r="B3342" s="2" t="s">
        <v>7007</v>
      </c>
      <c r="C3342" s="2" t="s">
        <v>8830</v>
      </c>
      <c r="D3342" s="2" t="s">
        <v>10055</v>
      </c>
      <c r="E3342" s="15">
        <v>7.0900000000000005E-2</v>
      </c>
      <c r="F3342" s="15">
        <v>7.6999999999999999E-2</v>
      </c>
      <c r="G3342" s="15">
        <v>0.35709999999999997</v>
      </c>
      <c r="H3342" s="15">
        <v>0.17610000000000001</v>
      </c>
      <c r="I3342" s="15">
        <v>3.9E-2</v>
      </c>
      <c r="J3342" s="15">
        <v>4.5153846153846153</v>
      </c>
    </row>
    <row r="3343" spans="1:10" x14ac:dyDescent="0.25">
      <c r="A3343" s="2" t="s">
        <v>8831</v>
      </c>
      <c r="B3343" s="2" t="s">
        <v>7007</v>
      </c>
      <c r="C3343" s="2" t="s">
        <v>8832</v>
      </c>
      <c r="D3343" s="2" t="s">
        <v>10055</v>
      </c>
      <c r="E3343" s="15">
        <v>0.19109999999999999</v>
      </c>
      <c r="F3343" s="15">
        <v>0.2727</v>
      </c>
      <c r="G3343" s="15">
        <v>0.48349999999999999</v>
      </c>
      <c r="H3343" s="15">
        <v>2.0199999999999999E-2</v>
      </c>
      <c r="I3343" s="15">
        <v>3.7900000000000003E-2</v>
      </c>
      <c r="J3343" s="15">
        <v>0.53298153034300788</v>
      </c>
    </row>
    <row r="3344" spans="1:10" x14ac:dyDescent="0.25">
      <c r="A3344" s="2" t="s">
        <v>8833</v>
      </c>
      <c r="B3344" s="2" t="s">
        <v>7007</v>
      </c>
      <c r="C3344" s="2" t="s">
        <v>8834</v>
      </c>
      <c r="D3344" s="2" t="s">
        <v>10055</v>
      </c>
      <c r="E3344" s="15">
        <v>-0.15229999999999999</v>
      </c>
      <c r="F3344" s="15">
        <v>8.6400000000000005E-2</v>
      </c>
      <c r="G3344" s="15">
        <v>7.7899999999999997E-2</v>
      </c>
      <c r="H3344" s="15">
        <v>0.1303</v>
      </c>
      <c r="I3344" s="15">
        <v>3.9399999999999998E-2</v>
      </c>
      <c r="J3344" s="15">
        <v>3.3071065989847721</v>
      </c>
    </row>
    <row r="3345" spans="1:10" x14ac:dyDescent="0.25">
      <c r="A3345" s="2" t="s">
        <v>8835</v>
      </c>
      <c r="B3345" s="2" t="s">
        <v>7007</v>
      </c>
      <c r="C3345" s="2" t="s">
        <v>8836</v>
      </c>
      <c r="D3345" s="2" t="s">
        <v>10055</v>
      </c>
      <c r="E3345" s="15">
        <v>-5.9400000000000001E-2</v>
      </c>
      <c r="F3345" s="15">
        <v>0.1047</v>
      </c>
      <c r="G3345" s="15">
        <v>0.57040000000000002</v>
      </c>
      <c r="H3345" s="15">
        <v>9.2299999999999993E-2</v>
      </c>
      <c r="I3345" s="15">
        <v>3.9899999999999998E-2</v>
      </c>
      <c r="J3345" s="15">
        <v>2.3132832080200498</v>
      </c>
    </row>
    <row r="3346" spans="1:10" x14ac:dyDescent="0.25">
      <c r="A3346" s="2" t="s">
        <v>8837</v>
      </c>
      <c r="B3346" s="2" t="s">
        <v>7007</v>
      </c>
      <c r="C3346" s="2" t="s">
        <v>8838</v>
      </c>
      <c r="D3346" s="2" t="s">
        <v>10055</v>
      </c>
      <c r="E3346" s="15">
        <v>-0.1613</v>
      </c>
      <c r="F3346" s="15">
        <v>7.1499999999999994E-2</v>
      </c>
      <c r="G3346" s="15">
        <v>2.41E-2</v>
      </c>
      <c r="H3346" s="15">
        <v>0.2177</v>
      </c>
      <c r="I3346" s="15">
        <v>4.2900000000000001E-2</v>
      </c>
      <c r="J3346" s="15">
        <v>5.0745920745920747</v>
      </c>
    </row>
    <row r="3347" spans="1:10" x14ac:dyDescent="0.25">
      <c r="A3347" s="2" t="s">
        <v>8839</v>
      </c>
      <c r="B3347" s="2" t="s">
        <v>7007</v>
      </c>
      <c r="C3347" s="2" t="s">
        <v>8840</v>
      </c>
      <c r="D3347" s="2" t="s">
        <v>10055</v>
      </c>
      <c r="E3347" s="15"/>
      <c r="F3347" s="15"/>
      <c r="G3347" s="15"/>
      <c r="H3347" s="15">
        <v>-4.4999999999999997E-3</v>
      </c>
      <c r="I3347" s="15">
        <v>3.6700000000000003E-2</v>
      </c>
      <c r="J3347" s="15">
        <v>-0.1226158038147139</v>
      </c>
    </row>
    <row r="3348" spans="1:10" x14ac:dyDescent="0.25">
      <c r="A3348" s="2" t="s">
        <v>8841</v>
      </c>
      <c r="B3348" s="2" t="s">
        <v>7007</v>
      </c>
      <c r="C3348" s="2" t="s">
        <v>8842</v>
      </c>
      <c r="D3348" s="2" t="s">
        <v>10055</v>
      </c>
      <c r="E3348" s="15"/>
      <c r="F3348" s="15"/>
      <c r="G3348" s="15"/>
      <c r="H3348" s="15"/>
      <c r="I3348" s="15"/>
      <c r="J3348" s="15"/>
    </row>
    <row r="3349" spans="1:10" x14ac:dyDescent="0.25">
      <c r="A3349" s="2" t="s">
        <v>8843</v>
      </c>
      <c r="B3349" s="2" t="s">
        <v>7007</v>
      </c>
      <c r="C3349" s="2" t="s">
        <v>8844</v>
      </c>
      <c r="D3349" s="2" t="s">
        <v>10055</v>
      </c>
      <c r="E3349" s="15"/>
      <c r="F3349" s="15"/>
      <c r="G3349" s="15"/>
      <c r="H3349" s="15">
        <v>-1.0800000000000001E-2</v>
      </c>
      <c r="I3349" s="15">
        <v>3.8199999999999998E-2</v>
      </c>
      <c r="J3349" s="15">
        <v>-0.28272251308900531</v>
      </c>
    </row>
    <row r="3350" spans="1:10" x14ac:dyDescent="0.25">
      <c r="A3350" s="2" t="s">
        <v>8845</v>
      </c>
      <c r="B3350" s="2" t="s">
        <v>7007</v>
      </c>
      <c r="C3350" s="2" t="s">
        <v>8846</v>
      </c>
      <c r="D3350" s="2" t="s">
        <v>10055</v>
      </c>
      <c r="E3350" s="15"/>
      <c r="F3350" s="15"/>
      <c r="G3350" s="15"/>
      <c r="H3350" s="15"/>
      <c r="I3350" s="15"/>
      <c r="J3350" s="15"/>
    </row>
    <row r="3351" spans="1:10" x14ac:dyDescent="0.25">
      <c r="A3351" s="2" t="s">
        <v>8847</v>
      </c>
      <c r="B3351" s="2" t="s">
        <v>7007</v>
      </c>
      <c r="C3351" s="2" t="s">
        <v>8848</v>
      </c>
      <c r="D3351" s="2" t="s">
        <v>10055</v>
      </c>
      <c r="E3351" s="15">
        <v>0.1739</v>
      </c>
      <c r="F3351" s="15">
        <v>7.8100000000000003E-2</v>
      </c>
      <c r="G3351" s="15">
        <v>2.6100000000000002E-2</v>
      </c>
      <c r="H3351" s="15">
        <v>0.185</v>
      </c>
      <c r="I3351" s="15">
        <v>4.2700000000000002E-2</v>
      </c>
      <c r="J3351" s="15">
        <v>4.3325526932084308</v>
      </c>
    </row>
    <row r="3352" spans="1:10" x14ac:dyDescent="0.25">
      <c r="A3352" s="2" t="s">
        <v>8849</v>
      </c>
      <c r="B3352" s="2" t="s">
        <v>7007</v>
      </c>
      <c r="C3352" s="2" t="s">
        <v>8850</v>
      </c>
      <c r="D3352" s="2" t="s">
        <v>10055</v>
      </c>
      <c r="E3352" s="15">
        <v>5.1299999999999998E-2</v>
      </c>
      <c r="F3352" s="15">
        <v>0.13150000000000001</v>
      </c>
      <c r="G3352" s="15">
        <v>0.69630000000000003</v>
      </c>
      <c r="H3352" s="15">
        <v>7.2900000000000006E-2</v>
      </c>
      <c r="I3352" s="15">
        <v>4.0099999999999997E-2</v>
      </c>
      <c r="J3352" s="15">
        <v>1.8179551122194519</v>
      </c>
    </row>
    <row r="3353" spans="1:10" x14ac:dyDescent="0.25">
      <c r="A3353" s="2" t="s">
        <v>8851</v>
      </c>
      <c r="B3353" s="2" t="s">
        <v>7007</v>
      </c>
      <c r="C3353" s="2" t="s">
        <v>8852</v>
      </c>
      <c r="D3353" s="2" t="s">
        <v>10055</v>
      </c>
      <c r="E3353" s="15"/>
      <c r="F3353" s="15"/>
      <c r="G3353" s="15"/>
      <c r="H3353" s="15"/>
      <c r="I3353" s="15"/>
      <c r="J3353" s="15"/>
    </row>
    <row r="3354" spans="1:10" x14ac:dyDescent="0.25">
      <c r="A3354" s="2" t="s">
        <v>8853</v>
      </c>
      <c r="B3354" s="2" t="s">
        <v>7007</v>
      </c>
      <c r="C3354" s="2" t="s">
        <v>8854</v>
      </c>
      <c r="D3354" s="2" t="s">
        <v>10055</v>
      </c>
      <c r="E3354" s="15">
        <v>-9.0200000000000002E-2</v>
      </c>
      <c r="F3354" s="15">
        <v>9.4200000000000006E-2</v>
      </c>
      <c r="G3354" s="15">
        <v>0.33829999999999999</v>
      </c>
      <c r="H3354" s="15">
        <v>0.13439999999999999</v>
      </c>
      <c r="I3354" s="15">
        <v>4.0399999999999998E-2</v>
      </c>
      <c r="J3354" s="15">
        <v>3.326732673267327</v>
      </c>
    </row>
    <row r="3355" spans="1:10" x14ac:dyDescent="0.25">
      <c r="A3355" s="2" t="s">
        <v>8855</v>
      </c>
      <c r="B3355" s="2" t="s">
        <v>7007</v>
      </c>
      <c r="C3355" s="2" t="s">
        <v>8856</v>
      </c>
      <c r="D3355" s="2" t="s">
        <v>10055</v>
      </c>
      <c r="E3355" s="15">
        <v>-0.13020000000000001</v>
      </c>
      <c r="F3355" s="15">
        <v>9.8500000000000004E-2</v>
      </c>
      <c r="G3355" s="15">
        <v>0.18640000000000001</v>
      </c>
      <c r="H3355" s="15">
        <v>0.1109</v>
      </c>
      <c r="I3355" s="15">
        <v>3.6499999999999998E-2</v>
      </c>
      <c r="J3355" s="15">
        <v>3.0383561643835622</v>
      </c>
    </row>
    <row r="3356" spans="1:10" x14ac:dyDescent="0.25">
      <c r="A3356" s="2" t="s">
        <v>8857</v>
      </c>
      <c r="B3356" s="2" t="s">
        <v>7007</v>
      </c>
      <c r="C3356" s="2" t="s">
        <v>8858</v>
      </c>
      <c r="D3356" s="2" t="s">
        <v>10055</v>
      </c>
      <c r="E3356" s="15"/>
      <c r="F3356" s="15"/>
      <c r="G3356" s="15"/>
      <c r="H3356" s="15">
        <v>-1.32E-2</v>
      </c>
      <c r="I3356" s="15">
        <v>4.0500000000000001E-2</v>
      </c>
      <c r="J3356" s="15">
        <v>-0.3259259259259259</v>
      </c>
    </row>
    <row r="3357" spans="1:10" x14ac:dyDescent="0.25">
      <c r="A3357" s="2" t="s">
        <v>8859</v>
      </c>
      <c r="B3357" s="2" t="s">
        <v>7007</v>
      </c>
      <c r="C3357" s="2" t="s">
        <v>8860</v>
      </c>
      <c r="D3357" s="2" t="s">
        <v>10055</v>
      </c>
      <c r="E3357" s="15">
        <v>0.11269999999999999</v>
      </c>
      <c r="F3357" s="15">
        <v>8.8700000000000001E-2</v>
      </c>
      <c r="G3357" s="15">
        <v>0.2039</v>
      </c>
      <c r="H3357" s="15">
        <v>0.1739</v>
      </c>
      <c r="I3357" s="15">
        <v>3.9300000000000002E-2</v>
      </c>
      <c r="J3357" s="15">
        <v>4.4249363867684472</v>
      </c>
    </row>
    <row r="3358" spans="1:10" x14ac:dyDescent="0.25">
      <c r="A3358" s="2" t="s">
        <v>8861</v>
      </c>
      <c r="B3358" s="2" t="s">
        <v>7007</v>
      </c>
      <c r="C3358" s="2" t="s">
        <v>8862</v>
      </c>
      <c r="D3358" s="2" t="s">
        <v>10055</v>
      </c>
      <c r="E3358" s="15">
        <v>9.8699999999999996E-2</v>
      </c>
      <c r="F3358" s="15">
        <v>9.7699999999999995E-2</v>
      </c>
      <c r="G3358" s="15">
        <v>0.31219999999999998</v>
      </c>
      <c r="H3358" s="15">
        <v>0.1429</v>
      </c>
      <c r="I3358" s="15">
        <v>3.9E-2</v>
      </c>
      <c r="J3358" s="15">
        <v>3.664102564102564</v>
      </c>
    </row>
    <row r="3359" spans="1:10" x14ac:dyDescent="0.25">
      <c r="A3359" s="2" t="s">
        <v>8863</v>
      </c>
      <c r="B3359" s="2" t="s">
        <v>7007</v>
      </c>
      <c r="C3359" s="2" t="s">
        <v>8864</v>
      </c>
      <c r="D3359" s="2" t="s">
        <v>10055</v>
      </c>
      <c r="E3359" s="15">
        <v>5.1700000000000003E-2</v>
      </c>
      <c r="F3359" s="15">
        <v>0.11700000000000001</v>
      </c>
      <c r="G3359" s="15">
        <v>0.65869999999999995</v>
      </c>
      <c r="H3359" s="15">
        <v>7.1800000000000003E-2</v>
      </c>
      <c r="I3359" s="15">
        <v>3.9600000000000003E-2</v>
      </c>
      <c r="J3359" s="15">
        <v>1.8131313131313129</v>
      </c>
    </row>
    <row r="3360" spans="1:10" x14ac:dyDescent="0.25">
      <c r="A3360" s="2" t="s">
        <v>8865</v>
      </c>
      <c r="B3360" s="2" t="s">
        <v>7007</v>
      </c>
      <c r="C3360" s="2" t="s">
        <v>8866</v>
      </c>
      <c r="D3360" s="2" t="s">
        <v>10055</v>
      </c>
      <c r="E3360" s="15"/>
      <c r="F3360" s="15"/>
      <c r="G3360" s="15"/>
      <c r="H3360" s="15">
        <v>-4.0500000000000001E-2</v>
      </c>
      <c r="I3360" s="15">
        <v>3.6900000000000002E-2</v>
      </c>
      <c r="J3360" s="15">
        <v>-1.097560975609756</v>
      </c>
    </row>
    <row r="3361" spans="1:10" x14ac:dyDescent="0.25">
      <c r="A3361" s="2" t="s">
        <v>8867</v>
      </c>
      <c r="B3361" s="2" t="s">
        <v>7007</v>
      </c>
      <c r="C3361" s="2" t="s">
        <v>8868</v>
      </c>
      <c r="D3361" s="2" t="s">
        <v>10055</v>
      </c>
      <c r="E3361" s="15">
        <v>8.2000000000000007E-3</v>
      </c>
      <c r="F3361" s="15">
        <v>8.2000000000000003E-2</v>
      </c>
      <c r="G3361" s="15">
        <v>0.92069999999999996</v>
      </c>
      <c r="H3361" s="15">
        <v>0.1484</v>
      </c>
      <c r="I3361" s="15">
        <v>4.24E-2</v>
      </c>
      <c r="J3361" s="15">
        <v>3.5</v>
      </c>
    </row>
    <row r="3362" spans="1:10" x14ac:dyDescent="0.25">
      <c r="A3362" s="2" t="s">
        <v>8869</v>
      </c>
      <c r="B3362" s="2" t="s">
        <v>7007</v>
      </c>
      <c r="C3362" s="2" t="s">
        <v>8870</v>
      </c>
      <c r="D3362" s="2" t="s">
        <v>10055</v>
      </c>
      <c r="E3362" s="15">
        <v>-1.7500000000000002E-2</v>
      </c>
      <c r="F3362" s="15">
        <v>8.72E-2</v>
      </c>
      <c r="G3362" s="15">
        <v>0.84140000000000004</v>
      </c>
      <c r="H3362" s="15">
        <v>0.14649999999999999</v>
      </c>
      <c r="I3362" s="15">
        <v>4.1000000000000002E-2</v>
      </c>
      <c r="J3362" s="15">
        <v>3.5731707317073171</v>
      </c>
    </row>
    <row r="3363" spans="1:10" x14ac:dyDescent="0.25">
      <c r="A3363" s="2" t="s">
        <v>8871</v>
      </c>
      <c r="B3363" s="2" t="s">
        <v>7007</v>
      </c>
      <c r="C3363" s="2" t="s">
        <v>8872</v>
      </c>
      <c r="D3363" s="2" t="s">
        <v>10055</v>
      </c>
      <c r="E3363" s="15">
        <v>0.20430000000000001</v>
      </c>
      <c r="F3363" s="15">
        <v>0.17299999999999999</v>
      </c>
      <c r="G3363" s="15">
        <v>0.23749999999999999</v>
      </c>
      <c r="H3363" s="15">
        <v>5.21E-2</v>
      </c>
      <c r="I3363" s="15">
        <v>3.7900000000000003E-2</v>
      </c>
      <c r="J3363" s="15">
        <v>1.3746701846965701</v>
      </c>
    </row>
    <row r="3364" spans="1:10" x14ac:dyDescent="0.25">
      <c r="A3364" s="2" t="s">
        <v>8873</v>
      </c>
      <c r="B3364" s="2" t="s">
        <v>7007</v>
      </c>
      <c r="C3364" s="2" t="s">
        <v>8874</v>
      </c>
      <c r="D3364" s="2" t="s">
        <v>10055</v>
      </c>
      <c r="E3364" s="15">
        <v>6.5000000000000002E-2</v>
      </c>
      <c r="F3364" s="15">
        <v>0.13880000000000001</v>
      </c>
      <c r="G3364" s="15">
        <v>0.63939999999999997</v>
      </c>
      <c r="H3364" s="15">
        <v>5.8400000000000001E-2</v>
      </c>
      <c r="I3364" s="15">
        <v>3.7600000000000001E-2</v>
      </c>
      <c r="J3364" s="15">
        <v>1.553191489361702</v>
      </c>
    </row>
    <row r="3365" spans="1:10" x14ac:dyDescent="0.25">
      <c r="A3365" s="2" t="s">
        <v>8875</v>
      </c>
      <c r="B3365" s="2" t="s">
        <v>7007</v>
      </c>
      <c r="C3365" s="2" t="s">
        <v>8876</v>
      </c>
      <c r="D3365" s="2" t="s">
        <v>10055</v>
      </c>
      <c r="E3365" s="15"/>
      <c r="F3365" s="15"/>
      <c r="G3365" s="15"/>
      <c r="H3365" s="15">
        <v>-0.02</v>
      </c>
      <c r="I3365" s="15">
        <v>3.6400000000000002E-2</v>
      </c>
      <c r="J3365" s="15">
        <v>-0.54945054945054939</v>
      </c>
    </row>
    <row r="3366" spans="1:10" x14ac:dyDescent="0.25">
      <c r="A3366" s="2" t="s">
        <v>8877</v>
      </c>
      <c r="B3366" s="2" t="s">
        <v>7007</v>
      </c>
      <c r="C3366" s="2" t="s">
        <v>8878</v>
      </c>
      <c r="D3366" s="2" t="s">
        <v>10055</v>
      </c>
      <c r="E3366" s="15">
        <v>-0.39200000000000002</v>
      </c>
      <c r="F3366" s="15">
        <v>0.1648</v>
      </c>
      <c r="G3366" s="15">
        <v>1.7399999999999999E-2</v>
      </c>
      <c r="H3366" s="15">
        <v>6.5799999999999997E-2</v>
      </c>
      <c r="I3366" s="15">
        <v>3.8399999999999997E-2</v>
      </c>
      <c r="J3366" s="15">
        <v>1.713541666666667</v>
      </c>
    </row>
    <row r="3367" spans="1:10" x14ac:dyDescent="0.25">
      <c r="A3367" s="2" t="s">
        <v>8879</v>
      </c>
      <c r="B3367" s="2" t="s">
        <v>7007</v>
      </c>
      <c r="C3367" s="2" t="s">
        <v>8880</v>
      </c>
      <c r="D3367" s="2" t="s">
        <v>10055</v>
      </c>
      <c r="E3367" s="15">
        <v>-0.17680000000000001</v>
      </c>
      <c r="F3367" s="15">
        <v>0.1459</v>
      </c>
      <c r="G3367" s="15">
        <v>0.22550000000000001</v>
      </c>
      <c r="H3367" s="15">
        <v>5.5300000000000002E-2</v>
      </c>
      <c r="I3367" s="15">
        <v>4.5400000000000003E-2</v>
      </c>
      <c r="J3367" s="15">
        <v>1.218061674008811</v>
      </c>
    </row>
    <row r="3368" spans="1:10" x14ac:dyDescent="0.25">
      <c r="A3368" s="2" t="s">
        <v>8881</v>
      </c>
      <c r="B3368" s="2" t="s">
        <v>7007</v>
      </c>
      <c r="C3368" s="2" t="s">
        <v>8882</v>
      </c>
      <c r="D3368" s="2" t="s">
        <v>10055</v>
      </c>
      <c r="E3368" s="15">
        <v>-0.35510000000000003</v>
      </c>
      <c r="F3368" s="15">
        <v>0.2752</v>
      </c>
      <c r="G3368" s="15">
        <v>0.19689999999999999</v>
      </c>
      <c r="H3368" s="15">
        <v>3.5200000000000002E-2</v>
      </c>
      <c r="I3368" s="15">
        <v>3.7400000000000003E-2</v>
      </c>
      <c r="J3368" s="15">
        <v>0.94117647058823528</v>
      </c>
    </row>
    <row r="3369" spans="1:10" x14ac:dyDescent="0.25">
      <c r="A3369" s="2" t="s">
        <v>8883</v>
      </c>
      <c r="B3369" s="2" t="s">
        <v>7007</v>
      </c>
      <c r="C3369" s="2" t="s">
        <v>8884</v>
      </c>
      <c r="D3369" s="2" t="s">
        <v>10055</v>
      </c>
      <c r="E3369" s="15">
        <v>0.12889999999999999</v>
      </c>
      <c r="F3369" s="15">
        <v>0.1009</v>
      </c>
      <c r="G3369" s="15">
        <v>0.20130000000000001</v>
      </c>
      <c r="H3369" s="15">
        <v>0.1017</v>
      </c>
      <c r="I3369" s="15">
        <v>3.5999999999999997E-2</v>
      </c>
      <c r="J3369" s="15">
        <v>2.8250000000000002</v>
      </c>
    </row>
    <row r="3370" spans="1:10" x14ac:dyDescent="0.25">
      <c r="A3370" s="2" t="s">
        <v>8885</v>
      </c>
      <c r="B3370" s="2" t="s">
        <v>7007</v>
      </c>
      <c r="C3370" s="2" t="s">
        <v>8886</v>
      </c>
      <c r="D3370" s="2" t="s">
        <v>10055</v>
      </c>
      <c r="E3370" s="15">
        <v>3.3399999999999999E-2</v>
      </c>
      <c r="F3370" s="15">
        <v>0.1154</v>
      </c>
      <c r="G3370" s="15">
        <v>0.77190000000000003</v>
      </c>
      <c r="H3370" s="15">
        <v>7.8899999999999998E-2</v>
      </c>
      <c r="I3370" s="15">
        <v>3.3599999999999998E-2</v>
      </c>
      <c r="J3370" s="15">
        <v>2.348214285714286</v>
      </c>
    </row>
    <row r="3371" spans="1:10" x14ac:dyDescent="0.25">
      <c r="A3371" s="2" t="s">
        <v>8887</v>
      </c>
      <c r="B3371" s="2" t="s">
        <v>7007</v>
      </c>
      <c r="C3371" s="2" t="s">
        <v>8888</v>
      </c>
      <c r="D3371" s="2" t="s">
        <v>10055</v>
      </c>
      <c r="E3371" s="15"/>
      <c r="F3371" s="15"/>
      <c r="G3371" s="15"/>
      <c r="H3371" s="15">
        <v>-2.87E-2</v>
      </c>
      <c r="I3371" s="15">
        <v>3.8300000000000001E-2</v>
      </c>
      <c r="J3371" s="15">
        <v>-0.74934725848563966</v>
      </c>
    </row>
    <row r="3372" spans="1:10" x14ac:dyDescent="0.25">
      <c r="A3372" s="2" t="s">
        <v>8889</v>
      </c>
      <c r="B3372" s="2" t="s">
        <v>7007</v>
      </c>
      <c r="C3372" s="2" t="s">
        <v>8890</v>
      </c>
      <c r="D3372" s="2" t="s">
        <v>10055</v>
      </c>
      <c r="E3372" s="15">
        <v>5.16E-2</v>
      </c>
      <c r="F3372" s="15">
        <v>0.13150000000000001</v>
      </c>
      <c r="G3372" s="15">
        <v>0.69469999999999998</v>
      </c>
      <c r="H3372" s="15">
        <v>8.1299999999999997E-2</v>
      </c>
      <c r="I3372" s="15">
        <v>4.82E-2</v>
      </c>
      <c r="J3372" s="15">
        <v>1.686721991701245</v>
      </c>
    </row>
    <row r="3373" spans="1:10" x14ac:dyDescent="0.25">
      <c r="A3373" s="2" t="s">
        <v>8891</v>
      </c>
      <c r="B3373" s="2" t="s">
        <v>7007</v>
      </c>
      <c r="C3373" s="2" t="s">
        <v>8892</v>
      </c>
      <c r="D3373" s="2" t="s">
        <v>10055</v>
      </c>
      <c r="E3373" s="15">
        <v>1.23E-2</v>
      </c>
      <c r="F3373" s="15">
        <v>0.2306</v>
      </c>
      <c r="G3373" s="15">
        <v>0.95760000000000001</v>
      </c>
      <c r="H3373" s="15">
        <v>1.8499999999999999E-2</v>
      </c>
      <c r="I3373" s="15">
        <v>3.8100000000000002E-2</v>
      </c>
      <c r="J3373" s="15">
        <v>0.48556430446194221</v>
      </c>
    </row>
    <row r="3374" spans="1:10" x14ac:dyDescent="0.25">
      <c r="A3374" s="2" t="s">
        <v>8893</v>
      </c>
      <c r="B3374" s="2" t="s">
        <v>7007</v>
      </c>
      <c r="C3374" s="2" t="s">
        <v>8894</v>
      </c>
      <c r="D3374" s="2" t="s">
        <v>10055</v>
      </c>
      <c r="E3374" s="15">
        <v>0.31069999999999998</v>
      </c>
      <c r="F3374" s="15">
        <v>0.23599999999999999</v>
      </c>
      <c r="G3374" s="15">
        <v>0.188</v>
      </c>
      <c r="H3374" s="15">
        <v>3.6299999999999999E-2</v>
      </c>
      <c r="I3374" s="15">
        <v>3.5299999999999998E-2</v>
      </c>
      <c r="J3374" s="15">
        <v>1.0283286118980171</v>
      </c>
    </row>
    <row r="3375" spans="1:10" x14ac:dyDescent="0.25">
      <c r="A3375" s="2" t="s">
        <v>8895</v>
      </c>
      <c r="B3375" s="2" t="s">
        <v>7007</v>
      </c>
      <c r="C3375" s="2" t="s">
        <v>8896</v>
      </c>
      <c r="D3375" s="2" t="s">
        <v>10055</v>
      </c>
      <c r="E3375" s="15">
        <v>0.20349999999999999</v>
      </c>
      <c r="F3375" s="15">
        <v>0.1237</v>
      </c>
      <c r="G3375" s="15">
        <v>9.9900000000000003E-2</v>
      </c>
      <c r="H3375" s="15">
        <v>8.6800000000000002E-2</v>
      </c>
      <c r="I3375" s="15">
        <v>3.9199999999999999E-2</v>
      </c>
      <c r="J3375" s="15">
        <v>2.214285714285714</v>
      </c>
    </row>
    <row r="3376" spans="1:10" x14ac:dyDescent="0.25">
      <c r="A3376" s="2" t="s">
        <v>8897</v>
      </c>
      <c r="B3376" s="2" t="s">
        <v>7007</v>
      </c>
      <c r="C3376" s="2" t="s">
        <v>8898</v>
      </c>
      <c r="D3376" s="2" t="s">
        <v>10055</v>
      </c>
      <c r="E3376" s="15"/>
      <c r="F3376" s="15"/>
      <c r="G3376" s="15"/>
      <c r="H3376" s="15">
        <v>-1.3100000000000001E-2</v>
      </c>
      <c r="I3376" s="15">
        <v>3.7499999999999999E-2</v>
      </c>
      <c r="J3376" s="15">
        <v>-0.34933333333333338</v>
      </c>
    </row>
    <row r="3377" spans="1:10" x14ac:dyDescent="0.25">
      <c r="A3377" s="2" t="s">
        <v>8899</v>
      </c>
      <c r="B3377" s="2" t="s">
        <v>7007</v>
      </c>
      <c r="C3377" s="2" t="s">
        <v>8900</v>
      </c>
      <c r="D3377" s="2" t="s">
        <v>10055</v>
      </c>
      <c r="E3377" s="15"/>
      <c r="F3377" s="15"/>
      <c r="G3377" s="15"/>
      <c r="H3377" s="15"/>
      <c r="I3377" s="15"/>
      <c r="J3377" s="15"/>
    </row>
    <row r="3378" spans="1:10" x14ac:dyDescent="0.25">
      <c r="A3378" s="2" t="s">
        <v>8901</v>
      </c>
      <c r="B3378" s="2" t="s">
        <v>7007</v>
      </c>
      <c r="C3378" s="2" t="s">
        <v>8902</v>
      </c>
      <c r="D3378" s="2" t="s">
        <v>10055</v>
      </c>
      <c r="E3378" s="15">
        <v>-0.04</v>
      </c>
      <c r="F3378" s="15">
        <v>0.121</v>
      </c>
      <c r="G3378" s="15">
        <v>0.74080000000000001</v>
      </c>
      <c r="H3378" s="15">
        <v>7.7200000000000005E-2</v>
      </c>
      <c r="I3378" s="15">
        <v>4.2200000000000001E-2</v>
      </c>
      <c r="J3378" s="15">
        <v>1.829383886255924</v>
      </c>
    </row>
    <row r="3379" spans="1:10" x14ac:dyDescent="0.25">
      <c r="A3379" s="2" t="s">
        <v>8903</v>
      </c>
      <c r="B3379" s="2" t="s">
        <v>7007</v>
      </c>
      <c r="C3379" s="2" t="s">
        <v>8904</v>
      </c>
      <c r="D3379" s="2" t="s">
        <v>10055</v>
      </c>
      <c r="E3379" s="15"/>
      <c r="F3379" s="15"/>
      <c r="G3379" s="15"/>
      <c r="H3379" s="15">
        <v>-3.6700000000000003E-2</v>
      </c>
      <c r="I3379" s="15">
        <v>3.5200000000000002E-2</v>
      </c>
      <c r="J3379" s="15">
        <v>-1.042613636363636</v>
      </c>
    </row>
    <row r="3380" spans="1:10" x14ac:dyDescent="0.25">
      <c r="A3380" s="2" t="s">
        <v>8905</v>
      </c>
      <c r="B3380" s="2" t="s">
        <v>7007</v>
      </c>
      <c r="C3380" s="2" t="s">
        <v>8906</v>
      </c>
      <c r="D3380" s="2" t="s">
        <v>10055</v>
      </c>
      <c r="E3380" s="15">
        <v>6.4000000000000003E-3</v>
      </c>
      <c r="F3380" s="15">
        <v>0.14430000000000001</v>
      </c>
      <c r="G3380" s="15">
        <v>0.96479999999999999</v>
      </c>
      <c r="H3380" s="15">
        <v>5.2699999999999997E-2</v>
      </c>
      <c r="I3380" s="15">
        <v>3.85E-2</v>
      </c>
      <c r="J3380" s="15">
        <v>1.368831168831169</v>
      </c>
    </row>
    <row r="3381" spans="1:10" x14ac:dyDescent="0.25">
      <c r="A3381" s="2" t="s">
        <v>8907</v>
      </c>
      <c r="B3381" s="2" t="s">
        <v>7007</v>
      </c>
      <c r="C3381" s="2" t="s">
        <v>8908</v>
      </c>
      <c r="D3381" s="2" t="s">
        <v>10055</v>
      </c>
      <c r="E3381" s="15">
        <v>7.85E-2</v>
      </c>
      <c r="F3381" s="15">
        <v>7.3800000000000004E-2</v>
      </c>
      <c r="G3381" s="15">
        <v>0.28739999999999999</v>
      </c>
      <c r="H3381" s="15">
        <v>0.19550000000000001</v>
      </c>
      <c r="I3381" s="15">
        <v>4.1599999999999998E-2</v>
      </c>
      <c r="J3381" s="15">
        <v>4.6995192307692308</v>
      </c>
    </row>
    <row r="3382" spans="1:10" x14ac:dyDescent="0.25">
      <c r="A3382" s="2" t="s">
        <v>8909</v>
      </c>
      <c r="B3382" s="2" t="s">
        <v>7007</v>
      </c>
      <c r="C3382" s="2" t="s">
        <v>8910</v>
      </c>
      <c r="D3382" s="2" t="s">
        <v>10055</v>
      </c>
      <c r="E3382" s="15"/>
      <c r="F3382" s="15"/>
      <c r="G3382" s="15"/>
      <c r="H3382" s="15"/>
      <c r="I3382" s="15"/>
      <c r="J3382" s="15"/>
    </row>
    <row r="3383" spans="1:10" x14ac:dyDescent="0.25">
      <c r="A3383" s="2" t="s">
        <v>8911</v>
      </c>
      <c r="B3383" s="2" t="s">
        <v>7007</v>
      </c>
      <c r="C3383" s="2" t="s">
        <v>8912</v>
      </c>
      <c r="D3383" s="2" t="s">
        <v>10055</v>
      </c>
      <c r="E3383" s="15">
        <v>-0.1074</v>
      </c>
      <c r="F3383" s="15">
        <v>0.1118</v>
      </c>
      <c r="G3383" s="15">
        <v>0.3367</v>
      </c>
      <c r="H3383" s="15">
        <v>7.8700000000000006E-2</v>
      </c>
      <c r="I3383" s="15">
        <v>4.1700000000000001E-2</v>
      </c>
      <c r="J3383" s="15">
        <v>1.887290167865707</v>
      </c>
    </row>
    <row r="3384" spans="1:10" x14ac:dyDescent="0.25">
      <c r="A3384" s="2" t="s">
        <v>8913</v>
      </c>
      <c r="B3384" s="2" t="s">
        <v>7007</v>
      </c>
      <c r="C3384" s="2" t="s">
        <v>8914</v>
      </c>
      <c r="D3384" s="2" t="s">
        <v>10055</v>
      </c>
      <c r="E3384" s="15">
        <v>8.0500000000000002E-2</v>
      </c>
      <c r="F3384" s="15">
        <v>0.39489999999999997</v>
      </c>
      <c r="G3384" s="15">
        <v>0.83840000000000003</v>
      </c>
      <c r="H3384" s="15">
        <v>1.8599999999999998E-2</v>
      </c>
      <c r="I3384" s="15">
        <v>3.9600000000000003E-2</v>
      </c>
      <c r="J3384" s="15">
        <v>0.46969696969696961</v>
      </c>
    </row>
    <row r="3385" spans="1:10" x14ac:dyDescent="0.25">
      <c r="A3385" s="2" t="s">
        <v>8915</v>
      </c>
      <c r="B3385" s="2" t="s">
        <v>7007</v>
      </c>
      <c r="C3385" s="2" t="s">
        <v>8916</v>
      </c>
      <c r="D3385" s="2" t="s">
        <v>10055</v>
      </c>
      <c r="E3385" s="15">
        <v>-0.53380000000000005</v>
      </c>
      <c r="F3385" s="15">
        <v>0.52390000000000003</v>
      </c>
      <c r="G3385" s="15">
        <v>0.30830000000000002</v>
      </c>
      <c r="H3385" s="15">
        <v>2.1600000000000001E-2</v>
      </c>
      <c r="I3385" s="15">
        <v>3.8699999999999998E-2</v>
      </c>
      <c r="J3385" s="15">
        <v>0.55813953488372103</v>
      </c>
    </row>
    <row r="3386" spans="1:10" x14ac:dyDescent="0.25">
      <c r="A3386" s="2" t="s">
        <v>8917</v>
      </c>
      <c r="B3386" s="2" t="s">
        <v>7007</v>
      </c>
      <c r="C3386" s="2" t="s">
        <v>8918</v>
      </c>
      <c r="D3386" s="2" t="s">
        <v>10055</v>
      </c>
      <c r="E3386" s="15">
        <v>8.8000000000000005E-3</v>
      </c>
      <c r="F3386" s="15">
        <v>0.1041</v>
      </c>
      <c r="G3386" s="15">
        <v>0.93289999999999995</v>
      </c>
      <c r="H3386" s="15">
        <v>8.8999999999999996E-2</v>
      </c>
      <c r="I3386" s="15">
        <v>4.1500000000000002E-2</v>
      </c>
      <c r="J3386" s="15">
        <v>2.1445783132530121</v>
      </c>
    </row>
    <row r="3387" spans="1:10" x14ac:dyDescent="0.25">
      <c r="A3387" s="2" t="s">
        <v>8919</v>
      </c>
      <c r="B3387" s="2" t="s">
        <v>7007</v>
      </c>
      <c r="C3387" s="2" t="s">
        <v>8920</v>
      </c>
      <c r="D3387" s="2" t="s">
        <v>10055</v>
      </c>
      <c r="E3387" s="15">
        <v>-9.8000000000000004E-2</v>
      </c>
      <c r="F3387" s="15">
        <v>0.1033</v>
      </c>
      <c r="G3387" s="15">
        <v>0.34279999999999999</v>
      </c>
      <c r="H3387" s="15">
        <v>0.1123</v>
      </c>
      <c r="I3387" s="15">
        <v>4.2799999999999998E-2</v>
      </c>
      <c r="J3387" s="15">
        <v>2.6238317757009351</v>
      </c>
    </row>
    <row r="3388" spans="1:10" x14ac:dyDescent="0.25">
      <c r="A3388" s="2" t="s">
        <v>8921</v>
      </c>
      <c r="B3388" s="2" t="s">
        <v>7007</v>
      </c>
      <c r="C3388" s="2" t="s">
        <v>8922</v>
      </c>
      <c r="D3388" s="2" t="s">
        <v>10055</v>
      </c>
      <c r="E3388" s="15">
        <v>5.8999999999999999E-3</v>
      </c>
      <c r="F3388" s="15">
        <v>8.3900000000000002E-2</v>
      </c>
      <c r="G3388" s="15">
        <v>0.94379999999999997</v>
      </c>
      <c r="H3388" s="15">
        <v>0.16569999999999999</v>
      </c>
      <c r="I3388" s="15">
        <v>3.9600000000000003E-2</v>
      </c>
      <c r="J3388" s="15">
        <v>4.1843434343434334</v>
      </c>
    </row>
    <row r="3389" spans="1:10" x14ac:dyDescent="0.25">
      <c r="A3389" s="2" t="s">
        <v>8923</v>
      </c>
      <c r="B3389" s="2" t="s">
        <v>7007</v>
      </c>
      <c r="C3389" s="2" t="s">
        <v>8924</v>
      </c>
      <c r="D3389" s="2" t="s">
        <v>10055</v>
      </c>
      <c r="E3389" s="15">
        <v>-6.8099999999999994E-2</v>
      </c>
      <c r="F3389" s="15">
        <v>0.1158</v>
      </c>
      <c r="G3389" s="15">
        <v>0.55649999999999999</v>
      </c>
      <c r="H3389" s="15">
        <v>0.1003</v>
      </c>
      <c r="I3389" s="15">
        <v>3.73E-2</v>
      </c>
      <c r="J3389" s="15">
        <v>2.689008042895443</v>
      </c>
    </row>
    <row r="3390" spans="1:10" x14ac:dyDescent="0.25">
      <c r="A3390" s="2" t="s">
        <v>8925</v>
      </c>
      <c r="B3390" s="2" t="s">
        <v>7007</v>
      </c>
      <c r="C3390" s="2" t="s">
        <v>8926</v>
      </c>
      <c r="D3390" s="2" t="s">
        <v>10055</v>
      </c>
      <c r="E3390" s="15"/>
      <c r="F3390" s="15"/>
      <c r="G3390" s="15"/>
      <c r="H3390" s="15">
        <v>-1.72E-2</v>
      </c>
      <c r="I3390" s="15">
        <v>3.7699999999999997E-2</v>
      </c>
      <c r="J3390" s="15">
        <v>-0.45623342175066323</v>
      </c>
    </row>
    <row r="3391" spans="1:10" x14ac:dyDescent="0.25">
      <c r="A3391" s="2" t="s">
        <v>8927</v>
      </c>
      <c r="B3391" s="2" t="s">
        <v>7007</v>
      </c>
      <c r="C3391" s="2" t="s">
        <v>8928</v>
      </c>
      <c r="D3391" s="2" t="s">
        <v>10055</v>
      </c>
      <c r="E3391" s="15">
        <v>0.1265</v>
      </c>
      <c r="F3391" s="15">
        <v>0.1023</v>
      </c>
      <c r="G3391" s="15">
        <v>0.216</v>
      </c>
      <c r="H3391" s="15">
        <v>0.1046</v>
      </c>
      <c r="I3391" s="15">
        <v>4.4400000000000002E-2</v>
      </c>
      <c r="J3391" s="15">
        <v>2.355855855855856</v>
      </c>
    </row>
    <row r="3392" spans="1:10" x14ac:dyDescent="0.25">
      <c r="A3392" s="2" t="s">
        <v>8929</v>
      </c>
      <c r="B3392" s="2" t="s">
        <v>7007</v>
      </c>
      <c r="C3392" s="2" t="s">
        <v>8930</v>
      </c>
      <c r="D3392" s="2" t="s">
        <v>10055</v>
      </c>
      <c r="E3392" s="15"/>
      <c r="F3392" s="15"/>
      <c r="G3392" s="15"/>
      <c r="H3392" s="15">
        <v>-3.7999999999999999E-2</v>
      </c>
      <c r="I3392" s="15">
        <v>4.0099999999999997E-2</v>
      </c>
      <c r="J3392" s="15">
        <v>-0.94763092269326688</v>
      </c>
    </row>
    <row r="3393" spans="1:10" x14ac:dyDescent="0.25">
      <c r="A3393" s="2" t="s">
        <v>8931</v>
      </c>
      <c r="B3393" s="2" t="s">
        <v>7007</v>
      </c>
      <c r="C3393" s="2" t="s">
        <v>8932</v>
      </c>
      <c r="D3393" s="2" t="s">
        <v>10055</v>
      </c>
      <c r="E3393" s="15">
        <v>4.9000000000000002E-2</v>
      </c>
      <c r="F3393" s="15">
        <v>0.15509999999999999</v>
      </c>
      <c r="G3393" s="15">
        <v>0.752</v>
      </c>
      <c r="H3393" s="15">
        <v>4.5199999999999997E-2</v>
      </c>
      <c r="I3393" s="15">
        <v>3.61E-2</v>
      </c>
      <c r="J3393" s="15">
        <v>1.2520775623268701</v>
      </c>
    </row>
    <row r="3394" spans="1:10" x14ac:dyDescent="0.25">
      <c r="A3394" s="2" t="s">
        <v>8933</v>
      </c>
      <c r="B3394" s="2" t="s">
        <v>7007</v>
      </c>
      <c r="C3394" s="2" t="s">
        <v>8934</v>
      </c>
      <c r="D3394" s="2" t="s">
        <v>10055</v>
      </c>
      <c r="E3394" s="15">
        <v>-0.14299999999999999</v>
      </c>
      <c r="F3394" s="15">
        <v>0.1668</v>
      </c>
      <c r="G3394" s="15">
        <v>0.39119999999999999</v>
      </c>
      <c r="H3394" s="15">
        <v>4.3799999999999999E-2</v>
      </c>
      <c r="I3394" s="15">
        <v>3.9199999999999999E-2</v>
      </c>
      <c r="J3394" s="15">
        <v>1.1173469387755099</v>
      </c>
    </row>
    <row r="3395" spans="1:10" x14ac:dyDescent="0.25">
      <c r="A3395" s="2" t="s">
        <v>8935</v>
      </c>
      <c r="B3395" s="2" t="s">
        <v>7007</v>
      </c>
      <c r="C3395" s="2" t="s">
        <v>8936</v>
      </c>
      <c r="D3395" s="2" t="s">
        <v>10055</v>
      </c>
      <c r="E3395" s="15">
        <v>-6.6000000000000003E-2</v>
      </c>
      <c r="F3395" s="15">
        <v>9.8599999999999993E-2</v>
      </c>
      <c r="G3395" s="15">
        <v>0.50360000000000005</v>
      </c>
      <c r="H3395" s="15">
        <v>9.8599999999999993E-2</v>
      </c>
      <c r="I3395" s="15">
        <v>3.7999999999999999E-2</v>
      </c>
      <c r="J3395" s="15">
        <v>2.594736842105263</v>
      </c>
    </row>
    <row r="3396" spans="1:10" x14ac:dyDescent="0.25">
      <c r="A3396" s="2" t="s">
        <v>8937</v>
      </c>
      <c r="B3396" s="2" t="s">
        <v>7007</v>
      </c>
      <c r="C3396" s="2" t="s">
        <v>8938</v>
      </c>
      <c r="D3396" s="2" t="s">
        <v>10055</v>
      </c>
      <c r="E3396" s="15"/>
      <c r="F3396" s="15"/>
      <c r="G3396" s="15"/>
      <c r="H3396" s="15">
        <v>-1.8E-3</v>
      </c>
      <c r="I3396" s="15">
        <v>3.7199999999999997E-2</v>
      </c>
      <c r="J3396" s="15">
        <v>-4.8387096774193547E-2</v>
      </c>
    </row>
    <row r="3397" spans="1:10" x14ac:dyDescent="0.25">
      <c r="A3397" s="2" t="s">
        <v>8939</v>
      </c>
      <c r="B3397" s="2" t="s">
        <v>7007</v>
      </c>
      <c r="C3397" s="2" t="s">
        <v>8940</v>
      </c>
      <c r="D3397" s="2" t="s">
        <v>10055</v>
      </c>
      <c r="E3397" s="15">
        <v>-0.129</v>
      </c>
      <c r="F3397" s="15">
        <v>0.1231</v>
      </c>
      <c r="G3397" s="15">
        <v>0.2949</v>
      </c>
      <c r="H3397" s="15">
        <v>7.8899999999999998E-2</v>
      </c>
      <c r="I3397" s="15">
        <v>3.5999999999999997E-2</v>
      </c>
      <c r="J3397" s="15">
        <v>2.1916666666666669</v>
      </c>
    </row>
    <row r="3398" spans="1:10" x14ac:dyDescent="0.25">
      <c r="A3398" s="2" t="s">
        <v>8941</v>
      </c>
      <c r="B3398" s="2" t="s">
        <v>7007</v>
      </c>
      <c r="C3398" s="2" t="s">
        <v>8942</v>
      </c>
      <c r="D3398" s="2" t="s">
        <v>10055</v>
      </c>
      <c r="E3398" s="15">
        <v>0.1147</v>
      </c>
      <c r="F3398" s="15">
        <v>0.20230000000000001</v>
      </c>
      <c r="G3398" s="15">
        <v>0.5706</v>
      </c>
      <c r="H3398" s="15">
        <v>2.9899999999999999E-2</v>
      </c>
      <c r="I3398" s="15">
        <v>3.8899999999999997E-2</v>
      </c>
      <c r="J3398" s="15">
        <v>0.76863753213367614</v>
      </c>
    </row>
    <row r="3399" spans="1:10" x14ac:dyDescent="0.25">
      <c r="A3399" s="2" t="s">
        <v>8943</v>
      </c>
      <c r="B3399" s="2" t="s">
        <v>7007</v>
      </c>
      <c r="C3399" s="2" t="s">
        <v>8944</v>
      </c>
      <c r="D3399" s="2" t="s">
        <v>10055</v>
      </c>
      <c r="E3399" s="15"/>
      <c r="F3399" s="15"/>
      <c r="G3399" s="15"/>
      <c r="H3399" s="15">
        <v>-4.4000000000000003E-3</v>
      </c>
      <c r="I3399" s="15">
        <v>3.6200000000000003E-2</v>
      </c>
      <c r="J3399" s="15">
        <v>-0.1215469613259668</v>
      </c>
    </row>
    <row r="3400" spans="1:10" x14ac:dyDescent="0.25">
      <c r="A3400" s="2" t="s">
        <v>8945</v>
      </c>
      <c r="B3400" s="2" t="s">
        <v>7007</v>
      </c>
      <c r="C3400" s="2" t="s">
        <v>8946</v>
      </c>
      <c r="D3400" s="2" t="s">
        <v>10055</v>
      </c>
      <c r="E3400" s="15">
        <v>0.112</v>
      </c>
      <c r="F3400" s="15">
        <v>0.12590000000000001</v>
      </c>
      <c r="G3400" s="15">
        <v>0.37369999999999998</v>
      </c>
      <c r="H3400" s="15">
        <v>8.1799999999999998E-2</v>
      </c>
      <c r="I3400" s="15">
        <v>3.5200000000000002E-2</v>
      </c>
      <c r="J3400" s="15">
        <v>2.3238636363636358</v>
      </c>
    </row>
    <row r="3401" spans="1:10" x14ac:dyDescent="0.25">
      <c r="A3401" s="2" t="s">
        <v>8947</v>
      </c>
      <c r="B3401" s="2" t="s">
        <v>7007</v>
      </c>
      <c r="C3401" s="2" t="s">
        <v>8948</v>
      </c>
      <c r="D3401" s="2" t="s">
        <v>10055</v>
      </c>
      <c r="E3401" s="15">
        <v>9.5299999999999996E-2</v>
      </c>
      <c r="F3401" s="15">
        <v>0.1091</v>
      </c>
      <c r="G3401" s="15">
        <v>0.38250000000000001</v>
      </c>
      <c r="H3401" s="15">
        <v>9.8900000000000002E-2</v>
      </c>
      <c r="I3401" s="15">
        <v>0.04</v>
      </c>
      <c r="J3401" s="15">
        <v>2.4725000000000001</v>
      </c>
    </row>
    <row r="3402" spans="1:10" x14ac:dyDescent="0.25">
      <c r="A3402" s="2" t="s">
        <v>8949</v>
      </c>
      <c r="B3402" s="2" t="s">
        <v>7007</v>
      </c>
      <c r="C3402" s="2" t="s">
        <v>8950</v>
      </c>
      <c r="D3402" s="2" t="s">
        <v>10055</v>
      </c>
      <c r="E3402" s="15">
        <v>0.10730000000000001</v>
      </c>
      <c r="F3402" s="15">
        <v>0.43919999999999998</v>
      </c>
      <c r="G3402" s="15">
        <v>0.80700000000000005</v>
      </c>
      <c r="H3402" s="15">
        <v>1.2E-2</v>
      </c>
      <c r="I3402" s="15">
        <v>3.6499999999999998E-2</v>
      </c>
      <c r="J3402" s="15">
        <v>0.32876712328767133</v>
      </c>
    </row>
    <row r="3403" spans="1:10" x14ac:dyDescent="0.25">
      <c r="A3403" s="2" t="s">
        <v>8951</v>
      </c>
      <c r="B3403" s="2" t="s">
        <v>7007</v>
      </c>
      <c r="C3403" s="2" t="s">
        <v>8952</v>
      </c>
      <c r="D3403" s="2" t="s">
        <v>10055</v>
      </c>
      <c r="E3403" s="15">
        <v>-0.189</v>
      </c>
      <c r="F3403" s="15">
        <v>0.252</v>
      </c>
      <c r="G3403" s="15">
        <v>0.45319999999999999</v>
      </c>
      <c r="H3403" s="15">
        <v>2.64E-2</v>
      </c>
      <c r="I3403" s="15">
        <v>3.5799999999999998E-2</v>
      </c>
      <c r="J3403" s="15">
        <v>0.73743016759776536</v>
      </c>
    </row>
    <row r="3404" spans="1:10" x14ac:dyDescent="0.25">
      <c r="A3404" s="2" t="s">
        <v>8953</v>
      </c>
      <c r="B3404" s="2" t="s">
        <v>7007</v>
      </c>
      <c r="C3404" s="2" t="s">
        <v>8954</v>
      </c>
      <c r="D3404" s="2" t="s">
        <v>10055</v>
      </c>
      <c r="E3404" s="15">
        <v>-5.3999999999999999E-2</v>
      </c>
      <c r="F3404" s="15">
        <v>0.10589999999999999</v>
      </c>
      <c r="G3404" s="15">
        <v>0.6099</v>
      </c>
      <c r="H3404" s="15">
        <v>9.7500000000000003E-2</v>
      </c>
      <c r="I3404" s="15">
        <v>3.85E-2</v>
      </c>
      <c r="J3404" s="15">
        <v>2.5324675324675332</v>
      </c>
    </row>
    <row r="3405" spans="1:10" x14ac:dyDescent="0.25">
      <c r="A3405" s="2" t="s">
        <v>8955</v>
      </c>
      <c r="B3405" s="2" t="s">
        <v>7007</v>
      </c>
      <c r="C3405" s="2" t="s">
        <v>8956</v>
      </c>
      <c r="D3405" s="2" t="s">
        <v>10055</v>
      </c>
      <c r="E3405" s="15">
        <v>-2.0999999999999999E-3</v>
      </c>
      <c r="F3405" s="15">
        <v>9.2299999999999993E-2</v>
      </c>
      <c r="G3405" s="15">
        <v>0.98160000000000003</v>
      </c>
      <c r="H3405" s="15">
        <v>0.1242</v>
      </c>
      <c r="I3405" s="15">
        <v>4.19E-2</v>
      </c>
      <c r="J3405" s="15">
        <v>2.964200477326969</v>
      </c>
    </row>
    <row r="3406" spans="1:10" x14ac:dyDescent="0.25">
      <c r="A3406" s="2" t="s">
        <v>8957</v>
      </c>
      <c r="B3406" s="2" t="s">
        <v>7007</v>
      </c>
      <c r="C3406" s="2" t="s">
        <v>8958</v>
      </c>
      <c r="D3406" s="2" t="s">
        <v>10055</v>
      </c>
      <c r="E3406" s="15"/>
      <c r="F3406" s="15"/>
      <c r="G3406" s="15"/>
      <c r="H3406" s="15">
        <v>-2.2599999999999999E-2</v>
      </c>
      <c r="I3406" s="15">
        <v>3.78E-2</v>
      </c>
      <c r="J3406" s="15">
        <v>-0.59788359788359779</v>
      </c>
    </row>
    <row r="3407" spans="1:10" x14ac:dyDescent="0.25">
      <c r="A3407" s="2" t="s">
        <v>8959</v>
      </c>
      <c r="B3407" s="2" t="s">
        <v>7007</v>
      </c>
      <c r="C3407" s="2" t="s">
        <v>8960</v>
      </c>
      <c r="D3407" s="2" t="s">
        <v>10055</v>
      </c>
      <c r="E3407" s="15">
        <v>1.67E-2</v>
      </c>
      <c r="F3407" s="15">
        <v>9.5299999999999996E-2</v>
      </c>
      <c r="G3407" s="15">
        <v>0.86080000000000001</v>
      </c>
      <c r="H3407" s="15">
        <v>0.1245</v>
      </c>
      <c r="I3407" s="15">
        <v>4.0399999999999998E-2</v>
      </c>
      <c r="J3407" s="15">
        <v>3.081683168316832</v>
      </c>
    </row>
    <row r="3408" spans="1:10" x14ac:dyDescent="0.25">
      <c r="A3408" s="2" t="s">
        <v>8961</v>
      </c>
      <c r="B3408" s="2" t="s">
        <v>7007</v>
      </c>
      <c r="C3408" s="2" t="s">
        <v>8962</v>
      </c>
      <c r="D3408" s="2" t="s">
        <v>10055</v>
      </c>
      <c r="E3408" s="15">
        <v>-0.1321</v>
      </c>
      <c r="F3408" s="15">
        <v>0.23139999999999999</v>
      </c>
      <c r="G3408" s="15">
        <v>0.56799999999999995</v>
      </c>
      <c r="H3408" s="15">
        <v>2.4299999999999999E-2</v>
      </c>
      <c r="I3408" s="15">
        <v>3.6499999999999998E-2</v>
      </c>
      <c r="J3408" s="15">
        <v>0.66575342465753429</v>
      </c>
    </row>
    <row r="3409" spans="1:10" x14ac:dyDescent="0.25">
      <c r="A3409" s="2" t="s">
        <v>8963</v>
      </c>
      <c r="B3409" s="2" t="s">
        <v>7007</v>
      </c>
      <c r="C3409" s="2" t="s">
        <v>8964</v>
      </c>
      <c r="D3409" s="2" t="s">
        <v>10055</v>
      </c>
      <c r="E3409" s="15">
        <v>0.12529999999999999</v>
      </c>
      <c r="F3409" s="15">
        <v>8.5800000000000001E-2</v>
      </c>
      <c r="G3409" s="15">
        <v>0.14410000000000001</v>
      </c>
      <c r="H3409" s="15">
        <v>0.128</v>
      </c>
      <c r="I3409" s="15">
        <v>4.1500000000000002E-2</v>
      </c>
      <c r="J3409" s="15">
        <v>3.0843373493975901</v>
      </c>
    </row>
    <row r="3410" spans="1:10" x14ac:dyDescent="0.25">
      <c r="A3410" s="2" t="s">
        <v>8965</v>
      </c>
      <c r="B3410" s="2" t="s">
        <v>7007</v>
      </c>
      <c r="C3410" s="2" t="s">
        <v>8966</v>
      </c>
      <c r="D3410" s="2" t="s">
        <v>10055</v>
      </c>
      <c r="E3410" s="15">
        <v>-0.16930000000000001</v>
      </c>
      <c r="F3410" s="15">
        <v>0.18110000000000001</v>
      </c>
      <c r="G3410" s="15">
        <v>0.34989999999999999</v>
      </c>
      <c r="H3410" s="15">
        <v>3.4799999999999998E-2</v>
      </c>
      <c r="I3410" s="15">
        <v>3.3399999999999999E-2</v>
      </c>
      <c r="J3410" s="15">
        <v>1.0419161676646711</v>
      </c>
    </row>
    <row r="3411" spans="1:10" x14ac:dyDescent="0.25">
      <c r="A3411" s="2" t="s">
        <v>8967</v>
      </c>
      <c r="B3411" s="2" t="s">
        <v>7007</v>
      </c>
      <c r="C3411" s="2" t="s">
        <v>8968</v>
      </c>
      <c r="D3411" s="2" t="s">
        <v>10055</v>
      </c>
      <c r="E3411" s="15"/>
      <c r="F3411" s="15"/>
      <c r="G3411" s="15"/>
      <c r="H3411" s="15"/>
      <c r="I3411" s="15"/>
      <c r="J3411" s="15"/>
    </row>
    <row r="3412" spans="1:10" x14ac:dyDescent="0.25">
      <c r="A3412" s="2" t="s">
        <v>8969</v>
      </c>
      <c r="B3412" s="2" t="s">
        <v>7007</v>
      </c>
      <c r="C3412" s="2" t="s">
        <v>8970</v>
      </c>
      <c r="D3412" s="2" t="s">
        <v>10055</v>
      </c>
      <c r="E3412" s="15"/>
      <c r="F3412" s="15"/>
      <c r="G3412" s="15"/>
      <c r="H3412" s="15">
        <v>-1.95E-2</v>
      </c>
      <c r="I3412" s="15">
        <v>4.2000000000000003E-2</v>
      </c>
      <c r="J3412" s="15">
        <v>-0.46428571428571419</v>
      </c>
    </row>
    <row r="3413" spans="1:10" x14ac:dyDescent="0.25">
      <c r="A3413" s="2" t="s">
        <v>8971</v>
      </c>
      <c r="B3413" s="2" t="s">
        <v>7007</v>
      </c>
      <c r="C3413" s="2" t="s">
        <v>8972</v>
      </c>
      <c r="D3413" s="2" t="s">
        <v>10055</v>
      </c>
      <c r="E3413" s="15"/>
      <c r="F3413" s="15"/>
      <c r="G3413" s="15"/>
      <c r="H3413" s="15"/>
      <c r="I3413" s="15"/>
      <c r="J3413" s="15"/>
    </row>
    <row r="3414" spans="1:10" x14ac:dyDescent="0.25">
      <c r="A3414" s="2" t="s">
        <v>8973</v>
      </c>
      <c r="B3414" s="2" t="s">
        <v>7007</v>
      </c>
      <c r="C3414" s="2" t="s">
        <v>8974</v>
      </c>
      <c r="D3414" s="2" t="s">
        <v>10055</v>
      </c>
      <c r="E3414" s="15">
        <v>0.1023</v>
      </c>
      <c r="F3414" s="15">
        <v>0.1492</v>
      </c>
      <c r="G3414" s="15">
        <v>0.49320000000000003</v>
      </c>
      <c r="H3414" s="15">
        <v>4.7500000000000001E-2</v>
      </c>
      <c r="I3414" s="15">
        <v>3.7600000000000001E-2</v>
      </c>
      <c r="J3414" s="15">
        <v>1.263297872340426</v>
      </c>
    </row>
    <row r="3415" spans="1:10" x14ac:dyDescent="0.25">
      <c r="A3415" s="2" t="s">
        <v>8975</v>
      </c>
      <c r="B3415" s="2" t="s">
        <v>7007</v>
      </c>
      <c r="C3415" s="2" t="s">
        <v>8976</v>
      </c>
      <c r="D3415" s="2" t="s">
        <v>10055</v>
      </c>
      <c r="E3415" s="15">
        <v>-0.13869999999999999</v>
      </c>
      <c r="F3415" s="15">
        <v>0.1162</v>
      </c>
      <c r="G3415" s="15">
        <v>0.23269999999999999</v>
      </c>
      <c r="H3415" s="15">
        <v>8.2400000000000001E-2</v>
      </c>
      <c r="I3415" s="15">
        <v>3.7900000000000003E-2</v>
      </c>
      <c r="J3415" s="15">
        <v>2.1741424802110818</v>
      </c>
    </row>
    <row r="3416" spans="1:10" x14ac:dyDescent="0.25">
      <c r="A3416" s="2" t="s">
        <v>8977</v>
      </c>
      <c r="B3416" s="2" t="s">
        <v>7007</v>
      </c>
      <c r="C3416" s="2" t="s">
        <v>8978</v>
      </c>
      <c r="D3416" s="2" t="s">
        <v>10055</v>
      </c>
      <c r="E3416" s="15">
        <v>0.224</v>
      </c>
      <c r="F3416" s="15">
        <v>0.1724</v>
      </c>
      <c r="G3416" s="15">
        <v>0.1938</v>
      </c>
      <c r="H3416" s="15">
        <v>4.7300000000000002E-2</v>
      </c>
      <c r="I3416" s="15">
        <v>3.7999999999999999E-2</v>
      </c>
      <c r="J3416" s="15">
        <v>1.2447368421052629</v>
      </c>
    </row>
    <row r="3417" spans="1:10" x14ac:dyDescent="0.25">
      <c r="A3417" s="2" t="s">
        <v>8979</v>
      </c>
      <c r="B3417" s="2" t="s">
        <v>7007</v>
      </c>
      <c r="C3417" s="2" t="s">
        <v>8980</v>
      </c>
      <c r="D3417" s="2" t="s">
        <v>10055</v>
      </c>
      <c r="E3417" s="15">
        <v>-9.3600000000000003E-2</v>
      </c>
      <c r="F3417" s="15">
        <v>0.23619999999999999</v>
      </c>
      <c r="G3417" s="15">
        <v>0.69189999999999996</v>
      </c>
      <c r="H3417" s="15">
        <v>1.8599999999999998E-2</v>
      </c>
      <c r="I3417" s="15">
        <v>3.5200000000000002E-2</v>
      </c>
      <c r="J3417" s="15">
        <v>0.52840909090909083</v>
      </c>
    </row>
    <row r="3418" spans="1:10" x14ac:dyDescent="0.25">
      <c r="A3418" s="2" t="s">
        <v>8981</v>
      </c>
      <c r="B3418" s="2" t="s">
        <v>7007</v>
      </c>
      <c r="C3418" s="2" t="s">
        <v>8982</v>
      </c>
      <c r="D3418" s="2" t="s">
        <v>10055</v>
      </c>
      <c r="E3418" s="15">
        <v>-1.7500000000000002E-2</v>
      </c>
      <c r="F3418" s="15">
        <v>0.12820000000000001</v>
      </c>
      <c r="G3418" s="15">
        <v>0.89170000000000005</v>
      </c>
      <c r="H3418" s="15">
        <v>6.7599999999999993E-2</v>
      </c>
      <c r="I3418" s="15">
        <v>4.9500000000000002E-2</v>
      </c>
      <c r="J3418" s="15">
        <v>1.365656565656566</v>
      </c>
    </row>
    <row r="3419" spans="1:10" x14ac:dyDescent="0.25">
      <c r="A3419" s="2" t="s">
        <v>8983</v>
      </c>
      <c r="B3419" s="2" t="s">
        <v>7007</v>
      </c>
      <c r="C3419" s="2" t="s">
        <v>8984</v>
      </c>
      <c r="D3419" s="2" t="s">
        <v>10055</v>
      </c>
      <c r="E3419" s="15"/>
      <c r="F3419" s="15"/>
      <c r="G3419" s="15"/>
      <c r="H3419" s="15">
        <v>-2E-3</v>
      </c>
      <c r="I3419" s="15">
        <v>3.5400000000000001E-2</v>
      </c>
      <c r="J3419" s="15">
        <v>-5.6497175141242938E-2</v>
      </c>
    </row>
    <row r="3420" spans="1:10" x14ac:dyDescent="0.25">
      <c r="A3420" s="2" t="s">
        <v>8985</v>
      </c>
      <c r="B3420" s="2" t="s">
        <v>7007</v>
      </c>
      <c r="C3420" s="2" t="s">
        <v>8986</v>
      </c>
      <c r="D3420" s="2" t="s">
        <v>10055</v>
      </c>
      <c r="E3420" s="15">
        <v>-1.8200000000000001E-2</v>
      </c>
      <c r="F3420" s="15">
        <v>9.2700000000000005E-2</v>
      </c>
      <c r="G3420" s="15">
        <v>0.84460000000000002</v>
      </c>
      <c r="H3420" s="15">
        <v>0.12180000000000001</v>
      </c>
      <c r="I3420" s="15">
        <v>3.9300000000000002E-2</v>
      </c>
      <c r="J3420" s="15">
        <v>3.0992366412213741</v>
      </c>
    </row>
    <row r="3421" spans="1:10" x14ac:dyDescent="0.25">
      <c r="A3421" s="2" t="s">
        <v>8987</v>
      </c>
      <c r="B3421" s="2" t="s">
        <v>7007</v>
      </c>
      <c r="C3421" s="2" t="s">
        <v>8988</v>
      </c>
      <c r="D3421" s="2" t="s">
        <v>10055</v>
      </c>
      <c r="E3421" s="15">
        <v>-0.22900000000000001</v>
      </c>
      <c r="F3421" s="15">
        <v>0.44330000000000003</v>
      </c>
      <c r="G3421" s="15">
        <v>0.60540000000000005</v>
      </c>
      <c r="H3421" s="15">
        <v>1.67E-2</v>
      </c>
      <c r="I3421" s="15">
        <v>4.1500000000000002E-2</v>
      </c>
      <c r="J3421" s="15">
        <v>0.40240963855421691</v>
      </c>
    </row>
    <row r="3422" spans="1:10" x14ac:dyDescent="0.25">
      <c r="A3422" s="2" t="s">
        <v>8989</v>
      </c>
      <c r="B3422" s="2" t="s">
        <v>7007</v>
      </c>
      <c r="C3422" s="2" t="s">
        <v>8990</v>
      </c>
      <c r="D3422" s="2" t="s">
        <v>10055</v>
      </c>
      <c r="E3422" s="15">
        <v>0.11070000000000001</v>
      </c>
      <c r="F3422" s="15">
        <v>0.16059999999999999</v>
      </c>
      <c r="G3422" s="15">
        <v>0.49080000000000001</v>
      </c>
      <c r="H3422" s="15">
        <v>4.0399999999999998E-2</v>
      </c>
      <c r="I3422" s="15">
        <v>3.5799999999999998E-2</v>
      </c>
      <c r="J3422" s="15">
        <v>1.1284916201117321</v>
      </c>
    </row>
    <row r="3423" spans="1:10" x14ac:dyDescent="0.25">
      <c r="A3423" s="2" t="s">
        <v>8991</v>
      </c>
      <c r="B3423" s="2" t="s">
        <v>7007</v>
      </c>
      <c r="C3423" s="2" t="s">
        <v>8992</v>
      </c>
      <c r="D3423" s="2" t="s">
        <v>10055</v>
      </c>
      <c r="E3423" s="15"/>
      <c r="F3423" s="15"/>
      <c r="G3423" s="15"/>
      <c r="H3423" s="15"/>
      <c r="I3423" s="15"/>
      <c r="J3423" s="15"/>
    </row>
    <row r="3424" spans="1:10" x14ac:dyDescent="0.25">
      <c r="A3424" s="2" t="s">
        <v>8993</v>
      </c>
      <c r="B3424" s="2" t="s">
        <v>7007</v>
      </c>
      <c r="C3424" s="2" t="s">
        <v>8994</v>
      </c>
      <c r="D3424" s="2" t="s">
        <v>10055</v>
      </c>
      <c r="E3424" s="15">
        <v>0.26919999999999999</v>
      </c>
      <c r="F3424" s="15">
        <v>0.25559999999999999</v>
      </c>
      <c r="G3424" s="15">
        <v>0.29220000000000002</v>
      </c>
      <c r="H3424" s="15">
        <v>2.7099999999999999E-2</v>
      </c>
      <c r="I3424" s="15">
        <v>3.39E-2</v>
      </c>
      <c r="J3424" s="15">
        <v>0.79941002949852502</v>
      </c>
    </row>
    <row r="3425" spans="1:10" x14ac:dyDescent="0.25">
      <c r="A3425" s="2" t="s">
        <v>8995</v>
      </c>
      <c r="B3425" s="2" t="s">
        <v>7007</v>
      </c>
      <c r="C3425" s="2" t="s">
        <v>8996</v>
      </c>
      <c r="D3425" s="2" t="s">
        <v>10055</v>
      </c>
      <c r="E3425" s="15">
        <v>0.2591</v>
      </c>
      <c r="F3425" s="15">
        <v>0.21929999999999999</v>
      </c>
      <c r="G3425" s="15">
        <v>0.23760000000000001</v>
      </c>
      <c r="H3425" s="15">
        <v>4.8800000000000003E-2</v>
      </c>
      <c r="I3425" s="15">
        <v>4.4999999999999998E-2</v>
      </c>
      <c r="J3425" s="15">
        <v>1.084444444444445</v>
      </c>
    </row>
    <row r="3426" spans="1:10" x14ac:dyDescent="0.25">
      <c r="A3426" s="2" t="s">
        <v>8997</v>
      </c>
      <c r="B3426" s="2" t="s">
        <v>7007</v>
      </c>
      <c r="C3426" s="2" t="s">
        <v>8998</v>
      </c>
      <c r="D3426" s="2" t="s">
        <v>10055</v>
      </c>
      <c r="E3426" s="15">
        <v>0.37880000000000003</v>
      </c>
      <c r="F3426" s="15">
        <v>0.17299999999999999</v>
      </c>
      <c r="G3426" s="15">
        <v>2.8500000000000001E-2</v>
      </c>
      <c r="H3426" s="15">
        <v>5.62E-2</v>
      </c>
      <c r="I3426" s="15">
        <v>3.6700000000000003E-2</v>
      </c>
      <c r="J3426" s="15">
        <v>1.53133514986376</v>
      </c>
    </row>
    <row r="3427" spans="1:10" x14ac:dyDescent="0.25">
      <c r="A3427" s="2" t="s">
        <v>8999</v>
      </c>
      <c r="B3427" s="2" t="s">
        <v>7007</v>
      </c>
      <c r="C3427" s="2" t="s">
        <v>9000</v>
      </c>
      <c r="D3427" s="2" t="s">
        <v>10055</v>
      </c>
      <c r="E3427" s="15">
        <v>9.3799999999999994E-2</v>
      </c>
      <c r="F3427" s="15">
        <v>0.1188</v>
      </c>
      <c r="G3427" s="15">
        <v>0.43</v>
      </c>
      <c r="H3427" s="15">
        <v>8.7400000000000005E-2</v>
      </c>
      <c r="I3427" s="15">
        <v>4.1599999999999998E-2</v>
      </c>
      <c r="J3427" s="15">
        <v>2.1009615384615392</v>
      </c>
    </row>
    <row r="3428" spans="1:10" x14ac:dyDescent="0.25">
      <c r="A3428" s="2" t="s">
        <v>9001</v>
      </c>
      <c r="B3428" s="2" t="s">
        <v>7007</v>
      </c>
      <c r="C3428" s="2" t="s">
        <v>9002</v>
      </c>
      <c r="D3428" s="2" t="s">
        <v>10055</v>
      </c>
      <c r="E3428" s="15"/>
      <c r="F3428" s="15"/>
      <c r="G3428" s="15"/>
      <c r="H3428" s="15"/>
      <c r="I3428" s="15"/>
      <c r="J3428" s="15"/>
    </row>
    <row r="3429" spans="1:10" x14ac:dyDescent="0.25">
      <c r="A3429" s="2" t="s">
        <v>9003</v>
      </c>
      <c r="B3429" s="2" t="s">
        <v>7007</v>
      </c>
      <c r="C3429" s="2" t="s">
        <v>9004</v>
      </c>
      <c r="D3429" s="2" t="s">
        <v>10055</v>
      </c>
      <c r="E3429" s="15">
        <v>9.8699999999999996E-2</v>
      </c>
      <c r="F3429" s="15">
        <v>0.10929999999999999</v>
      </c>
      <c r="G3429" s="15">
        <v>0.36670000000000003</v>
      </c>
      <c r="H3429" s="15">
        <v>9.9500000000000005E-2</v>
      </c>
      <c r="I3429" s="15">
        <v>3.6700000000000003E-2</v>
      </c>
      <c r="J3429" s="15">
        <v>2.711171662125341</v>
      </c>
    </row>
    <row r="3430" spans="1:10" x14ac:dyDescent="0.25">
      <c r="A3430" s="2" t="s">
        <v>9005</v>
      </c>
      <c r="B3430" s="2" t="s">
        <v>7007</v>
      </c>
      <c r="C3430" s="2" t="s">
        <v>9006</v>
      </c>
      <c r="D3430" s="2" t="s">
        <v>10055</v>
      </c>
      <c r="E3430" s="15"/>
      <c r="F3430" s="15"/>
      <c r="G3430" s="15"/>
      <c r="H3430" s="15"/>
      <c r="I3430" s="15"/>
      <c r="J3430" s="15"/>
    </row>
    <row r="3431" spans="1:10" x14ac:dyDescent="0.25">
      <c r="A3431" s="2" t="s">
        <v>9007</v>
      </c>
      <c r="B3431" s="2" t="s">
        <v>7007</v>
      </c>
      <c r="C3431" s="2" t="s">
        <v>9008</v>
      </c>
      <c r="D3431" s="2" t="s">
        <v>10055</v>
      </c>
      <c r="E3431" s="15">
        <v>0.15010000000000001</v>
      </c>
      <c r="F3431" s="15">
        <v>0.12790000000000001</v>
      </c>
      <c r="G3431" s="15">
        <v>0.24060000000000001</v>
      </c>
      <c r="H3431" s="15">
        <v>7.5800000000000006E-2</v>
      </c>
      <c r="I3431" s="15">
        <v>3.6799999999999999E-2</v>
      </c>
      <c r="J3431" s="15">
        <v>2.0597826086956519</v>
      </c>
    </row>
    <row r="3432" spans="1:10" x14ac:dyDescent="0.25">
      <c r="A3432" s="2" t="s">
        <v>9009</v>
      </c>
      <c r="B3432" s="2" t="s">
        <v>7007</v>
      </c>
      <c r="C3432" s="2" t="s">
        <v>9010</v>
      </c>
      <c r="D3432" s="2" t="s">
        <v>10055</v>
      </c>
      <c r="E3432" s="15">
        <v>0.20660000000000001</v>
      </c>
      <c r="F3432" s="15">
        <v>0.18809999999999999</v>
      </c>
      <c r="G3432" s="15">
        <v>0.27200000000000002</v>
      </c>
      <c r="H3432" s="15">
        <v>5.04E-2</v>
      </c>
      <c r="I3432" s="15">
        <v>4.3499999999999997E-2</v>
      </c>
      <c r="J3432" s="15">
        <v>1.158620689655173</v>
      </c>
    </row>
    <row r="3433" spans="1:10" x14ac:dyDescent="0.25">
      <c r="A3433" s="2" t="s">
        <v>9011</v>
      </c>
      <c r="B3433" s="2" t="s">
        <v>7007</v>
      </c>
      <c r="C3433" s="2" t="s">
        <v>9012</v>
      </c>
      <c r="D3433" s="2" t="s">
        <v>10055</v>
      </c>
      <c r="E3433" s="15">
        <v>-2.3300000000000001E-2</v>
      </c>
      <c r="F3433" s="15">
        <v>0.1062</v>
      </c>
      <c r="G3433" s="15">
        <v>0.82609999999999995</v>
      </c>
      <c r="H3433" s="15">
        <v>9.69E-2</v>
      </c>
      <c r="I3433" s="15">
        <v>3.85E-2</v>
      </c>
      <c r="J3433" s="15">
        <v>2.5168831168831169</v>
      </c>
    </row>
    <row r="3434" spans="1:10" x14ac:dyDescent="0.25">
      <c r="A3434" s="2" t="s">
        <v>9013</v>
      </c>
      <c r="B3434" s="2" t="s">
        <v>7007</v>
      </c>
      <c r="C3434" s="2" t="s">
        <v>9014</v>
      </c>
      <c r="D3434" s="2" t="s">
        <v>10055</v>
      </c>
      <c r="E3434" s="15">
        <v>-1.61E-2</v>
      </c>
      <c r="F3434" s="15">
        <v>0.14180000000000001</v>
      </c>
      <c r="G3434" s="15">
        <v>0.90949999999999998</v>
      </c>
      <c r="H3434" s="15">
        <v>6.0600000000000001E-2</v>
      </c>
      <c r="I3434" s="15">
        <v>3.7600000000000001E-2</v>
      </c>
      <c r="J3434" s="15">
        <v>1.611702127659574</v>
      </c>
    </row>
    <row r="3435" spans="1:10" x14ac:dyDescent="0.25">
      <c r="A3435" s="2" t="s">
        <v>9015</v>
      </c>
      <c r="B3435" s="2" t="s">
        <v>7007</v>
      </c>
      <c r="C3435" s="2" t="s">
        <v>9016</v>
      </c>
      <c r="D3435" s="2" t="s">
        <v>10055</v>
      </c>
      <c r="E3435" s="15">
        <v>4.48E-2</v>
      </c>
      <c r="F3435" s="15">
        <v>0.129</v>
      </c>
      <c r="G3435" s="15">
        <v>0.72850000000000004</v>
      </c>
      <c r="H3435" s="15">
        <v>6.0400000000000002E-2</v>
      </c>
      <c r="I3435" s="15">
        <v>3.9300000000000002E-2</v>
      </c>
      <c r="J3435" s="15">
        <v>1.536895674300254</v>
      </c>
    </row>
    <row r="3436" spans="1:10" x14ac:dyDescent="0.25">
      <c r="A3436" s="2" t="s">
        <v>9017</v>
      </c>
      <c r="B3436" s="2" t="s">
        <v>7007</v>
      </c>
      <c r="C3436" s="2" t="s">
        <v>9018</v>
      </c>
      <c r="D3436" s="2" t="s">
        <v>10055</v>
      </c>
      <c r="E3436" s="15">
        <v>0.11849999999999999</v>
      </c>
      <c r="F3436" s="15">
        <v>0.14449999999999999</v>
      </c>
      <c r="G3436" s="15">
        <v>0.41249999999999998</v>
      </c>
      <c r="H3436" s="15">
        <v>7.2400000000000006E-2</v>
      </c>
      <c r="I3436" s="15">
        <v>3.5400000000000001E-2</v>
      </c>
      <c r="J3436" s="15">
        <v>2.0451977401129939</v>
      </c>
    </row>
    <row r="3437" spans="1:10" x14ac:dyDescent="0.25">
      <c r="A3437" s="2" t="s">
        <v>9019</v>
      </c>
      <c r="B3437" s="2" t="s">
        <v>7007</v>
      </c>
      <c r="C3437" s="2" t="s">
        <v>9020</v>
      </c>
      <c r="D3437" s="2" t="s">
        <v>10055</v>
      </c>
      <c r="E3437" s="15">
        <v>-0.1293</v>
      </c>
      <c r="F3437" s="15">
        <v>0.20130000000000001</v>
      </c>
      <c r="G3437" s="15">
        <v>0.52059999999999995</v>
      </c>
      <c r="H3437" s="15">
        <v>2.9399999999999999E-2</v>
      </c>
      <c r="I3437" s="15">
        <v>4.0500000000000001E-2</v>
      </c>
      <c r="J3437" s="15">
        <v>0.72592592592592586</v>
      </c>
    </row>
    <row r="3438" spans="1:10" x14ac:dyDescent="0.25">
      <c r="A3438" s="2" t="s">
        <v>9021</v>
      </c>
      <c r="B3438" s="2" t="s">
        <v>7007</v>
      </c>
      <c r="C3438" s="2" t="s">
        <v>9022</v>
      </c>
      <c r="D3438" s="2" t="s">
        <v>10055</v>
      </c>
      <c r="E3438" s="15">
        <v>4.7100000000000003E-2</v>
      </c>
      <c r="F3438" s="15">
        <v>0.1158</v>
      </c>
      <c r="G3438" s="15">
        <v>0.68389999999999995</v>
      </c>
      <c r="H3438" s="15">
        <v>7.1099999999999997E-2</v>
      </c>
      <c r="I3438" s="15">
        <v>3.61E-2</v>
      </c>
      <c r="J3438" s="15">
        <v>1.969529085872576</v>
      </c>
    </row>
    <row r="3439" spans="1:10" x14ac:dyDescent="0.25">
      <c r="A3439" s="2" t="s">
        <v>9023</v>
      </c>
      <c r="B3439" s="2" t="s">
        <v>7007</v>
      </c>
      <c r="C3439" s="2" t="s">
        <v>9024</v>
      </c>
      <c r="D3439" s="2" t="s">
        <v>10055</v>
      </c>
      <c r="E3439" s="15"/>
      <c r="F3439" s="15"/>
      <c r="G3439" s="15"/>
      <c r="H3439" s="15"/>
      <c r="I3439" s="15"/>
      <c r="J3439" s="15"/>
    </row>
    <row r="3440" spans="1:10" x14ac:dyDescent="0.25">
      <c r="A3440" s="2" t="s">
        <v>9025</v>
      </c>
      <c r="B3440" s="2" t="s">
        <v>7007</v>
      </c>
      <c r="C3440" s="2" t="s">
        <v>9026</v>
      </c>
      <c r="D3440" s="2" t="s">
        <v>10055</v>
      </c>
      <c r="E3440" s="15">
        <v>-0.1239</v>
      </c>
      <c r="F3440" s="15">
        <v>0.15659999999999999</v>
      </c>
      <c r="G3440" s="15">
        <v>0.42880000000000001</v>
      </c>
      <c r="H3440" s="15">
        <v>5.0200000000000002E-2</v>
      </c>
      <c r="I3440" s="15">
        <v>4.1700000000000001E-2</v>
      </c>
      <c r="J3440" s="15">
        <v>1.203836930455636</v>
      </c>
    </row>
    <row r="3441" spans="1:10" x14ac:dyDescent="0.25">
      <c r="A3441" s="2" t="s">
        <v>9027</v>
      </c>
      <c r="B3441" s="2" t="s">
        <v>7007</v>
      </c>
      <c r="C3441" s="2" t="s">
        <v>9028</v>
      </c>
      <c r="D3441" s="2" t="s">
        <v>10055</v>
      </c>
      <c r="E3441" s="15">
        <v>-2.47E-2</v>
      </c>
      <c r="F3441" s="15">
        <v>0.10299999999999999</v>
      </c>
      <c r="G3441" s="15">
        <v>0.81010000000000004</v>
      </c>
      <c r="H3441" s="15">
        <v>0.10290000000000001</v>
      </c>
      <c r="I3441" s="15">
        <v>3.6299999999999999E-2</v>
      </c>
      <c r="J3441" s="15">
        <v>2.834710743801653</v>
      </c>
    </row>
    <row r="3442" spans="1:10" x14ac:dyDescent="0.25">
      <c r="A3442" s="2" t="s">
        <v>9029</v>
      </c>
      <c r="B3442" s="2" t="s">
        <v>7007</v>
      </c>
      <c r="C3442" s="2" t="s">
        <v>9030</v>
      </c>
      <c r="D3442" s="2" t="s">
        <v>10055</v>
      </c>
      <c r="E3442" s="15"/>
      <c r="F3442" s="15"/>
      <c r="G3442" s="15"/>
      <c r="H3442" s="15">
        <v>-4.9099999999999998E-2</v>
      </c>
      <c r="I3442" s="15">
        <v>3.3700000000000001E-2</v>
      </c>
      <c r="J3442" s="15">
        <v>-1.456973293768546</v>
      </c>
    </row>
    <row r="3443" spans="1:10" x14ac:dyDescent="0.25">
      <c r="A3443" s="2" t="s">
        <v>9031</v>
      </c>
      <c r="B3443" s="2" t="s">
        <v>7007</v>
      </c>
      <c r="C3443" s="2" t="s">
        <v>9032</v>
      </c>
      <c r="D3443" s="2" t="s">
        <v>10055</v>
      </c>
      <c r="E3443" s="15"/>
      <c r="F3443" s="15"/>
      <c r="G3443" s="15"/>
      <c r="H3443" s="15"/>
      <c r="I3443" s="15"/>
      <c r="J3443" s="15"/>
    </row>
    <row r="3444" spans="1:10" x14ac:dyDescent="0.25">
      <c r="A3444" s="2" t="s">
        <v>9033</v>
      </c>
      <c r="B3444" s="2" t="s">
        <v>7007</v>
      </c>
      <c r="C3444" s="2" t="s">
        <v>9034</v>
      </c>
      <c r="D3444" s="2" t="s">
        <v>10055</v>
      </c>
      <c r="E3444" s="15">
        <v>-6.1199999999999997E-2</v>
      </c>
      <c r="F3444" s="15">
        <v>9.8699999999999996E-2</v>
      </c>
      <c r="G3444" s="15">
        <v>0.53480000000000005</v>
      </c>
      <c r="H3444" s="15">
        <v>0.13009999999999999</v>
      </c>
      <c r="I3444" s="15">
        <v>4.1200000000000001E-2</v>
      </c>
      <c r="J3444" s="15">
        <v>3.157766990291262</v>
      </c>
    </row>
    <row r="3445" spans="1:10" x14ac:dyDescent="0.25">
      <c r="A3445" s="2" t="s">
        <v>9035</v>
      </c>
      <c r="B3445" s="2" t="s">
        <v>7007</v>
      </c>
      <c r="C3445" s="2" t="s">
        <v>9036</v>
      </c>
      <c r="D3445" s="2" t="s">
        <v>10055</v>
      </c>
      <c r="E3445" s="15">
        <v>-0.1522</v>
      </c>
      <c r="F3445" s="15">
        <v>0.1071</v>
      </c>
      <c r="G3445" s="15">
        <v>0.1555</v>
      </c>
      <c r="H3445" s="15">
        <v>0.1074</v>
      </c>
      <c r="I3445" s="15">
        <v>3.8100000000000002E-2</v>
      </c>
      <c r="J3445" s="15">
        <v>2.818897637795275</v>
      </c>
    </row>
    <row r="3446" spans="1:10" x14ac:dyDescent="0.25">
      <c r="A3446" s="2" t="s">
        <v>9037</v>
      </c>
      <c r="B3446" s="2" t="s">
        <v>7007</v>
      </c>
      <c r="C3446" s="2" t="s">
        <v>9038</v>
      </c>
      <c r="D3446" s="2" t="s">
        <v>10055</v>
      </c>
      <c r="E3446" s="15"/>
      <c r="F3446" s="15"/>
      <c r="G3446" s="15"/>
      <c r="H3446" s="15">
        <v>-1.15E-2</v>
      </c>
      <c r="I3446" s="15">
        <v>3.5700000000000003E-2</v>
      </c>
      <c r="J3446" s="15">
        <v>-0.32212885154061621</v>
      </c>
    </row>
    <row r="3447" spans="1:10" x14ac:dyDescent="0.25">
      <c r="A3447" s="2" t="s">
        <v>9039</v>
      </c>
      <c r="B3447" s="2" t="s">
        <v>7007</v>
      </c>
      <c r="C3447" s="2" t="s">
        <v>9040</v>
      </c>
      <c r="D3447" s="2" t="s">
        <v>10055</v>
      </c>
      <c r="E3447" s="15"/>
      <c r="F3447" s="15"/>
      <c r="G3447" s="15"/>
      <c r="H3447" s="15">
        <v>-7.1999999999999998E-3</v>
      </c>
      <c r="I3447" s="15">
        <v>4.0599999999999997E-2</v>
      </c>
      <c r="J3447" s="15">
        <v>-0.17733990147783249</v>
      </c>
    </row>
    <row r="3448" spans="1:10" x14ac:dyDescent="0.25">
      <c r="A3448" s="2" t="s">
        <v>9041</v>
      </c>
      <c r="B3448" s="2" t="s">
        <v>7007</v>
      </c>
      <c r="C3448" s="2" t="s">
        <v>9042</v>
      </c>
      <c r="D3448" s="2" t="s">
        <v>10055</v>
      </c>
      <c r="E3448" s="15">
        <v>-0.17280000000000001</v>
      </c>
      <c r="F3448" s="15">
        <v>0.2107</v>
      </c>
      <c r="G3448" s="15">
        <v>0.41199999999999998</v>
      </c>
      <c r="H3448" s="15">
        <v>4.02E-2</v>
      </c>
      <c r="I3448" s="15">
        <v>3.5099999999999999E-2</v>
      </c>
      <c r="J3448" s="15">
        <v>1.145299145299145</v>
      </c>
    </row>
    <row r="3449" spans="1:10" x14ac:dyDescent="0.25">
      <c r="A3449" s="2" t="s">
        <v>9043</v>
      </c>
      <c r="B3449" s="2" t="s">
        <v>7007</v>
      </c>
      <c r="C3449" s="2" t="s">
        <v>9044</v>
      </c>
      <c r="D3449" s="2" t="s">
        <v>10055</v>
      </c>
      <c r="E3449" s="15">
        <v>-0.1118</v>
      </c>
      <c r="F3449" s="15">
        <v>0.15490000000000001</v>
      </c>
      <c r="G3449" s="15">
        <v>0.47039999999999998</v>
      </c>
      <c r="H3449" s="15">
        <v>5.8599999999999999E-2</v>
      </c>
      <c r="I3449" s="15">
        <v>4.0800000000000003E-2</v>
      </c>
      <c r="J3449" s="15">
        <v>1.4362745098039209</v>
      </c>
    </row>
    <row r="3450" spans="1:10" x14ac:dyDescent="0.25">
      <c r="A3450" s="2" t="s">
        <v>9045</v>
      </c>
      <c r="B3450" s="2" t="s">
        <v>7007</v>
      </c>
      <c r="C3450" s="2" t="s">
        <v>9046</v>
      </c>
      <c r="D3450" s="2" t="s">
        <v>10055</v>
      </c>
      <c r="E3450" s="15">
        <v>-0.17249999999999999</v>
      </c>
      <c r="F3450" s="15">
        <v>0.17499999999999999</v>
      </c>
      <c r="G3450" s="15">
        <v>0.32429999999999998</v>
      </c>
      <c r="H3450" s="15">
        <v>4.4499999999999998E-2</v>
      </c>
      <c r="I3450" s="15">
        <v>4.1200000000000001E-2</v>
      </c>
      <c r="J3450" s="15">
        <v>1.0800970873786411</v>
      </c>
    </row>
    <row r="3451" spans="1:10" x14ac:dyDescent="0.25">
      <c r="A3451" s="2" t="s">
        <v>9047</v>
      </c>
      <c r="B3451" s="2" t="s">
        <v>7007</v>
      </c>
      <c r="C3451" s="2" t="s">
        <v>9048</v>
      </c>
      <c r="D3451" s="2" t="s">
        <v>10055</v>
      </c>
      <c r="E3451" s="15">
        <v>0.159</v>
      </c>
      <c r="F3451" s="15">
        <v>0.104</v>
      </c>
      <c r="G3451" s="15">
        <v>0.12609999999999999</v>
      </c>
      <c r="H3451" s="15">
        <v>0.1079</v>
      </c>
      <c r="I3451" s="15">
        <v>4.0300000000000002E-2</v>
      </c>
      <c r="J3451" s="15">
        <v>2.67741935483871</v>
      </c>
    </row>
    <row r="3452" spans="1:10" x14ac:dyDescent="0.25">
      <c r="A3452" s="2" t="s">
        <v>9049</v>
      </c>
      <c r="B3452" s="2" t="s">
        <v>7007</v>
      </c>
      <c r="C3452" s="2" t="s">
        <v>9050</v>
      </c>
      <c r="D3452" s="2" t="s">
        <v>10055</v>
      </c>
      <c r="E3452" s="15">
        <v>1.8599999999999998E-2</v>
      </c>
      <c r="F3452" s="15">
        <v>0.21890000000000001</v>
      </c>
      <c r="G3452" s="15">
        <v>0.93240000000000001</v>
      </c>
      <c r="H3452" s="15">
        <v>1.9599999999999999E-2</v>
      </c>
      <c r="I3452" s="15">
        <v>3.5499999999999997E-2</v>
      </c>
      <c r="J3452" s="15">
        <v>0.55211267605633807</v>
      </c>
    </row>
    <row r="3453" spans="1:10" x14ac:dyDescent="0.25">
      <c r="A3453" s="2" t="s">
        <v>9051</v>
      </c>
      <c r="B3453" s="2" t="s">
        <v>7007</v>
      </c>
      <c r="C3453" s="2" t="s">
        <v>9052</v>
      </c>
      <c r="D3453" s="2" t="s">
        <v>10055</v>
      </c>
      <c r="E3453" s="15">
        <v>-0.23730000000000001</v>
      </c>
      <c r="F3453" s="15">
        <v>0.12239999999999999</v>
      </c>
      <c r="G3453" s="15">
        <v>5.2499999999999998E-2</v>
      </c>
      <c r="H3453" s="15">
        <v>9.4700000000000006E-2</v>
      </c>
      <c r="I3453" s="15">
        <v>3.9699999999999999E-2</v>
      </c>
      <c r="J3453" s="15">
        <v>2.3853904282115872</v>
      </c>
    </row>
    <row r="3454" spans="1:10" x14ac:dyDescent="0.25">
      <c r="A3454" s="2" t="s">
        <v>9053</v>
      </c>
      <c r="B3454" s="2" t="s">
        <v>7007</v>
      </c>
      <c r="C3454" s="2" t="s">
        <v>9054</v>
      </c>
      <c r="D3454" s="2" t="s">
        <v>10055</v>
      </c>
      <c r="E3454" s="15"/>
      <c r="F3454" s="15"/>
      <c r="G3454" s="15"/>
      <c r="H3454" s="15">
        <v>-1.77E-2</v>
      </c>
      <c r="I3454" s="15">
        <v>3.6499999999999998E-2</v>
      </c>
      <c r="J3454" s="15">
        <v>-0.48493150684931507</v>
      </c>
    </row>
    <row r="3455" spans="1:10" x14ac:dyDescent="0.25">
      <c r="A3455" s="2" t="s">
        <v>9055</v>
      </c>
      <c r="B3455" s="2" t="s">
        <v>7007</v>
      </c>
      <c r="C3455" s="2" t="s">
        <v>9056</v>
      </c>
      <c r="D3455" s="2" t="s">
        <v>10055</v>
      </c>
      <c r="E3455" s="15">
        <v>-1.21E-2</v>
      </c>
      <c r="F3455" s="15">
        <v>0.16300000000000001</v>
      </c>
      <c r="G3455" s="15">
        <v>0.94059999999999999</v>
      </c>
      <c r="H3455" s="15">
        <v>4.24E-2</v>
      </c>
      <c r="I3455" s="15">
        <v>3.6600000000000001E-2</v>
      </c>
      <c r="J3455" s="15">
        <v>1.158469945355191</v>
      </c>
    </row>
    <row r="3456" spans="1:10" x14ac:dyDescent="0.25">
      <c r="A3456" s="2" t="s">
        <v>9057</v>
      </c>
      <c r="B3456" s="2" t="s">
        <v>7007</v>
      </c>
      <c r="C3456" s="2" t="s">
        <v>9058</v>
      </c>
      <c r="D3456" s="2" t="s">
        <v>10055</v>
      </c>
      <c r="E3456" s="15">
        <v>-0.28870000000000001</v>
      </c>
      <c r="F3456" s="15">
        <v>0.16800000000000001</v>
      </c>
      <c r="G3456" s="15">
        <v>8.5699999999999998E-2</v>
      </c>
      <c r="H3456" s="15">
        <v>5.6800000000000003E-2</v>
      </c>
      <c r="I3456" s="15">
        <v>4.0399999999999998E-2</v>
      </c>
      <c r="J3456" s="15">
        <v>1.4059405940594061</v>
      </c>
    </row>
    <row r="3457" spans="1:10" x14ac:dyDescent="0.25">
      <c r="A3457" s="2" t="s">
        <v>9059</v>
      </c>
      <c r="B3457" s="2" t="s">
        <v>7007</v>
      </c>
      <c r="C3457" s="2" t="s">
        <v>9060</v>
      </c>
      <c r="D3457" s="2" t="s">
        <v>10055</v>
      </c>
      <c r="E3457" s="15">
        <v>-6.8400000000000002E-2</v>
      </c>
      <c r="F3457" s="15">
        <v>0.1036</v>
      </c>
      <c r="G3457" s="15">
        <v>0.50929999999999997</v>
      </c>
      <c r="H3457" s="15">
        <v>0.10539999999999999</v>
      </c>
      <c r="I3457" s="15">
        <v>3.9699999999999999E-2</v>
      </c>
      <c r="J3457" s="15">
        <v>2.6549118387909321</v>
      </c>
    </row>
    <row r="3458" spans="1:10" x14ac:dyDescent="0.25">
      <c r="A3458" s="2" t="s">
        <v>9061</v>
      </c>
      <c r="B3458" s="2" t="s">
        <v>7007</v>
      </c>
      <c r="C3458" s="2" t="s">
        <v>9062</v>
      </c>
      <c r="D3458" s="2" t="s">
        <v>10055</v>
      </c>
      <c r="E3458" s="15">
        <v>-4.2999999999999997E-2</v>
      </c>
      <c r="F3458" s="15">
        <v>0.1361</v>
      </c>
      <c r="G3458" s="15">
        <v>0.75190000000000001</v>
      </c>
      <c r="H3458" s="15">
        <v>5.8400000000000001E-2</v>
      </c>
      <c r="I3458" s="15">
        <v>3.7699999999999997E-2</v>
      </c>
      <c r="J3458" s="15">
        <v>1.5490716180371349</v>
      </c>
    </row>
    <row r="3459" spans="1:10" x14ac:dyDescent="0.25">
      <c r="A3459" s="2" t="s">
        <v>9063</v>
      </c>
      <c r="B3459" s="2" t="s">
        <v>7007</v>
      </c>
      <c r="C3459" s="2" t="s">
        <v>9064</v>
      </c>
      <c r="D3459" s="2" t="s">
        <v>10055</v>
      </c>
      <c r="E3459" s="15">
        <v>-0.22489999999999999</v>
      </c>
      <c r="F3459" s="15">
        <v>0.26910000000000001</v>
      </c>
      <c r="G3459" s="15">
        <v>0.40329999999999999</v>
      </c>
      <c r="H3459" s="15">
        <v>3.1E-2</v>
      </c>
      <c r="I3459" s="15">
        <v>3.8199999999999998E-2</v>
      </c>
      <c r="J3459" s="15">
        <v>0.81151832460732987</v>
      </c>
    </row>
    <row r="3460" spans="1:10" x14ac:dyDescent="0.25">
      <c r="A3460" s="2" t="s">
        <v>9065</v>
      </c>
      <c r="B3460" s="2" t="s">
        <v>7007</v>
      </c>
      <c r="C3460" s="2" t="s">
        <v>9066</v>
      </c>
      <c r="D3460" s="2" t="s">
        <v>10055</v>
      </c>
      <c r="E3460" s="15"/>
      <c r="F3460" s="15"/>
      <c r="G3460" s="15"/>
      <c r="H3460" s="15">
        <v>-4.0000000000000002E-4</v>
      </c>
      <c r="I3460" s="15">
        <v>4.0300000000000002E-2</v>
      </c>
      <c r="J3460" s="15">
        <v>-9.9255583126550868E-3</v>
      </c>
    </row>
    <row r="3461" spans="1:10" x14ac:dyDescent="0.25">
      <c r="A3461" s="2" t="s">
        <v>9067</v>
      </c>
      <c r="B3461" s="2" t="s">
        <v>7007</v>
      </c>
      <c r="C3461" s="2" t="s">
        <v>9068</v>
      </c>
      <c r="D3461" s="2" t="s">
        <v>10055</v>
      </c>
      <c r="E3461" s="15"/>
      <c r="F3461" s="15"/>
      <c r="G3461" s="15"/>
      <c r="H3461" s="15">
        <v>-2.1899999999999999E-2</v>
      </c>
      <c r="I3461" s="15">
        <v>3.5700000000000003E-2</v>
      </c>
      <c r="J3461" s="15">
        <v>-0.61344537815126043</v>
      </c>
    </row>
    <row r="3462" spans="1:10" x14ac:dyDescent="0.25">
      <c r="A3462" s="2" t="s">
        <v>9069</v>
      </c>
      <c r="B3462" s="2" t="s">
        <v>7007</v>
      </c>
      <c r="C3462" s="2" t="s">
        <v>9070</v>
      </c>
      <c r="D3462" s="2" t="s">
        <v>10055</v>
      </c>
      <c r="E3462" s="15">
        <v>-0.13669999999999999</v>
      </c>
      <c r="F3462" s="15">
        <v>0.19650000000000001</v>
      </c>
      <c r="G3462" s="15">
        <v>0.48670000000000002</v>
      </c>
      <c r="H3462" s="15">
        <v>3.04E-2</v>
      </c>
      <c r="I3462" s="15">
        <v>3.9199999999999999E-2</v>
      </c>
      <c r="J3462" s="15">
        <v>0.77551020408163263</v>
      </c>
    </row>
    <row r="3463" spans="1:10" x14ac:dyDescent="0.25">
      <c r="A3463" s="2" t="s">
        <v>9071</v>
      </c>
      <c r="B3463" s="2" t="s">
        <v>7007</v>
      </c>
      <c r="C3463" s="2" t="s">
        <v>9072</v>
      </c>
      <c r="D3463" s="2" t="s">
        <v>10055</v>
      </c>
      <c r="E3463" s="15">
        <v>-6.2600000000000003E-2</v>
      </c>
      <c r="F3463" s="15">
        <v>0.1875</v>
      </c>
      <c r="G3463" s="15">
        <v>0.73839999999999995</v>
      </c>
      <c r="H3463" s="15">
        <v>3.4299999999999997E-2</v>
      </c>
      <c r="I3463" s="15">
        <v>3.6900000000000002E-2</v>
      </c>
      <c r="J3463" s="15">
        <v>0.92953929539295377</v>
      </c>
    </row>
    <row r="3464" spans="1:10" x14ac:dyDescent="0.25">
      <c r="A3464" s="2" t="s">
        <v>9073</v>
      </c>
      <c r="B3464" s="2" t="s">
        <v>7007</v>
      </c>
      <c r="C3464" s="2" t="s">
        <v>9074</v>
      </c>
      <c r="D3464" s="2" t="s">
        <v>10055</v>
      </c>
      <c r="E3464" s="15">
        <v>-0.13</v>
      </c>
      <c r="F3464" s="15">
        <v>0.1111</v>
      </c>
      <c r="G3464" s="15">
        <v>0.24199999999999999</v>
      </c>
      <c r="H3464" s="15">
        <v>8.8499999999999995E-2</v>
      </c>
      <c r="I3464" s="15">
        <v>3.9800000000000002E-2</v>
      </c>
      <c r="J3464" s="15">
        <v>2.2236180904522609</v>
      </c>
    </row>
    <row r="3465" spans="1:10" x14ac:dyDescent="0.25">
      <c r="A3465" s="2" t="s">
        <v>9075</v>
      </c>
      <c r="B3465" s="2" t="s">
        <v>7007</v>
      </c>
      <c r="C3465" s="2" t="s">
        <v>9076</v>
      </c>
      <c r="D3465" s="2" t="s">
        <v>10055</v>
      </c>
      <c r="E3465" s="15">
        <v>0.1789</v>
      </c>
      <c r="F3465" s="15">
        <v>8.7599999999999997E-2</v>
      </c>
      <c r="G3465" s="15">
        <v>4.1099999999999998E-2</v>
      </c>
      <c r="H3465" s="15">
        <v>0.13689999999999999</v>
      </c>
      <c r="I3465" s="15">
        <v>4.0099999999999997E-2</v>
      </c>
      <c r="J3465" s="15">
        <v>3.4139650872817962</v>
      </c>
    </row>
    <row r="3466" spans="1:10" x14ac:dyDescent="0.25">
      <c r="A3466" s="2" t="s">
        <v>9077</v>
      </c>
      <c r="B3466" s="2" t="s">
        <v>7007</v>
      </c>
      <c r="C3466" s="2" t="s">
        <v>9078</v>
      </c>
      <c r="D3466" s="2" t="s">
        <v>10055</v>
      </c>
      <c r="E3466" s="15">
        <v>-6.2600000000000003E-2</v>
      </c>
      <c r="F3466" s="15">
        <v>0.19059999999999999</v>
      </c>
      <c r="G3466" s="15">
        <v>0.74260000000000004</v>
      </c>
      <c r="H3466" s="15">
        <v>2.5000000000000001E-2</v>
      </c>
      <c r="I3466" s="15">
        <v>3.3500000000000002E-2</v>
      </c>
      <c r="J3466" s="15">
        <v>0.74626865671641796</v>
      </c>
    </row>
    <row r="3467" spans="1:10" x14ac:dyDescent="0.25">
      <c r="A3467" s="2" t="s">
        <v>9079</v>
      </c>
      <c r="B3467" s="2" t="s">
        <v>7007</v>
      </c>
      <c r="C3467" s="2" t="s">
        <v>9080</v>
      </c>
      <c r="D3467" s="2" t="s">
        <v>10055</v>
      </c>
      <c r="E3467" s="15">
        <v>-0.19009999999999999</v>
      </c>
      <c r="F3467" s="15">
        <v>0.10929999999999999</v>
      </c>
      <c r="G3467" s="15">
        <v>8.2100000000000006E-2</v>
      </c>
      <c r="H3467" s="15">
        <v>0.1031</v>
      </c>
      <c r="I3467" s="15">
        <v>4.24E-2</v>
      </c>
      <c r="J3467" s="15">
        <v>2.431603773584905</v>
      </c>
    </row>
    <row r="3468" spans="1:10" x14ac:dyDescent="0.25">
      <c r="A3468" s="2" t="s">
        <v>9081</v>
      </c>
      <c r="B3468" s="2" t="s">
        <v>7007</v>
      </c>
      <c r="C3468" s="2" t="s">
        <v>9082</v>
      </c>
      <c r="D3468" s="2" t="s">
        <v>10055</v>
      </c>
      <c r="E3468" s="15"/>
      <c r="F3468" s="15"/>
      <c r="G3468" s="15"/>
      <c r="H3468" s="15">
        <v>-8.2000000000000007E-3</v>
      </c>
      <c r="I3468" s="15">
        <v>3.7100000000000001E-2</v>
      </c>
      <c r="J3468" s="15">
        <v>-0.22102425876010781</v>
      </c>
    </row>
    <row r="3469" spans="1:10" x14ac:dyDescent="0.25">
      <c r="A3469" s="2" t="s">
        <v>9083</v>
      </c>
      <c r="B3469" s="2" t="s">
        <v>7007</v>
      </c>
      <c r="C3469" s="2" t="s">
        <v>9084</v>
      </c>
      <c r="D3469" s="2" t="s">
        <v>10055</v>
      </c>
      <c r="E3469" s="15">
        <v>-0.10630000000000001</v>
      </c>
      <c r="F3469" s="15">
        <v>0.123</v>
      </c>
      <c r="G3469" s="15">
        <v>0.38729999999999998</v>
      </c>
      <c r="H3469" s="15">
        <v>7.9500000000000001E-2</v>
      </c>
      <c r="I3469" s="15">
        <v>3.9300000000000002E-2</v>
      </c>
      <c r="J3469" s="15">
        <v>2.0229007633587792</v>
      </c>
    </row>
    <row r="3470" spans="1:10" x14ac:dyDescent="0.25">
      <c r="A3470" s="2" t="s">
        <v>9085</v>
      </c>
      <c r="B3470" s="2" t="s">
        <v>7007</v>
      </c>
      <c r="C3470" s="2" t="s">
        <v>9086</v>
      </c>
      <c r="D3470" s="2" t="s">
        <v>10055</v>
      </c>
      <c r="E3470" s="15">
        <v>0.18390000000000001</v>
      </c>
      <c r="F3470" s="15">
        <v>0.1012</v>
      </c>
      <c r="G3470" s="15">
        <v>6.9099999999999995E-2</v>
      </c>
      <c r="H3470" s="15">
        <v>0.1265</v>
      </c>
      <c r="I3470" s="15">
        <v>4.2999999999999997E-2</v>
      </c>
      <c r="J3470" s="15">
        <v>2.941860465116279</v>
      </c>
    </row>
    <row r="3471" spans="1:10" x14ac:dyDescent="0.25">
      <c r="A3471" s="2" t="s">
        <v>9087</v>
      </c>
      <c r="B3471" s="2" t="s">
        <v>7007</v>
      </c>
      <c r="C3471" s="2" t="s">
        <v>9088</v>
      </c>
      <c r="D3471" s="2" t="s">
        <v>10055</v>
      </c>
      <c r="E3471" s="15"/>
      <c r="F3471" s="15"/>
      <c r="G3471" s="15"/>
      <c r="H3471" s="15"/>
      <c r="I3471" s="15"/>
      <c r="J3471" s="15"/>
    </row>
    <row r="3472" spans="1:10" x14ac:dyDescent="0.25">
      <c r="A3472" s="2" t="s">
        <v>9089</v>
      </c>
      <c r="B3472" s="2" t="s">
        <v>7007</v>
      </c>
      <c r="C3472" s="2" t="s">
        <v>9090</v>
      </c>
      <c r="D3472" s="2" t="s">
        <v>10055</v>
      </c>
      <c r="E3472" s="15">
        <v>4.1000000000000003E-3</v>
      </c>
      <c r="F3472" s="15">
        <v>0.27089999999999997</v>
      </c>
      <c r="G3472" s="15">
        <v>0.98780000000000001</v>
      </c>
      <c r="H3472" s="15">
        <v>1.44E-2</v>
      </c>
      <c r="I3472" s="15">
        <v>3.5999999999999997E-2</v>
      </c>
      <c r="J3472" s="15">
        <v>0.4</v>
      </c>
    </row>
    <row r="3473" spans="1:10" x14ac:dyDescent="0.25">
      <c r="A3473" s="2" t="s">
        <v>9091</v>
      </c>
      <c r="B3473" s="2" t="s">
        <v>7007</v>
      </c>
      <c r="C3473" s="2" t="s">
        <v>9092</v>
      </c>
      <c r="D3473" s="2" t="s">
        <v>10055</v>
      </c>
      <c r="E3473" s="15"/>
      <c r="F3473" s="15"/>
      <c r="G3473" s="15"/>
      <c r="H3473" s="15">
        <v>-1.0999999999999999E-2</v>
      </c>
      <c r="I3473" s="15">
        <v>3.6400000000000002E-2</v>
      </c>
      <c r="J3473" s="15">
        <v>-0.30219780219780218</v>
      </c>
    </row>
    <row r="3474" spans="1:10" x14ac:dyDescent="0.25">
      <c r="A3474" s="2" t="s">
        <v>9093</v>
      </c>
      <c r="B3474" s="2" t="s">
        <v>7007</v>
      </c>
      <c r="C3474" s="2" t="s">
        <v>9094</v>
      </c>
      <c r="D3474" s="2" t="s">
        <v>10055</v>
      </c>
      <c r="E3474" s="15">
        <v>9.9500000000000005E-2</v>
      </c>
      <c r="F3474" s="15">
        <v>0.1128</v>
      </c>
      <c r="G3474" s="15">
        <v>0.3775</v>
      </c>
      <c r="H3474" s="15">
        <v>8.5900000000000004E-2</v>
      </c>
      <c r="I3474" s="15">
        <v>3.6299999999999999E-2</v>
      </c>
      <c r="J3474" s="15">
        <v>2.3663911845730028</v>
      </c>
    </row>
    <row r="3475" spans="1:10" x14ac:dyDescent="0.25">
      <c r="A3475" s="2" t="s">
        <v>9095</v>
      </c>
      <c r="B3475" s="2" t="s">
        <v>7007</v>
      </c>
      <c r="C3475" s="2" t="s">
        <v>9096</v>
      </c>
      <c r="D3475" s="2" t="s">
        <v>10055</v>
      </c>
      <c r="E3475" s="15">
        <v>-0.1575</v>
      </c>
      <c r="F3475" s="15">
        <v>0.14990000000000001</v>
      </c>
      <c r="G3475" s="15">
        <v>0.29349999999999998</v>
      </c>
      <c r="H3475" s="15">
        <v>5.5199999999999999E-2</v>
      </c>
      <c r="I3475" s="15">
        <v>3.6999999999999998E-2</v>
      </c>
      <c r="J3475" s="15">
        <v>1.491891891891892</v>
      </c>
    </row>
    <row r="3476" spans="1:10" x14ac:dyDescent="0.25">
      <c r="A3476" s="2" t="s">
        <v>9097</v>
      </c>
      <c r="B3476" s="2" t="s">
        <v>7007</v>
      </c>
      <c r="C3476" s="2" t="s">
        <v>9098</v>
      </c>
      <c r="D3476" s="2" t="s">
        <v>10055</v>
      </c>
      <c r="E3476" s="15">
        <v>9.5200000000000007E-2</v>
      </c>
      <c r="F3476" s="15">
        <v>7.6600000000000001E-2</v>
      </c>
      <c r="G3476" s="15">
        <v>0.2137</v>
      </c>
      <c r="H3476" s="15">
        <v>0.19</v>
      </c>
      <c r="I3476" s="15">
        <v>4.0899999999999999E-2</v>
      </c>
      <c r="J3476" s="15">
        <v>4.6454767726161368</v>
      </c>
    </row>
    <row r="3477" spans="1:10" x14ac:dyDescent="0.25">
      <c r="A3477" s="2" t="s">
        <v>9099</v>
      </c>
      <c r="B3477" s="2" t="s">
        <v>7007</v>
      </c>
      <c r="C3477" s="2" t="s">
        <v>9100</v>
      </c>
      <c r="D3477" s="2" t="s">
        <v>10055</v>
      </c>
      <c r="E3477" s="15">
        <v>0.20230000000000001</v>
      </c>
      <c r="F3477" s="15">
        <v>0.1741</v>
      </c>
      <c r="G3477" s="15">
        <v>0.24540000000000001</v>
      </c>
      <c r="H3477" s="15">
        <v>5.28E-2</v>
      </c>
      <c r="I3477" s="15">
        <v>4.2299999999999997E-2</v>
      </c>
      <c r="J3477" s="15">
        <v>1.24822695035461</v>
      </c>
    </row>
    <row r="3478" spans="1:10" x14ac:dyDescent="0.25">
      <c r="A3478" s="2" t="s">
        <v>9101</v>
      </c>
      <c r="B3478" s="2" t="s">
        <v>7007</v>
      </c>
      <c r="C3478" s="2" t="s">
        <v>9102</v>
      </c>
      <c r="D3478" s="2" t="s">
        <v>10055</v>
      </c>
      <c r="E3478" s="15">
        <v>0.2787</v>
      </c>
      <c r="F3478" s="15">
        <v>0.25530000000000003</v>
      </c>
      <c r="G3478" s="15">
        <v>0.27510000000000001</v>
      </c>
      <c r="H3478" s="15">
        <v>3.0099999999999998E-2</v>
      </c>
      <c r="I3478" s="15">
        <v>3.7900000000000003E-2</v>
      </c>
      <c r="J3478" s="15">
        <v>0.79419525065963048</v>
      </c>
    </row>
    <row r="3479" spans="1:10" x14ac:dyDescent="0.25">
      <c r="A3479" s="2" t="s">
        <v>9103</v>
      </c>
      <c r="B3479" s="2" t="s">
        <v>7007</v>
      </c>
      <c r="C3479" s="2" t="s">
        <v>9104</v>
      </c>
      <c r="D3479" s="2" t="s">
        <v>10055</v>
      </c>
      <c r="E3479" s="15">
        <v>0.1643</v>
      </c>
      <c r="F3479" s="15">
        <v>0.13539999999999999</v>
      </c>
      <c r="G3479" s="15">
        <v>0.22509999999999999</v>
      </c>
      <c r="H3479" s="15">
        <v>6.7599999999999993E-2</v>
      </c>
      <c r="I3479" s="15">
        <v>3.6799999999999999E-2</v>
      </c>
      <c r="J3479" s="15">
        <v>1.8369565217391299</v>
      </c>
    </row>
    <row r="3480" spans="1:10" x14ac:dyDescent="0.25">
      <c r="A3480" s="2" t="s">
        <v>9105</v>
      </c>
      <c r="B3480" s="2" t="s">
        <v>7007</v>
      </c>
      <c r="C3480" s="2" t="s">
        <v>9106</v>
      </c>
      <c r="D3480" s="2" t="s">
        <v>10055</v>
      </c>
      <c r="E3480" s="15">
        <v>-6.9000000000000006E-2</v>
      </c>
      <c r="F3480" s="15">
        <v>9.3700000000000006E-2</v>
      </c>
      <c r="G3480" s="15">
        <v>0.46150000000000002</v>
      </c>
      <c r="H3480" s="15">
        <v>0.14580000000000001</v>
      </c>
      <c r="I3480" s="15">
        <v>3.7499999999999999E-2</v>
      </c>
      <c r="J3480" s="15">
        <v>3.8879999999999999</v>
      </c>
    </row>
    <row r="3481" spans="1:10" x14ac:dyDescent="0.25">
      <c r="A3481" s="2" t="s">
        <v>9107</v>
      </c>
      <c r="B3481" s="2" t="s">
        <v>7007</v>
      </c>
      <c r="C3481" s="2" t="s">
        <v>9108</v>
      </c>
      <c r="D3481" s="2" t="s">
        <v>10055</v>
      </c>
      <c r="E3481" s="15">
        <v>-0.15890000000000001</v>
      </c>
      <c r="F3481" s="15">
        <v>0.1106</v>
      </c>
      <c r="G3481" s="15">
        <v>0.15090000000000001</v>
      </c>
      <c r="H3481" s="15">
        <v>8.5900000000000004E-2</v>
      </c>
      <c r="I3481" s="15">
        <v>4.1099999999999998E-2</v>
      </c>
      <c r="J3481" s="15">
        <v>2.0900243309002429</v>
      </c>
    </row>
    <row r="3482" spans="1:10" x14ac:dyDescent="0.25">
      <c r="A3482" s="2" t="s">
        <v>9109</v>
      </c>
      <c r="B3482" s="2" t="s">
        <v>7007</v>
      </c>
      <c r="C3482" s="2" t="s">
        <v>9110</v>
      </c>
      <c r="D3482" s="2" t="s">
        <v>10055</v>
      </c>
      <c r="E3482" s="15">
        <v>3.7900000000000003E-2</v>
      </c>
      <c r="F3482" s="15">
        <v>0.1721</v>
      </c>
      <c r="G3482" s="15">
        <v>0.82579999999999998</v>
      </c>
      <c r="H3482" s="15">
        <v>4.0599999999999997E-2</v>
      </c>
      <c r="I3482" s="15">
        <v>4.5499999999999999E-2</v>
      </c>
      <c r="J3482" s="15">
        <v>0.89230769230769225</v>
      </c>
    </row>
    <row r="3483" spans="1:10" x14ac:dyDescent="0.25">
      <c r="A3483" s="2" t="s">
        <v>9111</v>
      </c>
      <c r="B3483" s="2" t="s">
        <v>7007</v>
      </c>
      <c r="C3483" s="2" t="s">
        <v>9112</v>
      </c>
      <c r="D3483" s="2" t="s">
        <v>10055</v>
      </c>
      <c r="E3483" s="15">
        <v>-0.21790000000000001</v>
      </c>
      <c r="F3483" s="15">
        <v>0.39579999999999999</v>
      </c>
      <c r="G3483" s="15">
        <v>0.58189999999999997</v>
      </c>
      <c r="H3483" s="15">
        <v>1.8499999999999999E-2</v>
      </c>
      <c r="I3483" s="15">
        <v>3.8199999999999998E-2</v>
      </c>
      <c r="J3483" s="15">
        <v>0.48429319371727753</v>
      </c>
    </row>
    <row r="3484" spans="1:10" x14ac:dyDescent="0.25">
      <c r="A3484" s="2" t="s">
        <v>9113</v>
      </c>
      <c r="B3484" s="2" t="s">
        <v>7007</v>
      </c>
      <c r="C3484" s="2" t="s">
        <v>9114</v>
      </c>
      <c r="D3484" s="2" t="s">
        <v>10055</v>
      </c>
      <c r="E3484" s="15">
        <v>-9.06E-2</v>
      </c>
      <c r="F3484" s="15">
        <v>0.1008</v>
      </c>
      <c r="G3484" s="15">
        <v>0.36870000000000003</v>
      </c>
      <c r="H3484" s="15">
        <v>9.9000000000000005E-2</v>
      </c>
      <c r="I3484" s="15">
        <v>3.5900000000000001E-2</v>
      </c>
      <c r="J3484" s="15">
        <v>2.7576601671309189</v>
      </c>
    </row>
    <row r="3485" spans="1:10" x14ac:dyDescent="0.25">
      <c r="A3485" s="2" t="s">
        <v>9115</v>
      </c>
      <c r="B3485" s="2" t="s">
        <v>7007</v>
      </c>
      <c r="C3485" s="2" t="s">
        <v>9116</v>
      </c>
      <c r="D3485" s="2" t="s">
        <v>10055</v>
      </c>
      <c r="E3485" s="15">
        <v>0.26600000000000001</v>
      </c>
      <c r="F3485" s="15">
        <v>0.16750000000000001</v>
      </c>
      <c r="G3485" s="15">
        <v>0.1123</v>
      </c>
      <c r="H3485" s="15">
        <v>5.5899999999999998E-2</v>
      </c>
      <c r="I3485" s="15">
        <v>4.02E-2</v>
      </c>
      <c r="J3485" s="15">
        <v>1.3905472636815921</v>
      </c>
    </row>
    <row r="3486" spans="1:10" x14ac:dyDescent="0.25">
      <c r="A3486" s="2" t="s">
        <v>9117</v>
      </c>
      <c r="B3486" s="2" t="s">
        <v>7007</v>
      </c>
      <c r="C3486" s="2" t="s">
        <v>9118</v>
      </c>
      <c r="D3486" s="2" t="s">
        <v>10055</v>
      </c>
      <c r="E3486" s="15">
        <v>0.20519999999999999</v>
      </c>
      <c r="F3486" s="15">
        <v>0.1135</v>
      </c>
      <c r="G3486" s="15">
        <v>7.0599999999999996E-2</v>
      </c>
      <c r="H3486" s="15">
        <v>0.11840000000000001</v>
      </c>
      <c r="I3486" s="15">
        <v>3.8600000000000002E-2</v>
      </c>
      <c r="J3486" s="15">
        <v>3.0673575129533681</v>
      </c>
    </row>
    <row r="3487" spans="1:10" x14ac:dyDescent="0.25">
      <c r="A3487" s="2" t="s">
        <v>9119</v>
      </c>
      <c r="B3487" s="2" t="s">
        <v>7007</v>
      </c>
      <c r="C3487" s="2" t="s">
        <v>9120</v>
      </c>
      <c r="D3487" s="2" t="s">
        <v>10055</v>
      </c>
      <c r="E3487" s="15">
        <v>0.3135</v>
      </c>
      <c r="F3487" s="15">
        <v>0.26500000000000001</v>
      </c>
      <c r="G3487" s="15">
        <v>0.23680000000000001</v>
      </c>
      <c r="H3487" s="15">
        <v>3.1600000000000003E-2</v>
      </c>
      <c r="I3487" s="15">
        <v>4.0099999999999997E-2</v>
      </c>
      <c r="J3487" s="15">
        <v>0.78802992518703252</v>
      </c>
    </row>
    <row r="3488" spans="1:10" x14ac:dyDescent="0.25">
      <c r="A3488" s="2" t="s">
        <v>9121</v>
      </c>
      <c r="B3488" s="2" t="s">
        <v>7007</v>
      </c>
      <c r="C3488" s="2" t="s">
        <v>9122</v>
      </c>
      <c r="D3488" s="2" t="s">
        <v>10055</v>
      </c>
      <c r="E3488" s="15">
        <v>3.6600000000000001E-2</v>
      </c>
      <c r="F3488" s="15">
        <v>0.1128</v>
      </c>
      <c r="G3488" s="15">
        <v>0.74580000000000002</v>
      </c>
      <c r="H3488" s="15">
        <v>8.5699999999999998E-2</v>
      </c>
      <c r="I3488" s="15">
        <v>3.95E-2</v>
      </c>
      <c r="J3488" s="15">
        <v>2.169620253164557</v>
      </c>
    </row>
    <row r="3489" spans="1:10" x14ac:dyDescent="0.25">
      <c r="A3489" s="2" t="s">
        <v>9123</v>
      </c>
      <c r="B3489" s="2" t="s">
        <v>7007</v>
      </c>
      <c r="C3489" s="2" t="s">
        <v>9124</v>
      </c>
      <c r="D3489" s="2" t="s">
        <v>10055</v>
      </c>
      <c r="E3489" s="15">
        <v>1.54E-2</v>
      </c>
      <c r="F3489" s="15">
        <v>0.112</v>
      </c>
      <c r="G3489" s="15">
        <v>0.89080000000000004</v>
      </c>
      <c r="H3489" s="15">
        <v>9.2299999999999993E-2</v>
      </c>
      <c r="I3489" s="15">
        <v>4.0800000000000003E-2</v>
      </c>
      <c r="J3489" s="15">
        <v>2.2622549019607838</v>
      </c>
    </row>
    <row r="3490" spans="1:10" x14ac:dyDescent="0.25">
      <c r="A3490" s="2" t="s">
        <v>9125</v>
      </c>
      <c r="B3490" s="2" t="s">
        <v>7007</v>
      </c>
      <c r="C3490" s="2" t="s">
        <v>9126</v>
      </c>
      <c r="D3490" s="2" t="s">
        <v>10055</v>
      </c>
      <c r="E3490" s="15">
        <v>0.1673</v>
      </c>
      <c r="F3490" s="15">
        <v>0.1019</v>
      </c>
      <c r="G3490" s="15">
        <v>0.1007</v>
      </c>
      <c r="H3490" s="15">
        <v>0.13100000000000001</v>
      </c>
      <c r="I3490" s="15">
        <v>4.1599999999999998E-2</v>
      </c>
      <c r="J3490" s="15">
        <v>3.1490384615384621</v>
      </c>
    </row>
    <row r="3491" spans="1:10" x14ac:dyDescent="0.25">
      <c r="A3491" s="2" t="s">
        <v>9127</v>
      </c>
      <c r="B3491" s="2" t="s">
        <v>7007</v>
      </c>
      <c r="C3491" s="2" t="s">
        <v>9128</v>
      </c>
      <c r="D3491" s="2" t="s">
        <v>10055</v>
      </c>
      <c r="E3491" s="15">
        <v>6.7199999999999996E-2</v>
      </c>
      <c r="F3491" s="15">
        <v>0.20799999999999999</v>
      </c>
      <c r="G3491" s="15">
        <v>0.74650000000000005</v>
      </c>
      <c r="H3491" s="15">
        <v>2.4299999999999999E-2</v>
      </c>
      <c r="I3491" s="15">
        <v>4.1399999999999999E-2</v>
      </c>
      <c r="J3491" s="15">
        <v>0.58695652173913038</v>
      </c>
    </row>
    <row r="3492" spans="1:10" x14ac:dyDescent="0.25">
      <c r="A3492" s="2" t="s">
        <v>9129</v>
      </c>
      <c r="B3492" s="2" t="s">
        <v>7007</v>
      </c>
      <c r="C3492" s="2" t="s">
        <v>9130</v>
      </c>
      <c r="D3492" s="2" t="s">
        <v>10055</v>
      </c>
      <c r="E3492" s="15">
        <v>0.22989999999999999</v>
      </c>
      <c r="F3492" s="15">
        <v>0.182</v>
      </c>
      <c r="G3492" s="15">
        <v>0.20660000000000001</v>
      </c>
      <c r="H3492" s="15">
        <v>5.1200000000000002E-2</v>
      </c>
      <c r="I3492" s="15">
        <v>3.61E-2</v>
      </c>
      <c r="J3492" s="15">
        <v>1.4182825484764541</v>
      </c>
    </row>
    <row r="3493" spans="1:10" x14ac:dyDescent="0.25">
      <c r="A3493" s="2" t="s">
        <v>9131</v>
      </c>
      <c r="B3493" s="2" t="s">
        <v>7007</v>
      </c>
      <c r="C3493" s="2" t="s">
        <v>9132</v>
      </c>
      <c r="D3493" s="2" t="s">
        <v>10055</v>
      </c>
      <c r="E3493" s="15">
        <v>5.5999999999999999E-3</v>
      </c>
      <c r="F3493" s="15">
        <v>9.9099999999999994E-2</v>
      </c>
      <c r="G3493" s="15">
        <v>0.9546</v>
      </c>
      <c r="H3493" s="15">
        <v>0.1032</v>
      </c>
      <c r="I3493" s="15">
        <v>4.5600000000000002E-2</v>
      </c>
      <c r="J3493" s="15">
        <v>2.263157894736842</v>
      </c>
    </row>
    <row r="3494" spans="1:10" x14ac:dyDescent="0.25">
      <c r="A3494" s="2" t="s">
        <v>9133</v>
      </c>
      <c r="B3494" s="2" t="s">
        <v>7007</v>
      </c>
      <c r="C3494" s="2" t="s">
        <v>9134</v>
      </c>
      <c r="D3494" s="2" t="s">
        <v>10055</v>
      </c>
      <c r="E3494" s="15">
        <v>-6.2100000000000002E-2</v>
      </c>
      <c r="F3494" s="15">
        <v>9.2399999999999996E-2</v>
      </c>
      <c r="G3494" s="15">
        <v>0.50129999999999997</v>
      </c>
      <c r="H3494" s="15">
        <v>0.1075</v>
      </c>
      <c r="I3494" s="15">
        <v>3.6400000000000002E-2</v>
      </c>
      <c r="J3494" s="15">
        <v>2.953296703296703</v>
      </c>
    </row>
    <row r="3495" spans="1:10" x14ac:dyDescent="0.25">
      <c r="A3495" s="2" t="s">
        <v>9135</v>
      </c>
      <c r="B3495" s="2" t="s">
        <v>7007</v>
      </c>
      <c r="C3495" s="2" t="s">
        <v>9136</v>
      </c>
      <c r="D3495" s="2" t="s">
        <v>10055</v>
      </c>
      <c r="E3495" s="15">
        <v>3.2800000000000003E-2</v>
      </c>
      <c r="F3495" s="15">
        <v>0.11409999999999999</v>
      </c>
      <c r="G3495" s="15">
        <v>0.77339999999999998</v>
      </c>
      <c r="H3495" s="15">
        <v>7.7899999999999997E-2</v>
      </c>
      <c r="I3495" s="15">
        <v>3.6999999999999998E-2</v>
      </c>
      <c r="J3495" s="15">
        <v>2.105405405405405</v>
      </c>
    </row>
    <row r="3496" spans="1:10" x14ac:dyDescent="0.25">
      <c r="A3496" s="2" t="s">
        <v>9137</v>
      </c>
      <c r="B3496" s="2" t="s">
        <v>7007</v>
      </c>
      <c r="C3496" s="2" t="s">
        <v>9138</v>
      </c>
      <c r="D3496" s="2" t="s">
        <v>10055</v>
      </c>
      <c r="E3496" s="15">
        <v>-6.3200000000000006E-2</v>
      </c>
      <c r="F3496" s="15">
        <v>0.1008</v>
      </c>
      <c r="G3496" s="15">
        <v>0.53049999999999997</v>
      </c>
      <c r="H3496" s="15">
        <v>0.11600000000000001</v>
      </c>
      <c r="I3496" s="15">
        <v>4.3900000000000002E-2</v>
      </c>
      <c r="J3496" s="15">
        <v>2.642369020501139</v>
      </c>
    </row>
    <row r="3497" spans="1:10" x14ac:dyDescent="0.25">
      <c r="A3497" s="2" t="s">
        <v>9139</v>
      </c>
      <c r="B3497" s="2" t="s">
        <v>7007</v>
      </c>
      <c r="C3497" s="2" t="s">
        <v>9140</v>
      </c>
      <c r="D3497" s="2" t="s">
        <v>10055</v>
      </c>
      <c r="E3497" s="15"/>
      <c r="F3497" s="15"/>
      <c r="G3497" s="15"/>
      <c r="H3497" s="15"/>
      <c r="I3497" s="15"/>
      <c r="J3497" s="15"/>
    </row>
    <row r="3498" spans="1:10" x14ac:dyDescent="0.25">
      <c r="A3498" s="2" t="s">
        <v>9141</v>
      </c>
      <c r="B3498" s="2" t="s">
        <v>7007</v>
      </c>
      <c r="C3498" s="2" t="s">
        <v>9142</v>
      </c>
      <c r="D3498" s="2" t="s">
        <v>10055</v>
      </c>
      <c r="E3498" s="15">
        <v>-0.19719999999999999</v>
      </c>
      <c r="F3498" s="15">
        <v>0.16289999999999999</v>
      </c>
      <c r="G3498" s="15">
        <v>0.22589999999999999</v>
      </c>
      <c r="H3498" s="15">
        <v>5.0200000000000002E-2</v>
      </c>
      <c r="I3498" s="15">
        <v>3.9199999999999999E-2</v>
      </c>
      <c r="J3498" s="15">
        <v>1.2806122448979591</v>
      </c>
    </row>
    <row r="3499" spans="1:10" x14ac:dyDescent="0.25">
      <c r="A3499" s="2" t="s">
        <v>9143</v>
      </c>
      <c r="B3499" s="2" t="s">
        <v>7007</v>
      </c>
      <c r="C3499" s="2" t="s">
        <v>9144</v>
      </c>
      <c r="D3499" s="2" t="s">
        <v>10055</v>
      </c>
      <c r="E3499" s="15"/>
      <c r="F3499" s="15"/>
      <c r="G3499" s="15"/>
      <c r="H3499" s="15">
        <v>-5.5999999999999999E-3</v>
      </c>
      <c r="I3499" s="15">
        <v>3.7900000000000003E-2</v>
      </c>
      <c r="J3499" s="15">
        <v>-0.14775725593667541</v>
      </c>
    </row>
    <row r="3500" spans="1:10" x14ac:dyDescent="0.25">
      <c r="A3500" s="2" t="s">
        <v>9145</v>
      </c>
      <c r="B3500" s="2" t="s">
        <v>7007</v>
      </c>
      <c r="C3500" s="2" t="s">
        <v>9146</v>
      </c>
      <c r="D3500" s="2" t="s">
        <v>10055</v>
      </c>
      <c r="E3500" s="15">
        <v>9.8100000000000007E-2</v>
      </c>
      <c r="F3500" s="15">
        <v>0.1103</v>
      </c>
      <c r="G3500" s="15">
        <v>0.374</v>
      </c>
      <c r="H3500" s="15">
        <v>8.09E-2</v>
      </c>
      <c r="I3500" s="15">
        <v>3.6400000000000002E-2</v>
      </c>
      <c r="J3500" s="15">
        <v>2.2225274725274731</v>
      </c>
    </row>
    <row r="3501" spans="1:10" x14ac:dyDescent="0.25">
      <c r="A3501" s="2" t="s">
        <v>9147</v>
      </c>
      <c r="B3501" s="2" t="s">
        <v>7007</v>
      </c>
      <c r="C3501" s="2" t="s">
        <v>9148</v>
      </c>
      <c r="D3501" s="2" t="s">
        <v>10055</v>
      </c>
      <c r="E3501" s="15">
        <v>-6.6799999999999998E-2</v>
      </c>
      <c r="F3501" s="15">
        <v>0.1183</v>
      </c>
      <c r="G3501" s="15">
        <v>0.57240000000000002</v>
      </c>
      <c r="H3501" s="15">
        <v>6.9900000000000004E-2</v>
      </c>
      <c r="I3501" s="15">
        <v>3.6799999999999999E-2</v>
      </c>
      <c r="J3501" s="15">
        <v>1.899456521739131</v>
      </c>
    </row>
    <row r="3502" spans="1:10" x14ac:dyDescent="0.25">
      <c r="A3502" s="2" t="s">
        <v>9149</v>
      </c>
      <c r="B3502" s="2" t="s">
        <v>7007</v>
      </c>
      <c r="C3502" s="2" t="s">
        <v>9150</v>
      </c>
      <c r="D3502" s="2" t="s">
        <v>10055</v>
      </c>
      <c r="E3502" s="15">
        <v>-0.17469999999999999</v>
      </c>
      <c r="F3502" s="15">
        <v>0.1115</v>
      </c>
      <c r="G3502" s="15">
        <v>0.11700000000000001</v>
      </c>
      <c r="H3502" s="15">
        <v>0.1024</v>
      </c>
      <c r="I3502" s="15">
        <v>3.7999999999999999E-2</v>
      </c>
      <c r="J3502" s="15">
        <v>2.694736842105264</v>
      </c>
    </row>
    <row r="3503" spans="1:10" x14ac:dyDescent="0.25">
      <c r="A3503" s="2" t="s">
        <v>9151</v>
      </c>
      <c r="B3503" s="2" t="s">
        <v>7007</v>
      </c>
      <c r="C3503" s="2" t="s">
        <v>9152</v>
      </c>
      <c r="D3503" s="2" t="s">
        <v>10055</v>
      </c>
      <c r="E3503" s="15">
        <v>-3.2000000000000002E-3</v>
      </c>
      <c r="F3503" s="15">
        <v>0.12790000000000001</v>
      </c>
      <c r="G3503" s="15">
        <v>0.98</v>
      </c>
      <c r="H3503" s="15">
        <v>6.2700000000000006E-2</v>
      </c>
      <c r="I3503" s="15">
        <v>3.6600000000000001E-2</v>
      </c>
      <c r="J3503" s="15">
        <v>1.7131147540983609</v>
      </c>
    </row>
    <row r="3504" spans="1:10" x14ac:dyDescent="0.25">
      <c r="A3504" s="2" t="s">
        <v>9153</v>
      </c>
      <c r="B3504" s="2" t="s">
        <v>7007</v>
      </c>
      <c r="C3504" s="2" t="s">
        <v>9154</v>
      </c>
      <c r="D3504" s="2" t="s">
        <v>10055</v>
      </c>
      <c r="E3504" s="15">
        <v>1.3299999999999999E-2</v>
      </c>
      <c r="F3504" s="15">
        <v>0.14399999999999999</v>
      </c>
      <c r="G3504" s="15">
        <v>0.92659999999999998</v>
      </c>
      <c r="H3504" s="15">
        <v>4.48E-2</v>
      </c>
      <c r="I3504" s="15">
        <v>3.9100000000000003E-2</v>
      </c>
      <c r="J3504" s="15">
        <v>1.1457800511508951</v>
      </c>
    </row>
    <row r="3505" spans="1:10" x14ac:dyDescent="0.25">
      <c r="A3505" s="2" t="s">
        <v>9155</v>
      </c>
      <c r="B3505" s="2" t="s">
        <v>7007</v>
      </c>
      <c r="C3505" s="2" t="s">
        <v>9156</v>
      </c>
      <c r="D3505" s="2" t="s">
        <v>10055</v>
      </c>
      <c r="E3505" s="15">
        <v>6.2399999999999997E-2</v>
      </c>
      <c r="F3505" s="15">
        <v>0.21440000000000001</v>
      </c>
      <c r="G3505" s="15">
        <v>0.77090000000000003</v>
      </c>
      <c r="H3505" s="15">
        <v>2.53E-2</v>
      </c>
      <c r="I3505" s="15">
        <v>4.1399999999999999E-2</v>
      </c>
      <c r="J3505" s="15">
        <v>0.61111111111111116</v>
      </c>
    </row>
    <row r="3506" spans="1:10" x14ac:dyDescent="0.25">
      <c r="A3506" s="2" t="s">
        <v>9157</v>
      </c>
      <c r="B3506" s="2" t="s">
        <v>7007</v>
      </c>
      <c r="C3506" s="2" t="s">
        <v>9158</v>
      </c>
      <c r="D3506" s="2" t="s">
        <v>10055</v>
      </c>
      <c r="E3506" s="15">
        <v>-0.216</v>
      </c>
      <c r="F3506" s="15">
        <v>0.13009999999999999</v>
      </c>
      <c r="G3506" s="15">
        <v>9.6699999999999994E-2</v>
      </c>
      <c r="H3506" s="15">
        <v>6.0400000000000002E-2</v>
      </c>
      <c r="I3506" s="15">
        <v>3.4599999999999999E-2</v>
      </c>
      <c r="J3506" s="15">
        <v>1.745664739884393</v>
      </c>
    </row>
    <row r="3507" spans="1:10" x14ac:dyDescent="0.25">
      <c r="A3507" s="2" t="s">
        <v>9159</v>
      </c>
      <c r="B3507" s="2" t="s">
        <v>7007</v>
      </c>
      <c r="C3507" s="2" t="s">
        <v>9160</v>
      </c>
      <c r="D3507" s="2" t="s">
        <v>10055</v>
      </c>
      <c r="E3507" s="15"/>
      <c r="F3507" s="15"/>
      <c r="G3507" s="15"/>
      <c r="H3507" s="15">
        <v>-2.64E-2</v>
      </c>
      <c r="I3507" s="15">
        <v>4.0099999999999997E-2</v>
      </c>
      <c r="J3507" s="15">
        <v>-0.65835411471321703</v>
      </c>
    </row>
    <row r="3508" spans="1:10" x14ac:dyDescent="0.25">
      <c r="A3508" s="2" t="s">
        <v>9161</v>
      </c>
      <c r="B3508" s="2" t="s">
        <v>7007</v>
      </c>
      <c r="C3508" s="2" t="s">
        <v>9162</v>
      </c>
      <c r="D3508" s="2" t="s">
        <v>10055</v>
      </c>
      <c r="E3508" s="15">
        <v>1.0500000000000001E-2</v>
      </c>
      <c r="F3508" s="15">
        <v>0.20200000000000001</v>
      </c>
      <c r="G3508" s="15">
        <v>0.95840000000000003</v>
      </c>
      <c r="H3508" s="15">
        <v>2.2499999999999999E-2</v>
      </c>
      <c r="I3508" s="15">
        <v>3.5499999999999997E-2</v>
      </c>
      <c r="J3508" s="15">
        <v>0.63380281690140849</v>
      </c>
    </row>
    <row r="3509" spans="1:10" x14ac:dyDescent="0.25">
      <c r="A3509" s="2" t="s">
        <v>9163</v>
      </c>
      <c r="B3509" s="2" t="s">
        <v>7007</v>
      </c>
      <c r="C3509" s="2" t="s">
        <v>9164</v>
      </c>
      <c r="D3509" s="2" t="s">
        <v>10055</v>
      </c>
      <c r="E3509" s="15">
        <v>1.9400000000000001E-2</v>
      </c>
      <c r="F3509" s="15">
        <v>0.1318</v>
      </c>
      <c r="G3509" s="15">
        <v>0.88319999999999999</v>
      </c>
      <c r="H3509" s="15">
        <v>5.3999999999999999E-2</v>
      </c>
      <c r="I3509" s="15">
        <v>3.7199999999999997E-2</v>
      </c>
      <c r="J3509" s="15">
        <v>1.4516129032258061</v>
      </c>
    </row>
    <row r="3510" spans="1:10" x14ac:dyDescent="0.25">
      <c r="A3510" s="2" t="s">
        <v>9165</v>
      </c>
      <c r="B3510" s="2" t="s">
        <v>7007</v>
      </c>
      <c r="C3510" s="2" t="s">
        <v>9166</v>
      </c>
      <c r="D3510" s="2" t="s">
        <v>10055</v>
      </c>
      <c r="E3510" s="15">
        <v>-0.16819999999999999</v>
      </c>
      <c r="F3510" s="15">
        <v>0.13089999999999999</v>
      </c>
      <c r="G3510" s="15">
        <v>0.19869999999999999</v>
      </c>
      <c r="H3510" s="15">
        <v>7.4899999999999994E-2</v>
      </c>
      <c r="I3510" s="15">
        <v>3.6400000000000002E-2</v>
      </c>
      <c r="J3510" s="15">
        <v>2.057692307692307</v>
      </c>
    </row>
    <row r="3511" spans="1:10" x14ac:dyDescent="0.25">
      <c r="A3511" s="2" t="s">
        <v>9167</v>
      </c>
      <c r="B3511" s="2" t="s">
        <v>7007</v>
      </c>
      <c r="C3511" s="2" t="s">
        <v>9168</v>
      </c>
      <c r="D3511" s="2" t="s">
        <v>10055</v>
      </c>
      <c r="E3511" s="15"/>
      <c r="F3511" s="15"/>
      <c r="G3511" s="15"/>
      <c r="H3511" s="15">
        <v>-4.8999999999999998E-3</v>
      </c>
      <c r="I3511" s="15">
        <v>3.6200000000000003E-2</v>
      </c>
      <c r="J3511" s="15">
        <v>-0.13535911602209941</v>
      </c>
    </row>
    <row r="3512" spans="1:10" x14ac:dyDescent="0.25">
      <c r="A3512" s="2" t="s">
        <v>9169</v>
      </c>
      <c r="B3512" s="2" t="s">
        <v>7007</v>
      </c>
      <c r="C3512" s="2" t="s">
        <v>9170</v>
      </c>
      <c r="D3512" s="2" t="s">
        <v>10055</v>
      </c>
      <c r="E3512" s="15">
        <v>-0.34939999999999999</v>
      </c>
      <c r="F3512" s="15">
        <v>0.4138</v>
      </c>
      <c r="G3512" s="15">
        <v>0.39850000000000002</v>
      </c>
      <c r="H3512" s="15">
        <v>2.01E-2</v>
      </c>
      <c r="I3512" s="15">
        <v>3.9100000000000003E-2</v>
      </c>
      <c r="J3512" s="15">
        <v>0.51406649616368283</v>
      </c>
    </row>
    <row r="3513" spans="1:10" x14ac:dyDescent="0.25">
      <c r="A3513" s="2" t="s">
        <v>9171</v>
      </c>
      <c r="B3513" s="2" t="s">
        <v>7007</v>
      </c>
      <c r="C3513" s="2" t="s">
        <v>9172</v>
      </c>
      <c r="D3513" s="2" t="s">
        <v>10055</v>
      </c>
      <c r="E3513" s="15">
        <v>-7.5399999999999995E-2</v>
      </c>
      <c r="F3513" s="15">
        <v>0.1062</v>
      </c>
      <c r="G3513" s="15">
        <v>0.47789999999999999</v>
      </c>
      <c r="H3513" s="15">
        <v>8.6599999999999996E-2</v>
      </c>
      <c r="I3513" s="15">
        <v>3.7100000000000001E-2</v>
      </c>
      <c r="J3513" s="15">
        <v>2.3342318059299192</v>
      </c>
    </row>
    <row r="3514" spans="1:10" x14ac:dyDescent="0.25">
      <c r="A3514" s="2" t="s">
        <v>9173</v>
      </c>
      <c r="B3514" s="2" t="s">
        <v>7007</v>
      </c>
      <c r="C3514" s="2" t="s">
        <v>9174</v>
      </c>
      <c r="D3514" s="2" t="s">
        <v>10055</v>
      </c>
      <c r="E3514" s="15"/>
      <c r="F3514" s="15"/>
      <c r="G3514" s="15"/>
      <c r="H3514" s="15">
        <v>-2.2800000000000001E-2</v>
      </c>
      <c r="I3514" s="15">
        <v>3.6999999999999998E-2</v>
      </c>
      <c r="J3514" s="15">
        <v>-0.61621621621621625</v>
      </c>
    </row>
    <row r="3515" spans="1:10" x14ac:dyDescent="0.25">
      <c r="A3515" s="2" t="s">
        <v>9175</v>
      </c>
      <c r="B3515" s="2" t="s">
        <v>7007</v>
      </c>
      <c r="C3515" s="2" t="s">
        <v>9176</v>
      </c>
      <c r="D3515" s="2" t="s">
        <v>10055</v>
      </c>
      <c r="E3515" s="15">
        <v>0.3211</v>
      </c>
      <c r="F3515" s="15">
        <v>0.25690000000000002</v>
      </c>
      <c r="G3515" s="15">
        <v>0.21129999999999999</v>
      </c>
      <c r="H3515" s="15">
        <v>3.2500000000000001E-2</v>
      </c>
      <c r="I3515" s="15">
        <v>3.6200000000000003E-2</v>
      </c>
      <c r="J3515" s="15">
        <v>0.89779005524861877</v>
      </c>
    </row>
    <row r="3516" spans="1:10" x14ac:dyDescent="0.25">
      <c r="A3516" s="2" t="s">
        <v>9177</v>
      </c>
      <c r="B3516" s="2" t="s">
        <v>7007</v>
      </c>
      <c r="C3516" s="2" t="s">
        <v>9178</v>
      </c>
      <c r="D3516" s="2" t="s">
        <v>10055</v>
      </c>
      <c r="E3516" s="15">
        <v>-4.1700000000000001E-2</v>
      </c>
      <c r="F3516" s="15">
        <v>0.15740000000000001</v>
      </c>
      <c r="G3516" s="15">
        <v>0.79079999999999995</v>
      </c>
      <c r="H3516" s="15">
        <v>4.48E-2</v>
      </c>
      <c r="I3516" s="15">
        <v>3.9800000000000002E-2</v>
      </c>
      <c r="J3516" s="15">
        <v>1.125628140703518</v>
      </c>
    </row>
    <row r="3517" spans="1:10" x14ac:dyDescent="0.25">
      <c r="A3517" s="2" t="s">
        <v>9179</v>
      </c>
      <c r="B3517" s="2" t="s">
        <v>7007</v>
      </c>
      <c r="C3517" s="2" t="s">
        <v>9180</v>
      </c>
      <c r="D3517" s="2" t="s">
        <v>10055</v>
      </c>
      <c r="E3517" s="15">
        <v>8.5599999999999996E-2</v>
      </c>
      <c r="F3517" s="15">
        <v>0.19869999999999999</v>
      </c>
      <c r="G3517" s="15">
        <v>0.66649999999999998</v>
      </c>
      <c r="H3517" s="15">
        <v>2.5399999999999999E-2</v>
      </c>
      <c r="I3517" s="15">
        <v>3.95E-2</v>
      </c>
      <c r="J3517" s="15">
        <v>0.64303797468354429</v>
      </c>
    </row>
    <row r="3518" spans="1:10" x14ac:dyDescent="0.25">
      <c r="A3518" s="2" t="s">
        <v>9181</v>
      </c>
      <c r="B3518" s="2" t="s">
        <v>7007</v>
      </c>
      <c r="C3518" s="2" t="s">
        <v>9182</v>
      </c>
      <c r="D3518" s="2" t="s">
        <v>10055</v>
      </c>
      <c r="E3518" s="15"/>
      <c r="F3518" s="15"/>
      <c r="G3518" s="15"/>
      <c r="H3518" s="15">
        <v>-3.8999999999999998E-3</v>
      </c>
      <c r="I3518" s="15">
        <v>3.7100000000000001E-2</v>
      </c>
      <c r="J3518" s="15">
        <v>-0.1051212938005391</v>
      </c>
    </row>
    <row r="3519" spans="1:10" x14ac:dyDescent="0.25">
      <c r="A3519" s="2" t="s">
        <v>9183</v>
      </c>
      <c r="B3519" s="2" t="s">
        <v>7007</v>
      </c>
      <c r="C3519" s="2" t="s">
        <v>9184</v>
      </c>
      <c r="D3519" s="2" t="s">
        <v>10055</v>
      </c>
      <c r="E3519" s="15"/>
      <c r="F3519" s="15"/>
      <c r="G3519" s="15"/>
      <c r="H3519" s="15">
        <v>-2.1299999999999999E-2</v>
      </c>
      <c r="I3519" s="15">
        <v>3.9699999999999999E-2</v>
      </c>
      <c r="J3519" s="15">
        <v>-0.53652392947103278</v>
      </c>
    </row>
    <row r="3520" spans="1:10" x14ac:dyDescent="0.25">
      <c r="A3520" s="2" t="s">
        <v>9185</v>
      </c>
      <c r="B3520" s="2" t="s">
        <v>7007</v>
      </c>
      <c r="C3520" s="2" t="s">
        <v>9186</v>
      </c>
      <c r="D3520" s="2" t="s">
        <v>10055</v>
      </c>
      <c r="E3520" s="15">
        <v>0.1158</v>
      </c>
      <c r="F3520" s="15">
        <v>8.9499999999999996E-2</v>
      </c>
      <c r="G3520" s="15">
        <v>0.19570000000000001</v>
      </c>
      <c r="H3520" s="15">
        <v>0.1356</v>
      </c>
      <c r="I3520" s="15">
        <v>4.3400000000000001E-2</v>
      </c>
      <c r="J3520" s="15">
        <v>3.124423963133641</v>
      </c>
    </row>
    <row r="3521" spans="1:10" x14ac:dyDescent="0.25">
      <c r="A3521" s="2" t="s">
        <v>9187</v>
      </c>
      <c r="B3521" s="2" t="s">
        <v>7007</v>
      </c>
      <c r="C3521" s="2" t="s">
        <v>9188</v>
      </c>
      <c r="D3521" s="2" t="s">
        <v>10055</v>
      </c>
      <c r="E3521" s="15">
        <v>0.24879999999999999</v>
      </c>
      <c r="F3521" s="15">
        <v>0.22409999999999999</v>
      </c>
      <c r="G3521" s="15">
        <v>0.26679999999999998</v>
      </c>
      <c r="H3521" s="15">
        <v>3.49E-2</v>
      </c>
      <c r="I3521" s="15">
        <v>3.5299999999999998E-2</v>
      </c>
      <c r="J3521" s="15">
        <v>0.98866855524079322</v>
      </c>
    </row>
    <row r="3522" spans="1:10" x14ac:dyDescent="0.25">
      <c r="A3522" s="2" t="s">
        <v>9189</v>
      </c>
      <c r="B3522" s="2" t="s">
        <v>7007</v>
      </c>
      <c r="C3522" s="2" t="s">
        <v>9190</v>
      </c>
      <c r="D3522" s="2" t="s">
        <v>10055</v>
      </c>
      <c r="E3522" s="15">
        <v>6.1899999999999997E-2</v>
      </c>
      <c r="F3522" s="15">
        <v>7.8899999999999998E-2</v>
      </c>
      <c r="G3522" s="15">
        <v>0.43269999999999997</v>
      </c>
      <c r="H3522" s="15">
        <v>0.1633</v>
      </c>
      <c r="I3522" s="15">
        <v>3.9199999999999999E-2</v>
      </c>
      <c r="J3522" s="15">
        <v>4.1658163265306127</v>
      </c>
    </row>
    <row r="3523" spans="1:10" x14ac:dyDescent="0.25">
      <c r="A3523" s="2" t="s">
        <v>9191</v>
      </c>
      <c r="B3523" s="2" t="s">
        <v>7007</v>
      </c>
      <c r="C3523" s="2" t="s">
        <v>9192</v>
      </c>
      <c r="D3523" s="2" t="s">
        <v>10055</v>
      </c>
      <c r="E3523" s="15">
        <v>0.1095</v>
      </c>
      <c r="F3523" s="15">
        <v>9.2700000000000005E-2</v>
      </c>
      <c r="G3523" s="15">
        <v>0.23760000000000001</v>
      </c>
      <c r="H3523" s="15">
        <v>0.13070000000000001</v>
      </c>
      <c r="I3523" s="15">
        <v>3.9199999999999999E-2</v>
      </c>
      <c r="J3523" s="15">
        <v>3.3341836734693882</v>
      </c>
    </row>
    <row r="3524" spans="1:10" x14ac:dyDescent="0.25">
      <c r="A3524" s="2" t="s">
        <v>9193</v>
      </c>
      <c r="B3524" s="2" t="s">
        <v>7007</v>
      </c>
      <c r="C3524" s="2" t="s">
        <v>9194</v>
      </c>
      <c r="D3524" s="2" t="s">
        <v>10055</v>
      </c>
      <c r="E3524" s="15">
        <v>-3.3399999999999999E-2</v>
      </c>
      <c r="F3524" s="15">
        <v>0.1368</v>
      </c>
      <c r="G3524" s="15">
        <v>0.80720000000000003</v>
      </c>
      <c r="H3524" s="15">
        <v>6.2399999999999997E-2</v>
      </c>
      <c r="I3524" s="15">
        <v>3.7400000000000003E-2</v>
      </c>
      <c r="J3524" s="15">
        <v>1.6684491978609619</v>
      </c>
    </row>
    <row r="3525" spans="1:10" x14ac:dyDescent="0.25">
      <c r="A3525" s="2" t="s">
        <v>9195</v>
      </c>
      <c r="B3525" s="2" t="s">
        <v>7007</v>
      </c>
      <c r="C3525" s="2" t="s">
        <v>9196</v>
      </c>
      <c r="D3525" s="2" t="s">
        <v>10055</v>
      </c>
      <c r="E3525" s="15">
        <v>-7.4700000000000003E-2</v>
      </c>
      <c r="F3525" s="15">
        <v>0.15390000000000001</v>
      </c>
      <c r="G3525" s="15">
        <v>0.62749999999999995</v>
      </c>
      <c r="H3525" s="15">
        <v>4.3700000000000003E-2</v>
      </c>
      <c r="I3525" s="15">
        <v>4.1700000000000001E-2</v>
      </c>
      <c r="J3525" s="15">
        <v>1.047961630695444</v>
      </c>
    </row>
    <row r="3526" spans="1:10" x14ac:dyDescent="0.25">
      <c r="A3526" s="2" t="s">
        <v>9197</v>
      </c>
      <c r="B3526" s="2" t="s">
        <v>7007</v>
      </c>
      <c r="C3526" s="2" t="s">
        <v>9198</v>
      </c>
      <c r="D3526" s="2" t="s">
        <v>10055</v>
      </c>
      <c r="E3526" s="15">
        <v>-0.18779999999999999</v>
      </c>
      <c r="F3526" s="15">
        <v>0.13739999999999999</v>
      </c>
      <c r="G3526" s="15">
        <v>0.1716</v>
      </c>
      <c r="H3526" s="15">
        <v>7.0699999999999999E-2</v>
      </c>
      <c r="I3526" s="15">
        <v>3.95E-2</v>
      </c>
      <c r="J3526" s="15">
        <v>1.789873417721519</v>
      </c>
    </row>
    <row r="3527" spans="1:10" x14ac:dyDescent="0.25">
      <c r="A3527" s="2" t="s">
        <v>9199</v>
      </c>
      <c r="B3527" s="2" t="s">
        <v>7007</v>
      </c>
      <c r="C3527" s="2" t="s">
        <v>9200</v>
      </c>
      <c r="D3527" s="2" t="s">
        <v>10055</v>
      </c>
      <c r="E3527" s="15">
        <v>1.9900000000000001E-2</v>
      </c>
      <c r="F3527" s="15">
        <v>0.1724</v>
      </c>
      <c r="G3527" s="15">
        <v>0.90790000000000004</v>
      </c>
      <c r="H3527" s="15">
        <v>4.1500000000000002E-2</v>
      </c>
      <c r="I3527" s="15">
        <v>3.9100000000000003E-2</v>
      </c>
      <c r="J3527" s="15">
        <v>1.0613810741687979</v>
      </c>
    </row>
    <row r="3528" spans="1:10" x14ac:dyDescent="0.25">
      <c r="A3528" s="2" t="s">
        <v>9201</v>
      </c>
      <c r="B3528" s="2" t="s">
        <v>7007</v>
      </c>
      <c r="C3528" s="2" t="s">
        <v>9202</v>
      </c>
      <c r="D3528" s="2" t="s">
        <v>10055</v>
      </c>
      <c r="E3528" s="15">
        <v>0.10879999999999999</v>
      </c>
      <c r="F3528" s="15">
        <v>0.1482</v>
      </c>
      <c r="G3528" s="15">
        <v>0.46279999999999999</v>
      </c>
      <c r="H3528" s="15">
        <v>5.0299999999999997E-2</v>
      </c>
      <c r="I3528" s="15">
        <v>3.5700000000000003E-2</v>
      </c>
      <c r="J3528" s="15">
        <v>1.408963585434174</v>
      </c>
    </row>
    <row r="3529" spans="1:10" x14ac:dyDescent="0.25">
      <c r="A3529" s="2" t="s">
        <v>9203</v>
      </c>
      <c r="B3529" s="2" t="s">
        <v>7007</v>
      </c>
      <c r="C3529" s="2" t="s">
        <v>9204</v>
      </c>
      <c r="D3529" s="2" t="s">
        <v>10055</v>
      </c>
      <c r="E3529" s="15">
        <v>-8.3999999999999995E-3</v>
      </c>
      <c r="F3529" s="15">
        <v>0.10100000000000001</v>
      </c>
      <c r="G3529" s="15">
        <v>0.93400000000000005</v>
      </c>
      <c r="H3529" s="15">
        <v>9.7900000000000001E-2</v>
      </c>
      <c r="I3529" s="15">
        <v>4.1200000000000001E-2</v>
      </c>
      <c r="J3529" s="15">
        <v>2.3762135922330101</v>
      </c>
    </row>
    <row r="3530" spans="1:10" x14ac:dyDescent="0.25">
      <c r="A3530" s="2" t="s">
        <v>9205</v>
      </c>
      <c r="B3530" s="2" t="s">
        <v>7007</v>
      </c>
      <c r="C3530" s="2" t="s">
        <v>9206</v>
      </c>
      <c r="D3530" s="2" t="s">
        <v>10055</v>
      </c>
      <c r="E3530" s="15">
        <v>-0.1656</v>
      </c>
      <c r="F3530" s="15">
        <v>0.24610000000000001</v>
      </c>
      <c r="G3530" s="15">
        <v>0.50090000000000001</v>
      </c>
      <c r="H3530" s="15">
        <v>2.8899999999999999E-2</v>
      </c>
      <c r="I3530" s="15">
        <v>3.5200000000000002E-2</v>
      </c>
      <c r="J3530" s="15">
        <v>0.82102272727272718</v>
      </c>
    </row>
    <row r="3531" spans="1:10" x14ac:dyDescent="0.25">
      <c r="A3531" s="2" t="s">
        <v>9207</v>
      </c>
      <c r="B3531" s="2" t="s">
        <v>7007</v>
      </c>
      <c r="C3531" s="2" t="s">
        <v>9208</v>
      </c>
      <c r="D3531" s="2" t="s">
        <v>10055</v>
      </c>
      <c r="E3531" s="15">
        <v>-1.83E-2</v>
      </c>
      <c r="F3531" s="15">
        <v>0.11890000000000001</v>
      </c>
      <c r="G3531" s="15">
        <v>0.878</v>
      </c>
      <c r="H3531" s="15">
        <v>7.0300000000000001E-2</v>
      </c>
      <c r="I3531" s="15">
        <v>3.9E-2</v>
      </c>
      <c r="J3531" s="15">
        <v>1.802564102564103</v>
      </c>
    </row>
    <row r="3532" spans="1:10" x14ac:dyDescent="0.25">
      <c r="A3532" s="2" t="s">
        <v>9209</v>
      </c>
      <c r="B3532" s="2" t="s">
        <v>7007</v>
      </c>
      <c r="C3532" s="2" t="s">
        <v>9210</v>
      </c>
      <c r="D3532" s="2" t="s">
        <v>10055</v>
      </c>
      <c r="E3532" s="15">
        <v>-0.1265</v>
      </c>
      <c r="F3532" s="15">
        <v>0.1108</v>
      </c>
      <c r="G3532" s="15">
        <v>0.25390000000000001</v>
      </c>
      <c r="H3532" s="15">
        <v>0.1</v>
      </c>
      <c r="I3532" s="15">
        <v>3.7199999999999997E-2</v>
      </c>
      <c r="J3532" s="15">
        <v>2.688172043010753</v>
      </c>
    </row>
    <row r="3533" spans="1:10" x14ac:dyDescent="0.25">
      <c r="A3533" s="2" t="s">
        <v>9211</v>
      </c>
      <c r="B3533" s="2" t="s">
        <v>7007</v>
      </c>
      <c r="C3533" s="2" t="s">
        <v>9212</v>
      </c>
      <c r="D3533" s="2" t="s">
        <v>10055</v>
      </c>
      <c r="E3533" s="15">
        <v>-5.2299999999999999E-2</v>
      </c>
      <c r="F3533" s="15">
        <v>0.1512</v>
      </c>
      <c r="G3533" s="15">
        <v>0.72970000000000002</v>
      </c>
      <c r="H3533" s="15">
        <v>0.05</v>
      </c>
      <c r="I3533" s="15">
        <v>3.5700000000000003E-2</v>
      </c>
      <c r="J3533" s="15">
        <v>1.400560224089636</v>
      </c>
    </row>
    <row r="3534" spans="1:10" x14ac:dyDescent="0.25">
      <c r="A3534" s="2" t="s">
        <v>9213</v>
      </c>
      <c r="B3534" s="2" t="s">
        <v>7007</v>
      </c>
      <c r="C3534" s="2" t="s">
        <v>9214</v>
      </c>
      <c r="D3534" s="2" t="s">
        <v>10055</v>
      </c>
      <c r="E3534" s="15">
        <v>-0.7671</v>
      </c>
      <c r="F3534" s="15">
        <v>3.0566</v>
      </c>
      <c r="G3534" s="15">
        <v>0.80189999999999995</v>
      </c>
      <c r="H3534" s="15">
        <v>7.1000000000000004E-3</v>
      </c>
      <c r="I3534" s="15">
        <v>3.49E-2</v>
      </c>
      <c r="J3534" s="15">
        <v>0.20343839541547279</v>
      </c>
    </row>
    <row r="3535" spans="1:10" x14ac:dyDescent="0.25">
      <c r="A3535" s="2" t="s">
        <v>9215</v>
      </c>
      <c r="B3535" s="2" t="s">
        <v>7007</v>
      </c>
      <c r="C3535" s="2" t="s">
        <v>9216</v>
      </c>
      <c r="D3535" s="2" t="s">
        <v>10055</v>
      </c>
      <c r="E3535" s="15">
        <v>-0.04</v>
      </c>
      <c r="F3535" s="15">
        <v>8.7900000000000006E-2</v>
      </c>
      <c r="G3535" s="15">
        <v>0.64890000000000003</v>
      </c>
      <c r="H3535" s="15">
        <v>0.14580000000000001</v>
      </c>
      <c r="I3535" s="15">
        <v>4.9500000000000002E-2</v>
      </c>
      <c r="J3535" s="15">
        <v>2.9454545454545462</v>
      </c>
    </row>
    <row r="3536" spans="1:10" x14ac:dyDescent="0.25">
      <c r="A3536" s="2" t="s">
        <v>9217</v>
      </c>
      <c r="B3536" s="2" t="s">
        <v>7007</v>
      </c>
      <c r="C3536" s="2" t="s">
        <v>9218</v>
      </c>
      <c r="D3536" s="2" t="s">
        <v>10055</v>
      </c>
      <c r="E3536" s="15">
        <v>-2.7799999999999998E-2</v>
      </c>
      <c r="F3536" s="15">
        <v>0.14699999999999999</v>
      </c>
      <c r="G3536" s="15">
        <v>0.85</v>
      </c>
      <c r="H3536" s="15">
        <v>4.5900000000000003E-2</v>
      </c>
      <c r="I3536" s="15">
        <v>3.7699999999999997E-2</v>
      </c>
      <c r="J3536" s="15">
        <v>1.2175066312997349</v>
      </c>
    </row>
    <row r="3537" spans="1:10" x14ac:dyDescent="0.25">
      <c r="A3537" s="2" t="s">
        <v>9219</v>
      </c>
      <c r="B3537" s="2" t="s">
        <v>7007</v>
      </c>
      <c r="C3537" s="2" t="s">
        <v>9220</v>
      </c>
      <c r="D3537" s="2" t="s">
        <v>10055</v>
      </c>
      <c r="E3537" s="15">
        <v>-2.7900000000000001E-2</v>
      </c>
      <c r="F3537" s="15">
        <v>0.124</v>
      </c>
      <c r="G3537" s="15">
        <v>0.82210000000000005</v>
      </c>
      <c r="H3537" s="15">
        <v>8.1500000000000003E-2</v>
      </c>
      <c r="I3537" s="15">
        <v>4.4400000000000002E-2</v>
      </c>
      <c r="J3537" s="15">
        <v>1.835585585585586</v>
      </c>
    </row>
    <row r="3538" spans="1:10" x14ac:dyDescent="0.25">
      <c r="A3538" s="2" t="s">
        <v>9221</v>
      </c>
      <c r="B3538" s="2" t="s">
        <v>7007</v>
      </c>
      <c r="C3538" s="2" t="s">
        <v>9222</v>
      </c>
      <c r="D3538" s="2" t="s">
        <v>10055</v>
      </c>
      <c r="E3538" s="15">
        <v>-4.8999999999999998E-3</v>
      </c>
      <c r="F3538" s="15">
        <v>0.10100000000000001</v>
      </c>
      <c r="G3538" s="15">
        <v>0.96140000000000003</v>
      </c>
      <c r="H3538" s="15">
        <v>0.107</v>
      </c>
      <c r="I3538" s="15">
        <v>3.9800000000000002E-2</v>
      </c>
      <c r="J3538" s="15">
        <v>2.6884422110552761</v>
      </c>
    </row>
    <row r="3539" spans="1:10" x14ac:dyDescent="0.25">
      <c r="A3539" s="2" t="s">
        <v>9223</v>
      </c>
      <c r="B3539" s="2" t="s">
        <v>7007</v>
      </c>
      <c r="C3539" s="2" t="s">
        <v>9224</v>
      </c>
      <c r="D3539" s="2" t="s">
        <v>10055</v>
      </c>
      <c r="E3539" s="15">
        <v>-0.27129999999999999</v>
      </c>
      <c r="F3539" s="15">
        <v>0.1802</v>
      </c>
      <c r="G3539" s="15">
        <v>0.1321</v>
      </c>
      <c r="H3539" s="15">
        <v>5.5E-2</v>
      </c>
      <c r="I3539" s="15">
        <v>3.8300000000000001E-2</v>
      </c>
      <c r="J3539" s="15">
        <v>1.4360313315926889</v>
      </c>
    </row>
    <row r="3540" spans="1:10" x14ac:dyDescent="0.25">
      <c r="A3540" s="2" t="s">
        <v>9225</v>
      </c>
      <c r="B3540" s="2" t="s">
        <v>7007</v>
      </c>
      <c r="C3540" s="2" t="s">
        <v>9226</v>
      </c>
      <c r="D3540" s="2" t="s">
        <v>10055</v>
      </c>
      <c r="E3540" s="15">
        <v>0.18720000000000001</v>
      </c>
      <c r="F3540" s="15">
        <v>0.11360000000000001</v>
      </c>
      <c r="G3540" s="15">
        <v>9.9400000000000002E-2</v>
      </c>
      <c r="H3540" s="15">
        <v>8.2000000000000003E-2</v>
      </c>
      <c r="I3540" s="15">
        <v>3.9300000000000002E-2</v>
      </c>
      <c r="J3540" s="15">
        <v>2.0865139949109421</v>
      </c>
    </row>
    <row r="3541" spans="1:10" x14ac:dyDescent="0.25">
      <c r="A3541" s="2" t="s">
        <v>9227</v>
      </c>
      <c r="B3541" s="2" t="s">
        <v>7007</v>
      </c>
      <c r="C3541" s="2" t="s">
        <v>9228</v>
      </c>
      <c r="D3541" s="2" t="s">
        <v>10055</v>
      </c>
      <c r="E3541" s="15"/>
      <c r="F3541" s="15"/>
      <c r="G3541" s="15"/>
      <c r="H3541" s="15">
        <v>-2.53E-2</v>
      </c>
      <c r="I3541" s="15">
        <v>3.5999999999999997E-2</v>
      </c>
      <c r="J3541" s="15">
        <v>-0.70277777777777783</v>
      </c>
    </row>
    <row r="3542" spans="1:10" x14ac:dyDescent="0.25">
      <c r="A3542" s="2" t="s">
        <v>9229</v>
      </c>
      <c r="B3542" s="2" t="s">
        <v>7007</v>
      </c>
      <c r="C3542" s="2" t="s">
        <v>9230</v>
      </c>
      <c r="D3542" s="2" t="s">
        <v>10055</v>
      </c>
      <c r="E3542" s="15">
        <v>-3.1600000000000003E-2</v>
      </c>
      <c r="F3542" s="15">
        <v>9.6600000000000005E-2</v>
      </c>
      <c r="G3542" s="15">
        <v>0.74380000000000002</v>
      </c>
      <c r="H3542" s="15">
        <v>0.11550000000000001</v>
      </c>
      <c r="I3542" s="15">
        <v>3.8699999999999998E-2</v>
      </c>
      <c r="J3542" s="15">
        <v>2.9844961240310082</v>
      </c>
    </row>
    <row r="3543" spans="1:10" x14ac:dyDescent="0.25">
      <c r="A3543" s="2" t="s">
        <v>9231</v>
      </c>
      <c r="B3543" s="2" t="s">
        <v>7007</v>
      </c>
      <c r="C3543" s="2" t="s">
        <v>9232</v>
      </c>
      <c r="D3543" s="2" t="s">
        <v>10055</v>
      </c>
      <c r="E3543" s="15"/>
      <c r="F3543" s="15"/>
      <c r="G3543" s="15"/>
      <c r="H3543" s="15">
        <v>-3.1800000000000002E-2</v>
      </c>
      <c r="I3543" s="15">
        <v>3.85E-2</v>
      </c>
      <c r="J3543" s="15">
        <v>-0.82597402597402603</v>
      </c>
    </row>
    <row r="3544" spans="1:10" x14ac:dyDescent="0.25">
      <c r="A3544" s="2" t="s">
        <v>9233</v>
      </c>
      <c r="B3544" s="2" t="s">
        <v>7007</v>
      </c>
      <c r="C3544" s="2" t="s">
        <v>9234</v>
      </c>
      <c r="D3544" s="2" t="s">
        <v>10055</v>
      </c>
      <c r="E3544" s="15">
        <v>-6.4000000000000001E-2</v>
      </c>
      <c r="F3544" s="15">
        <v>0.1041</v>
      </c>
      <c r="G3544" s="15">
        <v>0.53849999999999998</v>
      </c>
      <c r="H3544" s="15">
        <v>9.5200000000000007E-2</v>
      </c>
      <c r="I3544" s="15">
        <v>4.2900000000000001E-2</v>
      </c>
      <c r="J3544" s="15">
        <v>2.219114219114219</v>
      </c>
    </row>
    <row r="3545" spans="1:10" x14ac:dyDescent="0.25">
      <c r="A3545" s="2" t="s">
        <v>9235</v>
      </c>
      <c r="B3545" s="2" t="s">
        <v>7007</v>
      </c>
      <c r="C3545" s="2" t="s">
        <v>9236</v>
      </c>
      <c r="D3545" s="2" t="s">
        <v>10055</v>
      </c>
      <c r="E3545" s="15">
        <v>-0.1361</v>
      </c>
      <c r="F3545" s="15">
        <v>8.8499999999999995E-2</v>
      </c>
      <c r="G3545" s="15">
        <v>0.1242</v>
      </c>
      <c r="H3545" s="15">
        <v>0.12470000000000001</v>
      </c>
      <c r="I3545" s="15">
        <v>3.9699999999999999E-2</v>
      </c>
      <c r="J3545" s="15">
        <v>3.141057934508817</v>
      </c>
    </row>
    <row r="3546" spans="1:10" x14ac:dyDescent="0.25">
      <c r="A3546" s="2" t="s">
        <v>9237</v>
      </c>
      <c r="B3546" s="2" t="s">
        <v>7007</v>
      </c>
      <c r="C3546" s="2" t="s">
        <v>9238</v>
      </c>
      <c r="D3546" s="2" t="s">
        <v>10055</v>
      </c>
      <c r="E3546" s="15"/>
      <c r="F3546" s="15"/>
      <c r="G3546" s="15"/>
      <c r="H3546" s="15">
        <v>-4.0000000000000001E-3</v>
      </c>
      <c r="I3546" s="15">
        <v>3.7100000000000001E-2</v>
      </c>
      <c r="J3546" s="15">
        <v>-0.1078167115902965</v>
      </c>
    </row>
    <row r="3547" spans="1:10" x14ac:dyDescent="0.25">
      <c r="A3547" s="2" t="s">
        <v>9239</v>
      </c>
      <c r="B3547" s="2" t="s">
        <v>7007</v>
      </c>
      <c r="C3547" s="2" t="s">
        <v>9240</v>
      </c>
      <c r="D3547" s="2" t="s">
        <v>10055</v>
      </c>
      <c r="E3547" s="15">
        <v>0.11269999999999999</v>
      </c>
      <c r="F3547" s="15">
        <v>8.5099999999999995E-2</v>
      </c>
      <c r="G3547" s="15">
        <v>0.18540000000000001</v>
      </c>
      <c r="H3547" s="15">
        <v>0.14810000000000001</v>
      </c>
      <c r="I3547" s="15">
        <v>4.2299999999999997E-2</v>
      </c>
      <c r="J3547" s="15">
        <v>3.501182033096927</v>
      </c>
    </row>
    <row r="3548" spans="1:10" x14ac:dyDescent="0.25">
      <c r="A3548" s="2" t="s">
        <v>9241</v>
      </c>
      <c r="B3548" s="2" t="s">
        <v>7007</v>
      </c>
      <c r="C3548" s="2" t="s">
        <v>9242</v>
      </c>
      <c r="D3548" s="2" t="s">
        <v>10055</v>
      </c>
      <c r="E3548" s="15">
        <v>-2.2599999999999999E-2</v>
      </c>
      <c r="F3548" s="15">
        <v>9.64E-2</v>
      </c>
      <c r="G3548" s="15">
        <v>0.81469999999999998</v>
      </c>
      <c r="H3548" s="15">
        <v>0.1234</v>
      </c>
      <c r="I3548" s="15">
        <v>4.3200000000000002E-2</v>
      </c>
      <c r="J3548" s="15">
        <v>2.856481481481481</v>
      </c>
    </row>
    <row r="3549" spans="1:10" x14ac:dyDescent="0.25">
      <c r="A3549" s="2" t="s">
        <v>9243</v>
      </c>
      <c r="B3549" s="2" t="s">
        <v>7007</v>
      </c>
      <c r="C3549" s="2" t="s">
        <v>9244</v>
      </c>
      <c r="D3549" s="2" t="s">
        <v>10055</v>
      </c>
      <c r="E3549" s="15"/>
      <c r="F3549" s="15"/>
      <c r="G3549" s="15"/>
      <c r="H3549" s="15">
        <v>-8.2000000000000007E-3</v>
      </c>
      <c r="I3549" s="15">
        <v>3.49E-2</v>
      </c>
      <c r="J3549" s="15">
        <v>-0.23495702005730659</v>
      </c>
    </row>
    <row r="3550" spans="1:10" x14ac:dyDescent="0.25">
      <c r="A3550" s="2" t="s">
        <v>9245</v>
      </c>
      <c r="B3550" s="2" t="s">
        <v>7007</v>
      </c>
      <c r="C3550" s="2" t="s">
        <v>9246</v>
      </c>
      <c r="D3550" s="2" t="s">
        <v>10055</v>
      </c>
      <c r="E3550" s="15">
        <v>4.02E-2</v>
      </c>
      <c r="F3550" s="15">
        <v>0.1028</v>
      </c>
      <c r="G3550" s="15">
        <v>0.69620000000000004</v>
      </c>
      <c r="H3550" s="15">
        <v>0.1106</v>
      </c>
      <c r="I3550" s="15">
        <v>4.0500000000000001E-2</v>
      </c>
      <c r="J3550" s="15">
        <v>2.7308641975308641</v>
      </c>
    </row>
    <row r="3551" spans="1:10" x14ac:dyDescent="0.25">
      <c r="A3551" s="2" t="s">
        <v>9247</v>
      </c>
      <c r="B3551" s="2" t="s">
        <v>7007</v>
      </c>
      <c r="C3551" s="2" t="s">
        <v>9248</v>
      </c>
      <c r="D3551" s="2" t="s">
        <v>10055</v>
      </c>
      <c r="E3551" s="15">
        <v>8.8700000000000001E-2</v>
      </c>
      <c r="F3551" s="15">
        <v>0.1129</v>
      </c>
      <c r="G3551" s="15">
        <v>0.43180000000000002</v>
      </c>
      <c r="H3551" s="15">
        <v>7.3300000000000004E-2</v>
      </c>
      <c r="I3551" s="15">
        <v>3.7499999999999999E-2</v>
      </c>
      <c r="J3551" s="15">
        <v>1.954666666666667</v>
      </c>
    </row>
    <row r="3552" spans="1:10" x14ac:dyDescent="0.25">
      <c r="A3552" s="2" t="s">
        <v>9249</v>
      </c>
      <c r="B3552" s="2" t="s">
        <v>7007</v>
      </c>
      <c r="C3552" s="2" t="s">
        <v>9250</v>
      </c>
      <c r="D3552" s="2" t="s">
        <v>10055</v>
      </c>
      <c r="E3552" s="15">
        <v>-3.8800000000000001E-2</v>
      </c>
      <c r="F3552" s="15">
        <v>0.14000000000000001</v>
      </c>
      <c r="G3552" s="15">
        <v>0.78180000000000005</v>
      </c>
      <c r="H3552" s="15">
        <v>5.9299999999999999E-2</v>
      </c>
      <c r="I3552" s="15">
        <v>3.56E-2</v>
      </c>
      <c r="J3552" s="15">
        <v>1.665730337078652</v>
      </c>
    </row>
    <row r="3553" spans="1:10" x14ac:dyDescent="0.25">
      <c r="A3553" s="2" t="s">
        <v>9251</v>
      </c>
      <c r="B3553" s="2" t="s">
        <v>7007</v>
      </c>
      <c r="C3553" s="2" t="s">
        <v>9252</v>
      </c>
      <c r="D3553" s="2" t="s">
        <v>10055</v>
      </c>
      <c r="E3553" s="15">
        <v>5.0000000000000001E-4</v>
      </c>
      <c r="F3553" s="15">
        <v>0.1263</v>
      </c>
      <c r="G3553" s="15">
        <v>0.99680000000000002</v>
      </c>
      <c r="H3553" s="15">
        <v>6.3700000000000007E-2</v>
      </c>
      <c r="I3553" s="15">
        <v>3.5099999999999999E-2</v>
      </c>
      <c r="J3553" s="15">
        <v>1.8148148148148151</v>
      </c>
    </row>
    <row r="3554" spans="1:10" x14ac:dyDescent="0.25">
      <c r="A3554" s="2" t="s">
        <v>9253</v>
      </c>
      <c r="B3554" s="2" t="s">
        <v>7007</v>
      </c>
      <c r="C3554" s="2" t="s">
        <v>9254</v>
      </c>
      <c r="D3554" s="2" t="s">
        <v>10055</v>
      </c>
      <c r="E3554" s="15"/>
      <c r="F3554" s="15"/>
      <c r="G3554" s="15"/>
      <c r="H3554" s="15">
        <v>-1.6E-2</v>
      </c>
      <c r="I3554" s="15">
        <v>3.7400000000000003E-2</v>
      </c>
      <c r="J3554" s="15">
        <v>-0.42780748663101598</v>
      </c>
    </row>
    <row r="3555" spans="1:10" x14ac:dyDescent="0.25">
      <c r="A3555" s="2" t="s">
        <v>9255</v>
      </c>
      <c r="B3555" s="2" t="s">
        <v>7007</v>
      </c>
      <c r="C3555" s="2" t="s">
        <v>9256</v>
      </c>
      <c r="D3555" s="2" t="s">
        <v>10055</v>
      </c>
      <c r="E3555" s="15">
        <v>-4.5400000000000003E-2</v>
      </c>
      <c r="F3555" s="15">
        <v>9.7199999999999995E-2</v>
      </c>
      <c r="G3555" s="15">
        <v>0.64049999999999996</v>
      </c>
      <c r="H3555" s="15">
        <v>0.14419999999999999</v>
      </c>
      <c r="I3555" s="15">
        <v>4.24E-2</v>
      </c>
      <c r="J3555" s="15">
        <v>3.4009433962264151</v>
      </c>
    </row>
    <row r="3556" spans="1:10" x14ac:dyDescent="0.25">
      <c r="A3556" s="2" t="s">
        <v>9257</v>
      </c>
      <c r="B3556" s="2" t="s">
        <v>7007</v>
      </c>
      <c r="C3556" s="2" t="s">
        <v>9258</v>
      </c>
      <c r="D3556" s="2" t="s">
        <v>10055</v>
      </c>
      <c r="E3556" s="15">
        <v>0.1249</v>
      </c>
      <c r="F3556" s="15">
        <v>0.13270000000000001</v>
      </c>
      <c r="G3556" s="15">
        <v>0.3463</v>
      </c>
      <c r="H3556" s="15">
        <v>6.1699999999999998E-2</v>
      </c>
      <c r="I3556" s="15">
        <v>3.5999999999999997E-2</v>
      </c>
      <c r="J3556" s="15">
        <v>1.713888888888889</v>
      </c>
    </row>
    <row r="3557" spans="1:10" x14ac:dyDescent="0.25">
      <c r="A3557" s="2" t="s">
        <v>9259</v>
      </c>
      <c r="B3557" s="2" t="s">
        <v>7007</v>
      </c>
      <c r="C3557" s="2" t="s">
        <v>9260</v>
      </c>
      <c r="D3557" s="2" t="s">
        <v>10055</v>
      </c>
      <c r="E3557" s="15">
        <v>0.35610000000000003</v>
      </c>
      <c r="F3557" s="15">
        <v>0.1404</v>
      </c>
      <c r="G3557" s="15">
        <v>1.12E-2</v>
      </c>
      <c r="H3557" s="15">
        <v>8.9599999999999999E-2</v>
      </c>
      <c r="I3557" s="15">
        <v>4.0300000000000002E-2</v>
      </c>
      <c r="J3557" s="15">
        <v>2.2233250620347391</v>
      </c>
    </row>
    <row r="3558" spans="1:10" x14ac:dyDescent="0.25">
      <c r="A3558" s="2" t="s">
        <v>9261</v>
      </c>
      <c r="B3558" s="2" t="s">
        <v>7007</v>
      </c>
      <c r="C3558" s="2" t="s">
        <v>9262</v>
      </c>
      <c r="D3558" s="2" t="s">
        <v>10055</v>
      </c>
      <c r="E3558" s="15">
        <v>-0.12740000000000001</v>
      </c>
      <c r="F3558" s="15">
        <v>0.3367</v>
      </c>
      <c r="G3558" s="15">
        <v>0.70499999999999996</v>
      </c>
      <c r="H3558" s="15">
        <v>1.6199999999999999E-2</v>
      </c>
      <c r="I3558" s="15">
        <v>3.8100000000000002E-2</v>
      </c>
      <c r="J3558" s="15">
        <v>0.42519685039370081</v>
      </c>
    </row>
    <row r="3559" spans="1:10" x14ac:dyDescent="0.25">
      <c r="A3559" s="2" t="s">
        <v>9263</v>
      </c>
      <c r="B3559" s="2" t="s">
        <v>7007</v>
      </c>
      <c r="C3559" s="2" t="s">
        <v>9264</v>
      </c>
      <c r="D3559" s="2" t="s">
        <v>10055</v>
      </c>
      <c r="E3559" s="15">
        <v>-0.15759999999999999</v>
      </c>
      <c r="F3559" s="15">
        <v>0.21290000000000001</v>
      </c>
      <c r="G3559" s="15">
        <v>0.45910000000000001</v>
      </c>
      <c r="H3559" s="15">
        <v>3.6700000000000003E-2</v>
      </c>
      <c r="I3559" s="15">
        <v>3.6600000000000001E-2</v>
      </c>
      <c r="J3559" s="15">
        <v>1.002732240437159</v>
      </c>
    </row>
    <row r="3560" spans="1:10" x14ac:dyDescent="0.25">
      <c r="A3560" s="2" t="s">
        <v>9265</v>
      </c>
      <c r="B3560" s="2" t="s">
        <v>7007</v>
      </c>
      <c r="C3560" s="2" t="s">
        <v>9266</v>
      </c>
      <c r="D3560" s="2" t="s">
        <v>10055</v>
      </c>
      <c r="E3560" s="15">
        <v>-0.13239999999999999</v>
      </c>
      <c r="F3560" s="15">
        <v>8.0399999999999999E-2</v>
      </c>
      <c r="G3560" s="15">
        <v>9.9699999999999997E-2</v>
      </c>
      <c r="H3560" s="15">
        <v>0.17899999999999999</v>
      </c>
      <c r="I3560" s="15">
        <v>5.7299999999999997E-2</v>
      </c>
      <c r="J3560" s="15">
        <v>3.1239092495637002</v>
      </c>
    </row>
    <row r="3561" spans="1:10" x14ac:dyDescent="0.25">
      <c r="A3561" s="2" t="s">
        <v>9267</v>
      </c>
      <c r="B3561" s="2" t="s">
        <v>7007</v>
      </c>
      <c r="C3561" s="2" t="s">
        <v>9268</v>
      </c>
      <c r="D3561" s="2" t="s">
        <v>10055</v>
      </c>
      <c r="E3561" s="15">
        <v>-6.7500000000000004E-2</v>
      </c>
      <c r="F3561" s="15">
        <v>0.1163</v>
      </c>
      <c r="G3561" s="15">
        <v>0.56179999999999997</v>
      </c>
      <c r="H3561" s="15">
        <v>7.4499999999999997E-2</v>
      </c>
      <c r="I3561" s="15">
        <v>3.8600000000000002E-2</v>
      </c>
      <c r="J3561" s="15">
        <v>1.9300518134715019</v>
      </c>
    </row>
    <row r="3562" spans="1:10" x14ac:dyDescent="0.25">
      <c r="A3562" s="2" t="s">
        <v>9269</v>
      </c>
      <c r="B3562" s="2" t="s">
        <v>7007</v>
      </c>
      <c r="C3562" s="2" t="s">
        <v>9270</v>
      </c>
      <c r="D3562" s="2" t="s">
        <v>10055</v>
      </c>
      <c r="E3562" s="15">
        <v>8.8400000000000006E-2</v>
      </c>
      <c r="F3562" s="15">
        <v>0.18529999999999999</v>
      </c>
      <c r="G3562" s="15">
        <v>0.63329999999999997</v>
      </c>
      <c r="H3562" s="15">
        <v>3.7900000000000003E-2</v>
      </c>
      <c r="I3562" s="15">
        <v>3.5000000000000003E-2</v>
      </c>
      <c r="J3562" s="15">
        <v>1.082857142857143</v>
      </c>
    </row>
    <row r="3563" spans="1:10" x14ac:dyDescent="0.25">
      <c r="A3563" s="2" t="s">
        <v>9271</v>
      </c>
      <c r="B3563" s="2" t="s">
        <v>7007</v>
      </c>
      <c r="C3563" s="2" t="s">
        <v>9272</v>
      </c>
      <c r="D3563" s="2" t="s">
        <v>10055</v>
      </c>
      <c r="E3563" s="15">
        <v>7.6499999999999999E-2</v>
      </c>
      <c r="F3563" s="15">
        <v>0.10680000000000001</v>
      </c>
      <c r="G3563" s="15">
        <v>0.47389999999999999</v>
      </c>
      <c r="H3563" s="15">
        <v>9.8000000000000004E-2</v>
      </c>
      <c r="I3563" s="15">
        <v>3.8399999999999997E-2</v>
      </c>
      <c r="J3563" s="15">
        <v>2.552083333333333</v>
      </c>
    </row>
    <row r="3564" spans="1:10" x14ac:dyDescent="0.25">
      <c r="A3564" s="2" t="s">
        <v>9273</v>
      </c>
      <c r="B3564" s="2" t="s">
        <v>7007</v>
      </c>
      <c r="C3564" s="2" t="s">
        <v>9274</v>
      </c>
      <c r="D3564" s="2" t="s">
        <v>10055</v>
      </c>
      <c r="E3564" s="15">
        <v>0.1018</v>
      </c>
      <c r="F3564" s="15">
        <v>0.1648</v>
      </c>
      <c r="G3564" s="15">
        <v>0.53669999999999995</v>
      </c>
      <c r="H3564" s="15">
        <v>4.4900000000000002E-2</v>
      </c>
      <c r="I3564" s="15">
        <v>3.9600000000000003E-2</v>
      </c>
      <c r="J3564" s="15">
        <v>1.1338383838383841</v>
      </c>
    </row>
    <row r="3565" spans="1:10" x14ac:dyDescent="0.25">
      <c r="A3565" s="2" t="s">
        <v>9275</v>
      </c>
      <c r="B3565" s="2" t="s">
        <v>7007</v>
      </c>
      <c r="C3565" s="2" t="s">
        <v>9276</v>
      </c>
      <c r="D3565" s="2" t="s">
        <v>10055</v>
      </c>
      <c r="E3565" s="15">
        <v>0.21360000000000001</v>
      </c>
      <c r="F3565" s="15">
        <v>0.1459</v>
      </c>
      <c r="G3565" s="15">
        <v>0.14330000000000001</v>
      </c>
      <c r="H3565" s="15">
        <v>5.67E-2</v>
      </c>
      <c r="I3565" s="15">
        <v>3.3799999999999997E-2</v>
      </c>
      <c r="J3565" s="15">
        <v>1.677514792899409</v>
      </c>
    </row>
    <row r="3566" spans="1:10" x14ac:dyDescent="0.25">
      <c r="A3566" s="2" t="s">
        <v>9277</v>
      </c>
      <c r="B3566" s="2" t="s">
        <v>7007</v>
      </c>
      <c r="C3566" s="2" t="s">
        <v>9278</v>
      </c>
      <c r="D3566" s="2" t="s">
        <v>10055</v>
      </c>
      <c r="E3566" s="15">
        <v>2.7099999999999999E-2</v>
      </c>
      <c r="F3566" s="15">
        <v>0.11600000000000001</v>
      </c>
      <c r="G3566" s="15">
        <v>0.81540000000000001</v>
      </c>
      <c r="H3566" s="15">
        <v>9.9400000000000002E-2</v>
      </c>
      <c r="I3566" s="15">
        <v>4.0099999999999997E-2</v>
      </c>
      <c r="J3566" s="15">
        <v>2.4788029925187041</v>
      </c>
    </row>
    <row r="3567" spans="1:10" x14ac:dyDescent="0.25">
      <c r="A3567" s="2" t="s">
        <v>9279</v>
      </c>
      <c r="B3567" s="2" t="s">
        <v>7007</v>
      </c>
      <c r="C3567" s="2" t="s">
        <v>9280</v>
      </c>
      <c r="D3567" s="2" t="s">
        <v>10055</v>
      </c>
      <c r="E3567" s="15">
        <v>0.1154</v>
      </c>
      <c r="F3567" s="15">
        <v>0.11600000000000001</v>
      </c>
      <c r="G3567" s="15">
        <v>0.3201</v>
      </c>
      <c r="H3567" s="15">
        <v>9.4700000000000006E-2</v>
      </c>
      <c r="I3567" s="15">
        <v>4.1300000000000003E-2</v>
      </c>
      <c r="J3567" s="15">
        <v>2.2929782082324461</v>
      </c>
    </row>
    <row r="3568" spans="1:10" x14ac:dyDescent="0.25">
      <c r="A3568" s="2" t="s">
        <v>9281</v>
      </c>
      <c r="B3568" s="2" t="s">
        <v>7007</v>
      </c>
      <c r="C3568" s="2" t="s">
        <v>9282</v>
      </c>
      <c r="D3568" s="2" t="s">
        <v>10055</v>
      </c>
      <c r="E3568" s="15">
        <v>-6.7799999999999999E-2</v>
      </c>
      <c r="F3568" s="15">
        <v>0.15110000000000001</v>
      </c>
      <c r="G3568" s="15">
        <v>0.65359999999999996</v>
      </c>
      <c r="H3568" s="15">
        <v>6.0499999999999998E-2</v>
      </c>
      <c r="I3568" s="15">
        <v>4.1399999999999999E-2</v>
      </c>
      <c r="J3568" s="15">
        <v>1.461352657004831</v>
      </c>
    </row>
    <row r="3569" spans="1:10" x14ac:dyDescent="0.25">
      <c r="A3569" s="2" t="s">
        <v>9283</v>
      </c>
      <c r="B3569" s="2" t="s">
        <v>7007</v>
      </c>
      <c r="C3569" s="2" t="s">
        <v>9284</v>
      </c>
      <c r="D3569" s="2" t="s">
        <v>10055</v>
      </c>
      <c r="E3569" s="15">
        <v>-2.24E-2</v>
      </c>
      <c r="F3569" s="15">
        <v>0.13930000000000001</v>
      </c>
      <c r="G3569" s="15">
        <v>0.87229999999999996</v>
      </c>
      <c r="H3569" s="15">
        <v>6.6699999999999995E-2</v>
      </c>
      <c r="I3569" s="15">
        <v>3.8699999999999998E-2</v>
      </c>
      <c r="J3569" s="15">
        <v>1.7235142118863049</v>
      </c>
    </row>
    <row r="3570" spans="1:10" x14ac:dyDescent="0.25">
      <c r="A3570" s="2" t="s">
        <v>9285</v>
      </c>
      <c r="B3570" s="2" t="s">
        <v>7007</v>
      </c>
      <c r="C3570" s="2" t="s">
        <v>9286</v>
      </c>
      <c r="D3570" s="2" t="s">
        <v>10055</v>
      </c>
      <c r="E3570" s="15">
        <v>-0.24279999999999999</v>
      </c>
      <c r="F3570" s="15">
        <v>0.17100000000000001</v>
      </c>
      <c r="G3570" s="15">
        <v>0.1555</v>
      </c>
      <c r="H3570" s="15">
        <v>4.6699999999999998E-2</v>
      </c>
      <c r="I3570" s="15">
        <v>3.6799999999999999E-2</v>
      </c>
      <c r="J3570" s="15">
        <v>1.269021739130435</v>
      </c>
    </row>
    <row r="3571" spans="1:10" x14ac:dyDescent="0.25">
      <c r="A3571" s="2" t="s">
        <v>9287</v>
      </c>
      <c r="B3571" s="2" t="s">
        <v>7007</v>
      </c>
      <c r="C3571" s="2" t="s">
        <v>9288</v>
      </c>
      <c r="D3571" s="2" t="s">
        <v>10055</v>
      </c>
      <c r="E3571" s="15">
        <v>0.15790000000000001</v>
      </c>
      <c r="F3571" s="15">
        <v>0.1002</v>
      </c>
      <c r="G3571" s="15">
        <v>0.115</v>
      </c>
      <c r="H3571" s="15">
        <v>0.1323</v>
      </c>
      <c r="I3571" s="15">
        <v>4.2099999999999999E-2</v>
      </c>
      <c r="J3571" s="15">
        <v>3.1425178147268409</v>
      </c>
    </row>
    <row r="3572" spans="1:10" x14ac:dyDescent="0.25">
      <c r="A3572" s="2" t="s">
        <v>9289</v>
      </c>
      <c r="B3572" s="2" t="s">
        <v>7007</v>
      </c>
      <c r="C3572" s="2" t="s">
        <v>9290</v>
      </c>
      <c r="D3572" s="2" t="s">
        <v>10055</v>
      </c>
      <c r="E3572" s="15">
        <v>-0.28970000000000001</v>
      </c>
      <c r="F3572" s="15">
        <v>0.2253</v>
      </c>
      <c r="G3572" s="15">
        <v>0.19850000000000001</v>
      </c>
      <c r="H3572" s="15">
        <v>4.1500000000000002E-2</v>
      </c>
      <c r="I3572" s="15">
        <v>4.07E-2</v>
      </c>
      <c r="J3572" s="15">
        <v>1.01965601965602</v>
      </c>
    </row>
    <row r="3573" spans="1:10" x14ac:dyDescent="0.25">
      <c r="A3573" s="2" t="s">
        <v>9291</v>
      </c>
      <c r="B3573" s="2" t="s">
        <v>7007</v>
      </c>
      <c r="C3573" s="2" t="s">
        <v>9292</v>
      </c>
      <c r="D3573" s="2" t="s">
        <v>10055</v>
      </c>
      <c r="E3573" s="15">
        <v>0.34510000000000002</v>
      </c>
      <c r="F3573" s="15">
        <v>0.17580000000000001</v>
      </c>
      <c r="G3573" s="15">
        <v>4.9700000000000001E-2</v>
      </c>
      <c r="H3573" s="15">
        <v>5.74E-2</v>
      </c>
      <c r="I3573" s="15">
        <v>3.5499999999999997E-2</v>
      </c>
      <c r="J3573" s="15">
        <v>1.6169014084507041</v>
      </c>
    </row>
    <row r="3574" spans="1:10" x14ac:dyDescent="0.25">
      <c r="A3574" s="2" t="s">
        <v>9293</v>
      </c>
      <c r="B3574" s="2" t="s">
        <v>7007</v>
      </c>
      <c r="C3574" s="2" t="s">
        <v>9294</v>
      </c>
      <c r="D3574" s="2" t="s">
        <v>10055</v>
      </c>
      <c r="E3574" s="15">
        <v>0.42249999999999999</v>
      </c>
      <c r="F3574" s="15">
        <v>0.31569999999999998</v>
      </c>
      <c r="G3574" s="15">
        <v>0.18090000000000001</v>
      </c>
      <c r="H3574" s="15">
        <v>3.4299999999999997E-2</v>
      </c>
      <c r="I3574" s="15">
        <v>4.19E-2</v>
      </c>
      <c r="J3574" s="15">
        <v>0.81861575178997603</v>
      </c>
    </row>
    <row r="3575" spans="1:10" x14ac:dyDescent="0.25">
      <c r="A3575" s="2" t="s">
        <v>9295</v>
      </c>
      <c r="B3575" s="2" t="s">
        <v>7007</v>
      </c>
      <c r="C3575" s="2" t="s">
        <v>9296</v>
      </c>
      <c r="D3575" s="2" t="s">
        <v>10055</v>
      </c>
      <c r="E3575" s="15">
        <v>6.0499999999999998E-2</v>
      </c>
      <c r="F3575" s="15">
        <v>0.1792</v>
      </c>
      <c r="G3575" s="15">
        <v>0.73580000000000001</v>
      </c>
      <c r="H3575" s="15">
        <v>3.2899999999999999E-2</v>
      </c>
      <c r="I3575" s="15">
        <v>3.6499999999999998E-2</v>
      </c>
      <c r="J3575" s="15">
        <v>0.9013698630136987</v>
      </c>
    </row>
    <row r="3576" spans="1:10" x14ac:dyDescent="0.25">
      <c r="A3576" s="2" t="s">
        <v>9297</v>
      </c>
      <c r="B3576" s="2" t="s">
        <v>7007</v>
      </c>
      <c r="C3576" s="2" t="s">
        <v>9298</v>
      </c>
      <c r="D3576" s="2" t="s">
        <v>10055</v>
      </c>
      <c r="E3576" s="15">
        <v>-6.4500000000000002E-2</v>
      </c>
      <c r="F3576" s="15">
        <v>0.18709999999999999</v>
      </c>
      <c r="G3576" s="15">
        <v>0.73029999999999995</v>
      </c>
      <c r="H3576" s="15">
        <v>2.8799999999999999E-2</v>
      </c>
      <c r="I3576" s="15">
        <v>3.6400000000000002E-2</v>
      </c>
      <c r="J3576" s="15">
        <v>0.79120879120879117</v>
      </c>
    </row>
    <row r="3577" spans="1:10" x14ac:dyDescent="0.25">
      <c r="A3577" s="2" t="s">
        <v>9299</v>
      </c>
      <c r="B3577" s="2" t="s">
        <v>7007</v>
      </c>
      <c r="C3577" s="2" t="s">
        <v>9300</v>
      </c>
      <c r="D3577" s="2" t="s">
        <v>10055</v>
      </c>
      <c r="E3577" s="15"/>
      <c r="F3577" s="15"/>
      <c r="G3577" s="15"/>
      <c r="H3577" s="15">
        <v>-7.4000000000000003E-3</v>
      </c>
      <c r="I3577" s="15">
        <v>3.6600000000000001E-2</v>
      </c>
      <c r="J3577" s="15">
        <v>-0.20218579234972681</v>
      </c>
    </row>
    <row r="3578" spans="1:10" x14ac:dyDescent="0.25">
      <c r="A3578" s="2" t="s">
        <v>9301</v>
      </c>
      <c r="B3578" s="2" t="s">
        <v>7007</v>
      </c>
      <c r="C3578" s="2" t="s">
        <v>9302</v>
      </c>
      <c r="D3578" s="2" t="s">
        <v>10055</v>
      </c>
      <c r="E3578" s="15"/>
      <c r="F3578" s="15"/>
      <c r="G3578" s="15"/>
      <c r="H3578" s="15">
        <v>-1E-4</v>
      </c>
      <c r="I3578" s="15">
        <v>3.5700000000000003E-2</v>
      </c>
      <c r="J3578" s="15">
        <v>-2.8011204481792722E-3</v>
      </c>
    </row>
    <row r="3579" spans="1:10" x14ac:dyDescent="0.25">
      <c r="A3579" s="2" t="s">
        <v>9303</v>
      </c>
      <c r="B3579" s="2" t="s">
        <v>7007</v>
      </c>
      <c r="C3579" s="2" t="s">
        <v>9304</v>
      </c>
      <c r="D3579" s="2" t="s">
        <v>10055</v>
      </c>
      <c r="E3579" s="15">
        <v>0.33389999999999997</v>
      </c>
      <c r="F3579" s="15">
        <v>0.2029</v>
      </c>
      <c r="G3579" s="15">
        <v>9.98E-2</v>
      </c>
      <c r="H3579" s="15">
        <v>5.0299999999999997E-2</v>
      </c>
      <c r="I3579" s="15">
        <v>4.1099999999999998E-2</v>
      </c>
      <c r="J3579" s="15">
        <v>1.223844282238443</v>
      </c>
    </row>
    <row r="3580" spans="1:10" x14ac:dyDescent="0.25">
      <c r="A3580" s="2" t="s">
        <v>9305</v>
      </c>
      <c r="B3580" s="2" t="s">
        <v>7007</v>
      </c>
      <c r="C3580" s="2" t="s">
        <v>9306</v>
      </c>
      <c r="D3580" s="2" t="s">
        <v>10055</v>
      </c>
      <c r="E3580" s="15">
        <v>-9.7299999999999998E-2</v>
      </c>
      <c r="F3580" s="15">
        <v>0.1394</v>
      </c>
      <c r="G3580" s="15">
        <v>0.48549999999999999</v>
      </c>
      <c r="H3580" s="15">
        <v>6.7599999999999993E-2</v>
      </c>
      <c r="I3580" s="15">
        <v>3.61E-2</v>
      </c>
      <c r="J3580" s="15">
        <v>1.872576177285318</v>
      </c>
    </row>
    <row r="3581" spans="1:10" x14ac:dyDescent="0.25">
      <c r="A3581" s="2" t="s">
        <v>9307</v>
      </c>
      <c r="B3581" s="2" t="s">
        <v>7007</v>
      </c>
      <c r="C3581" s="2" t="s">
        <v>9308</v>
      </c>
      <c r="D3581" s="2" t="s">
        <v>10055</v>
      </c>
      <c r="E3581" s="15">
        <v>6.3700000000000007E-2</v>
      </c>
      <c r="F3581" s="15">
        <v>0.21</v>
      </c>
      <c r="G3581" s="15">
        <v>0.76170000000000004</v>
      </c>
      <c r="H3581" s="15">
        <v>2.24E-2</v>
      </c>
      <c r="I3581" s="15">
        <v>3.7199999999999997E-2</v>
      </c>
      <c r="J3581" s="15">
        <v>0.60215053763440862</v>
      </c>
    </row>
    <row r="3582" spans="1:10" x14ac:dyDescent="0.25">
      <c r="A3582" s="2" t="s">
        <v>9309</v>
      </c>
      <c r="B3582" s="2" t="s">
        <v>7007</v>
      </c>
      <c r="C3582" s="2" t="s">
        <v>9310</v>
      </c>
      <c r="D3582" s="2" t="s">
        <v>10055</v>
      </c>
      <c r="E3582" s="15">
        <v>-0.22439999999999999</v>
      </c>
      <c r="F3582" s="15">
        <v>0.18559999999999999</v>
      </c>
      <c r="G3582" s="15">
        <v>0.22670000000000001</v>
      </c>
      <c r="H3582" s="15">
        <v>4.0899999999999999E-2</v>
      </c>
      <c r="I3582" s="15">
        <v>3.9100000000000003E-2</v>
      </c>
      <c r="J3582" s="15">
        <v>1.0460358056265979</v>
      </c>
    </row>
    <row r="3583" spans="1:10" x14ac:dyDescent="0.25">
      <c r="A3583" s="2" t="s">
        <v>9311</v>
      </c>
      <c r="B3583" s="2" t="s">
        <v>7007</v>
      </c>
      <c r="C3583" s="2" t="s">
        <v>9312</v>
      </c>
      <c r="D3583" s="2" t="s">
        <v>10055</v>
      </c>
      <c r="E3583" s="15">
        <v>-0.15890000000000001</v>
      </c>
      <c r="F3583" s="15">
        <v>9.7199999999999995E-2</v>
      </c>
      <c r="G3583" s="15">
        <v>0.1023</v>
      </c>
      <c r="H3583" s="15">
        <v>0.1283</v>
      </c>
      <c r="I3583" s="15">
        <v>4.4400000000000002E-2</v>
      </c>
      <c r="J3583" s="15">
        <v>2.8896396396396389</v>
      </c>
    </row>
    <row r="3584" spans="1:10" x14ac:dyDescent="0.25">
      <c r="A3584" s="2" t="s">
        <v>9313</v>
      </c>
      <c r="B3584" s="2" t="s">
        <v>7007</v>
      </c>
      <c r="C3584" s="2" t="s">
        <v>9314</v>
      </c>
      <c r="D3584" s="2" t="s">
        <v>10055</v>
      </c>
      <c r="E3584" s="15"/>
      <c r="F3584" s="15"/>
      <c r="G3584" s="15"/>
      <c r="H3584" s="15"/>
      <c r="I3584" s="15"/>
      <c r="J3584" s="15"/>
    </row>
    <row r="3585" spans="1:10" x14ac:dyDescent="0.25">
      <c r="A3585" s="2" t="s">
        <v>9315</v>
      </c>
      <c r="B3585" s="2" t="s">
        <v>7007</v>
      </c>
      <c r="C3585" s="2" t="s">
        <v>9316</v>
      </c>
      <c r="D3585" s="2" t="s">
        <v>10055</v>
      </c>
      <c r="E3585" s="15"/>
      <c r="F3585" s="15"/>
      <c r="G3585" s="15"/>
      <c r="H3585" s="15">
        <v>-4.3E-3</v>
      </c>
      <c r="I3585" s="15">
        <v>3.6900000000000002E-2</v>
      </c>
      <c r="J3585" s="15">
        <v>-0.1165311653116531</v>
      </c>
    </row>
    <row r="3586" spans="1:10" x14ac:dyDescent="0.25">
      <c r="A3586" s="2" t="s">
        <v>9317</v>
      </c>
      <c r="B3586" s="2" t="s">
        <v>7007</v>
      </c>
      <c r="C3586" s="2" t="s">
        <v>9318</v>
      </c>
      <c r="D3586" s="2" t="s">
        <v>10055</v>
      </c>
      <c r="E3586" s="15">
        <v>0.1072</v>
      </c>
      <c r="F3586" s="15">
        <v>0.1285</v>
      </c>
      <c r="G3586" s="15">
        <v>0.40439999999999998</v>
      </c>
      <c r="H3586" s="15">
        <v>7.2099999999999997E-2</v>
      </c>
      <c r="I3586" s="15">
        <v>4.07E-2</v>
      </c>
      <c r="J3586" s="15">
        <v>1.7714987714987711</v>
      </c>
    </row>
    <row r="3587" spans="1:10" x14ac:dyDescent="0.25">
      <c r="A3587" s="2" t="s">
        <v>9319</v>
      </c>
      <c r="B3587" s="2" t="s">
        <v>7007</v>
      </c>
      <c r="C3587" s="2" t="s">
        <v>9320</v>
      </c>
      <c r="D3587" s="2" t="s">
        <v>10055</v>
      </c>
      <c r="E3587" s="15">
        <v>0.25480000000000003</v>
      </c>
      <c r="F3587" s="15">
        <v>0.11360000000000001</v>
      </c>
      <c r="G3587" s="15">
        <v>2.4899999999999999E-2</v>
      </c>
      <c r="H3587" s="15">
        <v>9.8199999999999996E-2</v>
      </c>
      <c r="I3587" s="15">
        <v>3.6999999999999998E-2</v>
      </c>
      <c r="J3587" s="15">
        <v>2.654054054054054</v>
      </c>
    </row>
    <row r="3588" spans="1:10" x14ac:dyDescent="0.25">
      <c r="A3588" s="2" t="s">
        <v>9321</v>
      </c>
      <c r="B3588" s="2" t="s">
        <v>7007</v>
      </c>
      <c r="C3588" s="2" t="s">
        <v>9322</v>
      </c>
      <c r="D3588" s="2" t="s">
        <v>10055</v>
      </c>
      <c r="E3588" s="15">
        <v>0.1186</v>
      </c>
      <c r="F3588" s="15">
        <v>0.16869999999999999</v>
      </c>
      <c r="G3588" s="15">
        <v>0.48199999999999998</v>
      </c>
      <c r="H3588" s="15">
        <v>4.1000000000000002E-2</v>
      </c>
      <c r="I3588" s="15">
        <v>4.0300000000000002E-2</v>
      </c>
      <c r="J3588" s="15">
        <v>1.017369727047146</v>
      </c>
    </row>
    <row r="3589" spans="1:10" x14ac:dyDescent="0.25">
      <c r="A3589" s="2" t="s">
        <v>9323</v>
      </c>
      <c r="B3589" s="2" t="s">
        <v>7007</v>
      </c>
      <c r="C3589" s="2" t="s">
        <v>9324</v>
      </c>
      <c r="D3589" s="2" t="s">
        <v>10055</v>
      </c>
      <c r="E3589" s="15">
        <v>-0.1206</v>
      </c>
      <c r="F3589" s="15">
        <v>0.1231</v>
      </c>
      <c r="G3589" s="15">
        <v>0.32740000000000002</v>
      </c>
      <c r="H3589" s="15">
        <v>6.8400000000000002E-2</v>
      </c>
      <c r="I3589" s="15">
        <v>3.9300000000000002E-2</v>
      </c>
      <c r="J3589" s="15">
        <v>1.740458015267176</v>
      </c>
    </row>
    <row r="3590" spans="1:10" x14ac:dyDescent="0.25">
      <c r="A3590" s="2" t="s">
        <v>9325</v>
      </c>
      <c r="B3590" s="2" t="s">
        <v>7007</v>
      </c>
      <c r="C3590" s="2" t="s">
        <v>9326</v>
      </c>
      <c r="D3590" s="2" t="s">
        <v>10055</v>
      </c>
      <c r="E3590" s="15">
        <v>7.0099999999999996E-2</v>
      </c>
      <c r="F3590" s="15">
        <v>0.12640000000000001</v>
      </c>
      <c r="G3590" s="15">
        <v>0.57899999999999996</v>
      </c>
      <c r="H3590" s="15">
        <v>7.5600000000000001E-2</v>
      </c>
      <c r="I3590" s="15">
        <v>3.9399999999999998E-2</v>
      </c>
      <c r="J3590" s="15">
        <v>1.9187817258883251</v>
      </c>
    </row>
    <row r="3591" spans="1:10" x14ac:dyDescent="0.25">
      <c r="A3591" s="2" t="s">
        <v>9327</v>
      </c>
      <c r="B3591" s="2" t="s">
        <v>7007</v>
      </c>
      <c r="C3591" s="2" t="s">
        <v>9328</v>
      </c>
      <c r="D3591" s="2" t="s">
        <v>10055</v>
      </c>
      <c r="E3591" s="15">
        <v>0.69610000000000005</v>
      </c>
      <c r="F3591" s="15">
        <v>0.68920000000000003</v>
      </c>
      <c r="G3591" s="15">
        <v>0.3125</v>
      </c>
      <c r="H3591" s="15">
        <v>2.0299999999999999E-2</v>
      </c>
      <c r="I3591" s="15">
        <v>3.5700000000000003E-2</v>
      </c>
      <c r="J3591" s="15">
        <v>0.56862745098039202</v>
      </c>
    </row>
    <row r="3592" spans="1:10" x14ac:dyDescent="0.25">
      <c r="A3592" s="2" t="s">
        <v>9329</v>
      </c>
      <c r="B3592" s="2" t="s">
        <v>7007</v>
      </c>
      <c r="C3592" s="2" t="s">
        <v>9330</v>
      </c>
      <c r="D3592" s="2" t="s">
        <v>10055</v>
      </c>
      <c r="E3592" s="15">
        <v>-0.1421</v>
      </c>
      <c r="F3592" s="15">
        <v>0.11169999999999999</v>
      </c>
      <c r="G3592" s="15">
        <v>0.20349999999999999</v>
      </c>
      <c r="H3592" s="15">
        <v>9.4100000000000003E-2</v>
      </c>
      <c r="I3592" s="15">
        <v>3.7199999999999997E-2</v>
      </c>
      <c r="J3592" s="15">
        <v>2.529569892473118</v>
      </c>
    </row>
    <row r="3593" spans="1:10" x14ac:dyDescent="0.25">
      <c r="A3593" s="2" t="s">
        <v>9331</v>
      </c>
      <c r="B3593" s="2" t="s">
        <v>7007</v>
      </c>
      <c r="C3593" s="2" t="s">
        <v>9332</v>
      </c>
      <c r="D3593" s="2" t="s">
        <v>10055</v>
      </c>
      <c r="E3593" s="15"/>
      <c r="F3593" s="15"/>
      <c r="G3593" s="15"/>
      <c r="H3593" s="15">
        <v>-3.3999999999999998E-3</v>
      </c>
      <c r="I3593" s="15">
        <v>3.5700000000000003E-2</v>
      </c>
      <c r="J3593" s="15">
        <v>-9.5238095238095233E-2</v>
      </c>
    </row>
    <row r="3594" spans="1:10" x14ac:dyDescent="0.25">
      <c r="A3594" s="2" t="s">
        <v>9333</v>
      </c>
      <c r="B3594" s="2" t="s">
        <v>7007</v>
      </c>
      <c r="C3594" s="2" t="s">
        <v>9334</v>
      </c>
      <c r="D3594" s="2" t="s">
        <v>10055</v>
      </c>
      <c r="E3594" s="15">
        <v>0.2283</v>
      </c>
      <c r="F3594" s="15">
        <v>0.13200000000000001</v>
      </c>
      <c r="G3594" s="15">
        <v>8.3699999999999997E-2</v>
      </c>
      <c r="H3594" s="15">
        <v>7.9500000000000001E-2</v>
      </c>
      <c r="I3594" s="15">
        <v>4.0399999999999998E-2</v>
      </c>
      <c r="J3594" s="15">
        <v>1.967821782178218</v>
      </c>
    </row>
    <row r="3595" spans="1:10" x14ac:dyDescent="0.25">
      <c r="A3595" s="2" t="s">
        <v>9335</v>
      </c>
      <c r="B3595" s="2" t="s">
        <v>7007</v>
      </c>
      <c r="C3595" s="2" t="s">
        <v>9336</v>
      </c>
      <c r="D3595" s="2" t="s">
        <v>10055</v>
      </c>
      <c r="E3595" s="15">
        <v>-8.2699999999999996E-2</v>
      </c>
      <c r="F3595" s="15">
        <v>8.0600000000000005E-2</v>
      </c>
      <c r="G3595" s="15">
        <v>0.30480000000000002</v>
      </c>
      <c r="H3595" s="15">
        <v>0.18790000000000001</v>
      </c>
      <c r="I3595" s="15">
        <v>4.3099999999999999E-2</v>
      </c>
      <c r="J3595" s="15">
        <v>4.3596287703016241</v>
      </c>
    </row>
    <row r="3596" spans="1:10" x14ac:dyDescent="0.25">
      <c r="A3596" s="2" t="s">
        <v>9337</v>
      </c>
      <c r="B3596" s="2" t="s">
        <v>7007</v>
      </c>
      <c r="C3596" s="2" t="s">
        <v>9338</v>
      </c>
      <c r="D3596" s="2" t="s">
        <v>10055</v>
      </c>
      <c r="E3596" s="15"/>
      <c r="F3596" s="15"/>
      <c r="G3596" s="15"/>
      <c r="H3596" s="15"/>
      <c r="I3596" s="15"/>
      <c r="J3596" s="15"/>
    </row>
    <row r="3597" spans="1:10" x14ac:dyDescent="0.25">
      <c r="A3597" s="2" t="s">
        <v>9339</v>
      </c>
      <c r="B3597" s="2" t="s">
        <v>7007</v>
      </c>
      <c r="C3597" s="2" t="s">
        <v>9340</v>
      </c>
      <c r="D3597" s="2" t="s">
        <v>10055</v>
      </c>
      <c r="E3597" s="15">
        <v>-1.8700000000000001E-2</v>
      </c>
      <c r="F3597" s="15">
        <v>0.1188</v>
      </c>
      <c r="G3597" s="15">
        <v>0.87519999999999998</v>
      </c>
      <c r="H3597" s="15">
        <v>8.0799999999999997E-2</v>
      </c>
      <c r="I3597" s="15">
        <v>3.8600000000000002E-2</v>
      </c>
      <c r="J3597" s="15">
        <v>2.0932642487046631</v>
      </c>
    </row>
    <row r="3598" spans="1:10" x14ac:dyDescent="0.25">
      <c r="A3598" s="2" t="s">
        <v>9341</v>
      </c>
      <c r="B3598" s="2" t="s">
        <v>7007</v>
      </c>
      <c r="C3598" s="2" t="s">
        <v>9342</v>
      </c>
      <c r="D3598" s="2" t="s">
        <v>10055</v>
      </c>
      <c r="E3598" s="15">
        <v>-0.1019</v>
      </c>
      <c r="F3598" s="15">
        <v>0.14249999999999999</v>
      </c>
      <c r="G3598" s="15">
        <v>0.4743</v>
      </c>
      <c r="H3598" s="15">
        <v>6.1600000000000002E-2</v>
      </c>
      <c r="I3598" s="15">
        <v>3.9600000000000003E-2</v>
      </c>
      <c r="J3598" s="15">
        <v>1.555555555555556</v>
      </c>
    </row>
    <row r="3599" spans="1:10" x14ac:dyDescent="0.25">
      <c r="A3599" s="2" t="s">
        <v>9343</v>
      </c>
      <c r="B3599" s="2" t="s">
        <v>7007</v>
      </c>
      <c r="C3599" s="2" t="s">
        <v>9344</v>
      </c>
      <c r="D3599" s="2" t="s">
        <v>10055</v>
      </c>
      <c r="E3599" s="15"/>
      <c r="F3599" s="15"/>
      <c r="G3599" s="15"/>
      <c r="H3599" s="15">
        <v>-5.21E-2</v>
      </c>
      <c r="I3599" s="15">
        <v>3.73E-2</v>
      </c>
      <c r="J3599" s="15">
        <v>-1.3967828418230559</v>
      </c>
    </row>
    <row r="3600" spans="1:10" x14ac:dyDescent="0.25">
      <c r="A3600" s="2" t="s">
        <v>9345</v>
      </c>
      <c r="B3600" s="2" t="s">
        <v>7007</v>
      </c>
      <c r="C3600" s="2" t="s">
        <v>9346</v>
      </c>
      <c r="D3600" s="2" t="s">
        <v>10055</v>
      </c>
      <c r="E3600" s="15">
        <v>-0.10780000000000001</v>
      </c>
      <c r="F3600" s="15">
        <v>0.14030000000000001</v>
      </c>
      <c r="G3600" s="15">
        <v>0.44240000000000002</v>
      </c>
      <c r="H3600" s="15">
        <v>5.6599999999999998E-2</v>
      </c>
      <c r="I3600" s="15">
        <v>3.7400000000000003E-2</v>
      </c>
      <c r="J3600" s="15">
        <v>1.5133689839572191</v>
      </c>
    </row>
    <row r="3601" spans="1:10" x14ac:dyDescent="0.25">
      <c r="A3601" s="2" t="s">
        <v>9347</v>
      </c>
      <c r="B3601" s="2" t="s">
        <v>7007</v>
      </c>
      <c r="C3601" s="2" t="s">
        <v>9348</v>
      </c>
      <c r="D3601" s="2" t="s">
        <v>10055</v>
      </c>
      <c r="E3601" s="15"/>
      <c r="F3601" s="15"/>
      <c r="G3601" s="15"/>
      <c r="H3601" s="15">
        <v>-7.22E-2</v>
      </c>
      <c r="I3601" s="15">
        <v>3.5499999999999997E-2</v>
      </c>
      <c r="J3601" s="15">
        <v>-2.0338028169014088</v>
      </c>
    </row>
    <row r="3602" spans="1:10" x14ac:dyDescent="0.25">
      <c r="A3602" s="2" t="s">
        <v>9349</v>
      </c>
      <c r="B3602" s="2" t="s">
        <v>7007</v>
      </c>
      <c r="C3602" s="2" t="s">
        <v>9350</v>
      </c>
      <c r="D3602" s="2" t="s">
        <v>10055</v>
      </c>
      <c r="E3602" s="15">
        <v>-5.3199999999999997E-2</v>
      </c>
      <c r="F3602" s="15">
        <v>9.2700000000000005E-2</v>
      </c>
      <c r="G3602" s="15">
        <v>0.56599999999999995</v>
      </c>
      <c r="H3602" s="15">
        <v>0.1636</v>
      </c>
      <c r="I3602" s="15">
        <v>3.7900000000000003E-2</v>
      </c>
      <c r="J3602" s="15">
        <v>4.3166226912928751</v>
      </c>
    </row>
    <row r="3603" spans="1:10" x14ac:dyDescent="0.25">
      <c r="A3603" s="2" t="s">
        <v>9351</v>
      </c>
      <c r="B3603" s="2" t="s">
        <v>7007</v>
      </c>
      <c r="C3603" s="2" t="s">
        <v>9352</v>
      </c>
      <c r="D3603" s="2" t="s">
        <v>10055</v>
      </c>
      <c r="E3603" s="15">
        <v>-6.6E-3</v>
      </c>
      <c r="F3603" s="15">
        <v>0.11600000000000001</v>
      </c>
      <c r="G3603" s="15">
        <v>0.95450000000000002</v>
      </c>
      <c r="H3603" s="15">
        <v>7.3200000000000001E-2</v>
      </c>
      <c r="I3603" s="15">
        <v>3.8800000000000001E-2</v>
      </c>
      <c r="J3603" s="15">
        <v>1.8865979381443301</v>
      </c>
    </row>
    <row r="3604" spans="1:10" x14ac:dyDescent="0.25">
      <c r="A3604" s="2" t="s">
        <v>9353</v>
      </c>
      <c r="B3604" s="2" t="s">
        <v>7007</v>
      </c>
      <c r="C3604" s="2" t="s">
        <v>9354</v>
      </c>
      <c r="D3604" s="2" t="s">
        <v>10055</v>
      </c>
      <c r="E3604" s="15">
        <v>-2.7400000000000001E-2</v>
      </c>
      <c r="F3604" s="15">
        <v>0.1341</v>
      </c>
      <c r="G3604" s="15">
        <v>0.83830000000000005</v>
      </c>
      <c r="H3604" s="15">
        <v>5.7099999999999998E-2</v>
      </c>
      <c r="I3604" s="15">
        <v>3.9E-2</v>
      </c>
      <c r="J3604" s="15">
        <v>1.464102564102564</v>
      </c>
    </row>
    <row r="3605" spans="1:10" x14ac:dyDescent="0.25">
      <c r="A3605" s="2" t="s">
        <v>9355</v>
      </c>
      <c r="B3605" s="2" t="s">
        <v>7007</v>
      </c>
      <c r="C3605" s="2" t="s">
        <v>9356</v>
      </c>
      <c r="D3605" s="2" t="s">
        <v>10055</v>
      </c>
      <c r="E3605" s="15">
        <v>-5.3699999999999998E-2</v>
      </c>
      <c r="F3605" s="15">
        <v>0.13730000000000001</v>
      </c>
      <c r="G3605" s="15">
        <v>0.69589999999999996</v>
      </c>
      <c r="H3605" s="15">
        <v>5.8900000000000001E-2</v>
      </c>
      <c r="I3605" s="15">
        <v>3.8899999999999997E-2</v>
      </c>
      <c r="J3605" s="15">
        <v>1.51413881748072</v>
      </c>
    </row>
    <row r="3606" spans="1:10" x14ac:dyDescent="0.25">
      <c r="A3606" s="2" t="s">
        <v>9357</v>
      </c>
      <c r="B3606" s="2" t="s">
        <v>7007</v>
      </c>
      <c r="C3606" s="2" t="s">
        <v>9358</v>
      </c>
      <c r="D3606" s="2" t="s">
        <v>10055</v>
      </c>
      <c r="E3606" s="15">
        <v>9.9099999999999994E-2</v>
      </c>
      <c r="F3606" s="15">
        <v>0.1113</v>
      </c>
      <c r="G3606" s="15">
        <v>0.373</v>
      </c>
      <c r="H3606" s="15">
        <v>0.1105</v>
      </c>
      <c r="I3606" s="15">
        <v>4.2799999999999998E-2</v>
      </c>
      <c r="J3606" s="15">
        <v>2.5817757009345801</v>
      </c>
    </row>
    <row r="3607" spans="1:10" x14ac:dyDescent="0.25">
      <c r="A3607" s="2" t="s">
        <v>9359</v>
      </c>
      <c r="B3607" s="2" t="s">
        <v>7007</v>
      </c>
      <c r="C3607" s="2" t="s">
        <v>9360</v>
      </c>
      <c r="D3607" s="2" t="s">
        <v>10055</v>
      </c>
      <c r="E3607" s="15">
        <v>-3.6200000000000003E-2</v>
      </c>
      <c r="F3607" s="15">
        <v>0.14360000000000001</v>
      </c>
      <c r="G3607" s="15">
        <v>0.80120000000000002</v>
      </c>
      <c r="H3607" s="15">
        <v>5.1700000000000003E-2</v>
      </c>
      <c r="I3607" s="15">
        <v>3.7999999999999999E-2</v>
      </c>
      <c r="J3607" s="15">
        <v>1.360526315789474</v>
      </c>
    </row>
    <row r="3608" spans="1:10" x14ac:dyDescent="0.25">
      <c r="A3608" s="2" t="s">
        <v>9361</v>
      </c>
      <c r="B3608" s="2" t="s">
        <v>7007</v>
      </c>
      <c r="C3608" s="2" t="s">
        <v>9362</v>
      </c>
      <c r="D3608" s="2" t="s">
        <v>10055</v>
      </c>
      <c r="E3608" s="15">
        <v>-0.11849999999999999</v>
      </c>
      <c r="F3608" s="15">
        <v>0.1389</v>
      </c>
      <c r="G3608" s="15">
        <v>0.39360000000000001</v>
      </c>
      <c r="H3608" s="15">
        <v>5.8299999999999998E-2</v>
      </c>
      <c r="I3608" s="15">
        <v>3.6900000000000002E-2</v>
      </c>
      <c r="J3608" s="15">
        <v>1.579945799457994</v>
      </c>
    </row>
    <row r="3609" spans="1:10" x14ac:dyDescent="0.25">
      <c r="A3609" s="2" t="s">
        <v>9363</v>
      </c>
      <c r="B3609" s="2" t="s">
        <v>7007</v>
      </c>
      <c r="C3609" s="2" t="s">
        <v>9364</v>
      </c>
      <c r="D3609" s="2" t="s">
        <v>10055</v>
      </c>
      <c r="E3609" s="15">
        <v>-0.1976</v>
      </c>
      <c r="F3609" s="15">
        <v>0.3261</v>
      </c>
      <c r="G3609" s="15">
        <v>0.54449999999999998</v>
      </c>
      <c r="H3609" s="15">
        <v>1.9199999999999998E-2</v>
      </c>
      <c r="I3609" s="15">
        <v>4.0399999999999998E-2</v>
      </c>
      <c r="J3609" s="15">
        <v>0.47524752475247523</v>
      </c>
    </row>
    <row r="3610" spans="1:10" x14ac:dyDescent="0.25">
      <c r="A3610" s="2" t="s">
        <v>9365</v>
      </c>
      <c r="B3610" s="2" t="s">
        <v>7007</v>
      </c>
      <c r="C3610" s="2" t="s">
        <v>9366</v>
      </c>
      <c r="D3610" s="2" t="s">
        <v>10055</v>
      </c>
      <c r="E3610" s="15">
        <v>0.20380000000000001</v>
      </c>
      <c r="F3610" s="15">
        <v>0.36780000000000002</v>
      </c>
      <c r="G3610" s="15">
        <v>0.57950000000000002</v>
      </c>
      <c r="H3610" s="15">
        <v>2.5999999999999999E-2</v>
      </c>
      <c r="I3610" s="15">
        <v>4.5999999999999999E-2</v>
      </c>
      <c r="J3610" s="15">
        <v>0.56521739130434778</v>
      </c>
    </row>
    <row r="3611" spans="1:10" x14ac:dyDescent="0.25">
      <c r="A3611" s="2" t="s">
        <v>9367</v>
      </c>
      <c r="B3611" s="2" t="s">
        <v>7007</v>
      </c>
      <c r="C3611" s="2" t="s">
        <v>9368</v>
      </c>
      <c r="D3611" s="2" t="s">
        <v>10055</v>
      </c>
      <c r="E3611" s="15">
        <v>-0.31879999999999997</v>
      </c>
      <c r="F3611" s="15">
        <v>0.1197</v>
      </c>
      <c r="G3611" s="15">
        <v>7.7000000000000002E-3</v>
      </c>
      <c r="H3611" s="15">
        <v>9.1700000000000004E-2</v>
      </c>
      <c r="I3611" s="15">
        <v>4.2299999999999997E-2</v>
      </c>
      <c r="J3611" s="15">
        <v>2.167848699763594</v>
      </c>
    </row>
    <row r="3612" spans="1:10" x14ac:dyDescent="0.25">
      <c r="A3612" s="2" t="s">
        <v>9369</v>
      </c>
      <c r="B3612" s="2" t="s">
        <v>7007</v>
      </c>
      <c r="C3612" s="2" t="s">
        <v>9370</v>
      </c>
      <c r="D3612" s="2" t="s">
        <v>10055</v>
      </c>
      <c r="E3612" s="15">
        <v>0.30099999999999999</v>
      </c>
      <c r="F3612" s="15">
        <v>0.17050000000000001</v>
      </c>
      <c r="G3612" s="15">
        <v>7.7499999999999999E-2</v>
      </c>
      <c r="H3612" s="15">
        <v>4.4999999999999998E-2</v>
      </c>
      <c r="I3612" s="15">
        <v>3.3799999999999997E-2</v>
      </c>
      <c r="J3612" s="15">
        <v>1.331360946745562</v>
      </c>
    </row>
    <row r="3613" spans="1:10" x14ac:dyDescent="0.25">
      <c r="A3613" s="2" t="s">
        <v>9371</v>
      </c>
      <c r="B3613" s="2" t="s">
        <v>7007</v>
      </c>
      <c r="C3613" s="2" t="s">
        <v>9372</v>
      </c>
      <c r="D3613" s="2" t="s">
        <v>10055</v>
      </c>
      <c r="E3613" s="15">
        <v>-0.1525</v>
      </c>
      <c r="F3613" s="15">
        <v>0.21199999999999999</v>
      </c>
      <c r="G3613" s="15">
        <v>0.4718</v>
      </c>
      <c r="H3613" s="15">
        <v>2.6100000000000002E-2</v>
      </c>
      <c r="I3613" s="15">
        <v>3.5900000000000001E-2</v>
      </c>
      <c r="J3613" s="15">
        <v>0.72701949860724235</v>
      </c>
    </row>
    <row r="3614" spans="1:10" x14ac:dyDescent="0.25">
      <c r="A3614" s="2" t="s">
        <v>9373</v>
      </c>
      <c r="B3614" s="2" t="s">
        <v>7007</v>
      </c>
      <c r="C3614" s="2" t="s">
        <v>9374</v>
      </c>
      <c r="D3614" s="2" t="s">
        <v>10055</v>
      </c>
      <c r="E3614" s="15"/>
      <c r="F3614" s="15"/>
      <c r="G3614" s="15"/>
      <c r="H3614" s="15"/>
      <c r="I3614" s="15"/>
      <c r="J3614" s="15"/>
    </row>
    <row r="3615" spans="1:10" x14ac:dyDescent="0.25">
      <c r="A3615" s="2" t="s">
        <v>9375</v>
      </c>
      <c r="B3615" s="2" t="s">
        <v>7007</v>
      </c>
      <c r="C3615" s="2" t="s">
        <v>9376</v>
      </c>
      <c r="D3615" s="2" t="s">
        <v>10055</v>
      </c>
      <c r="E3615" s="15">
        <v>-8.8999999999999996E-2</v>
      </c>
      <c r="F3615" s="15">
        <v>0.12839999999999999</v>
      </c>
      <c r="G3615" s="15">
        <v>0.4884</v>
      </c>
      <c r="H3615" s="15">
        <v>6.9199999999999998E-2</v>
      </c>
      <c r="I3615" s="15">
        <v>3.7900000000000003E-2</v>
      </c>
      <c r="J3615" s="15">
        <v>1.825857519788918</v>
      </c>
    </row>
    <row r="3616" spans="1:10" x14ac:dyDescent="0.25">
      <c r="A3616" s="2" t="s">
        <v>9377</v>
      </c>
      <c r="B3616" s="2" t="s">
        <v>7007</v>
      </c>
      <c r="C3616" s="2" t="s">
        <v>9378</v>
      </c>
      <c r="D3616" s="2" t="s">
        <v>10055</v>
      </c>
      <c r="E3616" s="15"/>
      <c r="F3616" s="15"/>
      <c r="G3616" s="15"/>
      <c r="H3616" s="15">
        <v>-2.01E-2</v>
      </c>
      <c r="I3616" s="15">
        <v>3.85E-2</v>
      </c>
      <c r="J3616" s="15">
        <v>-0.52207792207792203</v>
      </c>
    </row>
    <row r="3617" spans="1:10" x14ac:dyDescent="0.25">
      <c r="A3617" s="2" t="s">
        <v>9379</v>
      </c>
      <c r="B3617" s="2" t="s">
        <v>7007</v>
      </c>
      <c r="C3617" s="2" t="s">
        <v>9380</v>
      </c>
      <c r="D3617" s="2" t="s">
        <v>10055</v>
      </c>
      <c r="E3617" s="15">
        <v>2.8E-3</v>
      </c>
      <c r="F3617" s="15">
        <v>0.1988</v>
      </c>
      <c r="G3617" s="15">
        <v>0.9889</v>
      </c>
      <c r="H3617" s="15">
        <v>3.3599999999999998E-2</v>
      </c>
      <c r="I3617" s="15">
        <v>3.8199999999999998E-2</v>
      </c>
      <c r="J3617" s="15">
        <v>0.87958115183246077</v>
      </c>
    </row>
    <row r="3618" spans="1:10" x14ac:dyDescent="0.25">
      <c r="A3618" s="2" t="s">
        <v>9381</v>
      </c>
      <c r="B3618" s="2" t="s">
        <v>7007</v>
      </c>
      <c r="C3618" s="2" t="s">
        <v>9382</v>
      </c>
      <c r="D3618" s="2" t="s">
        <v>10055</v>
      </c>
      <c r="E3618" s="15"/>
      <c r="F3618" s="15"/>
      <c r="G3618" s="15"/>
      <c r="H3618" s="15">
        <v>-4.1200000000000001E-2</v>
      </c>
      <c r="I3618" s="15">
        <v>3.9E-2</v>
      </c>
      <c r="J3618" s="15">
        <v>-1.056410256410256</v>
      </c>
    </row>
    <row r="3619" spans="1:10" x14ac:dyDescent="0.25">
      <c r="A3619" s="2" t="s">
        <v>9383</v>
      </c>
      <c r="B3619" s="2" t="s">
        <v>7007</v>
      </c>
      <c r="C3619" s="2" t="s">
        <v>9384</v>
      </c>
      <c r="D3619" s="2" t="s">
        <v>10055</v>
      </c>
      <c r="E3619" s="15">
        <v>-2.5000000000000001E-2</v>
      </c>
      <c r="F3619" s="15">
        <v>0.1588</v>
      </c>
      <c r="G3619" s="15">
        <v>0.87470000000000003</v>
      </c>
      <c r="H3619" s="15">
        <v>4.4499999999999998E-2</v>
      </c>
      <c r="I3619" s="15">
        <v>3.9100000000000003E-2</v>
      </c>
      <c r="J3619" s="15">
        <v>1.1381074168797951</v>
      </c>
    </row>
    <row r="3620" spans="1:10" x14ac:dyDescent="0.25">
      <c r="A3620" s="2" t="s">
        <v>9385</v>
      </c>
      <c r="B3620" s="2" t="s">
        <v>7007</v>
      </c>
      <c r="C3620" s="2" t="s">
        <v>9386</v>
      </c>
      <c r="D3620" s="2" t="s">
        <v>10055</v>
      </c>
      <c r="E3620" s="15"/>
      <c r="F3620" s="15"/>
      <c r="G3620" s="15"/>
      <c r="H3620" s="15"/>
      <c r="I3620" s="15"/>
      <c r="J3620" s="15"/>
    </row>
    <row r="3621" spans="1:10" x14ac:dyDescent="0.25">
      <c r="A3621" s="2" t="s">
        <v>9387</v>
      </c>
      <c r="B3621" s="2" t="s">
        <v>7007</v>
      </c>
      <c r="C3621" s="2" t="s">
        <v>9388</v>
      </c>
      <c r="D3621" s="2" t="s">
        <v>10055</v>
      </c>
      <c r="E3621" s="15">
        <v>0.1575</v>
      </c>
      <c r="F3621" s="15">
        <v>0.2248</v>
      </c>
      <c r="G3621" s="15">
        <v>0.48349999999999999</v>
      </c>
      <c r="H3621" s="15">
        <v>2.8400000000000002E-2</v>
      </c>
      <c r="I3621" s="15">
        <v>4.3999999999999997E-2</v>
      </c>
      <c r="J3621" s="15">
        <v>0.6454545454545455</v>
      </c>
    </row>
    <row r="3622" spans="1:10" x14ac:dyDescent="0.25">
      <c r="A3622" s="2" t="s">
        <v>9389</v>
      </c>
      <c r="B3622" s="2" t="s">
        <v>7007</v>
      </c>
      <c r="C3622" s="2" t="s">
        <v>9390</v>
      </c>
      <c r="D3622" s="2" t="s">
        <v>10055</v>
      </c>
      <c r="E3622" s="15">
        <v>-8.9200000000000002E-2</v>
      </c>
      <c r="F3622" s="15">
        <v>0.1414</v>
      </c>
      <c r="G3622" s="15">
        <v>0.52810000000000001</v>
      </c>
      <c r="H3622" s="15">
        <v>4.7300000000000002E-2</v>
      </c>
      <c r="I3622" s="15">
        <v>3.7199999999999997E-2</v>
      </c>
      <c r="J3622" s="15">
        <v>1.271505376344086</v>
      </c>
    </row>
    <row r="3623" spans="1:10" x14ac:dyDescent="0.25">
      <c r="A3623" s="2" t="s">
        <v>9391</v>
      </c>
      <c r="B3623" s="2" t="s">
        <v>7007</v>
      </c>
      <c r="C3623" s="2" t="s">
        <v>9392</v>
      </c>
      <c r="D3623" s="2" t="s">
        <v>10055</v>
      </c>
      <c r="E3623" s="15"/>
      <c r="F3623" s="15"/>
      <c r="G3623" s="15"/>
      <c r="H3623" s="15">
        <v>-2.5999999999999999E-2</v>
      </c>
      <c r="I3623" s="15">
        <v>4.2200000000000001E-2</v>
      </c>
      <c r="J3623" s="15">
        <v>-0.61611374407582931</v>
      </c>
    </row>
    <row r="3624" spans="1:10" x14ac:dyDescent="0.25">
      <c r="A3624" s="2" t="s">
        <v>9393</v>
      </c>
      <c r="B3624" s="2" t="s">
        <v>7007</v>
      </c>
      <c r="C3624" s="2" t="s">
        <v>9394</v>
      </c>
      <c r="D3624" s="2" t="s">
        <v>10055</v>
      </c>
      <c r="E3624" s="15">
        <v>0.32329999999999998</v>
      </c>
      <c r="F3624" s="15">
        <v>0.2475</v>
      </c>
      <c r="G3624" s="15">
        <v>0.19139999999999999</v>
      </c>
      <c r="H3624" s="15">
        <v>3.39E-2</v>
      </c>
      <c r="I3624" s="15">
        <v>3.49E-2</v>
      </c>
      <c r="J3624" s="15">
        <v>0.97134670487106012</v>
      </c>
    </row>
    <row r="3625" spans="1:10" x14ac:dyDescent="0.25">
      <c r="A3625" s="2" t="s">
        <v>9395</v>
      </c>
      <c r="B3625" s="2" t="s">
        <v>7007</v>
      </c>
      <c r="C3625" s="2" t="s">
        <v>9396</v>
      </c>
      <c r="D3625" s="2" t="s">
        <v>10055</v>
      </c>
      <c r="E3625" s="15">
        <v>2.5499999999999998E-2</v>
      </c>
      <c r="F3625" s="15">
        <v>0.188</v>
      </c>
      <c r="G3625" s="15">
        <v>0.89190000000000003</v>
      </c>
      <c r="H3625" s="15">
        <v>2.98E-2</v>
      </c>
      <c r="I3625" s="15">
        <v>0.04</v>
      </c>
      <c r="J3625" s="15">
        <v>0.745</v>
      </c>
    </row>
    <row r="3626" spans="1:10" x14ac:dyDescent="0.25">
      <c r="A3626" s="2" t="s">
        <v>9397</v>
      </c>
      <c r="B3626" s="2" t="s">
        <v>7007</v>
      </c>
      <c r="C3626" s="2" t="s">
        <v>9398</v>
      </c>
      <c r="D3626" s="2" t="s">
        <v>10055</v>
      </c>
      <c r="E3626" s="15"/>
      <c r="F3626" s="15"/>
      <c r="G3626" s="15"/>
      <c r="H3626" s="15">
        <v>-3.0300000000000001E-2</v>
      </c>
      <c r="I3626" s="15">
        <v>3.9100000000000003E-2</v>
      </c>
      <c r="J3626" s="15">
        <v>-0.77493606138107418</v>
      </c>
    </row>
    <row r="3627" spans="1:10" x14ac:dyDescent="0.25">
      <c r="A3627" s="2" t="s">
        <v>9399</v>
      </c>
      <c r="B3627" s="2" t="s">
        <v>7007</v>
      </c>
      <c r="C3627" s="2" t="s">
        <v>9400</v>
      </c>
      <c r="D3627" s="2" t="s">
        <v>10055</v>
      </c>
      <c r="E3627" s="15">
        <v>-7.4800000000000005E-2</v>
      </c>
      <c r="F3627" s="15">
        <v>0.22270000000000001</v>
      </c>
      <c r="G3627" s="15">
        <v>0.73699999999999999</v>
      </c>
      <c r="H3627" s="15">
        <v>2.35E-2</v>
      </c>
      <c r="I3627" s="15">
        <v>3.7999999999999999E-2</v>
      </c>
      <c r="J3627" s="15">
        <v>0.61842105263157898</v>
      </c>
    </row>
    <row r="3628" spans="1:10" x14ac:dyDescent="0.25">
      <c r="A3628" s="2" t="s">
        <v>9401</v>
      </c>
      <c r="B3628" s="2" t="s">
        <v>7007</v>
      </c>
      <c r="C3628" s="2" t="s">
        <v>9402</v>
      </c>
      <c r="D3628" s="2" t="s">
        <v>10055</v>
      </c>
      <c r="E3628" s="15"/>
      <c r="F3628" s="15"/>
      <c r="G3628" s="15"/>
      <c r="H3628" s="15">
        <v>-3.85E-2</v>
      </c>
      <c r="I3628" s="15">
        <v>3.6999999999999998E-2</v>
      </c>
      <c r="J3628" s="15">
        <v>-1.040540540540541</v>
      </c>
    </row>
    <row r="3629" spans="1:10" x14ac:dyDescent="0.25">
      <c r="A3629" s="2" t="s">
        <v>9403</v>
      </c>
      <c r="B3629" s="2" t="s">
        <v>7007</v>
      </c>
      <c r="C3629" s="2" t="s">
        <v>9404</v>
      </c>
      <c r="D3629" s="2" t="s">
        <v>10055</v>
      </c>
      <c r="E3629" s="15"/>
      <c r="F3629" s="15"/>
      <c r="G3629" s="15"/>
      <c r="H3629" s="15">
        <v>-1.6000000000000001E-3</v>
      </c>
      <c r="I3629" s="15">
        <v>3.7900000000000003E-2</v>
      </c>
      <c r="J3629" s="15">
        <v>-4.221635883905013E-2</v>
      </c>
    </row>
    <row r="3630" spans="1:10" x14ac:dyDescent="0.25">
      <c r="A3630" s="2" t="s">
        <v>9405</v>
      </c>
      <c r="B3630" s="2" t="s">
        <v>7007</v>
      </c>
      <c r="C3630" s="2" t="s">
        <v>9406</v>
      </c>
      <c r="D3630" s="2" t="s">
        <v>10055</v>
      </c>
      <c r="E3630" s="15">
        <v>-3.2000000000000002E-3</v>
      </c>
      <c r="F3630" s="15">
        <v>0.12939999999999999</v>
      </c>
      <c r="G3630" s="15">
        <v>0.98019999999999996</v>
      </c>
      <c r="H3630" s="15">
        <v>5.8500000000000003E-2</v>
      </c>
      <c r="I3630" s="15">
        <v>3.5200000000000002E-2</v>
      </c>
      <c r="J3630" s="15">
        <v>1.6619318181818179</v>
      </c>
    </row>
    <row r="3631" spans="1:10" x14ac:dyDescent="0.25">
      <c r="A3631" s="2" t="s">
        <v>9407</v>
      </c>
      <c r="B3631" s="2" t="s">
        <v>7007</v>
      </c>
      <c r="C3631" s="2" t="s">
        <v>9408</v>
      </c>
      <c r="D3631" s="2" t="s">
        <v>10055</v>
      </c>
      <c r="E3631" s="15"/>
      <c r="F3631" s="15"/>
      <c r="G3631" s="15"/>
      <c r="H3631" s="15"/>
      <c r="I3631" s="15"/>
      <c r="J3631" s="15"/>
    </row>
    <row r="3632" spans="1:10" x14ac:dyDescent="0.25">
      <c r="A3632" s="2" t="s">
        <v>9409</v>
      </c>
      <c r="B3632" s="2" t="s">
        <v>7007</v>
      </c>
      <c r="C3632" s="2" t="s">
        <v>9410</v>
      </c>
      <c r="D3632" s="2" t="s">
        <v>10055</v>
      </c>
      <c r="E3632" s="15">
        <v>-6.6699999999999995E-2</v>
      </c>
      <c r="F3632" s="15">
        <v>9.9699999999999997E-2</v>
      </c>
      <c r="G3632" s="15">
        <v>0.50360000000000005</v>
      </c>
      <c r="H3632" s="15">
        <v>9.0899999999999995E-2</v>
      </c>
      <c r="I3632" s="15">
        <v>4.2099999999999999E-2</v>
      </c>
      <c r="J3632" s="15">
        <v>2.1591448931116388</v>
      </c>
    </row>
    <row r="3633" spans="1:10" x14ac:dyDescent="0.25">
      <c r="A3633" s="2" t="s">
        <v>9411</v>
      </c>
      <c r="B3633" s="2" t="s">
        <v>7007</v>
      </c>
      <c r="C3633" s="2" t="s">
        <v>9412</v>
      </c>
      <c r="D3633" s="2" t="s">
        <v>10055</v>
      </c>
      <c r="E3633" s="15"/>
      <c r="F3633" s="15"/>
      <c r="G3633" s="15"/>
      <c r="H3633" s="15">
        <v>-8.6999999999999994E-2</v>
      </c>
      <c r="I3633" s="15">
        <v>3.4099999999999998E-2</v>
      </c>
      <c r="J3633" s="15">
        <v>-2.551319648093842</v>
      </c>
    </row>
    <row r="3634" spans="1:10" x14ac:dyDescent="0.25">
      <c r="A3634" s="2" t="s">
        <v>9413</v>
      </c>
      <c r="B3634" s="2" t="s">
        <v>7007</v>
      </c>
      <c r="C3634" s="2" t="s">
        <v>9414</v>
      </c>
      <c r="D3634" s="2" t="s">
        <v>10055</v>
      </c>
      <c r="E3634" s="15">
        <v>8.0399999999999999E-2</v>
      </c>
      <c r="F3634" s="15">
        <v>0.1479</v>
      </c>
      <c r="G3634" s="15">
        <v>0.5867</v>
      </c>
      <c r="H3634" s="15">
        <v>5.4399999999999997E-2</v>
      </c>
      <c r="I3634" s="15">
        <v>3.8300000000000001E-2</v>
      </c>
      <c r="J3634" s="15">
        <v>1.420365535248042</v>
      </c>
    </row>
    <row r="3635" spans="1:10" x14ac:dyDescent="0.25">
      <c r="A3635" s="2" t="s">
        <v>9415</v>
      </c>
      <c r="B3635" s="2" t="s">
        <v>7007</v>
      </c>
      <c r="C3635" s="2" t="s">
        <v>9416</v>
      </c>
      <c r="D3635" s="2" t="s">
        <v>10055</v>
      </c>
      <c r="E3635" s="15">
        <v>0.23169999999999999</v>
      </c>
      <c r="F3635" s="15">
        <v>0.1457</v>
      </c>
      <c r="G3635" s="15">
        <v>0.1118</v>
      </c>
      <c r="H3635" s="15">
        <v>7.8E-2</v>
      </c>
      <c r="I3635" s="15">
        <v>4.0599999999999997E-2</v>
      </c>
      <c r="J3635" s="15">
        <v>1.9211822660098521</v>
      </c>
    </row>
    <row r="3636" spans="1:10" x14ac:dyDescent="0.25">
      <c r="A3636" s="2" t="s">
        <v>9417</v>
      </c>
      <c r="B3636" s="2" t="s">
        <v>7007</v>
      </c>
      <c r="C3636" s="2" t="s">
        <v>9418</v>
      </c>
      <c r="D3636" s="2" t="s">
        <v>10055</v>
      </c>
      <c r="E3636" s="15"/>
      <c r="F3636" s="15"/>
      <c r="G3636" s="15"/>
      <c r="H3636" s="15"/>
      <c r="I3636" s="15"/>
      <c r="J3636" s="15"/>
    </row>
    <row r="3637" spans="1:10" x14ac:dyDescent="0.25">
      <c r="A3637" s="2" t="s">
        <v>9419</v>
      </c>
      <c r="B3637" s="2" t="s">
        <v>7007</v>
      </c>
      <c r="C3637" s="2" t="s">
        <v>9420</v>
      </c>
      <c r="D3637" s="2" t="s">
        <v>10055</v>
      </c>
      <c r="E3637" s="15">
        <v>-8.6800000000000002E-2</v>
      </c>
      <c r="F3637" s="15">
        <v>0.1837</v>
      </c>
      <c r="G3637" s="15">
        <v>0.63649999999999995</v>
      </c>
      <c r="H3637" s="15">
        <v>2.9700000000000001E-2</v>
      </c>
      <c r="I3637" s="15">
        <v>3.8100000000000002E-2</v>
      </c>
      <c r="J3637" s="15">
        <v>0.77952755905511806</v>
      </c>
    </row>
    <row r="3638" spans="1:10" x14ac:dyDescent="0.25">
      <c r="A3638" s="2" t="s">
        <v>9421</v>
      </c>
      <c r="B3638" s="2" t="s">
        <v>7007</v>
      </c>
      <c r="C3638" s="2" t="s">
        <v>9422</v>
      </c>
      <c r="D3638" s="2" t="s">
        <v>10055</v>
      </c>
      <c r="E3638" s="15"/>
      <c r="F3638" s="15"/>
      <c r="G3638" s="15"/>
      <c r="H3638" s="15">
        <v>-4.4000000000000003E-3</v>
      </c>
      <c r="I3638" s="15">
        <v>3.7400000000000003E-2</v>
      </c>
      <c r="J3638" s="15">
        <v>-0.1176470588235294</v>
      </c>
    </row>
    <row r="3639" spans="1:10" x14ac:dyDescent="0.25">
      <c r="A3639" s="2" t="s">
        <v>9423</v>
      </c>
      <c r="B3639" s="2" t="s">
        <v>7007</v>
      </c>
      <c r="C3639" s="2" t="s">
        <v>9424</v>
      </c>
      <c r="D3639" s="2" t="s">
        <v>10055</v>
      </c>
      <c r="E3639" s="15"/>
      <c r="F3639" s="15"/>
      <c r="G3639" s="15"/>
      <c r="H3639" s="15">
        <v>-2.1100000000000001E-2</v>
      </c>
      <c r="I3639" s="15">
        <v>3.5000000000000003E-2</v>
      </c>
      <c r="J3639" s="15">
        <v>-0.60285714285714287</v>
      </c>
    </row>
    <row r="3640" spans="1:10" x14ac:dyDescent="0.25">
      <c r="A3640" s="2" t="s">
        <v>9425</v>
      </c>
      <c r="B3640" s="2" t="s">
        <v>7007</v>
      </c>
      <c r="C3640" s="2" t="s">
        <v>9426</v>
      </c>
      <c r="D3640" s="2" t="s">
        <v>10055</v>
      </c>
      <c r="E3640" s="15"/>
      <c r="F3640" s="15"/>
      <c r="G3640" s="15"/>
      <c r="H3640" s="15">
        <v>-5.1000000000000004E-3</v>
      </c>
      <c r="I3640" s="15">
        <v>3.9300000000000002E-2</v>
      </c>
      <c r="J3640" s="15">
        <v>-0.12977099236641221</v>
      </c>
    </row>
    <row r="3641" spans="1:10" x14ac:dyDescent="0.25">
      <c r="A3641" s="2" t="s">
        <v>9427</v>
      </c>
      <c r="B3641" s="2" t="s">
        <v>7007</v>
      </c>
      <c r="C3641" s="2" t="s">
        <v>9428</v>
      </c>
      <c r="D3641" s="2" t="s">
        <v>10055</v>
      </c>
      <c r="E3641" s="15"/>
      <c r="F3641" s="15"/>
      <c r="G3641" s="15"/>
      <c r="H3641" s="15"/>
      <c r="I3641" s="15"/>
      <c r="J3641" s="15"/>
    </row>
    <row r="3642" spans="1:10" x14ac:dyDescent="0.25">
      <c r="A3642" s="2" t="s">
        <v>9429</v>
      </c>
      <c r="B3642" s="2" t="s">
        <v>7007</v>
      </c>
      <c r="C3642" s="2" t="s">
        <v>9430</v>
      </c>
      <c r="D3642" s="2" t="s">
        <v>10055</v>
      </c>
      <c r="E3642" s="15">
        <v>-6.1699999999999998E-2</v>
      </c>
      <c r="F3642" s="15">
        <v>0.2329</v>
      </c>
      <c r="G3642" s="15">
        <v>0.79090000000000005</v>
      </c>
      <c r="H3642" s="15">
        <v>1.9599999999999999E-2</v>
      </c>
      <c r="I3642" s="15">
        <v>3.5900000000000001E-2</v>
      </c>
      <c r="J3642" s="15">
        <v>0.54596100278551529</v>
      </c>
    </row>
    <row r="3643" spans="1:10" x14ac:dyDescent="0.25">
      <c r="A3643" s="2" t="s">
        <v>9431</v>
      </c>
      <c r="B3643" s="2" t="s">
        <v>7007</v>
      </c>
      <c r="C3643" s="2" t="s">
        <v>9432</v>
      </c>
      <c r="D3643" s="2" t="s">
        <v>10055</v>
      </c>
      <c r="E3643" s="15">
        <v>-5.5999999999999999E-3</v>
      </c>
      <c r="F3643" s="15">
        <v>0.24329999999999999</v>
      </c>
      <c r="G3643" s="15">
        <v>0.98170000000000002</v>
      </c>
      <c r="H3643" s="15">
        <v>1.83E-2</v>
      </c>
      <c r="I3643" s="15">
        <v>3.2899999999999999E-2</v>
      </c>
      <c r="J3643" s="15">
        <v>0.55623100303951367</v>
      </c>
    </row>
    <row r="3644" spans="1:10" x14ac:dyDescent="0.25">
      <c r="A3644" s="2" t="s">
        <v>9433</v>
      </c>
      <c r="B3644" s="2" t="s">
        <v>7007</v>
      </c>
      <c r="C3644" s="2" t="s">
        <v>9434</v>
      </c>
      <c r="D3644" s="2" t="s">
        <v>10055</v>
      </c>
      <c r="E3644" s="15"/>
      <c r="F3644" s="15"/>
      <c r="G3644" s="15"/>
      <c r="H3644" s="15">
        <v>-2.47E-2</v>
      </c>
      <c r="I3644" s="15">
        <v>3.6600000000000001E-2</v>
      </c>
      <c r="J3644" s="15">
        <v>-0.67486338797814205</v>
      </c>
    </row>
    <row r="3645" spans="1:10" x14ac:dyDescent="0.25">
      <c r="A3645" s="2" t="s">
        <v>9435</v>
      </c>
      <c r="B3645" s="2" t="s">
        <v>7007</v>
      </c>
      <c r="C3645" s="2" t="s">
        <v>9436</v>
      </c>
      <c r="D3645" s="2" t="s">
        <v>10055</v>
      </c>
      <c r="E3645" s="15">
        <v>0.13969999999999999</v>
      </c>
      <c r="F3645" s="15">
        <v>0.1837</v>
      </c>
      <c r="G3645" s="15">
        <v>0.44700000000000001</v>
      </c>
      <c r="H3645" s="15">
        <v>3.5799999999999998E-2</v>
      </c>
      <c r="I3645" s="15">
        <v>3.8399999999999997E-2</v>
      </c>
      <c r="J3645" s="15">
        <v>0.93229166666666674</v>
      </c>
    </row>
    <row r="3646" spans="1:10" x14ac:dyDescent="0.25">
      <c r="A3646" s="2" t="s">
        <v>9437</v>
      </c>
      <c r="B3646" s="2" t="s">
        <v>7007</v>
      </c>
      <c r="C3646" s="2" t="s">
        <v>9438</v>
      </c>
      <c r="D3646" s="2" t="s">
        <v>10055</v>
      </c>
      <c r="E3646" s="15">
        <v>8.2600000000000007E-2</v>
      </c>
      <c r="F3646" s="15">
        <v>0.2291</v>
      </c>
      <c r="G3646" s="15">
        <v>0.71840000000000004</v>
      </c>
      <c r="H3646" s="15">
        <v>2.4199999999999999E-2</v>
      </c>
      <c r="I3646" s="15">
        <v>4.1399999999999999E-2</v>
      </c>
      <c r="J3646" s="15">
        <v>0.58454106280193241</v>
      </c>
    </row>
    <row r="3647" spans="1:10" x14ac:dyDescent="0.25">
      <c r="A3647" s="2" t="s">
        <v>9439</v>
      </c>
      <c r="B3647" s="2" t="s">
        <v>7007</v>
      </c>
      <c r="C3647" s="2" t="s">
        <v>9440</v>
      </c>
      <c r="D3647" s="2" t="s">
        <v>10055</v>
      </c>
      <c r="E3647" s="15"/>
      <c r="F3647" s="15"/>
      <c r="G3647" s="15"/>
      <c r="H3647" s="15">
        <v>-6.5500000000000003E-2</v>
      </c>
      <c r="I3647" s="15">
        <v>3.5799999999999998E-2</v>
      </c>
      <c r="J3647" s="15">
        <v>-1.8296089385474861</v>
      </c>
    </row>
    <row r="3648" spans="1:10" x14ac:dyDescent="0.25">
      <c r="A3648" s="2" t="s">
        <v>9441</v>
      </c>
      <c r="B3648" s="2" t="s">
        <v>7007</v>
      </c>
      <c r="C3648" s="2" t="s">
        <v>9442</v>
      </c>
      <c r="D3648" s="2" t="s">
        <v>10055</v>
      </c>
      <c r="E3648" s="15"/>
      <c r="F3648" s="15"/>
      <c r="G3648" s="15"/>
      <c r="H3648" s="15"/>
      <c r="I3648" s="15"/>
      <c r="J3648" s="15"/>
    </row>
    <row r="3649" spans="1:10" x14ac:dyDescent="0.25">
      <c r="A3649" s="2" t="s">
        <v>9443</v>
      </c>
      <c r="B3649" s="2" t="s">
        <v>7007</v>
      </c>
      <c r="C3649" s="2" t="s">
        <v>9444</v>
      </c>
      <c r="D3649" s="2" t="s">
        <v>10055</v>
      </c>
      <c r="E3649" s="15"/>
      <c r="F3649" s="15"/>
      <c r="G3649" s="15"/>
      <c r="H3649" s="15">
        <v>-1.0999999999999999E-2</v>
      </c>
      <c r="I3649" s="15">
        <v>3.5299999999999998E-2</v>
      </c>
      <c r="J3649" s="15">
        <v>-0.31161473087818697</v>
      </c>
    </row>
    <row r="3650" spans="1:10" x14ac:dyDescent="0.25">
      <c r="A3650" s="2" t="s">
        <v>9445</v>
      </c>
      <c r="B3650" s="2" t="s">
        <v>7007</v>
      </c>
      <c r="C3650" s="2" t="s">
        <v>9446</v>
      </c>
      <c r="D3650" s="2" t="s">
        <v>10055</v>
      </c>
      <c r="E3650" s="15"/>
      <c r="F3650" s="15"/>
      <c r="G3650" s="15"/>
      <c r="H3650" s="15">
        <v>-7.6E-3</v>
      </c>
      <c r="I3650" s="15">
        <v>3.85E-2</v>
      </c>
      <c r="J3650" s="15">
        <v>-0.19740259740259741</v>
      </c>
    </row>
    <row r="3651" spans="1:10" x14ac:dyDescent="0.25">
      <c r="A3651" s="2" t="s">
        <v>9447</v>
      </c>
      <c r="B3651" s="2" t="s">
        <v>7007</v>
      </c>
      <c r="C3651" s="2" t="s">
        <v>9448</v>
      </c>
      <c r="D3651" s="2" t="s">
        <v>10055</v>
      </c>
      <c r="E3651" s="15"/>
      <c r="F3651" s="15"/>
      <c r="G3651" s="15"/>
      <c r="H3651" s="15"/>
      <c r="I3651" s="15"/>
      <c r="J3651" s="15"/>
    </row>
    <row r="3652" spans="1:10" x14ac:dyDescent="0.25">
      <c r="A3652" s="2" t="s">
        <v>9449</v>
      </c>
      <c r="B3652" s="2" t="s">
        <v>7007</v>
      </c>
      <c r="C3652" s="2" t="s">
        <v>9450</v>
      </c>
      <c r="D3652" s="2" t="s">
        <v>10055</v>
      </c>
      <c r="E3652" s="15"/>
      <c r="F3652" s="15"/>
      <c r="G3652" s="15"/>
      <c r="H3652" s="15">
        <v>-4.1399999999999999E-2</v>
      </c>
      <c r="I3652" s="15">
        <v>3.8300000000000001E-2</v>
      </c>
      <c r="J3652" s="15">
        <v>-1.0809399477806789</v>
      </c>
    </row>
    <row r="3653" spans="1:10" x14ac:dyDescent="0.25">
      <c r="A3653" s="2" t="s">
        <v>9451</v>
      </c>
      <c r="B3653" s="2" t="s">
        <v>7007</v>
      </c>
      <c r="C3653" s="2" t="s">
        <v>9452</v>
      </c>
      <c r="D3653" s="2" t="s">
        <v>10055</v>
      </c>
      <c r="E3653" s="15"/>
      <c r="F3653" s="15"/>
      <c r="G3653" s="15"/>
      <c r="H3653" s="15">
        <v>-5.7700000000000001E-2</v>
      </c>
      <c r="I3653" s="15">
        <v>3.5200000000000002E-2</v>
      </c>
      <c r="J3653" s="15">
        <v>-1.639204545454545</v>
      </c>
    </row>
    <row r="3654" spans="1:10" x14ac:dyDescent="0.25">
      <c r="A3654" s="2" t="s">
        <v>9453</v>
      </c>
      <c r="B3654" s="2" t="s">
        <v>7007</v>
      </c>
      <c r="C3654" s="2" t="s">
        <v>9454</v>
      </c>
      <c r="D3654" s="2" t="s">
        <v>10055</v>
      </c>
      <c r="E3654" s="15"/>
      <c r="F3654" s="15"/>
      <c r="G3654" s="15"/>
      <c r="H3654" s="15">
        <v>-4.0000000000000002E-4</v>
      </c>
      <c r="I3654" s="15">
        <v>4.0300000000000002E-2</v>
      </c>
      <c r="J3654" s="15">
        <v>-9.9255583126550868E-3</v>
      </c>
    </row>
    <row r="3655" spans="1:10" x14ac:dyDescent="0.25">
      <c r="A3655" s="2" t="s">
        <v>9455</v>
      </c>
      <c r="B3655" s="2" t="s">
        <v>7007</v>
      </c>
      <c r="C3655" s="2" t="s">
        <v>9456</v>
      </c>
      <c r="D3655" s="2" t="s">
        <v>10055</v>
      </c>
      <c r="E3655" s="15">
        <v>-3.2199999999999999E-2</v>
      </c>
      <c r="F3655" s="15">
        <v>0.18479999999999999</v>
      </c>
      <c r="G3655" s="15">
        <v>0.86160000000000003</v>
      </c>
      <c r="H3655" s="15">
        <v>3.3500000000000002E-2</v>
      </c>
      <c r="I3655" s="15">
        <v>3.8399999999999997E-2</v>
      </c>
      <c r="J3655" s="15">
        <v>0.87239583333333348</v>
      </c>
    </row>
    <row r="3656" spans="1:10" x14ac:dyDescent="0.25">
      <c r="A3656" s="2" t="s">
        <v>9457</v>
      </c>
      <c r="B3656" s="2" t="s">
        <v>7007</v>
      </c>
      <c r="C3656" s="2" t="s">
        <v>9458</v>
      </c>
      <c r="D3656" s="2" t="s">
        <v>10055</v>
      </c>
      <c r="E3656" s="15">
        <v>4.7699999999999999E-2</v>
      </c>
      <c r="F3656" s="15">
        <v>0.21990000000000001</v>
      </c>
      <c r="G3656" s="15">
        <v>0.82830000000000004</v>
      </c>
      <c r="H3656" s="15">
        <v>2.1899999999999999E-2</v>
      </c>
      <c r="I3656" s="15">
        <v>3.4599999999999999E-2</v>
      </c>
      <c r="J3656" s="15">
        <v>0.63294797687861271</v>
      </c>
    </row>
    <row r="3657" spans="1:10" x14ac:dyDescent="0.25">
      <c r="A3657" s="2" t="s">
        <v>9459</v>
      </c>
      <c r="B3657" s="2" t="s">
        <v>7007</v>
      </c>
      <c r="C3657" s="2" t="s">
        <v>9460</v>
      </c>
      <c r="D3657" s="2" t="s">
        <v>10055</v>
      </c>
      <c r="E3657" s="15">
        <v>0.12230000000000001</v>
      </c>
      <c r="F3657" s="15">
        <v>8.9700000000000002E-2</v>
      </c>
      <c r="G3657" s="15">
        <v>0.17280000000000001</v>
      </c>
      <c r="H3657" s="15">
        <v>0.1246</v>
      </c>
      <c r="I3657" s="15">
        <v>5.1200000000000002E-2</v>
      </c>
      <c r="J3657" s="15">
        <v>2.43359375</v>
      </c>
    </row>
    <row r="3658" spans="1:10" x14ac:dyDescent="0.25">
      <c r="A3658" s="2" t="s">
        <v>9461</v>
      </c>
      <c r="B3658" s="2" t="s">
        <v>7007</v>
      </c>
      <c r="C3658" s="2" t="s">
        <v>9462</v>
      </c>
      <c r="D3658" s="2" t="s">
        <v>10055</v>
      </c>
      <c r="E3658" s="15"/>
      <c r="F3658" s="15"/>
      <c r="G3658" s="15"/>
      <c r="H3658" s="15">
        <v>-3.61E-2</v>
      </c>
      <c r="I3658" s="15">
        <v>3.9800000000000002E-2</v>
      </c>
      <c r="J3658" s="15">
        <v>-0.90703517587939697</v>
      </c>
    </row>
    <row r="3659" spans="1:10" x14ac:dyDescent="0.25">
      <c r="A3659" s="2" t="s">
        <v>9463</v>
      </c>
      <c r="B3659" s="2" t="s">
        <v>7007</v>
      </c>
      <c r="C3659" s="2" t="s">
        <v>9464</v>
      </c>
      <c r="D3659" s="2" t="s">
        <v>10055</v>
      </c>
      <c r="E3659" s="15"/>
      <c r="F3659" s="15"/>
      <c r="G3659" s="15"/>
      <c r="H3659" s="15"/>
      <c r="I3659" s="15"/>
      <c r="J3659" s="15"/>
    </row>
    <row r="3660" spans="1:10" x14ac:dyDescent="0.25">
      <c r="A3660" s="2" t="s">
        <v>9465</v>
      </c>
      <c r="B3660" s="2" t="s">
        <v>7007</v>
      </c>
      <c r="C3660" s="2" t="s">
        <v>9466</v>
      </c>
      <c r="D3660" s="2" t="s">
        <v>10055</v>
      </c>
      <c r="E3660" s="15">
        <v>0.12330000000000001</v>
      </c>
      <c r="F3660" s="15">
        <v>0.15260000000000001</v>
      </c>
      <c r="G3660" s="15">
        <v>0.41899999999999998</v>
      </c>
      <c r="H3660" s="15">
        <v>4.9000000000000002E-2</v>
      </c>
      <c r="I3660" s="15">
        <v>3.4000000000000002E-2</v>
      </c>
      <c r="J3660" s="15">
        <v>1.4411764705882351</v>
      </c>
    </row>
    <row r="3661" spans="1:10" x14ac:dyDescent="0.25">
      <c r="A3661" s="2" t="s">
        <v>9467</v>
      </c>
      <c r="B3661" s="2" t="s">
        <v>7007</v>
      </c>
      <c r="C3661" s="2" t="s">
        <v>9468</v>
      </c>
      <c r="D3661" s="2" t="s">
        <v>10055</v>
      </c>
      <c r="E3661" s="15"/>
      <c r="F3661" s="15"/>
      <c r="G3661" s="15"/>
      <c r="H3661" s="15">
        <v>-3.2000000000000002E-3</v>
      </c>
      <c r="I3661" s="15">
        <v>4.2999999999999997E-2</v>
      </c>
      <c r="J3661" s="15">
        <v>-7.4418604651162804E-2</v>
      </c>
    </row>
    <row r="3662" spans="1:10" x14ac:dyDescent="0.25">
      <c r="A3662" s="2" t="s">
        <v>9469</v>
      </c>
      <c r="B3662" s="2" t="s">
        <v>7007</v>
      </c>
      <c r="C3662" s="2" t="s">
        <v>9470</v>
      </c>
      <c r="D3662" s="2" t="s">
        <v>10055</v>
      </c>
      <c r="E3662" s="15">
        <v>0.19209999999999999</v>
      </c>
      <c r="F3662" s="15">
        <v>0.1744</v>
      </c>
      <c r="G3662" s="15">
        <v>0.27060000000000001</v>
      </c>
      <c r="H3662" s="15">
        <v>4.7100000000000003E-2</v>
      </c>
      <c r="I3662" s="15">
        <v>3.7400000000000003E-2</v>
      </c>
      <c r="J3662" s="15">
        <v>1.259358288770053</v>
      </c>
    </row>
    <row r="3663" spans="1:10" x14ac:dyDescent="0.25">
      <c r="A3663" s="2" t="s">
        <v>9471</v>
      </c>
      <c r="B3663" s="2" t="s">
        <v>7007</v>
      </c>
      <c r="C3663" s="2" t="s">
        <v>9472</v>
      </c>
      <c r="D3663" s="2" t="s">
        <v>10055</v>
      </c>
      <c r="E3663" s="15"/>
      <c r="F3663" s="15"/>
      <c r="G3663" s="15"/>
      <c r="H3663" s="15">
        <v>-2.2499999999999999E-2</v>
      </c>
      <c r="I3663" s="15">
        <v>3.5000000000000003E-2</v>
      </c>
      <c r="J3663" s="15">
        <v>-0.64285714285714279</v>
      </c>
    </row>
    <row r="3664" spans="1:10" x14ac:dyDescent="0.25">
      <c r="A3664" s="2" t="s">
        <v>9473</v>
      </c>
      <c r="B3664" s="2" t="s">
        <v>7007</v>
      </c>
      <c r="C3664" s="2" t="s">
        <v>9474</v>
      </c>
      <c r="D3664" s="2" t="s">
        <v>10055</v>
      </c>
      <c r="E3664" s="15"/>
      <c r="F3664" s="15"/>
      <c r="G3664" s="15"/>
      <c r="H3664" s="15"/>
      <c r="I3664" s="15"/>
      <c r="J3664" s="15"/>
    </row>
    <row r="3665" spans="1:10" x14ac:dyDescent="0.25">
      <c r="A3665" s="2" t="s">
        <v>9475</v>
      </c>
      <c r="B3665" s="2" t="s">
        <v>7007</v>
      </c>
      <c r="C3665" s="2" t="s">
        <v>9476</v>
      </c>
      <c r="D3665" s="2" t="s">
        <v>10055</v>
      </c>
      <c r="E3665" s="15"/>
      <c r="F3665" s="15"/>
      <c r="G3665" s="15"/>
      <c r="H3665" s="15">
        <v>-1.1299999999999999E-2</v>
      </c>
      <c r="I3665" s="15">
        <v>3.8699999999999998E-2</v>
      </c>
      <c r="J3665" s="15">
        <v>-0.29198966408268728</v>
      </c>
    </row>
    <row r="3666" spans="1:10" x14ac:dyDescent="0.25">
      <c r="A3666" s="2" t="s">
        <v>9477</v>
      </c>
      <c r="B3666" s="2" t="s">
        <v>7007</v>
      </c>
      <c r="C3666" s="2" t="s">
        <v>9478</v>
      </c>
      <c r="D3666" s="2" t="s">
        <v>10055</v>
      </c>
      <c r="E3666" s="15">
        <v>-8.5000000000000006E-2</v>
      </c>
      <c r="F3666" s="15">
        <v>0.17419999999999999</v>
      </c>
      <c r="G3666" s="15">
        <v>0.62539999999999996</v>
      </c>
      <c r="H3666" s="15">
        <v>3.0599999999999999E-2</v>
      </c>
      <c r="I3666" s="15">
        <v>3.6499999999999998E-2</v>
      </c>
      <c r="J3666" s="15">
        <v>0.83835616438356164</v>
      </c>
    </row>
    <row r="3667" spans="1:10" x14ac:dyDescent="0.25">
      <c r="A3667" s="2" t="s">
        <v>9479</v>
      </c>
      <c r="B3667" s="2" t="s">
        <v>7007</v>
      </c>
      <c r="C3667" s="2" t="s">
        <v>9480</v>
      </c>
      <c r="D3667" s="2" t="s">
        <v>10055</v>
      </c>
      <c r="E3667" s="15">
        <v>0.12189999999999999</v>
      </c>
      <c r="F3667" s="15">
        <v>0.11890000000000001</v>
      </c>
      <c r="G3667" s="15">
        <v>0.30549999999999999</v>
      </c>
      <c r="H3667" s="15">
        <v>7.2700000000000001E-2</v>
      </c>
      <c r="I3667" s="15">
        <v>3.5900000000000001E-2</v>
      </c>
      <c r="J3667" s="15">
        <v>2.025069637883008</v>
      </c>
    </row>
    <row r="3668" spans="1:10" x14ac:dyDescent="0.25">
      <c r="A3668" s="2" t="s">
        <v>9481</v>
      </c>
      <c r="B3668" s="2" t="s">
        <v>7007</v>
      </c>
      <c r="C3668" s="2" t="s">
        <v>9482</v>
      </c>
      <c r="D3668" s="2" t="s">
        <v>10055</v>
      </c>
      <c r="E3668" s="15">
        <v>-6.6400000000000001E-2</v>
      </c>
      <c r="F3668" s="15">
        <v>0.1145</v>
      </c>
      <c r="G3668" s="15">
        <v>0.56189999999999996</v>
      </c>
      <c r="H3668" s="15">
        <v>7.17E-2</v>
      </c>
      <c r="I3668" s="15">
        <v>3.6400000000000002E-2</v>
      </c>
      <c r="J3668" s="15">
        <v>1.9697802197802201</v>
      </c>
    </row>
    <row r="3669" spans="1:10" x14ac:dyDescent="0.25">
      <c r="A3669" s="2" t="s">
        <v>9483</v>
      </c>
      <c r="B3669" s="2" t="s">
        <v>7007</v>
      </c>
      <c r="C3669" s="2" t="s">
        <v>9484</v>
      </c>
      <c r="D3669" s="2" t="s">
        <v>10055</v>
      </c>
      <c r="E3669" s="15">
        <v>-9.4200000000000006E-2</v>
      </c>
      <c r="F3669" s="15">
        <v>0.22309999999999999</v>
      </c>
      <c r="G3669" s="15">
        <v>0.67279999999999995</v>
      </c>
      <c r="H3669" s="15">
        <v>3.0200000000000001E-2</v>
      </c>
      <c r="I3669" s="15">
        <v>4.58E-2</v>
      </c>
      <c r="J3669" s="15">
        <v>0.65938864628820959</v>
      </c>
    </row>
    <row r="3670" spans="1:10" x14ac:dyDescent="0.25">
      <c r="A3670" s="2" t="s">
        <v>9485</v>
      </c>
      <c r="B3670" s="2" t="s">
        <v>7007</v>
      </c>
      <c r="C3670" s="2" t="s">
        <v>9486</v>
      </c>
      <c r="D3670" s="2" t="s">
        <v>10055</v>
      </c>
      <c r="E3670" s="15"/>
      <c r="F3670" s="15"/>
      <c r="G3670" s="15"/>
      <c r="H3670" s="15">
        <v>-4.7300000000000002E-2</v>
      </c>
      <c r="I3670" s="15">
        <v>3.49E-2</v>
      </c>
      <c r="J3670" s="15">
        <v>-1.355300859598854</v>
      </c>
    </row>
    <row r="3671" spans="1:10" x14ac:dyDescent="0.25">
      <c r="A3671" s="2" t="s">
        <v>9487</v>
      </c>
      <c r="B3671" s="2" t="s">
        <v>7007</v>
      </c>
      <c r="C3671" s="2" t="s">
        <v>9488</v>
      </c>
      <c r="D3671" s="2" t="s">
        <v>10055</v>
      </c>
      <c r="E3671" s="15">
        <v>0.39219999999999999</v>
      </c>
      <c r="F3671" s="15">
        <v>0.44690000000000002</v>
      </c>
      <c r="G3671" s="15">
        <v>0.38019999999999998</v>
      </c>
      <c r="H3671" s="15">
        <v>2.3699999999999999E-2</v>
      </c>
      <c r="I3671" s="15">
        <v>4.2200000000000001E-2</v>
      </c>
      <c r="J3671" s="15">
        <v>0.56161137440758291</v>
      </c>
    </row>
    <row r="3672" spans="1:10" x14ac:dyDescent="0.25">
      <c r="A3672" s="2" t="s">
        <v>9489</v>
      </c>
      <c r="B3672" s="2" t="s">
        <v>7007</v>
      </c>
      <c r="C3672" s="2" t="s">
        <v>9490</v>
      </c>
      <c r="D3672" s="2" t="s">
        <v>10055</v>
      </c>
      <c r="E3672" s="15"/>
      <c r="F3672" s="15"/>
      <c r="G3672" s="15"/>
      <c r="H3672" s="15">
        <v>-1.43E-2</v>
      </c>
      <c r="I3672" s="15">
        <v>3.5999999999999997E-2</v>
      </c>
      <c r="J3672" s="15">
        <v>-0.39722222222222231</v>
      </c>
    </row>
    <row r="3673" spans="1:10" x14ac:dyDescent="0.25">
      <c r="A3673" s="2" t="s">
        <v>9491</v>
      </c>
      <c r="B3673" s="2" t="s">
        <v>7007</v>
      </c>
      <c r="C3673" s="2" t="s">
        <v>9492</v>
      </c>
      <c r="D3673" s="2" t="s">
        <v>10055</v>
      </c>
      <c r="E3673" s="15"/>
      <c r="F3673" s="15"/>
      <c r="G3673" s="15"/>
      <c r="H3673" s="15"/>
      <c r="I3673" s="15"/>
      <c r="J3673" s="15"/>
    </row>
    <row r="3674" spans="1:10" x14ac:dyDescent="0.25">
      <c r="A3674" s="2" t="s">
        <v>9493</v>
      </c>
      <c r="B3674" s="2" t="s">
        <v>7007</v>
      </c>
      <c r="C3674" s="2" t="s">
        <v>9494</v>
      </c>
      <c r="D3674" s="2" t="s">
        <v>10055</v>
      </c>
      <c r="E3674" s="15"/>
      <c r="F3674" s="15"/>
      <c r="G3674" s="15"/>
      <c r="H3674" s="15">
        <v>-8.3000000000000001E-3</v>
      </c>
      <c r="I3674" s="15">
        <v>3.85E-2</v>
      </c>
      <c r="J3674" s="15">
        <v>-0.2155844155844156</v>
      </c>
    </row>
    <row r="3675" spans="1:10" x14ac:dyDescent="0.25">
      <c r="A3675" s="2" t="s">
        <v>9495</v>
      </c>
      <c r="B3675" s="2" t="s">
        <v>7007</v>
      </c>
      <c r="C3675" s="2" t="s">
        <v>9496</v>
      </c>
      <c r="D3675" s="2" t="s">
        <v>10055</v>
      </c>
      <c r="E3675" s="15"/>
      <c r="F3675" s="15"/>
      <c r="G3675" s="15"/>
      <c r="H3675" s="15">
        <v>-2.0400000000000001E-2</v>
      </c>
      <c r="I3675" s="15">
        <v>3.4700000000000002E-2</v>
      </c>
      <c r="J3675" s="15">
        <v>-0.58789625360230546</v>
      </c>
    </row>
    <row r="3676" spans="1:10" x14ac:dyDescent="0.25">
      <c r="A3676" s="2" t="s">
        <v>9497</v>
      </c>
      <c r="B3676" s="2" t="s">
        <v>7007</v>
      </c>
      <c r="C3676" s="2" t="s">
        <v>9498</v>
      </c>
      <c r="D3676" s="2" t="s">
        <v>10055</v>
      </c>
      <c r="E3676" s="15"/>
      <c r="F3676" s="15"/>
      <c r="G3676" s="15"/>
      <c r="H3676" s="15">
        <v>-1.2999999999999999E-3</v>
      </c>
      <c r="I3676" s="15">
        <v>3.6999999999999998E-2</v>
      </c>
      <c r="J3676" s="15">
        <v>-3.5135135135135137E-2</v>
      </c>
    </row>
    <row r="3677" spans="1:10" x14ac:dyDescent="0.25">
      <c r="A3677" s="2" t="s">
        <v>9499</v>
      </c>
      <c r="B3677" s="2" t="s">
        <v>7007</v>
      </c>
      <c r="C3677" s="2" t="s">
        <v>9500</v>
      </c>
      <c r="D3677" s="2" t="s">
        <v>10055</v>
      </c>
      <c r="E3677" s="15"/>
      <c r="F3677" s="15"/>
      <c r="G3677" s="15"/>
      <c r="H3677" s="15">
        <v>-1.18E-2</v>
      </c>
      <c r="I3677" s="15">
        <v>3.5999999999999997E-2</v>
      </c>
      <c r="J3677" s="15">
        <v>-0.32777777777777778</v>
      </c>
    </row>
    <row r="3678" spans="1:10" x14ac:dyDescent="0.25">
      <c r="A3678" s="2" t="s">
        <v>9501</v>
      </c>
      <c r="B3678" s="2" t="s">
        <v>7007</v>
      </c>
      <c r="C3678" s="2" t="s">
        <v>9502</v>
      </c>
      <c r="D3678" s="2" t="s">
        <v>10055</v>
      </c>
      <c r="E3678" s="15">
        <v>-3.6400000000000002E-2</v>
      </c>
      <c r="F3678" s="15">
        <v>0.1615</v>
      </c>
      <c r="G3678" s="15">
        <v>0.82150000000000001</v>
      </c>
      <c r="H3678" s="15">
        <v>4.6399999999999997E-2</v>
      </c>
      <c r="I3678" s="15">
        <v>3.7600000000000001E-2</v>
      </c>
      <c r="J3678" s="15">
        <v>1.2340425531914889</v>
      </c>
    </row>
    <row r="3679" spans="1:10" x14ac:dyDescent="0.25">
      <c r="A3679" s="2" t="s">
        <v>9503</v>
      </c>
      <c r="B3679" s="2" t="s">
        <v>7007</v>
      </c>
      <c r="C3679" s="2" t="s">
        <v>9504</v>
      </c>
      <c r="D3679" s="2" t="s">
        <v>10055</v>
      </c>
      <c r="E3679" s="15"/>
      <c r="F3679" s="15"/>
      <c r="G3679" s="15"/>
      <c r="H3679" s="15">
        <v>-6.9999999999999999E-4</v>
      </c>
      <c r="I3679" s="15">
        <v>3.78E-2</v>
      </c>
      <c r="J3679" s="15">
        <v>-1.8518518518518521E-2</v>
      </c>
    </row>
    <row r="3680" spans="1:10" x14ac:dyDescent="0.25">
      <c r="A3680" s="2" t="s">
        <v>9505</v>
      </c>
      <c r="B3680" s="2" t="s">
        <v>7007</v>
      </c>
      <c r="C3680" s="2" t="s">
        <v>9506</v>
      </c>
      <c r="D3680" s="2" t="s">
        <v>10055</v>
      </c>
      <c r="E3680" s="15"/>
      <c r="F3680" s="15"/>
      <c r="G3680" s="15"/>
      <c r="H3680" s="15">
        <v>-3.0800000000000001E-2</v>
      </c>
      <c r="I3680" s="15">
        <v>3.9300000000000002E-2</v>
      </c>
      <c r="J3680" s="15">
        <v>-0.78371501272264632</v>
      </c>
    </row>
    <row r="3681" spans="1:10" x14ac:dyDescent="0.25">
      <c r="A3681" s="2" t="s">
        <v>9507</v>
      </c>
      <c r="B3681" s="2" t="s">
        <v>7007</v>
      </c>
      <c r="C3681" s="2" t="s">
        <v>9508</v>
      </c>
      <c r="D3681" s="2" t="s">
        <v>10055</v>
      </c>
      <c r="E3681" s="15">
        <v>-0.106</v>
      </c>
      <c r="F3681" s="15">
        <v>0.16320000000000001</v>
      </c>
      <c r="G3681" s="15">
        <v>0.51600000000000001</v>
      </c>
      <c r="H3681" s="15">
        <v>4.3900000000000002E-2</v>
      </c>
      <c r="I3681" s="15">
        <v>3.5700000000000003E-2</v>
      </c>
      <c r="J3681" s="15">
        <v>1.2296918767506999</v>
      </c>
    </row>
    <row r="3682" spans="1:10" x14ac:dyDescent="0.25">
      <c r="A3682" s="2" t="s">
        <v>9509</v>
      </c>
      <c r="B3682" s="2" t="s">
        <v>7007</v>
      </c>
      <c r="C3682" s="2" t="s">
        <v>9510</v>
      </c>
      <c r="D3682" s="2" t="s">
        <v>10055</v>
      </c>
      <c r="E3682" s="15">
        <v>7.9000000000000008E-3</v>
      </c>
      <c r="F3682" s="15">
        <v>0.12820000000000001</v>
      </c>
      <c r="G3682" s="15">
        <v>0.9506</v>
      </c>
      <c r="H3682" s="15">
        <v>6.0600000000000001E-2</v>
      </c>
      <c r="I3682" s="15">
        <v>3.9600000000000003E-2</v>
      </c>
      <c r="J3682" s="15">
        <v>1.5303030303030301</v>
      </c>
    </row>
    <row r="3683" spans="1:10" x14ac:dyDescent="0.25">
      <c r="A3683" s="2" t="s">
        <v>9511</v>
      </c>
      <c r="B3683" s="2" t="s">
        <v>7007</v>
      </c>
      <c r="C3683" s="2" t="s">
        <v>9512</v>
      </c>
      <c r="D3683" s="2" t="s">
        <v>10055</v>
      </c>
      <c r="E3683" s="15"/>
      <c r="F3683" s="15"/>
      <c r="G3683" s="15"/>
      <c r="H3683" s="15">
        <v>-2.8E-3</v>
      </c>
      <c r="I3683" s="15">
        <v>3.5900000000000001E-2</v>
      </c>
      <c r="J3683" s="15">
        <v>-7.7994428969359333E-2</v>
      </c>
    </row>
    <row r="3684" spans="1:10" x14ac:dyDescent="0.25">
      <c r="A3684" s="2" t="s">
        <v>9513</v>
      </c>
      <c r="B3684" s="2" t="s">
        <v>7007</v>
      </c>
      <c r="C3684" s="2" t="s">
        <v>9514</v>
      </c>
      <c r="D3684" s="2" t="s">
        <v>10055</v>
      </c>
      <c r="E3684" s="15">
        <v>-0.1477</v>
      </c>
      <c r="F3684" s="15">
        <v>0.1341</v>
      </c>
      <c r="G3684" s="15">
        <v>0.27100000000000002</v>
      </c>
      <c r="H3684" s="15">
        <v>5.67E-2</v>
      </c>
      <c r="I3684" s="15">
        <v>3.8600000000000002E-2</v>
      </c>
      <c r="J3684" s="15">
        <v>1.468911917098445</v>
      </c>
    </row>
    <row r="3685" spans="1:10" x14ac:dyDescent="0.25">
      <c r="A3685" s="2" t="s">
        <v>9515</v>
      </c>
      <c r="B3685" s="2" t="s">
        <v>7007</v>
      </c>
      <c r="C3685" s="2" t="s">
        <v>9516</v>
      </c>
      <c r="D3685" s="2" t="s">
        <v>10055</v>
      </c>
      <c r="E3685" s="15">
        <v>-1.5599999999999999E-2</v>
      </c>
      <c r="F3685" s="15">
        <v>0.15340000000000001</v>
      </c>
      <c r="G3685" s="15">
        <v>0.91910000000000003</v>
      </c>
      <c r="H3685" s="15">
        <v>4.2299999999999997E-2</v>
      </c>
      <c r="I3685" s="15">
        <v>4.2099999999999999E-2</v>
      </c>
      <c r="J3685" s="15">
        <v>1.004750593824228</v>
      </c>
    </row>
    <row r="3686" spans="1:10" x14ac:dyDescent="0.25">
      <c r="A3686" s="2" t="s">
        <v>9517</v>
      </c>
      <c r="B3686" s="2" t="s">
        <v>7007</v>
      </c>
      <c r="C3686" s="2" t="s">
        <v>9518</v>
      </c>
      <c r="D3686" s="2" t="s">
        <v>10055</v>
      </c>
      <c r="E3686" s="15"/>
      <c r="F3686" s="15"/>
      <c r="G3686" s="15"/>
      <c r="H3686" s="15">
        <v>-7.4000000000000003E-3</v>
      </c>
      <c r="I3686" s="15">
        <v>3.5999999999999997E-2</v>
      </c>
      <c r="J3686" s="15">
        <v>-0.2055555555555556</v>
      </c>
    </row>
    <row r="3687" spans="1:10" x14ac:dyDescent="0.25">
      <c r="A3687" s="2" t="s">
        <v>9519</v>
      </c>
      <c r="B3687" s="2" t="s">
        <v>7007</v>
      </c>
      <c r="C3687" s="2" t="s">
        <v>9520</v>
      </c>
      <c r="D3687" s="2" t="s">
        <v>10055</v>
      </c>
      <c r="E3687" s="15">
        <v>0.10059999999999999</v>
      </c>
      <c r="F3687" s="15">
        <v>0.23230000000000001</v>
      </c>
      <c r="G3687" s="15">
        <v>0.66490000000000005</v>
      </c>
      <c r="H3687" s="15">
        <v>2.01E-2</v>
      </c>
      <c r="I3687" s="15">
        <v>3.7400000000000003E-2</v>
      </c>
      <c r="J3687" s="15">
        <v>0.53743315508021383</v>
      </c>
    </row>
    <row r="3688" spans="1:10" x14ac:dyDescent="0.25">
      <c r="A3688" s="2" t="s">
        <v>9521</v>
      </c>
      <c r="B3688" s="2" t="s">
        <v>7007</v>
      </c>
      <c r="C3688" s="2" t="s">
        <v>9522</v>
      </c>
      <c r="D3688" s="2" t="s">
        <v>10055</v>
      </c>
      <c r="E3688" s="15"/>
      <c r="F3688" s="15"/>
      <c r="G3688" s="15"/>
      <c r="H3688" s="15">
        <v>-1.38E-2</v>
      </c>
      <c r="I3688" s="15">
        <v>3.8600000000000002E-2</v>
      </c>
      <c r="J3688" s="15">
        <v>-0.35751295336787559</v>
      </c>
    </row>
    <row r="3689" spans="1:10" x14ac:dyDescent="0.25">
      <c r="A3689" s="2" t="s">
        <v>9523</v>
      </c>
      <c r="B3689" s="2" t="s">
        <v>7007</v>
      </c>
      <c r="C3689" s="2" t="s">
        <v>9524</v>
      </c>
      <c r="D3689" s="2" t="s">
        <v>10055</v>
      </c>
      <c r="E3689" s="15"/>
      <c r="F3689" s="15"/>
      <c r="G3689" s="15"/>
      <c r="H3689" s="15">
        <v>-1.6899999999999998E-2</v>
      </c>
      <c r="I3689" s="15">
        <v>3.7699999999999997E-2</v>
      </c>
      <c r="J3689" s="15">
        <v>-0.44827586206896552</v>
      </c>
    </row>
    <row r="3690" spans="1:10" x14ac:dyDescent="0.25">
      <c r="A3690" s="2" t="s">
        <v>9525</v>
      </c>
      <c r="B3690" s="2" t="s">
        <v>7007</v>
      </c>
      <c r="C3690" s="2" t="s">
        <v>9526</v>
      </c>
      <c r="D3690" s="2" t="s">
        <v>10055</v>
      </c>
      <c r="E3690" s="15"/>
      <c r="F3690" s="15"/>
      <c r="G3690" s="15"/>
      <c r="H3690" s="15">
        <v>-8.3000000000000001E-3</v>
      </c>
      <c r="I3690" s="15">
        <v>3.6999999999999998E-2</v>
      </c>
      <c r="J3690" s="15">
        <v>-0.22432432432432431</v>
      </c>
    </row>
    <row r="3691" spans="1:10" x14ac:dyDescent="0.25">
      <c r="A3691" s="2" t="s">
        <v>9527</v>
      </c>
      <c r="B3691" s="2" t="s">
        <v>7007</v>
      </c>
      <c r="C3691" s="2" t="s">
        <v>9528</v>
      </c>
      <c r="D3691" s="2" t="s">
        <v>10055</v>
      </c>
      <c r="E3691" s="15"/>
      <c r="F3691" s="15"/>
      <c r="G3691" s="15"/>
      <c r="H3691" s="15"/>
      <c r="I3691" s="15"/>
      <c r="J3691" s="15"/>
    </row>
    <row r="3692" spans="1:10" x14ac:dyDescent="0.25">
      <c r="A3692" s="2" t="s">
        <v>9529</v>
      </c>
      <c r="B3692" s="2" t="s">
        <v>7007</v>
      </c>
      <c r="C3692" s="2" t="s">
        <v>9530</v>
      </c>
      <c r="D3692" s="2" t="s">
        <v>10055</v>
      </c>
      <c r="E3692" s="15">
        <v>-7.2900000000000006E-2</v>
      </c>
      <c r="F3692" s="15">
        <v>0.31290000000000001</v>
      </c>
      <c r="G3692" s="15">
        <v>0.81579999999999997</v>
      </c>
      <c r="H3692" s="15">
        <v>1.5100000000000001E-2</v>
      </c>
      <c r="I3692" s="15">
        <v>4.2000000000000003E-2</v>
      </c>
      <c r="J3692" s="15">
        <v>0.35952380952380952</v>
      </c>
    </row>
    <row r="3693" spans="1:10" x14ac:dyDescent="0.25">
      <c r="A3693" s="2" t="s">
        <v>9531</v>
      </c>
      <c r="B3693" s="2" t="s">
        <v>7007</v>
      </c>
      <c r="C3693" s="2" t="s">
        <v>9532</v>
      </c>
      <c r="D3693" s="2" t="s">
        <v>10055</v>
      </c>
      <c r="E3693" s="15"/>
      <c r="F3693" s="15"/>
      <c r="G3693" s="15"/>
      <c r="H3693" s="15"/>
      <c r="I3693" s="15"/>
      <c r="J3693" s="15"/>
    </row>
    <row r="3694" spans="1:10" x14ac:dyDescent="0.25">
      <c r="A3694" s="2" t="s">
        <v>9533</v>
      </c>
      <c r="B3694" s="2" t="s">
        <v>7007</v>
      </c>
      <c r="C3694" s="2" t="s">
        <v>9534</v>
      </c>
      <c r="D3694" s="2" t="s">
        <v>10055</v>
      </c>
      <c r="E3694" s="15"/>
      <c r="F3694" s="15"/>
      <c r="G3694" s="15"/>
      <c r="H3694" s="15">
        <v>-2.3199999999999998E-2</v>
      </c>
      <c r="I3694" s="15">
        <v>3.61E-2</v>
      </c>
      <c r="J3694" s="15">
        <v>-0.64265927977839332</v>
      </c>
    </row>
    <row r="3695" spans="1:10" x14ac:dyDescent="0.25">
      <c r="A3695" s="2" t="s">
        <v>9535</v>
      </c>
      <c r="B3695" s="2" t="s">
        <v>7007</v>
      </c>
      <c r="C3695" s="2" t="s">
        <v>9536</v>
      </c>
      <c r="D3695" s="2" t="s">
        <v>10055</v>
      </c>
      <c r="E3695" s="15"/>
      <c r="F3695" s="15"/>
      <c r="G3695" s="15"/>
      <c r="H3695" s="15">
        <v>-2.6200000000000001E-2</v>
      </c>
      <c r="I3695" s="15">
        <v>4.0399999999999998E-2</v>
      </c>
      <c r="J3695" s="15">
        <v>-0.64851485148514854</v>
      </c>
    </row>
    <row r="3696" spans="1:10" x14ac:dyDescent="0.25">
      <c r="A3696" s="2" t="s">
        <v>9537</v>
      </c>
      <c r="B3696" s="2" t="s">
        <v>7007</v>
      </c>
      <c r="C3696" s="2" t="s">
        <v>9538</v>
      </c>
      <c r="D3696" s="2" t="s">
        <v>10055</v>
      </c>
      <c r="E3696" s="15"/>
      <c r="F3696" s="15"/>
      <c r="G3696" s="15"/>
      <c r="H3696" s="15">
        <v>-2.12E-2</v>
      </c>
      <c r="I3696" s="15">
        <v>3.49E-2</v>
      </c>
      <c r="J3696" s="15">
        <v>-0.60744985673352436</v>
      </c>
    </row>
    <row r="3697" spans="1:10" x14ac:dyDescent="0.25">
      <c r="A3697" s="2" t="s">
        <v>9539</v>
      </c>
      <c r="B3697" s="2" t="s">
        <v>7007</v>
      </c>
      <c r="C3697" s="2" t="s">
        <v>9540</v>
      </c>
      <c r="D3697" s="2" t="s">
        <v>10055</v>
      </c>
      <c r="E3697" s="15"/>
      <c r="F3697" s="15"/>
      <c r="G3697" s="15"/>
      <c r="H3697" s="15">
        <v>-4.2599999999999999E-2</v>
      </c>
      <c r="I3697" s="15">
        <v>3.8800000000000001E-2</v>
      </c>
      <c r="J3697" s="15">
        <v>-1.097938144329897</v>
      </c>
    </row>
    <row r="3698" spans="1:10" x14ac:dyDescent="0.25">
      <c r="A3698" s="2" t="s">
        <v>9541</v>
      </c>
      <c r="B3698" s="2" t="s">
        <v>7007</v>
      </c>
      <c r="C3698" s="2" t="s">
        <v>9542</v>
      </c>
      <c r="D3698" s="2" t="s">
        <v>10055</v>
      </c>
      <c r="E3698" s="15"/>
      <c r="F3698" s="15"/>
      <c r="G3698" s="15"/>
      <c r="H3698" s="15"/>
      <c r="I3698" s="15"/>
      <c r="J3698" s="15"/>
    </row>
    <row r="3699" spans="1:10" x14ac:dyDescent="0.25">
      <c r="A3699" s="2" t="s">
        <v>9543</v>
      </c>
      <c r="B3699" s="2" t="s">
        <v>7007</v>
      </c>
      <c r="C3699" s="2" t="s">
        <v>9544</v>
      </c>
      <c r="D3699" s="2" t="s">
        <v>10055</v>
      </c>
      <c r="E3699" s="15"/>
      <c r="F3699" s="15"/>
      <c r="G3699" s="15"/>
      <c r="H3699" s="15">
        <v>-3.1800000000000002E-2</v>
      </c>
      <c r="I3699" s="15">
        <v>3.5499999999999997E-2</v>
      </c>
      <c r="J3699" s="15">
        <v>-0.89577464788732408</v>
      </c>
    </row>
    <row r="3700" spans="1:10" x14ac:dyDescent="0.25">
      <c r="A3700" s="2" t="s">
        <v>9545</v>
      </c>
      <c r="B3700" s="2" t="s">
        <v>7007</v>
      </c>
      <c r="C3700" s="2" t="s">
        <v>9546</v>
      </c>
      <c r="D3700" s="2" t="s">
        <v>10055</v>
      </c>
      <c r="E3700" s="15">
        <v>5.9900000000000002E-2</v>
      </c>
      <c r="F3700" s="15">
        <v>0.126</v>
      </c>
      <c r="G3700" s="15">
        <v>0.63470000000000004</v>
      </c>
      <c r="H3700" s="15">
        <v>6.3200000000000006E-2</v>
      </c>
      <c r="I3700" s="15">
        <v>4.5100000000000001E-2</v>
      </c>
      <c r="J3700" s="15">
        <v>1.4013303769401331</v>
      </c>
    </row>
    <row r="3701" spans="1:10" x14ac:dyDescent="0.25">
      <c r="A3701" s="2" t="s">
        <v>9547</v>
      </c>
      <c r="B3701" s="2" t="s">
        <v>7007</v>
      </c>
      <c r="C3701" s="2" t="s">
        <v>9548</v>
      </c>
      <c r="D3701" s="2" t="s">
        <v>10055</v>
      </c>
      <c r="E3701" s="15">
        <v>4.4000000000000003E-3</v>
      </c>
      <c r="F3701" s="15">
        <v>0.16</v>
      </c>
      <c r="G3701" s="15">
        <v>0.97799999999999998</v>
      </c>
      <c r="H3701" s="15">
        <v>3.9E-2</v>
      </c>
      <c r="I3701" s="15">
        <v>4.0500000000000001E-2</v>
      </c>
      <c r="J3701" s="15">
        <v>0.96296296296296291</v>
      </c>
    </row>
    <row r="3702" spans="1:10" x14ac:dyDescent="0.25">
      <c r="A3702" s="2" t="s">
        <v>9549</v>
      </c>
      <c r="B3702" s="2" t="s">
        <v>7007</v>
      </c>
      <c r="C3702" s="2" t="s">
        <v>9550</v>
      </c>
      <c r="D3702" s="2" t="s">
        <v>10055</v>
      </c>
      <c r="E3702" s="15"/>
      <c r="F3702" s="15"/>
      <c r="G3702" s="15"/>
      <c r="H3702" s="15">
        <v>-1.7299999999999999E-2</v>
      </c>
      <c r="I3702" s="15">
        <v>3.3500000000000002E-2</v>
      </c>
      <c r="J3702" s="15">
        <v>-0.5164179104477612</v>
      </c>
    </row>
    <row r="3703" spans="1:10" x14ac:dyDescent="0.25">
      <c r="A3703" s="2" t="s">
        <v>9551</v>
      </c>
      <c r="B3703" s="2" t="s">
        <v>7007</v>
      </c>
      <c r="C3703" s="2" t="s">
        <v>9552</v>
      </c>
      <c r="D3703" s="2" t="s">
        <v>10055</v>
      </c>
      <c r="E3703" s="15"/>
      <c r="F3703" s="15"/>
      <c r="G3703" s="15"/>
      <c r="H3703" s="15">
        <v>-5.7000000000000002E-3</v>
      </c>
      <c r="I3703" s="15">
        <v>3.9E-2</v>
      </c>
      <c r="J3703" s="15">
        <v>-0.14615384615384619</v>
      </c>
    </row>
    <row r="3704" spans="1:10" x14ac:dyDescent="0.25">
      <c r="A3704" s="2" t="s">
        <v>9553</v>
      </c>
      <c r="B3704" s="2" t="s">
        <v>7007</v>
      </c>
      <c r="C3704" s="2" t="s">
        <v>9554</v>
      </c>
      <c r="D3704" s="2" t="s">
        <v>10055</v>
      </c>
      <c r="E3704" s="15"/>
      <c r="F3704" s="15"/>
      <c r="G3704" s="15"/>
      <c r="H3704" s="15">
        <v>-7.4000000000000003E-3</v>
      </c>
      <c r="I3704" s="15">
        <v>3.4299999999999997E-2</v>
      </c>
      <c r="J3704" s="15">
        <v>-0.21574344023323619</v>
      </c>
    </row>
    <row r="3705" spans="1:10" x14ac:dyDescent="0.25">
      <c r="A3705" s="2" t="s">
        <v>9555</v>
      </c>
      <c r="B3705" s="2" t="s">
        <v>7007</v>
      </c>
      <c r="C3705" s="2" t="s">
        <v>9556</v>
      </c>
      <c r="D3705" s="2" t="s">
        <v>10055</v>
      </c>
      <c r="E3705" s="15">
        <v>-0.123</v>
      </c>
      <c r="F3705" s="15">
        <v>0.2291</v>
      </c>
      <c r="G3705" s="15">
        <v>0.59119999999999995</v>
      </c>
      <c r="H3705" s="15">
        <v>2.64E-2</v>
      </c>
      <c r="I3705" s="15">
        <v>4.1799999999999997E-2</v>
      </c>
      <c r="J3705" s="15">
        <v>0.63157894736842113</v>
      </c>
    </row>
    <row r="3706" spans="1:10" x14ac:dyDescent="0.25">
      <c r="A3706" s="2" t="s">
        <v>9557</v>
      </c>
      <c r="B3706" s="2" t="s">
        <v>7007</v>
      </c>
      <c r="C3706" s="2" t="s">
        <v>9558</v>
      </c>
      <c r="D3706" s="2" t="s">
        <v>10055</v>
      </c>
      <c r="E3706" s="15"/>
      <c r="F3706" s="15"/>
      <c r="G3706" s="15"/>
      <c r="H3706" s="15">
        <v>-2.4199999999999999E-2</v>
      </c>
      <c r="I3706" s="15">
        <v>3.8100000000000002E-2</v>
      </c>
      <c r="J3706" s="15">
        <v>-0.63517060367454059</v>
      </c>
    </row>
    <row r="3707" spans="1:10" x14ac:dyDescent="0.25">
      <c r="A3707" s="2" t="s">
        <v>9559</v>
      </c>
      <c r="B3707" s="2" t="s">
        <v>7007</v>
      </c>
      <c r="C3707" s="2" t="s">
        <v>9560</v>
      </c>
      <c r="D3707" s="2" t="s">
        <v>10055</v>
      </c>
      <c r="E3707" s="15"/>
      <c r="F3707" s="15"/>
      <c r="G3707" s="15"/>
      <c r="H3707" s="15">
        <v>-3.5999999999999999E-3</v>
      </c>
      <c r="I3707" s="15">
        <v>3.6400000000000002E-2</v>
      </c>
      <c r="J3707" s="15">
        <v>-9.8901098901098897E-2</v>
      </c>
    </row>
    <row r="3708" spans="1:10" x14ac:dyDescent="0.25">
      <c r="A3708" s="2" t="s">
        <v>9561</v>
      </c>
      <c r="B3708" s="2" t="s">
        <v>7007</v>
      </c>
      <c r="C3708" s="2" t="s">
        <v>9562</v>
      </c>
      <c r="D3708" s="2" t="s">
        <v>10055</v>
      </c>
      <c r="E3708" s="15">
        <v>0.23169999999999999</v>
      </c>
      <c r="F3708" s="15">
        <v>0.86299999999999999</v>
      </c>
      <c r="G3708" s="15">
        <v>0.7883</v>
      </c>
      <c r="H3708" s="15">
        <v>2.1100000000000001E-2</v>
      </c>
      <c r="I3708" s="15">
        <v>4.1799999999999997E-2</v>
      </c>
      <c r="J3708" s="15">
        <v>0.50478468899521534</v>
      </c>
    </row>
    <row r="3709" spans="1:10" x14ac:dyDescent="0.25">
      <c r="A3709" s="2" t="s">
        <v>9563</v>
      </c>
      <c r="B3709" s="2" t="s">
        <v>7007</v>
      </c>
      <c r="C3709" s="2" t="s">
        <v>9564</v>
      </c>
      <c r="D3709" s="2" t="s">
        <v>10055</v>
      </c>
      <c r="E3709" s="15">
        <v>-0.1108</v>
      </c>
      <c r="F3709" s="15">
        <v>0.17030000000000001</v>
      </c>
      <c r="G3709" s="15">
        <v>0.51549999999999996</v>
      </c>
      <c r="H3709" s="15">
        <v>3.7699999999999997E-2</v>
      </c>
      <c r="I3709" s="15">
        <v>3.5099999999999999E-2</v>
      </c>
      <c r="J3709" s="15">
        <v>1.074074074074074</v>
      </c>
    </row>
    <row r="3710" spans="1:10" x14ac:dyDescent="0.25">
      <c r="A3710" s="2" t="s">
        <v>9565</v>
      </c>
      <c r="B3710" s="2" t="s">
        <v>7007</v>
      </c>
      <c r="C3710" s="2" t="s">
        <v>9566</v>
      </c>
      <c r="D3710" s="2" t="s">
        <v>10055</v>
      </c>
      <c r="E3710" s="15">
        <v>-3.6600000000000001E-2</v>
      </c>
      <c r="F3710" s="15">
        <v>0.1673</v>
      </c>
      <c r="G3710" s="15">
        <v>0.82669999999999999</v>
      </c>
      <c r="H3710" s="15">
        <v>3.9699999999999999E-2</v>
      </c>
      <c r="I3710" s="15">
        <v>3.0800000000000001E-2</v>
      </c>
      <c r="J3710" s="15">
        <v>1.2889610389610391</v>
      </c>
    </row>
    <row r="3711" spans="1:10" x14ac:dyDescent="0.25">
      <c r="A3711" s="2" t="s">
        <v>9567</v>
      </c>
      <c r="B3711" s="2" t="s">
        <v>7007</v>
      </c>
      <c r="C3711" s="2" t="s">
        <v>9568</v>
      </c>
      <c r="D3711" s="2" t="s">
        <v>10055</v>
      </c>
      <c r="E3711" s="15"/>
      <c r="F3711" s="15"/>
      <c r="G3711" s="15"/>
      <c r="H3711" s="15">
        <v>-1.2999999999999999E-3</v>
      </c>
      <c r="I3711" s="15">
        <v>3.4099999999999998E-2</v>
      </c>
      <c r="J3711" s="15">
        <v>-3.8123167155425221E-2</v>
      </c>
    </row>
    <row r="3712" spans="1:10" x14ac:dyDescent="0.25">
      <c r="A3712" s="2" t="s">
        <v>9569</v>
      </c>
      <c r="B3712" s="2" t="s">
        <v>7007</v>
      </c>
      <c r="C3712" s="2" t="s">
        <v>9570</v>
      </c>
      <c r="D3712" s="2" t="s">
        <v>10055</v>
      </c>
      <c r="E3712" s="15"/>
      <c r="F3712" s="15"/>
      <c r="G3712" s="15"/>
      <c r="H3712" s="15">
        <v>-2.75E-2</v>
      </c>
      <c r="I3712" s="15">
        <v>3.6499999999999998E-2</v>
      </c>
      <c r="J3712" s="15">
        <v>-0.75342465753424659</v>
      </c>
    </row>
    <row r="3713" spans="1:10" x14ac:dyDescent="0.25">
      <c r="A3713" s="2" t="s">
        <v>9571</v>
      </c>
      <c r="B3713" s="2" t="s">
        <v>7007</v>
      </c>
      <c r="C3713" s="2" t="s">
        <v>9572</v>
      </c>
      <c r="D3713" s="2" t="s">
        <v>10055</v>
      </c>
      <c r="E3713" s="15"/>
      <c r="F3713" s="15"/>
      <c r="G3713" s="15"/>
      <c r="H3713" s="15">
        <v>-5.3800000000000001E-2</v>
      </c>
      <c r="I3713" s="15">
        <v>3.6200000000000003E-2</v>
      </c>
      <c r="J3713" s="15">
        <v>-1.4861878453038671</v>
      </c>
    </row>
    <row r="3714" spans="1:10" x14ac:dyDescent="0.25">
      <c r="A3714" s="2" t="s">
        <v>9573</v>
      </c>
      <c r="B3714" s="2" t="s">
        <v>7007</v>
      </c>
      <c r="C3714" s="2" t="s">
        <v>9574</v>
      </c>
      <c r="D3714" s="2" t="s">
        <v>10055</v>
      </c>
      <c r="E3714" s="15">
        <v>-0.2278</v>
      </c>
      <c r="F3714" s="15">
        <v>0.28760000000000002</v>
      </c>
      <c r="G3714" s="15">
        <v>0.4284</v>
      </c>
      <c r="H3714" s="15">
        <v>3.5200000000000002E-2</v>
      </c>
      <c r="I3714" s="15">
        <v>4.3700000000000003E-2</v>
      </c>
      <c r="J3714" s="15">
        <v>0.80549199084668188</v>
      </c>
    </row>
    <row r="3715" spans="1:10" x14ac:dyDescent="0.25">
      <c r="A3715" s="2" t="s">
        <v>9575</v>
      </c>
      <c r="B3715" s="2" t="s">
        <v>7007</v>
      </c>
      <c r="C3715" s="2" t="s">
        <v>9576</v>
      </c>
      <c r="D3715" s="2" t="s">
        <v>10055</v>
      </c>
      <c r="E3715" s="15"/>
      <c r="F3715" s="15"/>
      <c r="G3715" s="15"/>
      <c r="H3715" s="15">
        <v>-3.3E-3</v>
      </c>
      <c r="I3715" s="15">
        <v>4.3099999999999999E-2</v>
      </c>
      <c r="J3715" s="15">
        <v>-7.6566125290023199E-2</v>
      </c>
    </row>
    <row r="3716" spans="1:10" x14ac:dyDescent="0.25">
      <c r="A3716" s="2" t="s">
        <v>9577</v>
      </c>
      <c r="B3716" s="2" t="s">
        <v>7007</v>
      </c>
      <c r="C3716" s="2" t="s">
        <v>9578</v>
      </c>
      <c r="D3716" s="2" t="s">
        <v>10055</v>
      </c>
      <c r="E3716" s="15"/>
      <c r="F3716" s="15"/>
      <c r="G3716" s="15"/>
      <c r="H3716" s="15"/>
      <c r="I3716" s="15"/>
      <c r="J3716" s="15"/>
    </row>
    <row r="3717" spans="1:10" x14ac:dyDescent="0.25">
      <c r="A3717" s="2" t="s">
        <v>9579</v>
      </c>
      <c r="B3717" s="2" t="s">
        <v>7007</v>
      </c>
      <c r="C3717" s="2" t="s">
        <v>9580</v>
      </c>
      <c r="D3717" s="2" t="s">
        <v>10055</v>
      </c>
      <c r="E3717" s="15">
        <v>9.4100000000000003E-2</v>
      </c>
      <c r="F3717" s="15">
        <v>0.1789</v>
      </c>
      <c r="G3717" s="15">
        <v>0.5988</v>
      </c>
      <c r="H3717" s="15">
        <v>4.2900000000000001E-2</v>
      </c>
      <c r="I3717" s="15">
        <v>4.2599999999999999E-2</v>
      </c>
      <c r="J3717" s="15">
        <v>1.007042253521127</v>
      </c>
    </row>
    <row r="3718" spans="1:10" x14ac:dyDescent="0.25">
      <c r="A3718" s="2" t="s">
        <v>9581</v>
      </c>
      <c r="B3718" s="2" t="s">
        <v>7007</v>
      </c>
      <c r="C3718" s="2" t="s">
        <v>9582</v>
      </c>
      <c r="D3718" s="2" t="s">
        <v>10055</v>
      </c>
      <c r="E3718" s="15"/>
      <c r="F3718" s="15"/>
      <c r="G3718" s="15"/>
      <c r="H3718" s="15"/>
      <c r="I3718" s="15"/>
      <c r="J3718" s="15"/>
    </row>
    <row r="3719" spans="1:10" x14ac:dyDescent="0.25">
      <c r="A3719" s="2" t="s">
        <v>9583</v>
      </c>
      <c r="B3719" s="2" t="s">
        <v>7007</v>
      </c>
      <c r="C3719" s="2" t="s">
        <v>9584</v>
      </c>
      <c r="D3719" s="2" t="s">
        <v>10055</v>
      </c>
      <c r="E3719" s="15">
        <v>0.15329999999999999</v>
      </c>
      <c r="F3719" s="15">
        <v>0.14660000000000001</v>
      </c>
      <c r="G3719" s="15">
        <v>0.2959</v>
      </c>
      <c r="H3719" s="15">
        <v>5.79E-2</v>
      </c>
      <c r="I3719" s="15">
        <v>3.6799999999999999E-2</v>
      </c>
      <c r="J3719" s="15">
        <v>1.5733695652173909</v>
      </c>
    </row>
    <row r="3720" spans="1:10" x14ac:dyDescent="0.25">
      <c r="A3720" s="2" t="s">
        <v>9585</v>
      </c>
      <c r="B3720" s="2" t="s">
        <v>7007</v>
      </c>
      <c r="C3720" s="2" t="s">
        <v>9586</v>
      </c>
      <c r="D3720" s="2" t="s">
        <v>10055</v>
      </c>
      <c r="E3720" s="15">
        <v>0.27439999999999998</v>
      </c>
      <c r="F3720" s="15">
        <v>0.31430000000000002</v>
      </c>
      <c r="G3720" s="15">
        <v>0.38269999999999998</v>
      </c>
      <c r="H3720" s="15">
        <v>2.1399999999999999E-2</v>
      </c>
      <c r="I3720" s="15">
        <v>3.5000000000000003E-2</v>
      </c>
      <c r="J3720" s="15">
        <v>0.61142857142857132</v>
      </c>
    </row>
    <row r="3721" spans="1:10" x14ac:dyDescent="0.25">
      <c r="A3721" s="2" t="s">
        <v>9587</v>
      </c>
      <c r="B3721" s="2" t="s">
        <v>7007</v>
      </c>
      <c r="C3721" s="2" t="s">
        <v>9588</v>
      </c>
      <c r="D3721" s="2" t="s">
        <v>10055</v>
      </c>
      <c r="E3721" s="15"/>
      <c r="F3721" s="15"/>
      <c r="G3721" s="15"/>
      <c r="H3721" s="15">
        <v>-0.1173</v>
      </c>
      <c r="I3721" s="15">
        <v>3.2300000000000002E-2</v>
      </c>
      <c r="J3721" s="15">
        <v>-3.6315789473684208</v>
      </c>
    </row>
    <row r="3722" spans="1:10" x14ac:dyDescent="0.25">
      <c r="A3722" s="2" t="s">
        <v>9589</v>
      </c>
      <c r="B3722" s="2" t="s">
        <v>7007</v>
      </c>
      <c r="C3722" s="2" t="s">
        <v>9590</v>
      </c>
      <c r="D3722" s="2" t="s">
        <v>10055</v>
      </c>
      <c r="E3722" s="15"/>
      <c r="F3722" s="15"/>
      <c r="G3722" s="15"/>
      <c r="H3722" s="15">
        <v>-1.9699999999999999E-2</v>
      </c>
      <c r="I3722" s="15">
        <v>3.7199999999999997E-2</v>
      </c>
      <c r="J3722" s="15">
        <v>-0.52956989247311825</v>
      </c>
    </row>
    <row r="3723" spans="1:10" x14ac:dyDescent="0.25">
      <c r="A3723" s="2" t="s">
        <v>9591</v>
      </c>
      <c r="B3723" s="2" t="s">
        <v>7007</v>
      </c>
      <c r="C3723" s="2" t="s">
        <v>9592</v>
      </c>
      <c r="D3723" s="2" t="s">
        <v>10055</v>
      </c>
      <c r="E3723" s="15">
        <v>-0.1239</v>
      </c>
      <c r="F3723" s="15">
        <v>0.1925</v>
      </c>
      <c r="G3723" s="15">
        <v>0.51990000000000003</v>
      </c>
      <c r="H3723" s="15">
        <v>3.9699999999999999E-2</v>
      </c>
      <c r="I3723" s="15">
        <v>4.0800000000000003E-2</v>
      </c>
      <c r="J3723" s="15">
        <v>0.97303921568627438</v>
      </c>
    </row>
    <row r="3724" spans="1:10" x14ac:dyDescent="0.25">
      <c r="A3724" s="2" t="s">
        <v>9593</v>
      </c>
      <c r="B3724" s="2" t="s">
        <v>7007</v>
      </c>
      <c r="C3724" s="2" t="s">
        <v>9594</v>
      </c>
      <c r="D3724" s="2" t="s">
        <v>10055</v>
      </c>
      <c r="E3724" s="15">
        <v>7.7100000000000002E-2</v>
      </c>
      <c r="F3724" s="15">
        <v>0.22320000000000001</v>
      </c>
      <c r="G3724" s="15">
        <v>0.72970000000000002</v>
      </c>
      <c r="H3724" s="15">
        <v>2.2100000000000002E-2</v>
      </c>
      <c r="I3724" s="15">
        <v>3.7499999999999999E-2</v>
      </c>
      <c r="J3724" s="15">
        <v>0.58933333333333338</v>
      </c>
    </row>
    <row r="3725" spans="1:10" x14ac:dyDescent="0.25">
      <c r="A3725" s="2" t="s">
        <v>9595</v>
      </c>
      <c r="B3725" s="2" t="s">
        <v>7007</v>
      </c>
      <c r="C3725" s="2" t="s">
        <v>9596</v>
      </c>
      <c r="D3725" s="2" t="s">
        <v>10055</v>
      </c>
      <c r="E3725" s="15"/>
      <c r="F3725" s="15"/>
      <c r="G3725" s="15"/>
      <c r="H3725" s="15"/>
      <c r="I3725" s="15"/>
      <c r="J3725" s="15"/>
    </row>
    <row r="3726" spans="1:10" x14ac:dyDescent="0.25">
      <c r="A3726" s="2" t="s">
        <v>9597</v>
      </c>
      <c r="B3726" s="2" t="s">
        <v>7007</v>
      </c>
      <c r="C3726" s="2" t="s">
        <v>9598</v>
      </c>
      <c r="D3726" s="2" t="s">
        <v>10055</v>
      </c>
      <c r="E3726" s="15">
        <v>0.1613</v>
      </c>
      <c r="F3726" s="15">
        <v>0.4</v>
      </c>
      <c r="G3726" s="15">
        <v>0.68679999999999997</v>
      </c>
      <c r="H3726" s="15">
        <v>1.34E-2</v>
      </c>
      <c r="I3726" s="15">
        <v>3.5299999999999998E-2</v>
      </c>
      <c r="J3726" s="15">
        <v>0.3796033994334278</v>
      </c>
    </row>
    <row r="3727" spans="1:10" x14ac:dyDescent="0.25">
      <c r="A3727" s="2" t="s">
        <v>9599</v>
      </c>
      <c r="B3727" s="2" t="s">
        <v>7007</v>
      </c>
      <c r="C3727" s="2" t="s">
        <v>9600</v>
      </c>
      <c r="D3727" s="2" t="s">
        <v>10055</v>
      </c>
      <c r="E3727" s="15"/>
      <c r="F3727" s="15"/>
      <c r="G3727" s="15"/>
      <c r="H3727" s="15"/>
      <c r="I3727" s="15"/>
      <c r="J3727" s="15"/>
    </row>
    <row r="3728" spans="1:10" x14ac:dyDescent="0.25">
      <c r="A3728" s="2" t="s">
        <v>9601</v>
      </c>
      <c r="B3728" s="2" t="s">
        <v>7007</v>
      </c>
      <c r="C3728" s="2" t="s">
        <v>9602</v>
      </c>
      <c r="D3728" s="2" t="s">
        <v>10055</v>
      </c>
      <c r="E3728" s="15">
        <v>0.1908</v>
      </c>
      <c r="F3728" s="15">
        <v>0.19009999999999999</v>
      </c>
      <c r="G3728" s="15">
        <v>0.31559999999999999</v>
      </c>
      <c r="H3728" s="15">
        <v>4.1700000000000001E-2</v>
      </c>
      <c r="I3728" s="15">
        <v>4.0399999999999998E-2</v>
      </c>
      <c r="J3728" s="15">
        <v>1.032178217821782</v>
      </c>
    </row>
    <row r="3729" spans="1:10" x14ac:dyDescent="0.25">
      <c r="A3729" s="2" t="s">
        <v>9603</v>
      </c>
      <c r="B3729" s="2" t="s">
        <v>7007</v>
      </c>
      <c r="C3729" s="2" t="s">
        <v>9604</v>
      </c>
      <c r="D3729" s="2" t="s">
        <v>10055</v>
      </c>
      <c r="E3729" s="15">
        <v>0.19409999999999999</v>
      </c>
      <c r="F3729" s="15">
        <v>0.31469999999999998</v>
      </c>
      <c r="G3729" s="15">
        <v>0.5373</v>
      </c>
      <c r="H3729" s="15">
        <v>1.95E-2</v>
      </c>
      <c r="I3729" s="15">
        <v>3.5400000000000001E-2</v>
      </c>
      <c r="J3729" s="15">
        <v>0.55084745762711862</v>
      </c>
    </row>
    <row r="3730" spans="1:10" x14ac:dyDescent="0.25">
      <c r="A3730" s="2" t="s">
        <v>9605</v>
      </c>
      <c r="B3730" s="2" t="s">
        <v>7007</v>
      </c>
      <c r="C3730" s="2" t="s">
        <v>9606</v>
      </c>
      <c r="D3730" s="2" t="s">
        <v>10055</v>
      </c>
      <c r="E3730" s="15">
        <v>0.2029</v>
      </c>
      <c r="F3730" s="15">
        <v>1.1228</v>
      </c>
      <c r="G3730" s="15">
        <v>0.85660000000000003</v>
      </c>
      <c r="H3730" s="15">
        <v>1.9199999999999998E-2</v>
      </c>
      <c r="I3730" s="15">
        <v>4.0500000000000001E-2</v>
      </c>
      <c r="J3730" s="15">
        <v>0.47407407407407398</v>
      </c>
    </row>
    <row r="3731" spans="1:10" x14ac:dyDescent="0.25">
      <c r="A3731" s="2" t="s">
        <v>9607</v>
      </c>
      <c r="B3731" s="2" t="s">
        <v>7007</v>
      </c>
      <c r="C3731" s="2" t="s">
        <v>9608</v>
      </c>
      <c r="D3731" s="2" t="s">
        <v>10055</v>
      </c>
      <c r="E3731" s="15"/>
      <c r="F3731" s="15"/>
      <c r="G3731" s="15"/>
      <c r="H3731" s="15"/>
      <c r="I3731" s="15"/>
      <c r="J3731" s="15"/>
    </row>
    <row r="3732" spans="1:10" x14ac:dyDescent="0.25">
      <c r="A3732" s="2" t="s">
        <v>9609</v>
      </c>
      <c r="B3732" s="2" t="s">
        <v>7007</v>
      </c>
      <c r="C3732" s="2" t="s">
        <v>9610</v>
      </c>
      <c r="D3732" s="2" t="s">
        <v>10055</v>
      </c>
      <c r="E3732" s="15"/>
      <c r="F3732" s="15"/>
      <c r="G3732" s="15"/>
      <c r="H3732" s="15">
        <v>-1.35E-2</v>
      </c>
      <c r="I3732" s="15">
        <v>3.49E-2</v>
      </c>
      <c r="J3732" s="15">
        <v>-0.38681948424068768</v>
      </c>
    </row>
    <row r="3733" spans="1:10" x14ac:dyDescent="0.25">
      <c r="A3733" s="2" t="s">
        <v>9611</v>
      </c>
      <c r="B3733" s="2" t="s">
        <v>7007</v>
      </c>
      <c r="C3733" s="2" t="s">
        <v>9612</v>
      </c>
      <c r="D3733" s="2" t="s">
        <v>10055</v>
      </c>
      <c r="E3733" s="15">
        <v>-2.8E-3</v>
      </c>
      <c r="F3733" s="15">
        <v>0.23480000000000001</v>
      </c>
      <c r="G3733" s="15">
        <v>0.99060000000000004</v>
      </c>
      <c r="H3733" s="15">
        <v>2.1100000000000001E-2</v>
      </c>
      <c r="I3733" s="15">
        <v>3.7199999999999997E-2</v>
      </c>
      <c r="J3733" s="15">
        <v>0.56720430107526887</v>
      </c>
    </row>
    <row r="3734" spans="1:10" x14ac:dyDescent="0.25">
      <c r="A3734" s="2" t="s">
        <v>9613</v>
      </c>
      <c r="B3734" s="2" t="s">
        <v>7007</v>
      </c>
      <c r="C3734" s="2" t="s">
        <v>9614</v>
      </c>
      <c r="D3734" s="2" t="s">
        <v>10055</v>
      </c>
      <c r="E3734" s="15">
        <v>6.13E-2</v>
      </c>
      <c r="F3734" s="15">
        <v>0.10100000000000001</v>
      </c>
      <c r="G3734" s="15">
        <v>0.54400000000000004</v>
      </c>
      <c r="H3734" s="15">
        <v>9.8799999999999999E-2</v>
      </c>
      <c r="I3734" s="15">
        <v>3.6999999999999998E-2</v>
      </c>
      <c r="J3734" s="15">
        <v>2.670270270270271</v>
      </c>
    </row>
    <row r="3735" spans="1:10" x14ac:dyDescent="0.25">
      <c r="A3735" s="2" t="s">
        <v>9615</v>
      </c>
      <c r="B3735" s="2" t="s">
        <v>7007</v>
      </c>
      <c r="C3735" s="2" t="s">
        <v>9616</v>
      </c>
      <c r="D3735" s="2" t="s">
        <v>10055</v>
      </c>
      <c r="E3735" s="15"/>
      <c r="F3735" s="15"/>
      <c r="G3735" s="15"/>
      <c r="H3735" s="15"/>
      <c r="I3735" s="15"/>
      <c r="J3735" s="15"/>
    </row>
    <row r="3736" spans="1:10" x14ac:dyDescent="0.25">
      <c r="A3736" s="2" t="s">
        <v>9617</v>
      </c>
      <c r="B3736" s="2" t="s">
        <v>7007</v>
      </c>
      <c r="C3736" s="2" t="s">
        <v>9618</v>
      </c>
      <c r="D3736" s="2" t="s">
        <v>10055</v>
      </c>
      <c r="E3736" s="15">
        <v>0.1391</v>
      </c>
      <c r="F3736" s="15">
        <v>0.19170000000000001</v>
      </c>
      <c r="G3736" s="15">
        <v>0.46820000000000001</v>
      </c>
      <c r="H3736" s="15">
        <v>3.5299999999999998E-2</v>
      </c>
      <c r="I3736" s="15">
        <v>3.6700000000000003E-2</v>
      </c>
      <c r="J3736" s="15">
        <v>0.96185286103542222</v>
      </c>
    </row>
    <row r="3737" spans="1:10" x14ac:dyDescent="0.25">
      <c r="A3737" s="2" t="s">
        <v>9619</v>
      </c>
      <c r="B3737" s="2" t="s">
        <v>7007</v>
      </c>
      <c r="C3737" s="2" t="s">
        <v>9620</v>
      </c>
      <c r="D3737" s="2" t="s">
        <v>10055</v>
      </c>
      <c r="E3737" s="15"/>
      <c r="F3737" s="15"/>
      <c r="G3737" s="15"/>
      <c r="H3737" s="15">
        <v>-1.9300000000000001E-2</v>
      </c>
      <c r="I3737" s="15">
        <v>3.8899999999999997E-2</v>
      </c>
      <c r="J3737" s="15">
        <v>-0.49614395886889467</v>
      </c>
    </row>
    <row r="3738" spans="1:10" x14ac:dyDescent="0.25">
      <c r="A3738" s="2" t="s">
        <v>9621</v>
      </c>
      <c r="B3738" s="2" t="s">
        <v>7007</v>
      </c>
      <c r="C3738" s="2" t="s">
        <v>9622</v>
      </c>
      <c r="D3738" s="2" t="s">
        <v>10055</v>
      </c>
      <c r="E3738" s="15">
        <v>-0.14530000000000001</v>
      </c>
      <c r="F3738" s="15">
        <v>0.21529999999999999</v>
      </c>
      <c r="G3738" s="15">
        <v>0.49959999999999999</v>
      </c>
      <c r="H3738" s="15">
        <v>2.5000000000000001E-2</v>
      </c>
      <c r="I3738" s="15">
        <v>3.5299999999999998E-2</v>
      </c>
      <c r="J3738" s="15">
        <v>0.708215297450425</v>
      </c>
    </row>
    <row r="3739" spans="1:10" x14ac:dyDescent="0.25">
      <c r="A3739" s="2" t="s">
        <v>9623</v>
      </c>
      <c r="B3739" s="2" t="s">
        <v>7007</v>
      </c>
      <c r="C3739" s="2" t="s">
        <v>9624</v>
      </c>
      <c r="D3739" s="2" t="s">
        <v>10055</v>
      </c>
      <c r="E3739" s="15"/>
      <c r="F3739" s="15"/>
      <c r="G3739" s="15"/>
      <c r="H3739" s="15">
        <v>-2.2499999999999999E-2</v>
      </c>
      <c r="I3739" s="15">
        <v>3.9100000000000003E-2</v>
      </c>
      <c r="J3739" s="15">
        <v>-0.57544757033248073</v>
      </c>
    </row>
    <row r="3740" spans="1:10" x14ac:dyDescent="0.25">
      <c r="A3740" s="2" t="s">
        <v>9625</v>
      </c>
      <c r="B3740" s="2" t="s">
        <v>7007</v>
      </c>
      <c r="C3740" s="2" t="s">
        <v>9626</v>
      </c>
      <c r="D3740" s="2" t="s">
        <v>10055</v>
      </c>
      <c r="E3740" s="15">
        <v>-0.22969999999999999</v>
      </c>
      <c r="F3740" s="15">
        <v>0.39960000000000001</v>
      </c>
      <c r="G3740" s="15">
        <v>0.5655</v>
      </c>
      <c r="H3740" s="15">
        <v>1.7999999999999999E-2</v>
      </c>
      <c r="I3740" s="15">
        <v>3.85E-2</v>
      </c>
      <c r="J3740" s="15">
        <v>0.46753246753246752</v>
      </c>
    </row>
    <row r="3741" spans="1:10" x14ac:dyDescent="0.25">
      <c r="A3741" s="2" t="s">
        <v>9627</v>
      </c>
      <c r="B3741" s="2" t="s">
        <v>7007</v>
      </c>
      <c r="C3741" s="2" t="s">
        <v>9628</v>
      </c>
      <c r="D3741" s="2" t="s">
        <v>10055</v>
      </c>
      <c r="E3741" s="15"/>
      <c r="F3741" s="15"/>
      <c r="G3741" s="15"/>
      <c r="H3741" s="15">
        <v>-1.21E-2</v>
      </c>
      <c r="I3741" s="15">
        <v>4.07E-2</v>
      </c>
      <c r="J3741" s="15">
        <v>-0.29729729729729731</v>
      </c>
    </row>
    <row r="3742" spans="1:10" x14ac:dyDescent="0.25">
      <c r="A3742" s="2" t="s">
        <v>9629</v>
      </c>
      <c r="B3742" s="2" t="s">
        <v>7007</v>
      </c>
      <c r="C3742" s="2" t="s">
        <v>9630</v>
      </c>
      <c r="D3742" s="2" t="s">
        <v>10055</v>
      </c>
      <c r="E3742" s="15"/>
      <c r="F3742" s="15"/>
      <c r="G3742" s="15"/>
      <c r="H3742" s="15">
        <v>-6.1000000000000004E-3</v>
      </c>
      <c r="I3742" s="15">
        <v>3.1699999999999999E-2</v>
      </c>
      <c r="J3742" s="15">
        <v>-0.19242902208201901</v>
      </c>
    </row>
    <row r="3743" spans="1:10" x14ac:dyDescent="0.25">
      <c r="A3743" s="2" t="s">
        <v>9631</v>
      </c>
      <c r="B3743" s="2" t="s">
        <v>7007</v>
      </c>
      <c r="C3743" s="2" t="s">
        <v>9632</v>
      </c>
      <c r="D3743" s="2" t="s">
        <v>10055</v>
      </c>
      <c r="E3743" s="15"/>
      <c r="F3743" s="15"/>
      <c r="G3743" s="15"/>
      <c r="H3743" s="15"/>
      <c r="I3743" s="15"/>
      <c r="J3743" s="15"/>
    </row>
    <row r="3744" spans="1:10" x14ac:dyDescent="0.25">
      <c r="A3744" s="2" t="s">
        <v>9633</v>
      </c>
      <c r="B3744" s="2" t="s">
        <v>7007</v>
      </c>
      <c r="C3744" s="2" t="s">
        <v>9634</v>
      </c>
      <c r="D3744" s="2" t="s">
        <v>10055</v>
      </c>
      <c r="E3744" s="15">
        <v>0.24809999999999999</v>
      </c>
      <c r="F3744" s="15">
        <v>0.1308</v>
      </c>
      <c r="G3744" s="15">
        <v>5.79E-2</v>
      </c>
      <c r="H3744" s="15">
        <v>7.7899999999999997E-2</v>
      </c>
      <c r="I3744" s="15">
        <v>4.36E-2</v>
      </c>
      <c r="J3744" s="15">
        <v>1.786697247706422</v>
      </c>
    </row>
    <row r="3745" spans="1:10" x14ac:dyDescent="0.25">
      <c r="A3745" s="2" t="s">
        <v>9635</v>
      </c>
      <c r="B3745" s="2" t="s">
        <v>7007</v>
      </c>
      <c r="C3745" s="2" t="s">
        <v>9636</v>
      </c>
      <c r="D3745" s="2" t="s">
        <v>10055</v>
      </c>
      <c r="E3745" s="15">
        <v>-0.1196</v>
      </c>
      <c r="F3745" s="15">
        <v>0.14199999999999999</v>
      </c>
      <c r="G3745" s="15">
        <v>0.39979999999999999</v>
      </c>
      <c r="H3745" s="15">
        <v>5.5300000000000002E-2</v>
      </c>
      <c r="I3745" s="15">
        <v>3.9399999999999998E-2</v>
      </c>
      <c r="J3745" s="15">
        <v>1.4035532994923861</v>
      </c>
    </row>
    <row r="3746" spans="1:10" x14ac:dyDescent="0.25">
      <c r="A3746" s="2" t="s">
        <v>9637</v>
      </c>
      <c r="B3746" s="2" t="s">
        <v>7007</v>
      </c>
      <c r="C3746" s="2" t="s">
        <v>9638</v>
      </c>
      <c r="D3746" s="2" t="s">
        <v>10055</v>
      </c>
      <c r="E3746" s="15"/>
      <c r="F3746" s="15"/>
      <c r="G3746" s="15"/>
      <c r="H3746" s="15"/>
      <c r="I3746" s="15"/>
      <c r="J3746" s="15"/>
    </row>
    <row r="3747" spans="1:10" x14ac:dyDescent="0.25">
      <c r="A3747" s="2" t="s">
        <v>9639</v>
      </c>
      <c r="B3747" s="2" t="s">
        <v>7007</v>
      </c>
      <c r="C3747" s="2" t="s">
        <v>9640</v>
      </c>
      <c r="D3747" s="2" t="s">
        <v>10055</v>
      </c>
      <c r="E3747" s="15">
        <v>-4.53E-2</v>
      </c>
      <c r="F3747" s="15">
        <v>0.15279999999999999</v>
      </c>
      <c r="G3747" s="15">
        <v>0.7671</v>
      </c>
      <c r="H3747" s="15">
        <v>4.2299999999999997E-2</v>
      </c>
      <c r="I3747" s="15">
        <v>3.5499999999999997E-2</v>
      </c>
      <c r="J3747" s="15">
        <v>1.1915492957746481</v>
      </c>
    </row>
    <row r="3748" spans="1:10" x14ac:dyDescent="0.25">
      <c r="A3748" s="2" t="s">
        <v>9641</v>
      </c>
      <c r="B3748" s="2" t="s">
        <v>7007</v>
      </c>
      <c r="C3748" s="2" t="s">
        <v>9642</v>
      </c>
      <c r="D3748" s="2" t="s">
        <v>10055</v>
      </c>
      <c r="E3748" s="15"/>
      <c r="F3748" s="15"/>
      <c r="G3748" s="15"/>
      <c r="H3748" s="15">
        <v>-2.5899999999999999E-2</v>
      </c>
      <c r="I3748" s="15">
        <v>3.5400000000000001E-2</v>
      </c>
      <c r="J3748" s="15">
        <v>-0.73163841807909602</v>
      </c>
    </row>
    <row r="3749" spans="1:10" x14ac:dyDescent="0.25">
      <c r="A3749" s="2" t="s">
        <v>9643</v>
      </c>
      <c r="B3749" s="2" t="s">
        <v>7007</v>
      </c>
      <c r="C3749" s="2" t="s">
        <v>9644</v>
      </c>
      <c r="D3749" s="2" t="s">
        <v>10055</v>
      </c>
      <c r="E3749" s="15"/>
      <c r="F3749" s="15"/>
      <c r="G3749" s="15"/>
      <c r="H3749" s="15">
        <v>-8.9999999999999993E-3</v>
      </c>
      <c r="I3749" s="15">
        <v>3.8100000000000002E-2</v>
      </c>
      <c r="J3749" s="15">
        <v>-0.23622047244094491</v>
      </c>
    </row>
    <row r="3750" spans="1:10" x14ac:dyDescent="0.25">
      <c r="A3750" s="2" t="s">
        <v>9645</v>
      </c>
      <c r="B3750" s="2" t="s">
        <v>7007</v>
      </c>
      <c r="C3750" s="2" t="s">
        <v>9646</v>
      </c>
      <c r="D3750" s="2" t="s">
        <v>10055</v>
      </c>
      <c r="E3750" s="15">
        <v>4.7199999999999999E-2</v>
      </c>
      <c r="F3750" s="15">
        <v>0.1368</v>
      </c>
      <c r="G3750" s="15">
        <v>0.73019999999999996</v>
      </c>
      <c r="H3750" s="15">
        <v>5.21E-2</v>
      </c>
      <c r="I3750" s="15">
        <v>3.9199999999999999E-2</v>
      </c>
      <c r="J3750" s="15">
        <v>1.329081632653061</v>
      </c>
    </row>
    <row r="3751" spans="1:10" x14ac:dyDescent="0.25">
      <c r="A3751" s="2" t="s">
        <v>9647</v>
      </c>
      <c r="B3751" s="2" t="s">
        <v>7007</v>
      </c>
      <c r="C3751" s="2" t="s">
        <v>9648</v>
      </c>
      <c r="D3751" s="2" t="s">
        <v>10055</v>
      </c>
      <c r="E3751" s="15"/>
      <c r="F3751" s="15"/>
      <c r="G3751" s="15"/>
      <c r="H3751" s="15">
        <v>-1.9E-3</v>
      </c>
      <c r="I3751" s="15">
        <v>3.6600000000000001E-2</v>
      </c>
      <c r="J3751" s="15">
        <v>-5.1912568306010931E-2</v>
      </c>
    </row>
    <row r="3752" spans="1:10" x14ac:dyDescent="0.25">
      <c r="A3752" s="2" t="s">
        <v>9649</v>
      </c>
      <c r="B3752" s="2" t="s">
        <v>7007</v>
      </c>
      <c r="C3752" s="2" t="s">
        <v>9650</v>
      </c>
      <c r="D3752" s="2" t="s">
        <v>10055</v>
      </c>
      <c r="E3752" s="15">
        <v>1.8200000000000001E-2</v>
      </c>
      <c r="F3752" s="15">
        <v>0.188</v>
      </c>
      <c r="G3752" s="15">
        <v>0.92279999999999995</v>
      </c>
      <c r="H3752" s="15">
        <v>3.0200000000000001E-2</v>
      </c>
      <c r="I3752" s="15">
        <v>3.6499999999999998E-2</v>
      </c>
      <c r="J3752" s="15">
        <v>0.82739726027397265</v>
      </c>
    </row>
    <row r="3753" spans="1:10" x14ac:dyDescent="0.25">
      <c r="A3753" s="2" t="s">
        <v>9651</v>
      </c>
      <c r="B3753" s="2" t="s">
        <v>7007</v>
      </c>
      <c r="C3753" s="2" t="s">
        <v>9652</v>
      </c>
      <c r="D3753" s="2" t="s">
        <v>10055</v>
      </c>
      <c r="E3753" s="15">
        <v>0.1371</v>
      </c>
      <c r="F3753" s="15">
        <v>0.16450000000000001</v>
      </c>
      <c r="G3753" s="15">
        <v>0.40439999999999998</v>
      </c>
      <c r="H3753" s="15">
        <v>4.6399999999999997E-2</v>
      </c>
      <c r="I3753" s="15">
        <v>3.8300000000000001E-2</v>
      </c>
      <c r="J3753" s="15">
        <v>1.2114882506527409</v>
      </c>
    </row>
    <row r="3754" spans="1:10" x14ac:dyDescent="0.25">
      <c r="A3754" s="2" t="s">
        <v>9653</v>
      </c>
      <c r="B3754" s="2" t="s">
        <v>7007</v>
      </c>
      <c r="C3754" s="2" t="s">
        <v>9654</v>
      </c>
      <c r="D3754" s="2" t="s">
        <v>10055</v>
      </c>
      <c r="E3754" s="15">
        <v>8.5699999999999998E-2</v>
      </c>
      <c r="F3754" s="15">
        <v>0.14299999999999999</v>
      </c>
      <c r="G3754" s="15">
        <v>0.54879999999999995</v>
      </c>
      <c r="H3754" s="15">
        <v>5.3199999999999997E-2</v>
      </c>
      <c r="I3754" s="15">
        <v>3.5900000000000001E-2</v>
      </c>
      <c r="J3754" s="15">
        <v>1.4818941504178269</v>
      </c>
    </row>
    <row r="3755" spans="1:10" x14ac:dyDescent="0.25">
      <c r="A3755" s="2" t="s">
        <v>9655</v>
      </c>
      <c r="B3755" s="2" t="s">
        <v>7007</v>
      </c>
      <c r="C3755" s="2" t="s">
        <v>9656</v>
      </c>
      <c r="D3755" s="2" t="s">
        <v>10055</v>
      </c>
      <c r="E3755" s="15"/>
      <c r="F3755" s="15"/>
      <c r="G3755" s="15"/>
      <c r="H3755" s="15">
        <v>-3.49E-2</v>
      </c>
      <c r="I3755" s="15">
        <v>3.6299999999999999E-2</v>
      </c>
      <c r="J3755" s="15">
        <v>-0.9614325068870524</v>
      </c>
    </row>
    <row r="3756" spans="1:10" x14ac:dyDescent="0.25">
      <c r="A3756" s="2" t="s">
        <v>9657</v>
      </c>
      <c r="B3756" s="2" t="s">
        <v>7007</v>
      </c>
      <c r="C3756" s="2" t="s">
        <v>9658</v>
      </c>
      <c r="D3756" s="2" t="s">
        <v>10055</v>
      </c>
      <c r="E3756" s="15">
        <v>-0.1086</v>
      </c>
      <c r="F3756" s="15">
        <v>0.11</v>
      </c>
      <c r="G3756" s="15">
        <v>0.32369999999999999</v>
      </c>
      <c r="H3756" s="15">
        <v>8.1299999999999997E-2</v>
      </c>
      <c r="I3756" s="15">
        <v>3.78E-2</v>
      </c>
      <c r="J3756" s="15">
        <v>2.1507936507936511</v>
      </c>
    </row>
    <row r="3757" spans="1:10" x14ac:dyDescent="0.25">
      <c r="A3757" s="2" t="s">
        <v>9659</v>
      </c>
      <c r="B3757" s="2" t="s">
        <v>7007</v>
      </c>
      <c r="C3757" s="2" t="s">
        <v>9660</v>
      </c>
      <c r="D3757" s="2" t="s">
        <v>10055</v>
      </c>
      <c r="E3757" s="15"/>
      <c r="F3757" s="15"/>
      <c r="G3757" s="15"/>
      <c r="H3757" s="15">
        <v>-6.0000000000000001E-3</v>
      </c>
      <c r="I3757" s="15">
        <v>3.6600000000000001E-2</v>
      </c>
      <c r="J3757" s="15">
        <v>-0.16393442622950821</v>
      </c>
    </row>
    <row r="3758" spans="1:10" x14ac:dyDescent="0.25">
      <c r="A3758" s="2" t="s">
        <v>9661</v>
      </c>
      <c r="B3758" s="2" t="s">
        <v>7007</v>
      </c>
      <c r="C3758" s="2" t="s">
        <v>9662</v>
      </c>
      <c r="D3758" s="2" t="s">
        <v>10055</v>
      </c>
      <c r="E3758" s="15">
        <v>0.1249</v>
      </c>
      <c r="F3758" s="15">
        <v>0.13619999999999999</v>
      </c>
      <c r="G3758" s="15">
        <v>0.35909999999999997</v>
      </c>
      <c r="H3758" s="15">
        <v>6.8500000000000005E-2</v>
      </c>
      <c r="I3758" s="15">
        <v>3.8899999999999997E-2</v>
      </c>
      <c r="J3758" s="15">
        <v>1.760925449871465</v>
      </c>
    </row>
    <row r="3759" spans="1:10" x14ac:dyDescent="0.25">
      <c r="A3759" s="2" t="s">
        <v>9663</v>
      </c>
      <c r="B3759" s="2" t="s">
        <v>7007</v>
      </c>
      <c r="C3759" s="2" t="s">
        <v>9664</v>
      </c>
      <c r="D3759" s="2" t="s">
        <v>10055</v>
      </c>
      <c r="E3759" s="15"/>
      <c r="F3759" s="15"/>
      <c r="G3759" s="15"/>
      <c r="H3759" s="15">
        <v>-4.8899999999999999E-2</v>
      </c>
      <c r="I3759" s="15">
        <v>3.8300000000000001E-2</v>
      </c>
      <c r="J3759" s="15">
        <v>-1.2767624020887729</v>
      </c>
    </row>
    <row r="3760" spans="1:10" x14ac:dyDescent="0.25">
      <c r="A3760" s="2" t="s">
        <v>9665</v>
      </c>
      <c r="B3760" s="2" t="s">
        <v>7007</v>
      </c>
      <c r="C3760" s="2" t="s">
        <v>9666</v>
      </c>
      <c r="D3760" s="2" t="s">
        <v>10055</v>
      </c>
      <c r="E3760" s="15"/>
      <c r="F3760" s="15"/>
      <c r="G3760" s="15"/>
      <c r="H3760" s="15">
        <v>-3.8E-3</v>
      </c>
      <c r="I3760" s="15">
        <v>3.6600000000000001E-2</v>
      </c>
      <c r="J3760" s="15">
        <v>-0.1038251366120219</v>
      </c>
    </row>
    <row r="3761" spans="1:10" x14ac:dyDescent="0.25">
      <c r="A3761" s="2" t="s">
        <v>9667</v>
      </c>
      <c r="B3761" s="2" t="s">
        <v>7007</v>
      </c>
      <c r="C3761" s="2" t="s">
        <v>9668</v>
      </c>
      <c r="D3761" s="2" t="s">
        <v>10055</v>
      </c>
      <c r="E3761" s="15">
        <v>5.57E-2</v>
      </c>
      <c r="F3761" s="15">
        <v>0.1229</v>
      </c>
      <c r="G3761" s="15">
        <v>0.6502</v>
      </c>
      <c r="H3761" s="15">
        <v>7.3499999999999996E-2</v>
      </c>
      <c r="I3761" s="15">
        <v>0.04</v>
      </c>
      <c r="J3761" s="15">
        <v>1.8374999999999999</v>
      </c>
    </row>
    <row r="3762" spans="1:10" x14ac:dyDescent="0.25">
      <c r="A3762" s="2" t="s">
        <v>9669</v>
      </c>
      <c r="B3762" s="2" t="s">
        <v>7007</v>
      </c>
      <c r="C3762" s="2" t="s">
        <v>9670</v>
      </c>
      <c r="D3762" s="2" t="s">
        <v>10055</v>
      </c>
      <c r="E3762" s="15">
        <v>2.86E-2</v>
      </c>
      <c r="F3762" s="15">
        <v>0.16700000000000001</v>
      </c>
      <c r="G3762" s="15">
        <v>0.86399999999999999</v>
      </c>
      <c r="H3762" s="15">
        <v>3.7999999999999999E-2</v>
      </c>
      <c r="I3762" s="15">
        <v>3.4799999999999998E-2</v>
      </c>
      <c r="J3762" s="15">
        <v>1.0919540229885061</v>
      </c>
    </row>
    <row r="3763" spans="1:10" x14ac:dyDescent="0.25">
      <c r="A3763" s="2" t="s">
        <v>9671</v>
      </c>
      <c r="B3763" s="2" t="s">
        <v>7007</v>
      </c>
      <c r="C3763" s="2" t="s">
        <v>9672</v>
      </c>
      <c r="D3763" s="2" t="s">
        <v>10055</v>
      </c>
      <c r="E3763" s="15">
        <v>-4.1999999999999997E-3</v>
      </c>
      <c r="F3763" s="15">
        <v>0.1726</v>
      </c>
      <c r="G3763" s="15">
        <v>0.98060000000000003</v>
      </c>
      <c r="H3763" s="15">
        <v>3.2000000000000001E-2</v>
      </c>
      <c r="I3763" s="15">
        <v>3.9600000000000003E-2</v>
      </c>
      <c r="J3763" s="15">
        <v>0.80808080808080807</v>
      </c>
    </row>
    <row r="3764" spans="1:10" x14ac:dyDescent="0.25">
      <c r="A3764" s="2" t="s">
        <v>9673</v>
      </c>
      <c r="B3764" s="2" t="s">
        <v>7007</v>
      </c>
      <c r="C3764" s="2" t="s">
        <v>9674</v>
      </c>
      <c r="D3764" s="2" t="s">
        <v>10055</v>
      </c>
      <c r="E3764" s="15"/>
      <c r="F3764" s="15"/>
      <c r="G3764" s="15"/>
      <c r="H3764" s="15">
        <v>-3.7600000000000001E-2</v>
      </c>
      <c r="I3764" s="15">
        <v>3.27E-2</v>
      </c>
      <c r="J3764" s="15">
        <v>-1.1498470948012229</v>
      </c>
    </row>
    <row r="3765" spans="1:10" x14ac:dyDescent="0.25">
      <c r="A3765" s="2" t="s">
        <v>9675</v>
      </c>
      <c r="B3765" s="2" t="s">
        <v>7007</v>
      </c>
      <c r="C3765" s="2" t="s">
        <v>9676</v>
      </c>
      <c r="D3765" s="2" t="s">
        <v>10055</v>
      </c>
      <c r="E3765" s="15">
        <v>-0.20399999999999999</v>
      </c>
      <c r="F3765" s="15">
        <v>0.23089999999999999</v>
      </c>
      <c r="G3765" s="15">
        <v>0.37690000000000001</v>
      </c>
      <c r="H3765" s="15">
        <v>3.0599999999999999E-2</v>
      </c>
      <c r="I3765" s="15">
        <v>3.85E-2</v>
      </c>
      <c r="J3765" s="15">
        <v>0.79480519480519474</v>
      </c>
    </row>
    <row r="3766" spans="1:10" x14ac:dyDescent="0.25">
      <c r="A3766" s="2" t="s">
        <v>9677</v>
      </c>
      <c r="B3766" s="2" t="s">
        <v>7007</v>
      </c>
      <c r="C3766" s="2" t="s">
        <v>9678</v>
      </c>
      <c r="D3766" s="2" t="s">
        <v>10055</v>
      </c>
      <c r="E3766" s="15">
        <v>-2.23E-2</v>
      </c>
      <c r="F3766" s="15">
        <v>0.1003</v>
      </c>
      <c r="G3766" s="15">
        <v>0.82410000000000005</v>
      </c>
      <c r="H3766" s="15">
        <v>9.8599999999999993E-2</v>
      </c>
      <c r="I3766" s="15">
        <v>3.7999999999999999E-2</v>
      </c>
      <c r="J3766" s="15">
        <v>2.594736842105263</v>
      </c>
    </row>
    <row r="3767" spans="1:10" x14ac:dyDescent="0.25">
      <c r="A3767" s="2" t="s">
        <v>9679</v>
      </c>
      <c r="B3767" s="2" t="s">
        <v>7007</v>
      </c>
      <c r="C3767" s="2" t="s">
        <v>9680</v>
      </c>
      <c r="D3767" s="2" t="s">
        <v>10055</v>
      </c>
      <c r="E3767" s="15"/>
      <c r="F3767" s="15"/>
      <c r="G3767" s="15"/>
      <c r="H3767" s="15"/>
      <c r="I3767" s="15"/>
      <c r="J3767" s="15"/>
    </row>
    <row r="3768" spans="1:10" x14ac:dyDescent="0.25">
      <c r="A3768" s="2" t="s">
        <v>9681</v>
      </c>
      <c r="B3768" s="2" t="s">
        <v>7007</v>
      </c>
      <c r="C3768" s="2" t="s">
        <v>9682</v>
      </c>
      <c r="D3768" s="2" t="s">
        <v>10055</v>
      </c>
      <c r="E3768" s="15">
        <v>-0.12989999999999999</v>
      </c>
      <c r="F3768" s="15">
        <v>0.1215</v>
      </c>
      <c r="G3768" s="15">
        <v>0.2853</v>
      </c>
      <c r="H3768" s="15">
        <v>8.0199999999999994E-2</v>
      </c>
      <c r="I3768" s="15">
        <v>4.0300000000000002E-2</v>
      </c>
      <c r="J3768" s="15">
        <v>1.990074441687345</v>
      </c>
    </row>
    <row r="3769" spans="1:10" x14ac:dyDescent="0.25">
      <c r="A3769" s="2" t="s">
        <v>9683</v>
      </c>
      <c r="B3769" s="2" t="s">
        <v>7007</v>
      </c>
      <c r="C3769" s="2" t="s">
        <v>9684</v>
      </c>
      <c r="D3769" s="2" t="s">
        <v>10055</v>
      </c>
      <c r="E3769" s="15">
        <v>-0.11269999999999999</v>
      </c>
      <c r="F3769" s="15">
        <v>0.192</v>
      </c>
      <c r="G3769" s="15">
        <v>0.55710000000000004</v>
      </c>
      <c r="H3769" s="15">
        <v>2.76E-2</v>
      </c>
      <c r="I3769" s="15">
        <v>3.7499999999999999E-2</v>
      </c>
      <c r="J3769" s="15">
        <v>0.73599999999999999</v>
      </c>
    </row>
    <row r="3770" spans="1:10" x14ac:dyDescent="0.25">
      <c r="A3770" s="2" t="s">
        <v>9685</v>
      </c>
      <c r="B3770" s="2" t="s">
        <v>7007</v>
      </c>
      <c r="C3770" s="2" t="s">
        <v>9686</v>
      </c>
      <c r="D3770" s="2" t="s">
        <v>10055</v>
      </c>
      <c r="E3770" s="15">
        <v>-0.1983</v>
      </c>
      <c r="F3770" s="15">
        <v>0.17399999999999999</v>
      </c>
      <c r="G3770" s="15">
        <v>0.2545</v>
      </c>
      <c r="H3770" s="15">
        <v>3.8699999999999998E-2</v>
      </c>
      <c r="I3770" s="15">
        <v>3.7199999999999997E-2</v>
      </c>
      <c r="J3770" s="15">
        <v>1.040322580645161</v>
      </c>
    </row>
    <row r="3771" spans="1:10" x14ac:dyDescent="0.25">
      <c r="A3771" s="2" t="s">
        <v>9687</v>
      </c>
      <c r="B3771" s="2" t="s">
        <v>7007</v>
      </c>
      <c r="C3771" s="2" t="s">
        <v>9688</v>
      </c>
      <c r="D3771" s="2" t="s">
        <v>10055</v>
      </c>
      <c r="E3771" s="15">
        <v>-0.1482</v>
      </c>
      <c r="F3771" s="15">
        <v>0.10009999999999999</v>
      </c>
      <c r="G3771" s="15">
        <v>0.13850000000000001</v>
      </c>
      <c r="H3771" s="15">
        <v>0.1095</v>
      </c>
      <c r="I3771" s="15">
        <v>3.6299999999999999E-2</v>
      </c>
      <c r="J3771" s="15">
        <v>3.0165289256198351</v>
      </c>
    </row>
    <row r="3772" spans="1:10" x14ac:dyDescent="0.25">
      <c r="A3772" s="2" t="s">
        <v>9689</v>
      </c>
      <c r="B3772" s="2" t="s">
        <v>7007</v>
      </c>
      <c r="C3772" s="2" t="s">
        <v>9690</v>
      </c>
      <c r="D3772" s="2" t="s">
        <v>10055</v>
      </c>
      <c r="E3772" s="15"/>
      <c r="F3772" s="15"/>
      <c r="G3772" s="15"/>
      <c r="H3772" s="15">
        <v>-3.8600000000000002E-2</v>
      </c>
      <c r="I3772" s="15">
        <v>3.8199999999999998E-2</v>
      </c>
      <c r="J3772" s="15">
        <v>-1.010471204188482</v>
      </c>
    </row>
    <row r="3773" spans="1:10" x14ac:dyDescent="0.25">
      <c r="A3773" s="2" t="s">
        <v>9691</v>
      </c>
      <c r="B3773" s="2" t="s">
        <v>7007</v>
      </c>
      <c r="C3773" s="2" t="s">
        <v>9692</v>
      </c>
      <c r="D3773" s="2" t="s">
        <v>10055</v>
      </c>
      <c r="E3773" s="15"/>
      <c r="F3773" s="15"/>
      <c r="G3773" s="15"/>
      <c r="H3773" s="15">
        <v>-3.1399999999999997E-2</v>
      </c>
      <c r="I3773" s="15">
        <v>3.7600000000000001E-2</v>
      </c>
      <c r="J3773" s="15">
        <v>-0.83510638297872331</v>
      </c>
    </row>
    <row r="3774" spans="1:10" x14ac:dyDescent="0.25">
      <c r="A3774" s="2" t="s">
        <v>9693</v>
      </c>
      <c r="B3774" s="2" t="s">
        <v>7007</v>
      </c>
      <c r="C3774" s="2" t="s">
        <v>9694</v>
      </c>
      <c r="D3774" s="2" t="s">
        <v>10055</v>
      </c>
      <c r="E3774" s="15"/>
      <c r="F3774" s="15"/>
      <c r="G3774" s="15"/>
      <c r="H3774" s="15">
        <v>-3.5900000000000001E-2</v>
      </c>
      <c r="I3774" s="15">
        <v>3.8100000000000002E-2</v>
      </c>
      <c r="J3774" s="15">
        <v>-0.94225721784776906</v>
      </c>
    </row>
    <row r="3775" spans="1:10" x14ac:dyDescent="0.25">
      <c r="A3775" s="2" t="s">
        <v>9695</v>
      </c>
      <c r="B3775" s="2" t="s">
        <v>7007</v>
      </c>
      <c r="C3775" s="2" t="s">
        <v>9696</v>
      </c>
      <c r="D3775" s="2" t="s">
        <v>10055</v>
      </c>
      <c r="E3775" s="15"/>
      <c r="F3775" s="15"/>
      <c r="G3775" s="15"/>
      <c r="H3775" s="15">
        <v>-6.8999999999999999E-3</v>
      </c>
      <c r="I3775" s="15">
        <v>3.5700000000000003E-2</v>
      </c>
      <c r="J3775" s="15">
        <v>-0.1932773109243697</v>
      </c>
    </row>
    <row r="3776" spans="1:10" x14ac:dyDescent="0.25">
      <c r="A3776" s="2" t="s">
        <v>9697</v>
      </c>
      <c r="B3776" s="2" t="s">
        <v>7007</v>
      </c>
      <c r="C3776" s="2" t="s">
        <v>9698</v>
      </c>
      <c r="D3776" s="2" t="s">
        <v>10055</v>
      </c>
      <c r="E3776" s="15"/>
      <c r="F3776" s="15"/>
      <c r="G3776" s="15"/>
      <c r="H3776" s="15">
        <v>-1.2999999999999999E-3</v>
      </c>
      <c r="I3776" s="15">
        <v>3.6299999999999999E-2</v>
      </c>
      <c r="J3776" s="15">
        <v>-3.5812672176308541E-2</v>
      </c>
    </row>
    <row r="3777" spans="1:10" x14ac:dyDescent="0.25">
      <c r="A3777" s="2" t="s">
        <v>9699</v>
      </c>
      <c r="B3777" s="2" t="s">
        <v>7007</v>
      </c>
      <c r="C3777" s="2" t="s">
        <v>9700</v>
      </c>
      <c r="D3777" s="2" t="s">
        <v>10055</v>
      </c>
      <c r="E3777" s="15">
        <v>-0.1837</v>
      </c>
      <c r="F3777" s="15">
        <v>0.14369999999999999</v>
      </c>
      <c r="G3777" s="15">
        <v>0.2011</v>
      </c>
      <c r="H3777" s="15">
        <v>6.5100000000000005E-2</v>
      </c>
      <c r="I3777" s="15">
        <v>3.8399999999999997E-2</v>
      </c>
      <c r="J3777" s="15">
        <v>1.6953125</v>
      </c>
    </row>
    <row r="3778" spans="1:10" x14ac:dyDescent="0.25">
      <c r="A3778" s="2" t="s">
        <v>9701</v>
      </c>
      <c r="B3778" s="2" t="s">
        <v>7007</v>
      </c>
      <c r="C3778" s="2" t="s">
        <v>9702</v>
      </c>
      <c r="D3778" s="2" t="s">
        <v>10055</v>
      </c>
      <c r="E3778" s="15">
        <v>-0.15989999999999999</v>
      </c>
      <c r="F3778" s="15">
        <v>0.42870000000000003</v>
      </c>
      <c r="G3778" s="15">
        <v>0.70920000000000005</v>
      </c>
      <c r="H3778" s="15">
        <v>1.2500000000000001E-2</v>
      </c>
      <c r="I3778" s="15">
        <v>3.8399999999999997E-2</v>
      </c>
      <c r="J3778" s="15">
        <v>0.32552083333333343</v>
      </c>
    </row>
    <row r="3779" spans="1:10" x14ac:dyDescent="0.25">
      <c r="A3779" s="2" t="s">
        <v>9703</v>
      </c>
      <c r="B3779" s="2" t="s">
        <v>7007</v>
      </c>
      <c r="C3779" s="2" t="s">
        <v>9704</v>
      </c>
      <c r="D3779" s="2" t="s">
        <v>10055</v>
      </c>
      <c r="E3779" s="15"/>
      <c r="F3779" s="15"/>
      <c r="G3779" s="15"/>
      <c r="H3779" s="15">
        <v>-4.7000000000000002E-3</v>
      </c>
      <c r="I3779" s="15">
        <v>3.5000000000000003E-2</v>
      </c>
      <c r="J3779" s="15">
        <v>-0.13428571428571431</v>
      </c>
    </row>
    <row r="3780" spans="1:10" x14ac:dyDescent="0.25">
      <c r="A3780" s="2" t="s">
        <v>9705</v>
      </c>
      <c r="B3780" s="2" t="s">
        <v>7007</v>
      </c>
      <c r="C3780" s="2" t="s">
        <v>9706</v>
      </c>
      <c r="D3780" s="2" t="s">
        <v>10055</v>
      </c>
      <c r="E3780" s="15">
        <v>-4.2599999999999999E-2</v>
      </c>
      <c r="F3780" s="15">
        <v>0.11360000000000001</v>
      </c>
      <c r="G3780" s="15">
        <v>0.7077</v>
      </c>
      <c r="H3780" s="15">
        <v>9.0399999999999994E-2</v>
      </c>
      <c r="I3780" s="15">
        <v>4.02E-2</v>
      </c>
      <c r="J3780" s="15">
        <v>2.2487562189054731</v>
      </c>
    </row>
    <row r="3781" spans="1:10" x14ac:dyDescent="0.25">
      <c r="A3781" s="2" t="s">
        <v>9707</v>
      </c>
      <c r="B3781" s="2" t="s">
        <v>7007</v>
      </c>
      <c r="C3781" s="2" t="s">
        <v>9708</v>
      </c>
      <c r="D3781" s="2" t="s">
        <v>10055</v>
      </c>
      <c r="E3781" s="15">
        <v>0.19980000000000001</v>
      </c>
      <c r="F3781" s="15">
        <v>0.1336</v>
      </c>
      <c r="G3781" s="15">
        <v>0.13469999999999999</v>
      </c>
      <c r="H3781" s="15">
        <v>6.5100000000000005E-2</v>
      </c>
      <c r="I3781" s="15">
        <v>3.5900000000000001E-2</v>
      </c>
      <c r="J3781" s="15">
        <v>1.8133704735376051</v>
      </c>
    </row>
    <row r="3782" spans="1:10" x14ac:dyDescent="0.25">
      <c r="A3782" s="2" t="s">
        <v>9709</v>
      </c>
      <c r="B3782" s="2" t="s">
        <v>7007</v>
      </c>
      <c r="C3782" s="2" t="s">
        <v>9710</v>
      </c>
      <c r="D3782" s="2" t="s">
        <v>10055</v>
      </c>
      <c r="E3782" s="15">
        <v>-0.3851</v>
      </c>
      <c r="F3782" s="15">
        <v>0.24340000000000001</v>
      </c>
      <c r="G3782" s="15">
        <v>0.11360000000000001</v>
      </c>
      <c r="H3782" s="15">
        <v>3.2000000000000001E-2</v>
      </c>
      <c r="I3782" s="15">
        <v>3.1899999999999998E-2</v>
      </c>
      <c r="J3782" s="15">
        <v>1.0031347962382451</v>
      </c>
    </row>
    <row r="3783" spans="1:10" x14ac:dyDescent="0.25">
      <c r="A3783" s="2" t="s">
        <v>9711</v>
      </c>
      <c r="B3783" s="2" t="s">
        <v>7007</v>
      </c>
      <c r="C3783" s="2" t="s">
        <v>9712</v>
      </c>
      <c r="D3783" s="2" t="s">
        <v>10055</v>
      </c>
      <c r="E3783" s="15"/>
      <c r="F3783" s="15"/>
      <c r="G3783" s="15"/>
      <c r="H3783" s="15">
        <v>-8.5900000000000004E-2</v>
      </c>
      <c r="I3783" s="15">
        <v>3.6400000000000002E-2</v>
      </c>
      <c r="J3783" s="15">
        <v>-2.3598901098901099</v>
      </c>
    </row>
    <row r="3784" spans="1:10" x14ac:dyDescent="0.25">
      <c r="A3784" s="2" t="s">
        <v>9713</v>
      </c>
      <c r="B3784" s="2" t="s">
        <v>7007</v>
      </c>
      <c r="C3784" s="2" t="s">
        <v>9714</v>
      </c>
      <c r="D3784" s="2" t="s">
        <v>10055</v>
      </c>
      <c r="E3784" s="15">
        <v>-0.34849999999999998</v>
      </c>
      <c r="F3784" s="15">
        <v>0.36699999999999999</v>
      </c>
      <c r="G3784" s="15">
        <v>0.3422</v>
      </c>
      <c r="H3784" s="15">
        <v>2.4299999999999999E-2</v>
      </c>
      <c r="I3784" s="15">
        <v>3.7199999999999997E-2</v>
      </c>
      <c r="J3784" s="15">
        <v>0.65322580645161288</v>
      </c>
    </row>
    <row r="3785" spans="1:10" x14ac:dyDescent="0.25">
      <c r="A3785" s="2" t="s">
        <v>9715</v>
      </c>
      <c r="B3785" s="2" t="s">
        <v>7007</v>
      </c>
      <c r="C3785" s="2" t="s">
        <v>9716</v>
      </c>
      <c r="D3785" s="2" t="s">
        <v>10055</v>
      </c>
      <c r="E3785" s="15">
        <v>-0.2477</v>
      </c>
      <c r="F3785" s="15">
        <v>0.15190000000000001</v>
      </c>
      <c r="G3785" s="15">
        <v>0.1031</v>
      </c>
      <c r="H3785" s="15">
        <v>5.62E-2</v>
      </c>
      <c r="I3785" s="15">
        <v>3.9100000000000003E-2</v>
      </c>
      <c r="J3785" s="15">
        <v>1.4373401534526851</v>
      </c>
    </row>
    <row r="3786" spans="1:10" x14ac:dyDescent="0.25">
      <c r="A3786" s="2" t="s">
        <v>9717</v>
      </c>
      <c r="B3786" s="2" t="s">
        <v>7007</v>
      </c>
      <c r="C3786" s="2" t="s">
        <v>9718</v>
      </c>
      <c r="D3786" s="2" t="s">
        <v>10055</v>
      </c>
      <c r="E3786" s="15">
        <v>-6.5699999999999995E-2</v>
      </c>
      <c r="F3786" s="15">
        <v>0.216</v>
      </c>
      <c r="G3786" s="15">
        <v>0.7611</v>
      </c>
      <c r="H3786" s="15">
        <v>2.46E-2</v>
      </c>
      <c r="I3786" s="15">
        <v>3.7199999999999997E-2</v>
      </c>
      <c r="J3786" s="15">
        <v>0.66129032258064524</v>
      </c>
    </row>
    <row r="3787" spans="1:10" x14ac:dyDescent="0.25">
      <c r="A3787" s="2" t="s">
        <v>9719</v>
      </c>
      <c r="B3787" s="2" t="s">
        <v>7007</v>
      </c>
      <c r="C3787" s="2" t="s">
        <v>9720</v>
      </c>
      <c r="D3787" s="2" t="s">
        <v>10055</v>
      </c>
      <c r="E3787" s="15">
        <v>0.1729</v>
      </c>
      <c r="F3787" s="15">
        <v>0.38519999999999999</v>
      </c>
      <c r="G3787" s="15">
        <v>0.65359999999999996</v>
      </c>
      <c r="H3787" s="15">
        <v>1.6199999999999999E-2</v>
      </c>
      <c r="I3787" s="15">
        <v>3.4200000000000001E-2</v>
      </c>
      <c r="J3787" s="15">
        <v>0.47368421052631582</v>
      </c>
    </row>
    <row r="3788" spans="1:10" x14ac:dyDescent="0.25">
      <c r="A3788" s="2" t="s">
        <v>9721</v>
      </c>
      <c r="B3788" s="2" t="s">
        <v>7007</v>
      </c>
      <c r="C3788" s="2" t="s">
        <v>9722</v>
      </c>
      <c r="D3788" s="2" t="s">
        <v>10055</v>
      </c>
      <c r="E3788" s="15">
        <v>-0.3216</v>
      </c>
      <c r="F3788" s="15">
        <v>0.1956</v>
      </c>
      <c r="G3788" s="15">
        <v>0.1002</v>
      </c>
      <c r="H3788" s="15">
        <v>4.5199999999999997E-2</v>
      </c>
      <c r="I3788" s="15">
        <v>3.8699999999999998E-2</v>
      </c>
      <c r="J3788" s="15">
        <v>1.1679586563307489</v>
      </c>
    </row>
    <row r="3789" spans="1:10" x14ac:dyDescent="0.25">
      <c r="A3789" s="2" t="s">
        <v>9723</v>
      </c>
      <c r="B3789" s="2" t="s">
        <v>7007</v>
      </c>
      <c r="C3789" s="2" t="s">
        <v>9724</v>
      </c>
      <c r="D3789" s="2" t="s">
        <v>10055</v>
      </c>
      <c r="E3789" s="15"/>
      <c r="F3789" s="15"/>
      <c r="G3789" s="15"/>
      <c r="H3789" s="15">
        <v>-1.4E-2</v>
      </c>
      <c r="I3789" s="15">
        <v>3.95E-2</v>
      </c>
      <c r="J3789" s="15">
        <v>-0.35443037974683539</v>
      </c>
    </row>
    <row r="3790" spans="1:10" x14ac:dyDescent="0.25">
      <c r="A3790" s="2" t="s">
        <v>9725</v>
      </c>
      <c r="B3790" s="2" t="s">
        <v>7007</v>
      </c>
      <c r="C3790" s="2" t="s">
        <v>9726</v>
      </c>
      <c r="D3790" s="2" t="s">
        <v>10055</v>
      </c>
      <c r="E3790" s="15">
        <v>0.1822</v>
      </c>
      <c r="F3790" s="15">
        <v>0.1135</v>
      </c>
      <c r="G3790" s="15">
        <v>0.10829999999999999</v>
      </c>
      <c r="H3790" s="15">
        <v>9.9699999999999997E-2</v>
      </c>
      <c r="I3790" s="15">
        <v>3.9899999999999998E-2</v>
      </c>
      <c r="J3790" s="15">
        <v>2.4987468671679198</v>
      </c>
    </row>
    <row r="3791" spans="1:10" x14ac:dyDescent="0.25">
      <c r="A3791" s="2" t="s">
        <v>9727</v>
      </c>
      <c r="B3791" s="2" t="s">
        <v>7007</v>
      </c>
      <c r="C3791" s="2" t="s">
        <v>9728</v>
      </c>
      <c r="D3791" s="2" t="s">
        <v>10055</v>
      </c>
      <c r="E3791" s="15">
        <v>-0.3286</v>
      </c>
      <c r="F3791" s="15">
        <v>0.51559999999999995</v>
      </c>
      <c r="G3791" s="15">
        <v>0.52390000000000003</v>
      </c>
      <c r="H3791" s="15">
        <v>1.5900000000000001E-2</v>
      </c>
      <c r="I3791" s="15">
        <v>3.8300000000000001E-2</v>
      </c>
      <c r="J3791" s="15">
        <v>0.41514360313315929</v>
      </c>
    </row>
    <row r="3792" spans="1:10" x14ac:dyDescent="0.25">
      <c r="A3792" s="2" t="s">
        <v>9729</v>
      </c>
      <c r="B3792" s="2" t="s">
        <v>7007</v>
      </c>
      <c r="C3792" s="2" t="s">
        <v>9730</v>
      </c>
      <c r="D3792" s="2" t="s">
        <v>10055</v>
      </c>
      <c r="E3792" s="15">
        <v>-0.34300000000000003</v>
      </c>
      <c r="F3792" s="15">
        <v>0.40460000000000002</v>
      </c>
      <c r="G3792" s="15">
        <v>0.39660000000000001</v>
      </c>
      <c r="H3792" s="15">
        <v>2.0799999999999999E-2</v>
      </c>
      <c r="I3792" s="15">
        <v>3.49E-2</v>
      </c>
      <c r="J3792" s="15">
        <v>0.59598853868194834</v>
      </c>
    </row>
    <row r="3793" spans="1:10" x14ac:dyDescent="0.25">
      <c r="A3793" s="2" t="s">
        <v>9731</v>
      </c>
      <c r="B3793" s="2" t="s">
        <v>7007</v>
      </c>
      <c r="C3793" s="2" t="s">
        <v>9732</v>
      </c>
      <c r="D3793" s="2" t="s">
        <v>10055</v>
      </c>
      <c r="E3793" s="15">
        <v>-0.2397</v>
      </c>
      <c r="F3793" s="15">
        <v>0.1696</v>
      </c>
      <c r="G3793" s="15">
        <v>0.15759999999999999</v>
      </c>
      <c r="H3793" s="15">
        <v>4.9000000000000002E-2</v>
      </c>
      <c r="I3793" s="15">
        <v>3.5499999999999997E-2</v>
      </c>
      <c r="J3793" s="15">
        <v>1.380281690140845</v>
      </c>
    </row>
    <row r="3794" spans="1:10" x14ac:dyDescent="0.25">
      <c r="A3794" s="2" t="s">
        <v>9733</v>
      </c>
      <c r="B3794" s="2" t="s">
        <v>7007</v>
      </c>
      <c r="C3794" s="2" t="s">
        <v>9734</v>
      </c>
      <c r="D3794" s="2" t="s">
        <v>10055</v>
      </c>
      <c r="E3794" s="15"/>
      <c r="F3794" s="15"/>
      <c r="G3794" s="15"/>
      <c r="H3794" s="15"/>
      <c r="I3794" s="15"/>
      <c r="J3794" s="15"/>
    </row>
    <row r="3795" spans="1:10" x14ac:dyDescent="0.25">
      <c r="A3795" s="2" t="s">
        <v>9735</v>
      </c>
      <c r="B3795" s="2" t="s">
        <v>7007</v>
      </c>
      <c r="C3795" s="2" t="s">
        <v>9736</v>
      </c>
      <c r="D3795" s="2" t="s">
        <v>10055</v>
      </c>
      <c r="E3795" s="15">
        <v>2.0000000000000001E-4</v>
      </c>
      <c r="F3795" s="15">
        <v>0.12770000000000001</v>
      </c>
      <c r="G3795" s="15">
        <v>0.99850000000000005</v>
      </c>
      <c r="H3795" s="15">
        <v>6.5299999999999997E-2</v>
      </c>
      <c r="I3795" s="15">
        <v>3.7600000000000001E-2</v>
      </c>
      <c r="J3795" s="15">
        <v>1.736702127659574</v>
      </c>
    </row>
    <row r="3796" spans="1:10" x14ac:dyDescent="0.25">
      <c r="A3796" s="2" t="s">
        <v>9737</v>
      </c>
      <c r="B3796" s="2" t="s">
        <v>7007</v>
      </c>
      <c r="C3796" s="2" t="s">
        <v>9738</v>
      </c>
      <c r="D3796" s="2" t="s">
        <v>10055</v>
      </c>
      <c r="E3796" s="15">
        <v>-7.2400000000000006E-2</v>
      </c>
      <c r="F3796" s="15">
        <v>0.14199999999999999</v>
      </c>
      <c r="G3796" s="15">
        <v>0.61</v>
      </c>
      <c r="H3796" s="15">
        <v>5.67E-2</v>
      </c>
      <c r="I3796" s="15">
        <v>3.5799999999999998E-2</v>
      </c>
      <c r="J3796" s="15">
        <v>1.5837988826815641</v>
      </c>
    </row>
    <row r="3797" spans="1:10" x14ac:dyDescent="0.25">
      <c r="A3797" s="2" t="s">
        <v>9739</v>
      </c>
      <c r="B3797" s="2" t="s">
        <v>7007</v>
      </c>
      <c r="C3797" s="2" t="s">
        <v>9740</v>
      </c>
      <c r="D3797" s="2" t="s">
        <v>10055</v>
      </c>
      <c r="E3797" s="15">
        <v>-0.52569999999999995</v>
      </c>
      <c r="F3797" s="15">
        <v>1.5406</v>
      </c>
      <c r="G3797" s="15">
        <v>0.7329</v>
      </c>
      <c r="H3797" s="15">
        <v>1.46E-2</v>
      </c>
      <c r="I3797" s="15">
        <v>3.78E-2</v>
      </c>
      <c r="J3797" s="15">
        <v>0.38624338624338622</v>
      </c>
    </row>
    <row r="3798" spans="1:10" x14ac:dyDescent="0.25">
      <c r="A3798" s="2" t="s">
        <v>9741</v>
      </c>
      <c r="B3798" s="2" t="s">
        <v>7007</v>
      </c>
      <c r="C3798" s="2" t="s">
        <v>9742</v>
      </c>
      <c r="D3798" s="2" t="s">
        <v>10055</v>
      </c>
      <c r="E3798" s="15"/>
      <c r="F3798" s="15"/>
      <c r="G3798" s="15"/>
      <c r="H3798" s="15"/>
      <c r="I3798" s="15"/>
      <c r="J3798" s="15"/>
    </row>
    <row r="3799" spans="1:10" x14ac:dyDescent="0.25">
      <c r="A3799" s="2" t="s">
        <v>9743</v>
      </c>
      <c r="B3799" s="2" t="s">
        <v>7007</v>
      </c>
      <c r="C3799" s="2" t="s">
        <v>9744</v>
      </c>
      <c r="D3799" s="2" t="s">
        <v>10055</v>
      </c>
      <c r="E3799" s="15"/>
      <c r="F3799" s="15"/>
      <c r="G3799" s="15"/>
      <c r="H3799" s="15"/>
      <c r="I3799" s="15"/>
      <c r="J3799" s="15"/>
    </row>
    <row r="3800" spans="1:10" x14ac:dyDescent="0.25">
      <c r="A3800" s="2" t="s">
        <v>9745</v>
      </c>
      <c r="B3800" s="2" t="s">
        <v>7007</v>
      </c>
      <c r="C3800" s="2" t="s">
        <v>9746</v>
      </c>
      <c r="D3800" s="2" t="s">
        <v>10055</v>
      </c>
      <c r="E3800" s="15">
        <v>0.19070000000000001</v>
      </c>
      <c r="F3800" s="15">
        <v>0.12659999999999999</v>
      </c>
      <c r="G3800" s="15">
        <v>0.13189999999999999</v>
      </c>
      <c r="H3800" s="15">
        <v>8.2500000000000004E-2</v>
      </c>
      <c r="I3800" s="15">
        <v>3.61E-2</v>
      </c>
      <c r="J3800" s="15">
        <v>2.2853185595567869</v>
      </c>
    </row>
    <row r="3801" spans="1:10" x14ac:dyDescent="0.25">
      <c r="A3801" s="2" t="s">
        <v>9747</v>
      </c>
      <c r="B3801" s="2" t="s">
        <v>7007</v>
      </c>
      <c r="C3801" s="2" t="s">
        <v>9748</v>
      </c>
      <c r="D3801" s="2" t="s">
        <v>10055</v>
      </c>
      <c r="E3801" s="15">
        <v>-0.50170000000000003</v>
      </c>
      <c r="F3801" s="15">
        <v>0.41920000000000002</v>
      </c>
      <c r="G3801" s="15">
        <v>0.23139999999999999</v>
      </c>
      <c r="H3801" s="15">
        <v>2.9700000000000001E-2</v>
      </c>
      <c r="I3801" s="15">
        <v>3.9600000000000003E-2</v>
      </c>
      <c r="J3801" s="15">
        <v>0.75</v>
      </c>
    </row>
    <row r="3802" spans="1:10" x14ac:dyDescent="0.25">
      <c r="A3802" s="2" t="s">
        <v>9749</v>
      </c>
      <c r="B3802" s="2" t="s">
        <v>7007</v>
      </c>
      <c r="C3802" s="2" t="s">
        <v>9750</v>
      </c>
      <c r="D3802" s="2" t="s">
        <v>10055</v>
      </c>
      <c r="E3802" s="15"/>
      <c r="F3802" s="15"/>
      <c r="G3802" s="15"/>
      <c r="H3802" s="15">
        <v>-1.15E-2</v>
      </c>
      <c r="I3802" s="15">
        <v>3.6400000000000002E-2</v>
      </c>
      <c r="J3802" s="15">
        <v>-0.31593406593406592</v>
      </c>
    </row>
    <row r="3803" spans="1:10" x14ac:dyDescent="0.25">
      <c r="A3803" s="2" t="s">
        <v>9751</v>
      </c>
      <c r="B3803" s="2" t="s">
        <v>7007</v>
      </c>
      <c r="C3803" s="2" t="s">
        <v>9752</v>
      </c>
      <c r="D3803" s="2" t="s">
        <v>10055</v>
      </c>
      <c r="E3803" s="15"/>
      <c r="F3803" s="15"/>
      <c r="G3803" s="15"/>
      <c r="H3803" s="15"/>
      <c r="I3803" s="15"/>
      <c r="J3803" s="15"/>
    </row>
    <row r="3804" spans="1:10" x14ac:dyDescent="0.25">
      <c r="A3804" s="2" t="s">
        <v>9753</v>
      </c>
      <c r="B3804" s="2" t="s">
        <v>7007</v>
      </c>
      <c r="C3804" s="2" t="s">
        <v>9754</v>
      </c>
      <c r="D3804" s="2" t="s">
        <v>10055</v>
      </c>
      <c r="E3804" s="15">
        <v>-4.9700000000000001E-2</v>
      </c>
      <c r="F3804" s="15">
        <v>0.15529999999999999</v>
      </c>
      <c r="G3804" s="15">
        <v>0.74880000000000002</v>
      </c>
      <c r="H3804" s="15">
        <v>4.2599999999999999E-2</v>
      </c>
      <c r="I3804" s="15">
        <v>4.0099999999999997E-2</v>
      </c>
      <c r="J3804" s="15">
        <v>1.062344139650873</v>
      </c>
    </row>
    <row r="3805" spans="1:10" x14ac:dyDescent="0.25">
      <c r="A3805" s="2" t="s">
        <v>9755</v>
      </c>
      <c r="B3805" s="2" t="s">
        <v>7007</v>
      </c>
      <c r="C3805" s="2" t="s">
        <v>9756</v>
      </c>
      <c r="D3805" s="2" t="s">
        <v>10055</v>
      </c>
      <c r="E3805" s="15">
        <v>3.2099999999999997E-2</v>
      </c>
      <c r="F3805" s="15">
        <v>0.13070000000000001</v>
      </c>
      <c r="G3805" s="15">
        <v>0.80579999999999996</v>
      </c>
      <c r="H3805" s="15">
        <v>7.1800000000000003E-2</v>
      </c>
      <c r="I3805" s="15">
        <v>3.5900000000000001E-2</v>
      </c>
      <c r="J3805" s="15">
        <v>2</v>
      </c>
    </row>
    <row r="3806" spans="1:10" x14ac:dyDescent="0.25">
      <c r="A3806" s="2" t="s">
        <v>9757</v>
      </c>
      <c r="B3806" s="2" t="s">
        <v>7007</v>
      </c>
      <c r="C3806" s="2" t="s">
        <v>9758</v>
      </c>
      <c r="D3806" s="2" t="s">
        <v>10055</v>
      </c>
      <c r="E3806" s="15">
        <v>-7.1000000000000004E-3</v>
      </c>
      <c r="F3806" s="15">
        <v>0.1381</v>
      </c>
      <c r="G3806" s="15">
        <v>0.95899999999999996</v>
      </c>
      <c r="H3806" s="15">
        <v>7.0000000000000007E-2</v>
      </c>
      <c r="I3806" s="15">
        <v>4.1000000000000002E-2</v>
      </c>
      <c r="J3806" s="15">
        <v>1.7073170731707319</v>
      </c>
    </row>
    <row r="3807" spans="1:10" x14ac:dyDescent="0.25">
      <c r="A3807" s="2" t="s">
        <v>9759</v>
      </c>
      <c r="B3807" s="2" t="s">
        <v>7007</v>
      </c>
      <c r="C3807" s="2" t="s">
        <v>9760</v>
      </c>
      <c r="D3807" s="2" t="s">
        <v>10055</v>
      </c>
      <c r="E3807" s="15"/>
      <c r="F3807" s="15"/>
      <c r="G3807" s="15"/>
      <c r="H3807" s="15">
        <v>-6.6000000000000003E-2</v>
      </c>
      <c r="I3807" s="15">
        <v>3.3500000000000002E-2</v>
      </c>
      <c r="J3807" s="15">
        <v>-1.970149253731343</v>
      </c>
    </row>
    <row r="3808" spans="1:10" x14ac:dyDescent="0.25">
      <c r="A3808" s="2" t="s">
        <v>9761</v>
      </c>
      <c r="B3808" s="2" t="s">
        <v>7007</v>
      </c>
      <c r="C3808" s="2" t="s">
        <v>9762</v>
      </c>
      <c r="D3808" s="2" t="s">
        <v>10055</v>
      </c>
      <c r="E3808" s="15"/>
      <c r="F3808" s="15"/>
      <c r="G3808" s="15"/>
      <c r="H3808" s="15">
        <v>-2.9700000000000001E-2</v>
      </c>
      <c r="I3808" s="15">
        <v>3.7100000000000001E-2</v>
      </c>
      <c r="J3808" s="15">
        <v>-0.80053908355795145</v>
      </c>
    </row>
    <row r="3809" spans="1:10" x14ac:dyDescent="0.25">
      <c r="A3809" s="2" t="s">
        <v>9763</v>
      </c>
      <c r="B3809" s="2" t="s">
        <v>7007</v>
      </c>
      <c r="C3809" s="2" t="s">
        <v>9764</v>
      </c>
      <c r="D3809" s="2" t="s">
        <v>10055</v>
      </c>
      <c r="E3809" s="15"/>
      <c r="F3809" s="15"/>
      <c r="G3809" s="15"/>
      <c r="H3809" s="15">
        <v>-1.67E-2</v>
      </c>
      <c r="I3809" s="15">
        <v>3.5799999999999998E-2</v>
      </c>
      <c r="J3809" s="15">
        <v>-0.46648044692737428</v>
      </c>
    </row>
    <row r="3810" spans="1:10" x14ac:dyDescent="0.25">
      <c r="A3810" s="2" t="s">
        <v>9765</v>
      </c>
      <c r="B3810" s="2" t="s">
        <v>7007</v>
      </c>
      <c r="C3810" s="2" t="s">
        <v>9766</v>
      </c>
      <c r="D3810" s="2" t="s">
        <v>10055</v>
      </c>
      <c r="E3810" s="15"/>
      <c r="F3810" s="15"/>
      <c r="G3810" s="15"/>
      <c r="H3810" s="15">
        <v>-1.35E-2</v>
      </c>
      <c r="I3810" s="15">
        <v>3.6600000000000001E-2</v>
      </c>
      <c r="J3810" s="15">
        <v>-0.36885245901639341</v>
      </c>
    </row>
    <row r="3811" spans="1:10" x14ac:dyDescent="0.25">
      <c r="A3811" s="2" t="s">
        <v>9767</v>
      </c>
      <c r="B3811" s="2" t="s">
        <v>7007</v>
      </c>
      <c r="C3811" s="2" t="s">
        <v>9768</v>
      </c>
      <c r="D3811" s="2" t="s">
        <v>10055</v>
      </c>
      <c r="E3811" s="15">
        <v>-0.2742</v>
      </c>
      <c r="F3811" s="15">
        <v>0.193</v>
      </c>
      <c r="G3811" s="15">
        <v>0.15540000000000001</v>
      </c>
      <c r="H3811" s="15">
        <v>4.5499999999999999E-2</v>
      </c>
      <c r="I3811" s="15">
        <v>3.7699999999999997E-2</v>
      </c>
      <c r="J3811" s="15">
        <v>1.2068965517241379</v>
      </c>
    </row>
    <row r="3812" spans="1:10" x14ac:dyDescent="0.25">
      <c r="A3812" s="2" t="s">
        <v>9769</v>
      </c>
      <c r="B3812" s="2" t="s">
        <v>7007</v>
      </c>
      <c r="C3812" s="2" t="s">
        <v>9770</v>
      </c>
      <c r="D3812" s="2" t="s">
        <v>10055</v>
      </c>
      <c r="E3812" s="15">
        <v>0.1792</v>
      </c>
      <c r="F3812" s="15">
        <v>0.1676</v>
      </c>
      <c r="G3812" s="15">
        <v>0.2848</v>
      </c>
      <c r="H3812" s="15">
        <v>4.5900000000000003E-2</v>
      </c>
      <c r="I3812" s="15">
        <v>3.5099999999999999E-2</v>
      </c>
      <c r="J3812" s="15">
        <v>1.3076923076923079</v>
      </c>
    </row>
    <row r="3813" spans="1:10" x14ac:dyDescent="0.25">
      <c r="A3813" s="2" t="s">
        <v>9771</v>
      </c>
      <c r="B3813" s="2" t="s">
        <v>7007</v>
      </c>
      <c r="C3813" s="2" t="s">
        <v>9772</v>
      </c>
      <c r="D3813" s="2" t="s">
        <v>10055</v>
      </c>
      <c r="E3813" s="15">
        <v>8.7300000000000003E-2</v>
      </c>
      <c r="F3813" s="15">
        <v>0.14899999999999999</v>
      </c>
      <c r="G3813" s="15">
        <v>0.55779999999999996</v>
      </c>
      <c r="H3813" s="15">
        <v>5.3699999999999998E-2</v>
      </c>
      <c r="I3813" s="15">
        <v>3.56E-2</v>
      </c>
      <c r="J3813" s="15">
        <v>1.508426966292135</v>
      </c>
    </row>
    <row r="3814" spans="1:10" x14ac:dyDescent="0.25">
      <c r="A3814" s="2" t="s">
        <v>9773</v>
      </c>
      <c r="B3814" s="2" t="s">
        <v>7007</v>
      </c>
      <c r="C3814" s="2" t="s">
        <v>9774</v>
      </c>
      <c r="D3814" s="2" t="s">
        <v>10055</v>
      </c>
      <c r="E3814" s="15">
        <v>0.1236</v>
      </c>
      <c r="F3814" s="15">
        <v>0.16289999999999999</v>
      </c>
      <c r="G3814" s="15">
        <v>0.44779999999999998</v>
      </c>
      <c r="H3814" s="15">
        <v>4.6699999999999998E-2</v>
      </c>
      <c r="I3814" s="15">
        <v>3.6700000000000003E-2</v>
      </c>
      <c r="J3814" s="15">
        <v>1.2724795640326969</v>
      </c>
    </row>
    <row r="3815" spans="1:10" x14ac:dyDescent="0.25">
      <c r="A3815" s="2" t="s">
        <v>9775</v>
      </c>
      <c r="B3815" s="2" t="s">
        <v>7007</v>
      </c>
      <c r="C3815" s="2" t="s">
        <v>9776</v>
      </c>
      <c r="D3815" s="2" t="s">
        <v>10055</v>
      </c>
      <c r="E3815" s="15"/>
      <c r="F3815" s="15"/>
      <c r="G3815" s="15"/>
      <c r="H3815" s="15">
        <v>-3.6299999999999999E-2</v>
      </c>
      <c r="I3815" s="15">
        <v>3.6299999999999999E-2</v>
      </c>
      <c r="J3815" s="15">
        <v>-1</v>
      </c>
    </row>
    <row r="3816" spans="1:10" x14ac:dyDescent="0.25">
      <c r="A3816" s="2" t="s">
        <v>9777</v>
      </c>
      <c r="B3816" s="2" t="s">
        <v>7007</v>
      </c>
      <c r="C3816" s="2" t="s">
        <v>9778</v>
      </c>
      <c r="D3816" s="2" t="s">
        <v>10055</v>
      </c>
      <c r="E3816" s="15">
        <v>-0.1197</v>
      </c>
      <c r="F3816" s="15">
        <v>0.1326</v>
      </c>
      <c r="G3816" s="15">
        <v>0.36649999999999999</v>
      </c>
      <c r="H3816" s="15">
        <v>6.8900000000000003E-2</v>
      </c>
      <c r="I3816" s="15">
        <v>4.2299999999999997E-2</v>
      </c>
      <c r="J3816" s="15">
        <v>1.6288416075650121</v>
      </c>
    </row>
    <row r="3817" spans="1:10" x14ac:dyDescent="0.25">
      <c r="A3817" s="2" t="s">
        <v>9779</v>
      </c>
      <c r="B3817" s="2" t="s">
        <v>7007</v>
      </c>
      <c r="C3817" s="2" t="s">
        <v>9780</v>
      </c>
      <c r="D3817" s="2" t="s">
        <v>10055</v>
      </c>
      <c r="E3817" s="15">
        <v>-5.1999999999999998E-2</v>
      </c>
      <c r="F3817" s="15">
        <v>0.1056</v>
      </c>
      <c r="G3817" s="15">
        <v>0.62229999999999996</v>
      </c>
      <c r="H3817" s="15">
        <v>8.0699999999999994E-2</v>
      </c>
      <c r="I3817" s="15">
        <v>3.6999999999999998E-2</v>
      </c>
      <c r="J3817" s="15">
        <v>2.1810810810810808</v>
      </c>
    </row>
    <row r="3818" spans="1:10" x14ac:dyDescent="0.25">
      <c r="A3818" s="2" t="s">
        <v>9781</v>
      </c>
      <c r="B3818" s="2" t="s">
        <v>7007</v>
      </c>
      <c r="C3818" s="2" t="s">
        <v>9782</v>
      </c>
      <c r="D3818" s="2" t="s">
        <v>10055</v>
      </c>
      <c r="E3818" s="15"/>
      <c r="F3818" s="15"/>
      <c r="G3818" s="15"/>
      <c r="H3818" s="15"/>
      <c r="I3818" s="15"/>
      <c r="J3818" s="15"/>
    </row>
    <row r="3819" spans="1:10" x14ac:dyDescent="0.25">
      <c r="A3819" s="2" t="s">
        <v>9783</v>
      </c>
      <c r="B3819" s="2" t="s">
        <v>7007</v>
      </c>
      <c r="C3819" s="2" t="s">
        <v>9784</v>
      </c>
      <c r="D3819" s="2" t="s">
        <v>10055</v>
      </c>
      <c r="E3819" s="15"/>
      <c r="F3819" s="15"/>
      <c r="G3819" s="15"/>
      <c r="H3819" s="15"/>
      <c r="I3819" s="15"/>
      <c r="J3819" s="15"/>
    </row>
    <row r="3820" spans="1:10" x14ac:dyDescent="0.25">
      <c r="A3820" s="2" t="s">
        <v>9785</v>
      </c>
      <c r="B3820" s="2" t="s">
        <v>7007</v>
      </c>
      <c r="C3820" s="2" t="s">
        <v>9786</v>
      </c>
      <c r="D3820" s="2" t="s">
        <v>10055</v>
      </c>
      <c r="E3820" s="15">
        <v>-0.3422</v>
      </c>
      <c r="F3820" s="15">
        <v>0.24629999999999999</v>
      </c>
      <c r="G3820" s="15">
        <v>0.16470000000000001</v>
      </c>
      <c r="H3820" s="15">
        <v>3.1899999999999998E-2</v>
      </c>
      <c r="I3820" s="15">
        <v>3.5200000000000002E-2</v>
      </c>
      <c r="J3820" s="15">
        <v>0.90624999999999989</v>
      </c>
    </row>
    <row r="3821" spans="1:10" x14ac:dyDescent="0.25">
      <c r="A3821" s="2" t="s">
        <v>9787</v>
      </c>
      <c r="B3821" s="2" t="s">
        <v>7007</v>
      </c>
      <c r="C3821" s="2" t="s">
        <v>9788</v>
      </c>
      <c r="D3821" s="2" t="s">
        <v>10055</v>
      </c>
      <c r="E3821" s="15"/>
      <c r="F3821" s="15"/>
      <c r="G3821" s="15"/>
      <c r="H3821" s="15">
        <v>-3.2000000000000002E-3</v>
      </c>
      <c r="I3821" s="15">
        <v>3.6200000000000003E-2</v>
      </c>
      <c r="J3821" s="15">
        <v>-8.8397790055248615E-2</v>
      </c>
    </row>
    <row r="3822" spans="1:10" x14ac:dyDescent="0.25">
      <c r="A3822" s="2" t="s">
        <v>9789</v>
      </c>
      <c r="B3822" s="2" t="s">
        <v>7007</v>
      </c>
      <c r="C3822" s="2" t="s">
        <v>9790</v>
      </c>
      <c r="D3822" s="2" t="s">
        <v>10055</v>
      </c>
      <c r="E3822" s="15">
        <v>-5.11E-2</v>
      </c>
      <c r="F3822" s="15">
        <v>0.14280000000000001</v>
      </c>
      <c r="G3822" s="15">
        <v>0.72060000000000002</v>
      </c>
      <c r="H3822" s="15">
        <v>5.8599999999999999E-2</v>
      </c>
      <c r="I3822" s="15">
        <v>3.9699999999999999E-2</v>
      </c>
      <c r="J3822" s="15">
        <v>1.476070528967254</v>
      </c>
    </row>
    <row r="3823" spans="1:10" x14ac:dyDescent="0.25">
      <c r="A3823" s="2" t="s">
        <v>9791</v>
      </c>
      <c r="B3823" s="2" t="s">
        <v>7007</v>
      </c>
      <c r="C3823" s="2" t="s">
        <v>9792</v>
      </c>
      <c r="D3823" s="2" t="s">
        <v>10055</v>
      </c>
      <c r="E3823" s="15"/>
      <c r="F3823" s="15"/>
      <c r="G3823" s="15"/>
      <c r="H3823" s="15">
        <v>-3.8999999999999998E-3</v>
      </c>
      <c r="I3823" s="15">
        <v>3.9600000000000003E-2</v>
      </c>
      <c r="J3823" s="15">
        <v>-9.8484848484848467E-2</v>
      </c>
    </row>
    <row r="3824" spans="1:10" x14ac:dyDescent="0.25">
      <c r="A3824" s="2" t="s">
        <v>9793</v>
      </c>
      <c r="B3824" s="2" t="s">
        <v>7007</v>
      </c>
      <c r="C3824" s="2" t="s">
        <v>9794</v>
      </c>
      <c r="D3824" s="2" t="s">
        <v>10055</v>
      </c>
      <c r="E3824" s="15"/>
      <c r="F3824" s="15"/>
      <c r="G3824" s="15"/>
      <c r="H3824" s="15"/>
      <c r="I3824" s="15"/>
      <c r="J3824" s="15"/>
    </row>
    <row r="3825" spans="1:10" x14ac:dyDescent="0.25">
      <c r="A3825" s="2" t="s">
        <v>9795</v>
      </c>
      <c r="B3825" s="2" t="s">
        <v>7007</v>
      </c>
      <c r="C3825" s="2" t="s">
        <v>9796</v>
      </c>
      <c r="D3825" s="2" t="s">
        <v>10055</v>
      </c>
      <c r="E3825" s="15">
        <v>0.1358</v>
      </c>
      <c r="F3825" s="15">
        <v>0.13819999999999999</v>
      </c>
      <c r="G3825" s="15">
        <v>0.32579999999999998</v>
      </c>
      <c r="H3825" s="15">
        <v>7.3099999999999998E-2</v>
      </c>
      <c r="I3825" s="15">
        <v>3.9800000000000002E-2</v>
      </c>
      <c r="J3825" s="15">
        <v>1.8366834170854269</v>
      </c>
    </row>
    <row r="3826" spans="1:10" x14ac:dyDescent="0.25">
      <c r="A3826" s="2" t="s">
        <v>9797</v>
      </c>
      <c r="B3826" s="2" t="s">
        <v>7007</v>
      </c>
      <c r="C3826" s="2" t="s">
        <v>9798</v>
      </c>
      <c r="D3826" s="2" t="s">
        <v>10055</v>
      </c>
      <c r="E3826" s="15">
        <v>2.0199999999999999E-2</v>
      </c>
      <c r="F3826" s="15">
        <v>0.13239999999999999</v>
      </c>
      <c r="G3826" s="15">
        <v>0.87890000000000001</v>
      </c>
      <c r="H3826" s="15">
        <v>5.6800000000000003E-2</v>
      </c>
      <c r="I3826" s="15">
        <v>3.8899999999999997E-2</v>
      </c>
      <c r="J3826" s="15">
        <v>1.460154241645244</v>
      </c>
    </row>
    <row r="3827" spans="1:10" x14ac:dyDescent="0.25">
      <c r="A3827" s="2" t="s">
        <v>9799</v>
      </c>
      <c r="B3827" s="2" t="s">
        <v>7007</v>
      </c>
      <c r="C3827" s="2" t="s">
        <v>9800</v>
      </c>
      <c r="D3827" s="2" t="s">
        <v>10055</v>
      </c>
      <c r="E3827" s="15">
        <v>-0.36699999999999999</v>
      </c>
      <c r="F3827" s="15">
        <v>0.35239999999999999</v>
      </c>
      <c r="G3827" s="15">
        <v>0.29759999999999998</v>
      </c>
      <c r="H3827" s="15">
        <v>2.64E-2</v>
      </c>
      <c r="I3827" s="15">
        <v>3.9399999999999998E-2</v>
      </c>
      <c r="J3827" s="15">
        <v>0.67005076142131981</v>
      </c>
    </row>
    <row r="3828" spans="1:10" x14ac:dyDescent="0.25">
      <c r="A3828" s="2" t="s">
        <v>9801</v>
      </c>
      <c r="B3828" s="2" t="s">
        <v>7007</v>
      </c>
      <c r="C3828" s="2" t="s">
        <v>9802</v>
      </c>
      <c r="D3828" s="2" t="s">
        <v>10055</v>
      </c>
      <c r="E3828" s="15">
        <v>-0.37590000000000001</v>
      </c>
      <c r="F3828" s="15">
        <v>0.22220000000000001</v>
      </c>
      <c r="G3828" s="15">
        <v>9.0700000000000003E-2</v>
      </c>
      <c r="H3828" s="15">
        <v>4.8099999999999997E-2</v>
      </c>
      <c r="I3828" s="15">
        <v>4.02E-2</v>
      </c>
      <c r="J3828" s="15">
        <v>1.1965174129353231</v>
      </c>
    </row>
    <row r="3829" spans="1:10" x14ac:dyDescent="0.25">
      <c r="A3829" s="2" t="s">
        <v>9803</v>
      </c>
      <c r="B3829" s="2" t="s">
        <v>7007</v>
      </c>
      <c r="C3829" s="2" t="s">
        <v>9804</v>
      </c>
      <c r="D3829" s="2" t="s">
        <v>10055</v>
      </c>
      <c r="E3829" s="15">
        <v>0.12330000000000001</v>
      </c>
      <c r="F3829" s="15">
        <v>0.22620000000000001</v>
      </c>
      <c r="G3829" s="15">
        <v>0.58550000000000002</v>
      </c>
      <c r="H3829" s="15">
        <v>2.3599999999999999E-2</v>
      </c>
      <c r="I3829" s="15">
        <v>3.5700000000000003E-2</v>
      </c>
      <c r="J3829" s="15">
        <v>0.66106442577030811</v>
      </c>
    </row>
    <row r="3830" spans="1:10" x14ac:dyDescent="0.25">
      <c r="A3830" s="2" t="s">
        <v>9805</v>
      </c>
      <c r="B3830" s="2" t="s">
        <v>7007</v>
      </c>
      <c r="C3830" s="2" t="s">
        <v>9806</v>
      </c>
      <c r="D3830" s="2" t="s">
        <v>10055</v>
      </c>
      <c r="E3830" s="15"/>
      <c r="F3830" s="15"/>
      <c r="G3830" s="15"/>
      <c r="H3830" s="15">
        <v>-2.9100000000000001E-2</v>
      </c>
      <c r="I3830" s="15">
        <v>3.9899999999999998E-2</v>
      </c>
      <c r="J3830" s="15">
        <v>-0.72932330827067671</v>
      </c>
    </row>
    <row r="3831" spans="1:10" x14ac:dyDescent="0.25">
      <c r="A3831" s="2" t="s">
        <v>9807</v>
      </c>
      <c r="B3831" s="2" t="s">
        <v>7007</v>
      </c>
      <c r="C3831" s="2" t="s">
        <v>9808</v>
      </c>
      <c r="D3831" s="2" t="s">
        <v>10055</v>
      </c>
      <c r="E3831" s="15">
        <v>0.16470000000000001</v>
      </c>
      <c r="F3831" s="15">
        <v>0.1444</v>
      </c>
      <c r="G3831" s="15">
        <v>0.254</v>
      </c>
      <c r="H3831" s="15">
        <v>5.28E-2</v>
      </c>
      <c r="I3831" s="15">
        <v>3.3300000000000003E-2</v>
      </c>
      <c r="J3831" s="15">
        <v>1.5855855855855849</v>
      </c>
    </row>
    <row r="3832" spans="1:10" x14ac:dyDescent="0.25">
      <c r="A3832" s="2" t="s">
        <v>9809</v>
      </c>
      <c r="B3832" s="2" t="s">
        <v>7007</v>
      </c>
      <c r="C3832" s="2" t="s">
        <v>9810</v>
      </c>
      <c r="D3832" s="2" t="s">
        <v>10055</v>
      </c>
      <c r="E3832" s="15">
        <v>7.4000000000000003E-3</v>
      </c>
      <c r="F3832" s="15">
        <v>0.1295</v>
      </c>
      <c r="G3832" s="15">
        <v>0.95440000000000003</v>
      </c>
      <c r="H3832" s="15">
        <v>5.7099999999999998E-2</v>
      </c>
      <c r="I3832" s="15">
        <v>3.2500000000000001E-2</v>
      </c>
      <c r="J3832" s="15">
        <v>1.756923076923077</v>
      </c>
    </row>
    <row r="3833" spans="1:10" x14ac:dyDescent="0.25">
      <c r="A3833" s="2" t="s">
        <v>9811</v>
      </c>
      <c r="B3833" s="2" t="s">
        <v>7007</v>
      </c>
      <c r="C3833" s="2" t="s">
        <v>9812</v>
      </c>
      <c r="D3833" s="2" t="s">
        <v>10055</v>
      </c>
      <c r="E3833" s="15"/>
      <c r="F3833" s="15"/>
      <c r="G3833" s="15"/>
      <c r="H3833" s="15">
        <v>-8.8999999999999999E-3</v>
      </c>
      <c r="I3833" s="15">
        <v>3.5400000000000001E-2</v>
      </c>
      <c r="J3833" s="15">
        <v>-0.25141242937853109</v>
      </c>
    </row>
    <row r="3834" spans="1:10" x14ac:dyDescent="0.25">
      <c r="A3834" s="2" t="s">
        <v>9813</v>
      </c>
      <c r="B3834" s="2" t="s">
        <v>7007</v>
      </c>
      <c r="C3834" s="2" t="s">
        <v>9814</v>
      </c>
      <c r="D3834" s="2" t="s">
        <v>10055</v>
      </c>
      <c r="E3834" s="15"/>
      <c r="F3834" s="15"/>
      <c r="G3834" s="15"/>
      <c r="H3834" s="15"/>
      <c r="I3834" s="15"/>
      <c r="J3834" s="15"/>
    </row>
    <row r="3835" spans="1:10" x14ac:dyDescent="0.25">
      <c r="A3835" s="2" t="s">
        <v>9815</v>
      </c>
      <c r="B3835" s="2" t="s">
        <v>7007</v>
      </c>
      <c r="C3835" s="2" t="s">
        <v>9816</v>
      </c>
      <c r="D3835" s="2" t="s">
        <v>10055</v>
      </c>
      <c r="E3835" s="15"/>
      <c r="F3835" s="15"/>
      <c r="G3835" s="15"/>
      <c r="H3835" s="15"/>
      <c r="I3835" s="15"/>
      <c r="J3835" s="15"/>
    </row>
    <row r="3836" spans="1:10" x14ac:dyDescent="0.25">
      <c r="A3836" s="2" t="s">
        <v>9817</v>
      </c>
      <c r="B3836" s="2" t="s">
        <v>7007</v>
      </c>
      <c r="C3836" s="2" t="s">
        <v>9818</v>
      </c>
      <c r="D3836" s="2" t="s">
        <v>10055</v>
      </c>
      <c r="E3836" s="15"/>
      <c r="F3836" s="15"/>
      <c r="G3836" s="15"/>
      <c r="H3836" s="15">
        <v>-1.5699999999999999E-2</v>
      </c>
      <c r="I3836" s="15">
        <v>3.3300000000000003E-2</v>
      </c>
      <c r="J3836" s="15">
        <v>-0.47147147147147139</v>
      </c>
    </row>
    <row r="3837" spans="1:10" x14ac:dyDescent="0.25">
      <c r="A3837" s="2" t="s">
        <v>9819</v>
      </c>
      <c r="B3837" s="2" t="s">
        <v>7007</v>
      </c>
      <c r="C3837" s="2" t="s">
        <v>9820</v>
      </c>
      <c r="D3837" s="2" t="s">
        <v>10055</v>
      </c>
      <c r="E3837" s="15">
        <v>0.3448</v>
      </c>
      <c r="F3837" s="15">
        <v>0.30599999999999999</v>
      </c>
      <c r="G3837" s="15">
        <v>0.25969999999999999</v>
      </c>
      <c r="H3837" s="15">
        <v>2.8400000000000002E-2</v>
      </c>
      <c r="I3837" s="15">
        <v>3.95E-2</v>
      </c>
      <c r="J3837" s="15">
        <v>0.71898734177215196</v>
      </c>
    </row>
    <row r="3838" spans="1:10" x14ac:dyDescent="0.25">
      <c r="A3838" s="2" t="s">
        <v>9821</v>
      </c>
      <c r="B3838" s="2" t="s">
        <v>7007</v>
      </c>
      <c r="C3838" s="2" t="s">
        <v>9822</v>
      </c>
      <c r="D3838" s="2" t="s">
        <v>10055</v>
      </c>
      <c r="E3838" s="15"/>
      <c r="F3838" s="15"/>
      <c r="G3838" s="15"/>
      <c r="H3838" s="15">
        <v>-2.4E-2</v>
      </c>
      <c r="I3838" s="15">
        <v>3.56E-2</v>
      </c>
      <c r="J3838" s="15">
        <v>-0.6741573033707865</v>
      </c>
    </row>
    <row r="3839" spans="1:10" x14ac:dyDescent="0.25">
      <c r="A3839" s="2" t="s">
        <v>9823</v>
      </c>
      <c r="B3839" s="2" t="s">
        <v>7007</v>
      </c>
      <c r="C3839" s="2" t="s">
        <v>9824</v>
      </c>
      <c r="D3839" s="2" t="s">
        <v>10055</v>
      </c>
      <c r="E3839" s="15"/>
      <c r="F3839" s="15"/>
      <c r="G3839" s="15"/>
      <c r="H3839" s="15">
        <v>-0.03</v>
      </c>
      <c r="I3839" s="15">
        <v>3.6799999999999999E-2</v>
      </c>
      <c r="J3839" s="15">
        <v>-0.81521739130434778</v>
      </c>
    </row>
    <row r="3840" spans="1:10" x14ac:dyDescent="0.25">
      <c r="A3840" s="2" t="s">
        <v>9825</v>
      </c>
      <c r="B3840" s="2" t="s">
        <v>7007</v>
      </c>
      <c r="C3840" s="2" t="s">
        <v>9826</v>
      </c>
      <c r="D3840" s="2" t="s">
        <v>10055</v>
      </c>
      <c r="E3840" s="15">
        <v>-9.2899999999999996E-2</v>
      </c>
      <c r="F3840" s="15">
        <v>0.1593</v>
      </c>
      <c r="G3840" s="15">
        <v>0.55959999999999999</v>
      </c>
      <c r="H3840" s="15">
        <v>5.1900000000000002E-2</v>
      </c>
      <c r="I3840" s="15">
        <v>4.02E-2</v>
      </c>
      <c r="J3840" s="15">
        <v>1.291044776119403</v>
      </c>
    </row>
    <row r="3841" spans="1:10" x14ac:dyDescent="0.25">
      <c r="A3841" s="2" t="s">
        <v>9827</v>
      </c>
      <c r="B3841" s="2" t="s">
        <v>7007</v>
      </c>
      <c r="C3841" s="2" t="s">
        <v>9828</v>
      </c>
      <c r="D3841" s="2" t="s">
        <v>10055</v>
      </c>
      <c r="E3841" s="15"/>
      <c r="F3841" s="15"/>
      <c r="G3841" s="15"/>
      <c r="H3841" s="15">
        <v>-6.0499999999999998E-2</v>
      </c>
      <c r="I3841" s="15">
        <v>3.7999999999999999E-2</v>
      </c>
      <c r="J3841" s="15">
        <v>-1.5921052631578949</v>
      </c>
    </row>
    <row r="3842" spans="1:10" x14ac:dyDescent="0.25">
      <c r="A3842" s="2" t="s">
        <v>9829</v>
      </c>
      <c r="B3842" s="2" t="s">
        <v>7007</v>
      </c>
      <c r="C3842" s="2" t="s">
        <v>9830</v>
      </c>
      <c r="D3842" s="2" t="s">
        <v>10055</v>
      </c>
      <c r="E3842" s="15">
        <v>-0.15490000000000001</v>
      </c>
      <c r="F3842" s="15">
        <v>0.20619999999999999</v>
      </c>
      <c r="G3842" s="15">
        <v>0.45240000000000002</v>
      </c>
      <c r="H3842" s="15">
        <v>2.9399999999999999E-2</v>
      </c>
      <c r="I3842" s="15">
        <v>3.8399999999999997E-2</v>
      </c>
      <c r="J3842" s="15">
        <v>0.765625</v>
      </c>
    </row>
    <row r="3843" spans="1:10" x14ac:dyDescent="0.25">
      <c r="A3843" s="2" t="s">
        <v>9831</v>
      </c>
      <c r="B3843" s="2" t="s">
        <v>7007</v>
      </c>
      <c r="C3843" s="2" t="s">
        <v>9832</v>
      </c>
      <c r="D3843" s="2" t="s">
        <v>10055</v>
      </c>
      <c r="E3843" s="15">
        <v>1.2500000000000001E-2</v>
      </c>
      <c r="F3843" s="15">
        <v>0.13669999999999999</v>
      </c>
      <c r="G3843" s="15">
        <v>0.92720000000000002</v>
      </c>
      <c r="H3843" s="15">
        <v>5.7099999999999998E-2</v>
      </c>
      <c r="I3843" s="15">
        <v>3.6900000000000002E-2</v>
      </c>
      <c r="J3843" s="15">
        <v>1.547425474254742</v>
      </c>
    </row>
    <row r="3844" spans="1:10" x14ac:dyDescent="0.25">
      <c r="A3844" s="2" t="s">
        <v>9833</v>
      </c>
      <c r="B3844" s="2" t="s">
        <v>7007</v>
      </c>
      <c r="C3844" s="2" t="s">
        <v>9834</v>
      </c>
      <c r="D3844" s="2" t="s">
        <v>10055</v>
      </c>
      <c r="E3844" s="15">
        <v>-1.5299999999999999E-2</v>
      </c>
      <c r="F3844" s="15">
        <v>0.2208</v>
      </c>
      <c r="G3844" s="15">
        <v>0.94479999999999997</v>
      </c>
      <c r="H3844" s="15">
        <v>2.0199999999999999E-2</v>
      </c>
      <c r="I3844" s="15">
        <v>3.73E-2</v>
      </c>
      <c r="J3844" s="15">
        <v>0.54155495978552282</v>
      </c>
    </row>
    <row r="3845" spans="1:10" x14ac:dyDescent="0.25">
      <c r="A3845" s="2" t="s">
        <v>9835</v>
      </c>
      <c r="B3845" s="2" t="s">
        <v>7007</v>
      </c>
      <c r="C3845" s="2" t="s">
        <v>9836</v>
      </c>
      <c r="D3845" s="2" t="s">
        <v>10055</v>
      </c>
      <c r="E3845" s="15"/>
      <c r="F3845" s="15"/>
      <c r="G3845" s="15"/>
      <c r="H3845" s="15">
        <v>-1.14E-2</v>
      </c>
      <c r="I3845" s="15">
        <v>3.7600000000000001E-2</v>
      </c>
      <c r="J3845" s="15">
        <v>-0.30319148936170209</v>
      </c>
    </row>
    <row r="3846" spans="1:10" x14ac:dyDescent="0.25">
      <c r="A3846" s="2" t="s">
        <v>9837</v>
      </c>
      <c r="B3846" s="2" t="s">
        <v>7007</v>
      </c>
      <c r="C3846" s="2" t="s">
        <v>9838</v>
      </c>
      <c r="D3846" s="2" t="s">
        <v>10055</v>
      </c>
      <c r="E3846" s="15"/>
      <c r="F3846" s="15"/>
      <c r="G3846" s="15"/>
      <c r="H3846" s="15">
        <v>-1.0800000000000001E-2</v>
      </c>
      <c r="I3846" s="15">
        <v>3.9800000000000002E-2</v>
      </c>
      <c r="J3846" s="15">
        <v>-0.271356783919598</v>
      </c>
    </row>
    <row r="3847" spans="1:10" x14ac:dyDescent="0.25">
      <c r="A3847" s="2" t="s">
        <v>9839</v>
      </c>
      <c r="B3847" s="2" t="s">
        <v>7007</v>
      </c>
      <c r="C3847" s="2" t="s">
        <v>9840</v>
      </c>
      <c r="D3847" s="2" t="s">
        <v>10055</v>
      </c>
      <c r="E3847" s="15">
        <v>0.13789999999999999</v>
      </c>
      <c r="F3847" s="15">
        <v>0.2046</v>
      </c>
      <c r="G3847" s="15">
        <v>0.50039999999999996</v>
      </c>
      <c r="H3847" s="15">
        <v>2.8899999999999999E-2</v>
      </c>
      <c r="I3847" s="15">
        <v>3.8699999999999998E-2</v>
      </c>
      <c r="J3847" s="15">
        <v>0.74677002583979324</v>
      </c>
    </row>
    <row r="3848" spans="1:10" x14ac:dyDescent="0.25">
      <c r="A3848" s="2" t="s">
        <v>9841</v>
      </c>
      <c r="B3848" s="2" t="s">
        <v>7007</v>
      </c>
      <c r="C3848" s="2" t="s">
        <v>9842</v>
      </c>
      <c r="D3848" s="2" t="s">
        <v>10055</v>
      </c>
      <c r="E3848" s="15">
        <v>4.2599999999999999E-2</v>
      </c>
      <c r="F3848" s="15">
        <v>0.12770000000000001</v>
      </c>
      <c r="G3848" s="15">
        <v>0.73870000000000002</v>
      </c>
      <c r="H3848" s="15">
        <v>5.67E-2</v>
      </c>
      <c r="I3848" s="15">
        <v>3.8800000000000001E-2</v>
      </c>
      <c r="J3848" s="15">
        <v>1.4613402061855669</v>
      </c>
    </row>
    <row r="3849" spans="1:10" x14ac:dyDescent="0.25">
      <c r="A3849" s="2" t="s">
        <v>9843</v>
      </c>
      <c r="B3849" s="2" t="s">
        <v>7007</v>
      </c>
      <c r="C3849" s="2" t="s">
        <v>9844</v>
      </c>
      <c r="D3849" s="2" t="s">
        <v>10055</v>
      </c>
      <c r="E3849" s="15"/>
      <c r="F3849" s="15"/>
      <c r="G3849" s="15"/>
      <c r="H3849" s="15"/>
      <c r="I3849" s="15"/>
      <c r="J3849" s="15"/>
    </row>
    <row r="3850" spans="1:10" x14ac:dyDescent="0.25">
      <c r="A3850" s="2" t="s">
        <v>9845</v>
      </c>
      <c r="B3850" s="2" t="s">
        <v>7007</v>
      </c>
      <c r="C3850" s="2" t="s">
        <v>9846</v>
      </c>
      <c r="D3850" s="2" t="s">
        <v>10055</v>
      </c>
      <c r="E3850" s="15"/>
      <c r="F3850" s="15"/>
      <c r="G3850" s="15"/>
      <c r="H3850" s="15">
        <v>-3.5400000000000001E-2</v>
      </c>
      <c r="I3850" s="15">
        <v>3.6499999999999998E-2</v>
      </c>
      <c r="J3850" s="15">
        <v>-0.96986301369863026</v>
      </c>
    </row>
    <row r="3851" spans="1:10" x14ac:dyDescent="0.25">
      <c r="A3851" s="2" t="s">
        <v>9847</v>
      </c>
      <c r="B3851" s="2" t="s">
        <v>7007</v>
      </c>
      <c r="C3851" s="2" t="s">
        <v>9848</v>
      </c>
      <c r="D3851" s="2" t="s">
        <v>10055</v>
      </c>
      <c r="E3851" s="15">
        <v>-8.7999999999999995E-2</v>
      </c>
      <c r="F3851" s="15">
        <v>0.1283</v>
      </c>
      <c r="G3851" s="15">
        <v>0.4924</v>
      </c>
      <c r="H3851" s="15">
        <v>7.7499999999999999E-2</v>
      </c>
      <c r="I3851" s="15">
        <v>3.8600000000000002E-2</v>
      </c>
      <c r="J3851" s="15">
        <v>2.0077720207253891</v>
      </c>
    </row>
    <row r="3852" spans="1:10" x14ac:dyDescent="0.25">
      <c r="A3852" s="2" t="s">
        <v>9849</v>
      </c>
      <c r="B3852" s="2" t="s">
        <v>7007</v>
      </c>
      <c r="C3852" s="2" t="s">
        <v>9850</v>
      </c>
      <c r="D3852" s="2" t="s">
        <v>10055</v>
      </c>
      <c r="E3852" s="15"/>
      <c r="F3852" s="15"/>
      <c r="G3852" s="15"/>
      <c r="H3852" s="15">
        <v>-4.87E-2</v>
      </c>
      <c r="I3852" s="15">
        <v>0.04</v>
      </c>
      <c r="J3852" s="15">
        <v>-1.2175</v>
      </c>
    </row>
    <row r="3853" spans="1:10" x14ac:dyDescent="0.25">
      <c r="A3853" s="2" t="s">
        <v>9851</v>
      </c>
      <c r="B3853" s="2" t="s">
        <v>7007</v>
      </c>
      <c r="C3853" s="2" t="s">
        <v>9852</v>
      </c>
      <c r="D3853" s="2" t="s">
        <v>10055</v>
      </c>
      <c r="E3853" s="15">
        <v>1.35E-2</v>
      </c>
      <c r="F3853" s="15">
        <v>0.1217</v>
      </c>
      <c r="G3853" s="15">
        <v>0.91159999999999997</v>
      </c>
      <c r="H3853" s="15">
        <v>7.6700000000000004E-2</v>
      </c>
      <c r="I3853" s="15">
        <v>4.0500000000000001E-2</v>
      </c>
      <c r="J3853" s="15">
        <v>1.893827160493827</v>
      </c>
    </row>
    <row r="3854" spans="1:10" x14ac:dyDescent="0.25">
      <c r="A3854" s="2" t="s">
        <v>9853</v>
      </c>
      <c r="B3854" s="2" t="s">
        <v>7007</v>
      </c>
      <c r="C3854" s="2" t="s">
        <v>9854</v>
      </c>
      <c r="D3854" s="2" t="s">
        <v>10055</v>
      </c>
      <c r="E3854" s="15">
        <v>-0.12659999999999999</v>
      </c>
      <c r="F3854" s="15">
        <v>0.31719999999999998</v>
      </c>
      <c r="G3854" s="15">
        <v>0.68989999999999996</v>
      </c>
      <c r="H3854" s="15">
        <v>1.9400000000000001E-2</v>
      </c>
      <c r="I3854" s="15">
        <v>3.6200000000000003E-2</v>
      </c>
      <c r="J3854" s="15">
        <v>0.53591160220994472</v>
      </c>
    </row>
    <row r="3855" spans="1:10" x14ac:dyDescent="0.25">
      <c r="A3855" s="2" t="s">
        <v>9855</v>
      </c>
      <c r="B3855" s="2" t="s">
        <v>7007</v>
      </c>
      <c r="C3855" s="2" t="s">
        <v>9856</v>
      </c>
      <c r="D3855" s="2" t="s">
        <v>10055</v>
      </c>
      <c r="E3855" s="15"/>
      <c r="F3855" s="15"/>
      <c r="G3855" s="15"/>
      <c r="H3855" s="15">
        <v>-4.7999999999999996E-3</v>
      </c>
      <c r="I3855" s="15">
        <v>3.2500000000000001E-2</v>
      </c>
      <c r="J3855" s="15">
        <v>-0.14769230769230771</v>
      </c>
    </row>
    <row r="3856" spans="1:10" x14ac:dyDescent="0.25">
      <c r="A3856" s="2" t="s">
        <v>9857</v>
      </c>
      <c r="B3856" s="2" t="s">
        <v>7007</v>
      </c>
      <c r="C3856" s="2" t="s">
        <v>9858</v>
      </c>
      <c r="D3856" s="2" t="s">
        <v>10055</v>
      </c>
      <c r="E3856" s="15"/>
      <c r="F3856" s="15"/>
      <c r="G3856" s="15"/>
      <c r="H3856" s="15">
        <v>-3.5099999999999999E-2</v>
      </c>
      <c r="I3856" s="15">
        <v>4.0500000000000001E-2</v>
      </c>
      <c r="J3856" s="15">
        <v>-0.86666666666666659</v>
      </c>
    </row>
    <row r="3857" spans="1:10" x14ac:dyDescent="0.25">
      <c r="A3857" s="2" t="s">
        <v>9859</v>
      </c>
      <c r="B3857" s="2" t="s">
        <v>7007</v>
      </c>
      <c r="C3857" s="2" t="s">
        <v>9860</v>
      </c>
      <c r="D3857" s="2" t="s">
        <v>10055</v>
      </c>
      <c r="E3857" s="15"/>
      <c r="F3857" s="15"/>
      <c r="G3857" s="15"/>
      <c r="H3857" s="15"/>
      <c r="I3857" s="15"/>
      <c r="J3857" s="15"/>
    </row>
    <row r="3858" spans="1:10" x14ac:dyDescent="0.25">
      <c r="A3858" s="2" t="s">
        <v>9861</v>
      </c>
      <c r="B3858" s="2" t="s">
        <v>7007</v>
      </c>
      <c r="C3858" s="2" t="s">
        <v>9862</v>
      </c>
      <c r="D3858" s="2" t="s">
        <v>10055</v>
      </c>
      <c r="E3858" s="15"/>
      <c r="F3858" s="15"/>
      <c r="G3858" s="15"/>
      <c r="H3858" s="15">
        <v>-3.4099999999999998E-2</v>
      </c>
      <c r="I3858" s="15">
        <v>3.8899999999999997E-2</v>
      </c>
      <c r="J3858" s="15">
        <v>-0.87660668380462725</v>
      </c>
    </row>
    <row r="3859" spans="1:10" x14ac:dyDescent="0.25">
      <c r="A3859" s="2" t="s">
        <v>9863</v>
      </c>
      <c r="B3859" s="2" t="s">
        <v>7007</v>
      </c>
      <c r="C3859" s="2" t="s">
        <v>9864</v>
      </c>
      <c r="D3859" s="2" t="s">
        <v>10055</v>
      </c>
      <c r="E3859" s="15">
        <v>-0.1777</v>
      </c>
      <c r="F3859" s="15">
        <v>0.16669999999999999</v>
      </c>
      <c r="G3859" s="15">
        <v>0.28649999999999998</v>
      </c>
      <c r="H3859" s="15">
        <v>4.3299999999999998E-2</v>
      </c>
      <c r="I3859" s="15">
        <v>3.9199999999999999E-2</v>
      </c>
      <c r="J3859" s="15">
        <v>1.1045918367346941</v>
      </c>
    </row>
    <row r="3860" spans="1:10" x14ac:dyDescent="0.25">
      <c r="A3860" s="2" t="s">
        <v>9865</v>
      </c>
      <c r="B3860" s="2" t="s">
        <v>7007</v>
      </c>
      <c r="C3860" s="2" t="s">
        <v>9866</v>
      </c>
      <c r="D3860" s="2" t="s">
        <v>10055</v>
      </c>
      <c r="E3860" s="15">
        <v>5.79E-2</v>
      </c>
      <c r="F3860" s="15">
        <v>0.1532</v>
      </c>
      <c r="G3860" s="15">
        <v>0.70540000000000003</v>
      </c>
      <c r="H3860" s="15">
        <v>4.8800000000000003E-2</v>
      </c>
      <c r="I3860" s="15">
        <v>4.1099999999999998E-2</v>
      </c>
      <c r="J3860" s="15">
        <v>1.187347931873479</v>
      </c>
    </row>
    <row r="3861" spans="1:10" x14ac:dyDescent="0.25">
      <c r="A3861" s="2" t="s">
        <v>9867</v>
      </c>
      <c r="B3861" s="2" t="s">
        <v>7007</v>
      </c>
      <c r="C3861" s="2" t="s">
        <v>9868</v>
      </c>
      <c r="D3861" s="2" t="s">
        <v>10055</v>
      </c>
      <c r="E3861" s="15">
        <v>-0.49</v>
      </c>
      <c r="F3861" s="15">
        <v>0.3896</v>
      </c>
      <c r="G3861" s="15">
        <v>0.20860000000000001</v>
      </c>
      <c r="H3861" s="15">
        <v>2.7300000000000001E-2</v>
      </c>
      <c r="I3861" s="15">
        <v>3.6400000000000002E-2</v>
      </c>
      <c r="J3861" s="15">
        <v>0.75</v>
      </c>
    </row>
    <row r="3862" spans="1:10" x14ac:dyDescent="0.25">
      <c r="A3862" s="2" t="s">
        <v>9869</v>
      </c>
      <c r="B3862" s="2" t="s">
        <v>7007</v>
      </c>
      <c r="C3862" s="2" t="s">
        <v>9870</v>
      </c>
      <c r="D3862" s="2" t="s">
        <v>10055</v>
      </c>
      <c r="E3862" s="15"/>
      <c r="F3862" s="15"/>
      <c r="G3862" s="15"/>
      <c r="H3862" s="15"/>
      <c r="I3862" s="15"/>
      <c r="J3862" s="15"/>
    </row>
    <row r="3863" spans="1:10" x14ac:dyDescent="0.25">
      <c r="A3863" s="2" t="s">
        <v>9871</v>
      </c>
      <c r="B3863" s="2" t="s">
        <v>7007</v>
      </c>
      <c r="C3863" s="2" t="s">
        <v>9872</v>
      </c>
      <c r="D3863" s="2" t="s">
        <v>10055</v>
      </c>
      <c r="E3863" s="15">
        <v>-0.1396</v>
      </c>
      <c r="F3863" s="15">
        <v>0.11360000000000001</v>
      </c>
      <c r="G3863" s="15">
        <v>0.219</v>
      </c>
      <c r="H3863" s="15">
        <v>8.6800000000000002E-2</v>
      </c>
      <c r="I3863" s="15">
        <v>3.7699999999999997E-2</v>
      </c>
      <c r="J3863" s="15">
        <v>2.3023872679045101</v>
      </c>
    </row>
    <row r="3864" spans="1:10" x14ac:dyDescent="0.25">
      <c r="A3864" s="2" t="s">
        <v>9873</v>
      </c>
      <c r="B3864" s="2" t="s">
        <v>7007</v>
      </c>
      <c r="C3864" s="2" t="s">
        <v>9874</v>
      </c>
      <c r="D3864" s="2" t="s">
        <v>10055</v>
      </c>
      <c r="E3864" s="15"/>
      <c r="F3864" s="15"/>
      <c r="G3864" s="15"/>
      <c r="H3864" s="15">
        <v>-2.2000000000000001E-3</v>
      </c>
      <c r="I3864" s="15">
        <v>3.85E-2</v>
      </c>
      <c r="J3864" s="15">
        <v>-5.7142857142857148E-2</v>
      </c>
    </row>
    <row r="3865" spans="1:10" x14ac:dyDescent="0.25">
      <c r="A3865" s="2" t="s">
        <v>9875</v>
      </c>
      <c r="B3865" s="2" t="s">
        <v>7007</v>
      </c>
      <c r="C3865" s="2" t="s">
        <v>9876</v>
      </c>
      <c r="D3865" s="2" t="s">
        <v>10055</v>
      </c>
      <c r="E3865" s="15">
        <v>-1.12E-2</v>
      </c>
      <c r="F3865" s="15">
        <v>0.1086</v>
      </c>
      <c r="G3865" s="15">
        <v>0.91790000000000005</v>
      </c>
      <c r="H3865" s="15">
        <v>9.7199999999999995E-2</v>
      </c>
      <c r="I3865" s="15">
        <v>3.6499999999999998E-2</v>
      </c>
      <c r="J3865" s="15">
        <v>2.6630136986301371</v>
      </c>
    </row>
    <row r="3866" spans="1:10" x14ac:dyDescent="0.25">
      <c r="A3866" s="2" t="s">
        <v>9877</v>
      </c>
      <c r="B3866" s="2" t="s">
        <v>7007</v>
      </c>
      <c r="C3866" s="2" t="s">
        <v>9878</v>
      </c>
      <c r="D3866" s="2" t="s">
        <v>10055</v>
      </c>
      <c r="E3866" s="15">
        <v>-0.13739999999999999</v>
      </c>
      <c r="F3866" s="15">
        <v>0.1216</v>
      </c>
      <c r="G3866" s="15">
        <v>0.25819999999999999</v>
      </c>
      <c r="H3866" s="15">
        <v>7.8100000000000003E-2</v>
      </c>
      <c r="I3866" s="15">
        <v>3.9300000000000002E-2</v>
      </c>
      <c r="J3866" s="15">
        <v>1.9872773536895669</v>
      </c>
    </row>
    <row r="3867" spans="1:10" x14ac:dyDescent="0.25">
      <c r="A3867" s="2" t="s">
        <v>9879</v>
      </c>
      <c r="B3867" s="2" t="s">
        <v>7007</v>
      </c>
      <c r="C3867" s="2" t="s">
        <v>9880</v>
      </c>
      <c r="D3867" s="2" t="s">
        <v>10055</v>
      </c>
      <c r="E3867" s="15"/>
      <c r="F3867" s="15"/>
      <c r="G3867" s="15"/>
      <c r="H3867" s="15">
        <v>-5.0700000000000002E-2</v>
      </c>
      <c r="I3867" s="15">
        <v>3.6900000000000002E-2</v>
      </c>
      <c r="J3867" s="15">
        <v>-1.373983739837398</v>
      </c>
    </row>
    <row r="3868" spans="1:10" x14ac:dyDescent="0.25">
      <c r="A3868" s="2" t="s">
        <v>9881</v>
      </c>
      <c r="B3868" s="2" t="s">
        <v>7007</v>
      </c>
      <c r="C3868" s="2" t="s">
        <v>9882</v>
      </c>
      <c r="D3868" s="2" t="s">
        <v>10055</v>
      </c>
      <c r="E3868" s="15">
        <v>0.14799999999999999</v>
      </c>
      <c r="F3868" s="15">
        <v>0.1198</v>
      </c>
      <c r="G3868" s="15">
        <v>0.21679999999999999</v>
      </c>
      <c r="H3868" s="15">
        <v>6.6299999999999998E-2</v>
      </c>
      <c r="I3868" s="15">
        <v>4.19E-2</v>
      </c>
      <c r="J3868" s="15">
        <v>1.582338902147971</v>
      </c>
    </row>
    <row r="3869" spans="1:10" x14ac:dyDescent="0.25">
      <c r="A3869" s="2" t="s">
        <v>9883</v>
      </c>
      <c r="B3869" s="2" t="s">
        <v>7007</v>
      </c>
      <c r="C3869" s="2" t="s">
        <v>9884</v>
      </c>
      <c r="D3869" s="2" t="s">
        <v>10055</v>
      </c>
      <c r="E3869" s="15"/>
      <c r="F3869" s="15"/>
      <c r="G3869" s="15"/>
      <c r="H3869" s="15">
        <v>-1.8499999999999999E-2</v>
      </c>
      <c r="I3869" s="15">
        <v>3.3700000000000001E-2</v>
      </c>
      <c r="J3869" s="15">
        <v>-0.54896142433234418</v>
      </c>
    </row>
    <row r="3870" spans="1:10" x14ac:dyDescent="0.25">
      <c r="A3870" s="2" t="s">
        <v>9885</v>
      </c>
      <c r="B3870" s="2" t="s">
        <v>7007</v>
      </c>
      <c r="C3870" s="2" t="s">
        <v>9886</v>
      </c>
      <c r="D3870" s="2" t="s">
        <v>10055</v>
      </c>
      <c r="E3870" s="15">
        <v>-8.7499999999999994E-2</v>
      </c>
      <c r="F3870" s="15">
        <v>0.19489999999999999</v>
      </c>
      <c r="G3870" s="15">
        <v>0.65329999999999999</v>
      </c>
      <c r="H3870" s="15">
        <v>3.1699999999999999E-2</v>
      </c>
      <c r="I3870" s="15">
        <v>3.61E-2</v>
      </c>
      <c r="J3870" s="15">
        <v>0.87811634349030465</v>
      </c>
    </row>
    <row r="3871" spans="1:10" x14ac:dyDescent="0.25">
      <c r="A3871" s="2" t="s">
        <v>9887</v>
      </c>
      <c r="B3871" s="2" t="s">
        <v>7007</v>
      </c>
      <c r="C3871" s="2" t="s">
        <v>9888</v>
      </c>
      <c r="D3871" s="2" t="s">
        <v>10055</v>
      </c>
      <c r="E3871" s="15">
        <v>0.28549999999999998</v>
      </c>
      <c r="F3871" s="15">
        <v>0.18840000000000001</v>
      </c>
      <c r="G3871" s="15">
        <v>0.12959999999999999</v>
      </c>
      <c r="H3871" s="15">
        <v>4.6199999999999998E-2</v>
      </c>
      <c r="I3871" s="15">
        <v>3.9300000000000002E-2</v>
      </c>
      <c r="J3871" s="15">
        <v>1.175572519083969</v>
      </c>
    </row>
    <row r="3872" spans="1:10" x14ac:dyDescent="0.25">
      <c r="A3872" s="2" t="s">
        <v>9889</v>
      </c>
      <c r="B3872" s="2" t="s">
        <v>7007</v>
      </c>
      <c r="C3872" s="2" t="s">
        <v>9890</v>
      </c>
      <c r="D3872" s="2" t="s">
        <v>10055</v>
      </c>
      <c r="E3872" s="15"/>
      <c r="F3872" s="15"/>
      <c r="G3872" s="15"/>
      <c r="H3872" s="15">
        <v>-1.0500000000000001E-2</v>
      </c>
      <c r="I3872" s="15">
        <v>3.7100000000000001E-2</v>
      </c>
      <c r="J3872" s="15">
        <v>-0.28301886792452829</v>
      </c>
    </row>
    <row r="3873" spans="1:10" x14ac:dyDescent="0.25">
      <c r="A3873" s="2" t="s">
        <v>9891</v>
      </c>
      <c r="B3873" s="2" t="s">
        <v>7007</v>
      </c>
      <c r="C3873" s="2" t="s">
        <v>9892</v>
      </c>
      <c r="D3873" s="2" t="s">
        <v>10055</v>
      </c>
      <c r="E3873" s="15">
        <v>-0.12239999999999999</v>
      </c>
      <c r="F3873" s="15">
        <v>0.13220000000000001</v>
      </c>
      <c r="G3873" s="15">
        <v>0.3543</v>
      </c>
      <c r="H3873" s="15">
        <v>6.0699999999999997E-2</v>
      </c>
      <c r="I3873" s="15">
        <v>4.1799999999999997E-2</v>
      </c>
      <c r="J3873" s="15">
        <v>1.4521531100478471</v>
      </c>
    </row>
    <row r="3874" spans="1:10" x14ac:dyDescent="0.25">
      <c r="A3874" s="2" t="s">
        <v>9893</v>
      </c>
      <c r="B3874" s="2" t="s">
        <v>7007</v>
      </c>
      <c r="C3874" s="2" t="s">
        <v>9894</v>
      </c>
      <c r="D3874" s="2" t="s">
        <v>10055</v>
      </c>
      <c r="E3874" s="15">
        <v>3.2300000000000002E-2</v>
      </c>
      <c r="F3874" s="15">
        <v>0.17380000000000001</v>
      </c>
      <c r="G3874" s="15">
        <v>0.85250000000000004</v>
      </c>
      <c r="H3874" s="15">
        <v>3.5200000000000002E-2</v>
      </c>
      <c r="I3874" s="15">
        <v>3.8300000000000001E-2</v>
      </c>
      <c r="J3874" s="15">
        <v>0.91906005221932119</v>
      </c>
    </row>
    <row r="3875" spans="1:10" x14ac:dyDescent="0.25">
      <c r="A3875" s="2" t="s">
        <v>9895</v>
      </c>
      <c r="B3875" s="2" t="s">
        <v>7007</v>
      </c>
      <c r="C3875" s="2" t="s">
        <v>9896</v>
      </c>
      <c r="D3875" s="2" t="s">
        <v>10055</v>
      </c>
      <c r="E3875" s="15">
        <v>6.1100000000000002E-2</v>
      </c>
      <c r="F3875" s="15">
        <v>0.1323</v>
      </c>
      <c r="G3875" s="15">
        <v>0.64429999999999998</v>
      </c>
      <c r="H3875" s="15">
        <v>6.7599999999999993E-2</v>
      </c>
      <c r="I3875" s="15">
        <v>4.1799999999999997E-2</v>
      </c>
      <c r="J3875" s="15">
        <v>1.6172248803827749</v>
      </c>
    </row>
    <row r="3876" spans="1:10" x14ac:dyDescent="0.25">
      <c r="A3876" s="2" t="s">
        <v>9897</v>
      </c>
      <c r="B3876" s="2" t="s">
        <v>7007</v>
      </c>
      <c r="C3876" s="2" t="s">
        <v>9898</v>
      </c>
      <c r="D3876" s="2" t="s">
        <v>10055</v>
      </c>
      <c r="E3876" s="15"/>
      <c r="F3876" s="15"/>
      <c r="G3876" s="15"/>
      <c r="H3876" s="15"/>
      <c r="I3876" s="15"/>
      <c r="J3876" s="15"/>
    </row>
    <row r="3877" spans="1:10" x14ac:dyDescent="0.25">
      <c r="A3877" s="2" t="s">
        <v>9899</v>
      </c>
      <c r="B3877" s="2" t="s">
        <v>7007</v>
      </c>
      <c r="C3877" s="2" t="s">
        <v>9900</v>
      </c>
      <c r="D3877" s="2" t="s">
        <v>10055</v>
      </c>
      <c r="E3877" s="15">
        <v>7.8399999999999997E-2</v>
      </c>
      <c r="F3877" s="15">
        <v>0.18140000000000001</v>
      </c>
      <c r="G3877" s="15">
        <v>0.66549999999999998</v>
      </c>
      <c r="H3877" s="15">
        <v>3.8699999999999998E-2</v>
      </c>
      <c r="I3877" s="15">
        <v>4.0899999999999999E-2</v>
      </c>
      <c r="J3877" s="15">
        <v>0.94621026894865523</v>
      </c>
    </row>
    <row r="3878" spans="1:10" x14ac:dyDescent="0.25">
      <c r="A3878" s="2" t="s">
        <v>9901</v>
      </c>
      <c r="B3878" s="2" t="s">
        <v>7007</v>
      </c>
      <c r="C3878" s="2" t="s">
        <v>9902</v>
      </c>
      <c r="D3878" s="2" t="s">
        <v>10055</v>
      </c>
      <c r="E3878" s="15">
        <v>-0.1178</v>
      </c>
      <c r="F3878" s="15">
        <v>0.157</v>
      </c>
      <c r="G3878" s="15">
        <v>0.45329999999999998</v>
      </c>
      <c r="H3878" s="15">
        <v>4.6100000000000002E-2</v>
      </c>
      <c r="I3878" s="15">
        <v>3.9199999999999999E-2</v>
      </c>
      <c r="J3878" s="15">
        <v>1.176020408163265</v>
      </c>
    </row>
    <row r="3879" spans="1:10" x14ac:dyDescent="0.25">
      <c r="A3879" s="2" t="s">
        <v>9903</v>
      </c>
      <c r="B3879" s="2" t="s">
        <v>7007</v>
      </c>
      <c r="C3879" s="2" t="s">
        <v>9904</v>
      </c>
      <c r="D3879" s="2" t="s">
        <v>10055</v>
      </c>
      <c r="E3879" s="15">
        <v>-6.3799999999999996E-2</v>
      </c>
      <c r="F3879" s="15">
        <v>0.26169999999999999</v>
      </c>
      <c r="G3879" s="15">
        <v>0.80759999999999998</v>
      </c>
      <c r="H3879" s="15">
        <v>1.7999999999999999E-2</v>
      </c>
      <c r="I3879" s="15">
        <v>3.8300000000000001E-2</v>
      </c>
      <c r="J3879" s="15">
        <v>0.46997389033942549</v>
      </c>
    </row>
    <row r="3880" spans="1:10" x14ac:dyDescent="0.25">
      <c r="A3880" s="2" t="s">
        <v>9905</v>
      </c>
      <c r="B3880" s="2" t="s">
        <v>7007</v>
      </c>
      <c r="C3880" s="2" t="s">
        <v>9906</v>
      </c>
      <c r="D3880" s="2" t="s">
        <v>10055</v>
      </c>
      <c r="E3880" s="15">
        <v>-7.0599999999999996E-2</v>
      </c>
      <c r="F3880" s="15">
        <v>0.34849999999999998</v>
      </c>
      <c r="G3880" s="15">
        <v>0.83950000000000002</v>
      </c>
      <c r="H3880" s="15">
        <v>1.6400000000000001E-2</v>
      </c>
      <c r="I3880" s="15">
        <v>4.1200000000000001E-2</v>
      </c>
      <c r="J3880" s="15">
        <v>0.39805825242718451</v>
      </c>
    </row>
    <row r="3881" spans="1:10" x14ac:dyDescent="0.25">
      <c r="A3881" s="2" t="s">
        <v>9907</v>
      </c>
      <c r="B3881" s="2" t="s">
        <v>7007</v>
      </c>
      <c r="C3881" s="2" t="s">
        <v>9908</v>
      </c>
      <c r="D3881" s="2" t="s">
        <v>10055</v>
      </c>
      <c r="E3881" s="15">
        <v>-0.27900000000000003</v>
      </c>
      <c r="F3881" s="15">
        <v>0.16389999999999999</v>
      </c>
      <c r="G3881" s="15">
        <v>8.8700000000000001E-2</v>
      </c>
      <c r="H3881" s="15">
        <v>6.0699999999999997E-2</v>
      </c>
      <c r="I3881" s="15">
        <v>3.9100000000000003E-2</v>
      </c>
      <c r="J3881" s="15">
        <v>1.5524296675191811</v>
      </c>
    </row>
    <row r="3882" spans="1:10" x14ac:dyDescent="0.25">
      <c r="A3882" s="2" t="s">
        <v>9909</v>
      </c>
      <c r="B3882" s="2" t="s">
        <v>7007</v>
      </c>
      <c r="C3882" s="2" t="s">
        <v>9910</v>
      </c>
      <c r="D3882" s="2" t="s">
        <v>10055</v>
      </c>
      <c r="E3882" s="15">
        <v>0.2432</v>
      </c>
      <c r="F3882" s="15">
        <v>0.32100000000000001</v>
      </c>
      <c r="G3882" s="15">
        <v>0.44869999999999999</v>
      </c>
      <c r="H3882" s="15">
        <v>1.7600000000000001E-2</v>
      </c>
      <c r="I3882" s="15">
        <v>3.3500000000000002E-2</v>
      </c>
      <c r="J3882" s="15">
        <v>0.52537313432835819</v>
      </c>
    </row>
    <row r="3883" spans="1:10" x14ac:dyDescent="0.25">
      <c r="A3883" s="2" t="s">
        <v>9911</v>
      </c>
      <c r="B3883" s="2" t="s">
        <v>7007</v>
      </c>
      <c r="C3883" s="2" t="s">
        <v>9912</v>
      </c>
      <c r="D3883" s="2" t="s">
        <v>10055</v>
      </c>
      <c r="E3883" s="15"/>
      <c r="F3883" s="15"/>
      <c r="G3883" s="15"/>
      <c r="H3883" s="15">
        <v>-2.2200000000000001E-2</v>
      </c>
      <c r="I3883" s="15">
        <v>3.4299999999999997E-2</v>
      </c>
      <c r="J3883" s="15">
        <v>-0.64723032069970854</v>
      </c>
    </row>
    <row r="3884" spans="1:10" x14ac:dyDescent="0.25">
      <c r="A3884" s="2" t="s">
        <v>9913</v>
      </c>
      <c r="B3884" s="2" t="s">
        <v>7007</v>
      </c>
      <c r="C3884" s="2" t="s">
        <v>9914</v>
      </c>
      <c r="D3884" s="2" t="s">
        <v>10055</v>
      </c>
      <c r="E3884" s="15">
        <v>1.4500000000000001E-2</v>
      </c>
      <c r="F3884" s="15">
        <v>0.16350000000000001</v>
      </c>
      <c r="G3884" s="15">
        <v>0.92920000000000003</v>
      </c>
      <c r="H3884" s="15">
        <v>3.7900000000000003E-2</v>
      </c>
      <c r="I3884" s="15">
        <v>4.1399999999999999E-2</v>
      </c>
      <c r="J3884" s="15">
        <v>0.9154589371980677</v>
      </c>
    </row>
    <row r="3885" spans="1:10" x14ac:dyDescent="0.25">
      <c r="A3885" s="2" t="s">
        <v>9915</v>
      </c>
      <c r="B3885" s="2" t="s">
        <v>7007</v>
      </c>
      <c r="C3885" s="2" t="s">
        <v>9916</v>
      </c>
      <c r="D3885" s="2" t="s">
        <v>10055</v>
      </c>
      <c r="E3885" s="15">
        <v>-0.32840000000000003</v>
      </c>
      <c r="F3885" s="15">
        <v>0.45829999999999999</v>
      </c>
      <c r="G3885" s="15">
        <v>0.47370000000000001</v>
      </c>
      <c r="H3885" s="15">
        <v>1.7899999999999999E-2</v>
      </c>
      <c r="I3885" s="15">
        <v>3.5900000000000001E-2</v>
      </c>
      <c r="J3885" s="15">
        <v>0.49860724233983278</v>
      </c>
    </row>
    <row r="3886" spans="1:10" x14ac:dyDescent="0.25">
      <c r="A3886" s="2" t="s">
        <v>9917</v>
      </c>
      <c r="B3886" s="2" t="s">
        <v>7007</v>
      </c>
      <c r="C3886" s="2" t="s">
        <v>9918</v>
      </c>
      <c r="D3886" s="2" t="s">
        <v>10055</v>
      </c>
      <c r="E3886" s="15">
        <v>0.1076</v>
      </c>
      <c r="F3886" s="15">
        <v>0.13389999999999999</v>
      </c>
      <c r="G3886" s="15">
        <v>0.42149999999999999</v>
      </c>
      <c r="H3886" s="15">
        <v>5.8599999999999999E-2</v>
      </c>
      <c r="I3886" s="15">
        <v>4.1200000000000001E-2</v>
      </c>
      <c r="J3886" s="15">
        <v>1.4223300970873789</v>
      </c>
    </row>
    <row r="3887" spans="1:10" x14ac:dyDescent="0.25">
      <c r="A3887" s="2" t="s">
        <v>9919</v>
      </c>
      <c r="B3887" s="2" t="s">
        <v>7007</v>
      </c>
      <c r="C3887" s="2" t="s">
        <v>9920</v>
      </c>
      <c r="D3887" s="2" t="s">
        <v>10055</v>
      </c>
      <c r="E3887" s="15"/>
      <c r="F3887" s="15"/>
      <c r="G3887" s="15"/>
      <c r="H3887" s="15">
        <v>-6.4799999999999996E-2</v>
      </c>
      <c r="I3887" s="15">
        <v>3.85E-2</v>
      </c>
      <c r="J3887" s="15">
        <v>-1.683116883116883</v>
      </c>
    </row>
    <row r="3888" spans="1:10" x14ac:dyDescent="0.25">
      <c r="A3888" s="2" t="s">
        <v>9921</v>
      </c>
      <c r="B3888" s="2" t="s">
        <v>7007</v>
      </c>
      <c r="C3888" s="2" t="s">
        <v>9922</v>
      </c>
      <c r="D3888" s="2" t="s">
        <v>10055</v>
      </c>
      <c r="E3888" s="15">
        <v>1.6E-2</v>
      </c>
      <c r="F3888" s="15">
        <v>9.5100000000000004E-2</v>
      </c>
      <c r="G3888" s="15">
        <v>0.86660000000000004</v>
      </c>
      <c r="H3888" s="15">
        <v>0.1234</v>
      </c>
      <c r="I3888" s="15">
        <v>3.9100000000000003E-2</v>
      </c>
      <c r="J3888" s="15">
        <v>3.156010230179028</v>
      </c>
    </row>
    <row r="3889" spans="1:10" x14ac:dyDescent="0.25">
      <c r="A3889" s="2" t="s">
        <v>9923</v>
      </c>
      <c r="B3889" s="2" t="s">
        <v>7007</v>
      </c>
      <c r="C3889" s="2" t="s">
        <v>9924</v>
      </c>
      <c r="D3889" s="2" t="s">
        <v>10055</v>
      </c>
      <c r="E3889" s="15"/>
      <c r="F3889" s="15"/>
      <c r="G3889" s="15"/>
      <c r="H3889" s="15">
        <v>-2.5700000000000001E-2</v>
      </c>
      <c r="I3889" s="15">
        <v>3.3799999999999997E-2</v>
      </c>
      <c r="J3889" s="15">
        <v>-0.76035502958579892</v>
      </c>
    </row>
    <row r="3890" spans="1:10" x14ac:dyDescent="0.25">
      <c r="A3890" s="2" t="s">
        <v>9925</v>
      </c>
      <c r="B3890" s="2" t="s">
        <v>7007</v>
      </c>
      <c r="C3890" s="2" t="s">
        <v>9926</v>
      </c>
      <c r="D3890" s="2" t="s">
        <v>10055</v>
      </c>
      <c r="E3890" s="15">
        <v>5.5999999999999999E-3</v>
      </c>
      <c r="F3890" s="15">
        <v>0.13450000000000001</v>
      </c>
      <c r="G3890" s="15">
        <v>0.9667</v>
      </c>
      <c r="H3890" s="15">
        <v>5.9499999999999997E-2</v>
      </c>
      <c r="I3890" s="15">
        <v>4.2500000000000003E-2</v>
      </c>
      <c r="J3890" s="15">
        <v>1.4</v>
      </c>
    </row>
    <row r="3891" spans="1:10" x14ac:dyDescent="0.25">
      <c r="A3891" s="2" t="s">
        <v>9927</v>
      </c>
      <c r="B3891" s="2" t="s">
        <v>7007</v>
      </c>
      <c r="C3891" s="2" t="s">
        <v>9928</v>
      </c>
      <c r="D3891" s="2" t="s">
        <v>10055</v>
      </c>
      <c r="E3891" s="15"/>
      <c r="F3891" s="15"/>
      <c r="G3891" s="15"/>
      <c r="H3891" s="15">
        <v>-2.4199999999999999E-2</v>
      </c>
      <c r="I3891" s="15">
        <v>3.5900000000000001E-2</v>
      </c>
      <c r="J3891" s="15">
        <v>-0.67409470752089129</v>
      </c>
    </row>
    <row r="3892" spans="1:10" x14ac:dyDescent="0.25">
      <c r="A3892" s="2" t="s">
        <v>9929</v>
      </c>
      <c r="B3892" s="2" t="s">
        <v>7007</v>
      </c>
      <c r="C3892" s="2" t="s">
        <v>9930</v>
      </c>
      <c r="D3892" s="2" t="s">
        <v>10055</v>
      </c>
      <c r="E3892" s="15">
        <v>0.14729999999999999</v>
      </c>
      <c r="F3892" s="15">
        <v>0.30330000000000001</v>
      </c>
      <c r="G3892" s="15">
        <v>0.62729999999999997</v>
      </c>
      <c r="H3892" s="15">
        <v>1.5699999999999999E-2</v>
      </c>
      <c r="I3892" s="15">
        <v>3.6700000000000003E-2</v>
      </c>
      <c r="J3892" s="15">
        <v>0.42779291553133508</v>
      </c>
    </row>
    <row r="3893" spans="1:10" x14ac:dyDescent="0.25">
      <c r="A3893" s="2" t="s">
        <v>9931</v>
      </c>
      <c r="B3893" s="2" t="s">
        <v>7007</v>
      </c>
      <c r="C3893" s="2" t="s">
        <v>9932</v>
      </c>
      <c r="D3893" s="2" t="s">
        <v>10055</v>
      </c>
      <c r="E3893" s="15">
        <v>0.1522</v>
      </c>
      <c r="F3893" s="15">
        <v>0.31130000000000002</v>
      </c>
      <c r="G3893" s="15">
        <v>0.625</v>
      </c>
      <c r="H3893" s="15">
        <v>1.5900000000000001E-2</v>
      </c>
      <c r="I3893" s="15">
        <v>3.6499999999999998E-2</v>
      </c>
      <c r="J3893" s="15">
        <v>0.43561643835616443</v>
      </c>
    </row>
    <row r="3894" spans="1:10" x14ac:dyDescent="0.25">
      <c r="A3894" s="2" t="s">
        <v>9933</v>
      </c>
      <c r="B3894" s="2" t="s">
        <v>7007</v>
      </c>
      <c r="C3894" s="2" t="s">
        <v>9934</v>
      </c>
      <c r="D3894" s="2" t="s">
        <v>10055</v>
      </c>
      <c r="E3894" s="15">
        <v>0.1022</v>
      </c>
      <c r="F3894" s="15">
        <v>0.19889999999999999</v>
      </c>
      <c r="G3894" s="15">
        <v>0.60719999999999996</v>
      </c>
      <c r="H3894" s="15">
        <v>2.9700000000000001E-2</v>
      </c>
      <c r="I3894" s="15">
        <v>4.02E-2</v>
      </c>
      <c r="J3894" s="15">
        <v>0.73880597014925375</v>
      </c>
    </row>
    <row r="3895" spans="1:10" x14ac:dyDescent="0.25">
      <c r="A3895" s="2" t="s">
        <v>9935</v>
      </c>
      <c r="B3895" s="2" t="s">
        <v>7007</v>
      </c>
      <c r="C3895" s="2" t="s">
        <v>9936</v>
      </c>
      <c r="D3895" s="2" t="s">
        <v>10055</v>
      </c>
      <c r="E3895" s="15"/>
      <c r="F3895" s="15"/>
      <c r="G3895" s="15"/>
      <c r="H3895" s="15"/>
      <c r="I3895" s="15"/>
      <c r="J3895" s="15"/>
    </row>
    <row r="3896" spans="1:10" x14ac:dyDescent="0.25">
      <c r="A3896" s="2" t="s">
        <v>9937</v>
      </c>
      <c r="B3896" s="2" t="s">
        <v>7007</v>
      </c>
      <c r="C3896" s="2" t="s">
        <v>9938</v>
      </c>
      <c r="D3896" s="2" t="s">
        <v>10055</v>
      </c>
      <c r="E3896" s="15"/>
      <c r="F3896" s="15"/>
      <c r="G3896" s="15"/>
      <c r="H3896" s="15">
        <v>-6.4199999999999993E-2</v>
      </c>
      <c r="I3896" s="15">
        <v>3.7400000000000003E-2</v>
      </c>
      <c r="J3896" s="15">
        <v>-1.7165775401069521</v>
      </c>
    </row>
    <row r="3897" spans="1:10" x14ac:dyDescent="0.25">
      <c r="A3897" s="2" t="s">
        <v>9939</v>
      </c>
      <c r="B3897" s="2" t="s">
        <v>7007</v>
      </c>
      <c r="C3897" s="2" t="s">
        <v>9940</v>
      </c>
      <c r="D3897" s="2" t="s">
        <v>10055</v>
      </c>
      <c r="E3897" s="15"/>
      <c r="F3897" s="15"/>
      <c r="G3897" s="15"/>
      <c r="H3897" s="15">
        <v>-3.27E-2</v>
      </c>
      <c r="I3897" s="15">
        <v>3.5999999999999997E-2</v>
      </c>
      <c r="J3897" s="15">
        <v>-0.90833333333333344</v>
      </c>
    </row>
    <row r="3898" spans="1:10" x14ac:dyDescent="0.25">
      <c r="A3898" s="2" t="s">
        <v>9941</v>
      </c>
      <c r="B3898" s="2" t="s">
        <v>7007</v>
      </c>
      <c r="C3898" s="2" t="s">
        <v>9942</v>
      </c>
      <c r="D3898" s="2" t="s">
        <v>10055</v>
      </c>
      <c r="E3898" s="15">
        <v>-3.6700000000000003E-2</v>
      </c>
      <c r="F3898" s="15">
        <v>0.15459999999999999</v>
      </c>
      <c r="G3898" s="15">
        <v>0.81220000000000003</v>
      </c>
      <c r="H3898" s="15">
        <v>5.7599999999999998E-2</v>
      </c>
      <c r="I3898" s="15">
        <v>4.02E-2</v>
      </c>
      <c r="J3898" s="15">
        <v>1.4328358208955221</v>
      </c>
    </row>
    <row r="3899" spans="1:10" x14ac:dyDescent="0.25">
      <c r="A3899" s="2" t="s">
        <v>9943</v>
      </c>
      <c r="B3899" s="2" t="s">
        <v>7007</v>
      </c>
      <c r="C3899" s="2" t="s">
        <v>9944</v>
      </c>
      <c r="D3899" s="2" t="s">
        <v>10055</v>
      </c>
      <c r="E3899" s="15">
        <v>0.2044</v>
      </c>
      <c r="F3899" s="15">
        <v>0.22520000000000001</v>
      </c>
      <c r="G3899" s="15">
        <v>0.36420000000000002</v>
      </c>
      <c r="H3899" s="15">
        <v>2.9600000000000001E-2</v>
      </c>
      <c r="I3899" s="15">
        <v>3.61E-2</v>
      </c>
      <c r="J3899" s="15">
        <v>0.81994459833795019</v>
      </c>
    </row>
    <row r="3900" spans="1:10" x14ac:dyDescent="0.25">
      <c r="A3900" s="2" t="s">
        <v>9945</v>
      </c>
      <c r="B3900" s="2" t="s">
        <v>7007</v>
      </c>
      <c r="C3900" s="2" t="s">
        <v>9946</v>
      </c>
      <c r="D3900" s="2" t="s">
        <v>10055</v>
      </c>
      <c r="E3900" s="15">
        <v>7.0599999999999996E-2</v>
      </c>
      <c r="F3900" s="15">
        <v>0.29370000000000002</v>
      </c>
      <c r="G3900" s="15">
        <v>0.81020000000000003</v>
      </c>
      <c r="H3900" s="15">
        <v>1.4500000000000001E-2</v>
      </c>
      <c r="I3900" s="15">
        <v>3.49E-2</v>
      </c>
      <c r="J3900" s="15">
        <v>0.41547277936962751</v>
      </c>
    </row>
    <row r="3901" spans="1:10" x14ac:dyDescent="0.25">
      <c r="A3901" s="2" t="s">
        <v>9947</v>
      </c>
      <c r="B3901" s="2" t="s">
        <v>7007</v>
      </c>
      <c r="C3901" s="2" t="s">
        <v>9948</v>
      </c>
      <c r="D3901" s="2" t="s">
        <v>10055</v>
      </c>
      <c r="E3901" s="15">
        <v>4.8399999999999999E-2</v>
      </c>
      <c r="F3901" s="15">
        <v>0.12379999999999999</v>
      </c>
      <c r="G3901" s="15">
        <v>0.69610000000000005</v>
      </c>
      <c r="H3901" s="15">
        <v>7.3200000000000001E-2</v>
      </c>
      <c r="I3901" s="15">
        <v>3.5099999999999999E-2</v>
      </c>
      <c r="J3901" s="15">
        <v>2.0854700854700861</v>
      </c>
    </row>
    <row r="3902" spans="1:10" x14ac:dyDescent="0.25">
      <c r="A3902" s="2" t="s">
        <v>9949</v>
      </c>
      <c r="B3902" s="2" t="s">
        <v>7007</v>
      </c>
      <c r="C3902" s="2" t="s">
        <v>9950</v>
      </c>
      <c r="D3902" s="2" t="s">
        <v>10055</v>
      </c>
      <c r="E3902" s="15"/>
      <c r="F3902" s="15"/>
      <c r="G3902" s="15"/>
      <c r="H3902" s="15"/>
      <c r="I3902" s="15"/>
      <c r="J3902" s="15"/>
    </row>
    <row r="3903" spans="1:10" x14ac:dyDescent="0.25">
      <c r="A3903" s="2" t="s">
        <v>9951</v>
      </c>
      <c r="B3903" s="2" t="s">
        <v>7007</v>
      </c>
      <c r="C3903" s="2" t="s">
        <v>9952</v>
      </c>
      <c r="D3903" s="2" t="s">
        <v>10055</v>
      </c>
      <c r="E3903" s="15">
        <v>0.3795</v>
      </c>
      <c r="F3903" s="15">
        <v>0.21890000000000001</v>
      </c>
      <c r="G3903" s="15">
        <v>8.2900000000000001E-2</v>
      </c>
      <c r="H3903" s="15">
        <v>4.1200000000000001E-2</v>
      </c>
      <c r="I3903" s="15">
        <v>3.4799999999999998E-2</v>
      </c>
      <c r="J3903" s="15">
        <v>1.183908045977011</v>
      </c>
    </row>
    <row r="3904" spans="1:10" x14ac:dyDescent="0.25">
      <c r="A3904" s="2" t="s">
        <v>9953</v>
      </c>
      <c r="B3904" s="2" t="s">
        <v>7007</v>
      </c>
      <c r="C3904" s="2" t="s">
        <v>9954</v>
      </c>
      <c r="D3904" s="2" t="s">
        <v>10055</v>
      </c>
      <c r="E3904" s="15"/>
      <c r="F3904" s="15"/>
      <c r="G3904" s="15"/>
      <c r="H3904" s="15">
        <v>-7.6999999999999999E-2</v>
      </c>
      <c r="I3904" s="15">
        <v>3.7699999999999997E-2</v>
      </c>
      <c r="J3904" s="15">
        <v>-2.042440318302388</v>
      </c>
    </row>
    <row r="3905" spans="1:10" x14ac:dyDescent="0.25">
      <c r="A3905" s="2" t="s">
        <v>9955</v>
      </c>
      <c r="B3905" s="2" t="s">
        <v>7007</v>
      </c>
      <c r="C3905" s="2" t="s">
        <v>9956</v>
      </c>
      <c r="D3905" s="2" t="s">
        <v>10055</v>
      </c>
      <c r="E3905" s="15">
        <v>0.2366</v>
      </c>
      <c r="F3905" s="15">
        <v>0.12889999999999999</v>
      </c>
      <c r="G3905" s="15">
        <v>6.6500000000000004E-2</v>
      </c>
      <c r="H3905" s="15">
        <v>6.9900000000000004E-2</v>
      </c>
      <c r="I3905" s="15">
        <v>3.9E-2</v>
      </c>
      <c r="J3905" s="15">
        <v>1.7923076923076919</v>
      </c>
    </row>
    <row r="3906" spans="1:10" x14ac:dyDescent="0.25">
      <c r="A3906" s="2" t="s">
        <v>9957</v>
      </c>
      <c r="B3906" s="2" t="s">
        <v>7007</v>
      </c>
      <c r="C3906" s="2" t="s">
        <v>9958</v>
      </c>
      <c r="D3906" s="2" t="s">
        <v>10055</v>
      </c>
      <c r="E3906" s="15">
        <v>-0.29409999999999997</v>
      </c>
      <c r="F3906" s="15">
        <v>0.19969999999999999</v>
      </c>
      <c r="G3906" s="15">
        <v>0.14080000000000001</v>
      </c>
      <c r="H3906" s="15">
        <v>4.87E-2</v>
      </c>
      <c r="I3906" s="15">
        <v>3.7400000000000003E-2</v>
      </c>
      <c r="J3906" s="15">
        <v>1.302139037433155</v>
      </c>
    </row>
    <row r="3907" spans="1:10" x14ac:dyDescent="0.25">
      <c r="A3907" s="2" t="s">
        <v>9959</v>
      </c>
      <c r="B3907" s="2" t="s">
        <v>7007</v>
      </c>
      <c r="C3907" s="2" t="s">
        <v>9960</v>
      </c>
      <c r="D3907" s="2" t="s">
        <v>10055</v>
      </c>
      <c r="E3907" s="15"/>
      <c r="F3907" s="15"/>
      <c r="G3907" s="15"/>
      <c r="H3907" s="15"/>
      <c r="I3907" s="15"/>
      <c r="J3907" s="15"/>
    </row>
    <row r="3908" spans="1:10" x14ac:dyDescent="0.25">
      <c r="A3908" s="2" t="s">
        <v>9961</v>
      </c>
      <c r="B3908" s="2" t="s">
        <v>7007</v>
      </c>
      <c r="C3908" s="2" t="s">
        <v>9962</v>
      </c>
      <c r="D3908" s="2" t="s">
        <v>10055</v>
      </c>
      <c r="E3908" s="15">
        <v>-0.1179</v>
      </c>
      <c r="F3908" s="15">
        <v>0.30940000000000001</v>
      </c>
      <c r="G3908" s="15">
        <v>0.70330000000000004</v>
      </c>
      <c r="H3908" s="15">
        <v>1.6299999999999999E-2</v>
      </c>
      <c r="I3908" s="15">
        <v>3.8199999999999998E-2</v>
      </c>
      <c r="J3908" s="15">
        <v>0.42670157068062831</v>
      </c>
    </row>
    <row r="3909" spans="1:10" x14ac:dyDescent="0.25">
      <c r="A3909" s="2" t="s">
        <v>9963</v>
      </c>
      <c r="B3909" s="2" t="s">
        <v>7007</v>
      </c>
      <c r="C3909" s="2" t="s">
        <v>9964</v>
      </c>
      <c r="D3909" s="2" t="s">
        <v>10055</v>
      </c>
      <c r="E3909" s="15"/>
      <c r="F3909" s="15"/>
      <c r="G3909" s="15"/>
      <c r="H3909" s="15">
        <v>-1.6999999999999999E-3</v>
      </c>
      <c r="I3909" s="15">
        <v>3.7499999999999999E-2</v>
      </c>
      <c r="J3909" s="15">
        <v>-4.533333333333333E-2</v>
      </c>
    </row>
    <row r="3910" spans="1:10" x14ac:dyDescent="0.25">
      <c r="A3910" s="2" t="s">
        <v>9965</v>
      </c>
      <c r="B3910" s="2" t="s">
        <v>7007</v>
      </c>
      <c r="C3910" s="2" t="s">
        <v>9966</v>
      </c>
      <c r="D3910" s="2" t="s">
        <v>10055</v>
      </c>
      <c r="E3910" s="15">
        <v>0.1908</v>
      </c>
      <c r="F3910" s="15">
        <v>0.1744</v>
      </c>
      <c r="G3910" s="15">
        <v>0.27389999999999998</v>
      </c>
      <c r="H3910" s="15">
        <v>4.2200000000000001E-2</v>
      </c>
      <c r="I3910" s="15">
        <v>4.0599999999999997E-2</v>
      </c>
      <c r="J3910" s="15">
        <v>1.0394088669950741</v>
      </c>
    </row>
    <row r="3911" spans="1:10" x14ac:dyDescent="0.25">
      <c r="A3911" s="2" t="s">
        <v>9967</v>
      </c>
      <c r="B3911" s="2" t="s">
        <v>7007</v>
      </c>
      <c r="C3911" s="2" t="s">
        <v>9968</v>
      </c>
      <c r="D3911" s="2" t="s">
        <v>10055</v>
      </c>
      <c r="E3911" s="15">
        <v>0.23280000000000001</v>
      </c>
      <c r="F3911" s="15">
        <v>0.29480000000000001</v>
      </c>
      <c r="G3911" s="15">
        <v>0.42970000000000003</v>
      </c>
      <c r="H3911" s="15">
        <v>2.1100000000000001E-2</v>
      </c>
      <c r="I3911" s="15">
        <v>3.49E-2</v>
      </c>
      <c r="J3911" s="15">
        <v>0.60458452722063039</v>
      </c>
    </row>
    <row r="3912" spans="1:10" x14ac:dyDescent="0.25">
      <c r="A3912" s="2" t="s">
        <v>9969</v>
      </c>
      <c r="B3912" s="2" t="s">
        <v>7007</v>
      </c>
      <c r="C3912" s="2" t="s">
        <v>9970</v>
      </c>
      <c r="D3912" s="2" t="s">
        <v>10055</v>
      </c>
      <c r="E3912" s="15"/>
      <c r="F3912" s="15"/>
      <c r="G3912" s="15"/>
      <c r="H3912" s="15">
        <v>-8.2199999999999995E-2</v>
      </c>
      <c r="I3912" s="15">
        <v>3.5099999999999999E-2</v>
      </c>
      <c r="J3912" s="15">
        <v>-2.341880341880342</v>
      </c>
    </row>
    <row r="3913" spans="1:10" x14ac:dyDescent="0.25">
      <c r="A3913" s="2" t="s">
        <v>9971</v>
      </c>
      <c r="B3913" s="2" t="s">
        <v>7007</v>
      </c>
      <c r="C3913" s="2" t="s">
        <v>9972</v>
      </c>
      <c r="D3913" s="2" t="s">
        <v>10055</v>
      </c>
      <c r="E3913" s="15"/>
      <c r="F3913" s="15"/>
      <c r="G3913" s="15"/>
      <c r="H3913" s="15">
        <v>-2.5999999999999999E-3</v>
      </c>
      <c r="I3913" s="15">
        <v>3.3300000000000003E-2</v>
      </c>
      <c r="J3913" s="15">
        <v>-7.8078078078078067E-2</v>
      </c>
    </row>
    <row r="3914" spans="1:10" x14ac:dyDescent="0.25">
      <c r="A3914" s="2" t="s">
        <v>9973</v>
      </c>
      <c r="B3914" s="2" t="s">
        <v>7007</v>
      </c>
      <c r="C3914" s="2" t="s">
        <v>9974</v>
      </c>
      <c r="D3914" s="2" t="s">
        <v>10055</v>
      </c>
      <c r="E3914" s="15">
        <v>-0.1242</v>
      </c>
      <c r="F3914" s="15">
        <v>0.2586</v>
      </c>
      <c r="G3914" s="15">
        <v>0.63090000000000002</v>
      </c>
      <c r="H3914" s="15">
        <v>2.1700000000000001E-2</v>
      </c>
      <c r="I3914" s="15">
        <v>3.7100000000000001E-2</v>
      </c>
      <c r="J3914" s="15">
        <v>0.58490566037735847</v>
      </c>
    </row>
    <row r="3915" spans="1:10" x14ac:dyDescent="0.25">
      <c r="A3915" s="2" t="s">
        <v>9975</v>
      </c>
      <c r="B3915" s="2" t="s">
        <v>7007</v>
      </c>
      <c r="C3915" s="2" t="s">
        <v>9976</v>
      </c>
      <c r="D3915" s="2" t="s">
        <v>10055</v>
      </c>
      <c r="E3915" s="15"/>
      <c r="F3915" s="15"/>
      <c r="G3915" s="15"/>
      <c r="H3915" s="15"/>
      <c r="I3915" s="15"/>
      <c r="J3915" s="15"/>
    </row>
    <row r="3916" spans="1:10" x14ac:dyDescent="0.25">
      <c r="A3916" s="2" t="s">
        <v>9977</v>
      </c>
      <c r="B3916" s="2" t="s">
        <v>9978</v>
      </c>
      <c r="C3916" s="2" t="s">
        <v>9979</v>
      </c>
      <c r="D3916" s="2" t="s">
        <v>10055</v>
      </c>
      <c r="E3916" s="15">
        <v>-4.53E-2</v>
      </c>
      <c r="F3916" s="15">
        <v>7.7799999999999994E-2</v>
      </c>
      <c r="G3916" s="15">
        <v>0.56030000000000002</v>
      </c>
      <c r="H3916" s="15">
        <v>0.1666</v>
      </c>
      <c r="I3916" s="15">
        <v>4.0599999999999997E-2</v>
      </c>
      <c r="J3916" s="15">
        <v>4.1034482758620694</v>
      </c>
    </row>
    <row r="3917" spans="1:10" x14ac:dyDescent="0.25">
      <c r="A3917" s="2" t="s">
        <v>9980</v>
      </c>
      <c r="B3917" s="2" t="s">
        <v>9978</v>
      </c>
      <c r="C3917" s="2" t="s">
        <v>9981</v>
      </c>
      <c r="D3917" s="2" t="s">
        <v>10055</v>
      </c>
      <c r="E3917" s="15">
        <v>3.8199999999999998E-2</v>
      </c>
      <c r="F3917" s="15">
        <v>7.2599999999999998E-2</v>
      </c>
      <c r="G3917" s="15">
        <v>0.59860000000000002</v>
      </c>
      <c r="H3917" s="15">
        <v>0.20519999999999999</v>
      </c>
      <c r="I3917" s="15">
        <v>5.0599999999999999E-2</v>
      </c>
      <c r="J3917" s="15">
        <v>4.0553359683794463</v>
      </c>
    </row>
    <row r="3918" spans="1:10" x14ac:dyDescent="0.25">
      <c r="A3918" s="2" t="s">
        <v>9982</v>
      </c>
      <c r="B3918" s="2" t="s">
        <v>9978</v>
      </c>
      <c r="C3918" s="2" t="s">
        <v>9983</v>
      </c>
      <c r="D3918" s="2" t="s">
        <v>10055</v>
      </c>
      <c r="E3918" s="15">
        <v>-0.14580000000000001</v>
      </c>
      <c r="F3918" s="15">
        <v>7.1199999999999999E-2</v>
      </c>
      <c r="G3918" s="15">
        <v>4.0500000000000001E-2</v>
      </c>
      <c r="H3918" s="15">
        <v>0.309</v>
      </c>
      <c r="I3918" s="15">
        <v>6.5100000000000005E-2</v>
      </c>
      <c r="J3918" s="15">
        <v>4.7465437788018434</v>
      </c>
    </row>
    <row r="3919" spans="1:10" x14ac:dyDescent="0.25">
      <c r="A3919" s="2" t="s">
        <v>9984</v>
      </c>
      <c r="B3919" s="2" t="s">
        <v>9978</v>
      </c>
      <c r="C3919" s="2" t="s">
        <v>9985</v>
      </c>
      <c r="D3919" s="2" t="s">
        <v>10055</v>
      </c>
      <c r="E3919" s="15">
        <v>-0.11360000000000001</v>
      </c>
      <c r="F3919" s="15">
        <v>7.4800000000000005E-2</v>
      </c>
      <c r="G3919" s="15">
        <v>0.12870000000000001</v>
      </c>
      <c r="H3919" s="15">
        <v>0.23499999999999999</v>
      </c>
      <c r="I3919" s="15">
        <v>4.7300000000000002E-2</v>
      </c>
      <c r="J3919" s="15">
        <v>4.9682875264270612</v>
      </c>
    </row>
    <row r="3920" spans="1:10" x14ac:dyDescent="0.25">
      <c r="A3920" s="2" t="s">
        <v>9986</v>
      </c>
      <c r="B3920" s="2" t="s">
        <v>9978</v>
      </c>
      <c r="C3920" s="2" t="s">
        <v>9987</v>
      </c>
      <c r="D3920" s="2" t="s">
        <v>10055</v>
      </c>
      <c r="E3920" s="15">
        <v>0.25940000000000002</v>
      </c>
      <c r="F3920" s="15">
        <v>0.28420000000000001</v>
      </c>
      <c r="G3920" s="15">
        <v>0.36130000000000001</v>
      </c>
      <c r="H3920" s="15">
        <v>2.9399999999999999E-2</v>
      </c>
      <c r="I3920" s="15">
        <v>3.73E-2</v>
      </c>
      <c r="J3920" s="15">
        <v>0.7882037533512064</v>
      </c>
    </row>
    <row r="3921" spans="1:10" x14ac:dyDescent="0.25">
      <c r="A3921" s="2" t="s">
        <v>9988</v>
      </c>
      <c r="B3921" s="2" t="s">
        <v>9978</v>
      </c>
      <c r="C3921" s="2" t="s">
        <v>9989</v>
      </c>
      <c r="D3921" s="2" t="s">
        <v>10055</v>
      </c>
      <c r="E3921" s="15">
        <v>9.3700000000000006E-2</v>
      </c>
      <c r="F3921" s="15">
        <v>6.2300000000000001E-2</v>
      </c>
      <c r="G3921" s="15">
        <v>0.13270000000000001</v>
      </c>
      <c r="H3921" s="15">
        <v>0.29210000000000003</v>
      </c>
      <c r="I3921" s="15">
        <v>4.41E-2</v>
      </c>
      <c r="J3921" s="15">
        <v>6.6235827664399096</v>
      </c>
    </row>
    <row r="3922" spans="1:10" x14ac:dyDescent="0.25">
      <c r="A3922" s="2" t="s">
        <v>9990</v>
      </c>
      <c r="B3922" s="2" t="s">
        <v>9991</v>
      </c>
      <c r="C3922" s="2" t="s">
        <v>9992</v>
      </c>
      <c r="D3922" s="2" t="s">
        <v>10056</v>
      </c>
      <c r="E3922" s="15">
        <v>7.9000000000000008E-3</v>
      </c>
      <c r="F3922" s="15">
        <v>8.6199999999999999E-2</v>
      </c>
      <c r="G3922" s="15">
        <v>0.92689999999999995</v>
      </c>
      <c r="H3922" s="15">
        <v>0.18909999999999999</v>
      </c>
      <c r="I3922" s="15">
        <v>3.9300000000000002E-2</v>
      </c>
      <c r="J3922" s="15">
        <v>4.8117048346055977</v>
      </c>
    </row>
    <row r="3923" spans="1:10" x14ac:dyDescent="0.25">
      <c r="A3923" s="2" t="s">
        <v>9993</v>
      </c>
      <c r="B3923" s="2" t="s">
        <v>9994</v>
      </c>
      <c r="C3923" s="2" t="s">
        <v>9995</v>
      </c>
      <c r="D3923" s="2" t="s">
        <v>10056</v>
      </c>
      <c r="E3923" s="15">
        <v>-5.8500000000000003E-2</v>
      </c>
      <c r="F3923" s="15">
        <v>7.5800000000000006E-2</v>
      </c>
      <c r="G3923" s="15">
        <v>0.44040000000000001</v>
      </c>
      <c r="H3923" s="15">
        <v>0.20730000000000001</v>
      </c>
      <c r="I3923" s="15">
        <v>4.3799999999999999E-2</v>
      </c>
      <c r="J3923" s="15">
        <v>4.7328767123287676</v>
      </c>
    </row>
    <row r="3924" spans="1:10" x14ac:dyDescent="0.25">
      <c r="A3924" s="2" t="s">
        <v>9996</v>
      </c>
      <c r="B3924" s="2" t="s">
        <v>9997</v>
      </c>
      <c r="C3924" s="2" t="s">
        <v>9998</v>
      </c>
      <c r="D3924" s="2" t="s">
        <v>10056</v>
      </c>
      <c r="E3924" s="15">
        <v>5.0200000000000002E-2</v>
      </c>
      <c r="F3924" s="15">
        <v>8.8099999999999998E-2</v>
      </c>
      <c r="G3924" s="15">
        <v>0.56889999999999996</v>
      </c>
      <c r="H3924" s="15">
        <v>0.1706</v>
      </c>
      <c r="I3924" s="15">
        <v>4.1200000000000001E-2</v>
      </c>
      <c r="J3924" s="15">
        <v>4.1407766990291259</v>
      </c>
    </row>
    <row r="3925" spans="1:10" x14ac:dyDescent="0.25">
      <c r="A3925" s="2" t="s">
        <v>9999</v>
      </c>
      <c r="B3925" s="2" t="s">
        <v>10000</v>
      </c>
      <c r="C3925" s="2" t="s">
        <v>10001</v>
      </c>
      <c r="D3925" s="2" t="s">
        <v>10056</v>
      </c>
      <c r="E3925" s="15">
        <v>0.1086</v>
      </c>
      <c r="F3925" s="15">
        <v>0.13059999999999999</v>
      </c>
      <c r="G3925" s="15">
        <v>0.40560000000000002</v>
      </c>
      <c r="H3925" s="15">
        <v>7.4899999999999994E-2</v>
      </c>
      <c r="I3925" s="15">
        <v>3.3700000000000001E-2</v>
      </c>
      <c r="J3925" s="15">
        <v>2.2225519287833819</v>
      </c>
    </row>
    <row r="3926" spans="1:10" x14ac:dyDescent="0.25">
      <c r="A3926" s="2" t="s">
        <v>10002</v>
      </c>
      <c r="B3926" s="2" t="s">
        <v>10003</v>
      </c>
      <c r="C3926" s="2" t="s">
        <v>10004</v>
      </c>
      <c r="D3926" s="2" t="s">
        <v>10056</v>
      </c>
      <c r="E3926" s="15">
        <v>0.1709</v>
      </c>
      <c r="F3926" s="15">
        <v>0.10780000000000001</v>
      </c>
      <c r="G3926" s="15">
        <v>0.1129</v>
      </c>
      <c r="H3926" s="15">
        <v>0.1129</v>
      </c>
      <c r="I3926" s="15">
        <v>3.9100000000000003E-2</v>
      </c>
      <c r="J3926" s="15">
        <v>2.8874680306905369</v>
      </c>
    </row>
    <row r="3927" spans="1:10" x14ac:dyDescent="0.25">
      <c r="A3927" s="2" t="s">
        <v>10005</v>
      </c>
      <c r="B3927" s="2" t="s">
        <v>10006</v>
      </c>
      <c r="C3927" s="2" t="s">
        <v>10007</v>
      </c>
      <c r="D3927" s="2" t="s">
        <v>10056</v>
      </c>
      <c r="E3927" s="15">
        <v>2.24E-2</v>
      </c>
      <c r="F3927" s="15">
        <v>7.1400000000000005E-2</v>
      </c>
      <c r="G3927" s="15">
        <v>0.75319999999999998</v>
      </c>
      <c r="H3927" s="15">
        <v>0.22359999999999999</v>
      </c>
      <c r="I3927" s="15">
        <v>5.3100000000000001E-2</v>
      </c>
      <c r="J3927" s="15">
        <v>4.2109227871939732</v>
      </c>
    </row>
    <row r="3928" spans="1:10" x14ac:dyDescent="0.25">
      <c r="A3928" s="2" t="s">
        <v>10008</v>
      </c>
      <c r="B3928" s="2" t="s">
        <v>10009</v>
      </c>
      <c r="C3928" s="2" t="s">
        <v>10010</v>
      </c>
      <c r="D3928" s="2" t="s">
        <v>10056</v>
      </c>
      <c r="E3928" s="15">
        <v>1.89E-2</v>
      </c>
      <c r="F3928" s="15">
        <v>6.7000000000000004E-2</v>
      </c>
      <c r="G3928" s="15">
        <v>0.77790000000000004</v>
      </c>
      <c r="H3928" s="15">
        <v>0.2457</v>
      </c>
      <c r="I3928" s="15">
        <v>4.4600000000000001E-2</v>
      </c>
      <c r="J3928" s="15">
        <v>5.5089686098654704</v>
      </c>
    </row>
    <row r="3929" spans="1:10" x14ac:dyDescent="0.25">
      <c r="A3929" s="2" t="s">
        <v>10011</v>
      </c>
      <c r="B3929" s="2" t="s">
        <v>10012</v>
      </c>
      <c r="C3929" s="2" t="s">
        <v>10013</v>
      </c>
      <c r="D3929" s="2" t="s">
        <v>10056</v>
      </c>
      <c r="E3929" s="15">
        <v>1.2E-2</v>
      </c>
      <c r="F3929" s="15">
        <v>7.4399999999999994E-2</v>
      </c>
      <c r="G3929" s="15">
        <v>0.87190000000000001</v>
      </c>
      <c r="H3929" s="15">
        <v>0.2162</v>
      </c>
      <c r="I3929" s="15">
        <v>4.19E-2</v>
      </c>
      <c r="J3929" s="15">
        <v>5.1599045346062056</v>
      </c>
    </row>
    <row r="3930" spans="1:10" x14ac:dyDescent="0.25">
      <c r="A3930" s="2" t="s">
        <v>10014</v>
      </c>
      <c r="B3930" s="2" t="s">
        <v>10015</v>
      </c>
      <c r="C3930" s="2" t="s">
        <v>10016</v>
      </c>
      <c r="D3930" s="2" t="s">
        <v>10056</v>
      </c>
      <c r="E3930" s="15">
        <v>4.2200000000000001E-2</v>
      </c>
      <c r="F3930" s="15">
        <v>6.2E-2</v>
      </c>
      <c r="G3930" s="15">
        <v>0.4965</v>
      </c>
      <c r="H3930" s="15">
        <v>0.28539999999999999</v>
      </c>
      <c r="I3930" s="15">
        <v>4.7199999999999999E-2</v>
      </c>
      <c r="J3930" s="15">
        <v>6.0466101694915251</v>
      </c>
    </row>
    <row r="3931" spans="1:10" x14ac:dyDescent="0.25">
      <c r="A3931" s="2" t="s">
        <v>10017</v>
      </c>
      <c r="B3931" s="2" t="s">
        <v>10018</v>
      </c>
      <c r="C3931" s="2" t="s">
        <v>10019</v>
      </c>
      <c r="D3931" s="2" t="s">
        <v>10056</v>
      </c>
      <c r="E3931" s="15">
        <v>2.1600000000000001E-2</v>
      </c>
      <c r="F3931" s="15">
        <v>7.4800000000000005E-2</v>
      </c>
      <c r="G3931" s="15">
        <v>0.7732</v>
      </c>
      <c r="H3931" s="15">
        <v>0.22090000000000001</v>
      </c>
      <c r="I3931" s="15">
        <v>4.5199999999999997E-2</v>
      </c>
      <c r="J3931" s="15">
        <v>4.8871681415929213</v>
      </c>
    </row>
    <row r="3932" spans="1:10" x14ac:dyDescent="0.25">
      <c r="A3932" s="2" t="s">
        <v>10020</v>
      </c>
      <c r="B3932" s="2" t="s">
        <v>10021</v>
      </c>
      <c r="C3932" s="2" t="s">
        <v>10022</v>
      </c>
      <c r="D3932" s="2" t="s">
        <v>10056</v>
      </c>
      <c r="E3932" s="15"/>
      <c r="F3932" s="15"/>
      <c r="G3932" s="15"/>
      <c r="H3932" s="15">
        <v>-1.21E-2</v>
      </c>
      <c r="I3932" s="15">
        <v>4.2299999999999997E-2</v>
      </c>
      <c r="J3932" s="15">
        <v>-0.2860520094562648</v>
      </c>
    </row>
    <row r="3933" spans="1:10" x14ac:dyDescent="0.25">
      <c r="A3933" s="2" t="s">
        <v>10023</v>
      </c>
      <c r="B3933" s="2" t="s">
        <v>10024</v>
      </c>
      <c r="C3933" s="2" t="s">
        <v>10025</v>
      </c>
      <c r="D3933" s="2" t="s">
        <v>10056</v>
      </c>
      <c r="E3933" s="15"/>
      <c r="F3933" s="15"/>
      <c r="G3933" s="15"/>
      <c r="H3933" s="15">
        <v>-6.5799999999999997E-2</v>
      </c>
      <c r="I3933" s="15">
        <v>3.3300000000000003E-2</v>
      </c>
      <c r="J3933" s="15">
        <v>-1.9759759759759761</v>
      </c>
    </row>
    <row r="3934" spans="1:10" x14ac:dyDescent="0.25">
      <c r="A3934" s="2" t="s">
        <v>10026</v>
      </c>
      <c r="B3934" s="2" t="s">
        <v>10027</v>
      </c>
      <c r="C3934" s="2" t="s">
        <v>10028</v>
      </c>
      <c r="D3934" s="2" t="s">
        <v>10056</v>
      </c>
      <c r="E3934" s="15">
        <v>-1.72E-2</v>
      </c>
      <c r="F3934" s="15">
        <v>8.8099999999999998E-2</v>
      </c>
      <c r="G3934" s="15">
        <v>0.84519999999999995</v>
      </c>
      <c r="H3934" s="15">
        <v>0.1138</v>
      </c>
      <c r="I3934" s="15">
        <v>4.0399999999999998E-2</v>
      </c>
      <c r="J3934" s="15">
        <v>2.8168316831683171</v>
      </c>
    </row>
    <row r="3935" spans="1:10" x14ac:dyDescent="0.25">
      <c r="A3935" s="2" t="s">
        <v>10029</v>
      </c>
      <c r="B3935" s="2" t="s">
        <v>10030</v>
      </c>
      <c r="C3935" s="2" t="s">
        <v>10031</v>
      </c>
      <c r="D3935" s="2" t="s">
        <v>10056</v>
      </c>
      <c r="E3935" s="15">
        <v>-2.52E-2</v>
      </c>
      <c r="F3935" s="15">
        <v>7.9699999999999993E-2</v>
      </c>
      <c r="G3935" s="15">
        <v>0.75129999999999997</v>
      </c>
      <c r="H3935" s="15">
        <v>0.1741</v>
      </c>
      <c r="I3935" s="15">
        <v>4.1099999999999998E-2</v>
      </c>
      <c r="J3935" s="15">
        <v>4.236009732360098</v>
      </c>
    </row>
    <row r="3936" spans="1:10" x14ac:dyDescent="0.25">
      <c r="A3936" s="2" t="s">
        <v>10032</v>
      </c>
      <c r="B3936" s="2" t="s">
        <v>10033</v>
      </c>
      <c r="C3936" s="2" t="s">
        <v>10034</v>
      </c>
      <c r="D3936" s="2" t="s">
        <v>10056</v>
      </c>
      <c r="E3936" s="15">
        <v>-0.17419999999999999</v>
      </c>
      <c r="F3936" s="15">
        <v>0.1953</v>
      </c>
      <c r="G3936" s="15">
        <v>0.37259999999999999</v>
      </c>
      <c r="H3936" s="15">
        <v>3.6299999999999999E-2</v>
      </c>
      <c r="I3936" s="15">
        <v>3.6600000000000001E-2</v>
      </c>
      <c r="J3936" s="15">
        <v>0.99180327868852458</v>
      </c>
    </row>
    <row r="3937" spans="1:10" x14ac:dyDescent="0.25">
      <c r="A3937" s="2" t="s">
        <v>10035</v>
      </c>
      <c r="B3937" s="2" t="s">
        <v>10036</v>
      </c>
      <c r="C3937" s="2" t="s">
        <v>10037</v>
      </c>
      <c r="D3937" s="2" t="s">
        <v>10056</v>
      </c>
      <c r="E3937" s="15">
        <v>1.95E-2</v>
      </c>
      <c r="F3937" s="15">
        <v>0.15359999999999999</v>
      </c>
      <c r="G3937" s="15">
        <v>0.89900000000000002</v>
      </c>
      <c r="H3937" s="15">
        <v>3.9E-2</v>
      </c>
      <c r="I3937" s="15">
        <v>4.5699999999999998E-2</v>
      </c>
      <c r="J3937" s="15">
        <v>0.85339168490153172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6C65-395F-4446-8ED1-3E24788A5BAE}">
  <dimension ref="A1:J3937"/>
  <sheetViews>
    <sheetView workbookViewId="0"/>
  </sheetViews>
  <sheetFormatPr defaultRowHeight="15" x14ac:dyDescent="0.25"/>
  <cols>
    <col min="1" max="1" width="6.5703125" bestFit="1" customWidth="1"/>
    <col min="2" max="2" width="7.42578125" bestFit="1" customWidth="1"/>
    <col min="3" max="3" width="62" bestFit="1" customWidth="1"/>
    <col min="4" max="4" width="33.85546875" bestFit="1" customWidth="1"/>
    <col min="5" max="5" width="8.5703125" style="16" bestFit="1" customWidth="1"/>
    <col min="6" max="6" width="9" style="16" bestFit="1" customWidth="1"/>
    <col min="7" max="7" width="7.85546875" style="16" bestFit="1" customWidth="1"/>
    <col min="8" max="8" width="15.7109375" style="16" customWidth="1"/>
    <col min="9" max="9" width="20" style="16" customWidth="1"/>
    <col min="10" max="10" width="14.42578125" style="16" bestFit="1" customWidth="1"/>
  </cols>
  <sheetData>
    <row r="1" spans="1:10" s="11" customFormat="1" x14ac:dyDescent="0.25">
      <c r="A1" s="1" t="s">
        <v>12329</v>
      </c>
    </row>
    <row r="2" spans="1:10" s="11" customFormat="1" ht="16.5" x14ac:dyDescent="0.3">
      <c r="A2" s="10" t="s">
        <v>10038</v>
      </c>
      <c r="B2" s="10" t="s">
        <v>0</v>
      </c>
      <c r="C2" s="10" t="s">
        <v>1</v>
      </c>
      <c r="D2" s="10" t="s">
        <v>10039</v>
      </c>
      <c r="E2" s="10" t="s">
        <v>12312</v>
      </c>
      <c r="F2" s="10" t="s">
        <v>3</v>
      </c>
      <c r="G2" s="10" t="s">
        <v>4</v>
      </c>
      <c r="H2" s="10" t="s">
        <v>12318</v>
      </c>
      <c r="I2" s="10" t="s">
        <v>12319</v>
      </c>
      <c r="J2" s="10" t="s">
        <v>12320</v>
      </c>
    </row>
    <row r="3" spans="1:10" x14ac:dyDescent="0.25">
      <c r="A3" s="2" t="s">
        <v>5</v>
      </c>
      <c r="B3" s="2" t="s">
        <v>6</v>
      </c>
      <c r="C3" s="2" t="s">
        <v>7</v>
      </c>
      <c r="D3" s="2" t="s">
        <v>10040</v>
      </c>
      <c r="E3" s="15">
        <v>7.4899999999999994E-2</v>
      </c>
      <c r="F3" s="15">
        <v>8.77E-2</v>
      </c>
      <c r="G3" s="15">
        <v>0.39329999999999998</v>
      </c>
      <c r="H3" s="15">
        <v>0.18609999999999999</v>
      </c>
      <c r="I3" s="15">
        <v>5.2299999999999999E-2</v>
      </c>
      <c r="J3" s="15">
        <v>3.5583173996175912</v>
      </c>
    </row>
    <row r="4" spans="1:10" x14ac:dyDescent="0.25">
      <c r="A4" s="2" t="s">
        <v>8</v>
      </c>
      <c r="B4" s="2" t="s">
        <v>9</v>
      </c>
      <c r="C4" s="2" t="s">
        <v>10</v>
      </c>
      <c r="D4" s="2" t="s">
        <v>10040</v>
      </c>
      <c r="E4" s="15">
        <v>7.9399999999999998E-2</v>
      </c>
      <c r="F4" s="15">
        <v>8.7800000000000003E-2</v>
      </c>
      <c r="G4" s="15">
        <v>0.36559999999999998</v>
      </c>
      <c r="H4" s="15">
        <v>0.18840000000000001</v>
      </c>
      <c r="I4" s="15">
        <v>5.2900000000000003E-2</v>
      </c>
      <c r="J4" s="15">
        <v>3.5614366729678641</v>
      </c>
    </row>
    <row r="5" spans="1:10" x14ac:dyDescent="0.25">
      <c r="A5" s="2" t="s">
        <v>11</v>
      </c>
      <c r="B5" s="2" t="s">
        <v>12</v>
      </c>
      <c r="C5" s="2" t="s">
        <v>13</v>
      </c>
      <c r="D5" s="2" t="s">
        <v>10040</v>
      </c>
      <c r="E5" s="15">
        <v>8.2500000000000004E-2</v>
      </c>
      <c r="F5" s="15">
        <v>6.9500000000000006E-2</v>
      </c>
      <c r="G5" s="15">
        <v>0.23519999999999999</v>
      </c>
      <c r="H5" s="15">
        <v>0.2828</v>
      </c>
      <c r="I5" s="15">
        <v>5.5800000000000002E-2</v>
      </c>
      <c r="J5" s="15">
        <v>5.0681003584229387</v>
      </c>
    </row>
    <row r="6" spans="1:10" x14ac:dyDescent="0.25">
      <c r="A6" s="2" t="s">
        <v>14</v>
      </c>
      <c r="B6" s="2" t="s">
        <v>15</v>
      </c>
      <c r="C6" s="2" t="s">
        <v>16</v>
      </c>
      <c r="D6" s="2" t="s">
        <v>10040</v>
      </c>
      <c r="E6" s="15">
        <v>8.2000000000000003E-2</v>
      </c>
      <c r="F6" s="15">
        <v>6.9699999999999998E-2</v>
      </c>
      <c r="G6" s="15">
        <v>0.2394</v>
      </c>
      <c r="H6" s="15">
        <v>0.28160000000000002</v>
      </c>
      <c r="I6" s="15">
        <v>5.5500000000000001E-2</v>
      </c>
      <c r="J6" s="15">
        <v>5.0738738738738736</v>
      </c>
    </row>
    <row r="7" spans="1:10" x14ac:dyDescent="0.25">
      <c r="A7" s="2" t="s">
        <v>17</v>
      </c>
      <c r="B7" s="2" t="s">
        <v>18</v>
      </c>
      <c r="C7" s="2" t="s">
        <v>19</v>
      </c>
      <c r="D7" s="2" t="s">
        <v>10040</v>
      </c>
      <c r="E7" s="15">
        <v>0.1008</v>
      </c>
      <c r="F7" s="15">
        <v>9.64E-2</v>
      </c>
      <c r="G7" s="15">
        <v>0.29559999999999997</v>
      </c>
      <c r="H7" s="15">
        <v>0.15939999999999999</v>
      </c>
      <c r="I7" s="15">
        <v>4.4699999999999997E-2</v>
      </c>
      <c r="J7" s="15">
        <v>3.565995525727069</v>
      </c>
    </row>
    <row r="8" spans="1:10" x14ac:dyDescent="0.25">
      <c r="A8" s="2" t="s">
        <v>20</v>
      </c>
      <c r="B8" s="2" t="s">
        <v>21</v>
      </c>
      <c r="C8" s="2" t="s">
        <v>22</v>
      </c>
      <c r="D8" s="2" t="s">
        <v>10040</v>
      </c>
      <c r="E8" s="15">
        <v>0.11219999999999999</v>
      </c>
      <c r="F8" s="15">
        <v>9.6799999999999997E-2</v>
      </c>
      <c r="G8" s="15">
        <v>0.2462</v>
      </c>
      <c r="H8" s="15">
        <v>0.16139999999999999</v>
      </c>
      <c r="I8" s="15">
        <v>4.4400000000000002E-2</v>
      </c>
      <c r="J8" s="15">
        <v>3.6351351351351351</v>
      </c>
    </row>
    <row r="9" spans="1:10" x14ac:dyDescent="0.25">
      <c r="A9" s="2" t="s">
        <v>23</v>
      </c>
      <c r="B9" s="2" t="s">
        <v>24</v>
      </c>
      <c r="C9" s="2" t="s">
        <v>25</v>
      </c>
      <c r="D9" s="2" t="s">
        <v>10040</v>
      </c>
      <c r="E9" s="15">
        <v>0.10199999999999999</v>
      </c>
      <c r="F9" s="15">
        <v>7.5899999999999995E-2</v>
      </c>
      <c r="G9" s="15">
        <v>0.17879999999999999</v>
      </c>
      <c r="H9" s="15">
        <v>0.24160000000000001</v>
      </c>
      <c r="I9" s="15">
        <v>5.45E-2</v>
      </c>
      <c r="J9" s="15">
        <v>4.4330275229357801</v>
      </c>
    </row>
    <row r="10" spans="1:10" x14ac:dyDescent="0.25">
      <c r="A10" s="2" t="s">
        <v>26</v>
      </c>
      <c r="B10" s="2" t="s">
        <v>27</v>
      </c>
      <c r="C10" s="2" t="s">
        <v>28</v>
      </c>
      <c r="D10" s="2" t="s">
        <v>10040</v>
      </c>
      <c r="E10" s="15">
        <v>0.1023</v>
      </c>
      <c r="F10" s="15">
        <v>7.6300000000000007E-2</v>
      </c>
      <c r="G10" s="15">
        <v>0.1802</v>
      </c>
      <c r="H10" s="15">
        <v>0.24049999999999999</v>
      </c>
      <c r="I10" s="15">
        <v>5.4899999999999997E-2</v>
      </c>
      <c r="J10" s="15">
        <v>4.380692167577414</v>
      </c>
    </row>
    <row r="11" spans="1:10" x14ac:dyDescent="0.25">
      <c r="A11" s="2" t="s">
        <v>29</v>
      </c>
      <c r="B11" s="2" t="s">
        <v>30</v>
      </c>
      <c r="C11" s="2" t="s">
        <v>31</v>
      </c>
      <c r="D11" s="2" t="s">
        <v>10040</v>
      </c>
      <c r="E11" s="15">
        <v>0.1353</v>
      </c>
      <c r="F11" s="15">
        <v>9.1700000000000004E-2</v>
      </c>
      <c r="G11" s="15">
        <v>0.14030000000000001</v>
      </c>
      <c r="H11" s="15">
        <v>0.189</v>
      </c>
      <c r="I11" s="15">
        <v>5.9700000000000003E-2</v>
      </c>
      <c r="J11" s="15">
        <v>3.1658291457286429</v>
      </c>
    </row>
    <row r="12" spans="1:10" x14ac:dyDescent="0.25">
      <c r="A12" s="2" t="s">
        <v>32</v>
      </c>
      <c r="B12" s="2" t="s">
        <v>33</v>
      </c>
      <c r="C12" s="2" t="s">
        <v>34</v>
      </c>
      <c r="D12" s="2" t="s">
        <v>10040</v>
      </c>
      <c r="E12" s="15">
        <v>0.13600000000000001</v>
      </c>
      <c r="F12" s="15">
        <v>9.3100000000000002E-2</v>
      </c>
      <c r="G12" s="15">
        <v>0.14430000000000001</v>
      </c>
      <c r="H12" s="15">
        <v>0.18459999999999999</v>
      </c>
      <c r="I12" s="15">
        <v>5.9200000000000003E-2</v>
      </c>
      <c r="J12" s="15">
        <v>3.118243243243243</v>
      </c>
    </row>
    <row r="13" spans="1:10" x14ac:dyDescent="0.25">
      <c r="A13" s="2" t="s">
        <v>35</v>
      </c>
      <c r="B13" s="2" t="s">
        <v>36</v>
      </c>
      <c r="C13" s="2" t="s">
        <v>37</v>
      </c>
      <c r="D13" s="2" t="s">
        <v>10040</v>
      </c>
      <c r="E13" s="15">
        <v>4.8800000000000003E-2</v>
      </c>
      <c r="F13" s="15">
        <v>7.1400000000000005E-2</v>
      </c>
      <c r="G13" s="15">
        <v>0.49440000000000001</v>
      </c>
      <c r="H13" s="15">
        <v>0.23769999999999999</v>
      </c>
      <c r="I13" s="15">
        <v>4.6100000000000002E-2</v>
      </c>
      <c r="J13" s="15">
        <v>5.1561822125813448</v>
      </c>
    </row>
    <row r="14" spans="1:10" x14ac:dyDescent="0.25">
      <c r="A14" s="2" t="s">
        <v>38</v>
      </c>
      <c r="B14" s="2" t="s">
        <v>39</v>
      </c>
      <c r="C14" s="2" t="s">
        <v>40</v>
      </c>
      <c r="D14" s="2" t="s">
        <v>10040</v>
      </c>
      <c r="E14" s="15">
        <v>8.4500000000000006E-2</v>
      </c>
      <c r="F14" s="15">
        <v>7.0499999999999993E-2</v>
      </c>
      <c r="G14" s="15">
        <v>0.2311</v>
      </c>
      <c r="H14" s="15">
        <v>0.2422</v>
      </c>
      <c r="I14" s="15">
        <v>4.6300000000000001E-2</v>
      </c>
      <c r="J14" s="15">
        <v>5.2311015118790491</v>
      </c>
    </row>
    <row r="15" spans="1:10" x14ac:dyDescent="0.25">
      <c r="A15" s="2" t="s">
        <v>41</v>
      </c>
      <c r="B15" s="2" t="s">
        <v>42</v>
      </c>
      <c r="C15" s="2" t="s">
        <v>43</v>
      </c>
      <c r="D15" s="2" t="s">
        <v>10040</v>
      </c>
      <c r="E15" s="15">
        <v>-5.0999999999999997E-2</v>
      </c>
      <c r="F15" s="15">
        <v>5.9400000000000001E-2</v>
      </c>
      <c r="G15" s="15">
        <v>0.3901</v>
      </c>
      <c r="H15" s="15">
        <v>0.33839999999999998</v>
      </c>
      <c r="I15" s="15">
        <v>4.9599999999999998E-2</v>
      </c>
      <c r="J15" s="15">
        <v>6.82258064516129</v>
      </c>
    </row>
    <row r="16" spans="1:10" x14ac:dyDescent="0.25">
      <c r="A16" s="2" t="s">
        <v>44</v>
      </c>
      <c r="B16" s="2" t="s">
        <v>45</v>
      </c>
      <c r="C16" s="2" t="s">
        <v>46</v>
      </c>
      <c r="D16" s="2" t="s">
        <v>10040</v>
      </c>
      <c r="E16" s="15">
        <v>-4.5699999999999998E-2</v>
      </c>
      <c r="F16" s="15">
        <v>6.2100000000000002E-2</v>
      </c>
      <c r="G16" s="15">
        <v>0.46150000000000002</v>
      </c>
      <c r="H16" s="15">
        <v>0.3352</v>
      </c>
      <c r="I16" s="15">
        <v>4.6899999999999997E-2</v>
      </c>
      <c r="J16" s="15">
        <v>7.1471215351812374</v>
      </c>
    </row>
    <row r="17" spans="1:10" x14ac:dyDescent="0.25">
      <c r="A17" s="2" t="s">
        <v>47</v>
      </c>
      <c r="B17" s="2" t="s">
        <v>48</v>
      </c>
      <c r="C17" s="2" t="s">
        <v>49</v>
      </c>
      <c r="D17" s="2" t="s">
        <v>10040</v>
      </c>
      <c r="E17" s="15">
        <v>0.128</v>
      </c>
      <c r="F17" s="15">
        <v>8.5199999999999998E-2</v>
      </c>
      <c r="G17" s="15">
        <v>0.13300000000000001</v>
      </c>
      <c r="H17" s="15">
        <v>0.20899999999999999</v>
      </c>
      <c r="I17" s="15">
        <v>5.4300000000000001E-2</v>
      </c>
      <c r="J17" s="15">
        <v>3.8489871086556171</v>
      </c>
    </row>
    <row r="18" spans="1:10" x14ac:dyDescent="0.25">
      <c r="A18" s="2" t="s">
        <v>50</v>
      </c>
      <c r="B18" s="2" t="s">
        <v>51</v>
      </c>
      <c r="C18" s="2" t="s">
        <v>52</v>
      </c>
      <c r="D18" s="2" t="s">
        <v>10040</v>
      </c>
      <c r="E18" s="15">
        <v>0.10150000000000001</v>
      </c>
      <c r="F18" s="15">
        <v>7.8200000000000006E-2</v>
      </c>
      <c r="G18" s="15">
        <v>0.19409999999999999</v>
      </c>
      <c r="H18" s="15">
        <v>0.28370000000000001</v>
      </c>
      <c r="I18" s="15">
        <v>5.0200000000000002E-2</v>
      </c>
      <c r="J18" s="15">
        <v>5.6513944223107568</v>
      </c>
    </row>
    <row r="19" spans="1:10" x14ac:dyDescent="0.25">
      <c r="A19" s="2" t="s">
        <v>53</v>
      </c>
      <c r="B19" s="2" t="s">
        <v>54</v>
      </c>
      <c r="C19" s="2" t="s">
        <v>55</v>
      </c>
      <c r="D19" s="2" t="s">
        <v>10040</v>
      </c>
      <c r="E19" s="15">
        <v>-7.4999999999999997E-3</v>
      </c>
      <c r="F19" s="15">
        <v>7.2800000000000004E-2</v>
      </c>
      <c r="G19" s="15">
        <v>0.91759999999999997</v>
      </c>
      <c r="H19" s="15">
        <v>0.22339999999999999</v>
      </c>
      <c r="I19" s="15">
        <v>5.5399999999999998E-2</v>
      </c>
      <c r="J19" s="15">
        <v>4.0324909747292406</v>
      </c>
    </row>
    <row r="20" spans="1:10" x14ac:dyDescent="0.25">
      <c r="A20" s="2" t="s">
        <v>56</v>
      </c>
      <c r="B20" s="2" t="s">
        <v>57</v>
      </c>
      <c r="C20" s="2" t="s">
        <v>58</v>
      </c>
      <c r="D20" s="2" t="s">
        <v>10040</v>
      </c>
      <c r="E20" s="15">
        <v>6.7000000000000004E-2</v>
      </c>
      <c r="F20" s="15">
        <v>6.3E-2</v>
      </c>
      <c r="G20" s="15">
        <v>0.28760000000000002</v>
      </c>
      <c r="H20" s="15">
        <v>0.26040000000000002</v>
      </c>
      <c r="I20" s="15">
        <v>5.4800000000000001E-2</v>
      </c>
      <c r="J20" s="15">
        <v>4.7518248175182487</v>
      </c>
    </row>
    <row r="21" spans="1:10" x14ac:dyDescent="0.25">
      <c r="A21" s="2" t="s">
        <v>59</v>
      </c>
      <c r="B21" s="2" t="s">
        <v>60</v>
      </c>
      <c r="C21" s="2" t="s">
        <v>61</v>
      </c>
      <c r="D21" s="2" t="s">
        <v>10040</v>
      </c>
      <c r="E21" s="15">
        <v>6.0499999999999998E-2</v>
      </c>
      <c r="F21" s="15">
        <v>8.7800000000000003E-2</v>
      </c>
      <c r="G21" s="15">
        <v>0.49109999999999998</v>
      </c>
      <c r="H21" s="15">
        <v>0.17219999999999999</v>
      </c>
      <c r="I21" s="15">
        <v>4.6199999999999998E-2</v>
      </c>
      <c r="J21" s="15">
        <v>3.7272727272727271</v>
      </c>
    </row>
    <row r="22" spans="1:10" x14ac:dyDescent="0.25">
      <c r="A22" s="2" t="s">
        <v>62</v>
      </c>
      <c r="B22" s="2" t="s">
        <v>63</v>
      </c>
      <c r="C22" s="2" t="s">
        <v>64</v>
      </c>
      <c r="D22" s="2" t="s">
        <v>10040</v>
      </c>
      <c r="E22" s="15">
        <v>5.1200000000000002E-2</v>
      </c>
      <c r="F22" s="15">
        <v>0.1198</v>
      </c>
      <c r="G22" s="15">
        <v>0.66910000000000003</v>
      </c>
      <c r="H22" s="15">
        <v>7.5600000000000001E-2</v>
      </c>
      <c r="I22" s="15">
        <v>4.0099999999999997E-2</v>
      </c>
      <c r="J22" s="15">
        <v>1.8852867830423941</v>
      </c>
    </row>
    <row r="23" spans="1:10" x14ac:dyDescent="0.25">
      <c r="A23" s="2" t="s">
        <v>65</v>
      </c>
      <c r="B23" s="2" t="s">
        <v>66</v>
      </c>
      <c r="C23" s="2" t="s">
        <v>67</v>
      </c>
      <c r="D23" s="2" t="s">
        <v>10040</v>
      </c>
      <c r="E23" s="15">
        <v>0.16470000000000001</v>
      </c>
      <c r="F23" s="15">
        <v>8.43E-2</v>
      </c>
      <c r="G23" s="15">
        <v>5.0700000000000002E-2</v>
      </c>
      <c r="H23" s="15">
        <v>0.18770000000000001</v>
      </c>
      <c r="I23" s="15">
        <v>3.95E-2</v>
      </c>
      <c r="J23" s="15">
        <v>4.7518987341772156</v>
      </c>
    </row>
    <row r="24" spans="1:10" x14ac:dyDescent="0.25">
      <c r="A24" s="2" t="s">
        <v>68</v>
      </c>
      <c r="B24" s="2" t="s">
        <v>69</v>
      </c>
      <c r="C24" s="2" t="s">
        <v>70</v>
      </c>
      <c r="D24" s="2" t="s">
        <v>10040</v>
      </c>
      <c r="E24" s="15">
        <v>0.14940000000000001</v>
      </c>
      <c r="F24" s="15">
        <v>0.1066</v>
      </c>
      <c r="G24" s="15">
        <v>0.1613</v>
      </c>
      <c r="H24" s="15">
        <v>0.12509999999999999</v>
      </c>
      <c r="I24" s="15">
        <v>5.1900000000000002E-2</v>
      </c>
      <c r="J24" s="15">
        <v>2.4104046242774562</v>
      </c>
    </row>
    <row r="25" spans="1:10" x14ac:dyDescent="0.25">
      <c r="A25" s="2" t="s">
        <v>71</v>
      </c>
      <c r="B25" s="2" t="s">
        <v>72</v>
      </c>
      <c r="C25" s="2" t="s">
        <v>73</v>
      </c>
      <c r="D25" s="2" t="s">
        <v>10040</v>
      </c>
      <c r="E25" s="15">
        <v>-2.3199999999999998E-2</v>
      </c>
      <c r="F25" s="15">
        <v>8.5900000000000004E-2</v>
      </c>
      <c r="G25" s="15">
        <v>0.78680000000000005</v>
      </c>
      <c r="H25" s="15">
        <v>0.14460000000000001</v>
      </c>
      <c r="I25" s="15">
        <v>4.3499999999999997E-2</v>
      </c>
      <c r="J25" s="15">
        <v>3.3241379310344832</v>
      </c>
    </row>
    <row r="26" spans="1:10" x14ac:dyDescent="0.25">
      <c r="A26" s="2" t="s">
        <v>74</v>
      </c>
      <c r="B26" s="2" t="s">
        <v>75</v>
      </c>
      <c r="C26" s="2" t="s">
        <v>76</v>
      </c>
      <c r="D26" s="2" t="s">
        <v>10040</v>
      </c>
      <c r="E26" s="15">
        <v>3.0200000000000001E-2</v>
      </c>
      <c r="F26" s="15">
        <v>7.6799999999999993E-2</v>
      </c>
      <c r="G26" s="15">
        <v>0.69389999999999996</v>
      </c>
      <c r="H26" s="15">
        <v>0.1996</v>
      </c>
      <c r="I26" s="15">
        <v>4.6199999999999998E-2</v>
      </c>
      <c r="J26" s="15">
        <v>4.3203463203463208</v>
      </c>
    </row>
    <row r="27" spans="1:10" x14ac:dyDescent="0.25">
      <c r="A27" s="2" t="s">
        <v>77</v>
      </c>
      <c r="B27" s="2" t="s">
        <v>78</v>
      </c>
      <c r="C27" s="2" t="s">
        <v>79</v>
      </c>
      <c r="D27" s="2" t="s">
        <v>10040</v>
      </c>
      <c r="E27" s="15">
        <v>6.1699999999999998E-2</v>
      </c>
      <c r="F27" s="15">
        <v>6.6199999999999995E-2</v>
      </c>
      <c r="G27" s="15">
        <v>0.35110000000000002</v>
      </c>
      <c r="H27" s="15">
        <v>0.27279999999999999</v>
      </c>
      <c r="I27" s="15">
        <v>4.9299999999999997E-2</v>
      </c>
      <c r="J27" s="15">
        <v>5.5334685598377282</v>
      </c>
    </row>
    <row r="28" spans="1:10" x14ac:dyDescent="0.25">
      <c r="A28" s="2" t="s">
        <v>80</v>
      </c>
      <c r="B28" s="2" t="s">
        <v>81</v>
      </c>
      <c r="C28" s="2" t="s">
        <v>82</v>
      </c>
      <c r="D28" s="2" t="s">
        <v>10040</v>
      </c>
      <c r="E28" s="15">
        <v>-4.1700000000000001E-2</v>
      </c>
      <c r="F28" s="15">
        <v>0.10390000000000001</v>
      </c>
      <c r="G28" s="15">
        <v>0.68789999999999996</v>
      </c>
      <c r="H28" s="15">
        <v>0.12520000000000001</v>
      </c>
      <c r="I28" s="15">
        <v>4.3499999999999997E-2</v>
      </c>
      <c r="J28" s="15">
        <v>2.87816091954023</v>
      </c>
    </row>
    <row r="29" spans="1:10" x14ac:dyDescent="0.25">
      <c r="A29" s="2" t="s">
        <v>83</v>
      </c>
      <c r="B29" s="2" t="s">
        <v>84</v>
      </c>
      <c r="C29" s="2" t="s">
        <v>85</v>
      </c>
      <c r="D29" s="2" t="s">
        <v>10040</v>
      </c>
      <c r="E29" s="15">
        <v>0.1171</v>
      </c>
      <c r="F29" s="15">
        <v>0.1036</v>
      </c>
      <c r="G29" s="15">
        <v>0.25840000000000002</v>
      </c>
      <c r="H29" s="15">
        <v>0.12520000000000001</v>
      </c>
      <c r="I29" s="15">
        <v>4.5699999999999998E-2</v>
      </c>
      <c r="J29" s="15">
        <v>2.7396061269146612</v>
      </c>
    </row>
    <row r="30" spans="1:10" x14ac:dyDescent="0.25">
      <c r="A30" s="2" t="s">
        <v>86</v>
      </c>
      <c r="B30" s="2" t="s">
        <v>87</v>
      </c>
      <c r="C30" s="2" t="s">
        <v>88</v>
      </c>
      <c r="D30" s="2" t="s">
        <v>10040</v>
      </c>
      <c r="E30" s="15">
        <v>-4.65E-2</v>
      </c>
      <c r="F30" s="15">
        <v>7.4700000000000003E-2</v>
      </c>
      <c r="G30" s="15">
        <v>0.53310000000000002</v>
      </c>
      <c r="H30" s="15">
        <v>0.24049999999999999</v>
      </c>
      <c r="I30" s="15">
        <v>4.6100000000000002E-2</v>
      </c>
      <c r="J30" s="15">
        <v>5.2169197396963121</v>
      </c>
    </row>
    <row r="31" spans="1:10" x14ac:dyDescent="0.25">
      <c r="A31" s="2" t="s">
        <v>89</v>
      </c>
      <c r="B31" s="2" t="s">
        <v>90</v>
      </c>
      <c r="C31" s="2" t="s">
        <v>91</v>
      </c>
      <c r="D31" s="2" t="s">
        <v>10040</v>
      </c>
      <c r="E31" s="15">
        <v>-1.21E-2</v>
      </c>
      <c r="F31" s="15">
        <v>7.51E-2</v>
      </c>
      <c r="G31" s="15">
        <v>0.87229999999999996</v>
      </c>
      <c r="H31" s="15">
        <v>0.24979999999999999</v>
      </c>
      <c r="I31" s="15">
        <v>4.9200000000000001E-2</v>
      </c>
      <c r="J31" s="15">
        <v>5.0772357723577226</v>
      </c>
    </row>
    <row r="32" spans="1:10" x14ac:dyDescent="0.25">
      <c r="A32" s="2" t="s">
        <v>92</v>
      </c>
      <c r="B32" s="2" t="s">
        <v>93</v>
      </c>
      <c r="C32" s="2" t="s">
        <v>94</v>
      </c>
      <c r="D32" s="2" t="s">
        <v>10040</v>
      </c>
      <c r="E32" s="15">
        <v>0.31219999999999998</v>
      </c>
      <c r="F32" s="15">
        <v>0.1115</v>
      </c>
      <c r="G32" s="15">
        <v>5.1000000000000004E-3</v>
      </c>
      <c r="H32" s="15">
        <v>0.1236</v>
      </c>
      <c r="I32" s="15">
        <v>4.7600000000000003E-2</v>
      </c>
      <c r="J32" s="15">
        <v>2.596638655462185</v>
      </c>
    </row>
    <row r="33" spans="1:10" x14ac:dyDescent="0.25">
      <c r="A33" s="2" t="s">
        <v>95</v>
      </c>
      <c r="B33" s="2" t="s">
        <v>96</v>
      </c>
      <c r="C33" s="2" t="s">
        <v>97</v>
      </c>
      <c r="D33" s="2" t="s">
        <v>10040</v>
      </c>
      <c r="E33" s="15">
        <v>0.24959999999999999</v>
      </c>
      <c r="F33" s="15">
        <v>0.11600000000000001</v>
      </c>
      <c r="G33" s="15">
        <v>3.1399999999999997E-2</v>
      </c>
      <c r="H33" s="15">
        <v>0.12670000000000001</v>
      </c>
      <c r="I33" s="15">
        <v>5.1499999999999997E-2</v>
      </c>
      <c r="J33" s="15">
        <v>2.460194174757282</v>
      </c>
    </row>
    <row r="34" spans="1:10" x14ac:dyDescent="0.25">
      <c r="A34" s="2" t="s">
        <v>98</v>
      </c>
      <c r="B34" s="2" t="s">
        <v>99</v>
      </c>
      <c r="C34" s="2" t="s">
        <v>100</v>
      </c>
      <c r="D34" s="2" t="s">
        <v>10040</v>
      </c>
      <c r="E34" s="15">
        <v>9.4700000000000006E-2</v>
      </c>
      <c r="F34" s="15">
        <v>0.1024</v>
      </c>
      <c r="G34" s="15">
        <v>0.3548</v>
      </c>
      <c r="H34" s="15">
        <v>0.1431</v>
      </c>
      <c r="I34" s="15">
        <v>4.5100000000000001E-2</v>
      </c>
      <c r="J34" s="15">
        <v>3.1729490022172948</v>
      </c>
    </row>
    <row r="35" spans="1:10" x14ac:dyDescent="0.25">
      <c r="A35" s="2" t="s">
        <v>101</v>
      </c>
      <c r="B35" s="2" t="s">
        <v>102</v>
      </c>
      <c r="C35" s="2" t="s">
        <v>103</v>
      </c>
      <c r="D35" s="2" t="s">
        <v>10040</v>
      </c>
      <c r="E35" s="15">
        <v>0.1229</v>
      </c>
      <c r="F35" s="15">
        <v>7.6700000000000004E-2</v>
      </c>
      <c r="G35" s="15">
        <v>0.1087</v>
      </c>
      <c r="H35" s="15">
        <v>0.23899999999999999</v>
      </c>
      <c r="I35" s="15">
        <v>4.7899999999999998E-2</v>
      </c>
      <c r="J35" s="15">
        <v>4.989561586638831</v>
      </c>
    </row>
    <row r="36" spans="1:10" x14ac:dyDescent="0.25">
      <c r="A36" s="2" t="s">
        <v>104</v>
      </c>
      <c r="B36" s="2" t="s">
        <v>105</v>
      </c>
      <c r="C36" s="2" t="s">
        <v>106</v>
      </c>
      <c r="D36" s="2" t="s">
        <v>10040</v>
      </c>
      <c r="E36" s="15">
        <v>0.1991</v>
      </c>
      <c r="F36" s="15">
        <v>0.1588</v>
      </c>
      <c r="G36" s="15">
        <v>0.20979999999999999</v>
      </c>
      <c r="H36" s="15">
        <v>7.3099999999999998E-2</v>
      </c>
      <c r="I36" s="15">
        <v>4.7500000000000001E-2</v>
      </c>
      <c r="J36" s="15">
        <v>1.5389473684210531</v>
      </c>
    </row>
    <row r="37" spans="1:10" x14ac:dyDescent="0.25">
      <c r="A37" s="2" t="s">
        <v>107</v>
      </c>
      <c r="B37" s="2" t="s">
        <v>108</v>
      </c>
      <c r="C37" s="2" t="s">
        <v>109</v>
      </c>
      <c r="D37" s="2" t="s">
        <v>10040</v>
      </c>
      <c r="E37" s="15">
        <v>0.1288</v>
      </c>
      <c r="F37" s="15">
        <v>0.31469999999999998</v>
      </c>
      <c r="G37" s="15">
        <v>0.68240000000000001</v>
      </c>
      <c r="H37" s="15">
        <v>1.9400000000000001E-2</v>
      </c>
      <c r="I37" s="15">
        <v>4.0500000000000001E-2</v>
      </c>
      <c r="J37" s="15">
        <v>0.47901234567901241</v>
      </c>
    </row>
    <row r="38" spans="1:10" x14ac:dyDescent="0.25">
      <c r="A38" s="2" t="s">
        <v>110</v>
      </c>
      <c r="B38" s="2" t="s">
        <v>111</v>
      </c>
      <c r="C38" s="2" t="s">
        <v>112</v>
      </c>
      <c r="D38" s="2" t="s">
        <v>10040</v>
      </c>
      <c r="E38" s="15">
        <v>0.2316</v>
      </c>
      <c r="F38" s="15">
        <v>0.22500000000000001</v>
      </c>
      <c r="G38" s="15">
        <v>0.30330000000000001</v>
      </c>
      <c r="H38" s="15">
        <v>7.9699999999999993E-2</v>
      </c>
      <c r="I38" s="15">
        <v>7.1400000000000005E-2</v>
      </c>
      <c r="J38" s="15">
        <v>1.11624649859944</v>
      </c>
    </row>
    <row r="39" spans="1:10" x14ac:dyDescent="0.25">
      <c r="A39" s="2" t="s">
        <v>113</v>
      </c>
      <c r="B39" s="2" t="s">
        <v>114</v>
      </c>
      <c r="C39" s="2" t="s">
        <v>115</v>
      </c>
      <c r="D39" s="2" t="s">
        <v>10040</v>
      </c>
      <c r="E39" s="15">
        <v>0.18429999999999999</v>
      </c>
      <c r="F39" s="15">
        <v>0.2268</v>
      </c>
      <c r="G39" s="15">
        <v>0.41639999999999999</v>
      </c>
      <c r="H39" s="15">
        <v>3.2800000000000003E-2</v>
      </c>
      <c r="I39" s="15">
        <v>4.0099999999999997E-2</v>
      </c>
      <c r="J39" s="15">
        <v>0.8179551122194515</v>
      </c>
    </row>
    <row r="40" spans="1:10" x14ac:dyDescent="0.25">
      <c r="A40" s="2" t="s">
        <v>116</v>
      </c>
      <c r="B40" s="2" t="s">
        <v>117</v>
      </c>
      <c r="C40" s="2" t="s">
        <v>118</v>
      </c>
      <c r="D40" s="2" t="s">
        <v>10040</v>
      </c>
      <c r="E40" s="15">
        <v>-0.13869999999999999</v>
      </c>
      <c r="F40" s="15">
        <v>0.1075</v>
      </c>
      <c r="G40" s="15">
        <v>0.19719999999999999</v>
      </c>
      <c r="H40" s="15">
        <v>0.1202</v>
      </c>
      <c r="I40" s="15">
        <v>3.9199999999999999E-2</v>
      </c>
      <c r="J40" s="15">
        <v>3.0663265306122449</v>
      </c>
    </row>
    <row r="41" spans="1:10" x14ac:dyDescent="0.25">
      <c r="A41" s="2" t="s">
        <v>119</v>
      </c>
      <c r="B41" s="2" t="s">
        <v>120</v>
      </c>
      <c r="C41" s="2" t="s">
        <v>121</v>
      </c>
      <c r="D41" s="2" t="s">
        <v>10040</v>
      </c>
      <c r="E41" s="15">
        <v>-0.1502</v>
      </c>
      <c r="F41" s="15">
        <v>0.14119999999999999</v>
      </c>
      <c r="G41" s="15">
        <v>0.2873</v>
      </c>
      <c r="H41" s="15">
        <v>8.1000000000000003E-2</v>
      </c>
      <c r="I41" s="15">
        <v>4.58E-2</v>
      </c>
      <c r="J41" s="15">
        <v>1.768558951965066</v>
      </c>
    </row>
    <row r="42" spans="1:10" x14ac:dyDescent="0.25">
      <c r="A42" s="2" t="s">
        <v>122</v>
      </c>
      <c r="B42" s="2" t="s">
        <v>123</v>
      </c>
      <c r="C42" s="2" t="s">
        <v>124</v>
      </c>
      <c r="D42" s="2" t="s">
        <v>10040</v>
      </c>
      <c r="E42" s="15">
        <v>6.9500000000000006E-2</v>
      </c>
      <c r="F42" s="15">
        <v>0.1012</v>
      </c>
      <c r="G42" s="15">
        <v>0.49220000000000003</v>
      </c>
      <c r="H42" s="15">
        <v>0.1178</v>
      </c>
      <c r="I42" s="15">
        <v>4.2999999999999997E-2</v>
      </c>
      <c r="J42" s="15">
        <v>2.739534883720931</v>
      </c>
    </row>
    <row r="43" spans="1:10" x14ac:dyDescent="0.25">
      <c r="A43" s="2" t="s">
        <v>125</v>
      </c>
      <c r="B43" s="2" t="s">
        <v>126</v>
      </c>
      <c r="C43" s="2" t="s">
        <v>127</v>
      </c>
      <c r="D43" s="2" t="s">
        <v>10040</v>
      </c>
      <c r="E43" s="15">
        <v>7.0400000000000004E-2</v>
      </c>
      <c r="F43" s="15">
        <v>9.2299999999999993E-2</v>
      </c>
      <c r="G43" s="15">
        <v>0.44550000000000001</v>
      </c>
      <c r="H43" s="15">
        <v>0.17480000000000001</v>
      </c>
      <c r="I43" s="15">
        <v>4.9700000000000001E-2</v>
      </c>
      <c r="J43" s="15">
        <v>3.5171026156941649</v>
      </c>
    </row>
    <row r="44" spans="1:10" x14ac:dyDescent="0.25">
      <c r="A44" s="2" t="s">
        <v>128</v>
      </c>
      <c r="B44" s="2" t="s">
        <v>129</v>
      </c>
      <c r="C44" s="2" t="s">
        <v>130</v>
      </c>
      <c r="D44" s="2" t="s">
        <v>10040</v>
      </c>
      <c r="E44" s="15">
        <v>-5.9400000000000001E-2</v>
      </c>
      <c r="F44" s="15">
        <v>8.09E-2</v>
      </c>
      <c r="G44" s="15">
        <v>0.46310000000000001</v>
      </c>
      <c r="H44" s="15">
        <v>0.19919999999999999</v>
      </c>
      <c r="I44" s="15">
        <v>6.2700000000000006E-2</v>
      </c>
      <c r="J44" s="15">
        <v>3.1770334928229662</v>
      </c>
    </row>
    <row r="45" spans="1:10" x14ac:dyDescent="0.25">
      <c r="A45" s="2" t="s">
        <v>131</v>
      </c>
      <c r="B45" s="2" t="s">
        <v>132</v>
      </c>
      <c r="C45" s="2" t="s">
        <v>133</v>
      </c>
      <c r="D45" s="2" t="s">
        <v>10040</v>
      </c>
      <c r="E45" s="15">
        <v>0.11169999999999999</v>
      </c>
      <c r="F45" s="15">
        <v>0.1114</v>
      </c>
      <c r="G45" s="15">
        <v>0.31609999999999999</v>
      </c>
      <c r="H45" s="15">
        <v>0.1091</v>
      </c>
      <c r="I45" s="15">
        <v>4.4600000000000001E-2</v>
      </c>
      <c r="J45" s="15">
        <v>2.4461883408071752</v>
      </c>
    </row>
    <row r="46" spans="1:10" x14ac:dyDescent="0.25">
      <c r="A46" s="2" t="s">
        <v>134</v>
      </c>
      <c r="B46" s="2" t="s">
        <v>135</v>
      </c>
      <c r="C46" s="2" t="s">
        <v>136</v>
      </c>
      <c r="D46" s="2" t="s">
        <v>10040</v>
      </c>
      <c r="E46" s="15"/>
      <c r="F46" s="15"/>
      <c r="G46" s="15"/>
      <c r="H46" s="15"/>
      <c r="I46" s="15"/>
      <c r="J46" s="15"/>
    </row>
    <row r="47" spans="1:10" x14ac:dyDescent="0.25">
      <c r="A47" s="2" t="s">
        <v>137</v>
      </c>
      <c r="B47" s="2" t="s">
        <v>138</v>
      </c>
      <c r="C47" s="2" t="s">
        <v>139</v>
      </c>
      <c r="D47" s="2" t="s">
        <v>10040</v>
      </c>
      <c r="E47" s="15">
        <v>-3.9199999999999999E-2</v>
      </c>
      <c r="F47" s="15">
        <v>9.2700000000000005E-2</v>
      </c>
      <c r="G47" s="15">
        <v>0.67200000000000004</v>
      </c>
      <c r="H47" s="15">
        <v>0.17519999999999999</v>
      </c>
      <c r="I47" s="15">
        <v>4.7199999999999999E-2</v>
      </c>
      <c r="J47" s="15">
        <v>3.7118644067796609</v>
      </c>
    </row>
    <row r="48" spans="1:10" x14ac:dyDescent="0.25">
      <c r="A48" s="2" t="s">
        <v>140</v>
      </c>
      <c r="B48" s="2" t="s">
        <v>141</v>
      </c>
      <c r="C48" s="2" t="s">
        <v>142</v>
      </c>
      <c r="D48" s="2" t="s">
        <v>10040</v>
      </c>
      <c r="E48" s="15">
        <v>4.9399999999999999E-2</v>
      </c>
      <c r="F48" s="15">
        <v>7.9399999999999998E-2</v>
      </c>
      <c r="G48" s="15">
        <v>0.53380000000000005</v>
      </c>
      <c r="H48" s="15">
        <v>0.1963</v>
      </c>
      <c r="I48" s="15">
        <v>4.1000000000000002E-2</v>
      </c>
      <c r="J48" s="15">
        <v>4.7878048780487807</v>
      </c>
    </row>
    <row r="49" spans="1:10" x14ac:dyDescent="0.25">
      <c r="A49" s="2" t="s">
        <v>143</v>
      </c>
      <c r="B49" s="2" t="s">
        <v>144</v>
      </c>
      <c r="C49" s="2" t="s">
        <v>145</v>
      </c>
      <c r="D49" s="2" t="s">
        <v>10040</v>
      </c>
      <c r="E49" s="15">
        <v>-1.6899999999999998E-2</v>
      </c>
      <c r="F49" s="15">
        <v>8.6999999999999994E-2</v>
      </c>
      <c r="G49" s="15">
        <v>0.84630000000000005</v>
      </c>
      <c r="H49" s="15">
        <v>0.17280000000000001</v>
      </c>
      <c r="I49" s="15">
        <v>4.5699999999999998E-2</v>
      </c>
      <c r="J49" s="15">
        <v>3.7811816192560181</v>
      </c>
    </row>
    <row r="50" spans="1:10" x14ac:dyDescent="0.25">
      <c r="A50" s="2" t="s">
        <v>146</v>
      </c>
      <c r="B50" s="2" t="s">
        <v>147</v>
      </c>
      <c r="C50" s="2" t="s">
        <v>148</v>
      </c>
      <c r="D50" s="2" t="s">
        <v>10040</v>
      </c>
      <c r="E50" s="15">
        <v>9.5000000000000001E-2</v>
      </c>
      <c r="F50" s="15">
        <v>0.1221</v>
      </c>
      <c r="G50" s="15">
        <v>0.4365</v>
      </c>
      <c r="H50" s="15">
        <v>9.6500000000000002E-2</v>
      </c>
      <c r="I50" s="15">
        <v>4.2900000000000001E-2</v>
      </c>
      <c r="J50" s="15">
        <v>2.2494172494172489</v>
      </c>
    </row>
    <row r="51" spans="1:10" x14ac:dyDescent="0.25">
      <c r="A51" s="2" t="s">
        <v>149</v>
      </c>
      <c r="B51" s="2" t="s">
        <v>150</v>
      </c>
      <c r="C51" s="2" t="s">
        <v>151</v>
      </c>
      <c r="D51" s="2" t="s">
        <v>10040</v>
      </c>
      <c r="E51" s="15">
        <v>8.6900000000000005E-2</v>
      </c>
      <c r="F51" s="15">
        <v>8.8400000000000006E-2</v>
      </c>
      <c r="G51" s="15">
        <v>0.32550000000000001</v>
      </c>
      <c r="H51" s="15">
        <v>0.15479999999999999</v>
      </c>
      <c r="I51" s="15">
        <v>4.9000000000000002E-2</v>
      </c>
      <c r="J51" s="15">
        <v>3.159183673469387</v>
      </c>
    </row>
    <row r="52" spans="1:10" x14ac:dyDescent="0.25">
      <c r="A52" s="2" t="s">
        <v>152</v>
      </c>
      <c r="B52" s="2" t="s">
        <v>153</v>
      </c>
      <c r="C52" s="2" t="s">
        <v>154</v>
      </c>
      <c r="D52" s="2" t="s">
        <v>10040</v>
      </c>
      <c r="E52" s="15"/>
      <c r="F52" s="15"/>
      <c r="G52" s="15"/>
      <c r="H52" s="15">
        <v>-4.3E-3</v>
      </c>
      <c r="I52" s="15">
        <v>4.1700000000000001E-2</v>
      </c>
      <c r="J52" s="15">
        <v>-0.10311750599520381</v>
      </c>
    </row>
    <row r="53" spans="1:10" x14ac:dyDescent="0.25">
      <c r="A53" s="2" t="s">
        <v>155</v>
      </c>
      <c r="B53" s="2" t="s">
        <v>156</v>
      </c>
      <c r="C53" s="2" t="s">
        <v>157</v>
      </c>
      <c r="D53" s="2" t="s">
        <v>10040</v>
      </c>
      <c r="E53" s="15">
        <v>2.06E-2</v>
      </c>
      <c r="F53" s="15">
        <v>0.1197</v>
      </c>
      <c r="G53" s="15">
        <v>0.86329999999999996</v>
      </c>
      <c r="H53" s="15">
        <v>8.6900000000000005E-2</v>
      </c>
      <c r="I53" s="15">
        <v>4.1599999999999998E-2</v>
      </c>
      <c r="J53" s="15">
        <v>2.0889423076923079</v>
      </c>
    </row>
    <row r="54" spans="1:10" x14ac:dyDescent="0.25">
      <c r="A54" s="2" t="s">
        <v>158</v>
      </c>
      <c r="B54" s="2" t="s">
        <v>159</v>
      </c>
      <c r="C54" s="2" t="s">
        <v>160</v>
      </c>
      <c r="D54" s="2" t="s">
        <v>10040</v>
      </c>
      <c r="E54" s="15">
        <v>2.5399999999999999E-2</v>
      </c>
      <c r="F54" s="15">
        <v>8.5599999999999996E-2</v>
      </c>
      <c r="G54" s="15">
        <v>0.76700000000000002</v>
      </c>
      <c r="H54" s="15">
        <v>0.16389999999999999</v>
      </c>
      <c r="I54" s="15">
        <v>4.5699999999999998E-2</v>
      </c>
      <c r="J54" s="15">
        <v>3.5864332603938731</v>
      </c>
    </row>
    <row r="55" spans="1:10" x14ac:dyDescent="0.25">
      <c r="A55" s="2" t="s">
        <v>161</v>
      </c>
      <c r="B55" s="2" t="s">
        <v>162</v>
      </c>
      <c r="C55" s="2" t="s">
        <v>163</v>
      </c>
      <c r="D55" s="2" t="s">
        <v>10040</v>
      </c>
      <c r="E55" s="15">
        <v>-2.29E-2</v>
      </c>
      <c r="F55" s="15">
        <v>9.3700000000000006E-2</v>
      </c>
      <c r="G55" s="15">
        <v>0.80659999999999998</v>
      </c>
      <c r="H55" s="15">
        <v>0.1386</v>
      </c>
      <c r="I55" s="15">
        <v>4.1200000000000001E-2</v>
      </c>
      <c r="J55" s="15">
        <v>3.3640776699029131</v>
      </c>
    </row>
    <row r="56" spans="1:10" x14ac:dyDescent="0.25">
      <c r="A56" s="2" t="s">
        <v>164</v>
      </c>
      <c r="B56" s="2" t="s">
        <v>165</v>
      </c>
      <c r="C56" s="2" t="s">
        <v>166</v>
      </c>
      <c r="D56" s="2" t="s">
        <v>10040</v>
      </c>
      <c r="E56" s="15">
        <v>-8.5000000000000006E-3</v>
      </c>
      <c r="F56" s="15">
        <v>9.8799999999999999E-2</v>
      </c>
      <c r="G56" s="15">
        <v>0.93120000000000003</v>
      </c>
      <c r="H56" s="15">
        <v>0.14480000000000001</v>
      </c>
      <c r="I56" s="15">
        <v>5.4199999999999998E-2</v>
      </c>
      <c r="J56" s="15">
        <v>2.6715867158671589</v>
      </c>
    </row>
    <row r="57" spans="1:10" x14ac:dyDescent="0.25">
      <c r="A57" s="2" t="s">
        <v>167</v>
      </c>
      <c r="B57" s="2" t="s">
        <v>168</v>
      </c>
      <c r="C57" s="2" t="s">
        <v>169</v>
      </c>
      <c r="D57" s="2" t="s">
        <v>10040</v>
      </c>
      <c r="E57" s="15">
        <v>5.8599999999999999E-2</v>
      </c>
      <c r="F57" s="15">
        <v>8.2500000000000004E-2</v>
      </c>
      <c r="G57" s="15">
        <v>0.47760000000000002</v>
      </c>
      <c r="H57" s="15">
        <v>0.19600000000000001</v>
      </c>
      <c r="I57" s="15">
        <v>4.4400000000000002E-2</v>
      </c>
      <c r="J57" s="15">
        <v>4.4144144144144146</v>
      </c>
    </row>
    <row r="58" spans="1:10" x14ac:dyDescent="0.25">
      <c r="A58" s="2" t="s">
        <v>170</v>
      </c>
      <c r="B58" s="2" t="s">
        <v>171</v>
      </c>
      <c r="C58" s="2" t="s">
        <v>172</v>
      </c>
      <c r="D58" s="2" t="s">
        <v>10040</v>
      </c>
      <c r="E58" s="15">
        <v>-8.6699999999999999E-2</v>
      </c>
      <c r="F58" s="15">
        <v>0.1016</v>
      </c>
      <c r="G58" s="15">
        <v>0.39350000000000002</v>
      </c>
      <c r="H58" s="15">
        <v>0.1439</v>
      </c>
      <c r="I58" s="15">
        <v>4.5900000000000003E-2</v>
      </c>
      <c r="J58" s="15">
        <v>3.1350762527233109</v>
      </c>
    </row>
    <row r="59" spans="1:10" x14ac:dyDescent="0.25">
      <c r="A59" s="2" t="s">
        <v>173</v>
      </c>
      <c r="B59" s="2" t="s">
        <v>174</v>
      </c>
      <c r="C59" s="2" t="s">
        <v>175</v>
      </c>
      <c r="D59" s="2" t="s">
        <v>10040</v>
      </c>
      <c r="E59" s="15">
        <v>-5.4300000000000001E-2</v>
      </c>
      <c r="F59" s="15">
        <v>8.6400000000000005E-2</v>
      </c>
      <c r="G59" s="15">
        <v>0.52990000000000004</v>
      </c>
      <c r="H59" s="15">
        <v>0.19359999999999999</v>
      </c>
      <c r="I59" s="15">
        <v>4.65E-2</v>
      </c>
      <c r="J59" s="15">
        <v>4.1634408602150534</v>
      </c>
    </row>
    <row r="60" spans="1:10" x14ac:dyDescent="0.25">
      <c r="A60" s="2" t="s">
        <v>176</v>
      </c>
      <c r="B60" s="2" t="s">
        <v>177</v>
      </c>
      <c r="C60" s="2" t="s">
        <v>178</v>
      </c>
      <c r="D60" s="2" t="s">
        <v>10040</v>
      </c>
      <c r="E60" s="15">
        <v>-4.6699999999999998E-2</v>
      </c>
      <c r="F60" s="15">
        <v>0.1283</v>
      </c>
      <c r="G60" s="15">
        <v>0.71560000000000001</v>
      </c>
      <c r="H60" s="15">
        <v>9.7000000000000003E-2</v>
      </c>
      <c r="I60" s="15">
        <v>4.0599999999999997E-2</v>
      </c>
      <c r="J60" s="15">
        <v>2.389162561576355</v>
      </c>
    </row>
    <row r="61" spans="1:10" x14ac:dyDescent="0.25">
      <c r="A61" s="2" t="s">
        <v>179</v>
      </c>
      <c r="B61" s="2" t="s">
        <v>180</v>
      </c>
      <c r="C61" s="2" t="s">
        <v>181</v>
      </c>
      <c r="D61" s="2" t="s">
        <v>10040</v>
      </c>
      <c r="E61" s="15">
        <v>-9.2999999999999999E-2</v>
      </c>
      <c r="F61" s="15">
        <v>0.11260000000000001</v>
      </c>
      <c r="G61" s="15">
        <v>0.40860000000000002</v>
      </c>
      <c r="H61" s="15">
        <v>0.1203</v>
      </c>
      <c r="I61" s="15">
        <v>4.4400000000000002E-2</v>
      </c>
      <c r="J61" s="15">
        <v>2.7094594594594601</v>
      </c>
    </row>
    <row r="62" spans="1:10" x14ac:dyDescent="0.25">
      <c r="A62" s="2" t="s">
        <v>182</v>
      </c>
      <c r="B62" s="2" t="s">
        <v>183</v>
      </c>
      <c r="C62" s="2" t="s">
        <v>184</v>
      </c>
      <c r="D62" s="2" t="s">
        <v>10040</v>
      </c>
      <c r="E62" s="15">
        <v>-0.1022</v>
      </c>
      <c r="F62" s="15">
        <v>0.1578</v>
      </c>
      <c r="G62" s="15">
        <v>0.51739999999999997</v>
      </c>
      <c r="H62" s="15">
        <v>5.1999999999999998E-2</v>
      </c>
      <c r="I62" s="15">
        <v>3.49E-2</v>
      </c>
      <c r="J62" s="15">
        <v>1.489971346704871</v>
      </c>
    </row>
    <row r="63" spans="1:10" x14ac:dyDescent="0.25">
      <c r="A63" s="2" t="s">
        <v>185</v>
      </c>
      <c r="B63" s="2" t="s">
        <v>186</v>
      </c>
      <c r="C63" s="2" t="s">
        <v>187</v>
      </c>
      <c r="D63" s="2" t="s">
        <v>10040</v>
      </c>
      <c r="E63" s="15">
        <v>-7.5200000000000003E-2</v>
      </c>
      <c r="F63" s="15">
        <v>0.1143</v>
      </c>
      <c r="G63" s="15">
        <v>0.51060000000000005</v>
      </c>
      <c r="H63" s="15">
        <v>0.10199999999999999</v>
      </c>
      <c r="I63" s="15">
        <v>4.4299999999999999E-2</v>
      </c>
      <c r="J63" s="15">
        <v>2.302483069977427</v>
      </c>
    </row>
    <row r="64" spans="1:10" x14ac:dyDescent="0.25">
      <c r="A64" s="2" t="s">
        <v>188</v>
      </c>
      <c r="B64" s="2" t="s">
        <v>189</v>
      </c>
      <c r="C64" s="2" t="s">
        <v>190</v>
      </c>
      <c r="D64" s="2" t="s">
        <v>10040</v>
      </c>
      <c r="E64" s="15">
        <v>-0.30830000000000002</v>
      </c>
      <c r="F64" s="15">
        <v>0.21099999999999999</v>
      </c>
      <c r="G64" s="15">
        <v>0.1439</v>
      </c>
      <c r="H64" s="15">
        <v>4.8599999999999997E-2</v>
      </c>
      <c r="I64" s="15">
        <v>4.5199999999999997E-2</v>
      </c>
      <c r="J64" s="15">
        <v>1.0752212389380531</v>
      </c>
    </row>
    <row r="65" spans="1:10" x14ac:dyDescent="0.25">
      <c r="A65" s="2" t="s">
        <v>191</v>
      </c>
      <c r="B65" s="2" t="s">
        <v>192</v>
      </c>
      <c r="C65" s="2" t="s">
        <v>193</v>
      </c>
      <c r="D65" s="2" t="s">
        <v>10040</v>
      </c>
      <c r="E65" s="15">
        <v>-0.13250000000000001</v>
      </c>
      <c r="F65" s="15">
        <v>8.3099999999999993E-2</v>
      </c>
      <c r="G65" s="15">
        <v>0.111</v>
      </c>
      <c r="H65" s="15">
        <v>0.17749999999999999</v>
      </c>
      <c r="I65" s="15">
        <v>4.6800000000000001E-2</v>
      </c>
      <c r="J65" s="15">
        <v>3.792735042735043</v>
      </c>
    </row>
    <row r="66" spans="1:10" x14ac:dyDescent="0.25">
      <c r="A66" s="2" t="s">
        <v>194</v>
      </c>
      <c r="B66" s="2" t="s">
        <v>195</v>
      </c>
      <c r="C66" s="2" t="s">
        <v>196</v>
      </c>
      <c r="D66" s="2" t="s">
        <v>10040</v>
      </c>
      <c r="E66" s="15">
        <v>-5.1400000000000001E-2</v>
      </c>
      <c r="F66" s="15">
        <v>0.11890000000000001</v>
      </c>
      <c r="G66" s="15">
        <v>0.6653</v>
      </c>
      <c r="H66" s="15">
        <v>9.35E-2</v>
      </c>
      <c r="I66" s="15">
        <v>4.0099999999999997E-2</v>
      </c>
      <c r="J66" s="15">
        <v>2.3316708229426442</v>
      </c>
    </row>
    <row r="67" spans="1:10" x14ac:dyDescent="0.25">
      <c r="A67" s="2" t="s">
        <v>197</v>
      </c>
      <c r="B67" s="2" t="s">
        <v>198</v>
      </c>
      <c r="C67" s="2" t="s">
        <v>199</v>
      </c>
      <c r="D67" s="2" t="s">
        <v>10040</v>
      </c>
      <c r="E67" s="15">
        <v>-1.72E-2</v>
      </c>
      <c r="F67" s="15">
        <v>0.1143</v>
      </c>
      <c r="G67" s="15">
        <v>0.88039999999999996</v>
      </c>
      <c r="H67" s="15">
        <v>0.1082</v>
      </c>
      <c r="I67" s="15">
        <v>3.9100000000000003E-2</v>
      </c>
      <c r="J67" s="15">
        <v>2.7672634271099739</v>
      </c>
    </row>
    <row r="68" spans="1:10" x14ac:dyDescent="0.25">
      <c r="A68" s="2" t="s">
        <v>200</v>
      </c>
      <c r="B68" s="2" t="s">
        <v>201</v>
      </c>
      <c r="C68" s="2" t="s">
        <v>202</v>
      </c>
      <c r="D68" s="2" t="s">
        <v>10040</v>
      </c>
      <c r="E68" s="15">
        <v>-7.1999999999999998E-3</v>
      </c>
      <c r="F68" s="15">
        <v>9.6500000000000002E-2</v>
      </c>
      <c r="G68" s="15">
        <v>0.94069999999999998</v>
      </c>
      <c r="H68" s="15">
        <v>0.1401</v>
      </c>
      <c r="I68" s="15">
        <v>4.6199999999999998E-2</v>
      </c>
      <c r="J68" s="15">
        <v>3.0324675324675332</v>
      </c>
    </row>
    <row r="69" spans="1:10" x14ac:dyDescent="0.25">
      <c r="A69" s="2" t="s">
        <v>203</v>
      </c>
      <c r="B69" s="2" t="s">
        <v>204</v>
      </c>
      <c r="C69" s="2" t="s">
        <v>205</v>
      </c>
      <c r="D69" s="2" t="s">
        <v>10040</v>
      </c>
      <c r="E69" s="15">
        <v>4.9500000000000002E-2</v>
      </c>
      <c r="F69" s="15">
        <v>0.109</v>
      </c>
      <c r="G69" s="15">
        <v>0.64970000000000006</v>
      </c>
      <c r="H69" s="15">
        <v>0.1114</v>
      </c>
      <c r="I69" s="15">
        <v>4.3999999999999997E-2</v>
      </c>
      <c r="J69" s="15">
        <v>2.5318181818181822</v>
      </c>
    </row>
    <row r="70" spans="1:10" x14ac:dyDescent="0.25">
      <c r="A70" s="2" t="s">
        <v>206</v>
      </c>
      <c r="B70" s="2" t="s">
        <v>207</v>
      </c>
      <c r="C70" s="2" t="s">
        <v>208</v>
      </c>
      <c r="D70" s="2" t="s">
        <v>10040</v>
      </c>
      <c r="E70" s="15">
        <v>0.25590000000000002</v>
      </c>
      <c r="F70" s="15">
        <v>0.16969999999999999</v>
      </c>
      <c r="G70" s="15">
        <v>0.13170000000000001</v>
      </c>
      <c r="H70" s="15">
        <v>7.4700000000000003E-2</v>
      </c>
      <c r="I70" s="15">
        <v>4.4999999999999998E-2</v>
      </c>
      <c r="J70" s="15">
        <v>1.66</v>
      </c>
    </row>
    <row r="71" spans="1:10" x14ac:dyDescent="0.25">
      <c r="A71" s="2" t="s">
        <v>209</v>
      </c>
      <c r="B71" s="2" t="s">
        <v>210</v>
      </c>
      <c r="C71" s="2" t="s">
        <v>211</v>
      </c>
      <c r="D71" s="2" t="s">
        <v>10040</v>
      </c>
      <c r="E71" s="15">
        <v>0.20369999999999999</v>
      </c>
      <c r="F71" s="15">
        <v>0.1454</v>
      </c>
      <c r="G71" s="15">
        <v>0.16120000000000001</v>
      </c>
      <c r="H71" s="15">
        <v>6.6000000000000003E-2</v>
      </c>
      <c r="I71" s="15">
        <v>4.4999999999999998E-2</v>
      </c>
      <c r="J71" s="15">
        <v>1.466666666666667</v>
      </c>
    </row>
    <row r="72" spans="1:10" x14ac:dyDescent="0.25">
      <c r="A72" s="2" t="s">
        <v>212</v>
      </c>
      <c r="B72" s="2" t="s">
        <v>213</v>
      </c>
      <c r="C72" s="2" t="s">
        <v>214</v>
      </c>
      <c r="D72" s="2" t="s">
        <v>10040</v>
      </c>
      <c r="E72" s="15">
        <v>8.8400000000000006E-2</v>
      </c>
      <c r="F72" s="15">
        <v>0.1331</v>
      </c>
      <c r="G72" s="15">
        <v>0.50670000000000004</v>
      </c>
      <c r="H72" s="15">
        <v>6.6299999999999998E-2</v>
      </c>
      <c r="I72" s="15">
        <v>4.4600000000000001E-2</v>
      </c>
      <c r="J72" s="15">
        <v>1.4865470852017939</v>
      </c>
    </row>
    <row r="73" spans="1:10" x14ac:dyDescent="0.25">
      <c r="A73" s="2" t="s">
        <v>215</v>
      </c>
      <c r="B73" s="2" t="s">
        <v>216</v>
      </c>
      <c r="C73" s="2" t="s">
        <v>217</v>
      </c>
      <c r="D73" s="2" t="s">
        <v>10040</v>
      </c>
      <c r="E73" s="15">
        <v>2.5000000000000001E-2</v>
      </c>
      <c r="F73" s="15">
        <v>0.1089</v>
      </c>
      <c r="G73" s="15">
        <v>0.81840000000000002</v>
      </c>
      <c r="H73" s="15">
        <v>0.10879999999999999</v>
      </c>
      <c r="I73" s="15">
        <v>4.3299999999999998E-2</v>
      </c>
      <c r="J73" s="15">
        <v>2.5127020785219401</v>
      </c>
    </row>
    <row r="74" spans="1:10" x14ac:dyDescent="0.25">
      <c r="A74" s="2" t="s">
        <v>218</v>
      </c>
      <c r="B74" s="2" t="s">
        <v>219</v>
      </c>
      <c r="C74" s="2" t="s">
        <v>220</v>
      </c>
      <c r="D74" s="2" t="s">
        <v>10040</v>
      </c>
      <c r="E74" s="15">
        <v>-1.5299999999999999E-2</v>
      </c>
      <c r="F74" s="15">
        <v>6.6699999999999995E-2</v>
      </c>
      <c r="G74" s="15">
        <v>0.81850000000000001</v>
      </c>
      <c r="H74" s="15">
        <v>0.30130000000000001</v>
      </c>
      <c r="I74" s="15">
        <v>5.0900000000000001E-2</v>
      </c>
      <c r="J74" s="15">
        <v>5.9194499017681732</v>
      </c>
    </row>
    <row r="75" spans="1:10" x14ac:dyDescent="0.25">
      <c r="A75" s="2" t="s">
        <v>221</v>
      </c>
      <c r="B75" s="2" t="s">
        <v>222</v>
      </c>
      <c r="C75" s="2" t="s">
        <v>223</v>
      </c>
      <c r="D75" s="2" t="s">
        <v>10040</v>
      </c>
      <c r="E75" s="15">
        <v>2.2000000000000001E-3</v>
      </c>
      <c r="F75" s="15">
        <v>6.6799999999999998E-2</v>
      </c>
      <c r="G75" s="15">
        <v>0.97389999999999999</v>
      </c>
      <c r="H75" s="15">
        <v>0.29699999999999999</v>
      </c>
      <c r="I75" s="15">
        <v>5.4899999999999997E-2</v>
      </c>
      <c r="J75" s="15">
        <v>5.4098360655737707</v>
      </c>
    </row>
    <row r="76" spans="1:10" x14ac:dyDescent="0.25">
      <c r="A76" s="2" t="s">
        <v>224</v>
      </c>
      <c r="B76" s="2" t="s">
        <v>225</v>
      </c>
      <c r="C76" s="2" t="s">
        <v>226</v>
      </c>
      <c r="D76" s="2" t="s">
        <v>10040</v>
      </c>
      <c r="E76" s="15">
        <v>0.18970000000000001</v>
      </c>
      <c r="F76" s="15">
        <v>0.26519999999999999</v>
      </c>
      <c r="G76" s="15">
        <v>0.47449999999999998</v>
      </c>
      <c r="H76" s="15">
        <v>3.0099999999999998E-2</v>
      </c>
      <c r="I76" s="15">
        <v>4.1300000000000003E-2</v>
      </c>
      <c r="J76" s="15">
        <v>0.72881355932203384</v>
      </c>
    </row>
    <row r="77" spans="1:10" x14ac:dyDescent="0.25">
      <c r="A77" s="2" t="s">
        <v>227</v>
      </c>
      <c r="B77" s="2" t="s">
        <v>228</v>
      </c>
      <c r="C77" s="2" t="s">
        <v>229</v>
      </c>
      <c r="D77" s="2" t="s">
        <v>10040</v>
      </c>
      <c r="E77" s="15">
        <v>0.23139999999999999</v>
      </c>
      <c r="F77" s="15">
        <v>0.27829999999999999</v>
      </c>
      <c r="G77" s="15">
        <v>0.40579999999999999</v>
      </c>
      <c r="H77" s="15">
        <v>2.86E-2</v>
      </c>
      <c r="I77" s="15">
        <v>4.1000000000000002E-2</v>
      </c>
      <c r="J77" s="15">
        <v>0.69756097560975605</v>
      </c>
    </row>
    <row r="78" spans="1:10" x14ac:dyDescent="0.25">
      <c r="A78" s="2" t="s">
        <v>230</v>
      </c>
      <c r="B78" s="2" t="s">
        <v>231</v>
      </c>
      <c r="C78" s="2" t="s">
        <v>232</v>
      </c>
      <c r="D78" s="2" t="s">
        <v>10040</v>
      </c>
      <c r="E78" s="15">
        <v>5.6300000000000003E-2</v>
      </c>
      <c r="F78" s="15">
        <v>0.1326</v>
      </c>
      <c r="G78" s="15">
        <v>0.67100000000000004</v>
      </c>
      <c r="H78" s="15">
        <v>8.48E-2</v>
      </c>
      <c r="I78" s="15">
        <v>3.9100000000000003E-2</v>
      </c>
      <c r="J78" s="15">
        <v>2.1687979539641939</v>
      </c>
    </row>
    <row r="79" spans="1:10" x14ac:dyDescent="0.25">
      <c r="A79" s="2" t="s">
        <v>233</v>
      </c>
      <c r="B79" s="2" t="s">
        <v>234</v>
      </c>
      <c r="C79" s="2" t="s">
        <v>235</v>
      </c>
      <c r="D79" s="2" t="s">
        <v>10040</v>
      </c>
      <c r="E79" s="15">
        <v>0.15840000000000001</v>
      </c>
      <c r="F79" s="15">
        <v>0.1004</v>
      </c>
      <c r="G79" s="15">
        <v>0.1147</v>
      </c>
      <c r="H79" s="15">
        <v>0.12770000000000001</v>
      </c>
      <c r="I79" s="15">
        <v>4.1500000000000002E-2</v>
      </c>
      <c r="J79" s="15">
        <v>3.0771084337349399</v>
      </c>
    </row>
    <row r="80" spans="1:10" x14ac:dyDescent="0.25">
      <c r="A80" s="2" t="s">
        <v>236</v>
      </c>
      <c r="B80" s="2" t="s">
        <v>237</v>
      </c>
      <c r="C80" s="2" t="s">
        <v>238</v>
      </c>
      <c r="D80" s="2" t="s">
        <v>10040</v>
      </c>
      <c r="E80" s="15">
        <v>-8.3000000000000004E-2</v>
      </c>
      <c r="F80" s="15">
        <v>7.6200000000000004E-2</v>
      </c>
      <c r="G80" s="15">
        <v>0.27610000000000001</v>
      </c>
      <c r="H80" s="15">
        <v>0.2636</v>
      </c>
      <c r="I80" s="15">
        <v>6.0199999999999997E-2</v>
      </c>
      <c r="J80" s="15">
        <v>4.3787375415282392</v>
      </c>
    </row>
    <row r="81" spans="1:10" x14ac:dyDescent="0.25">
      <c r="A81" s="2" t="s">
        <v>239</v>
      </c>
      <c r="B81" s="2" t="s">
        <v>240</v>
      </c>
      <c r="C81" s="2" t="s">
        <v>241</v>
      </c>
      <c r="D81" s="2" t="s">
        <v>10040</v>
      </c>
      <c r="E81" s="15">
        <v>-4.0099999999999997E-2</v>
      </c>
      <c r="F81" s="15">
        <v>6.6699999999999995E-2</v>
      </c>
      <c r="G81" s="15">
        <v>0.5484</v>
      </c>
      <c r="H81" s="15">
        <v>0.28710000000000002</v>
      </c>
      <c r="I81" s="15">
        <v>6.13E-2</v>
      </c>
      <c r="J81" s="15">
        <v>4.6835236541598686</v>
      </c>
    </row>
    <row r="82" spans="1:10" x14ac:dyDescent="0.25">
      <c r="A82" s="2" t="s">
        <v>242</v>
      </c>
      <c r="B82" s="2" t="s">
        <v>243</v>
      </c>
      <c r="C82" s="2" t="s">
        <v>244</v>
      </c>
      <c r="D82" s="2" t="s">
        <v>10040</v>
      </c>
      <c r="E82" s="15">
        <v>-5.0000000000000001E-4</v>
      </c>
      <c r="F82" s="15">
        <v>0.17860000000000001</v>
      </c>
      <c r="G82" s="15">
        <v>0.99770000000000003</v>
      </c>
      <c r="H82" s="15">
        <v>4.7199999999999999E-2</v>
      </c>
      <c r="I82" s="15">
        <v>4.2299999999999997E-2</v>
      </c>
      <c r="J82" s="15">
        <v>1.115839243498818</v>
      </c>
    </row>
    <row r="83" spans="1:10" x14ac:dyDescent="0.25">
      <c r="A83" s="2" t="s">
        <v>245</v>
      </c>
      <c r="B83" s="2" t="s">
        <v>246</v>
      </c>
      <c r="C83" s="2" t="s">
        <v>247</v>
      </c>
      <c r="D83" s="2" t="s">
        <v>10040</v>
      </c>
      <c r="E83" s="15">
        <v>-6.0000000000000001E-3</v>
      </c>
      <c r="F83" s="15">
        <v>0.1048</v>
      </c>
      <c r="G83" s="15">
        <v>0.95430000000000004</v>
      </c>
      <c r="H83" s="15">
        <v>0.1353</v>
      </c>
      <c r="I83" s="15">
        <v>4.3499999999999997E-2</v>
      </c>
      <c r="J83" s="15">
        <v>3.1103448275862071</v>
      </c>
    </row>
    <row r="84" spans="1:10" x14ac:dyDescent="0.25">
      <c r="A84" s="2" t="s">
        <v>248</v>
      </c>
      <c r="B84" s="2" t="s">
        <v>249</v>
      </c>
      <c r="C84" s="2" t="s">
        <v>250</v>
      </c>
      <c r="D84" s="2" t="s">
        <v>10040</v>
      </c>
      <c r="E84" s="15">
        <v>8.7900000000000006E-2</v>
      </c>
      <c r="F84" s="15">
        <v>8.4500000000000006E-2</v>
      </c>
      <c r="G84" s="15">
        <v>0.29849999999999999</v>
      </c>
      <c r="H84" s="15">
        <v>0.1671</v>
      </c>
      <c r="I84" s="15">
        <v>4.7899999999999998E-2</v>
      </c>
      <c r="J84" s="15">
        <v>3.4885177453027141</v>
      </c>
    </row>
    <row r="85" spans="1:10" x14ac:dyDescent="0.25">
      <c r="A85" s="2" t="s">
        <v>251</v>
      </c>
      <c r="B85" s="2" t="s">
        <v>252</v>
      </c>
      <c r="C85" s="2" t="s">
        <v>253</v>
      </c>
      <c r="D85" s="2" t="s">
        <v>10040</v>
      </c>
      <c r="E85" s="15">
        <v>5.0599999999999999E-2</v>
      </c>
      <c r="F85" s="15">
        <v>9.7600000000000006E-2</v>
      </c>
      <c r="G85" s="15">
        <v>0.60370000000000001</v>
      </c>
      <c r="H85" s="15">
        <v>0.14269999999999999</v>
      </c>
      <c r="I85" s="15">
        <v>4.9599999999999998E-2</v>
      </c>
      <c r="J85" s="15">
        <v>2.877016129032258</v>
      </c>
    </row>
    <row r="86" spans="1:10" x14ac:dyDescent="0.25">
      <c r="A86" s="2" t="s">
        <v>254</v>
      </c>
      <c r="B86" s="2" t="s">
        <v>255</v>
      </c>
      <c r="C86" s="2" t="s">
        <v>256</v>
      </c>
      <c r="D86" s="2" t="s">
        <v>10040</v>
      </c>
      <c r="E86" s="15">
        <v>8.4400000000000003E-2</v>
      </c>
      <c r="F86" s="15">
        <v>7.3599999999999999E-2</v>
      </c>
      <c r="G86" s="15">
        <v>0.25140000000000001</v>
      </c>
      <c r="H86" s="15">
        <v>0.19889999999999999</v>
      </c>
      <c r="I86" s="15">
        <v>4.6899999999999997E-2</v>
      </c>
      <c r="J86" s="15">
        <v>4.2409381663113006</v>
      </c>
    </row>
    <row r="87" spans="1:10" x14ac:dyDescent="0.25">
      <c r="A87" s="2" t="s">
        <v>257</v>
      </c>
      <c r="B87" s="2" t="s">
        <v>258</v>
      </c>
      <c r="C87" s="2" t="s">
        <v>259</v>
      </c>
      <c r="D87" s="2" t="s">
        <v>10040</v>
      </c>
      <c r="E87" s="15">
        <v>0.10630000000000001</v>
      </c>
      <c r="F87" s="15">
        <v>7.6100000000000001E-2</v>
      </c>
      <c r="G87" s="15">
        <v>0.16270000000000001</v>
      </c>
      <c r="H87" s="15">
        <v>0.23469999999999999</v>
      </c>
      <c r="I87" s="15">
        <v>4.99E-2</v>
      </c>
      <c r="J87" s="15">
        <v>4.7034068136272547</v>
      </c>
    </row>
    <row r="88" spans="1:10" x14ac:dyDescent="0.25">
      <c r="A88" s="2" t="s">
        <v>260</v>
      </c>
      <c r="B88" s="2" t="s">
        <v>261</v>
      </c>
      <c r="C88" s="2" t="s">
        <v>262</v>
      </c>
      <c r="D88" s="2" t="s">
        <v>10040</v>
      </c>
      <c r="E88" s="15">
        <v>9.69E-2</v>
      </c>
      <c r="F88" s="15">
        <v>6.8199999999999997E-2</v>
      </c>
      <c r="G88" s="15">
        <v>0.15559999999999999</v>
      </c>
      <c r="H88" s="15">
        <v>0.29980000000000001</v>
      </c>
      <c r="I88" s="15">
        <v>5.67E-2</v>
      </c>
      <c r="J88" s="15">
        <v>5.2874779541446211</v>
      </c>
    </row>
    <row r="89" spans="1:10" x14ac:dyDescent="0.25">
      <c r="A89" s="2" t="s">
        <v>263</v>
      </c>
      <c r="B89" s="2" t="s">
        <v>264</v>
      </c>
      <c r="C89" s="2" t="s">
        <v>265</v>
      </c>
      <c r="D89" s="2" t="s">
        <v>10040</v>
      </c>
      <c r="E89" s="15">
        <v>6.13E-2</v>
      </c>
      <c r="F89" s="15">
        <v>6.5100000000000005E-2</v>
      </c>
      <c r="G89" s="15">
        <v>0.3463</v>
      </c>
      <c r="H89" s="15">
        <v>0.31319999999999998</v>
      </c>
      <c r="I89" s="15">
        <v>5.7299999999999997E-2</v>
      </c>
      <c r="J89" s="15">
        <v>5.4659685863874348</v>
      </c>
    </row>
    <row r="90" spans="1:10" x14ac:dyDescent="0.25">
      <c r="A90" s="2" t="s">
        <v>266</v>
      </c>
      <c r="B90" s="2" t="s">
        <v>267</v>
      </c>
      <c r="C90" s="2" t="s">
        <v>268</v>
      </c>
      <c r="D90" s="2" t="s">
        <v>10040</v>
      </c>
      <c r="E90" s="15">
        <v>4.3799999999999999E-2</v>
      </c>
      <c r="F90" s="15">
        <v>8.5199999999999998E-2</v>
      </c>
      <c r="G90" s="15">
        <v>0.6069</v>
      </c>
      <c r="H90" s="15">
        <v>0.13789999999999999</v>
      </c>
      <c r="I90" s="15">
        <v>4.6300000000000001E-2</v>
      </c>
      <c r="J90" s="15">
        <v>2.9784017278617712</v>
      </c>
    </row>
    <row r="91" spans="1:10" x14ac:dyDescent="0.25">
      <c r="A91" s="2" t="s">
        <v>269</v>
      </c>
      <c r="B91" s="2" t="s">
        <v>270</v>
      </c>
      <c r="C91" s="2" t="s">
        <v>271</v>
      </c>
      <c r="D91" s="2" t="s">
        <v>10040</v>
      </c>
      <c r="E91" s="15">
        <v>4.8000000000000001E-2</v>
      </c>
      <c r="F91" s="15">
        <v>9.3700000000000006E-2</v>
      </c>
      <c r="G91" s="15">
        <v>0.60809999999999997</v>
      </c>
      <c r="H91" s="15">
        <v>0.16470000000000001</v>
      </c>
      <c r="I91" s="15">
        <v>4.5400000000000003E-2</v>
      </c>
      <c r="J91" s="15">
        <v>3.627753303964758</v>
      </c>
    </row>
    <row r="92" spans="1:10" x14ac:dyDescent="0.25">
      <c r="A92" s="2" t="s">
        <v>272</v>
      </c>
      <c r="B92" s="2" t="s">
        <v>273</v>
      </c>
      <c r="C92" s="2" t="s">
        <v>274</v>
      </c>
      <c r="D92" s="2" t="s">
        <v>10040</v>
      </c>
      <c r="E92" s="15">
        <v>0.13320000000000001</v>
      </c>
      <c r="F92" s="15">
        <v>7.3300000000000004E-2</v>
      </c>
      <c r="G92" s="15">
        <v>6.93E-2</v>
      </c>
      <c r="H92" s="15">
        <v>0.2366</v>
      </c>
      <c r="I92" s="15">
        <v>5.3499999999999999E-2</v>
      </c>
      <c r="J92" s="15">
        <v>4.4224299065420558</v>
      </c>
    </row>
    <row r="93" spans="1:10" x14ac:dyDescent="0.25">
      <c r="A93" s="2" t="s">
        <v>275</v>
      </c>
      <c r="B93" s="2" t="s">
        <v>276</v>
      </c>
      <c r="C93" s="2" t="s">
        <v>277</v>
      </c>
      <c r="D93" s="2" t="s">
        <v>10040</v>
      </c>
      <c r="E93" s="15">
        <v>4.1000000000000003E-3</v>
      </c>
      <c r="F93" s="15">
        <v>7.1300000000000002E-2</v>
      </c>
      <c r="G93" s="15">
        <v>0.95430000000000004</v>
      </c>
      <c r="H93" s="15">
        <v>0.2782</v>
      </c>
      <c r="I93" s="15">
        <v>6.7000000000000004E-2</v>
      </c>
      <c r="J93" s="15">
        <v>4.1522388059701489</v>
      </c>
    </row>
    <row r="94" spans="1:10" x14ac:dyDescent="0.25">
      <c r="A94" s="2" t="s">
        <v>278</v>
      </c>
      <c r="B94" s="2" t="s">
        <v>279</v>
      </c>
      <c r="C94" s="2" t="s">
        <v>280</v>
      </c>
      <c r="D94" s="2" t="s">
        <v>10040</v>
      </c>
      <c r="E94" s="15">
        <v>0.1084</v>
      </c>
      <c r="F94" s="15">
        <v>7.6799999999999993E-2</v>
      </c>
      <c r="G94" s="15">
        <v>0.1583</v>
      </c>
      <c r="H94" s="15">
        <v>0.21299999999999999</v>
      </c>
      <c r="I94" s="15">
        <v>4.6199999999999998E-2</v>
      </c>
      <c r="J94" s="15">
        <v>4.6103896103896096</v>
      </c>
    </row>
    <row r="95" spans="1:10" x14ac:dyDescent="0.25">
      <c r="A95" s="2" t="s">
        <v>281</v>
      </c>
      <c r="B95" s="2" t="s">
        <v>282</v>
      </c>
      <c r="C95" s="2" t="s">
        <v>283</v>
      </c>
      <c r="D95" s="2" t="s">
        <v>10040</v>
      </c>
      <c r="E95" s="15">
        <v>9.2999999999999999E-2</v>
      </c>
      <c r="F95" s="15">
        <v>9.8500000000000004E-2</v>
      </c>
      <c r="G95" s="15">
        <v>0.3453</v>
      </c>
      <c r="H95" s="15">
        <v>0.1484</v>
      </c>
      <c r="I95" s="15">
        <v>4.2200000000000001E-2</v>
      </c>
      <c r="J95" s="15">
        <v>3.516587677725119</v>
      </c>
    </row>
    <row r="96" spans="1:10" x14ac:dyDescent="0.25">
      <c r="A96" s="2" t="s">
        <v>284</v>
      </c>
      <c r="B96" s="2" t="s">
        <v>285</v>
      </c>
      <c r="C96" s="2" t="s">
        <v>286</v>
      </c>
      <c r="D96" s="2" t="s">
        <v>10040</v>
      </c>
      <c r="E96" s="15">
        <v>-7.4300000000000005E-2</v>
      </c>
      <c r="F96" s="15">
        <v>9.2799999999999994E-2</v>
      </c>
      <c r="G96" s="15">
        <v>0.42320000000000002</v>
      </c>
      <c r="H96" s="15">
        <v>0.16039999999999999</v>
      </c>
      <c r="I96" s="15">
        <v>4.8399999999999999E-2</v>
      </c>
      <c r="J96" s="15">
        <v>3.3140495867768589</v>
      </c>
    </row>
    <row r="97" spans="1:10" x14ac:dyDescent="0.25">
      <c r="A97" s="2" t="s">
        <v>287</v>
      </c>
      <c r="B97" s="2" t="s">
        <v>288</v>
      </c>
      <c r="C97" s="2" t="s">
        <v>289</v>
      </c>
      <c r="D97" s="2" t="s">
        <v>10040</v>
      </c>
      <c r="E97" s="15">
        <v>-0.12529999999999999</v>
      </c>
      <c r="F97" s="15">
        <v>9.0800000000000006E-2</v>
      </c>
      <c r="G97" s="15">
        <v>0.1678</v>
      </c>
      <c r="H97" s="15">
        <v>0.1419</v>
      </c>
      <c r="I97" s="15">
        <v>4.5600000000000002E-2</v>
      </c>
      <c r="J97" s="15">
        <v>3.111842105263158</v>
      </c>
    </row>
    <row r="98" spans="1:10" x14ac:dyDescent="0.25">
      <c r="A98" s="2" t="s">
        <v>290</v>
      </c>
      <c r="B98" s="2" t="s">
        <v>291</v>
      </c>
      <c r="C98" s="2" t="s">
        <v>292</v>
      </c>
      <c r="D98" s="2" t="s">
        <v>10040</v>
      </c>
      <c r="E98" s="15">
        <v>-0.10539999999999999</v>
      </c>
      <c r="F98" s="15">
        <v>9.1399999999999995E-2</v>
      </c>
      <c r="G98" s="15">
        <v>0.24879999999999999</v>
      </c>
      <c r="H98" s="15">
        <v>0.1522</v>
      </c>
      <c r="I98" s="15">
        <v>5.7000000000000002E-2</v>
      </c>
      <c r="J98" s="15">
        <v>2.6701754385964911</v>
      </c>
    </row>
    <row r="99" spans="1:10" x14ac:dyDescent="0.25">
      <c r="A99" s="2" t="s">
        <v>293</v>
      </c>
      <c r="B99" s="2" t="s">
        <v>294</v>
      </c>
      <c r="C99" s="2" t="s">
        <v>295</v>
      </c>
      <c r="D99" s="2" t="s">
        <v>10040</v>
      </c>
      <c r="E99" s="15">
        <v>-0.1416</v>
      </c>
      <c r="F99" s="15">
        <v>0.1095</v>
      </c>
      <c r="G99" s="15">
        <v>0.19600000000000001</v>
      </c>
      <c r="H99" s="15">
        <v>0.1013</v>
      </c>
      <c r="I99" s="15">
        <v>4.53E-2</v>
      </c>
      <c r="J99" s="15">
        <v>2.2362030905077259</v>
      </c>
    </row>
    <row r="100" spans="1:10" x14ac:dyDescent="0.25">
      <c r="A100" s="2" t="s">
        <v>296</v>
      </c>
      <c r="B100" s="2" t="s">
        <v>297</v>
      </c>
      <c r="C100" s="2" t="s">
        <v>298</v>
      </c>
      <c r="D100" s="2" t="s">
        <v>10040</v>
      </c>
      <c r="E100" s="15">
        <v>-2.58E-2</v>
      </c>
      <c r="F100" s="15">
        <v>9.9500000000000005E-2</v>
      </c>
      <c r="G100" s="15">
        <v>0.79530000000000001</v>
      </c>
      <c r="H100" s="15">
        <v>0.1167</v>
      </c>
      <c r="I100" s="15">
        <v>4.2000000000000003E-2</v>
      </c>
      <c r="J100" s="15">
        <v>2.778571428571428</v>
      </c>
    </row>
    <row r="101" spans="1:10" x14ac:dyDescent="0.25">
      <c r="A101" s="2" t="s">
        <v>299</v>
      </c>
      <c r="B101" s="2" t="s">
        <v>300</v>
      </c>
      <c r="C101" s="2" t="s">
        <v>301</v>
      </c>
      <c r="D101" s="2" t="s">
        <v>10040</v>
      </c>
      <c r="E101" s="15">
        <v>9.1000000000000004E-3</v>
      </c>
      <c r="F101" s="15">
        <v>0.1125</v>
      </c>
      <c r="G101" s="15">
        <v>0.93530000000000002</v>
      </c>
      <c r="H101" s="15">
        <v>0.12909999999999999</v>
      </c>
      <c r="I101" s="15">
        <v>4.1500000000000002E-2</v>
      </c>
      <c r="J101" s="15">
        <v>3.1108433734939762</v>
      </c>
    </row>
    <row r="102" spans="1:10" x14ac:dyDescent="0.25">
      <c r="A102" s="2" t="s">
        <v>302</v>
      </c>
      <c r="B102" s="2" t="s">
        <v>303</v>
      </c>
      <c r="C102" s="2" t="s">
        <v>304</v>
      </c>
      <c r="D102" s="2" t="s">
        <v>10040</v>
      </c>
      <c r="E102" s="15">
        <v>3.4599999999999999E-2</v>
      </c>
      <c r="F102" s="15">
        <v>9.0499999999999997E-2</v>
      </c>
      <c r="G102" s="15">
        <v>0.70230000000000004</v>
      </c>
      <c r="H102" s="15">
        <v>0.1701</v>
      </c>
      <c r="I102" s="15">
        <v>4.6699999999999998E-2</v>
      </c>
      <c r="J102" s="15">
        <v>3.642398286937901</v>
      </c>
    </row>
    <row r="103" spans="1:10" x14ac:dyDescent="0.25">
      <c r="A103" s="2" t="s">
        <v>305</v>
      </c>
      <c r="B103" s="2" t="s">
        <v>306</v>
      </c>
      <c r="C103" s="2" t="s">
        <v>307</v>
      </c>
      <c r="D103" s="2" t="s">
        <v>10040</v>
      </c>
      <c r="E103" s="15">
        <v>5.3400000000000003E-2</v>
      </c>
      <c r="F103" s="15">
        <v>8.3400000000000002E-2</v>
      </c>
      <c r="G103" s="15">
        <v>0.52159999999999995</v>
      </c>
      <c r="H103" s="15">
        <v>0.20219999999999999</v>
      </c>
      <c r="I103" s="15">
        <v>4.4400000000000002E-2</v>
      </c>
      <c r="J103" s="15">
        <v>4.5540540540540544</v>
      </c>
    </row>
    <row r="104" spans="1:10" x14ac:dyDescent="0.25">
      <c r="A104" s="2" t="s">
        <v>308</v>
      </c>
      <c r="B104" s="2" t="s">
        <v>309</v>
      </c>
      <c r="C104" s="2" t="s">
        <v>310</v>
      </c>
      <c r="D104" s="2" t="s">
        <v>10040</v>
      </c>
      <c r="E104" s="15">
        <v>6.3799999999999996E-2</v>
      </c>
      <c r="F104" s="15">
        <v>0.1016</v>
      </c>
      <c r="G104" s="15">
        <v>0.53</v>
      </c>
      <c r="H104" s="15">
        <v>0.13020000000000001</v>
      </c>
      <c r="I104" s="15">
        <v>4.41E-2</v>
      </c>
      <c r="J104" s="15">
        <v>2.952380952380953</v>
      </c>
    </row>
    <row r="105" spans="1:10" x14ac:dyDescent="0.25">
      <c r="A105" s="2" t="s">
        <v>311</v>
      </c>
      <c r="B105" s="2" t="s">
        <v>312</v>
      </c>
      <c r="C105" s="2" t="s">
        <v>313</v>
      </c>
      <c r="D105" s="2" t="s">
        <v>10040</v>
      </c>
      <c r="E105" s="15">
        <v>-3.5499999999999997E-2</v>
      </c>
      <c r="F105" s="15">
        <v>0.1056</v>
      </c>
      <c r="G105" s="15">
        <v>0.73650000000000004</v>
      </c>
      <c r="H105" s="15">
        <v>0.123</v>
      </c>
      <c r="I105" s="15">
        <v>4.4499999999999998E-2</v>
      </c>
      <c r="J105" s="15">
        <v>2.7640449438202248</v>
      </c>
    </row>
    <row r="106" spans="1:10" x14ac:dyDescent="0.25">
      <c r="A106" s="2" t="s">
        <v>314</v>
      </c>
      <c r="B106" s="2" t="s">
        <v>315</v>
      </c>
      <c r="C106" s="2" t="s">
        <v>316</v>
      </c>
      <c r="D106" s="2" t="s">
        <v>10040</v>
      </c>
      <c r="E106" s="15">
        <v>0.10440000000000001</v>
      </c>
      <c r="F106" s="15">
        <v>0.14660000000000001</v>
      </c>
      <c r="G106" s="15">
        <v>0.47639999999999999</v>
      </c>
      <c r="H106" s="15">
        <v>6.4799999999999996E-2</v>
      </c>
      <c r="I106" s="15">
        <v>4.2500000000000003E-2</v>
      </c>
      <c r="J106" s="15">
        <v>1.5247058823529409</v>
      </c>
    </row>
    <row r="107" spans="1:10" x14ac:dyDescent="0.25">
      <c r="A107" s="2" t="s">
        <v>317</v>
      </c>
      <c r="B107" s="2" t="s">
        <v>318</v>
      </c>
      <c r="C107" s="2" t="s">
        <v>319</v>
      </c>
      <c r="D107" s="2" t="s">
        <v>10040</v>
      </c>
      <c r="E107" s="15">
        <v>4.4699999999999997E-2</v>
      </c>
      <c r="F107" s="15">
        <v>0.1072</v>
      </c>
      <c r="G107" s="15">
        <v>0.67679999999999996</v>
      </c>
      <c r="H107" s="15">
        <v>0.13969999999999999</v>
      </c>
      <c r="I107" s="15">
        <v>4.2900000000000001E-2</v>
      </c>
      <c r="J107" s="15">
        <v>3.2564102564102559</v>
      </c>
    </row>
    <row r="108" spans="1:10" x14ac:dyDescent="0.25">
      <c r="A108" s="2" t="s">
        <v>320</v>
      </c>
      <c r="B108" s="2" t="s">
        <v>321</v>
      </c>
      <c r="C108" s="2" t="s">
        <v>322</v>
      </c>
      <c r="D108" s="2" t="s">
        <v>10040</v>
      </c>
      <c r="E108" s="15">
        <v>0.12180000000000001</v>
      </c>
      <c r="F108" s="15">
        <v>0.13420000000000001</v>
      </c>
      <c r="G108" s="15">
        <v>0.36409999999999998</v>
      </c>
      <c r="H108" s="15">
        <v>7.0099999999999996E-2</v>
      </c>
      <c r="I108" s="15">
        <v>4.3499999999999997E-2</v>
      </c>
      <c r="J108" s="15">
        <v>1.611494252873563</v>
      </c>
    </row>
    <row r="109" spans="1:10" x14ac:dyDescent="0.25">
      <c r="A109" s="2" t="s">
        <v>323</v>
      </c>
      <c r="B109" s="2" t="s">
        <v>324</v>
      </c>
      <c r="C109" s="2" t="s">
        <v>325</v>
      </c>
      <c r="D109" s="2" t="s">
        <v>10040</v>
      </c>
      <c r="E109" s="15">
        <v>9.4700000000000006E-2</v>
      </c>
      <c r="F109" s="15">
        <v>0.1197</v>
      </c>
      <c r="G109" s="15">
        <v>0.42870000000000003</v>
      </c>
      <c r="H109" s="15">
        <v>8.1299999999999997E-2</v>
      </c>
      <c r="I109" s="15">
        <v>4.6899999999999997E-2</v>
      </c>
      <c r="J109" s="15">
        <v>1.733475479744137</v>
      </c>
    </row>
    <row r="110" spans="1:10" x14ac:dyDescent="0.25">
      <c r="A110" s="2" t="s">
        <v>326</v>
      </c>
      <c r="B110" s="2" t="s">
        <v>327</v>
      </c>
      <c r="C110" s="2" t="s">
        <v>328</v>
      </c>
      <c r="D110" s="2" t="s">
        <v>10040</v>
      </c>
      <c r="E110" s="15">
        <v>-0.18609999999999999</v>
      </c>
      <c r="F110" s="15">
        <v>0.11269999999999999</v>
      </c>
      <c r="G110" s="15">
        <v>9.8599999999999993E-2</v>
      </c>
      <c r="H110" s="15">
        <v>0.1075</v>
      </c>
      <c r="I110" s="15">
        <v>4.9799999999999997E-2</v>
      </c>
      <c r="J110" s="15">
        <v>2.1586345381526111</v>
      </c>
    </row>
    <row r="111" spans="1:10" x14ac:dyDescent="0.25">
      <c r="A111" s="2" t="s">
        <v>329</v>
      </c>
      <c r="B111" s="2" t="s">
        <v>330</v>
      </c>
      <c r="C111" s="2" t="s">
        <v>331</v>
      </c>
      <c r="D111" s="2" t="s">
        <v>10040</v>
      </c>
      <c r="E111" s="15">
        <v>-5.1999999999999998E-3</v>
      </c>
      <c r="F111" s="15">
        <v>9.1300000000000006E-2</v>
      </c>
      <c r="G111" s="15">
        <v>0.95420000000000005</v>
      </c>
      <c r="H111" s="15">
        <v>0.16200000000000001</v>
      </c>
      <c r="I111" s="15">
        <v>4.4999999999999998E-2</v>
      </c>
      <c r="J111" s="15">
        <v>3.6</v>
      </c>
    </row>
    <row r="112" spans="1:10" x14ac:dyDescent="0.25">
      <c r="A112" s="2" t="s">
        <v>332</v>
      </c>
      <c r="B112" s="2" t="s">
        <v>333</v>
      </c>
      <c r="C112" s="2" t="s">
        <v>334</v>
      </c>
      <c r="D112" s="2" t="s">
        <v>10040</v>
      </c>
      <c r="E112" s="15">
        <v>-1.7899999999999999E-2</v>
      </c>
      <c r="F112" s="15">
        <v>0.1027</v>
      </c>
      <c r="G112" s="15">
        <v>0.86199999999999999</v>
      </c>
      <c r="H112" s="15">
        <v>0.1331</v>
      </c>
      <c r="I112" s="15">
        <v>5.0900000000000001E-2</v>
      </c>
      <c r="J112" s="15">
        <v>2.614931237721021</v>
      </c>
    </row>
    <row r="113" spans="1:10" x14ac:dyDescent="0.25">
      <c r="A113" s="2" t="s">
        <v>335</v>
      </c>
      <c r="B113" s="2" t="s">
        <v>336</v>
      </c>
      <c r="C113" s="2" t="s">
        <v>337</v>
      </c>
      <c r="D113" s="2" t="s">
        <v>10040</v>
      </c>
      <c r="E113" s="15">
        <v>-9.4100000000000003E-2</v>
      </c>
      <c r="F113" s="15">
        <v>8.1500000000000003E-2</v>
      </c>
      <c r="G113" s="15">
        <v>0.2482</v>
      </c>
      <c r="H113" s="15">
        <v>0.17660000000000001</v>
      </c>
      <c r="I113" s="15">
        <v>4.7199999999999999E-2</v>
      </c>
      <c r="J113" s="15">
        <v>3.741525423728814</v>
      </c>
    </row>
    <row r="114" spans="1:10" x14ac:dyDescent="0.25">
      <c r="A114" s="2" t="s">
        <v>338</v>
      </c>
      <c r="B114" s="2" t="s">
        <v>339</v>
      </c>
      <c r="C114" s="2" t="s">
        <v>340</v>
      </c>
      <c r="D114" s="2" t="s">
        <v>10040</v>
      </c>
      <c r="E114" s="15">
        <v>2.5600000000000001E-2</v>
      </c>
      <c r="F114" s="15">
        <v>9.8299999999999998E-2</v>
      </c>
      <c r="G114" s="15">
        <v>0.79430000000000001</v>
      </c>
      <c r="H114" s="15">
        <v>0.16239999999999999</v>
      </c>
      <c r="I114" s="15">
        <v>4.9099999999999998E-2</v>
      </c>
      <c r="J114" s="15">
        <v>3.3075356415478621</v>
      </c>
    </row>
    <row r="115" spans="1:10" x14ac:dyDescent="0.25">
      <c r="A115" s="2" t="s">
        <v>341</v>
      </c>
      <c r="B115" s="2" t="s">
        <v>342</v>
      </c>
      <c r="C115" s="2" t="s">
        <v>343</v>
      </c>
      <c r="D115" s="2" t="s">
        <v>10040</v>
      </c>
      <c r="E115" s="15">
        <v>7.0499999999999993E-2</v>
      </c>
      <c r="F115" s="15">
        <v>8.8700000000000001E-2</v>
      </c>
      <c r="G115" s="15">
        <v>0.42709999999999998</v>
      </c>
      <c r="H115" s="15">
        <v>0.1681</v>
      </c>
      <c r="I115" s="15">
        <v>4.6399999999999997E-2</v>
      </c>
      <c r="J115" s="15">
        <v>3.6228448275862069</v>
      </c>
    </row>
    <row r="116" spans="1:10" x14ac:dyDescent="0.25">
      <c r="A116" s="2" t="s">
        <v>344</v>
      </c>
      <c r="B116" s="2" t="s">
        <v>345</v>
      </c>
      <c r="C116" s="2" t="s">
        <v>346</v>
      </c>
      <c r="D116" s="2" t="s">
        <v>10040</v>
      </c>
      <c r="E116" s="15">
        <v>-3.0300000000000001E-2</v>
      </c>
      <c r="F116" s="15">
        <v>7.5800000000000006E-2</v>
      </c>
      <c r="G116" s="15">
        <v>0.68959999999999999</v>
      </c>
      <c r="H116" s="15">
        <v>0.22040000000000001</v>
      </c>
      <c r="I116" s="15">
        <v>5.2299999999999999E-2</v>
      </c>
      <c r="J116" s="15">
        <v>4.2141491395793498</v>
      </c>
    </row>
    <row r="117" spans="1:10" x14ac:dyDescent="0.25">
      <c r="A117" s="2" t="s">
        <v>347</v>
      </c>
      <c r="B117" s="2" t="s">
        <v>348</v>
      </c>
      <c r="C117" s="2" t="s">
        <v>349</v>
      </c>
      <c r="D117" s="2" t="s">
        <v>10040</v>
      </c>
      <c r="E117" s="15">
        <v>-6.54E-2</v>
      </c>
      <c r="F117" s="15">
        <v>9.8699999999999996E-2</v>
      </c>
      <c r="G117" s="15">
        <v>0.50780000000000003</v>
      </c>
      <c r="H117" s="15">
        <v>0.1479</v>
      </c>
      <c r="I117" s="15">
        <v>4.65E-2</v>
      </c>
      <c r="J117" s="15">
        <v>3.180645161290323</v>
      </c>
    </row>
    <row r="118" spans="1:10" x14ac:dyDescent="0.25">
      <c r="A118" s="2" t="s">
        <v>350</v>
      </c>
      <c r="B118" s="2" t="s">
        <v>351</v>
      </c>
      <c r="C118" s="2" t="s">
        <v>352</v>
      </c>
      <c r="D118" s="2" t="s">
        <v>10040</v>
      </c>
      <c r="E118" s="15">
        <v>-2.6599999999999999E-2</v>
      </c>
      <c r="F118" s="15">
        <v>8.4500000000000006E-2</v>
      </c>
      <c r="G118" s="15">
        <v>0.75270000000000004</v>
      </c>
      <c r="H118" s="15">
        <v>0.17169999999999999</v>
      </c>
      <c r="I118" s="15">
        <v>4.6600000000000003E-2</v>
      </c>
      <c r="J118" s="15">
        <v>3.684549356223175</v>
      </c>
    </row>
    <row r="119" spans="1:10" x14ac:dyDescent="0.25">
      <c r="A119" s="2" t="s">
        <v>353</v>
      </c>
      <c r="B119" s="2" t="s">
        <v>354</v>
      </c>
      <c r="C119" s="2" t="s">
        <v>355</v>
      </c>
      <c r="D119" s="2" t="s">
        <v>10040</v>
      </c>
      <c r="E119" s="15">
        <v>8.6199999999999999E-2</v>
      </c>
      <c r="F119" s="15">
        <v>0.1008</v>
      </c>
      <c r="G119" s="15">
        <v>0.39229999999999998</v>
      </c>
      <c r="H119" s="15">
        <v>0.1424</v>
      </c>
      <c r="I119" s="15">
        <v>4.8300000000000003E-2</v>
      </c>
      <c r="J119" s="15">
        <v>2.9482401656314701</v>
      </c>
    </row>
    <row r="120" spans="1:10" x14ac:dyDescent="0.25">
      <c r="A120" s="2" t="s">
        <v>356</v>
      </c>
      <c r="B120" s="2" t="s">
        <v>357</v>
      </c>
      <c r="C120" s="2" t="s">
        <v>358</v>
      </c>
      <c r="D120" s="2" t="s">
        <v>10040</v>
      </c>
      <c r="E120" s="15">
        <v>0.15340000000000001</v>
      </c>
      <c r="F120" s="15">
        <v>7.9299999999999995E-2</v>
      </c>
      <c r="G120" s="15">
        <v>5.3100000000000001E-2</v>
      </c>
      <c r="H120" s="15">
        <v>0.20230000000000001</v>
      </c>
      <c r="I120" s="15">
        <v>5.0599999999999999E-2</v>
      </c>
      <c r="J120" s="15">
        <v>3.99802371541502</v>
      </c>
    </row>
    <row r="121" spans="1:10" x14ac:dyDescent="0.25">
      <c r="A121" s="2" t="s">
        <v>359</v>
      </c>
      <c r="B121" s="2" t="s">
        <v>360</v>
      </c>
      <c r="C121" s="2" t="s">
        <v>361</v>
      </c>
      <c r="D121" s="2" t="s">
        <v>10040</v>
      </c>
      <c r="E121" s="15">
        <v>5.1200000000000002E-2</v>
      </c>
      <c r="F121" s="15">
        <v>8.9200000000000002E-2</v>
      </c>
      <c r="G121" s="15">
        <v>0.5655</v>
      </c>
      <c r="H121" s="15">
        <v>0.15859999999999999</v>
      </c>
      <c r="I121" s="15">
        <v>4.6800000000000001E-2</v>
      </c>
      <c r="J121" s="15">
        <v>3.388888888888888</v>
      </c>
    </row>
    <row r="122" spans="1:10" x14ac:dyDescent="0.25">
      <c r="A122" s="2" t="s">
        <v>362</v>
      </c>
      <c r="B122" s="2" t="s">
        <v>363</v>
      </c>
      <c r="C122" s="2" t="s">
        <v>364</v>
      </c>
      <c r="D122" s="2" t="s">
        <v>10040</v>
      </c>
      <c r="E122" s="15">
        <v>-1.4E-3</v>
      </c>
      <c r="F122" s="15">
        <v>7.4899999999999994E-2</v>
      </c>
      <c r="G122" s="15">
        <v>0.98499999999999999</v>
      </c>
      <c r="H122" s="15">
        <v>0.20910000000000001</v>
      </c>
      <c r="I122" s="15">
        <v>4.4600000000000001E-2</v>
      </c>
      <c r="J122" s="15">
        <v>4.688340807174888</v>
      </c>
    </row>
    <row r="123" spans="1:10" x14ac:dyDescent="0.25">
      <c r="A123" s="2" t="s">
        <v>365</v>
      </c>
      <c r="B123" s="2" t="s">
        <v>366</v>
      </c>
      <c r="C123" s="2" t="s">
        <v>367</v>
      </c>
      <c r="D123" s="2" t="s">
        <v>10040</v>
      </c>
      <c r="E123" s="15">
        <v>-6.5699999999999995E-2</v>
      </c>
      <c r="F123" s="15">
        <v>7.7100000000000002E-2</v>
      </c>
      <c r="G123" s="15">
        <v>0.39439999999999997</v>
      </c>
      <c r="H123" s="15">
        <v>0.2283</v>
      </c>
      <c r="I123" s="15">
        <v>4.4600000000000001E-2</v>
      </c>
      <c r="J123" s="15">
        <v>5.1188340807174884</v>
      </c>
    </row>
    <row r="124" spans="1:10" x14ac:dyDescent="0.25">
      <c r="A124" s="2" t="s">
        <v>368</v>
      </c>
      <c r="B124" s="2" t="s">
        <v>369</v>
      </c>
      <c r="C124" s="2" t="s">
        <v>370</v>
      </c>
      <c r="D124" s="2" t="s">
        <v>10040</v>
      </c>
      <c r="E124" s="15">
        <v>6.4600000000000005E-2</v>
      </c>
      <c r="F124" s="15">
        <v>7.51E-2</v>
      </c>
      <c r="G124" s="15">
        <v>0.39019999999999999</v>
      </c>
      <c r="H124" s="15">
        <v>0.2641</v>
      </c>
      <c r="I124" s="15">
        <v>5.16E-2</v>
      </c>
      <c r="J124" s="15">
        <v>5.1182170542635657</v>
      </c>
    </row>
    <row r="125" spans="1:10" x14ac:dyDescent="0.25">
      <c r="A125" s="2" t="s">
        <v>371</v>
      </c>
      <c r="B125" s="2" t="s">
        <v>372</v>
      </c>
      <c r="C125" s="2" t="s">
        <v>373</v>
      </c>
      <c r="D125" s="2" t="s">
        <v>10040</v>
      </c>
      <c r="E125" s="15">
        <v>7.5999999999999998E-2</v>
      </c>
      <c r="F125" s="15">
        <v>6.5799999999999997E-2</v>
      </c>
      <c r="G125" s="15">
        <v>0.24779999999999999</v>
      </c>
      <c r="H125" s="15">
        <v>0.3503</v>
      </c>
      <c r="I125" s="15">
        <v>5.2699999999999997E-2</v>
      </c>
      <c r="J125" s="15">
        <v>6.6470588235294121</v>
      </c>
    </row>
    <row r="126" spans="1:10" x14ac:dyDescent="0.25">
      <c r="A126" s="2" t="s">
        <v>374</v>
      </c>
      <c r="B126" s="2" t="s">
        <v>375</v>
      </c>
      <c r="C126" s="2" t="s">
        <v>376</v>
      </c>
      <c r="D126" s="2" t="s">
        <v>10040</v>
      </c>
      <c r="E126" s="15">
        <v>9.9500000000000005E-2</v>
      </c>
      <c r="F126" s="15">
        <v>7.0900000000000005E-2</v>
      </c>
      <c r="G126" s="15">
        <v>0.1603</v>
      </c>
      <c r="H126" s="15">
        <v>0.25729999999999997</v>
      </c>
      <c r="I126" s="15">
        <v>4.5499999999999999E-2</v>
      </c>
      <c r="J126" s="15">
        <v>5.6549450549450544</v>
      </c>
    </row>
    <row r="127" spans="1:10" x14ac:dyDescent="0.25">
      <c r="A127" s="2" t="s">
        <v>377</v>
      </c>
      <c r="B127" s="2" t="s">
        <v>378</v>
      </c>
      <c r="C127" s="2" t="s">
        <v>379</v>
      </c>
      <c r="D127" s="2" t="s">
        <v>10040</v>
      </c>
      <c r="E127" s="15">
        <v>0.1076</v>
      </c>
      <c r="F127" s="15">
        <v>7.1499999999999994E-2</v>
      </c>
      <c r="G127" s="15">
        <v>0.13239999999999999</v>
      </c>
      <c r="H127" s="15">
        <v>0.2611</v>
      </c>
      <c r="I127" s="15">
        <v>4.5400000000000003E-2</v>
      </c>
      <c r="J127" s="15">
        <v>5.751101321585903</v>
      </c>
    </row>
    <row r="128" spans="1:10" x14ac:dyDescent="0.25">
      <c r="A128" s="2" t="s">
        <v>380</v>
      </c>
      <c r="B128" s="2" t="s">
        <v>381</v>
      </c>
      <c r="C128" s="2" t="s">
        <v>382</v>
      </c>
      <c r="D128" s="2" t="s">
        <v>10040</v>
      </c>
      <c r="E128" s="15">
        <v>8.7099999999999997E-2</v>
      </c>
      <c r="F128" s="15">
        <v>7.2599999999999998E-2</v>
      </c>
      <c r="G128" s="15">
        <v>0.2301</v>
      </c>
      <c r="H128" s="15">
        <v>0.3014</v>
      </c>
      <c r="I128" s="15">
        <v>4.5499999999999999E-2</v>
      </c>
      <c r="J128" s="15">
        <v>6.6241758241758246</v>
      </c>
    </row>
    <row r="129" spans="1:10" x14ac:dyDescent="0.25">
      <c r="A129" s="2" t="s">
        <v>383</v>
      </c>
      <c r="B129" s="2" t="s">
        <v>384</v>
      </c>
      <c r="C129" s="2" t="s">
        <v>385</v>
      </c>
      <c r="D129" s="2" t="s">
        <v>10040</v>
      </c>
      <c r="E129" s="15">
        <v>0.1181</v>
      </c>
      <c r="F129" s="15">
        <v>6.5199999999999994E-2</v>
      </c>
      <c r="G129" s="15">
        <v>7.0099999999999996E-2</v>
      </c>
      <c r="H129" s="15">
        <v>0.30640000000000001</v>
      </c>
      <c r="I129" s="15">
        <v>4.58E-2</v>
      </c>
      <c r="J129" s="15">
        <v>6.6899563318777293</v>
      </c>
    </row>
    <row r="130" spans="1:10" x14ac:dyDescent="0.25">
      <c r="A130" s="2" t="s">
        <v>386</v>
      </c>
      <c r="B130" s="2" t="s">
        <v>387</v>
      </c>
      <c r="C130" s="2" t="s">
        <v>388</v>
      </c>
      <c r="D130" s="2" t="s">
        <v>10040</v>
      </c>
      <c r="E130" s="15">
        <v>-1.23E-2</v>
      </c>
      <c r="F130" s="15">
        <v>0.11849999999999999</v>
      </c>
      <c r="G130" s="15">
        <v>0.91720000000000002</v>
      </c>
      <c r="H130" s="15">
        <v>9.5799999999999996E-2</v>
      </c>
      <c r="I130" s="15">
        <v>4.0300000000000002E-2</v>
      </c>
      <c r="J130" s="15">
        <v>2.3771712158808929</v>
      </c>
    </row>
    <row r="131" spans="1:10" x14ac:dyDescent="0.25">
      <c r="A131" s="2" t="s">
        <v>389</v>
      </c>
      <c r="B131" s="2" t="s">
        <v>390</v>
      </c>
      <c r="C131" s="2" t="s">
        <v>391</v>
      </c>
      <c r="D131" s="2" t="s">
        <v>10040</v>
      </c>
      <c r="E131" s="15">
        <v>-5.9200000000000003E-2</v>
      </c>
      <c r="F131" s="15">
        <v>9.4799999999999995E-2</v>
      </c>
      <c r="G131" s="15">
        <v>0.53259999999999996</v>
      </c>
      <c r="H131" s="15">
        <v>0.1678</v>
      </c>
      <c r="I131" s="15">
        <v>4.5699999999999998E-2</v>
      </c>
      <c r="J131" s="15">
        <v>3.6717724288840272</v>
      </c>
    </row>
    <row r="132" spans="1:10" x14ac:dyDescent="0.25">
      <c r="A132" s="2" t="s">
        <v>392</v>
      </c>
      <c r="B132" s="2" t="s">
        <v>393</v>
      </c>
      <c r="C132" s="2" t="s">
        <v>394</v>
      </c>
      <c r="D132" s="2" t="s">
        <v>10040</v>
      </c>
      <c r="E132" s="15">
        <v>3.9800000000000002E-2</v>
      </c>
      <c r="F132" s="15">
        <v>7.4800000000000005E-2</v>
      </c>
      <c r="G132" s="15">
        <v>0.59499999999999997</v>
      </c>
      <c r="H132" s="15">
        <v>0.21609999999999999</v>
      </c>
      <c r="I132" s="15">
        <v>4.5900000000000003E-2</v>
      </c>
      <c r="J132" s="15">
        <v>4.7080610021786482</v>
      </c>
    </row>
    <row r="133" spans="1:10" x14ac:dyDescent="0.25">
      <c r="A133" s="2" t="s">
        <v>395</v>
      </c>
      <c r="B133" s="2" t="s">
        <v>396</v>
      </c>
      <c r="C133" s="2" t="s">
        <v>397</v>
      </c>
      <c r="D133" s="2" t="s">
        <v>10040</v>
      </c>
      <c r="E133" s="15">
        <v>0.08</v>
      </c>
      <c r="F133" s="15">
        <v>7.7299999999999994E-2</v>
      </c>
      <c r="G133" s="15">
        <v>0.30059999999999998</v>
      </c>
      <c r="H133" s="15">
        <v>0.21790000000000001</v>
      </c>
      <c r="I133" s="15">
        <v>4.7300000000000002E-2</v>
      </c>
      <c r="J133" s="15">
        <v>4.6067653276955607</v>
      </c>
    </row>
    <row r="134" spans="1:10" x14ac:dyDescent="0.25">
      <c r="A134" s="2" t="s">
        <v>398</v>
      </c>
      <c r="B134" s="2" t="s">
        <v>399</v>
      </c>
      <c r="C134" s="2" t="s">
        <v>400</v>
      </c>
      <c r="D134" s="2" t="s">
        <v>10040</v>
      </c>
      <c r="E134" s="15">
        <v>0.159</v>
      </c>
      <c r="F134" s="15">
        <v>9.2200000000000004E-2</v>
      </c>
      <c r="G134" s="15">
        <v>8.4699999999999998E-2</v>
      </c>
      <c r="H134" s="15">
        <v>0.17979999999999999</v>
      </c>
      <c r="I134" s="15">
        <v>4.82E-2</v>
      </c>
      <c r="J134" s="15">
        <v>3.7302904564315349</v>
      </c>
    </row>
    <row r="135" spans="1:10" x14ac:dyDescent="0.25">
      <c r="A135" s="2" t="s">
        <v>401</v>
      </c>
      <c r="B135" s="2" t="s">
        <v>402</v>
      </c>
      <c r="C135" s="2" t="s">
        <v>403</v>
      </c>
      <c r="D135" s="2" t="s">
        <v>10040</v>
      </c>
      <c r="E135" s="15">
        <v>0.23860000000000001</v>
      </c>
      <c r="F135" s="15">
        <v>0.1113</v>
      </c>
      <c r="G135" s="15">
        <v>3.2000000000000001E-2</v>
      </c>
      <c r="H135" s="15">
        <v>0.1125</v>
      </c>
      <c r="I135" s="15">
        <v>4.19E-2</v>
      </c>
      <c r="J135" s="15">
        <v>2.6849642004773271</v>
      </c>
    </row>
    <row r="136" spans="1:10" x14ac:dyDescent="0.25">
      <c r="A136" s="2" t="s">
        <v>404</v>
      </c>
      <c r="B136" s="2" t="s">
        <v>405</v>
      </c>
      <c r="C136" s="2" t="s">
        <v>406</v>
      </c>
      <c r="D136" s="2" t="s">
        <v>10040</v>
      </c>
      <c r="E136" s="15">
        <v>9.1000000000000004E-3</v>
      </c>
      <c r="F136" s="15">
        <v>8.1799999999999998E-2</v>
      </c>
      <c r="G136" s="15">
        <v>0.91100000000000003</v>
      </c>
      <c r="H136" s="15">
        <v>0.20599999999999999</v>
      </c>
      <c r="I136" s="15">
        <v>5.0599999999999999E-2</v>
      </c>
      <c r="J136" s="15">
        <v>4.0711462450592881</v>
      </c>
    </row>
    <row r="137" spans="1:10" x14ac:dyDescent="0.25">
      <c r="A137" s="2" t="s">
        <v>407</v>
      </c>
      <c r="B137" s="2" t="s">
        <v>408</v>
      </c>
      <c r="C137" s="2" t="s">
        <v>409</v>
      </c>
      <c r="D137" s="2" t="s">
        <v>10040</v>
      </c>
      <c r="E137" s="15">
        <v>3.6499999999999998E-2</v>
      </c>
      <c r="F137" s="15">
        <v>7.4800000000000005E-2</v>
      </c>
      <c r="G137" s="15">
        <v>0.62539999999999996</v>
      </c>
      <c r="H137" s="15">
        <v>0.27200000000000002</v>
      </c>
      <c r="I137" s="15">
        <v>5.0999999999999997E-2</v>
      </c>
      <c r="J137" s="15">
        <v>5.3333333333333339</v>
      </c>
    </row>
    <row r="138" spans="1:10" x14ac:dyDescent="0.25">
      <c r="A138" s="2" t="s">
        <v>410</v>
      </c>
      <c r="B138" s="2" t="s">
        <v>411</v>
      </c>
      <c r="C138" s="2" t="s">
        <v>412</v>
      </c>
      <c r="D138" s="2" t="s">
        <v>10040</v>
      </c>
      <c r="E138" s="15">
        <v>-2.0899999999999998E-2</v>
      </c>
      <c r="F138" s="15">
        <v>6.5500000000000003E-2</v>
      </c>
      <c r="G138" s="15">
        <v>0.74970000000000003</v>
      </c>
      <c r="H138" s="15">
        <v>0.27750000000000002</v>
      </c>
      <c r="I138" s="15">
        <v>4.58E-2</v>
      </c>
      <c r="J138" s="15">
        <v>6.0589519650655026</v>
      </c>
    </row>
    <row r="139" spans="1:10" x14ac:dyDescent="0.25">
      <c r="A139" s="2" t="s">
        <v>413</v>
      </c>
      <c r="B139" s="2" t="s">
        <v>414</v>
      </c>
      <c r="C139" s="2" t="s">
        <v>415</v>
      </c>
      <c r="D139" s="2" t="s">
        <v>10040</v>
      </c>
      <c r="E139" s="15">
        <v>4.4900000000000002E-2</v>
      </c>
      <c r="F139" s="15">
        <v>6.1100000000000002E-2</v>
      </c>
      <c r="G139" s="15">
        <v>0.46239999999999998</v>
      </c>
      <c r="H139" s="15">
        <v>0.30890000000000001</v>
      </c>
      <c r="I139" s="15">
        <v>4.8399999999999999E-2</v>
      </c>
      <c r="J139" s="15">
        <v>6.3822314049586781</v>
      </c>
    </row>
    <row r="140" spans="1:10" x14ac:dyDescent="0.25">
      <c r="A140" s="2" t="s">
        <v>416</v>
      </c>
      <c r="B140" s="2" t="s">
        <v>417</v>
      </c>
      <c r="C140" s="2" t="s">
        <v>418</v>
      </c>
      <c r="D140" s="2" t="s">
        <v>10040</v>
      </c>
      <c r="E140" s="15">
        <v>4.87E-2</v>
      </c>
      <c r="F140" s="15">
        <v>6.1199999999999997E-2</v>
      </c>
      <c r="G140" s="15">
        <v>0.42609999999999998</v>
      </c>
      <c r="H140" s="15">
        <v>0.36670000000000003</v>
      </c>
      <c r="I140" s="15">
        <v>5.2400000000000002E-2</v>
      </c>
      <c r="J140" s="15">
        <v>6.9980916030534353</v>
      </c>
    </row>
    <row r="141" spans="1:10" x14ac:dyDescent="0.25">
      <c r="A141" s="2" t="s">
        <v>419</v>
      </c>
      <c r="B141" s="2" t="s">
        <v>420</v>
      </c>
      <c r="C141" s="2" t="s">
        <v>421</v>
      </c>
      <c r="D141" s="2" t="s">
        <v>10040</v>
      </c>
      <c r="E141" s="15">
        <v>-4.2000000000000003E-2</v>
      </c>
      <c r="F141" s="15">
        <v>6.3700000000000007E-2</v>
      </c>
      <c r="G141" s="15">
        <v>0.50929999999999997</v>
      </c>
      <c r="H141" s="15">
        <v>0.29730000000000001</v>
      </c>
      <c r="I141" s="15">
        <v>5.0599999999999999E-2</v>
      </c>
      <c r="J141" s="15">
        <v>5.8754940711462451</v>
      </c>
    </row>
    <row r="142" spans="1:10" x14ac:dyDescent="0.25">
      <c r="A142" s="2" t="s">
        <v>422</v>
      </c>
      <c r="B142" s="2" t="s">
        <v>423</v>
      </c>
      <c r="C142" s="2" t="s">
        <v>424</v>
      </c>
      <c r="D142" s="2" t="s">
        <v>10040</v>
      </c>
      <c r="E142" s="15">
        <v>-6.0900000000000003E-2</v>
      </c>
      <c r="F142" s="15">
        <v>6.4000000000000001E-2</v>
      </c>
      <c r="G142" s="15">
        <v>0.34110000000000001</v>
      </c>
      <c r="H142" s="15">
        <v>0.34079999999999999</v>
      </c>
      <c r="I142" s="15">
        <v>4.7699999999999999E-2</v>
      </c>
      <c r="J142" s="15">
        <v>7.1446540880503147</v>
      </c>
    </row>
    <row r="143" spans="1:10" x14ac:dyDescent="0.25">
      <c r="A143" s="2" t="s">
        <v>425</v>
      </c>
      <c r="B143" s="2" t="s">
        <v>426</v>
      </c>
      <c r="C143" s="2" t="s">
        <v>427</v>
      </c>
      <c r="D143" s="2" t="s">
        <v>10040</v>
      </c>
      <c r="E143" s="15">
        <v>2.9600000000000001E-2</v>
      </c>
      <c r="F143" s="15">
        <v>6.9099999999999995E-2</v>
      </c>
      <c r="G143" s="15">
        <v>0.66900000000000004</v>
      </c>
      <c r="H143" s="15">
        <v>0.30020000000000002</v>
      </c>
      <c r="I143" s="15">
        <v>5.2400000000000002E-2</v>
      </c>
      <c r="J143" s="15">
        <v>5.7290076335877869</v>
      </c>
    </row>
    <row r="144" spans="1:10" x14ac:dyDescent="0.25">
      <c r="A144" s="2" t="s">
        <v>428</v>
      </c>
      <c r="B144" s="2" t="s">
        <v>429</v>
      </c>
      <c r="C144" s="2" t="s">
        <v>430</v>
      </c>
      <c r="D144" s="2" t="s">
        <v>10040</v>
      </c>
      <c r="E144" s="15">
        <v>-5.1900000000000002E-2</v>
      </c>
      <c r="F144" s="15">
        <v>7.4800000000000005E-2</v>
      </c>
      <c r="G144" s="15">
        <v>0.48759999999999998</v>
      </c>
      <c r="H144" s="15">
        <v>0.28029999999999999</v>
      </c>
      <c r="I144" s="15">
        <v>5.4300000000000001E-2</v>
      </c>
      <c r="J144" s="15">
        <v>5.1620626151012887</v>
      </c>
    </row>
    <row r="145" spans="1:10" x14ac:dyDescent="0.25">
      <c r="A145" s="2" t="s">
        <v>431</v>
      </c>
      <c r="B145" s="2" t="s">
        <v>432</v>
      </c>
      <c r="C145" s="2" t="s">
        <v>433</v>
      </c>
      <c r="D145" s="2" t="s">
        <v>10040</v>
      </c>
      <c r="E145" s="15">
        <v>-2.5999999999999999E-3</v>
      </c>
      <c r="F145" s="15">
        <v>8.1000000000000003E-2</v>
      </c>
      <c r="G145" s="15">
        <v>0.97419999999999995</v>
      </c>
      <c r="H145" s="15">
        <v>0.22559999999999999</v>
      </c>
      <c r="I145" s="15">
        <v>4.5900000000000003E-2</v>
      </c>
      <c r="J145" s="15">
        <v>4.9150326797385624</v>
      </c>
    </row>
    <row r="146" spans="1:10" x14ac:dyDescent="0.25">
      <c r="A146" s="2" t="s">
        <v>434</v>
      </c>
      <c r="B146" s="2" t="s">
        <v>435</v>
      </c>
      <c r="C146" s="2" t="s">
        <v>436</v>
      </c>
      <c r="D146" s="2" t="s">
        <v>10040</v>
      </c>
      <c r="E146" s="15">
        <v>6.7900000000000002E-2</v>
      </c>
      <c r="F146" s="15">
        <v>7.2099999999999997E-2</v>
      </c>
      <c r="G146" s="15">
        <v>0.34639999999999999</v>
      </c>
      <c r="H146" s="15">
        <v>0.28960000000000002</v>
      </c>
      <c r="I146" s="15">
        <v>4.7699999999999999E-2</v>
      </c>
      <c r="J146" s="15">
        <v>6.0712788259958081</v>
      </c>
    </row>
    <row r="147" spans="1:10" x14ac:dyDescent="0.25">
      <c r="A147" s="2" t="s">
        <v>437</v>
      </c>
      <c r="B147" s="2" t="s">
        <v>438</v>
      </c>
      <c r="C147" s="2" t="s">
        <v>439</v>
      </c>
      <c r="D147" s="2" t="s">
        <v>10040</v>
      </c>
      <c r="E147" s="15">
        <v>9.2700000000000005E-2</v>
      </c>
      <c r="F147" s="15">
        <v>0.1953</v>
      </c>
      <c r="G147" s="15">
        <v>0.63490000000000002</v>
      </c>
      <c r="H147" s="15">
        <v>3.6999999999999998E-2</v>
      </c>
      <c r="I147" s="15">
        <v>4.36E-2</v>
      </c>
      <c r="J147" s="15">
        <v>0.84862385321100908</v>
      </c>
    </row>
    <row r="148" spans="1:10" x14ac:dyDescent="0.25">
      <c r="A148" s="2" t="s">
        <v>440</v>
      </c>
      <c r="B148" s="2" t="s">
        <v>441</v>
      </c>
      <c r="C148" s="2" t="s">
        <v>442</v>
      </c>
      <c r="D148" s="2" t="s">
        <v>10040</v>
      </c>
      <c r="E148" s="15">
        <v>2.6599999999999999E-2</v>
      </c>
      <c r="F148" s="15">
        <v>7.3499999999999996E-2</v>
      </c>
      <c r="G148" s="15">
        <v>0.7177</v>
      </c>
      <c r="H148" s="15">
        <v>0.27860000000000001</v>
      </c>
      <c r="I148" s="15">
        <v>4.7500000000000001E-2</v>
      </c>
      <c r="J148" s="15">
        <v>5.865263157894737</v>
      </c>
    </row>
    <row r="149" spans="1:10" x14ac:dyDescent="0.25">
      <c r="A149" s="2" t="s">
        <v>443</v>
      </c>
      <c r="B149" s="2" t="s">
        <v>444</v>
      </c>
      <c r="C149" s="2" t="s">
        <v>445</v>
      </c>
      <c r="D149" s="2" t="s">
        <v>10040</v>
      </c>
      <c r="E149" s="15">
        <v>5.2900000000000003E-2</v>
      </c>
      <c r="F149" s="15">
        <v>6.6199999999999995E-2</v>
      </c>
      <c r="G149" s="15">
        <v>0.42399999999999999</v>
      </c>
      <c r="H149" s="15">
        <v>0.31</v>
      </c>
      <c r="I149" s="15">
        <v>5.4800000000000001E-2</v>
      </c>
      <c r="J149" s="15">
        <v>5.6569343065693429</v>
      </c>
    </row>
    <row r="150" spans="1:10" x14ac:dyDescent="0.25">
      <c r="A150" s="2" t="s">
        <v>446</v>
      </c>
      <c r="B150" s="2" t="s">
        <v>447</v>
      </c>
      <c r="C150" s="2" t="s">
        <v>448</v>
      </c>
      <c r="D150" s="2" t="s">
        <v>10040</v>
      </c>
      <c r="E150" s="15">
        <v>4.02E-2</v>
      </c>
      <c r="F150" s="15">
        <v>8.8499999999999995E-2</v>
      </c>
      <c r="G150" s="15">
        <v>0.65010000000000001</v>
      </c>
      <c r="H150" s="15">
        <v>0.2009</v>
      </c>
      <c r="I150" s="15">
        <v>4.6600000000000003E-2</v>
      </c>
      <c r="J150" s="15">
        <v>4.3111587982832624</v>
      </c>
    </row>
    <row r="151" spans="1:10" x14ac:dyDescent="0.25">
      <c r="A151" s="2" t="s">
        <v>449</v>
      </c>
      <c r="B151" s="2" t="s">
        <v>450</v>
      </c>
      <c r="C151" s="2" t="s">
        <v>451</v>
      </c>
      <c r="D151" s="2" t="s">
        <v>10040</v>
      </c>
      <c r="E151" s="15">
        <v>2.1700000000000001E-2</v>
      </c>
      <c r="F151" s="15">
        <v>6.6500000000000004E-2</v>
      </c>
      <c r="G151" s="15">
        <v>0.74390000000000001</v>
      </c>
      <c r="H151" s="15">
        <v>0.37490000000000001</v>
      </c>
      <c r="I151" s="15">
        <v>7.3099999999999998E-2</v>
      </c>
      <c r="J151" s="15">
        <v>5.1285909712722297</v>
      </c>
    </row>
    <row r="152" spans="1:10" x14ac:dyDescent="0.25">
      <c r="A152" s="2" t="s">
        <v>452</v>
      </c>
      <c r="B152" s="2" t="s">
        <v>453</v>
      </c>
      <c r="C152" s="2" t="s">
        <v>454</v>
      </c>
      <c r="D152" s="2" t="s">
        <v>10040</v>
      </c>
      <c r="E152" s="15">
        <v>2.3E-3</v>
      </c>
      <c r="F152" s="15">
        <v>6.5299999999999997E-2</v>
      </c>
      <c r="G152" s="15">
        <v>0.97240000000000004</v>
      </c>
      <c r="H152" s="15">
        <v>0.3049</v>
      </c>
      <c r="I152" s="15">
        <v>5.8500000000000003E-2</v>
      </c>
      <c r="J152" s="15">
        <v>5.2119658119658121</v>
      </c>
    </row>
    <row r="153" spans="1:10" x14ac:dyDescent="0.25">
      <c r="A153" s="2" t="s">
        <v>455</v>
      </c>
      <c r="B153" s="2" t="s">
        <v>456</v>
      </c>
      <c r="C153" s="2" t="s">
        <v>457</v>
      </c>
      <c r="D153" s="2" t="s">
        <v>10040</v>
      </c>
      <c r="E153" s="15">
        <v>1.55E-2</v>
      </c>
      <c r="F153" s="15">
        <v>8.6499999999999994E-2</v>
      </c>
      <c r="G153" s="15">
        <v>0.85750000000000004</v>
      </c>
      <c r="H153" s="15">
        <v>0.20069999999999999</v>
      </c>
      <c r="I153" s="15">
        <v>5.0799999999999998E-2</v>
      </c>
      <c r="J153" s="15">
        <v>3.9507874015748028</v>
      </c>
    </row>
    <row r="154" spans="1:10" x14ac:dyDescent="0.25">
      <c r="A154" s="2" t="s">
        <v>458</v>
      </c>
      <c r="B154" s="2" t="s">
        <v>459</v>
      </c>
      <c r="C154" s="2" t="s">
        <v>460</v>
      </c>
      <c r="D154" s="2" t="s">
        <v>10040</v>
      </c>
      <c r="E154" s="15">
        <v>1.0500000000000001E-2</v>
      </c>
      <c r="F154" s="15">
        <v>6.08E-2</v>
      </c>
      <c r="G154" s="15">
        <v>0.86260000000000003</v>
      </c>
      <c r="H154" s="15">
        <v>0.35420000000000001</v>
      </c>
      <c r="I154" s="15">
        <v>8.4599999999999995E-2</v>
      </c>
      <c r="J154" s="15">
        <v>4.1867612293144214</v>
      </c>
    </row>
    <row r="155" spans="1:10" x14ac:dyDescent="0.25">
      <c r="A155" s="2" t="s">
        <v>461</v>
      </c>
      <c r="B155" s="2" t="s">
        <v>462</v>
      </c>
      <c r="C155" s="2" t="s">
        <v>463</v>
      </c>
      <c r="D155" s="2" t="s">
        <v>10040</v>
      </c>
      <c r="E155" s="15">
        <v>2.2800000000000001E-2</v>
      </c>
      <c r="F155" s="15">
        <v>7.22E-2</v>
      </c>
      <c r="G155" s="15">
        <v>0.75160000000000005</v>
      </c>
      <c r="H155" s="15">
        <v>0.22439999999999999</v>
      </c>
      <c r="I155" s="15">
        <v>5.0599999999999999E-2</v>
      </c>
      <c r="J155" s="15">
        <v>4.4347826086956523</v>
      </c>
    </row>
    <row r="156" spans="1:10" x14ac:dyDescent="0.25">
      <c r="A156" s="2" t="s">
        <v>464</v>
      </c>
      <c r="B156" s="2" t="s">
        <v>465</v>
      </c>
      <c r="C156" s="2" t="s">
        <v>466</v>
      </c>
      <c r="D156" s="2" t="s">
        <v>10040</v>
      </c>
      <c r="E156" s="15">
        <v>6.54E-2</v>
      </c>
      <c r="F156" s="15">
        <v>6.5199999999999994E-2</v>
      </c>
      <c r="G156" s="15">
        <v>0.31559999999999999</v>
      </c>
      <c r="H156" s="15">
        <v>0.3039</v>
      </c>
      <c r="I156" s="15">
        <v>5.3499999999999999E-2</v>
      </c>
      <c r="J156" s="15">
        <v>5.6803738317757011</v>
      </c>
    </row>
    <row r="157" spans="1:10" x14ac:dyDescent="0.25">
      <c r="A157" s="2" t="s">
        <v>467</v>
      </c>
      <c r="B157" s="2" t="s">
        <v>468</v>
      </c>
      <c r="C157" s="2" t="s">
        <v>469</v>
      </c>
      <c r="D157" s="2" t="s">
        <v>10040</v>
      </c>
      <c r="E157" s="15">
        <v>6.4199999999999993E-2</v>
      </c>
      <c r="F157" s="15">
        <v>6.4399999999999999E-2</v>
      </c>
      <c r="G157" s="15">
        <v>0.31830000000000003</v>
      </c>
      <c r="H157" s="15">
        <v>0.26029999999999998</v>
      </c>
      <c r="I157" s="15">
        <v>6.1699999999999998E-2</v>
      </c>
      <c r="J157" s="15">
        <v>4.2188006482982168</v>
      </c>
    </row>
    <row r="158" spans="1:10" x14ac:dyDescent="0.25">
      <c r="A158" s="2" t="s">
        <v>470</v>
      </c>
      <c r="B158" s="2" t="s">
        <v>471</v>
      </c>
      <c r="C158" s="2" t="s">
        <v>472</v>
      </c>
      <c r="D158" s="2" t="s">
        <v>10040</v>
      </c>
      <c r="E158" s="15">
        <v>5.5599999999999997E-2</v>
      </c>
      <c r="F158" s="15">
        <v>7.1499999999999994E-2</v>
      </c>
      <c r="G158" s="15">
        <v>0.43659999999999999</v>
      </c>
      <c r="H158" s="15">
        <v>0.23719999999999999</v>
      </c>
      <c r="I158" s="15">
        <v>5.04E-2</v>
      </c>
      <c r="J158" s="15">
        <v>4.7063492063492074</v>
      </c>
    </row>
    <row r="159" spans="1:10" x14ac:dyDescent="0.25">
      <c r="A159" s="2" t="s">
        <v>473</v>
      </c>
      <c r="B159" s="2" t="s">
        <v>474</v>
      </c>
      <c r="C159" s="2" t="s">
        <v>475</v>
      </c>
      <c r="D159" s="2" t="s">
        <v>10040</v>
      </c>
      <c r="E159" s="15">
        <v>5.4199999999999998E-2</v>
      </c>
      <c r="F159" s="15">
        <v>5.9400000000000001E-2</v>
      </c>
      <c r="G159" s="15">
        <v>0.36120000000000002</v>
      </c>
      <c r="H159" s="15">
        <v>0.34649999999999997</v>
      </c>
      <c r="I159" s="15">
        <v>5.3499999999999999E-2</v>
      </c>
      <c r="J159" s="15">
        <v>6.4766355140186924</v>
      </c>
    </row>
    <row r="160" spans="1:10" x14ac:dyDescent="0.25">
      <c r="A160" s="2" t="s">
        <v>476</v>
      </c>
      <c r="B160" s="2" t="s">
        <v>477</v>
      </c>
      <c r="C160" s="2" t="s">
        <v>478</v>
      </c>
      <c r="D160" s="2" t="s">
        <v>10040</v>
      </c>
      <c r="E160" s="15">
        <v>0.1024</v>
      </c>
      <c r="F160" s="15">
        <v>7.4999999999999997E-2</v>
      </c>
      <c r="G160" s="15">
        <v>0.17199999999999999</v>
      </c>
      <c r="H160" s="15">
        <v>0.19539999999999999</v>
      </c>
      <c r="I160" s="15">
        <v>5.0700000000000002E-2</v>
      </c>
      <c r="J160" s="15">
        <v>3.8540433925049311</v>
      </c>
    </row>
    <row r="161" spans="1:10" x14ac:dyDescent="0.25">
      <c r="A161" s="2" t="s">
        <v>479</v>
      </c>
      <c r="B161" s="2" t="s">
        <v>480</v>
      </c>
      <c r="C161" s="2" t="s">
        <v>481</v>
      </c>
      <c r="D161" s="2" t="s">
        <v>10040</v>
      </c>
      <c r="E161" s="15">
        <v>-2.2700000000000001E-2</v>
      </c>
      <c r="F161" s="15">
        <v>5.91E-2</v>
      </c>
      <c r="G161" s="15">
        <v>0.70109999999999995</v>
      </c>
      <c r="H161" s="15">
        <v>0.35399999999999998</v>
      </c>
      <c r="I161" s="15">
        <v>5.8900000000000001E-2</v>
      </c>
      <c r="J161" s="15">
        <v>6.0101867572156191</v>
      </c>
    </row>
    <row r="162" spans="1:10" x14ac:dyDescent="0.25">
      <c r="A162" s="2" t="s">
        <v>482</v>
      </c>
      <c r="B162" s="2" t="s">
        <v>483</v>
      </c>
      <c r="C162" s="2" t="s">
        <v>484</v>
      </c>
      <c r="D162" s="2" t="s">
        <v>10040</v>
      </c>
      <c r="E162" s="15">
        <v>4.1700000000000001E-2</v>
      </c>
      <c r="F162" s="15">
        <v>5.8400000000000001E-2</v>
      </c>
      <c r="G162" s="15">
        <v>0.47539999999999999</v>
      </c>
      <c r="H162" s="15">
        <v>0.32729999999999998</v>
      </c>
      <c r="I162" s="15">
        <v>6.0900000000000003E-2</v>
      </c>
      <c r="J162" s="15">
        <v>5.3743842364532011</v>
      </c>
    </row>
    <row r="163" spans="1:10" x14ac:dyDescent="0.25">
      <c r="A163" s="2" t="s">
        <v>485</v>
      </c>
      <c r="B163" s="2" t="s">
        <v>486</v>
      </c>
      <c r="C163" s="2" t="s">
        <v>487</v>
      </c>
      <c r="D163" s="2" t="s">
        <v>10040</v>
      </c>
      <c r="E163" s="15">
        <v>-1.6899999999999998E-2</v>
      </c>
      <c r="F163" s="15">
        <v>6.5299999999999997E-2</v>
      </c>
      <c r="G163" s="15">
        <v>0.79610000000000003</v>
      </c>
      <c r="H163" s="15">
        <v>0.28339999999999999</v>
      </c>
      <c r="I163" s="15">
        <v>5.1700000000000003E-2</v>
      </c>
      <c r="J163" s="15">
        <v>5.4816247582205024</v>
      </c>
    </row>
    <row r="164" spans="1:10" x14ac:dyDescent="0.25">
      <c r="A164" s="2" t="s">
        <v>488</v>
      </c>
      <c r="B164" s="2" t="s">
        <v>489</v>
      </c>
      <c r="C164" s="2" t="s">
        <v>490</v>
      </c>
      <c r="D164" s="2" t="s">
        <v>10040</v>
      </c>
      <c r="E164" s="15">
        <v>-6.5699999999999995E-2</v>
      </c>
      <c r="F164" s="15">
        <v>7.3599999999999999E-2</v>
      </c>
      <c r="G164" s="15">
        <v>0.3725</v>
      </c>
      <c r="H164" s="15">
        <v>0.27010000000000001</v>
      </c>
      <c r="I164" s="15">
        <v>4.36E-2</v>
      </c>
      <c r="J164" s="15">
        <v>6.1949541284403669</v>
      </c>
    </row>
    <row r="165" spans="1:10" x14ac:dyDescent="0.25">
      <c r="A165" s="2" t="s">
        <v>491</v>
      </c>
      <c r="B165" s="2" t="s">
        <v>492</v>
      </c>
      <c r="C165" s="2" t="s">
        <v>493</v>
      </c>
      <c r="D165" s="2" t="s">
        <v>10040</v>
      </c>
      <c r="E165" s="15">
        <v>1.8700000000000001E-2</v>
      </c>
      <c r="F165" s="15">
        <v>7.3099999999999998E-2</v>
      </c>
      <c r="G165" s="15">
        <v>0.79759999999999998</v>
      </c>
      <c r="H165" s="15">
        <v>0.23980000000000001</v>
      </c>
      <c r="I165" s="15">
        <v>5.3699999999999998E-2</v>
      </c>
      <c r="J165" s="15">
        <v>4.4655493482309128</v>
      </c>
    </row>
    <row r="166" spans="1:10" x14ac:dyDescent="0.25">
      <c r="A166" s="2" t="s">
        <v>494</v>
      </c>
      <c r="B166" s="2" t="s">
        <v>495</v>
      </c>
      <c r="C166" s="2" t="s">
        <v>496</v>
      </c>
      <c r="D166" s="2" t="s">
        <v>10040</v>
      </c>
      <c r="E166" s="15">
        <v>-6.8000000000000005E-2</v>
      </c>
      <c r="F166" s="15">
        <v>7.5200000000000003E-2</v>
      </c>
      <c r="G166" s="15">
        <v>0.36570000000000003</v>
      </c>
      <c r="H166" s="15">
        <v>0.23860000000000001</v>
      </c>
      <c r="I166" s="15">
        <v>4.6199999999999998E-2</v>
      </c>
      <c r="J166" s="15">
        <v>5.1645021645021636</v>
      </c>
    </row>
    <row r="167" spans="1:10" x14ac:dyDescent="0.25">
      <c r="A167" s="2" t="s">
        <v>497</v>
      </c>
      <c r="B167" s="2" t="s">
        <v>498</v>
      </c>
      <c r="C167" s="2" t="s">
        <v>499</v>
      </c>
      <c r="D167" s="2" t="s">
        <v>10040</v>
      </c>
      <c r="E167" s="15">
        <v>0.24210000000000001</v>
      </c>
      <c r="F167" s="15">
        <v>9.9900000000000003E-2</v>
      </c>
      <c r="G167" s="15">
        <v>1.54E-2</v>
      </c>
      <c r="H167" s="15">
        <v>0.16039999999999999</v>
      </c>
      <c r="I167" s="15">
        <v>5.1900000000000002E-2</v>
      </c>
      <c r="J167" s="15">
        <v>3.0905587668593451</v>
      </c>
    </row>
    <row r="168" spans="1:10" x14ac:dyDescent="0.25">
      <c r="A168" s="2" t="s">
        <v>500</v>
      </c>
      <c r="B168" s="2" t="s">
        <v>501</v>
      </c>
      <c r="C168" s="2" t="s">
        <v>502</v>
      </c>
      <c r="D168" s="2" t="s">
        <v>10040</v>
      </c>
      <c r="E168" s="15">
        <v>0.22339999999999999</v>
      </c>
      <c r="F168" s="15">
        <v>0.11119999999999999</v>
      </c>
      <c r="G168" s="15">
        <v>4.4499999999999998E-2</v>
      </c>
      <c r="H168" s="15">
        <v>0.13220000000000001</v>
      </c>
      <c r="I168" s="15">
        <v>0.05</v>
      </c>
      <c r="J168" s="15">
        <v>2.6440000000000001</v>
      </c>
    </row>
    <row r="169" spans="1:10" x14ac:dyDescent="0.25">
      <c r="A169" s="2" t="s">
        <v>503</v>
      </c>
      <c r="B169" s="2" t="s">
        <v>504</v>
      </c>
      <c r="C169" s="2" t="s">
        <v>505</v>
      </c>
      <c r="D169" s="2" t="s">
        <v>10040</v>
      </c>
      <c r="E169" s="15">
        <v>0.22409999999999999</v>
      </c>
      <c r="F169" s="15">
        <v>0.1013</v>
      </c>
      <c r="G169" s="15">
        <v>2.69E-2</v>
      </c>
      <c r="H169" s="15">
        <v>0.15240000000000001</v>
      </c>
      <c r="I169" s="15">
        <v>5.0999999999999997E-2</v>
      </c>
      <c r="J169" s="15">
        <v>2.988235294117648</v>
      </c>
    </row>
    <row r="170" spans="1:10" x14ac:dyDescent="0.25">
      <c r="A170" s="2" t="s">
        <v>506</v>
      </c>
      <c r="B170" s="2" t="s">
        <v>507</v>
      </c>
      <c r="C170" s="2" t="s">
        <v>508</v>
      </c>
      <c r="D170" s="2" t="s">
        <v>10040</v>
      </c>
      <c r="E170" s="15">
        <v>7.9899999999999999E-2</v>
      </c>
      <c r="F170" s="15">
        <v>6.4399999999999999E-2</v>
      </c>
      <c r="G170" s="15">
        <v>0.2147</v>
      </c>
      <c r="H170" s="15">
        <v>0.3004</v>
      </c>
      <c r="I170" s="15">
        <v>5.3900000000000003E-2</v>
      </c>
      <c r="J170" s="15">
        <v>5.5732838589981446</v>
      </c>
    </row>
    <row r="171" spans="1:10" x14ac:dyDescent="0.25">
      <c r="A171" s="2" t="s">
        <v>509</v>
      </c>
      <c r="B171" s="2" t="s">
        <v>510</v>
      </c>
      <c r="C171" s="2" t="s">
        <v>511</v>
      </c>
      <c r="D171" s="2" t="s">
        <v>10040</v>
      </c>
      <c r="E171" s="15">
        <v>0.27029999999999998</v>
      </c>
      <c r="F171" s="15">
        <v>0.1225</v>
      </c>
      <c r="G171" s="15">
        <v>2.7300000000000001E-2</v>
      </c>
      <c r="H171" s="15">
        <v>0.1229</v>
      </c>
      <c r="I171" s="15">
        <v>4.3299999999999998E-2</v>
      </c>
      <c r="J171" s="15">
        <v>2.8383371824480368</v>
      </c>
    </row>
    <row r="172" spans="1:10" x14ac:dyDescent="0.25">
      <c r="A172" s="2" t="s">
        <v>512</v>
      </c>
      <c r="B172" s="2" t="s">
        <v>513</v>
      </c>
      <c r="C172" s="2" t="s">
        <v>514</v>
      </c>
      <c r="D172" s="2" t="s">
        <v>10040</v>
      </c>
      <c r="E172" s="15">
        <v>0.21079999999999999</v>
      </c>
      <c r="F172" s="15">
        <v>7.9200000000000007E-2</v>
      </c>
      <c r="G172" s="15">
        <v>7.7000000000000002E-3</v>
      </c>
      <c r="H172" s="15">
        <v>0.21590000000000001</v>
      </c>
      <c r="I172" s="15">
        <v>5.16E-2</v>
      </c>
      <c r="J172" s="15">
        <v>4.1841085271317828</v>
      </c>
    </row>
    <row r="173" spans="1:10" x14ac:dyDescent="0.25">
      <c r="A173" s="2" t="s">
        <v>515</v>
      </c>
      <c r="B173" s="2" t="s">
        <v>516</v>
      </c>
      <c r="C173" s="2" t="s">
        <v>517</v>
      </c>
      <c r="D173" s="2" t="s">
        <v>10040</v>
      </c>
      <c r="E173" s="15">
        <v>0.19620000000000001</v>
      </c>
      <c r="F173" s="15">
        <v>8.7599999999999997E-2</v>
      </c>
      <c r="G173" s="15">
        <v>2.5000000000000001E-2</v>
      </c>
      <c r="H173" s="15">
        <v>0.18</v>
      </c>
      <c r="I173" s="15">
        <v>4.9299999999999997E-2</v>
      </c>
      <c r="J173" s="15">
        <v>3.6511156186612581</v>
      </c>
    </row>
    <row r="174" spans="1:10" x14ac:dyDescent="0.25">
      <c r="A174" s="2" t="s">
        <v>518</v>
      </c>
      <c r="B174" s="2" t="s">
        <v>519</v>
      </c>
      <c r="C174" s="2" t="s">
        <v>520</v>
      </c>
      <c r="D174" s="2" t="s">
        <v>10040</v>
      </c>
      <c r="E174" s="15">
        <v>0.1051</v>
      </c>
      <c r="F174" s="15">
        <v>8.9599999999999999E-2</v>
      </c>
      <c r="G174" s="15">
        <v>0.2407</v>
      </c>
      <c r="H174" s="15">
        <v>0.2006</v>
      </c>
      <c r="I174" s="15">
        <v>5.1799999999999999E-2</v>
      </c>
      <c r="J174" s="15">
        <v>3.8725868725868731</v>
      </c>
    </row>
    <row r="175" spans="1:10" x14ac:dyDescent="0.25">
      <c r="A175" s="2" t="s">
        <v>521</v>
      </c>
      <c r="B175" s="2" t="s">
        <v>522</v>
      </c>
      <c r="C175" s="2" t="s">
        <v>523</v>
      </c>
      <c r="D175" s="2" t="s">
        <v>10040</v>
      </c>
      <c r="E175" s="15">
        <v>0.1163</v>
      </c>
      <c r="F175" s="15">
        <v>7.7899999999999997E-2</v>
      </c>
      <c r="G175" s="15">
        <v>0.1356</v>
      </c>
      <c r="H175" s="15">
        <v>0.24410000000000001</v>
      </c>
      <c r="I175" s="15">
        <v>5.3199999999999997E-2</v>
      </c>
      <c r="J175" s="15">
        <v>4.5883458646616546</v>
      </c>
    </row>
    <row r="176" spans="1:10" x14ac:dyDescent="0.25">
      <c r="A176" s="2" t="s">
        <v>524</v>
      </c>
      <c r="B176" s="2" t="s">
        <v>525</v>
      </c>
      <c r="C176" s="2" t="s">
        <v>526</v>
      </c>
      <c r="D176" s="2" t="s">
        <v>10040</v>
      </c>
      <c r="E176" s="15">
        <v>1E-3</v>
      </c>
      <c r="F176" s="15">
        <v>8.6199999999999999E-2</v>
      </c>
      <c r="G176" s="15">
        <v>0.99109999999999998</v>
      </c>
      <c r="H176" s="15">
        <v>0.20449999999999999</v>
      </c>
      <c r="I176" s="15">
        <v>4.9700000000000001E-2</v>
      </c>
      <c r="J176" s="15">
        <v>4.1146881287726353</v>
      </c>
    </row>
    <row r="177" spans="1:10" x14ac:dyDescent="0.25">
      <c r="A177" s="2" t="s">
        <v>527</v>
      </c>
      <c r="B177" s="2" t="s">
        <v>528</v>
      </c>
      <c r="C177" s="2" t="s">
        <v>529</v>
      </c>
      <c r="D177" s="2" t="s">
        <v>10040</v>
      </c>
      <c r="E177" s="15">
        <v>-2.1600000000000001E-2</v>
      </c>
      <c r="F177" s="15">
        <v>6.2100000000000002E-2</v>
      </c>
      <c r="G177" s="15">
        <v>0.72860000000000003</v>
      </c>
      <c r="H177" s="15">
        <v>0.35780000000000001</v>
      </c>
      <c r="I177" s="15">
        <v>5.6899999999999999E-2</v>
      </c>
      <c r="J177" s="15">
        <v>6.288224956063269</v>
      </c>
    </row>
    <row r="178" spans="1:10" x14ac:dyDescent="0.25">
      <c r="A178" s="2" t="s">
        <v>530</v>
      </c>
      <c r="B178" s="2" t="s">
        <v>531</v>
      </c>
      <c r="C178" s="2" t="s">
        <v>532</v>
      </c>
      <c r="D178" s="2" t="s">
        <v>10040</v>
      </c>
      <c r="E178" s="15">
        <v>1.38E-2</v>
      </c>
      <c r="F178" s="15">
        <v>0.2853</v>
      </c>
      <c r="G178" s="15">
        <v>0.96150000000000002</v>
      </c>
      <c r="H178" s="15">
        <v>1.9099999999999999E-2</v>
      </c>
      <c r="I178" s="15">
        <v>4.5699999999999998E-2</v>
      </c>
      <c r="J178" s="15">
        <v>0.41794310722100658</v>
      </c>
    </row>
    <row r="179" spans="1:10" x14ac:dyDescent="0.25">
      <c r="A179" s="2" t="s">
        <v>533</v>
      </c>
      <c r="B179" s="2" t="s">
        <v>534</v>
      </c>
      <c r="C179" s="2" t="s">
        <v>535</v>
      </c>
      <c r="D179" s="2" t="s">
        <v>10040</v>
      </c>
      <c r="E179" s="15">
        <v>0.1014</v>
      </c>
      <c r="F179" s="15">
        <v>6.1800000000000001E-2</v>
      </c>
      <c r="G179" s="15">
        <v>0.10100000000000001</v>
      </c>
      <c r="H179" s="15">
        <v>0.40029999999999999</v>
      </c>
      <c r="I179" s="15">
        <v>5.0999999999999997E-2</v>
      </c>
      <c r="J179" s="15">
        <v>7.8490196078431378</v>
      </c>
    </row>
    <row r="180" spans="1:10" x14ac:dyDescent="0.25">
      <c r="A180" s="2" t="s">
        <v>536</v>
      </c>
      <c r="B180" s="2" t="s">
        <v>537</v>
      </c>
      <c r="C180" s="2" t="s">
        <v>538</v>
      </c>
      <c r="D180" s="2" t="s">
        <v>10040</v>
      </c>
      <c r="E180" s="15">
        <v>3.2500000000000001E-2</v>
      </c>
      <c r="F180" s="15">
        <v>7.0199999999999999E-2</v>
      </c>
      <c r="G180" s="15">
        <v>0.64280000000000004</v>
      </c>
      <c r="H180" s="15">
        <v>0.25290000000000001</v>
      </c>
      <c r="I180" s="15">
        <v>4.9700000000000001E-2</v>
      </c>
      <c r="J180" s="15">
        <v>5.0885311871227374</v>
      </c>
    </row>
    <row r="181" spans="1:10" x14ac:dyDescent="0.25">
      <c r="A181" s="2" t="s">
        <v>539</v>
      </c>
      <c r="B181" s="2" t="s">
        <v>540</v>
      </c>
      <c r="C181" s="2" t="s">
        <v>541</v>
      </c>
      <c r="D181" s="2" t="s">
        <v>10040</v>
      </c>
      <c r="E181" s="15">
        <v>-6.7999999999999996E-3</v>
      </c>
      <c r="F181" s="15">
        <v>8.3500000000000005E-2</v>
      </c>
      <c r="G181" s="15">
        <v>0.93479999999999996</v>
      </c>
      <c r="H181" s="15">
        <v>0.19939999999999999</v>
      </c>
      <c r="I181" s="15">
        <v>4.8000000000000001E-2</v>
      </c>
      <c r="J181" s="15">
        <v>4.1541666666666668</v>
      </c>
    </row>
    <row r="182" spans="1:10" x14ac:dyDescent="0.25">
      <c r="A182" s="2" t="s">
        <v>542</v>
      </c>
      <c r="B182" s="2" t="s">
        <v>543</v>
      </c>
      <c r="C182" s="2" t="s">
        <v>544</v>
      </c>
      <c r="D182" s="2" t="s">
        <v>10040</v>
      </c>
      <c r="E182" s="15"/>
      <c r="F182" s="15"/>
      <c r="G182" s="15"/>
      <c r="H182" s="15">
        <v>-3.7199999999999997E-2</v>
      </c>
      <c r="I182" s="15">
        <v>4.0800000000000003E-2</v>
      </c>
      <c r="J182" s="15">
        <v>-0.91176470588235281</v>
      </c>
    </row>
    <row r="183" spans="1:10" x14ac:dyDescent="0.25">
      <c r="A183" s="2" t="s">
        <v>545</v>
      </c>
      <c r="B183" s="2" t="s">
        <v>546</v>
      </c>
      <c r="C183" s="2" t="s">
        <v>547</v>
      </c>
      <c r="D183" s="2" t="s">
        <v>10040</v>
      </c>
      <c r="E183" s="15">
        <v>0.1074</v>
      </c>
      <c r="F183" s="15">
        <v>7.2800000000000004E-2</v>
      </c>
      <c r="G183" s="15">
        <v>0.14050000000000001</v>
      </c>
      <c r="H183" s="15">
        <v>0.2427</v>
      </c>
      <c r="I183" s="15">
        <v>5.7599999999999998E-2</v>
      </c>
      <c r="J183" s="15">
        <v>4.213541666666667</v>
      </c>
    </row>
    <row r="184" spans="1:10" x14ac:dyDescent="0.25">
      <c r="A184" s="2" t="s">
        <v>548</v>
      </c>
      <c r="B184" s="2" t="s">
        <v>549</v>
      </c>
      <c r="C184" s="2" t="s">
        <v>550</v>
      </c>
      <c r="D184" s="2" t="s">
        <v>10040</v>
      </c>
      <c r="E184" s="15">
        <v>4.6600000000000003E-2</v>
      </c>
      <c r="F184" s="15">
        <v>7.4899999999999994E-2</v>
      </c>
      <c r="G184" s="15">
        <v>0.53359999999999996</v>
      </c>
      <c r="H184" s="15">
        <v>0.27260000000000001</v>
      </c>
      <c r="I184" s="15">
        <v>5.6599999999999998E-2</v>
      </c>
      <c r="J184" s="15">
        <v>4.8162544169611312</v>
      </c>
    </row>
    <row r="185" spans="1:10" x14ac:dyDescent="0.25">
      <c r="A185" s="2" t="s">
        <v>551</v>
      </c>
      <c r="B185" s="2" t="s">
        <v>552</v>
      </c>
      <c r="C185" s="2" t="s">
        <v>553</v>
      </c>
      <c r="D185" s="2" t="s">
        <v>10040</v>
      </c>
      <c r="E185" s="15">
        <v>0.1966</v>
      </c>
      <c r="F185" s="15">
        <v>9.9099999999999994E-2</v>
      </c>
      <c r="G185" s="15">
        <v>4.7199999999999999E-2</v>
      </c>
      <c r="H185" s="15">
        <v>0.15279999999999999</v>
      </c>
      <c r="I185" s="15">
        <v>4.7399999999999998E-2</v>
      </c>
      <c r="J185" s="15">
        <v>3.223628691983123</v>
      </c>
    </row>
    <row r="186" spans="1:10" x14ac:dyDescent="0.25">
      <c r="A186" s="2" t="s">
        <v>554</v>
      </c>
      <c r="B186" s="2" t="s">
        <v>555</v>
      </c>
      <c r="C186" s="2" t="s">
        <v>556</v>
      </c>
      <c r="D186" s="2" t="s">
        <v>10040</v>
      </c>
      <c r="E186" s="15">
        <v>4.1300000000000003E-2</v>
      </c>
      <c r="F186" s="15">
        <v>9.2700000000000005E-2</v>
      </c>
      <c r="G186" s="15">
        <v>0.65610000000000002</v>
      </c>
      <c r="H186" s="15">
        <v>0.1779</v>
      </c>
      <c r="I186" s="15">
        <v>4.48E-2</v>
      </c>
      <c r="J186" s="15">
        <v>3.9709821428571428</v>
      </c>
    </row>
    <row r="187" spans="1:10" x14ac:dyDescent="0.25">
      <c r="A187" s="2" t="s">
        <v>557</v>
      </c>
      <c r="B187" s="2" t="s">
        <v>558</v>
      </c>
      <c r="C187" s="2" t="s">
        <v>559</v>
      </c>
      <c r="D187" s="2" t="s">
        <v>10040</v>
      </c>
      <c r="E187" s="15">
        <v>-7.6E-3</v>
      </c>
      <c r="F187" s="15">
        <v>9.5500000000000002E-2</v>
      </c>
      <c r="G187" s="15">
        <v>0.93620000000000003</v>
      </c>
      <c r="H187" s="15">
        <v>0.18099999999999999</v>
      </c>
      <c r="I187" s="15">
        <v>4.3999999999999997E-2</v>
      </c>
      <c r="J187" s="15">
        <v>4.1136363636363633</v>
      </c>
    </row>
    <row r="188" spans="1:10" x14ac:dyDescent="0.25">
      <c r="A188" s="2" t="s">
        <v>560</v>
      </c>
      <c r="B188" s="2" t="s">
        <v>561</v>
      </c>
      <c r="C188" s="2" t="s">
        <v>562</v>
      </c>
      <c r="D188" s="2" t="s">
        <v>10040</v>
      </c>
      <c r="E188" s="15">
        <v>0.14449999999999999</v>
      </c>
      <c r="F188" s="15">
        <v>7.9200000000000007E-2</v>
      </c>
      <c r="G188" s="15">
        <v>6.83E-2</v>
      </c>
      <c r="H188" s="15">
        <v>0.2369</v>
      </c>
      <c r="I188" s="15">
        <v>4.6199999999999998E-2</v>
      </c>
      <c r="J188" s="15">
        <v>5.1277056277056277</v>
      </c>
    </row>
    <row r="189" spans="1:10" x14ac:dyDescent="0.25">
      <c r="A189" s="2" t="s">
        <v>563</v>
      </c>
      <c r="B189" s="2" t="s">
        <v>564</v>
      </c>
      <c r="C189" s="2" t="s">
        <v>565</v>
      </c>
      <c r="D189" s="2" t="s">
        <v>10040</v>
      </c>
      <c r="E189" s="15">
        <v>0.1216</v>
      </c>
      <c r="F189" s="15">
        <v>8.09E-2</v>
      </c>
      <c r="G189" s="15">
        <v>0.1331</v>
      </c>
      <c r="H189" s="15">
        <v>0.21390000000000001</v>
      </c>
      <c r="I189" s="15">
        <v>4.9399999999999999E-2</v>
      </c>
      <c r="J189" s="15">
        <v>4.3299595141700404</v>
      </c>
    </row>
    <row r="190" spans="1:10" x14ac:dyDescent="0.25">
      <c r="A190" s="2" t="s">
        <v>566</v>
      </c>
      <c r="B190" s="2" t="s">
        <v>567</v>
      </c>
      <c r="C190" s="2" t="s">
        <v>568</v>
      </c>
      <c r="D190" s="2" t="s">
        <v>10040</v>
      </c>
      <c r="E190" s="15">
        <v>9.7299999999999998E-2</v>
      </c>
      <c r="F190" s="15">
        <v>0.13300000000000001</v>
      </c>
      <c r="G190" s="15">
        <v>0.46450000000000002</v>
      </c>
      <c r="H190" s="15">
        <v>8.3900000000000002E-2</v>
      </c>
      <c r="I190" s="15">
        <v>4.6899999999999997E-2</v>
      </c>
      <c r="J190" s="15">
        <v>1.788912579957356</v>
      </c>
    </row>
    <row r="191" spans="1:10" x14ac:dyDescent="0.25">
      <c r="A191" s="2" t="s">
        <v>569</v>
      </c>
      <c r="B191" s="2" t="s">
        <v>570</v>
      </c>
      <c r="C191" s="2" t="s">
        <v>571</v>
      </c>
      <c r="D191" s="2" t="s">
        <v>10040</v>
      </c>
      <c r="E191" s="15">
        <v>0.20380000000000001</v>
      </c>
      <c r="F191" s="15">
        <v>9.6100000000000005E-2</v>
      </c>
      <c r="G191" s="15">
        <v>3.4000000000000002E-2</v>
      </c>
      <c r="H191" s="15">
        <v>0.15529999999999999</v>
      </c>
      <c r="I191" s="15">
        <v>4.3099999999999999E-2</v>
      </c>
      <c r="J191" s="15">
        <v>3.6032482598607891</v>
      </c>
    </row>
    <row r="192" spans="1:10" x14ac:dyDescent="0.25">
      <c r="A192" s="2" t="s">
        <v>572</v>
      </c>
      <c r="B192" s="2" t="s">
        <v>573</v>
      </c>
      <c r="C192" s="2" t="s">
        <v>574</v>
      </c>
      <c r="D192" s="2" t="s">
        <v>10040</v>
      </c>
      <c r="E192" s="15">
        <v>9.5200000000000007E-2</v>
      </c>
      <c r="F192" s="15">
        <v>6.7299999999999999E-2</v>
      </c>
      <c r="G192" s="15">
        <v>0.15720000000000001</v>
      </c>
      <c r="H192" s="15">
        <v>0.2797</v>
      </c>
      <c r="I192" s="15">
        <v>5.2400000000000002E-2</v>
      </c>
      <c r="J192" s="15">
        <v>5.3377862595419847</v>
      </c>
    </row>
    <row r="193" spans="1:10" x14ac:dyDescent="0.25">
      <c r="A193" s="2" t="s">
        <v>575</v>
      </c>
      <c r="B193" s="2" t="s">
        <v>576</v>
      </c>
      <c r="C193" s="2" t="s">
        <v>577</v>
      </c>
      <c r="D193" s="2" t="s">
        <v>10040</v>
      </c>
      <c r="E193" s="15">
        <v>0.1484</v>
      </c>
      <c r="F193" s="15">
        <v>8.09E-2</v>
      </c>
      <c r="G193" s="15">
        <v>6.6699999999999995E-2</v>
      </c>
      <c r="H193" s="15">
        <v>0.2334</v>
      </c>
      <c r="I193" s="15">
        <v>4.99E-2</v>
      </c>
      <c r="J193" s="15">
        <v>4.6773547094188377</v>
      </c>
    </row>
    <row r="194" spans="1:10" x14ac:dyDescent="0.25">
      <c r="A194" s="2" t="s">
        <v>578</v>
      </c>
      <c r="B194" s="2" t="s">
        <v>579</v>
      </c>
      <c r="C194" s="2" t="s">
        <v>580</v>
      </c>
      <c r="D194" s="2" t="s">
        <v>10040</v>
      </c>
      <c r="E194" s="15">
        <v>0.14180000000000001</v>
      </c>
      <c r="F194" s="15">
        <v>8.4699999999999998E-2</v>
      </c>
      <c r="G194" s="15">
        <v>9.4299999999999995E-2</v>
      </c>
      <c r="H194" s="15">
        <v>0.16320000000000001</v>
      </c>
      <c r="I194" s="15">
        <v>4.8300000000000003E-2</v>
      </c>
      <c r="J194" s="15">
        <v>3.3788819875776399</v>
      </c>
    </row>
    <row r="195" spans="1:10" x14ac:dyDescent="0.25">
      <c r="A195" s="2" t="s">
        <v>581</v>
      </c>
      <c r="B195" s="2" t="s">
        <v>582</v>
      </c>
      <c r="C195" s="2" t="s">
        <v>583</v>
      </c>
      <c r="D195" s="2" t="s">
        <v>10040</v>
      </c>
      <c r="E195" s="15">
        <v>4.4400000000000002E-2</v>
      </c>
      <c r="F195" s="15">
        <v>6.3799999999999996E-2</v>
      </c>
      <c r="G195" s="15">
        <v>0.4864</v>
      </c>
      <c r="H195" s="15">
        <v>0.3427</v>
      </c>
      <c r="I195" s="15">
        <v>5.67E-2</v>
      </c>
      <c r="J195" s="15">
        <v>6.0440917107583774</v>
      </c>
    </row>
    <row r="196" spans="1:10" x14ac:dyDescent="0.25">
      <c r="A196" s="2" t="s">
        <v>584</v>
      </c>
      <c r="B196" s="2" t="s">
        <v>585</v>
      </c>
      <c r="C196" s="2" t="s">
        <v>586</v>
      </c>
      <c r="D196" s="2" t="s">
        <v>10040</v>
      </c>
      <c r="E196" s="15">
        <v>8.1100000000000005E-2</v>
      </c>
      <c r="F196" s="15">
        <v>7.2700000000000001E-2</v>
      </c>
      <c r="G196" s="15">
        <v>0.26469999999999999</v>
      </c>
      <c r="H196" s="15">
        <v>0.29270000000000002</v>
      </c>
      <c r="I196" s="15">
        <v>5.8000000000000003E-2</v>
      </c>
      <c r="J196" s="15">
        <v>5.046551724137931</v>
      </c>
    </row>
    <row r="197" spans="1:10" x14ac:dyDescent="0.25">
      <c r="A197" s="2" t="s">
        <v>587</v>
      </c>
      <c r="B197" s="2" t="s">
        <v>588</v>
      </c>
      <c r="C197" s="2" t="s">
        <v>589</v>
      </c>
      <c r="D197" s="2" t="s">
        <v>10040</v>
      </c>
      <c r="E197" s="15">
        <v>5.6399999999999999E-2</v>
      </c>
      <c r="F197" s="15">
        <v>6.9599999999999995E-2</v>
      </c>
      <c r="G197" s="15">
        <v>0.41760000000000003</v>
      </c>
      <c r="H197" s="15">
        <v>0.25</v>
      </c>
      <c r="I197" s="15">
        <v>4.6300000000000001E-2</v>
      </c>
      <c r="J197" s="15">
        <v>5.3995680345572357</v>
      </c>
    </row>
    <row r="198" spans="1:10" x14ac:dyDescent="0.25">
      <c r="A198" s="2" t="s">
        <v>590</v>
      </c>
      <c r="B198" s="2" t="s">
        <v>591</v>
      </c>
      <c r="C198" s="2" t="s">
        <v>592</v>
      </c>
      <c r="D198" s="2" t="s">
        <v>10040</v>
      </c>
      <c r="E198" s="15">
        <v>-2.4299999999999999E-2</v>
      </c>
      <c r="F198" s="15">
        <v>5.9200000000000003E-2</v>
      </c>
      <c r="G198" s="15">
        <v>0.68100000000000005</v>
      </c>
      <c r="H198" s="15">
        <v>0.3649</v>
      </c>
      <c r="I198" s="15">
        <v>4.7600000000000003E-2</v>
      </c>
      <c r="J198" s="15">
        <v>7.6659663865546213</v>
      </c>
    </row>
    <row r="199" spans="1:10" x14ac:dyDescent="0.25">
      <c r="A199" s="2" t="s">
        <v>593</v>
      </c>
      <c r="B199" s="2" t="s">
        <v>594</v>
      </c>
      <c r="C199" s="2" t="s">
        <v>595</v>
      </c>
      <c r="D199" s="2" t="s">
        <v>10040</v>
      </c>
      <c r="E199" s="15">
        <v>0.1072</v>
      </c>
      <c r="F199" s="15">
        <v>6.93E-2</v>
      </c>
      <c r="G199" s="15">
        <v>0.12180000000000001</v>
      </c>
      <c r="H199" s="15">
        <v>0.35649999999999998</v>
      </c>
      <c r="I199" s="15">
        <v>5.9799999999999999E-2</v>
      </c>
      <c r="J199" s="15">
        <v>5.9615384615384617</v>
      </c>
    </row>
    <row r="200" spans="1:10" x14ac:dyDescent="0.25">
      <c r="A200" s="2" t="s">
        <v>596</v>
      </c>
      <c r="B200" s="2" t="s">
        <v>597</v>
      </c>
      <c r="C200" s="2" t="s">
        <v>598</v>
      </c>
      <c r="D200" s="2" t="s">
        <v>10040</v>
      </c>
      <c r="E200" s="15">
        <v>8.8300000000000003E-2</v>
      </c>
      <c r="F200" s="15">
        <v>7.0999999999999994E-2</v>
      </c>
      <c r="G200" s="15">
        <v>0.21329999999999999</v>
      </c>
      <c r="H200" s="15">
        <v>0.2452</v>
      </c>
      <c r="I200" s="15">
        <v>5.1499999999999997E-2</v>
      </c>
      <c r="J200" s="15">
        <v>4.76116504854369</v>
      </c>
    </row>
    <row r="201" spans="1:10" x14ac:dyDescent="0.25">
      <c r="A201" s="2" t="s">
        <v>599</v>
      </c>
      <c r="B201" s="2" t="s">
        <v>600</v>
      </c>
      <c r="C201" s="2" t="s">
        <v>601</v>
      </c>
      <c r="D201" s="2" t="s">
        <v>10040</v>
      </c>
      <c r="E201" s="15">
        <v>5.9999999999999995E-4</v>
      </c>
      <c r="F201" s="15">
        <v>7.5800000000000006E-2</v>
      </c>
      <c r="G201" s="15">
        <v>0.99319999999999997</v>
      </c>
      <c r="H201" s="15">
        <v>0.1938</v>
      </c>
      <c r="I201" s="15">
        <v>4.53E-2</v>
      </c>
      <c r="J201" s="15">
        <v>4.2781456953642376</v>
      </c>
    </row>
    <row r="202" spans="1:10" x14ac:dyDescent="0.25">
      <c r="A202" s="2" t="s">
        <v>602</v>
      </c>
      <c r="B202" s="2" t="s">
        <v>603</v>
      </c>
      <c r="C202" s="2" t="s">
        <v>604</v>
      </c>
      <c r="D202" s="2" t="s">
        <v>10040</v>
      </c>
      <c r="E202" s="15">
        <v>0.1484</v>
      </c>
      <c r="F202" s="15">
        <v>7.1900000000000006E-2</v>
      </c>
      <c r="G202" s="15">
        <v>3.9100000000000003E-2</v>
      </c>
      <c r="H202" s="15">
        <v>0.21160000000000001</v>
      </c>
      <c r="I202" s="15">
        <v>4.6100000000000002E-2</v>
      </c>
      <c r="J202" s="15">
        <v>4.5900216919739698</v>
      </c>
    </row>
    <row r="203" spans="1:10" x14ac:dyDescent="0.25">
      <c r="A203" s="2" t="s">
        <v>605</v>
      </c>
      <c r="B203" s="2" t="s">
        <v>606</v>
      </c>
      <c r="C203" s="2" t="s">
        <v>607</v>
      </c>
      <c r="D203" s="2" t="s">
        <v>10040</v>
      </c>
      <c r="E203" s="15">
        <v>4.3799999999999999E-2</v>
      </c>
      <c r="F203" s="15">
        <v>0.1082</v>
      </c>
      <c r="G203" s="15">
        <v>0.68530000000000002</v>
      </c>
      <c r="H203" s="15">
        <v>0.1022</v>
      </c>
      <c r="I203" s="15">
        <v>4.8500000000000001E-2</v>
      </c>
      <c r="J203" s="15">
        <v>2.1072164948453609</v>
      </c>
    </row>
    <row r="204" spans="1:10" x14ac:dyDescent="0.25">
      <c r="A204" s="2" t="s">
        <v>608</v>
      </c>
      <c r="B204" s="2" t="s">
        <v>609</v>
      </c>
      <c r="C204" s="2" t="s">
        <v>610</v>
      </c>
      <c r="D204" s="2" t="s">
        <v>10040</v>
      </c>
      <c r="E204" s="15">
        <v>-1.61E-2</v>
      </c>
      <c r="F204" s="15">
        <v>6.5299999999999997E-2</v>
      </c>
      <c r="G204" s="15">
        <v>0.8054</v>
      </c>
      <c r="H204" s="15">
        <v>0.30549999999999999</v>
      </c>
      <c r="I204" s="15">
        <v>5.7200000000000001E-2</v>
      </c>
      <c r="J204" s="15">
        <v>5.3409090909090908</v>
      </c>
    </row>
    <row r="205" spans="1:10" x14ac:dyDescent="0.25">
      <c r="A205" s="2" t="s">
        <v>611</v>
      </c>
      <c r="B205" s="2" t="s">
        <v>612</v>
      </c>
      <c r="C205" s="2" t="s">
        <v>613</v>
      </c>
      <c r="D205" s="2" t="s">
        <v>10040</v>
      </c>
      <c r="E205" s="15">
        <v>-0.1326</v>
      </c>
      <c r="F205" s="15">
        <v>0.12839999999999999</v>
      </c>
      <c r="G205" s="15">
        <v>0.3014</v>
      </c>
      <c r="H205" s="15">
        <v>8.5500000000000007E-2</v>
      </c>
      <c r="I205" s="15">
        <v>4.0399999999999998E-2</v>
      </c>
      <c r="J205" s="15">
        <v>2.1163366336633671</v>
      </c>
    </row>
    <row r="206" spans="1:10" x14ac:dyDescent="0.25">
      <c r="A206" s="2" t="s">
        <v>614</v>
      </c>
      <c r="B206" s="2" t="s">
        <v>615</v>
      </c>
      <c r="C206" s="2" t="s">
        <v>616</v>
      </c>
      <c r="D206" s="2" t="s">
        <v>10040</v>
      </c>
      <c r="E206" s="15">
        <v>5.04E-2</v>
      </c>
      <c r="F206" s="15">
        <v>8.4599999999999995E-2</v>
      </c>
      <c r="G206" s="15">
        <v>0.55159999999999998</v>
      </c>
      <c r="H206" s="15">
        <v>0.21299999999999999</v>
      </c>
      <c r="I206" s="15">
        <v>4.6600000000000003E-2</v>
      </c>
      <c r="J206" s="15">
        <v>4.5708154506437761</v>
      </c>
    </row>
    <row r="207" spans="1:10" x14ac:dyDescent="0.25">
      <c r="A207" s="2" t="s">
        <v>617</v>
      </c>
      <c r="B207" s="2" t="s">
        <v>618</v>
      </c>
      <c r="C207" s="2" t="s">
        <v>619</v>
      </c>
      <c r="D207" s="2" t="s">
        <v>10040</v>
      </c>
      <c r="E207" s="15">
        <v>-2.8899999999999999E-2</v>
      </c>
      <c r="F207" s="15">
        <v>0.109</v>
      </c>
      <c r="G207" s="15">
        <v>0.79059999999999997</v>
      </c>
      <c r="H207" s="15">
        <v>0.1028</v>
      </c>
      <c r="I207" s="15">
        <v>4.1700000000000001E-2</v>
      </c>
      <c r="J207" s="15">
        <v>2.465227817745804</v>
      </c>
    </row>
    <row r="208" spans="1:10" x14ac:dyDescent="0.25">
      <c r="A208" s="2" t="s">
        <v>620</v>
      </c>
      <c r="B208" s="2" t="s">
        <v>621</v>
      </c>
      <c r="C208" s="2" t="s">
        <v>622</v>
      </c>
      <c r="D208" s="2" t="s">
        <v>10040</v>
      </c>
      <c r="E208" s="15">
        <v>0.21659999999999999</v>
      </c>
      <c r="F208" s="15">
        <v>0.1077</v>
      </c>
      <c r="G208" s="15">
        <v>4.4299999999999999E-2</v>
      </c>
      <c r="H208" s="15">
        <v>0.14380000000000001</v>
      </c>
      <c r="I208" s="15">
        <v>4.2000000000000003E-2</v>
      </c>
      <c r="J208" s="15">
        <v>3.4238095238095241</v>
      </c>
    </row>
    <row r="209" spans="1:10" x14ac:dyDescent="0.25">
      <c r="A209" s="2" t="s">
        <v>623</v>
      </c>
      <c r="B209" s="2" t="s">
        <v>624</v>
      </c>
      <c r="C209" s="2" t="s">
        <v>625</v>
      </c>
      <c r="D209" s="2" t="s">
        <v>10040</v>
      </c>
      <c r="E209" s="15">
        <v>7.5300000000000006E-2</v>
      </c>
      <c r="F209" s="15">
        <v>7.1900000000000006E-2</v>
      </c>
      <c r="G209" s="15">
        <v>0.29480000000000001</v>
      </c>
      <c r="H209" s="15">
        <v>0.25109999999999999</v>
      </c>
      <c r="I209" s="15">
        <v>5.3199999999999997E-2</v>
      </c>
      <c r="J209" s="15">
        <v>4.719924812030075</v>
      </c>
    </row>
    <row r="210" spans="1:10" x14ac:dyDescent="0.25">
      <c r="A210" s="2" t="s">
        <v>626</v>
      </c>
      <c r="B210" s="2" t="s">
        <v>627</v>
      </c>
      <c r="C210" s="2" t="s">
        <v>628</v>
      </c>
      <c r="D210" s="2" t="s">
        <v>10040</v>
      </c>
      <c r="E210" s="15">
        <v>7.9100000000000004E-2</v>
      </c>
      <c r="F210" s="15">
        <v>7.6799999999999993E-2</v>
      </c>
      <c r="G210" s="15">
        <v>0.3034</v>
      </c>
      <c r="H210" s="15">
        <v>0.23749999999999999</v>
      </c>
      <c r="I210" s="15">
        <v>5.8400000000000001E-2</v>
      </c>
      <c r="J210" s="15">
        <v>4.0667808219178081</v>
      </c>
    </row>
    <row r="211" spans="1:10" x14ac:dyDescent="0.25">
      <c r="A211" s="2" t="s">
        <v>629</v>
      </c>
      <c r="B211" s="2" t="s">
        <v>630</v>
      </c>
      <c r="C211" s="2" t="s">
        <v>631</v>
      </c>
      <c r="D211" s="2" t="s">
        <v>10040</v>
      </c>
      <c r="E211" s="15">
        <v>2.58E-2</v>
      </c>
      <c r="F211" s="15">
        <v>9.0700000000000003E-2</v>
      </c>
      <c r="G211" s="15">
        <v>0.77639999999999998</v>
      </c>
      <c r="H211" s="15">
        <v>0.1348</v>
      </c>
      <c r="I211" s="15">
        <v>4.41E-2</v>
      </c>
      <c r="J211" s="15">
        <v>3.0566893424036281</v>
      </c>
    </row>
    <row r="212" spans="1:10" x14ac:dyDescent="0.25">
      <c r="A212" s="2" t="s">
        <v>632</v>
      </c>
      <c r="B212" s="2" t="s">
        <v>633</v>
      </c>
      <c r="C212" s="2" t="s">
        <v>634</v>
      </c>
      <c r="D212" s="2" t="s">
        <v>10040</v>
      </c>
      <c r="E212" s="15">
        <v>5.1999999999999998E-2</v>
      </c>
      <c r="F212" s="15">
        <v>6.2300000000000001E-2</v>
      </c>
      <c r="G212" s="15">
        <v>0.4037</v>
      </c>
      <c r="H212" s="15">
        <v>0.31559999999999999</v>
      </c>
      <c r="I212" s="15">
        <v>5.3199999999999997E-2</v>
      </c>
      <c r="J212" s="15">
        <v>5.9323308270676689</v>
      </c>
    </row>
    <row r="213" spans="1:10" x14ac:dyDescent="0.25">
      <c r="A213" s="2" t="s">
        <v>635</v>
      </c>
      <c r="B213" s="2" t="s">
        <v>636</v>
      </c>
      <c r="C213" s="2" t="s">
        <v>637</v>
      </c>
      <c r="D213" s="2" t="s">
        <v>10040</v>
      </c>
      <c r="E213" s="15">
        <v>3.9100000000000003E-2</v>
      </c>
      <c r="F213" s="15">
        <v>6.9400000000000003E-2</v>
      </c>
      <c r="G213" s="15">
        <v>0.57299999999999995</v>
      </c>
      <c r="H213" s="15">
        <v>0.32290000000000002</v>
      </c>
      <c r="I213" s="15">
        <v>6.4600000000000005E-2</v>
      </c>
      <c r="J213" s="15">
        <v>4.9984520123838996</v>
      </c>
    </row>
    <row r="214" spans="1:10" x14ac:dyDescent="0.25">
      <c r="A214" s="2" t="s">
        <v>638</v>
      </c>
      <c r="B214" s="2" t="s">
        <v>639</v>
      </c>
      <c r="C214" s="2" t="s">
        <v>640</v>
      </c>
      <c r="D214" s="2" t="s">
        <v>10040</v>
      </c>
      <c r="E214" s="15">
        <v>4.9599999999999998E-2</v>
      </c>
      <c r="F214" s="15">
        <v>6.6100000000000006E-2</v>
      </c>
      <c r="G214" s="15">
        <v>0.45290000000000002</v>
      </c>
      <c r="H214" s="15">
        <v>0.30940000000000001</v>
      </c>
      <c r="I214" s="15">
        <v>4.6300000000000001E-2</v>
      </c>
      <c r="J214" s="15">
        <v>6.6825053995680346</v>
      </c>
    </row>
    <row r="215" spans="1:10" x14ac:dyDescent="0.25">
      <c r="A215" s="2" t="s">
        <v>641</v>
      </c>
      <c r="B215" s="2" t="s">
        <v>642</v>
      </c>
      <c r="C215" s="2" t="s">
        <v>643</v>
      </c>
      <c r="D215" s="2" t="s">
        <v>10040</v>
      </c>
      <c r="E215" s="15">
        <v>-9.9000000000000008E-3</v>
      </c>
      <c r="F215" s="15">
        <v>6.5799999999999997E-2</v>
      </c>
      <c r="G215" s="15">
        <v>0.88019999999999998</v>
      </c>
      <c r="H215" s="15">
        <v>0.31169999999999998</v>
      </c>
      <c r="I215" s="15">
        <v>5.0299999999999997E-2</v>
      </c>
      <c r="J215" s="15">
        <v>6.1968190854870766</v>
      </c>
    </row>
    <row r="216" spans="1:10" x14ac:dyDescent="0.25">
      <c r="A216" s="2" t="s">
        <v>644</v>
      </c>
      <c r="B216" s="2" t="s">
        <v>645</v>
      </c>
      <c r="C216" s="2" t="s">
        <v>646</v>
      </c>
      <c r="D216" s="2" t="s">
        <v>10040</v>
      </c>
      <c r="E216" s="15">
        <v>0.1133</v>
      </c>
      <c r="F216" s="15">
        <v>6.6000000000000003E-2</v>
      </c>
      <c r="G216" s="15">
        <v>8.6199999999999999E-2</v>
      </c>
      <c r="H216" s="15">
        <v>0.38850000000000001</v>
      </c>
      <c r="I216" s="15">
        <v>5.8999999999999997E-2</v>
      </c>
      <c r="J216" s="15">
        <v>6.5847457627118651</v>
      </c>
    </row>
    <row r="217" spans="1:10" x14ac:dyDescent="0.25">
      <c r="A217" s="2" t="s">
        <v>647</v>
      </c>
      <c r="B217" s="2" t="s">
        <v>648</v>
      </c>
      <c r="C217" s="2" t="s">
        <v>649</v>
      </c>
      <c r="D217" s="2" t="s">
        <v>10040</v>
      </c>
      <c r="E217" s="15">
        <v>0.121</v>
      </c>
      <c r="F217" s="15">
        <v>7.6399999999999996E-2</v>
      </c>
      <c r="G217" s="15">
        <v>0.1132</v>
      </c>
      <c r="H217" s="15">
        <v>0.20330000000000001</v>
      </c>
      <c r="I217" s="15">
        <v>4.9099999999999998E-2</v>
      </c>
      <c r="J217" s="15">
        <v>4.1405295315682276</v>
      </c>
    </row>
    <row r="218" spans="1:10" x14ac:dyDescent="0.25">
      <c r="A218" s="2" t="s">
        <v>650</v>
      </c>
      <c r="B218" s="2" t="s">
        <v>651</v>
      </c>
      <c r="C218" s="2" t="s">
        <v>652</v>
      </c>
      <c r="D218" s="2" t="s">
        <v>10040</v>
      </c>
      <c r="E218" s="15">
        <v>4.4699999999999997E-2</v>
      </c>
      <c r="F218" s="15">
        <v>7.4499999999999997E-2</v>
      </c>
      <c r="G218" s="15">
        <v>0.54810000000000003</v>
      </c>
      <c r="H218" s="15">
        <v>0.21690000000000001</v>
      </c>
      <c r="I218" s="15">
        <v>4.7199999999999999E-2</v>
      </c>
      <c r="J218" s="15">
        <v>4.5953389830508478</v>
      </c>
    </row>
    <row r="219" spans="1:10" x14ac:dyDescent="0.25">
      <c r="A219" s="2" t="s">
        <v>653</v>
      </c>
      <c r="B219" s="2" t="s">
        <v>654</v>
      </c>
      <c r="C219" s="2" t="s">
        <v>655</v>
      </c>
      <c r="D219" s="2" t="s">
        <v>10040</v>
      </c>
      <c r="E219" s="15">
        <v>0.16669999999999999</v>
      </c>
      <c r="F219" s="15">
        <v>8.72E-2</v>
      </c>
      <c r="G219" s="15">
        <v>5.6000000000000001E-2</v>
      </c>
      <c r="H219" s="15">
        <v>0.15290000000000001</v>
      </c>
      <c r="I219" s="15">
        <v>0.05</v>
      </c>
      <c r="J219" s="15">
        <v>3.0579999999999998</v>
      </c>
    </row>
    <row r="220" spans="1:10" x14ac:dyDescent="0.25">
      <c r="A220" s="2" t="s">
        <v>656</v>
      </c>
      <c r="B220" s="2" t="s">
        <v>657</v>
      </c>
      <c r="C220" s="2" t="s">
        <v>658</v>
      </c>
      <c r="D220" s="2" t="s">
        <v>10040</v>
      </c>
      <c r="E220" s="15">
        <v>-8.6999999999999994E-3</v>
      </c>
      <c r="F220" s="15">
        <v>7.51E-2</v>
      </c>
      <c r="G220" s="15">
        <v>0.90749999999999997</v>
      </c>
      <c r="H220" s="15">
        <v>0.24310000000000001</v>
      </c>
      <c r="I220" s="15">
        <v>5.4300000000000001E-2</v>
      </c>
      <c r="J220" s="15">
        <v>4.4769797421731123</v>
      </c>
    </row>
    <row r="221" spans="1:10" x14ac:dyDescent="0.25">
      <c r="A221" s="2" t="s">
        <v>659</v>
      </c>
      <c r="B221" s="2" t="s">
        <v>660</v>
      </c>
      <c r="C221" s="2" t="s">
        <v>661</v>
      </c>
      <c r="D221" s="2" t="s">
        <v>10040</v>
      </c>
      <c r="E221" s="15">
        <v>-1.9900000000000001E-2</v>
      </c>
      <c r="F221" s="15">
        <v>6.7699999999999996E-2</v>
      </c>
      <c r="G221" s="15">
        <v>0.76880000000000004</v>
      </c>
      <c r="H221" s="15">
        <v>0.30009999999999998</v>
      </c>
      <c r="I221" s="15">
        <v>5.33E-2</v>
      </c>
      <c r="J221" s="15">
        <v>5.6303939962476539</v>
      </c>
    </row>
    <row r="222" spans="1:10" x14ac:dyDescent="0.25">
      <c r="A222" s="2" t="s">
        <v>662</v>
      </c>
      <c r="B222" s="2" t="s">
        <v>663</v>
      </c>
      <c r="C222" s="2" t="s">
        <v>664</v>
      </c>
      <c r="D222" s="2" t="s">
        <v>10040</v>
      </c>
      <c r="E222" s="15">
        <v>-0.25090000000000001</v>
      </c>
      <c r="F222" s="15">
        <v>0.31330000000000002</v>
      </c>
      <c r="G222" s="15">
        <v>0.42320000000000002</v>
      </c>
      <c r="H222" s="15">
        <v>2.6599999999999999E-2</v>
      </c>
      <c r="I222" s="15">
        <v>4.19E-2</v>
      </c>
      <c r="J222" s="15">
        <v>0.6348448687350835</v>
      </c>
    </row>
    <row r="223" spans="1:10" x14ac:dyDescent="0.25">
      <c r="A223" s="2" t="s">
        <v>665</v>
      </c>
      <c r="B223" s="2" t="s">
        <v>666</v>
      </c>
      <c r="C223" s="2" t="s">
        <v>667</v>
      </c>
      <c r="D223" s="2" t="s">
        <v>10040</v>
      </c>
      <c r="E223" s="15">
        <v>9.3299999999999994E-2</v>
      </c>
      <c r="F223" s="15">
        <v>8.3699999999999997E-2</v>
      </c>
      <c r="G223" s="15">
        <v>0.2651</v>
      </c>
      <c r="H223" s="15">
        <v>0.1825</v>
      </c>
      <c r="I223" s="15">
        <v>4.9099999999999998E-2</v>
      </c>
      <c r="J223" s="15">
        <v>3.7169042769857441</v>
      </c>
    </row>
    <row r="224" spans="1:10" x14ac:dyDescent="0.25">
      <c r="A224" s="2" t="s">
        <v>668</v>
      </c>
      <c r="B224" s="2" t="s">
        <v>669</v>
      </c>
      <c r="C224" s="2" t="s">
        <v>670</v>
      </c>
      <c r="D224" s="2" t="s">
        <v>10040</v>
      </c>
      <c r="E224" s="15">
        <v>-4.82E-2</v>
      </c>
      <c r="F224" s="15">
        <v>0.15290000000000001</v>
      </c>
      <c r="G224" s="15">
        <v>0.75270000000000004</v>
      </c>
      <c r="H224" s="15">
        <v>5.4300000000000001E-2</v>
      </c>
      <c r="I224" s="15">
        <v>4.7100000000000003E-2</v>
      </c>
      <c r="J224" s="15">
        <v>1.152866242038217</v>
      </c>
    </row>
    <row r="225" spans="1:10" x14ac:dyDescent="0.25">
      <c r="A225" s="2" t="s">
        <v>671</v>
      </c>
      <c r="B225" s="2" t="s">
        <v>672</v>
      </c>
      <c r="C225" s="2" t="s">
        <v>673</v>
      </c>
      <c r="D225" s="2" t="s">
        <v>10040</v>
      </c>
      <c r="E225" s="15">
        <v>0.14360000000000001</v>
      </c>
      <c r="F225" s="15">
        <v>7.0800000000000002E-2</v>
      </c>
      <c r="G225" s="15">
        <v>4.2500000000000003E-2</v>
      </c>
      <c r="H225" s="15">
        <v>0.23069999999999999</v>
      </c>
      <c r="I225" s="15">
        <v>4.8000000000000001E-2</v>
      </c>
      <c r="J225" s="15">
        <v>4.8062499999999986</v>
      </c>
    </row>
    <row r="226" spans="1:10" x14ac:dyDescent="0.25">
      <c r="A226" s="2" t="s">
        <v>674</v>
      </c>
      <c r="B226" s="2" t="s">
        <v>675</v>
      </c>
      <c r="C226" s="2" t="s">
        <v>676</v>
      </c>
      <c r="D226" s="2" t="s">
        <v>10040</v>
      </c>
      <c r="E226" s="15">
        <v>0.187</v>
      </c>
      <c r="F226" s="15">
        <v>9.1700000000000004E-2</v>
      </c>
      <c r="G226" s="15">
        <v>4.1399999999999999E-2</v>
      </c>
      <c r="H226" s="15">
        <v>0.161</v>
      </c>
      <c r="I226" s="15">
        <v>4.7399999999999998E-2</v>
      </c>
      <c r="J226" s="15">
        <v>3.3966244725738401</v>
      </c>
    </row>
    <row r="227" spans="1:10" x14ac:dyDescent="0.25">
      <c r="A227" s="2" t="s">
        <v>677</v>
      </c>
      <c r="B227" s="2" t="s">
        <v>678</v>
      </c>
      <c r="C227" s="2" t="s">
        <v>679</v>
      </c>
      <c r="D227" s="2" t="s">
        <v>10040</v>
      </c>
      <c r="E227" s="15">
        <v>9.7100000000000006E-2</v>
      </c>
      <c r="F227" s="15">
        <v>0.10440000000000001</v>
      </c>
      <c r="G227" s="15">
        <v>0.3523</v>
      </c>
      <c r="H227" s="15">
        <v>0.11600000000000001</v>
      </c>
      <c r="I227" s="15">
        <v>4.3200000000000002E-2</v>
      </c>
      <c r="J227" s="15">
        <v>2.6851851851851851</v>
      </c>
    </row>
    <row r="228" spans="1:10" x14ac:dyDescent="0.25">
      <c r="A228" s="2" t="s">
        <v>680</v>
      </c>
      <c r="B228" s="2" t="s">
        <v>681</v>
      </c>
      <c r="C228" s="2" t="s">
        <v>682</v>
      </c>
      <c r="D228" s="2" t="s">
        <v>10040</v>
      </c>
      <c r="E228" s="15">
        <v>0.1045</v>
      </c>
      <c r="F228" s="15">
        <v>9.5899999999999999E-2</v>
      </c>
      <c r="G228" s="15">
        <v>0.27579999999999999</v>
      </c>
      <c r="H228" s="15">
        <v>0.14069999999999999</v>
      </c>
      <c r="I228" s="15">
        <v>3.9300000000000002E-2</v>
      </c>
      <c r="J228" s="15">
        <v>3.5801526717557248</v>
      </c>
    </row>
    <row r="229" spans="1:10" x14ac:dyDescent="0.25">
      <c r="A229" s="2" t="s">
        <v>683</v>
      </c>
      <c r="B229" s="2" t="s">
        <v>684</v>
      </c>
      <c r="C229" s="2" t="s">
        <v>685</v>
      </c>
      <c r="D229" s="2" t="s">
        <v>10040</v>
      </c>
      <c r="E229" s="15">
        <v>7.6399999999999996E-2</v>
      </c>
      <c r="F229" s="15">
        <v>0.15279999999999999</v>
      </c>
      <c r="G229" s="15">
        <v>0.61719999999999997</v>
      </c>
      <c r="H229" s="15">
        <v>5.8400000000000001E-2</v>
      </c>
      <c r="I229" s="15">
        <v>4.3799999999999999E-2</v>
      </c>
      <c r="J229" s="15">
        <v>1.333333333333333</v>
      </c>
    </row>
    <row r="230" spans="1:10" x14ac:dyDescent="0.25">
      <c r="A230" s="2" t="s">
        <v>686</v>
      </c>
      <c r="B230" s="2" t="s">
        <v>687</v>
      </c>
      <c r="C230" s="2" t="s">
        <v>688</v>
      </c>
      <c r="D230" s="2" t="s">
        <v>10040</v>
      </c>
      <c r="E230" s="15">
        <v>-8.8300000000000003E-2</v>
      </c>
      <c r="F230" s="15">
        <v>0.1009</v>
      </c>
      <c r="G230" s="15">
        <v>0.38159999999999999</v>
      </c>
      <c r="H230" s="15">
        <v>0.1273</v>
      </c>
      <c r="I230" s="15">
        <v>4.4200000000000003E-2</v>
      </c>
      <c r="J230" s="15">
        <v>2.8800904977375561</v>
      </c>
    </row>
    <row r="231" spans="1:10" x14ac:dyDescent="0.25">
      <c r="A231" s="2" t="s">
        <v>689</v>
      </c>
      <c r="B231" s="2" t="s">
        <v>690</v>
      </c>
      <c r="C231" s="2" t="s">
        <v>691</v>
      </c>
      <c r="D231" s="2" t="s">
        <v>10040</v>
      </c>
      <c r="E231" s="15">
        <v>-6.0900000000000003E-2</v>
      </c>
      <c r="F231" s="15">
        <v>0.1159</v>
      </c>
      <c r="G231" s="15">
        <v>0.59950000000000003</v>
      </c>
      <c r="H231" s="15">
        <v>0.10780000000000001</v>
      </c>
      <c r="I231" s="15">
        <v>4.2200000000000001E-2</v>
      </c>
      <c r="J231" s="15">
        <v>2.554502369668247</v>
      </c>
    </row>
    <row r="232" spans="1:10" x14ac:dyDescent="0.25">
      <c r="A232" s="2" t="s">
        <v>692</v>
      </c>
      <c r="B232" s="2" t="s">
        <v>693</v>
      </c>
      <c r="C232" s="2" t="s">
        <v>694</v>
      </c>
      <c r="D232" s="2" t="s">
        <v>10040</v>
      </c>
      <c r="E232" s="15">
        <v>0.12139999999999999</v>
      </c>
      <c r="F232" s="15">
        <v>0.1173</v>
      </c>
      <c r="G232" s="15">
        <v>0.30059999999999998</v>
      </c>
      <c r="H232" s="15">
        <v>9.9500000000000005E-2</v>
      </c>
      <c r="I232" s="15">
        <v>4.6100000000000002E-2</v>
      </c>
      <c r="J232" s="15">
        <v>2.1583514099783079</v>
      </c>
    </row>
    <row r="233" spans="1:10" x14ac:dyDescent="0.25">
      <c r="A233" s="2" t="s">
        <v>695</v>
      </c>
      <c r="B233" s="2" t="s">
        <v>696</v>
      </c>
      <c r="C233" s="2" t="s">
        <v>697</v>
      </c>
      <c r="D233" s="2" t="s">
        <v>10040</v>
      </c>
      <c r="E233" s="15">
        <v>0.18709999999999999</v>
      </c>
      <c r="F233" s="15">
        <v>9.2700000000000005E-2</v>
      </c>
      <c r="G233" s="15">
        <v>4.3499999999999997E-2</v>
      </c>
      <c r="H233" s="15">
        <v>0.16830000000000001</v>
      </c>
      <c r="I233" s="15">
        <v>4.5699999999999998E-2</v>
      </c>
      <c r="J233" s="15">
        <v>3.6827133479212262</v>
      </c>
    </row>
    <row r="234" spans="1:10" x14ac:dyDescent="0.25">
      <c r="A234" s="2" t="s">
        <v>698</v>
      </c>
      <c r="B234" s="2" t="s">
        <v>699</v>
      </c>
      <c r="C234" s="2" t="s">
        <v>700</v>
      </c>
      <c r="D234" s="2" t="s">
        <v>10040</v>
      </c>
      <c r="E234" s="15">
        <v>0.15190000000000001</v>
      </c>
      <c r="F234" s="15">
        <v>8.5300000000000001E-2</v>
      </c>
      <c r="G234" s="15">
        <v>7.4899999999999994E-2</v>
      </c>
      <c r="H234" s="15">
        <v>0.1701</v>
      </c>
      <c r="I234" s="15">
        <v>4.7399999999999998E-2</v>
      </c>
      <c r="J234" s="15">
        <v>3.5886075949367089</v>
      </c>
    </row>
    <row r="235" spans="1:10" x14ac:dyDescent="0.25">
      <c r="A235" s="2" t="s">
        <v>701</v>
      </c>
      <c r="B235" s="2" t="s">
        <v>702</v>
      </c>
      <c r="C235" s="2" t="s">
        <v>703</v>
      </c>
      <c r="D235" s="2" t="s">
        <v>10040</v>
      </c>
      <c r="E235" s="15">
        <v>0.1704</v>
      </c>
      <c r="F235" s="15">
        <v>7.6300000000000007E-2</v>
      </c>
      <c r="G235" s="15">
        <v>2.5499999999999998E-2</v>
      </c>
      <c r="H235" s="15">
        <v>0.23910000000000001</v>
      </c>
      <c r="I235" s="15">
        <v>5.3199999999999997E-2</v>
      </c>
      <c r="J235" s="15">
        <v>4.4943609022556386</v>
      </c>
    </row>
    <row r="236" spans="1:10" x14ac:dyDescent="0.25">
      <c r="A236" s="2" t="s">
        <v>704</v>
      </c>
      <c r="B236" s="2" t="s">
        <v>705</v>
      </c>
      <c r="C236" s="2" t="s">
        <v>706</v>
      </c>
      <c r="D236" s="2" t="s">
        <v>10040</v>
      </c>
      <c r="E236" s="15">
        <v>0.19439999999999999</v>
      </c>
      <c r="F236" s="15">
        <v>8.77E-2</v>
      </c>
      <c r="G236" s="15">
        <v>2.6700000000000002E-2</v>
      </c>
      <c r="H236" s="15">
        <v>0.1951</v>
      </c>
      <c r="I236" s="15">
        <v>4.9299999999999997E-2</v>
      </c>
      <c r="J236" s="15">
        <v>3.957403651115619</v>
      </c>
    </row>
    <row r="237" spans="1:10" x14ac:dyDescent="0.25">
      <c r="A237" s="2" t="s">
        <v>707</v>
      </c>
      <c r="B237" s="2" t="s">
        <v>708</v>
      </c>
      <c r="C237" s="2" t="s">
        <v>709</v>
      </c>
      <c r="D237" s="2" t="s">
        <v>10040</v>
      </c>
      <c r="E237" s="15">
        <v>0.13669999999999999</v>
      </c>
      <c r="F237" s="15">
        <v>9.3399999999999997E-2</v>
      </c>
      <c r="G237" s="15">
        <v>0.1434</v>
      </c>
      <c r="H237" s="15">
        <v>0.13789999999999999</v>
      </c>
      <c r="I237" s="15">
        <v>4.7600000000000003E-2</v>
      </c>
      <c r="J237" s="15">
        <v>2.8970588235294108</v>
      </c>
    </row>
    <row r="238" spans="1:10" x14ac:dyDescent="0.25">
      <c r="A238" s="2" t="s">
        <v>710</v>
      </c>
      <c r="B238" s="2" t="s">
        <v>711</v>
      </c>
      <c r="C238" s="2" t="s">
        <v>712</v>
      </c>
      <c r="D238" s="2" t="s">
        <v>10040</v>
      </c>
      <c r="E238" s="15">
        <v>0.15509999999999999</v>
      </c>
      <c r="F238" s="15">
        <v>8.9499999999999996E-2</v>
      </c>
      <c r="G238" s="15">
        <v>8.3000000000000004E-2</v>
      </c>
      <c r="H238" s="15">
        <v>0.16919999999999999</v>
      </c>
      <c r="I238" s="15">
        <v>4.2000000000000003E-2</v>
      </c>
      <c r="J238" s="15">
        <v>4.0285714285714276</v>
      </c>
    </row>
    <row r="239" spans="1:10" x14ac:dyDescent="0.25">
      <c r="A239" s="2" t="s">
        <v>713</v>
      </c>
      <c r="B239" s="2" t="s">
        <v>714</v>
      </c>
      <c r="C239" s="2" t="s">
        <v>715</v>
      </c>
      <c r="D239" s="2" t="s">
        <v>10040</v>
      </c>
      <c r="E239" s="15">
        <v>2.8500000000000001E-2</v>
      </c>
      <c r="F239" s="15">
        <v>0.1225</v>
      </c>
      <c r="G239" s="15">
        <v>0.81589999999999996</v>
      </c>
      <c r="H239" s="15">
        <v>9.3100000000000002E-2</v>
      </c>
      <c r="I239" s="15">
        <v>5.4899999999999997E-2</v>
      </c>
      <c r="J239" s="15">
        <v>1.6958105646630239</v>
      </c>
    </row>
    <row r="240" spans="1:10" x14ac:dyDescent="0.25">
      <c r="A240" s="2" t="s">
        <v>716</v>
      </c>
      <c r="B240" s="2" t="s">
        <v>717</v>
      </c>
      <c r="C240" s="2" t="s">
        <v>718</v>
      </c>
      <c r="D240" s="2" t="s">
        <v>10040</v>
      </c>
      <c r="E240" s="15">
        <v>-7.4399999999999994E-2</v>
      </c>
      <c r="F240" s="15">
        <v>0.1024</v>
      </c>
      <c r="G240" s="15">
        <v>0.46710000000000002</v>
      </c>
      <c r="H240" s="15">
        <v>0.127</v>
      </c>
      <c r="I240" s="15">
        <v>4.2799999999999998E-2</v>
      </c>
      <c r="J240" s="15">
        <v>2.9672897196261681</v>
      </c>
    </row>
    <row r="241" spans="1:10" x14ac:dyDescent="0.25">
      <c r="A241" s="2" t="s">
        <v>719</v>
      </c>
      <c r="B241" s="2" t="s">
        <v>720</v>
      </c>
      <c r="C241" s="2" t="s">
        <v>721</v>
      </c>
      <c r="D241" s="2" t="s">
        <v>10040</v>
      </c>
      <c r="E241" s="15">
        <v>-1.24E-2</v>
      </c>
      <c r="F241" s="15">
        <v>9.5100000000000004E-2</v>
      </c>
      <c r="G241" s="15">
        <v>0.89629999999999999</v>
      </c>
      <c r="H241" s="15">
        <v>0.15329999999999999</v>
      </c>
      <c r="I241" s="15">
        <v>4.48E-2</v>
      </c>
      <c r="J241" s="15">
        <v>3.421875</v>
      </c>
    </row>
    <row r="242" spans="1:10" x14ac:dyDescent="0.25">
      <c r="A242" s="2" t="s">
        <v>722</v>
      </c>
      <c r="B242" s="2" t="s">
        <v>723</v>
      </c>
      <c r="C242" s="2" t="s">
        <v>724</v>
      </c>
      <c r="D242" s="2" t="s">
        <v>10040</v>
      </c>
      <c r="E242" s="15">
        <v>0.14349999999999999</v>
      </c>
      <c r="F242" s="15">
        <v>0.1474</v>
      </c>
      <c r="G242" s="15">
        <v>0.33029999999999998</v>
      </c>
      <c r="H242" s="15">
        <v>6.0999999999999999E-2</v>
      </c>
      <c r="I242" s="15">
        <v>4.65E-2</v>
      </c>
      <c r="J242" s="15">
        <v>1.311827956989247</v>
      </c>
    </row>
    <row r="243" spans="1:10" x14ac:dyDescent="0.25">
      <c r="A243" s="2" t="s">
        <v>725</v>
      </c>
      <c r="B243" s="2" t="s">
        <v>726</v>
      </c>
      <c r="C243" s="2" t="s">
        <v>727</v>
      </c>
      <c r="D243" s="2" t="s">
        <v>10040</v>
      </c>
      <c r="E243" s="15">
        <v>0.2329</v>
      </c>
      <c r="F243" s="15">
        <v>8.4500000000000006E-2</v>
      </c>
      <c r="G243" s="15">
        <v>5.8999999999999999E-3</v>
      </c>
      <c r="H243" s="15">
        <v>0.18340000000000001</v>
      </c>
      <c r="I243" s="15">
        <v>4.9099999999999998E-2</v>
      </c>
      <c r="J243" s="15">
        <v>3.735234215885948</v>
      </c>
    </row>
    <row r="244" spans="1:10" x14ac:dyDescent="0.25">
      <c r="A244" s="2" t="s">
        <v>728</v>
      </c>
      <c r="B244" s="2" t="s">
        <v>729</v>
      </c>
      <c r="C244" s="2" t="s">
        <v>730</v>
      </c>
      <c r="D244" s="2" t="s">
        <v>10040</v>
      </c>
      <c r="E244" s="15">
        <v>0.17249999999999999</v>
      </c>
      <c r="F244" s="15">
        <v>8.2699999999999996E-2</v>
      </c>
      <c r="G244" s="15">
        <v>3.6900000000000002E-2</v>
      </c>
      <c r="H244" s="15">
        <v>0.19439999999999999</v>
      </c>
      <c r="I244" s="15">
        <v>4.9200000000000001E-2</v>
      </c>
      <c r="J244" s="15">
        <v>3.951219512195121</v>
      </c>
    </row>
    <row r="245" spans="1:10" x14ac:dyDescent="0.25">
      <c r="A245" s="2" t="s">
        <v>731</v>
      </c>
      <c r="B245" s="2" t="s">
        <v>732</v>
      </c>
      <c r="C245" s="2" t="s">
        <v>733</v>
      </c>
      <c r="D245" s="2" t="s">
        <v>10040</v>
      </c>
      <c r="E245" s="15">
        <v>1.35E-2</v>
      </c>
      <c r="F245" s="15">
        <v>7.7600000000000002E-2</v>
      </c>
      <c r="G245" s="15">
        <v>0.86180000000000001</v>
      </c>
      <c r="H245" s="15">
        <v>0.23150000000000001</v>
      </c>
      <c r="I245" s="15">
        <v>5.0099999999999999E-2</v>
      </c>
      <c r="J245" s="15">
        <v>4.6207584830339323</v>
      </c>
    </row>
    <row r="246" spans="1:10" x14ac:dyDescent="0.25">
      <c r="A246" s="2" t="s">
        <v>734</v>
      </c>
      <c r="B246" s="2" t="s">
        <v>735</v>
      </c>
      <c r="C246" s="2" t="s">
        <v>736</v>
      </c>
      <c r="D246" s="2" t="s">
        <v>10040</v>
      </c>
      <c r="E246" s="15">
        <v>8.6800000000000002E-2</v>
      </c>
      <c r="F246" s="15">
        <v>7.6799999999999993E-2</v>
      </c>
      <c r="G246" s="15">
        <v>0.2586</v>
      </c>
      <c r="H246" s="15">
        <v>0.1925</v>
      </c>
      <c r="I246" s="15">
        <v>6.2600000000000003E-2</v>
      </c>
      <c r="J246" s="15">
        <v>3.0750798722044732</v>
      </c>
    </row>
    <row r="247" spans="1:10" x14ac:dyDescent="0.25">
      <c r="A247" s="2" t="s">
        <v>737</v>
      </c>
      <c r="B247" s="2" t="s">
        <v>738</v>
      </c>
      <c r="C247" s="2" t="s">
        <v>739</v>
      </c>
      <c r="D247" s="2" t="s">
        <v>10040</v>
      </c>
      <c r="E247" s="15">
        <v>-0.1154</v>
      </c>
      <c r="F247" s="15">
        <v>7.8299999999999995E-2</v>
      </c>
      <c r="G247" s="15">
        <v>0.14050000000000001</v>
      </c>
      <c r="H247" s="15">
        <v>0.23549999999999999</v>
      </c>
      <c r="I247" s="15">
        <v>4.5600000000000002E-2</v>
      </c>
      <c r="J247" s="15">
        <v>5.1644736842105257</v>
      </c>
    </row>
    <row r="248" spans="1:10" x14ac:dyDescent="0.25">
      <c r="A248" s="2" t="s">
        <v>740</v>
      </c>
      <c r="B248" s="2" t="s">
        <v>741</v>
      </c>
      <c r="C248" s="2" t="s">
        <v>742</v>
      </c>
      <c r="D248" s="2" t="s">
        <v>10040</v>
      </c>
      <c r="E248" s="15">
        <v>5.28E-2</v>
      </c>
      <c r="F248" s="15">
        <v>7.6300000000000007E-2</v>
      </c>
      <c r="G248" s="15">
        <v>0.4894</v>
      </c>
      <c r="H248" s="15">
        <v>0.17799999999999999</v>
      </c>
      <c r="I248" s="15">
        <v>4.7100000000000003E-2</v>
      </c>
      <c r="J248" s="15">
        <v>3.7791932059447979</v>
      </c>
    </row>
    <row r="249" spans="1:10" x14ac:dyDescent="0.25">
      <c r="A249" s="2" t="s">
        <v>743</v>
      </c>
      <c r="B249" s="2" t="s">
        <v>744</v>
      </c>
      <c r="C249" s="2" t="s">
        <v>745</v>
      </c>
      <c r="D249" s="2" t="s">
        <v>10040</v>
      </c>
      <c r="E249" s="15">
        <v>7.1999999999999995E-2</v>
      </c>
      <c r="F249" s="15">
        <v>0.12970000000000001</v>
      </c>
      <c r="G249" s="15">
        <v>0.57879999999999998</v>
      </c>
      <c r="H249" s="15">
        <v>7.5200000000000003E-2</v>
      </c>
      <c r="I249" s="15">
        <v>4.7600000000000003E-2</v>
      </c>
      <c r="J249" s="15">
        <v>1.579831932773109</v>
      </c>
    </row>
    <row r="250" spans="1:10" x14ac:dyDescent="0.25">
      <c r="A250" s="2" t="s">
        <v>746</v>
      </c>
      <c r="B250" s="2" t="s">
        <v>747</v>
      </c>
      <c r="C250" s="2" t="s">
        <v>748</v>
      </c>
      <c r="D250" s="2" t="s">
        <v>10040</v>
      </c>
      <c r="E250" s="15">
        <v>2.1700000000000001E-2</v>
      </c>
      <c r="F250" s="15">
        <v>9.8500000000000004E-2</v>
      </c>
      <c r="G250" s="15">
        <v>0.8256</v>
      </c>
      <c r="H250" s="15">
        <v>0.13619999999999999</v>
      </c>
      <c r="I250" s="15">
        <v>4.2700000000000002E-2</v>
      </c>
      <c r="J250" s="15">
        <v>3.189695550351288</v>
      </c>
    </row>
    <row r="251" spans="1:10" x14ac:dyDescent="0.25">
      <c r="A251" s="2" t="s">
        <v>749</v>
      </c>
      <c r="B251" s="2" t="s">
        <v>750</v>
      </c>
      <c r="C251" s="2" t="s">
        <v>751</v>
      </c>
      <c r="D251" s="2" t="s">
        <v>10040</v>
      </c>
      <c r="E251" s="15">
        <v>1.6799999999999999E-2</v>
      </c>
      <c r="F251" s="15">
        <v>7.3200000000000001E-2</v>
      </c>
      <c r="G251" s="15">
        <v>0.81889999999999996</v>
      </c>
      <c r="H251" s="15">
        <v>0.2248</v>
      </c>
      <c r="I251" s="15">
        <v>5.0200000000000002E-2</v>
      </c>
      <c r="J251" s="15">
        <v>4.47808764940239</v>
      </c>
    </row>
    <row r="252" spans="1:10" x14ac:dyDescent="0.25">
      <c r="A252" s="2" t="s">
        <v>752</v>
      </c>
      <c r="B252" s="2" t="s">
        <v>753</v>
      </c>
      <c r="C252" s="2" t="s">
        <v>754</v>
      </c>
      <c r="D252" s="2" t="s">
        <v>10040</v>
      </c>
      <c r="E252" s="15">
        <v>8.8999999999999996E-2</v>
      </c>
      <c r="F252" s="15">
        <v>7.7700000000000005E-2</v>
      </c>
      <c r="G252" s="15">
        <v>0.25219999999999998</v>
      </c>
      <c r="H252" s="15">
        <v>0.24660000000000001</v>
      </c>
      <c r="I252" s="15">
        <v>5.2900000000000003E-2</v>
      </c>
      <c r="J252" s="15">
        <v>4.6616257088846877</v>
      </c>
    </row>
    <row r="253" spans="1:10" x14ac:dyDescent="0.25">
      <c r="A253" s="2" t="s">
        <v>755</v>
      </c>
      <c r="B253" s="2" t="s">
        <v>756</v>
      </c>
      <c r="C253" s="2" t="s">
        <v>757</v>
      </c>
      <c r="D253" s="2" t="s">
        <v>10040</v>
      </c>
      <c r="E253" s="15">
        <v>3.2099999999999997E-2</v>
      </c>
      <c r="F253" s="15">
        <v>0.16250000000000001</v>
      </c>
      <c r="G253" s="15">
        <v>0.84330000000000005</v>
      </c>
      <c r="H253" s="15">
        <v>5.67E-2</v>
      </c>
      <c r="I253" s="15">
        <v>3.95E-2</v>
      </c>
      <c r="J253" s="15">
        <v>1.4354430379746841</v>
      </c>
    </row>
    <row r="254" spans="1:10" x14ac:dyDescent="0.25">
      <c r="A254" s="2" t="s">
        <v>758</v>
      </c>
      <c r="B254" s="2" t="s">
        <v>759</v>
      </c>
      <c r="C254" s="2" t="s">
        <v>760</v>
      </c>
      <c r="D254" s="2" t="s">
        <v>10040</v>
      </c>
      <c r="E254" s="15">
        <v>9.5500000000000002E-2</v>
      </c>
      <c r="F254" s="15">
        <v>8.7099999999999997E-2</v>
      </c>
      <c r="G254" s="15">
        <v>0.27310000000000001</v>
      </c>
      <c r="H254" s="15">
        <v>0.14680000000000001</v>
      </c>
      <c r="I254" s="15">
        <v>4.9599999999999998E-2</v>
      </c>
      <c r="J254" s="15">
        <v>2.959677419354839</v>
      </c>
    </row>
    <row r="255" spans="1:10" x14ac:dyDescent="0.25">
      <c r="A255" s="2" t="s">
        <v>761</v>
      </c>
      <c r="B255" s="2" t="s">
        <v>762</v>
      </c>
      <c r="C255" s="2" t="s">
        <v>763</v>
      </c>
      <c r="D255" s="2" t="s">
        <v>10040</v>
      </c>
      <c r="E255" s="15">
        <v>-0.10680000000000001</v>
      </c>
      <c r="F255" s="15">
        <v>9.6000000000000002E-2</v>
      </c>
      <c r="G255" s="15">
        <v>0.26590000000000003</v>
      </c>
      <c r="H255" s="15">
        <v>0.13880000000000001</v>
      </c>
      <c r="I255" s="15">
        <v>5.8099999999999999E-2</v>
      </c>
      <c r="J255" s="15">
        <v>2.3889845094664368</v>
      </c>
    </row>
    <row r="256" spans="1:10" x14ac:dyDescent="0.25">
      <c r="A256" s="2" t="s">
        <v>764</v>
      </c>
      <c r="B256" s="2" t="s">
        <v>765</v>
      </c>
      <c r="C256" s="2" t="s">
        <v>766</v>
      </c>
      <c r="D256" s="2" t="s">
        <v>10040</v>
      </c>
      <c r="E256" s="15">
        <v>2.7199999999999998E-2</v>
      </c>
      <c r="F256" s="15">
        <v>7.8299999999999995E-2</v>
      </c>
      <c r="G256" s="15">
        <v>0.72799999999999998</v>
      </c>
      <c r="H256" s="15">
        <v>0.24510000000000001</v>
      </c>
      <c r="I256" s="15">
        <v>4.7500000000000001E-2</v>
      </c>
      <c r="J256" s="15">
        <v>5.16</v>
      </c>
    </row>
    <row r="257" spans="1:10" x14ac:dyDescent="0.25">
      <c r="A257" s="2" t="s">
        <v>767</v>
      </c>
      <c r="B257" s="2" t="s">
        <v>768</v>
      </c>
      <c r="C257" s="2" t="s">
        <v>769</v>
      </c>
      <c r="D257" s="2" t="s">
        <v>10040</v>
      </c>
      <c r="E257" s="15">
        <v>-8.8900000000000007E-2</v>
      </c>
      <c r="F257" s="15">
        <v>8.14E-2</v>
      </c>
      <c r="G257" s="15">
        <v>0.27479999999999999</v>
      </c>
      <c r="H257" s="15">
        <v>0.2036</v>
      </c>
      <c r="I257" s="15">
        <v>4.8899999999999999E-2</v>
      </c>
      <c r="J257" s="15">
        <v>4.1635991820040914</v>
      </c>
    </row>
    <row r="258" spans="1:10" x14ac:dyDescent="0.25">
      <c r="A258" s="2" t="s">
        <v>770</v>
      </c>
      <c r="B258" s="2" t="s">
        <v>771</v>
      </c>
      <c r="C258" s="2" t="s">
        <v>772</v>
      </c>
      <c r="D258" s="2" t="s">
        <v>10040</v>
      </c>
      <c r="E258" s="15">
        <v>6.1000000000000004E-3</v>
      </c>
      <c r="F258" s="15">
        <v>7.2400000000000006E-2</v>
      </c>
      <c r="G258" s="15">
        <v>0.9325</v>
      </c>
      <c r="H258" s="15">
        <v>0.20330000000000001</v>
      </c>
      <c r="I258" s="15">
        <v>5.8700000000000002E-2</v>
      </c>
      <c r="J258" s="15">
        <v>3.463373083475298</v>
      </c>
    </row>
    <row r="259" spans="1:10" x14ac:dyDescent="0.25">
      <c r="A259" s="2" t="s">
        <v>773</v>
      </c>
      <c r="B259" s="2" t="s">
        <v>774</v>
      </c>
      <c r="C259" s="2" t="s">
        <v>775</v>
      </c>
      <c r="D259" s="2" t="s">
        <v>10040</v>
      </c>
      <c r="E259" s="15">
        <v>5.5E-2</v>
      </c>
      <c r="F259" s="15">
        <v>7.4800000000000005E-2</v>
      </c>
      <c r="G259" s="15">
        <v>0.46229999999999999</v>
      </c>
      <c r="H259" s="15">
        <v>0.254</v>
      </c>
      <c r="I259" s="15">
        <v>4.6100000000000002E-2</v>
      </c>
      <c r="J259" s="15">
        <v>5.5097613882863339</v>
      </c>
    </row>
    <row r="260" spans="1:10" x14ac:dyDescent="0.25">
      <c r="A260" s="2" t="s">
        <v>776</v>
      </c>
      <c r="B260" s="2" t="s">
        <v>777</v>
      </c>
      <c r="C260" s="2" t="s">
        <v>778</v>
      </c>
      <c r="D260" s="2" t="s">
        <v>10040</v>
      </c>
      <c r="E260" s="15">
        <v>7.3000000000000001E-3</v>
      </c>
      <c r="F260" s="15">
        <v>7.0800000000000002E-2</v>
      </c>
      <c r="G260" s="15">
        <v>0.91749999999999998</v>
      </c>
      <c r="H260" s="15">
        <v>0.23050000000000001</v>
      </c>
      <c r="I260" s="15">
        <v>5.3699999999999998E-2</v>
      </c>
      <c r="J260" s="15">
        <v>4.2923649906890136</v>
      </c>
    </row>
    <row r="261" spans="1:10" x14ac:dyDescent="0.25">
      <c r="A261" s="2" t="s">
        <v>779</v>
      </c>
      <c r="B261" s="2" t="s">
        <v>780</v>
      </c>
      <c r="C261" s="2" t="s">
        <v>781</v>
      </c>
      <c r="D261" s="2" t="s">
        <v>10040</v>
      </c>
      <c r="E261" s="15">
        <v>-2.9700000000000001E-2</v>
      </c>
      <c r="F261" s="15">
        <v>8.6300000000000002E-2</v>
      </c>
      <c r="G261" s="15">
        <v>0.73080000000000001</v>
      </c>
      <c r="H261" s="15">
        <v>0.1623</v>
      </c>
      <c r="I261" s="15">
        <v>4.65E-2</v>
      </c>
      <c r="J261" s="15">
        <v>3.4903225806451612</v>
      </c>
    </row>
    <row r="262" spans="1:10" x14ac:dyDescent="0.25">
      <c r="A262" s="2" t="s">
        <v>782</v>
      </c>
      <c r="B262" s="2" t="s">
        <v>783</v>
      </c>
      <c r="C262" s="2" t="s">
        <v>784</v>
      </c>
      <c r="D262" s="2" t="s">
        <v>10040</v>
      </c>
      <c r="E262" s="15">
        <v>6.7999999999999996E-3</v>
      </c>
      <c r="F262" s="15">
        <v>6.83E-2</v>
      </c>
      <c r="G262" s="15">
        <v>0.92059999999999997</v>
      </c>
      <c r="H262" s="15">
        <v>0.29449999999999998</v>
      </c>
      <c r="I262" s="15">
        <v>4.8800000000000003E-2</v>
      </c>
      <c r="J262" s="15">
        <v>6.0348360655737698</v>
      </c>
    </row>
    <row r="263" spans="1:10" x14ac:dyDescent="0.25">
      <c r="A263" s="2" t="s">
        <v>785</v>
      </c>
      <c r="B263" s="2" t="s">
        <v>786</v>
      </c>
      <c r="C263" s="2" t="s">
        <v>787</v>
      </c>
      <c r="D263" s="2" t="s">
        <v>10040</v>
      </c>
      <c r="E263" s="15">
        <v>-4.0500000000000001E-2</v>
      </c>
      <c r="F263" s="15">
        <v>0.13139999999999999</v>
      </c>
      <c r="G263" s="15">
        <v>0.7581</v>
      </c>
      <c r="H263" s="15">
        <v>7.5899999999999995E-2</v>
      </c>
      <c r="I263" s="15">
        <v>4.3099999999999999E-2</v>
      </c>
      <c r="J263" s="15">
        <v>1.7610208816705331</v>
      </c>
    </row>
    <row r="264" spans="1:10" x14ac:dyDescent="0.25">
      <c r="A264" s="2" t="s">
        <v>788</v>
      </c>
      <c r="B264" s="2" t="s">
        <v>789</v>
      </c>
      <c r="C264" s="2" t="s">
        <v>790</v>
      </c>
      <c r="D264" s="2" t="s">
        <v>10040</v>
      </c>
      <c r="E264" s="15">
        <v>-1.9800000000000002E-2</v>
      </c>
      <c r="F264" s="15">
        <v>7.1499999999999994E-2</v>
      </c>
      <c r="G264" s="15">
        <v>0.78149999999999997</v>
      </c>
      <c r="H264" s="15">
        <v>0.214</v>
      </c>
      <c r="I264" s="15">
        <v>7.17E-2</v>
      </c>
      <c r="J264" s="15">
        <v>2.9846582984658299</v>
      </c>
    </row>
    <row r="265" spans="1:10" x14ac:dyDescent="0.25">
      <c r="A265" s="2" t="s">
        <v>791</v>
      </c>
      <c r="B265" s="2" t="s">
        <v>792</v>
      </c>
      <c r="C265" s="2" t="s">
        <v>793</v>
      </c>
      <c r="D265" s="2" t="s">
        <v>10040</v>
      </c>
      <c r="E265" s="15">
        <v>4.1000000000000002E-2</v>
      </c>
      <c r="F265" s="15">
        <v>7.3499999999999996E-2</v>
      </c>
      <c r="G265" s="15">
        <v>0.57740000000000002</v>
      </c>
      <c r="H265" s="15">
        <v>0.21640000000000001</v>
      </c>
      <c r="I265" s="15">
        <v>4.6199999999999998E-2</v>
      </c>
      <c r="J265" s="15">
        <v>4.6839826839826841</v>
      </c>
    </row>
    <row r="266" spans="1:10" x14ac:dyDescent="0.25">
      <c r="A266" s="2" t="s">
        <v>794</v>
      </c>
      <c r="B266" s="2" t="s">
        <v>795</v>
      </c>
      <c r="C266" s="2" t="s">
        <v>796</v>
      </c>
      <c r="D266" s="2" t="s">
        <v>10040</v>
      </c>
      <c r="E266" s="15">
        <v>1.7100000000000001E-2</v>
      </c>
      <c r="F266" s="15">
        <v>6.7900000000000002E-2</v>
      </c>
      <c r="G266" s="15">
        <v>0.80130000000000001</v>
      </c>
      <c r="H266" s="15">
        <v>0.24690000000000001</v>
      </c>
      <c r="I266" s="15">
        <v>5.4699999999999999E-2</v>
      </c>
      <c r="J266" s="15">
        <v>4.5137111517367474</v>
      </c>
    </row>
    <row r="267" spans="1:10" x14ac:dyDescent="0.25">
      <c r="A267" s="2" t="s">
        <v>797</v>
      </c>
      <c r="B267" s="2" t="s">
        <v>798</v>
      </c>
      <c r="C267" s="2" t="s">
        <v>799</v>
      </c>
      <c r="D267" s="2" t="s">
        <v>10040</v>
      </c>
      <c r="E267" s="15">
        <v>9.2999999999999992E-3</v>
      </c>
      <c r="F267" s="15">
        <v>8.0699999999999994E-2</v>
      </c>
      <c r="G267" s="15">
        <v>0.90869999999999995</v>
      </c>
      <c r="H267" s="15">
        <v>0.2009</v>
      </c>
      <c r="I267" s="15">
        <v>4.6399999999999997E-2</v>
      </c>
      <c r="J267" s="15">
        <v>4.3297413793103452</v>
      </c>
    </row>
    <row r="268" spans="1:10" x14ac:dyDescent="0.25">
      <c r="A268" s="2" t="s">
        <v>800</v>
      </c>
      <c r="B268" s="2" t="s">
        <v>801</v>
      </c>
      <c r="C268" s="2" t="s">
        <v>802</v>
      </c>
      <c r="D268" s="2" t="s">
        <v>10040</v>
      </c>
      <c r="E268" s="15">
        <v>3.6600000000000001E-2</v>
      </c>
      <c r="F268" s="15">
        <v>7.8700000000000006E-2</v>
      </c>
      <c r="G268" s="15">
        <v>0.64159999999999995</v>
      </c>
      <c r="H268" s="15">
        <v>0.19550000000000001</v>
      </c>
      <c r="I268" s="15">
        <v>4.8500000000000001E-2</v>
      </c>
      <c r="J268" s="15">
        <v>4.0309278350515463</v>
      </c>
    </row>
    <row r="269" spans="1:10" x14ac:dyDescent="0.25">
      <c r="A269" s="2" t="s">
        <v>803</v>
      </c>
      <c r="B269" s="2" t="s">
        <v>804</v>
      </c>
      <c r="C269" s="2" t="s">
        <v>805</v>
      </c>
      <c r="D269" s="2" t="s">
        <v>10040</v>
      </c>
      <c r="E269" s="15">
        <v>-7.7600000000000002E-2</v>
      </c>
      <c r="F269" s="15">
        <v>9.1899999999999996E-2</v>
      </c>
      <c r="G269" s="15">
        <v>0.39850000000000002</v>
      </c>
      <c r="H269" s="15">
        <v>0.18790000000000001</v>
      </c>
      <c r="I269" s="15">
        <v>4.1700000000000001E-2</v>
      </c>
      <c r="J269" s="15">
        <v>4.5059952038369309</v>
      </c>
    </row>
    <row r="270" spans="1:10" x14ac:dyDescent="0.25">
      <c r="A270" s="2" t="s">
        <v>806</v>
      </c>
      <c r="B270" s="2" t="s">
        <v>807</v>
      </c>
      <c r="C270" s="2" t="s">
        <v>808</v>
      </c>
      <c r="D270" s="2" t="s">
        <v>10040</v>
      </c>
      <c r="E270" s="15">
        <v>0.11509999999999999</v>
      </c>
      <c r="F270" s="15">
        <v>7.0800000000000002E-2</v>
      </c>
      <c r="G270" s="15">
        <v>0.10390000000000001</v>
      </c>
      <c r="H270" s="15">
        <v>0.21440000000000001</v>
      </c>
      <c r="I270" s="15">
        <v>5.2400000000000002E-2</v>
      </c>
      <c r="J270" s="15">
        <v>4.0916030534351142</v>
      </c>
    </row>
    <row r="271" spans="1:10" x14ac:dyDescent="0.25">
      <c r="A271" s="2" t="s">
        <v>809</v>
      </c>
      <c r="B271" s="2" t="s">
        <v>810</v>
      </c>
      <c r="C271" s="2" t="s">
        <v>811</v>
      </c>
      <c r="D271" s="2" t="s">
        <v>10040</v>
      </c>
      <c r="E271" s="15">
        <v>2.2499999999999999E-2</v>
      </c>
      <c r="F271" s="15">
        <v>9.0399999999999994E-2</v>
      </c>
      <c r="G271" s="15">
        <v>0.80310000000000004</v>
      </c>
      <c r="H271" s="15">
        <v>0.12529999999999999</v>
      </c>
      <c r="I271" s="15">
        <v>4.5100000000000001E-2</v>
      </c>
      <c r="J271" s="15">
        <v>2.7782705099778271</v>
      </c>
    </row>
    <row r="272" spans="1:10" x14ac:dyDescent="0.25">
      <c r="A272" s="2" t="s">
        <v>812</v>
      </c>
      <c r="B272" s="2" t="s">
        <v>813</v>
      </c>
      <c r="C272" s="2" t="s">
        <v>814</v>
      </c>
      <c r="D272" s="2" t="s">
        <v>10040</v>
      </c>
      <c r="E272" s="15">
        <v>0.25009999999999999</v>
      </c>
      <c r="F272" s="15">
        <v>9.2999999999999999E-2</v>
      </c>
      <c r="G272" s="15">
        <v>7.1999999999999998E-3</v>
      </c>
      <c r="H272" s="15">
        <v>0.1628</v>
      </c>
      <c r="I272" s="15">
        <v>4.3099999999999999E-2</v>
      </c>
      <c r="J272" s="15">
        <v>3.777262180974478</v>
      </c>
    </row>
    <row r="273" spans="1:10" x14ac:dyDescent="0.25">
      <c r="A273" s="2" t="s">
        <v>815</v>
      </c>
      <c r="B273" s="2" t="s">
        <v>816</v>
      </c>
      <c r="C273" s="2" t="s">
        <v>817</v>
      </c>
      <c r="D273" s="2" t="s">
        <v>10040</v>
      </c>
      <c r="E273" s="15">
        <v>8.2299999999999998E-2</v>
      </c>
      <c r="F273" s="15">
        <v>6.9699999999999998E-2</v>
      </c>
      <c r="G273" s="15">
        <v>0.23749999999999999</v>
      </c>
      <c r="H273" s="15">
        <v>0.26269999999999999</v>
      </c>
      <c r="I273" s="15">
        <v>5.3800000000000001E-2</v>
      </c>
      <c r="J273" s="15">
        <v>4.8828996282527877</v>
      </c>
    </row>
    <row r="274" spans="1:10" x14ac:dyDescent="0.25">
      <c r="A274" s="2" t="s">
        <v>818</v>
      </c>
      <c r="B274" s="2" t="s">
        <v>819</v>
      </c>
      <c r="C274" s="2" t="s">
        <v>820</v>
      </c>
      <c r="D274" s="2" t="s">
        <v>10040</v>
      </c>
      <c r="E274" s="15">
        <v>0.10580000000000001</v>
      </c>
      <c r="F274" s="15">
        <v>9.8500000000000004E-2</v>
      </c>
      <c r="G274" s="15">
        <v>0.28270000000000001</v>
      </c>
      <c r="H274" s="15">
        <v>0.14149999999999999</v>
      </c>
      <c r="I274" s="15">
        <v>4.7100000000000003E-2</v>
      </c>
      <c r="J274" s="15">
        <v>3.0042462845010611</v>
      </c>
    </row>
    <row r="275" spans="1:10" x14ac:dyDescent="0.25">
      <c r="A275" s="2" t="s">
        <v>821</v>
      </c>
      <c r="B275" s="2" t="s">
        <v>822</v>
      </c>
      <c r="C275" s="2" t="s">
        <v>823</v>
      </c>
      <c r="D275" s="2" t="s">
        <v>10040</v>
      </c>
      <c r="E275" s="15">
        <v>-2.0999999999999999E-3</v>
      </c>
      <c r="F275" s="15">
        <v>0.113</v>
      </c>
      <c r="G275" s="15">
        <v>0.98499999999999999</v>
      </c>
      <c r="H275" s="15">
        <v>0.1149</v>
      </c>
      <c r="I275" s="15">
        <v>4.3700000000000003E-2</v>
      </c>
      <c r="J275" s="15">
        <v>2.6292906178489699</v>
      </c>
    </row>
    <row r="276" spans="1:10" x14ac:dyDescent="0.25">
      <c r="A276" s="2" t="s">
        <v>824</v>
      </c>
      <c r="B276" s="2" t="s">
        <v>825</v>
      </c>
      <c r="C276" s="2" t="s">
        <v>826</v>
      </c>
      <c r="D276" s="2" t="s">
        <v>10040</v>
      </c>
      <c r="E276" s="15">
        <v>4.1300000000000003E-2</v>
      </c>
      <c r="F276" s="15">
        <v>8.4000000000000005E-2</v>
      </c>
      <c r="G276" s="15">
        <v>0.62250000000000005</v>
      </c>
      <c r="H276" s="15">
        <v>0.1578</v>
      </c>
      <c r="I276" s="15">
        <v>5.6800000000000003E-2</v>
      </c>
      <c r="J276" s="15">
        <v>2.778169014084507</v>
      </c>
    </row>
    <row r="277" spans="1:10" x14ac:dyDescent="0.25">
      <c r="A277" s="2" t="s">
        <v>827</v>
      </c>
      <c r="B277" s="2" t="s">
        <v>828</v>
      </c>
      <c r="C277" s="2" t="s">
        <v>829</v>
      </c>
      <c r="D277" s="2" t="s">
        <v>10040</v>
      </c>
      <c r="E277" s="15">
        <v>-3.8399999999999997E-2</v>
      </c>
      <c r="F277" s="15">
        <v>0.10829999999999999</v>
      </c>
      <c r="G277" s="15">
        <v>0.72330000000000005</v>
      </c>
      <c r="H277" s="15">
        <v>0.1113</v>
      </c>
      <c r="I277" s="15">
        <v>5.0299999999999997E-2</v>
      </c>
      <c r="J277" s="15">
        <v>2.21272365805169</v>
      </c>
    </row>
    <row r="278" spans="1:10" x14ac:dyDescent="0.25">
      <c r="A278" s="2" t="s">
        <v>830</v>
      </c>
      <c r="B278" s="2" t="s">
        <v>831</v>
      </c>
      <c r="C278" s="2" t="s">
        <v>832</v>
      </c>
      <c r="D278" s="2" t="s">
        <v>10040</v>
      </c>
      <c r="E278" s="15">
        <v>0.10979999999999999</v>
      </c>
      <c r="F278" s="15">
        <v>8.0799999999999997E-2</v>
      </c>
      <c r="G278" s="15">
        <v>0.1741</v>
      </c>
      <c r="H278" s="15">
        <v>0.2034</v>
      </c>
      <c r="I278" s="15">
        <v>4.9799999999999997E-2</v>
      </c>
      <c r="J278" s="15">
        <v>4.0843373493975914</v>
      </c>
    </row>
    <row r="279" spans="1:10" x14ac:dyDescent="0.25">
      <c r="A279" s="2" t="s">
        <v>833</v>
      </c>
      <c r="B279" s="2" t="s">
        <v>834</v>
      </c>
      <c r="C279" s="2" t="s">
        <v>835</v>
      </c>
      <c r="D279" s="2" t="s">
        <v>10040</v>
      </c>
      <c r="E279" s="15">
        <v>1.8100000000000002E-2</v>
      </c>
      <c r="F279" s="15">
        <v>8.2100000000000006E-2</v>
      </c>
      <c r="G279" s="15">
        <v>0.82540000000000002</v>
      </c>
      <c r="H279" s="15">
        <v>0.1721</v>
      </c>
      <c r="I279" s="15">
        <v>5.0299999999999997E-2</v>
      </c>
      <c r="J279" s="15">
        <v>3.4214711729622271</v>
      </c>
    </row>
    <row r="280" spans="1:10" x14ac:dyDescent="0.25">
      <c r="A280" s="2" t="s">
        <v>836</v>
      </c>
      <c r="B280" s="2" t="s">
        <v>837</v>
      </c>
      <c r="C280" s="2" t="s">
        <v>838</v>
      </c>
      <c r="D280" s="2" t="s">
        <v>10040</v>
      </c>
      <c r="E280" s="15">
        <v>1.41E-2</v>
      </c>
      <c r="F280" s="15">
        <v>7.3200000000000001E-2</v>
      </c>
      <c r="G280" s="15">
        <v>0.8478</v>
      </c>
      <c r="H280" s="15">
        <v>0.24709999999999999</v>
      </c>
      <c r="I280" s="15">
        <v>5.3100000000000001E-2</v>
      </c>
      <c r="J280" s="15">
        <v>4.6534839924670433</v>
      </c>
    </row>
    <row r="281" spans="1:10" x14ac:dyDescent="0.25">
      <c r="A281" s="2" t="s">
        <v>839</v>
      </c>
      <c r="B281" s="2" t="s">
        <v>840</v>
      </c>
      <c r="C281" s="2" t="s">
        <v>841</v>
      </c>
      <c r="D281" s="2" t="s">
        <v>10040</v>
      </c>
      <c r="E281" s="15">
        <v>8.0699999999999994E-2</v>
      </c>
      <c r="F281" s="15">
        <v>8.1199999999999994E-2</v>
      </c>
      <c r="G281" s="15">
        <v>0.31990000000000002</v>
      </c>
      <c r="H281" s="15">
        <v>0.19270000000000001</v>
      </c>
      <c r="I281" s="15">
        <v>4.8599999999999997E-2</v>
      </c>
      <c r="J281" s="15">
        <v>3.9650205761316881</v>
      </c>
    </row>
    <row r="282" spans="1:10" x14ac:dyDescent="0.25">
      <c r="A282" s="2" t="s">
        <v>842</v>
      </c>
      <c r="B282" s="2" t="s">
        <v>843</v>
      </c>
      <c r="C282" s="2" t="s">
        <v>844</v>
      </c>
      <c r="D282" s="2" t="s">
        <v>10040</v>
      </c>
      <c r="E282" s="15">
        <v>3.4799999999999998E-2</v>
      </c>
      <c r="F282" s="15">
        <v>6.8500000000000005E-2</v>
      </c>
      <c r="G282" s="15">
        <v>0.6119</v>
      </c>
      <c r="H282" s="15">
        <v>0.2656</v>
      </c>
      <c r="I282" s="15">
        <v>5.1499999999999997E-2</v>
      </c>
      <c r="J282" s="15">
        <v>5.1572815533980583</v>
      </c>
    </row>
    <row r="283" spans="1:10" x14ac:dyDescent="0.25">
      <c r="A283" s="2" t="s">
        <v>845</v>
      </c>
      <c r="B283" s="2" t="s">
        <v>846</v>
      </c>
      <c r="C283" s="2" t="s">
        <v>847</v>
      </c>
      <c r="D283" s="2" t="s">
        <v>10040</v>
      </c>
      <c r="E283" s="15">
        <v>0.1045</v>
      </c>
      <c r="F283" s="15">
        <v>0.14499999999999999</v>
      </c>
      <c r="G283" s="15">
        <v>0.47139999999999999</v>
      </c>
      <c r="H283" s="15">
        <v>7.22E-2</v>
      </c>
      <c r="I283" s="15">
        <v>4.4200000000000003E-2</v>
      </c>
      <c r="J283" s="15">
        <v>1.633484162895928</v>
      </c>
    </row>
    <row r="284" spans="1:10" x14ac:dyDescent="0.25">
      <c r="A284" s="2" t="s">
        <v>848</v>
      </c>
      <c r="B284" s="2" t="s">
        <v>849</v>
      </c>
      <c r="C284" s="2" t="s">
        <v>850</v>
      </c>
      <c r="D284" s="2" t="s">
        <v>10040</v>
      </c>
      <c r="E284" s="15">
        <v>7.4499999999999997E-2</v>
      </c>
      <c r="F284" s="15">
        <v>8.2799999999999999E-2</v>
      </c>
      <c r="G284" s="15">
        <v>0.36799999999999999</v>
      </c>
      <c r="H284" s="15">
        <v>0.17760000000000001</v>
      </c>
      <c r="I284" s="15">
        <v>4.5999999999999999E-2</v>
      </c>
      <c r="J284" s="15">
        <v>3.8608695652173921</v>
      </c>
    </row>
    <row r="285" spans="1:10" x14ac:dyDescent="0.25">
      <c r="A285" s="2" t="s">
        <v>851</v>
      </c>
      <c r="B285" s="2" t="s">
        <v>852</v>
      </c>
      <c r="C285" s="2" t="s">
        <v>853</v>
      </c>
      <c r="D285" s="2" t="s">
        <v>10040</v>
      </c>
      <c r="E285" s="15">
        <v>5.2900000000000003E-2</v>
      </c>
      <c r="F285" s="15">
        <v>0.1004</v>
      </c>
      <c r="G285" s="15">
        <v>0.59789999999999999</v>
      </c>
      <c r="H285" s="15">
        <v>0.12529999999999999</v>
      </c>
      <c r="I285" s="15">
        <v>4.8300000000000003E-2</v>
      </c>
      <c r="J285" s="15">
        <v>2.5942028985507242</v>
      </c>
    </row>
    <row r="286" spans="1:10" x14ac:dyDescent="0.25">
      <c r="A286" s="2" t="s">
        <v>854</v>
      </c>
      <c r="B286" s="2" t="s">
        <v>855</v>
      </c>
      <c r="C286" s="2" t="s">
        <v>856</v>
      </c>
      <c r="D286" s="2" t="s">
        <v>10040</v>
      </c>
      <c r="E286" s="15">
        <v>2.1399999999999999E-2</v>
      </c>
      <c r="F286" s="15">
        <v>7.3099999999999998E-2</v>
      </c>
      <c r="G286" s="15">
        <v>0.7702</v>
      </c>
      <c r="H286" s="15">
        <v>0.22950000000000001</v>
      </c>
      <c r="I286" s="15">
        <v>5.6099999999999997E-2</v>
      </c>
      <c r="J286" s="15">
        <v>4.0909090909090917</v>
      </c>
    </row>
    <row r="287" spans="1:10" x14ac:dyDescent="0.25">
      <c r="A287" s="2" t="s">
        <v>857</v>
      </c>
      <c r="B287" s="2" t="s">
        <v>858</v>
      </c>
      <c r="C287" s="2" t="s">
        <v>859</v>
      </c>
      <c r="D287" s="2" t="s">
        <v>10040</v>
      </c>
      <c r="E287" s="15">
        <v>0.1084</v>
      </c>
      <c r="F287" s="15">
        <v>7.3099999999999998E-2</v>
      </c>
      <c r="G287" s="15">
        <v>0.13819999999999999</v>
      </c>
      <c r="H287" s="15">
        <v>0.23730000000000001</v>
      </c>
      <c r="I287" s="15">
        <v>5.3600000000000002E-2</v>
      </c>
      <c r="J287" s="15">
        <v>4.4272388059701493</v>
      </c>
    </row>
    <row r="288" spans="1:10" x14ac:dyDescent="0.25">
      <c r="A288" s="2" t="s">
        <v>860</v>
      </c>
      <c r="B288" s="2" t="s">
        <v>861</v>
      </c>
      <c r="C288" s="2" t="s">
        <v>862</v>
      </c>
      <c r="D288" s="2" t="s">
        <v>10040</v>
      </c>
      <c r="E288" s="15">
        <v>6.8000000000000005E-2</v>
      </c>
      <c r="F288" s="15">
        <v>7.0099999999999996E-2</v>
      </c>
      <c r="G288" s="15">
        <v>0.3322</v>
      </c>
      <c r="H288" s="15">
        <v>0.24629999999999999</v>
      </c>
      <c r="I288" s="15">
        <v>5.5300000000000002E-2</v>
      </c>
      <c r="J288" s="15">
        <v>4.4538878842676306</v>
      </c>
    </row>
    <row r="289" spans="1:10" x14ac:dyDescent="0.25">
      <c r="A289" s="2" t="s">
        <v>863</v>
      </c>
      <c r="B289" s="2" t="s">
        <v>864</v>
      </c>
      <c r="C289" s="2" t="s">
        <v>865</v>
      </c>
      <c r="D289" s="2" t="s">
        <v>10040</v>
      </c>
      <c r="E289" s="15">
        <v>8.8700000000000001E-2</v>
      </c>
      <c r="F289" s="15">
        <v>0.1087</v>
      </c>
      <c r="G289" s="15">
        <v>0.41460000000000002</v>
      </c>
      <c r="H289" s="15">
        <v>0.1181</v>
      </c>
      <c r="I289" s="15">
        <v>4.3900000000000002E-2</v>
      </c>
      <c r="J289" s="15">
        <v>2.6902050113895219</v>
      </c>
    </row>
    <row r="290" spans="1:10" x14ac:dyDescent="0.25">
      <c r="A290" s="2" t="s">
        <v>866</v>
      </c>
      <c r="B290" s="2" t="s">
        <v>867</v>
      </c>
      <c r="C290" s="2" t="s">
        <v>868</v>
      </c>
      <c r="D290" s="2" t="s">
        <v>10040</v>
      </c>
      <c r="E290" s="15">
        <v>9.2999999999999992E-3</v>
      </c>
      <c r="F290" s="15">
        <v>8.9800000000000005E-2</v>
      </c>
      <c r="G290" s="15">
        <v>0.91720000000000002</v>
      </c>
      <c r="H290" s="15">
        <v>0.1361</v>
      </c>
      <c r="I290" s="15">
        <v>4.5199999999999997E-2</v>
      </c>
      <c r="J290" s="15">
        <v>3.0110619469026552</v>
      </c>
    </row>
    <row r="291" spans="1:10" x14ac:dyDescent="0.25">
      <c r="A291" s="2" t="s">
        <v>869</v>
      </c>
      <c r="B291" s="2" t="s">
        <v>870</v>
      </c>
      <c r="C291" s="2" t="s">
        <v>871</v>
      </c>
      <c r="D291" s="2" t="s">
        <v>10040</v>
      </c>
      <c r="E291" s="15">
        <v>-1.9800000000000002E-2</v>
      </c>
      <c r="F291" s="15">
        <v>7.5499999999999998E-2</v>
      </c>
      <c r="G291" s="15">
        <v>0.79339999999999999</v>
      </c>
      <c r="H291" s="15">
        <v>0.2122</v>
      </c>
      <c r="I291" s="15">
        <v>4.7800000000000002E-2</v>
      </c>
      <c r="J291" s="15">
        <v>4.4393305439330542</v>
      </c>
    </row>
    <row r="292" spans="1:10" x14ac:dyDescent="0.25">
      <c r="A292" s="2" t="s">
        <v>872</v>
      </c>
      <c r="B292" s="2" t="s">
        <v>873</v>
      </c>
      <c r="C292" s="2" t="s">
        <v>874</v>
      </c>
      <c r="D292" s="2" t="s">
        <v>10040</v>
      </c>
      <c r="E292" s="15">
        <v>2.2800000000000001E-2</v>
      </c>
      <c r="F292" s="15">
        <v>6.4699999999999994E-2</v>
      </c>
      <c r="G292" s="15">
        <v>0.72430000000000005</v>
      </c>
      <c r="H292" s="15">
        <v>0.25919999999999999</v>
      </c>
      <c r="I292" s="15">
        <v>4.8300000000000003E-2</v>
      </c>
      <c r="J292" s="15">
        <v>5.366459627329192</v>
      </c>
    </row>
    <row r="293" spans="1:10" x14ac:dyDescent="0.25">
      <c r="A293" s="2" t="s">
        <v>875</v>
      </c>
      <c r="B293" s="2" t="s">
        <v>876</v>
      </c>
      <c r="C293" s="2" t="s">
        <v>877</v>
      </c>
      <c r="D293" s="2" t="s">
        <v>10040</v>
      </c>
      <c r="E293" s="15">
        <v>0.2092</v>
      </c>
      <c r="F293" s="15">
        <v>9.5200000000000007E-2</v>
      </c>
      <c r="G293" s="15">
        <v>2.8000000000000001E-2</v>
      </c>
      <c r="H293" s="15">
        <v>0.14369999999999999</v>
      </c>
      <c r="I293" s="15">
        <v>4.1799999999999997E-2</v>
      </c>
      <c r="J293" s="15">
        <v>3.437799043062201</v>
      </c>
    </row>
    <row r="294" spans="1:10" x14ac:dyDescent="0.25">
      <c r="A294" s="2" t="s">
        <v>878</v>
      </c>
      <c r="B294" s="2" t="s">
        <v>879</v>
      </c>
      <c r="C294" s="2" t="s">
        <v>880</v>
      </c>
      <c r="D294" s="2" t="s">
        <v>10040</v>
      </c>
      <c r="E294" s="15">
        <v>0.13089999999999999</v>
      </c>
      <c r="F294" s="15">
        <v>7.4700000000000003E-2</v>
      </c>
      <c r="G294" s="15">
        <v>7.9500000000000001E-2</v>
      </c>
      <c r="H294" s="15">
        <v>0.2555</v>
      </c>
      <c r="I294" s="15">
        <v>4.6699999999999998E-2</v>
      </c>
      <c r="J294" s="15">
        <v>5.4710920770877944</v>
      </c>
    </row>
    <row r="295" spans="1:10" x14ac:dyDescent="0.25">
      <c r="A295" s="2" t="s">
        <v>881</v>
      </c>
      <c r="B295" s="2" t="s">
        <v>882</v>
      </c>
      <c r="C295" s="2" t="s">
        <v>883</v>
      </c>
      <c r="D295" s="2" t="s">
        <v>10040</v>
      </c>
      <c r="E295" s="15">
        <v>9.5299999999999996E-2</v>
      </c>
      <c r="F295" s="15">
        <v>6.4899999999999999E-2</v>
      </c>
      <c r="G295" s="15">
        <v>0.14199999999999999</v>
      </c>
      <c r="H295" s="15">
        <v>0.32990000000000003</v>
      </c>
      <c r="I295" s="15">
        <v>5.8099999999999999E-2</v>
      </c>
      <c r="J295" s="15">
        <v>5.6781411359724618</v>
      </c>
    </row>
    <row r="296" spans="1:10" x14ac:dyDescent="0.25">
      <c r="A296" s="2" t="s">
        <v>884</v>
      </c>
      <c r="B296" s="2" t="s">
        <v>885</v>
      </c>
      <c r="C296" s="2" t="s">
        <v>886</v>
      </c>
      <c r="D296" s="2" t="s">
        <v>10040</v>
      </c>
      <c r="E296" s="15">
        <v>0.1143</v>
      </c>
      <c r="F296" s="15">
        <v>6.25E-2</v>
      </c>
      <c r="G296" s="15">
        <v>6.7299999999999999E-2</v>
      </c>
      <c r="H296" s="15">
        <v>0.3654</v>
      </c>
      <c r="I296" s="15">
        <v>5.0599999999999999E-2</v>
      </c>
      <c r="J296" s="15">
        <v>7.2213438735177871</v>
      </c>
    </row>
    <row r="297" spans="1:10" x14ac:dyDescent="0.25">
      <c r="A297" s="2" t="s">
        <v>887</v>
      </c>
      <c r="B297" s="2" t="s">
        <v>888</v>
      </c>
      <c r="C297" s="2" t="s">
        <v>889</v>
      </c>
      <c r="D297" s="2" t="s">
        <v>10040</v>
      </c>
      <c r="E297" s="15">
        <v>5.4600000000000003E-2</v>
      </c>
      <c r="F297" s="15">
        <v>8.7400000000000005E-2</v>
      </c>
      <c r="G297" s="15">
        <v>0.5323</v>
      </c>
      <c r="H297" s="15">
        <v>0.17369999999999999</v>
      </c>
      <c r="I297" s="15">
        <v>4.5900000000000003E-2</v>
      </c>
      <c r="J297" s="15">
        <v>3.784313725490196</v>
      </c>
    </row>
    <row r="298" spans="1:10" x14ac:dyDescent="0.25">
      <c r="A298" s="2" t="s">
        <v>890</v>
      </c>
      <c r="B298" s="2" t="s">
        <v>891</v>
      </c>
      <c r="C298" s="2" t="s">
        <v>892</v>
      </c>
      <c r="D298" s="2" t="s">
        <v>10040</v>
      </c>
      <c r="E298" s="15">
        <v>9.2999999999999992E-3</v>
      </c>
      <c r="F298" s="15">
        <v>9.0800000000000006E-2</v>
      </c>
      <c r="G298" s="15">
        <v>0.91859999999999997</v>
      </c>
      <c r="H298" s="15">
        <v>0.1255</v>
      </c>
      <c r="I298" s="15">
        <v>4.6199999999999998E-2</v>
      </c>
      <c r="J298" s="15">
        <v>2.716450216450216</v>
      </c>
    </row>
    <row r="299" spans="1:10" x14ac:dyDescent="0.25">
      <c r="A299" s="2" t="s">
        <v>893</v>
      </c>
      <c r="B299" s="2" t="s">
        <v>894</v>
      </c>
      <c r="C299" s="2" t="s">
        <v>895</v>
      </c>
      <c r="D299" s="2" t="s">
        <v>10040</v>
      </c>
      <c r="E299" s="15">
        <v>9.3600000000000003E-2</v>
      </c>
      <c r="F299" s="15">
        <v>7.5300000000000006E-2</v>
      </c>
      <c r="G299" s="15">
        <v>0.21379999999999999</v>
      </c>
      <c r="H299" s="15">
        <v>0.28570000000000001</v>
      </c>
      <c r="I299" s="15">
        <v>5.8700000000000002E-2</v>
      </c>
      <c r="J299" s="15">
        <v>4.8671209540034068</v>
      </c>
    </row>
    <row r="300" spans="1:10" x14ac:dyDescent="0.25">
      <c r="A300" s="2" t="s">
        <v>896</v>
      </c>
      <c r="B300" s="2" t="s">
        <v>897</v>
      </c>
      <c r="C300" s="2" t="s">
        <v>898</v>
      </c>
      <c r="D300" s="2" t="s">
        <v>10040</v>
      </c>
      <c r="E300" s="15">
        <v>8.0100000000000005E-2</v>
      </c>
      <c r="F300" s="15">
        <v>6.7100000000000007E-2</v>
      </c>
      <c r="G300" s="15">
        <v>0.23300000000000001</v>
      </c>
      <c r="H300" s="15">
        <v>0.2959</v>
      </c>
      <c r="I300" s="15">
        <v>4.8899999999999999E-2</v>
      </c>
      <c r="J300" s="15">
        <v>6.0511247443762786</v>
      </c>
    </row>
    <row r="301" spans="1:10" x14ac:dyDescent="0.25">
      <c r="A301" s="2" t="s">
        <v>899</v>
      </c>
      <c r="B301" s="2" t="s">
        <v>900</v>
      </c>
      <c r="C301" s="2" t="s">
        <v>901</v>
      </c>
      <c r="D301" s="2" t="s">
        <v>10040</v>
      </c>
      <c r="E301" s="15">
        <v>3.9699999999999999E-2</v>
      </c>
      <c r="F301" s="15">
        <v>9.5100000000000004E-2</v>
      </c>
      <c r="G301" s="15">
        <v>0.67649999999999999</v>
      </c>
      <c r="H301" s="15">
        <v>0.1764</v>
      </c>
      <c r="I301" s="15">
        <v>4.2299999999999997E-2</v>
      </c>
      <c r="J301" s="15">
        <v>4.1702127659574471</v>
      </c>
    </row>
    <row r="302" spans="1:10" x14ac:dyDescent="0.25">
      <c r="A302" s="2" t="s">
        <v>902</v>
      </c>
      <c r="B302" s="2" t="s">
        <v>903</v>
      </c>
      <c r="C302" s="2" t="s">
        <v>904</v>
      </c>
      <c r="D302" s="2" t="s">
        <v>10040</v>
      </c>
      <c r="E302" s="15">
        <v>4.7800000000000002E-2</v>
      </c>
      <c r="F302" s="15">
        <v>6.6900000000000001E-2</v>
      </c>
      <c r="G302" s="15">
        <v>0.47449999999999998</v>
      </c>
      <c r="H302" s="15">
        <v>0.28339999999999999</v>
      </c>
      <c r="I302" s="15">
        <v>4.4499999999999998E-2</v>
      </c>
      <c r="J302" s="15">
        <v>6.368539325842697</v>
      </c>
    </row>
    <row r="303" spans="1:10" x14ac:dyDescent="0.25">
      <c r="A303" s="2" t="s">
        <v>905</v>
      </c>
      <c r="B303" s="2" t="s">
        <v>906</v>
      </c>
      <c r="C303" s="2" t="s">
        <v>907</v>
      </c>
      <c r="D303" s="2" t="s">
        <v>10040</v>
      </c>
      <c r="E303" s="15">
        <v>9.1600000000000001E-2</v>
      </c>
      <c r="F303" s="15">
        <v>6.3799999999999996E-2</v>
      </c>
      <c r="G303" s="15">
        <v>0.15090000000000001</v>
      </c>
      <c r="H303" s="15">
        <v>0.3115</v>
      </c>
      <c r="I303" s="15">
        <v>4.8399999999999999E-2</v>
      </c>
      <c r="J303" s="15">
        <v>6.4359504132231411</v>
      </c>
    </row>
    <row r="304" spans="1:10" x14ac:dyDescent="0.25">
      <c r="A304" s="2" t="s">
        <v>908</v>
      </c>
      <c r="B304" s="2" t="s">
        <v>909</v>
      </c>
      <c r="C304" s="2" t="s">
        <v>910</v>
      </c>
      <c r="D304" s="2" t="s">
        <v>10040</v>
      </c>
      <c r="E304" s="15">
        <v>5.1499999999999997E-2</v>
      </c>
      <c r="F304" s="15">
        <v>7.46E-2</v>
      </c>
      <c r="G304" s="15">
        <v>0.48959999999999998</v>
      </c>
      <c r="H304" s="15">
        <v>0.21529999999999999</v>
      </c>
      <c r="I304" s="15">
        <v>4.41E-2</v>
      </c>
      <c r="J304" s="15">
        <v>4.8820861678004537</v>
      </c>
    </row>
    <row r="305" spans="1:10" x14ac:dyDescent="0.25">
      <c r="A305" s="2" t="s">
        <v>911</v>
      </c>
      <c r="B305" s="2" t="s">
        <v>912</v>
      </c>
      <c r="C305" s="2" t="s">
        <v>913</v>
      </c>
      <c r="D305" s="2" t="s">
        <v>10040</v>
      </c>
      <c r="E305" s="15">
        <v>8.2299999999999998E-2</v>
      </c>
      <c r="F305" s="15">
        <v>7.3499999999999996E-2</v>
      </c>
      <c r="G305" s="15">
        <v>0.26279999999999998</v>
      </c>
      <c r="H305" s="15">
        <v>0.26250000000000001</v>
      </c>
      <c r="I305" s="15">
        <v>4.8099999999999997E-2</v>
      </c>
      <c r="J305" s="15">
        <v>5.4573804573804576</v>
      </c>
    </row>
    <row r="306" spans="1:10" x14ac:dyDescent="0.25">
      <c r="A306" s="2" t="s">
        <v>914</v>
      </c>
      <c r="B306" s="2" t="s">
        <v>915</v>
      </c>
      <c r="C306" s="2" t="s">
        <v>916</v>
      </c>
      <c r="D306" s="2" t="s">
        <v>10040</v>
      </c>
      <c r="E306" s="15">
        <v>-8.2600000000000007E-2</v>
      </c>
      <c r="F306" s="15">
        <v>7.9799999999999996E-2</v>
      </c>
      <c r="G306" s="15">
        <v>0.30080000000000001</v>
      </c>
      <c r="H306" s="15">
        <v>0.22339999999999999</v>
      </c>
      <c r="I306" s="15">
        <v>4.9399999999999999E-2</v>
      </c>
      <c r="J306" s="15">
        <v>4.5222672064777329</v>
      </c>
    </row>
    <row r="307" spans="1:10" x14ac:dyDescent="0.25">
      <c r="A307" s="2" t="s">
        <v>917</v>
      </c>
      <c r="B307" s="2" t="s">
        <v>918</v>
      </c>
      <c r="C307" s="2" t="s">
        <v>919</v>
      </c>
      <c r="D307" s="2" t="s">
        <v>10040</v>
      </c>
      <c r="E307" s="15">
        <v>0.1082</v>
      </c>
      <c r="F307" s="15">
        <v>8.4099999999999994E-2</v>
      </c>
      <c r="G307" s="15">
        <v>0.1983</v>
      </c>
      <c r="H307" s="15">
        <v>0.18559999999999999</v>
      </c>
      <c r="I307" s="15">
        <v>4.6600000000000003E-2</v>
      </c>
      <c r="J307" s="15">
        <v>3.9828326180257512</v>
      </c>
    </row>
    <row r="308" spans="1:10" x14ac:dyDescent="0.25">
      <c r="A308" s="2" t="s">
        <v>920</v>
      </c>
      <c r="B308" s="2" t="s">
        <v>921</v>
      </c>
      <c r="C308" s="2" t="s">
        <v>922</v>
      </c>
      <c r="D308" s="2" t="s">
        <v>10040</v>
      </c>
      <c r="E308" s="15">
        <v>3.6999999999999998E-2</v>
      </c>
      <c r="F308" s="15">
        <v>7.3300000000000004E-2</v>
      </c>
      <c r="G308" s="15">
        <v>0.6139</v>
      </c>
      <c r="H308" s="15">
        <v>0.2392</v>
      </c>
      <c r="I308" s="15">
        <v>4.7199999999999999E-2</v>
      </c>
      <c r="J308" s="15">
        <v>5.0677966101694913</v>
      </c>
    </row>
    <row r="309" spans="1:10" x14ac:dyDescent="0.25">
      <c r="A309" s="2" t="s">
        <v>923</v>
      </c>
      <c r="B309" s="2" t="s">
        <v>924</v>
      </c>
      <c r="C309" s="2" t="s">
        <v>925</v>
      </c>
      <c r="D309" s="2" t="s">
        <v>10040</v>
      </c>
      <c r="E309" s="15">
        <v>1.18E-2</v>
      </c>
      <c r="F309" s="15">
        <v>7.8200000000000006E-2</v>
      </c>
      <c r="G309" s="15">
        <v>0.88039999999999996</v>
      </c>
      <c r="H309" s="15">
        <v>0.183</v>
      </c>
      <c r="I309" s="15">
        <v>4.2799999999999998E-2</v>
      </c>
      <c r="J309" s="15">
        <v>4.2757009345794392</v>
      </c>
    </row>
    <row r="310" spans="1:10" x14ac:dyDescent="0.25">
      <c r="A310" s="2" t="s">
        <v>926</v>
      </c>
      <c r="B310" s="2" t="s">
        <v>927</v>
      </c>
      <c r="C310" s="2" t="s">
        <v>928</v>
      </c>
      <c r="D310" s="2" t="s">
        <v>10040</v>
      </c>
      <c r="E310" s="15">
        <v>0.17549999999999999</v>
      </c>
      <c r="F310" s="15">
        <v>8.1100000000000005E-2</v>
      </c>
      <c r="G310" s="15">
        <v>3.0499999999999999E-2</v>
      </c>
      <c r="H310" s="15">
        <v>0.2072</v>
      </c>
      <c r="I310" s="15">
        <v>4.2099999999999999E-2</v>
      </c>
      <c r="J310" s="15">
        <v>4.9216152019002379</v>
      </c>
    </row>
    <row r="311" spans="1:10" x14ac:dyDescent="0.25">
      <c r="A311" s="2" t="s">
        <v>929</v>
      </c>
      <c r="B311" s="2" t="s">
        <v>930</v>
      </c>
      <c r="C311" s="2" t="s">
        <v>931</v>
      </c>
      <c r="D311" s="2" t="s">
        <v>10040</v>
      </c>
      <c r="E311" s="15">
        <v>0.1091</v>
      </c>
      <c r="F311" s="15">
        <v>6.1600000000000002E-2</v>
      </c>
      <c r="G311" s="15">
        <v>7.6300000000000007E-2</v>
      </c>
      <c r="H311" s="15">
        <v>0.37859999999999999</v>
      </c>
      <c r="I311" s="15">
        <v>5.0599999999999999E-2</v>
      </c>
      <c r="J311" s="15">
        <v>7.4822134387351777</v>
      </c>
    </row>
    <row r="312" spans="1:10" x14ac:dyDescent="0.25">
      <c r="A312" s="2" t="s">
        <v>932</v>
      </c>
      <c r="B312" s="2" t="s">
        <v>933</v>
      </c>
      <c r="C312" s="2" t="s">
        <v>934</v>
      </c>
      <c r="D312" s="2" t="s">
        <v>10040</v>
      </c>
      <c r="E312" s="15">
        <v>-4.7999999999999996E-3</v>
      </c>
      <c r="F312" s="15">
        <v>8.8200000000000001E-2</v>
      </c>
      <c r="G312" s="15">
        <v>0.95679999999999998</v>
      </c>
      <c r="H312" s="15">
        <v>0.1993</v>
      </c>
      <c r="I312" s="15">
        <v>5.0500000000000003E-2</v>
      </c>
      <c r="J312" s="15">
        <v>3.946534653465346</v>
      </c>
    </row>
    <row r="313" spans="1:10" x14ac:dyDescent="0.25">
      <c r="A313" s="2" t="s">
        <v>935</v>
      </c>
      <c r="B313" s="2" t="s">
        <v>936</v>
      </c>
      <c r="C313" s="2" t="s">
        <v>937</v>
      </c>
      <c r="D313" s="2" t="s">
        <v>10040</v>
      </c>
      <c r="E313" s="15">
        <v>3.0099999999999998E-2</v>
      </c>
      <c r="F313" s="15">
        <v>7.9299999999999995E-2</v>
      </c>
      <c r="G313" s="15">
        <v>0.7046</v>
      </c>
      <c r="H313" s="15">
        <v>0.17030000000000001</v>
      </c>
      <c r="I313" s="15">
        <v>3.9300000000000002E-2</v>
      </c>
      <c r="J313" s="15">
        <v>4.333333333333333</v>
      </c>
    </row>
    <row r="314" spans="1:10" x14ac:dyDescent="0.25">
      <c r="A314" s="2" t="s">
        <v>938</v>
      </c>
      <c r="B314" s="2" t="s">
        <v>939</v>
      </c>
      <c r="C314" s="2" t="s">
        <v>940</v>
      </c>
      <c r="D314" s="2" t="s">
        <v>10040</v>
      </c>
      <c r="E314" s="15">
        <v>-4.7399999999999998E-2</v>
      </c>
      <c r="F314" s="15">
        <v>7.6799999999999993E-2</v>
      </c>
      <c r="G314" s="15">
        <v>0.5373</v>
      </c>
      <c r="H314" s="15">
        <v>0.21870000000000001</v>
      </c>
      <c r="I314" s="15">
        <v>4.7399999999999998E-2</v>
      </c>
      <c r="J314" s="15">
        <v>4.613924050632912</v>
      </c>
    </row>
    <row r="315" spans="1:10" x14ac:dyDescent="0.25">
      <c r="A315" s="2" t="s">
        <v>941</v>
      </c>
      <c r="B315" s="2" t="s">
        <v>942</v>
      </c>
      <c r="C315" s="2" t="s">
        <v>943</v>
      </c>
      <c r="D315" s="2" t="s">
        <v>10040</v>
      </c>
      <c r="E315" s="15">
        <v>-4.6199999999999998E-2</v>
      </c>
      <c r="F315" s="15">
        <v>6.2700000000000006E-2</v>
      </c>
      <c r="G315" s="15">
        <v>0.46110000000000001</v>
      </c>
      <c r="H315" s="15">
        <v>0.3221</v>
      </c>
      <c r="I315" s="15">
        <v>5.0299999999999997E-2</v>
      </c>
      <c r="J315" s="15">
        <v>6.4035785288270377</v>
      </c>
    </row>
    <row r="316" spans="1:10" x14ac:dyDescent="0.25">
      <c r="A316" s="2" t="s">
        <v>944</v>
      </c>
      <c r="B316" s="2" t="s">
        <v>945</v>
      </c>
      <c r="C316" s="2" t="s">
        <v>946</v>
      </c>
      <c r="D316" s="2" t="s">
        <v>10040</v>
      </c>
      <c r="E316" s="15">
        <v>-4.5999999999999999E-3</v>
      </c>
      <c r="F316" s="15">
        <v>5.74E-2</v>
      </c>
      <c r="G316" s="15">
        <v>0.93589999999999995</v>
      </c>
      <c r="H316" s="15">
        <v>0.31240000000000001</v>
      </c>
      <c r="I316" s="15">
        <v>4.5199999999999997E-2</v>
      </c>
      <c r="J316" s="15">
        <v>6.9115044247787614</v>
      </c>
    </row>
    <row r="317" spans="1:10" x14ac:dyDescent="0.25">
      <c r="A317" s="2" t="s">
        <v>947</v>
      </c>
      <c r="B317" s="2" t="s">
        <v>948</v>
      </c>
      <c r="C317" s="2" t="s">
        <v>949</v>
      </c>
      <c r="D317" s="2" t="s">
        <v>10040</v>
      </c>
      <c r="E317" s="15">
        <v>4.1000000000000003E-3</v>
      </c>
      <c r="F317" s="15">
        <v>9.2899999999999996E-2</v>
      </c>
      <c r="G317" s="15">
        <v>0.96519999999999995</v>
      </c>
      <c r="H317" s="15">
        <v>0.15679999999999999</v>
      </c>
      <c r="I317" s="15">
        <v>4.8599999999999997E-2</v>
      </c>
      <c r="J317" s="15">
        <v>3.2263374485596712</v>
      </c>
    </row>
    <row r="318" spans="1:10" x14ac:dyDescent="0.25">
      <c r="A318" s="2" t="s">
        <v>950</v>
      </c>
      <c r="B318" s="2" t="s">
        <v>951</v>
      </c>
      <c r="C318" s="2" t="s">
        <v>952</v>
      </c>
      <c r="D318" s="2" t="s">
        <v>10040</v>
      </c>
      <c r="E318" s="15">
        <v>9.64E-2</v>
      </c>
      <c r="F318" s="15">
        <v>7.1400000000000005E-2</v>
      </c>
      <c r="G318" s="15">
        <v>0.1772</v>
      </c>
      <c r="H318" s="15">
        <v>0.28889999999999999</v>
      </c>
      <c r="I318" s="15">
        <v>4.7300000000000002E-2</v>
      </c>
      <c r="J318" s="15">
        <v>6.1078224101479908</v>
      </c>
    </row>
    <row r="319" spans="1:10" x14ac:dyDescent="0.25">
      <c r="A319" s="2" t="s">
        <v>953</v>
      </c>
      <c r="B319" s="2" t="s">
        <v>954</v>
      </c>
      <c r="C319" s="2" t="s">
        <v>955</v>
      </c>
      <c r="D319" s="2" t="s">
        <v>10040</v>
      </c>
      <c r="E319" s="15">
        <v>2.76E-2</v>
      </c>
      <c r="F319" s="15">
        <v>6.7100000000000007E-2</v>
      </c>
      <c r="G319" s="15">
        <v>0.68110000000000004</v>
      </c>
      <c r="H319" s="15">
        <v>0.34860000000000002</v>
      </c>
      <c r="I319" s="15">
        <v>5.0099999999999999E-2</v>
      </c>
      <c r="J319" s="15">
        <v>6.9580838323353298</v>
      </c>
    </row>
    <row r="320" spans="1:10" x14ac:dyDescent="0.25">
      <c r="A320" s="2" t="s">
        <v>956</v>
      </c>
      <c r="B320" s="2" t="s">
        <v>957</v>
      </c>
      <c r="C320" s="2" t="s">
        <v>958</v>
      </c>
      <c r="D320" s="2" t="s">
        <v>10040</v>
      </c>
      <c r="E320" s="15">
        <v>0.1449</v>
      </c>
      <c r="F320" s="15">
        <v>7.0400000000000004E-2</v>
      </c>
      <c r="G320" s="15">
        <v>3.95E-2</v>
      </c>
      <c r="H320" s="15">
        <v>0.30349999999999999</v>
      </c>
      <c r="I320" s="15">
        <v>5.2699999999999997E-2</v>
      </c>
      <c r="J320" s="15">
        <v>5.7590132827324476</v>
      </c>
    </row>
    <row r="321" spans="1:10" x14ac:dyDescent="0.25">
      <c r="A321" s="2" t="s">
        <v>959</v>
      </c>
      <c r="B321" s="2" t="s">
        <v>960</v>
      </c>
      <c r="C321" s="2" t="s">
        <v>961</v>
      </c>
      <c r="D321" s="2" t="s">
        <v>10040</v>
      </c>
      <c r="E321" s="15">
        <v>5.4800000000000001E-2</v>
      </c>
      <c r="F321" s="15">
        <v>7.6100000000000001E-2</v>
      </c>
      <c r="G321" s="15">
        <v>0.4718</v>
      </c>
      <c r="H321" s="15">
        <v>0.21529999999999999</v>
      </c>
      <c r="I321" s="15">
        <v>4.7300000000000002E-2</v>
      </c>
      <c r="J321" s="15">
        <v>4.5517970401691326</v>
      </c>
    </row>
    <row r="322" spans="1:10" x14ac:dyDescent="0.25">
      <c r="A322" s="2" t="s">
        <v>962</v>
      </c>
      <c r="B322" s="2" t="s">
        <v>963</v>
      </c>
      <c r="C322" s="2" t="s">
        <v>964</v>
      </c>
      <c r="D322" s="2" t="s">
        <v>10040</v>
      </c>
      <c r="E322" s="15">
        <v>0.1089</v>
      </c>
      <c r="F322" s="15">
        <v>8.7400000000000005E-2</v>
      </c>
      <c r="G322" s="15">
        <v>0.21260000000000001</v>
      </c>
      <c r="H322" s="15">
        <v>0.1487</v>
      </c>
      <c r="I322" s="15">
        <v>4.6199999999999998E-2</v>
      </c>
      <c r="J322" s="15">
        <v>3.2186147186147189</v>
      </c>
    </row>
    <row r="323" spans="1:10" x14ac:dyDescent="0.25">
      <c r="A323" s="2" t="s">
        <v>965</v>
      </c>
      <c r="B323" s="2" t="s">
        <v>966</v>
      </c>
      <c r="C323" s="2" t="s">
        <v>967</v>
      </c>
      <c r="D323" s="2" t="s">
        <v>10040</v>
      </c>
      <c r="E323" s="15">
        <v>4.1500000000000002E-2</v>
      </c>
      <c r="F323" s="15">
        <v>7.0800000000000002E-2</v>
      </c>
      <c r="G323" s="15">
        <v>0.55759999999999998</v>
      </c>
      <c r="H323" s="15">
        <v>0.2923</v>
      </c>
      <c r="I323" s="15">
        <v>5.11E-2</v>
      </c>
      <c r="J323" s="15">
        <v>5.7201565557729941</v>
      </c>
    </row>
    <row r="324" spans="1:10" x14ac:dyDescent="0.25">
      <c r="A324" s="2" t="s">
        <v>968</v>
      </c>
      <c r="B324" s="2" t="s">
        <v>969</v>
      </c>
      <c r="C324" s="2" t="s">
        <v>970</v>
      </c>
      <c r="D324" s="2" t="s">
        <v>10040</v>
      </c>
      <c r="E324" s="15">
        <v>0.1598</v>
      </c>
      <c r="F324" s="15">
        <v>7.7700000000000005E-2</v>
      </c>
      <c r="G324" s="15">
        <v>3.9800000000000002E-2</v>
      </c>
      <c r="H324" s="15">
        <v>0.2379</v>
      </c>
      <c r="I324" s="15">
        <v>4.5199999999999997E-2</v>
      </c>
      <c r="J324" s="15">
        <v>5.2632743362831862</v>
      </c>
    </row>
    <row r="325" spans="1:10" x14ac:dyDescent="0.25">
      <c r="A325" s="2" t="s">
        <v>971</v>
      </c>
      <c r="B325" s="2" t="s">
        <v>972</v>
      </c>
      <c r="C325" s="2" t="s">
        <v>973</v>
      </c>
      <c r="D325" s="2" t="s">
        <v>10040</v>
      </c>
      <c r="E325" s="15">
        <v>9.6199999999999994E-2</v>
      </c>
      <c r="F325" s="15">
        <v>8.1000000000000003E-2</v>
      </c>
      <c r="G325" s="15">
        <v>0.2354</v>
      </c>
      <c r="H325" s="15">
        <v>0.18529999999999999</v>
      </c>
      <c r="I325" s="15">
        <v>4.0899999999999999E-2</v>
      </c>
      <c r="J325" s="15">
        <v>4.5305623471882637</v>
      </c>
    </row>
    <row r="326" spans="1:10" x14ac:dyDescent="0.25">
      <c r="A326" s="2" t="s">
        <v>974</v>
      </c>
      <c r="B326" s="2" t="s">
        <v>975</v>
      </c>
      <c r="C326" s="2" t="s">
        <v>976</v>
      </c>
      <c r="D326" s="2" t="s">
        <v>10040</v>
      </c>
      <c r="E326" s="15">
        <v>0.1376</v>
      </c>
      <c r="F326" s="15">
        <v>7.3700000000000002E-2</v>
      </c>
      <c r="G326" s="15">
        <v>6.2100000000000002E-2</v>
      </c>
      <c r="H326" s="15">
        <v>0.26860000000000001</v>
      </c>
      <c r="I326" s="15">
        <v>5.1900000000000002E-2</v>
      </c>
      <c r="J326" s="15">
        <v>5.1753371868978801</v>
      </c>
    </row>
    <row r="327" spans="1:10" x14ac:dyDescent="0.25">
      <c r="A327" s="2" t="s">
        <v>977</v>
      </c>
      <c r="B327" s="2" t="s">
        <v>978</v>
      </c>
      <c r="C327" s="2" t="s">
        <v>979</v>
      </c>
      <c r="D327" s="2" t="s">
        <v>10040</v>
      </c>
      <c r="E327" s="15">
        <v>0.1089</v>
      </c>
      <c r="F327" s="15">
        <v>8.1799999999999998E-2</v>
      </c>
      <c r="G327" s="15">
        <v>0.1832</v>
      </c>
      <c r="H327" s="15">
        <v>0.19800000000000001</v>
      </c>
      <c r="I327" s="15">
        <v>4.8500000000000001E-2</v>
      </c>
      <c r="J327" s="15">
        <v>4.0824742268041234</v>
      </c>
    </row>
    <row r="328" spans="1:10" x14ac:dyDescent="0.25">
      <c r="A328" s="2" t="s">
        <v>980</v>
      </c>
      <c r="B328" s="2" t="s">
        <v>981</v>
      </c>
      <c r="C328" s="2" t="s">
        <v>982</v>
      </c>
      <c r="D328" s="2" t="s">
        <v>10040</v>
      </c>
      <c r="E328" s="15">
        <v>0.15379999999999999</v>
      </c>
      <c r="F328" s="15">
        <v>7.8100000000000003E-2</v>
      </c>
      <c r="G328" s="15">
        <v>4.8800000000000003E-2</v>
      </c>
      <c r="H328" s="15">
        <v>0.24099999999999999</v>
      </c>
      <c r="I328" s="15">
        <v>0.05</v>
      </c>
      <c r="J328" s="15">
        <v>4.8199999999999994</v>
      </c>
    </row>
    <row r="329" spans="1:10" x14ac:dyDescent="0.25">
      <c r="A329" s="2" t="s">
        <v>983</v>
      </c>
      <c r="B329" s="2" t="s">
        <v>984</v>
      </c>
      <c r="C329" s="2" t="s">
        <v>985</v>
      </c>
      <c r="D329" s="2" t="s">
        <v>10040</v>
      </c>
      <c r="E329" s="15">
        <v>8.5599999999999996E-2</v>
      </c>
      <c r="F329" s="15">
        <v>7.2900000000000006E-2</v>
      </c>
      <c r="G329" s="15">
        <v>0.2399</v>
      </c>
      <c r="H329" s="15">
        <v>0.28960000000000002</v>
      </c>
      <c r="I329" s="15">
        <v>4.9599999999999998E-2</v>
      </c>
      <c r="J329" s="15">
        <v>5.8387096774193559</v>
      </c>
    </row>
    <row r="330" spans="1:10" x14ac:dyDescent="0.25">
      <c r="A330" s="2" t="s">
        <v>986</v>
      </c>
      <c r="B330" s="2" t="s">
        <v>987</v>
      </c>
      <c r="C330" s="2" t="s">
        <v>988</v>
      </c>
      <c r="D330" s="2" t="s">
        <v>10040</v>
      </c>
      <c r="E330" s="15">
        <v>2.93E-2</v>
      </c>
      <c r="F330" s="15">
        <v>7.0000000000000007E-2</v>
      </c>
      <c r="G330" s="15">
        <v>0.67600000000000005</v>
      </c>
      <c r="H330" s="15">
        <v>0.2243</v>
      </c>
      <c r="I330" s="15">
        <v>4.5400000000000003E-2</v>
      </c>
      <c r="J330" s="15">
        <v>4.9405286343612334</v>
      </c>
    </row>
    <row r="331" spans="1:10" x14ac:dyDescent="0.25">
      <c r="A331" s="2" t="s">
        <v>989</v>
      </c>
      <c r="B331" s="2" t="s">
        <v>990</v>
      </c>
      <c r="C331" s="2" t="s">
        <v>991</v>
      </c>
      <c r="D331" s="2" t="s">
        <v>10040</v>
      </c>
      <c r="E331" s="15">
        <v>-4.8399999999999999E-2</v>
      </c>
      <c r="F331" s="15">
        <v>8.4500000000000006E-2</v>
      </c>
      <c r="G331" s="15">
        <v>0.56669999999999998</v>
      </c>
      <c r="H331" s="15">
        <v>0.1991</v>
      </c>
      <c r="I331" s="15">
        <v>4.8399999999999999E-2</v>
      </c>
      <c r="J331" s="15">
        <v>4.1136363636363633</v>
      </c>
    </row>
    <row r="332" spans="1:10" x14ac:dyDescent="0.25">
      <c r="A332" s="2" t="s">
        <v>992</v>
      </c>
      <c r="B332" s="2" t="s">
        <v>993</v>
      </c>
      <c r="C332" s="2" t="s">
        <v>994</v>
      </c>
      <c r="D332" s="2" t="s">
        <v>10040</v>
      </c>
      <c r="E332" s="15">
        <v>0.11020000000000001</v>
      </c>
      <c r="F332" s="15">
        <v>6.7799999999999999E-2</v>
      </c>
      <c r="G332" s="15">
        <v>0.1042</v>
      </c>
      <c r="H332" s="15">
        <v>0.33329999999999999</v>
      </c>
      <c r="I332" s="15">
        <v>5.0999999999999997E-2</v>
      </c>
      <c r="J332" s="15">
        <v>6.5352941176470587</v>
      </c>
    </row>
    <row r="333" spans="1:10" x14ac:dyDescent="0.25">
      <c r="A333" s="2" t="s">
        <v>995</v>
      </c>
      <c r="B333" s="2" t="s">
        <v>996</v>
      </c>
      <c r="C333" s="2" t="s">
        <v>997</v>
      </c>
      <c r="D333" s="2" t="s">
        <v>10040</v>
      </c>
      <c r="E333" s="15">
        <v>0.15709999999999999</v>
      </c>
      <c r="F333" s="15">
        <v>8.0399999999999999E-2</v>
      </c>
      <c r="G333" s="15">
        <v>5.0700000000000002E-2</v>
      </c>
      <c r="H333" s="15">
        <v>0.20730000000000001</v>
      </c>
      <c r="I333" s="15">
        <v>4.36E-2</v>
      </c>
      <c r="J333" s="15">
        <v>4.7545871559633026</v>
      </c>
    </row>
    <row r="334" spans="1:10" x14ac:dyDescent="0.25">
      <c r="A334" s="2" t="s">
        <v>998</v>
      </c>
      <c r="B334" s="2" t="s">
        <v>999</v>
      </c>
      <c r="C334" s="2" t="s">
        <v>1000</v>
      </c>
      <c r="D334" s="2" t="s">
        <v>10040</v>
      </c>
      <c r="E334" s="15">
        <v>2.1100000000000001E-2</v>
      </c>
      <c r="F334" s="15">
        <v>6.3100000000000003E-2</v>
      </c>
      <c r="G334" s="15">
        <v>0.73860000000000003</v>
      </c>
      <c r="H334" s="15">
        <v>0.34139999999999998</v>
      </c>
      <c r="I334" s="15">
        <v>4.19E-2</v>
      </c>
      <c r="J334" s="15">
        <v>8.1479713603818613</v>
      </c>
    </row>
    <row r="335" spans="1:10" x14ac:dyDescent="0.25">
      <c r="A335" s="2" t="s">
        <v>1001</v>
      </c>
      <c r="B335" s="2" t="s">
        <v>1002</v>
      </c>
      <c r="C335" s="2" t="s">
        <v>1003</v>
      </c>
      <c r="D335" s="2" t="s">
        <v>10040</v>
      </c>
      <c r="E335" s="15">
        <v>0.10390000000000001</v>
      </c>
      <c r="F335" s="15">
        <v>9.2700000000000005E-2</v>
      </c>
      <c r="G335" s="15">
        <v>0.26229999999999998</v>
      </c>
      <c r="H335" s="15">
        <v>0.17599999999999999</v>
      </c>
      <c r="I335" s="15">
        <v>4.4499999999999998E-2</v>
      </c>
      <c r="J335" s="15">
        <v>3.9550561797752808</v>
      </c>
    </row>
    <row r="336" spans="1:10" x14ac:dyDescent="0.25">
      <c r="A336" s="2" t="s">
        <v>1004</v>
      </c>
      <c r="B336" s="2" t="s">
        <v>1005</v>
      </c>
      <c r="C336" s="2" t="s">
        <v>1006</v>
      </c>
      <c r="D336" s="2" t="s">
        <v>10040</v>
      </c>
      <c r="E336" s="15">
        <v>-5.3100000000000001E-2</v>
      </c>
      <c r="F336" s="15">
        <v>7.4899999999999994E-2</v>
      </c>
      <c r="G336" s="15">
        <v>0.47810000000000002</v>
      </c>
      <c r="H336" s="15">
        <v>0.2848</v>
      </c>
      <c r="I336" s="15">
        <v>5.2900000000000003E-2</v>
      </c>
      <c r="J336" s="15">
        <v>5.383742911153119</v>
      </c>
    </row>
    <row r="337" spans="1:10" x14ac:dyDescent="0.25">
      <c r="A337" s="2" t="s">
        <v>1007</v>
      </c>
      <c r="B337" s="2" t="s">
        <v>1008</v>
      </c>
      <c r="C337" s="2" t="s">
        <v>1009</v>
      </c>
      <c r="D337" s="2" t="s">
        <v>10040</v>
      </c>
      <c r="E337" s="15">
        <v>-0.1062</v>
      </c>
      <c r="F337" s="15">
        <v>8.9599999999999999E-2</v>
      </c>
      <c r="G337" s="15">
        <v>0.23599999999999999</v>
      </c>
      <c r="H337" s="15">
        <v>0.1885</v>
      </c>
      <c r="I337" s="15">
        <v>4.5499999999999999E-2</v>
      </c>
      <c r="J337" s="15">
        <v>4.1428571428571432</v>
      </c>
    </row>
    <row r="338" spans="1:10" x14ac:dyDescent="0.25">
      <c r="A338" s="2" t="s">
        <v>1010</v>
      </c>
      <c r="B338" s="2" t="s">
        <v>1011</v>
      </c>
      <c r="C338" s="2" t="s">
        <v>1012</v>
      </c>
      <c r="D338" s="2" t="s">
        <v>10040</v>
      </c>
      <c r="E338" s="15">
        <v>-4.2599999999999999E-2</v>
      </c>
      <c r="F338" s="15">
        <v>8.5699999999999998E-2</v>
      </c>
      <c r="G338" s="15">
        <v>0.61909999999999998</v>
      </c>
      <c r="H338" s="15">
        <v>0.23519999999999999</v>
      </c>
      <c r="I338" s="15">
        <v>5.21E-2</v>
      </c>
      <c r="J338" s="15">
        <v>4.5143953934740884</v>
      </c>
    </row>
    <row r="339" spans="1:10" x14ac:dyDescent="0.25">
      <c r="A339" s="2" t="s">
        <v>1013</v>
      </c>
      <c r="B339" s="2" t="s">
        <v>1014</v>
      </c>
      <c r="C339" s="2" t="s">
        <v>1015</v>
      </c>
      <c r="D339" s="2" t="s">
        <v>10040</v>
      </c>
      <c r="E339" s="15">
        <v>9.6500000000000002E-2</v>
      </c>
      <c r="F339" s="15">
        <v>6.6699999999999995E-2</v>
      </c>
      <c r="G339" s="15">
        <v>0.14799999999999999</v>
      </c>
      <c r="H339" s="15">
        <v>0.31519999999999998</v>
      </c>
      <c r="I339" s="15">
        <v>4.6300000000000001E-2</v>
      </c>
      <c r="J339" s="15">
        <v>6.8077753779697616</v>
      </c>
    </row>
    <row r="340" spans="1:10" x14ac:dyDescent="0.25">
      <c r="A340" s="2" t="s">
        <v>1016</v>
      </c>
      <c r="B340" s="2" t="s">
        <v>1017</v>
      </c>
      <c r="C340" s="2" t="s">
        <v>1018</v>
      </c>
      <c r="D340" s="2" t="s">
        <v>10040</v>
      </c>
      <c r="E340" s="15">
        <v>9.1200000000000003E-2</v>
      </c>
      <c r="F340" s="15">
        <v>6.2300000000000001E-2</v>
      </c>
      <c r="G340" s="15">
        <v>0.14299999999999999</v>
      </c>
      <c r="H340" s="15">
        <v>0.35489999999999999</v>
      </c>
      <c r="I340" s="15">
        <v>4.5199999999999997E-2</v>
      </c>
      <c r="J340" s="15">
        <v>7.8517699115044248</v>
      </c>
    </row>
    <row r="341" spans="1:10" x14ac:dyDescent="0.25">
      <c r="A341" s="2" t="s">
        <v>1019</v>
      </c>
      <c r="B341" s="2" t="s">
        <v>1020</v>
      </c>
      <c r="C341" s="2" t="s">
        <v>1021</v>
      </c>
      <c r="D341" s="2" t="s">
        <v>10040</v>
      </c>
      <c r="E341" s="15">
        <v>-9.4000000000000004E-3</v>
      </c>
      <c r="F341" s="15">
        <v>5.7099999999999998E-2</v>
      </c>
      <c r="G341" s="15">
        <v>0.86890000000000001</v>
      </c>
      <c r="H341" s="15">
        <v>0.43530000000000002</v>
      </c>
      <c r="I341" s="15">
        <v>5.3499999999999999E-2</v>
      </c>
      <c r="J341" s="15">
        <v>8.1364485981308423</v>
      </c>
    </row>
    <row r="342" spans="1:10" x14ac:dyDescent="0.25">
      <c r="A342" s="2" t="s">
        <v>1022</v>
      </c>
      <c r="B342" s="2" t="s">
        <v>1023</v>
      </c>
      <c r="C342" s="2" t="s">
        <v>1024</v>
      </c>
      <c r="D342" s="2" t="s">
        <v>10040</v>
      </c>
      <c r="E342" s="15">
        <v>0.1074</v>
      </c>
      <c r="F342" s="15">
        <v>6.0699999999999997E-2</v>
      </c>
      <c r="G342" s="15">
        <v>7.6799999999999993E-2</v>
      </c>
      <c r="H342" s="15">
        <v>0.3982</v>
      </c>
      <c r="I342" s="15">
        <v>5.1200000000000002E-2</v>
      </c>
      <c r="J342" s="15">
        <v>7.77734375</v>
      </c>
    </row>
    <row r="343" spans="1:10" x14ac:dyDescent="0.25">
      <c r="A343" s="2" t="s">
        <v>1025</v>
      </c>
      <c r="B343" s="2" t="s">
        <v>1026</v>
      </c>
      <c r="C343" s="2" t="s">
        <v>1027</v>
      </c>
      <c r="D343" s="2" t="s">
        <v>10040</v>
      </c>
      <c r="E343" s="15">
        <v>0.14050000000000001</v>
      </c>
      <c r="F343" s="15">
        <v>8.2600000000000007E-2</v>
      </c>
      <c r="G343" s="15">
        <v>8.8900000000000007E-2</v>
      </c>
      <c r="H343" s="15">
        <v>0.22720000000000001</v>
      </c>
      <c r="I343" s="15">
        <v>4.9000000000000002E-2</v>
      </c>
      <c r="J343" s="15">
        <v>4.6367346938775524</v>
      </c>
    </row>
    <row r="344" spans="1:10" x14ac:dyDescent="0.25">
      <c r="A344" s="2" t="s">
        <v>1028</v>
      </c>
      <c r="B344" s="2" t="s">
        <v>1029</v>
      </c>
      <c r="C344" s="2" t="s">
        <v>1030</v>
      </c>
      <c r="D344" s="2" t="s">
        <v>10040</v>
      </c>
      <c r="E344" s="15">
        <v>-1.4E-3</v>
      </c>
      <c r="F344" s="15">
        <v>6.8500000000000005E-2</v>
      </c>
      <c r="G344" s="15">
        <v>0.98409999999999997</v>
      </c>
      <c r="H344" s="15">
        <v>0.2959</v>
      </c>
      <c r="I344" s="15">
        <v>4.9700000000000001E-2</v>
      </c>
      <c r="J344" s="15">
        <v>5.9537223340040244</v>
      </c>
    </row>
    <row r="345" spans="1:10" x14ac:dyDescent="0.25">
      <c r="A345" s="2" t="s">
        <v>1031</v>
      </c>
      <c r="B345" s="2" t="s">
        <v>1032</v>
      </c>
      <c r="C345" s="2" t="s">
        <v>1033</v>
      </c>
      <c r="D345" s="2" t="s">
        <v>10040</v>
      </c>
      <c r="E345" s="15">
        <v>7.7200000000000005E-2</v>
      </c>
      <c r="F345" s="15">
        <v>6.1499999999999999E-2</v>
      </c>
      <c r="G345" s="15">
        <v>0.20960000000000001</v>
      </c>
      <c r="H345" s="15">
        <v>0.39200000000000002</v>
      </c>
      <c r="I345" s="15">
        <v>5.0099999999999999E-2</v>
      </c>
      <c r="J345" s="15">
        <v>7.8243512974051903</v>
      </c>
    </row>
    <row r="346" spans="1:10" x14ac:dyDescent="0.25">
      <c r="A346" s="2" t="s">
        <v>1034</v>
      </c>
      <c r="B346" s="2" t="s">
        <v>1035</v>
      </c>
      <c r="C346" s="2" t="s">
        <v>1036</v>
      </c>
      <c r="D346" s="2" t="s">
        <v>10040</v>
      </c>
      <c r="E346" s="15">
        <v>1.52E-2</v>
      </c>
      <c r="F346" s="15">
        <v>0.10050000000000001</v>
      </c>
      <c r="G346" s="15">
        <v>0.87980000000000003</v>
      </c>
      <c r="H346" s="15">
        <v>0.13819999999999999</v>
      </c>
      <c r="I346" s="15">
        <v>3.7499999999999999E-2</v>
      </c>
      <c r="J346" s="15">
        <v>3.6853333333333329</v>
      </c>
    </row>
    <row r="347" spans="1:10" x14ac:dyDescent="0.25">
      <c r="A347" s="2" t="s">
        <v>1037</v>
      </c>
      <c r="B347" s="2" t="s">
        <v>1038</v>
      </c>
      <c r="C347" s="2" t="s">
        <v>1039</v>
      </c>
      <c r="D347" s="2" t="s">
        <v>10040</v>
      </c>
      <c r="E347" s="15">
        <v>0.1389</v>
      </c>
      <c r="F347" s="15">
        <v>0.111</v>
      </c>
      <c r="G347" s="15">
        <v>0.2107</v>
      </c>
      <c r="H347" s="15">
        <v>9.8199999999999996E-2</v>
      </c>
      <c r="I347" s="15">
        <v>4.2700000000000002E-2</v>
      </c>
      <c r="J347" s="15">
        <v>2.2997658079625292</v>
      </c>
    </row>
    <row r="348" spans="1:10" x14ac:dyDescent="0.25">
      <c r="A348" s="2" t="s">
        <v>1040</v>
      </c>
      <c r="B348" s="2" t="s">
        <v>1041</v>
      </c>
      <c r="C348" s="2" t="s">
        <v>1042</v>
      </c>
      <c r="D348" s="2" t="s">
        <v>10040</v>
      </c>
      <c r="E348" s="15">
        <v>-3.61E-2</v>
      </c>
      <c r="F348" s="15">
        <v>0.1075</v>
      </c>
      <c r="G348" s="15">
        <v>0.73670000000000002</v>
      </c>
      <c r="H348" s="15">
        <v>0.1216</v>
      </c>
      <c r="I348" s="15">
        <v>4.4699999999999997E-2</v>
      </c>
      <c r="J348" s="15">
        <v>2.7203579418344521</v>
      </c>
    </row>
    <row r="349" spans="1:10" x14ac:dyDescent="0.25">
      <c r="A349" s="2" t="s">
        <v>1043</v>
      </c>
      <c r="B349" s="2" t="s">
        <v>1044</v>
      </c>
      <c r="C349" s="2" t="s">
        <v>1045</v>
      </c>
      <c r="D349" s="2" t="s">
        <v>10040</v>
      </c>
      <c r="E349" s="15">
        <v>7.2499999999999995E-2</v>
      </c>
      <c r="F349" s="15">
        <v>7.5600000000000001E-2</v>
      </c>
      <c r="G349" s="15">
        <v>0.33800000000000002</v>
      </c>
      <c r="H349" s="15">
        <v>0.25700000000000001</v>
      </c>
      <c r="I349" s="15">
        <v>5.2499999999999998E-2</v>
      </c>
      <c r="J349" s="15">
        <v>4.8952380952380956</v>
      </c>
    </row>
    <row r="350" spans="1:10" x14ac:dyDescent="0.25">
      <c r="A350" s="2" t="s">
        <v>1046</v>
      </c>
      <c r="B350" s="2" t="s">
        <v>1047</v>
      </c>
      <c r="C350" s="2" t="s">
        <v>1048</v>
      </c>
      <c r="D350" s="2" t="s">
        <v>10040</v>
      </c>
      <c r="E350" s="15">
        <v>0.1231</v>
      </c>
      <c r="F350" s="15">
        <v>0.10580000000000001</v>
      </c>
      <c r="G350" s="15">
        <v>0.24429999999999999</v>
      </c>
      <c r="H350" s="15">
        <v>0.1193</v>
      </c>
      <c r="I350" s="15">
        <v>4.99E-2</v>
      </c>
      <c r="J350" s="15">
        <v>2.3907815631262528</v>
      </c>
    </row>
    <row r="351" spans="1:10" x14ac:dyDescent="0.25">
      <c r="A351" s="2" t="s">
        <v>1049</v>
      </c>
      <c r="B351" s="2" t="s">
        <v>1050</v>
      </c>
      <c r="C351" s="2" t="s">
        <v>1051</v>
      </c>
      <c r="D351" s="2" t="s">
        <v>10040</v>
      </c>
      <c r="E351" s="15">
        <v>0.1203</v>
      </c>
      <c r="F351" s="15">
        <v>9.3399999999999997E-2</v>
      </c>
      <c r="G351" s="15">
        <v>0.19789999999999999</v>
      </c>
      <c r="H351" s="15">
        <v>0.13539999999999999</v>
      </c>
      <c r="I351" s="15">
        <v>4.4499999999999998E-2</v>
      </c>
      <c r="J351" s="15">
        <v>3.0426966292134829</v>
      </c>
    </row>
    <row r="352" spans="1:10" x14ac:dyDescent="0.25">
      <c r="A352" s="2" t="s">
        <v>1052</v>
      </c>
      <c r="B352" s="2" t="s">
        <v>1053</v>
      </c>
      <c r="C352" s="2" t="s">
        <v>1054</v>
      </c>
      <c r="D352" s="2" t="s">
        <v>10040</v>
      </c>
      <c r="E352" s="15">
        <v>0.17019999999999999</v>
      </c>
      <c r="F352" s="15">
        <v>9.4200000000000006E-2</v>
      </c>
      <c r="G352" s="15">
        <v>7.0699999999999999E-2</v>
      </c>
      <c r="H352" s="15">
        <v>0.1603</v>
      </c>
      <c r="I352" s="15">
        <v>4.3299999999999998E-2</v>
      </c>
      <c r="J352" s="15">
        <v>3.7020785219399541</v>
      </c>
    </row>
    <row r="353" spans="1:10" x14ac:dyDescent="0.25">
      <c r="A353" s="2" t="s">
        <v>1055</v>
      </c>
      <c r="B353" s="2" t="s">
        <v>1056</v>
      </c>
      <c r="C353" s="2" t="s">
        <v>1057</v>
      </c>
      <c r="D353" s="2" t="s">
        <v>10040</v>
      </c>
      <c r="E353" s="15">
        <v>8.48E-2</v>
      </c>
      <c r="F353" s="15">
        <v>8.2199999999999995E-2</v>
      </c>
      <c r="G353" s="15">
        <v>0.30230000000000001</v>
      </c>
      <c r="H353" s="15">
        <v>0.2152</v>
      </c>
      <c r="I353" s="15">
        <v>4.5900000000000003E-2</v>
      </c>
      <c r="J353" s="15">
        <v>4.6884531590413943</v>
      </c>
    </row>
    <row r="354" spans="1:10" x14ac:dyDescent="0.25">
      <c r="A354" s="2" t="s">
        <v>1058</v>
      </c>
      <c r="B354" s="2" t="s">
        <v>1059</v>
      </c>
      <c r="C354" s="2" t="s">
        <v>1060</v>
      </c>
      <c r="D354" s="2" t="s">
        <v>10040</v>
      </c>
      <c r="E354" s="15">
        <v>7.2099999999999997E-2</v>
      </c>
      <c r="F354" s="15">
        <v>7.1400000000000005E-2</v>
      </c>
      <c r="G354" s="15">
        <v>0.31269999999999998</v>
      </c>
      <c r="H354" s="15">
        <v>0.2402</v>
      </c>
      <c r="I354" s="15">
        <v>4.7699999999999999E-2</v>
      </c>
      <c r="J354" s="15">
        <v>5.0356394129979032</v>
      </c>
    </row>
    <row r="355" spans="1:10" x14ac:dyDescent="0.25">
      <c r="A355" s="2" t="s">
        <v>1061</v>
      </c>
      <c r="B355" s="2" t="s">
        <v>1062</v>
      </c>
      <c r="C355" s="2" t="s">
        <v>1063</v>
      </c>
      <c r="D355" s="2" t="s">
        <v>10040</v>
      </c>
      <c r="E355" s="15">
        <v>8.2299999999999998E-2</v>
      </c>
      <c r="F355" s="15">
        <v>8.8400000000000006E-2</v>
      </c>
      <c r="G355" s="15">
        <v>0.35220000000000001</v>
      </c>
      <c r="H355" s="15">
        <v>0.1802</v>
      </c>
      <c r="I355" s="15">
        <v>4.3999999999999997E-2</v>
      </c>
      <c r="J355" s="15">
        <v>4.0954545454545457</v>
      </c>
    </row>
    <row r="356" spans="1:10" x14ac:dyDescent="0.25">
      <c r="A356" s="2" t="s">
        <v>1064</v>
      </c>
      <c r="B356" s="2" t="s">
        <v>1065</v>
      </c>
      <c r="C356" s="2" t="s">
        <v>1066</v>
      </c>
      <c r="D356" s="2" t="s">
        <v>10040</v>
      </c>
      <c r="E356" s="15">
        <v>0.12770000000000001</v>
      </c>
      <c r="F356" s="15">
        <v>7.2599999999999998E-2</v>
      </c>
      <c r="G356" s="15">
        <v>7.8700000000000006E-2</v>
      </c>
      <c r="H356" s="15">
        <v>0.24279999999999999</v>
      </c>
      <c r="I356" s="15">
        <v>5.7200000000000001E-2</v>
      </c>
      <c r="J356" s="15">
        <v>4.2447552447552441</v>
      </c>
    </row>
    <row r="357" spans="1:10" x14ac:dyDescent="0.25">
      <c r="A357" s="2" t="s">
        <v>1067</v>
      </c>
      <c r="B357" s="2" t="s">
        <v>1068</v>
      </c>
      <c r="C357" s="2" t="s">
        <v>1069</v>
      </c>
      <c r="D357" s="2" t="s">
        <v>10040</v>
      </c>
      <c r="E357" s="15">
        <v>-1.12E-2</v>
      </c>
      <c r="F357" s="15">
        <v>7.5399999999999995E-2</v>
      </c>
      <c r="G357" s="15">
        <v>0.88200000000000001</v>
      </c>
      <c r="H357" s="15">
        <v>0.24790000000000001</v>
      </c>
      <c r="I357" s="15">
        <v>5.11E-2</v>
      </c>
      <c r="J357" s="15">
        <v>4.8512720156555771</v>
      </c>
    </row>
    <row r="358" spans="1:10" x14ac:dyDescent="0.25">
      <c r="A358" s="2" t="s">
        <v>1070</v>
      </c>
      <c r="B358" s="2" t="s">
        <v>1071</v>
      </c>
      <c r="C358" s="2" t="s">
        <v>1072</v>
      </c>
      <c r="D358" s="2" t="s">
        <v>10040</v>
      </c>
      <c r="E358" s="15">
        <v>2.69E-2</v>
      </c>
      <c r="F358" s="15">
        <v>0.1191</v>
      </c>
      <c r="G358" s="15">
        <v>0.82130000000000003</v>
      </c>
      <c r="H358" s="15">
        <v>8.8700000000000001E-2</v>
      </c>
      <c r="I358" s="15">
        <v>4.4400000000000002E-2</v>
      </c>
      <c r="J358" s="15">
        <v>1.9977477477477481</v>
      </c>
    </row>
    <row r="359" spans="1:10" x14ac:dyDescent="0.25">
      <c r="A359" s="2" t="s">
        <v>1073</v>
      </c>
      <c r="B359" s="2" t="s">
        <v>1074</v>
      </c>
      <c r="C359" s="2" t="s">
        <v>1075</v>
      </c>
      <c r="D359" s="2" t="s">
        <v>10040</v>
      </c>
      <c r="E359" s="15">
        <v>0.1211</v>
      </c>
      <c r="F359" s="15">
        <v>0.1177</v>
      </c>
      <c r="G359" s="15">
        <v>0.30359999999999998</v>
      </c>
      <c r="H359" s="15">
        <v>0.12690000000000001</v>
      </c>
      <c r="I359" s="15">
        <v>4.3799999999999999E-2</v>
      </c>
      <c r="J359" s="15">
        <v>2.897260273972603</v>
      </c>
    </row>
    <row r="360" spans="1:10" x14ac:dyDescent="0.25">
      <c r="A360" s="2" t="s">
        <v>1076</v>
      </c>
      <c r="B360" s="2" t="s">
        <v>1077</v>
      </c>
      <c r="C360" s="2" t="s">
        <v>1078</v>
      </c>
      <c r="D360" s="2" t="s">
        <v>10040</v>
      </c>
      <c r="E360" s="15">
        <v>0.16919999999999999</v>
      </c>
      <c r="F360" s="15">
        <v>8.5699999999999998E-2</v>
      </c>
      <c r="G360" s="15">
        <v>4.8399999999999999E-2</v>
      </c>
      <c r="H360" s="15">
        <v>0.18329999999999999</v>
      </c>
      <c r="I360" s="15">
        <v>4.65E-2</v>
      </c>
      <c r="J360" s="15">
        <v>3.9419354838709681</v>
      </c>
    </row>
    <row r="361" spans="1:10" x14ac:dyDescent="0.25">
      <c r="A361" s="2" t="s">
        <v>1079</v>
      </c>
      <c r="B361" s="2" t="s">
        <v>1080</v>
      </c>
      <c r="C361" s="2" t="s">
        <v>1081</v>
      </c>
      <c r="D361" s="2" t="s">
        <v>10040</v>
      </c>
      <c r="E361" s="15">
        <v>0.1338</v>
      </c>
      <c r="F361" s="15">
        <v>0.1143</v>
      </c>
      <c r="G361" s="15">
        <v>0.24179999999999999</v>
      </c>
      <c r="H361" s="15">
        <v>0.1106</v>
      </c>
      <c r="I361" s="15">
        <v>4.3099999999999999E-2</v>
      </c>
      <c r="J361" s="15">
        <v>2.5661252900232019</v>
      </c>
    </row>
    <row r="362" spans="1:10" x14ac:dyDescent="0.25">
      <c r="A362" s="2" t="s">
        <v>1082</v>
      </c>
      <c r="B362" s="2" t="s">
        <v>1083</v>
      </c>
      <c r="C362" s="2" t="s">
        <v>1084</v>
      </c>
      <c r="D362" s="2" t="s">
        <v>10040</v>
      </c>
      <c r="E362" s="15">
        <v>0.26519999999999999</v>
      </c>
      <c r="F362" s="15">
        <v>0.1246</v>
      </c>
      <c r="G362" s="15">
        <v>3.3300000000000003E-2</v>
      </c>
      <c r="H362" s="15">
        <v>9.5799999999999996E-2</v>
      </c>
      <c r="I362" s="15">
        <v>4.0500000000000001E-2</v>
      </c>
      <c r="J362" s="15">
        <v>2.365432098765432</v>
      </c>
    </row>
    <row r="363" spans="1:10" x14ac:dyDescent="0.25">
      <c r="A363" s="2" t="s">
        <v>1085</v>
      </c>
      <c r="B363" s="2" t="s">
        <v>1086</v>
      </c>
      <c r="C363" s="2" t="s">
        <v>1087</v>
      </c>
      <c r="D363" s="2" t="s">
        <v>10040</v>
      </c>
      <c r="E363" s="15">
        <v>0.20119999999999999</v>
      </c>
      <c r="F363" s="15">
        <v>0.1024</v>
      </c>
      <c r="G363" s="15">
        <v>4.9399999999999999E-2</v>
      </c>
      <c r="H363" s="15">
        <v>0.13619999999999999</v>
      </c>
      <c r="I363" s="15">
        <v>5.04E-2</v>
      </c>
      <c r="J363" s="15">
        <v>2.7023809523809521</v>
      </c>
    </row>
    <row r="364" spans="1:10" x14ac:dyDescent="0.25">
      <c r="A364" s="2" t="s">
        <v>1088</v>
      </c>
      <c r="B364" s="2" t="s">
        <v>1089</v>
      </c>
      <c r="C364" s="2" t="s">
        <v>1090</v>
      </c>
      <c r="D364" s="2" t="s">
        <v>10040</v>
      </c>
      <c r="E364" s="15">
        <v>0.41720000000000002</v>
      </c>
      <c r="F364" s="15">
        <v>0.28599999999999998</v>
      </c>
      <c r="G364" s="15">
        <v>0.1447</v>
      </c>
      <c r="H364" s="15">
        <v>3.8699999999999998E-2</v>
      </c>
      <c r="I364" s="15">
        <v>4.4999999999999998E-2</v>
      </c>
      <c r="J364" s="15">
        <v>0.86</v>
      </c>
    </row>
    <row r="365" spans="1:10" x14ac:dyDescent="0.25">
      <c r="A365" s="2" t="s">
        <v>1091</v>
      </c>
      <c r="B365" s="2" t="s">
        <v>1092</v>
      </c>
      <c r="C365" s="2" t="s">
        <v>1093</v>
      </c>
      <c r="D365" s="2" t="s">
        <v>10040</v>
      </c>
      <c r="E365" s="15">
        <v>8.9999999999999993E-3</v>
      </c>
      <c r="F365" s="15">
        <v>7.9799999999999996E-2</v>
      </c>
      <c r="G365" s="15">
        <v>0.91059999999999997</v>
      </c>
      <c r="H365" s="15">
        <v>0.24010000000000001</v>
      </c>
      <c r="I365" s="15">
        <v>5.2400000000000002E-2</v>
      </c>
      <c r="J365" s="15">
        <v>4.5820610687022896</v>
      </c>
    </row>
    <row r="366" spans="1:10" x14ac:dyDescent="0.25">
      <c r="A366" s="2" t="s">
        <v>1094</v>
      </c>
      <c r="B366" s="2" t="s">
        <v>1095</v>
      </c>
      <c r="C366" s="2" t="s">
        <v>1096</v>
      </c>
      <c r="D366" s="2" t="s">
        <v>10040</v>
      </c>
      <c r="E366" s="15">
        <v>8.5500000000000007E-2</v>
      </c>
      <c r="F366" s="15">
        <v>0.1133</v>
      </c>
      <c r="G366" s="15">
        <v>0.45019999999999999</v>
      </c>
      <c r="H366" s="15">
        <v>0.1222</v>
      </c>
      <c r="I366" s="15">
        <v>4.1799999999999997E-2</v>
      </c>
      <c r="J366" s="15">
        <v>2.923444976076556</v>
      </c>
    </row>
    <row r="367" spans="1:10" x14ac:dyDescent="0.25">
      <c r="A367" s="2" t="s">
        <v>1097</v>
      </c>
      <c r="B367" s="2" t="s">
        <v>1098</v>
      </c>
      <c r="C367" s="2" t="s">
        <v>1099</v>
      </c>
      <c r="D367" s="2" t="s">
        <v>10040</v>
      </c>
      <c r="E367" s="15">
        <v>0.1128</v>
      </c>
      <c r="F367" s="15">
        <v>9.3200000000000005E-2</v>
      </c>
      <c r="G367" s="15">
        <v>0.22600000000000001</v>
      </c>
      <c r="H367" s="15">
        <v>0.15809999999999999</v>
      </c>
      <c r="I367" s="15">
        <v>7.1900000000000006E-2</v>
      </c>
      <c r="J367" s="15">
        <v>2.1988873435326841</v>
      </c>
    </row>
    <row r="368" spans="1:10" x14ac:dyDescent="0.25">
      <c r="A368" s="2" t="s">
        <v>1100</v>
      </c>
      <c r="B368" s="2" t="s">
        <v>1101</v>
      </c>
      <c r="C368" s="2" t="s">
        <v>1102</v>
      </c>
      <c r="D368" s="2" t="s">
        <v>10040</v>
      </c>
      <c r="E368" s="15">
        <v>-7.4399999999999994E-2</v>
      </c>
      <c r="F368" s="15">
        <v>0.10589999999999999</v>
      </c>
      <c r="G368" s="15">
        <v>0.4824</v>
      </c>
      <c r="H368" s="15">
        <v>0.129</v>
      </c>
      <c r="I368" s="15">
        <v>4.2900000000000001E-2</v>
      </c>
      <c r="J368" s="15">
        <v>3.0069930069930071</v>
      </c>
    </row>
    <row r="369" spans="1:10" x14ac:dyDescent="0.25">
      <c r="A369" s="2" t="s">
        <v>1103</v>
      </c>
      <c r="B369" s="2" t="s">
        <v>1104</v>
      </c>
      <c r="C369" s="2" t="s">
        <v>1105</v>
      </c>
      <c r="D369" s="2" t="s">
        <v>10040</v>
      </c>
      <c r="E369" s="15">
        <v>0.18920000000000001</v>
      </c>
      <c r="F369" s="15">
        <v>7.3999999999999996E-2</v>
      </c>
      <c r="G369" s="15">
        <v>1.0500000000000001E-2</v>
      </c>
      <c r="H369" s="15">
        <v>0.2382</v>
      </c>
      <c r="I369" s="15">
        <v>4.6100000000000002E-2</v>
      </c>
      <c r="J369" s="15">
        <v>5.1670281995661602</v>
      </c>
    </row>
    <row r="370" spans="1:10" x14ac:dyDescent="0.25">
      <c r="A370" s="2" t="s">
        <v>1106</v>
      </c>
      <c r="B370" s="2" t="s">
        <v>1107</v>
      </c>
      <c r="C370" s="2" t="s">
        <v>1108</v>
      </c>
      <c r="D370" s="2" t="s">
        <v>10040</v>
      </c>
      <c r="E370" s="15">
        <v>1.7000000000000001E-2</v>
      </c>
      <c r="F370" s="15">
        <v>9.2600000000000002E-2</v>
      </c>
      <c r="G370" s="15">
        <v>0.85409999999999997</v>
      </c>
      <c r="H370" s="15">
        <v>0.16600000000000001</v>
      </c>
      <c r="I370" s="15">
        <v>3.95E-2</v>
      </c>
      <c r="J370" s="15">
        <v>4.2025316455696196</v>
      </c>
    </row>
    <row r="371" spans="1:10" x14ac:dyDescent="0.25">
      <c r="A371" s="2" t="s">
        <v>1109</v>
      </c>
      <c r="B371" s="2" t="s">
        <v>1110</v>
      </c>
      <c r="C371" s="2" t="s">
        <v>1111</v>
      </c>
      <c r="D371" s="2" t="s">
        <v>10040</v>
      </c>
      <c r="E371" s="15">
        <v>0.1736</v>
      </c>
      <c r="F371" s="15">
        <v>7.4099999999999999E-2</v>
      </c>
      <c r="G371" s="15">
        <v>1.9099999999999999E-2</v>
      </c>
      <c r="H371" s="15">
        <v>0.21920000000000001</v>
      </c>
      <c r="I371" s="15">
        <v>4.4299999999999999E-2</v>
      </c>
      <c r="J371" s="15">
        <v>4.9480812641083523</v>
      </c>
    </row>
    <row r="372" spans="1:10" x14ac:dyDescent="0.25">
      <c r="A372" s="2" t="s">
        <v>1112</v>
      </c>
      <c r="B372" s="2" t="s">
        <v>1113</v>
      </c>
      <c r="C372" s="2" t="s">
        <v>1114</v>
      </c>
      <c r="D372" s="2" t="s">
        <v>10040</v>
      </c>
      <c r="E372" s="15">
        <v>0.1719</v>
      </c>
      <c r="F372" s="15">
        <v>8.9800000000000005E-2</v>
      </c>
      <c r="G372" s="15">
        <v>5.57E-2</v>
      </c>
      <c r="H372" s="15">
        <v>0.17910000000000001</v>
      </c>
      <c r="I372" s="15">
        <v>4.4299999999999999E-2</v>
      </c>
      <c r="J372" s="15">
        <v>4.0428893905191874</v>
      </c>
    </row>
    <row r="373" spans="1:10" x14ac:dyDescent="0.25">
      <c r="A373" s="2" t="s">
        <v>1115</v>
      </c>
      <c r="B373" s="2" t="s">
        <v>1116</v>
      </c>
      <c r="C373" s="2" t="s">
        <v>1117</v>
      </c>
      <c r="D373" s="2" t="s">
        <v>10040</v>
      </c>
      <c r="E373" s="15">
        <v>7.46E-2</v>
      </c>
      <c r="F373" s="15">
        <v>8.09E-2</v>
      </c>
      <c r="G373" s="15">
        <v>0.35599999999999998</v>
      </c>
      <c r="H373" s="15">
        <v>0.19409999999999999</v>
      </c>
      <c r="I373" s="15">
        <v>4.7100000000000003E-2</v>
      </c>
      <c r="J373" s="15">
        <v>4.1210191082802554</v>
      </c>
    </row>
    <row r="374" spans="1:10" x14ac:dyDescent="0.25">
      <c r="A374" s="2" t="s">
        <v>1118</v>
      </c>
      <c r="B374" s="2" t="s">
        <v>1119</v>
      </c>
      <c r="C374" s="2" t="s">
        <v>1120</v>
      </c>
      <c r="D374" s="2" t="s">
        <v>10040</v>
      </c>
      <c r="E374" s="15">
        <v>9.3100000000000002E-2</v>
      </c>
      <c r="F374" s="15">
        <v>7.9899999999999999E-2</v>
      </c>
      <c r="G374" s="15">
        <v>0.24399999999999999</v>
      </c>
      <c r="H374" s="15">
        <v>0.2064</v>
      </c>
      <c r="I374" s="15">
        <v>5.1299999999999998E-2</v>
      </c>
      <c r="J374" s="15">
        <v>4.0233918128654969</v>
      </c>
    </row>
    <row r="375" spans="1:10" x14ac:dyDescent="0.25">
      <c r="A375" s="2" t="s">
        <v>1121</v>
      </c>
      <c r="B375" s="2" t="s">
        <v>1122</v>
      </c>
      <c r="C375" s="2" t="s">
        <v>1123</v>
      </c>
      <c r="D375" s="2" t="s">
        <v>10040</v>
      </c>
      <c r="E375" s="15">
        <v>-6.8199999999999997E-2</v>
      </c>
      <c r="F375" s="15">
        <v>7.6700000000000004E-2</v>
      </c>
      <c r="G375" s="15">
        <v>0.37440000000000001</v>
      </c>
      <c r="H375" s="15">
        <v>0.22220000000000001</v>
      </c>
      <c r="I375" s="15">
        <v>5.5800000000000002E-2</v>
      </c>
      <c r="J375" s="15">
        <v>3.9820788530465951</v>
      </c>
    </row>
    <row r="376" spans="1:10" x14ac:dyDescent="0.25">
      <c r="A376" s="2" t="s">
        <v>1124</v>
      </c>
      <c r="B376" s="2" t="s">
        <v>1125</v>
      </c>
      <c r="C376" s="2" t="s">
        <v>1126</v>
      </c>
      <c r="D376" s="2" t="s">
        <v>10040</v>
      </c>
      <c r="E376" s="15">
        <v>0.53669999999999995</v>
      </c>
      <c r="F376" s="15">
        <v>1.3839999999999999</v>
      </c>
      <c r="G376" s="15">
        <v>0.69820000000000004</v>
      </c>
      <c r="H376" s="15">
        <v>1.2200000000000001E-2</v>
      </c>
      <c r="I376" s="15">
        <v>3.9199999999999999E-2</v>
      </c>
      <c r="J376" s="15">
        <v>0.31122448979591838</v>
      </c>
    </row>
    <row r="377" spans="1:10" x14ac:dyDescent="0.25">
      <c r="A377" s="2" t="s">
        <v>1127</v>
      </c>
      <c r="B377" s="2" t="s">
        <v>1128</v>
      </c>
      <c r="C377" s="2" t="s">
        <v>1129</v>
      </c>
      <c r="D377" s="2" t="s">
        <v>10040</v>
      </c>
      <c r="E377" s="15">
        <v>7.4000000000000003E-3</v>
      </c>
      <c r="F377" s="15">
        <v>7.8200000000000006E-2</v>
      </c>
      <c r="G377" s="15">
        <v>0.92410000000000003</v>
      </c>
      <c r="H377" s="15">
        <v>0.1966</v>
      </c>
      <c r="I377" s="15">
        <v>4.4499999999999998E-2</v>
      </c>
      <c r="J377" s="15">
        <v>4.4179775280898879</v>
      </c>
    </row>
    <row r="378" spans="1:10" x14ac:dyDescent="0.25">
      <c r="A378" s="2" t="s">
        <v>1130</v>
      </c>
      <c r="B378" s="2" t="s">
        <v>1131</v>
      </c>
      <c r="C378" s="2" t="s">
        <v>1132</v>
      </c>
      <c r="D378" s="2" t="s">
        <v>10040</v>
      </c>
      <c r="E378" s="15">
        <v>-5.3E-3</v>
      </c>
      <c r="F378" s="15">
        <v>7.9600000000000004E-2</v>
      </c>
      <c r="G378" s="15">
        <v>0.94699999999999995</v>
      </c>
      <c r="H378" s="15">
        <v>0.20080000000000001</v>
      </c>
      <c r="I378" s="15">
        <v>4.4999999999999998E-2</v>
      </c>
      <c r="J378" s="15">
        <v>4.4622222222222234</v>
      </c>
    </row>
    <row r="379" spans="1:10" x14ac:dyDescent="0.25">
      <c r="A379" s="2" t="s">
        <v>1133</v>
      </c>
      <c r="B379" s="2" t="s">
        <v>1134</v>
      </c>
      <c r="C379" s="2" t="s">
        <v>1135</v>
      </c>
      <c r="D379" s="2" t="s">
        <v>10040</v>
      </c>
      <c r="E379" s="15">
        <v>4.5900000000000003E-2</v>
      </c>
      <c r="F379" s="15">
        <v>0.10199999999999999</v>
      </c>
      <c r="G379" s="15">
        <v>0.65300000000000002</v>
      </c>
      <c r="H379" s="15">
        <v>0.126</v>
      </c>
      <c r="I379" s="15">
        <v>4.3700000000000003E-2</v>
      </c>
      <c r="J379" s="15">
        <v>2.8832951945080092</v>
      </c>
    </row>
    <row r="380" spans="1:10" x14ac:dyDescent="0.25">
      <c r="A380" s="2" t="s">
        <v>1136</v>
      </c>
      <c r="B380" s="2" t="s">
        <v>1137</v>
      </c>
      <c r="C380" s="2" t="s">
        <v>1138</v>
      </c>
      <c r="D380" s="2" t="s">
        <v>10040</v>
      </c>
      <c r="E380" s="15">
        <v>0.10780000000000001</v>
      </c>
      <c r="F380" s="15">
        <v>0.1085</v>
      </c>
      <c r="G380" s="15">
        <v>0.32050000000000001</v>
      </c>
      <c r="H380" s="15">
        <v>0.10920000000000001</v>
      </c>
      <c r="I380" s="15">
        <v>4.3200000000000002E-2</v>
      </c>
      <c r="J380" s="15">
        <v>2.5277777777777781</v>
      </c>
    </row>
    <row r="381" spans="1:10" x14ac:dyDescent="0.25">
      <c r="A381" s="2" t="s">
        <v>1139</v>
      </c>
      <c r="B381" s="2" t="s">
        <v>1140</v>
      </c>
      <c r="C381" s="2" t="s">
        <v>1141</v>
      </c>
      <c r="D381" s="2" t="s">
        <v>10040</v>
      </c>
      <c r="E381" s="15">
        <v>4.6399999999999997E-2</v>
      </c>
      <c r="F381" s="15">
        <v>8.9099999999999999E-2</v>
      </c>
      <c r="G381" s="15">
        <v>0.60199999999999998</v>
      </c>
      <c r="H381" s="15">
        <v>0.1908</v>
      </c>
      <c r="I381" s="15">
        <v>4.53E-2</v>
      </c>
      <c r="J381" s="15">
        <v>4.2119205298013247</v>
      </c>
    </row>
    <row r="382" spans="1:10" x14ac:dyDescent="0.25">
      <c r="A382" s="2" t="s">
        <v>1142</v>
      </c>
      <c r="B382" s="2" t="s">
        <v>1143</v>
      </c>
      <c r="C382" s="2" t="s">
        <v>1144</v>
      </c>
      <c r="D382" s="2" t="s">
        <v>10040</v>
      </c>
      <c r="E382" s="15">
        <v>9.9000000000000005E-2</v>
      </c>
      <c r="F382" s="15">
        <v>8.8300000000000003E-2</v>
      </c>
      <c r="G382" s="15">
        <v>0.26219999999999999</v>
      </c>
      <c r="H382" s="15">
        <v>0.21529999999999999</v>
      </c>
      <c r="I382" s="15">
        <v>5.0599999999999999E-2</v>
      </c>
      <c r="J382" s="15">
        <v>4.2549407114624502</v>
      </c>
    </row>
    <row r="383" spans="1:10" x14ac:dyDescent="0.25">
      <c r="A383" s="2" t="s">
        <v>1145</v>
      </c>
      <c r="B383" s="2" t="s">
        <v>1146</v>
      </c>
      <c r="C383" s="2" t="s">
        <v>1147</v>
      </c>
      <c r="D383" s="2" t="s">
        <v>10040</v>
      </c>
      <c r="E383" s="15">
        <v>0.26369999999999999</v>
      </c>
      <c r="F383" s="15">
        <v>0.1353</v>
      </c>
      <c r="G383" s="15">
        <v>5.1299999999999998E-2</v>
      </c>
      <c r="H383" s="15">
        <v>9.2499999999999999E-2</v>
      </c>
      <c r="I383" s="15">
        <v>4.58E-2</v>
      </c>
      <c r="J383" s="15">
        <v>2.0196506550218341</v>
      </c>
    </row>
    <row r="384" spans="1:10" x14ac:dyDescent="0.25">
      <c r="A384" s="2" t="s">
        <v>1148</v>
      </c>
      <c r="B384" s="2" t="s">
        <v>1149</v>
      </c>
      <c r="C384" s="2" t="s">
        <v>1150</v>
      </c>
      <c r="D384" s="2" t="s">
        <v>10040</v>
      </c>
      <c r="E384" s="15">
        <v>0.16239999999999999</v>
      </c>
      <c r="F384" s="15">
        <v>9.4399999999999998E-2</v>
      </c>
      <c r="G384" s="15">
        <v>8.5199999999999998E-2</v>
      </c>
      <c r="H384" s="15">
        <v>0.1474</v>
      </c>
      <c r="I384" s="15">
        <v>4.1300000000000003E-2</v>
      </c>
      <c r="J384" s="15">
        <v>3.5690072639225181</v>
      </c>
    </row>
    <row r="385" spans="1:10" x14ac:dyDescent="0.25">
      <c r="A385" s="2" t="s">
        <v>1151</v>
      </c>
      <c r="B385" s="2" t="s">
        <v>1152</v>
      </c>
      <c r="C385" s="2" t="s">
        <v>1153</v>
      </c>
      <c r="D385" s="2" t="s">
        <v>10040</v>
      </c>
      <c r="E385" s="15">
        <v>0.1171</v>
      </c>
      <c r="F385" s="15">
        <v>9.6699999999999994E-2</v>
      </c>
      <c r="G385" s="15">
        <v>0.22589999999999999</v>
      </c>
      <c r="H385" s="15">
        <v>0.12790000000000001</v>
      </c>
      <c r="I385" s="15">
        <v>4.5999999999999999E-2</v>
      </c>
      <c r="J385" s="15">
        <v>2.7804347826086961</v>
      </c>
    </row>
    <row r="386" spans="1:10" x14ac:dyDescent="0.25">
      <c r="A386" s="2" t="s">
        <v>1154</v>
      </c>
      <c r="B386" s="2" t="s">
        <v>1155</v>
      </c>
      <c r="C386" s="2" t="s">
        <v>1156</v>
      </c>
      <c r="D386" s="2" t="s">
        <v>10040</v>
      </c>
      <c r="E386" s="15">
        <v>1.6500000000000001E-2</v>
      </c>
      <c r="F386" s="15">
        <v>9.7100000000000006E-2</v>
      </c>
      <c r="G386" s="15">
        <v>0.86509999999999998</v>
      </c>
      <c r="H386" s="15">
        <v>0.15340000000000001</v>
      </c>
      <c r="I386" s="15">
        <v>4.4299999999999999E-2</v>
      </c>
      <c r="J386" s="15">
        <v>3.4627539503386009</v>
      </c>
    </row>
    <row r="387" spans="1:10" x14ac:dyDescent="0.25">
      <c r="A387" s="2" t="s">
        <v>1157</v>
      </c>
      <c r="B387" s="2" t="s">
        <v>1158</v>
      </c>
      <c r="C387" s="2" t="s">
        <v>1159</v>
      </c>
      <c r="D387" s="2" t="s">
        <v>10040</v>
      </c>
      <c r="E387" s="15">
        <v>4.3999999999999997E-2</v>
      </c>
      <c r="F387" s="15">
        <v>9.7600000000000006E-2</v>
      </c>
      <c r="G387" s="15">
        <v>0.65169999999999995</v>
      </c>
      <c r="H387" s="15">
        <v>0.1255</v>
      </c>
      <c r="I387" s="15">
        <v>4.82E-2</v>
      </c>
      <c r="J387" s="15">
        <v>2.603734439834025</v>
      </c>
    </row>
    <row r="388" spans="1:10" x14ac:dyDescent="0.25">
      <c r="A388" s="2" t="s">
        <v>1160</v>
      </c>
      <c r="B388" s="2" t="s">
        <v>1161</v>
      </c>
      <c r="C388" s="2" t="s">
        <v>1162</v>
      </c>
      <c r="D388" s="2" t="s">
        <v>10040</v>
      </c>
      <c r="E388" s="15">
        <v>7.2599999999999998E-2</v>
      </c>
      <c r="F388" s="15">
        <v>9.9400000000000002E-2</v>
      </c>
      <c r="G388" s="15">
        <v>0.46529999999999999</v>
      </c>
      <c r="H388" s="15">
        <v>0.1633</v>
      </c>
      <c r="I388" s="15">
        <v>4.8000000000000001E-2</v>
      </c>
      <c r="J388" s="15">
        <v>3.4020833333333331</v>
      </c>
    </row>
    <row r="389" spans="1:10" x14ac:dyDescent="0.25">
      <c r="A389" s="2" t="s">
        <v>1163</v>
      </c>
      <c r="B389" s="2" t="s">
        <v>1164</v>
      </c>
      <c r="C389" s="2" t="s">
        <v>1165</v>
      </c>
      <c r="D389" s="2" t="s">
        <v>10040</v>
      </c>
      <c r="E389" s="15">
        <v>0.17879999999999999</v>
      </c>
      <c r="F389" s="15">
        <v>7.7499999999999999E-2</v>
      </c>
      <c r="G389" s="15">
        <v>2.1100000000000001E-2</v>
      </c>
      <c r="H389" s="15">
        <v>0.24490000000000001</v>
      </c>
      <c r="I389" s="15">
        <v>5.4899999999999997E-2</v>
      </c>
      <c r="J389" s="15">
        <v>4.4608378870673953</v>
      </c>
    </row>
    <row r="390" spans="1:10" x14ac:dyDescent="0.25">
      <c r="A390" s="2" t="s">
        <v>1166</v>
      </c>
      <c r="B390" s="2" t="s">
        <v>1167</v>
      </c>
      <c r="C390" s="2" t="s">
        <v>1168</v>
      </c>
      <c r="D390" s="2" t="s">
        <v>10040</v>
      </c>
      <c r="E390" s="15">
        <v>5.33E-2</v>
      </c>
      <c r="F390" s="15">
        <v>7.7399999999999997E-2</v>
      </c>
      <c r="G390" s="15">
        <v>0.49109999999999998</v>
      </c>
      <c r="H390" s="15">
        <v>0.20849999999999999</v>
      </c>
      <c r="I390" s="15">
        <v>4.9000000000000002E-2</v>
      </c>
      <c r="J390" s="15">
        <v>4.2551020408163263</v>
      </c>
    </row>
    <row r="391" spans="1:10" x14ac:dyDescent="0.25">
      <c r="A391" s="2" t="s">
        <v>1169</v>
      </c>
      <c r="B391" s="2" t="s">
        <v>1170</v>
      </c>
      <c r="C391" s="2" t="s">
        <v>1171</v>
      </c>
      <c r="D391" s="2" t="s">
        <v>10040</v>
      </c>
      <c r="E391" s="15">
        <v>0.12939999999999999</v>
      </c>
      <c r="F391" s="15">
        <v>0.12939999999999999</v>
      </c>
      <c r="G391" s="15">
        <v>0.31730000000000003</v>
      </c>
      <c r="H391" s="15">
        <v>9.0899999999999995E-2</v>
      </c>
      <c r="I391" s="15">
        <v>4.1399999999999999E-2</v>
      </c>
      <c r="J391" s="15">
        <v>2.195652173913043</v>
      </c>
    </row>
    <row r="392" spans="1:10" x14ac:dyDescent="0.25">
      <c r="A392" s="2" t="s">
        <v>1172</v>
      </c>
      <c r="B392" s="2" t="s">
        <v>1173</v>
      </c>
      <c r="C392" s="2" t="s">
        <v>1174</v>
      </c>
      <c r="D392" s="2" t="s">
        <v>10040</v>
      </c>
      <c r="E392" s="15">
        <v>6.4699999999999994E-2</v>
      </c>
      <c r="F392" s="15">
        <v>8.3099999999999993E-2</v>
      </c>
      <c r="G392" s="15">
        <v>0.43659999999999999</v>
      </c>
      <c r="H392" s="15">
        <v>0.20219999999999999</v>
      </c>
      <c r="I392" s="15">
        <v>4.9099999999999998E-2</v>
      </c>
      <c r="J392" s="15">
        <v>4.1181262729124244</v>
      </c>
    </row>
    <row r="393" spans="1:10" x14ac:dyDescent="0.25">
      <c r="A393" s="2" t="s">
        <v>1175</v>
      </c>
      <c r="B393" s="2" t="s">
        <v>1176</v>
      </c>
      <c r="C393" s="2" t="s">
        <v>1177</v>
      </c>
      <c r="D393" s="2" t="s">
        <v>10040</v>
      </c>
      <c r="E393" s="15">
        <v>0.1229</v>
      </c>
      <c r="F393" s="15">
        <v>8.5900000000000004E-2</v>
      </c>
      <c r="G393" s="15">
        <v>0.1527</v>
      </c>
      <c r="H393" s="15">
        <v>0.18579999999999999</v>
      </c>
      <c r="I393" s="15">
        <v>4.5400000000000003E-2</v>
      </c>
      <c r="J393" s="15">
        <v>4.0925110132158586</v>
      </c>
    </row>
    <row r="394" spans="1:10" x14ac:dyDescent="0.25">
      <c r="A394" s="2" t="s">
        <v>1178</v>
      </c>
      <c r="B394" s="2" t="s">
        <v>1179</v>
      </c>
      <c r="C394" s="2" t="s">
        <v>1180</v>
      </c>
      <c r="D394" s="2" t="s">
        <v>10040</v>
      </c>
      <c r="E394" s="15">
        <v>0.21379999999999999</v>
      </c>
      <c r="F394" s="15">
        <v>0.1298</v>
      </c>
      <c r="G394" s="15">
        <v>9.9599999999999994E-2</v>
      </c>
      <c r="H394" s="15">
        <v>9.9099999999999994E-2</v>
      </c>
      <c r="I394" s="15">
        <v>4.2200000000000001E-2</v>
      </c>
      <c r="J394" s="15">
        <v>2.3483412322274879</v>
      </c>
    </row>
    <row r="395" spans="1:10" x14ac:dyDescent="0.25">
      <c r="A395" s="2" t="s">
        <v>1181</v>
      </c>
      <c r="B395" s="2" t="s">
        <v>1182</v>
      </c>
      <c r="C395" s="2" t="s">
        <v>1183</v>
      </c>
      <c r="D395" s="2" t="s">
        <v>10040</v>
      </c>
      <c r="E395" s="15">
        <v>4.6600000000000003E-2</v>
      </c>
      <c r="F395" s="15">
        <v>0.1037</v>
      </c>
      <c r="G395" s="15">
        <v>0.65329999999999999</v>
      </c>
      <c r="H395" s="15">
        <v>0.1154</v>
      </c>
      <c r="I395" s="15">
        <v>4.19E-2</v>
      </c>
      <c r="J395" s="15">
        <v>2.75417661097852</v>
      </c>
    </row>
    <row r="396" spans="1:10" x14ac:dyDescent="0.25">
      <c r="A396" s="2" t="s">
        <v>1184</v>
      </c>
      <c r="B396" s="2" t="s">
        <v>1185</v>
      </c>
      <c r="C396" s="2" t="s">
        <v>1186</v>
      </c>
      <c r="D396" s="2" t="s">
        <v>10040</v>
      </c>
      <c r="E396" s="15">
        <v>0.23089999999999999</v>
      </c>
      <c r="F396" s="15">
        <v>8.5400000000000004E-2</v>
      </c>
      <c r="G396" s="15">
        <v>6.8999999999999999E-3</v>
      </c>
      <c r="H396" s="15">
        <v>0.17699999999999999</v>
      </c>
      <c r="I396" s="15">
        <v>4.5699999999999998E-2</v>
      </c>
      <c r="J396" s="15">
        <v>3.8730853391684898</v>
      </c>
    </row>
    <row r="397" spans="1:10" x14ac:dyDescent="0.25">
      <c r="A397" s="2" t="s">
        <v>1187</v>
      </c>
      <c r="B397" s="2" t="s">
        <v>1188</v>
      </c>
      <c r="C397" s="2" t="s">
        <v>1189</v>
      </c>
      <c r="D397" s="2" t="s">
        <v>10040</v>
      </c>
      <c r="E397" s="15">
        <v>0.1865</v>
      </c>
      <c r="F397" s="15">
        <v>0.10390000000000001</v>
      </c>
      <c r="G397" s="15">
        <v>7.2700000000000001E-2</v>
      </c>
      <c r="H397" s="15">
        <v>0.1132</v>
      </c>
      <c r="I397" s="15">
        <v>4.4999999999999998E-2</v>
      </c>
      <c r="J397" s="15">
        <v>2.5155555555555549</v>
      </c>
    </row>
    <row r="398" spans="1:10" x14ac:dyDescent="0.25">
      <c r="A398" s="2" t="s">
        <v>1190</v>
      </c>
      <c r="B398" s="2" t="s">
        <v>1191</v>
      </c>
      <c r="C398" s="2" t="s">
        <v>1192</v>
      </c>
      <c r="D398" s="2" t="s">
        <v>10040</v>
      </c>
      <c r="E398" s="15">
        <v>4.0000000000000002E-4</v>
      </c>
      <c r="F398" s="15">
        <v>7.0900000000000005E-2</v>
      </c>
      <c r="G398" s="15">
        <v>0.995</v>
      </c>
      <c r="H398" s="15">
        <v>0.29899999999999999</v>
      </c>
      <c r="I398" s="15">
        <v>5.7299999999999997E-2</v>
      </c>
      <c r="J398" s="15">
        <v>5.2181500872600353</v>
      </c>
    </row>
    <row r="399" spans="1:10" x14ac:dyDescent="0.25">
      <c r="A399" s="2" t="s">
        <v>1193</v>
      </c>
      <c r="B399" s="2" t="s">
        <v>1194</v>
      </c>
      <c r="C399" s="2" t="s">
        <v>1195</v>
      </c>
      <c r="D399" s="2" t="s">
        <v>10040</v>
      </c>
      <c r="E399" s="15">
        <v>6.9599999999999995E-2</v>
      </c>
      <c r="F399" s="15">
        <v>0.1042</v>
      </c>
      <c r="G399" s="15">
        <v>0.50439999999999996</v>
      </c>
      <c r="H399" s="15">
        <v>0.1454</v>
      </c>
      <c r="I399" s="15">
        <v>4.3799999999999999E-2</v>
      </c>
      <c r="J399" s="15">
        <v>3.3196347031963471</v>
      </c>
    </row>
    <row r="400" spans="1:10" x14ac:dyDescent="0.25">
      <c r="A400" s="2" t="s">
        <v>1196</v>
      </c>
      <c r="B400" s="2" t="s">
        <v>1197</v>
      </c>
      <c r="C400" s="2" t="s">
        <v>1198</v>
      </c>
      <c r="D400" s="2" t="s">
        <v>10040</v>
      </c>
      <c r="E400" s="15">
        <v>0.123</v>
      </c>
      <c r="F400" s="15">
        <v>0.1048</v>
      </c>
      <c r="G400" s="15">
        <v>0.24049999999999999</v>
      </c>
      <c r="H400" s="15">
        <v>0.1273</v>
      </c>
      <c r="I400" s="15">
        <v>4.0099999999999997E-2</v>
      </c>
      <c r="J400" s="15">
        <v>3.1745635910224439</v>
      </c>
    </row>
    <row r="401" spans="1:10" x14ac:dyDescent="0.25">
      <c r="A401" s="2" t="s">
        <v>1199</v>
      </c>
      <c r="B401" s="2" t="s">
        <v>1200</v>
      </c>
      <c r="C401" s="2" t="s">
        <v>1201</v>
      </c>
      <c r="D401" s="2" t="s">
        <v>10040</v>
      </c>
      <c r="E401" s="15">
        <v>4.1799999999999997E-2</v>
      </c>
      <c r="F401" s="15">
        <v>8.0600000000000005E-2</v>
      </c>
      <c r="G401" s="15">
        <v>0.60440000000000005</v>
      </c>
      <c r="H401" s="15">
        <v>0.22239999999999999</v>
      </c>
      <c r="I401" s="15">
        <v>4.5900000000000003E-2</v>
      </c>
      <c r="J401" s="15">
        <v>4.8453159041394329</v>
      </c>
    </row>
    <row r="402" spans="1:10" x14ac:dyDescent="0.25">
      <c r="A402" s="2" t="s">
        <v>1202</v>
      </c>
      <c r="B402" s="2" t="s">
        <v>1203</v>
      </c>
      <c r="C402" s="2" t="s">
        <v>1204</v>
      </c>
      <c r="D402" s="2" t="s">
        <v>10040</v>
      </c>
      <c r="E402" s="15">
        <v>9.4600000000000004E-2</v>
      </c>
      <c r="F402" s="15">
        <v>6.8500000000000005E-2</v>
      </c>
      <c r="G402" s="15">
        <v>0.1676</v>
      </c>
      <c r="H402" s="15">
        <v>0.28560000000000002</v>
      </c>
      <c r="I402" s="15">
        <v>4.82E-2</v>
      </c>
      <c r="J402" s="15">
        <v>5.9253112033195023</v>
      </c>
    </row>
    <row r="403" spans="1:10" x14ac:dyDescent="0.25">
      <c r="A403" s="2" t="s">
        <v>1205</v>
      </c>
      <c r="B403" s="2" t="s">
        <v>1206</v>
      </c>
      <c r="C403" s="2" t="s">
        <v>1207</v>
      </c>
      <c r="D403" s="2" t="s">
        <v>10040</v>
      </c>
      <c r="E403" s="15">
        <v>-6.7500000000000004E-2</v>
      </c>
      <c r="F403" s="15">
        <v>0.1163</v>
      </c>
      <c r="G403" s="15">
        <v>0.56169999999999998</v>
      </c>
      <c r="H403" s="15">
        <v>9.6299999999999997E-2</v>
      </c>
      <c r="I403" s="15">
        <v>4.2700000000000002E-2</v>
      </c>
      <c r="J403" s="15">
        <v>2.255269320843091</v>
      </c>
    </row>
    <row r="404" spans="1:10" x14ac:dyDescent="0.25">
      <c r="A404" s="2" t="s">
        <v>1208</v>
      </c>
      <c r="B404" s="2" t="s">
        <v>1209</v>
      </c>
      <c r="C404" s="2" t="s">
        <v>1210</v>
      </c>
      <c r="D404" s="2" t="s">
        <v>10040</v>
      </c>
      <c r="E404" s="15">
        <v>6.54E-2</v>
      </c>
      <c r="F404" s="15">
        <v>8.5400000000000004E-2</v>
      </c>
      <c r="G404" s="15">
        <v>0.44390000000000002</v>
      </c>
      <c r="H404" s="15">
        <v>0.16980000000000001</v>
      </c>
      <c r="I404" s="15">
        <v>4.2900000000000001E-2</v>
      </c>
      <c r="J404" s="15">
        <v>3.9580419580419579</v>
      </c>
    </row>
    <row r="405" spans="1:10" x14ac:dyDescent="0.25">
      <c r="A405" s="2" t="s">
        <v>1211</v>
      </c>
      <c r="B405" s="2" t="s">
        <v>1212</v>
      </c>
      <c r="C405" s="2" t="s">
        <v>1213</v>
      </c>
      <c r="D405" s="2" t="s">
        <v>10040</v>
      </c>
      <c r="E405" s="15">
        <v>0.26190000000000002</v>
      </c>
      <c r="F405" s="15">
        <v>0.10349999999999999</v>
      </c>
      <c r="G405" s="15">
        <v>1.14E-2</v>
      </c>
      <c r="H405" s="15">
        <v>0.15409999999999999</v>
      </c>
      <c r="I405" s="15">
        <v>4.0599999999999997E-2</v>
      </c>
      <c r="J405" s="15">
        <v>3.7955665024630538</v>
      </c>
    </row>
    <row r="406" spans="1:10" x14ac:dyDescent="0.25">
      <c r="A406" s="2" t="s">
        <v>1214</v>
      </c>
      <c r="B406" s="2" t="s">
        <v>1215</v>
      </c>
      <c r="C406" s="2" t="s">
        <v>1216</v>
      </c>
      <c r="D406" s="2" t="s">
        <v>10040</v>
      </c>
      <c r="E406" s="15">
        <v>0.1104</v>
      </c>
      <c r="F406" s="15">
        <v>7.7399999999999997E-2</v>
      </c>
      <c r="G406" s="15">
        <v>0.15359999999999999</v>
      </c>
      <c r="H406" s="15">
        <v>0.22159999999999999</v>
      </c>
      <c r="I406" s="15">
        <v>4.2900000000000001E-2</v>
      </c>
      <c r="J406" s="15">
        <v>5.1655011655011656</v>
      </c>
    </row>
    <row r="407" spans="1:10" x14ac:dyDescent="0.25">
      <c r="A407" s="2" t="s">
        <v>1217</v>
      </c>
      <c r="B407" s="2" t="s">
        <v>1218</v>
      </c>
      <c r="C407" s="2" t="s">
        <v>1219</v>
      </c>
      <c r="D407" s="2" t="s">
        <v>10040</v>
      </c>
      <c r="E407" s="15">
        <v>9.6100000000000005E-2</v>
      </c>
      <c r="F407" s="15">
        <v>8.7499999999999994E-2</v>
      </c>
      <c r="G407" s="15">
        <v>0.2722</v>
      </c>
      <c r="H407" s="15">
        <v>0.17860000000000001</v>
      </c>
      <c r="I407" s="15">
        <v>4.82E-2</v>
      </c>
      <c r="J407" s="15">
        <v>3.705394190871369</v>
      </c>
    </row>
    <row r="408" spans="1:10" x14ac:dyDescent="0.25">
      <c r="A408" s="2" t="s">
        <v>1220</v>
      </c>
      <c r="B408" s="2" t="s">
        <v>1221</v>
      </c>
      <c r="C408" s="2" t="s">
        <v>1222</v>
      </c>
      <c r="D408" s="2" t="s">
        <v>10040</v>
      </c>
      <c r="E408" s="15">
        <v>6.9999999999999999E-4</v>
      </c>
      <c r="F408" s="15">
        <v>0.10290000000000001</v>
      </c>
      <c r="G408" s="15">
        <v>0.99460000000000004</v>
      </c>
      <c r="H408" s="15">
        <v>0.1085</v>
      </c>
      <c r="I408" s="15">
        <v>4.53E-2</v>
      </c>
      <c r="J408" s="15">
        <v>2.3951434878587201</v>
      </c>
    </row>
    <row r="409" spans="1:10" x14ac:dyDescent="0.25">
      <c r="A409" s="2" t="s">
        <v>1223</v>
      </c>
      <c r="B409" s="2" t="s">
        <v>1224</v>
      </c>
      <c r="C409" s="2" t="s">
        <v>1225</v>
      </c>
      <c r="D409" s="2" t="s">
        <v>10040</v>
      </c>
      <c r="E409" s="15"/>
      <c r="F409" s="15"/>
      <c r="G409" s="15"/>
      <c r="H409" s="15">
        <v>-2.7199999999999998E-2</v>
      </c>
      <c r="I409" s="15">
        <v>3.7999999999999999E-2</v>
      </c>
      <c r="J409" s="15">
        <v>-0.71578947368421053</v>
      </c>
    </row>
    <row r="410" spans="1:10" x14ac:dyDescent="0.25">
      <c r="A410" s="2" t="s">
        <v>1226</v>
      </c>
      <c r="B410" s="2" t="s">
        <v>1227</v>
      </c>
      <c r="C410" s="2" t="s">
        <v>1228</v>
      </c>
      <c r="D410" s="2" t="s">
        <v>10040</v>
      </c>
      <c r="E410" s="15">
        <v>-2.1299999999999999E-2</v>
      </c>
      <c r="F410" s="15">
        <v>8.8599999999999998E-2</v>
      </c>
      <c r="G410" s="15">
        <v>0.80989999999999995</v>
      </c>
      <c r="H410" s="15">
        <v>0.16420000000000001</v>
      </c>
      <c r="I410" s="15">
        <v>4.7500000000000001E-2</v>
      </c>
      <c r="J410" s="15">
        <v>3.4568421052631582</v>
      </c>
    </row>
    <row r="411" spans="1:10" x14ac:dyDescent="0.25">
      <c r="A411" s="2" t="s">
        <v>1229</v>
      </c>
      <c r="B411" s="2" t="s">
        <v>1230</v>
      </c>
      <c r="C411" s="2" t="s">
        <v>1231</v>
      </c>
      <c r="D411" s="2" t="s">
        <v>10040</v>
      </c>
      <c r="E411" s="15">
        <v>-3.4799999999999998E-2</v>
      </c>
      <c r="F411" s="15">
        <v>8.1699999999999995E-2</v>
      </c>
      <c r="G411" s="15">
        <v>0.67049999999999998</v>
      </c>
      <c r="H411" s="15">
        <v>0.2258</v>
      </c>
      <c r="I411" s="15">
        <v>4.7199999999999999E-2</v>
      </c>
      <c r="J411" s="15">
        <v>4.7838983050847457</v>
      </c>
    </row>
    <row r="412" spans="1:10" x14ac:dyDescent="0.25">
      <c r="A412" s="2" t="s">
        <v>1232</v>
      </c>
      <c r="B412" s="2" t="s">
        <v>1233</v>
      </c>
      <c r="C412" s="2" t="s">
        <v>1234</v>
      </c>
      <c r="D412" s="2" t="s">
        <v>10040</v>
      </c>
      <c r="E412" s="15">
        <v>0.14030000000000001</v>
      </c>
      <c r="F412" s="15">
        <v>0.12770000000000001</v>
      </c>
      <c r="G412" s="15">
        <v>0.27210000000000001</v>
      </c>
      <c r="H412" s="15">
        <v>0.1061</v>
      </c>
      <c r="I412" s="15">
        <v>4.4699999999999997E-2</v>
      </c>
      <c r="J412" s="15">
        <v>2.373601789709173</v>
      </c>
    </row>
    <row r="413" spans="1:10" x14ac:dyDescent="0.25">
      <c r="A413" s="2" t="s">
        <v>1235</v>
      </c>
      <c r="B413" s="2" t="s">
        <v>1236</v>
      </c>
      <c r="C413" s="2" t="s">
        <v>1237</v>
      </c>
      <c r="D413" s="2" t="s">
        <v>10040</v>
      </c>
      <c r="E413" s="15">
        <v>-4.6600000000000003E-2</v>
      </c>
      <c r="F413" s="15">
        <v>9.4500000000000001E-2</v>
      </c>
      <c r="G413" s="15">
        <v>0.62180000000000002</v>
      </c>
      <c r="H413" s="15">
        <v>0.15129999999999999</v>
      </c>
      <c r="I413" s="15">
        <v>5.1900000000000002E-2</v>
      </c>
      <c r="J413" s="15">
        <v>2.915221579961464</v>
      </c>
    </row>
    <row r="414" spans="1:10" x14ac:dyDescent="0.25">
      <c r="A414" s="2" t="s">
        <v>1238</v>
      </c>
      <c r="B414" s="2" t="s">
        <v>1239</v>
      </c>
      <c r="C414" s="2" t="s">
        <v>1240</v>
      </c>
      <c r="D414" s="2" t="s">
        <v>10040</v>
      </c>
      <c r="E414" s="15">
        <v>-7.7200000000000005E-2</v>
      </c>
      <c r="F414" s="15">
        <v>8.5500000000000007E-2</v>
      </c>
      <c r="G414" s="15">
        <v>0.36630000000000001</v>
      </c>
      <c r="H414" s="15">
        <v>0.18049999999999999</v>
      </c>
      <c r="I414" s="15">
        <v>5.1999999999999998E-2</v>
      </c>
      <c r="J414" s="15">
        <v>3.4711538461538458</v>
      </c>
    </row>
    <row r="415" spans="1:10" x14ac:dyDescent="0.25">
      <c r="A415" s="2" t="s">
        <v>1241</v>
      </c>
      <c r="B415" s="2" t="s">
        <v>1242</v>
      </c>
      <c r="C415" s="2" t="s">
        <v>1243</v>
      </c>
      <c r="D415" s="2" t="s">
        <v>10040</v>
      </c>
      <c r="E415" s="15">
        <v>4.8500000000000001E-2</v>
      </c>
      <c r="F415" s="15">
        <v>9.5000000000000001E-2</v>
      </c>
      <c r="G415" s="15">
        <v>0.6099</v>
      </c>
      <c r="H415" s="15">
        <v>0.18990000000000001</v>
      </c>
      <c r="I415" s="15">
        <v>4.5900000000000003E-2</v>
      </c>
      <c r="J415" s="15">
        <v>4.1372549019607847</v>
      </c>
    </row>
    <row r="416" spans="1:10" x14ac:dyDescent="0.25">
      <c r="A416" s="2" t="s">
        <v>1244</v>
      </c>
      <c r="B416" s="2" t="s">
        <v>1245</v>
      </c>
      <c r="C416" s="2" t="s">
        <v>1246</v>
      </c>
      <c r="D416" s="2" t="s">
        <v>10040</v>
      </c>
      <c r="E416" s="15">
        <v>1.4E-2</v>
      </c>
      <c r="F416" s="15">
        <v>0.14219999999999999</v>
      </c>
      <c r="G416" s="15">
        <v>0.92169999999999996</v>
      </c>
      <c r="H416" s="15">
        <v>6.4000000000000001E-2</v>
      </c>
      <c r="I416" s="15">
        <v>4.2099999999999999E-2</v>
      </c>
      <c r="J416" s="15">
        <v>1.5201900237529691</v>
      </c>
    </row>
    <row r="417" spans="1:10" x14ac:dyDescent="0.25">
      <c r="A417" s="2" t="s">
        <v>1247</v>
      </c>
      <c r="B417" s="2" t="s">
        <v>1248</v>
      </c>
      <c r="C417" s="2" t="s">
        <v>1249</v>
      </c>
      <c r="D417" s="2" t="s">
        <v>10040</v>
      </c>
      <c r="E417" s="15">
        <v>-0.13070000000000001</v>
      </c>
      <c r="F417" s="15">
        <v>0.14410000000000001</v>
      </c>
      <c r="G417" s="15">
        <v>0.36430000000000001</v>
      </c>
      <c r="H417" s="15">
        <v>6.4199999999999993E-2</v>
      </c>
      <c r="I417" s="15">
        <v>4.3099999999999999E-2</v>
      </c>
      <c r="J417" s="15">
        <v>1.489559164733179</v>
      </c>
    </row>
    <row r="418" spans="1:10" x14ac:dyDescent="0.25">
      <c r="A418" s="2" t="s">
        <v>1250</v>
      </c>
      <c r="B418" s="2" t="s">
        <v>1251</v>
      </c>
      <c r="C418" s="2" t="s">
        <v>1252</v>
      </c>
      <c r="D418" s="2" t="s">
        <v>10040</v>
      </c>
      <c r="E418" s="15">
        <v>9.5600000000000004E-2</v>
      </c>
      <c r="F418" s="15">
        <v>9.11E-2</v>
      </c>
      <c r="G418" s="15">
        <v>0.29399999999999998</v>
      </c>
      <c r="H418" s="15">
        <v>0.17119999999999999</v>
      </c>
      <c r="I418" s="15">
        <v>4.3400000000000001E-2</v>
      </c>
      <c r="J418" s="15">
        <v>3.9447004608294929</v>
      </c>
    </row>
    <row r="419" spans="1:10" x14ac:dyDescent="0.25">
      <c r="A419" s="2" t="s">
        <v>1253</v>
      </c>
      <c r="B419" s="2" t="s">
        <v>1254</v>
      </c>
      <c r="C419" s="2" t="s">
        <v>1255</v>
      </c>
      <c r="D419" s="2" t="s">
        <v>10040</v>
      </c>
      <c r="E419" s="15">
        <v>0.23449999999999999</v>
      </c>
      <c r="F419" s="15">
        <v>0.1789</v>
      </c>
      <c r="G419" s="15">
        <v>0.1898</v>
      </c>
      <c r="H419" s="15">
        <v>5.2699999999999997E-2</v>
      </c>
      <c r="I419" s="15">
        <v>3.8600000000000002E-2</v>
      </c>
      <c r="J419" s="15">
        <v>1.365284974093264</v>
      </c>
    </row>
    <row r="420" spans="1:10" x14ac:dyDescent="0.25">
      <c r="A420" s="2" t="s">
        <v>1256</v>
      </c>
      <c r="B420" s="2" t="s">
        <v>1257</v>
      </c>
      <c r="C420" s="2" t="s">
        <v>1258</v>
      </c>
      <c r="D420" s="2" t="s">
        <v>10040</v>
      </c>
      <c r="E420" s="15">
        <v>0.46700000000000003</v>
      </c>
      <c r="F420" s="15">
        <v>0.2908</v>
      </c>
      <c r="G420" s="15">
        <v>0.10829999999999999</v>
      </c>
      <c r="H420" s="15">
        <v>4.3099999999999999E-2</v>
      </c>
      <c r="I420" s="15">
        <v>4.3400000000000001E-2</v>
      </c>
      <c r="J420" s="15">
        <v>0.99308755760368661</v>
      </c>
    </row>
    <row r="421" spans="1:10" x14ac:dyDescent="0.25">
      <c r="A421" s="2" t="s">
        <v>1259</v>
      </c>
      <c r="B421" s="2" t="s">
        <v>1260</v>
      </c>
      <c r="C421" s="2" t="s">
        <v>1261</v>
      </c>
      <c r="D421" s="2" t="s">
        <v>10040</v>
      </c>
      <c r="E421" s="15">
        <v>1.9599999999999999E-2</v>
      </c>
      <c r="F421" s="15">
        <v>7.6999999999999999E-2</v>
      </c>
      <c r="G421" s="15">
        <v>0.79949999999999999</v>
      </c>
      <c r="H421" s="15">
        <v>0.23830000000000001</v>
      </c>
      <c r="I421" s="15">
        <v>5.1200000000000002E-2</v>
      </c>
      <c r="J421" s="15">
        <v>4.654296875</v>
      </c>
    </row>
    <row r="422" spans="1:10" x14ac:dyDescent="0.25">
      <c r="A422" s="2" t="s">
        <v>1262</v>
      </c>
      <c r="B422" s="2" t="s">
        <v>1263</v>
      </c>
      <c r="C422" s="2" t="s">
        <v>1264</v>
      </c>
      <c r="D422" s="2" t="s">
        <v>10040</v>
      </c>
      <c r="E422" s="15">
        <v>2.29E-2</v>
      </c>
      <c r="F422" s="15">
        <v>7.7100000000000002E-2</v>
      </c>
      <c r="G422" s="15">
        <v>0.76680000000000004</v>
      </c>
      <c r="H422" s="15">
        <v>0.22900000000000001</v>
      </c>
      <c r="I422" s="15">
        <v>5.3699999999999998E-2</v>
      </c>
      <c r="J422" s="15">
        <v>4.2644320297951586</v>
      </c>
    </row>
    <row r="423" spans="1:10" x14ac:dyDescent="0.25">
      <c r="A423" s="2" t="s">
        <v>1265</v>
      </c>
      <c r="B423" s="2" t="s">
        <v>1266</v>
      </c>
      <c r="C423" s="2" t="s">
        <v>1267</v>
      </c>
      <c r="D423" s="2" t="s">
        <v>10040</v>
      </c>
      <c r="E423" s="15">
        <v>9.2700000000000005E-2</v>
      </c>
      <c r="F423" s="15">
        <v>9.5699999999999993E-2</v>
      </c>
      <c r="G423" s="15">
        <v>0.33300000000000002</v>
      </c>
      <c r="H423" s="15">
        <v>0.16830000000000001</v>
      </c>
      <c r="I423" s="15">
        <v>4.9500000000000002E-2</v>
      </c>
      <c r="J423" s="15">
        <v>3.4</v>
      </c>
    </row>
    <row r="424" spans="1:10" x14ac:dyDescent="0.25">
      <c r="A424" s="2" t="s">
        <v>1268</v>
      </c>
      <c r="B424" s="2" t="s">
        <v>1269</v>
      </c>
      <c r="C424" s="2" t="s">
        <v>1270</v>
      </c>
      <c r="D424" s="2" t="s">
        <v>10040</v>
      </c>
      <c r="E424" s="15">
        <v>0.23549999999999999</v>
      </c>
      <c r="F424" s="15">
        <v>0.10340000000000001</v>
      </c>
      <c r="G424" s="15">
        <v>2.2800000000000001E-2</v>
      </c>
      <c r="H424" s="15">
        <v>0.1318</v>
      </c>
      <c r="I424" s="15">
        <v>4.7100000000000003E-2</v>
      </c>
      <c r="J424" s="15">
        <v>2.7983014861995752</v>
      </c>
    </row>
    <row r="425" spans="1:10" x14ac:dyDescent="0.25">
      <c r="A425" s="2" t="s">
        <v>1271</v>
      </c>
      <c r="B425" s="2" t="s">
        <v>1272</v>
      </c>
      <c r="C425" s="2" t="s">
        <v>1273</v>
      </c>
      <c r="D425" s="2" t="s">
        <v>10040</v>
      </c>
      <c r="E425" s="15">
        <v>4.07E-2</v>
      </c>
      <c r="F425" s="15">
        <v>7.6700000000000004E-2</v>
      </c>
      <c r="G425" s="15">
        <v>0.59540000000000004</v>
      </c>
      <c r="H425" s="15">
        <v>0.22009999999999999</v>
      </c>
      <c r="I425" s="15">
        <v>4.9799999999999997E-2</v>
      </c>
      <c r="J425" s="15">
        <v>4.4196787148594376</v>
      </c>
    </row>
    <row r="426" spans="1:10" x14ac:dyDescent="0.25">
      <c r="A426" s="2" t="s">
        <v>1274</v>
      </c>
      <c r="B426" s="2" t="s">
        <v>1275</v>
      </c>
      <c r="C426" s="2" t="s">
        <v>1276</v>
      </c>
      <c r="D426" s="2" t="s">
        <v>10040</v>
      </c>
      <c r="E426" s="15">
        <v>0.1244</v>
      </c>
      <c r="F426" s="15">
        <v>0.11219999999999999</v>
      </c>
      <c r="G426" s="15">
        <v>0.26719999999999999</v>
      </c>
      <c r="H426" s="15">
        <v>0.11849999999999999</v>
      </c>
      <c r="I426" s="15">
        <v>3.9399999999999998E-2</v>
      </c>
      <c r="J426" s="15">
        <v>3.0076142131979702</v>
      </c>
    </row>
    <row r="427" spans="1:10" x14ac:dyDescent="0.25">
      <c r="A427" s="2" t="s">
        <v>1277</v>
      </c>
      <c r="B427" s="2" t="s">
        <v>1278</v>
      </c>
      <c r="C427" s="2" t="s">
        <v>1279</v>
      </c>
      <c r="D427" s="2" t="s">
        <v>10040</v>
      </c>
      <c r="E427" s="15">
        <v>-6.3399999999999998E-2</v>
      </c>
      <c r="F427" s="15">
        <v>0.12889999999999999</v>
      </c>
      <c r="G427" s="15">
        <v>0.62280000000000002</v>
      </c>
      <c r="H427" s="15">
        <v>8.2400000000000001E-2</v>
      </c>
      <c r="I427" s="15">
        <v>4.2000000000000003E-2</v>
      </c>
      <c r="J427" s="15">
        <v>1.961904761904762</v>
      </c>
    </row>
    <row r="428" spans="1:10" x14ac:dyDescent="0.25">
      <c r="A428" s="2" t="s">
        <v>1280</v>
      </c>
      <c r="B428" s="2" t="s">
        <v>1281</v>
      </c>
      <c r="C428" s="2" t="s">
        <v>1282</v>
      </c>
      <c r="D428" s="2" t="s">
        <v>10040</v>
      </c>
      <c r="E428" s="15">
        <v>8.0999999999999996E-3</v>
      </c>
      <c r="F428" s="15">
        <v>0.1022</v>
      </c>
      <c r="G428" s="15">
        <v>0.93659999999999999</v>
      </c>
      <c r="H428" s="15">
        <v>0.13159999999999999</v>
      </c>
      <c r="I428" s="15">
        <v>4.6199999999999998E-2</v>
      </c>
      <c r="J428" s="15">
        <v>2.8484848484848491</v>
      </c>
    </row>
    <row r="429" spans="1:10" x14ac:dyDescent="0.25">
      <c r="A429" s="2" t="s">
        <v>1283</v>
      </c>
      <c r="B429" s="2" t="s">
        <v>1284</v>
      </c>
      <c r="C429" s="2" t="s">
        <v>1285</v>
      </c>
      <c r="D429" s="2" t="s">
        <v>10040</v>
      </c>
      <c r="E429" s="15">
        <v>0.14879999999999999</v>
      </c>
      <c r="F429" s="15">
        <v>9.4E-2</v>
      </c>
      <c r="G429" s="15">
        <v>0.1134</v>
      </c>
      <c r="H429" s="15">
        <v>0.17419999999999999</v>
      </c>
      <c r="I429" s="15">
        <v>4.87E-2</v>
      </c>
      <c r="J429" s="15">
        <v>3.5770020533880902</v>
      </c>
    </row>
    <row r="430" spans="1:10" x14ac:dyDescent="0.25">
      <c r="A430" s="2" t="s">
        <v>1286</v>
      </c>
      <c r="B430" s="2" t="s">
        <v>1287</v>
      </c>
      <c r="C430" s="2" t="s">
        <v>1288</v>
      </c>
      <c r="D430" s="2" t="s">
        <v>10040</v>
      </c>
      <c r="E430" s="15">
        <v>8.2400000000000001E-2</v>
      </c>
      <c r="F430" s="15">
        <v>9.0999999999999998E-2</v>
      </c>
      <c r="G430" s="15">
        <v>0.36520000000000002</v>
      </c>
      <c r="H430" s="15">
        <v>0.1724</v>
      </c>
      <c r="I430" s="15">
        <v>4.5900000000000003E-2</v>
      </c>
      <c r="J430" s="15">
        <v>3.7559912854030499</v>
      </c>
    </row>
    <row r="431" spans="1:10" x14ac:dyDescent="0.25">
      <c r="A431" s="2" t="s">
        <v>1289</v>
      </c>
      <c r="B431" s="2" t="s">
        <v>1290</v>
      </c>
      <c r="C431" s="2" t="s">
        <v>1291</v>
      </c>
      <c r="D431" s="2" t="s">
        <v>10040</v>
      </c>
      <c r="E431" s="15">
        <v>3.3000000000000002E-2</v>
      </c>
      <c r="F431" s="15">
        <v>0.1046</v>
      </c>
      <c r="G431" s="15">
        <v>0.75260000000000005</v>
      </c>
      <c r="H431" s="15">
        <v>0.1183</v>
      </c>
      <c r="I431" s="15">
        <v>4.1700000000000001E-2</v>
      </c>
      <c r="J431" s="15">
        <v>2.8369304556354922</v>
      </c>
    </row>
    <row r="432" spans="1:10" x14ac:dyDescent="0.25">
      <c r="A432" s="2" t="s">
        <v>1292</v>
      </c>
      <c r="B432" s="2" t="s">
        <v>1293</v>
      </c>
      <c r="C432" s="2" t="s">
        <v>1294</v>
      </c>
      <c r="D432" s="2" t="s">
        <v>10040</v>
      </c>
      <c r="E432" s="15">
        <v>0.1953</v>
      </c>
      <c r="F432" s="15">
        <v>9.2600000000000002E-2</v>
      </c>
      <c r="G432" s="15">
        <v>3.5000000000000003E-2</v>
      </c>
      <c r="H432" s="15">
        <v>0.1933</v>
      </c>
      <c r="I432" s="15">
        <v>4.0300000000000002E-2</v>
      </c>
      <c r="J432" s="15">
        <v>4.7965260545905704</v>
      </c>
    </row>
    <row r="433" spans="1:10" x14ac:dyDescent="0.25">
      <c r="A433" s="2" t="s">
        <v>1295</v>
      </c>
      <c r="B433" s="2" t="s">
        <v>1296</v>
      </c>
      <c r="C433" s="2" t="s">
        <v>1297</v>
      </c>
      <c r="D433" s="2" t="s">
        <v>10040</v>
      </c>
      <c r="E433" s="15">
        <v>-6.7199999999999996E-2</v>
      </c>
      <c r="F433" s="15">
        <v>9.9400000000000002E-2</v>
      </c>
      <c r="G433" s="15">
        <v>0.49890000000000001</v>
      </c>
      <c r="H433" s="15">
        <v>0.1229</v>
      </c>
      <c r="I433" s="15">
        <v>4.4499999999999998E-2</v>
      </c>
      <c r="J433" s="15">
        <v>2.761797752808989</v>
      </c>
    </row>
    <row r="434" spans="1:10" x14ac:dyDescent="0.25">
      <c r="A434" s="2" t="s">
        <v>1298</v>
      </c>
      <c r="B434" s="2" t="s">
        <v>1299</v>
      </c>
      <c r="C434" s="2" t="s">
        <v>1300</v>
      </c>
      <c r="D434" s="2" t="s">
        <v>10040</v>
      </c>
      <c r="E434" s="15">
        <v>0.2238</v>
      </c>
      <c r="F434" s="15">
        <v>0.1041</v>
      </c>
      <c r="G434" s="15">
        <v>3.15E-2</v>
      </c>
      <c r="H434" s="15">
        <v>0.11020000000000001</v>
      </c>
      <c r="I434" s="15">
        <v>4.5900000000000003E-2</v>
      </c>
      <c r="J434" s="15">
        <v>2.4008714596949892</v>
      </c>
    </row>
    <row r="435" spans="1:10" x14ac:dyDescent="0.25">
      <c r="A435" s="2" t="s">
        <v>1301</v>
      </c>
      <c r="B435" s="2" t="s">
        <v>1302</v>
      </c>
      <c r="C435" s="2" t="s">
        <v>1303</v>
      </c>
      <c r="D435" s="2" t="s">
        <v>10040</v>
      </c>
      <c r="E435" s="15">
        <v>4.2099999999999999E-2</v>
      </c>
      <c r="F435" s="15">
        <v>7.8200000000000006E-2</v>
      </c>
      <c r="G435" s="15">
        <v>0.59050000000000002</v>
      </c>
      <c r="H435" s="15">
        <v>0.23899999999999999</v>
      </c>
      <c r="I435" s="15">
        <v>5.2200000000000003E-2</v>
      </c>
      <c r="J435" s="15">
        <v>4.5785440613026811</v>
      </c>
    </row>
    <row r="436" spans="1:10" x14ac:dyDescent="0.25">
      <c r="A436" s="2" t="s">
        <v>1304</v>
      </c>
      <c r="B436" s="2" t="s">
        <v>1305</v>
      </c>
      <c r="C436" s="2" t="s">
        <v>1306</v>
      </c>
      <c r="D436" s="2" t="s">
        <v>10040</v>
      </c>
      <c r="E436" s="15">
        <v>6.9500000000000006E-2</v>
      </c>
      <c r="F436" s="15">
        <v>7.7799999999999994E-2</v>
      </c>
      <c r="G436" s="15">
        <v>0.37219999999999998</v>
      </c>
      <c r="H436" s="15">
        <v>0.2412</v>
      </c>
      <c r="I436" s="15">
        <v>5.3999999999999999E-2</v>
      </c>
      <c r="J436" s="15">
        <v>4.4666666666666668</v>
      </c>
    </row>
    <row r="437" spans="1:10" x14ac:dyDescent="0.25">
      <c r="A437" s="2" t="s">
        <v>1307</v>
      </c>
      <c r="B437" s="2" t="s">
        <v>1308</v>
      </c>
      <c r="C437" s="2" t="s">
        <v>1309</v>
      </c>
      <c r="D437" s="2" t="s">
        <v>10040</v>
      </c>
      <c r="E437" s="15">
        <v>2.9999999999999997E-4</v>
      </c>
      <c r="F437" s="15">
        <v>0.11210000000000001</v>
      </c>
      <c r="G437" s="15">
        <v>0.99750000000000005</v>
      </c>
      <c r="H437" s="15">
        <v>0.12759999999999999</v>
      </c>
      <c r="I437" s="15">
        <v>4.2999999999999997E-2</v>
      </c>
      <c r="J437" s="15">
        <v>2.967441860465116</v>
      </c>
    </row>
    <row r="438" spans="1:10" x14ac:dyDescent="0.25">
      <c r="A438" s="2" t="s">
        <v>1310</v>
      </c>
      <c r="B438" s="2" t="s">
        <v>1311</v>
      </c>
      <c r="C438" s="2" t="s">
        <v>1312</v>
      </c>
      <c r="D438" s="2" t="s">
        <v>10040</v>
      </c>
      <c r="E438" s="15">
        <v>0.2883</v>
      </c>
      <c r="F438" s="15">
        <v>0.13650000000000001</v>
      </c>
      <c r="G438" s="15">
        <v>3.4599999999999999E-2</v>
      </c>
      <c r="H438" s="15">
        <v>8.48E-2</v>
      </c>
      <c r="I438" s="15">
        <v>4.1599999999999998E-2</v>
      </c>
      <c r="J438" s="15">
        <v>2.0384615384615392</v>
      </c>
    </row>
    <row r="439" spans="1:10" x14ac:dyDescent="0.25">
      <c r="A439" s="2" t="s">
        <v>1313</v>
      </c>
      <c r="B439" s="2" t="s">
        <v>1314</v>
      </c>
      <c r="C439" s="2" t="s">
        <v>1315</v>
      </c>
      <c r="D439" s="2" t="s">
        <v>10040</v>
      </c>
      <c r="E439" s="15">
        <v>0.16200000000000001</v>
      </c>
      <c r="F439" s="15">
        <v>7.5999999999999998E-2</v>
      </c>
      <c r="G439" s="15">
        <v>3.3099999999999997E-2</v>
      </c>
      <c r="H439" s="15">
        <v>0.1782</v>
      </c>
      <c r="I439" s="15">
        <v>4.5199999999999997E-2</v>
      </c>
      <c r="J439" s="15">
        <v>3.9424778761061949</v>
      </c>
    </row>
    <row r="440" spans="1:10" x14ac:dyDescent="0.25">
      <c r="A440" s="2" t="s">
        <v>1316</v>
      </c>
      <c r="B440" s="2" t="s">
        <v>1317</v>
      </c>
      <c r="C440" s="2" t="s">
        <v>1318</v>
      </c>
      <c r="D440" s="2" t="s">
        <v>10040</v>
      </c>
      <c r="E440" s="15">
        <v>2.3599999999999999E-2</v>
      </c>
      <c r="F440" s="15">
        <v>8.3599999999999994E-2</v>
      </c>
      <c r="G440" s="15">
        <v>0.77800000000000002</v>
      </c>
      <c r="H440" s="15">
        <v>0.17480000000000001</v>
      </c>
      <c r="I440" s="15">
        <v>4.2900000000000001E-2</v>
      </c>
      <c r="J440" s="15">
        <v>4.0745920745920747</v>
      </c>
    </row>
    <row r="441" spans="1:10" x14ac:dyDescent="0.25">
      <c r="A441" s="2" t="s">
        <v>1319</v>
      </c>
      <c r="B441" s="2" t="s">
        <v>1320</v>
      </c>
      <c r="C441" s="2" t="s">
        <v>1321</v>
      </c>
      <c r="D441" s="2" t="s">
        <v>10040</v>
      </c>
      <c r="E441" s="15">
        <v>-3.1300000000000001E-2</v>
      </c>
      <c r="F441" s="15">
        <v>0.1062</v>
      </c>
      <c r="G441" s="15">
        <v>0.7681</v>
      </c>
      <c r="H441" s="15">
        <v>0.12139999999999999</v>
      </c>
      <c r="I441" s="15">
        <v>4.4499999999999998E-2</v>
      </c>
      <c r="J441" s="15">
        <v>2.7280898876404489</v>
      </c>
    </row>
    <row r="442" spans="1:10" x14ac:dyDescent="0.25">
      <c r="A442" s="2" t="s">
        <v>1322</v>
      </c>
      <c r="B442" s="2" t="s">
        <v>1323</v>
      </c>
      <c r="C442" s="2" t="s">
        <v>1324</v>
      </c>
      <c r="D442" s="2" t="s">
        <v>10040</v>
      </c>
      <c r="E442" s="15">
        <v>0.1056</v>
      </c>
      <c r="F442" s="15">
        <v>7.9799999999999996E-2</v>
      </c>
      <c r="G442" s="15">
        <v>0.18559999999999999</v>
      </c>
      <c r="H442" s="15">
        <v>0.23039999999999999</v>
      </c>
      <c r="I442" s="15">
        <v>5.1299999999999998E-2</v>
      </c>
      <c r="J442" s="15">
        <v>4.4912280701754383</v>
      </c>
    </row>
    <row r="443" spans="1:10" x14ac:dyDescent="0.25">
      <c r="A443" s="2" t="s">
        <v>1325</v>
      </c>
      <c r="B443" s="2" t="s">
        <v>1326</v>
      </c>
      <c r="C443" s="2" t="s">
        <v>1327</v>
      </c>
      <c r="D443" s="2" t="s">
        <v>10040</v>
      </c>
      <c r="E443" s="15">
        <v>0.14610000000000001</v>
      </c>
      <c r="F443" s="15">
        <v>0.1094</v>
      </c>
      <c r="G443" s="15">
        <v>0.1817</v>
      </c>
      <c r="H443" s="15">
        <v>0.1075</v>
      </c>
      <c r="I443" s="15">
        <v>4.8099999999999997E-2</v>
      </c>
      <c r="J443" s="15">
        <v>2.2349272349272349</v>
      </c>
    </row>
    <row r="444" spans="1:10" x14ac:dyDescent="0.25">
      <c r="A444" s="2" t="s">
        <v>1328</v>
      </c>
      <c r="B444" s="2" t="s">
        <v>1329</v>
      </c>
      <c r="C444" s="2" t="s">
        <v>1330</v>
      </c>
      <c r="D444" s="2" t="s">
        <v>10040</v>
      </c>
      <c r="E444" s="15">
        <v>8.3699999999999997E-2</v>
      </c>
      <c r="F444" s="15">
        <v>9.0200000000000002E-2</v>
      </c>
      <c r="G444" s="15">
        <v>0.35349999999999998</v>
      </c>
      <c r="H444" s="15">
        <v>0.14050000000000001</v>
      </c>
      <c r="I444" s="15">
        <v>4.41E-2</v>
      </c>
      <c r="J444" s="15">
        <v>3.185941043083901</v>
      </c>
    </row>
    <row r="445" spans="1:10" x14ac:dyDescent="0.25">
      <c r="A445" s="2" t="s">
        <v>1331</v>
      </c>
      <c r="B445" s="2" t="s">
        <v>1332</v>
      </c>
      <c r="C445" s="2" t="s">
        <v>1333</v>
      </c>
      <c r="D445" s="2" t="s">
        <v>10040</v>
      </c>
      <c r="E445" s="15">
        <v>0.15379999999999999</v>
      </c>
      <c r="F445" s="15">
        <v>8.7300000000000003E-2</v>
      </c>
      <c r="G445" s="15">
        <v>7.8100000000000003E-2</v>
      </c>
      <c r="H445" s="15">
        <v>0.18260000000000001</v>
      </c>
      <c r="I445" s="15">
        <v>4.6300000000000001E-2</v>
      </c>
      <c r="J445" s="15">
        <v>3.9438444924406051</v>
      </c>
    </row>
    <row r="446" spans="1:10" x14ac:dyDescent="0.25">
      <c r="A446" s="2" t="s">
        <v>1334</v>
      </c>
      <c r="B446" s="2" t="s">
        <v>1335</v>
      </c>
      <c r="C446" s="2" t="s">
        <v>1336</v>
      </c>
      <c r="D446" s="2" t="s">
        <v>10040</v>
      </c>
      <c r="E446" s="15">
        <v>0.1085</v>
      </c>
      <c r="F446" s="15">
        <v>8.09E-2</v>
      </c>
      <c r="G446" s="15">
        <v>0.18</v>
      </c>
      <c r="H446" s="15">
        <v>0.21629999999999999</v>
      </c>
      <c r="I446" s="15">
        <v>4.4699999999999997E-2</v>
      </c>
      <c r="J446" s="15">
        <v>4.8389261744966454</v>
      </c>
    </row>
    <row r="447" spans="1:10" x14ac:dyDescent="0.25">
      <c r="A447" s="2" t="s">
        <v>1337</v>
      </c>
      <c r="B447" s="2" t="s">
        <v>1338</v>
      </c>
      <c r="C447" s="2" t="s">
        <v>1339</v>
      </c>
      <c r="D447" s="2" t="s">
        <v>10040</v>
      </c>
      <c r="E447" s="15">
        <v>4.2099999999999999E-2</v>
      </c>
      <c r="F447" s="15">
        <v>6.93E-2</v>
      </c>
      <c r="G447" s="15">
        <v>0.54369999999999996</v>
      </c>
      <c r="H447" s="15">
        <v>0.25879999999999997</v>
      </c>
      <c r="I447" s="15">
        <v>4.8000000000000001E-2</v>
      </c>
      <c r="J447" s="15">
        <v>5.3916666666666657</v>
      </c>
    </row>
    <row r="448" spans="1:10" x14ac:dyDescent="0.25">
      <c r="A448" s="2" t="s">
        <v>1340</v>
      </c>
      <c r="B448" s="2" t="s">
        <v>1341</v>
      </c>
      <c r="C448" s="2" t="s">
        <v>1342</v>
      </c>
      <c r="D448" s="2" t="s">
        <v>10040</v>
      </c>
      <c r="E448" s="15">
        <v>8.4000000000000005E-2</v>
      </c>
      <c r="F448" s="15">
        <v>8.6099999999999996E-2</v>
      </c>
      <c r="G448" s="15">
        <v>0.32900000000000001</v>
      </c>
      <c r="H448" s="15">
        <v>0.191</v>
      </c>
      <c r="I448" s="15">
        <v>4.4499999999999998E-2</v>
      </c>
      <c r="J448" s="15">
        <v>4.2921348314606744</v>
      </c>
    </row>
    <row r="449" spans="1:10" x14ac:dyDescent="0.25">
      <c r="A449" s="2" t="s">
        <v>1343</v>
      </c>
      <c r="B449" s="2" t="s">
        <v>1344</v>
      </c>
      <c r="C449" s="2" t="s">
        <v>1345</v>
      </c>
      <c r="D449" s="2" t="s">
        <v>10040</v>
      </c>
      <c r="E449" s="15">
        <v>0.12809999999999999</v>
      </c>
      <c r="F449" s="15">
        <v>7.3400000000000007E-2</v>
      </c>
      <c r="G449" s="15">
        <v>8.1000000000000003E-2</v>
      </c>
      <c r="H449" s="15">
        <v>0.23069999999999999</v>
      </c>
      <c r="I449" s="15">
        <v>5.3800000000000001E-2</v>
      </c>
      <c r="J449" s="15">
        <v>4.2881040892193303</v>
      </c>
    </row>
    <row r="450" spans="1:10" x14ac:dyDescent="0.25">
      <c r="A450" s="2" t="s">
        <v>1346</v>
      </c>
      <c r="B450" s="2" t="s">
        <v>1347</v>
      </c>
      <c r="C450" s="2" t="s">
        <v>1348</v>
      </c>
      <c r="D450" s="2" t="s">
        <v>10040</v>
      </c>
      <c r="E450" s="15">
        <v>-5.1000000000000004E-3</v>
      </c>
      <c r="F450" s="15">
        <v>7.5700000000000003E-2</v>
      </c>
      <c r="G450" s="15">
        <v>0.9466</v>
      </c>
      <c r="H450" s="15">
        <v>0.24299999999999999</v>
      </c>
      <c r="I450" s="15">
        <v>5.1400000000000001E-2</v>
      </c>
      <c r="J450" s="15">
        <v>4.727626459143969</v>
      </c>
    </row>
    <row r="451" spans="1:10" x14ac:dyDescent="0.25">
      <c r="A451" s="2" t="s">
        <v>1349</v>
      </c>
      <c r="B451" s="2" t="s">
        <v>1350</v>
      </c>
      <c r="C451" s="2" t="s">
        <v>1351</v>
      </c>
      <c r="D451" s="2" t="s">
        <v>10040</v>
      </c>
      <c r="E451" s="15">
        <v>4.3700000000000003E-2</v>
      </c>
      <c r="F451" s="15">
        <v>0.1079</v>
      </c>
      <c r="G451" s="15">
        <v>0.68589999999999995</v>
      </c>
      <c r="H451" s="15">
        <v>0.112</v>
      </c>
      <c r="I451" s="15">
        <v>4.5100000000000001E-2</v>
      </c>
      <c r="J451" s="15">
        <v>2.4833702882483371</v>
      </c>
    </row>
    <row r="452" spans="1:10" x14ac:dyDescent="0.25">
      <c r="A452" s="2" t="s">
        <v>1352</v>
      </c>
      <c r="B452" s="2" t="s">
        <v>1353</v>
      </c>
      <c r="C452" s="2" t="s">
        <v>1354</v>
      </c>
      <c r="D452" s="2" t="s">
        <v>10040</v>
      </c>
      <c r="E452" s="15">
        <v>0.11169999999999999</v>
      </c>
      <c r="F452" s="15">
        <v>0.1169</v>
      </c>
      <c r="G452" s="15">
        <v>0.33910000000000001</v>
      </c>
      <c r="H452" s="15">
        <v>0.12540000000000001</v>
      </c>
      <c r="I452" s="15">
        <v>4.3999999999999997E-2</v>
      </c>
      <c r="J452" s="15">
        <v>2.850000000000001</v>
      </c>
    </row>
    <row r="453" spans="1:10" x14ac:dyDescent="0.25">
      <c r="A453" s="2" t="s">
        <v>1355</v>
      </c>
      <c r="B453" s="2" t="s">
        <v>1356</v>
      </c>
      <c r="C453" s="2" t="s">
        <v>1357</v>
      </c>
      <c r="D453" s="2" t="s">
        <v>10040</v>
      </c>
      <c r="E453" s="15">
        <v>0.14080000000000001</v>
      </c>
      <c r="F453" s="15">
        <v>8.3400000000000002E-2</v>
      </c>
      <c r="G453" s="15">
        <v>9.1499999999999998E-2</v>
      </c>
      <c r="H453" s="15">
        <v>0.19040000000000001</v>
      </c>
      <c r="I453" s="15">
        <v>4.7500000000000001E-2</v>
      </c>
      <c r="J453" s="15">
        <v>4.0084210526315793</v>
      </c>
    </row>
    <row r="454" spans="1:10" x14ac:dyDescent="0.25">
      <c r="A454" s="2" t="s">
        <v>1358</v>
      </c>
      <c r="B454" s="2" t="s">
        <v>1359</v>
      </c>
      <c r="C454" s="2" t="s">
        <v>1360</v>
      </c>
      <c r="D454" s="2" t="s">
        <v>10040</v>
      </c>
      <c r="E454" s="15">
        <v>0.15740000000000001</v>
      </c>
      <c r="F454" s="15">
        <v>0.11210000000000001</v>
      </c>
      <c r="G454" s="15">
        <v>0.16009999999999999</v>
      </c>
      <c r="H454" s="15">
        <v>0.11070000000000001</v>
      </c>
      <c r="I454" s="15">
        <v>4.4900000000000002E-2</v>
      </c>
      <c r="J454" s="15">
        <v>2.4654788418708238</v>
      </c>
    </row>
    <row r="455" spans="1:10" x14ac:dyDescent="0.25">
      <c r="A455" s="2" t="s">
        <v>1361</v>
      </c>
      <c r="B455" s="2" t="s">
        <v>1362</v>
      </c>
      <c r="C455" s="2" t="s">
        <v>1363</v>
      </c>
      <c r="D455" s="2" t="s">
        <v>10040</v>
      </c>
      <c r="E455" s="15">
        <v>0.24</v>
      </c>
      <c r="F455" s="15">
        <v>0.12570000000000001</v>
      </c>
      <c r="G455" s="15">
        <v>5.62E-2</v>
      </c>
      <c r="H455" s="15">
        <v>9.2600000000000002E-2</v>
      </c>
      <c r="I455" s="15">
        <v>4.1300000000000003E-2</v>
      </c>
      <c r="J455" s="15">
        <v>2.2421307506053272</v>
      </c>
    </row>
    <row r="456" spans="1:10" x14ac:dyDescent="0.25">
      <c r="A456" s="2" t="s">
        <v>1364</v>
      </c>
      <c r="B456" s="2" t="s">
        <v>1365</v>
      </c>
      <c r="C456" s="2" t="s">
        <v>1366</v>
      </c>
      <c r="D456" s="2" t="s">
        <v>10040</v>
      </c>
      <c r="E456" s="15">
        <v>0.27529999999999999</v>
      </c>
      <c r="F456" s="15">
        <v>0.14330000000000001</v>
      </c>
      <c r="G456" s="15">
        <v>5.4699999999999999E-2</v>
      </c>
      <c r="H456" s="15">
        <v>8.6999999999999994E-2</v>
      </c>
      <c r="I456" s="15">
        <v>4.7300000000000002E-2</v>
      </c>
      <c r="J456" s="15">
        <v>1.8393234672304439</v>
      </c>
    </row>
    <row r="457" spans="1:10" x14ac:dyDescent="0.25">
      <c r="A457" s="2" t="s">
        <v>1367</v>
      </c>
      <c r="B457" s="2" t="s">
        <v>1368</v>
      </c>
      <c r="C457" s="2" t="s">
        <v>1369</v>
      </c>
      <c r="D457" s="2" t="s">
        <v>10040</v>
      </c>
      <c r="E457" s="15">
        <v>0.40139999999999998</v>
      </c>
      <c r="F457" s="15">
        <v>0.26679999999999998</v>
      </c>
      <c r="G457" s="15">
        <v>0.13239999999999999</v>
      </c>
      <c r="H457" s="15">
        <v>4.1000000000000002E-2</v>
      </c>
      <c r="I457" s="15">
        <v>4.3299999999999998E-2</v>
      </c>
      <c r="J457" s="15">
        <v>0.94688221709006937</v>
      </c>
    </row>
    <row r="458" spans="1:10" x14ac:dyDescent="0.25">
      <c r="A458" s="2" t="s">
        <v>1370</v>
      </c>
      <c r="B458" s="2" t="s">
        <v>1371</v>
      </c>
      <c r="C458" s="2" t="s">
        <v>1372</v>
      </c>
      <c r="D458" s="2" t="s">
        <v>10040</v>
      </c>
      <c r="E458" s="15">
        <v>-3.0999999999999999E-3</v>
      </c>
      <c r="F458" s="15">
        <v>8.1000000000000003E-2</v>
      </c>
      <c r="G458" s="15">
        <v>0.96960000000000002</v>
      </c>
      <c r="H458" s="15">
        <v>0.23400000000000001</v>
      </c>
      <c r="I458" s="15">
        <v>5.1299999999999998E-2</v>
      </c>
      <c r="J458" s="15">
        <v>4.5614035087719298</v>
      </c>
    </row>
    <row r="459" spans="1:10" x14ac:dyDescent="0.25">
      <c r="A459" s="2" t="s">
        <v>1373</v>
      </c>
      <c r="B459" s="2" t="s">
        <v>1374</v>
      </c>
      <c r="C459" s="2" t="s">
        <v>1375</v>
      </c>
      <c r="D459" s="2" t="s">
        <v>10040</v>
      </c>
      <c r="E459" s="15">
        <v>9.1999999999999998E-2</v>
      </c>
      <c r="F459" s="15">
        <v>0.11559999999999999</v>
      </c>
      <c r="G459" s="15">
        <v>0.42620000000000002</v>
      </c>
      <c r="H459" s="15">
        <v>0.1207</v>
      </c>
      <c r="I459" s="15">
        <v>4.19E-2</v>
      </c>
      <c r="J459" s="15">
        <v>2.8806682577565632</v>
      </c>
    </row>
    <row r="460" spans="1:10" x14ac:dyDescent="0.25">
      <c r="A460" s="2" t="s">
        <v>1376</v>
      </c>
      <c r="B460" s="2" t="s">
        <v>1377</v>
      </c>
      <c r="C460" s="2" t="s">
        <v>1378</v>
      </c>
      <c r="D460" s="2" t="s">
        <v>10040</v>
      </c>
      <c r="E460" s="15">
        <v>8.9499999999999996E-2</v>
      </c>
      <c r="F460" s="15">
        <v>9.5899999999999999E-2</v>
      </c>
      <c r="G460" s="15">
        <v>0.35089999999999999</v>
      </c>
      <c r="H460" s="15">
        <v>0.15310000000000001</v>
      </c>
      <c r="I460" s="15">
        <v>8.2299999999999998E-2</v>
      </c>
      <c r="J460" s="15">
        <v>1.860267314702309</v>
      </c>
    </row>
    <row r="461" spans="1:10" x14ac:dyDescent="0.25">
      <c r="A461" s="2" t="s">
        <v>1379</v>
      </c>
      <c r="B461" s="2" t="s">
        <v>1380</v>
      </c>
      <c r="C461" s="2" t="s">
        <v>1381</v>
      </c>
      <c r="D461" s="2" t="s">
        <v>10040</v>
      </c>
      <c r="E461" s="15">
        <v>-7.3400000000000007E-2</v>
      </c>
      <c r="F461" s="15">
        <v>0.1037</v>
      </c>
      <c r="G461" s="15">
        <v>0.4793</v>
      </c>
      <c r="H461" s="15">
        <v>0.13220000000000001</v>
      </c>
      <c r="I461" s="15">
        <v>4.36E-2</v>
      </c>
      <c r="J461" s="15">
        <v>3.0321100917431201</v>
      </c>
    </row>
    <row r="462" spans="1:10" x14ac:dyDescent="0.25">
      <c r="A462" s="2" t="s">
        <v>1382</v>
      </c>
      <c r="B462" s="2" t="s">
        <v>1383</v>
      </c>
      <c r="C462" s="2" t="s">
        <v>1384</v>
      </c>
      <c r="D462" s="2" t="s">
        <v>10040</v>
      </c>
      <c r="E462" s="15">
        <v>0.19769999999999999</v>
      </c>
      <c r="F462" s="15">
        <v>7.3999999999999996E-2</v>
      </c>
      <c r="G462" s="15">
        <v>7.4999999999999997E-3</v>
      </c>
      <c r="H462" s="15">
        <v>0.23899999999999999</v>
      </c>
      <c r="I462" s="15">
        <v>4.6100000000000002E-2</v>
      </c>
      <c r="J462" s="15">
        <v>5.1843817787418649</v>
      </c>
    </row>
    <row r="463" spans="1:10" x14ac:dyDescent="0.25">
      <c r="A463" s="2" t="s">
        <v>1385</v>
      </c>
      <c r="B463" s="2" t="s">
        <v>1386</v>
      </c>
      <c r="C463" s="2" t="s">
        <v>1387</v>
      </c>
      <c r="D463" s="2" t="s">
        <v>10040</v>
      </c>
      <c r="E463" s="15">
        <v>-5.3100000000000001E-2</v>
      </c>
      <c r="F463" s="15">
        <v>9.7500000000000003E-2</v>
      </c>
      <c r="G463" s="15">
        <v>0.58589999999999998</v>
      </c>
      <c r="H463" s="15">
        <v>0.1578</v>
      </c>
      <c r="I463" s="15">
        <v>4.65E-2</v>
      </c>
      <c r="J463" s="15">
        <v>3.3935483870967742</v>
      </c>
    </row>
    <row r="464" spans="1:10" x14ac:dyDescent="0.25">
      <c r="A464" s="2" t="s">
        <v>1388</v>
      </c>
      <c r="B464" s="2" t="s">
        <v>1389</v>
      </c>
      <c r="C464" s="2" t="s">
        <v>1390</v>
      </c>
      <c r="D464" s="2" t="s">
        <v>10040</v>
      </c>
      <c r="E464" s="15">
        <v>0.16900000000000001</v>
      </c>
      <c r="F464" s="15">
        <v>8.2799999999999999E-2</v>
      </c>
      <c r="G464" s="15">
        <v>4.1300000000000003E-2</v>
      </c>
      <c r="H464" s="15">
        <v>0.2034</v>
      </c>
      <c r="I464" s="15">
        <v>4.4200000000000003E-2</v>
      </c>
      <c r="J464" s="15">
        <v>4.6018099547511309</v>
      </c>
    </row>
    <row r="465" spans="1:10" x14ac:dyDescent="0.25">
      <c r="A465" s="2" t="s">
        <v>1391</v>
      </c>
      <c r="B465" s="2" t="s">
        <v>1392</v>
      </c>
      <c r="C465" s="2" t="s">
        <v>1393</v>
      </c>
      <c r="D465" s="2" t="s">
        <v>10040</v>
      </c>
      <c r="E465" s="15">
        <v>0.2331</v>
      </c>
      <c r="F465" s="15">
        <v>9.2799999999999994E-2</v>
      </c>
      <c r="G465" s="15">
        <v>1.2E-2</v>
      </c>
      <c r="H465" s="15">
        <v>0.17269999999999999</v>
      </c>
      <c r="I465" s="15">
        <v>4.07E-2</v>
      </c>
      <c r="J465" s="15">
        <v>4.243243243243243</v>
      </c>
    </row>
    <row r="466" spans="1:10" x14ac:dyDescent="0.25">
      <c r="A466" s="2" t="s">
        <v>1394</v>
      </c>
      <c r="B466" s="2" t="s">
        <v>1395</v>
      </c>
      <c r="C466" s="2" t="s">
        <v>1396</v>
      </c>
      <c r="D466" s="2" t="s">
        <v>10040</v>
      </c>
      <c r="E466" s="15">
        <v>3.4599999999999999E-2</v>
      </c>
      <c r="F466" s="15">
        <v>8.0399999999999999E-2</v>
      </c>
      <c r="G466" s="15">
        <v>0.66669999999999996</v>
      </c>
      <c r="H466" s="15">
        <v>0.1978</v>
      </c>
      <c r="I466" s="15">
        <v>5.0700000000000002E-2</v>
      </c>
      <c r="J466" s="15">
        <v>3.9013806706114398</v>
      </c>
    </row>
    <row r="467" spans="1:10" x14ac:dyDescent="0.25">
      <c r="A467" s="2" t="s">
        <v>1397</v>
      </c>
      <c r="B467" s="2" t="s">
        <v>1398</v>
      </c>
      <c r="C467" s="2" t="s">
        <v>1399</v>
      </c>
      <c r="D467" s="2" t="s">
        <v>10040</v>
      </c>
      <c r="E467" s="15">
        <v>0.1144</v>
      </c>
      <c r="F467" s="15">
        <v>9.0300000000000005E-2</v>
      </c>
      <c r="G467" s="15">
        <v>0.20499999999999999</v>
      </c>
      <c r="H467" s="15">
        <v>0.1583</v>
      </c>
      <c r="I467" s="15">
        <v>4.6300000000000001E-2</v>
      </c>
      <c r="J467" s="15">
        <v>3.419006479481641</v>
      </c>
    </row>
    <row r="468" spans="1:10" x14ac:dyDescent="0.25">
      <c r="A468" s="2" t="s">
        <v>1400</v>
      </c>
      <c r="B468" s="2" t="s">
        <v>1401</v>
      </c>
      <c r="C468" s="2" t="s">
        <v>1402</v>
      </c>
      <c r="D468" s="2" t="s">
        <v>10040</v>
      </c>
      <c r="E468" s="15">
        <v>-7.1199999999999999E-2</v>
      </c>
      <c r="F468" s="15">
        <v>7.7899999999999997E-2</v>
      </c>
      <c r="G468" s="15">
        <v>0.36080000000000001</v>
      </c>
      <c r="H468" s="15">
        <v>0.2172</v>
      </c>
      <c r="I468" s="15">
        <v>5.0900000000000001E-2</v>
      </c>
      <c r="J468" s="15">
        <v>4.2671905697445984</v>
      </c>
    </row>
    <row r="469" spans="1:10" x14ac:dyDescent="0.25">
      <c r="A469" s="2" t="s">
        <v>1403</v>
      </c>
      <c r="B469" s="2" t="s">
        <v>1404</v>
      </c>
      <c r="C469" s="2" t="s">
        <v>1405</v>
      </c>
      <c r="D469" s="2" t="s">
        <v>10040</v>
      </c>
      <c r="E469" s="15">
        <v>1.3899999999999999E-2</v>
      </c>
      <c r="F469" s="15">
        <v>7.9200000000000007E-2</v>
      </c>
      <c r="G469" s="15">
        <v>0.86050000000000004</v>
      </c>
      <c r="H469" s="15">
        <v>0.19089999999999999</v>
      </c>
      <c r="I469" s="15">
        <v>4.48E-2</v>
      </c>
      <c r="J469" s="15">
        <v>4.2611607142857144</v>
      </c>
    </row>
    <row r="470" spans="1:10" x14ac:dyDescent="0.25">
      <c r="A470" s="2" t="s">
        <v>1406</v>
      </c>
      <c r="B470" s="2" t="s">
        <v>1407</v>
      </c>
      <c r="C470" s="2" t="s">
        <v>1408</v>
      </c>
      <c r="D470" s="2" t="s">
        <v>10040</v>
      </c>
      <c r="E470" s="15">
        <v>1.3100000000000001E-2</v>
      </c>
      <c r="F470" s="15">
        <v>7.7899999999999997E-2</v>
      </c>
      <c r="G470" s="15">
        <v>0.8659</v>
      </c>
      <c r="H470" s="15">
        <v>0.21640000000000001</v>
      </c>
      <c r="I470" s="15">
        <v>4.8599999999999997E-2</v>
      </c>
      <c r="J470" s="15">
        <v>4.4526748971193424</v>
      </c>
    </row>
    <row r="471" spans="1:10" x14ac:dyDescent="0.25">
      <c r="A471" s="2" t="s">
        <v>1409</v>
      </c>
      <c r="B471" s="2" t="s">
        <v>1410</v>
      </c>
      <c r="C471" s="2" t="s">
        <v>1411</v>
      </c>
      <c r="D471" s="2" t="s">
        <v>10040</v>
      </c>
      <c r="E471" s="15">
        <v>0.18099999999999999</v>
      </c>
      <c r="F471" s="15">
        <v>0.1239</v>
      </c>
      <c r="G471" s="15">
        <v>0.14399999999999999</v>
      </c>
      <c r="H471" s="15">
        <v>9.0899999999999995E-2</v>
      </c>
      <c r="I471" s="15">
        <v>4.2999999999999997E-2</v>
      </c>
      <c r="J471" s="15">
        <v>2.113953488372093</v>
      </c>
    </row>
    <row r="472" spans="1:10" x14ac:dyDescent="0.25">
      <c r="A472" s="2" t="s">
        <v>1412</v>
      </c>
      <c r="B472" s="2" t="s">
        <v>1413</v>
      </c>
      <c r="C472" s="2" t="s">
        <v>1414</v>
      </c>
      <c r="D472" s="2" t="s">
        <v>10040</v>
      </c>
      <c r="E472" s="15">
        <v>4.8300000000000003E-2</v>
      </c>
      <c r="F472" s="15">
        <v>8.7599999999999997E-2</v>
      </c>
      <c r="G472" s="15">
        <v>0.58160000000000001</v>
      </c>
      <c r="H472" s="15">
        <v>0.19800000000000001</v>
      </c>
      <c r="I472" s="15">
        <v>4.5400000000000003E-2</v>
      </c>
      <c r="J472" s="15">
        <v>4.3612334801762112</v>
      </c>
    </row>
    <row r="473" spans="1:10" x14ac:dyDescent="0.25">
      <c r="A473" s="2" t="s">
        <v>1415</v>
      </c>
      <c r="B473" s="2" t="s">
        <v>1416</v>
      </c>
      <c r="C473" s="2" t="s">
        <v>1417</v>
      </c>
      <c r="D473" s="2" t="s">
        <v>10040</v>
      </c>
      <c r="E473" s="15">
        <v>0.1192</v>
      </c>
      <c r="F473" s="15">
        <v>8.9200000000000002E-2</v>
      </c>
      <c r="G473" s="15">
        <v>0.18140000000000001</v>
      </c>
      <c r="H473" s="15">
        <v>0.1991</v>
      </c>
      <c r="I473" s="15">
        <v>4.8000000000000001E-2</v>
      </c>
      <c r="J473" s="15">
        <v>4.1479166666666663</v>
      </c>
    </row>
    <row r="474" spans="1:10" x14ac:dyDescent="0.25">
      <c r="A474" s="2" t="s">
        <v>1418</v>
      </c>
      <c r="B474" s="2" t="s">
        <v>1419</v>
      </c>
      <c r="C474" s="2" t="s">
        <v>1420</v>
      </c>
      <c r="D474" s="2" t="s">
        <v>10040</v>
      </c>
      <c r="E474" s="15">
        <v>0.23860000000000001</v>
      </c>
      <c r="F474" s="15">
        <v>0.1217</v>
      </c>
      <c r="G474" s="15">
        <v>0.05</v>
      </c>
      <c r="H474" s="15">
        <v>0.1057</v>
      </c>
      <c r="I474" s="15">
        <v>4.6899999999999997E-2</v>
      </c>
      <c r="J474" s="15">
        <v>2.2537313432835822</v>
      </c>
    </row>
    <row r="475" spans="1:10" x14ac:dyDescent="0.25">
      <c r="A475" s="2" t="s">
        <v>1421</v>
      </c>
      <c r="B475" s="2" t="s">
        <v>1422</v>
      </c>
      <c r="C475" s="2" t="s">
        <v>1423</v>
      </c>
      <c r="D475" s="2" t="s">
        <v>10040</v>
      </c>
      <c r="E475" s="15">
        <v>0.16039999999999999</v>
      </c>
      <c r="F475" s="15">
        <v>9.5200000000000007E-2</v>
      </c>
      <c r="G475" s="15">
        <v>9.1800000000000007E-2</v>
      </c>
      <c r="H475" s="15">
        <v>0.14099999999999999</v>
      </c>
      <c r="I475" s="15">
        <v>4.0399999999999998E-2</v>
      </c>
      <c r="J475" s="15">
        <v>3.4900990099009901</v>
      </c>
    </row>
    <row r="476" spans="1:10" x14ac:dyDescent="0.25">
      <c r="A476" s="2" t="s">
        <v>1424</v>
      </c>
      <c r="B476" s="2" t="s">
        <v>1425</v>
      </c>
      <c r="C476" s="2" t="s">
        <v>1426</v>
      </c>
      <c r="D476" s="2" t="s">
        <v>10040</v>
      </c>
      <c r="E476" s="15">
        <v>0.1191</v>
      </c>
      <c r="F476" s="15">
        <v>9.69E-2</v>
      </c>
      <c r="G476" s="15">
        <v>0.21890000000000001</v>
      </c>
      <c r="H476" s="15">
        <v>0.13200000000000001</v>
      </c>
      <c r="I476" s="15">
        <v>4.6300000000000001E-2</v>
      </c>
      <c r="J476" s="15">
        <v>2.8509719222462202</v>
      </c>
    </row>
    <row r="477" spans="1:10" x14ac:dyDescent="0.25">
      <c r="A477" s="2" t="s">
        <v>1427</v>
      </c>
      <c r="B477" s="2" t="s">
        <v>1428</v>
      </c>
      <c r="C477" s="2" t="s">
        <v>1429</v>
      </c>
      <c r="D477" s="2" t="s">
        <v>10040</v>
      </c>
      <c r="E477" s="15">
        <v>6.7299999999999999E-2</v>
      </c>
      <c r="F477" s="15">
        <v>0.1041</v>
      </c>
      <c r="G477" s="15">
        <v>0.5181</v>
      </c>
      <c r="H477" s="15">
        <v>0.1356</v>
      </c>
      <c r="I477" s="15">
        <v>4.4200000000000003E-2</v>
      </c>
      <c r="J477" s="15">
        <v>3.067873303167421</v>
      </c>
    </row>
    <row r="478" spans="1:10" x14ac:dyDescent="0.25">
      <c r="A478" s="2" t="s">
        <v>1430</v>
      </c>
      <c r="B478" s="2" t="s">
        <v>1431</v>
      </c>
      <c r="C478" s="2" t="s">
        <v>1432</v>
      </c>
      <c r="D478" s="2" t="s">
        <v>10040</v>
      </c>
      <c r="E478" s="15">
        <v>4.7E-2</v>
      </c>
      <c r="F478" s="15">
        <v>9.35E-2</v>
      </c>
      <c r="G478" s="15">
        <v>0.6149</v>
      </c>
      <c r="H478" s="15">
        <v>0.1348</v>
      </c>
      <c r="I478" s="15">
        <v>4.7800000000000002E-2</v>
      </c>
      <c r="J478" s="15">
        <v>2.8200836820083679</v>
      </c>
    </row>
    <row r="479" spans="1:10" x14ac:dyDescent="0.25">
      <c r="A479" s="2" t="s">
        <v>1433</v>
      </c>
      <c r="B479" s="2" t="s">
        <v>1434</v>
      </c>
      <c r="C479" s="2" t="s">
        <v>1435</v>
      </c>
      <c r="D479" s="2" t="s">
        <v>10040</v>
      </c>
      <c r="E479" s="15">
        <v>6.2799999999999995E-2</v>
      </c>
      <c r="F479" s="15">
        <v>9.3200000000000005E-2</v>
      </c>
      <c r="G479" s="15">
        <v>0.50060000000000004</v>
      </c>
      <c r="H479" s="15">
        <v>0.18229999999999999</v>
      </c>
      <c r="I479" s="15">
        <v>4.82E-2</v>
      </c>
      <c r="J479" s="15">
        <v>3.782157676348548</v>
      </c>
    </row>
    <row r="480" spans="1:10" x14ac:dyDescent="0.25">
      <c r="A480" s="2" t="s">
        <v>1436</v>
      </c>
      <c r="B480" s="2" t="s">
        <v>1437</v>
      </c>
      <c r="C480" s="2" t="s">
        <v>1438</v>
      </c>
      <c r="D480" s="2" t="s">
        <v>10040</v>
      </c>
      <c r="E480" s="15">
        <v>9.7699999999999995E-2</v>
      </c>
      <c r="F480" s="15">
        <v>6.9000000000000006E-2</v>
      </c>
      <c r="G480" s="15">
        <v>0.15709999999999999</v>
      </c>
      <c r="H480" s="15">
        <v>0.26790000000000003</v>
      </c>
      <c r="I480" s="15">
        <v>5.5E-2</v>
      </c>
      <c r="J480" s="15">
        <v>4.8709090909090911</v>
      </c>
    </row>
    <row r="481" spans="1:10" x14ac:dyDescent="0.25">
      <c r="A481" s="2" t="s">
        <v>1439</v>
      </c>
      <c r="B481" s="2" t="s">
        <v>1440</v>
      </c>
      <c r="C481" s="2" t="s">
        <v>1441</v>
      </c>
      <c r="D481" s="2" t="s">
        <v>10040</v>
      </c>
      <c r="E481" s="15">
        <v>5.5500000000000001E-2</v>
      </c>
      <c r="F481" s="15">
        <v>7.7399999999999997E-2</v>
      </c>
      <c r="G481" s="15">
        <v>0.4733</v>
      </c>
      <c r="H481" s="15">
        <v>0.2099</v>
      </c>
      <c r="I481" s="15">
        <v>4.8899999999999999E-2</v>
      </c>
      <c r="J481" s="15">
        <v>4.2924335378323111</v>
      </c>
    </row>
    <row r="482" spans="1:10" x14ac:dyDescent="0.25">
      <c r="A482" s="2" t="s">
        <v>1442</v>
      </c>
      <c r="B482" s="2" t="s">
        <v>1443</v>
      </c>
      <c r="C482" s="2" t="s">
        <v>1444</v>
      </c>
      <c r="D482" s="2" t="s">
        <v>10040</v>
      </c>
      <c r="E482" s="15">
        <v>2.5999999999999999E-2</v>
      </c>
      <c r="F482" s="15">
        <v>0.10630000000000001</v>
      </c>
      <c r="G482" s="15">
        <v>0.80659999999999998</v>
      </c>
      <c r="H482" s="15">
        <v>0.1288</v>
      </c>
      <c r="I482" s="15">
        <v>4.41E-2</v>
      </c>
      <c r="J482" s="15">
        <v>2.92063492063492</v>
      </c>
    </row>
    <row r="483" spans="1:10" x14ac:dyDescent="0.25">
      <c r="A483" s="2" t="s">
        <v>1445</v>
      </c>
      <c r="B483" s="2" t="s">
        <v>1446</v>
      </c>
      <c r="C483" s="2" t="s">
        <v>1447</v>
      </c>
      <c r="D483" s="2" t="s">
        <v>10040</v>
      </c>
      <c r="E483" s="15">
        <v>4.53E-2</v>
      </c>
      <c r="F483" s="15">
        <v>8.2400000000000001E-2</v>
      </c>
      <c r="G483" s="15">
        <v>0.58289999999999997</v>
      </c>
      <c r="H483" s="15">
        <v>0.21099999999999999</v>
      </c>
      <c r="I483" s="15">
        <v>4.9200000000000001E-2</v>
      </c>
      <c r="J483" s="15">
        <v>4.2886178861788613</v>
      </c>
    </row>
    <row r="484" spans="1:10" x14ac:dyDescent="0.25">
      <c r="A484" s="2" t="s">
        <v>1448</v>
      </c>
      <c r="B484" s="2" t="s">
        <v>1449</v>
      </c>
      <c r="C484" s="2" t="s">
        <v>1450</v>
      </c>
      <c r="D484" s="2" t="s">
        <v>10040</v>
      </c>
      <c r="E484" s="15">
        <v>0.13220000000000001</v>
      </c>
      <c r="F484" s="15">
        <v>7.8899999999999998E-2</v>
      </c>
      <c r="G484" s="15">
        <v>9.3700000000000006E-2</v>
      </c>
      <c r="H484" s="15">
        <v>0.20660000000000001</v>
      </c>
      <c r="I484" s="15">
        <v>4.5900000000000003E-2</v>
      </c>
      <c r="J484" s="15">
        <v>4.5010893246187358</v>
      </c>
    </row>
    <row r="485" spans="1:10" x14ac:dyDescent="0.25">
      <c r="A485" s="2" t="s">
        <v>1451</v>
      </c>
      <c r="B485" s="2" t="s">
        <v>1452</v>
      </c>
      <c r="C485" s="2" t="s">
        <v>1453</v>
      </c>
      <c r="D485" s="2" t="s">
        <v>10040</v>
      </c>
      <c r="E485" s="15">
        <v>0.18</v>
      </c>
      <c r="F485" s="15">
        <v>0.1163</v>
      </c>
      <c r="G485" s="15">
        <v>0.1216</v>
      </c>
      <c r="H485" s="15">
        <v>0.1207</v>
      </c>
      <c r="I485" s="15">
        <v>4.2000000000000003E-2</v>
      </c>
      <c r="J485" s="15">
        <v>2.8738095238095238</v>
      </c>
    </row>
    <row r="486" spans="1:10" x14ac:dyDescent="0.25">
      <c r="A486" s="2" t="s">
        <v>1454</v>
      </c>
      <c r="B486" s="2" t="s">
        <v>1455</v>
      </c>
      <c r="C486" s="2" t="s">
        <v>1456</v>
      </c>
      <c r="D486" s="2" t="s">
        <v>10040</v>
      </c>
      <c r="E486" s="15">
        <v>7.4099999999999999E-2</v>
      </c>
      <c r="F486" s="15">
        <v>9.3899999999999997E-2</v>
      </c>
      <c r="G486" s="15">
        <v>0.43009999999999998</v>
      </c>
      <c r="H486" s="15">
        <v>0.14099999999999999</v>
      </c>
      <c r="I486" s="15">
        <v>4.0099999999999997E-2</v>
      </c>
      <c r="J486" s="15">
        <v>3.5162094763092271</v>
      </c>
    </row>
    <row r="487" spans="1:10" x14ac:dyDescent="0.25">
      <c r="A487" s="2" t="s">
        <v>1457</v>
      </c>
      <c r="B487" s="2" t="s">
        <v>1458</v>
      </c>
      <c r="C487" s="2" t="s">
        <v>1459</v>
      </c>
      <c r="D487" s="2" t="s">
        <v>10040</v>
      </c>
      <c r="E487" s="15">
        <v>0.375</v>
      </c>
      <c r="F487" s="15">
        <v>0.19439999999999999</v>
      </c>
      <c r="G487" s="15">
        <v>5.3699999999999998E-2</v>
      </c>
      <c r="H487" s="15">
        <v>5.3699999999999998E-2</v>
      </c>
      <c r="I487" s="15">
        <v>4.2299999999999997E-2</v>
      </c>
      <c r="J487" s="15">
        <v>1.2695035460992909</v>
      </c>
    </row>
    <row r="488" spans="1:10" x14ac:dyDescent="0.25">
      <c r="A488" s="2" t="s">
        <v>1460</v>
      </c>
      <c r="B488" s="2" t="s">
        <v>1461</v>
      </c>
      <c r="C488" s="2" t="s">
        <v>1462</v>
      </c>
      <c r="D488" s="2" t="s">
        <v>10040</v>
      </c>
      <c r="E488" s="15">
        <v>0.1774</v>
      </c>
      <c r="F488" s="15">
        <v>0.106</v>
      </c>
      <c r="G488" s="15">
        <v>9.4399999999999998E-2</v>
      </c>
      <c r="H488" s="15">
        <v>0.10639999999999999</v>
      </c>
      <c r="I488" s="15">
        <v>4.53E-2</v>
      </c>
      <c r="J488" s="15">
        <v>2.3487858719646799</v>
      </c>
    </row>
    <row r="489" spans="1:10" x14ac:dyDescent="0.25">
      <c r="A489" s="2" t="s">
        <v>1463</v>
      </c>
      <c r="B489" s="2" t="s">
        <v>1464</v>
      </c>
      <c r="C489" s="2" t="s">
        <v>1465</v>
      </c>
      <c r="D489" s="2" t="s">
        <v>10040</v>
      </c>
      <c r="E489" s="15">
        <v>-1.6999999999999999E-3</v>
      </c>
      <c r="F489" s="15">
        <v>7.0900000000000005E-2</v>
      </c>
      <c r="G489" s="15">
        <v>0.98050000000000004</v>
      </c>
      <c r="H489" s="15">
        <v>0.30259999999999998</v>
      </c>
      <c r="I489" s="15">
        <v>5.6599999999999998E-2</v>
      </c>
      <c r="J489" s="15">
        <v>5.3462897526501756</v>
      </c>
    </row>
    <row r="490" spans="1:10" x14ac:dyDescent="0.25">
      <c r="A490" s="2" t="s">
        <v>1466</v>
      </c>
      <c r="B490" s="2" t="s">
        <v>1467</v>
      </c>
      <c r="C490" s="2" t="s">
        <v>1468</v>
      </c>
      <c r="D490" s="2" t="s">
        <v>10040</v>
      </c>
      <c r="E490" s="15">
        <v>6.7900000000000002E-2</v>
      </c>
      <c r="F490" s="15">
        <v>0.1081</v>
      </c>
      <c r="G490" s="15">
        <v>0.5302</v>
      </c>
      <c r="H490" s="15">
        <v>0.13139999999999999</v>
      </c>
      <c r="I490" s="15">
        <v>4.3299999999999998E-2</v>
      </c>
      <c r="J490" s="15">
        <v>3.034642032332564</v>
      </c>
    </row>
    <row r="491" spans="1:10" x14ac:dyDescent="0.25">
      <c r="A491" s="2" t="s">
        <v>1469</v>
      </c>
      <c r="B491" s="2" t="s">
        <v>1470</v>
      </c>
      <c r="C491" s="2" t="s">
        <v>1471</v>
      </c>
      <c r="D491" s="2" t="s">
        <v>10040</v>
      </c>
      <c r="E491" s="15">
        <v>8.3900000000000002E-2</v>
      </c>
      <c r="F491" s="15">
        <v>0.10440000000000001</v>
      </c>
      <c r="G491" s="15">
        <v>0.42130000000000001</v>
      </c>
      <c r="H491" s="15">
        <v>0.1246</v>
      </c>
      <c r="I491" s="15">
        <v>4.2500000000000003E-2</v>
      </c>
      <c r="J491" s="15">
        <v>2.9317647058823528</v>
      </c>
    </row>
    <row r="492" spans="1:10" x14ac:dyDescent="0.25">
      <c r="A492" s="2" t="s">
        <v>1472</v>
      </c>
      <c r="B492" s="2" t="s">
        <v>1473</v>
      </c>
      <c r="C492" s="2" t="s">
        <v>1474</v>
      </c>
      <c r="D492" s="2" t="s">
        <v>10040</v>
      </c>
      <c r="E492" s="15">
        <v>3.15E-2</v>
      </c>
      <c r="F492" s="15">
        <v>8.2699999999999996E-2</v>
      </c>
      <c r="G492" s="15">
        <v>0.70369999999999999</v>
      </c>
      <c r="H492" s="15">
        <v>0.21190000000000001</v>
      </c>
      <c r="I492" s="15">
        <v>4.6699999999999998E-2</v>
      </c>
      <c r="J492" s="15">
        <v>4.537473233404711</v>
      </c>
    </row>
    <row r="493" spans="1:10" x14ac:dyDescent="0.25">
      <c r="A493" s="2" t="s">
        <v>1475</v>
      </c>
      <c r="B493" s="2" t="s">
        <v>1476</v>
      </c>
      <c r="C493" s="2" t="s">
        <v>1477</v>
      </c>
      <c r="D493" s="2" t="s">
        <v>10040</v>
      </c>
      <c r="E493" s="15">
        <v>8.6800000000000002E-2</v>
      </c>
      <c r="F493" s="15">
        <v>6.7900000000000002E-2</v>
      </c>
      <c r="G493" s="15">
        <v>0.2011</v>
      </c>
      <c r="H493" s="15">
        <v>0.28949999999999998</v>
      </c>
      <c r="I493" s="15">
        <v>4.9599999999999998E-2</v>
      </c>
      <c r="J493" s="15">
        <v>5.836693548387097</v>
      </c>
    </row>
    <row r="494" spans="1:10" x14ac:dyDescent="0.25">
      <c r="A494" s="2" t="s">
        <v>1478</v>
      </c>
      <c r="B494" s="2" t="s">
        <v>1479</v>
      </c>
      <c r="C494" s="2" t="s">
        <v>1480</v>
      </c>
      <c r="D494" s="2" t="s">
        <v>10040</v>
      </c>
      <c r="E494" s="15">
        <v>-2.46E-2</v>
      </c>
      <c r="F494" s="15">
        <v>0.1143</v>
      </c>
      <c r="G494" s="15">
        <v>0.82940000000000003</v>
      </c>
      <c r="H494" s="15">
        <v>0.1042</v>
      </c>
      <c r="I494" s="15">
        <v>4.48E-2</v>
      </c>
      <c r="J494" s="15">
        <v>2.3258928571428572</v>
      </c>
    </row>
    <row r="495" spans="1:10" x14ac:dyDescent="0.25">
      <c r="A495" s="2" t="s">
        <v>1481</v>
      </c>
      <c r="B495" s="2" t="s">
        <v>1482</v>
      </c>
      <c r="C495" s="2" t="s">
        <v>1483</v>
      </c>
      <c r="D495" s="2" t="s">
        <v>10040</v>
      </c>
      <c r="E495" s="15">
        <v>4.5699999999999998E-2</v>
      </c>
      <c r="F495" s="15">
        <v>8.1299999999999997E-2</v>
      </c>
      <c r="G495" s="15">
        <v>0.57440000000000002</v>
      </c>
      <c r="H495" s="15">
        <v>0.189</v>
      </c>
      <c r="I495" s="15">
        <v>4.1500000000000002E-2</v>
      </c>
      <c r="J495" s="15">
        <v>4.5542168674698793</v>
      </c>
    </row>
    <row r="496" spans="1:10" x14ac:dyDescent="0.25">
      <c r="A496" s="2" t="s">
        <v>1484</v>
      </c>
      <c r="B496" s="2" t="s">
        <v>1485</v>
      </c>
      <c r="C496" s="2" t="s">
        <v>1486</v>
      </c>
      <c r="D496" s="2" t="s">
        <v>10040</v>
      </c>
      <c r="E496" s="15">
        <v>0.27260000000000001</v>
      </c>
      <c r="F496" s="15">
        <v>0.10489999999999999</v>
      </c>
      <c r="G496" s="15">
        <v>9.2999999999999992E-3</v>
      </c>
      <c r="H496" s="15">
        <v>0.1406</v>
      </c>
      <c r="I496" s="15">
        <v>3.8899999999999997E-2</v>
      </c>
      <c r="J496" s="15">
        <v>3.614395886889461</v>
      </c>
    </row>
    <row r="497" spans="1:10" x14ac:dyDescent="0.25">
      <c r="A497" s="2" t="s">
        <v>1487</v>
      </c>
      <c r="B497" s="2" t="s">
        <v>1488</v>
      </c>
      <c r="C497" s="2" t="s">
        <v>1489</v>
      </c>
      <c r="D497" s="2" t="s">
        <v>10040</v>
      </c>
      <c r="E497" s="15">
        <v>9.7199999999999995E-2</v>
      </c>
      <c r="F497" s="15">
        <v>7.5600000000000001E-2</v>
      </c>
      <c r="G497" s="15">
        <v>0.19839999999999999</v>
      </c>
      <c r="H497" s="15">
        <v>0.2301</v>
      </c>
      <c r="I497" s="15">
        <v>4.3799999999999999E-2</v>
      </c>
      <c r="J497" s="15">
        <v>5.2534246575342456</v>
      </c>
    </row>
    <row r="498" spans="1:10" x14ac:dyDescent="0.25">
      <c r="A498" s="2" t="s">
        <v>1490</v>
      </c>
      <c r="B498" s="2" t="s">
        <v>1491</v>
      </c>
      <c r="C498" s="2" t="s">
        <v>1492</v>
      </c>
      <c r="D498" s="2" t="s">
        <v>10040</v>
      </c>
      <c r="E498" s="15">
        <v>0.14760000000000001</v>
      </c>
      <c r="F498" s="15">
        <v>9.1200000000000003E-2</v>
      </c>
      <c r="G498" s="15">
        <v>0.10539999999999999</v>
      </c>
      <c r="H498" s="15">
        <v>0.1734</v>
      </c>
      <c r="I498" s="15">
        <v>4.82E-2</v>
      </c>
      <c r="J498" s="15">
        <v>3.5975103734439839</v>
      </c>
    </row>
    <row r="499" spans="1:10" x14ac:dyDescent="0.25">
      <c r="A499" s="2" t="s">
        <v>1493</v>
      </c>
      <c r="B499" s="2" t="s">
        <v>1494</v>
      </c>
      <c r="C499" s="2" t="s">
        <v>1495</v>
      </c>
      <c r="D499" s="2" t="s">
        <v>10040</v>
      </c>
      <c r="E499" s="15">
        <v>-3.3E-3</v>
      </c>
      <c r="F499" s="15">
        <v>0.1047</v>
      </c>
      <c r="G499" s="15">
        <v>0.97460000000000002</v>
      </c>
      <c r="H499" s="15">
        <v>0.1043</v>
      </c>
      <c r="I499" s="15">
        <v>4.36E-2</v>
      </c>
      <c r="J499" s="15">
        <v>2.392201834862385</v>
      </c>
    </row>
    <row r="500" spans="1:10" x14ac:dyDescent="0.25">
      <c r="A500" s="2" t="s">
        <v>1496</v>
      </c>
      <c r="B500" s="2" t="s">
        <v>1497</v>
      </c>
      <c r="C500" s="2" t="s">
        <v>1498</v>
      </c>
      <c r="D500" s="2" t="s">
        <v>10040</v>
      </c>
      <c r="E500" s="15">
        <v>-3.7000000000000002E-3</v>
      </c>
      <c r="F500" s="15">
        <v>8.9399999999999993E-2</v>
      </c>
      <c r="G500" s="15">
        <v>0.96740000000000004</v>
      </c>
      <c r="H500" s="15">
        <v>0.16120000000000001</v>
      </c>
      <c r="I500" s="15">
        <v>4.8500000000000001E-2</v>
      </c>
      <c r="J500" s="15">
        <v>3.3237113402061862</v>
      </c>
    </row>
    <row r="501" spans="1:10" x14ac:dyDescent="0.25">
      <c r="A501" s="2" t="s">
        <v>1499</v>
      </c>
      <c r="B501" s="2" t="s">
        <v>1500</v>
      </c>
      <c r="C501" s="2" t="s">
        <v>1501</v>
      </c>
      <c r="D501" s="2" t="s">
        <v>10040</v>
      </c>
      <c r="E501" s="15">
        <v>4.5900000000000003E-2</v>
      </c>
      <c r="F501" s="15">
        <v>8.2400000000000001E-2</v>
      </c>
      <c r="G501" s="15">
        <v>0.57779999999999998</v>
      </c>
      <c r="H501" s="15">
        <v>0.2291</v>
      </c>
      <c r="I501" s="15">
        <v>5.0200000000000002E-2</v>
      </c>
      <c r="J501" s="15">
        <v>4.5637450199203187</v>
      </c>
    </row>
    <row r="502" spans="1:10" x14ac:dyDescent="0.25">
      <c r="A502" s="2" t="s">
        <v>1502</v>
      </c>
      <c r="B502" s="2" t="s">
        <v>1503</v>
      </c>
      <c r="C502" s="2" t="s">
        <v>1504</v>
      </c>
      <c r="D502" s="2" t="s">
        <v>10040</v>
      </c>
      <c r="E502" s="15">
        <v>0.1472</v>
      </c>
      <c r="F502" s="15">
        <v>8.6300000000000002E-2</v>
      </c>
      <c r="G502" s="15">
        <v>8.8200000000000001E-2</v>
      </c>
      <c r="H502" s="15">
        <v>0.14680000000000001</v>
      </c>
      <c r="I502" s="15">
        <v>4.5400000000000003E-2</v>
      </c>
      <c r="J502" s="15">
        <v>3.233480176211454</v>
      </c>
    </row>
    <row r="503" spans="1:10" x14ac:dyDescent="0.25">
      <c r="A503" s="2" t="s">
        <v>1505</v>
      </c>
      <c r="B503" s="2" t="s">
        <v>1506</v>
      </c>
      <c r="C503" s="2" t="s">
        <v>1507</v>
      </c>
      <c r="D503" s="2" t="s">
        <v>10040</v>
      </c>
      <c r="E503" s="15">
        <v>-2.9899999999999999E-2</v>
      </c>
      <c r="F503" s="15">
        <v>0.1053</v>
      </c>
      <c r="G503" s="15">
        <v>0.77680000000000005</v>
      </c>
      <c r="H503" s="15">
        <v>0.1278</v>
      </c>
      <c r="I503" s="15">
        <v>3.9800000000000002E-2</v>
      </c>
      <c r="J503" s="15">
        <v>3.2110552763819089</v>
      </c>
    </row>
    <row r="504" spans="1:10" x14ac:dyDescent="0.25">
      <c r="A504" s="2" t="s">
        <v>1508</v>
      </c>
      <c r="B504" s="2" t="s">
        <v>1509</v>
      </c>
      <c r="C504" s="2" t="s">
        <v>1510</v>
      </c>
      <c r="D504" s="2" t="s">
        <v>10040</v>
      </c>
      <c r="E504" s="15">
        <v>0.14910000000000001</v>
      </c>
      <c r="F504" s="15">
        <v>0.12280000000000001</v>
      </c>
      <c r="G504" s="15">
        <v>0.22459999999999999</v>
      </c>
      <c r="H504" s="15">
        <v>9.4200000000000006E-2</v>
      </c>
      <c r="I504" s="15">
        <v>4.4600000000000001E-2</v>
      </c>
      <c r="J504" s="15">
        <v>2.1121076233183862</v>
      </c>
    </row>
    <row r="505" spans="1:10" x14ac:dyDescent="0.25">
      <c r="A505" s="2" t="s">
        <v>1511</v>
      </c>
      <c r="B505" s="2" t="s">
        <v>1512</v>
      </c>
      <c r="C505" s="2" t="s">
        <v>1513</v>
      </c>
      <c r="D505" s="2" t="s">
        <v>10040</v>
      </c>
      <c r="E505" s="15">
        <v>-4.0000000000000001E-3</v>
      </c>
      <c r="F505" s="15">
        <v>8.7599999999999997E-2</v>
      </c>
      <c r="G505" s="15">
        <v>0.96330000000000005</v>
      </c>
      <c r="H505" s="15">
        <v>0.18759999999999999</v>
      </c>
      <c r="I505" s="15">
        <v>3.7100000000000001E-2</v>
      </c>
      <c r="J505" s="15">
        <v>5.0566037735849054</v>
      </c>
    </row>
    <row r="506" spans="1:10" x14ac:dyDescent="0.25">
      <c r="A506" s="2" t="s">
        <v>1514</v>
      </c>
      <c r="B506" s="2" t="s">
        <v>1515</v>
      </c>
      <c r="C506" s="2" t="s">
        <v>1516</v>
      </c>
      <c r="D506" s="2" t="s">
        <v>10040</v>
      </c>
      <c r="E506" s="15">
        <v>0.28799999999999998</v>
      </c>
      <c r="F506" s="15">
        <v>0.2069</v>
      </c>
      <c r="G506" s="15">
        <v>0.1638</v>
      </c>
      <c r="H506" s="15">
        <v>4.3900000000000002E-2</v>
      </c>
      <c r="I506" s="15">
        <v>4.3799999999999999E-2</v>
      </c>
      <c r="J506" s="15">
        <v>1.0022831050228309</v>
      </c>
    </row>
    <row r="507" spans="1:10" x14ac:dyDescent="0.25">
      <c r="A507" s="2" t="s">
        <v>1517</v>
      </c>
      <c r="B507" s="2" t="s">
        <v>1518</v>
      </c>
      <c r="C507" s="2" t="s">
        <v>1519</v>
      </c>
      <c r="D507" s="2" t="s">
        <v>10040</v>
      </c>
      <c r="E507" s="15">
        <v>-5.79E-2</v>
      </c>
      <c r="F507" s="15">
        <v>0.123</v>
      </c>
      <c r="G507" s="15">
        <v>0.63759999999999994</v>
      </c>
      <c r="H507" s="15">
        <v>0.11550000000000001</v>
      </c>
      <c r="I507" s="15">
        <v>4.2500000000000003E-2</v>
      </c>
      <c r="J507" s="15">
        <v>2.71764705882353</v>
      </c>
    </row>
    <row r="508" spans="1:10" x14ac:dyDescent="0.25">
      <c r="A508" s="2" t="s">
        <v>1520</v>
      </c>
      <c r="B508" s="2" t="s">
        <v>1521</v>
      </c>
      <c r="C508" s="2" t="s">
        <v>1522</v>
      </c>
      <c r="D508" s="2" t="s">
        <v>10040</v>
      </c>
      <c r="E508" s="15">
        <v>0.14549999999999999</v>
      </c>
      <c r="F508" s="15">
        <v>0.10680000000000001</v>
      </c>
      <c r="G508" s="15">
        <v>0.1734</v>
      </c>
      <c r="H508" s="15">
        <v>0.10050000000000001</v>
      </c>
      <c r="I508" s="15">
        <v>3.73E-2</v>
      </c>
      <c r="J508" s="15">
        <v>2.6943699731903492</v>
      </c>
    </row>
    <row r="509" spans="1:10" x14ac:dyDescent="0.25">
      <c r="A509" s="2" t="s">
        <v>1523</v>
      </c>
      <c r="B509" s="2" t="s">
        <v>1524</v>
      </c>
      <c r="C509" s="2" t="s">
        <v>1525</v>
      </c>
      <c r="D509" s="2" t="s">
        <v>10040</v>
      </c>
      <c r="E509" s="15">
        <v>6.54E-2</v>
      </c>
      <c r="F509" s="15">
        <v>8.7599999999999997E-2</v>
      </c>
      <c r="G509" s="15">
        <v>0.45569999999999999</v>
      </c>
      <c r="H509" s="15">
        <v>0.16259999999999999</v>
      </c>
      <c r="I509" s="15">
        <v>7.6999999999999999E-2</v>
      </c>
      <c r="J509" s="15">
        <v>2.1116883116883121</v>
      </c>
    </row>
    <row r="510" spans="1:10" x14ac:dyDescent="0.25">
      <c r="A510" s="2" t="s">
        <v>1526</v>
      </c>
      <c r="B510" s="2" t="s">
        <v>1527</v>
      </c>
      <c r="C510" s="2" t="s">
        <v>1528</v>
      </c>
      <c r="D510" s="2" t="s">
        <v>10040</v>
      </c>
      <c r="E510" s="15">
        <v>0.12620000000000001</v>
      </c>
      <c r="F510" s="15">
        <v>8.0399999999999999E-2</v>
      </c>
      <c r="G510" s="15">
        <v>0.1166</v>
      </c>
      <c r="H510" s="15">
        <v>0.23139999999999999</v>
      </c>
      <c r="I510" s="15">
        <v>4.7500000000000001E-2</v>
      </c>
      <c r="J510" s="15">
        <v>4.8715789473684206</v>
      </c>
    </row>
    <row r="511" spans="1:10" x14ac:dyDescent="0.25">
      <c r="A511" s="2" t="s">
        <v>1529</v>
      </c>
      <c r="B511" s="2" t="s">
        <v>1530</v>
      </c>
      <c r="C511" s="2" t="s">
        <v>1531</v>
      </c>
      <c r="D511" s="2" t="s">
        <v>10040</v>
      </c>
      <c r="E511" s="15">
        <v>-9.2999999999999992E-3</v>
      </c>
      <c r="F511" s="15">
        <v>9.5600000000000004E-2</v>
      </c>
      <c r="G511" s="15">
        <v>0.92210000000000003</v>
      </c>
      <c r="H511" s="15">
        <v>0.1573</v>
      </c>
      <c r="I511" s="15">
        <v>4.5499999999999999E-2</v>
      </c>
      <c r="J511" s="15">
        <v>3.4571428571428569</v>
      </c>
    </row>
    <row r="512" spans="1:10" x14ac:dyDescent="0.25">
      <c r="A512" s="2" t="s">
        <v>1532</v>
      </c>
      <c r="B512" s="2" t="s">
        <v>1533</v>
      </c>
      <c r="C512" s="2" t="s">
        <v>1534</v>
      </c>
      <c r="D512" s="2" t="s">
        <v>10040</v>
      </c>
      <c r="E512" s="15">
        <v>7.4999999999999997E-2</v>
      </c>
      <c r="F512" s="15">
        <v>7.4300000000000005E-2</v>
      </c>
      <c r="G512" s="15">
        <v>0.31280000000000002</v>
      </c>
      <c r="H512" s="15">
        <v>0.2737</v>
      </c>
      <c r="I512" s="15">
        <v>5.1499999999999997E-2</v>
      </c>
      <c r="J512" s="15">
        <v>5.3145631067961174</v>
      </c>
    </row>
    <row r="513" spans="1:10" x14ac:dyDescent="0.25">
      <c r="A513" s="2" t="s">
        <v>1535</v>
      </c>
      <c r="B513" s="2" t="s">
        <v>1536</v>
      </c>
      <c r="C513" s="2" t="s">
        <v>1537</v>
      </c>
      <c r="D513" s="2" t="s">
        <v>10040</v>
      </c>
      <c r="E513" s="15">
        <v>0.16270000000000001</v>
      </c>
      <c r="F513" s="15">
        <v>0.1893</v>
      </c>
      <c r="G513" s="15">
        <v>0.3901</v>
      </c>
      <c r="H513" s="15">
        <v>3.85E-2</v>
      </c>
      <c r="I513" s="15">
        <v>3.5200000000000002E-2</v>
      </c>
      <c r="J513" s="15">
        <v>1.09375</v>
      </c>
    </row>
    <row r="514" spans="1:10" x14ac:dyDescent="0.25">
      <c r="A514" s="2" t="s">
        <v>1538</v>
      </c>
      <c r="B514" s="2" t="s">
        <v>1539</v>
      </c>
      <c r="C514" s="2" t="s">
        <v>1540</v>
      </c>
      <c r="D514" s="2" t="s">
        <v>10040</v>
      </c>
      <c r="E514" s="15"/>
      <c r="F514" s="15"/>
      <c r="G514" s="15"/>
      <c r="H514" s="15"/>
      <c r="I514" s="15"/>
      <c r="J514" s="15"/>
    </row>
    <row r="515" spans="1:10" x14ac:dyDescent="0.25">
      <c r="A515" s="2" t="s">
        <v>1541</v>
      </c>
      <c r="B515" s="2" t="s">
        <v>1542</v>
      </c>
      <c r="C515" s="2" t="s">
        <v>1543</v>
      </c>
      <c r="D515" s="2" t="s">
        <v>10040</v>
      </c>
      <c r="E515" s="15">
        <v>0.26129999999999998</v>
      </c>
      <c r="F515" s="15">
        <v>0.1399</v>
      </c>
      <c r="G515" s="15">
        <v>6.1699999999999998E-2</v>
      </c>
      <c r="H515" s="15">
        <v>7.8700000000000006E-2</v>
      </c>
      <c r="I515" s="15">
        <v>4.6100000000000002E-2</v>
      </c>
      <c r="J515" s="15">
        <v>1.707158351409978</v>
      </c>
    </row>
    <row r="516" spans="1:10" x14ac:dyDescent="0.25">
      <c r="A516" s="2" t="s">
        <v>1544</v>
      </c>
      <c r="B516" s="2" t="s">
        <v>1545</v>
      </c>
      <c r="C516" s="2" t="s">
        <v>1546</v>
      </c>
      <c r="D516" s="2" t="s">
        <v>10040</v>
      </c>
      <c r="E516" s="15">
        <v>8.5199999999999998E-2</v>
      </c>
      <c r="F516" s="15">
        <v>9.9500000000000005E-2</v>
      </c>
      <c r="G516" s="15">
        <v>0.39229999999999998</v>
      </c>
      <c r="H516" s="15">
        <v>0.1482</v>
      </c>
      <c r="I516" s="15">
        <v>3.8199999999999998E-2</v>
      </c>
      <c r="J516" s="15">
        <v>3.8795811518324612</v>
      </c>
    </row>
    <row r="517" spans="1:10" x14ac:dyDescent="0.25">
      <c r="A517" s="2" t="s">
        <v>1547</v>
      </c>
      <c r="B517" s="2" t="s">
        <v>1548</v>
      </c>
      <c r="C517" s="2" t="s">
        <v>1549</v>
      </c>
      <c r="D517" s="2" t="s">
        <v>10040</v>
      </c>
      <c r="E517" s="15">
        <v>0.2195</v>
      </c>
      <c r="F517" s="15">
        <v>0.10059999999999999</v>
      </c>
      <c r="G517" s="15">
        <v>2.9100000000000001E-2</v>
      </c>
      <c r="H517" s="15">
        <v>0.14030000000000001</v>
      </c>
      <c r="I517" s="15">
        <v>4.1599999999999998E-2</v>
      </c>
      <c r="J517" s="15">
        <v>3.3725961538461542</v>
      </c>
    </row>
    <row r="518" spans="1:10" x14ac:dyDescent="0.25">
      <c r="A518" s="2" t="s">
        <v>1550</v>
      </c>
      <c r="B518" s="2" t="s">
        <v>1551</v>
      </c>
      <c r="C518" s="2" t="s">
        <v>1552</v>
      </c>
      <c r="D518" s="2" t="s">
        <v>10040</v>
      </c>
      <c r="E518" s="15">
        <v>-3.7600000000000001E-2</v>
      </c>
      <c r="F518" s="15">
        <v>0.14580000000000001</v>
      </c>
      <c r="G518" s="15">
        <v>0.79630000000000001</v>
      </c>
      <c r="H518" s="15">
        <v>6.9699999999999998E-2</v>
      </c>
      <c r="I518" s="15">
        <v>4.82E-2</v>
      </c>
      <c r="J518" s="15">
        <v>1.446058091286307</v>
      </c>
    </row>
    <row r="519" spans="1:10" x14ac:dyDescent="0.25">
      <c r="A519" s="2" t="s">
        <v>1553</v>
      </c>
      <c r="B519" s="2" t="s">
        <v>1554</v>
      </c>
      <c r="C519" s="2" t="s">
        <v>1555</v>
      </c>
      <c r="D519" s="2" t="s">
        <v>10040</v>
      </c>
      <c r="E519" s="15">
        <v>6.7000000000000004E-2</v>
      </c>
      <c r="F519" s="15">
        <v>8.7900000000000006E-2</v>
      </c>
      <c r="G519" s="15">
        <v>0.44550000000000001</v>
      </c>
      <c r="H519" s="15">
        <v>0.15279999999999999</v>
      </c>
      <c r="I519" s="15">
        <v>4.3900000000000002E-2</v>
      </c>
      <c r="J519" s="15">
        <v>3.4806378132118452</v>
      </c>
    </row>
    <row r="520" spans="1:10" x14ac:dyDescent="0.25">
      <c r="A520" s="2" t="s">
        <v>1556</v>
      </c>
      <c r="B520" s="2" t="s">
        <v>1557</v>
      </c>
      <c r="C520" s="2" t="s">
        <v>1558</v>
      </c>
      <c r="D520" s="2" t="s">
        <v>10040</v>
      </c>
      <c r="E520" s="15">
        <v>0.16950000000000001</v>
      </c>
      <c r="F520" s="15">
        <v>9.4799999999999995E-2</v>
      </c>
      <c r="G520" s="15">
        <v>7.3800000000000004E-2</v>
      </c>
      <c r="H520" s="15">
        <v>0.15670000000000001</v>
      </c>
      <c r="I520" s="15">
        <v>4.4299999999999999E-2</v>
      </c>
      <c r="J520" s="15">
        <v>3.5372460496614</v>
      </c>
    </row>
    <row r="521" spans="1:10" x14ac:dyDescent="0.25">
      <c r="A521" s="2" t="s">
        <v>1559</v>
      </c>
      <c r="B521" s="2" t="s">
        <v>1560</v>
      </c>
      <c r="C521" s="2" t="s">
        <v>1561</v>
      </c>
      <c r="D521" s="2" t="s">
        <v>10040</v>
      </c>
      <c r="E521" s="15">
        <v>9.8599999999999993E-2</v>
      </c>
      <c r="F521" s="15">
        <v>7.8399999999999997E-2</v>
      </c>
      <c r="G521" s="15">
        <v>0.20860000000000001</v>
      </c>
      <c r="H521" s="15">
        <v>0.23119999999999999</v>
      </c>
      <c r="I521" s="15">
        <v>4.9099999999999998E-2</v>
      </c>
      <c r="J521" s="15">
        <v>4.7087576374745419</v>
      </c>
    </row>
    <row r="522" spans="1:10" x14ac:dyDescent="0.25">
      <c r="A522" s="2" t="s">
        <v>1562</v>
      </c>
      <c r="B522" s="2" t="s">
        <v>1563</v>
      </c>
      <c r="C522" s="2" t="s">
        <v>1564</v>
      </c>
      <c r="D522" s="2" t="s">
        <v>10040</v>
      </c>
      <c r="E522" s="15">
        <v>3.7600000000000001E-2</v>
      </c>
      <c r="F522" s="15">
        <v>9.4600000000000004E-2</v>
      </c>
      <c r="G522" s="15">
        <v>0.69110000000000005</v>
      </c>
      <c r="H522" s="15">
        <v>0.1176</v>
      </c>
      <c r="I522" s="15">
        <v>4.1399999999999999E-2</v>
      </c>
      <c r="J522" s="15">
        <v>2.8405797101449268</v>
      </c>
    </row>
    <row r="523" spans="1:10" x14ac:dyDescent="0.25">
      <c r="A523" s="2" t="s">
        <v>1565</v>
      </c>
      <c r="B523" s="2" t="s">
        <v>1566</v>
      </c>
      <c r="C523" s="2" t="s">
        <v>1567</v>
      </c>
      <c r="D523" s="2" t="s">
        <v>10040</v>
      </c>
      <c r="E523" s="15">
        <v>-2.7000000000000001E-3</v>
      </c>
      <c r="F523" s="15">
        <v>7.9899999999999999E-2</v>
      </c>
      <c r="G523" s="15">
        <v>0.97309999999999997</v>
      </c>
      <c r="H523" s="15">
        <v>0.21360000000000001</v>
      </c>
      <c r="I523" s="15">
        <v>4.87E-2</v>
      </c>
      <c r="J523" s="15">
        <v>4.3860369609856269</v>
      </c>
    </row>
    <row r="524" spans="1:10" x14ac:dyDescent="0.25">
      <c r="A524" s="2" t="s">
        <v>1568</v>
      </c>
      <c r="B524" s="2" t="s">
        <v>1569</v>
      </c>
      <c r="C524" s="2" t="s">
        <v>1570</v>
      </c>
      <c r="D524" s="2" t="s">
        <v>10040</v>
      </c>
      <c r="E524" s="15">
        <v>0.14069999999999999</v>
      </c>
      <c r="F524" s="15">
        <v>7.8E-2</v>
      </c>
      <c r="G524" s="15">
        <v>7.1199999999999999E-2</v>
      </c>
      <c r="H524" s="15">
        <v>0.21029999999999999</v>
      </c>
      <c r="I524" s="15">
        <v>4.7399999999999998E-2</v>
      </c>
      <c r="J524" s="15">
        <v>4.4367088607594933</v>
      </c>
    </row>
    <row r="525" spans="1:10" x14ac:dyDescent="0.25">
      <c r="A525" s="2" t="s">
        <v>1571</v>
      </c>
      <c r="B525" s="2" t="s">
        <v>1572</v>
      </c>
      <c r="C525" s="2" t="s">
        <v>1573</v>
      </c>
      <c r="D525" s="2" t="s">
        <v>10040</v>
      </c>
      <c r="E525" s="15">
        <v>0.21</v>
      </c>
      <c r="F525" s="15">
        <v>0.1023</v>
      </c>
      <c r="G525" s="15">
        <v>4.02E-2</v>
      </c>
      <c r="H525" s="15">
        <v>0.1424</v>
      </c>
      <c r="I525" s="15">
        <v>5.4899999999999997E-2</v>
      </c>
      <c r="J525" s="15">
        <v>2.5938069216757742</v>
      </c>
    </row>
    <row r="526" spans="1:10" x14ac:dyDescent="0.25">
      <c r="A526" s="2" t="s">
        <v>1574</v>
      </c>
      <c r="B526" s="2" t="s">
        <v>1575</v>
      </c>
      <c r="C526" s="2" t="s">
        <v>1576</v>
      </c>
      <c r="D526" s="2" t="s">
        <v>10040</v>
      </c>
      <c r="E526" s="15">
        <v>0.1195</v>
      </c>
      <c r="F526" s="15">
        <v>0.1002</v>
      </c>
      <c r="G526" s="15">
        <v>0.23300000000000001</v>
      </c>
      <c r="H526" s="15">
        <v>0.1421</v>
      </c>
      <c r="I526" s="15">
        <v>4.8800000000000003E-2</v>
      </c>
      <c r="J526" s="15">
        <v>2.9118852459016389</v>
      </c>
    </row>
    <row r="527" spans="1:10" x14ac:dyDescent="0.25">
      <c r="A527" s="2" t="s">
        <v>1577</v>
      </c>
      <c r="B527" s="2" t="s">
        <v>1578</v>
      </c>
      <c r="C527" s="2" t="s">
        <v>1579</v>
      </c>
      <c r="D527" s="2" t="s">
        <v>10040</v>
      </c>
      <c r="E527" s="15">
        <v>-4.7399999999999998E-2</v>
      </c>
      <c r="F527" s="15">
        <v>8.1500000000000003E-2</v>
      </c>
      <c r="G527" s="15">
        <v>0.56120000000000003</v>
      </c>
      <c r="H527" s="15">
        <v>0.20830000000000001</v>
      </c>
      <c r="I527" s="15">
        <v>4.9200000000000001E-2</v>
      </c>
      <c r="J527" s="15">
        <v>4.2337398373983746</v>
      </c>
    </row>
    <row r="528" spans="1:10" x14ac:dyDescent="0.25">
      <c r="A528" s="2" t="s">
        <v>1580</v>
      </c>
      <c r="B528" s="2" t="s">
        <v>1581</v>
      </c>
      <c r="C528" s="2" t="s">
        <v>1582</v>
      </c>
      <c r="D528" s="2" t="s">
        <v>10040</v>
      </c>
      <c r="E528" s="15">
        <v>8.4099999999999994E-2</v>
      </c>
      <c r="F528" s="15">
        <v>8.3699999999999997E-2</v>
      </c>
      <c r="G528" s="15">
        <v>0.31530000000000002</v>
      </c>
      <c r="H528" s="15">
        <v>0.19309999999999999</v>
      </c>
      <c r="I528" s="15">
        <v>4.5699999999999998E-2</v>
      </c>
      <c r="J528" s="15">
        <v>4.2253829321663021</v>
      </c>
    </row>
    <row r="529" spans="1:10" x14ac:dyDescent="0.25">
      <c r="A529" s="2" t="s">
        <v>1583</v>
      </c>
      <c r="B529" s="2" t="s">
        <v>1584</v>
      </c>
      <c r="C529" s="2" t="s">
        <v>1585</v>
      </c>
      <c r="D529" s="2" t="s">
        <v>10040</v>
      </c>
      <c r="E529" s="15">
        <v>0.13120000000000001</v>
      </c>
      <c r="F529" s="15">
        <v>0.1336</v>
      </c>
      <c r="G529" s="15">
        <v>0.32629999999999998</v>
      </c>
      <c r="H529" s="15">
        <v>9.1200000000000003E-2</v>
      </c>
      <c r="I529" s="15">
        <v>4.4600000000000001E-2</v>
      </c>
      <c r="J529" s="15">
        <v>2.0448430493273539</v>
      </c>
    </row>
    <row r="530" spans="1:10" x14ac:dyDescent="0.25">
      <c r="A530" s="2" t="s">
        <v>1586</v>
      </c>
      <c r="B530" s="2" t="s">
        <v>1587</v>
      </c>
      <c r="C530" s="2" t="s">
        <v>1588</v>
      </c>
      <c r="D530" s="2" t="s">
        <v>10040</v>
      </c>
      <c r="E530" s="15">
        <v>-3.1099999999999999E-2</v>
      </c>
      <c r="F530" s="15">
        <v>0.1109</v>
      </c>
      <c r="G530" s="15">
        <v>0.77929999999999999</v>
      </c>
      <c r="H530" s="15">
        <v>0.11650000000000001</v>
      </c>
      <c r="I530" s="15">
        <v>4.1599999999999998E-2</v>
      </c>
      <c r="J530" s="15">
        <v>2.8004807692307701</v>
      </c>
    </row>
    <row r="531" spans="1:10" x14ac:dyDescent="0.25">
      <c r="A531" s="2" t="s">
        <v>1589</v>
      </c>
      <c r="B531" s="2" t="s">
        <v>1590</v>
      </c>
      <c r="C531" s="2" t="s">
        <v>1591</v>
      </c>
      <c r="D531" s="2" t="s">
        <v>10040</v>
      </c>
      <c r="E531" s="15">
        <v>0.1235</v>
      </c>
      <c r="F531" s="15">
        <v>8.4400000000000003E-2</v>
      </c>
      <c r="G531" s="15">
        <v>0.14369999999999999</v>
      </c>
      <c r="H531" s="15">
        <v>0.1928</v>
      </c>
      <c r="I531" s="15">
        <v>4.4299999999999999E-2</v>
      </c>
      <c r="J531" s="15">
        <v>4.3521444695259586</v>
      </c>
    </row>
    <row r="532" spans="1:10" x14ac:dyDescent="0.25">
      <c r="A532" s="2" t="s">
        <v>1592</v>
      </c>
      <c r="B532" s="2" t="s">
        <v>1593</v>
      </c>
      <c r="C532" s="2" t="s">
        <v>1594</v>
      </c>
      <c r="D532" s="2" t="s">
        <v>10040</v>
      </c>
      <c r="E532" s="15">
        <v>8.5900000000000004E-2</v>
      </c>
      <c r="F532" s="15">
        <v>0.12479999999999999</v>
      </c>
      <c r="G532" s="15">
        <v>0.49109999999999998</v>
      </c>
      <c r="H532" s="15">
        <v>8.6800000000000002E-2</v>
      </c>
      <c r="I532" s="15">
        <v>3.9600000000000003E-2</v>
      </c>
      <c r="J532" s="15">
        <v>2.191919191919192</v>
      </c>
    </row>
    <row r="533" spans="1:10" x14ac:dyDescent="0.25">
      <c r="A533" s="2" t="s">
        <v>1595</v>
      </c>
      <c r="B533" s="2" t="s">
        <v>1596</v>
      </c>
      <c r="C533" s="2" t="s">
        <v>1597</v>
      </c>
      <c r="D533" s="2" t="s">
        <v>10040</v>
      </c>
      <c r="E533" s="15">
        <v>-4.58E-2</v>
      </c>
      <c r="F533" s="15">
        <v>0.1028</v>
      </c>
      <c r="G533" s="15">
        <v>0.65580000000000005</v>
      </c>
      <c r="H533" s="15">
        <v>0.1346</v>
      </c>
      <c r="I533" s="15">
        <v>4.58E-2</v>
      </c>
      <c r="J533" s="15">
        <v>2.9388646288209608</v>
      </c>
    </row>
    <row r="534" spans="1:10" x14ac:dyDescent="0.25">
      <c r="A534" s="2" t="s">
        <v>1598</v>
      </c>
      <c r="B534" s="2" t="s">
        <v>1599</v>
      </c>
      <c r="C534" s="2" t="s">
        <v>1600</v>
      </c>
      <c r="D534" s="2" t="s">
        <v>10040</v>
      </c>
      <c r="E534" s="15">
        <v>6.8999999999999999E-3</v>
      </c>
      <c r="F534" s="15">
        <v>8.3599999999999994E-2</v>
      </c>
      <c r="G534" s="15">
        <v>0.93430000000000002</v>
      </c>
      <c r="H534" s="15">
        <v>0.18110000000000001</v>
      </c>
      <c r="I534" s="15">
        <v>4.4200000000000003E-2</v>
      </c>
      <c r="J534" s="15">
        <v>4.0972850678733028</v>
      </c>
    </row>
    <row r="535" spans="1:10" x14ac:dyDescent="0.25">
      <c r="A535" s="2" t="s">
        <v>1601</v>
      </c>
      <c r="B535" s="2" t="s">
        <v>1602</v>
      </c>
      <c r="C535" s="2" t="s">
        <v>1603</v>
      </c>
      <c r="D535" s="2" t="s">
        <v>10040</v>
      </c>
      <c r="E535" s="15">
        <v>7.3099999999999998E-2</v>
      </c>
      <c r="F535" s="15">
        <v>7.5999999999999998E-2</v>
      </c>
      <c r="G535" s="15">
        <v>0.33650000000000002</v>
      </c>
      <c r="H535" s="15">
        <v>0.21260000000000001</v>
      </c>
      <c r="I535" s="15">
        <v>5.0099999999999999E-2</v>
      </c>
      <c r="J535" s="15">
        <v>4.2435129740518969</v>
      </c>
    </row>
    <row r="536" spans="1:10" x14ac:dyDescent="0.25">
      <c r="A536" s="2" t="s">
        <v>1604</v>
      </c>
      <c r="B536" s="2" t="s">
        <v>1605</v>
      </c>
      <c r="C536" s="2" t="s">
        <v>1606</v>
      </c>
      <c r="D536" s="2" t="s">
        <v>10040</v>
      </c>
      <c r="E536" s="15">
        <v>0.17499999999999999</v>
      </c>
      <c r="F536" s="15">
        <v>9.6299999999999997E-2</v>
      </c>
      <c r="G536" s="15">
        <v>6.93E-2</v>
      </c>
      <c r="H536" s="15">
        <v>0.12740000000000001</v>
      </c>
      <c r="I536" s="15">
        <v>4.3099999999999999E-2</v>
      </c>
      <c r="J536" s="15">
        <v>2.955916473317866</v>
      </c>
    </row>
    <row r="537" spans="1:10" x14ac:dyDescent="0.25">
      <c r="A537" s="2" t="s">
        <v>1607</v>
      </c>
      <c r="B537" s="2" t="s">
        <v>1608</v>
      </c>
      <c r="C537" s="2" t="s">
        <v>1609</v>
      </c>
      <c r="D537" s="2" t="s">
        <v>10040</v>
      </c>
      <c r="E537" s="15">
        <v>-9.4700000000000006E-2</v>
      </c>
      <c r="F537" s="15">
        <v>0.27760000000000001</v>
      </c>
      <c r="G537" s="15">
        <v>0.73299999999999998</v>
      </c>
      <c r="H537" s="15">
        <v>1.84E-2</v>
      </c>
      <c r="I537" s="15">
        <v>3.95E-2</v>
      </c>
      <c r="J537" s="15">
        <v>0.46582278481012662</v>
      </c>
    </row>
    <row r="538" spans="1:10" x14ac:dyDescent="0.25">
      <c r="A538" s="2" t="s">
        <v>1610</v>
      </c>
      <c r="B538" s="2" t="s">
        <v>1611</v>
      </c>
      <c r="C538" s="2" t="s">
        <v>1612</v>
      </c>
      <c r="D538" s="2" t="s">
        <v>10040</v>
      </c>
      <c r="E538" s="15">
        <v>0.1021</v>
      </c>
      <c r="F538" s="15">
        <v>9.1200000000000003E-2</v>
      </c>
      <c r="G538" s="15">
        <v>0.26300000000000001</v>
      </c>
      <c r="H538" s="15">
        <v>0.16059999999999999</v>
      </c>
      <c r="I538" s="15">
        <v>4.6800000000000001E-2</v>
      </c>
      <c r="J538" s="15">
        <v>3.431623931623931</v>
      </c>
    </row>
    <row r="539" spans="1:10" x14ac:dyDescent="0.25">
      <c r="A539" s="2" t="s">
        <v>1613</v>
      </c>
      <c r="B539" s="2" t="s">
        <v>1614</v>
      </c>
      <c r="C539" s="2" t="s">
        <v>1615</v>
      </c>
      <c r="D539" s="2" t="s">
        <v>10040</v>
      </c>
      <c r="E539" s="15">
        <v>0.1225</v>
      </c>
      <c r="F539" s="15">
        <v>0.12520000000000001</v>
      </c>
      <c r="G539" s="15">
        <v>0.32790000000000002</v>
      </c>
      <c r="H539" s="15">
        <v>0.1186</v>
      </c>
      <c r="I539" s="15">
        <v>4.2700000000000002E-2</v>
      </c>
      <c r="J539" s="15">
        <v>2.7775175644028098</v>
      </c>
    </row>
    <row r="540" spans="1:10" x14ac:dyDescent="0.25">
      <c r="A540" s="2" t="s">
        <v>1616</v>
      </c>
      <c r="B540" s="2" t="s">
        <v>1617</v>
      </c>
      <c r="C540" s="2" t="s">
        <v>1618</v>
      </c>
      <c r="D540" s="2" t="s">
        <v>10040</v>
      </c>
      <c r="E540" s="15">
        <v>0.16389999999999999</v>
      </c>
      <c r="F540" s="15">
        <v>0.12989999999999999</v>
      </c>
      <c r="G540" s="15">
        <v>0.20680000000000001</v>
      </c>
      <c r="H540" s="15">
        <v>7.3899999999999993E-2</v>
      </c>
      <c r="I540" s="15">
        <v>4.07E-2</v>
      </c>
      <c r="J540" s="15">
        <v>1.815724815724816</v>
      </c>
    </row>
    <row r="541" spans="1:10" x14ac:dyDescent="0.25">
      <c r="A541" s="2" t="s">
        <v>1619</v>
      </c>
      <c r="B541" s="2" t="s">
        <v>1620</v>
      </c>
      <c r="C541" s="2" t="s">
        <v>1621</v>
      </c>
      <c r="D541" s="2" t="s">
        <v>10040</v>
      </c>
      <c r="E541" s="15"/>
      <c r="F541" s="15"/>
      <c r="G541" s="15"/>
      <c r="H541" s="15">
        <v>-0.04</v>
      </c>
      <c r="I541" s="15">
        <v>4.8500000000000001E-2</v>
      </c>
      <c r="J541" s="15">
        <v>-0.82474226804123707</v>
      </c>
    </row>
    <row r="542" spans="1:10" x14ac:dyDescent="0.25">
      <c r="A542" s="2" t="s">
        <v>1622</v>
      </c>
      <c r="B542" s="2" t="s">
        <v>1623</v>
      </c>
      <c r="C542" s="2" t="s">
        <v>1624</v>
      </c>
      <c r="D542" s="2" t="s">
        <v>10040</v>
      </c>
      <c r="E542" s="15">
        <v>-3.6799999999999999E-2</v>
      </c>
      <c r="F542" s="15">
        <v>7.9200000000000007E-2</v>
      </c>
      <c r="G542" s="15">
        <v>0.64239999999999997</v>
      </c>
      <c r="H542" s="15">
        <v>0.2031</v>
      </c>
      <c r="I542" s="15">
        <v>4.5199999999999997E-2</v>
      </c>
      <c r="J542" s="15">
        <v>4.4933628318584073</v>
      </c>
    </row>
    <row r="543" spans="1:10" x14ac:dyDescent="0.25">
      <c r="A543" s="2" t="s">
        <v>1625</v>
      </c>
      <c r="B543" s="2" t="s">
        <v>1626</v>
      </c>
      <c r="C543" s="2" t="s">
        <v>1627</v>
      </c>
      <c r="D543" s="2" t="s">
        <v>10040</v>
      </c>
      <c r="E543" s="15">
        <v>5.6500000000000002E-2</v>
      </c>
      <c r="F543" s="15">
        <v>0.1182</v>
      </c>
      <c r="G543" s="15">
        <v>0.63260000000000005</v>
      </c>
      <c r="H543" s="15">
        <v>9.5299999999999996E-2</v>
      </c>
      <c r="I543" s="15">
        <v>4.4600000000000001E-2</v>
      </c>
      <c r="J543" s="15">
        <v>2.136771300448431</v>
      </c>
    </row>
    <row r="544" spans="1:10" x14ac:dyDescent="0.25">
      <c r="A544" s="2" t="s">
        <v>1628</v>
      </c>
      <c r="B544" s="2" t="s">
        <v>1629</v>
      </c>
      <c r="C544" s="2" t="s">
        <v>1630</v>
      </c>
      <c r="D544" s="2" t="s">
        <v>10040</v>
      </c>
      <c r="E544" s="15">
        <v>3.9199999999999999E-2</v>
      </c>
      <c r="F544" s="15">
        <v>0.112</v>
      </c>
      <c r="G544" s="15">
        <v>0.72629999999999995</v>
      </c>
      <c r="H544" s="15">
        <v>0.1215</v>
      </c>
      <c r="I544" s="15">
        <v>4.3700000000000003E-2</v>
      </c>
      <c r="J544" s="15">
        <v>2.7803203661327229</v>
      </c>
    </row>
    <row r="545" spans="1:10" x14ac:dyDescent="0.25">
      <c r="A545" s="2" t="s">
        <v>1631</v>
      </c>
      <c r="B545" s="2" t="s">
        <v>1632</v>
      </c>
      <c r="C545" s="2" t="s">
        <v>1633</v>
      </c>
      <c r="D545" s="2" t="s">
        <v>10040</v>
      </c>
      <c r="E545" s="15">
        <v>-4.8000000000000001E-2</v>
      </c>
      <c r="F545" s="15">
        <v>8.9099999999999999E-2</v>
      </c>
      <c r="G545" s="15">
        <v>0.59030000000000005</v>
      </c>
      <c r="H545" s="15">
        <v>0.2089</v>
      </c>
      <c r="I545" s="15">
        <v>5.0799999999999998E-2</v>
      </c>
      <c r="J545" s="15">
        <v>4.1122047244094491</v>
      </c>
    </row>
    <row r="546" spans="1:10" x14ac:dyDescent="0.25">
      <c r="A546" s="2" t="s">
        <v>1634</v>
      </c>
      <c r="B546" s="2" t="s">
        <v>1635</v>
      </c>
      <c r="C546" s="2" t="s">
        <v>1636</v>
      </c>
      <c r="D546" s="2" t="s">
        <v>10040</v>
      </c>
      <c r="E546" s="15">
        <v>-7.0900000000000005E-2</v>
      </c>
      <c r="F546" s="15">
        <v>0.1067</v>
      </c>
      <c r="G546" s="15">
        <v>0.50639999999999996</v>
      </c>
      <c r="H546" s="15">
        <v>0.1278</v>
      </c>
      <c r="I546" s="15">
        <v>4.4900000000000002E-2</v>
      </c>
      <c r="J546" s="15">
        <v>2.846325167037862</v>
      </c>
    </row>
    <row r="547" spans="1:10" x14ac:dyDescent="0.25">
      <c r="A547" s="2" t="s">
        <v>1637</v>
      </c>
      <c r="B547" s="2" t="s">
        <v>1638</v>
      </c>
      <c r="C547" s="2" t="s">
        <v>1639</v>
      </c>
      <c r="D547" s="2" t="s">
        <v>10040</v>
      </c>
      <c r="E547" s="15">
        <v>0.20810000000000001</v>
      </c>
      <c r="F547" s="15">
        <v>0.1014</v>
      </c>
      <c r="G547" s="15">
        <v>4.0099999999999997E-2</v>
      </c>
      <c r="H547" s="15">
        <v>0.16289999999999999</v>
      </c>
      <c r="I547" s="15">
        <v>4.2700000000000002E-2</v>
      </c>
      <c r="J547" s="15">
        <v>3.814988290398126</v>
      </c>
    </row>
    <row r="548" spans="1:10" x14ac:dyDescent="0.25">
      <c r="A548" s="2" t="s">
        <v>1640</v>
      </c>
      <c r="B548" s="2" t="s">
        <v>1641</v>
      </c>
      <c r="C548" s="2" t="s">
        <v>1642</v>
      </c>
      <c r="D548" s="2" t="s">
        <v>10040</v>
      </c>
      <c r="E548" s="15">
        <v>6.8400000000000002E-2</v>
      </c>
      <c r="F548" s="15">
        <v>9.4899999999999998E-2</v>
      </c>
      <c r="G548" s="15">
        <v>0.47149999999999997</v>
      </c>
      <c r="H548" s="15">
        <v>0.15060000000000001</v>
      </c>
      <c r="I548" s="15">
        <v>4.4200000000000003E-2</v>
      </c>
      <c r="J548" s="15">
        <v>3.4072398190045252</v>
      </c>
    </row>
    <row r="549" spans="1:10" x14ac:dyDescent="0.25">
      <c r="A549" s="2" t="s">
        <v>1643</v>
      </c>
      <c r="B549" s="2" t="s">
        <v>1644</v>
      </c>
      <c r="C549" s="2" t="s">
        <v>1645</v>
      </c>
      <c r="D549" s="2" t="s">
        <v>10040</v>
      </c>
      <c r="E549" s="15">
        <v>-1.6999999999999999E-3</v>
      </c>
      <c r="F549" s="15">
        <v>0.1075</v>
      </c>
      <c r="G549" s="15">
        <v>0.98709999999999998</v>
      </c>
      <c r="H549" s="15">
        <v>0.11890000000000001</v>
      </c>
      <c r="I549" s="15">
        <v>4.6899999999999997E-2</v>
      </c>
      <c r="J549" s="15">
        <v>2.535181236673774</v>
      </c>
    </row>
    <row r="550" spans="1:10" x14ac:dyDescent="0.25">
      <c r="A550" s="2" t="s">
        <v>1646</v>
      </c>
      <c r="B550" s="2" t="s">
        <v>1647</v>
      </c>
      <c r="C550" s="2" t="s">
        <v>1648</v>
      </c>
      <c r="D550" s="2" t="s">
        <v>10040</v>
      </c>
      <c r="E550" s="15">
        <v>9.8900000000000002E-2</v>
      </c>
      <c r="F550" s="15">
        <v>9.8000000000000004E-2</v>
      </c>
      <c r="G550" s="15">
        <v>0.31290000000000001</v>
      </c>
      <c r="H550" s="15">
        <v>0.13089999999999999</v>
      </c>
      <c r="I550" s="15">
        <v>5.1400000000000001E-2</v>
      </c>
      <c r="J550" s="15">
        <v>2.5466926070038909</v>
      </c>
    </row>
    <row r="551" spans="1:10" x14ac:dyDescent="0.25">
      <c r="A551" s="2" t="s">
        <v>1649</v>
      </c>
      <c r="B551" s="2" t="s">
        <v>1650</v>
      </c>
      <c r="C551" s="2" t="s">
        <v>1651</v>
      </c>
      <c r="D551" s="2" t="s">
        <v>10040</v>
      </c>
      <c r="E551" s="15">
        <v>8.7400000000000005E-2</v>
      </c>
      <c r="F551" s="15">
        <v>8.9800000000000005E-2</v>
      </c>
      <c r="G551" s="15">
        <v>0.3306</v>
      </c>
      <c r="H551" s="15">
        <v>0.1709</v>
      </c>
      <c r="I551" s="15">
        <v>4.1599999999999998E-2</v>
      </c>
      <c r="J551" s="15">
        <v>4.1081730769230766</v>
      </c>
    </row>
    <row r="552" spans="1:10" x14ac:dyDescent="0.25">
      <c r="A552" s="2" t="s">
        <v>1652</v>
      </c>
      <c r="B552" s="2" t="s">
        <v>1653</v>
      </c>
      <c r="C552" s="2" t="s">
        <v>1654</v>
      </c>
      <c r="D552" s="2" t="s">
        <v>10040</v>
      </c>
      <c r="E552" s="15">
        <v>0.129</v>
      </c>
      <c r="F552" s="15">
        <v>0.1447</v>
      </c>
      <c r="G552" s="15">
        <v>0.37290000000000001</v>
      </c>
      <c r="H552" s="15">
        <v>6.0600000000000001E-2</v>
      </c>
      <c r="I552" s="15">
        <v>3.9800000000000002E-2</v>
      </c>
      <c r="J552" s="15">
        <v>1.522613065326633</v>
      </c>
    </row>
    <row r="553" spans="1:10" x14ac:dyDescent="0.25">
      <c r="A553" s="2" t="s">
        <v>1655</v>
      </c>
      <c r="B553" s="2" t="s">
        <v>1656</v>
      </c>
      <c r="C553" s="2" t="s">
        <v>1657</v>
      </c>
      <c r="D553" s="2" t="s">
        <v>10040</v>
      </c>
      <c r="E553" s="15">
        <v>0.60050000000000003</v>
      </c>
      <c r="F553" s="15">
        <v>0.82150000000000001</v>
      </c>
      <c r="G553" s="15">
        <v>0.46479999999999999</v>
      </c>
      <c r="H553" s="15">
        <v>1.84E-2</v>
      </c>
      <c r="I553" s="15">
        <v>3.9800000000000002E-2</v>
      </c>
      <c r="J553" s="15">
        <v>0.46231155778894473</v>
      </c>
    </row>
    <row r="554" spans="1:10" x14ac:dyDescent="0.25">
      <c r="A554" s="2" t="s">
        <v>1658</v>
      </c>
      <c r="B554" s="2" t="s">
        <v>1659</v>
      </c>
      <c r="C554" s="2" t="s">
        <v>1660</v>
      </c>
      <c r="D554" s="2" t="s">
        <v>10040</v>
      </c>
      <c r="E554" s="15">
        <v>5.6500000000000002E-2</v>
      </c>
      <c r="F554" s="15">
        <v>8.6599999999999996E-2</v>
      </c>
      <c r="G554" s="15">
        <v>0.51380000000000003</v>
      </c>
      <c r="H554" s="15">
        <v>0.14779999999999999</v>
      </c>
      <c r="I554" s="15">
        <v>4.2599999999999999E-2</v>
      </c>
      <c r="J554" s="15">
        <v>3.469483568075117</v>
      </c>
    </row>
    <row r="555" spans="1:10" x14ac:dyDescent="0.25">
      <c r="A555" s="2" t="s">
        <v>1661</v>
      </c>
      <c r="B555" s="2" t="s">
        <v>1662</v>
      </c>
      <c r="C555" s="2" t="s">
        <v>1663</v>
      </c>
      <c r="D555" s="2" t="s">
        <v>10040</v>
      </c>
      <c r="E555" s="15">
        <v>0.12280000000000001</v>
      </c>
      <c r="F555" s="15">
        <v>0.1082</v>
      </c>
      <c r="G555" s="15">
        <v>0.25650000000000001</v>
      </c>
      <c r="H555" s="15">
        <v>0.1173</v>
      </c>
      <c r="I555" s="15">
        <v>4.6600000000000003E-2</v>
      </c>
      <c r="J555" s="15">
        <v>2.5171673819742488</v>
      </c>
    </row>
    <row r="556" spans="1:10" x14ac:dyDescent="0.25">
      <c r="A556" s="2" t="s">
        <v>1664</v>
      </c>
      <c r="B556" s="2" t="s">
        <v>1665</v>
      </c>
      <c r="C556" s="2" t="s">
        <v>1666</v>
      </c>
      <c r="D556" s="2" t="s">
        <v>10040</v>
      </c>
      <c r="E556" s="15">
        <v>-5.8400000000000001E-2</v>
      </c>
      <c r="F556" s="15">
        <v>0.12970000000000001</v>
      </c>
      <c r="G556" s="15">
        <v>0.65269999999999995</v>
      </c>
      <c r="H556" s="15">
        <v>7.9699999999999993E-2</v>
      </c>
      <c r="I556" s="15">
        <v>4.36E-2</v>
      </c>
      <c r="J556" s="15">
        <v>1.8279816513761471</v>
      </c>
    </row>
    <row r="557" spans="1:10" x14ac:dyDescent="0.25">
      <c r="A557" s="2" t="s">
        <v>1667</v>
      </c>
      <c r="B557" s="2" t="s">
        <v>1668</v>
      </c>
      <c r="C557" s="2" t="s">
        <v>1669</v>
      </c>
      <c r="D557" s="2" t="s">
        <v>10040</v>
      </c>
      <c r="E557" s="15">
        <v>-3.3500000000000002E-2</v>
      </c>
      <c r="F557" s="15">
        <v>0.109</v>
      </c>
      <c r="G557" s="15">
        <v>0.75880000000000003</v>
      </c>
      <c r="H557" s="15">
        <v>0.12609999999999999</v>
      </c>
      <c r="I557" s="15">
        <v>4.5999999999999999E-2</v>
      </c>
      <c r="J557" s="15">
        <v>2.741304347826087</v>
      </c>
    </row>
    <row r="558" spans="1:10" x14ac:dyDescent="0.25">
      <c r="A558" s="2" t="s">
        <v>1670</v>
      </c>
      <c r="B558" s="2" t="s">
        <v>1671</v>
      </c>
      <c r="C558" s="2" t="s">
        <v>1672</v>
      </c>
      <c r="D558" s="2" t="s">
        <v>10040</v>
      </c>
      <c r="E558" s="15">
        <v>-4.2700000000000002E-2</v>
      </c>
      <c r="F558" s="15">
        <v>0.1158</v>
      </c>
      <c r="G558" s="15">
        <v>0.71250000000000002</v>
      </c>
      <c r="H558" s="15">
        <v>8.2000000000000003E-2</v>
      </c>
      <c r="I558" s="15">
        <v>4.6600000000000003E-2</v>
      </c>
      <c r="J558" s="15">
        <v>1.7596566523605151</v>
      </c>
    </row>
    <row r="559" spans="1:10" x14ac:dyDescent="0.25">
      <c r="A559" s="2" t="s">
        <v>1673</v>
      </c>
      <c r="B559" s="2" t="s">
        <v>1674</v>
      </c>
      <c r="C559" s="2" t="s">
        <v>1675</v>
      </c>
      <c r="D559" s="2" t="s">
        <v>10040</v>
      </c>
      <c r="E559" s="15">
        <v>0.12609999999999999</v>
      </c>
      <c r="F559" s="15">
        <v>0.14749999999999999</v>
      </c>
      <c r="G559" s="15">
        <v>0.3926</v>
      </c>
      <c r="H559" s="15">
        <v>5.11E-2</v>
      </c>
      <c r="I559" s="15">
        <v>4.41E-2</v>
      </c>
      <c r="J559" s="15">
        <v>1.1587301587301591</v>
      </c>
    </row>
    <row r="560" spans="1:10" x14ac:dyDescent="0.25">
      <c r="A560" s="2" t="s">
        <v>1676</v>
      </c>
      <c r="B560" s="2" t="s">
        <v>1677</v>
      </c>
      <c r="C560" s="2" t="s">
        <v>1678</v>
      </c>
      <c r="D560" s="2" t="s">
        <v>10040</v>
      </c>
      <c r="E560" s="15">
        <v>0.121</v>
      </c>
      <c r="F560" s="15">
        <v>0.13739999999999999</v>
      </c>
      <c r="G560" s="15">
        <v>0.3785</v>
      </c>
      <c r="H560" s="15">
        <v>8.0299999999999996E-2</v>
      </c>
      <c r="I560" s="15">
        <v>4.1000000000000002E-2</v>
      </c>
      <c r="J560" s="15">
        <v>1.958536585365853</v>
      </c>
    </row>
    <row r="561" spans="1:10" x14ac:dyDescent="0.25">
      <c r="A561" s="2" t="s">
        <v>1679</v>
      </c>
      <c r="B561" s="2" t="s">
        <v>1680</v>
      </c>
      <c r="C561" s="2" t="s">
        <v>1681</v>
      </c>
      <c r="D561" s="2" t="s">
        <v>10040</v>
      </c>
      <c r="E561" s="15">
        <v>1.23E-2</v>
      </c>
      <c r="F561" s="15">
        <v>0.1026</v>
      </c>
      <c r="G561" s="15">
        <v>0.90480000000000005</v>
      </c>
      <c r="H561" s="15">
        <v>0.13139999999999999</v>
      </c>
      <c r="I561" s="15">
        <v>5.1499999999999997E-2</v>
      </c>
      <c r="J561" s="15">
        <v>2.5514563106796122</v>
      </c>
    </row>
    <row r="562" spans="1:10" x14ac:dyDescent="0.25">
      <c r="A562" s="2" t="s">
        <v>1682</v>
      </c>
      <c r="B562" s="2" t="s">
        <v>1683</v>
      </c>
      <c r="C562" s="2" t="s">
        <v>1684</v>
      </c>
      <c r="D562" s="2" t="s">
        <v>10040</v>
      </c>
      <c r="E562" s="15">
        <v>3.7600000000000001E-2</v>
      </c>
      <c r="F562" s="15">
        <v>9.8000000000000004E-2</v>
      </c>
      <c r="G562" s="15">
        <v>0.7016</v>
      </c>
      <c r="H562" s="15">
        <v>0.16350000000000001</v>
      </c>
      <c r="I562" s="15">
        <v>6.2300000000000001E-2</v>
      </c>
      <c r="J562" s="15">
        <v>2.624398073836276</v>
      </c>
    </row>
    <row r="563" spans="1:10" x14ac:dyDescent="0.25">
      <c r="A563" s="2" t="s">
        <v>1685</v>
      </c>
      <c r="B563" s="2" t="s">
        <v>1686</v>
      </c>
      <c r="C563" s="2" t="s">
        <v>1687</v>
      </c>
      <c r="D563" s="2" t="s">
        <v>10040</v>
      </c>
      <c r="E563" s="15">
        <v>0.24099999999999999</v>
      </c>
      <c r="F563" s="15">
        <v>0.46229999999999999</v>
      </c>
      <c r="G563" s="15">
        <v>0.60219999999999996</v>
      </c>
      <c r="H563" s="15">
        <v>2.0899999999999998E-2</v>
      </c>
      <c r="I563" s="15">
        <v>4.6199999999999998E-2</v>
      </c>
      <c r="J563" s="15">
        <v>0.45238095238095238</v>
      </c>
    </row>
    <row r="564" spans="1:10" x14ac:dyDescent="0.25">
      <c r="A564" s="2" t="s">
        <v>1688</v>
      </c>
      <c r="B564" s="2" t="s">
        <v>1689</v>
      </c>
      <c r="C564" s="2" t="s">
        <v>1690</v>
      </c>
      <c r="D564" s="2" t="s">
        <v>10040</v>
      </c>
      <c r="E564" s="15">
        <v>-7.3099999999999998E-2</v>
      </c>
      <c r="F564" s="15">
        <v>9.9699999999999997E-2</v>
      </c>
      <c r="G564" s="15">
        <v>0.46310000000000001</v>
      </c>
      <c r="H564" s="15">
        <v>0.1226</v>
      </c>
      <c r="I564" s="15">
        <v>4.2700000000000002E-2</v>
      </c>
      <c r="J564" s="15">
        <v>2.8711943793911008</v>
      </c>
    </row>
    <row r="565" spans="1:10" x14ac:dyDescent="0.25">
      <c r="A565" s="2" t="s">
        <v>1691</v>
      </c>
      <c r="B565" s="2" t="s">
        <v>1692</v>
      </c>
      <c r="C565" s="2" t="s">
        <v>1693</v>
      </c>
      <c r="D565" s="2" t="s">
        <v>10040</v>
      </c>
      <c r="E565" s="15">
        <v>0.1045</v>
      </c>
      <c r="F565" s="15">
        <v>7.3099999999999998E-2</v>
      </c>
      <c r="G565" s="15">
        <v>0.15290000000000001</v>
      </c>
      <c r="H565" s="15">
        <v>0.23699999999999999</v>
      </c>
      <c r="I565" s="15">
        <v>5.3400000000000003E-2</v>
      </c>
      <c r="J565" s="15">
        <v>4.4382022471910112</v>
      </c>
    </row>
    <row r="566" spans="1:10" x14ac:dyDescent="0.25">
      <c r="A566" s="2" t="s">
        <v>1694</v>
      </c>
      <c r="B566" s="2" t="s">
        <v>1695</v>
      </c>
      <c r="C566" s="2" t="s">
        <v>1696</v>
      </c>
      <c r="D566" s="2" t="s">
        <v>10040</v>
      </c>
      <c r="E566" s="15">
        <v>0.2382</v>
      </c>
      <c r="F566" s="15">
        <v>8.5400000000000004E-2</v>
      </c>
      <c r="G566" s="15">
        <v>5.3E-3</v>
      </c>
      <c r="H566" s="15">
        <v>0.17680000000000001</v>
      </c>
      <c r="I566" s="15">
        <v>4.82E-2</v>
      </c>
      <c r="J566" s="15">
        <v>3.6680497925311211</v>
      </c>
    </row>
    <row r="567" spans="1:10" x14ac:dyDescent="0.25">
      <c r="A567" s="2" t="s">
        <v>1697</v>
      </c>
      <c r="B567" s="2" t="s">
        <v>1698</v>
      </c>
      <c r="C567" s="2" t="s">
        <v>1699</v>
      </c>
      <c r="D567" s="2" t="s">
        <v>10040</v>
      </c>
      <c r="E567" s="15">
        <v>-5.6099999999999997E-2</v>
      </c>
      <c r="F567" s="15">
        <v>8.48E-2</v>
      </c>
      <c r="G567" s="15">
        <v>0.5081</v>
      </c>
      <c r="H567" s="15">
        <v>0.1489</v>
      </c>
      <c r="I567" s="15">
        <v>4.4900000000000002E-2</v>
      </c>
      <c r="J567" s="15">
        <v>3.316258351893095</v>
      </c>
    </row>
    <row r="568" spans="1:10" x14ac:dyDescent="0.25">
      <c r="A568" s="2" t="s">
        <v>1700</v>
      </c>
      <c r="B568" s="2" t="s">
        <v>1701</v>
      </c>
      <c r="C568" s="2" t="s">
        <v>1702</v>
      </c>
      <c r="D568" s="2" t="s">
        <v>10040</v>
      </c>
      <c r="E568" s="15">
        <v>-3.0200000000000001E-2</v>
      </c>
      <c r="F568" s="15">
        <v>0.1089</v>
      </c>
      <c r="G568" s="15">
        <v>0.78169999999999995</v>
      </c>
      <c r="H568" s="15">
        <v>0.11260000000000001</v>
      </c>
      <c r="I568" s="15">
        <v>5.8599999999999999E-2</v>
      </c>
      <c r="J568" s="15">
        <v>1.921501706484642</v>
      </c>
    </row>
    <row r="569" spans="1:10" x14ac:dyDescent="0.25">
      <c r="A569" s="2" t="s">
        <v>1703</v>
      </c>
      <c r="B569" s="2" t="s">
        <v>1704</v>
      </c>
      <c r="C569" s="2" t="s">
        <v>1705</v>
      </c>
      <c r="D569" s="2" t="s">
        <v>10040</v>
      </c>
      <c r="E569" s="15">
        <v>-0.1113</v>
      </c>
      <c r="F569" s="15">
        <v>0.13900000000000001</v>
      </c>
      <c r="G569" s="15">
        <v>0.42309999999999998</v>
      </c>
      <c r="H569" s="15">
        <v>8.2199999999999995E-2</v>
      </c>
      <c r="I569" s="15">
        <v>4.3999999999999997E-2</v>
      </c>
      <c r="J569" s="15">
        <v>1.8681818181818179</v>
      </c>
    </row>
    <row r="570" spans="1:10" x14ac:dyDescent="0.25">
      <c r="A570" s="2" t="s">
        <v>1706</v>
      </c>
      <c r="B570" s="2" t="s">
        <v>1707</v>
      </c>
      <c r="C570" s="2" t="s">
        <v>1708</v>
      </c>
      <c r="D570" s="2" t="s">
        <v>10040</v>
      </c>
      <c r="E570" s="15">
        <v>-1.0500000000000001E-2</v>
      </c>
      <c r="F570" s="15">
        <v>0.16830000000000001</v>
      </c>
      <c r="G570" s="15">
        <v>0.95009999999999994</v>
      </c>
      <c r="H570" s="15">
        <v>4.7E-2</v>
      </c>
      <c r="I570" s="15">
        <v>3.9600000000000003E-2</v>
      </c>
      <c r="J570" s="15">
        <v>1.1868686868686871</v>
      </c>
    </row>
    <row r="571" spans="1:10" x14ac:dyDescent="0.25">
      <c r="A571" s="2" t="s">
        <v>1709</v>
      </c>
      <c r="B571" s="2" t="s">
        <v>1710</v>
      </c>
      <c r="C571" s="2" t="s">
        <v>1711</v>
      </c>
      <c r="D571" s="2" t="s">
        <v>10040</v>
      </c>
      <c r="E571" s="15">
        <v>0.16270000000000001</v>
      </c>
      <c r="F571" s="15">
        <v>0.10630000000000001</v>
      </c>
      <c r="G571" s="15">
        <v>0.126</v>
      </c>
      <c r="H571" s="15">
        <v>0.1152</v>
      </c>
      <c r="I571" s="15">
        <v>4.3700000000000003E-2</v>
      </c>
      <c r="J571" s="15">
        <v>2.636155606407323</v>
      </c>
    </row>
    <row r="572" spans="1:10" x14ac:dyDescent="0.25">
      <c r="A572" s="2" t="s">
        <v>1712</v>
      </c>
      <c r="B572" s="2" t="s">
        <v>1713</v>
      </c>
      <c r="C572" s="2" t="s">
        <v>1714</v>
      </c>
      <c r="D572" s="2" t="s">
        <v>10040</v>
      </c>
      <c r="E572" s="15">
        <v>0.1157</v>
      </c>
      <c r="F572" s="15">
        <v>0.1072</v>
      </c>
      <c r="G572" s="15">
        <v>0.28070000000000001</v>
      </c>
      <c r="H572" s="15">
        <v>0.10639999999999999</v>
      </c>
      <c r="I572" s="15">
        <v>4.2200000000000001E-2</v>
      </c>
      <c r="J572" s="15">
        <v>2.5213270142180089</v>
      </c>
    </row>
    <row r="573" spans="1:10" x14ac:dyDescent="0.25">
      <c r="A573" s="2" t="s">
        <v>1715</v>
      </c>
      <c r="B573" s="2" t="s">
        <v>1716</v>
      </c>
      <c r="C573" s="2" t="s">
        <v>1717</v>
      </c>
      <c r="D573" s="2" t="s">
        <v>10040</v>
      </c>
      <c r="E573" s="15">
        <v>0.18390000000000001</v>
      </c>
      <c r="F573" s="15">
        <v>0.10440000000000001</v>
      </c>
      <c r="G573" s="15">
        <v>7.8200000000000006E-2</v>
      </c>
      <c r="H573" s="15">
        <v>0.11210000000000001</v>
      </c>
      <c r="I573" s="15">
        <v>4.19E-2</v>
      </c>
      <c r="J573" s="15">
        <v>2.675417661097852</v>
      </c>
    </row>
    <row r="574" spans="1:10" x14ac:dyDescent="0.25">
      <c r="A574" s="2" t="s">
        <v>1718</v>
      </c>
      <c r="B574" s="2" t="s">
        <v>1719</v>
      </c>
      <c r="C574" s="2" t="s">
        <v>1720</v>
      </c>
      <c r="D574" s="2" t="s">
        <v>10040</v>
      </c>
      <c r="E574" s="15">
        <v>0.17849999999999999</v>
      </c>
      <c r="F574" s="15">
        <v>9.8599999999999993E-2</v>
      </c>
      <c r="G574" s="15">
        <v>7.0400000000000004E-2</v>
      </c>
      <c r="H574" s="15">
        <v>0.159</v>
      </c>
      <c r="I574" s="15">
        <v>3.9E-2</v>
      </c>
      <c r="J574" s="15">
        <v>4.0769230769230766</v>
      </c>
    </row>
    <row r="575" spans="1:10" x14ac:dyDescent="0.25">
      <c r="A575" s="2" t="s">
        <v>1721</v>
      </c>
      <c r="B575" s="2" t="s">
        <v>1722</v>
      </c>
      <c r="C575" s="2" t="s">
        <v>1723</v>
      </c>
      <c r="D575" s="2" t="s">
        <v>10040</v>
      </c>
      <c r="E575" s="15">
        <v>0.17399999999999999</v>
      </c>
      <c r="F575" s="15">
        <v>0.2641</v>
      </c>
      <c r="G575" s="15">
        <v>0.50990000000000002</v>
      </c>
      <c r="H575" s="15">
        <v>2.9499999999999998E-2</v>
      </c>
      <c r="I575" s="15">
        <v>4.02E-2</v>
      </c>
      <c r="J575" s="15">
        <v>0.73383084577114421</v>
      </c>
    </row>
    <row r="576" spans="1:10" x14ac:dyDescent="0.25">
      <c r="A576" s="2" t="s">
        <v>1724</v>
      </c>
      <c r="B576" s="2" t="s">
        <v>1725</v>
      </c>
      <c r="C576" s="2" t="s">
        <v>1726</v>
      </c>
      <c r="D576" s="2" t="s">
        <v>10040</v>
      </c>
      <c r="E576" s="15">
        <v>0.1983</v>
      </c>
      <c r="F576" s="15">
        <v>0.1051</v>
      </c>
      <c r="G576" s="15">
        <v>5.9299999999999999E-2</v>
      </c>
      <c r="H576" s="15">
        <v>0.112</v>
      </c>
      <c r="I576" s="15">
        <v>4.4400000000000002E-2</v>
      </c>
      <c r="J576" s="15">
        <v>2.522522522522523</v>
      </c>
    </row>
    <row r="577" spans="1:10" x14ac:dyDescent="0.25">
      <c r="A577" s="2" t="s">
        <v>1727</v>
      </c>
      <c r="B577" s="2" t="s">
        <v>1728</v>
      </c>
      <c r="C577" s="2" t="s">
        <v>1729</v>
      </c>
      <c r="D577" s="2" t="s">
        <v>10040</v>
      </c>
      <c r="E577" s="15">
        <v>-4.2999999999999997E-2</v>
      </c>
      <c r="F577" s="15">
        <v>0.13869999999999999</v>
      </c>
      <c r="G577" s="15">
        <v>0.75649999999999995</v>
      </c>
      <c r="H577" s="15">
        <v>8.43E-2</v>
      </c>
      <c r="I577" s="15">
        <v>4.2299999999999997E-2</v>
      </c>
      <c r="J577" s="15">
        <v>1.99290780141844</v>
      </c>
    </row>
    <row r="578" spans="1:10" x14ac:dyDescent="0.25">
      <c r="A578" s="2" t="s">
        <v>1730</v>
      </c>
      <c r="B578" s="2" t="s">
        <v>1731</v>
      </c>
      <c r="C578" s="2" t="s">
        <v>1732</v>
      </c>
      <c r="D578" s="2" t="s">
        <v>10040</v>
      </c>
      <c r="E578" s="15">
        <v>0.114</v>
      </c>
      <c r="F578" s="15">
        <v>9.8100000000000007E-2</v>
      </c>
      <c r="G578" s="15">
        <v>0.245</v>
      </c>
      <c r="H578" s="15">
        <v>0.1479</v>
      </c>
      <c r="I578" s="15">
        <v>4.3200000000000002E-2</v>
      </c>
      <c r="J578" s="15">
        <v>3.4236111111111112</v>
      </c>
    </row>
    <row r="579" spans="1:10" x14ac:dyDescent="0.25">
      <c r="A579" s="2" t="s">
        <v>1733</v>
      </c>
      <c r="B579" s="2" t="s">
        <v>1734</v>
      </c>
      <c r="C579" s="2" t="s">
        <v>1735</v>
      </c>
      <c r="D579" s="2" t="s">
        <v>10040</v>
      </c>
      <c r="E579" s="15">
        <v>3.6299999999999999E-2</v>
      </c>
      <c r="F579" s="15">
        <v>0.1021</v>
      </c>
      <c r="G579" s="15">
        <v>0.72260000000000002</v>
      </c>
      <c r="H579" s="15">
        <v>0.15140000000000001</v>
      </c>
      <c r="I579" s="15">
        <v>4.6699999999999998E-2</v>
      </c>
      <c r="J579" s="15">
        <v>3.2419700214132758</v>
      </c>
    </row>
    <row r="580" spans="1:10" x14ac:dyDescent="0.25">
      <c r="A580" s="2" t="s">
        <v>1736</v>
      </c>
      <c r="B580" s="2" t="s">
        <v>1737</v>
      </c>
      <c r="C580" s="2" t="s">
        <v>1738</v>
      </c>
      <c r="D580" s="2" t="s">
        <v>10040</v>
      </c>
      <c r="E580" s="15">
        <v>0.31690000000000002</v>
      </c>
      <c r="F580" s="15">
        <v>0.37630000000000002</v>
      </c>
      <c r="G580" s="15">
        <v>0.39979999999999999</v>
      </c>
      <c r="H580" s="15">
        <v>2.3199999999999998E-2</v>
      </c>
      <c r="I580" s="15">
        <v>4.24E-2</v>
      </c>
      <c r="J580" s="15">
        <v>0.54716981132075471</v>
      </c>
    </row>
    <row r="581" spans="1:10" x14ac:dyDescent="0.25">
      <c r="A581" s="2" t="s">
        <v>1739</v>
      </c>
      <c r="B581" s="2" t="s">
        <v>1740</v>
      </c>
      <c r="C581" s="2" t="s">
        <v>1741</v>
      </c>
      <c r="D581" s="2" t="s">
        <v>10040</v>
      </c>
      <c r="E581" s="15">
        <v>2.4500000000000001E-2</v>
      </c>
      <c r="F581" s="15">
        <v>7.8899999999999998E-2</v>
      </c>
      <c r="G581" s="15">
        <v>0.75600000000000001</v>
      </c>
      <c r="H581" s="15">
        <v>0.2462</v>
      </c>
      <c r="I581" s="15">
        <v>4.36E-2</v>
      </c>
      <c r="J581" s="15">
        <v>5.6467889908256881</v>
      </c>
    </row>
    <row r="582" spans="1:10" x14ac:dyDescent="0.25">
      <c r="A582" s="2" t="s">
        <v>1742</v>
      </c>
      <c r="B582" s="2" t="s">
        <v>1743</v>
      </c>
      <c r="C582" s="2" t="s">
        <v>1744</v>
      </c>
      <c r="D582" s="2" t="s">
        <v>10040</v>
      </c>
      <c r="E582" s="15">
        <v>0.11650000000000001</v>
      </c>
      <c r="F582" s="15">
        <v>0.1012</v>
      </c>
      <c r="G582" s="15">
        <v>0.24970000000000001</v>
      </c>
      <c r="H582" s="15">
        <v>0.1164</v>
      </c>
      <c r="I582" s="15">
        <v>4.1500000000000002E-2</v>
      </c>
      <c r="J582" s="15">
        <v>2.8048192771084342</v>
      </c>
    </row>
    <row r="583" spans="1:10" x14ac:dyDescent="0.25">
      <c r="A583" s="2" t="s">
        <v>1745</v>
      </c>
      <c r="B583" s="2" t="s">
        <v>1746</v>
      </c>
      <c r="C583" s="2" t="s">
        <v>1747</v>
      </c>
      <c r="D583" s="2" t="s">
        <v>10040</v>
      </c>
      <c r="E583" s="15">
        <v>0.20860000000000001</v>
      </c>
      <c r="F583" s="15">
        <v>0.15049999999999999</v>
      </c>
      <c r="G583" s="15">
        <v>0.16569999999999999</v>
      </c>
      <c r="H583" s="15">
        <v>8.2500000000000004E-2</v>
      </c>
      <c r="I583" s="15">
        <v>0.04</v>
      </c>
      <c r="J583" s="15">
        <v>2.0625</v>
      </c>
    </row>
    <row r="584" spans="1:10" x14ac:dyDescent="0.25">
      <c r="A584" s="2" t="s">
        <v>1748</v>
      </c>
      <c r="B584" s="2" t="s">
        <v>1749</v>
      </c>
      <c r="C584" s="2" t="s">
        <v>1750</v>
      </c>
      <c r="D584" s="2" t="s">
        <v>10040</v>
      </c>
      <c r="E584" s="15">
        <v>9.0200000000000002E-2</v>
      </c>
      <c r="F584" s="15">
        <v>9.7600000000000006E-2</v>
      </c>
      <c r="G584" s="15">
        <v>0.35549999999999998</v>
      </c>
      <c r="H584" s="15">
        <v>0.13039999999999999</v>
      </c>
      <c r="I584" s="15">
        <v>4.0899999999999999E-2</v>
      </c>
      <c r="J584" s="15">
        <v>3.1882640586797062</v>
      </c>
    </row>
    <row r="585" spans="1:10" x14ac:dyDescent="0.25">
      <c r="A585" s="2" t="s">
        <v>1751</v>
      </c>
      <c r="B585" s="2" t="s">
        <v>1752</v>
      </c>
      <c r="C585" s="2" t="s">
        <v>1753</v>
      </c>
      <c r="D585" s="2" t="s">
        <v>10040</v>
      </c>
      <c r="E585" s="15">
        <v>0.16209999999999999</v>
      </c>
      <c r="F585" s="15">
        <v>0.126</v>
      </c>
      <c r="G585" s="15">
        <v>0.19839999999999999</v>
      </c>
      <c r="H585" s="15">
        <v>0.104</v>
      </c>
      <c r="I585" s="15">
        <v>4.8899999999999999E-2</v>
      </c>
      <c r="J585" s="15">
        <v>2.12678936605317</v>
      </c>
    </row>
    <row r="586" spans="1:10" x14ac:dyDescent="0.25">
      <c r="A586" s="2" t="s">
        <v>1754</v>
      </c>
      <c r="B586" s="2" t="s">
        <v>1755</v>
      </c>
      <c r="C586" s="2" t="s">
        <v>1756</v>
      </c>
      <c r="D586" s="2" t="s">
        <v>10040</v>
      </c>
      <c r="E586" s="15">
        <v>0.11990000000000001</v>
      </c>
      <c r="F586" s="15">
        <v>9.0300000000000005E-2</v>
      </c>
      <c r="G586" s="15">
        <v>0.18429999999999999</v>
      </c>
      <c r="H586" s="15">
        <v>0.20119999999999999</v>
      </c>
      <c r="I586" s="15">
        <v>4.9099999999999998E-2</v>
      </c>
      <c r="J586" s="15">
        <v>4.0977596741344193</v>
      </c>
    </row>
    <row r="587" spans="1:10" x14ac:dyDescent="0.25">
      <c r="A587" s="2" t="s">
        <v>1757</v>
      </c>
      <c r="B587" s="2" t="s">
        <v>1758</v>
      </c>
      <c r="C587" s="2" t="s">
        <v>1759</v>
      </c>
      <c r="D587" s="2" t="s">
        <v>10040</v>
      </c>
      <c r="E587" s="15">
        <v>7.9699999999999993E-2</v>
      </c>
      <c r="F587" s="15">
        <v>8.8400000000000006E-2</v>
      </c>
      <c r="G587" s="15">
        <v>0.36730000000000002</v>
      </c>
      <c r="H587" s="15">
        <v>0.14649999999999999</v>
      </c>
      <c r="I587" s="15">
        <v>4.3999999999999997E-2</v>
      </c>
      <c r="J587" s="15">
        <v>3.329545454545455</v>
      </c>
    </row>
    <row r="588" spans="1:10" x14ac:dyDescent="0.25">
      <c r="A588" s="2" t="s">
        <v>1760</v>
      </c>
      <c r="B588" s="2" t="s">
        <v>1761</v>
      </c>
      <c r="C588" s="2" t="s">
        <v>1762</v>
      </c>
      <c r="D588" s="2" t="s">
        <v>10040</v>
      </c>
      <c r="E588" s="15"/>
      <c r="F588" s="15"/>
      <c r="G588" s="15"/>
      <c r="H588" s="15">
        <v>-4.4499999999999998E-2</v>
      </c>
      <c r="I588" s="15">
        <v>0.04</v>
      </c>
      <c r="J588" s="15">
        <v>-1.1125</v>
      </c>
    </row>
    <row r="589" spans="1:10" x14ac:dyDescent="0.25">
      <c r="A589" s="2" t="s">
        <v>1763</v>
      </c>
      <c r="B589" s="2" t="s">
        <v>1764</v>
      </c>
      <c r="C589" s="2" t="s">
        <v>1765</v>
      </c>
      <c r="D589" s="2" t="s">
        <v>10040</v>
      </c>
      <c r="E589" s="15">
        <v>0.14549999999999999</v>
      </c>
      <c r="F589" s="15">
        <v>0.18049999999999999</v>
      </c>
      <c r="G589" s="15">
        <v>0.42009999999999997</v>
      </c>
      <c r="H589" s="15">
        <v>3.2800000000000003E-2</v>
      </c>
      <c r="I589" s="15">
        <v>3.7699999999999997E-2</v>
      </c>
      <c r="J589" s="15">
        <v>0.87002652519893908</v>
      </c>
    </row>
    <row r="590" spans="1:10" x14ac:dyDescent="0.25">
      <c r="A590" s="2" t="s">
        <v>1766</v>
      </c>
      <c r="B590" s="2" t="s">
        <v>1767</v>
      </c>
      <c r="C590" s="2" t="s">
        <v>1768</v>
      </c>
      <c r="D590" s="2" t="s">
        <v>10040</v>
      </c>
      <c r="E590" s="15">
        <v>-9.0800000000000006E-2</v>
      </c>
      <c r="F590" s="15">
        <v>0.15609999999999999</v>
      </c>
      <c r="G590" s="15">
        <v>0.56069999999999998</v>
      </c>
      <c r="H590" s="15">
        <v>6.7299999999999999E-2</v>
      </c>
      <c r="I590" s="15">
        <v>4.1700000000000001E-2</v>
      </c>
      <c r="J590" s="15">
        <v>1.6139088729016791</v>
      </c>
    </row>
    <row r="591" spans="1:10" x14ac:dyDescent="0.25">
      <c r="A591" s="2" t="s">
        <v>1769</v>
      </c>
      <c r="B591" s="2" t="s">
        <v>1770</v>
      </c>
      <c r="C591" s="2" t="s">
        <v>1771</v>
      </c>
      <c r="D591" s="2" t="s">
        <v>10040</v>
      </c>
      <c r="E591" s="15">
        <v>0.33389999999999997</v>
      </c>
      <c r="F591" s="15">
        <v>0.13109999999999999</v>
      </c>
      <c r="G591" s="15">
        <v>1.09E-2</v>
      </c>
      <c r="H591" s="15">
        <v>0.1013</v>
      </c>
      <c r="I591" s="15">
        <v>4.0599999999999997E-2</v>
      </c>
      <c r="J591" s="15">
        <v>2.4950738916256161</v>
      </c>
    </row>
    <row r="592" spans="1:10" x14ac:dyDescent="0.25">
      <c r="A592" s="2" t="s">
        <v>1772</v>
      </c>
      <c r="B592" s="2" t="s">
        <v>1773</v>
      </c>
      <c r="C592" s="2" t="s">
        <v>1774</v>
      </c>
      <c r="D592" s="2" t="s">
        <v>10040</v>
      </c>
      <c r="E592" s="15">
        <v>-4.7800000000000002E-2</v>
      </c>
      <c r="F592" s="15">
        <v>0.1158</v>
      </c>
      <c r="G592" s="15">
        <v>0.67949999999999999</v>
      </c>
      <c r="H592" s="15">
        <v>0.10059999999999999</v>
      </c>
      <c r="I592" s="15">
        <v>5.2699999999999997E-2</v>
      </c>
      <c r="J592" s="15">
        <v>1.9089184060721061</v>
      </c>
    </row>
    <row r="593" spans="1:10" x14ac:dyDescent="0.25">
      <c r="A593" s="2" t="s">
        <v>1775</v>
      </c>
      <c r="B593" s="2" t="s">
        <v>1776</v>
      </c>
      <c r="C593" s="2" t="s">
        <v>1777</v>
      </c>
      <c r="D593" s="2" t="s">
        <v>10040</v>
      </c>
      <c r="E593" s="15">
        <v>-5.67E-2</v>
      </c>
      <c r="F593" s="15">
        <v>0.13059999999999999</v>
      </c>
      <c r="G593" s="15">
        <v>0.66410000000000002</v>
      </c>
      <c r="H593" s="15">
        <v>9.0399999999999994E-2</v>
      </c>
      <c r="I593" s="15">
        <v>4.7800000000000002E-2</v>
      </c>
      <c r="J593" s="15">
        <v>1.891213389121339</v>
      </c>
    </row>
    <row r="594" spans="1:10" x14ac:dyDescent="0.25">
      <c r="A594" s="2" t="s">
        <v>1778</v>
      </c>
      <c r="B594" s="2" t="s">
        <v>1779</v>
      </c>
      <c r="C594" s="2" t="s">
        <v>1780</v>
      </c>
      <c r="D594" s="2" t="s">
        <v>10040</v>
      </c>
      <c r="E594" s="15">
        <v>0.14080000000000001</v>
      </c>
      <c r="F594" s="15">
        <v>0.1203</v>
      </c>
      <c r="G594" s="15">
        <v>0.24160000000000001</v>
      </c>
      <c r="H594" s="15">
        <v>0.1202</v>
      </c>
      <c r="I594" s="15">
        <v>4.5900000000000003E-2</v>
      </c>
      <c r="J594" s="15">
        <v>2.6187363834422661</v>
      </c>
    </row>
    <row r="595" spans="1:10" x14ac:dyDescent="0.25">
      <c r="A595" s="2" t="s">
        <v>1781</v>
      </c>
      <c r="B595" s="2" t="s">
        <v>1782</v>
      </c>
      <c r="C595" s="2" t="s">
        <v>1783</v>
      </c>
      <c r="D595" s="2" t="s">
        <v>10040</v>
      </c>
      <c r="E595" s="15">
        <v>0.2001</v>
      </c>
      <c r="F595" s="15">
        <v>9.7900000000000001E-2</v>
      </c>
      <c r="G595" s="15">
        <v>4.1099999999999998E-2</v>
      </c>
      <c r="H595" s="15">
        <v>0.15229999999999999</v>
      </c>
      <c r="I595" s="15">
        <v>4.0399999999999998E-2</v>
      </c>
      <c r="J595" s="15">
        <v>3.7698019801980198</v>
      </c>
    </row>
    <row r="596" spans="1:10" x14ac:dyDescent="0.25">
      <c r="A596" s="2" t="s">
        <v>1784</v>
      </c>
      <c r="B596" s="2" t="s">
        <v>1785</v>
      </c>
      <c r="C596" s="2" t="s">
        <v>1786</v>
      </c>
      <c r="D596" s="2" t="s">
        <v>10040</v>
      </c>
      <c r="E596" s="15">
        <v>5.9900000000000002E-2</v>
      </c>
      <c r="F596" s="15">
        <v>9.1899999999999996E-2</v>
      </c>
      <c r="G596" s="15">
        <v>0.51470000000000005</v>
      </c>
      <c r="H596" s="15">
        <v>0.13650000000000001</v>
      </c>
      <c r="I596" s="15">
        <v>4.02E-2</v>
      </c>
      <c r="J596" s="15">
        <v>3.3955223880597019</v>
      </c>
    </row>
    <row r="597" spans="1:10" x14ac:dyDescent="0.25">
      <c r="A597" s="2" t="s">
        <v>1787</v>
      </c>
      <c r="B597" s="2" t="s">
        <v>1788</v>
      </c>
      <c r="C597" s="2" t="s">
        <v>1789</v>
      </c>
      <c r="D597" s="2" t="s">
        <v>10040</v>
      </c>
      <c r="E597" s="15">
        <v>4.3099999999999999E-2</v>
      </c>
      <c r="F597" s="15">
        <v>7.4499999999999997E-2</v>
      </c>
      <c r="G597" s="15">
        <v>0.56299999999999994</v>
      </c>
      <c r="H597" s="15">
        <v>0.22270000000000001</v>
      </c>
      <c r="I597" s="15">
        <v>4.6300000000000001E-2</v>
      </c>
      <c r="J597" s="15">
        <v>4.8099352051835851</v>
      </c>
    </row>
    <row r="598" spans="1:10" x14ac:dyDescent="0.25">
      <c r="A598" s="2" t="s">
        <v>1790</v>
      </c>
      <c r="B598" s="2" t="s">
        <v>1791</v>
      </c>
      <c r="C598" s="2" t="s">
        <v>1792</v>
      </c>
      <c r="D598" s="2" t="s">
        <v>10040</v>
      </c>
      <c r="E598" s="15">
        <v>0.27529999999999999</v>
      </c>
      <c r="F598" s="15">
        <v>9.1700000000000004E-2</v>
      </c>
      <c r="G598" s="15">
        <v>2.7000000000000001E-3</v>
      </c>
      <c r="H598" s="15">
        <v>0.1633</v>
      </c>
      <c r="I598" s="15">
        <v>4.9500000000000002E-2</v>
      </c>
      <c r="J598" s="15">
        <v>3.2989898989898991</v>
      </c>
    </row>
    <row r="599" spans="1:10" x14ac:dyDescent="0.25">
      <c r="A599" s="2" t="s">
        <v>1793</v>
      </c>
      <c r="B599" s="2" t="s">
        <v>1794</v>
      </c>
      <c r="C599" s="2" t="s">
        <v>1795</v>
      </c>
      <c r="D599" s="2" t="s">
        <v>10040</v>
      </c>
      <c r="E599" s="15">
        <v>0.152</v>
      </c>
      <c r="F599" s="15">
        <v>7.9600000000000004E-2</v>
      </c>
      <c r="G599" s="15">
        <v>5.6099999999999997E-2</v>
      </c>
      <c r="H599" s="15">
        <v>0.22189999999999999</v>
      </c>
      <c r="I599" s="15">
        <v>5.1499999999999997E-2</v>
      </c>
      <c r="J599" s="15">
        <v>4.3087378640776697</v>
      </c>
    </row>
    <row r="600" spans="1:10" x14ac:dyDescent="0.25">
      <c r="A600" s="2" t="s">
        <v>1796</v>
      </c>
      <c r="B600" s="2" t="s">
        <v>1797</v>
      </c>
      <c r="C600" s="2" t="s">
        <v>1798</v>
      </c>
      <c r="D600" s="2" t="s">
        <v>10040</v>
      </c>
      <c r="E600" s="15">
        <v>0.1231</v>
      </c>
      <c r="F600" s="15">
        <v>0.13880000000000001</v>
      </c>
      <c r="G600" s="15">
        <v>0.37519999999999998</v>
      </c>
      <c r="H600" s="15">
        <v>7.0599999999999996E-2</v>
      </c>
      <c r="I600" s="15">
        <v>4.07E-2</v>
      </c>
      <c r="J600" s="15">
        <v>1.734643734643734</v>
      </c>
    </row>
    <row r="601" spans="1:10" x14ac:dyDescent="0.25">
      <c r="A601" s="2" t="s">
        <v>1799</v>
      </c>
      <c r="B601" s="2" t="s">
        <v>1800</v>
      </c>
      <c r="C601" s="2" t="s">
        <v>1801</v>
      </c>
      <c r="D601" s="2" t="s">
        <v>10040</v>
      </c>
      <c r="E601" s="15">
        <v>-2.1399999999999999E-2</v>
      </c>
      <c r="F601" s="15">
        <v>9.4700000000000006E-2</v>
      </c>
      <c r="G601" s="15">
        <v>0.82110000000000005</v>
      </c>
      <c r="H601" s="15">
        <v>0.1166</v>
      </c>
      <c r="I601" s="15">
        <v>4.5199999999999997E-2</v>
      </c>
      <c r="J601" s="15">
        <v>2.5796460176991149</v>
      </c>
    </row>
    <row r="602" spans="1:10" x14ac:dyDescent="0.25">
      <c r="A602" s="2" t="s">
        <v>1802</v>
      </c>
      <c r="B602" s="2" t="s">
        <v>1803</v>
      </c>
      <c r="C602" s="2" t="s">
        <v>1804</v>
      </c>
      <c r="D602" s="2" t="s">
        <v>10040</v>
      </c>
      <c r="E602" s="15">
        <v>3.7999999999999999E-2</v>
      </c>
      <c r="F602" s="15">
        <v>8.8999999999999996E-2</v>
      </c>
      <c r="G602" s="15">
        <v>0.66930000000000001</v>
      </c>
      <c r="H602" s="15">
        <v>0.1633</v>
      </c>
      <c r="I602" s="15">
        <v>4.7800000000000002E-2</v>
      </c>
      <c r="J602" s="15">
        <v>3.4163179916317992</v>
      </c>
    </row>
    <row r="603" spans="1:10" x14ac:dyDescent="0.25">
      <c r="A603" s="2" t="s">
        <v>1805</v>
      </c>
      <c r="B603" s="2" t="s">
        <v>1806</v>
      </c>
      <c r="C603" s="2" t="s">
        <v>1807</v>
      </c>
      <c r="D603" s="2" t="s">
        <v>10040</v>
      </c>
      <c r="E603" s="15">
        <v>0.1011</v>
      </c>
      <c r="F603" s="15">
        <v>9.6299999999999997E-2</v>
      </c>
      <c r="G603" s="15">
        <v>0.29380000000000001</v>
      </c>
      <c r="H603" s="15">
        <v>0.16020000000000001</v>
      </c>
      <c r="I603" s="15">
        <v>4.2700000000000002E-2</v>
      </c>
      <c r="J603" s="15">
        <v>3.7517564402810311</v>
      </c>
    </row>
    <row r="604" spans="1:10" x14ac:dyDescent="0.25">
      <c r="A604" s="2" t="s">
        <v>1808</v>
      </c>
      <c r="B604" s="2" t="s">
        <v>1809</v>
      </c>
      <c r="C604" s="2" t="s">
        <v>1810</v>
      </c>
      <c r="D604" s="2" t="s">
        <v>10040</v>
      </c>
      <c r="E604" s="15">
        <v>6.3899999999999998E-2</v>
      </c>
      <c r="F604" s="15">
        <v>8.3099999999999993E-2</v>
      </c>
      <c r="G604" s="15">
        <v>0.44219999999999998</v>
      </c>
      <c r="H604" s="15">
        <v>0.19989999999999999</v>
      </c>
      <c r="I604" s="15">
        <v>4.7100000000000003E-2</v>
      </c>
      <c r="J604" s="15">
        <v>4.2441613588110396</v>
      </c>
    </row>
    <row r="605" spans="1:10" x14ac:dyDescent="0.25">
      <c r="A605" s="2" t="s">
        <v>1811</v>
      </c>
      <c r="B605" s="2" t="s">
        <v>1812</v>
      </c>
      <c r="C605" s="2" t="s">
        <v>1813</v>
      </c>
      <c r="D605" s="2" t="s">
        <v>10040</v>
      </c>
      <c r="E605" s="15">
        <v>0.1002</v>
      </c>
      <c r="F605" s="15">
        <v>7.5800000000000006E-2</v>
      </c>
      <c r="G605" s="15">
        <v>0.18629999999999999</v>
      </c>
      <c r="H605" s="15">
        <v>0.24590000000000001</v>
      </c>
      <c r="I605" s="15">
        <v>4.7899999999999998E-2</v>
      </c>
      <c r="J605" s="15">
        <v>5.1336116910229652</v>
      </c>
    </row>
    <row r="606" spans="1:10" x14ac:dyDescent="0.25">
      <c r="A606" s="2" t="s">
        <v>1814</v>
      </c>
      <c r="B606" s="2" t="s">
        <v>1815</v>
      </c>
      <c r="C606" s="2" t="s">
        <v>1816</v>
      </c>
      <c r="D606" s="2" t="s">
        <v>10040</v>
      </c>
      <c r="E606" s="15">
        <v>-2.9100000000000001E-2</v>
      </c>
      <c r="F606" s="15">
        <v>0.1183</v>
      </c>
      <c r="G606" s="15">
        <v>0.8054</v>
      </c>
      <c r="H606" s="15">
        <v>9.6699999999999994E-2</v>
      </c>
      <c r="I606" s="15">
        <v>4.07E-2</v>
      </c>
      <c r="J606" s="15">
        <v>2.3759213759213762</v>
      </c>
    </row>
    <row r="607" spans="1:10" x14ac:dyDescent="0.25">
      <c r="A607" s="2" t="s">
        <v>1817</v>
      </c>
      <c r="B607" s="2" t="s">
        <v>1818</v>
      </c>
      <c r="C607" s="2" t="s">
        <v>1819</v>
      </c>
      <c r="D607" s="2" t="s">
        <v>10040</v>
      </c>
      <c r="E607" s="15">
        <v>0.19470000000000001</v>
      </c>
      <c r="F607" s="15">
        <v>0.115</v>
      </c>
      <c r="G607" s="15">
        <v>9.06E-2</v>
      </c>
      <c r="H607" s="15">
        <v>0.1079</v>
      </c>
      <c r="I607" s="15">
        <v>4.1099999999999998E-2</v>
      </c>
      <c r="J607" s="15">
        <v>2.625304136253042</v>
      </c>
    </row>
    <row r="608" spans="1:10" x14ac:dyDescent="0.25">
      <c r="A608" s="2" t="s">
        <v>1820</v>
      </c>
      <c r="B608" s="2" t="s">
        <v>1821</v>
      </c>
      <c r="C608" s="2" t="s">
        <v>1822</v>
      </c>
      <c r="D608" s="2" t="s">
        <v>10040</v>
      </c>
      <c r="E608" s="15">
        <v>-7.4099999999999999E-2</v>
      </c>
      <c r="F608" s="15">
        <v>9.4299999999999995E-2</v>
      </c>
      <c r="G608" s="15">
        <v>0.43219999999999997</v>
      </c>
      <c r="H608" s="15">
        <v>0.14729999999999999</v>
      </c>
      <c r="I608" s="15">
        <v>4.9000000000000002E-2</v>
      </c>
      <c r="J608" s="15">
        <v>3.0061224489795908</v>
      </c>
    </row>
    <row r="609" spans="1:10" x14ac:dyDescent="0.25">
      <c r="A609" s="2" t="s">
        <v>1823</v>
      </c>
      <c r="B609" s="2" t="s">
        <v>1824</v>
      </c>
      <c r="C609" s="2" t="s">
        <v>1825</v>
      </c>
      <c r="D609" s="2" t="s">
        <v>10040</v>
      </c>
      <c r="E609" s="15">
        <v>8.8499999999999995E-2</v>
      </c>
      <c r="F609" s="15">
        <v>9.2700000000000005E-2</v>
      </c>
      <c r="G609" s="15">
        <v>0.34010000000000001</v>
      </c>
      <c r="H609" s="15">
        <v>0.16200000000000001</v>
      </c>
      <c r="I609" s="15">
        <v>4.7399999999999998E-2</v>
      </c>
      <c r="J609" s="15">
        <v>3.4177215189873422</v>
      </c>
    </row>
    <row r="610" spans="1:10" x14ac:dyDescent="0.25">
      <c r="A610" s="2" t="s">
        <v>1826</v>
      </c>
      <c r="B610" s="2" t="s">
        <v>1827</v>
      </c>
      <c r="C610" s="2" t="s">
        <v>1828</v>
      </c>
      <c r="D610" s="2" t="s">
        <v>10040</v>
      </c>
      <c r="E610" s="15">
        <v>0.2742</v>
      </c>
      <c r="F610" s="15">
        <v>0.21299999999999999</v>
      </c>
      <c r="G610" s="15">
        <v>0.19789999999999999</v>
      </c>
      <c r="H610" s="15">
        <v>4.87E-2</v>
      </c>
      <c r="I610" s="15">
        <v>4.5900000000000003E-2</v>
      </c>
      <c r="J610" s="15">
        <v>1.061002178649237</v>
      </c>
    </row>
    <row r="611" spans="1:10" x14ac:dyDescent="0.25">
      <c r="A611" s="2" t="s">
        <v>1829</v>
      </c>
      <c r="B611" s="2" t="s">
        <v>1830</v>
      </c>
      <c r="C611" s="2" t="s">
        <v>1831</v>
      </c>
      <c r="D611" s="2" t="s">
        <v>10040</v>
      </c>
      <c r="E611" s="15">
        <v>0.1198</v>
      </c>
      <c r="F611" s="15">
        <v>0.1076</v>
      </c>
      <c r="G611" s="15">
        <v>0.2656</v>
      </c>
      <c r="H611" s="15">
        <v>0.127</v>
      </c>
      <c r="I611" s="15">
        <v>4.5499999999999999E-2</v>
      </c>
      <c r="J611" s="15">
        <v>2.791208791208792</v>
      </c>
    </row>
    <row r="612" spans="1:10" x14ac:dyDescent="0.25">
      <c r="A612" s="2" t="s">
        <v>1832</v>
      </c>
      <c r="B612" s="2" t="s">
        <v>1833</v>
      </c>
      <c r="C612" s="2" t="s">
        <v>1834</v>
      </c>
      <c r="D612" s="2" t="s">
        <v>10040</v>
      </c>
      <c r="E612" s="15">
        <v>-7.7999999999999996E-3</v>
      </c>
      <c r="F612" s="15">
        <v>0.10150000000000001</v>
      </c>
      <c r="G612" s="15">
        <v>0.93840000000000001</v>
      </c>
      <c r="H612" s="15">
        <v>0.14299999999999999</v>
      </c>
      <c r="I612" s="15">
        <v>4.4200000000000003E-2</v>
      </c>
      <c r="J612" s="15">
        <v>3.235294117647058</v>
      </c>
    </row>
    <row r="613" spans="1:10" x14ac:dyDescent="0.25">
      <c r="A613" s="2" t="s">
        <v>1835</v>
      </c>
      <c r="B613" s="2" t="s">
        <v>1836</v>
      </c>
      <c r="C613" s="2" t="s">
        <v>1837</v>
      </c>
      <c r="D613" s="2" t="s">
        <v>10040</v>
      </c>
      <c r="E613" s="15">
        <v>6.5500000000000003E-2</v>
      </c>
      <c r="F613" s="15">
        <v>8.5300000000000001E-2</v>
      </c>
      <c r="G613" s="15">
        <v>0.44259999999999999</v>
      </c>
      <c r="H613" s="15">
        <v>0.18709999999999999</v>
      </c>
      <c r="I613" s="15">
        <v>4.5900000000000003E-2</v>
      </c>
      <c r="J613" s="15">
        <v>4.076252723311546</v>
      </c>
    </row>
    <row r="614" spans="1:10" x14ac:dyDescent="0.25">
      <c r="A614" s="2" t="s">
        <v>1838</v>
      </c>
      <c r="B614" s="2" t="s">
        <v>1839</v>
      </c>
      <c r="C614" s="2" t="s">
        <v>1840</v>
      </c>
      <c r="D614" s="2" t="s">
        <v>10040</v>
      </c>
      <c r="E614" s="15">
        <v>0.59830000000000005</v>
      </c>
      <c r="F614" s="15">
        <v>1.5025999999999999</v>
      </c>
      <c r="G614" s="15">
        <v>0.6905</v>
      </c>
      <c r="H614" s="15">
        <v>1.29E-2</v>
      </c>
      <c r="I614" s="15">
        <v>3.9699999999999999E-2</v>
      </c>
      <c r="J614" s="15">
        <v>0.32493702770780858</v>
      </c>
    </row>
    <row r="615" spans="1:10" x14ac:dyDescent="0.25">
      <c r="A615" s="2" t="s">
        <v>1841</v>
      </c>
      <c r="B615" s="2" t="s">
        <v>1842</v>
      </c>
      <c r="C615" s="2" t="s">
        <v>1843</v>
      </c>
      <c r="D615" s="2" t="s">
        <v>10040</v>
      </c>
      <c r="E615" s="15">
        <v>3.1199999999999999E-2</v>
      </c>
      <c r="F615" s="15">
        <v>0.14510000000000001</v>
      </c>
      <c r="G615" s="15">
        <v>0.83</v>
      </c>
      <c r="H615" s="15">
        <v>5.4600000000000003E-2</v>
      </c>
      <c r="I615" s="15">
        <v>4.0500000000000001E-2</v>
      </c>
      <c r="J615" s="15">
        <v>1.3481481481481481</v>
      </c>
    </row>
    <row r="616" spans="1:10" x14ac:dyDescent="0.25">
      <c r="A616" s="2" t="s">
        <v>1844</v>
      </c>
      <c r="B616" s="2" t="s">
        <v>1845</v>
      </c>
      <c r="C616" s="2" t="s">
        <v>1846</v>
      </c>
      <c r="D616" s="2" t="s">
        <v>10040</v>
      </c>
      <c r="E616" s="15">
        <v>-2.0500000000000001E-2</v>
      </c>
      <c r="F616" s="15">
        <v>8.0100000000000005E-2</v>
      </c>
      <c r="G616" s="15">
        <v>0.79779999999999995</v>
      </c>
      <c r="H616" s="15">
        <v>0.19040000000000001</v>
      </c>
      <c r="I616" s="15">
        <v>5.0799999999999998E-2</v>
      </c>
      <c r="J616" s="15">
        <v>3.748031496062993</v>
      </c>
    </row>
    <row r="617" spans="1:10" x14ac:dyDescent="0.25">
      <c r="A617" s="2" t="s">
        <v>1847</v>
      </c>
      <c r="B617" s="2" t="s">
        <v>1848</v>
      </c>
      <c r="C617" s="2" t="s">
        <v>1849</v>
      </c>
      <c r="D617" s="2" t="s">
        <v>10040</v>
      </c>
      <c r="E617" s="15">
        <v>9.4700000000000006E-2</v>
      </c>
      <c r="F617" s="15">
        <v>0.1118</v>
      </c>
      <c r="G617" s="15">
        <v>0.39689999999999998</v>
      </c>
      <c r="H617" s="15">
        <v>0.12659999999999999</v>
      </c>
      <c r="I617" s="15">
        <v>4.7399999999999998E-2</v>
      </c>
      <c r="J617" s="15">
        <v>2.6708860759493671</v>
      </c>
    </row>
    <row r="618" spans="1:10" x14ac:dyDescent="0.25">
      <c r="A618" s="2" t="s">
        <v>1850</v>
      </c>
      <c r="B618" s="2" t="s">
        <v>1851</v>
      </c>
      <c r="C618" s="2" t="s">
        <v>1852</v>
      </c>
      <c r="D618" s="2" t="s">
        <v>10040</v>
      </c>
      <c r="E618" s="15">
        <v>0.1651</v>
      </c>
      <c r="F618" s="15">
        <v>0.1072</v>
      </c>
      <c r="G618" s="15">
        <v>0.1235</v>
      </c>
      <c r="H618" s="15">
        <v>0.14430000000000001</v>
      </c>
      <c r="I618" s="15">
        <v>4.7699999999999999E-2</v>
      </c>
      <c r="J618" s="15">
        <v>3.025157232704403</v>
      </c>
    </row>
    <row r="619" spans="1:10" x14ac:dyDescent="0.25">
      <c r="A619" s="2" t="s">
        <v>1853</v>
      </c>
      <c r="B619" s="2" t="s">
        <v>1854</v>
      </c>
      <c r="C619" s="2" t="s">
        <v>1855</v>
      </c>
      <c r="D619" s="2" t="s">
        <v>10040</v>
      </c>
      <c r="E619" s="15">
        <v>-4.8800000000000003E-2</v>
      </c>
      <c r="F619" s="15">
        <v>7.4399999999999994E-2</v>
      </c>
      <c r="G619" s="15">
        <v>0.51239999999999997</v>
      </c>
      <c r="H619" s="15">
        <v>0.2671</v>
      </c>
      <c r="I619" s="15">
        <v>5.3100000000000001E-2</v>
      </c>
      <c r="J619" s="15">
        <v>5.0301318267419974</v>
      </c>
    </row>
    <row r="620" spans="1:10" x14ac:dyDescent="0.25">
      <c r="A620" s="2" t="s">
        <v>1856</v>
      </c>
      <c r="B620" s="2" t="s">
        <v>1857</v>
      </c>
      <c r="C620" s="2" t="s">
        <v>1858</v>
      </c>
      <c r="D620" s="2" t="s">
        <v>10040</v>
      </c>
      <c r="E620" s="15">
        <v>6.5299999999999997E-2</v>
      </c>
      <c r="F620" s="15">
        <v>0.1013</v>
      </c>
      <c r="G620" s="15">
        <v>0.51939999999999997</v>
      </c>
      <c r="H620" s="15">
        <v>0.13159999999999999</v>
      </c>
      <c r="I620" s="15">
        <v>4.2099999999999999E-2</v>
      </c>
      <c r="J620" s="15">
        <v>3.125890736342043</v>
      </c>
    </row>
    <row r="621" spans="1:10" x14ac:dyDescent="0.25">
      <c r="A621" s="2" t="s">
        <v>1859</v>
      </c>
      <c r="B621" s="2" t="s">
        <v>1860</v>
      </c>
      <c r="C621" s="2" t="s">
        <v>1861</v>
      </c>
      <c r="D621" s="2" t="s">
        <v>10040</v>
      </c>
      <c r="E621" s="15">
        <v>0.1137</v>
      </c>
      <c r="F621" s="15">
        <v>0.105</v>
      </c>
      <c r="G621" s="15">
        <v>0.27900000000000003</v>
      </c>
      <c r="H621" s="15">
        <v>0.12770000000000001</v>
      </c>
      <c r="I621" s="15">
        <v>4.4499999999999998E-2</v>
      </c>
      <c r="J621" s="15">
        <v>2.8696629213483149</v>
      </c>
    </row>
    <row r="622" spans="1:10" x14ac:dyDescent="0.25">
      <c r="A622" s="2" t="s">
        <v>1862</v>
      </c>
      <c r="B622" s="2" t="s">
        <v>1863</v>
      </c>
      <c r="C622" s="2" t="s">
        <v>1864</v>
      </c>
      <c r="D622" s="2" t="s">
        <v>10040</v>
      </c>
      <c r="E622" s="15">
        <v>0.1181</v>
      </c>
      <c r="F622" s="15">
        <v>9.1600000000000001E-2</v>
      </c>
      <c r="G622" s="15">
        <v>0.19750000000000001</v>
      </c>
      <c r="H622" s="15">
        <v>0.18099999999999999</v>
      </c>
      <c r="I622" s="15">
        <v>4.5199999999999997E-2</v>
      </c>
      <c r="J622" s="15">
        <v>4.0044247787610621</v>
      </c>
    </row>
    <row r="623" spans="1:10" x14ac:dyDescent="0.25">
      <c r="A623" s="2" t="s">
        <v>1865</v>
      </c>
      <c r="B623" s="2" t="s">
        <v>1866</v>
      </c>
      <c r="C623" s="2" t="s">
        <v>1867</v>
      </c>
      <c r="D623" s="2" t="s">
        <v>10040</v>
      </c>
      <c r="E623" s="15">
        <v>1.4200000000000001E-2</v>
      </c>
      <c r="F623" s="15">
        <v>7.9600000000000004E-2</v>
      </c>
      <c r="G623" s="15">
        <v>0.85880000000000001</v>
      </c>
      <c r="H623" s="15">
        <v>0.16789999999999999</v>
      </c>
      <c r="I623" s="15">
        <v>5.0500000000000003E-2</v>
      </c>
      <c r="J623" s="15">
        <v>3.324752475247525</v>
      </c>
    </row>
    <row r="624" spans="1:10" x14ac:dyDescent="0.25">
      <c r="A624" s="2" t="s">
        <v>1868</v>
      </c>
      <c r="B624" s="2" t="s">
        <v>1869</v>
      </c>
      <c r="C624" s="2" t="s">
        <v>1870</v>
      </c>
      <c r="D624" s="2" t="s">
        <v>10040</v>
      </c>
      <c r="E624" s="15">
        <v>7.6799999999999993E-2</v>
      </c>
      <c r="F624" s="15">
        <v>9.4299999999999995E-2</v>
      </c>
      <c r="G624" s="15">
        <v>0.41539999999999999</v>
      </c>
      <c r="H624" s="15">
        <v>0.1467</v>
      </c>
      <c r="I624" s="15">
        <v>4.87E-2</v>
      </c>
      <c r="J624" s="15">
        <v>3.0123203285420939</v>
      </c>
    </row>
    <row r="625" spans="1:10" x14ac:dyDescent="0.25">
      <c r="A625" s="2" t="s">
        <v>1871</v>
      </c>
      <c r="B625" s="2" t="s">
        <v>1872</v>
      </c>
      <c r="C625" s="2" t="s">
        <v>1873</v>
      </c>
      <c r="D625" s="2" t="s">
        <v>10040</v>
      </c>
      <c r="E625" s="15">
        <v>0.1198</v>
      </c>
      <c r="F625" s="15">
        <v>0.1085</v>
      </c>
      <c r="G625" s="15">
        <v>0.26950000000000002</v>
      </c>
      <c r="H625" s="15">
        <v>0.1021</v>
      </c>
      <c r="I625" s="15">
        <v>4.1799999999999997E-2</v>
      </c>
      <c r="J625" s="15">
        <v>2.442583732057416</v>
      </c>
    </row>
    <row r="626" spans="1:10" x14ac:dyDescent="0.25">
      <c r="A626" s="2" t="s">
        <v>1874</v>
      </c>
      <c r="B626" s="2" t="s">
        <v>1875</v>
      </c>
      <c r="C626" s="2" t="s">
        <v>1876</v>
      </c>
      <c r="D626" s="2" t="s">
        <v>10040</v>
      </c>
      <c r="E626" s="15">
        <v>0.17349999999999999</v>
      </c>
      <c r="F626" s="15">
        <v>0.24060000000000001</v>
      </c>
      <c r="G626" s="15">
        <v>0.47099999999999997</v>
      </c>
      <c r="H626" s="15">
        <v>3.04E-2</v>
      </c>
      <c r="I626" s="15">
        <v>3.9300000000000002E-2</v>
      </c>
      <c r="J626" s="15">
        <v>0.77353689567430017</v>
      </c>
    </row>
    <row r="627" spans="1:10" x14ac:dyDescent="0.25">
      <c r="A627" s="2" t="s">
        <v>1877</v>
      </c>
      <c r="B627" s="2" t="s">
        <v>1878</v>
      </c>
      <c r="C627" s="2" t="s">
        <v>1879</v>
      </c>
      <c r="D627" s="2" t="s">
        <v>10040</v>
      </c>
      <c r="E627" s="15">
        <v>-5.6899999999999999E-2</v>
      </c>
      <c r="F627" s="15">
        <v>0.10829999999999999</v>
      </c>
      <c r="G627" s="15">
        <v>0.59909999999999997</v>
      </c>
      <c r="H627" s="15">
        <v>0.1075</v>
      </c>
      <c r="I627" s="15">
        <v>4.7300000000000002E-2</v>
      </c>
      <c r="J627" s="15">
        <v>2.272727272727272</v>
      </c>
    </row>
    <row r="628" spans="1:10" x14ac:dyDescent="0.25">
      <c r="A628" s="2" t="s">
        <v>1880</v>
      </c>
      <c r="B628" s="2" t="s">
        <v>1881</v>
      </c>
      <c r="C628" s="2" t="s">
        <v>1882</v>
      </c>
      <c r="D628" s="2" t="s">
        <v>10040</v>
      </c>
      <c r="E628" s="15">
        <v>0.1211</v>
      </c>
      <c r="F628" s="15">
        <v>0.09</v>
      </c>
      <c r="G628" s="15">
        <v>0.17849999999999999</v>
      </c>
      <c r="H628" s="15">
        <v>0.14699999999999999</v>
      </c>
      <c r="I628" s="15">
        <v>4.7199999999999999E-2</v>
      </c>
      <c r="J628" s="15">
        <v>3.1144067796610169</v>
      </c>
    </row>
    <row r="629" spans="1:10" x14ac:dyDescent="0.25">
      <c r="A629" s="2" t="s">
        <v>1883</v>
      </c>
      <c r="B629" s="2" t="s">
        <v>1884</v>
      </c>
      <c r="C629" s="2" t="s">
        <v>1885</v>
      </c>
      <c r="D629" s="2" t="s">
        <v>10040</v>
      </c>
      <c r="E629" s="15">
        <v>0.29670000000000002</v>
      </c>
      <c r="F629" s="15">
        <v>9.9500000000000005E-2</v>
      </c>
      <c r="G629" s="15">
        <v>2.8999999999999998E-3</v>
      </c>
      <c r="H629" s="15">
        <v>0.13489999999999999</v>
      </c>
      <c r="I629" s="15">
        <v>3.9300000000000002E-2</v>
      </c>
      <c r="J629" s="15">
        <v>3.4325699745547071</v>
      </c>
    </row>
    <row r="630" spans="1:10" x14ac:dyDescent="0.25">
      <c r="A630" s="2" t="s">
        <v>1886</v>
      </c>
      <c r="B630" s="2" t="s">
        <v>1887</v>
      </c>
      <c r="C630" s="2" t="s">
        <v>1888</v>
      </c>
      <c r="D630" s="2" t="s">
        <v>10040</v>
      </c>
      <c r="E630" s="15">
        <v>-0.16289999999999999</v>
      </c>
      <c r="F630" s="15">
        <v>0.5716</v>
      </c>
      <c r="G630" s="15">
        <v>0.77569999999999995</v>
      </c>
      <c r="H630" s="15">
        <v>1.8599999999999998E-2</v>
      </c>
      <c r="I630" s="15">
        <v>4.0300000000000002E-2</v>
      </c>
      <c r="J630" s="15">
        <v>0.46153846153846151</v>
      </c>
    </row>
    <row r="631" spans="1:10" x14ac:dyDescent="0.25">
      <c r="A631" s="2" t="s">
        <v>1889</v>
      </c>
      <c r="B631" s="2" t="s">
        <v>1890</v>
      </c>
      <c r="C631" s="2" t="s">
        <v>1891</v>
      </c>
      <c r="D631" s="2" t="s">
        <v>10040</v>
      </c>
      <c r="E631" s="15">
        <v>9.9199999999999997E-2</v>
      </c>
      <c r="F631" s="15">
        <v>0.1129</v>
      </c>
      <c r="G631" s="15">
        <v>0.37980000000000003</v>
      </c>
      <c r="H631" s="15">
        <v>0.107</v>
      </c>
      <c r="I631" s="15">
        <v>4.5199999999999997E-2</v>
      </c>
      <c r="J631" s="15">
        <v>2.3672566371681421</v>
      </c>
    </row>
    <row r="632" spans="1:10" x14ac:dyDescent="0.25">
      <c r="A632" s="2" t="s">
        <v>1892</v>
      </c>
      <c r="B632" s="2" t="s">
        <v>1893</v>
      </c>
      <c r="C632" s="2" t="s">
        <v>1894</v>
      </c>
      <c r="D632" s="2" t="s">
        <v>10040</v>
      </c>
      <c r="E632" s="15">
        <v>-0.13339999999999999</v>
      </c>
      <c r="F632" s="15">
        <v>0.11550000000000001</v>
      </c>
      <c r="G632" s="15">
        <v>0.24829999999999999</v>
      </c>
      <c r="H632" s="15">
        <v>0.10299999999999999</v>
      </c>
      <c r="I632" s="15">
        <v>4.3099999999999999E-2</v>
      </c>
      <c r="J632" s="15">
        <v>2.3897911832946641</v>
      </c>
    </row>
    <row r="633" spans="1:10" x14ac:dyDescent="0.25">
      <c r="A633" s="2" t="s">
        <v>1895</v>
      </c>
      <c r="B633" s="2" t="s">
        <v>1896</v>
      </c>
      <c r="C633" s="2" t="s">
        <v>1897</v>
      </c>
      <c r="D633" s="2" t="s">
        <v>10040</v>
      </c>
      <c r="E633" s="15">
        <v>0.36349999999999999</v>
      </c>
      <c r="F633" s="15">
        <v>0.21940000000000001</v>
      </c>
      <c r="G633" s="15">
        <v>9.7600000000000006E-2</v>
      </c>
      <c r="H633" s="15">
        <v>5.2999999999999999E-2</v>
      </c>
      <c r="I633" s="15">
        <v>4.6399999999999997E-2</v>
      </c>
      <c r="J633" s="15">
        <v>1.142241379310345</v>
      </c>
    </row>
    <row r="634" spans="1:10" x14ac:dyDescent="0.25">
      <c r="A634" s="2" t="s">
        <v>1898</v>
      </c>
      <c r="B634" s="2" t="s">
        <v>1899</v>
      </c>
      <c r="C634" s="2" t="s">
        <v>1900</v>
      </c>
      <c r="D634" s="2" t="s">
        <v>10040</v>
      </c>
      <c r="E634" s="15">
        <v>-3.7499999999999999E-2</v>
      </c>
      <c r="F634" s="15">
        <v>0.1515</v>
      </c>
      <c r="G634" s="15">
        <v>0.80430000000000001</v>
      </c>
      <c r="H634" s="15">
        <v>6.0999999999999999E-2</v>
      </c>
      <c r="I634" s="15">
        <v>3.9E-2</v>
      </c>
      <c r="J634" s="15">
        <v>1.5641025641025641</v>
      </c>
    </row>
    <row r="635" spans="1:10" x14ac:dyDescent="0.25">
      <c r="A635" s="2" t="s">
        <v>1901</v>
      </c>
      <c r="B635" s="2" t="s">
        <v>1902</v>
      </c>
      <c r="C635" s="2" t="s">
        <v>1903</v>
      </c>
      <c r="D635" s="2" t="s">
        <v>10040</v>
      </c>
      <c r="E635" s="15">
        <v>8.8000000000000005E-3</v>
      </c>
      <c r="F635" s="15">
        <v>0.1333</v>
      </c>
      <c r="G635" s="15">
        <v>0.94750000000000001</v>
      </c>
      <c r="H635" s="15">
        <v>7.0999999999999994E-2</v>
      </c>
      <c r="I635" s="15">
        <v>3.8600000000000002E-2</v>
      </c>
      <c r="J635" s="15">
        <v>1.839378238341969</v>
      </c>
    </row>
    <row r="636" spans="1:10" x14ac:dyDescent="0.25">
      <c r="A636" s="2" t="s">
        <v>1904</v>
      </c>
      <c r="B636" s="2" t="s">
        <v>1905</v>
      </c>
      <c r="C636" s="2" t="s">
        <v>1906</v>
      </c>
      <c r="D636" s="2" t="s">
        <v>10040</v>
      </c>
      <c r="E636" s="15"/>
      <c r="F636" s="15"/>
      <c r="G636" s="15"/>
      <c r="H636" s="15"/>
      <c r="I636" s="15"/>
      <c r="J636" s="15"/>
    </row>
    <row r="637" spans="1:10" x14ac:dyDescent="0.25">
      <c r="A637" s="2" t="s">
        <v>1907</v>
      </c>
      <c r="B637" s="2" t="s">
        <v>1908</v>
      </c>
      <c r="C637" s="2" t="s">
        <v>1909</v>
      </c>
      <c r="D637" s="2" t="s">
        <v>10040</v>
      </c>
      <c r="E637" s="15">
        <v>0.19650000000000001</v>
      </c>
      <c r="F637" s="15">
        <v>0.15040000000000001</v>
      </c>
      <c r="G637" s="15">
        <v>0.19139999999999999</v>
      </c>
      <c r="H637" s="15">
        <v>0.06</v>
      </c>
      <c r="I637" s="15">
        <v>4.1700000000000001E-2</v>
      </c>
      <c r="J637" s="15">
        <v>1.4388489208633091</v>
      </c>
    </row>
    <row r="638" spans="1:10" x14ac:dyDescent="0.25">
      <c r="A638" s="2" t="s">
        <v>1910</v>
      </c>
      <c r="B638" s="2" t="s">
        <v>1911</v>
      </c>
      <c r="C638" s="2" t="s">
        <v>1912</v>
      </c>
      <c r="D638" s="2" t="s">
        <v>10040</v>
      </c>
      <c r="E638" s="15">
        <v>-7.9600000000000004E-2</v>
      </c>
      <c r="F638" s="15">
        <v>0.10639999999999999</v>
      </c>
      <c r="G638" s="15">
        <v>0.45429999999999998</v>
      </c>
      <c r="H638" s="15">
        <v>0.1079</v>
      </c>
      <c r="I638" s="15">
        <v>4.65E-2</v>
      </c>
      <c r="J638" s="15">
        <v>2.3204301075268821</v>
      </c>
    </row>
    <row r="639" spans="1:10" x14ac:dyDescent="0.25">
      <c r="A639" s="2" t="s">
        <v>1913</v>
      </c>
      <c r="B639" s="2" t="s">
        <v>1914</v>
      </c>
      <c r="C639" s="2" t="s">
        <v>1915</v>
      </c>
      <c r="D639" s="2" t="s">
        <v>10040</v>
      </c>
      <c r="E639" s="15">
        <v>0.15529999999999999</v>
      </c>
      <c r="F639" s="15">
        <v>7.5399999999999995E-2</v>
      </c>
      <c r="G639" s="15">
        <v>3.9399999999999998E-2</v>
      </c>
      <c r="H639" s="15">
        <v>0.22359999999999999</v>
      </c>
      <c r="I639" s="15">
        <v>5.33E-2</v>
      </c>
      <c r="J639" s="15">
        <v>4.1951219512195124</v>
      </c>
    </row>
    <row r="640" spans="1:10" x14ac:dyDescent="0.25">
      <c r="A640" s="2" t="s">
        <v>1916</v>
      </c>
      <c r="B640" s="2" t="s">
        <v>1917</v>
      </c>
      <c r="C640" s="2" t="s">
        <v>1918</v>
      </c>
      <c r="D640" s="2" t="s">
        <v>10040</v>
      </c>
      <c r="E640" s="15">
        <v>8.9899999999999994E-2</v>
      </c>
      <c r="F640" s="15">
        <v>6.6500000000000004E-2</v>
      </c>
      <c r="G640" s="15">
        <v>0.1762</v>
      </c>
      <c r="H640" s="15">
        <v>0.2422</v>
      </c>
      <c r="I640" s="15">
        <v>4.99E-2</v>
      </c>
      <c r="J640" s="15">
        <v>4.8537074148296604</v>
      </c>
    </row>
    <row r="641" spans="1:10" x14ac:dyDescent="0.25">
      <c r="A641" s="2" t="s">
        <v>1919</v>
      </c>
      <c r="B641" s="2" t="s">
        <v>1920</v>
      </c>
      <c r="C641" s="2" t="s">
        <v>1921</v>
      </c>
      <c r="D641" s="2" t="s">
        <v>10040</v>
      </c>
      <c r="E641" s="15">
        <v>3.0000000000000001E-3</v>
      </c>
      <c r="F641" s="15">
        <v>9.7299999999999998E-2</v>
      </c>
      <c r="G641" s="15">
        <v>0.97509999999999997</v>
      </c>
      <c r="H641" s="15">
        <v>0.13930000000000001</v>
      </c>
      <c r="I641" s="15">
        <v>3.7199999999999997E-2</v>
      </c>
      <c r="J641" s="15">
        <v>3.7446236559139789</v>
      </c>
    </row>
    <row r="642" spans="1:10" x14ac:dyDescent="0.25">
      <c r="A642" s="2" t="s">
        <v>1922</v>
      </c>
      <c r="B642" s="2" t="s">
        <v>1923</v>
      </c>
      <c r="C642" s="2" t="s">
        <v>1924</v>
      </c>
      <c r="D642" s="2" t="s">
        <v>10040</v>
      </c>
      <c r="E642" s="15">
        <v>-0.1421</v>
      </c>
      <c r="F642" s="15">
        <v>0.17649999999999999</v>
      </c>
      <c r="G642" s="15">
        <v>0.42080000000000001</v>
      </c>
      <c r="H642" s="15">
        <v>5.2499999999999998E-2</v>
      </c>
      <c r="I642" s="15">
        <v>4.36E-2</v>
      </c>
      <c r="J642" s="15">
        <v>1.204128440366973</v>
      </c>
    </row>
    <row r="643" spans="1:10" x14ac:dyDescent="0.25">
      <c r="A643" s="2" t="s">
        <v>1925</v>
      </c>
      <c r="B643" s="2" t="s">
        <v>1926</v>
      </c>
      <c r="C643" s="2" t="s">
        <v>1927</v>
      </c>
      <c r="D643" s="2" t="s">
        <v>10040</v>
      </c>
      <c r="E643" s="15">
        <v>-0.1042</v>
      </c>
      <c r="F643" s="15">
        <v>0.1024</v>
      </c>
      <c r="G643" s="15">
        <v>0.30869999999999997</v>
      </c>
      <c r="H643" s="15">
        <v>0.1108</v>
      </c>
      <c r="I643" s="15">
        <v>4.3299999999999998E-2</v>
      </c>
      <c r="J643" s="15">
        <v>2.5588914549653579</v>
      </c>
    </row>
    <row r="644" spans="1:10" x14ac:dyDescent="0.25">
      <c r="A644" s="2" t="s">
        <v>1928</v>
      </c>
      <c r="B644" s="2" t="s">
        <v>1929</v>
      </c>
      <c r="C644" s="2" t="s">
        <v>1930</v>
      </c>
      <c r="D644" s="2" t="s">
        <v>10040</v>
      </c>
      <c r="E644" s="15">
        <v>0.17319999999999999</v>
      </c>
      <c r="F644" s="15">
        <v>0.10879999999999999</v>
      </c>
      <c r="G644" s="15">
        <v>0.1116</v>
      </c>
      <c r="H644" s="15">
        <v>0.1225</v>
      </c>
      <c r="I644" s="15">
        <v>4.0599999999999997E-2</v>
      </c>
      <c r="J644" s="15">
        <v>3.0172413793103452</v>
      </c>
    </row>
    <row r="645" spans="1:10" x14ac:dyDescent="0.25">
      <c r="A645" s="2" t="s">
        <v>1931</v>
      </c>
      <c r="B645" s="2" t="s">
        <v>1932</v>
      </c>
      <c r="C645" s="2" t="s">
        <v>1933</v>
      </c>
      <c r="D645" s="2" t="s">
        <v>10040</v>
      </c>
      <c r="E645" s="15">
        <v>9.6600000000000005E-2</v>
      </c>
      <c r="F645" s="15">
        <v>0.15429999999999999</v>
      </c>
      <c r="G645" s="15">
        <v>0.53139999999999998</v>
      </c>
      <c r="H645" s="15">
        <v>6.3299999999999995E-2</v>
      </c>
      <c r="I645" s="15">
        <v>4.4999999999999998E-2</v>
      </c>
      <c r="J645" s="15">
        <v>1.406666666666667</v>
      </c>
    </row>
    <row r="646" spans="1:10" x14ac:dyDescent="0.25">
      <c r="A646" s="2" t="s">
        <v>1934</v>
      </c>
      <c r="B646" s="2" t="s">
        <v>1935</v>
      </c>
      <c r="C646" s="2" t="s">
        <v>1936</v>
      </c>
      <c r="D646" s="2" t="s">
        <v>10040</v>
      </c>
      <c r="E646" s="15">
        <v>-4.1000000000000003E-3</v>
      </c>
      <c r="F646" s="15">
        <v>0.1174</v>
      </c>
      <c r="G646" s="15">
        <v>0.97230000000000005</v>
      </c>
      <c r="H646" s="15">
        <v>9.1399999999999995E-2</v>
      </c>
      <c r="I646" s="15">
        <v>4.6699999999999998E-2</v>
      </c>
      <c r="J646" s="15">
        <v>1.9571734475374729</v>
      </c>
    </row>
    <row r="647" spans="1:10" x14ac:dyDescent="0.25">
      <c r="A647" s="2" t="s">
        <v>1937</v>
      </c>
      <c r="B647" s="2" t="s">
        <v>1938</v>
      </c>
      <c r="C647" s="2" t="s">
        <v>1939</v>
      </c>
      <c r="D647" s="2" t="s">
        <v>10040</v>
      </c>
      <c r="E647" s="15">
        <v>0.16619999999999999</v>
      </c>
      <c r="F647" s="15">
        <v>0.1158</v>
      </c>
      <c r="G647" s="15">
        <v>0.15110000000000001</v>
      </c>
      <c r="H647" s="15">
        <v>9.9199999999999997E-2</v>
      </c>
      <c r="I647" s="15">
        <v>4.2799999999999998E-2</v>
      </c>
      <c r="J647" s="15">
        <v>2.3177570093457951</v>
      </c>
    </row>
    <row r="648" spans="1:10" x14ac:dyDescent="0.25">
      <c r="A648" s="2" t="s">
        <v>1940</v>
      </c>
      <c r="B648" s="2" t="s">
        <v>1941</v>
      </c>
      <c r="C648" s="2" t="s">
        <v>1942</v>
      </c>
      <c r="D648" s="2" t="s">
        <v>10040</v>
      </c>
      <c r="E648" s="15">
        <v>7.8600000000000003E-2</v>
      </c>
      <c r="F648" s="15">
        <v>8.14E-2</v>
      </c>
      <c r="G648" s="15">
        <v>0.33429999999999999</v>
      </c>
      <c r="H648" s="15">
        <v>0.1716</v>
      </c>
      <c r="I648" s="15">
        <v>4.6600000000000003E-2</v>
      </c>
      <c r="J648" s="15">
        <v>3.6824034334763951</v>
      </c>
    </row>
    <row r="649" spans="1:10" x14ac:dyDescent="0.25">
      <c r="A649" s="2" t="s">
        <v>1943</v>
      </c>
      <c r="B649" s="2" t="s">
        <v>1944</v>
      </c>
      <c r="C649" s="2" t="s">
        <v>1945</v>
      </c>
      <c r="D649" s="2" t="s">
        <v>10040</v>
      </c>
      <c r="E649" s="15">
        <v>-5.91E-2</v>
      </c>
      <c r="F649" s="15">
        <v>0.1082</v>
      </c>
      <c r="G649" s="15">
        <v>0.58460000000000001</v>
      </c>
      <c r="H649" s="15">
        <v>0.1168</v>
      </c>
      <c r="I649" s="15">
        <v>4.1000000000000002E-2</v>
      </c>
      <c r="J649" s="15">
        <v>2.8487804878048779</v>
      </c>
    </row>
    <row r="650" spans="1:10" x14ac:dyDescent="0.25">
      <c r="A650" s="2" t="s">
        <v>1946</v>
      </c>
      <c r="B650" s="2" t="s">
        <v>1947</v>
      </c>
      <c r="C650" s="2" t="s">
        <v>1948</v>
      </c>
      <c r="D650" s="2" t="s">
        <v>10041</v>
      </c>
      <c r="E650" s="15">
        <v>5.3199999999999997E-2</v>
      </c>
      <c r="F650" s="15">
        <v>7.7499999999999999E-2</v>
      </c>
      <c r="G650" s="15">
        <v>0.49299999999999999</v>
      </c>
      <c r="H650" s="15">
        <v>0.20230000000000001</v>
      </c>
      <c r="I650" s="15">
        <v>4.8500000000000001E-2</v>
      </c>
      <c r="J650" s="15">
        <v>4.171134020618557</v>
      </c>
    </row>
    <row r="651" spans="1:10" x14ac:dyDescent="0.25">
      <c r="A651" s="2" t="s">
        <v>1949</v>
      </c>
      <c r="B651" s="2" t="s">
        <v>1950</v>
      </c>
      <c r="C651" s="2" t="s">
        <v>1951</v>
      </c>
      <c r="D651" s="2" t="s">
        <v>10041</v>
      </c>
      <c r="E651" s="15">
        <v>-6.7000000000000004E-2</v>
      </c>
      <c r="F651" s="15">
        <v>0.1062</v>
      </c>
      <c r="G651" s="15">
        <v>0.52790000000000004</v>
      </c>
      <c r="H651" s="15">
        <v>0.13339999999999999</v>
      </c>
      <c r="I651" s="15">
        <v>3.8300000000000001E-2</v>
      </c>
      <c r="J651" s="15">
        <v>3.4830287206266322</v>
      </c>
    </row>
    <row r="652" spans="1:10" x14ac:dyDescent="0.25">
      <c r="A652" s="2" t="s">
        <v>1952</v>
      </c>
      <c r="B652" s="2" t="s">
        <v>1953</v>
      </c>
      <c r="C652" s="2" t="s">
        <v>1954</v>
      </c>
      <c r="D652" s="2" t="s">
        <v>10041</v>
      </c>
      <c r="E652" s="15">
        <v>3.5099999999999999E-2</v>
      </c>
      <c r="F652" s="15">
        <v>0.1159</v>
      </c>
      <c r="G652" s="15">
        <v>0.76180000000000003</v>
      </c>
      <c r="H652" s="15">
        <v>8.09E-2</v>
      </c>
      <c r="I652" s="15">
        <v>4.5900000000000003E-2</v>
      </c>
      <c r="J652" s="15">
        <v>1.762527233115468</v>
      </c>
    </row>
    <row r="653" spans="1:10" x14ac:dyDescent="0.25">
      <c r="A653" s="2" t="s">
        <v>1955</v>
      </c>
      <c r="B653" s="2" t="s">
        <v>1956</v>
      </c>
      <c r="C653" s="2" t="s">
        <v>1957</v>
      </c>
      <c r="D653" s="2" t="s">
        <v>10041</v>
      </c>
      <c r="E653" s="15">
        <v>-3.8300000000000001E-2</v>
      </c>
      <c r="F653" s="15">
        <v>0.1002</v>
      </c>
      <c r="G653" s="15">
        <v>0.70240000000000002</v>
      </c>
      <c r="H653" s="15">
        <v>0.14360000000000001</v>
      </c>
      <c r="I653" s="15">
        <v>4.8599999999999997E-2</v>
      </c>
      <c r="J653" s="15">
        <v>2.9547325102880659</v>
      </c>
    </row>
    <row r="654" spans="1:10" x14ac:dyDescent="0.25">
      <c r="A654" s="2" t="s">
        <v>1958</v>
      </c>
      <c r="B654" s="2" t="s">
        <v>1959</v>
      </c>
      <c r="C654" s="2" t="s">
        <v>1960</v>
      </c>
      <c r="D654" s="2" t="s">
        <v>10041</v>
      </c>
      <c r="E654" s="15">
        <v>3.49E-2</v>
      </c>
      <c r="F654" s="15">
        <v>7.9399999999999998E-2</v>
      </c>
      <c r="G654" s="15">
        <v>0.66039999999999999</v>
      </c>
      <c r="H654" s="15">
        <v>0.23150000000000001</v>
      </c>
      <c r="I654" s="15">
        <v>4.7E-2</v>
      </c>
      <c r="J654" s="15">
        <v>4.9255319148936172</v>
      </c>
    </row>
    <row r="655" spans="1:10" x14ac:dyDescent="0.25">
      <c r="A655" s="2" t="s">
        <v>1961</v>
      </c>
      <c r="B655" s="2" t="s">
        <v>1962</v>
      </c>
      <c r="C655" s="2" t="s">
        <v>1963</v>
      </c>
      <c r="D655" s="2" t="s">
        <v>10041</v>
      </c>
      <c r="E655" s="15">
        <v>6.0100000000000001E-2</v>
      </c>
      <c r="F655" s="15">
        <v>7.7100000000000002E-2</v>
      </c>
      <c r="G655" s="15">
        <v>0.43540000000000001</v>
      </c>
      <c r="H655" s="15">
        <v>0.1986</v>
      </c>
      <c r="I655" s="15">
        <v>4.6399999999999997E-2</v>
      </c>
      <c r="J655" s="15">
        <v>4.2801724137931041</v>
      </c>
    </row>
    <row r="656" spans="1:10" x14ac:dyDescent="0.25">
      <c r="A656" s="2" t="s">
        <v>1964</v>
      </c>
      <c r="B656" s="2" t="s">
        <v>1965</v>
      </c>
      <c r="C656" s="2" t="s">
        <v>1966</v>
      </c>
      <c r="D656" s="2" t="s">
        <v>10041</v>
      </c>
      <c r="E656" s="15">
        <v>-2.2200000000000001E-2</v>
      </c>
      <c r="F656" s="15">
        <v>0.1045</v>
      </c>
      <c r="G656" s="15">
        <v>0.83199999999999996</v>
      </c>
      <c r="H656" s="15">
        <v>0.1061</v>
      </c>
      <c r="I656" s="15">
        <v>4.4999999999999998E-2</v>
      </c>
      <c r="J656" s="15">
        <v>2.3577777777777782</v>
      </c>
    </row>
    <row r="657" spans="1:10" x14ac:dyDescent="0.25">
      <c r="A657" s="2" t="s">
        <v>1967</v>
      </c>
      <c r="B657" s="2" t="s">
        <v>1968</v>
      </c>
      <c r="C657" s="2" t="s">
        <v>1969</v>
      </c>
      <c r="D657" s="2" t="s">
        <v>10041</v>
      </c>
      <c r="E657" s="15">
        <v>8.1900000000000001E-2</v>
      </c>
      <c r="F657" s="15">
        <v>8.5400000000000004E-2</v>
      </c>
      <c r="G657" s="15">
        <v>0.33729999999999999</v>
      </c>
      <c r="H657" s="15">
        <v>0.19259999999999999</v>
      </c>
      <c r="I657" s="15">
        <v>4.2200000000000001E-2</v>
      </c>
      <c r="J657" s="15">
        <v>4.5639810426540279</v>
      </c>
    </row>
    <row r="658" spans="1:10" x14ac:dyDescent="0.25">
      <c r="A658" s="2" t="s">
        <v>1970</v>
      </c>
      <c r="B658" s="2" t="s">
        <v>1971</v>
      </c>
      <c r="C658" s="2" t="s">
        <v>1972</v>
      </c>
      <c r="D658" s="2" t="s">
        <v>10041</v>
      </c>
      <c r="E658" s="15">
        <v>0.09</v>
      </c>
      <c r="F658" s="15">
        <v>7.6899999999999996E-2</v>
      </c>
      <c r="G658" s="15">
        <v>0.2417</v>
      </c>
      <c r="H658" s="15">
        <v>0.23519999999999999</v>
      </c>
      <c r="I658" s="15">
        <v>4.7300000000000002E-2</v>
      </c>
      <c r="J658" s="15">
        <v>4.9725158562367859</v>
      </c>
    </row>
    <row r="659" spans="1:10" x14ac:dyDescent="0.25">
      <c r="A659" s="2" t="s">
        <v>1973</v>
      </c>
      <c r="B659" s="2" t="s">
        <v>1974</v>
      </c>
      <c r="C659" s="2" t="s">
        <v>1975</v>
      </c>
      <c r="D659" s="2" t="s">
        <v>10041</v>
      </c>
      <c r="E659" s="15">
        <v>5.4699999999999999E-2</v>
      </c>
      <c r="F659" s="15">
        <v>7.0300000000000001E-2</v>
      </c>
      <c r="G659" s="15">
        <v>0.43709999999999999</v>
      </c>
      <c r="H659" s="15">
        <v>0.24629999999999999</v>
      </c>
      <c r="I659" s="15">
        <v>5.0500000000000003E-2</v>
      </c>
      <c r="J659" s="15">
        <v>4.8772277227722771</v>
      </c>
    </row>
    <row r="660" spans="1:10" x14ac:dyDescent="0.25">
      <c r="A660" s="2" t="s">
        <v>1976</v>
      </c>
      <c r="B660" s="2" t="s">
        <v>1977</v>
      </c>
      <c r="C660" s="2" t="s">
        <v>1978</v>
      </c>
      <c r="D660" s="2" t="s">
        <v>10041</v>
      </c>
      <c r="E660" s="15">
        <v>-2E-3</v>
      </c>
      <c r="F660" s="15">
        <v>8.1500000000000003E-2</v>
      </c>
      <c r="G660" s="15">
        <v>0.98080000000000001</v>
      </c>
      <c r="H660" s="15">
        <v>0.20169999999999999</v>
      </c>
      <c r="I660" s="15">
        <v>4.5199999999999997E-2</v>
      </c>
      <c r="J660" s="15">
        <v>4.4623893805309738</v>
      </c>
    </row>
    <row r="661" spans="1:10" x14ac:dyDescent="0.25">
      <c r="A661" s="2" t="s">
        <v>1979</v>
      </c>
      <c r="B661" s="2" t="s">
        <v>1980</v>
      </c>
      <c r="C661" s="2" t="s">
        <v>1981</v>
      </c>
      <c r="D661" s="2" t="s">
        <v>10041</v>
      </c>
      <c r="E661" s="15">
        <v>0.13780000000000001</v>
      </c>
      <c r="F661" s="15">
        <v>6.6299999999999998E-2</v>
      </c>
      <c r="G661" s="15">
        <v>3.7699999999999997E-2</v>
      </c>
      <c r="H661" s="15">
        <v>0.28029999999999999</v>
      </c>
      <c r="I661" s="15">
        <v>5.5E-2</v>
      </c>
      <c r="J661" s="15">
        <v>5.0963636363636367</v>
      </c>
    </row>
    <row r="662" spans="1:10" x14ac:dyDescent="0.25">
      <c r="A662" s="2" t="s">
        <v>1982</v>
      </c>
      <c r="B662" s="2" t="s">
        <v>1983</v>
      </c>
      <c r="C662" s="2" t="s">
        <v>1984</v>
      </c>
      <c r="D662" s="2" t="s">
        <v>10041</v>
      </c>
      <c r="E662" s="15">
        <v>-7.2400000000000006E-2</v>
      </c>
      <c r="F662" s="15">
        <v>7.51E-2</v>
      </c>
      <c r="G662" s="15">
        <v>0.33489999999999998</v>
      </c>
      <c r="H662" s="15">
        <v>0.23960000000000001</v>
      </c>
      <c r="I662" s="15">
        <v>5.9499999999999997E-2</v>
      </c>
      <c r="J662" s="15">
        <v>4.0268907563025209</v>
      </c>
    </row>
    <row r="663" spans="1:10" x14ac:dyDescent="0.25">
      <c r="A663" s="2" t="s">
        <v>1985</v>
      </c>
      <c r="B663" s="2" t="s">
        <v>1986</v>
      </c>
      <c r="C663" s="2" t="s">
        <v>1987</v>
      </c>
      <c r="D663" s="2" t="s">
        <v>10041</v>
      </c>
      <c r="E663" s="15">
        <v>7.0300000000000001E-2</v>
      </c>
      <c r="F663" s="15">
        <v>0.1227</v>
      </c>
      <c r="G663" s="15">
        <v>0.56699999999999995</v>
      </c>
      <c r="H663" s="15">
        <v>9.2700000000000005E-2</v>
      </c>
      <c r="I663" s="15">
        <v>4.3999999999999997E-2</v>
      </c>
      <c r="J663" s="15">
        <v>2.1068181818181819</v>
      </c>
    </row>
    <row r="664" spans="1:10" x14ac:dyDescent="0.25">
      <c r="A664" s="2" t="s">
        <v>1988</v>
      </c>
      <c r="B664" s="2" t="s">
        <v>1989</v>
      </c>
      <c r="C664" s="2" t="s">
        <v>1990</v>
      </c>
      <c r="D664" s="2" t="s">
        <v>10041</v>
      </c>
      <c r="E664" s="15">
        <v>3.2899999999999999E-2</v>
      </c>
      <c r="F664" s="15">
        <v>9.7799999999999998E-2</v>
      </c>
      <c r="G664" s="15">
        <v>0.73680000000000001</v>
      </c>
      <c r="H664" s="15">
        <v>0.1769</v>
      </c>
      <c r="I664" s="15">
        <v>4.4200000000000003E-2</v>
      </c>
      <c r="J664" s="15">
        <v>4.002262443438914</v>
      </c>
    </row>
    <row r="665" spans="1:10" x14ac:dyDescent="0.25">
      <c r="A665" s="2" t="s">
        <v>1991</v>
      </c>
      <c r="B665" s="2" t="s">
        <v>1992</v>
      </c>
      <c r="C665" s="2" t="s">
        <v>1993</v>
      </c>
      <c r="D665" s="2" t="s">
        <v>10041</v>
      </c>
      <c r="E665" s="15">
        <v>0.1646</v>
      </c>
      <c r="F665" s="15">
        <v>0.1186</v>
      </c>
      <c r="G665" s="15">
        <v>0.1651</v>
      </c>
      <c r="H665" s="15">
        <v>0.1012</v>
      </c>
      <c r="I665" s="15">
        <v>4.7899999999999998E-2</v>
      </c>
      <c r="J665" s="15">
        <v>2.1127348643006258</v>
      </c>
    </row>
    <row r="666" spans="1:10" x14ac:dyDescent="0.25">
      <c r="A666" s="2" t="s">
        <v>1994</v>
      </c>
      <c r="B666" s="2" t="s">
        <v>1995</v>
      </c>
      <c r="C666" s="2" t="s">
        <v>1996</v>
      </c>
      <c r="D666" s="2" t="s">
        <v>10041</v>
      </c>
      <c r="E666" s="15">
        <v>0.1198</v>
      </c>
      <c r="F666" s="15">
        <v>7.5399999999999995E-2</v>
      </c>
      <c r="G666" s="15">
        <v>0.1119</v>
      </c>
      <c r="H666" s="15">
        <v>0.2102</v>
      </c>
      <c r="I666" s="15">
        <v>4.9599999999999998E-2</v>
      </c>
      <c r="J666" s="15">
        <v>4.237903225806452</v>
      </c>
    </row>
    <row r="667" spans="1:10" x14ac:dyDescent="0.25">
      <c r="A667" s="2" t="s">
        <v>1997</v>
      </c>
      <c r="B667" s="2" t="s">
        <v>1998</v>
      </c>
      <c r="C667" s="2" t="s">
        <v>1999</v>
      </c>
      <c r="D667" s="2" t="s">
        <v>10041</v>
      </c>
      <c r="E667" s="15">
        <v>0.24179999999999999</v>
      </c>
      <c r="F667" s="15">
        <v>0.12859999999999999</v>
      </c>
      <c r="G667" s="15">
        <v>6.0199999999999997E-2</v>
      </c>
      <c r="H667" s="15">
        <v>8.5699999999999998E-2</v>
      </c>
      <c r="I667" s="15">
        <v>4.6699999999999998E-2</v>
      </c>
      <c r="J667" s="15">
        <v>1.835117773019272</v>
      </c>
    </row>
    <row r="668" spans="1:10" x14ac:dyDescent="0.25">
      <c r="A668" s="2" t="s">
        <v>2000</v>
      </c>
      <c r="B668" s="2" t="s">
        <v>2001</v>
      </c>
      <c r="C668" s="2" t="s">
        <v>2002</v>
      </c>
      <c r="D668" s="2" t="s">
        <v>10041</v>
      </c>
      <c r="E668" s="15">
        <v>0.25540000000000002</v>
      </c>
      <c r="F668" s="15">
        <v>9.6199999999999994E-2</v>
      </c>
      <c r="G668" s="15">
        <v>7.9000000000000008E-3</v>
      </c>
      <c r="H668" s="15">
        <v>0.13650000000000001</v>
      </c>
      <c r="I668" s="15">
        <v>5.0999999999999997E-2</v>
      </c>
      <c r="J668" s="15">
        <v>2.6764705882352939</v>
      </c>
    </row>
    <row r="669" spans="1:10" x14ac:dyDescent="0.25">
      <c r="A669" s="2" t="s">
        <v>2003</v>
      </c>
      <c r="B669" s="2" t="s">
        <v>2004</v>
      </c>
      <c r="C669" s="2" t="s">
        <v>2005</v>
      </c>
      <c r="D669" s="2" t="s">
        <v>10041</v>
      </c>
      <c r="E669" s="15">
        <v>0.24229999999999999</v>
      </c>
      <c r="F669" s="15">
        <v>0.11310000000000001</v>
      </c>
      <c r="G669" s="15">
        <v>3.2199999999999999E-2</v>
      </c>
      <c r="H669" s="15">
        <v>0.1</v>
      </c>
      <c r="I669" s="15">
        <v>4.82E-2</v>
      </c>
      <c r="J669" s="15">
        <v>2.0746887966804981</v>
      </c>
    </row>
    <row r="670" spans="1:10" x14ac:dyDescent="0.25">
      <c r="A670" s="2" t="s">
        <v>2006</v>
      </c>
      <c r="B670" s="2" t="s">
        <v>2007</v>
      </c>
      <c r="C670" s="2" t="s">
        <v>2008</v>
      </c>
      <c r="D670" s="2" t="s">
        <v>10041</v>
      </c>
      <c r="E670" s="15">
        <v>-1.5699999999999999E-2</v>
      </c>
      <c r="F670" s="15">
        <v>7.5700000000000003E-2</v>
      </c>
      <c r="G670" s="15">
        <v>0.83589999999999998</v>
      </c>
      <c r="H670" s="15">
        <v>0.26619999999999999</v>
      </c>
      <c r="I670" s="15">
        <v>6.08E-2</v>
      </c>
      <c r="J670" s="15">
        <v>4.3782894736842106</v>
      </c>
    </row>
    <row r="671" spans="1:10" x14ac:dyDescent="0.25">
      <c r="A671" s="2" t="s">
        <v>2009</v>
      </c>
      <c r="B671" s="2" t="s">
        <v>2010</v>
      </c>
      <c r="C671" s="2" t="s">
        <v>2011</v>
      </c>
      <c r="D671" s="2" t="s">
        <v>10041</v>
      </c>
      <c r="E671" s="15">
        <v>-3.1600000000000003E-2</v>
      </c>
      <c r="F671" s="15">
        <v>9.9099999999999994E-2</v>
      </c>
      <c r="G671" s="15">
        <v>0.74980000000000002</v>
      </c>
      <c r="H671" s="15">
        <v>0.14510000000000001</v>
      </c>
      <c r="I671" s="15">
        <v>4.0099999999999997E-2</v>
      </c>
      <c r="J671" s="15">
        <v>3.6184538653366589</v>
      </c>
    </row>
    <row r="672" spans="1:10" x14ac:dyDescent="0.25">
      <c r="A672" s="2" t="s">
        <v>2012</v>
      </c>
      <c r="B672" s="2" t="s">
        <v>2013</v>
      </c>
      <c r="C672" s="2" t="s">
        <v>2014</v>
      </c>
      <c r="D672" s="2" t="s">
        <v>10041</v>
      </c>
      <c r="E672" s="15">
        <v>3.8300000000000001E-2</v>
      </c>
      <c r="F672" s="15">
        <v>9.3799999999999994E-2</v>
      </c>
      <c r="G672" s="15">
        <v>0.68269999999999997</v>
      </c>
      <c r="H672" s="15">
        <v>0.15379999999999999</v>
      </c>
      <c r="I672" s="15">
        <v>8.43E-2</v>
      </c>
      <c r="J672" s="15">
        <v>1.8244365361803081</v>
      </c>
    </row>
    <row r="673" spans="1:10" x14ac:dyDescent="0.25">
      <c r="A673" s="2" t="s">
        <v>2015</v>
      </c>
      <c r="B673" s="2" t="s">
        <v>2016</v>
      </c>
      <c r="C673" s="2" t="s">
        <v>2017</v>
      </c>
      <c r="D673" s="2" t="s">
        <v>10041</v>
      </c>
      <c r="E673" s="15">
        <v>-8.3699999999999997E-2</v>
      </c>
      <c r="F673" s="15">
        <v>9.2499999999999999E-2</v>
      </c>
      <c r="G673" s="15">
        <v>0.36530000000000001</v>
      </c>
      <c r="H673" s="15">
        <v>0.16520000000000001</v>
      </c>
      <c r="I673" s="15">
        <v>5.0999999999999997E-2</v>
      </c>
      <c r="J673" s="15">
        <v>3.2392156862745098</v>
      </c>
    </row>
    <row r="674" spans="1:10" x14ac:dyDescent="0.25">
      <c r="A674" s="2" t="s">
        <v>2018</v>
      </c>
      <c r="B674" s="2" t="s">
        <v>2019</v>
      </c>
      <c r="C674" s="2" t="s">
        <v>2020</v>
      </c>
      <c r="D674" s="2" t="s">
        <v>10041</v>
      </c>
      <c r="E674" s="15">
        <v>0.1041</v>
      </c>
      <c r="F674" s="15">
        <v>8.9200000000000002E-2</v>
      </c>
      <c r="G674" s="15">
        <v>0.24340000000000001</v>
      </c>
      <c r="H674" s="15">
        <v>0.18149999999999999</v>
      </c>
      <c r="I674" s="15">
        <v>4.5499999999999999E-2</v>
      </c>
      <c r="J674" s="15">
        <v>3.9890109890109891</v>
      </c>
    </row>
    <row r="675" spans="1:10" x14ac:dyDescent="0.25">
      <c r="A675" s="2" t="s">
        <v>2021</v>
      </c>
      <c r="B675" s="2" t="s">
        <v>2022</v>
      </c>
      <c r="C675" s="2" t="s">
        <v>2023</v>
      </c>
      <c r="D675" s="2" t="s">
        <v>10041</v>
      </c>
      <c r="E675" s="15">
        <v>-7.1000000000000004E-3</v>
      </c>
      <c r="F675" s="15">
        <v>0.10150000000000001</v>
      </c>
      <c r="G675" s="15">
        <v>0.94399999999999995</v>
      </c>
      <c r="H675" s="15">
        <v>0.13159999999999999</v>
      </c>
      <c r="I675" s="15">
        <v>4.48E-2</v>
      </c>
      <c r="J675" s="15">
        <v>2.9375</v>
      </c>
    </row>
    <row r="676" spans="1:10" x14ac:dyDescent="0.25">
      <c r="A676" s="2" t="s">
        <v>2024</v>
      </c>
      <c r="B676" s="2" t="s">
        <v>2025</v>
      </c>
      <c r="C676" s="2" t="s">
        <v>2026</v>
      </c>
      <c r="D676" s="2" t="s">
        <v>10041</v>
      </c>
      <c r="E676" s="15">
        <v>0.1008</v>
      </c>
      <c r="F676" s="15">
        <v>8.3199999999999996E-2</v>
      </c>
      <c r="G676" s="15">
        <v>0.22550000000000001</v>
      </c>
      <c r="H676" s="15">
        <v>0.18770000000000001</v>
      </c>
      <c r="I676" s="15">
        <v>4.65E-2</v>
      </c>
      <c r="J676" s="15">
        <v>4.0365591397849467</v>
      </c>
    </row>
    <row r="677" spans="1:10" x14ac:dyDescent="0.25">
      <c r="A677" s="2" t="s">
        <v>2027</v>
      </c>
      <c r="B677" s="2" t="s">
        <v>2028</v>
      </c>
      <c r="C677" s="2" t="s">
        <v>2029</v>
      </c>
      <c r="D677" s="2" t="s">
        <v>10041</v>
      </c>
      <c r="E677" s="15">
        <v>9.8799999999999999E-2</v>
      </c>
      <c r="F677" s="15">
        <v>8.0399999999999999E-2</v>
      </c>
      <c r="G677" s="15">
        <v>0.2195</v>
      </c>
      <c r="H677" s="15">
        <v>0.22070000000000001</v>
      </c>
      <c r="I677" s="15">
        <v>5.0299999999999997E-2</v>
      </c>
      <c r="J677" s="15">
        <v>4.3876739562624261</v>
      </c>
    </row>
    <row r="678" spans="1:10" x14ac:dyDescent="0.25">
      <c r="A678" s="2" t="s">
        <v>2030</v>
      </c>
      <c r="B678" s="2" t="s">
        <v>2031</v>
      </c>
      <c r="C678" s="2" t="s">
        <v>2032</v>
      </c>
      <c r="D678" s="2" t="s">
        <v>10041</v>
      </c>
      <c r="E678" s="15">
        <v>-5.5800000000000002E-2</v>
      </c>
      <c r="F678" s="15">
        <v>9.0499999999999997E-2</v>
      </c>
      <c r="G678" s="15">
        <v>0.53759999999999997</v>
      </c>
      <c r="H678" s="15">
        <v>0.15609999999999999</v>
      </c>
      <c r="I678" s="15">
        <v>4.8000000000000001E-2</v>
      </c>
      <c r="J678" s="15">
        <v>3.2520833333333332</v>
      </c>
    </row>
    <row r="679" spans="1:10" x14ac:dyDescent="0.25">
      <c r="A679" s="2" t="s">
        <v>2033</v>
      </c>
      <c r="B679" s="2" t="s">
        <v>2034</v>
      </c>
      <c r="C679" s="2" t="s">
        <v>2035</v>
      </c>
      <c r="D679" s="2" t="s">
        <v>10041</v>
      </c>
      <c r="E679" s="15">
        <v>1.2500000000000001E-2</v>
      </c>
      <c r="F679" s="15">
        <v>6.9400000000000003E-2</v>
      </c>
      <c r="G679" s="15">
        <v>0.85650000000000004</v>
      </c>
      <c r="H679" s="15">
        <v>0.2646</v>
      </c>
      <c r="I679" s="15">
        <v>9.3399999999999997E-2</v>
      </c>
      <c r="J679" s="15">
        <v>2.8329764453961461</v>
      </c>
    </row>
    <row r="680" spans="1:10" x14ac:dyDescent="0.25">
      <c r="A680" s="2" t="s">
        <v>2036</v>
      </c>
      <c r="B680" s="2" t="s">
        <v>2037</v>
      </c>
      <c r="C680" s="2" t="s">
        <v>2038</v>
      </c>
      <c r="D680" s="2" t="s">
        <v>10041</v>
      </c>
      <c r="E680" s="15">
        <v>-0.1193</v>
      </c>
      <c r="F680" s="15">
        <v>7.5800000000000006E-2</v>
      </c>
      <c r="G680" s="15">
        <v>0.11550000000000001</v>
      </c>
      <c r="H680" s="15">
        <v>0.2321</v>
      </c>
      <c r="I680" s="15">
        <v>4.4699999999999997E-2</v>
      </c>
      <c r="J680" s="15">
        <v>5.1923937360178973</v>
      </c>
    </row>
    <row r="681" spans="1:10" x14ac:dyDescent="0.25">
      <c r="A681" s="2" t="s">
        <v>2039</v>
      </c>
      <c r="B681" s="2" t="s">
        <v>2040</v>
      </c>
      <c r="C681" s="2" t="s">
        <v>2041</v>
      </c>
      <c r="D681" s="2" t="s">
        <v>10041</v>
      </c>
      <c r="E681" s="15">
        <v>0.14929999999999999</v>
      </c>
      <c r="F681" s="15">
        <v>0.1694</v>
      </c>
      <c r="G681" s="15">
        <v>0.37809999999999999</v>
      </c>
      <c r="H681" s="15">
        <v>4.9799999999999997E-2</v>
      </c>
      <c r="I681" s="15">
        <v>4.2900000000000001E-2</v>
      </c>
      <c r="J681" s="15">
        <v>1.1608391608391611</v>
      </c>
    </row>
    <row r="682" spans="1:10" x14ac:dyDescent="0.25">
      <c r="A682" s="2" t="s">
        <v>2042</v>
      </c>
      <c r="B682" s="2" t="s">
        <v>2043</v>
      </c>
      <c r="C682" s="2" t="s">
        <v>2044</v>
      </c>
      <c r="D682" s="2" t="s">
        <v>10041</v>
      </c>
      <c r="E682" s="15">
        <v>-5.2200000000000003E-2</v>
      </c>
      <c r="F682" s="15">
        <v>9.7900000000000001E-2</v>
      </c>
      <c r="G682" s="15">
        <v>0.59379999999999999</v>
      </c>
      <c r="H682" s="15">
        <v>0.12970000000000001</v>
      </c>
      <c r="I682" s="15">
        <v>4.65E-2</v>
      </c>
      <c r="J682" s="15">
        <v>2.7892473118279568</v>
      </c>
    </row>
    <row r="683" spans="1:10" x14ac:dyDescent="0.25">
      <c r="A683" s="2" t="s">
        <v>2045</v>
      </c>
      <c r="B683" s="2" t="s">
        <v>2046</v>
      </c>
      <c r="C683" s="2" t="s">
        <v>2047</v>
      </c>
      <c r="D683" s="2" t="s">
        <v>10041</v>
      </c>
      <c r="E683" s="15">
        <v>-5.9799999999999999E-2</v>
      </c>
      <c r="F683" s="15">
        <v>7.7399999999999997E-2</v>
      </c>
      <c r="G683" s="15">
        <v>0.44009999999999999</v>
      </c>
      <c r="H683" s="15">
        <v>0.2278</v>
      </c>
      <c r="I683" s="15">
        <v>4.6800000000000001E-2</v>
      </c>
      <c r="J683" s="15">
        <v>4.8675213675213671</v>
      </c>
    </row>
    <row r="684" spans="1:10" x14ac:dyDescent="0.25">
      <c r="A684" s="2" t="s">
        <v>2048</v>
      </c>
      <c r="B684" s="2" t="s">
        <v>2049</v>
      </c>
      <c r="C684" s="2" t="s">
        <v>2050</v>
      </c>
      <c r="D684" s="2" t="s">
        <v>10041</v>
      </c>
      <c r="E684" s="15">
        <v>1.44E-2</v>
      </c>
      <c r="F684" s="15">
        <v>8.1799999999999998E-2</v>
      </c>
      <c r="G684" s="15">
        <v>0.8599</v>
      </c>
      <c r="H684" s="15">
        <v>0.1918</v>
      </c>
      <c r="I684" s="15">
        <v>5.2600000000000001E-2</v>
      </c>
      <c r="J684" s="15">
        <v>3.6463878326996202</v>
      </c>
    </row>
    <row r="685" spans="1:10" x14ac:dyDescent="0.25">
      <c r="A685" s="2" t="s">
        <v>2051</v>
      </c>
      <c r="B685" s="2" t="s">
        <v>2052</v>
      </c>
      <c r="C685" s="2" t="s">
        <v>2053</v>
      </c>
      <c r="D685" s="2" t="s">
        <v>10041</v>
      </c>
      <c r="E685" s="15">
        <v>-5.5999999999999999E-3</v>
      </c>
      <c r="F685" s="15">
        <v>0.1082</v>
      </c>
      <c r="G685" s="15">
        <v>0.9587</v>
      </c>
      <c r="H685" s="15">
        <v>0.10829999999999999</v>
      </c>
      <c r="I685" s="15">
        <v>4.24E-2</v>
      </c>
      <c r="J685" s="15">
        <v>2.5542452830188682</v>
      </c>
    </row>
    <row r="686" spans="1:10" x14ac:dyDescent="0.25">
      <c r="A686" s="2" t="s">
        <v>2054</v>
      </c>
      <c r="B686" s="2" t="s">
        <v>2055</v>
      </c>
      <c r="C686" s="2" t="s">
        <v>2056</v>
      </c>
      <c r="D686" s="2" t="s">
        <v>10041</v>
      </c>
      <c r="E686" s="15">
        <v>1.61E-2</v>
      </c>
      <c r="F686" s="15">
        <v>0.1076</v>
      </c>
      <c r="G686" s="15">
        <v>0.88109999999999999</v>
      </c>
      <c r="H686" s="15">
        <v>0.1139</v>
      </c>
      <c r="I686" s="15">
        <v>4.2299999999999997E-2</v>
      </c>
      <c r="J686" s="15">
        <v>2.692671394799055</v>
      </c>
    </row>
    <row r="687" spans="1:10" x14ac:dyDescent="0.25">
      <c r="A687" s="2" t="s">
        <v>2057</v>
      </c>
      <c r="B687" s="2" t="s">
        <v>2058</v>
      </c>
      <c r="C687" s="2" t="s">
        <v>2059</v>
      </c>
      <c r="D687" s="2" t="s">
        <v>10041</v>
      </c>
      <c r="E687" s="15">
        <v>4.36E-2</v>
      </c>
      <c r="F687" s="15">
        <v>9.7100000000000006E-2</v>
      </c>
      <c r="G687" s="15">
        <v>0.6532</v>
      </c>
      <c r="H687" s="15">
        <v>0.15409999999999999</v>
      </c>
      <c r="I687" s="15">
        <v>5.1900000000000002E-2</v>
      </c>
      <c r="J687" s="15">
        <v>2.9691714836223499</v>
      </c>
    </row>
    <row r="688" spans="1:10" x14ac:dyDescent="0.25">
      <c r="A688" s="2" t="s">
        <v>2060</v>
      </c>
      <c r="B688" s="2" t="s">
        <v>2061</v>
      </c>
      <c r="C688" s="2" t="s">
        <v>2062</v>
      </c>
      <c r="D688" s="2" t="s">
        <v>10041</v>
      </c>
      <c r="E688" s="15">
        <v>0.08</v>
      </c>
      <c r="F688" s="15">
        <v>8.3299999999999999E-2</v>
      </c>
      <c r="G688" s="15">
        <v>0.33710000000000001</v>
      </c>
      <c r="H688" s="15">
        <v>0.21240000000000001</v>
      </c>
      <c r="I688" s="15">
        <v>4.6399999999999997E-2</v>
      </c>
      <c r="J688" s="15">
        <v>4.5775862068965516</v>
      </c>
    </row>
    <row r="689" spans="1:10" x14ac:dyDescent="0.25">
      <c r="A689" s="2" t="s">
        <v>2063</v>
      </c>
      <c r="B689" s="2" t="s">
        <v>2064</v>
      </c>
      <c r="C689" s="2" t="s">
        <v>2065</v>
      </c>
      <c r="D689" s="2" t="s">
        <v>10041</v>
      </c>
      <c r="E689" s="15">
        <v>0.17100000000000001</v>
      </c>
      <c r="F689" s="15">
        <v>0.1195</v>
      </c>
      <c r="G689" s="15">
        <v>0.15240000000000001</v>
      </c>
      <c r="H689" s="15">
        <v>0.1047</v>
      </c>
      <c r="I689" s="15">
        <v>4.4499999999999998E-2</v>
      </c>
      <c r="J689" s="15">
        <v>2.3528089887640449</v>
      </c>
    </row>
    <row r="690" spans="1:10" x14ac:dyDescent="0.25">
      <c r="A690" s="2" t="s">
        <v>2066</v>
      </c>
      <c r="B690" s="2" t="s">
        <v>2067</v>
      </c>
      <c r="C690" s="2" t="s">
        <v>2068</v>
      </c>
      <c r="D690" s="2" t="s">
        <v>10041</v>
      </c>
      <c r="E690" s="15">
        <v>0.03</v>
      </c>
      <c r="F690" s="15">
        <v>8.6599999999999996E-2</v>
      </c>
      <c r="G690" s="15">
        <v>0.72929999999999995</v>
      </c>
      <c r="H690" s="15">
        <v>0.14149999999999999</v>
      </c>
      <c r="I690" s="15">
        <v>4.8500000000000001E-2</v>
      </c>
      <c r="J690" s="15">
        <v>2.9175257731958761</v>
      </c>
    </row>
    <row r="691" spans="1:10" x14ac:dyDescent="0.25">
      <c r="A691" s="2" t="s">
        <v>2069</v>
      </c>
      <c r="B691" s="2" t="s">
        <v>2070</v>
      </c>
      <c r="C691" s="2" t="s">
        <v>2071</v>
      </c>
      <c r="D691" s="2" t="s">
        <v>10041</v>
      </c>
      <c r="E691" s="15">
        <v>1.21E-2</v>
      </c>
      <c r="F691" s="15">
        <v>8.77E-2</v>
      </c>
      <c r="G691" s="15">
        <v>0.89070000000000005</v>
      </c>
      <c r="H691" s="15">
        <v>0.152</v>
      </c>
      <c r="I691" s="15">
        <v>4.4200000000000003E-2</v>
      </c>
      <c r="J691" s="15">
        <v>3.438914027149321</v>
      </c>
    </row>
    <row r="692" spans="1:10" x14ac:dyDescent="0.25">
      <c r="A692" s="2" t="s">
        <v>2072</v>
      </c>
      <c r="B692" s="2" t="s">
        <v>2073</v>
      </c>
      <c r="C692" s="2" t="s">
        <v>2074</v>
      </c>
      <c r="D692" s="2" t="s">
        <v>10041</v>
      </c>
      <c r="E692" s="15">
        <v>-0.1062</v>
      </c>
      <c r="F692" s="15">
        <v>8.2299999999999998E-2</v>
      </c>
      <c r="G692" s="15">
        <v>0.19700000000000001</v>
      </c>
      <c r="H692" s="15">
        <v>0.21079999999999999</v>
      </c>
      <c r="I692" s="15">
        <v>4.2500000000000003E-2</v>
      </c>
      <c r="J692" s="15">
        <v>4.9599999999999991</v>
      </c>
    </row>
    <row r="693" spans="1:10" x14ac:dyDescent="0.25">
      <c r="A693" s="2" t="s">
        <v>2075</v>
      </c>
      <c r="B693" s="2" t="s">
        <v>2076</v>
      </c>
      <c r="C693" s="2" t="s">
        <v>2077</v>
      </c>
      <c r="D693" s="2" t="s">
        <v>10041</v>
      </c>
      <c r="E693" s="15">
        <v>3.8999999999999998E-3</v>
      </c>
      <c r="F693" s="15">
        <v>7.4800000000000005E-2</v>
      </c>
      <c r="G693" s="15">
        <v>0.95789999999999997</v>
      </c>
      <c r="H693" s="15">
        <v>0.2172</v>
      </c>
      <c r="I693" s="15">
        <v>4.9000000000000002E-2</v>
      </c>
      <c r="J693" s="15">
        <v>4.4326530612244897</v>
      </c>
    </row>
    <row r="694" spans="1:10" x14ac:dyDescent="0.25">
      <c r="A694" s="2" t="s">
        <v>2078</v>
      </c>
      <c r="B694" s="2" t="s">
        <v>2079</v>
      </c>
      <c r="C694" s="2" t="s">
        <v>2080</v>
      </c>
      <c r="D694" s="2" t="s">
        <v>10041</v>
      </c>
      <c r="E694" s="15">
        <v>-8.14E-2</v>
      </c>
      <c r="F694" s="15">
        <v>9.3600000000000003E-2</v>
      </c>
      <c r="G694" s="15">
        <v>0.38400000000000001</v>
      </c>
      <c r="H694" s="15">
        <v>0.16320000000000001</v>
      </c>
      <c r="I694" s="15">
        <v>4.5999999999999999E-2</v>
      </c>
      <c r="J694" s="15">
        <v>3.5478260869565221</v>
      </c>
    </row>
    <row r="695" spans="1:10" x14ac:dyDescent="0.25">
      <c r="A695" s="2" t="s">
        <v>2081</v>
      </c>
      <c r="B695" s="2" t="s">
        <v>2082</v>
      </c>
      <c r="C695" s="2" t="s">
        <v>2083</v>
      </c>
      <c r="D695" s="2" t="s">
        <v>10041</v>
      </c>
      <c r="E695" s="15">
        <v>0.20880000000000001</v>
      </c>
      <c r="F695" s="15">
        <v>8.14E-2</v>
      </c>
      <c r="G695" s="15">
        <v>1.03E-2</v>
      </c>
      <c r="H695" s="15">
        <v>0.2142</v>
      </c>
      <c r="I695" s="15">
        <v>4.9099999999999998E-2</v>
      </c>
      <c r="J695" s="15">
        <v>4.3625254582484727</v>
      </c>
    </row>
    <row r="696" spans="1:10" x14ac:dyDescent="0.25">
      <c r="A696" s="2" t="s">
        <v>2084</v>
      </c>
      <c r="B696" s="2" t="s">
        <v>2085</v>
      </c>
      <c r="C696" s="2" t="s">
        <v>2086</v>
      </c>
      <c r="D696" s="2" t="s">
        <v>10041</v>
      </c>
      <c r="E696" s="15">
        <v>-4.6600000000000003E-2</v>
      </c>
      <c r="F696" s="15">
        <v>8.0100000000000005E-2</v>
      </c>
      <c r="G696" s="15">
        <v>0.56089999999999995</v>
      </c>
      <c r="H696" s="15">
        <v>0.18790000000000001</v>
      </c>
      <c r="I696" s="15">
        <v>5.0299999999999997E-2</v>
      </c>
      <c r="J696" s="15">
        <v>3.7355864811133199</v>
      </c>
    </row>
    <row r="697" spans="1:10" x14ac:dyDescent="0.25">
      <c r="A697" s="2" t="s">
        <v>2087</v>
      </c>
      <c r="B697" s="2" t="s">
        <v>2088</v>
      </c>
      <c r="C697" s="2" t="s">
        <v>2089</v>
      </c>
      <c r="D697" s="2" t="s">
        <v>10041</v>
      </c>
      <c r="E697" s="15">
        <v>8.48E-2</v>
      </c>
      <c r="F697" s="15">
        <v>9.5699999999999993E-2</v>
      </c>
      <c r="G697" s="15">
        <v>0.37559999999999999</v>
      </c>
      <c r="H697" s="15">
        <v>0.1492</v>
      </c>
      <c r="I697" s="15">
        <v>4.5499999999999999E-2</v>
      </c>
      <c r="J697" s="15">
        <v>3.279120879120879</v>
      </c>
    </row>
    <row r="698" spans="1:10" x14ac:dyDescent="0.25">
      <c r="A698" s="2" t="s">
        <v>2090</v>
      </c>
      <c r="B698" s="2" t="s">
        <v>2091</v>
      </c>
      <c r="C698" s="2" t="s">
        <v>2092</v>
      </c>
      <c r="D698" s="2" t="s">
        <v>10041</v>
      </c>
      <c r="E698" s="15">
        <v>-9.6199999999999994E-2</v>
      </c>
      <c r="F698" s="15">
        <v>8.2600000000000007E-2</v>
      </c>
      <c r="G698" s="15">
        <v>0.24390000000000001</v>
      </c>
      <c r="H698" s="15">
        <v>0.23019999999999999</v>
      </c>
      <c r="I698" s="15">
        <v>4.3999999999999997E-2</v>
      </c>
      <c r="J698" s="15">
        <v>5.2318181818181806</v>
      </c>
    </row>
    <row r="699" spans="1:10" x14ac:dyDescent="0.25">
      <c r="A699" s="2" t="s">
        <v>2093</v>
      </c>
      <c r="B699" s="2" t="s">
        <v>2094</v>
      </c>
      <c r="C699" s="2" t="s">
        <v>2095</v>
      </c>
      <c r="D699" s="2" t="s">
        <v>10041</v>
      </c>
      <c r="E699" s="15">
        <v>-2.9999999999999997E-4</v>
      </c>
      <c r="F699" s="15">
        <v>0.09</v>
      </c>
      <c r="G699" s="15">
        <v>0.99760000000000004</v>
      </c>
      <c r="H699" s="15">
        <v>0.159</v>
      </c>
      <c r="I699" s="15">
        <v>4.36E-2</v>
      </c>
      <c r="J699" s="15">
        <v>3.6467889908256881</v>
      </c>
    </row>
    <row r="700" spans="1:10" x14ac:dyDescent="0.25">
      <c r="A700" s="2" t="s">
        <v>2096</v>
      </c>
      <c r="B700" s="2" t="s">
        <v>2097</v>
      </c>
      <c r="C700" s="2" t="s">
        <v>2098</v>
      </c>
      <c r="D700" s="2" t="s">
        <v>10041</v>
      </c>
      <c r="E700" s="15">
        <v>0.12529999999999999</v>
      </c>
      <c r="F700" s="15">
        <v>8.6199999999999999E-2</v>
      </c>
      <c r="G700" s="15">
        <v>0.1462</v>
      </c>
      <c r="H700" s="15">
        <v>0.18990000000000001</v>
      </c>
      <c r="I700" s="15">
        <v>5.3800000000000001E-2</v>
      </c>
      <c r="J700" s="15">
        <v>3.529739776951673</v>
      </c>
    </row>
    <row r="701" spans="1:10" x14ac:dyDescent="0.25">
      <c r="A701" s="2" t="s">
        <v>2099</v>
      </c>
      <c r="B701" s="2" t="s">
        <v>2100</v>
      </c>
      <c r="C701" s="2" t="s">
        <v>2101</v>
      </c>
      <c r="D701" s="2" t="s">
        <v>10041</v>
      </c>
      <c r="E701" s="15">
        <v>4.4999999999999998E-2</v>
      </c>
      <c r="F701" s="15">
        <v>8.9800000000000005E-2</v>
      </c>
      <c r="G701" s="15">
        <v>0.61639999999999995</v>
      </c>
      <c r="H701" s="15">
        <v>0.13719999999999999</v>
      </c>
      <c r="I701" s="15">
        <v>4.1599999999999998E-2</v>
      </c>
      <c r="J701" s="15">
        <v>3.2980769230769229</v>
      </c>
    </row>
    <row r="702" spans="1:10" x14ac:dyDescent="0.25">
      <c r="A702" s="2" t="s">
        <v>2102</v>
      </c>
      <c r="B702" s="2" t="s">
        <v>2103</v>
      </c>
      <c r="C702" s="2" t="s">
        <v>2104</v>
      </c>
      <c r="D702" s="2" t="s">
        <v>10041</v>
      </c>
      <c r="E702" s="15">
        <v>0.1211</v>
      </c>
      <c r="F702" s="15">
        <v>8.77E-2</v>
      </c>
      <c r="G702" s="15">
        <v>0.16739999999999999</v>
      </c>
      <c r="H702" s="15">
        <v>0.16489999999999999</v>
      </c>
      <c r="I702" s="15">
        <v>4.4499999999999998E-2</v>
      </c>
      <c r="J702" s="15">
        <v>3.7056179775280902</v>
      </c>
    </row>
    <row r="703" spans="1:10" x14ac:dyDescent="0.25">
      <c r="A703" s="2" t="s">
        <v>2105</v>
      </c>
      <c r="B703" s="2" t="s">
        <v>2106</v>
      </c>
      <c r="C703" s="2" t="s">
        <v>2107</v>
      </c>
      <c r="D703" s="2" t="s">
        <v>10041</v>
      </c>
      <c r="E703" s="15">
        <v>0.12690000000000001</v>
      </c>
      <c r="F703" s="15">
        <v>8.1799999999999998E-2</v>
      </c>
      <c r="G703" s="15">
        <v>0.1211</v>
      </c>
      <c r="H703" s="15">
        <v>0.1704</v>
      </c>
      <c r="I703" s="15">
        <v>4.3799999999999999E-2</v>
      </c>
      <c r="J703" s="15">
        <v>3.89041095890411</v>
      </c>
    </row>
    <row r="704" spans="1:10" x14ac:dyDescent="0.25">
      <c r="A704" s="2" t="s">
        <v>2108</v>
      </c>
      <c r="B704" s="2" t="s">
        <v>2109</v>
      </c>
      <c r="C704" s="2" t="s">
        <v>2110</v>
      </c>
      <c r="D704" s="2" t="s">
        <v>10041</v>
      </c>
      <c r="E704" s="15">
        <v>-1.6999999999999999E-3</v>
      </c>
      <c r="F704" s="15">
        <v>6.8000000000000005E-2</v>
      </c>
      <c r="G704" s="15">
        <v>0.98</v>
      </c>
      <c r="H704" s="15">
        <v>0.30769999999999997</v>
      </c>
      <c r="I704" s="15">
        <v>6.3399999999999998E-2</v>
      </c>
      <c r="J704" s="15">
        <v>4.8533123028391163</v>
      </c>
    </row>
    <row r="705" spans="1:10" x14ac:dyDescent="0.25">
      <c r="A705" s="2" t="s">
        <v>2111</v>
      </c>
      <c r="B705" s="2" t="s">
        <v>2112</v>
      </c>
      <c r="C705" s="2" t="s">
        <v>2113</v>
      </c>
      <c r="D705" s="2" t="s">
        <v>10041</v>
      </c>
      <c r="E705" s="15">
        <v>-0.12609999999999999</v>
      </c>
      <c r="F705" s="15">
        <v>0.10299999999999999</v>
      </c>
      <c r="G705" s="15">
        <v>0.221</v>
      </c>
      <c r="H705" s="15">
        <v>0.1298</v>
      </c>
      <c r="I705" s="15">
        <v>4.4200000000000003E-2</v>
      </c>
      <c r="J705" s="15">
        <v>2.936651583710407</v>
      </c>
    </row>
    <row r="706" spans="1:10" x14ac:dyDescent="0.25">
      <c r="A706" s="2" t="s">
        <v>2114</v>
      </c>
      <c r="B706" s="2" t="s">
        <v>2115</v>
      </c>
      <c r="C706" s="2" t="s">
        <v>2116</v>
      </c>
      <c r="D706" s="2" t="s">
        <v>10041</v>
      </c>
      <c r="E706" s="15">
        <v>1.4E-3</v>
      </c>
      <c r="F706" s="15">
        <v>7.9299999999999995E-2</v>
      </c>
      <c r="G706" s="15">
        <v>0.98629999999999995</v>
      </c>
      <c r="H706" s="15">
        <v>0.2114</v>
      </c>
      <c r="I706" s="15">
        <v>0.06</v>
      </c>
      <c r="J706" s="15">
        <v>3.523333333333333</v>
      </c>
    </row>
    <row r="707" spans="1:10" x14ac:dyDescent="0.25">
      <c r="A707" s="2" t="s">
        <v>2117</v>
      </c>
      <c r="B707" s="2" t="s">
        <v>2118</v>
      </c>
      <c r="C707" s="2" t="s">
        <v>2119</v>
      </c>
      <c r="D707" s="2" t="s">
        <v>10041</v>
      </c>
      <c r="E707" s="15">
        <v>5.1200000000000002E-2</v>
      </c>
      <c r="F707" s="15">
        <v>9.0200000000000002E-2</v>
      </c>
      <c r="G707" s="15">
        <v>0.57030000000000003</v>
      </c>
      <c r="H707" s="15">
        <v>0.16489999999999999</v>
      </c>
      <c r="I707" s="15">
        <v>6.2399999999999997E-2</v>
      </c>
      <c r="J707" s="15">
        <v>2.6426282051282048</v>
      </c>
    </row>
    <row r="708" spans="1:10" x14ac:dyDescent="0.25">
      <c r="A708" s="2" t="s">
        <v>2120</v>
      </c>
      <c r="B708" s="2" t="s">
        <v>2121</v>
      </c>
      <c r="C708" s="2" t="s">
        <v>2122</v>
      </c>
      <c r="D708" s="2" t="s">
        <v>10041</v>
      </c>
      <c r="E708" s="15">
        <v>2.86E-2</v>
      </c>
      <c r="F708" s="15">
        <v>7.0800000000000002E-2</v>
      </c>
      <c r="G708" s="15">
        <v>0.68610000000000004</v>
      </c>
      <c r="H708" s="15">
        <v>0.23619999999999999</v>
      </c>
      <c r="I708" s="15">
        <v>5.4300000000000001E-2</v>
      </c>
      <c r="J708" s="15">
        <v>4.3499079189686922</v>
      </c>
    </row>
    <row r="709" spans="1:10" x14ac:dyDescent="0.25">
      <c r="A709" s="2" t="s">
        <v>2123</v>
      </c>
      <c r="B709" s="2" t="s">
        <v>2124</v>
      </c>
      <c r="C709" s="2" t="s">
        <v>2125</v>
      </c>
      <c r="D709" s="2" t="s">
        <v>10041</v>
      </c>
      <c r="E709" s="15">
        <v>-4.9799999999999997E-2</v>
      </c>
      <c r="F709" s="15">
        <v>0.1065</v>
      </c>
      <c r="G709" s="15">
        <v>0.64019999999999999</v>
      </c>
      <c r="H709" s="15">
        <v>0.123</v>
      </c>
      <c r="I709" s="15">
        <v>4.4699999999999997E-2</v>
      </c>
      <c r="J709" s="15">
        <v>2.751677852348994</v>
      </c>
    </row>
    <row r="710" spans="1:10" x14ac:dyDescent="0.25">
      <c r="A710" s="2" t="s">
        <v>2126</v>
      </c>
      <c r="B710" s="2" t="s">
        <v>2127</v>
      </c>
      <c r="C710" s="2" t="s">
        <v>2128</v>
      </c>
      <c r="D710" s="2" t="s">
        <v>10041</v>
      </c>
      <c r="E710" s="15">
        <v>-1.7999999999999999E-2</v>
      </c>
      <c r="F710" s="15">
        <v>7.7600000000000002E-2</v>
      </c>
      <c r="G710" s="15">
        <v>0.81659999999999999</v>
      </c>
      <c r="H710" s="15">
        <v>0.20599999999999999</v>
      </c>
      <c r="I710" s="15">
        <v>4.4699999999999997E-2</v>
      </c>
      <c r="J710" s="15">
        <v>4.608501118568233</v>
      </c>
    </row>
    <row r="711" spans="1:10" x14ac:dyDescent="0.25">
      <c r="A711" s="2" t="s">
        <v>2129</v>
      </c>
      <c r="B711" s="2" t="s">
        <v>2130</v>
      </c>
      <c r="C711" s="2" t="s">
        <v>2131</v>
      </c>
      <c r="D711" s="2" t="s">
        <v>10041</v>
      </c>
      <c r="E711" s="15">
        <v>0.1653</v>
      </c>
      <c r="F711" s="15">
        <v>8.77E-2</v>
      </c>
      <c r="G711" s="15">
        <v>5.9400000000000001E-2</v>
      </c>
      <c r="H711" s="15">
        <v>0.1807</v>
      </c>
      <c r="I711" s="15">
        <v>4.5600000000000002E-2</v>
      </c>
      <c r="J711" s="15">
        <v>3.9627192982456139</v>
      </c>
    </row>
    <row r="712" spans="1:10" x14ac:dyDescent="0.25">
      <c r="A712" s="2" t="s">
        <v>2132</v>
      </c>
      <c r="B712" s="2" t="s">
        <v>2133</v>
      </c>
      <c r="C712" s="2" t="s">
        <v>2134</v>
      </c>
      <c r="D712" s="2" t="s">
        <v>10041</v>
      </c>
      <c r="E712" s="15">
        <v>2.9100000000000001E-2</v>
      </c>
      <c r="F712" s="15">
        <v>8.3599999999999994E-2</v>
      </c>
      <c r="G712" s="15">
        <v>0.72799999999999998</v>
      </c>
      <c r="H712" s="15">
        <v>0.18190000000000001</v>
      </c>
      <c r="I712" s="15">
        <v>4.1599999999999998E-2</v>
      </c>
      <c r="J712" s="15">
        <v>4.3725961538461542</v>
      </c>
    </row>
    <row r="713" spans="1:10" x14ac:dyDescent="0.25">
      <c r="A713" s="2" t="s">
        <v>2135</v>
      </c>
      <c r="B713" s="2" t="s">
        <v>2136</v>
      </c>
      <c r="C713" s="2" t="s">
        <v>2137</v>
      </c>
      <c r="D713" s="2" t="s">
        <v>10041</v>
      </c>
      <c r="E713" s="15">
        <v>-4.3200000000000002E-2</v>
      </c>
      <c r="F713" s="15">
        <v>7.0400000000000004E-2</v>
      </c>
      <c r="G713" s="15">
        <v>0.54010000000000002</v>
      </c>
      <c r="H713" s="15">
        <v>0.27310000000000001</v>
      </c>
      <c r="I713" s="15">
        <v>7.4999999999999997E-2</v>
      </c>
      <c r="J713" s="15">
        <v>3.6413333333333342</v>
      </c>
    </row>
    <row r="714" spans="1:10" x14ac:dyDescent="0.25">
      <c r="A714" s="2" t="s">
        <v>2138</v>
      </c>
      <c r="B714" s="2" t="s">
        <v>2139</v>
      </c>
      <c r="C714" s="2" t="s">
        <v>2140</v>
      </c>
      <c r="D714" s="2" t="s">
        <v>10041</v>
      </c>
      <c r="E714" s="15">
        <v>-0.17150000000000001</v>
      </c>
      <c r="F714" s="15">
        <v>0.1167</v>
      </c>
      <c r="G714" s="15">
        <v>0.1416</v>
      </c>
      <c r="H714" s="15">
        <v>8.7800000000000003E-2</v>
      </c>
      <c r="I714" s="15">
        <v>4.2799999999999998E-2</v>
      </c>
      <c r="J714" s="15">
        <v>2.0514018691588789</v>
      </c>
    </row>
    <row r="715" spans="1:10" x14ac:dyDescent="0.25">
      <c r="A715" s="2" t="s">
        <v>2141</v>
      </c>
      <c r="B715" s="2" t="s">
        <v>2142</v>
      </c>
      <c r="C715" s="2" t="s">
        <v>2143</v>
      </c>
      <c r="D715" s="2" t="s">
        <v>10041</v>
      </c>
      <c r="E715" s="15">
        <v>1.78E-2</v>
      </c>
      <c r="F715" s="15">
        <v>0.17680000000000001</v>
      </c>
      <c r="G715" s="15">
        <v>0.91990000000000005</v>
      </c>
      <c r="H715" s="15">
        <v>3.9199999999999999E-2</v>
      </c>
      <c r="I715" s="15">
        <v>3.78E-2</v>
      </c>
      <c r="J715" s="15">
        <v>1.037037037037037</v>
      </c>
    </row>
    <row r="716" spans="1:10" x14ac:dyDescent="0.25">
      <c r="A716" s="2" t="s">
        <v>2144</v>
      </c>
      <c r="B716" s="2" t="s">
        <v>2145</v>
      </c>
      <c r="C716" s="2" t="s">
        <v>2146</v>
      </c>
      <c r="D716" s="2" t="s">
        <v>10041</v>
      </c>
      <c r="E716" s="15">
        <v>-1.04E-2</v>
      </c>
      <c r="F716" s="15">
        <v>8.1900000000000001E-2</v>
      </c>
      <c r="G716" s="15">
        <v>0.89859999999999995</v>
      </c>
      <c r="H716" s="15">
        <v>0.1966</v>
      </c>
      <c r="I716" s="15">
        <v>4.8599999999999997E-2</v>
      </c>
      <c r="J716" s="15">
        <v>4.0452674897119341</v>
      </c>
    </row>
    <row r="717" spans="1:10" x14ac:dyDescent="0.25">
      <c r="A717" s="2" t="s">
        <v>2147</v>
      </c>
      <c r="B717" s="2" t="s">
        <v>2148</v>
      </c>
      <c r="C717" s="2" t="s">
        <v>2149</v>
      </c>
      <c r="D717" s="2" t="s">
        <v>10041</v>
      </c>
      <c r="E717" s="15">
        <v>-0.1171</v>
      </c>
      <c r="F717" s="15">
        <v>7.9899999999999999E-2</v>
      </c>
      <c r="G717" s="15">
        <v>0.14280000000000001</v>
      </c>
      <c r="H717" s="15">
        <v>0.21940000000000001</v>
      </c>
      <c r="I717" s="15">
        <v>5.7500000000000002E-2</v>
      </c>
      <c r="J717" s="15">
        <v>3.815652173913044</v>
      </c>
    </row>
    <row r="718" spans="1:10" x14ac:dyDescent="0.25">
      <c r="A718" s="2" t="s">
        <v>2150</v>
      </c>
      <c r="B718" s="2" t="s">
        <v>2151</v>
      </c>
      <c r="C718" s="2" t="s">
        <v>2152</v>
      </c>
      <c r="D718" s="2" t="s">
        <v>10041</v>
      </c>
      <c r="E718" s="15">
        <v>8.1500000000000003E-2</v>
      </c>
      <c r="F718" s="15">
        <v>8.1900000000000001E-2</v>
      </c>
      <c r="G718" s="15">
        <v>0.31969999999999998</v>
      </c>
      <c r="H718" s="15">
        <v>0.19550000000000001</v>
      </c>
      <c r="I718" s="15">
        <v>4.4499999999999998E-2</v>
      </c>
      <c r="J718" s="15">
        <v>4.3932584269662929</v>
      </c>
    </row>
    <row r="719" spans="1:10" x14ac:dyDescent="0.25">
      <c r="A719" s="2" t="s">
        <v>2153</v>
      </c>
      <c r="B719" s="2" t="s">
        <v>2154</v>
      </c>
      <c r="C719" s="2" t="s">
        <v>2155</v>
      </c>
      <c r="D719" s="2" t="s">
        <v>10041</v>
      </c>
      <c r="E719" s="15">
        <v>-0.10249999999999999</v>
      </c>
      <c r="F719" s="15">
        <v>0.13009999999999999</v>
      </c>
      <c r="G719" s="15">
        <v>0.43070000000000003</v>
      </c>
      <c r="H719" s="15">
        <v>8.1799999999999998E-2</v>
      </c>
      <c r="I719" s="15">
        <v>3.7699999999999997E-2</v>
      </c>
      <c r="J719" s="15">
        <v>2.169761273209549</v>
      </c>
    </row>
    <row r="720" spans="1:10" x14ac:dyDescent="0.25">
      <c r="A720" s="2" t="s">
        <v>2156</v>
      </c>
      <c r="B720" s="2" t="s">
        <v>2157</v>
      </c>
      <c r="C720" s="2" t="s">
        <v>2158</v>
      </c>
      <c r="D720" s="2" t="s">
        <v>10041</v>
      </c>
      <c r="E720" s="15">
        <v>6.2600000000000003E-2</v>
      </c>
      <c r="F720" s="15">
        <v>0.14760000000000001</v>
      </c>
      <c r="G720" s="15">
        <v>0.67159999999999997</v>
      </c>
      <c r="H720" s="15">
        <v>5.7599999999999998E-2</v>
      </c>
      <c r="I720" s="15">
        <v>4.3299999999999998E-2</v>
      </c>
      <c r="J720" s="15">
        <v>1.3302540415704389</v>
      </c>
    </row>
    <row r="721" spans="1:10" x14ac:dyDescent="0.25">
      <c r="A721" s="2" t="s">
        <v>2159</v>
      </c>
      <c r="B721" s="2" t="s">
        <v>2160</v>
      </c>
      <c r="C721" s="2" t="s">
        <v>2161</v>
      </c>
      <c r="D721" s="2" t="s">
        <v>10041</v>
      </c>
      <c r="E721" s="15">
        <v>-4.6100000000000002E-2</v>
      </c>
      <c r="F721" s="15">
        <v>0.1139</v>
      </c>
      <c r="G721" s="15">
        <v>0.68540000000000001</v>
      </c>
      <c r="H721" s="15">
        <v>0.1181</v>
      </c>
      <c r="I721" s="15">
        <v>4.9000000000000002E-2</v>
      </c>
      <c r="J721" s="15">
        <v>2.4102040816326529</v>
      </c>
    </row>
    <row r="722" spans="1:10" x14ac:dyDescent="0.25">
      <c r="A722" s="2" t="s">
        <v>2162</v>
      </c>
      <c r="B722" s="2" t="s">
        <v>2163</v>
      </c>
      <c r="C722" s="2" t="s">
        <v>2164</v>
      </c>
      <c r="D722" s="2" t="s">
        <v>10041</v>
      </c>
      <c r="E722" s="15">
        <v>5.2499999999999998E-2</v>
      </c>
      <c r="F722" s="15">
        <v>7.7700000000000005E-2</v>
      </c>
      <c r="G722" s="15">
        <v>0.49919999999999998</v>
      </c>
      <c r="H722" s="15">
        <v>0.2495</v>
      </c>
      <c r="I722" s="15">
        <v>4.8800000000000003E-2</v>
      </c>
      <c r="J722" s="15">
        <v>5.1127049180327866</v>
      </c>
    </row>
    <row r="723" spans="1:10" x14ac:dyDescent="0.25">
      <c r="A723" s="2" t="s">
        <v>2165</v>
      </c>
      <c r="B723" s="2" t="s">
        <v>2166</v>
      </c>
      <c r="C723" s="2" t="s">
        <v>2167</v>
      </c>
      <c r="D723" s="2" t="s">
        <v>10041</v>
      </c>
      <c r="E723" s="15">
        <v>2.12E-2</v>
      </c>
      <c r="F723" s="15">
        <v>9.8900000000000002E-2</v>
      </c>
      <c r="G723" s="15">
        <v>0.83</v>
      </c>
      <c r="H723" s="15">
        <v>0.11700000000000001</v>
      </c>
      <c r="I723" s="15">
        <v>4.7899999999999998E-2</v>
      </c>
      <c r="J723" s="15">
        <v>2.44258872651357</v>
      </c>
    </row>
    <row r="724" spans="1:10" x14ac:dyDescent="0.25">
      <c r="A724" s="2" t="s">
        <v>2168</v>
      </c>
      <c r="B724" s="2" t="s">
        <v>2169</v>
      </c>
      <c r="C724" s="2" t="s">
        <v>2170</v>
      </c>
      <c r="D724" s="2" t="s">
        <v>10041</v>
      </c>
      <c r="E724" s="15">
        <v>2.75E-2</v>
      </c>
      <c r="F724" s="15">
        <v>0.1002</v>
      </c>
      <c r="G724" s="15">
        <v>0.78400000000000003</v>
      </c>
      <c r="H724" s="15">
        <v>0.1108</v>
      </c>
      <c r="I724" s="15">
        <v>4.4600000000000001E-2</v>
      </c>
      <c r="J724" s="15">
        <v>2.4843049327354261</v>
      </c>
    </row>
    <row r="725" spans="1:10" x14ac:dyDescent="0.25">
      <c r="A725" s="2" t="s">
        <v>2171</v>
      </c>
      <c r="B725" s="2" t="s">
        <v>2172</v>
      </c>
      <c r="C725" s="2" t="s">
        <v>2173</v>
      </c>
      <c r="D725" s="2" t="s">
        <v>10041</v>
      </c>
      <c r="E725" s="15">
        <v>0.1404</v>
      </c>
      <c r="F725" s="15">
        <v>8.77E-2</v>
      </c>
      <c r="G725" s="15">
        <v>0.1094</v>
      </c>
      <c r="H725" s="15">
        <v>0.17199999999999999</v>
      </c>
      <c r="I725" s="15">
        <v>4.1000000000000002E-2</v>
      </c>
      <c r="J725" s="15">
        <v>4.1951219512195106</v>
      </c>
    </row>
    <row r="726" spans="1:10" x14ac:dyDescent="0.25">
      <c r="A726" s="2" t="s">
        <v>2174</v>
      </c>
      <c r="B726" s="2" t="s">
        <v>2175</v>
      </c>
      <c r="C726" s="2" t="s">
        <v>2176</v>
      </c>
      <c r="D726" s="2" t="s">
        <v>10041</v>
      </c>
      <c r="E726" s="15">
        <v>6.9199999999999998E-2</v>
      </c>
      <c r="F726" s="15">
        <v>7.85E-2</v>
      </c>
      <c r="G726" s="15">
        <v>0.37769999999999998</v>
      </c>
      <c r="H726" s="15">
        <v>0.21690000000000001</v>
      </c>
      <c r="I726" s="15">
        <v>4.7E-2</v>
      </c>
      <c r="J726" s="15">
        <v>4.6148936170212771</v>
      </c>
    </row>
    <row r="727" spans="1:10" x14ac:dyDescent="0.25">
      <c r="A727" s="2" t="s">
        <v>2177</v>
      </c>
      <c r="B727" s="2" t="s">
        <v>2178</v>
      </c>
      <c r="C727" s="2" t="s">
        <v>2179</v>
      </c>
      <c r="D727" s="2" t="s">
        <v>10041</v>
      </c>
      <c r="E727" s="15">
        <v>9.4600000000000004E-2</v>
      </c>
      <c r="F727" s="15">
        <v>7.4300000000000005E-2</v>
      </c>
      <c r="G727" s="15">
        <v>0.20319999999999999</v>
      </c>
      <c r="H727" s="15">
        <v>0.223</v>
      </c>
      <c r="I727" s="15">
        <v>4.7100000000000003E-2</v>
      </c>
      <c r="J727" s="15">
        <v>4.7346072186836512</v>
      </c>
    </row>
    <row r="728" spans="1:10" x14ac:dyDescent="0.25">
      <c r="A728" s="2" t="s">
        <v>2180</v>
      </c>
      <c r="B728" s="2" t="s">
        <v>2181</v>
      </c>
      <c r="C728" s="2" t="s">
        <v>2182</v>
      </c>
      <c r="D728" s="2" t="s">
        <v>10041</v>
      </c>
      <c r="E728" s="15">
        <v>2.6200000000000001E-2</v>
      </c>
      <c r="F728" s="15">
        <v>8.2600000000000007E-2</v>
      </c>
      <c r="G728" s="15">
        <v>0.75139999999999996</v>
      </c>
      <c r="H728" s="15">
        <v>0.21029999999999999</v>
      </c>
      <c r="I728" s="15">
        <v>4.2799999999999998E-2</v>
      </c>
      <c r="J728" s="15">
        <v>4.9135514018691584</v>
      </c>
    </row>
    <row r="729" spans="1:10" x14ac:dyDescent="0.25">
      <c r="A729" s="2" t="s">
        <v>2183</v>
      </c>
      <c r="B729" s="2" t="s">
        <v>2184</v>
      </c>
      <c r="C729" s="2" t="s">
        <v>2185</v>
      </c>
      <c r="D729" s="2" t="s">
        <v>10041</v>
      </c>
      <c r="E729" s="15">
        <v>0.11509999999999999</v>
      </c>
      <c r="F729" s="15">
        <v>7.1400000000000005E-2</v>
      </c>
      <c r="G729" s="15">
        <v>0.107</v>
      </c>
      <c r="H729" s="15">
        <v>0.25609999999999999</v>
      </c>
      <c r="I729" s="15">
        <v>5.8900000000000001E-2</v>
      </c>
      <c r="J729" s="15">
        <v>4.3480475382003396</v>
      </c>
    </row>
    <row r="730" spans="1:10" x14ac:dyDescent="0.25">
      <c r="A730" s="2" t="s">
        <v>2186</v>
      </c>
      <c r="B730" s="2" t="s">
        <v>2187</v>
      </c>
      <c r="C730" s="2" t="s">
        <v>2188</v>
      </c>
      <c r="D730" s="2" t="s">
        <v>10041</v>
      </c>
      <c r="E730" s="15">
        <v>-4.53E-2</v>
      </c>
      <c r="F730" s="15">
        <v>7.3200000000000001E-2</v>
      </c>
      <c r="G730" s="15">
        <v>0.53569999999999995</v>
      </c>
      <c r="H730" s="15">
        <v>0.25690000000000002</v>
      </c>
      <c r="I730" s="15">
        <v>5.7599999999999998E-2</v>
      </c>
      <c r="J730" s="15">
        <v>4.4600694444444446</v>
      </c>
    </row>
    <row r="731" spans="1:10" x14ac:dyDescent="0.25">
      <c r="A731" s="2" t="s">
        <v>2189</v>
      </c>
      <c r="B731" s="2" t="s">
        <v>2190</v>
      </c>
      <c r="C731" s="2" t="s">
        <v>2191</v>
      </c>
      <c r="D731" s="2" t="s">
        <v>10041</v>
      </c>
      <c r="E731" s="15">
        <v>-1.8E-3</v>
      </c>
      <c r="F731" s="15">
        <v>0.1222</v>
      </c>
      <c r="G731" s="15">
        <v>0.98850000000000005</v>
      </c>
      <c r="H731" s="15">
        <v>9.2899999999999996E-2</v>
      </c>
      <c r="I731" s="15">
        <v>4.5100000000000001E-2</v>
      </c>
      <c r="J731" s="15">
        <v>2.059866962305986</v>
      </c>
    </row>
    <row r="732" spans="1:10" x14ac:dyDescent="0.25">
      <c r="A732" s="2" t="s">
        <v>2192</v>
      </c>
      <c r="B732" s="2" t="s">
        <v>2193</v>
      </c>
      <c r="C732" s="2" t="s">
        <v>2194</v>
      </c>
      <c r="D732" s="2" t="s">
        <v>10041</v>
      </c>
      <c r="E732" s="15">
        <v>1.9199999999999998E-2</v>
      </c>
      <c r="F732" s="15">
        <v>0.1004</v>
      </c>
      <c r="G732" s="15">
        <v>0.84840000000000004</v>
      </c>
      <c r="H732" s="15">
        <v>0.1691</v>
      </c>
      <c r="I732" s="15">
        <v>4.3700000000000003E-2</v>
      </c>
      <c r="J732" s="15">
        <v>3.8695652173913042</v>
      </c>
    </row>
    <row r="733" spans="1:10" x14ac:dyDescent="0.25">
      <c r="A733" s="2" t="s">
        <v>2195</v>
      </c>
      <c r="B733" s="2" t="s">
        <v>2196</v>
      </c>
      <c r="C733" s="2" t="s">
        <v>2197</v>
      </c>
      <c r="D733" s="2" t="s">
        <v>10041</v>
      </c>
      <c r="E733" s="15">
        <v>0.1862</v>
      </c>
      <c r="F733" s="15">
        <v>0.1303</v>
      </c>
      <c r="G733" s="15">
        <v>0.15290000000000001</v>
      </c>
      <c r="H733" s="15">
        <v>8.8499999999999995E-2</v>
      </c>
      <c r="I733" s="15">
        <v>4.8599999999999997E-2</v>
      </c>
      <c r="J733" s="15">
        <v>1.820987654320988</v>
      </c>
    </row>
    <row r="734" spans="1:10" x14ac:dyDescent="0.25">
      <c r="A734" s="2" t="s">
        <v>2198</v>
      </c>
      <c r="B734" s="2" t="s">
        <v>2199</v>
      </c>
      <c r="C734" s="2" t="s">
        <v>2200</v>
      </c>
      <c r="D734" s="2" t="s">
        <v>10041</v>
      </c>
      <c r="E734" s="15">
        <v>0.14269999999999999</v>
      </c>
      <c r="F734" s="15">
        <v>9.5200000000000007E-2</v>
      </c>
      <c r="G734" s="15">
        <v>0.1341</v>
      </c>
      <c r="H734" s="15">
        <v>0.13420000000000001</v>
      </c>
      <c r="I734" s="15">
        <v>4.5199999999999997E-2</v>
      </c>
      <c r="J734" s="15">
        <v>2.9690265486725669</v>
      </c>
    </row>
    <row r="735" spans="1:10" x14ac:dyDescent="0.25">
      <c r="A735" s="2" t="s">
        <v>2201</v>
      </c>
      <c r="B735" s="2" t="s">
        <v>2202</v>
      </c>
      <c r="C735" s="2" t="s">
        <v>2203</v>
      </c>
      <c r="D735" s="2" t="s">
        <v>10041</v>
      </c>
      <c r="E735" s="15">
        <v>0.19289999999999999</v>
      </c>
      <c r="F735" s="15">
        <v>0.1205</v>
      </c>
      <c r="G735" s="15">
        <v>0.1094</v>
      </c>
      <c r="H735" s="15">
        <v>9.6299999999999997E-2</v>
      </c>
      <c r="I735" s="15">
        <v>4.4699999999999997E-2</v>
      </c>
      <c r="J735" s="15">
        <v>2.1543624161073831</v>
      </c>
    </row>
    <row r="736" spans="1:10" x14ac:dyDescent="0.25">
      <c r="A736" s="2" t="s">
        <v>2204</v>
      </c>
      <c r="B736" s="2" t="s">
        <v>2205</v>
      </c>
      <c r="C736" s="2" t="s">
        <v>2206</v>
      </c>
      <c r="D736" s="2" t="s">
        <v>10041</v>
      </c>
      <c r="E736" s="15">
        <v>0.26540000000000002</v>
      </c>
      <c r="F736" s="15">
        <v>0.1226</v>
      </c>
      <c r="G736" s="15">
        <v>3.0499999999999999E-2</v>
      </c>
      <c r="H736" s="15">
        <v>0.10199999999999999</v>
      </c>
      <c r="I736" s="15">
        <v>4.6899999999999997E-2</v>
      </c>
      <c r="J736" s="15">
        <v>2.1748400852878471</v>
      </c>
    </row>
    <row r="737" spans="1:10" x14ac:dyDescent="0.25">
      <c r="A737" s="2" t="s">
        <v>2207</v>
      </c>
      <c r="B737" s="2" t="s">
        <v>2208</v>
      </c>
      <c r="C737" s="2" t="s">
        <v>2209</v>
      </c>
      <c r="D737" s="2" t="s">
        <v>10041</v>
      </c>
      <c r="E737" s="15">
        <v>0.30559999999999998</v>
      </c>
      <c r="F737" s="15">
        <v>0.16800000000000001</v>
      </c>
      <c r="G737" s="15">
        <v>6.9000000000000006E-2</v>
      </c>
      <c r="H737" s="15">
        <v>5.8500000000000003E-2</v>
      </c>
      <c r="I737" s="15">
        <v>4.6100000000000002E-2</v>
      </c>
      <c r="J737" s="15">
        <v>1.268980477223427</v>
      </c>
    </row>
    <row r="738" spans="1:10" x14ac:dyDescent="0.25">
      <c r="A738" s="2" t="s">
        <v>2210</v>
      </c>
      <c r="B738" s="2" t="s">
        <v>2211</v>
      </c>
      <c r="C738" s="2" t="s">
        <v>2212</v>
      </c>
      <c r="D738" s="2" t="s">
        <v>10041</v>
      </c>
      <c r="E738" s="15">
        <v>-4.3400000000000001E-2</v>
      </c>
      <c r="F738" s="15">
        <v>7.7700000000000005E-2</v>
      </c>
      <c r="G738" s="15">
        <v>0.57679999999999998</v>
      </c>
      <c r="H738" s="15">
        <v>0.23280000000000001</v>
      </c>
      <c r="I738" s="15">
        <v>5.7200000000000001E-2</v>
      </c>
      <c r="J738" s="15">
        <v>4.06993006993007</v>
      </c>
    </row>
    <row r="739" spans="1:10" x14ac:dyDescent="0.25">
      <c r="A739" s="2" t="s">
        <v>2213</v>
      </c>
      <c r="B739" s="2" t="s">
        <v>2214</v>
      </c>
      <c r="C739" s="2" t="s">
        <v>2215</v>
      </c>
      <c r="D739" s="2" t="s">
        <v>10041</v>
      </c>
      <c r="E739" s="15">
        <v>1.29E-2</v>
      </c>
      <c r="F739" s="15">
        <v>0.1056</v>
      </c>
      <c r="G739" s="15">
        <v>0.90280000000000005</v>
      </c>
      <c r="H739" s="15">
        <v>0.1363</v>
      </c>
      <c r="I739" s="15">
        <v>3.8199999999999998E-2</v>
      </c>
      <c r="J739" s="15">
        <v>3.5680628272251309</v>
      </c>
    </row>
    <row r="740" spans="1:10" x14ac:dyDescent="0.25">
      <c r="A740" s="2" t="s">
        <v>2216</v>
      </c>
      <c r="B740" s="2" t="s">
        <v>2217</v>
      </c>
      <c r="C740" s="2" t="s">
        <v>2218</v>
      </c>
      <c r="D740" s="2" t="s">
        <v>10041</v>
      </c>
      <c r="E740" s="15">
        <v>6.6400000000000001E-2</v>
      </c>
      <c r="F740" s="15">
        <v>8.9800000000000005E-2</v>
      </c>
      <c r="G740" s="15">
        <v>0.45960000000000001</v>
      </c>
      <c r="H740" s="15">
        <v>0.16739999999999999</v>
      </c>
      <c r="I740" s="15">
        <v>7.1499999999999994E-2</v>
      </c>
      <c r="J740" s="15">
        <v>2.3412587412587409</v>
      </c>
    </row>
    <row r="741" spans="1:10" x14ac:dyDescent="0.25">
      <c r="A741" s="2" t="s">
        <v>2219</v>
      </c>
      <c r="B741" s="2" t="s">
        <v>2220</v>
      </c>
      <c r="C741" s="2" t="s">
        <v>2221</v>
      </c>
      <c r="D741" s="2" t="s">
        <v>10041</v>
      </c>
      <c r="E741" s="15">
        <v>-0.1336</v>
      </c>
      <c r="F741" s="15">
        <v>0.10100000000000001</v>
      </c>
      <c r="G741" s="15">
        <v>0.18590000000000001</v>
      </c>
      <c r="H741" s="15">
        <v>0.16200000000000001</v>
      </c>
      <c r="I741" s="15">
        <v>4.5100000000000001E-2</v>
      </c>
      <c r="J741" s="15">
        <v>3.592017738359202</v>
      </c>
    </row>
    <row r="742" spans="1:10" x14ac:dyDescent="0.25">
      <c r="A742" s="2" t="s">
        <v>2222</v>
      </c>
      <c r="B742" s="2" t="s">
        <v>2223</v>
      </c>
      <c r="C742" s="2" t="s">
        <v>2224</v>
      </c>
      <c r="D742" s="2" t="s">
        <v>10041</v>
      </c>
      <c r="E742" s="15">
        <v>9.0700000000000003E-2</v>
      </c>
      <c r="F742" s="15">
        <v>8.1900000000000001E-2</v>
      </c>
      <c r="G742" s="15">
        <v>0.26800000000000002</v>
      </c>
      <c r="H742" s="15">
        <v>0.20180000000000001</v>
      </c>
      <c r="I742" s="15">
        <v>4.4600000000000001E-2</v>
      </c>
      <c r="J742" s="15">
        <v>4.5246636771300448</v>
      </c>
    </row>
    <row r="743" spans="1:10" x14ac:dyDescent="0.25">
      <c r="A743" s="2" t="s">
        <v>2225</v>
      </c>
      <c r="B743" s="2" t="s">
        <v>2226</v>
      </c>
      <c r="C743" s="2" t="s">
        <v>2227</v>
      </c>
      <c r="D743" s="2" t="s">
        <v>10041</v>
      </c>
      <c r="E743" s="15">
        <v>-3.9899999999999998E-2</v>
      </c>
      <c r="F743" s="15">
        <v>0.10100000000000001</v>
      </c>
      <c r="G743" s="15">
        <v>0.69310000000000005</v>
      </c>
      <c r="H743" s="15">
        <v>0.13650000000000001</v>
      </c>
      <c r="I743" s="15">
        <v>4.0099999999999997E-2</v>
      </c>
      <c r="J743" s="15">
        <v>3.4039900249376558</v>
      </c>
    </row>
    <row r="744" spans="1:10" x14ac:dyDescent="0.25">
      <c r="A744" s="2" t="s">
        <v>2228</v>
      </c>
      <c r="B744" s="2" t="s">
        <v>2229</v>
      </c>
      <c r="C744" s="2" t="s">
        <v>2230</v>
      </c>
      <c r="D744" s="2" t="s">
        <v>10041</v>
      </c>
      <c r="E744" s="15">
        <v>0.1124</v>
      </c>
      <c r="F744" s="15">
        <v>7.6899999999999996E-2</v>
      </c>
      <c r="G744" s="15">
        <v>0.14410000000000001</v>
      </c>
      <c r="H744" s="15">
        <v>0.2142</v>
      </c>
      <c r="I744" s="15">
        <v>4.4200000000000003E-2</v>
      </c>
      <c r="J744" s="15">
        <v>4.8461538461538458</v>
      </c>
    </row>
    <row r="745" spans="1:10" x14ac:dyDescent="0.25">
      <c r="A745" s="2" t="s">
        <v>2231</v>
      </c>
      <c r="B745" s="2" t="s">
        <v>2232</v>
      </c>
      <c r="C745" s="2" t="s">
        <v>2233</v>
      </c>
      <c r="D745" s="2" t="s">
        <v>10041</v>
      </c>
      <c r="E745" s="15">
        <v>0.10299999999999999</v>
      </c>
      <c r="F745" s="15">
        <v>8.5000000000000006E-2</v>
      </c>
      <c r="G745" s="15">
        <v>0.22559999999999999</v>
      </c>
      <c r="H745" s="15">
        <v>0.2072</v>
      </c>
      <c r="I745" s="15">
        <v>4.7500000000000001E-2</v>
      </c>
      <c r="J745" s="15">
        <v>4.3621052631578943</v>
      </c>
    </row>
    <row r="746" spans="1:10" x14ac:dyDescent="0.25">
      <c r="A746" s="2" t="s">
        <v>2234</v>
      </c>
      <c r="B746" s="2" t="s">
        <v>2235</v>
      </c>
      <c r="C746" s="2" t="s">
        <v>2236</v>
      </c>
      <c r="D746" s="2" t="s">
        <v>10041</v>
      </c>
      <c r="E746" s="15">
        <v>-3.5799999999999998E-2</v>
      </c>
      <c r="F746" s="15">
        <v>8.7599999999999997E-2</v>
      </c>
      <c r="G746" s="15">
        <v>0.68269999999999997</v>
      </c>
      <c r="H746" s="15">
        <v>0.16830000000000001</v>
      </c>
      <c r="I746" s="15">
        <v>4.6300000000000001E-2</v>
      </c>
      <c r="J746" s="15">
        <v>3.6349892008639308</v>
      </c>
    </row>
    <row r="747" spans="1:10" x14ac:dyDescent="0.25">
      <c r="A747" s="2" t="s">
        <v>2237</v>
      </c>
      <c r="B747" s="2" t="s">
        <v>2238</v>
      </c>
      <c r="C747" s="2" t="s">
        <v>2239</v>
      </c>
      <c r="D747" s="2" t="s">
        <v>10041</v>
      </c>
      <c r="E747" s="15">
        <v>1.26E-2</v>
      </c>
      <c r="F747" s="15">
        <v>7.1900000000000006E-2</v>
      </c>
      <c r="G747" s="15">
        <v>0.86129999999999995</v>
      </c>
      <c r="H747" s="15">
        <v>0.28189999999999998</v>
      </c>
      <c r="I747" s="15">
        <v>9.4100000000000003E-2</v>
      </c>
      <c r="J747" s="15">
        <v>2.9957492029755581</v>
      </c>
    </row>
    <row r="748" spans="1:10" x14ac:dyDescent="0.25">
      <c r="A748" s="2" t="s">
        <v>2240</v>
      </c>
      <c r="B748" s="2" t="s">
        <v>2241</v>
      </c>
      <c r="C748" s="2" t="s">
        <v>2242</v>
      </c>
      <c r="D748" s="2" t="s">
        <v>10041</v>
      </c>
      <c r="E748" s="15">
        <v>-0.1094</v>
      </c>
      <c r="F748" s="15">
        <v>7.9299999999999995E-2</v>
      </c>
      <c r="G748" s="15">
        <v>0.16769999999999999</v>
      </c>
      <c r="H748" s="15">
        <v>0.21210000000000001</v>
      </c>
      <c r="I748" s="15">
        <v>4.5100000000000001E-2</v>
      </c>
      <c r="J748" s="15">
        <v>4.7028824833702876</v>
      </c>
    </row>
    <row r="749" spans="1:10" x14ac:dyDescent="0.25">
      <c r="A749" s="2" t="s">
        <v>2243</v>
      </c>
      <c r="B749" s="2" t="s">
        <v>2244</v>
      </c>
      <c r="C749" s="2" t="s">
        <v>2245</v>
      </c>
      <c r="D749" s="2" t="s">
        <v>10041</v>
      </c>
      <c r="E749" s="15">
        <v>0.28289999999999998</v>
      </c>
      <c r="F749" s="15">
        <v>0.36080000000000001</v>
      </c>
      <c r="G749" s="15">
        <v>0.433</v>
      </c>
      <c r="H749" s="15">
        <v>2.5000000000000001E-2</v>
      </c>
      <c r="I749" s="15">
        <v>4.1700000000000001E-2</v>
      </c>
      <c r="J749" s="15">
        <v>0.59952038369304561</v>
      </c>
    </row>
    <row r="750" spans="1:10" x14ac:dyDescent="0.25">
      <c r="A750" s="2" t="s">
        <v>2246</v>
      </c>
      <c r="B750" s="2" t="s">
        <v>2247</v>
      </c>
      <c r="C750" s="2" t="s">
        <v>2248</v>
      </c>
      <c r="D750" s="2" t="s">
        <v>10041</v>
      </c>
      <c r="E750" s="15">
        <v>-4.9599999999999998E-2</v>
      </c>
      <c r="F750" s="15">
        <v>8.9399999999999993E-2</v>
      </c>
      <c r="G750" s="15">
        <v>0.57879999999999998</v>
      </c>
      <c r="H750" s="15">
        <v>0.15989999999999999</v>
      </c>
      <c r="I750" s="15">
        <v>4.48E-2</v>
      </c>
      <c r="J750" s="15">
        <v>3.5691964285714279</v>
      </c>
    </row>
    <row r="751" spans="1:10" x14ac:dyDescent="0.25">
      <c r="A751" s="2" t="s">
        <v>2249</v>
      </c>
      <c r="B751" s="2" t="s">
        <v>2250</v>
      </c>
      <c r="C751" s="2" t="s">
        <v>2251</v>
      </c>
      <c r="D751" s="2" t="s">
        <v>10041</v>
      </c>
      <c r="E751" s="15">
        <v>8.7599999999999997E-2</v>
      </c>
      <c r="F751" s="15">
        <v>8.9800000000000005E-2</v>
      </c>
      <c r="G751" s="15">
        <v>0.32969999999999999</v>
      </c>
      <c r="H751" s="15">
        <v>0.1734</v>
      </c>
      <c r="I751" s="15">
        <v>4.8300000000000003E-2</v>
      </c>
      <c r="J751" s="15">
        <v>3.5900621118012421</v>
      </c>
    </row>
    <row r="752" spans="1:10" x14ac:dyDescent="0.25">
      <c r="A752" s="2" t="s">
        <v>2252</v>
      </c>
      <c r="B752" s="2" t="s">
        <v>2253</v>
      </c>
      <c r="C752" s="2" t="s">
        <v>2254</v>
      </c>
      <c r="D752" s="2" t="s">
        <v>10041</v>
      </c>
      <c r="E752" s="15">
        <v>-7.7000000000000002E-3</v>
      </c>
      <c r="F752" s="15">
        <v>0.14380000000000001</v>
      </c>
      <c r="G752" s="15">
        <v>0.95709999999999995</v>
      </c>
      <c r="H752" s="15">
        <v>6.0900000000000003E-2</v>
      </c>
      <c r="I752" s="15">
        <v>4.2299999999999997E-2</v>
      </c>
      <c r="J752" s="15">
        <v>1.439716312056738</v>
      </c>
    </row>
    <row r="753" spans="1:10" x14ac:dyDescent="0.25">
      <c r="A753" s="2" t="s">
        <v>2255</v>
      </c>
      <c r="B753" s="2" t="s">
        <v>2256</v>
      </c>
      <c r="C753" s="2" t="s">
        <v>2257</v>
      </c>
      <c r="D753" s="2" t="s">
        <v>10041</v>
      </c>
      <c r="E753" s="15">
        <v>1.2500000000000001E-2</v>
      </c>
      <c r="F753" s="15">
        <v>9.9299999999999999E-2</v>
      </c>
      <c r="G753" s="15">
        <v>0.89939999999999998</v>
      </c>
      <c r="H753" s="15">
        <v>0.1346</v>
      </c>
      <c r="I753" s="15">
        <v>4.48E-2</v>
      </c>
      <c r="J753" s="15">
        <v>3.004464285714286</v>
      </c>
    </row>
    <row r="754" spans="1:10" x14ac:dyDescent="0.25">
      <c r="A754" s="2" t="s">
        <v>2258</v>
      </c>
      <c r="B754" s="2" t="s">
        <v>2259</v>
      </c>
      <c r="C754" s="2" t="s">
        <v>2260</v>
      </c>
      <c r="D754" s="2" t="s">
        <v>10041</v>
      </c>
      <c r="E754" s="15">
        <v>3.3700000000000001E-2</v>
      </c>
      <c r="F754" s="15">
        <v>9.1200000000000003E-2</v>
      </c>
      <c r="G754" s="15">
        <v>0.71160000000000001</v>
      </c>
      <c r="H754" s="15">
        <v>0.17549999999999999</v>
      </c>
      <c r="I754" s="15">
        <v>5.4300000000000001E-2</v>
      </c>
      <c r="J754" s="15">
        <v>3.2320441988950268</v>
      </c>
    </row>
    <row r="755" spans="1:10" x14ac:dyDescent="0.25">
      <c r="A755" s="2" t="s">
        <v>2261</v>
      </c>
      <c r="B755" s="2" t="s">
        <v>2262</v>
      </c>
      <c r="C755" s="2" t="s">
        <v>2263</v>
      </c>
      <c r="D755" s="2" t="s">
        <v>10041</v>
      </c>
      <c r="E755" s="15">
        <v>0.1033</v>
      </c>
      <c r="F755" s="15">
        <v>9.3799999999999994E-2</v>
      </c>
      <c r="G755" s="15">
        <v>0.27039999999999997</v>
      </c>
      <c r="H755" s="15">
        <v>0.18609999999999999</v>
      </c>
      <c r="I755" s="15">
        <v>4.9500000000000002E-2</v>
      </c>
      <c r="J755" s="15">
        <v>3.7595959595959592</v>
      </c>
    </row>
    <row r="756" spans="1:10" x14ac:dyDescent="0.25">
      <c r="A756" s="2" t="s">
        <v>2264</v>
      </c>
      <c r="B756" s="2" t="s">
        <v>2265</v>
      </c>
      <c r="C756" s="2" t="s">
        <v>2266</v>
      </c>
      <c r="D756" s="2" t="s">
        <v>10041</v>
      </c>
      <c r="E756" s="15">
        <v>0.16819999999999999</v>
      </c>
      <c r="F756" s="15">
        <v>0.14810000000000001</v>
      </c>
      <c r="G756" s="15">
        <v>0.25600000000000001</v>
      </c>
      <c r="H756" s="15">
        <v>7.8E-2</v>
      </c>
      <c r="I756" s="15">
        <v>4.5900000000000003E-2</v>
      </c>
      <c r="J756" s="15">
        <v>1.6993464052287579</v>
      </c>
    </row>
    <row r="757" spans="1:10" x14ac:dyDescent="0.25">
      <c r="A757" s="2" t="s">
        <v>2267</v>
      </c>
      <c r="B757" s="2" t="s">
        <v>2268</v>
      </c>
      <c r="C757" s="2" t="s">
        <v>2269</v>
      </c>
      <c r="D757" s="2" t="s">
        <v>10041</v>
      </c>
      <c r="E757" s="15">
        <v>0.1145</v>
      </c>
      <c r="F757" s="15">
        <v>0.1009</v>
      </c>
      <c r="G757" s="15">
        <v>0.25619999999999998</v>
      </c>
      <c r="H757" s="15">
        <v>0.1099</v>
      </c>
      <c r="I757" s="15">
        <v>4.5999999999999999E-2</v>
      </c>
      <c r="J757" s="15">
        <v>2.3891304347826088</v>
      </c>
    </row>
    <row r="758" spans="1:10" x14ac:dyDescent="0.25">
      <c r="A758" s="2" t="s">
        <v>2270</v>
      </c>
      <c r="B758" s="2" t="s">
        <v>2271</v>
      </c>
      <c r="C758" s="2" t="s">
        <v>2272</v>
      </c>
      <c r="D758" s="2" t="s">
        <v>10041</v>
      </c>
      <c r="E758" s="15">
        <v>4.6800000000000001E-2</v>
      </c>
      <c r="F758" s="15">
        <v>9.5500000000000002E-2</v>
      </c>
      <c r="G758" s="15">
        <v>0.62439999999999996</v>
      </c>
      <c r="H758" s="15">
        <v>0.12690000000000001</v>
      </c>
      <c r="I758" s="15">
        <v>4.4299999999999999E-2</v>
      </c>
      <c r="J758" s="15">
        <v>2.8645598194130928</v>
      </c>
    </row>
    <row r="759" spans="1:10" x14ac:dyDescent="0.25">
      <c r="A759" s="2" t="s">
        <v>2273</v>
      </c>
      <c r="B759" s="2" t="s">
        <v>2274</v>
      </c>
      <c r="C759" s="2" t="s">
        <v>2275</v>
      </c>
      <c r="D759" s="2" t="s">
        <v>10041</v>
      </c>
      <c r="E759" s="15">
        <v>-5.0799999999999998E-2</v>
      </c>
      <c r="F759" s="15">
        <v>9.3799999999999994E-2</v>
      </c>
      <c r="G759" s="15">
        <v>0.58809999999999996</v>
      </c>
      <c r="H759" s="15">
        <v>0.17</v>
      </c>
      <c r="I759" s="15">
        <v>4.3799999999999999E-2</v>
      </c>
      <c r="J759" s="15">
        <v>3.8812785388127859</v>
      </c>
    </row>
    <row r="760" spans="1:10" x14ac:dyDescent="0.25">
      <c r="A760" s="2" t="s">
        <v>2276</v>
      </c>
      <c r="B760" s="2" t="s">
        <v>2277</v>
      </c>
      <c r="C760" s="2" t="s">
        <v>2278</v>
      </c>
      <c r="D760" s="2" t="s">
        <v>10041</v>
      </c>
      <c r="E760" s="15">
        <v>3.85E-2</v>
      </c>
      <c r="F760" s="15">
        <v>8.3000000000000004E-2</v>
      </c>
      <c r="G760" s="15">
        <v>0.64270000000000005</v>
      </c>
      <c r="H760" s="15">
        <v>0.1759</v>
      </c>
      <c r="I760" s="15">
        <v>4.5999999999999999E-2</v>
      </c>
      <c r="J760" s="15">
        <v>3.8239130434782611</v>
      </c>
    </row>
    <row r="761" spans="1:10" x14ac:dyDescent="0.25">
      <c r="A761" s="2" t="s">
        <v>2279</v>
      </c>
      <c r="B761" s="2" t="s">
        <v>2280</v>
      </c>
      <c r="C761" s="2" t="s">
        <v>2281</v>
      </c>
      <c r="D761" s="2" t="s">
        <v>10041</v>
      </c>
      <c r="E761" s="15">
        <v>8.8999999999999999E-3</v>
      </c>
      <c r="F761" s="15">
        <v>9.9500000000000005E-2</v>
      </c>
      <c r="G761" s="15">
        <v>0.92869999999999997</v>
      </c>
      <c r="H761" s="15">
        <v>0.1462</v>
      </c>
      <c r="I761" s="15">
        <v>4.7300000000000002E-2</v>
      </c>
      <c r="J761" s="15">
        <v>3.0909090909090908</v>
      </c>
    </row>
    <row r="762" spans="1:10" x14ac:dyDescent="0.25">
      <c r="A762" s="2" t="s">
        <v>2282</v>
      </c>
      <c r="B762" s="2" t="s">
        <v>2283</v>
      </c>
      <c r="C762" s="2" t="s">
        <v>2284</v>
      </c>
      <c r="D762" s="2" t="s">
        <v>10041</v>
      </c>
      <c r="E762" s="15">
        <v>0.1782</v>
      </c>
      <c r="F762" s="15">
        <v>7.8E-2</v>
      </c>
      <c r="G762" s="15">
        <v>2.24E-2</v>
      </c>
      <c r="H762" s="15">
        <v>0.23139999999999999</v>
      </c>
      <c r="I762" s="15">
        <v>5.1900000000000002E-2</v>
      </c>
      <c r="J762" s="15">
        <v>4.4585741811175339</v>
      </c>
    </row>
    <row r="763" spans="1:10" x14ac:dyDescent="0.25">
      <c r="A763" s="2" t="s">
        <v>2285</v>
      </c>
      <c r="B763" s="2" t="s">
        <v>2286</v>
      </c>
      <c r="C763" s="2" t="s">
        <v>2287</v>
      </c>
      <c r="D763" s="2" t="s">
        <v>10041</v>
      </c>
      <c r="E763" s="15">
        <v>1.3299999999999999E-2</v>
      </c>
      <c r="F763" s="15">
        <v>7.46E-2</v>
      </c>
      <c r="G763" s="15">
        <v>0.85840000000000005</v>
      </c>
      <c r="H763" s="15">
        <v>0.2094</v>
      </c>
      <c r="I763" s="15">
        <v>4.8300000000000003E-2</v>
      </c>
      <c r="J763" s="15">
        <v>4.3354037267080754</v>
      </c>
    </row>
    <row r="764" spans="1:10" x14ac:dyDescent="0.25">
      <c r="A764" s="2" t="s">
        <v>2288</v>
      </c>
      <c r="B764" s="2" t="s">
        <v>2289</v>
      </c>
      <c r="C764" s="2" t="s">
        <v>2290</v>
      </c>
      <c r="D764" s="2" t="s">
        <v>10041</v>
      </c>
      <c r="E764" s="15">
        <v>0.19500000000000001</v>
      </c>
      <c r="F764" s="15">
        <v>0.1196</v>
      </c>
      <c r="G764" s="15">
        <v>0.1028</v>
      </c>
      <c r="H764" s="15">
        <v>0.1053</v>
      </c>
      <c r="I764" s="15">
        <v>0.05</v>
      </c>
      <c r="J764" s="15">
        <v>2.1059999999999999</v>
      </c>
    </row>
    <row r="765" spans="1:10" x14ac:dyDescent="0.25">
      <c r="A765" s="2" t="s">
        <v>2291</v>
      </c>
      <c r="B765" s="2" t="s">
        <v>2292</v>
      </c>
      <c r="C765" s="2" t="s">
        <v>2293</v>
      </c>
      <c r="D765" s="2" t="s">
        <v>10041</v>
      </c>
      <c r="E765" s="15">
        <v>-6.6500000000000004E-2</v>
      </c>
      <c r="F765" s="15">
        <v>8.5300000000000001E-2</v>
      </c>
      <c r="G765" s="15">
        <v>0.43590000000000001</v>
      </c>
      <c r="H765" s="15">
        <v>0.1973</v>
      </c>
      <c r="I765" s="15">
        <v>4.3400000000000001E-2</v>
      </c>
      <c r="J765" s="15">
        <v>4.5460829493087553</v>
      </c>
    </row>
    <row r="766" spans="1:10" x14ac:dyDescent="0.25">
      <c r="A766" s="2" t="s">
        <v>2294</v>
      </c>
      <c r="B766" s="2" t="s">
        <v>2295</v>
      </c>
      <c r="C766" s="2" t="s">
        <v>2296</v>
      </c>
      <c r="D766" s="2" t="s">
        <v>10041</v>
      </c>
      <c r="E766" s="15">
        <v>5.0999999999999997E-2</v>
      </c>
      <c r="F766" s="15">
        <v>8.4400000000000003E-2</v>
      </c>
      <c r="G766" s="15">
        <v>0.54590000000000005</v>
      </c>
      <c r="H766" s="15">
        <v>0.1774</v>
      </c>
      <c r="I766" s="15">
        <v>4.5900000000000003E-2</v>
      </c>
      <c r="J766" s="15">
        <v>3.8649237472766882</v>
      </c>
    </row>
    <row r="767" spans="1:10" x14ac:dyDescent="0.25">
      <c r="A767" s="2" t="s">
        <v>2297</v>
      </c>
      <c r="B767" s="2" t="s">
        <v>2298</v>
      </c>
      <c r="C767" s="2" t="s">
        <v>2299</v>
      </c>
      <c r="D767" s="2" t="s">
        <v>10041</v>
      </c>
      <c r="E767" s="15">
        <v>0.18479999999999999</v>
      </c>
      <c r="F767" s="15">
        <v>0.10589999999999999</v>
      </c>
      <c r="G767" s="15">
        <v>8.09E-2</v>
      </c>
      <c r="H767" s="15">
        <v>0.1343</v>
      </c>
      <c r="I767" s="15">
        <v>4.2999999999999997E-2</v>
      </c>
      <c r="J767" s="15">
        <v>3.1232558139534889</v>
      </c>
    </row>
    <row r="768" spans="1:10" x14ac:dyDescent="0.25">
      <c r="A768" s="2" t="s">
        <v>2300</v>
      </c>
      <c r="B768" s="2" t="s">
        <v>2301</v>
      </c>
      <c r="C768" s="2" t="s">
        <v>2302</v>
      </c>
      <c r="D768" s="2" t="s">
        <v>10041</v>
      </c>
      <c r="E768" s="15">
        <v>5.7500000000000002E-2</v>
      </c>
      <c r="F768" s="15">
        <v>0.1074</v>
      </c>
      <c r="G768" s="15">
        <v>0.59230000000000005</v>
      </c>
      <c r="H768" s="15">
        <v>0.1086</v>
      </c>
      <c r="I768" s="15">
        <v>4.1200000000000001E-2</v>
      </c>
      <c r="J768" s="15">
        <v>2.6359223300970869</v>
      </c>
    </row>
    <row r="769" spans="1:10" x14ac:dyDescent="0.25">
      <c r="A769" s="2" t="s">
        <v>2303</v>
      </c>
      <c r="B769" s="2" t="s">
        <v>2304</v>
      </c>
      <c r="C769" s="2" t="s">
        <v>2305</v>
      </c>
      <c r="D769" s="2" t="s">
        <v>10041</v>
      </c>
      <c r="E769" s="15">
        <v>0.14419999999999999</v>
      </c>
      <c r="F769" s="15">
        <v>8.7300000000000003E-2</v>
      </c>
      <c r="G769" s="15">
        <v>9.8599999999999993E-2</v>
      </c>
      <c r="H769" s="15">
        <v>0.1681</v>
      </c>
      <c r="I769" s="15">
        <v>4.3400000000000001E-2</v>
      </c>
      <c r="J769" s="15">
        <v>3.8732718894009222</v>
      </c>
    </row>
    <row r="770" spans="1:10" x14ac:dyDescent="0.25">
      <c r="A770" s="2" t="s">
        <v>2306</v>
      </c>
      <c r="B770" s="2" t="s">
        <v>2307</v>
      </c>
      <c r="C770" s="2" t="s">
        <v>2308</v>
      </c>
      <c r="D770" s="2" t="s">
        <v>10041</v>
      </c>
      <c r="E770" s="15">
        <v>0.13400000000000001</v>
      </c>
      <c r="F770" s="15">
        <v>7.9399999999999998E-2</v>
      </c>
      <c r="G770" s="15">
        <v>9.1600000000000001E-2</v>
      </c>
      <c r="H770" s="15">
        <v>0.17949999999999999</v>
      </c>
      <c r="I770" s="15">
        <v>4.5600000000000002E-2</v>
      </c>
      <c r="J770" s="15">
        <v>3.9364035087719289</v>
      </c>
    </row>
    <row r="771" spans="1:10" x14ac:dyDescent="0.25">
      <c r="A771" s="2" t="s">
        <v>2309</v>
      </c>
      <c r="B771" s="2" t="s">
        <v>2310</v>
      </c>
      <c r="C771" s="2" t="s">
        <v>2311</v>
      </c>
      <c r="D771" s="2" t="s">
        <v>10041</v>
      </c>
      <c r="E771" s="15">
        <v>-3.44E-2</v>
      </c>
      <c r="F771" s="15">
        <v>6.8599999999999994E-2</v>
      </c>
      <c r="G771" s="15">
        <v>0.61629999999999996</v>
      </c>
      <c r="H771" s="15">
        <v>0.2863</v>
      </c>
      <c r="I771" s="15">
        <v>5.8400000000000001E-2</v>
      </c>
      <c r="J771" s="15">
        <v>4.9023972602739727</v>
      </c>
    </row>
    <row r="772" spans="1:10" x14ac:dyDescent="0.25">
      <c r="A772" s="2" t="s">
        <v>2312</v>
      </c>
      <c r="B772" s="2" t="s">
        <v>2313</v>
      </c>
      <c r="C772" s="2" t="s">
        <v>2314</v>
      </c>
      <c r="D772" s="2" t="s">
        <v>10041</v>
      </c>
      <c r="E772" s="15">
        <v>-8.9800000000000005E-2</v>
      </c>
      <c r="F772" s="15">
        <v>0.10489999999999999</v>
      </c>
      <c r="G772" s="15">
        <v>0.3921</v>
      </c>
      <c r="H772" s="15">
        <v>0.1268</v>
      </c>
      <c r="I772" s="15">
        <v>4.4299999999999999E-2</v>
      </c>
      <c r="J772" s="15">
        <v>2.862302483069977</v>
      </c>
    </row>
    <row r="773" spans="1:10" x14ac:dyDescent="0.25">
      <c r="A773" s="2" t="s">
        <v>2315</v>
      </c>
      <c r="B773" s="2" t="s">
        <v>2316</v>
      </c>
      <c r="C773" s="2" t="s">
        <v>2317</v>
      </c>
      <c r="D773" s="2" t="s">
        <v>10041</v>
      </c>
      <c r="E773" s="15">
        <v>6.4699999999999994E-2</v>
      </c>
      <c r="F773" s="15">
        <v>9.6699999999999994E-2</v>
      </c>
      <c r="G773" s="15">
        <v>0.50349999999999995</v>
      </c>
      <c r="H773" s="15">
        <v>0.15</v>
      </c>
      <c r="I773" s="15">
        <v>5.5599999999999997E-2</v>
      </c>
      <c r="J773" s="15">
        <v>2.6978417266187051</v>
      </c>
    </row>
    <row r="774" spans="1:10" x14ac:dyDescent="0.25">
      <c r="A774" s="2" t="s">
        <v>2318</v>
      </c>
      <c r="B774" s="2" t="s">
        <v>2319</v>
      </c>
      <c r="C774" s="2" t="s">
        <v>2320</v>
      </c>
      <c r="D774" s="2" t="s">
        <v>10041</v>
      </c>
      <c r="E774" s="15">
        <v>2.92E-2</v>
      </c>
      <c r="F774" s="15">
        <v>8.4099999999999994E-2</v>
      </c>
      <c r="G774" s="15">
        <v>0.72819999999999996</v>
      </c>
      <c r="H774" s="15">
        <v>0.1956</v>
      </c>
      <c r="I774" s="15">
        <v>6.3E-2</v>
      </c>
      <c r="J774" s="15">
        <v>3.1047619047619048</v>
      </c>
    </row>
    <row r="775" spans="1:10" x14ac:dyDescent="0.25">
      <c r="A775" s="2" t="s">
        <v>2321</v>
      </c>
      <c r="B775" s="2" t="s">
        <v>2322</v>
      </c>
      <c r="C775" s="2" t="s">
        <v>2323</v>
      </c>
      <c r="D775" s="2" t="s">
        <v>10041</v>
      </c>
      <c r="E775" s="15">
        <v>3.32E-2</v>
      </c>
      <c r="F775" s="15">
        <v>7.3599999999999999E-2</v>
      </c>
      <c r="G775" s="15">
        <v>0.65190000000000003</v>
      </c>
      <c r="H775" s="15">
        <v>0.21890000000000001</v>
      </c>
      <c r="I775" s="15">
        <v>5.3100000000000001E-2</v>
      </c>
      <c r="J775" s="15">
        <v>4.1224105461393599</v>
      </c>
    </row>
    <row r="776" spans="1:10" x14ac:dyDescent="0.25">
      <c r="A776" s="2" t="s">
        <v>2324</v>
      </c>
      <c r="B776" s="2" t="s">
        <v>2325</v>
      </c>
      <c r="C776" s="2" t="s">
        <v>2326</v>
      </c>
      <c r="D776" s="2" t="s">
        <v>10041</v>
      </c>
      <c r="E776" s="15">
        <v>-0.1603</v>
      </c>
      <c r="F776" s="15">
        <v>0.1157</v>
      </c>
      <c r="G776" s="15">
        <v>0.16589999999999999</v>
      </c>
      <c r="H776" s="15">
        <v>0.1069</v>
      </c>
      <c r="I776" s="15">
        <v>4.2599999999999999E-2</v>
      </c>
      <c r="J776" s="15">
        <v>2.509389671361502</v>
      </c>
    </row>
    <row r="777" spans="1:10" x14ac:dyDescent="0.25">
      <c r="A777" s="2" t="s">
        <v>2327</v>
      </c>
      <c r="B777" s="2" t="s">
        <v>2328</v>
      </c>
      <c r="C777" s="2" t="s">
        <v>2329</v>
      </c>
      <c r="D777" s="2" t="s">
        <v>10041</v>
      </c>
      <c r="E777" s="15">
        <v>7.1000000000000004E-3</v>
      </c>
      <c r="F777" s="15">
        <v>7.8899999999999998E-2</v>
      </c>
      <c r="G777" s="15">
        <v>0.92789999999999995</v>
      </c>
      <c r="H777" s="15">
        <v>0.20630000000000001</v>
      </c>
      <c r="I777" s="15">
        <v>4.48E-2</v>
      </c>
      <c r="J777" s="15">
        <v>4.6049107142857144</v>
      </c>
    </row>
    <row r="778" spans="1:10" x14ac:dyDescent="0.25">
      <c r="A778" s="2" t="s">
        <v>2330</v>
      </c>
      <c r="B778" s="2" t="s">
        <v>2331</v>
      </c>
      <c r="C778" s="2" t="s">
        <v>2332</v>
      </c>
      <c r="D778" s="2" t="s">
        <v>10041</v>
      </c>
      <c r="E778" s="15">
        <v>0.18559999999999999</v>
      </c>
      <c r="F778" s="15">
        <v>9.35E-2</v>
      </c>
      <c r="G778" s="15">
        <v>4.7100000000000003E-2</v>
      </c>
      <c r="H778" s="15">
        <v>0.17299999999999999</v>
      </c>
      <c r="I778" s="15">
        <v>4.4600000000000001E-2</v>
      </c>
      <c r="J778" s="15">
        <v>3.8789237668161429</v>
      </c>
    </row>
    <row r="779" spans="1:10" x14ac:dyDescent="0.25">
      <c r="A779" s="2" t="s">
        <v>2333</v>
      </c>
      <c r="B779" s="2" t="s">
        <v>2334</v>
      </c>
      <c r="C779" s="2" t="s">
        <v>2335</v>
      </c>
      <c r="D779" s="2" t="s">
        <v>10041</v>
      </c>
      <c r="E779" s="15">
        <v>5.3400000000000003E-2</v>
      </c>
      <c r="F779" s="15">
        <v>8.1699999999999995E-2</v>
      </c>
      <c r="G779" s="15">
        <v>0.51390000000000002</v>
      </c>
      <c r="H779" s="15">
        <v>0.1852</v>
      </c>
      <c r="I779" s="15">
        <v>4.1500000000000002E-2</v>
      </c>
      <c r="J779" s="15">
        <v>4.4626506024096386</v>
      </c>
    </row>
    <row r="780" spans="1:10" x14ac:dyDescent="0.25">
      <c r="A780" s="2" t="s">
        <v>2336</v>
      </c>
      <c r="B780" s="2" t="s">
        <v>2337</v>
      </c>
      <c r="C780" s="2" t="s">
        <v>2338</v>
      </c>
      <c r="D780" s="2" t="s">
        <v>10041</v>
      </c>
      <c r="E780" s="15">
        <v>-2.7E-2</v>
      </c>
      <c r="F780" s="15">
        <v>7.9500000000000001E-2</v>
      </c>
      <c r="G780" s="15">
        <v>0.73370000000000002</v>
      </c>
      <c r="H780" s="15">
        <v>0.2238</v>
      </c>
      <c r="I780" s="15">
        <v>6.8699999999999997E-2</v>
      </c>
      <c r="J780" s="15">
        <v>3.2576419213973802</v>
      </c>
    </row>
    <row r="781" spans="1:10" x14ac:dyDescent="0.25">
      <c r="A781" s="2" t="s">
        <v>2339</v>
      </c>
      <c r="B781" s="2" t="s">
        <v>2340</v>
      </c>
      <c r="C781" s="2" t="s">
        <v>2341</v>
      </c>
      <c r="D781" s="2" t="s">
        <v>10041</v>
      </c>
      <c r="E781" s="15">
        <v>-9.8799999999999999E-2</v>
      </c>
      <c r="F781" s="15">
        <v>0.1133</v>
      </c>
      <c r="G781" s="15">
        <v>0.3831</v>
      </c>
      <c r="H781" s="15">
        <v>9.1800000000000007E-2</v>
      </c>
      <c r="I781" s="15">
        <v>4.3299999999999998E-2</v>
      </c>
      <c r="J781" s="15">
        <v>2.1200923787528869</v>
      </c>
    </row>
    <row r="782" spans="1:10" x14ac:dyDescent="0.25">
      <c r="A782" s="2" t="s">
        <v>2342</v>
      </c>
      <c r="B782" s="2" t="s">
        <v>2343</v>
      </c>
      <c r="C782" s="2" t="s">
        <v>2344</v>
      </c>
      <c r="D782" s="2" t="s">
        <v>10041</v>
      </c>
      <c r="E782" s="15"/>
      <c r="F782" s="15"/>
      <c r="G782" s="15"/>
      <c r="H782" s="15">
        <v>-1.89E-2</v>
      </c>
      <c r="I782" s="15">
        <v>3.7400000000000003E-2</v>
      </c>
      <c r="J782" s="15">
        <v>-0.50534759358288772</v>
      </c>
    </row>
    <row r="783" spans="1:10" x14ac:dyDescent="0.25">
      <c r="A783" s="2" t="s">
        <v>2345</v>
      </c>
      <c r="B783" s="2" t="s">
        <v>2346</v>
      </c>
      <c r="C783" s="2" t="s">
        <v>2347</v>
      </c>
      <c r="D783" s="2" t="s">
        <v>10041</v>
      </c>
      <c r="E783" s="15">
        <v>-8.9099999999999999E-2</v>
      </c>
      <c r="F783" s="15">
        <v>7.2099999999999997E-2</v>
      </c>
      <c r="G783" s="15">
        <v>0.2162</v>
      </c>
      <c r="H783" s="15">
        <v>0.21690000000000001</v>
      </c>
      <c r="I783" s="15">
        <v>5.3999999999999999E-2</v>
      </c>
      <c r="J783" s="15">
        <v>4.0166666666666666</v>
      </c>
    </row>
    <row r="784" spans="1:10" x14ac:dyDescent="0.25">
      <c r="A784" s="2" t="s">
        <v>2348</v>
      </c>
      <c r="B784" s="2" t="s">
        <v>2349</v>
      </c>
      <c r="C784" s="2" t="s">
        <v>2350</v>
      </c>
      <c r="D784" s="2" t="s">
        <v>10041</v>
      </c>
      <c r="E784" s="15">
        <v>6.8199999999999997E-2</v>
      </c>
      <c r="F784" s="15">
        <v>9.8100000000000007E-2</v>
      </c>
      <c r="G784" s="15">
        <v>0.4869</v>
      </c>
      <c r="H784" s="15">
        <v>0.12740000000000001</v>
      </c>
      <c r="I784" s="15">
        <v>4.1399999999999999E-2</v>
      </c>
      <c r="J784" s="15">
        <v>3.077294685990339</v>
      </c>
    </row>
    <row r="785" spans="1:10" x14ac:dyDescent="0.25">
      <c r="A785" s="2" t="s">
        <v>2351</v>
      </c>
      <c r="B785" s="2" t="s">
        <v>2352</v>
      </c>
      <c r="C785" s="2" t="s">
        <v>2353</v>
      </c>
      <c r="D785" s="2" t="s">
        <v>10041</v>
      </c>
      <c r="E785" s="15">
        <v>-0.1532</v>
      </c>
      <c r="F785" s="15">
        <v>9.6600000000000005E-2</v>
      </c>
      <c r="G785" s="15">
        <v>0.1129</v>
      </c>
      <c r="H785" s="15">
        <v>0.1358</v>
      </c>
      <c r="I785" s="15">
        <v>4.5499999999999999E-2</v>
      </c>
      <c r="J785" s="15">
        <v>2.9846153846153851</v>
      </c>
    </row>
    <row r="786" spans="1:10" x14ac:dyDescent="0.25">
      <c r="A786" s="2" t="s">
        <v>2354</v>
      </c>
      <c r="B786" s="2" t="s">
        <v>2355</v>
      </c>
      <c r="C786" s="2" t="s">
        <v>2356</v>
      </c>
      <c r="D786" s="2" t="s">
        <v>10041</v>
      </c>
      <c r="E786" s="15">
        <v>-9.1200000000000003E-2</v>
      </c>
      <c r="F786" s="15">
        <v>8.8200000000000001E-2</v>
      </c>
      <c r="G786" s="15">
        <v>0.30120000000000002</v>
      </c>
      <c r="H786" s="15">
        <v>0.1885</v>
      </c>
      <c r="I786" s="15">
        <v>5.1299999999999998E-2</v>
      </c>
      <c r="J786" s="15">
        <v>3.674463937621832</v>
      </c>
    </row>
    <row r="787" spans="1:10" x14ac:dyDescent="0.25">
      <c r="A787" s="2" t="s">
        <v>2357</v>
      </c>
      <c r="B787" s="2" t="s">
        <v>2358</v>
      </c>
      <c r="C787" s="2" t="s">
        <v>2359</v>
      </c>
      <c r="D787" s="2" t="s">
        <v>10041</v>
      </c>
      <c r="E787" s="15">
        <v>-5.6000000000000001E-2</v>
      </c>
      <c r="F787" s="15">
        <v>9.64E-2</v>
      </c>
      <c r="G787" s="15">
        <v>0.56130000000000002</v>
      </c>
      <c r="H787" s="15">
        <v>0.185</v>
      </c>
      <c r="I787" s="15">
        <v>4.2799999999999998E-2</v>
      </c>
      <c r="J787" s="15">
        <v>4.3224299065420562</v>
      </c>
    </row>
    <row r="788" spans="1:10" x14ac:dyDescent="0.25">
      <c r="A788" s="2" t="s">
        <v>2360</v>
      </c>
      <c r="B788" s="2" t="s">
        <v>2361</v>
      </c>
      <c r="C788" s="2" t="s">
        <v>2362</v>
      </c>
      <c r="D788" s="2" t="s">
        <v>10041</v>
      </c>
      <c r="E788" s="15">
        <v>5.8200000000000002E-2</v>
      </c>
      <c r="F788" s="15">
        <v>7.7100000000000002E-2</v>
      </c>
      <c r="G788" s="15">
        <v>0.4506</v>
      </c>
      <c r="H788" s="15">
        <v>0.21729999999999999</v>
      </c>
      <c r="I788" s="15">
        <v>5.3600000000000002E-2</v>
      </c>
      <c r="J788" s="15">
        <v>4.0541044776119399</v>
      </c>
    </row>
    <row r="789" spans="1:10" x14ac:dyDescent="0.25">
      <c r="A789" s="2" t="s">
        <v>2363</v>
      </c>
      <c r="B789" s="2" t="s">
        <v>2364</v>
      </c>
      <c r="C789" s="2" t="s">
        <v>2365</v>
      </c>
      <c r="D789" s="2" t="s">
        <v>10041</v>
      </c>
      <c r="E789" s="15">
        <v>-0.14430000000000001</v>
      </c>
      <c r="F789" s="15">
        <v>0.1008</v>
      </c>
      <c r="G789" s="15">
        <v>0.15240000000000001</v>
      </c>
      <c r="H789" s="15">
        <v>0.16880000000000001</v>
      </c>
      <c r="I789" s="15">
        <v>4.9099999999999998E-2</v>
      </c>
      <c r="J789" s="15">
        <v>3.437881873727088</v>
      </c>
    </row>
    <row r="790" spans="1:10" x14ac:dyDescent="0.25">
      <c r="A790" s="2" t="s">
        <v>2366</v>
      </c>
      <c r="B790" s="2" t="s">
        <v>2367</v>
      </c>
      <c r="C790" s="2" t="s">
        <v>2368</v>
      </c>
      <c r="D790" s="2" t="s">
        <v>10041</v>
      </c>
      <c r="E790" s="15">
        <v>4.5400000000000003E-2</v>
      </c>
      <c r="F790" s="15">
        <v>7.6399999999999996E-2</v>
      </c>
      <c r="G790" s="15">
        <v>0.55259999999999998</v>
      </c>
      <c r="H790" s="15">
        <v>0.22070000000000001</v>
      </c>
      <c r="I790" s="15">
        <v>5.79E-2</v>
      </c>
      <c r="J790" s="15">
        <v>3.81174438687392</v>
      </c>
    </row>
    <row r="791" spans="1:10" x14ac:dyDescent="0.25">
      <c r="A791" s="2" t="s">
        <v>2369</v>
      </c>
      <c r="B791" s="2" t="s">
        <v>2370</v>
      </c>
      <c r="C791" s="2" t="s">
        <v>2371</v>
      </c>
      <c r="D791" s="2" t="s">
        <v>10041</v>
      </c>
      <c r="E791" s="15">
        <v>0.19339999999999999</v>
      </c>
      <c r="F791" s="15">
        <v>0.1736</v>
      </c>
      <c r="G791" s="15">
        <v>0.26519999999999999</v>
      </c>
      <c r="H791" s="15">
        <v>4.8000000000000001E-2</v>
      </c>
      <c r="I791" s="15">
        <v>4.0399999999999998E-2</v>
      </c>
      <c r="J791" s="15">
        <v>1.1881188118811881</v>
      </c>
    </row>
    <row r="792" spans="1:10" x14ac:dyDescent="0.25">
      <c r="A792" s="2" t="s">
        <v>2372</v>
      </c>
      <c r="B792" s="2" t="s">
        <v>2373</v>
      </c>
      <c r="C792" s="2" t="s">
        <v>2374</v>
      </c>
      <c r="D792" s="2" t="s">
        <v>10041</v>
      </c>
      <c r="E792" s="15">
        <v>0.23799999999999999</v>
      </c>
      <c r="F792" s="15">
        <v>0.1492</v>
      </c>
      <c r="G792" s="15">
        <v>0.11070000000000001</v>
      </c>
      <c r="H792" s="15">
        <v>6.9599999999999995E-2</v>
      </c>
      <c r="I792" s="15">
        <v>4.7399999999999998E-2</v>
      </c>
      <c r="J792" s="15">
        <v>1.4683544303797471</v>
      </c>
    </row>
    <row r="793" spans="1:10" x14ac:dyDescent="0.25">
      <c r="A793" s="2" t="s">
        <v>2375</v>
      </c>
      <c r="B793" s="2" t="s">
        <v>2376</v>
      </c>
      <c r="C793" s="2" t="s">
        <v>2377</v>
      </c>
      <c r="D793" s="2" t="s">
        <v>10041</v>
      </c>
      <c r="E793" s="15">
        <v>-2.8199999999999999E-2</v>
      </c>
      <c r="F793" s="15">
        <v>7.6700000000000004E-2</v>
      </c>
      <c r="G793" s="15">
        <v>0.71309999999999996</v>
      </c>
      <c r="H793" s="15">
        <v>0.26169999999999999</v>
      </c>
      <c r="I793" s="15">
        <v>5.8700000000000002E-2</v>
      </c>
      <c r="J793" s="15">
        <v>4.458262350936967</v>
      </c>
    </row>
    <row r="794" spans="1:10" x14ac:dyDescent="0.25">
      <c r="A794" s="2" t="s">
        <v>2378</v>
      </c>
      <c r="B794" s="2" t="s">
        <v>2379</v>
      </c>
      <c r="C794" s="2" t="s">
        <v>2380</v>
      </c>
      <c r="D794" s="2" t="s">
        <v>10041</v>
      </c>
      <c r="E794" s="15">
        <v>-3.5099999999999999E-2</v>
      </c>
      <c r="F794" s="15">
        <v>7.1900000000000006E-2</v>
      </c>
      <c r="G794" s="15">
        <v>0.62560000000000004</v>
      </c>
      <c r="H794" s="15">
        <v>0.28170000000000001</v>
      </c>
      <c r="I794" s="15">
        <v>5.5399999999999998E-2</v>
      </c>
      <c r="J794" s="15">
        <v>5.0848375451263541</v>
      </c>
    </row>
    <row r="795" spans="1:10" x14ac:dyDescent="0.25">
      <c r="A795" s="2" t="s">
        <v>2381</v>
      </c>
      <c r="B795" s="2" t="s">
        <v>2382</v>
      </c>
      <c r="C795" s="2" t="s">
        <v>2383</v>
      </c>
      <c r="D795" s="2" t="s">
        <v>10041</v>
      </c>
      <c r="E795" s="15">
        <v>3.9899999999999998E-2</v>
      </c>
      <c r="F795" s="15">
        <v>8.4099999999999994E-2</v>
      </c>
      <c r="G795" s="15">
        <v>0.63539999999999996</v>
      </c>
      <c r="H795" s="15">
        <v>0.20330000000000001</v>
      </c>
      <c r="I795" s="15">
        <v>4.6300000000000001E-2</v>
      </c>
      <c r="J795" s="15">
        <v>4.3909287257019436</v>
      </c>
    </row>
    <row r="796" spans="1:10" x14ac:dyDescent="0.25">
      <c r="A796" s="2" t="s">
        <v>2384</v>
      </c>
      <c r="B796" s="2" t="s">
        <v>2385</v>
      </c>
      <c r="C796" s="2" t="s">
        <v>2386</v>
      </c>
      <c r="D796" s="2" t="s">
        <v>10041</v>
      </c>
      <c r="E796" s="15">
        <v>6.4299999999999996E-2</v>
      </c>
      <c r="F796" s="15">
        <v>7.7499999999999999E-2</v>
      </c>
      <c r="G796" s="15">
        <v>0.40710000000000002</v>
      </c>
      <c r="H796" s="15">
        <v>0.1852</v>
      </c>
      <c r="I796" s="15">
        <v>4.4900000000000002E-2</v>
      </c>
      <c r="J796" s="15">
        <v>4.1247216035634739</v>
      </c>
    </row>
    <row r="797" spans="1:10" x14ac:dyDescent="0.25">
      <c r="A797" s="2" t="s">
        <v>2387</v>
      </c>
      <c r="B797" s="2" t="s">
        <v>2388</v>
      </c>
      <c r="C797" s="2" t="s">
        <v>2389</v>
      </c>
      <c r="D797" s="2" t="s">
        <v>10041</v>
      </c>
      <c r="E797" s="15">
        <v>0.1056</v>
      </c>
      <c r="F797" s="15">
        <v>6.8199999999999997E-2</v>
      </c>
      <c r="G797" s="15">
        <v>0.1216</v>
      </c>
      <c r="H797" s="15">
        <v>0.2472</v>
      </c>
      <c r="I797" s="15">
        <v>4.8599999999999997E-2</v>
      </c>
      <c r="J797" s="15">
        <v>5.0864197530864201</v>
      </c>
    </row>
    <row r="798" spans="1:10" x14ac:dyDescent="0.25">
      <c r="A798" s="2" t="s">
        <v>2390</v>
      </c>
      <c r="B798" s="2" t="s">
        <v>2391</v>
      </c>
      <c r="C798" s="2" t="s">
        <v>2392</v>
      </c>
      <c r="D798" s="2" t="s">
        <v>10041</v>
      </c>
      <c r="E798" s="15">
        <v>-0.1017</v>
      </c>
      <c r="F798" s="15">
        <v>0.09</v>
      </c>
      <c r="G798" s="15">
        <v>0.25850000000000001</v>
      </c>
      <c r="H798" s="15">
        <v>0.1638</v>
      </c>
      <c r="I798" s="15">
        <v>4.8500000000000001E-2</v>
      </c>
      <c r="J798" s="15">
        <v>3.377319587628866</v>
      </c>
    </row>
    <row r="799" spans="1:10" x14ac:dyDescent="0.25">
      <c r="A799" s="2" t="s">
        <v>2393</v>
      </c>
      <c r="B799" s="2" t="s">
        <v>2394</v>
      </c>
      <c r="C799" s="2" t="s">
        <v>2395</v>
      </c>
      <c r="D799" s="2" t="s">
        <v>10041</v>
      </c>
      <c r="E799" s="15">
        <v>-0.23630000000000001</v>
      </c>
      <c r="F799" s="15">
        <v>0.16520000000000001</v>
      </c>
      <c r="G799" s="15">
        <v>0.1525</v>
      </c>
      <c r="H799" s="15">
        <v>7.0300000000000001E-2</v>
      </c>
      <c r="I799" s="15">
        <v>4.3999999999999997E-2</v>
      </c>
      <c r="J799" s="15">
        <v>1.5977272727272731</v>
      </c>
    </row>
    <row r="800" spans="1:10" x14ac:dyDescent="0.25">
      <c r="A800" s="2" t="s">
        <v>2396</v>
      </c>
      <c r="B800" s="2" t="s">
        <v>2397</v>
      </c>
      <c r="C800" s="2" t="s">
        <v>2398</v>
      </c>
      <c r="D800" s="2" t="s">
        <v>10041</v>
      </c>
      <c r="E800" s="15">
        <v>-5.4800000000000001E-2</v>
      </c>
      <c r="F800" s="15">
        <v>9.3700000000000006E-2</v>
      </c>
      <c r="G800" s="15">
        <v>0.55879999999999996</v>
      </c>
      <c r="H800" s="15">
        <v>0.1628</v>
      </c>
      <c r="I800" s="15">
        <v>5.16E-2</v>
      </c>
      <c r="J800" s="15">
        <v>3.1550387596899219</v>
      </c>
    </row>
    <row r="801" spans="1:10" x14ac:dyDescent="0.25">
      <c r="A801" s="2" t="s">
        <v>2399</v>
      </c>
      <c r="B801" s="2" t="s">
        <v>2400</v>
      </c>
      <c r="C801" s="2" t="s">
        <v>2401</v>
      </c>
      <c r="D801" s="2" t="s">
        <v>10041</v>
      </c>
      <c r="E801" s="15">
        <v>-1.9099999999999999E-2</v>
      </c>
      <c r="F801" s="15">
        <v>8.8499999999999995E-2</v>
      </c>
      <c r="G801" s="15">
        <v>0.82879999999999998</v>
      </c>
      <c r="H801" s="15">
        <v>0.18920000000000001</v>
      </c>
      <c r="I801" s="15">
        <v>5.3800000000000001E-2</v>
      </c>
      <c r="J801" s="15">
        <v>3.516728624535316</v>
      </c>
    </row>
    <row r="802" spans="1:10" x14ac:dyDescent="0.25">
      <c r="A802" s="2" t="s">
        <v>2402</v>
      </c>
      <c r="B802" s="2" t="s">
        <v>2403</v>
      </c>
      <c r="C802" s="2" t="s">
        <v>2404</v>
      </c>
      <c r="D802" s="2" t="s">
        <v>10041</v>
      </c>
      <c r="E802" s="15">
        <v>7.9799999999999996E-2</v>
      </c>
      <c r="F802" s="15">
        <v>8.1600000000000006E-2</v>
      </c>
      <c r="G802" s="15">
        <v>0.3281</v>
      </c>
      <c r="H802" s="15">
        <v>0.22589999999999999</v>
      </c>
      <c r="I802" s="15">
        <v>6.59E-2</v>
      </c>
      <c r="J802" s="15">
        <v>3.4279210925644921</v>
      </c>
    </row>
    <row r="803" spans="1:10" x14ac:dyDescent="0.25">
      <c r="A803" s="2" t="s">
        <v>2405</v>
      </c>
      <c r="B803" s="2" t="s">
        <v>2406</v>
      </c>
      <c r="C803" s="2" t="s">
        <v>2407</v>
      </c>
      <c r="D803" s="2" t="s">
        <v>10041</v>
      </c>
      <c r="E803" s="15">
        <v>-4.8999999999999998E-3</v>
      </c>
      <c r="F803" s="15">
        <v>8.2500000000000004E-2</v>
      </c>
      <c r="G803" s="15">
        <v>0.95220000000000005</v>
      </c>
      <c r="H803" s="15">
        <v>0.19689999999999999</v>
      </c>
      <c r="I803" s="15">
        <v>5.2299999999999999E-2</v>
      </c>
      <c r="J803" s="15">
        <v>3.7648183556405348</v>
      </c>
    </row>
    <row r="804" spans="1:10" x14ac:dyDescent="0.25">
      <c r="A804" s="2" t="s">
        <v>2408</v>
      </c>
      <c r="B804" s="2" t="s">
        <v>2409</v>
      </c>
      <c r="C804" s="2" t="s">
        <v>2410</v>
      </c>
      <c r="D804" s="2" t="s">
        <v>10041</v>
      </c>
      <c r="E804" s="15">
        <v>0.20380000000000001</v>
      </c>
      <c r="F804" s="15">
        <v>8.4699999999999998E-2</v>
      </c>
      <c r="G804" s="15">
        <v>1.6199999999999999E-2</v>
      </c>
      <c r="H804" s="15">
        <v>0.2172</v>
      </c>
      <c r="I804" s="15">
        <v>5.9799999999999999E-2</v>
      </c>
      <c r="J804" s="15">
        <v>3.632107023411371</v>
      </c>
    </row>
    <row r="805" spans="1:10" x14ac:dyDescent="0.25">
      <c r="A805" s="2" t="s">
        <v>2411</v>
      </c>
      <c r="B805" s="2" t="s">
        <v>2412</v>
      </c>
      <c r="C805" s="2" t="s">
        <v>2413</v>
      </c>
      <c r="D805" s="2" t="s">
        <v>10041</v>
      </c>
      <c r="E805" s="15">
        <v>-5.2999999999999999E-2</v>
      </c>
      <c r="F805" s="15">
        <v>0.1198</v>
      </c>
      <c r="G805" s="15">
        <v>0.65790000000000004</v>
      </c>
      <c r="H805" s="15">
        <v>7.9299999999999995E-2</v>
      </c>
      <c r="I805" s="15">
        <v>4.1200000000000001E-2</v>
      </c>
      <c r="J805" s="15">
        <v>1.924757281553398</v>
      </c>
    </row>
    <row r="806" spans="1:10" x14ac:dyDescent="0.25">
      <c r="A806" s="2" t="s">
        <v>2414</v>
      </c>
      <c r="B806" s="2" t="s">
        <v>2415</v>
      </c>
      <c r="C806" s="2" t="s">
        <v>2416</v>
      </c>
      <c r="D806" s="2" t="s">
        <v>10041</v>
      </c>
      <c r="E806" s="15">
        <v>9.3899999999999997E-2</v>
      </c>
      <c r="F806" s="15">
        <v>8.6300000000000002E-2</v>
      </c>
      <c r="G806" s="15">
        <v>0.27660000000000001</v>
      </c>
      <c r="H806" s="15">
        <v>0.1462</v>
      </c>
      <c r="I806" s="15">
        <v>4.36E-2</v>
      </c>
      <c r="J806" s="15">
        <v>3.3532110091743119</v>
      </c>
    </row>
    <row r="807" spans="1:10" x14ac:dyDescent="0.25">
      <c r="A807" s="2" t="s">
        <v>2417</v>
      </c>
      <c r="B807" s="2" t="s">
        <v>2418</v>
      </c>
      <c r="C807" s="2" t="s">
        <v>2419</v>
      </c>
      <c r="D807" s="2" t="s">
        <v>10041</v>
      </c>
      <c r="E807" s="15">
        <v>-7.0000000000000001E-3</v>
      </c>
      <c r="F807" s="15">
        <v>7.0400000000000004E-2</v>
      </c>
      <c r="G807" s="15">
        <v>0.9204</v>
      </c>
      <c r="H807" s="15">
        <v>0.2888</v>
      </c>
      <c r="I807" s="15">
        <v>6.1699999999999998E-2</v>
      </c>
      <c r="J807" s="15">
        <v>4.6807131280388976</v>
      </c>
    </row>
    <row r="808" spans="1:10" x14ac:dyDescent="0.25">
      <c r="A808" s="2" t="s">
        <v>2420</v>
      </c>
      <c r="B808" s="2" t="s">
        <v>2421</v>
      </c>
      <c r="C808" s="2" t="s">
        <v>2422</v>
      </c>
      <c r="D808" s="2" t="s">
        <v>10041</v>
      </c>
      <c r="E808" s="15">
        <v>-4.7699999999999999E-2</v>
      </c>
      <c r="F808" s="15">
        <v>7.0999999999999994E-2</v>
      </c>
      <c r="G808" s="15">
        <v>0.50219999999999998</v>
      </c>
      <c r="H808" s="15">
        <v>0.2681</v>
      </c>
      <c r="I808" s="15">
        <v>5.2299999999999999E-2</v>
      </c>
      <c r="J808" s="15">
        <v>5.1261950286806881</v>
      </c>
    </row>
    <row r="809" spans="1:10" x14ac:dyDescent="0.25">
      <c r="A809" s="2" t="s">
        <v>2423</v>
      </c>
      <c r="B809" s="2" t="s">
        <v>2424</v>
      </c>
      <c r="C809" s="2" t="s">
        <v>2425</v>
      </c>
      <c r="D809" s="2" t="s">
        <v>10041</v>
      </c>
      <c r="E809" s="15">
        <v>-8.5900000000000004E-2</v>
      </c>
      <c r="F809" s="15">
        <v>9.7699999999999995E-2</v>
      </c>
      <c r="G809" s="15">
        <v>0.37919999999999998</v>
      </c>
      <c r="H809" s="15">
        <v>0.1542</v>
      </c>
      <c r="I809" s="15">
        <v>4.2000000000000003E-2</v>
      </c>
      <c r="J809" s="15">
        <v>3.6714285714285708</v>
      </c>
    </row>
    <row r="810" spans="1:10" x14ac:dyDescent="0.25">
      <c r="A810" s="2" t="s">
        <v>2426</v>
      </c>
      <c r="B810" s="2" t="s">
        <v>2427</v>
      </c>
      <c r="C810" s="2" t="s">
        <v>2428</v>
      </c>
      <c r="D810" s="2" t="s">
        <v>10041</v>
      </c>
      <c r="E810" s="15">
        <v>0.1099</v>
      </c>
      <c r="F810" s="15">
        <v>9.0700000000000003E-2</v>
      </c>
      <c r="G810" s="15">
        <v>0.22570000000000001</v>
      </c>
      <c r="H810" s="15">
        <v>0.14549999999999999</v>
      </c>
      <c r="I810" s="15">
        <v>4.4299999999999999E-2</v>
      </c>
      <c r="J810" s="15">
        <v>3.284424379232505</v>
      </c>
    </row>
    <row r="811" spans="1:10" x14ac:dyDescent="0.25">
      <c r="A811" s="2" t="s">
        <v>2429</v>
      </c>
      <c r="B811" s="2" t="s">
        <v>2430</v>
      </c>
      <c r="C811" s="2" t="s">
        <v>2431</v>
      </c>
      <c r="D811" s="2" t="s">
        <v>10041</v>
      </c>
      <c r="E811" s="15">
        <v>0.2366</v>
      </c>
      <c r="F811" s="15">
        <v>0.1119</v>
      </c>
      <c r="G811" s="15">
        <v>3.4500000000000003E-2</v>
      </c>
      <c r="H811" s="15">
        <v>0.11020000000000001</v>
      </c>
      <c r="I811" s="15">
        <v>4.4499999999999998E-2</v>
      </c>
      <c r="J811" s="15">
        <v>2.4764044943820229</v>
      </c>
    </row>
    <row r="812" spans="1:10" x14ac:dyDescent="0.25">
      <c r="A812" s="2" t="s">
        <v>2432</v>
      </c>
      <c r="B812" s="2" t="s">
        <v>2433</v>
      </c>
      <c r="C812" s="2" t="s">
        <v>2434</v>
      </c>
      <c r="D812" s="2" t="s">
        <v>10041</v>
      </c>
      <c r="E812" s="15">
        <v>-2.0199999999999999E-2</v>
      </c>
      <c r="F812" s="15">
        <v>8.2799999999999999E-2</v>
      </c>
      <c r="G812" s="15">
        <v>0.80679999999999996</v>
      </c>
      <c r="H812" s="15">
        <v>0.192</v>
      </c>
      <c r="I812" s="15">
        <v>5.5500000000000001E-2</v>
      </c>
      <c r="J812" s="15">
        <v>3.4594594594594601</v>
      </c>
    </row>
    <row r="813" spans="1:10" x14ac:dyDescent="0.25">
      <c r="A813" s="2" t="s">
        <v>2435</v>
      </c>
      <c r="B813" s="2" t="s">
        <v>2436</v>
      </c>
      <c r="C813" s="2" t="s">
        <v>2437</v>
      </c>
      <c r="D813" s="2" t="s">
        <v>10041</v>
      </c>
      <c r="E813" s="15">
        <v>-3.09E-2</v>
      </c>
      <c r="F813" s="15">
        <v>9.7799999999999998E-2</v>
      </c>
      <c r="G813" s="15">
        <v>0.75209999999999999</v>
      </c>
      <c r="H813" s="15">
        <v>0.1507</v>
      </c>
      <c r="I813" s="15">
        <v>0.05</v>
      </c>
      <c r="J813" s="15">
        <v>3.0139999999999998</v>
      </c>
    </row>
    <row r="814" spans="1:10" x14ac:dyDescent="0.25">
      <c r="A814" s="2" t="s">
        <v>2438</v>
      </c>
      <c r="B814" s="2" t="s">
        <v>2439</v>
      </c>
      <c r="C814" s="2" t="s">
        <v>2440</v>
      </c>
      <c r="D814" s="2" t="s">
        <v>10041</v>
      </c>
      <c r="E814" s="15">
        <v>5.33E-2</v>
      </c>
      <c r="F814" s="15">
        <v>8.2199999999999995E-2</v>
      </c>
      <c r="G814" s="15">
        <v>0.51700000000000002</v>
      </c>
      <c r="H814" s="15">
        <v>0.2114</v>
      </c>
      <c r="I814" s="15">
        <v>4.6800000000000001E-2</v>
      </c>
      <c r="J814" s="15">
        <v>4.517094017094017</v>
      </c>
    </row>
    <row r="815" spans="1:10" x14ac:dyDescent="0.25">
      <c r="A815" s="2" t="s">
        <v>2441</v>
      </c>
      <c r="B815" s="2" t="s">
        <v>2442</v>
      </c>
      <c r="C815" s="2" t="s">
        <v>2443</v>
      </c>
      <c r="D815" s="2" t="s">
        <v>10041</v>
      </c>
      <c r="E815" s="15">
        <v>4.2799999999999998E-2</v>
      </c>
      <c r="F815" s="15">
        <v>7.22E-2</v>
      </c>
      <c r="G815" s="15">
        <v>0.55259999999999998</v>
      </c>
      <c r="H815" s="15">
        <v>0.1963</v>
      </c>
      <c r="I815" s="15">
        <v>4.7300000000000002E-2</v>
      </c>
      <c r="J815" s="15">
        <v>4.1501057082452428</v>
      </c>
    </row>
    <row r="816" spans="1:10" x14ac:dyDescent="0.25">
      <c r="A816" s="2" t="s">
        <v>2444</v>
      </c>
      <c r="B816" s="2" t="s">
        <v>2445</v>
      </c>
      <c r="C816" s="2" t="s">
        <v>2446</v>
      </c>
      <c r="D816" s="2" t="s">
        <v>10041</v>
      </c>
      <c r="E816" s="15">
        <v>-3.73E-2</v>
      </c>
      <c r="F816" s="15">
        <v>0.106</v>
      </c>
      <c r="G816" s="15">
        <v>0.7248</v>
      </c>
      <c r="H816" s="15">
        <v>0.1057</v>
      </c>
      <c r="I816" s="15">
        <v>4.5199999999999997E-2</v>
      </c>
      <c r="J816" s="15">
        <v>2.3384955752212391</v>
      </c>
    </row>
    <row r="817" spans="1:10" x14ac:dyDescent="0.25">
      <c r="A817" s="2" t="s">
        <v>2447</v>
      </c>
      <c r="B817" s="2" t="s">
        <v>2448</v>
      </c>
      <c r="C817" s="2" t="s">
        <v>2449</v>
      </c>
      <c r="D817" s="2" t="s">
        <v>10041</v>
      </c>
      <c r="E817" s="15">
        <v>7.4899999999999994E-2</v>
      </c>
      <c r="F817" s="15">
        <v>8.3099999999999993E-2</v>
      </c>
      <c r="G817" s="15">
        <v>0.36699999999999999</v>
      </c>
      <c r="H817" s="15">
        <v>0.2084</v>
      </c>
      <c r="I817" s="15">
        <v>4.2700000000000002E-2</v>
      </c>
      <c r="J817" s="15">
        <v>4.8805620608899298</v>
      </c>
    </row>
    <row r="818" spans="1:10" x14ac:dyDescent="0.25">
      <c r="A818" s="2" t="s">
        <v>2450</v>
      </c>
      <c r="B818" s="2" t="s">
        <v>2451</v>
      </c>
      <c r="C818" s="2" t="s">
        <v>2452</v>
      </c>
      <c r="D818" s="2" t="s">
        <v>10041</v>
      </c>
      <c r="E818" s="15">
        <v>9.0200000000000002E-2</v>
      </c>
      <c r="F818" s="15">
        <v>7.4399999999999994E-2</v>
      </c>
      <c r="G818" s="15">
        <v>0.22520000000000001</v>
      </c>
      <c r="H818" s="15">
        <v>0.25190000000000001</v>
      </c>
      <c r="I818" s="15">
        <v>4.7899999999999998E-2</v>
      </c>
      <c r="J818" s="15">
        <v>5.2588726513569943</v>
      </c>
    </row>
    <row r="819" spans="1:10" x14ac:dyDescent="0.25">
      <c r="A819" s="2" t="s">
        <v>2453</v>
      </c>
      <c r="B819" s="2" t="s">
        <v>2454</v>
      </c>
      <c r="C819" s="2" t="s">
        <v>2455</v>
      </c>
      <c r="D819" s="2" t="s">
        <v>10041</v>
      </c>
      <c r="E819" s="15">
        <v>3.2899999999999999E-2</v>
      </c>
      <c r="F819" s="15">
        <v>6.7299999999999999E-2</v>
      </c>
      <c r="G819" s="15">
        <v>0.62480000000000002</v>
      </c>
      <c r="H819" s="15">
        <v>0.26679999999999998</v>
      </c>
      <c r="I819" s="15">
        <v>5.0900000000000001E-2</v>
      </c>
      <c r="J819" s="15">
        <v>5.2416502946954813</v>
      </c>
    </row>
    <row r="820" spans="1:10" x14ac:dyDescent="0.25">
      <c r="A820" s="2" t="s">
        <v>2456</v>
      </c>
      <c r="B820" s="2" t="s">
        <v>2457</v>
      </c>
      <c r="C820" s="2" t="s">
        <v>2458</v>
      </c>
      <c r="D820" s="2" t="s">
        <v>10041</v>
      </c>
      <c r="E820" s="15">
        <v>2.3999999999999998E-3</v>
      </c>
      <c r="F820" s="15">
        <v>7.9399999999999998E-2</v>
      </c>
      <c r="G820" s="15">
        <v>0.97640000000000005</v>
      </c>
      <c r="H820" s="15">
        <v>0.21690000000000001</v>
      </c>
      <c r="I820" s="15">
        <v>4.5499999999999999E-2</v>
      </c>
      <c r="J820" s="15">
        <v>4.767032967032967</v>
      </c>
    </row>
    <row r="821" spans="1:10" x14ac:dyDescent="0.25">
      <c r="A821" s="2" t="s">
        <v>2459</v>
      </c>
      <c r="B821" s="2" t="s">
        <v>2460</v>
      </c>
      <c r="C821" s="2" t="s">
        <v>2461</v>
      </c>
      <c r="D821" s="2" t="s">
        <v>10041</v>
      </c>
      <c r="E821" s="15">
        <v>0.1235</v>
      </c>
      <c r="F821" s="15">
        <v>6.7799999999999999E-2</v>
      </c>
      <c r="G821" s="15">
        <v>6.8400000000000002E-2</v>
      </c>
      <c r="H821" s="15">
        <v>0.2495</v>
      </c>
      <c r="I821" s="15">
        <v>5.3499999999999999E-2</v>
      </c>
      <c r="J821" s="15">
        <v>4.6635514018691593</v>
      </c>
    </row>
    <row r="822" spans="1:10" x14ac:dyDescent="0.25">
      <c r="A822" s="2" t="s">
        <v>2462</v>
      </c>
      <c r="B822" s="2" t="s">
        <v>2463</v>
      </c>
      <c r="C822" s="2" t="s">
        <v>2464</v>
      </c>
      <c r="D822" s="2" t="s">
        <v>10041</v>
      </c>
      <c r="E822" s="15">
        <v>-6.8599999999999994E-2</v>
      </c>
      <c r="F822" s="15">
        <v>7.4899999999999994E-2</v>
      </c>
      <c r="G822" s="15">
        <v>0.3594</v>
      </c>
      <c r="H822" s="15">
        <v>0.2387</v>
      </c>
      <c r="I822" s="15">
        <v>5.9900000000000002E-2</v>
      </c>
      <c r="J822" s="15">
        <v>3.984974958263773</v>
      </c>
    </row>
    <row r="823" spans="1:10" x14ac:dyDescent="0.25">
      <c r="A823" s="2" t="s">
        <v>2465</v>
      </c>
      <c r="B823" s="2" t="s">
        <v>2466</v>
      </c>
      <c r="C823" s="2" t="s">
        <v>2467</v>
      </c>
      <c r="D823" s="2" t="s">
        <v>10041</v>
      </c>
      <c r="E823" s="15">
        <v>3.4700000000000002E-2</v>
      </c>
      <c r="F823" s="15">
        <v>0.11070000000000001</v>
      </c>
      <c r="G823" s="15">
        <v>0.75380000000000003</v>
      </c>
      <c r="H823" s="15">
        <v>0.1187</v>
      </c>
      <c r="I823" s="15">
        <v>4.5100000000000001E-2</v>
      </c>
      <c r="J823" s="15">
        <v>2.6319290465631928</v>
      </c>
    </row>
    <row r="824" spans="1:10" x14ac:dyDescent="0.25">
      <c r="A824" s="2" t="s">
        <v>2468</v>
      </c>
      <c r="B824" s="2" t="s">
        <v>2469</v>
      </c>
      <c r="C824" s="2" t="s">
        <v>2470</v>
      </c>
      <c r="D824" s="2" t="s">
        <v>10041</v>
      </c>
      <c r="E824" s="15">
        <v>3.1600000000000003E-2</v>
      </c>
      <c r="F824" s="15">
        <v>9.0399999999999994E-2</v>
      </c>
      <c r="G824" s="15">
        <v>0.72629999999999995</v>
      </c>
      <c r="H824" s="15">
        <v>0.1956</v>
      </c>
      <c r="I824" s="15">
        <v>4.6300000000000001E-2</v>
      </c>
      <c r="J824" s="15">
        <v>4.2246220302375814</v>
      </c>
    </row>
    <row r="825" spans="1:10" x14ac:dyDescent="0.25">
      <c r="A825" s="2" t="s">
        <v>2471</v>
      </c>
      <c r="B825" s="2" t="s">
        <v>2472</v>
      </c>
      <c r="C825" s="2" t="s">
        <v>2473</v>
      </c>
      <c r="D825" s="2" t="s">
        <v>10041</v>
      </c>
      <c r="E825" s="15">
        <v>0.14099999999999999</v>
      </c>
      <c r="F825" s="15">
        <v>0.10290000000000001</v>
      </c>
      <c r="G825" s="15">
        <v>0.17050000000000001</v>
      </c>
      <c r="H825" s="15">
        <v>0.1229</v>
      </c>
      <c r="I825" s="15">
        <v>4.8300000000000003E-2</v>
      </c>
      <c r="J825" s="15">
        <v>2.5445134575569361</v>
      </c>
    </row>
    <row r="826" spans="1:10" x14ac:dyDescent="0.25">
      <c r="A826" s="2" t="s">
        <v>2474</v>
      </c>
      <c r="B826" s="2" t="s">
        <v>2475</v>
      </c>
      <c r="C826" s="2" t="s">
        <v>2476</v>
      </c>
      <c r="D826" s="2" t="s">
        <v>10041</v>
      </c>
      <c r="E826" s="15">
        <v>0.13619999999999999</v>
      </c>
      <c r="F826" s="15">
        <v>7.2300000000000003E-2</v>
      </c>
      <c r="G826" s="15">
        <v>5.9400000000000001E-2</v>
      </c>
      <c r="H826" s="15">
        <v>0.22739999999999999</v>
      </c>
      <c r="I826" s="15">
        <v>4.9799999999999997E-2</v>
      </c>
      <c r="J826" s="15">
        <v>4.5662650602409638</v>
      </c>
    </row>
    <row r="827" spans="1:10" x14ac:dyDescent="0.25">
      <c r="A827" s="2" t="s">
        <v>2477</v>
      </c>
      <c r="B827" s="2" t="s">
        <v>2478</v>
      </c>
      <c r="C827" s="2" t="s">
        <v>2479</v>
      </c>
      <c r="D827" s="2" t="s">
        <v>10041</v>
      </c>
      <c r="E827" s="15">
        <v>0.2056</v>
      </c>
      <c r="F827" s="15">
        <v>0.1258</v>
      </c>
      <c r="G827" s="15">
        <v>0.1022</v>
      </c>
      <c r="H827" s="15">
        <v>8.6599999999999996E-2</v>
      </c>
      <c r="I827" s="15">
        <v>4.7100000000000003E-2</v>
      </c>
      <c r="J827" s="15">
        <v>1.8386411889596599</v>
      </c>
    </row>
    <row r="828" spans="1:10" x14ac:dyDescent="0.25">
      <c r="A828" s="2" t="s">
        <v>2480</v>
      </c>
      <c r="B828" s="2" t="s">
        <v>2481</v>
      </c>
      <c r="C828" s="2" t="s">
        <v>2482</v>
      </c>
      <c r="D828" s="2" t="s">
        <v>10041</v>
      </c>
      <c r="E828" s="15">
        <v>0.24679999999999999</v>
      </c>
      <c r="F828" s="15">
        <v>9.0300000000000005E-2</v>
      </c>
      <c r="G828" s="15">
        <v>6.3E-3</v>
      </c>
      <c r="H828" s="15">
        <v>0.1686</v>
      </c>
      <c r="I828" s="15">
        <v>4.99E-2</v>
      </c>
      <c r="J828" s="15">
        <v>3.3787575150300602</v>
      </c>
    </row>
    <row r="829" spans="1:10" x14ac:dyDescent="0.25">
      <c r="A829" s="2" t="s">
        <v>2483</v>
      </c>
      <c r="B829" s="2" t="s">
        <v>2484</v>
      </c>
      <c r="C829" s="2" t="s">
        <v>2485</v>
      </c>
      <c r="D829" s="2" t="s">
        <v>10041</v>
      </c>
      <c r="E829" s="15">
        <v>0.25130000000000002</v>
      </c>
      <c r="F829" s="15">
        <v>0.13200000000000001</v>
      </c>
      <c r="G829" s="15">
        <v>5.6899999999999999E-2</v>
      </c>
      <c r="H829" s="15">
        <v>8.5699999999999998E-2</v>
      </c>
      <c r="I829" s="15">
        <v>4.8500000000000001E-2</v>
      </c>
      <c r="J829" s="15">
        <v>1.76701030927835</v>
      </c>
    </row>
    <row r="830" spans="1:10" x14ac:dyDescent="0.25">
      <c r="A830" s="2" t="s">
        <v>2486</v>
      </c>
      <c r="B830" s="2" t="s">
        <v>2487</v>
      </c>
      <c r="C830" s="2" t="s">
        <v>2488</v>
      </c>
      <c r="D830" s="2" t="s">
        <v>10041</v>
      </c>
      <c r="E830" s="15">
        <v>-2.7799999999999998E-2</v>
      </c>
      <c r="F830" s="15">
        <v>7.6799999999999993E-2</v>
      </c>
      <c r="G830" s="15">
        <v>0.71760000000000002</v>
      </c>
      <c r="H830" s="15">
        <v>0.26050000000000001</v>
      </c>
      <c r="I830" s="15">
        <v>5.9400000000000001E-2</v>
      </c>
      <c r="J830" s="15">
        <v>4.3855218855218858</v>
      </c>
    </row>
    <row r="831" spans="1:10" x14ac:dyDescent="0.25">
      <c r="A831" s="2" t="s">
        <v>2489</v>
      </c>
      <c r="B831" s="2" t="s">
        <v>2490</v>
      </c>
      <c r="C831" s="2" t="s">
        <v>2491</v>
      </c>
      <c r="D831" s="2" t="s">
        <v>10041</v>
      </c>
      <c r="E831" s="15">
        <v>-4.7100000000000003E-2</v>
      </c>
      <c r="F831" s="15">
        <v>0.10059999999999999</v>
      </c>
      <c r="G831" s="15">
        <v>0.63980000000000004</v>
      </c>
      <c r="H831" s="15">
        <v>0.13930000000000001</v>
      </c>
      <c r="I831" s="15">
        <v>3.95E-2</v>
      </c>
      <c r="J831" s="15">
        <v>3.5265822784810128</v>
      </c>
    </row>
    <row r="832" spans="1:10" x14ac:dyDescent="0.25">
      <c r="A832" s="2" t="s">
        <v>2492</v>
      </c>
      <c r="B832" s="2" t="s">
        <v>2493</v>
      </c>
      <c r="C832" s="2" t="s">
        <v>2494</v>
      </c>
      <c r="D832" s="2" t="s">
        <v>10041</v>
      </c>
      <c r="E832" s="15">
        <v>1.83E-2</v>
      </c>
      <c r="F832" s="15">
        <v>9.5299999999999996E-2</v>
      </c>
      <c r="G832" s="15">
        <v>0.84730000000000005</v>
      </c>
      <c r="H832" s="15">
        <v>0.14610000000000001</v>
      </c>
      <c r="I832" s="15">
        <v>9.1200000000000003E-2</v>
      </c>
      <c r="J832" s="15">
        <v>1.6019736842105261</v>
      </c>
    </row>
    <row r="833" spans="1:10" x14ac:dyDescent="0.25">
      <c r="A833" s="2" t="s">
        <v>2495</v>
      </c>
      <c r="B833" s="2" t="s">
        <v>2496</v>
      </c>
      <c r="C833" s="2" t="s">
        <v>2497</v>
      </c>
      <c r="D833" s="2" t="s">
        <v>10041</v>
      </c>
      <c r="E833" s="15">
        <v>-8.3299999999999999E-2</v>
      </c>
      <c r="F833" s="15">
        <v>9.11E-2</v>
      </c>
      <c r="G833" s="15">
        <v>0.36030000000000001</v>
      </c>
      <c r="H833" s="15">
        <v>0.16700000000000001</v>
      </c>
      <c r="I833" s="15">
        <v>5.1499999999999997E-2</v>
      </c>
      <c r="J833" s="15">
        <v>3.2427184466019421</v>
      </c>
    </row>
    <row r="834" spans="1:10" x14ac:dyDescent="0.25">
      <c r="A834" s="2" t="s">
        <v>2498</v>
      </c>
      <c r="B834" s="2" t="s">
        <v>2499</v>
      </c>
      <c r="C834" s="2" t="s">
        <v>2500</v>
      </c>
      <c r="D834" s="2" t="s">
        <v>10041</v>
      </c>
      <c r="E834" s="15">
        <v>0.11600000000000001</v>
      </c>
      <c r="F834" s="15">
        <v>9.0700000000000003E-2</v>
      </c>
      <c r="G834" s="15">
        <v>0.20119999999999999</v>
      </c>
      <c r="H834" s="15">
        <v>0.1762</v>
      </c>
      <c r="I834" s="15">
        <v>4.5499999999999999E-2</v>
      </c>
      <c r="J834" s="15">
        <v>3.872527472527473</v>
      </c>
    </row>
    <row r="835" spans="1:10" x14ac:dyDescent="0.25">
      <c r="A835" s="2" t="s">
        <v>2501</v>
      </c>
      <c r="B835" s="2" t="s">
        <v>2502</v>
      </c>
      <c r="C835" s="2" t="s">
        <v>2503</v>
      </c>
      <c r="D835" s="2" t="s">
        <v>10041</v>
      </c>
      <c r="E835" s="15">
        <v>-4.5100000000000001E-2</v>
      </c>
      <c r="F835" s="15">
        <v>0.1045</v>
      </c>
      <c r="G835" s="15">
        <v>0.66620000000000001</v>
      </c>
      <c r="H835" s="15">
        <v>0.14990000000000001</v>
      </c>
      <c r="I835" s="15">
        <v>0.05</v>
      </c>
      <c r="J835" s="15">
        <v>2.9980000000000002</v>
      </c>
    </row>
    <row r="836" spans="1:10" x14ac:dyDescent="0.25">
      <c r="A836" s="2" t="s">
        <v>2504</v>
      </c>
      <c r="B836" s="2" t="s">
        <v>2505</v>
      </c>
      <c r="C836" s="2" t="s">
        <v>2506</v>
      </c>
      <c r="D836" s="2" t="s">
        <v>10041</v>
      </c>
      <c r="E836" s="15">
        <v>9.0499999999999997E-2</v>
      </c>
      <c r="F836" s="15">
        <v>8.8999999999999996E-2</v>
      </c>
      <c r="G836" s="15">
        <v>0.30930000000000002</v>
      </c>
      <c r="H836" s="15">
        <v>0.18149999999999999</v>
      </c>
      <c r="I836" s="15">
        <v>4.4999999999999998E-2</v>
      </c>
      <c r="J836" s="15">
        <v>4.0333333333333332</v>
      </c>
    </row>
    <row r="837" spans="1:10" x14ac:dyDescent="0.25">
      <c r="A837" s="2" t="s">
        <v>2507</v>
      </c>
      <c r="B837" s="2" t="s">
        <v>2508</v>
      </c>
      <c r="C837" s="2" t="s">
        <v>2509</v>
      </c>
      <c r="D837" s="2" t="s">
        <v>10041</v>
      </c>
      <c r="E837" s="15">
        <v>0.13969999999999999</v>
      </c>
      <c r="F837" s="15">
        <v>8.14E-2</v>
      </c>
      <c r="G837" s="15">
        <v>8.5999999999999993E-2</v>
      </c>
      <c r="H837" s="15">
        <v>0.2049</v>
      </c>
      <c r="I837" s="15">
        <v>4.3999999999999997E-2</v>
      </c>
      <c r="J837" s="15">
        <v>4.6568181818181822</v>
      </c>
    </row>
    <row r="838" spans="1:10" x14ac:dyDescent="0.25">
      <c r="A838" s="2" t="s">
        <v>2510</v>
      </c>
      <c r="B838" s="2" t="s">
        <v>2511</v>
      </c>
      <c r="C838" s="2" t="s">
        <v>2512</v>
      </c>
      <c r="D838" s="2" t="s">
        <v>10041</v>
      </c>
      <c r="E838" s="15">
        <v>-7.3200000000000001E-2</v>
      </c>
      <c r="F838" s="15">
        <v>9.3299999999999994E-2</v>
      </c>
      <c r="G838" s="15">
        <v>0.43269999999999997</v>
      </c>
      <c r="H838" s="15">
        <v>0.1588</v>
      </c>
      <c r="I838" s="15">
        <v>4.9099999999999998E-2</v>
      </c>
      <c r="J838" s="15">
        <v>3.2342158859470471</v>
      </c>
    </row>
    <row r="839" spans="1:10" x14ac:dyDescent="0.25">
      <c r="A839" s="2" t="s">
        <v>2513</v>
      </c>
      <c r="B839" s="2" t="s">
        <v>2514</v>
      </c>
      <c r="C839" s="2" t="s">
        <v>2515</v>
      </c>
      <c r="D839" s="2" t="s">
        <v>10041</v>
      </c>
      <c r="E839" s="15">
        <v>1.1999999999999999E-3</v>
      </c>
      <c r="F839" s="15">
        <v>7.46E-2</v>
      </c>
      <c r="G839" s="15">
        <v>0.98750000000000004</v>
      </c>
      <c r="H839" s="15">
        <v>0.2356</v>
      </c>
      <c r="I839" s="15">
        <v>8.2900000000000001E-2</v>
      </c>
      <c r="J839" s="15">
        <v>2.8419782870928829</v>
      </c>
    </row>
    <row r="840" spans="1:10" x14ac:dyDescent="0.25">
      <c r="A840" s="2" t="s">
        <v>2516</v>
      </c>
      <c r="B840" s="2" t="s">
        <v>2517</v>
      </c>
      <c r="C840" s="2" t="s">
        <v>2518</v>
      </c>
      <c r="D840" s="2" t="s">
        <v>10041</v>
      </c>
      <c r="E840" s="15">
        <v>-0.12570000000000001</v>
      </c>
      <c r="F840" s="15">
        <v>7.6700000000000004E-2</v>
      </c>
      <c r="G840" s="15">
        <v>0.1013</v>
      </c>
      <c r="H840" s="15">
        <v>0.22720000000000001</v>
      </c>
      <c r="I840" s="15">
        <v>4.3999999999999997E-2</v>
      </c>
      <c r="J840" s="15">
        <v>5.163636363636364</v>
      </c>
    </row>
    <row r="841" spans="1:10" x14ac:dyDescent="0.25">
      <c r="A841" s="2" t="s">
        <v>2519</v>
      </c>
      <c r="B841" s="2" t="s">
        <v>2520</v>
      </c>
      <c r="C841" s="2" t="s">
        <v>2521</v>
      </c>
      <c r="D841" s="2" t="s">
        <v>10041</v>
      </c>
      <c r="E841" s="15">
        <v>-3.5400000000000001E-2</v>
      </c>
      <c r="F841" s="15">
        <v>9.7900000000000001E-2</v>
      </c>
      <c r="G841" s="15">
        <v>0.71789999999999998</v>
      </c>
      <c r="H841" s="15">
        <v>0.1351</v>
      </c>
      <c r="I841" s="15">
        <v>4.7100000000000003E-2</v>
      </c>
      <c r="J841" s="15">
        <v>2.8683651804670909</v>
      </c>
    </row>
    <row r="842" spans="1:10" x14ac:dyDescent="0.25">
      <c r="A842" s="2" t="s">
        <v>2522</v>
      </c>
      <c r="B842" s="2" t="s">
        <v>2523</v>
      </c>
      <c r="C842" s="2" t="s">
        <v>2524</v>
      </c>
      <c r="D842" s="2" t="s">
        <v>10041</v>
      </c>
      <c r="E842" s="15">
        <v>-4.3799999999999999E-2</v>
      </c>
      <c r="F842" s="15">
        <v>7.1300000000000002E-2</v>
      </c>
      <c r="G842" s="15">
        <v>0.53869999999999996</v>
      </c>
      <c r="H842" s="15">
        <v>0.25269999999999998</v>
      </c>
      <c r="I842" s="15">
        <v>5.1700000000000003E-2</v>
      </c>
      <c r="J842" s="15">
        <v>4.8878143133462277</v>
      </c>
    </row>
    <row r="843" spans="1:10" x14ac:dyDescent="0.25">
      <c r="A843" s="2" t="s">
        <v>2525</v>
      </c>
      <c r="B843" s="2" t="s">
        <v>2526</v>
      </c>
      <c r="C843" s="2" t="s">
        <v>2527</v>
      </c>
      <c r="D843" s="2" t="s">
        <v>10041</v>
      </c>
      <c r="E843" s="15">
        <v>7.8299999999999995E-2</v>
      </c>
      <c r="F843" s="15">
        <v>0.1263</v>
      </c>
      <c r="G843" s="15">
        <v>0.5353</v>
      </c>
      <c r="H843" s="15">
        <v>8.4900000000000003E-2</v>
      </c>
      <c r="I843" s="15">
        <v>4.4600000000000001E-2</v>
      </c>
      <c r="J843" s="15">
        <v>1.903587443946188</v>
      </c>
    </row>
    <row r="844" spans="1:10" x14ac:dyDescent="0.25">
      <c r="A844" s="2" t="s">
        <v>2528</v>
      </c>
      <c r="B844" s="2" t="s">
        <v>2529</v>
      </c>
      <c r="C844" s="2" t="s">
        <v>2530</v>
      </c>
      <c r="D844" s="2" t="s">
        <v>10041</v>
      </c>
      <c r="E844" s="15">
        <v>5.0200000000000002E-2</v>
      </c>
      <c r="F844" s="15">
        <v>9.4299999999999995E-2</v>
      </c>
      <c r="G844" s="15">
        <v>0.59419999999999995</v>
      </c>
      <c r="H844" s="15">
        <v>0.1681</v>
      </c>
      <c r="I844" s="15">
        <v>5.5500000000000001E-2</v>
      </c>
      <c r="J844" s="15">
        <v>3.028828828828829</v>
      </c>
    </row>
    <row r="845" spans="1:10" x14ac:dyDescent="0.25">
      <c r="A845" s="2" t="s">
        <v>2531</v>
      </c>
      <c r="B845" s="2" t="s">
        <v>2532</v>
      </c>
      <c r="C845" s="2" t="s">
        <v>2533</v>
      </c>
      <c r="D845" s="2" t="s">
        <v>10041</v>
      </c>
      <c r="E845" s="15">
        <v>0.1027</v>
      </c>
      <c r="F845" s="15">
        <v>8.6300000000000002E-2</v>
      </c>
      <c r="G845" s="15">
        <v>0.23430000000000001</v>
      </c>
      <c r="H845" s="15">
        <v>0.18540000000000001</v>
      </c>
      <c r="I845" s="15">
        <v>4.6899999999999997E-2</v>
      </c>
      <c r="J845" s="15">
        <v>3.9530916844349679</v>
      </c>
    </row>
    <row r="846" spans="1:10" x14ac:dyDescent="0.25">
      <c r="A846" s="2" t="s">
        <v>2534</v>
      </c>
      <c r="B846" s="2" t="s">
        <v>2535</v>
      </c>
      <c r="C846" s="2" t="s">
        <v>2536</v>
      </c>
      <c r="D846" s="2" t="s">
        <v>10041</v>
      </c>
      <c r="E846" s="15">
        <v>0.16700000000000001</v>
      </c>
      <c r="F846" s="15">
        <v>0.11260000000000001</v>
      </c>
      <c r="G846" s="15">
        <v>0.13830000000000001</v>
      </c>
      <c r="H846" s="15">
        <v>0.11890000000000001</v>
      </c>
      <c r="I846" s="15">
        <v>4.4600000000000001E-2</v>
      </c>
      <c r="J846" s="15">
        <v>2.665919282511211</v>
      </c>
    </row>
    <row r="847" spans="1:10" x14ac:dyDescent="0.25">
      <c r="A847" s="2" t="s">
        <v>2537</v>
      </c>
      <c r="B847" s="2" t="s">
        <v>2538</v>
      </c>
      <c r="C847" s="2" t="s">
        <v>2539</v>
      </c>
      <c r="D847" s="2" t="s">
        <v>10041</v>
      </c>
      <c r="E847" s="15">
        <v>3.0800000000000001E-2</v>
      </c>
      <c r="F847" s="15">
        <v>8.4199999999999997E-2</v>
      </c>
      <c r="G847" s="15">
        <v>0.71479999999999999</v>
      </c>
      <c r="H847" s="15">
        <v>0.14879999999999999</v>
      </c>
      <c r="I847" s="15">
        <v>4.7800000000000002E-2</v>
      </c>
      <c r="J847" s="15">
        <v>3.1129707112970708</v>
      </c>
    </row>
    <row r="848" spans="1:10" x14ac:dyDescent="0.25">
      <c r="A848" s="2" t="s">
        <v>2540</v>
      </c>
      <c r="B848" s="2" t="s">
        <v>2541</v>
      </c>
      <c r="C848" s="2" t="s">
        <v>2542</v>
      </c>
      <c r="D848" s="2" t="s">
        <v>10041</v>
      </c>
      <c r="E848" s="15">
        <v>1.7500000000000002E-2</v>
      </c>
      <c r="F848" s="15">
        <v>8.5900000000000004E-2</v>
      </c>
      <c r="G848" s="15">
        <v>0.8387</v>
      </c>
      <c r="H848" s="15">
        <v>0.16039999999999999</v>
      </c>
      <c r="I848" s="15">
        <v>4.4600000000000001E-2</v>
      </c>
      <c r="J848" s="15">
        <v>3.5964125560538109</v>
      </c>
    </row>
    <row r="849" spans="1:10" x14ac:dyDescent="0.25">
      <c r="A849" s="2" t="s">
        <v>2543</v>
      </c>
      <c r="B849" s="2" t="s">
        <v>2544</v>
      </c>
      <c r="C849" s="2" t="s">
        <v>2545</v>
      </c>
      <c r="D849" s="2" t="s">
        <v>10041</v>
      </c>
      <c r="E849" s="15">
        <v>-6.9199999999999998E-2</v>
      </c>
      <c r="F849" s="15">
        <v>8.3500000000000005E-2</v>
      </c>
      <c r="G849" s="15">
        <v>0.40699999999999997</v>
      </c>
      <c r="H849" s="15">
        <v>0.20030000000000001</v>
      </c>
      <c r="I849" s="15">
        <v>4.1700000000000001E-2</v>
      </c>
      <c r="J849" s="15">
        <v>4.8033573141486814</v>
      </c>
    </row>
    <row r="850" spans="1:10" x14ac:dyDescent="0.25">
      <c r="A850" s="2" t="s">
        <v>2546</v>
      </c>
      <c r="B850" s="2" t="s">
        <v>2547</v>
      </c>
      <c r="C850" s="2" t="s">
        <v>2548</v>
      </c>
      <c r="D850" s="2" t="s">
        <v>10041</v>
      </c>
      <c r="E850" s="15">
        <v>8.8999999999999999E-3</v>
      </c>
      <c r="F850" s="15">
        <v>7.4899999999999994E-2</v>
      </c>
      <c r="G850" s="15">
        <v>0.90510000000000002</v>
      </c>
      <c r="H850" s="15">
        <v>0.21160000000000001</v>
      </c>
      <c r="I850" s="15">
        <v>4.8099999999999997E-2</v>
      </c>
      <c r="J850" s="15">
        <v>4.3991683991684001</v>
      </c>
    </row>
    <row r="851" spans="1:10" x14ac:dyDescent="0.25">
      <c r="A851" s="2" t="s">
        <v>2549</v>
      </c>
      <c r="B851" s="2" t="s">
        <v>2550</v>
      </c>
      <c r="C851" s="2" t="s">
        <v>2551</v>
      </c>
      <c r="D851" s="2" t="s">
        <v>10041</v>
      </c>
      <c r="E851" s="15">
        <v>-7.7200000000000005E-2</v>
      </c>
      <c r="F851" s="15">
        <v>8.9599999999999999E-2</v>
      </c>
      <c r="G851" s="15">
        <v>0.3886</v>
      </c>
      <c r="H851" s="15">
        <v>0.17849999999999999</v>
      </c>
      <c r="I851" s="15">
        <v>4.5900000000000003E-2</v>
      </c>
      <c r="J851" s="15">
        <v>3.888888888888888</v>
      </c>
    </row>
    <row r="852" spans="1:10" x14ac:dyDescent="0.25">
      <c r="A852" s="2" t="s">
        <v>2552</v>
      </c>
      <c r="B852" s="2" t="s">
        <v>2553</v>
      </c>
      <c r="C852" s="2" t="s">
        <v>2554</v>
      </c>
      <c r="D852" s="2" t="s">
        <v>10041</v>
      </c>
      <c r="E852" s="15">
        <v>6.2600000000000003E-2</v>
      </c>
      <c r="F852" s="15">
        <v>7.17E-2</v>
      </c>
      <c r="G852" s="15">
        <v>0.38229999999999997</v>
      </c>
      <c r="H852" s="15">
        <v>0.22620000000000001</v>
      </c>
      <c r="I852" s="15">
        <v>5.1299999999999998E-2</v>
      </c>
      <c r="J852" s="15">
        <v>4.4093567251461989</v>
      </c>
    </row>
    <row r="853" spans="1:10" x14ac:dyDescent="0.25">
      <c r="A853" s="2" t="s">
        <v>2555</v>
      </c>
      <c r="B853" s="2" t="s">
        <v>2556</v>
      </c>
      <c r="C853" s="2" t="s">
        <v>2557</v>
      </c>
      <c r="D853" s="2" t="s">
        <v>10041</v>
      </c>
      <c r="E853" s="15">
        <v>-4.4299999999999999E-2</v>
      </c>
      <c r="F853" s="15">
        <v>8.0500000000000002E-2</v>
      </c>
      <c r="G853" s="15">
        <v>0.58179999999999998</v>
      </c>
      <c r="H853" s="15">
        <v>0.1867</v>
      </c>
      <c r="I853" s="15">
        <v>0.05</v>
      </c>
      <c r="J853" s="15">
        <v>3.734</v>
      </c>
    </row>
    <row r="854" spans="1:10" x14ac:dyDescent="0.25">
      <c r="A854" s="2" t="s">
        <v>2558</v>
      </c>
      <c r="B854" s="2" t="s">
        <v>2559</v>
      </c>
      <c r="C854" s="2" t="s">
        <v>2560</v>
      </c>
      <c r="D854" s="2" t="s">
        <v>10041</v>
      </c>
      <c r="E854" s="15">
        <v>5.6000000000000001E-2</v>
      </c>
      <c r="F854" s="15">
        <v>9.0899999999999995E-2</v>
      </c>
      <c r="G854" s="15">
        <v>0.53759999999999997</v>
      </c>
      <c r="H854" s="15">
        <v>0.1636</v>
      </c>
      <c r="I854" s="15">
        <v>4.6600000000000003E-2</v>
      </c>
      <c r="J854" s="15">
        <v>3.510729613733905</v>
      </c>
    </row>
    <row r="855" spans="1:10" x14ac:dyDescent="0.25">
      <c r="A855" s="2" t="s">
        <v>2561</v>
      </c>
      <c r="B855" s="2" t="s">
        <v>2562</v>
      </c>
      <c r="C855" s="2" t="s">
        <v>2563</v>
      </c>
      <c r="D855" s="2" t="s">
        <v>10041</v>
      </c>
      <c r="E855" s="15">
        <v>-9.6500000000000002E-2</v>
      </c>
      <c r="F855" s="15">
        <v>8.3000000000000004E-2</v>
      </c>
      <c r="G855" s="15">
        <v>0.24510000000000001</v>
      </c>
      <c r="H855" s="15">
        <v>0.23419999999999999</v>
      </c>
      <c r="I855" s="15">
        <v>4.53E-2</v>
      </c>
      <c r="J855" s="15">
        <v>5.1699779249448126</v>
      </c>
    </row>
    <row r="856" spans="1:10" x14ac:dyDescent="0.25">
      <c r="A856" s="2" t="s">
        <v>2564</v>
      </c>
      <c r="B856" s="2" t="s">
        <v>2565</v>
      </c>
      <c r="C856" s="2" t="s">
        <v>2566</v>
      </c>
      <c r="D856" s="2" t="s">
        <v>10041</v>
      </c>
      <c r="E856" s="15">
        <v>2.1499999999999998E-2</v>
      </c>
      <c r="F856" s="15">
        <v>8.8700000000000001E-2</v>
      </c>
      <c r="G856" s="15">
        <v>0.8085</v>
      </c>
      <c r="H856" s="15">
        <v>0.16439999999999999</v>
      </c>
      <c r="I856" s="15">
        <v>4.2500000000000003E-2</v>
      </c>
      <c r="J856" s="15">
        <v>3.868235294117647</v>
      </c>
    </row>
    <row r="857" spans="1:10" x14ac:dyDescent="0.25">
      <c r="A857" s="2" t="s">
        <v>2567</v>
      </c>
      <c r="B857" s="2" t="s">
        <v>2568</v>
      </c>
      <c r="C857" s="2" t="s">
        <v>2569</v>
      </c>
      <c r="D857" s="2" t="s">
        <v>10041</v>
      </c>
      <c r="E857" s="15">
        <v>0.1234</v>
      </c>
      <c r="F857" s="15">
        <v>8.3799999999999999E-2</v>
      </c>
      <c r="G857" s="15">
        <v>0.1409</v>
      </c>
      <c r="H857" s="15">
        <v>0.2039</v>
      </c>
      <c r="I857" s="15">
        <v>5.3600000000000002E-2</v>
      </c>
      <c r="J857" s="15">
        <v>3.8041044776119399</v>
      </c>
    </row>
    <row r="858" spans="1:10" x14ac:dyDescent="0.25">
      <c r="A858" s="2" t="s">
        <v>2570</v>
      </c>
      <c r="B858" s="2" t="s">
        <v>2571</v>
      </c>
      <c r="C858" s="2" t="s">
        <v>2572</v>
      </c>
      <c r="D858" s="2" t="s">
        <v>10041</v>
      </c>
      <c r="E858" s="15">
        <v>5.1799999999999999E-2</v>
      </c>
      <c r="F858" s="15">
        <v>8.5900000000000004E-2</v>
      </c>
      <c r="G858" s="15">
        <v>0.54620000000000002</v>
      </c>
      <c r="H858" s="15">
        <v>0.1527</v>
      </c>
      <c r="I858" s="15">
        <v>4.1099999999999998E-2</v>
      </c>
      <c r="J858" s="15">
        <v>3.7153284671532849</v>
      </c>
    </row>
    <row r="859" spans="1:10" x14ac:dyDescent="0.25">
      <c r="A859" s="2" t="s">
        <v>2573</v>
      </c>
      <c r="B859" s="2" t="s">
        <v>2574</v>
      </c>
      <c r="C859" s="2" t="s">
        <v>2575</v>
      </c>
      <c r="D859" s="2" t="s">
        <v>10041</v>
      </c>
      <c r="E859" s="15">
        <v>0.1709</v>
      </c>
      <c r="F859" s="15">
        <v>0.1087</v>
      </c>
      <c r="G859" s="15">
        <v>0.1158</v>
      </c>
      <c r="H859" s="15">
        <v>0.10290000000000001</v>
      </c>
      <c r="I859" s="15">
        <v>4.41E-2</v>
      </c>
      <c r="J859" s="15">
        <v>2.333333333333333</v>
      </c>
    </row>
    <row r="860" spans="1:10" x14ac:dyDescent="0.25">
      <c r="A860" s="2" t="s">
        <v>2576</v>
      </c>
      <c r="B860" s="2" t="s">
        <v>2577</v>
      </c>
      <c r="C860" s="2" t="s">
        <v>2578</v>
      </c>
      <c r="D860" s="2" t="s">
        <v>10041</v>
      </c>
      <c r="E860" s="15">
        <v>0.1244</v>
      </c>
      <c r="F860" s="15">
        <v>8.8900000000000007E-2</v>
      </c>
      <c r="G860" s="15">
        <v>0.16170000000000001</v>
      </c>
      <c r="H860" s="15">
        <v>0.14599999999999999</v>
      </c>
      <c r="I860" s="15">
        <v>4.2999999999999997E-2</v>
      </c>
      <c r="J860" s="15">
        <v>3.395348837209303</v>
      </c>
    </row>
    <row r="861" spans="1:10" x14ac:dyDescent="0.25">
      <c r="A861" s="2" t="s">
        <v>2579</v>
      </c>
      <c r="B861" s="2" t="s">
        <v>2580</v>
      </c>
      <c r="C861" s="2" t="s">
        <v>2581</v>
      </c>
      <c r="D861" s="2" t="s">
        <v>10041</v>
      </c>
      <c r="E861" s="15">
        <v>-5.7000000000000002E-3</v>
      </c>
      <c r="F861" s="15">
        <v>6.8199999999999997E-2</v>
      </c>
      <c r="G861" s="15">
        <v>0.93389999999999995</v>
      </c>
      <c r="H861" s="15">
        <v>0.30919999999999997</v>
      </c>
      <c r="I861" s="15">
        <v>6.2799999999999995E-2</v>
      </c>
      <c r="J861" s="15">
        <v>4.9235668789808917</v>
      </c>
    </row>
    <row r="862" spans="1:10" x14ac:dyDescent="0.25">
      <c r="A862" s="2" t="s">
        <v>2582</v>
      </c>
      <c r="B862" s="2" t="s">
        <v>2583</v>
      </c>
      <c r="C862" s="2" t="s">
        <v>2584</v>
      </c>
      <c r="D862" s="2" t="s">
        <v>10041</v>
      </c>
      <c r="E862" s="15">
        <v>-0.1603</v>
      </c>
      <c r="F862" s="15">
        <v>0.1067</v>
      </c>
      <c r="G862" s="15">
        <v>0.13320000000000001</v>
      </c>
      <c r="H862" s="15">
        <v>0.1225</v>
      </c>
      <c r="I862" s="15">
        <v>4.41E-2</v>
      </c>
      <c r="J862" s="15">
        <v>2.7777777777777781</v>
      </c>
    </row>
    <row r="863" spans="1:10" x14ac:dyDescent="0.25">
      <c r="A863" s="2" t="s">
        <v>2585</v>
      </c>
      <c r="B863" s="2" t="s">
        <v>2586</v>
      </c>
      <c r="C863" s="2" t="s">
        <v>2587</v>
      </c>
      <c r="D863" s="2" t="s">
        <v>10041</v>
      </c>
      <c r="E863" s="15">
        <v>-8.3999999999999995E-3</v>
      </c>
      <c r="F863" s="15">
        <v>7.7899999999999997E-2</v>
      </c>
      <c r="G863" s="15">
        <v>0.91400000000000003</v>
      </c>
      <c r="H863" s="15">
        <v>0.2135</v>
      </c>
      <c r="I863" s="15">
        <v>6.1199999999999997E-2</v>
      </c>
      <c r="J863" s="15">
        <v>3.488562091503268</v>
      </c>
    </row>
    <row r="864" spans="1:10" x14ac:dyDescent="0.25">
      <c r="A864" s="2" t="s">
        <v>2588</v>
      </c>
      <c r="B864" s="2" t="s">
        <v>2589</v>
      </c>
      <c r="C864" s="2" t="s">
        <v>2590</v>
      </c>
      <c r="D864" s="2" t="s">
        <v>10041</v>
      </c>
      <c r="E864" s="15">
        <v>2.8199999999999999E-2</v>
      </c>
      <c r="F864" s="15">
        <v>9.9099999999999994E-2</v>
      </c>
      <c r="G864" s="15">
        <v>0.77580000000000005</v>
      </c>
      <c r="H864" s="15">
        <v>0.13750000000000001</v>
      </c>
      <c r="I864" s="15">
        <v>6.0199999999999997E-2</v>
      </c>
      <c r="J864" s="15">
        <v>2.2840531561461801</v>
      </c>
    </row>
    <row r="865" spans="1:10" x14ac:dyDescent="0.25">
      <c r="A865" s="2" t="s">
        <v>2591</v>
      </c>
      <c r="B865" s="2" t="s">
        <v>2592</v>
      </c>
      <c r="C865" s="2" t="s">
        <v>2593</v>
      </c>
      <c r="D865" s="2" t="s">
        <v>10041</v>
      </c>
      <c r="E865" s="15">
        <v>2.2100000000000002E-2</v>
      </c>
      <c r="F865" s="15">
        <v>7.17E-2</v>
      </c>
      <c r="G865" s="15">
        <v>0.75729999999999997</v>
      </c>
      <c r="H865" s="15">
        <v>0.23699999999999999</v>
      </c>
      <c r="I865" s="15">
        <v>5.4300000000000001E-2</v>
      </c>
      <c r="J865" s="15">
        <v>4.3646408839779003</v>
      </c>
    </row>
    <row r="866" spans="1:10" x14ac:dyDescent="0.25">
      <c r="A866" s="2" t="s">
        <v>2594</v>
      </c>
      <c r="B866" s="2" t="s">
        <v>2595</v>
      </c>
      <c r="C866" s="2" t="s">
        <v>2596</v>
      </c>
      <c r="D866" s="2" t="s">
        <v>10041</v>
      </c>
      <c r="E866" s="15">
        <v>-0.04</v>
      </c>
      <c r="F866" s="15">
        <v>0.1148</v>
      </c>
      <c r="G866" s="15">
        <v>0.72729999999999995</v>
      </c>
      <c r="H866" s="15">
        <v>0.1048</v>
      </c>
      <c r="I866" s="15">
        <v>4.65E-2</v>
      </c>
      <c r="J866" s="15">
        <v>2.2537634408602152</v>
      </c>
    </row>
    <row r="867" spans="1:10" x14ac:dyDescent="0.25">
      <c r="A867" s="2" t="s">
        <v>2597</v>
      </c>
      <c r="B867" s="2" t="s">
        <v>2598</v>
      </c>
      <c r="C867" s="2" t="s">
        <v>2599</v>
      </c>
      <c r="D867" s="2" t="s">
        <v>10041</v>
      </c>
      <c r="E867" s="15">
        <v>-2.4899999999999999E-2</v>
      </c>
      <c r="F867" s="15">
        <v>7.8600000000000003E-2</v>
      </c>
      <c r="G867" s="15">
        <v>0.75139999999999996</v>
      </c>
      <c r="H867" s="15">
        <v>0.20830000000000001</v>
      </c>
      <c r="I867" s="15">
        <v>4.1500000000000002E-2</v>
      </c>
      <c r="J867" s="15">
        <v>5.0192771084337346</v>
      </c>
    </row>
    <row r="868" spans="1:10" x14ac:dyDescent="0.25">
      <c r="A868" s="2" t="s">
        <v>2600</v>
      </c>
      <c r="B868" s="2" t="s">
        <v>2601</v>
      </c>
      <c r="C868" s="2" t="s">
        <v>2602</v>
      </c>
      <c r="D868" s="2" t="s">
        <v>10041</v>
      </c>
      <c r="E868" s="15">
        <v>0.14940000000000001</v>
      </c>
      <c r="F868" s="15">
        <v>7.7600000000000002E-2</v>
      </c>
      <c r="G868" s="15">
        <v>5.4399999999999997E-2</v>
      </c>
      <c r="H868" s="15">
        <v>0.21210000000000001</v>
      </c>
      <c r="I868" s="15">
        <v>4.6199999999999998E-2</v>
      </c>
      <c r="J868" s="15">
        <v>4.5909090909090917</v>
      </c>
    </row>
    <row r="869" spans="1:10" x14ac:dyDescent="0.25">
      <c r="A869" s="2" t="s">
        <v>2603</v>
      </c>
      <c r="B869" s="2" t="s">
        <v>2604</v>
      </c>
      <c r="C869" s="2" t="s">
        <v>2605</v>
      </c>
      <c r="D869" s="2" t="s">
        <v>10041</v>
      </c>
      <c r="E869" s="15">
        <v>2.12E-2</v>
      </c>
      <c r="F869" s="15">
        <v>8.2500000000000004E-2</v>
      </c>
      <c r="G869" s="15">
        <v>0.79779999999999995</v>
      </c>
      <c r="H869" s="15">
        <v>0.18640000000000001</v>
      </c>
      <c r="I869" s="15">
        <v>4.1000000000000002E-2</v>
      </c>
      <c r="J869" s="15">
        <v>4.5463414634146346</v>
      </c>
    </row>
    <row r="870" spans="1:10" x14ac:dyDescent="0.25">
      <c r="A870" s="2" t="s">
        <v>2606</v>
      </c>
      <c r="B870" s="2" t="s">
        <v>2607</v>
      </c>
      <c r="C870" s="2" t="s">
        <v>2608</v>
      </c>
      <c r="D870" s="2" t="s">
        <v>10041</v>
      </c>
      <c r="E870" s="15">
        <v>-1.7600000000000001E-2</v>
      </c>
      <c r="F870" s="15">
        <v>7.0699999999999999E-2</v>
      </c>
      <c r="G870" s="15">
        <v>0.80400000000000005</v>
      </c>
      <c r="H870" s="15">
        <v>0.27929999999999999</v>
      </c>
      <c r="I870" s="15">
        <v>7.3899999999999993E-2</v>
      </c>
      <c r="J870" s="15">
        <v>3.779431664411367</v>
      </c>
    </row>
    <row r="871" spans="1:10" x14ac:dyDescent="0.25">
      <c r="A871" s="2" t="s">
        <v>2609</v>
      </c>
      <c r="B871" s="2" t="s">
        <v>2610</v>
      </c>
      <c r="C871" s="2" t="s">
        <v>2611</v>
      </c>
      <c r="D871" s="2" t="s">
        <v>10041</v>
      </c>
      <c r="E871" s="15">
        <v>-0.1646</v>
      </c>
      <c r="F871" s="15">
        <v>0.1142</v>
      </c>
      <c r="G871" s="15">
        <v>0.14929999999999999</v>
      </c>
      <c r="H871" s="15">
        <v>8.9099999999999999E-2</v>
      </c>
      <c r="I871" s="15">
        <v>4.1200000000000001E-2</v>
      </c>
      <c r="J871" s="15">
        <v>2.162621359223301</v>
      </c>
    </row>
    <row r="872" spans="1:10" x14ac:dyDescent="0.25">
      <c r="A872" s="2" t="s">
        <v>2612</v>
      </c>
      <c r="B872" s="2" t="s">
        <v>2613</v>
      </c>
      <c r="C872" s="2" t="s">
        <v>2614</v>
      </c>
      <c r="D872" s="2" t="s">
        <v>10041</v>
      </c>
      <c r="E872" s="15">
        <v>-8.0000000000000004E-4</v>
      </c>
      <c r="F872" s="15">
        <v>8.4000000000000005E-2</v>
      </c>
      <c r="G872" s="15">
        <v>0.99250000000000005</v>
      </c>
      <c r="H872" s="15">
        <v>0.17979999999999999</v>
      </c>
      <c r="I872" s="15">
        <v>5.1999999999999998E-2</v>
      </c>
      <c r="J872" s="15">
        <v>3.457692307692307</v>
      </c>
    </row>
    <row r="873" spans="1:10" x14ac:dyDescent="0.25">
      <c r="A873" s="2" t="s">
        <v>2615</v>
      </c>
      <c r="B873" s="2" t="s">
        <v>2616</v>
      </c>
      <c r="C873" s="2" t="s">
        <v>2617</v>
      </c>
      <c r="D873" s="2" t="s">
        <v>10041</v>
      </c>
      <c r="E873" s="15">
        <v>4.7999999999999996E-3</v>
      </c>
      <c r="F873" s="15">
        <v>6.5000000000000002E-2</v>
      </c>
      <c r="G873" s="15">
        <v>0.94089999999999996</v>
      </c>
      <c r="H873" s="15">
        <v>0.29160000000000003</v>
      </c>
      <c r="I873" s="15">
        <v>5.4600000000000003E-2</v>
      </c>
      <c r="J873" s="15">
        <v>5.3406593406593412</v>
      </c>
    </row>
    <row r="874" spans="1:10" x14ac:dyDescent="0.25">
      <c r="A874" s="2" t="s">
        <v>2618</v>
      </c>
      <c r="B874" s="2" t="s">
        <v>2619</v>
      </c>
      <c r="C874" s="2" t="s">
        <v>2620</v>
      </c>
      <c r="D874" s="2" t="s">
        <v>10041</v>
      </c>
      <c r="E874" s="15">
        <v>9.2700000000000005E-2</v>
      </c>
      <c r="F874" s="15">
        <v>8.8099999999999998E-2</v>
      </c>
      <c r="G874" s="15">
        <v>0.29310000000000003</v>
      </c>
      <c r="H874" s="15">
        <v>0.14480000000000001</v>
      </c>
      <c r="I874" s="15">
        <v>4.48E-2</v>
      </c>
      <c r="J874" s="15">
        <v>3.2321428571428581</v>
      </c>
    </row>
    <row r="875" spans="1:10" x14ac:dyDescent="0.25">
      <c r="A875" s="2" t="s">
        <v>2621</v>
      </c>
      <c r="B875" s="2" t="s">
        <v>2622</v>
      </c>
      <c r="C875" s="2" t="s">
        <v>2623</v>
      </c>
      <c r="D875" s="2" t="s">
        <v>10041</v>
      </c>
      <c r="E875" s="15">
        <v>-9.9699999999999997E-2</v>
      </c>
      <c r="F875" s="15">
        <v>0.12470000000000001</v>
      </c>
      <c r="G875" s="15">
        <v>0.42380000000000001</v>
      </c>
      <c r="H875" s="15">
        <v>8.3199999999999996E-2</v>
      </c>
      <c r="I875" s="15">
        <v>4.36E-2</v>
      </c>
      <c r="J875" s="15">
        <v>1.9082568807339451</v>
      </c>
    </row>
    <row r="876" spans="1:10" x14ac:dyDescent="0.25">
      <c r="A876" s="2" t="s">
        <v>2624</v>
      </c>
      <c r="B876" s="2" t="s">
        <v>2625</v>
      </c>
      <c r="C876" s="2" t="s">
        <v>2626</v>
      </c>
      <c r="D876" s="2" t="s">
        <v>10041</v>
      </c>
      <c r="E876" s="15">
        <v>0.1191</v>
      </c>
      <c r="F876" s="15">
        <v>7.6999999999999999E-2</v>
      </c>
      <c r="G876" s="15">
        <v>0.12230000000000001</v>
      </c>
      <c r="H876" s="15">
        <v>0.21310000000000001</v>
      </c>
      <c r="I876" s="15">
        <v>5.0200000000000002E-2</v>
      </c>
      <c r="J876" s="15">
        <v>4.2450199203187253</v>
      </c>
    </row>
    <row r="877" spans="1:10" x14ac:dyDescent="0.25">
      <c r="A877" s="2" t="s">
        <v>2627</v>
      </c>
      <c r="B877" s="2" t="s">
        <v>2628</v>
      </c>
      <c r="C877" s="2" t="s">
        <v>2629</v>
      </c>
      <c r="D877" s="2" t="s">
        <v>10041</v>
      </c>
      <c r="E877" s="15">
        <v>-0.1154</v>
      </c>
      <c r="F877" s="15">
        <v>8.5699999999999998E-2</v>
      </c>
      <c r="G877" s="15">
        <v>0.17780000000000001</v>
      </c>
      <c r="H877" s="15">
        <v>0.18410000000000001</v>
      </c>
      <c r="I877" s="15">
        <v>4.7E-2</v>
      </c>
      <c r="J877" s="15">
        <v>3.9170212765957451</v>
      </c>
    </row>
    <row r="878" spans="1:10" x14ac:dyDescent="0.25">
      <c r="A878" s="2" t="s">
        <v>2630</v>
      </c>
      <c r="B878" s="2" t="s">
        <v>2631</v>
      </c>
      <c r="C878" s="2" t="s">
        <v>2632</v>
      </c>
      <c r="D878" s="2" t="s">
        <v>10041</v>
      </c>
      <c r="E878" s="15">
        <v>0.46949999999999997</v>
      </c>
      <c r="F878" s="15">
        <v>1.1287</v>
      </c>
      <c r="G878" s="15">
        <v>0.67749999999999999</v>
      </c>
      <c r="H878" s="15">
        <v>1.3599999999999999E-2</v>
      </c>
      <c r="I878" s="15">
        <v>4.41E-2</v>
      </c>
      <c r="J878" s="15">
        <v>0.30839002267573701</v>
      </c>
    </row>
    <row r="879" spans="1:10" x14ac:dyDescent="0.25">
      <c r="A879" s="2" t="s">
        <v>2633</v>
      </c>
      <c r="B879" s="2" t="s">
        <v>2634</v>
      </c>
      <c r="C879" s="2" t="s">
        <v>2635</v>
      </c>
      <c r="D879" s="2" t="s">
        <v>10041</v>
      </c>
      <c r="E879" s="15">
        <v>-9.5699999999999993E-2</v>
      </c>
      <c r="F879" s="15">
        <v>0.121</v>
      </c>
      <c r="G879" s="15">
        <v>0.42909999999999998</v>
      </c>
      <c r="H879" s="15">
        <v>0.1313</v>
      </c>
      <c r="I879" s="15">
        <v>4.8300000000000003E-2</v>
      </c>
      <c r="J879" s="15">
        <v>2.718426501035196</v>
      </c>
    </row>
    <row r="880" spans="1:10" x14ac:dyDescent="0.25">
      <c r="A880" s="2" t="s">
        <v>2636</v>
      </c>
      <c r="B880" s="2" t="s">
        <v>2637</v>
      </c>
      <c r="C880" s="2" t="s">
        <v>2638</v>
      </c>
      <c r="D880" s="2" t="s">
        <v>10041</v>
      </c>
      <c r="E880" s="15">
        <v>7.6499999999999999E-2</v>
      </c>
      <c r="F880" s="15">
        <v>0.1014</v>
      </c>
      <c r="G880" s="15">
        <v>0.45050000000000001</v>
      </c>
      <c r="H880" s="15">
        <v>0.12239999999999999</v>
      </c>
      <c r="I880" s="15">
        <v>5.1299999999999998E-2</v>
      </c>
      <c r="J880" s="15">
        <v>2.3859649122807021</v>
      </c>
    </row>
    <row r="881" spans="1:10" x14ac:dyDescent="0.25">
      <c r="A881" s="2" t="s">
        <v>2639</v>
      </c>
      <c r="B881" s="2" t="s">
        <v>2640</v>
      </c>
      <c r="C881" s="2" t="s">
        <v>2641</v>
      </c>
      <c r="D881" s="2" t="s">
        <v>10041</v>
      </c>
      <c r="E881" s="15">
        <v>2.6700000000000002E-2</v>
      </c>
      <c r="F881" s="15">
        <v>0.1158</v>
      </c>
      <c r="G881" s="15">
        <v>0.81779999999999997</v>
      </c>
      <c r="H881" s="15">
        <v>0.1016</v>
      </c>
      <c r="I881" s="15">
        <v>8.2100000000000006E-2</v>
      </c>
      <c r="J881" s="15">
        <v>1.2375152253349571</v>
      </c>
    </row>
    <row r="882" spans="1:10" x14ac:dyDescent="0.25">
      <c r="A882" s="2" t="s">
        <v>2642</v>
      </c>
      <c r="B882" s="2" t="s">
        <v>2643</v>
      </c>
      <c r="C882" s="2" t="s">
        <v>2644</v>
      </c>
      <c r="D882" s="2" t="s">
        <v>10041</v>
      </c>
      <c r="E882" s="15">
        <v>9.7600000000000006E-2</v>
      </c>
      <c r="F882" s="15">
        <v>8.8499999999999995E-2</v>
      </c>
      <c r="G882" s="15">
        <v>0.2702</v>
      </c>
      <c r="H882" s="15">
        <v>0.18890000000000001</v>
      </c>
      <c r="I882" s="15">
        <v>4.7899999999999998E-2</v>
      </c>
      <c r="J882" s="15">
        <v>3.9436325678496869</v>
      </c>
    </row>
    <row r="883" spans="1:10" x14ac:dyDescent="0.25">
      <c r="A883" s="2" t="s">
        <v>2645</v>
      </c>
      <c r="B883" s="2" t="s">
        <v>2646</v>
      </c>
      <c r="C883" s="2" t="s">
        <v>2647</v>
      </c>
      <c r="D883" s="2" t="s">
        <v>10041</v>
      </c>
      <c r="E883" s="15">
        <v>2.2800000000000001E-2</v>
      </c>
      <c r="F883" s="15">
        <v>8.5900000000000004E-2</v>
      </c>
      <c r="G883" s="15">
        <v>0.79039999999999999</v>
      </c>
      <c r="H883" s="15">
        <v>0.18629999999999999</v>
      </c>
      <c r="I883" s="15">
        <v>4.7100000000000003E-2</v>
      </c>
      <c r="J883" s="15">
        <v>3.9554140127388528</v>
      </c>
    </row>
    <row r="884" spans="1:10" x14ac:dyDescent="0.25">
      <c r="A884" s="2" t="s">
        <v>2648</v>
      </c>
      <c r="B884" s="2" t="s">
        <v>2649</v>
      </c>
      <c r="C884" s="2" t="s">
        <v>2650</v>
      </c>
      <c r="D884" s="2" t="s">
        <v>10041</v>
      </c>
      <c r="E884" s="15">
        <v>-6.7999999999999996E-3</v>
      </c>
      <c r="F884" s="15">
        <v>7.8399999999999997E-2</v>
      </c>
      <c r="G884" s="15">
        <v>0.93120000000000003</v>
      </c>
      <c r="H884" s="15">
        <v>0.26590000000000003</v>
      </c>
      <c r="I884" s="15">
        <v>4.82E-2</v>
      </c>
      <c r="J884" s="15">
        <v>5.5165975103734448</v>
      </c>
    </row>
    <row r="885" spans="1:10" x14ac:dyDescent="0.25">
      <c r="A885" s="2" t="s">
        <v>2651</v>
      </c>
      <c r="B885" s="2" t="s">
        <v>2652</v>
      </c>
      <c r="C885" s="2" t="s">
        <v>2653</v>
      </c>
      <c r="D885" s="2" t="s">
        <v>10041</v>
      </c>
      <c r="E885" s="15">
        <v>0.1022</v>
      </c>
      <c r="F885" s="15">
        <v>0.128</v>
      </c>
      <c r="G885" s="15">
        <v>0.4249</v>
      </c>
      <c r="H885" s="15">
        <v>7.4800000000000005E-2</v>
      </c>
      <c r="I885" s="15">
        <v>4.07E-2</v>
      </c>
      <c r="J885" s="15">
        <v>1.8378378378378379</v>
      </c>
    </row>
    <row r="886" spans="1:10" x14ac:dyDescent="0.25">
      <c r="A886" s="2" t="s">
        <v>2654</v>
      </c>
      <c r="B886" s="2" t="s">
        <v>2655</v>
      </c>
      <c r="C886" s="2" t="s">
        <v>2656</v>
      </c>
      <c r="D886" s="2" t="s">
        <v>10041</v>
      </c>
      <c r="E886" s="15">
        <v>0.36509999999999998</v>
      </c>
      <c r="F886" s="15">
        <v>0.1784</v>
      </c>
      <c r="G886" s="15">
        <v>4.0599999999999997E-2</v>
      </c>
      <c r="H886" s="15">
        <v>5.9299999999999999E-2</v>
      </c>
      <c r="I886" s="15">
        <v>4.1399999999999999E-2</v>
      </c>
      <c r="J886" s="15">
        <v>1.432367149758454</v>
      </c>
    </row>
    <row r="887" spans="1:10" x14ac:dyDescent="0.25">
      <c r="A887" s="2" t="s">
        <v>2657</v>
      </c>
      <c r="B887" s="2" t="s">
        <v>2658</v>
      </c>
      <c r="C887" s="2" t="s">
        <v>2659</v>
      </c>
      <c r="D887" s="2" t="s">
        <v>10041</v>
      </c>
      <c r="E887" s="15">
        <v>0.1918</v>
      </c>
      <c r="F887" s="15">
        <v>0.1017</v>
      </c>
      <c r="G887" s="15">
        <v>5.9299999999999999E-2</v>
      </c>
      <c r="H887" s="15">
        <v>0.11219999999999999</v>
      </c>
      <c r="I887" s="15">
        <v>4.6300000000000001E-2</v>
      </c>
      <c r="J887" s="15">
        <v>2.4233261339092871</v>
      </c>
    </row>
    <row r="888" spans="1:10" x14ac:dyDescent="0.25">
      <c r="A888" s="2" t="s">
        <v>2660</v>
      </c>
      <c r="B888" s="2" t="s">
        <v>2661</v>
      </c>
      <c r="C888" s="2" t="s">
        <v>2662</v>
      </c>
      <c r="D888" s="2" t="s">
        <v>10041</v>
      </c>
      <c r="E888" s="15">
        <v>2.9100000000000001E-2</v>
      </c>
      <c r="F888" s="15">
        <v>9.9199999999999997E-2</v>
      </c>
      <c r="G888" s="15">
        <v>0.76970000000000005</v>
      </c>
      <c r="H888" s="15">
        <v>0.16020000000000001</v>
      </c>
      <c r="I888" s="15">
        <v>4.7100000000000003E-2</v>
      </c>
      <c r="J888" s="15">
        <v>3.401273885350319</v>
      </c>
    </row>
    <row r="889" spans="1:10" x14ac:dyDescent="0.25">
      <c r="A889" s="2" t="s">
        <v>2663</v>
      </c>
      <c r="B889" s="2" t="s">
        <v>2664</v>
      </c>
      <c r="C889" s="2" t="s">
        <v>2665</v>
      </c>
      <c r="D889" s="2" t="s">
        <v>10041</v>
      </c>
      <c r="E889" s="15">
        <v>0.1265</v>
      </c>
      <c r="F889" s="15">
        <v>8.0100000000000005E-2</v>
      </c>
      <c r="G889" s="15">
        <v>0.1145</v>
      </c>
      <c r="H889" s="15">
        <v>0.20599999999999999</v>
      </c>
      <c r="I889" s="15">
        <v>4.7399999999999998E-2</v>
      </c>
      <c r="J889" s="15">
        <v>4.3459915611814344</v>
      </c>
    </row>
    <row r="890" spans="1:10" x14ac:dyDescent="0.25">
      <c r="A890" s="2" t="s">
        <v>2666</v>
      </c>
      <c r="B890" s="2" t="s">
        <v>2667</v>
      </c>
      <c r="C890" s="2" t="s">
        <v>2668</v>
      </c>
      <c r="D890" s="2" t="s">
        <v>10041</v>
      </c>
      <c r="E890" s="15">
        <v>3.3300000000000003E-2</v>
      </c>
      <c r="F890" s="15">
        <v>0.11509999999999999</v>
      </c>
      <c r="G890" s="15">
        <v>0.77259999999999995</v>
      </c>
      <c r="H890" s="15">
        <v>9.9699999999999997E-2</v>
      </c>
      <c r="I890" s="15">
        <v>4.8399999999999999E-2</v>
      </c>
      <c r="J890" s="15">
        <v>2.0599173553719008</v>
      </c>
    </row>
    <row r="891" spans="1:10" x14ac:dyDescent="0.25">
      <c r="A891" s="2" t="s">
        <v>2669</v>
      </c>
      <c r="B891" s="2" t="s">
        <v>2670</v>
      </c>
      <c r="C891" s="2" t="s">
        <v>2671</v>
      </c>
      <c r="D891" s="2" t="s">
        <v>10041</v>
      </c>
      <c r="E891" s="15">
        <v>-7.4200000000000002E-2</v>
      </c>
      <c r="F891" s="15">
        <v>9.2999999999999999E-2</v>
      </c>
      <c r="G891" s="15">
        <v>0.42520000000000002</v>
      </c>
      <c r="H891" s="15">
        <v>0.13320000000000001</v>
      </c>
      <c r="I891" s="15">
        <v>4.7500000000000001E-2</v>
      </c>
      <c r="J891" s="15">
        <v>2.8042105263157899</v>
      </c>
    </row>
    <row r="892" spans="1:10" x14ac:dyDescent="0.25">
      <c r="A892" s="2" t="s">
        <v>2672</v>
      </c>
      <c r="B892" s="2" t="s">
        <v>2673</v>
      </c>
      <c r="C892" s="2" t="s">
        <v>2674</v>
      </c>
      <c r="D892" s="2" t="s">
        <v>10041</v>
      </c>
      <c r="E892" s="15">
        <v>5.3699999999999998E-2</v>
      </c>
      <c r="F892" s="15">
        <v>9.3200000000000005E-2</v>
      </c>
      <c r="G892" s="15">
        <v>0.56489999999999996</v>
      </c>
      <c r="H892" s="15">
        <v>0.15140000000000001</v>
      </c>
      <c r="I892" s="15">
        <v>4.4299999999999999E-2</v>
      </c>
      <c r="J892" s="15">
        <v>3.4176072234762982</v>
      </c>
    </row>
    <row r="893" spans="1:10" x14ac:dyDescent="0.25">
      <c r="A893" s="2" t="s">
        <v>2675</v>
      </c>
      <c r="B893" s="2" t="s">
        <v>2676</v>
      </c>
      <c r="C893" s="2" t="s">
        <v>2677</v>
      </c>
      <c r="D893" s="2" t="s">
        <v>10041</v>
      </c>
      <c r="E893" s="15">
        <v>2.9499999999999998E-2</v>
      </c>
      <c r="F893" s="15">
        <v>8.3900000000000002E-2</v>
      </c>
      <c r="G893" s="15">
        <v>0.72540000000000004</v>
      </c>
      <c r="H893" s="15">
        <v>0.2155</v>
      </c>
      <c r="I893" s="15">
        <v>4.6699999999999998E-2</v>
      </c>
      <c r="J893" s="15">
        <v>4.6145610278372589</v>
      </c>
    </row>
    <row r="894" spans="1:10" x14ac:dyDescent="0.25">
      <c r="A894" s="2" t="s">
        <v>2678</v>
      </c>
      <c r="B894" s="2" t="s">
        <v>2679</v>
      </c>
      <c r="C894" s="2" t="s">
        <v>2680</v>
      </c>
      <c r="D894" s="2" t="s">
        <v>10041</v>
      </c>
      <c r="E894" s="15">
        <v>-8.3799999999999999E-2</v>
      </c>
      <c r="F894" s="15">
        <v>0.115</v>
      </c>
      <c r="G894" s="15">
        <v>0.46610000000000001</v>
      </c>
      <c r="H894" s="15">
        <v>7.7299999999999994E-2</v>
      </c>
      <c r="I894" s="15">
        <v>4.2999999999999997E-2</v>
      </c>
      <c r="J894" s="15">
        <v>1.7976744186046509</v>
      </c>
    </row>
    <row r="895" spans="1:10" x14ac:dyDescent="0.25">
      <c r="A895" s="2" t="s">
        <v>2681</v>
      </c>
      <c r="B895" s="2" t="s">
        <v>2682</v>
      </c>
      <c r="C895" s="2" t="s">
        <v>2683</v>
      </c>
      <c r="D895" s="2" t="s">
        <v>10041</v>
      </c>
      <c r="E895" s="15">
        <v>-7.2599999999999998E-2</v>
      </c>
      <c r="F895" s="15">
        <v>7.7200000000000005E-2</v>
      </c>
      <c r="G895" s="15">
        <v>0.34699999999999998</v>
      </c>
      <c r="H895" s="15">
        <v>0.22500000000000001</v>
      </c>
      <c r="I895" s="15">
        <v>6.4199999999999993E-2</v>
      </c>
      <c r="J895" s="15">
        <v>3.504672897196262</v>
      </c>
    </row>
    <row r="896" spans="1:10" x14ac:dyDescent="0.25">
      <c r="A896" s="2" t="s">
        <v>2684</v>
      </c>
      <c r="B896" s="2" t="s">
        <v>2685</v>
      </c>
      <c r="C896" s="2" t="s">
        <v>2686</v>
      </c>
      <c r="D896" s="2" t="s">
        <v>10041</v>
      </c>
      <c r="E896" s="15">
        <v>7.4099999999999999E-2</v>
      </c>
      <c r="F896" s="15">
        <v>6.9500000000000006E-2</v>
      </c>
      <c r="G896" s="15">
        <v>0.28689999999999999</v>
      </c>
      <c r="H896" s="15">
        <v>0.2268</v>
      </c>
      <c r="I896" s="15">
        <v>4.8099999999999997E-2</v>
      </c>
      <c r="J896" s="15">
        <v>4.7151767151767157</v>
      </c>
    </row>
    <row r="897" spans="1:10" x14ac:dyDescent="0.25">
      <c r="A897" s="2" t="s">
        <v>2687</v>
      </c>
      <c r="B897" s="2" t="s">
        <v>2688</v>
      </c>
      <c r="C897" s="2" t="s">
        <v>2689</v>
      </c>
      <c r="D897" s="2" t="s">
        <v>10041</v>
      </c>
      <c r="E897" s="15">
        <v>0.19850000000000001</v>
      </c>
      <c r="F897" s="15">
        <v>8.5500000000000007E-2</v>
      </c>
      <c r="G897" s="15">
        <v>2.0199999999999999E-2</v>
      </c>
      <c r="H897" s="15">
        <v>0.16</v>
      </c>
      <c r="I897" s="15">
        <v>5.3600000000000002E-2</v>
      </c>
      <c r="J897" s="15">
        <v>2.9850746268656718</v>
      </c>
    </row>
    <row r="898" spans="1:10" x14ac:dyDescent="0.25">
      <c r="A898" s="2" t="s">
        <v>2690</v>
      </c>
      <c r="B898" s="2" t="s">
        <v>2691</v>
      </c>
      <c r="C898" s="2" t="s">
        <v>2692</v>
      </c>
      <c r="D898" s="2" t="s">
        <v>10041</v>
      </c>
      <c r="E898" s="15">
        <v>4.8099999999999997E-2</v>
      </c>
      <c r="F898" s="15">
        <v>0.10050000000000001</v>
      </c>
      <c r="G898" s="15">
        <v>0.63219999999999998</v>
      </c>
      <c r="H898" s="15">
        <v>0.1419</v>
      </c>
      <c r="I898" s="15">
        <v>4.2900000000000001E-2</v>
      </c>
      <c r="J898" s="15">
        <v>3.307692307692307</v>
      </c>
    </row>
    <row r="899" spans="1:10" x14ac:dyDescent="0.25">
      <c r="A899" s="2" t="s">
        <v>2693</v>
      </c>
      <c r="B899" s="2" t="s">
        <v>2694</v>
      </c>
      <c r="C899" s="2" t="s">
        <v>2695</v>
      </c>
      <c r="D899" s="2" t="s">
        <v>10041</v>
      </c>
      <c r="E899" s="15">
        <v>-0.1036</v>
      </c>
      <c r="F899" s="15">
        <v>7.7399999999999997E-2</v>
      </c>
      <c r="G899" s="15">
        <v>0.18060000000000001</v>
      </c>
      <c r="H899" s="15">
        <v>0.24129999999999999</v>
      </c>
      <c r="I899" s="15">
        <v>4.7600000000000003E-2</v>
      </c>
      <c r="J899" s="15">
        <v>5.0693277310924367</v>
      </c>
    </row>
    <row r="900" spans="1:10" x14ac:dyDescent="0.25">
      <c r="A900" s="2" t="s">
        <v>2696</v>
      </c>
      <c r="B900" s="2" t="s">
        <v>2697</v>
      </c>
      <c r="C900" s="2" t="s">
        <v>2698</v>
      </c>
      <c r="D900" s="2" t="s">
        <v>10041</v>
      </c>
      <c r="E900" s="15">
        <v>2.6599999999999999E-2</v>
      </c>
      <c r="F900" s="15">
        <v>8.9700000000000002E-2</v>
      </c>
      <c r="G900" s="15">
        <v>0.76670000000000005</v>
      </c>
      <c r="H900" s="15">
        <v>0.16189999999999999</v>
      </c>
      <c r="I900" s="15">
        <v>4.9299999999999997E-2</v>
      </c>
      <c r="J900" s="15">
        <v>3.2839756592292089</v>
      </c>
    </row>
    <row r="901" spans="1:10" x14ac:dyDescent="0.25">
      <c r="A901" s="2" t="s">
        <v>2699</v>
      </c>
      <c r="B901" s="2" t="s">
        <v>2700</v>
      </c>
      <c r="C901" s="2" t="s">
        <v>2701</v>
      </c>
      <c r="D901" s="2" t="s">
        <v>10041</v>
      </c>
      <c r="E901" s="15">
        <v>3.6700000000000003E-2</v>
      </c>
      <c r="F901" s="15">
        <v>0.1265</v>
      </c>
      <c r="G901" s="15">
        <v>0.77159999999999995</v>
      </c>
      <c r="H901" s="15">
        <v>9.1399999999999995E-2</v>
      </c>
      <c r="I901" s="15">
        <v>4.1300000000000003E-2</v>
      </c>
      <c r="J901" s="15">
        <v>2.2130750605326872</v>
      </c>
    </row>
    <row r="902" spans="1:10" x14ac:dyDescent="0.25">
      <c r="A902" s="2" t="s">
        <v>2702</v>
      </c>
      <c r="B902" s="2" t="s">
        <v>2703</v>
      </c>
      <c r="C902" s="2" t="s">
        <v>2704</v>
      </c>
      <c r="D902" s="2" t="s">
        <v>10041</v>
      </c>
      <c r="E902" s="15">
        <v>1.1000000000000001E-3</v>
      </c>
      <c r="F902" s="15">
        <v>9.1999999999999998E-2</v>
      </c>
      <c r="G902" s="15">
        <v>0.99029999999999996</v>
      </c>
      <c r="H902" s="15">
        <v>0.15090000000000001</v>
      </c>
      <c r="I902" s="15">
        <v>5.1499999999999997E-2</v>
      </c>
      <c r="J902" s="15">
        <v>2.9300970873786412</v>
      </c>
    </row>
    <row r="903" spans="1:10" x14ac:dyDescent="0.25">
      <c r="A903" s="2" t="s">
        <v>2705</v>
      </c>
      <c r="B903" s="2" t="s">
        <v>2706</v>
      </c>
      <c r="C903" s="2" t="s">
        <v>2707</v>
      </c>
      <c r="D903" s="2" t="s">
        <v>10041</v>
      </c>
      <c r="E903" s="15">
        <v>2.29E-2</v>
      </c>
      <c r="F903" s="15">
        <v>0.10299999999999999</v>
      </c>
      <c r="G903" s="15">
        <v>0.82379999999999998</v>
      </c>
      <c r="H903" s="15">
        <v>0.13539999999999999</v>
      </c>
      <c r="I903" s="15">
        <v>4.2000000000000003E-2</v>
      </c>
      <c r="J903" s="15">
        <v>3.223809523809523</v>
      </c>
    </row>
    <row r="904" spans="1:10" x14ac:dyDescent="0.25">
      <c r="A904" s="2" t="s">
        <v>2708</v>
      </c>
      <c r="B904" s="2" t="s">
        <v>2709</v>
      </c>
      <c r="C904" s="2" t="s">
        <v>2710</v>
      </c>
      <c r="D904" s="2" t="s">
        <v>10041</v>
      </c>
      <c r="E904" s="15">
        <v>0.1426</v>
      </c>
      <c r="F904" s="15">
        <v>9.1499999999999998E-2</v>
      </c>
      <c r="G904" s="15">
        <v>0.1192</v>
      </c>
      <c r="H904" s="15">
        <v>0.16170000000000001</v>
      </c>
      <c r="I904" s="15">
        <v>4.7800000000000002E-2</v>
      </c>
      <c r="J904" s="15">
        <v>3.3828451882845192</v>
      </c>
    </row>
    <row r="905" spans="1:10" x14ac:dyDescent="0.25">
      <c r="A905" s="2" t="s">
        <v>2711</v>
      </c>
      <c r="B905" s="2" t="s">
        <v>2712</v>
      </c>
      <c r="C905" s="2" t="s">
        <v>2713</v>
      </c>
      <c r="D905" s="2" t="s">
        <v>10041</v>
      </c>
      <c r="E905" s="15">
        <v>-1.37E-2</v>
      </c>
      <c r="F905" s="15">
        <v>0.10730000000000001</v>
      </c>
      <c r="G905" s="15">
        <v>0.89859999999999995</v>
      </c>
      <c r="H905" s="15">
        <v>0.124</v>
      </c>
      <c r="I905" s="15">
        <v>4.3999999999999997E-2</v>
      </c>
      <c r="J905" s="15">
        <v>2.8181818181818179</v>
      </c>
    </row>
    <row r="906" spans="1:10" x14ac:dyDescent="0.25">
      <c r="A906" s="2" t="s">
        <v>2714</v>
      </c>
      <c r="B906" s="2" t="s">
        <v>2715</v>
      </c>
      <c r="C906" s="2" t="s">
        <v>2716</v>
      </c>
      <c r="D906" s="2" t="s">
        <v>10041</v>
      </c>
      <c r="E906" s="15">
        <v>-3.0800000000000001E-2</v>
      </c>
      <c r="F906" s="15">
        <v>8.9399999999999993E-2</v>
      </c>
      <c r="G906" s="15">
        <v>0.73060000000000003</v>
      </c>
      <c r="H906" s="15">
        <v>0.1565</v>
      </c>
      <c r="I906" s="15">
        <v>4.7699999999999999E-2</v>
      </c>
      <c r="J906" s="15">
        <v>3.2809224318658279</v>
      </c>
    </row>
    <row r="907" spans="1:10" x14ac:dyDescent="0.25">
      <c r="A907" s="2" t="s">
        <v>2717</v>
      </c>
      <c r="B907" s="2" t="s">
        <v>2718</v>
      </c>
      <c r="C907" s="2" t="s">
        <v>2719</v>
      </c>
      <c r="D907" s="2" t="s">
        <v>10041</v>
      </c>
      <c r="E907" s="15">
        <v>-3.9699999999999999E-2</v>
      </c>
      <c r="F907" s="15">
        <v>7.3300000000000004E-2</v>
      </c>
      <c r="G907" s="15">
        <v>0.58819999999999995</v>
      </c>
      <c r="H907" s="15">
        <v>0.2387</v>
      </c>
      <c r="I907" s="15">
        <v>8.09E-2</v>
      </c>
      <c r="J907" s="15">
        <v>2.9505562422744132</v>
      </c>
    </row>
    <row r="908" spans="1:10" x14ac:dyDescent="0.25">
      <c r="A908" s="2" t="s">
        <v>2720</v>
      </c>
      <c r="B908" s="2" t="s">
        <v>2721</v>
      </c>
      <c r="C908" s="2" t="s">
        <v>2722</v>
      </c>
      <c r="D908" s="2" t="s">
        <v>10041</v>
      </c>
      <c r="E908" s="15">
        <v>0.1087</v>
      </c>
      <c r="F908" s="15">
        <v>0.1109</v>
      </c>
      <c r="G908" s="15">
        <v>0.32679999999999998</v>
      </c>
      <c r="H908" s="15">
        <v>0.10580000000000001</v>
      </c>
      <c r="I908" s="15">
        <v>4.5699999999999998E-2</v>
      </c>
      <c r="J908" s="15">
        <v>2.3150984682713349</v>
      </c>
    </row>
    <row r="909" spans="1:10" x14ac:dyDescent="0.25">
      <c r="A909" s="2" t="s">
        <v>2723</v>
      </c>
      <c r="B909" s="2" t="s">
        <v>2724</v>
      </c>
      <c r="C909" s="2" t="s">
        <v>2725</v>
      </c>
      <c r="D909" s="2" t="s">
        <v>10041</v>
      </c>
      <c r="E909" s="15">
        <v>-7.9000000000000001E-2</v>
      </c>
      <c r="F909" s="15">
        <v>0.1578</v>
      </c>
      <c r="G909" s="15">
        <v>0.61670000000000003</v>
      </c>
      <c r="H909" s="15">
        <v>5.1299999999999998E-2</v>
      </c>
      <c r="I909" s="15">
        <v>4.24E-2</v>
      </c>
      <c r="J909" s="15">
        <v>1.2099056603773579</v>
      </c>
    </row>
    <row r="910" spans="1:10" x14ac:dyDescent="0.25">
      <c r="A910" s="2" t="s">
        <v>2726</v>
      </c>
      <c r="B910" s="2" t="s">
        <v>2727</v>
      </c>
      <c r="C910" s="2" t="s">
        <v>2728</v>
      </c>
      <c r="D910" s="2" t="s">
        <v>10041</v>
      </c>
      <c r="E910" s="15">
        <v>0.1153</v>
      </c>
      <c r="F910" s="15">
        <v>8.5400000000000004E-2</v>
      </c>
      <c r="G910" s="15">
        <v>0.17730000000000001</v>
      </c>
      <c r="H910" s="15">
        <v>0.16869999999999999</v>
      </c>
      <c r="I910" s="15">
        <v>4.4400000000000002E-2</v>
      </c>
      <c r="J910" s="15">
        <v>3.7995495495495488</v>
      </c>
    </row>
    <row r="911" spans="1:10" x14ac:dyDescent="0.25">
      <c r="A911" s="2" t="s">
        <v>2729</v>
      </c>
      <c r="B911" s="2" t="s">
        <v>2730</v>
      </c>
      <c r="C911" s="2" t="s">
        <v>2731</v>
      </c>
      <c r="D911" s="2" t="s">
        <v>10041</v>
      </c>
      <c r="E911" s="15">
        <v>-2.8299999999999999E-2</v>
      </c>
      <c r="F911" s="15">
        <v>0.1018</v>
      </c>
      <c r="G911" s="15">
        <v>0.78100000000000003</v>
      </c>
      <c r="H911" s="15">
        <v>0.1628</v>
      </c>
      <c r="I911" s="15">
        <v>4.3099999999999999E-2</v>
      </c>
      <c r="J911" s="15">
        <v>3.777262180974478</v>
      </c>
    </row>
    <row r="912" spans="1:10" x14ac:dyDescent="0.25">
      <c r="A912" s="2" t="s">
        <v>2732</v>
      </c>
      <c r="B912" s="2" t="s">
        <v>2733</v>
      </c>
      <c r="C912" s="2" t="s">
        <v>2734</v>
      </c>
      <c r="D912" s="2" t="s">
        <v>10041</v>
      </c>
      <c r="E912" s="15">
        <v>0.1605</v>
      </c>
      <c r="F912" s="15">
        <v>0.1113</v>
      </c>
      <c r="G912" s="15">
        <v>0.14910000000000001</v>
      </c>
      <c r="H912" s="15">
        <v>0.1024</v>
      </c>
      <c r="I912" s="15">
        <v>4.2500000000000003E-2</v>
      </c>
      <c r="J912" s="15">
        <v>2.4094117647058821</v>
      </c>
    </row>
    <row r="913" spans="1:10" x14ac:dyDescent="0.25">
      <c r="A913" s="2" t="s">
        <v>2735</v>
      </c>
      <c r="B913" s="2" t="s">
        <v>2736</v>
      </c>
      <c r="C913" s="2" t="s">
        <v>2737</v>
      </c>
      <c r="D913" s="2" t="s">
        <v>10041</v>
      </c>
      <c r="E913" s="15"/>
      <c r="F913" s="15"/>
      <c r="G913" s="15"/>
      <c r="H913" s="15"/>
      <c r="I913" s="15"/>
      <c r="J913" s="15"/>
    </row>
    <row r="914" spans="1:10" x14ac:dyDescent="0.25">
      <c r="A914" s="2" t="s">
        <v>2738</v>
      </c>
      <c r="B914" s="2" t="s">
        <v>2739</v>
      </c>
      <c r="C914" s="2" t="s">
        <v>2740</v>
      </c>
      <c r="D914" s="2" t="s">
        <v>10041</v>
      </c>
      <c r="E914" s="15">
        <v>-0.11899999999999999</v>
      </c>
      <c r="F914" s="15">
        <v>7.6899999999999996E-2</v>
      </c>
      <c r="G914" s="15">
        <v>0.12189999999999999</v>
      </c>
      <c r="H914" s="15">
        <v>0.2364</v>
      </c>
      <c r="I914" s="15">
        <v>4.48E-2</v>
      </c>
      <c r="J914" s="15">
        <v>5.2767857142857144</v>
      </c>
    </row>
    <row r="915" spans="1:10" x14ac:dyDescent="0.25">
      <c r="A915" s="2" t="s">
        <v>2741</v>
      </c>
      <c r="B915" s="2" t="s">
        <v>2742</v>
      </c>
      <c r="C915" s="2" t="s">
        <v>2743</v>
      </c>
      <c r="D915" s="2" t="s">
        <v>10041</v>
      </c>
      <c r="E915" s="15">
        <v>1.5599999999999999E-2</v>
      </c>
      <c r="F915" s="15">
        <v>9.0200000000000002E-2</v>
      </c>
      <c r="G915" s="15">
        <v>0.86229999999999996</v>
      </c>
      <c r="H915" s="15">
        <v>0.1545</v>
      </c>
      <c r="I915" s="15">
        <v>4.5499999999999999E-2</v>
      </c>
      <c r="J915" s="15">
        <v>3.395604395604396</v>
      </c>
    </row>
    <row r="916" spans="1:10" x14ac:dyDescent="0.25">
      <c r="A916" s="2" t="s">
        <v>2744</v>
      </c>
      <c r="B916" s="2" t="s">
        <v>2745</v>
      </c>
      <c r="C916" s="2" t="s">
        <v>2746</v>
      </c>
      <c r="D916" s="2" t="s">
        <v>10041</v>
      </c>
      <c r="E916" s="15">
        <v>-1.7600000000000001E-2</v>
      </c>
      <c r="F916" s="15">
        <v>8.4699999999999998E-2</v>
      </c>
      <c r="G916" s="15">
        <v>0.83579999999999999</v>
      </c>
      <c r="H916" s="15">
        <v>0.2155</v>
      </c>
      <c r="I916" s="15">
        <v>5.4399999999999997E-2</v>
      </c>
      <c r="J916" s="15">
        <v>3.961397058823529</v>
      </c>
    </row>
    <row r="917" spans="1:10" x14ac:dyDescent="0.25">
      <c r="A917" s="2" t="s">
        <v>2747</v>
      </c>
      <c r="B917" s="2" t="s">
        <v>2748</v>
      </c>
      <c r="C917" s="2" t="s">
        <v>2749</v>
      </c>
      <c r="D917" s="2" t="s">
        <v>10041</v>
      </c>
      <c r="E917" s="15">
        <v>-6.0699999999999997E-2</v>
      </c>
      <c r="F917" s="15">
        <v>8.2199999999999995E-2</v>
      </c>
      <c r="G917" s="15">
        <v>0.46039999999999998</v>
      </c>
      <c r="H917" s="15">
        <v>0.24390000000000001</v>
      </c>
      <c r="I917" s="15">
        <v>5.5E-2</v>
      </c>
      <c r="J917" s="15">
        <v>4.4345454545454546</v>
      </c>
    </row>
    <row r="918" spans="1:10" x14ac:dyDescent="0.25">
      <c r="A918" s="2" t="s">
        <v>2750</v>
      </c>
      <c r="B918" s="2" t="s">
        <v>2751</v>
      </c>
      <c r="C918" s="2" t="s">
        <v>2752</v>
      </c>
      <c r="D918" s="2" t="s">
        <v>10041</v>
      </c>
      <c r="E918" s="15">
        <v>-0.105</v>
      </c>
      <c r="F918" s="15">
        <v>9.3600000000000003E-2</v>
      </c>
      <c r="G918" s="15">
        <v>0.26229999999999998</v>
      </c>
      <c r="H918" s="15">
        <v>0.1845</v>
      </c>
      <c r="I918" s="15">
        <v>5.0799999999999998E-2</v>
      </c>
      <c r="J918" s="15">
        <v>3.6318897637795282</v>
      </c>
    </row>
    <row r="919" spans="1:10" x14ac:dyDescent="0.25">
      <c r="A919" s="2" t="s">
        <v>2753</v>
      </c>
      <c r="B919" s="2" t="s">
        <v>2754</v>
      </c>
      <c r="C919" s="2" t="s">
        <v>2755</v>
      </c>
      <c r="D919" s="2" t="s">
        <v>10041</v>
      </c>
      <c r="E919" s="15">
        <v>0.13220000000000001</v>
      </c>
      <c r="F919" s="15">
        <v>9.0700000000000003E-2</v>
      </c>
      <c r="G919" s="15">
        <v>0.1449</v>
      </c>
      <c r="H919" s="15">
        <v>0.1709</v>
      </c>
      <c r="I919" s="15">
        <v>4.3099999999999999E-2</v>
      </c>
      <c r="J919" s="15">
        <v>3.9651972157772621</v>
      </c>
    </row>
    <row r="920" spans="1:10" x14ac:dyDescent="0.25">
      <c r="A920" s="2" t="s">
        <v>2756</v>
      </c>
      <c r="B920" s="2" t="s">
        <v>2757</v>
      </c>
      <c r="C920" s="2" t="s">
        <v>2758</v>
      </c>
      <c r="D920" s="2" t="s">
        <v>10041</v>
      </c>
      <c r="E920" s="15">
        <v>2.98E-2</v>
      </c>
      <c r="F920" s="15">
        <v>8.2299999999999998E-2</v>
      </c>
      <c r="G920" s="15">
        <v>0.71779999999999999</v>
      </c>
      <c r="H920" s="15">
        <v>0.18279999999999999</v>
      </c>
      <c r="I920" s="15">
        <v>4.3299999999999998E-2</v>
      </c>
      <c r="J920" s="15">
        <v>4.221709006928406</v>
      </c>
    </row>
    <row r="921" spans="1:10" x14ac:dyDescent="0.25">
      <c r="A921" s="2" t="s">
        <v>2759</v>
      </c>
      <c r="B921" s="2" t="s">
        <v>2760</v>
      </c>
      <c r="C921" s="2" t="s">
        <v>2761</v>
      </c>
      <c r="D921" s="2" t="s">
        <v>10041</v>
      </c>
      <c r="E921" s="15">
        <v>-5.0599999999999999E-2</v>
      </c>
      <c r="F921" s="15">
        <v>9.8500000000000004E-2</v>
      </c>
      <c r="G921" s="15">
        <v>0.60729999999999995</v>
      </c>
      <c r="H921" s="15">
        <v>0.13789999999999999</v>
      </c>
      <c r="I921" s="15">
        <v>4.7500000000000001E-2</v>
      </c>
      <c r="J921" s="15">
        <v>2.9031578947368422</v>
      </c>
    </row>
    <row r="922" spans="1:10" x14ac:dyDescent="0.25">
      <c r="A922" s="2" t="s">
        <v>2762</v>
      </c>
      <c r="B922" s="2" t="s">
        <v>2763</v>
      </c>
      <c r="C922" s="2" t="s">
        <v>2764</v>
      </c>
      <c r="D922" s="2" t="s">
        <v>10041</v>
      </c>
      <c r="E922" s="15">
        <v>7.3999999999999996E-2</v>
      </c>
      <c r="F922" s="15">
        <v>8.0100000000000005E-2</v>
      </c>
      <c r="G922" s="15">
        <v>0.3553</v>
      </c>
      <c r="H922" s="15">
        <v>0.19359999999999999</v>
      </c>
      <c r="I922" s="15">
        <v>5.7099999999999998E-2</v>
      </c>
      <c r="J922" s="15">
        <v>3.390542907180385</v>
      </c>
    </row>
    <row r="923" spans="1:10" x14ac:dyDescent="0.25">
      <c r="A923" s="2" t="s">
        <v>2765</v>
      </c>
      <c r="B923" s="2" t="s">
        <v>2766</v>
      </c>
      <c r="C923" s="2" t="s">
        <v>2767</v>
      </c>
      <c r="D923" s="2" t="s">
        <v>10041</v>
      </c>
      <c r="E923" s="15">
        <v>1.1599999999999999E-2</v>
      </c>
      <c r="F923" s="15">
        <v>6.7699999999999996E-2</v>
      </c>
      <c r="G923" s="15">
        <v>0.86450000000000005</v>
      </c>
      <c r="H923" s="15">
        <v>0.30809999999999998</v>
      </c>
      <c r="I923" s="15">
        <v>4.3799999999999999E-2</v>
      </c>
      <c r="J923" s="15">
        <v>7.0342465753424657</v>
      </c>
    </row>
    <row r="924" spans="1:10" x14ac:dyDescent="0.25">
      <c r="A924" s="2" t="s">
        <v>2768</v>
      </c>
      <c r="B924" s="2" t="s">
        <v>2769</v>
      </c>
      <c r="C924" s="2" t="s">
        <v>2770</v>
      </c>
      <c r="D924" s="2" t="s">
        <v>10041</v>
      </c>
      <c r="E924" s="15">
        <v>4.2900000000000001E-2</v>
      </c>
      <c r="F924" s="15">
        <v>0.14879999999999999</v>
      </c>
      <c r="G924" s="15">
        <v>0.77300000000000002</v>
      </c>
      <c r="H924" s="15">
        <v>4.9399999999999999E-2</v>
      </c>
      <c r="I924" s="15">
        <v>4.1000000000000002E-2</v>
      </c>
      <c r="J924" s="15">
        <v>1.204878048780488</v>
      </c>
    </row>
    <row r="925" spans="1:10" x14ac:dyDescent="0.25">
      <c r="A925" s="2" t="s">
        <v>2771</v>
      </c>
      <c r="B925" s="2" t="s">
        <v>2772</v>
      </c>
      <c r="C925" s="2" t="s">
        <v>2773</v>
      </c>
      <c r="D925" s="2" t="s">
        <v>10041</v>
      </c>
      <c r="E925" s="15">
        <v>0.26090000000000002</v>
      </c>
      <c r="F925" s="15">
        <v>0.21510000000000001</v>
      </c>
      <c r="G925" s="15">
        <v>0.22520000000000001</v>
      </c>
      <c r="H925" s="15">
        <v>4.48E-2</v>
      </c>
      <c r="I925" s="15">
        <v>4.19E-2</v>
      </c>
      <c r="J925" s="15">
        <v>1.0692124105011931</v>
      </c>
    </row>
    <row r="926" spans="1:10" x14ac:dyDescent="0.25">
      <c r="A926" s="2" t="s">
        <v>2774</v>
      </c>
      <c r="B926" s="2" t="s">
        <v>2775</v>
      </c>
      <c r="C926" s="2" t="s">
        <v>2776</v>
      </c>
      <c r="D926" s="2" t="s">
        <v>10041</v>
      </c>
      <c r="E926" s="15">
        <v>3.5700000000000003E-2</v>
      </c>
      <c r="F926" s="15">
        <v>9.5100000000000004E-2</v>
      </c>
      <c r="G926" s="15">
        <v>0.70779999999999998</v>
      </c>
      <c r="H926" s="15">
        <v>0.13039999999999999</v>
      </c>
      <c r="I926" s="15">
        <v>4.24E-2</v>
      </c>
      <c r="J926" s="15">
        <v>3.0754716981132071</v>
      </c>
    </row>
    <row r="927" spans="1:10" x14ac:dyDescent="0.25">
      <c r="A927" s="2" t="s">
        <v>2777</v>
      </c>
      <c r="B927" s="2" t="s">
        <v>2778</v>
      </c>
      <c r="C927" s="2" t="s">
        <v>2779</v>
      </c>
      <c r="D927" s="2" t="s">
        <v>10041</v>
      </c>
      <c r="E927" s="15">
        <v>3.8600000000000002E-2</v>
      </c>
      <c r="F927" s="15">
        <v>0.10100000000000001</v>
      </c>
      <c r="G927" s="15">
        <v>0.70230000000000004</v>
      </c>
      <c r="H927" s="15">
        <v>0.12379999999999999</v>
      </c>
      <c r="I927" s="15">
        <v>4.5400000000000003E-2</v>
      </c>
      <c r="J927" s="15">
        <v>2.7268722466960349</v>
      </c>
    </row>
    <row r="928" spans="1:10" x14ac:dyDescent="0.25">
      <c r="A928" s="2" t="s">
        <v>2780</v>
      </c>
      <c r="B928" s="2" t="s">
        <v>2781</v>
      </c>
      <c r="C928" s="2" t="s">
        <v>2782</v>
      </c>
      <c r="D928" s="2" t="s">
        <v>10041</v>
      </c>
      <c r="E928" s="15">
        <v>-0.106</v>
      </c>
      <c r="F928" s="15">
        <v>0.13339999999999999</v>
      </c>
      <c r="G928" s="15">
        <v>0.42680000000000001</v>
      </c>
      <c r="H928" s="15">
        <v>7.8700000000000006E-2</v>
      </c>
      <c r="I928" s="15">
        <v>4.4400000000000002E-2</v>
      </c>
      <c r="J928" s="15">
        <v>1.772522522522523</v>
      </c>
    </row>
    <row r="929" spans="1:10" x14ac:dyDescent="0.25">
      <c r="A929" s="2" t="s">
        <v>2783</v>
      </c>
      <c r="B929" s="2" t="s">
        <v>2784</v>
      </c>
      <c r="C929" s="2" t="s">
        <v>2785</v>
      </c>
      <c r="D929" s="2" t="s">
        <v>10041</v>
      </c>
      <c r="E929" s="15">
        <v>-0.1273</v>
      </c>
      <c r="F929" s="15">
        <v>0.11749999999999999</v>
      </c>
      <c r="G929" s="15">
        <v>0.27860000000000001</v>
      </c>
      <c r="H929" s="15">
        <v>0.1171</v>
      </c>
      <c r="I929" s="15">
        <v>4.2900000000000001E-2</v>
      </c>
      <c r="J929" s="15">
        <v>2.729603729603729</v>
      </c>
    </row>
    <row r="930" spans="1:10" x14ac:dyDescent="0.25">
      <c r="A930" s="2" t="s">
        <v>2786</v>
      </c>
      <c r="B930" s="2" t="s">
        <v>2787</v>
      </c>
      <c r="C930" s="2" t="s">
        <v>2788</v>
      </c>
      <c r="D930" s="2" t="s">
        <v>10041</v>
      </c>
      <c r="E930" s="15">
        <v>-5.8999999999999997E-2</v>
      </c>
      <c r="F930" s="15">
        <v>0.1167</v>
      </c>
      <c r="G930" s="15">
        <v>0.61329999999999996</v>
      </c>
      <c r="H930" s="15">
        <v>8.7599999999999997E-2</v>
      </c>
      <c r="I930" s="15">
        <v>4.6600000000000003E-2</v>
      </c>
      <c r="J930" s="15">
        <v>1.8798283261802571</v>
      </c>
    </row>
    <row r="931" spans="1:10" x14ac:dyDescent="0.25">
      <c r="A931" s="2" t="s">
        <v>2789</v>
      </c>
      <c r="B931" s="2" t="s">
        <v>2790</v>
      </c>
      <c r="C931" s="2" t="s">
        <v>2791</v>
      </c>
      <c r="D931" s="2" t="s">
        <v>10041</v>
      </c>
      <c r="E931" s="15">
        <v>3.2399999999999998E-2</v>
      </c>
      <c r="F931" s="15">
        <v>0.1077</v>
      </c>
      <c r="G931" s="15">
        <v>0.76319999999999999</v>
      </c>
      <c r="H931" s="15">
        <v>9.6100000000000005E-2</v>
      </c>
      <c r="I931" s="15">
        <v>4.3700000000000003E-2</v>
      </c>
      <c r="J931" s="15">
        <v>2.1990846681922198</v>
      </c>
    </row>
    <row r="932" spans="1:10" x14ac:dyDescent="0.25">
      <c r="A932" s="2" t="s">
        <v>2792</v>
      </c>
      <c r="B932" s="2" t="s">
        <v>2793</v>
      </c>
      <c r="C932" s="2" t="s">
        <v>2794</v>
      </c>
      <c r="D932" s="2" t="s">
        <v>10041</v>
      </c>
      <c r="E932" s="15">
        <v>5.3100000000000001E-2</v>
      </c>
      <c r="F932" s="15">
        <v>0.1119</v>
      </c>
      <c r="G932" s="15">
        <v>0.63500000000000001</v>
      </c>
      <c r="H932" s="15">
        <v>0.10829999999999999</v>
      </c>
      <c r="I932" s="15">
        <v>4.3200000000000002E-2</v>
      </c>
      <c r="J932" s="15">
        <v>2.5069444444444442</v>
      </c>
    </row>
    <row r="933" spans="1:10" x14ac:dyDescent="0.25">
      <c r="A933" s="2" t="s">
        <v>2795</v>
      </c>
      <c r="B933" s="2" t="s">
        <v>2796</v>
      </c>
      <c r="C933" s="2" t="s">
        <v>2797</v>
      </c>
      <c r="D933" s="2" t="s">
        <v>10041</v>
      </c>
      <c r="E933" s="15">
        <v>-3.1199999999999999E-2</v>
      </c>
      <c r="F933" s="15">
        <v>9.8500000000000004E-2</v>
      </c>
      <c r="G933" s="15">
        <v>0.75109999999999999</v>
      </c>
      <c r="H933" s="15">
        <v>0.13519999999999999</v>
      </c>
      <c r="I933" s="15">
        <v>6.4299999999999996E-2</v>
      </c>
      <c r="J933" s="15">
        <v>2.1026438569206838</v>
      </c>
    </row>
    <row r="934" spans="1:10" x14ac:dyDescent="0.25">
      <c r="A934" s="2" t="s">
        <v>2798</v>
      </c>
      <c r="B934" s="2" t="s">
        <v>2799</v>
      </c>
      <c r="C934" s="2" t="s">
        <v>2800</v>
      </c>
      <c r="D934" s="2" t="s">
        <v>10041</v>
      </c>
      <c r="E934" s="15">
        <v>9.2999999999999992E-3</v>
      </c>
      <c r="F934" s="15">
        <v>9.01E-2</v>
      </c>
      <c r="G934" s="15">
        <v>0.91759999999999997</v>
      </c>
      <c r="H934" s="15">
        <v>0.1646</v>
      </c>
      <c r="I934" s="15">
        <v>5.0500000000000003E-2</v>
      </c>
      <c r="J934" s="15">
        <v>3.2594059405940592</v>
      </c>
    </row>
    <row r="935" spans="1:10" x14ac:dyDescent="0.25">
      <c r="A935" s="2" t="s">
        <v>2801</v>
      </c>
      <c r="B935" s="2" t="s">
        <v>2802</v>
      </c>
      <c r="C935" s="2" t="s">
        <v>2803</v>
      </c>
      <c r="D935" s="2" t="s">
        <v>10041</v>
      </c>
      <c r="E935" s="15">
        <v>8.2600000000000007E-2</v>
      </c>
      <c r="F935" s="15">
        <v>0.1467</v>
      </c>
      <c r="G935" s="15">
        <v>0.57299999999999995</v>
      </c>
      <c r="H935" s="15">
        <v>6.54E-2</v>
      </c>
      <c r="I935" s="15">
        <v>4.7100000000000003E-2</v>
      </c>
      <c r="J935" s="15">
        <v>1.3885350318471339</v>
      </c>
    </row>
    <row r="936" spans="1:10" x14ac:dyDescent="0.25">
      <c r="A936" s="2" t="s">
        <v>2804</v>
      </c>
      <c r="B936" s="2" t="s">
        <v>2805</v>
      </c>
      <c r="C936" s="2" t="s">
        <v>2806</v>
      </c>
      <c r="D936" s="2" t="s">
        <v>10041</v>
      </c>
      <c r="E936" s="15">
        <v>1.11E-2</v>
      </c>
      <c r="F936" s="15">
        <v>7.6100000000000001E-2</v>
      </c>
      <c r="G936" s="15">
        <v>0.88370000000000004</v>
      </c>
      <c r="H936" s="15">
        <v>0.2135</v>
      </c>
      <c r="I936" s="15">
        <v>4.7800000000000002E-2</v>
      </c>
      <c r="J936" s="15">
        <v>4.4665271966527191</v>
      </c>
    </row>
    <row r="937" spans="1:10" x14ac:dyDescent="0.25">
      <c r="A937" s="2" t="s">
        <v>2807</v>
      </c>
      <c r="B937" s="2" t="s">
        <v>2808</v>
      </c>
      <c r="C937" s="2" t="s">
        <v>2809</v>
      </c>
      <c r="D937" s="2" t="s">
        <v>10041</v>
      </c>
      <c r="E937" s="15">
        <v>0.12429999999999999</v>
      </c>
      <c r="F937" s="15">
        <v>6.3399999999999998E-2</v>
      </c>
      <c r="G937" s="15">
        <v>0.05</v>
      </c>
      <c r="H937" s="15">
        <v>0.28610000000000002</v>
      </c>
      <c r="I937" s="15">
        <v>4.9500000000000002E-2</v>
      </c>
      <c r="J937" s="15">
        <v>5.7797979797979799</v>
      </c>
    </row>
    <row r="938" spans="1:10" x14ac:dyDescent="0.25">
      <c r="A938" s="2" t="s">
        <v>2810</v>
      </c>
      <c r="B938" s="2" t="s">
        <v>2811</v>
      </c>
      <c r="C938" s="2" t="s">
        <v>2812</v>
      </c>
      <c r="D938" s="2" t="s">
        <v>10041</v>
      </c>
      <c r="E938" s="15">
        <v>0.2041</v>
      </c>
      <c r="F938" s="15">
        <v>9.6799999999999997E-2</v>
      </c>
      <c r="G938" s="15">
        <v>3.5099999999999999E-2</v>
      </c>
      <c r="H938" s="15">
        <v>0.14460000000000001</v>
      </c>
      <c r="I938" s="15">
        <v>4.41E-2</v>
      </c>
      <c r="J938" s="15">
        <v>3.27891156462585</v>
      </c>
    </row>
    <row r="939" spans="1:10" x14ac:dyDescent="0.25">
      <c r="A939" s="2" t="s">
        <v>2813</v>
      </c>
      <c r="B939" s="2" t="s">
        <v>2814</v>
      </c>
      <c r="C939" s="2" t="s">
        <v>2815</v>
      </c>
      <c r="D939" s="2" t="s">
        <v>10041</v>
      </c>
      <c r="E939" s="15">
        <v>7.1999999999999998E-3</v>
      </c>
      <c r="F939" s="15">
        <v>7.7600000000000002E-2</v>
      </c>
      <c r="G939" s="15">
        <v>0.92610000000000003</v>
      </c>
      <c r="H939" s="15">
        <v>0.19059999999999999</v>
      </c>
      <c r="I939" s="15">
        <v>4.6399999999999997E-2</v>
      </c>
      <c r="J939" s="15">
        <v>4.1077586206896557</v>
      </c>
    </row>
    <row r="940" spans="1:10" x14ac:dyDescent="0.25">
      <c r="A940" s="2" t="s">
        <v>2816</v>
      </c>
      <c r="B940" s="2" t="s">
        <v>2817</v>
      </c>
      <c r="C940" s="2" t="s">
        <v>2818</v>
      </c>
      <c r="D940" s="2" t="s">
        <v>10041</v>
      </c>
      <c r="E940" s="15">
        <v>-0.12620000000000001</v>
      </c>
      <c r="F940" s="15">
        <v>0.10340000000000001</v>
      </c>
      <c r="G940" s="15">
        <v>0.22209999999999999</v>
      </c>
      <c r="H940" s="15">
        <v>0.1142</v>
      </c>
      <c r="I940" s="15">
        <v>4.6199999999999998E-2</v>
      </c>
      <c r="J940" s="15">
        <v>2.4718614718614722</v>
      </c>
    </row>
    <row r="941" spans="1:10" x14ac:dyDescent="0.25">
      <c r="A941" s="2" t="s">
        <v>2819</v>
      </c>
      <c r="B941" s="2" t="s">
        <v>2820</v>
      </c>
      <c r="C941" s="2" t="s">
        <v>2821</v>
      </c>
      <c r="D941" s="2" t="s">
        <v>10041</v>
      </c>
      <c r="E941" s="15">
        <v>-0.161</v>
      </c>
      <c r="F941" s="15">
        <v>0.14269999999999999</v>
      </c>
      <c r="G941" s="15">
        <v>0.25929999999999997</v>
      </c>
      <c r="H941" s="15">
        <v>8.0699999999999994E-2</v>
      </c>
      <c r="I941" s="15">
        <v>4.1300000000000003E-2</v>
      </c>
      <c r="J941" s="15">
        <v>1.9539951573849881</v>
      </c>
    </row>
    <row r="942" spans="1:10" x14ac:dyDescent="0.25">
      <c r="A942" s="2" t="s">
        <v>2822</v>
      </c>
      <c r="B942" s="2" t="s">
        <v>2823</v>
      </c>
      <c r="C942" s="2" t="s">
        <v>2824</v>
      </c>
      <c r="D942" s="2" t="s">
        <v>10041</v>
      </c>
      <c r="E942" s="15">
        <v>2.9499999999999998E-2</v>
      </c>
      <c r="F942" s="15">
        <v>0.14549999999999999</v>
      </c>
      <c r="G942" s="15">
        <v>0.83960000000000001</v>
      </c>
      <c r="H942" s="15">
        <v>5.9700000000000003E-2</v>
      </c>
      <c r="I942" s="15">
        <v>0.04</v>
      </c>
      <c r="J942" s="15">
        <v>1.4924999999999999</v>
      </c>
    </row>
    <row r="943" spans="1:10" x14ac:dyDescent="0.25">
      <c r="A943" s="2" t="s">
        <v>2825</v>
      </c>
      <c r="B943" s="2" t="s">
        <v>2826</v>
      </c>
      <c r="C943" s="2" t="s">
        <v>2827</v>
      </c>
      <c r="D943" s="2" t="s">
        <v>10041</v>
      </c>
      <c r="E943" s="15">
        <v>9.6100000000000005E-2</v>
      </c>
      <c r="F943" s="15">
        <v>9.9699999999999997E-2</v>
      </c>
      <c r="G943" s="15">
        <v>0.33489999999999998</v>
      </c>
      <c r="H943" s="15">
        <v>0.13539999999999999</v>
      </c>
      <c r="I943" s="15">
        <v>4.5499999999999999E-2</v>
      </c>
      <c r="J943" s="15">
        <v>2.9758241758241759</v>
      </c>
    </row>
    <row r="944" spans="1:10" x14ac:dyDescent="0.25">
      <c r="A944" s="2" t="s">
        <v>2828</v>
      </c>
      <c r="B944" s="2" t="s">
        <v>2829</v>
      </c>
      <c r="C944" s="2" t="s">
        <v>2830</v>
      </c>
      <c r="D944" s="2" t="s">
        <v>10041</v>
      </c>
      <c r="E944" s="15">
        <v>3.1600000000000003E-2</v>
      </c>
      <c r="F944" s="15">
        <v>0.1278</v>
      </c>
      <c r="G944" s="15">
        <v>0.80479999999999996</v>
      </c>
      <c r="H944" s="15">
        <v>7.9699999999999993E-2</v>
      </c>
      <c r="I944" s="15">
        <v>4.36E-2</v>
      </c>
      <c r="J944" s="15">
        <v>1.8279816513761471</v>
      </c>
    </row>
    <row r="945" spans="1:10" x14ac:dyDescent="0.25">
      <c r="A945" s="2" t="s">
        <v>2831</v>
      </c>
      <c r="B945" s="2" t="s">
        <v>2832</v>
      </c>
      <c r="C945" s="2" t="s">
        <v>2833</v>
      </c>
      <c r="D945" s="2" t="s">
        <v>10041</v>
      </c>
      <c r="E945" s="15">
        <v>0.1686</v>
      </c>
      <c r="F945" s="15">
        <v>9.5000000000000001E-2</v>
      </c>
      <c r="G945" s="15">
        <v>7.5800000000000006E-2</v>
      </c>
      <c r="H945" s="15">
        <v>0.15210000000000001</v>
      </c>
      <c r="I945" s="15">
        <v>4.6899999999999997E-2</v>
      </c>
      <c r="J945" s="15">
        <v>3.2430703624733481</v>
      </c>
    </row>
    <row r="946" spans="1:10" x14ac:dyDescent="0.25">
      <c r="A946" s="2" t="s">
        <v>2834</v>
      </c>
      <c r="B946" s="2" t="s">
        <v>2835</v>
      </c>
      <c r="C946" s="2" t="s">
        <v>2836</v>
      </c>
      <c r="D946" s="2" t="s">
        <v>10041</v>
      </c>
      <c r="E946" s="15">
        <v>0.1086</v>
      </c>
      <c r="F946" s="15">
        <v>8.5599999999999996E-2</v>
      </c>
      <c r="G946" s="15">
        <v>0.20449999999999999</v>
      </c>
      <c r="H946" s="15">
        <v>0.21260000000000001</v>
      </c>
      <c r="I946" s="15">
        <v>4.5600000000000002E-2</v>
      </c>
      <c r="J946" s="15">
        <v>4.6622807017543861</v>
      </c>
    </row>
    <row r="947" spans="1:10" x14ac:dyDescent="0.25">
      <c r="A947" s="2" t="s">
        <v>2837</v>
      </c>
      <c r="B947" s="2" t="s">
        <v>2838</v>
      </c>
      <c r="C947" s="2" t="s">
        <v>2839</v>
      </c>
      <c r="D947" s="2" t="s">
        <v>10041</v>
      </c>
      <c r="E947" s="15">
        <v>-7.4000000000000003E-3</v>
      </c>
      <c r="F947" s="15">
        <v>0.1578</v>
      </c>
      <c r="G947" s="15">
        <v>0.96240000000000003</v>
      </c>
      <c r="H947" s="15">
        <v>6.6799999999999998E-2</v>
      </c>
      <c r="I947" s="15">
        <v>4.2000000000000003E-2</v>
      </c>
      <c r="J947" s="15">
        <v>1.5904761904761899</v>
      </c>
    </row>
    <row r="948" spans="1:10" x14ac:dyDescent="0.25">
      <c r="A948" s="2" t="s">
        <v>2840</v>
      </c>
      <c r="B948" s="2" t="s">
        <v>2841</v>
      </c>
      <c r="C948" s="2" t="s">
        <v>2842</v>
      </c>
      <c r="D948" s="2" t="s">
        <v>10041</v>
      </c>
      <c r="E948" s="15">
        <v>3.3000000000000002E-2</v>
      </c>
      <c r="F948" s="15">
        <v>8.9399999999999993E-2</v>
      </c>
      <c r="G948" s="15">
        <v>0.71230000000000004</v>
      </c>
      <c r="H948" s="15">
        <v>0.1215</v>
      </c>
      <c r="I948" s="15">
        <v>4.5600000000000002E-2</v>
      </c>
      <c r="J948" s="15">
        <v>2.6644736842105261</v>
      </c>
    </row>
    <row r="949" spans="1:10" x14ac:dyDescent="0.25">
      <c r="A949" s="2" t="s">
        <v>2843</v>
      </c>
      <c r="B949" s="2" t="s">
        <v>2844</v>
      </c>
      <c r="C949" s="2" t="s">
        <v>2845</v>
      </c>
      <c r="D949" s="2" t="s">
        <v>10041</v>
      </c>
      <c r="E949" s="15">
        <v>-0.185</v>
      </c>
      <c r="F949" s="15">
        <v>0.17730000000000001</v>
      </c>
      <c r="G949" s="15">
        <v>0.29680000000000001</v>
      </c>
      <c r="H949" s="15">
        <v>4.8800000000000003E-2</v>
      </c>
      <c r="I949" s="15">
        <v>4.3200000000000002E-2</v>
      </c>
      <c r="J949" s="15">
        <v>1.12962962962963</v>
      </c>
    </row>
    <row r="950" spans="1:10" x14ac:dyDescent="0.25">
      <c r="A950" s="2" t="s">
        <v>2846</v>
      </c>
      <c r="B950" s="2" t="s">
        <v>2847</v>
      </c>
      <c r="C950" s="2" t="s">
        <v>2848</v>
      </c>
      <c r="D950" s="2" t="s">
        <v>10041</v>
      </c>
      <c r="E950" s="15">
        <v>8.4400000000000003E-2</v>
      </c>
      <c r="F950" s="15">
        <v>8.2400000000000001E-2</v>
      </c>
      <c r="G950" s="15">
        <v>0.30559999999999998</v>
      </c>
      <c r="H950" s="15">
        <v>0.16089999999999999</v>
      </c>
      <c r="I950" s="15">
        <v>5.11E-2</v>
      </c>
      <c r="J950" s="15">
        <v>3.148727984344422</v>
      </c>
    </row>
    <row r="951" spans="1:10" x14ac:dyDescent="0.25">
      <c r="A951" s="2" t="s">
        <v>2849</v>
      </c>
      <c r="B951" s="2" t="s">
        <v>2850</v>
      </c>
      <c r="C951" s="2" t="s">
        <v>2851</v>
      </c>
      <c r="D951" s="2" t="s">
        <v>10041</v>
      </c>
      <c r="E951" s="15">
        <v>-9.9199999999999997E-2</v>
      </c>
      <c r="F951" s="15">
        <v>9.9000000000000005E-2</v>
      </c>
      <c r="G951" s="15">
        <v>0.31640000000000001</v>
      </c>
      <c r="H951" s="15">
        <v>0.13569999999999999</v>
      </c>
      <c r="I951" s="15">
        <v>4.7899999999999998E-2</v>
      </c>
      <c r="J951" s="15">
        <v>2.8329853862212939</v>
      </c>
    </row>
    <row r="952" spans="1:10" x14ac:dyDescent="0.25">
      <c r="A952" s="2" t="s">
        <v>2852</v>
      </c>
      <c r="B952" s="2" t="s">
        <v>2853</v>
      </c>
      <c r="C952" s="2" t="s">
        <v>2854</v>
      </c>
      <c r="D952" s="2" t="s">
        <v>10041</v>
      </c>
      <c r="E952" s="15">
        <v>3.3599999999999998E-2</v>
      </c>
      <c r="F952" s="15">
        <v>0.1004</v>
      </c>
      <c r="G952" s="15">
        <v>0.73819999999999997</v>
      </c>
      <c r="H952" s="15">
        <v>0.10290000000000001</v>
      </c>
      <c r="I952" s="15">
        <v>4.2099999999999999E-2</v>
      </c>
      <c r="J952" s="15">
        <v>2.444180522565321</v>
      </c>
    </row>
    <row r="953" spans="1:10" x14ac:dyDescent="0.25">
      <c r="A953" s="2" t="s">
        <v>2855</v>
      </c>
      <c r="B953" s="2" t="s">
        <v>2856</v>
      </c>
      <c r="C953" s="2" t="s">
        <v>2857</v>
      </c>
      <c r="D953" s="2" t="s">
        <v>10041</v>
      </c>
      <c r="E953" s="15">
        <v>-6.4999999999999997E-3</v>
      </c>
      <c r="F953" s="15">
        <v>8.4500000000000006E-2</v>
      </c>
      <c r="G953" s="15">
        <v>0.93899999999999995</v>
      </c>
      <c r="H953" s="15">
        <v>0.21779999999999999</v>
      </c>
      <c r="I953" s="15">
        <v>4.8000000000000001E-2</v>
      </c>
      <c r="J953" s="15">
        <v>4.5374999999999996</v>
      </c>
    </row>
    <row r="954" spans="1:10" x14ac:dyDescent="0.25">
      <c r="A954" s="2" t="s">
        <v>2858</v>
      </c>
      <c r="B954" s="2" t="s">
        <v>2859</v>
      </c>
      <c r="C954" s="2" t="s">
        <v>2860</v>
      </c>
      <c r="D954" s="2" t="s">
        <v>10041</v>
      </c>
      <c r="E954" s="15">
        <v>1.9400000000000001E-2</v>
      </c>
      <c r="F954" s="15">
        <v>8.1199999999999994E-2</v>
      </c>
      <c r="G954" s="15">
        <v>0.81159999999999999</v>
      </c>
      <c r="H954" s="15">
        <v>0.2077</v>
      </c>
      <c r="I954" s="15">
        <v>4.3099999999999999E-2</v>
      </c>
      <c r="J954" s="15">
        <v>4.8190255220417626</v>
      </c>
    </row>
    <row r="955" spans="1:10" x14ac:dyDescent="0.25">
      <c r="A955" s="2" t="s">
        <v>2861</v>
      </c>
      <c r="B955" s="2" t="s">
        <v>2862</v>
      </c>
      <c r="C955" s="2" t="s">
        <v>2863</v>
      </c>
      <c r="D955" s="2" t="s">
        <v>10041</v>
      </c>
      <c r="E955" s="15">
        <v>0.1062</v>
      </c>
      <c r="F955" s="15">
        <v>0.1384</v>
      </c>
      <c r="G955" s="15">
        <v>0.44290000000000002</v>
      </c>
      <c r="H955" s="15">
        <v>8.7099999999999997E-2</v>
      </c>
      <c r="I955" s="15">
        <v>4.24E-2</v>
      </c>
      <c r="J955" s="15">
        <v>2.0542452830188682</v>
      </c>
    </row>
    <row r="956" spans="1:10" x14ac:dyDescent="0.25">
      <c r="A956" s="2" t="s">
        <v>2864</v>
      </c>
      <c r="B956" s="2" t="s">
        <v>2865</v>
      </c>
      <c r="C956" s="2" t="s">
        <v>2866</v>
      </c>
      <c r="D956" s="2" t="s">
        <v>10041</v>
      </c>
      <c r="E956" s="15">
        <v>8.3199999999999996E-2</v>
      </c>
      <c r="F956" s="15">
        <v>9.8199999999999996E-2</v>
      </c>
      <c r="G956" s="15">
        <v>0.39700000000000002</v>
      </c>
      <c r="H956" s="15">
        <v>0.1326</v>
      </c>
      <c r="I956" s="15">
        <v>4.3400000000000001E-2</v>
      </c>
      <c r="J956" s="15">
        <v>3.0552995391705071</v>
      </c>
    </row>
    <row r="957" spans="1:10" x14ac:dyDescent="0.25">
      <c r="A957" s="2" t="s">
        <v>2867</v>
      </c>
      <c r="B957" s="2" t="s">
        <v>2868</v>
      </c>
      <c r="C957" s="2" t="s">
        <v>2869</v>
      </c>
      <c r="D957" s="2" t="s">
        <v>10041</v>
      </c>
      <c r="E957" s="15">
        <v>-1.5699999999999999E-2</v>
      </c>
      <c r="F957" s="15">
        <v>9.5600000000000004E-2</v>
      </c>
      <c r="G957" s="15">
        <v>0.86939999999999995</v>
      </c>
      <c r="H957" s="15">
        <v>0.16389999999999999</v>
      </c>
      <c r="I957" s="15">
        <v>4.5400000000000003E-2</v>
      </c>
      <c r="J957" s="15">
        <v>3.6101321585903081</v>
      </c>
    </row>
    <row r="958" spans="1:10" x14ac:dyDescent="0.25">
      <c r="A958" s="2" t="s">
        <v>2870</v>
      </c>
      <c r="B958" s="2" t="s">
        <v>2871</v>
      </c>
      <c r="C958" s="2" t="s">
        <v>2872</v>
      </c>
      <c r="D958" s="2" t="s">
        <v>10041</v>
      </c>
      <c r="E958" s="15">
        <v>9.7000000000000003E-2</v>
      </c>
      <c r="F958" s="15">
        <v>8.1000000000000003E-2</v>
      </c>
      <c r="G958" s="15">
        <v>0.23089999999999999</v>
      </c>
      <c r="H958" s="15">
        <v>0.2031</v>
      </c>
      <c r="I958" s="15">
        <v>4.7199999999999999E-2</v>
      </c>
      <c r="J958" s="15">
        <v>4.3029661016949152</v>
      </c>
    </row>
    <row r="959" spans="1:10" x14ac:dyDescent="0.25">
      <c r="A959" s="2" t="s">
        <v>2873</v>
      </c>
      <c r="B959" s="2" t="s">
        <v>2874</v>
      </c>
      <c r="C959" s="2" t="s">
        <v>2875</v>
      </c>
      <c r="D959" s="2" t="s">
        <v>10041</v>
      </c>
      <c r="E959" s="15">
        <v>9.7299999999999998E-2</v>
      </c>
      <c r="F959" s="15">
        <v>8.3900000000000002E-2</v>
      </c>
      <c r="G959" s="15">
        <v>0.24629999999999999</v>
      </c>
      <c r="H959" s="15">
        <v>0.1545</v>
      </c>
      <c r="I959" s="15">
        <v>4.6399999999999997E-2</v>
      </c>
      <c r="J959" s="15">
        <v>3.3297413793103452</v>
      </c>
    </row>
    <row r="960" spans="1:10" x14ac:dyDescent="0.25">
      <c r="A960" s="2" t="s">
        <v>2876</v>
      </c>
      <c r="B960" s="2" t="s">
        <v>2877</v>
      </c>
      <c r="C960" s="2" t="s">
        <v>2878</v>
      </c>
      <c r="D960" s="2" t="s">
        <v>10041</v>
      </c>
      <c r="E960" s="15">
        <v>0.26350000000000001</v>
      </c>
      <c r="F960" s="15">
        <v>1.7070000000000001</v>
      </c>
      <c r="G960" s="15">
        <v>0.87729999999999997</v>
      </c>
      <c r="H960" s="15">
        <v>1.7399999999999999E-2</v>
      </c>
      <c r="I960" s="15">
        <v>4.3900000000000002E-2</v>
      </c>
      <c r="J960" s="15">
        <v>0.39635535307517078</v>
      </c>
    </row>
    <row r="961" spans="1:10" x14ac:dyDescent="0.25">
      <c r="A961" s="2" t="s">
        <v>2879</v>
      </c>
      <c r="B961" s="2" t="s">
        <v>2880</v>
      </c>
      <c r="C961" s="2" t="s">
        <v>2881</v>
      </c>
      <c r="D961" s="2" t="s">
        <v>10041</v>
      </c>
      <c r="E961" s="15">
        <v>9.4899999999999998E-2</v>
      </c>
      <c r="F961" s="15">
        <v>0.14460000000000001</v>
      </c>
      <c r="G961" s="15">
        <v>0.51170000000000004</v>
      </c>
      <c r="H961" s="15">
        <v>5.1299999999999998E-2</v>
      </c>
      <c r="I961" s="15">
        <v>3.8800000000000001E-2</v>
      </c>
      <c r="J961" s="15">
        <v>1.322164948453608</v>
      </c>
    </row>
    <row r="962" spans="1:10" x14ac:dyDescent="0.25">
      <c r="A962" s="2" t="s">
        <v>2882</v>
      </c>
      <c r="B962" s="2" t="s">
        <v>2883</v>
      </c>
      <c r="C962" s="2" t="s">
        <v>2884</v>
      </c>
      <c r="D962" s="2" t="s">
        <v>10041</v>
      </c>
      <c r="E962" s="15">
        <v>-0.1283</v>
      </c>
      <c r="F962" s="15">
        <v>0.11749999999999999</v>
      </c>
      <c r="G962" s="15">
        <v>0.2747</v>
      </c>
      <c r="H962" s="15">
        <v>0.1227</v>
      </c>
      <c r="I962" s="15">
        <v>4.6300000000000001E-2</v>
      </c>
      <c r="J962" s="15">
        <v>2.6501079913606911</v>
      </c>
    </row>
    <row r="963" spans="1:10" x14ac:dyDescent="0.25">
      <c r="A963" s="2" t="s">
        <v>2885</v>
      </c>
      <c r="B963" s="2" t="s">
        <v>2886</v>
      </c>
      <c r="C963" s="2" t="s">
        <v>2887</v>
      </c>
      <c r="D963" s="2" t="s">
        <v>10041</v>
      </c>
      <c r="E963" s="15">
        <v>0.21079999999999999</v>
      </c>
      <c r="F963" s="15">
        <v>0.1046</v>
      </c>
      <c r="G963" s="15">
        <v>4.3900000000000002E-2</v>
      </c>
      <c r="H963" s="15">
        <v>0.1245</v>
      </c>
      <c r="I963" s="15">
        <v>4.5499999999999999E-2</v>
      </c>
      <c r="J963" s="15">
        <v>2.7362637362637359</v>
      </c>
    </row>
    <row r="964" spans="1:10" x14ac:dyDescent="0.25">
      <c r="A964" s="2" t="s">
        <v>2888</v>
      </c>
      <c r="B964" s="2" t="s">
        <v>2889</v>
      </c>
      <c r="C964" s="2" t="s">
        <v>2890</v>
      </c>
      <c r="D964" s="2" t="s">
        <v>10041</v>
      </c>
      <c r="E964" s="15">
        <v>-0.10150000000000001</v>
      </c>
      <c r="F964" s="15">
        <v>0.1222</v>
      </c>
      <c r="G964" s="15">
        <v>0.40589999999999998</v>
      </c>
      <c r="H964" s="15">
        <v>0.1082</v>
      </c>
      <c r="I964" s="15">
        <v>5.16E-2</v>
      </c>
      <c r="J964" s="15">
        <v>2.0968992248062022</v>
      </c>
    </row>
    <row r="965" spans="1:10" x14ac:dyDescent="0.25">
      <c r="A965" s="2" t="s">
        <v>2891</v>
      </c>
      <c r="B965" s="2" t="s">
        <v>2892</v>
      </c>
      <c r="C965" s="2" t="s">
        <v>2893</v>
      </c>
      <c r="D965" s="2" t="s">
        <v>10041</v>
      </c>
      <c r="E965" s="15">
        <v>-0.10680000000000001</v>
      </c>
      <c r="F965" s="15">
        <v>0.15279999999999999</v>
      </c>
      <c r="G965" s="15">
        <v>0.48459999999999998</v>
      </c>
      <c r="H965" s="15">
        <v>5.4300000000000001E-2</v>
      </c>
      <c r="I965" s="15">
        <v>4.1300000000000003E-2</v>
      </c>
      <c r="J965" s="15">
        <v>1.3147699757869249</v>
      </c>
    </row>
    <row r="966" spans="1:10" x14ac:dyDescent="0.25">
      <c r="A966" s="2" t="s">
        <v>2894</v>
      </c>
      <c r="B966" s="2" t="s">
        <v>2895</v>
      </c>
      <c r="C966" s="2" t="s">
        <v>2896</v>
      </c>
      <c r="D966" s="2" t="s">
        <v>10041</v>
      </c>
      <c r="E966" s="15">
        <v>-2.4E-2</v>
      </c>
      <c r="F966" s="15">
        <v>9.3799999999999994E-2</v>
      </c>
      <c r="G966" s="15">
        <v>0.79800000000000004</v>
      </c>
      <c r="H966" s="15">
        <v>0.17369999999999999</v>
      </c>
      <c r="I966" s="15">
        <v>4.4699999999999997E-2</v>
      </c>
      <c r="J966" s="15">
        <v>3.885906040268456</v>
      </c>
    </row>
    <row r="967" spans="1:10" x14ac:dyDescent="0.25">
      <c r="A967" s="2" t="s">
        <v>2897</v>
      </c>
      <c r="B967" s="2" t="s">
        <v>2898</v>
      </c>
      <c r="C967" s="2" t="s">
        <v>2899</v>
      </c>
      <c r="D967" s="2" t="s">
        <v>10041</v>
      </c>
      <c r="E967" s="15">
        <v>0.15759999999999999</v>
      </c>
      <c r="F967" s="15">
        <v>0.11210000000000001</v>
      </c>
      <c r="G967" s="15">
        <v>0.15989999999999999</v>
      </c>
      <c r="H967" s="15">
        <v>0.1246</v>
      </c>
      <c r="I967" s="15">
        <v>4.3999999999999997E-2</v>
      </c>
      <c r="J967" s="15">
        <v>2.831818181818182</v>
      </c>
    </row>
    <row r="968" spans="1:10" x14ac:dyDescent="0.25">
      <c r="A968" s="2" t="s">
        <v>2900</v>
      </c>
      <c r="B968" s="2" t="s">
        <v>2901</v>
      </c>
      <c r="C968" s="2" t="s">
        <v>2902</v>
      </c>
      <c r="D968" s="2" t="s">
        <v>10041</v>
      </c>
      <c r="E968" s="15">
        <v>-5.5199999999999999E-2</v>
      </c>
      <c r="F968" s="15">
        <v>8.1600000000000006E-2</v>
      </c>
      <c r="G968" s="15">
        <v>0.49890000000000001</v>
      </c>
      <c r="H968" s="15">
        <v>0.151</v>
      </c>
      <c r="I968" s="15">
        <v>4.48E-2</v>
      </c>
      <c r="J968" s="15">
        <v>3.370535714285714</v>
      </c>
    </row>
    <row r="969" spans="1:10" x14ac:dyDescent="0.25">
      <c r="A969" s="2" t="s">
        <v>2903</v>
      </c>
      <c r="B969" s="2" t="s">
        <v>2904</v>
      </c>
      <c r="C969" s="2" t="s">
        <v>2905</v>
      </c>
      <c r="D969" s="2" t="s">
        <v>10041</v>
      </c>
      <c r="E969" s="15">
        <v>-5.8900000000000001E-2</v>
      </c>
      <c r="F969" s="15">
        <v>7.7399999999999997E-2</v>
      </c>
      <c r="G969" s="15">
        <v>0.4466</v>
      </c>
      <c r="H969" s="15">
        <v>0.2097</v>
      </c>
      <c r="I969" s="15">
        <v>4.7699999999999999E-2</v>
      </c>
      <c r="J969" s="15">
        <v>4.3962264150943398</v>
      </c>
    </row>
    <row r="970" spans="1:10" x14ac:dyDescent="0.25">
      <c r="A970" s="2" t="s">
        <v>2906</v>
      </c>
      <c r="B970" s="2" t="s">
        <v>2907</v>
      </c>
      <c r="C970" s="2" t="s">
        <v>2908</v>
      </c>
      <c r="D970" s="2" t="s">
        <v>10041</v>
      </c>
      <c r="E970" s="15">
        <v>0.18379999999999999</v>
      </c>
      <c r="F970" s="15">
        <v>8.6499999999999994E-2</v>
      </c>
      <c r="G970" s="15">
        <v>3.3599999999999998E-2</v>
      </c>
      <c r="H970" s="15">
        <v>0.17330000000000001</v>
      </c>
      <c r="I970" s="15">
        <v>4.7100000000000003E-2</v>
      </c>
      <c r="J970" s="15">
        <v>3.6794055201698508</v>
      </c>
    </row>
    <row r="971" spans="1:10" x14ac:dyDescent="0.25">
      <c r="A971" s="2" t="s">
        <v>2909</v>
      </c>
      <c r="B971" s="2" t="s">
        <v>2910</v>
      </c>
      <c r="C971" s="2" t="s">
        <v>2911</v>
      </c>
      <c r="D971" s="2" t="s">
        <v>10041</v>
      </c>
      <c r="E971" s="15">
        <v>8.2199999999999995E-2</v>
      </c>
      <c r="F971" s="15">
        <v>7.5899999999999995E-2</v>
      </c>
      <c r="G971" s="15">
        <v>0.27850000000000003</v>
      </c>
      <c r="H971" s="15">
        <v>0.25</v>
      </c>
      <c r="I971" s="15">
        <v>5.0999999999999997E-2</v>
      </c>
      <c r="J971" s="15">
        <v>4.9019607843137258</v>
      </c>
    </row>
    <row r="972" spans="1:10" x14ac:dyDescent="0.25">
      <c r="A972" s="2" t="s">
        <v>2912</v>
      </c>
      <c r="B972" s="2" t="s">
        <v>2913</v>
      </c>
      <c r="C972" s="2" t="s">
        <v>2914</v>
      </c>
      <c r="D972" s="2" t="s">
        <v>10041</v>
      </c>
      <c r="E972" s="15">
        <v>0.04</v>
      </c>
      <c r="F972" s="15">
        <v>0.1115</v>
      </c>
      <c r="G972" s="15">
        <v>0.71950000000000003</v>
      </c>
      <c r="H972" s="15">
        <v>0.11020000000000001</v>
      </c>
      <c r="I972" s="15">
        <v>4.4400000000000002E-2</v>
      </c>
      <c r="J972" s="15">
        <v>2.4819819819819822</v>
      </c>
    </row>
    <row r="973" spans="1:10" x14ac:dyDescent="0.25">
      <c r="A973" s="2" t="s">
        <v>2915</v>
      </c>
      <c r="B973" s="2" t="s">
        <v>2916</v>
      </c>
      <c r="C973" s="2" t="s">
        <v>2917</v>
      </c>
      <c r="D973" s="2" t="s">
        <v>10041</v>
      </c>
      <c r="E973" s="15">
        <v>-0.1757</v>
      </c>
      <c r="F973" s="15">
        <v>0.1162</v>
      </c>
      <c r="G973" s="15">
        <v>0.1305</v>
      </c>
      <c r="H973" s="15">
        <v>8.1500000000000003E-2</v>
      </c>
      <c r="I973" s="15">
        <v>4.2599999999999999E-2</v>
      </c>
      <c r="J973" s="15">
        <v>1.913145539906103</v>
      </c>
    </row>
    <row r="974" spans="1:10" x14ac:dyDescent="0.25">
      <c r="A974" s="2" t="s">
        <v>2918</v>
      </c>
      <c r="B974" s="2" t="s">
        <v>2919</v>
      </c>
      <c r="C974" s="2" t="s">
        <v>2920</v>
      </c>
      <c r="D974" s="2" t="s">
        <v>10041</v>
      </c>
      <c r="E974" s="15">
        <v>-3.78E-2</v>
      </c>
      <c r="F974" s="15">
        <v>0.1017</v>
      </c>
      <c r="G974" s="15">
        <v>0.71040000000000003</v>
      </c>
      <c r="H974" s="15">
        <v>0.1123</v>
      </c>
      <c r="I974" s="15">
        <v>4.53E-2</v>
      </c>
      <c r="J974" s="15">
        <v>2.4790286975717439</v>
      </c>
    </row>
    <row r="975" spans="1:10" x14ac:dyDescent="0.25">
      <c r="A975" s="2" t="s">
        <v>2921</v>
      </c>
      <c r="B975" s="2" t="s">
        <v>2922</v>
      </c>
      <c r="C975" s="2" t="s">
        <v>2923</v>
      </c>
      <c r="D975" s="2" t="s">
        <v>10041</v>
      </c>
      <c r="E975" s="15">
        <v>-9.5600000000000004E-2</v>
      </c>
      <c r="F975" s="15">
        <v>9.8799999999999999E-2</v>
      </c>
      <c r="G975" s="15">
        <v>0.33310000000000001</v>
      </c>
      <c r="H975" s="15">
        <v>0.1326</v>
      </c>
      <c r="I975" s="15">
        <v>4.6300000000000001E-2</v>
      </c>
      <c r="J975" s="15">
        <v>2.863930885529157</v>
      </c>
    </row>
    <row r="976" spans="1:10" x14ac:dyDescent="0.25">
      <c r="A976" s="2" t="s">
        <v>2924</v>
      </c>
      <c r="B976" s="2" t="s">
        <v>2925</v>
      </c>
      <c r="C976" s="2" t="s">
        <v>2926</v>
      </c>
      <c r="D976" s="2" t="s">
        <v>10041</v>
      </c>
      <c r="E976" s="15">
        <v>9.6000000000000002E-2</v>
      </c>
      <c r="F976" s="15">
        <v>8.7099999999999997E-2</v>
      </c>
      <c r="G976" s="15">
        <v>0.2702</v>
      </c>
      <c r="H976" s="15">
        <v>0.2077</v>
      </c>
      <c r="I976" s="15">
        <v>6.4000000000000001E-2</v>
      </c>
      <c r="J976" s="15">
        <v>3.2453124999999998</v>
      </c>
    </row>
    <row r="977" spans="1:10" x14ac:dyDescent="0.25">
      <c r="A977" s="2" t="s">
        <v>2927</v>
      </c>
      <c r="B977" s="2" t="s">
        <v>2928</v>
      </c>
      <c r="C977" s="2" t="s">
        <v>2929</v>
      </c>
      <c r="D977" s="2" t="s">
        <v>10041</v>
      </c>
      <c r="E977" s="15">
        <v>2.3599999999999999E-2</v>
      </c>
      <c r="F977" s="15">
        <v>8.0199999999999994E-2</v>
      </c>
      <c r="G977" s="15">
        <v>0.76880000000000004</v>
      </c>
      <c r="H977" s="15">
        <v>0.18779999999999999</v>
      </c>
      <c r="I977" s="15">
        <v>4.9700000000000001E-2</v>
      </c>
      <c r="J977" s="15">
        <v>3.7786720321931591</v>
      </c>
    </row>
    <row r="978" spans="1:10" x14ac:dyDescent="0.25">
      <c r="A978" s="2" t="s">
        <v>2930</v>
      </c>
      <c r="B978" s="2" t="s">
        <v>2931</v>
      </c>
      <c r="C978" s="2" t="s">
        <v>2932</v>
      </c>
      <c r="D978" s="2" t="s">
        <v>10041</v>
      </c>
      <c r="E978" s="15">
        <v>-1.9E-2</v>
      </c>
      <c r="F978" s="15">
        <v>9.9199999999999997E-2</v>
      </c>
      <c r="G978" s="15">
        <v>0.84799999999999998</v>
      </c>
      <c r="H978" s="15">
        <v>0.13789999999999999</v>
      </c>
      <c r="I978" s="15">
        <v>4.58E-2</v>
      </c>
      <c r="J978" s="15">
        <v>3.0109170305676849</v>
      </c>
    </row>
    <row r="979" spans="1:10" x14ac:dyDescent="0.25">
      <c r="A979" s="2" t="s">
        <v>2933</v>
      </c>
      <c r="B979" s="2" t="s">
        <v>2934</v>
      </c>
      <c r="C979" s="2" t="s">
        <v>2935</v>
      </c>
      <c r="D979" s="2" t="s">
        <v>10041</v>
      </c>
      <c r="E979" s="15">
        <v>0.25779999999999997</v>
      </c>
      <c r="F979" s="15">
        <v>0.14349999999999999</v>
      </c>
      <c r="G979" s="15">
        <v>7.2499999999999995E-2</v>
      </c>
      <c r="H979" s="15">
        <v>7.9100000000000004E-2</v>
      </c>
      <c r="I979" s="15">
        <v>4.7399999999999998E-2</v>
      </c>
      <c r="J979" s="15">
        <v>1.668776371308017</v>
      </c>
    </row>
    <row r="980" spans="1:10" x14ac:dyDescent="0.25">
      <c r="A980" s="2" t="s">
        <v>2936</v>
      </c>
      <c r="B980" s="2" t="s">
        <v>2937</v>
      </c>
      <c r="C980" s="2" t="s">
        <v>2938</v>
      </c>
      <c r="D980" s="2" t="s">
        <v>10041</v>
      </c>
      <c r="E980" s="15">
        <v>-0.15390000000000001</v>
      </c>
      <c r="F980" s="15">
        <v>9.0700000000000003E-2</v>
      </c>
      <c r="G980" s="15">
        <v>8.9800000000000005E-2</v>
      </c>
      <c r="H980" s="15">
        <v>0.17910000000000001</v>
      </c>
      <c r="I980" s="15">
        <v>5.7200000000000001E-2</v>
      </c>
      <c r="J980" s="15">
        <v>3.1311188811188808</v>
      </c>
    </row>
    <row r="981" spans="1:10" x14ac:dyDescent="0.25">
      <c r="A981" s="2" t="s">
        <v>2939</v>
      </c>
      <c r="B981" s="2" t="s">
        <v>2940</v>
      </c>
      <c r="C981" s="2" t="s">
        <v>2941</v>
      </c>
      <c r="D981" s="2" t="s">
        <v>10041</v>
      </c>
      <c r="E981" s="15">
        <v>-7.5700000000000003E-2</v>
      </c>
      <c r="F981" s="15">
        <v>8.7599999999999997E-2</v>
      </c>
      <c r="G981" s="15">
        <v>0.38769999999999999</v>
      </c>
      <c r="H981" s="15">
        <v>0.19639999999999999</v>
      </c>
      <c r="I981" s="15">
        <v>5.3400000000000003E-2</v>
      </c>
      <c r="J981" s="15">
        <v>3.6779026217228461</v>
      </c>
    </row>
    <row r="982" spans="1:10" x14ac:dyDescent="0.25">
      <c r="A982" s="2" t="s">
        <v>2942</v>
      </c>
      <c r="B982" s="2" t="s">
        <v>2943</v>
      </c>
      <c r="C982" s="2" t="s">
        <v>2944</v>
      </c>
      <c r="D982" s="2" t="s">
        <v>10041</v>
      </c>
      <c r="E982" s="15">
        <v>0.24610000000000001</v>
      </c>
      <c r="F982" s="15">
        <v>0.27100000000000002</v>
      </c>
      <c r="G982" s="15">
        <v>0.3639</v>
      </c>
      <c r="H982" s="15">
        <v>2.7099999999999999E-2</v>
      </c>
      <c r="I982" s="15">
        <v>4.1200000000000001E-2</v>
      </c>
      <c r="J982" s="15">
        <v>0.65776699029126207</v>
      </c>
    </row>
    <row r="983" spans="1:10" x14ac:dyDescent="0.25">
      <c r="A983" s="2" t="s">
        <v>2945</v>
      </c>
      <c r="B983" s="2" t="s">
        <v>2946</v>
      </c>
      <c r="C983" s="2" t="s">
        <v>2947</v>
      </c>
      <c r="D983" s="2" t="s">
        <v>10041</v>
      </c>
      <c r="E983" s="15">
        <v>-5.4899999999999997E-2</v>
      </c>
      <c r="F983" s="15">
        <v>0.1011</v>
      </c>
      <c r="G983" s="15">
        <v>0.58679999999999999</v>
      </c>
      <c r="H983" s="15">
        <v>0.12839999999999999</v>
      </c>
      <c r="I983" s="15">
        <v>4.6699999999999998E-2</v>
      </c>
      <c r="J983" s="15">
        <v>2.7494646680942179</v>
      </c>
    </row>
    <row r="984" spans="1:10" x14ac:dyDescent="0.25">
      <c r="A984" s="2" t="s">
        <v>2948</v>
      </c>
      <c r="B984" s="2" t="s">
        <v>2949</v>
      </c>
      <c r="C984" s="2" t="s">
        <v>2950</v>
      </c>
      <c r="D984" s="2" t="s">
        <v>10041</v>
      </c>
      <c r="E984" s="15">
        <v>-0.1406</v>
      </c>
      <c r="F984" s="15">
        <v>8.6199999999999999E-2</v>
      </c>
      <c r="G984" s="15">
        <v>0.10299999999999999</v>
      </c>
      <c r="H984" s="15">
        <v>0.2031</v>
      </c>
      <c r="I984" s="15">
        <v>4.07E-2</v>
      </c>
      <c r="J984" s="15">
        <v>4.9901719901719899</v>
      </c>
    </row>
    <row r="985" spans="1:10" x14ac:dyDescent="0.25">
      <c r="A985" s="2" t="s">
        <v>2951</v>
      </c>
      <c r="B985" s="2" t="s">
        <v>2952</v>
      </c>
      <c r="C985" s="2" t="s">
        <v>2953</v>
      </c>
      <c r="D985" s="2" t="s">
        <v>10041</v>
      </c>
      <c r="E985" s="15">
        <v>-0.1157</v>
      </c>
      <c r="F985" s="15">
        <v>9.7299999999999998E-2</v>
      </c>
      <c r="G985" s="15">
        <v>0.23430000000000001</v>
      </c>
      <c r="H985" s="15">
        <v>0.1673</v>
      </c>
      <c r="I985" s="15">
        <v>4.1300000000000003E-2</v>
      </c>
      <c r="J985" s="15">
        <v>4.0508474576271194</v>
      </c>
    </row>
    <row r="986" spans="1:10" x14ac:dyDescent="0.25">
      <c r="A986" s="2" t="s">
        <v>2954</v>
      </c>
      <c r="B986" s="2" t="s">
        <v>2955</v>
      </c>
      <c r="C986" s="2" t="s">
        <v>2956</v>
      </c>
      <c r="D986" s="2" t="s">
        <v>10041</v>
      </c>
      <c r="E986" s="15">
        <v>0.38769999999999999</v>
      </c>
      <c r="F986" s="15">
        <v>0.2601</v>
      </c>
      <c r="G986" s="15">
        <v>0.1361</v>
      </c>
      <c r="H986" s="15">
        <v>4.2599999999999999E-2</v>
      </c>
      <c r="I986" s="15">
        <v>4.0500000000000001E-2</v>
      </c>
      <c r="J986" s="15">
        <v>1.051851851851852</v>
      </c>
    </row>
    <row r="987" spans="1:10" x14ac:dyDescent="0.25">
      <c r="A987" s="2" t="s">
        <v>2957</v>
      </c>
      <c r="B987" s="2" t="s">
        <v>2958</v>
      </c>
      <c r="C987" s="2" t="s">
        <v>2959</v>
      </c>
      <c r="D987" s="2" t="s">
        <v>10041</v>
      </c>
      <c r="E987" s="15">
        <v>1.95E-2</v>
      </c>
      <c r="F987" s="15">
        <v>0.1041</v>
      </c>
      <c r="G987" s="15">
        <v>0.85160000000000002</v>
      </c>
      <c r="H987" s="15">
        <v>0.108</v>
      </c>
      <c r="I987" s="15">
        <v>4.36E-2</v>
      </c>
      <c r="J987" s="15">
        <v>2.477064220183486</v>
      </c>
    </row>
    <row r="988" spans="1:10" x14ac:dyDescent="0.25">
      <c r="A988" s="2" t="s">
        <v>2960</v>
      </c>
      <c r="B988" s="2" t="s">
        <v>2961</v>
      </c>
      <c r="C988" s="2" t="s">
        <v>2962</v>
      </c>
      <c r="D988" s="2" t="s">
        <v>10041</v>
      </c>
      <c r="E988" s="15">
        <v>-0.11509999999999999</v>
      </c>
      <c r="F988" s="15">
        <v>7.5700000000000003E-2</v>
      </c>
      <c r="G988" s="15">
        <v>0.12839999999999999</v>
      </c>
      <c r="H988" s="15">
        <v>0.18959999999999999</v>
      </c>
      <c r="I988" s="15">
        <v>4.6699999999999998E-2</v>
      </c>
      <c r="J988" s="15">
        <v>4.059957173447537</v>
      </c>
    </row>
    <row r="989" spans="1:10" x14ac:dyDescent="0.25">
      <c r="A989" s="2" t="s">
        <v>2963</v>
      </c>
      <c r="B989" s="2" t="s">
        <v>2964</v>
      </c>
      <c r="C989" s="2" t="s">
        <v>2965</v>
      </c>
      <c r="D989" s="2" t="s">
        <v>10041</v>
      </c>
      <c r="E989" s="15">
        <v>-6.9500000000000006E-2</v>
      </c>
      <c r="F989" s="15">
        <v>8.5800000000000001E-2</v>
      </c>
      <c r="G989" s="15">
        <v>0.41820000000000002</v>
      </c>
      <c r="H989" s="15">
        <v>0.2056</v>
      </c>
      <c r="I989" s="15">
        <v>5.1200000000000002E-2</v>
      </c>
      <c r="J989" s="15">
        <v>4.015625</v>
      </c>
    </row>
    <row r="990" spans="1:10" x14ac:dyDescent="0.25">
      <c r="A990" s="2" t="s">
        <v>2966</v>
      </c>
      <c r="B990" s="2" t="s">
        <v>2967</v>
      </c>
      <c r="C990" s="2" t="s">
        <v>2968</v>
      </c>
      <c r="D990" s="2" t="s">
        <v>10041</v>
      </c>
      <c r="E990" s="15">
        <v>-5.7999999999999996E-3</v>
      </c>
      <c r="F990" s="15">
        <v>8.2400000000000001E-2</v>
      </c>
      <c r="G990" s="15">
        <v>0.94369999999999998</v>
      </c>
      <c r="H990" s="15">
        <v>0.20860000000000001</v>
      </c>
      <c r="I990" s="15">
        <v>4.2700000000000002E-2</v>
      </c>
      <c r="J990" s="15">
        <v>4.8852459016393439</v>
      </c>
    </row>
    <row r="991" spans="1:10" x14ac:dyDescent="0.25">
      <c r="A991" s="2" t="s">
        <v>2969</v>
      </c>
      <c r="B991" s="2" t="s">
        <v>2970</v>
      </c>
      <c r="C991" s="2" t="s">
        <v>2971</v>
      </c>
      <c r="D991" s="2" t="s">
        <v>10041</v>
      </c>
      <c r="E991" s="15">
        <v>-5.16E-2</v>
      </c>
      <c r="F991" s="15">
        <v>6.6400000000000001E-2</v>
      </c>
      <c r="G991" s="15">
        <v>0.43740000000000001</v>
      </c>
      <c r="H991" s="15">
        <v>0.30859999999999999</v>
      </c>
      <c r="I991" s="15">
        <v>5.8599999999999999E-2</v>
      </c>
      <c r="J991" s="15">
        <v>5.2662116040955631</v>
      </c>
    </row>
    <row r="992" spans="1:10" x14ac:dyDescent="0.25">
      <c r="A992" s="2" t="s">
        <v>2972</v>
      </c>
      <c r="B992" s="2" t="s">
        <v>2973</v>
      </c>
      <c r="C992" s="2" t="s">
        <v>2974</v>
      </c>
      <c r="D992" s="2" t="s">
        <v>10041</v>
      </c>
      <c r="E992" s="15">
        <v>-4.1399999999999999E-2</v>
      </c>
      <c r="F992" s="15">
        <v>9.2700000000000005E-2</v>
      </c>
      <c r="G992" s="15">
        <v>0.65529999999999999</v>
      </c>
      <c r="H992" s="15">
        <v>0.16850000000000001</v>
      </c>
      <c r="I992" s="15">
        <v>5.0099999999999999E-2</v>
      </c>
      <c r="J992" s="15">
        <v>3.3632734530938131</v>
      </c>
    </row>
    <row r="993" spans="1:10" x14ac:dyDescent="0.25">
      <c r="A993" s="2" t="s">
        <v>2975</v>
      </c>
      <c r="B993" s="2" t="s">
        <v>2976</v>
      </c>
      <c r="C993" s="2" t="s">
        <v>2977</v>
      </c>
      <c r="D993" s="2" t="s">
        <v>10041</v>
      </c>
      <c r="E993" s="15">
        <v>6.6E-3</v>
      </c>
      <c r="F993" s="15">
        <v>9.6199999999999994E-2</v>
      </c>
      <c r="G993" s="15">
        <v>0.94510000000000005</v>
      </c>
      <c r="H993" s="15">
        <v>0.15429999999999999</v>
      </c>
      <c r="I993" s="15">
        <v>4.3799999999999999E-2</v>
      </c>
      <c r="J993" s="15">
        <v>3.52283105022831</v>
      </c>
    </row>
    <row r="994" spans="1:10" x14ac:dyDescent="0.25">
      <c r="A994" s="2" t="s">
        <v>2978</v>
      </c>
      <c r="B994" s="2" t="s">
        <v>2979</v>
      </c>
      <c r="C994" s="2" t="s">
        <v>2980</v>
      </c>
      <c r="D994" s="2" t="s">
        <v>10041</v>
      </c>
      <c r="E994" s="15">
        <v>9.3200000000000005E-2</v>
      </c>
      <c r="F994" s="15">
        <v>8.0699999999999994E-2</v>
      </c>
      <c r="G994" s="15">
        <v>0.2482</v>
      </c>
      <c r="H994" s="15">
        <v>0.20749999999999999</v>
      </c>
      <c r="I994" s="15">
        <v>4.5400000000000003E-2</v>
      </c>
      <c r="J994" s="15">
        <v>4.570484581497797</v>
      </c>
    </row>
    <row r="995" spans="1:10" x14ac:dyDescent="0.25">
      <c r="A995" s="2" t="s">
        <v>2981</v>
      </c>
      <c r="B995" s="2" t="s">
        <v>2982</v>
      </c>
      <c r="C995" s="2" t="s">
        <v>2983</v>
      </c>
      <c r="D995" s="2" t="s">
        <v>10041</v>
      </c>
      <c r="E995" s="15">
        <v>-5.3800000000000001E-2</v>
      </c>
      <c r="F995" s="15">
        <v>7.5600000000000001E-2</v>
      </c>
      <c r="G995" s="15">
        <v>0.47649999999999998</v>
      </c>
      <c r="H995" s="15">
        <v>0.1991</v>
      </c>
      <c r="I995" s="15">
        <v>5.2299999999999999E-2</v>
      </c>
      <c r="J995" s="15">
        <v>3.8068833652007652</v>
      </c>
    </row>
    <row r="996" spans="1:10" x14ac:dyDescent="0.25">
      <c r="A996" s="2" t="s">
        <v>2984</v>
      </c>
      <c r="B996" s="2" t="s">
        <v>2985</v>
      </c>
      <c r="C996" s="2" t="s">
        <v>2986</v>
      </c>
      <c r="D996" s="2" t="s">
        <v>10041</v>
      </c>
      <c r="E996" s="15">
        <v>-2.2000000000000001E-3</v>
      </c>
      <c r="F996" s="15">
        <v>8.1000000000000003E-2</v>
      </c>
      <c r="G996" s="15">
        <v>0.97819999999999996</v>
      </c>
      <c r="H996" s="15">
        <v>0.1905</v>
      </c>
      <c r="I996" s="15">
        <v>5.3600000000000002E-2</v>
      </c>
      <c r="J996" s="15">
        <v>3.5541044776119399</v>
      </c>
    </row>
    <row r="997" spans="1:10" x14ac:dyDescent="0.25">
      <c r="A997" s="2" t="s">
        <v>2987</v>
      </c>
      <c r="B997" s="2" t="s">
        <v>2988</v>
      </c>
      <c r="C997" s="2" t="s">
        <v>2989</v>
      </c>
      <c r="D997" s="2" t="s">
        <v>10041</v>
      </c>
      <c r="E997" s="15">
        <v>8.3000000000000004E-2</v>
      </c>
      <c r="F997" s="15">
        <v>9.8100000000000007E-2</v>
      </c>
      <c r="G997" s="15">
        <v>0.39760000000000001</v>
      </c>
      <c r="H997" s="15">
        <v>0.14099999999999999</v>
      </c>
      <c r="I997" s="15">
        <v>4.1599999999999998E-2</v>
      </c>
      <c r="J997" s="15">
        <v>3.3894230769230771</v>
      </c>
    </row>
    <row r="998" spans="1:10" x14ac:dyDescent="0.25">
      <c r="A998" s="2" t="s">
        <v>2990</v>
      </c>
      <c r="B998" s="2" t="s">
        <v>2991</v>
      </c>
      <c r="C998" s="2" t="s">
        <v>2992</v>
      </c>
      <c r="D998" s="2" t="s">
        <v>10041</v>
      </c>
      <c r="E998" s="15">
        <v>-4.9799999999999997E-2</v>
      </c>
      <c r="F998" s="15">
        <v>0.18340000000000001</v>
      </c>
      <c r="G998" s="15">
        <v>0.78600000000000003</v>
      </c>
      <c r="H998" s="15">
        <v>4.1300000000000003E-2</v>
      </c>
      <c r="I998" s="15">
        <v>4.0800000000000003E-2</v>
      </c>
      <c r="J998" s="15">
        <v>1.012254901960784</v>
      </c>
    </row>
    <row r="999" spans="1:10" x14ac:dyDescent="0.25">
      <c r="A999" s="2" t="s">
        <v>2993</v>
      </c>
      <c r="B999" s="2" t="s">
        <v>2994</v>
      </c>
      <c r="C999" s="2" t="s">
        <v>2995</v>
      </c>
      <c r="D999" s="2" t="s">
        <v>10041</v>
      </c>
      <c r="E999" s="15">
        <v>-0.12470000000000001</v>
      </c>
      <c r="F999" s="15">
        <v>0.1149</v>
      </c>
      <c r="G999" s="15">
        <v>0.2777</v>
      </c>
      <c r="H999" s="15">
        <v>9.7500000000000003E-2</v>
      </c>
      <c r="I999" s="15">
        <v>4.58E-2</v>
      </c>
      <c r="J999" s="15">
        <v>2.1288209606986901</v>
      </c>
    </row>
    <row r="1000" spans="1:10" x14ac:dyDescent="0.25">
      <c r="A1000" s="2" t="s">
        <v>2996</v>
      </c>
      <c r="B1000" s="2" t="s">
        <v>2997</v>
      </c>
      <c r="C1000" s="2" t="s">
        <v>2998</v>
      </c>
      <c r="D1000" s="2" t="s">
        <v>10041</v>
      </c>
      <c r="E1000" s="15">
        <v>4.3499999999999997E-2</v>
      </c>
      <c r="F1000" s="15">
        <v>7.8399999999999997E-2</v>
      </c>
      <c r="G1000" s="15">
        <v>0.57909999999999995</v>
      </c>
      <c r="H1000" s="15">
        <v>0.1953</v>
      </c>
      <c r="I1000" s="15">
        <v>4.7800000000000002E-2</v>
      </c>
      <c r="J1000" s="15">
        <v>4.0857740585774058</v>
      </c>
    </row>
    <row r="1001" spans="1:10" x14ac:dyDescent="0.25">
      <c r="A1001" s="2" t="s">
        <v>2999</v>
      </c>
      <c r="B1001" s="2" t="s">
        <v>3000</v>
      </c>
      <c r="C1001" s="2" t="s">
        <v>3001</v>
      </c>
      <c r="D1001" s="2" t="s">
        <v>10041</v>
      </c>
      <c r="E1001" s="15">
        <v>0.23619999999999999</v>
      </c>
      <c r="F1001" s="15">
        <v>9.1800000000000007E-2</v>
      </c>
      <c r="G1001" s="15">
        <v>1.01E-2</v>
      </c>
      <c r="H1001" s="15">
        <v>0.1512</v>
      </c>
      <c r="I1001" s="15">
        <v>4.2799999999999998E-2</v>
      </c>
      <c r="J1001" s="15">
        <v>3.5327102803738319</v>
      </c>
    </row>
    <row r="1002" spans="1:10" x14ac:dyDescent="0.25">
      <c r="A1002" s="2" t="s">
        <v>3002</v>
      </c>
      <c r="B1002" s="2" t="s">
        <v>3003</v>
      </c>
      <c r="C1002" s="2" t="s">
        <v>3004</v>
      </c>
      <c r="D1002" s="2" t="s">
        <v>10041</v>
      </c>
      <c r="E1002" s="15">
        <v>-0.12670000000000001</v>
      </c>
      <c r="F1002" s="15">
        <v>0.19189999999999999</v>
      </c>
      <c r="G1002" s="15">
        <v>0.50929999999999997</v>
      </c>
      <c r="H1002" s="15">
        <v>3.4700000000000002E-2</v>
      </c>
      <c r="I1002" s="15">
        <v>3.9E-2</v>
      </c>
      <c r="J1002" s="15">
        <v>0.8897435897435898</v>
      </c>
    </row>
    <row r="1003" spans="1:10" x14ac:dyDescent="0.25">
      <c r="A1003" s="2" t="s">
        <v>3005</v>
      </c>
      <c r="B1003" s="2" t="s">
        <v>3006</v>
      </c>
      <c r="C1003" s="2" t="s">
        <v>3007</v>
      </c>
      <c r="D1003" s="2" t="s">
        <v>10041</v>
      </c>
      <c r="E1003" s="15">
        <v>-5.9999999999999995E-4</v>
      </c>
      <c r="F1003" s="15">
        <v>0.1115</v>
      </c>
      <c r="G1003" s="15">
        <v>0.99550000000000005</v>
      </c>
      <c r="H1003" s="15">
        <v>0.1106</v>
      </c>
      <c r="I1003" s="15">
        <v>4.2799999999999998E-2</v>
      </c>
      <c r="J1003" s="15">
        <v>2.58411214953271</v>
      </c>
    </row>
    <row r="1004" spans="1:10" x14ac:dyDescent="0.25">
      <c r="A1004" s="2" t="s">
        <v>3008</v>
      </c>
      <c r="B1004" s="2" t="s">
        <v>3009</v>
      </c>
      <c r="C1004" s="2" t="s">
        <v>3010</v>
      </c>
      <c r="D1004" s="2" t="s">
        <v>10041</v>
      </c>
      <c r="E1004" s="15">
        <v>-0.1002</v>
      </c>
      <c r="F1004" s="15">
        <v>9.11E-2</v>
      </c>
      <c r="G1004" s="15">
        <v>0.2717</v>
      </c>
      <c r="H1004" s="15">
        <v>0.15709999999999999</v>
      </c>
      <c r="I1004" s="15">
        <v>4.4299999999999999E-2</v>
      </c>
      <c r="J1004" s="15">
        <v>3.5462753950338599</v>
      </c>
    </row>
    <row r="1005" spans="1:10" x14ac:dyDescent="0.25">
      <c r="A1005" s="2" t="s">
        <v>3011</v>
      </c>
      <c r="B1005" s="2" t="s">
        <v>3012</v>
      </c>
      <c r="C1005" s="2" t="s">
        <v>3013</v>
      </c>
      <c r="D1005" s="2" t="s">
        <v>10041</v>
      </c>
      <c r="E1005" s="15">
        <v>0.29149999999999998</v>
      </c>
      <c r="F1005" s="15">
        <v>0.20319999999999999</v>
      </c>
      <c r="G1005" s="15">
        <v>0.15140000000000001</v>
      </c>
      <c r="H1005" s="15">
        <v>5.0599999999999999E-2</v>
      </c>
      <c r="I1005" s="15">
        <v>4.6399999999999997E-2</v>
      </c>
      <c r="J1005" s="15">
        <v>1.0905172413793101</v>
      </c>
    </row>
    <row r="1006" spans="1:10" x14ac:dyDescent="0.25">
      <c r="A1006" s="2" t="s">
        <v>3014</v>
      </c>
      <c r="B1006" s="2" t="s">
        <v>3015</v>
      </c>
      <c r="C1006" s="2" t="s">
        <v>3016</v>
      </c>
      <c r="D1006" s="2" t="s">
        <v>10041</v>
      </c>
      <c r="E1006" s="15">
        <v>-6.3299999999999995E-2</v>
      </c>
      <c r="F1006" s="15">
        <v>0.1055</v>
      </c>
      <c r="G1006" s="15">
        <v>0.54859999999999998</v>
      </c>
      <c r="H1006" s="15">
        <v>0.123</v>
      </c>
      <c r="I1006" s="15">
        <v>4.1599999999999998E-2</v>
      </c>
      <c r="J1006" s="15">
        <v>2.9567307692307692</v>
      </c>
    </row>
    <row r="1007" spans="1:10" x14ac:dyDescent="0.25">
      <c r="A1007" s="2" t="s">
        <v>3017</v>
      </c>
      <c r="B1007" s="2" t="s">
        <v>3018</v>
      </c>
      <c r="C1007" s="2" t="s">
        <v>3019</v>
      </c>
      <c r="D1007" s="2" t="s">
        <v>10041</v>
      </c>
      <c r="E1007" s="15">
        <v>3.9199999999999999E-2</v>
      </c>
      <c r="F1007" s="15">
        <v>9.8400000000000001E-2</v>
      </c>
      <c r="G1007" s="15">
        <v>0.69040000000000001</v>
      </c>
      <c r="H1007" s="15">
        <v>0.1381</v>
      </c>
      <c r="I1007" s="15">
        <v>5.96E-2</v>
      </c>
      <c r="J1007" s="15">
        <v>2.3171140939597321</v>
      </c>
    </row>
    <row r="1008" spans="1:10" x14ac:dyDescent="0.25">
      <c r="A1008" s="2" t="s">
        <v>3020</v>
      </c>
      <c r="B1008" s="2" t="s">
        <v>3021</v>
      </c>
      <c r="C1008" s="2" t="s">
        <v>3022</v>
      </c>
      <c r="D1008" s="2" t="s">
        <v>10041</v>
      </c>
      <c r="E1008" s="15"/>
      <c r="F1008" s="15"/>
      <c r="G1008" s="15"/>
      <c r="H1008" s="15"/>
      <c r="I1008" s="15"/>
      <c r="J1008" s="15"/>
    </row>
    <row r="1009" spans="1:10" x14ac:dyDescent="0.25">
      <c r="A1009" s="2" t="s">
        <v>3023</v>
      </c>
      <c r="B1009" s="2" t="s">
        <v>3024</v>
      </c>
      <c r="C1009" s="2" t="s">
        <v>3025</v>
      </c>
      <c r="D1009" s="2" t="s">
        <v>10041</v>
      </c>
      <c r="E1009" s="15">
        <v>9.6799999999999997E-2</v>
      </c>
      <c r="F1009" s="15">
        <v>9.9900000000000003E-2</v>
      </c>
      <c r="G1009" s="15">
        <v>0.3327</v>
      </c>
      <c r="H1009" s="15">
        <v>0.12590000000000001</v>
      </c>
      <c r="I1009" s="15">
        <v>3.9600000000000003E-2</v>
      </c>
      <c r="J1009" s="15">
        <v>3.1792929292929299</v>
      </c>
    </row>
    <row r="1010" spans="1:10" x14ac:dyDescent="0.25">
      <c r="A1010" s="2" t="s">
        <v>3026</v>
      </c>
      <c r="B1010" s="2" t="s">
        <v>3027</v>
      </c>
      <c r="C1010" s="2" t="s">
        <v>3028</v>
      </c>
      <c r="D1010" s="2" t="s">
        <v>10041</v>
      </c>
      <c r="E1010" s="15">
        <v>-3.04E-2</v>
      </c>
      <c r="F1010" s="15">
        <v>9.11E-2</v>
      </c>
      <c r="G1010" s="15">
        <v>0.73860000000000003</v>
      </c>
      <c r="H1010" s="15">
        <v>0.15579999999999999</v>
      </c>
      <c r="I1010" s="15">
        <v>4.41E-2</v>
      </c>
      <c r="J1010" s="15">
        <v>3.5328798185941039</v>
      </c>
    </row>
    <row r="1011" spans="1:10" x14ac:dyDescent="0.25">
      <c r="A1011" s="2" t="s">
        <v>3029</v>
      </c>
      <c r="B1011" s="2" t="s">
        <v>3030</v>
      </c>
      <c r="C1011" s="2" t="s">
        <v>3031</v>
      </c>
      <c r="D1011" s="2" t="s">
        <v>10041</v>
      </c>
      <c r="E1011" s="15">
        <v>0.13020000000000001</v>
      </c>
      <c r="F1011" s="15">
        <v>7.2700000000000001E-2</v>
      </c>
      <c r="G1011" s="15">
        <v>7.3200000000000001E-2</v>
      </c>
      <c r="H1011" s="15">
        <v>0.2384</v>
      </c>
      <c r="I1011" s="15">
        <v>4.7500000000000001E-2</v>
      </c>
      <c r="J1011" s="15">
        <v>5.0189473684210526</v>
      </c>
    </row>
    <row r="1012" spans="1:10" x14ac:dyDescent="0.25">
      <c r="A1012" s="2" t="s">
        <v>3032</v>
      </c>
      <c r="B1012" s="2" t="s">
        <v>3033</v>
      </c>
      <c r="C1012" s="2" t="s">
        <v>3034</v>
      </c>
      <c r="D1012" s="2" t="s">
        <v>10041</v>
      </c>
      <c r="E1012" s="15">
        <v>7.9399999999999998E-2</v>
      </c>
      <c r="F1012" s="15">
        <v>7.3099999999999998E-2</v>
      </c>
      <c r="G1012" s="15">
        <v>0.27739999999999998</v>
      </c>
      <c r="H1012" s="15">
        <v>0.2069</v>
      </c>
      <c r="I1012" s="15">
        <v>4.7699999999999999E-2</v>
      </c>
      <c r="J1012" s="15">
        <v>4.3375262054507342</v>
      </c>
    </row>
    <row r="1013" spans="1:10" x14ac:dyDescent="0.25">
      <c r="A1013" s="2" t="s">
        <v>3035</v>
      </c>
      <c r="B1013" s="2" t="s">
        <v>3036</v>
      </c>
      <c r="C1013" s="2" t="s">
        <v>3037</v>
      </c>
      <c r="D1013" s="2" t="s">
        <v>10041</v>
      </c>
      <c r="E1013" s="15">
        <v>-4.4699999999999997E-2</v>
      </c>
      <c r="F1013" s="15">
        <v>8.5599999999999996E-2</v>
      </c>
      <c r="G1013" s="15">
        <v>0.60170000000000001</v>
      </c>
      <c r="H1013" s="15">
        <v>0.17430000000000001</v>
      </c>
      <c r="I1013" s="15">
        <v>4.65E-2</v>
      </c>
      <c r="J1013" s="15">
        <v>3.7483870967741941</v>
      </c>
    </row>
    <row r="1014" spans="1:10" x14ac:dyDescent="0.25">
      <c r="A1014" s="2" t="s">
        <v>3038</v>
      </c>
      <c r="B1014" s="2" t="s">
        <v>3039</v>
      </c>
      <c r="C1014" s="2" t="s">
        <v>3040</v>
      </c>
      <c r="D1014" s="2" t="s">
        <v>10041</v>
      </c>
      <c r="E1014" s="15">
        <v>-0.2235</v>
      </c>
      <c r="F1014" s="15">
        <v>0.1527</v>
      </c>
      <c r="G1014" s="15">
        <v>0.14319999999999999</v>
      </c>
      <c r="H1014" s="15">
        <v>7.3499999999999996E-2</v>
      </c>
      <c r="I1014" s="15">
        <v>4.24E-2</v>
      </c>
      <c r="J1014" s="15">
        <v>1.733490566037736</v>
      </c>
    </row>
    <row r="1015" spans="1:10" x14ac:dyDescent="0.25">
      <c r="A1015" s="2" t="s">
        <v>3041</v>
      </c>
      <c r="B1015" s="2" t="s">
        <v>3042</v>
      </c>
      <c r="C1015" s="2" t="s">
        <v>3043</v>
      </c>
      <c r="D1015" s="2" t="s">
        <v>10041</v>
      </c>
      <c r="E1015" s="15">
        <v>-9.9099999999999994E-2</v>
      </c>
      <c r="F1015" s="15">
        <v>0.13780000000000001</v>
      </c>
      <c r="G1015" s="15">
        <v>0.47199999999999998</v>
      </c>
      <c r="H1015" s="15">
        <v>6.0400000000000002E-2</v>
      </c>
      <c r="I1015" s="15">
        <v>4.3700000000000003E-2</v>
      </c>
      <c r="J1015" s="15">
        <v>1.382151029748284</v>
      </c>
    </row>
    <row r="1016" spans="1:10" x14ac:dyDescent="0.25">
      <c r="A1016" s="2" t="s">
        <v>3044</v>
      </c>
      <c r="B1016" s="2" t="s">
        <v>3045</v>
      </c>
      <c r="C1016" s="2" t="s">
        <v>3046</v>
      </c>
      <c r="D1016" s="2" t="s">
        <v>10041</v>
      </c>
      <c r="E1016" s="15">
        <v>0.17519999999999999</v>
      </c>
      <c r="F1016" s="15">
        <v>9.0899999999999995E-2</v>
      </c>
      <c r="G1016" s="15">
        <v>5.4100000000000002E-2</v>
      </c>
      <c r="H1016" s="15">
        <v>0.16789999999999999</v>
      </c>
      <c r="I1016" s="15">
        <v>4.4200000000000003E-2</v>
      </c>
      <c r="J1016" s="15">
        <v>3.798642533936651</v>
      </c>
    </row>
    <row r="1017" spans="1:10" x14ac:dyDescent="0.25">
      <c r="A1017" s="2" t="s">
        <v>3047</v>
      </c>
      <c r="B1017" s="2" t="s">
        <v>3048</v>
      </c>
      <c r="C1017" s="2" t="s">
        <v>3049</v>
      </c>
      <c r="D1017" s="2" t="s">
        <v>10041</v>
      </c>
      <c r="E1017" s="15">
        <v>0.16020000000000001</v>
      </c>
      <c r="F1017" s="15">
        <v>0.2049</v>
      </c>
      <c r="G1017" s="15">
        <v>0.43440000000000001</v>
      </c>
      <c r="H1017" s="15">
        <v>3.5099999999999999E-2</v>
      </c>
      <c r="I1017" s="15">
        <v>4.3900000000000002E-2</v>
      </c>
      <c r="J1017" s="15">
        <v>0.79954441913439633</v>
      </c>
    </row>
    <row r="1018" spans="1:10" x14ac:dyDescent="0.25">
      <c r="A1018" s="2" t="s">
        <v>3050</v>
      </c>
      <c r="B1018" s="2" t="s">
        <v>3051</v>
      </c>
      <c r="C1018" s="2" t="s">
        <v>3052</v>
      </c>
      <c r="D1018" s="2" t="s">
        <v>10041</v>
      </c>
      <c r="E1018" s="15">
        <v>-2.2200000000000001E-2</v>
      </c>
      <c r="F1018" s="15">
        <v>0.111</v>
      </c>
      <c r="G1018" s="15">
        <v>0.84179999999999999</v>
      </c>
      <c r="H1018" s="15">
        <v>0.1019</v>
      </c>
      <c r="I1018" s="15">
        <v>5.16E-2</v>
      </c>
      <c r="J1018" s="15">
        <v>1.974806201550388</v>
      </c>
    </row>
    <row r="1019" spans="1:10" x14ac:dyDescent="0.25">
      <c r="A1019" s="2" t="s">
        <v>3053</v>
      </c>
      <c r="B1019" s="2" t="s">
        <v>3054</v>
      </c>
      <c r="C1019" s="2" t="s">
        <v>3055</v>
      </c>
      <c r="D1019" s="2" t="s">
        <v>10041</v>
      </c>
      <c r="E1019" s="15">
        <v>4.1000000000000002E-2</v>
      </c>
      <c r="F1019" s="15">
        <v>9.0200000000000002E-2</v>
      </c>
      <c r="G1019" s="15">
        <v>0.64910000000000001</v>
      </c>
      <c r="H1019" s="15">
        <v>0.15590000000000001</v>
      </c>
      <c r="I1019" s="15">
        <v>4.4999999999999998E-2</v>
      </c>
      <c r="J1019" s="15">
        <v>3.4644444444444451</v>
      </c>
    </row>
    <row r="1020" spans="1:10" x14ac:dyDescent="0.25">
      <c r="A1020" s="2" t="s">
        <v>3056</v>
      </c>
      <c r="B1020" s="2" t="s">
        <v>3057</v>
      </c>
      <c r="C1020" s="2" t="s">
        <v>3058</v>
      </c>
      <c r="D1020" s="2" t="s">
        <v>10041</v>
      </c>
      <c r="E1020" s="15">
        <v>-9.1000000000000004E-3</v>
      </c>
      <c r="F1020" s="15">
        <v>9.8799999999999999E-2</v>
      </c>
      <c r="G1020" s="15">
        <v>0.92659999999999998</v>
      </c>
      <c r="H1020" s="15">
        <v>0.1246</v>
      </c>
      <c r="I1020" s="15">
        <v>4.6600000000000003E-2</v>
      </c>
      <c r="J1020" s="15">
        <v>2.67381974248927</v>
      </c>
    </row>
    <row r="1021" spans="1:10" x14ac:dyDescent="0.25">
      <c r="A1021" s="2" t="s">
        <v>3059</v>
      </c>
      <c r="B1021" s="2" t="s">
        <v>3060</v>
      </c>
      <c r="C1021" s="2" t="s">
        <v>3061</v>
      </c>
      <c r="D1021" s="2" t="s">
        <v>10041</v>
      </c>
      <c r="E1021" s="15">
        <v>-6.2700000000000006E-2</v>
      </c>
      <c r="F1021" s="15">
        <v>8.2299999999999998E-2</v>
      </c>
      <c r="G1021" s="15">
        <v>0.44629999999999997</v>
      </c>
      <c r="H1021" s="15">
        <v>0.18540000000000001</v>
      </c>
      <c r="I1021" s="15">
        <v>4.3999999999999997E-2</v>
      </c>
      <c r="J1021" s="15">
        <v>4.2136363636363638</v>
      </c>
    </row>
    <row r="1022" spans="1:10" x14ac:dyDescent="0.25">
      <c r="A1022" s="2" t="s">
        <v>3062</v>
      </c>
      <c r="B1022" s="2" t="s">
        <v>3063</v>
      </c>
      <c r="C1022" s="2" t="s">
        <v>3064</v>
      </c>
      <c r="D1022" s="2" t="s">
        <v>10042</v>
      </c>
      <c r="E1022" s="15">
        <v>0.1444</v>
      </c>
      <c r="F1022" s="15">
        <v>8.3599999999999994E-2</v>
      </c>
      <c r="G1022" s="15">
        <v>8.3900000000000002E-2</v>
      </c>
      <c r="H1022" s="15">
        <v>0.1802</v>
      </c>
      <c r="I1022" s="15">
        <v>4.6600000000000003E-2</v>
      </c>
      <c r="J1022" s="15">
        <v>3.866952789699571</v>
      </c>
    </row>
    <row r="1023" spans="1:10" x14ac:dyDescent="0.25">
      <c r="A1023" s="2" t="s">
        <v>3065</v>
      </c>
      <c r="B1023" s="2" t="s">
        <v>3066</v>
      </c>
      <c r="C1023" s="2" t="s">
        <v>3067</v>
      </c>
      <c r="D1023" s="2" t="s">
        <v>10042</v>
      </c>
      <c r="E1023" s="15">
        <v>0.1875</v>
      </c>
      <c r="F1023" s="15">
        <v>0.1082</v>
      </c>
      <c r="G1023" s="15">
        <v>8.3099999999999993E-2</v>
      </c>
      <c r="H1023" s="15">
        <v>0.12740000000000001</v>
      </c>
      <c r="I1023" s="15">
        <v>4.6899999999999997E-2</v>
      </c>
      <c r="J1023" s="15">
        <v>2.716417910447761</v>
      </c>
    </row>
    <row r="1024" spans="1:10" x14ac:dyDescent="0.25">
      <c r="A1024" s="2" t="s">
        <v>3068</v>
      </c>
      <c r="B1024" s="2" t="s">
        <v>3069</v>
      </c>
      <c r="C1024" s="2" t="s">
        <v>3070</v>
      </c>
      <c r="D1024" s="2" t="s">
        <v>10042</v>
      </c>
      <c r="E1024" s="15">
        <v>0.18079999999999999</v>
      </c>
      <c r="F1024" s="15">
        <v>0.13800000000000001</v>
      </c>
      <c r="G1024" s="15">
        <v>0.19</v>
      </c>
      <c r="H1024" s="15">
        <v>7.8299999999999995E-2</v>
      </c>
      <c r="I1024" s="15">
        <v>4.2700000000000002E-2</v>
      </c>
      <c r="J1024" s="15">
        <v>1.8337236533957839</v>
      </c>
    </row>
    <row r="1025" spans="1:10" x14ac:dyDescent="0.25">
      <c r="A1025" s="2" t="s">
        <v>3071</v>
      </c>
      <c r="B1025" s="2" t="s">
        <v>3072</v>
      </c>
      <c r="C1025" s="2" t="s">
        <v>3073</v>
      </c>
      <c r="D1025" s="2" t="s">
        <v>10042</v>
      </c>
      <c r="E1025" s="15">
        <v>2.35E-2</v>
      </c>
      <c r="F1025" s="15">
        <v>8.8400000000000006E-2</v>
      </c>
      <c r="G1025" s="15">
        <v>0.7903</v>
      </c>
      <c r="H1025" s="15">
        <v>0.17080000000000001</v>
      </c>
      <c r="I1025" s="15">
        <v>4.4600000000000001E-2</v>
      </c>
      <c r="J1025" s="15">
        <v>3.8295964125560542</v>
      </c>
    </row>
    <row r="1026" spans="1:10" x14ac:dyDescent="0.25">
      <c r="A1026" s="2" t="s">
        <v>3074</v>
      </c>
      <c r="B1026" s="2" t="s">
        <v>3075</v>
      </c>
      <c r="C1026" s="2" t="s">
        <v>3076</v>
      </c>
      <c r="D1026" s="2" t="s">
        <v>10042</v>
      </c>
      <c r="E1026" s="15">
        <v>7.4899999999999994E-2</v>
      </c>
      <c r="F1026" s="15">
        <v>7.3300000000000004E-2</v>
      </c>
      <c r="G1026" s="15">
        <v>0.30680000000000002</v>
      </c>
      <c r="H1026" s="15">
        <v>0.23799999999999999</v>
      </c>
      <c r="I1026" s="15">
        <v>4.7100000000000003E-2</v>
      </c>
      <c r="J1026" s="15">
        <v>5.0530785562632694</v>
      </c>
    </row>
    <row r="1027" spans="1:10" x14ac:dyDescent="0.25">
      <c r="A1027" s="2" t="s">
        <v>3077</v>
      </c>
      <c r="B1027" s="2" t="s">
        <v>3078</v>
      </c>
      <c r="C1027" s="2" t="s">
        <v>3079</v>
      </c>
      <c r="D1027" s="2" t="s">
        <v>10042</v>
      </c>
      <c r="E1027" s="15">
        <v>0.1757</v>
      </c>
      <c r="F1027" s="15">
        <v>0.13969999999999999</v>
      </c>
      <c r="G1027" s="15">
        <v>0.20849999999999999</v>
      </c>
      <c r="H1027" s="15">
        <v>6.08E-2</v>
      </c>
      <c r="I1027" s="15">
        <v>4.4200000000000003E-2</v>
      </c>
      <c r="J1027" s="15">
        <v>1.3755656108597289</v>
      </c>
    </row>
    <row r="1028" spans="1:10" x14ac:dyDescent="0.25">
      <c r="A1028" s="2" t="s">
        <v>3080</v>
      </c>
      <c r="B1028" s="2" t="s">
        <v>3081</v>
      </c>
      <c r="C1028" s="2" t="s">
        <v>3082</v>
      </c>
      <c r="D1028" s="2" t="s">
        <v>10042</v>
      </c>
      <c r="E1028" s="15">
        <v>0.1595</v>
      </c>
      <c r="F1028" s="15">
        <v>8.43E-2</v>
      </c>
      <c r="G1028" s="15">
        <v>5.8500000000000003E-2</v>
      </c>
      <c r="H1028" s="15">
        <v>0.17380000000000001</v>
      </c>
      <c r="I1028" s="15">
        <v>4.5199999999999997E-2</v>
      </c>
      <c r="J1028" s="15">
        <v>3.8451327433628322</v>
      </c>
    </row>
    <row r="1029" spans="1:10" x14ac:dyDescent="0.25">
      <c r="A1029" s="2" t="s">
        <v>3083</v>
      </c>
      <c r="B1029" s="2" t="s">
        <v>3084</v>
      </c>
      <c r="C1029" s="2" t="s">
        <v>3085</v>
      </c>
      <c r="D1029" s="2" t="s">
        <v>10042</v>
      </c>
      <c r="E1029" s="15">
        <v>0.1105</v>
      </c>
      <c r="F1029" s="15">
        <v>8.7499999999999994E-2</v>
      </c>
      <c r="G1029" s="15">
        <v>0.20680000000000001</v>
      </c>
      <c r="H1029" s="15">
        <v>0.18240000000000001</v>
      </c>
      <c r="I1029" s="15">
        <v>4.87E-2</v>
      </c>
      <c r="J1029" s="15">
        <v>3.745379876796715</v>
      </c>
    </row>
    <row r="1030" spans="1:10" x14ac:dyDescent="0.25">
      <c r="A1030" s="2" t="s">
        <v>3086</v>
      </c>
      <c r="B1030" s="2" t="s">
        <v>3087</v>
      </c>
      <c r="C1030" s="2" t="s">
        <v>3088</v>
      </c>
      <c r="D1030" s="2" t="s">
        <v>10042</v>
      </c>
      <c r="E1030" s="15">
        <v>-8.3000000000000001E-3</v>
      </c>
      <c r="F1030" s="15">
        <v>9.3899999999999997E-2</v>
      </c>
      <c r="G1030" s="15">
        <v>0.92979999999999996</v>
      </c>
      <c r="H1030" s="15">
        <v>0.16619999999999999</v>
      </c>
      <c r="I1030" s="15">
        <v>4.5499999999999999E-2</v>
      </c>
      <c r="J1030" s="15">
        <v>3.6527472527472531</v>
      </c>
    </row>
    <row r="1031" spans="1:10" x14ac:dyDescent="0.25">
      <c r="A1031" s="2" t="s">
        <v>3089</v>
      </c>
      <c r="B1031" s="2" t="s">
        <v>3090</v>
      </c>
      <c r="C1031" s="2" t="s">
        <v>3091</v>
      </c>
      <c r="D1031" s="2" t="s">
        <v>10042</v>
      </c>
      <c r="E1031" s="15">
        <v>-4.41E-2</v>
      </c>
      <c r="F1031" s="15">
        <v>7.46E-2</v>
      </c>
      <c r="G1031" s="15">
        <v>0.55400000000000005</v>
      </c>
      <c r="H1031" s="15">
        <v>0.25950000000000001</v>
      </c>
      <c r="I1031" s="15">
        <v>4.99E-2</v>
      </c>
      <c r="J1031" s="15">
        <v>5.2004008016032062</v>
      </c>
    </row>
    <row r="1032" spans="1:10" x14ac:dyDescent="0.25">
      <c r="A1032" s="2" t="s">
        <v>3092</v>
      </c>
      <c r="B1032" s="2" t="s">
        <v>3093</v>
      </c>
      <c r="C1032" s="2" t="s">
        <v>3094</v>
      </c>
      <c r="D1032" s="2" t="s">
        <v>10042</v>
      </c>
      <c r="E1032" s="15">
        <v>0.1348</v>
      </c>
      <c r="F1032" s="15">
        <v>8.6300000000000002E-2</v>
      </c>
      <c r="G1032" s="15">
        <v>0.1183</v>
      </c>
      <c r="H1032" s="15">
        <v>0.16309999999999999</v>
      </c>
      <c r="I1032" s="15">
        <v>4.0500000000000001E-2</v>
      </c>
      <c r="J1032" s="15">
        <v>4.0271604938271599</v>
      </c>
    </row>
    <row r="1033" spans="1:10" x14ac:dyDescent="0.25">
      <c r="A1033" s="2" t="s">
        <v>3095</v>
      </c>
      <c r="B1033" s="2" t="s">
        <v>3096</v>
      </c>
      <c r="C1033" s="2" t="s">
        <v>3097</v>
      </c>
      <c r="D1033" s="2" t="s">
        <v>10042</v>
      </c>
      <c r="E1033" s="15">
        <v>-8.2000000000000007E-3</v>
      </c>
      <c r="F1033" s="15">
        <v>0.10580000000000001</v>
      </c>
      <c r="G1033" s="15">
        <v>0.93859999999999999</v>
      </c>
      <c r="H1033" s="15">
        <v>0.1047</v>
      </c>
      <c r="I1033" s="15">
        <v>4.3999999999999997E-2</v>
      </c>
      <c r="J1033" s="15">
        <v>2.3795454545454549</v>
      </c>
    </row>
    <row r="1034" spans="1:10" x14ac:dyDescent="0.25">
      <c r="A1034" s="2" t="s">
        <v>3098</v>
      </c>
      <c r="B1034" s="2" t="s">
        <v>3099</v>
      </c>
      <c r="C1034" s="2" t="s">
        <v>3100</v>
      </c>
      <c r="D1034" s="2" t="s">
        <v>10042</v>
      </c>
      <c r="E1034" s="15">
        <v>8.4500000000000006E-2</v>
      </c>
      <c r="F1034" s="15">
        <v>8.6199999999999999E-2</v>
      </c>
      <c r="G1034" s="15">
        <v>0.32679999999999998</v>
      </c>
      <c r="H1034" s="15">
        <v>0.17369999999999999</v>
      </c>
      <c r="I1034" s="15">
        <v>4.4499999999999998E-2</v>
      </c>
      <c r="J1034" s="15">
        <v>3.9033707865168541</v>
      </c>
    </row>
    <row r="1035" spans="1:10" x14ac:dyDescent="0.25">
      <c r="A1035" s="2" t="s">
        <v>3101</v>
      </c>
      <c r="B1035" s="2" t="s">
        <v>3102</v>
      </c>
      <c r="C1035" s="2" t="s">
        <v>3103</v>
      </c>
      <c r="D1035" s="2" t="s">
        <v>10042</v>
      </c>
      <c r="E1035" s="15">
        <v>8.7499999999999994E-2</v>
      </c>
      <c r="F1035" s="15">
        <v>0.15640000000000001</v>
      </c>
      <c r="G1035" s="15">
        <v>0.57579999999999998</v>
      </c>
      <c r="H1035" s="15">
        <v>5.0200000000000002E-2</v>
      </c>
      <c r="I1035" s="15">
        <v>4.07E-2</v>
      </c>
      <c r="J1035" s="15">
        <v>1.233415233415234</v>
      </c>
    </row>
    <row r="1036" spans="1:10" x14ac:dyDescent="0.25">
      <c r="A1036" s="2" t="s">
        <v>3104</v>
      </c>
      <c r="B1036" s="2" t="s">
        <v>3105</v>
      </c>
      <c r="C1036" s="2" t="s">
        <v>3106</v>
      </c>
      <c r="D1036" s="2" t="s">
        <v>10042</v>
      </c>
      <c r="E1036" s="15">
        <v>0.1706</v>
      </c>
      <c r="F1036" s="15">
        <v>0.15029999999999999</v>
      </c>
      <c r="G1036" s="15">
        <v>0.25650000000000001</v>
      </c>
      <c r="H1036" s="15">
        <v>7.8E-2</v>
      </c>
      <c r="I1036" s="15">
        <v>4.1799999999999997E-2</v>
      </c>
      <c r="J1036" s="15">
        <v>1.866028708133971</v>
      </c>
    </row>
    <row r="1037" spans="1:10" x14ac:dyDescent="0.25">
      <c r="A1037" s="2" t="s">
        <v>3107</v>
      </c>
      <c r="B1037" s="2" t="s">
        <v>3108</v>
      </c>
      <c r="C1037" s="2" t="s">
        <v>3109</v>
      </c>
      <c r="D1037" s="2" t="s">
        <v>10042</v>
      </c>
      <c r="E1037" s="15">
        <v>7.6499999999999999E-2</v>
      </c>
      <c r="F1037" s="15">
        <v>8.0600000000000005E-2</v>
      </c>
      <c r="G1037" s="15">
        <v>0.3422</v>
      </c>
      <c r="H1037" s="15">
        <v>0.2079</v>
      </c>
      <c r="I1037" s="15">
        <v>5.21E-2</v>
      </c>
      <c r="J1037" s="15">
        <v>3.990403071017274</v>
      </c>
    </row>
    <row r="1038" spans="1:10" x14ac:dyDescent="0.25">
      <c r="A1038" s="2" t="s">
        <v>3110</v>
      </c>
      <c r="B1038" s="2" t="s">
        <v>3111</v>
      </c>
      <c r="C1038" s="2" t="s">
        <v>3112</v>
      </c>
      <c r="D1038" s="2" t="s">
        <v>10042</v>
      </c>
      <c r="E1038" s="15">
        <v>3.8600000000000002E-2</v>
      </c>
      <c r="F1038" s="15">
        <v>8.6199999999999999E-2</v>
      </c>
      <c r="G1038" s="15">
        <v>0.65410000000000001</v>
      </c>
      <c r="H1038" s="15">
        <v>0.18840000000000001</v>
      </c>
      <c r="I1038" s="15">
        <v>4.5600000000000002E-2</v>
      </c>
      <c r="J1038" s="15">
        <v>4.1315789473684212</v>
      </c>
    </row>
    <row r="1039" spans="1:10" x14ac:dyDescent="0.25">
      <c r="A1039" s="2" t="s">
        <v>3113</v>
      </c>
      <c r="B1039" s="2" t="s">
        <v>3114</v>
      </c>
      <c r="C1039" s="2" t="s">
        <v>3115</v>
      </c>
      <c r="D1039" s="2" t="s">
        <v>10042</v>
      </c>
      <c r="E1039" s="15">
        <v>0.15759999999999999</v>
      </c>
      <c r="F1039" s="15">
        <v>0.1076</v>
      </c>
      <c r="G1039" s="15">
        <v>0.1431</v>
      </c>
      <c r="H1039" s="15">
        <v>0.1022</v>
      </c>
      <c r="I1039" s="15">
        <v>4.58E-2</v>
      </c>
      <c r="J1039" s="15">
        <v>2.231441048034934</v>
      </c>
    </row>
    <row r="1040" spans="1:10" x14ac:dyDescent="0.25">
      <c r="A1040" s="2" t="s">
        <v>3116</v>
      </c>
      <c r="B1040" s="2" t="s">
        <v>3117</v>
      </c>
      <c r="C1040" s="2" t="s">
        <v>3118</v>
      </c>
      <c r="D1040" s="2" t="s">
        <v>10042</v>
      </c>
      <c r="E1040" s="15">
        <v>-6.5299999999999997E-2</v>
      </c>
      <c r="F1040" s="15">
        <v>0.16880000000000001</v>
      </c>
      <c r="G1040" s="15">
        <v>0.69899999999999995</v>
      </c>
      <c r="H1040" s="15">
        <v>5.0599999999999999E-2</v>
      </c>
      <c r="I1040" s="15">
        <v>4.41E-2</v>
      </c>
      <c r="J1040" s="15">
        <v>1.1473922902494329</v>
      </c>
    </row>
    <row r="1041" spans="1:10" x14ac:dyDescent="0.25">
      <c r="A1041" s="2" t="s">
        <v>3119</v>
      </c>
      <c r="B1041" s="2" t="s">
        <v>3120</v>
      </c>
      <c r="C1041" s="2" t="s">
        <v>3121</v>
      </c>
      <c r="D1041" s="2" t="s">
        <v>10042</v>
      </c>
      <c r="E1041" s="15">
        <v>0.11749999999999999</v>
      </c>
      <c r="F1041" s="15">
        <v>0.1623</v>
      </c>
      <c r="G1041" s="15">
        <v>0.46910000000000002</v>
      </c>
      <c r="H1041" s="15">
        <v>5.21E-2</v>
      </c>
      <c r="I1041" s="15">
        <v>4.0800000000000003E-2</v>
      </c>
      <c r="J1041" s="15">
        <v>1.276960784313725</v>
      </c>
    </row>
    <row r="1042" spans="1:10" x14ac:dyDescent="0.25">
      <c r="A1042" s="2" t="s">
        <v>3122</v>
      </c>
      <c r="B1042" s="2" t="s">
        <v>3123</v>
      </c>
      <c r="C1042" s="2" t="s">
        <v>3124</v>
      </c>
      <c r="D1042" s="2" t="s">
        <v>10042</v>
      </c>
      <c r="E1042" s="15">
        <v>9.3700000000000006E-2</v>
      </c>
      <c r="F1042" s="15">
        <v>8.1299999999999997E-2</v>
      </c>
      <c r="G1042" s="15">
        <v>0.249</v>
      </c>
      <c r="H1042" s="15">
        <v>0.15759999999999999</v>
      </c>
      <c r="I1042" s="15">
        <v>4.36E-2</v>
      </c>
      <c r="J1042" s="15">
        <v>3.614678899082568</v>
      </c>
    </row>
    <row r="1043" spans="1:10" x14ac:dyDescent="0.25">
      <c r="A1043" s="2" t="s">
        <v>3125</v>
      </c>
      <c r="B1043" s="2" t="s">
        <v>3126</v>
      </c>
      <c r="C1043" s="2" t="s">
        <v>3127</v>
      </c>
      <c r="D1043" s="2" t="s">
        <v>10042</v>
      </c>
      <c r="E1043" s="15">
        <v>0.23100000000000001</v>
      </c>
      <c r="F1043" s="15">
        <v>0.15670000000000001</v>
      </c>
      <c r="G1043" s="15">
        <v>0.1404</v>
      </c>
      <c r="H1043" s="15">
        <v>6.9099999999999995E-2</v>
      </c>
      <c r="I1043" s="15">
        <v>4.3999999999999997E-2</v>
      </c>
      <c r="J1043" s="15">
        <v>1.5704545454545451</v>
      </c>
    </row>
    <row r="1044" spans="1:10" x14ac:dyDescent="0.25">
      <c r="A1044" s="2" t="s">
        <v>3128</v>
      </c>
      <c r="B1044" s="2" t="s">
        <v>3129</v>
      </c>
      <c r="C1044" s="2" t="s">
        <v>3130</v>
      </c>
      <c r="D1044" s="2" t="s">
        <v>10042</v>
      </c>
      <c r="E1044" s="15">
        <v>0.14799999999999999</v>
      </c>
      <c r="F1044" s="15">
        <v>0.1229</v>
      </c>
      <c r="G1044" s="15">
        <v>0.22839999999999999</v>
      </c>
      <c r="H1044" s="15">
        <v>0.10349999999999999</v>
      </c>
      <c r="I1044" s="15">
        <v>4.2999999999999997E-2</v>
      </c>
      <c r="J1044" s="15">
        <v>2.4069767441860468</v>
      </c>
    </row>
    <row r="1045" spans="1:10" x14ac:dyDescent="0.25">
      <c r="A1045" s="2" t="s">
        <v>3131</v>
      </c>
      <c r="B1045" s="2" t="s">
        <v>3132</v>
      </c>
      <c r="C1045" s="2" t="s">
        <v>3133</v>
      </c>
      <c r="D1045" s="2" t="s">
        <v>10042</v>
      </c>
      <c r="E1045" s="15">
        <v>4.4200000000000003E-2</v>
      </c>
      <c r="F1045" s="15">
        <v>8.0199999999999994E-2</v>
      </c>
      <c r="G1045" s="15">
        <v>0.58089999999999997</v>
      </c>
      <c r="H1045" s="15">
        <v>0.1661</v>
      </c>
      <c r="I1045" s="15">
        <v>4.58E-2</v>
      </c>
      <c r="J1045" s="15">
        <v>3.626637554585153</v>
      </c>
    </row>
    <row r="1046" spans="1:10" x14ac:dyDescent="0.25">
      <c r="A1046" s="2" t="s">
        <v>3134</v>
      </c>
      <c r="B1046" s="2" t="s">
        <v>3135</v>
      </c>
      <c r="C1046" s="2" t="s">
        <v>3136</v>
      </c>
      <c r="D1046" s="2" t="s">
        <v>10042</v>
      </c>
      <c r="E1046" s="15">
        <v>0.20269999999999999</v>
      </c>
      <c r="F1046" s="15">
        <v>9.1999999999999998E-2</v>
      </c>
      <c r="G1046" s="15">
        <v>2.76E-2</v>
      </c>
      <c r="H1046" s="15">
        <v>0.1978</v>
      </c>
      <c r="I1046" s="15">
        <v>4.5499999999999999E-2</v>
      </c>
      <c r="J1046" s="15">
        <v>4.3472527472527478</v>
      </c>
    </row>
    <row r="1047" spans="1:10" x14ac:dyDescent="0.25">
      <c r="A1047" s="2" t="s">
        <v>3137</v>
      </c>
      <c r="B1047" s="2" t="s">
        <v>3138</v>
      </c>
      <c r="C1047" s="2" t="s">
        <v>3139</v>
      </c>
      <c r="D1047" s="2" t="s">
        <v>10042</v>
      </c>
      <c r="E1047" s="15">
        <v>0.1226</v>
      </c>
      <c r="F1047" s="15">
        <v>0.1019</v>
      </c>
      <c r="G1047" s="15">
        <v>0.2288</v>
      </c>
      <c r="H1047" s="15">
        <v>0.1052</v>
      </c>
      <c r="I1047" s="15">
        <v>4.02E-2</v>
      </c>
      <c r="J1047" s="15">
        <v>2.616915422885572</v>
      </c>
    </row>
    <row r="1048" spans="1:10" x14ac:dyDescent="0.25">
      <c r="A1048" s="2" t="s">
        <v>3140</v>
      </c>
      <c r="B1048" s="2" t="s">
        <v>3141</v>
      </c>
      <c r="C1048" s="2" t="s">
        <v>3142</v>
      </c>
      <c r="D1048" s="2" t="s">
        <v>10042</v>
      </c>
      <c r="E1048" s="15">
        <v>0.1575</v>
      </c>
      <c r="F1048" s="15">
        <v>9.2799999999999994E-2</v>
      </c>
      <c r="G1048" s="15">
        <v>8.9599999999999999E-2</v>
      </c>
      <c r="H1048" s="15">
        <v>0.14949999999999999</v>
      </c>
      <c r="I1048" s="15">
        <v>4.5900000000000003E-2</v>
      </c>
      <c r="J1048" s="15">
        <v>3.2570806100217862</v>
      </c>
    </row>
    <row r="1049" spans="1:10" x14ac:dyDescent="0.25">
      <c r="A1049" s="2" t="s">
        <v>3143</v>
      </c>
      <c r="B1049" s="2" t="s">
        <v>3144</v>
      </c>
      <c r="C1049" s="2" t="s">
        <v>3145</v>
      </c>
      <c r="D1049" s="2" t="s">
        <v>10042</v>
      </c>
      <c r="E1049" s="15">
        <v>7.9299999999999995E-2</v>
      </c>
      <c r="F1049" s="15">
        <v>8.6699999999999999E-2</v>
      </c>
      <c r="G1049" s="15">
        <v>0.36009999999999998</v>
      </c>
      <c r="H1049" s="15">
        <v>0.16400000000000001</v>
      </c>
      <c r="I1049" s="15">
        <v>5.2699999999999997E-2</v>
      </c>
      <c r="J1049" s="15">
        <v>3.1119544592030359</v>
      </c>
    </row>
    <row r="1050" spans="1:10" x14ac:dyDescent="0.25">
      <c r="A1050" s="2" t="s">
        <v>3146</v>
      </c>
      <c r="B1050" s="2" t="s">
        <v>3147</v>
      </c>
      <c r="C1050" s="2" t="s">
        <v>3148</v>
      </c>
      <c r="D1050" s="2" t="s">
        <v>10042</v>
      </c>
      <c r="E1050" s="15">
        <v>0.1925</v>
      </c>
      <c r="F1050" s="15">
        <v>7.5899999999999995E-2</v>
      </c>
      <c r="G1050" s="15">
        <v>1.12E-2</v>
      </c>
      <c r="H1050" s="15">
        <v>0.2417</v>
      </c>
      <c r="I1050" s="15">
        <v>4.7699999999999999E-2</v>
      </c>
      <c r="J1050" s="15">
        <v>5.067085953878407</v>
      </c>
    </row>
    <row r="1051" spans="1:10" x14ac:dyDescent="0.25">
      <c r="A1051" s="2" t="s">
        <v>3149</v>
      </c>
      <c r="B1051" s="2" t="s">
        <v>3150</v>
      </c>
      <c r="C1051" s="2" t="s">
        <v>3151</v>
      </c>
      <c r="D1051" s="2" t="s">
        <v>10042</v>
      </c>
      <c r="E1051" s="15">
        <v>0.1295</v>
      </c>
      <c r="F1051" s="15">
        <v>8.5599999999999996E-2</v>
      </c>
      <c r="G1051" s="15">
        <v>0.13020000000000001</v>
      </c>
      <c r="H1051" s="15">
        <v>0.17319999999999999</v>
      </c>
      <c r="I1051" s="15">
        <v>4.7500000000000001E-2</v>
      </c>
      <c r="J1051" s="15">
        <v>3.6463157894736842</v>
      </c>
    </row>
    <row r="1052" spans="1:10" x14ac:dyDescent="0.25">
      <c r="A1052" s="2" t="s">
        <v>3152</v>
      </c>
      <c r="B1052" s="2" t="s">
        <v>3153</v>
      </c>
      <c r="C1052" s="2" t="s">
        <v>3154</v>
      </c>
      <c r="D1052" s="2" t="s">
        <v>10042</v>
      </c>
      <c r="E1052" s="15">
        <v>9.01E-2</v>
      </c>
      <c r="F1052" s="15">
        <v>7.2599999999999998E-2</v>
      </c>
      <c r="G1052" s="15">
        <v>0.21479999999999999</v>
      </c>
      <c r="H1052" s="15">
        <v>0.2026</v>
      </c>
      <c r="I1052" s="15">
        <v>6.7599999999999993E-2</v>
      </c>
      <c r="J1052" s="15">
        <v>2.997041420118344</v>
      </c>
    </row>
    <row r="1053" spans="1:10" x14ac:dyDescent="0.25">
      <c r="A1053" s="2" t="s">
        <v>3155</v>
      </c>
      <c r="B1053" s="2" t="s">
        <v>3156</v>
      </c>
      <c r="C1053" s="2" t="s">
        <v>3157</v>
      </c>
      <c r="D1053" s="2" t="s">
        <v>10042</v>
      </c>
      <c r="E1053" s="15">
        <v>0.3478</v>
      </c>
      <c r="F1053" s="15">
        <v>0.53169999999999995</v>
      </c>
      <c r="G1053" s="15">
        <v>0.51300000000000001</v>
      </c>
      <c r="H1053" s="15">
        <v>1.9400000000000001E-2</v>
      </c>
      <c r="I1053" s="15">
        <v>4.19E-2</v>
      </c>
      <c r="J1053" s="15">
        <v>0.46300715990453462</v>
      </c>
    </row>
    <row r="1054" spans="1:10" x14ac:dyDescent="0.25">
      <c r="A1054" s="2" t="s">
        <v>3158</v>
      </c>
      <c r="B1054" s="2" t="s">
        <v>3159</v>
      </c>
      <c r="C1054" s="2" t="s">
        <v>3160</v>
      </c>
      <c r="D1054" s="2" t="s">
        <v>10042</v>
      </c>
      <c r="E1054" s="15">
        <v>7.7200000000000005E-2</v>
      </c>
      <c r="F1054" s="15">
        <v>8.5400000000000004E-2</v>
      </c>
      <c r="G1054" s="15">
        <v>0.36559999999999998</v>
      </c>
      <c r="H1054" s="15">
        <v>0.17960000000000001</v>
      </c>
      <c r="I1054" s="15">
        <v>4.8500000000000001E-2</v>
      </c>
      <c r="J1054" s="15">
        <v>3.7030927835051548</v>
      </c>
    </row>
    <row r="1055" spans="1:10" x14ac:dyDescent="0.25">
      <c r="A1055" s="2" t="s">
        <v>3161</v>
      </c>
      <c r="B1055" s="2" t="s">
        <v>3162</v>
      </c>
      <c r="C1055" s="2" t="s">
        <v>3163</v>
      </c>
      <c r="D1055" s="2" t="s">
        <v>10042</v>
      </c>
      <c r="E1055" s="15">
        <v>0.1148</v>
      </c>
      <c r="F1055" s="15">
        <v>0.10680000000000001</v>
      </c>
      <c r="G1055" s="15">
        <v>0.28270000000000001</v>
      </c>
      <c r="H1055" s="15">
        <v>0.12820000000000001</v>
      </c>
      <c r="I1055" s="15">
        <v>4.1500000000000002E-2</v>
      </c>
      <c r="J1055" s="15">
        <v>3.089156626506024</v>
      </c>
    </row>
    <row r="1056" spans="1:10" x14ac:dyDescent="0.25">
      <c r="A1056" s="2" t="s">
        <v>3164</v>
      </c>
      <c r="B1056" s="2" t="s">
        <v>3165</v>
      </c>
      <c r="C1056" s="2" t="s">
        <v>3166</v>
      </c>
      <c r="D1056" s="2" t="s">
        <v>10042</v>
      </c>
      <c r="E1056" s="15">
        <v>0.16059999999999999</v>
      </c>
      <c r="F1056" s="15">
        <v>8.0500000000000002E-2</v>
      </c>
      <c r="G1056" s="15">
        <v>4.5900000000000003E-2</v>
      </c>
      <c r="H1056" s="15">
        <v>0.21149999999999999</v>
      </c>
      <c r="I1056" s="15">
        <v>4.9799999999999997E-2</v>
      </c>
      <c r="J1056" s="15">
        <v>4.2469879518072293</v>
      </c>
    </row>
    <row r="1057" spans="1:10" x14ac:dyDescent="0.25">
      <c r="A1057" s="2" t="s">
        <v>3167</v>
      </c>
      <c r="B1057" s="2" t="s">
        <v>3168</v>
      </c>
      <c r="C1057" s="2" t="s">
        <v>3169</v>
      </c>
      <c r="D1057" s="2" t="s">
        <v>10042</v>
      </c>
      <c r="E1057" s="15">
        <v>6.4899999999999999E-2</v>
      </c>
      <c r="F1057" s="15">
        <v>0.1232</v>
      </c>
      <c r="G1057" s="15">
        <v>0.59819999999999995</v>
      </c>
      <c r="H1057" s="15">
        <v>6.88E-2</v>
      </c>
      <c r="I1057" s="15">
        <v>4.1399999999999999E-2</v>
      </c>
      <c r="J1057" s="15">
        <v>1.661835748792271</v>
      </c>
    </row>
    <row r="1058" spans="1:10" x14ac:dyDescent="0.25">
      <c r="A1058" s="2" t="s">
        <v>3170</v>
      </c>
      <c r="B1058" s="2" t="s">
        <v>3171</v>
      </c>
      <c r="C1058" s="2" t="s">
        <v>3172</v>
      </c>
      <c r="D1058" s="2" t="s">
        <v>10042</v>
      </c>
      <c r="E1058" s="15">
        <v>0.28970000000000001</v>
      </c>
      <c r="F1058" s="15">
        <v>0.13619999999999999</v>
      </c>
      <c r="G1058" s="15">
        <v>3.3500000000000002E-2</v>
      </c>
      <c r="H1058" s="15">
        <v>8.1500000000000003E-2</v>
      </c>
      <c r="I1058" s="15">
        <v>4.4400000000000002E-2</v>
      </c>
      <c r="J1058" s="15">
        <v>1.835585585585586</v>
      </c>
    </row>
    <row r="1059" spans="1:10" x14ac:dyDescent="0.25">
      <c r="A1059" s="2" t="s">
        <v>3173</v>
      </c>
      <c r="B1059" s="2" t="s">
        <v>3174</v>
      </c>
      <c r="C1059" s="2" t="s">
        <v>3175</v>
      </c>
      <c r="D1059" s="2" t="s">
        <v>10042</v>
      </c>
      <c r="E1059" s="15">
        <v>2.0199999999999999E-2</v>
      </c>
      <c r="F1059" s="15">
        <v>9.2700000000000005E-2</v>
      </c>
      <c r="G1059" s="15">
        <v>0.82709999999999995</v>
      </c>
      <c r="H1059" s="15">
        <v>0.14410000000000001</v>
      </c>
      <c r="I1059" s="15">
        <v>4.24E-2</v>
      </c>
      <c r="J1059" s="15">
        <v>3.398584905660377</v>
      </c>
    </row>
    <row r="1060" spans="1:10" x14ac:dyDescent="0.25">
      <c r="A1060" s="2" t="s">
        <v>3176</v>
      </c>
      <c r="B1060" s="2" t="s">
        <v>3177</v>
      </c>
      <c r="C1060" s="2" t="s">
        <v>3178</v>
      </c>
      <c r="D1060" s="2" t="s">
        <v>10042</v>
      </c>
      <c r="E1060" s="15">
        <v>8.9300000000000004E-2</v>
      </c>
      <c r="F1060" s="15">
        <v>0.10199999999999999</v>
      </c>
      <c r="G1060" s="15">
        <v>0.38159999999999999</v>
      </c>
      <c r="H1060" s="15">
        <v>0.1474</v>
      </c>
      <c r="I1060" s="15">
        <v>4.4200000000000003E-2</v>
      </c>
      <c r="J1060" s="15">
        <v>3.3348416289592762</v>
      </c>
    </row>
    <row r="1061" spans="1:10" x14ac:dyDescent="0.25">
      <c r="A1061" s="2" t="s">
        <v>3179</v>
      </c>
      <c r="B1061" s="2" t="s">
        <v>3180</v>
      </c>
      <c r="C1061" s="2" t="s">
        <v>3181</v>
      </c>
      <c r="D1061" s="2" t="s">
        <v>10042</v>
      </c>
      <c r="E1061" s="15">
        <v>0.1182</v>
      </c>
      <c r="F1061" s="15">
        <v>0.1087</v>
      </c>
      <c r="G1061" s="15">
        <v>0.27689999999999998</v>
      </c>
      <c r="H1061" s="15">
        <v>9.6600000000000005E-2</v>
      </c>
      <c r="I1061" s="15">
        <v>4.7199999999999999E-2</v>
      </c>
      <c r="J1061" s="15">
        <v>2.046610169491526</v>
      </c>
    </row>
    <row r="1062" spans="1:10" x14ac:dyDescent="0.25">
      <c r="A1062" s="2" t="s">
        <v>3182</v>
      </c>
      <c r="B1062" s="2" t="s">
        <v>3183</v>
      </c>
      <c r="C1062" s="2" t="s">
        <v>3184</v>
      </c>
      <c r="D1062" s="2" t="s">
        <v>10042</v>
      </c>
      <c r="E1062" s="15">
        <v>0.13769999999999999</v>
      </c>
      <c r="F1062" s="15">
        <v>8.8499999999999995E-2</v>
      </c>
      <c r="G1062" s="15">
        <v>0.12</v>
      </c>
      <c r="H1062" s="15">
        <v>0.1847</v>
      </c>
      <c r="I1062" s="15">
        <v>4.7600000000000003E-2</v>
      </c>
      <c r="J1062" s="15">
        <v>3.8802521008403361</v>
      </c>
    </row>
    <row r="1063" spans="1:10" x14ac:dyDescent="0.25">
      <c r="A1063" s="2" t="s">
        <v>3185</v>
      </c>
      <c r="B1063" s="2" t="s">
        <v>3186</v>
      </c>
      <c r="C1063" s="2" t="s">
        <v>3187</v>
      </c>
      <c r="D1063" s="2" t="s">
        <v>10042</v>
      </c>
      <c r="E1063" s="15">
        <v>0.13900000000000001</v>
      </c>
      <c r="F1063" s="15">
        <v>7.5800000000000006E-2</v>
      </c>
      <c r="G1063" s="15">
        <v>6.6600000000000006E-2</v>
      </c>
      <c r="H1063" s="15">
        <v>0.2087</v>
      </c>
      <c r="I1063" s="15">
        <v>4.8300000000000003E-2</v>
      </c>
      <c r="J1063" s="15">
        <v>4.320910973084886</v>
      </c>
    </row>
    <row r="1064" spans="1:10" x14ac:dyDescent="0.25">
      <c r="A1064" s="2" t="s">
        <v>3188</v>
      </c>
      <c r="B1064" s="2" t="s">
        <v>3189</v>
      </c>
      <c r="C1064" s="2" t="s">
        <v>3190</v>
      </c>
      <c r="D1064" s="2" t="s">
        <v>10042</v>
      </c>
      <c r="E1064" s="15">
        <v>0.1741</v>
      </c>
      <c r="F1064" s="15">
        <v>9.9099999999999994E-2</v>
      </c>
      <c r="G1064" s="15">
        <v>7.9100000000000004E-2</v>
      </c>
      <c r="H1064" s="15">
        <v>0.15310000000000001</v>
      </c>
      <c r="I1064" s="15">
        <v>4.7399999999999998E-2</v>
      </c>
      <c r="J1064" s="15">
        <v>3.2299578059071741</v>
      </c>
    </row>
    <row r="1065" spans="1:10" x14ac:dyDescent="0.25">
      <c r="A1065" s="2" t="s">
        <v>3191</v>
      </c>
      <c r="B1065" s="2" t="s">
        <v>3192</v>
      </c>
      <c r="C1065" s="2" t="s">
        <v>3193</v>
      </c>
      <c r="D1065" s="2" t="s">
        <v>10042</v>
      </c>
      <c r="E1065" s="15">
        <v>-4.7000000000000002E-3</v>
      </c>
      <c r="F1065" s="15">
        <v>9.9199999999999997E-2</v>
      </c>
      <c r="G1065" s="15">
        <v>0.96230000000000004</v>
      </c>
      <c r="H1065" s="15">
        <v>0.16819999999999999</v>
      </c>
      <c r="I1065" s="15">
        <v>4.2000000000000003E-2</v>
      </c>
      <c r="J1065" s="15">
        <v>4.0047619047619039</v>
      </c>
    </row>
    <row r="1066" spans="1:10" x14ac:dyDescent="0.25">
      <c r="A1066" s="2" t="s">
        <v>3194</v>
      </c>
      <c r="B1066" s="2" t="s">
        <v>3195</v>
      </c>
      <c r="C1066" s="2" t="s">
        <v>3196</v>
      </c>
      <c r="D1066" s="2" t="s">
        <v>10042</v>
      </c>
      <c r="E1066" s="15">
        <v>0.15570000000000001</v>
      </c>
      <c r="F1066" s="15">
        <v>8.5999999999999993E-2</v>
      </c>
      <c r="G1066" s="15">
        <v>7.0199999999999999E-2</v>
      </c>
      <c r="H1066" s="15">
        <v>0.2016</v>
      </c>
      <c r="I1066" s="15">
        <v>4.53E-2</v>
      </c>
      <c r="J1066" s="15">
        <v>4.4503311258278142</v>
      </c>
    </row>
    <row r="1067" spans="1:10" x14ac:dyDescent="0.25">
      <c r="A1067" s="2" t="s">
        <v>3197</v>
      </c>
      <c r="B1067" s="2" t="s">
        <v>3198</v>
      </c>
      <c r="C1067" s="2" t="s">
        <v>3199</v>
      </c>
      <c r="D1067" s="2" t="s">
        <v>10042</v>
      </c>
      <c r="E1067" s="15">
        <v>-5.8700000000000002E-2</v>
      </c>
      <c r="F1067" s="15">
        <v>0.109</v>
      </c>
      <c r="G1067" s="15">
        <v>0.59060000000000001</v>
      </c>
      <c r="H1067" s="15">
        <v>0.1179</v>
      </c>
      <c r="I1067" s="15">
        <v>4.4699999999999997E-2</v>
      </c>
      <c r="J1067" s="15">
        <v>2.63758389261745</v>
      </c>
    </row>
    <row r="1068" spans="1:10" x14ac:dyDescent="0.25">
      <c r="A1068" s="2" t="s">
        <v>3200</v>
      </c>
      <c r="B1068" s="2" t="s">
        <v>3201</v>
      </c>
      <c r="C1068" s="2" t="s">
        <v>3202</v>
      </c>
      <c r="D1068" s="2" t="s">
        <v>10042</v>
      </c>
      <c r="E1068" s="15">
        <v>0.14230000000000001</v>
      </c>
      <c r="F1068" s="15">
        <v>9.3100000000000002E-2</v>
      </c>
      <c r="G1068" s="15">
        <v>0.1265</v>
      </c>
      <c r="H1068" s="15">
        <v>0.17580000000000001</v>
      </c>
      <c r="I1068" s="15">
        <v>5.0099999999999999E-2</v>
      </c>
      <c r="J1068" s="15">
        <v>3.5089820359281441</v>
      </c>
    </row>
    <row r="1069" spans="1:10" x14ac:dyDescent="0.25">
      <c r="A1069" s="2" t="s">
        <v>3203</v>
      </c>
      <c r="B1069" s="2" t="s">
        <v>3204</v>
      </c>
      <c r="C1069" s="2" t="s">
        <v>3205</v>
      </c>
      <c r="D1069" s="2" t="s">
        <v>10042</v>
      </c>
      <c r="E1069" s="15">
        <v>-6.6699999999999995E-2</v>
      </c>
      <c r="F1069" s="15">
        <v>0.1328</v>
      </c>
      <c r="G1069" s="15">
        <v>0.61560000000000004</v>
      </c>
      <c r="H1069" s="15">
        <v>6.8500000000000005E-2</v>
      </c>
      <c r="I1069" s="15">
        <v>3.9600000000000003E-2</v>
      </c>
      <c r="J1069" s="15">
        <v>1.7297979797979799</v>
      </c>
    </row>
    <row r="1070" spans="1:10" x14ac:dyDescent="0.25">
      <c r="A1070" s="2" t="s">
        <v>3206</v>
      </c>
      <c r="B1070" s="2" t="s">
        <v>3207</v>
      </c>
      <c r="C1070" s="2" t="s">
        <v>3208</v>
      </c>
      <c r="D1070" s="2" t="s">
        <v>10042</v>
      </c>
      <c r="E1070" s="15">
        <v>0.2944</v>
      </c>
      <c r="F1070" s="15">
        <v>0.11260000000000001</v>
      </c>
      <c r="G1070" s="15">
        <v>8.8999999999999999E-3</v>
      </c>
      <c r="H1070" s="15">
        <v>0.1173</v>
      </c>
      <c r="I1070" s="15">
        <v>4.2700000000000002E-2</v>
      </c>
      <c r="J1070" s="15">
        <v>2.7470725995316161</v>
      </c>
    </row>
    <row r="1071" spans="1:10" x14ac:dyDescent="0.25">
      <c r="A1071" s="2" t="s">
        <v>3209</v>
      </c>
      <c r="B1071" s="2" t="s">
        <v>3210</v>
      </c>
      <c r="C1071" s="2" t="s">
        <v>3211</v>
      </c>
      <c r="D1071" s="2" t="s">
        <v>10042</v>
      </c>
      <c r="E1071" s="15">
        <v>0.12139999999999999</v>
      </c>
      <c r="F1071" s="15">
        <v>9.7500000000000003E-2</v>
      </c>
      <c r="G1071" s="15">
        <v>0.21310000000000001</v>
      </c>
      <c r="H1071" s="15">
        <v>0.15620000000000001</v>
      </c>
      <c r="I1071" s="15">
        <v>4.5100000000000001E-2</v>
      </c>
      <c r="J1071" s="15">
        <v>3.463414634146341</v>
      </c>
    </row>
    <row r="1072" spans="1:10" x14ac:dyDescent="0.25">
      <c r="A1072" s="2" t="s">
        <v>3212</v>
      </c>
      <c r="B1072" s="2" t="s">
        <v>3213</v>
      </c>
      <c r="C1072" s="2" t="s">
        <v>3214</v>
      </c>
      <c r="D1072" s="2" t="s">
        <v>10042</v>
      </c>
      <c r="E1072" s="15">
        <v>7.0900000000000005E-2</v>
      </c>
      <c r="F1072" s="15">
        <v>7.46E-2</v>
      </c>
      <c r="G1072" s="15">
        <v>0.34200000000000003</v>
      </c>
      <c r="H1072" s="15">
        <v>0.2127</v>
      </c>
      <c r="I1072" s="15">
        <v>5.9499999999999997E-2</v>
      </c>
      <c r="J1072" s="15">
        <v>3.5747899159663872</v>
      </c>
    </row>
    <row r="1073" spans="1:10" x14ac:dyDescent="0.25">
      <c r="A1073" s="2" t="s">
        <v>3215</v>
      </c>
      <c r="B1073" s="2" t="s">
        <v>3216</v>
      </c>
      <c r="C1073" s="2" t="s">
        <v>3217</v>
      </c>
      <c r="D1073" s="2" t="s">
        <v>10042</v>
      </c>
      <c r="E1073" s="15">
        <v>-2.3199999999999998E-2</v>
      </c>
      <c r="F1073" s="15">
        <v>0.1166</v>
      </c>
      <c r="G1073" s="15">
        <v>0.84209999999999996</v>
      </c>
      <c r="H1073" s="15">
        <v>9.7900000000000001E-2</v>
      </c>
      <c r="I1073" s="15">
        <v>4.4299999999999999E-2</v>
      </c>
      <c r="J1073" s="15">
        <v>2.2099322799097072</v>
      </c>
    </row>
    <row r="1074" spans="1:10" x14ac:dyDescent="0.25">
      <c r="A1074" s="2" t="s">
        <v>3218</v>
      </c>
      <c r="B1074" s="2" t="s">
        <v>3219</v>
      </c>
      <c r="C1074" s="2" t="s">
        <v>3220</v>
      </c>
      <c r="D1074" s="2" t="s">
        <v>10042</v>
      </c>
      <c r="E1074" s="15">
        <v>0.36030000000000001</v>
      </c>
      <c r="F1074" s="15">
        <v>0.19919999999999999</v>
      </c>
      <c r="G1074" s="15">
        <v>7.0499999999999993E-2</v>
      </c>
      <c r="H1074" s="15">
        <v>6.3700000000000007E-2</v>
      </c>
      <c r="I1074" s="15">
        <v>4.8099999999999997E-2</v>
      </c>
      <c r="J1074" s="15">
        <v>1.324324324324325</v>
      </c>
    </row>
    <row r="1075" spans="1:10" x14ac:dyDescent="0.25">
      <c r="A1075" s="2" t="s">
        <v>3221</v>
      </c>
      <c r="B1075" s="2" t="s">
        <v>3222</v>
      </c>
      <c r="C1075" s="2" t="s">
        <v>3223</v>
      </c>
      <c r="D1075" s="2" t="s">
        <v>10042</v>
      </c>
      <c r="E1075" s="15">
        <v>1.47E-2</v>
      </c>
      <c r="F1075" s="15">
        <v>8.7400000000000005E-2</v>
      </c>
      <c r="G1075" s="15">
        <v>0.86670000000000003</v>
      </c>
      <c r="H1075" s="15">
        <v>0.1482</v>
      </c>
      <c r="I1075" s="15">
        <v>4.1599999999999998E-2</v>
      </c>
      <c r="J1075" s="15">
        <v>3.5625</v>
      </c>
    </row>
    <row r="1076" spans="1:10" x14ac:dyDescent="0.25">
      <c r="A1076" s="2" t="s">
        <v>3224</v>
      </c>
      <c r="B1076" s="2" t="s">
        <v>3225</v>
      </c>
      <c r="C1076" s="2" t="s">
        <v>3226</v>
      </c>
      <c r="D1076" s="2" t="s">
        <v>10042</v>
      </c>
      <c r="E1076" s="15">
        <v>5.0900000000000001E-2</v>
      </c>
      <c r="F1076" s="15">
        <v>0.1018</v>
      </c>
      <c r="G1076" s="15">
        <v>0.61739999999999995</v>
      </c>
      <c r="H1076" s="15">
        <v>0.13700000000000001</v>
      </c>
      <c r="I1076" s="15">
        <v>3.8399999999999997E-2</v>
      </c>
      <c r="J1076" s="15">
        <v>3.5677083333333339</v>
      </c>
    </row>
    <row r="1077" spans="1:10" x14ac:dyDescent="0.25">
      <c r="A1077" s="2" t="s">
        <v>3227</v>
      </c>
      <c r="B1077" s="2" t="s">
        <v>3228</v>
      </c>
      <c r="C1077" s="2" t="s">
        <v>3229</v>
      </c>
      <c r="D1077" s="2" t="s">
        <v>10042</v>
      </c>
      <c r="E1077" s="15">
        <v>0.25140000000000001</v>
      </c>
      <c r="F1077" s="15">
        <v>0.10780000000000001</v>
      </c>
      <c r="G1077" s="15">
        <v>1.9699999999999999E-2</v>
      </c>
      <c r="H1077" s="15">
        <v>0.1459</v>
      </c>
      <c r="I1077" s="15">
        <v>4.4699999999999997E-2</v>
      </c>
      <c r="J1077" s="15">
        <v>3.2639821029082778</v>
      </c>
    </row>
    <row r="1078" spans="1:10" x14ac:dyDescent="0.25">
      <c r="A1078" s="2" t="s">
        <v>3230</v>
      </c>
      <c r="B1078" s="2" t="s">
        <v>3231</v>
      </c>
      <c r="C1078" s="2" t="s">
        <v>3232</v>
      </c>
      <c r="D1078" s="2" t="s">
        <v>10042</v>
      </c>
      <c r="E1078" s="15">
        <v>0.13669999999999999</v>
      </c>
      <c r="F1078" s="15">
        <v>0.10249999999999999</v>
      </c>
      <c r="G1078" s="15">
        <v>0.18240000000000001</v>
      </c>
      <c r="H1078" s="15">
        <v>0.14860000000000001</v>
      </c>
      <c r="I1078" s="15">
        <v>4.6600000000000003E-2</v>
      </c>
      <c r="J1078" s="15">
        <v>3.188841201716738</v>
      </c>
    </row>
    <row r="1079" spans="1:10" x14ac:dyDescent="0.25">
      <c r="A1079" s="2" t="s">
        <v>3233</v>
      </c>
      <c r="B1079" s="2" t="s">
        <v>3234</v>
      </c>
      <c r="C1079" s="2" t="s">
        <v>3235</v>
      </c>
      <c r="D1079" s="2" t="s">
        <v>10042</v>
      </c>
      <c r="E1079" s="15">
        <v>1.9199999999999998E-2</v>
      </c>
      <c r="F1079" s="15">
        <v>8.1600000000000006E-2</v>
      </c>
      <c r="G1079" s="15">
        <v>0.81379999999999997</v>
      </c>
      <c r="H1079" s="15">
        <v>0.19070000000000001</v>
      </c>
      <c r="I1079" s="15">
        <v>4.6800000000000001E-2</v>
      </c>
      <c r="J1079" s="15">
        <v>4.0747863247863254</v>
      </c>
    </row>
    <row r="1080" spans="1:10" x14ac:dyDescent="0.25">
      <c r="A1080" s="2" t="s">
        <v>3236</v>
      </c>
      <c r="B1080" s="2" t="s">
        <v>3237</v>
      </c>
      <c r="C1080" s="2" t="s">
        <v>3238</v>
      </c>
      <c r="D1080" s="2" t="s">
        <v>10042</v>
      </c>
      <c r="E1080" s="15">
        <v>0.1178</v>
      </c>
      <c r="F1080" s="15">
        <v>7.3800000000000004E-2</v>
      </c>
      <c r="G1080" s="15">
        <v>0.11070000000000001</v>
      </c>
      <c r="H1080" s="15">
        <v>0.2742</v>
      </c>
      <c r="I1080" s="15">
        <v>5.6399999999999999E-2</v>
      </c>
      <c r="J1080" s="15">
        <v>4.8617021276595747</v>
      </c>
    </row>
    <row r="1081" spans="1:10" x14ac:dyDescent="0.25">
      <c r="A1081" s="2" t="s">
        <v>3239</v>
      </c>
      <c r="B1081" s="2" t="s">
        <v>3240</v>
      </c>
      <c r="C1081" s="2" t="s">
        <v>3241</v>
      </c>
      <c r="D1081" s="2" t="s">
        <v>10042</v>
      </c>
      <c r="E1081" s="15">
        <v>0.27710000000000001</v>
      </c>
      <c r="F1081" s="15">
        <v>0.20269999999999999</v>
      </c>
      <c r="G1081" s="15">
        <v>0.17169999999999999</v>
      </c>
      <c r="H1081" s="15">
        <v>4.2700000000000002E-2</v>
      </c>
      <c r="I1081" s="15">
        <v>4.3700000000000003E-2</v>
      </c>
      <c r="J1081" s="15">
        <v>0.97711670480549195</v>
      </c>
    </row>
    <row r="1082" spans="1:10" x14ac:dyDescent="0.25">
      <c r="A1082" s="2" t="s">
        <v>3242</v>
      </c>
      <c r="B1082" s="2" t="s">
        <v>3243</v>
      </c>
      <c r="C1082" s="2" t="s">
        <v>3244</v>
      </c>
      <c r="D1082" s="2" t="s">
        <v>10042</v>
      </c>
      <c r="E1082" s="15">
        <v>0.14169999999999999</v>
      </c>
      <c r="F1082" s="15">
        <v>0.1066</v>
      </c>
      <c r="G1082" s="15">
        <v>0.18379999999999999</v>
      </c>
      <c r="H1082" s="15">
        <v>0.11559999999999999</v>
      </c>
      <c r="I1082" s="15">
        <v>4.7699999999999999E-2</v>
      </c>
      <c r="J1082" s="15">
        <v>2.423480083857442</v>
      </c>
    </row>
    <row r="1083" spans="1:10" x14ac:dyDescent="0.25">
      <c r="A1083" s="2" t="s">
        <v>3245</v>
      </c>
      <c r="B1083" s="2" t="s">
        <v>3246</v>
      </c>
      <c r="C1083" s="2" t="s">
        <v>3247</v>
      </c>
      <c r="D1083" s="2" t="s">
        <v>10042</v>
      </c>
      <c r="E1083" s="15">
        <v>0.1326</v>
      </c>
      <c r="F1083" s="15">
        <v>8.77E-2</v>
      </c>
      <c r="G1083" s="15">
        <v>0.1305</v>
      </c>
      <c r="H1083" s="15">
        <v>0.17150000000000001</v>
      </c>
      <c r="I1083" s="15">
        <v>4.9299999999999997E-2</v>
      </c>
      <c r="J1083" s="15">
        <v>3.4787018255578102</v>
      </c>
    </row>
    <row r="1084" spans="1:10" x14ac:dyDescent="0.25">
      <c r="A1084" s="2" t="s">
        <v>3248</v>
      </c>
      <c r="B1084" s="2" t="s">
        <v>3249</v>
      </c>
      <c r="C1084" s="2" t="s">
        <v>3250</v>
      </c>
      <c r="D1084" s="2" t="s">
        <v>10042</v>
      </c>
      <c r="E1084" s="15">
        <v>0.1336</v>
      </c>
      <c r="F1084" s="15">
        <v>9.6799999999999997E-2</v>
      </c>
      <c r="G1084" s="15">
        <v>0.16739999999999999</v>
      </c>
      <c r="H1084" s="15">
        <v>0.17130000000000001</v>
      </c>
      <c r="I1084" s="15">
        <v>4.5999999999999999E-2</v>
      </c>
      <c r="J1084" s="15">
        <v>3.723913043478261</v>
      </c>
    </row>
    <row r="1085" spans="1:10" x14ac:dyDescent="0.25">
      <c r="A1085" s="2" t="s">
        <v>3251</v>
      </c>
      <c r="B1085" s="2" t="s">
        <v>3252</v>
      </c>
      <c r="C1085" s="2" t="s">
        <v>3253</v>
      </c>
      <c r="D1085" s="2" t="s">
        <v>10042</v>
      </c>
      <c r="E1085" s="15">
        <v>0.18959999999999999</v>
      </c>
      <c r="F1085" s="15">
        <v>7.5600000000000001E-2</v>
      </c>
      <c r="G1085" s="15">
        <v>1.21E-2</v>
      </c>
      <c r="H1085" s="15">
        <v>0.23089999999999999</v>
      </c>
      <c r="I1085" s="15">
        <v>5.0599999999999999E-2</v>
      </c>
      <c r="J1085" s="15">
        <v>4.5632411067193672</v>
      </c>
    </row>
    <row r="1086" spans="1:10" x14ac:dyDescent="0.25">
      <c r="A1086" s="2" t="s">
        <v>3254</v>
      </c>
      <c r="B1086" s="2" t="s">
        <v>3255</v>
      </c>
      <c r="C1086" s="2" t="s">
        <v>3256</v>
      </c>
      <c r="D1086" s="2" t="s">
        <v>10042</v>
      </c>
      <c r="E1086" s="15">
        <v>0.16769999999999999</v>
      </c>
      <c r="F1086" s="15">
        <v>7.5899999999999995E-2</v>
      </c>
      <c r="G1086" s="15">
        <v>2.7099999999999999E-2</v>
      </c>
      <c r="H1086" s="15">
        <v>0.2334</v>
      </c>
      <c r="I1086" s="15">
        <v>5.04E-2</v>
      </c>
      <c r="J1086" s="15">
        <v>4.6309523809523796</v>
      </c>
    </row>
    <row r="1087" spans="1:10" x14ac:dyDescent="0.25">
      <c r="A1087" s="2" t="s">
        <v>3257</v>
      </c>
      <c r="B1087" s="2" t="s">
        <v>3258</v>
      </c>
      <c r="C1087" s="2" t="s">
        <v>3259</v>
      </c>
      <c r="D1087" s="2" t="s">
        <v>10042</v>
      </c>
      <c r="E1087" s="15">
        <v>0.15229999999999999</v>
      </c>
      <c r="F1087" s="15">
        <v>0.48509999999999998</v>
      </c>
      <c r="G1087" s="15">
        <v>0.75360000000000005</v>
      </c>
      <c r="H1087" s="15">
        <v>1.1900000000000001E-2</v>
      </c>
      <c r="I1087" s="15">
        <v>3.9800000000000002E-2</v>
      </c>
      <c r="J1087" s="15">
        <v>0.29899497487437188</v>
      </c>
    </row>
    <row r="1088" spans="1:10" x14ac:dyDescent="0.25">
      <c r="A1088" s="2" t="s">
        <v>3260</v>
      </c>
      <c r="B1088" s="2" t="s">
        <v>3261</v>
      </c>
      <c r="C1088" s="2" t="s">
        <v>3262</v>
      </c>
      <c r="D1088" s="2" t="s">
        <v>10042</v>
      </c>
      <c r="E1088" s="15">
        <v>5.3600000000000002E-2</v>
      </c>
      <c r="F1088" s="15">
        <v>8.2299999999999998E-2</v>
      </c>
      <c r="G1088" s="15">
        <v>0.5151</v>
      </c>
      <c r="H1088" s="15">
        <v>0.1779</v>
      </c>
      <c r="I1088" s="15">
        <v>4.3900000000000002E-2</v>
      </c>
      <c r="J1088" s="15">
        <v>4.0523917995444192</v>
      </c>
    </row>
    <row r="1089" spans="1:10" x14ac:dyDescent="0.25">
      <c r="A1089" s="2" t="s">
        <v>3263</v>
      </c>
      <c r="B1089" s="2" t="s">
        <v>3264</v>
      </c>
      <c r="C1089" s="2" t="s">
        <v>3265</v>
      </c>
      <c r="D1089" s="2" t="s">
        <v>10042</v>
      </c>
      <c r="E1089" s="15">
        <v>0.2006</v>
      </c>
      <c r="F1089" s="15">
        <v>9.3100000000000002E-2</v>
      </c>
      <c r="G1089" s="15">
        <v>3.1199999999999999E-2</v>
      </c>
      <c r="H1089" s="15">
        <v>0.1701</v>
      </c>
      <c r="I1089" s="15">
        <v>4.4999999999999998E-2</v>
      </c>
      <c r="J1089" s="15">
        <v>3.78</v>
      </c>
    </row>
    <row r="1090" spans="1:10" x14ac:dyDescent="0.25">
      <c r="A1090" s="2" t="s">
        <v>3266</v>
      </c>
      <c r="B1090" s="2" t="s">
        <v>3267</v>
      </c>
      <c r="C1090" s="2" t="s">
        <v>3268</v>
      </c>
      <c r="D1090" s="2" t="s">
        <v>10042</v>
      </c>
      <c r="E1090" s="15">
        <v>0.14990000000000001</v>
      </c>
      <c r="F1090" s="15">
        <v>0.1265</v>
      </c>
      <c r="G1090" s="15">
        <v>0.23619999999999999</v>
      </c>
      <c r="H1090" s="15">
        <v>9.4500000000000001E-2</v>
      </c>
      <c r="I1090" s="15">
        <v>4.3799999999999999E-2</v>
      </c>
      <c r="J1090" s="15">
        <v>2.157534246575342</v>
      </c>
    </row>
    <row r="1091" spans="1:10" x14ac:dyDescent="0.25">
      <c r="A1091" s="2" t="s">
        <v>3269</v>
      </c>
      <c r="B1091" s="2" t="s">
        <v>3270</v>
      </c>
      <c r="C1091" s="2" t="s">
        <v>3271</v>
      </c>
      <c r="D1091" s="2" t="s">
        <v>10042</v>
      </c>
      <c r="E1091" s="15">
        <v>0.2137</v>
      </c>
      <c r="F1091" s="15">
        <v>0.111</v>
      </c>
      <c r="G1091" s="15">
        <v>5.4199999999999998E-2</v>
      </c>
      <c r="H1091" s="15">
        <v>0.1018</v>
      </c>
      <c r="I1091" s="15">
        <v>4.6300000000000001E-2</v>
      </c>
      <c r="J1091" s="15">
        <v>2.1987041036717061</v>
      </c>
    </row>
    <row r="1092" spans="1:10" x14ac:dyDescent="0.25">
      <c r="A1092" s="2" t="s">
        <v>3272</v>
      </c>
      <c r="B1092" s="2" t="s">
        <v>3273</v>
      </c>
      <c r="C1092" s="2" t="s">
        <v>3274</v>
      </c>
      <c r="D1092" s="2" t="s">
        <v>10042</v>
      </c>
      <c r="E1092" s="15">
        <v>-2.0000000000000001E-4</v>
      </c>
      <c r="F1092" s="15">
        <v>0.08</v>
      </c>
      <c r="G1092" s="15">
        <v>0.99829999999999997</v>
      </c>
      <c r="H1092" s="15">
        <v>0.1807</v>
      </c>
      <c r="I1092" s="15">
        <v>4.4900000000000002E-2</v>
      </c>
      <c r="J1092" s="15">
        <v>4.0244988864142526</v>
      </c>
    </row>
    <row r="1093" spans="1:10" x14ac:dyDescent="0.25">
      <c r="A1093" s="2" t="s">
        <v>3275</v>
      </c>
      <c r="B1093" s="2" t="s">
        <v>3276</v>
      </c>
      <c r="C1093" s="2" t="s">
        <v>3277</v>
      </c>
      <c r="D1093" s="2" t="s">
        <v>10042</v>
      </c>
      <c r="E1093" s="15">
        <v>0.13089999999999999</v>
      </c>
      <c r="F1093" s="15">
        <v>0.1288</v>
      </c>
      <c r="G1093" s="15">
        <v>0.30919999999999997</v>
      </c>
      <c r="H1093" s="15">
        <v>7.6999999999999999E-2</v>
      </c>
      <c r="I1093" s="15">
        <v>3.9600000000000003E-2</v>
      </c>
      <c r="J1093" s="15">
        <v>1.944444444444444</v>
      </c>
    </row>
    <row r="1094" spans="1:10" x14ac:dyDescent="0.25">
      <c r="A1094" s="2" t="s">
        <v>3278</v>
      </c>
      <c r="B1094" s="2" t="s">
        <v>3279</v>
      </c>
      <c r="C1094" s="2" t="s">
        <v>3280</v>
      </c>
      <c r="D1094" s="2" t="s">
        <v>10042</v>
      </c>
      <c r="E1094" s="15">
        <v>-2.6599999999999999E-2</v>
      </c>
      <c r="F1094" s="15">
        <v>7.5300000000000006E-2</v>
      </c>
      <c r="G1094" s="15">
        <v>0.72350000000000003</v>
      </c>
      <c r="H1094" s="15">
        <v>0.19939999999999999</v>
      </c>
      <c r="I1094" s="15">
        <v>4.2999999999999997E-2</v>
      </c>
      <c r="J1094" s="15">
        <v>4.6372093023255818</v>
      </c>
    </row>
    <row r="1095" spans="1:10" x14ac:dyDescent="0.25">
      <c r="A1095" s="2" t="s">
        <v>3281</v>
      </c>
      <c r="B1095" s="2" t="s">
        <v>3282</v>
      </c>
      <c r="C1095" s="2" t="s">
        <v>3283</v>
      </c>
      <c r="D1095" s="2" t="s">
        <v>10042</v>
      </c>
      <c r="E1095" s="15">
        <v>8.4699999999999998E-2</v>
      </c>
      <c r="F1095" s="15">
        <v>0.08</v>
      </c>
      <c r="G1095" s="15">
        <v>0.28970000000000001</v>
      </c>
      <c r="H1095" s="15">
        <v>0.14849999999999999</v>
      </c>
      <c r="I1095" s="15">
        <v>4.4999999999999998E-2</v>
      </c>
      <c r="J1095" s="15">
        <v>3.3</v>
      </c>
    </row>
    <row r="1096" spans="1:10" x14ac:dyDescent="0.25">
      <c r="A1096" s="2" t="s">
        <v>3284</v>
      </c>
      <c r="B1096" s="2" t="s">
        <v>3285</v>
      </c>
      <c r="C1096" s="2" t="s">
        <v>3286</v>
      </c>
      <c r="D1096" s="2" t="s">
        <v>10042</v>
      </c>
      <c r="E1096" s="15">
        <v>3.39E-2</v>
      </c>
      <c r="F1096" s="15">
        <v>7.7499999999999999E-2</v>
      </c>
      <c r="G1096" s="15">
        <v>0.66169999999999995</v>
      </c>
      <c r="H1096" s="15">
        <v>0.21249999999999999</v>
      </c>
      <c r="I1096" s="15">
        <v>5.3600000000000002E-2</v>
      </c>
      <c r="J1096" s="15">
        <v>3.96455223880597</v>
      </c>
    </row>
    <row r="1097" spans="1:10" x14ac:dyDescent="0.25">
      <c r="A1097" s="2" t="s">
        <v>3287</v>
      </c>
      <c r="B1097" s="2" t="s">
        <v>3288</v>
      </c>
      <c r="C1097" s="2" t="s">
        <v>3289</v>
      </c>
      <c r="D1097" s="2" t="s">
        <v>10042</v>
      </c>
      <c r="E1097" s="15">
        <v>0.1411</v>
      </c>
      <c r="F1097" s="15">
        <v>0.1159</v>
      </c>
      <c r="G1097" s="15">
        <v>0.2233</v>
      </c>
      <c r="H1097" s="15">
        <v>9.0200000000000002E-2</v>
      </c>
      <c r="I1097" s="15">
        <v>4.1200000000000001E-2</v>
      </c>
      <c r="J1097" s="15">
        <v>2.1893203883495151</v>
      </c>
    </row>
    <row r="1098" spans="1:10" x14ac:dyDescent="0.25">
      <c r="A1098" s="2" t="s">
        <v>3290</v>
      </c>
      <c r="B1098" s="2" t="s">
        <v>3291</v>
      </c>
      <c r="C1098" s="2" t="s">
        <v>3292</v>
      </c>
      <c r="D1098" s="2" t="s">
        <v>10042</v>
      </c>
      <c r="E1098" s="15">
        <v>0.19400000000000001</v>
      </c>
      <c r="F1098" s="15">
        <v>0.1066</v>
      </c>
      <c r="G1098" s="15">
        <v>6.88E-2</v>
      </c>
      <c r="H1098" s="15">
        <v>0.12189999999999999</v>
      </c>
      <c r="I1098" s="15">
        <v>4.2700000000000002E-2</v>
      </c>
      <c r="J1098" s="15">
        <v>2.8548009367681502</v>
      </c>
    </row>
    <row r="1099" spans="1:10" x14ac:dyDescent="0.25">
      <c r="A1099" s="2" t="s">
        <v>3293</v>
      </c>
      <c r="B1099" s="2" t="s">
        <v>3294</v>
      </c>
      <c r="C1099" s="2" t="s">
        <v>3295</v>
      </c>
      <c r="D1099" s="2" t="s">
        <v>10042</v>
      </c>
      <c r="E1099" s="15">
        <v>0.11459999999999999</v>
      </c>
      <c r="F1099" s="15">
        <v>8.7800000000000003E-2</v>
      </c>
      <c r="G1099" s="15">
        <v>0.192</v>
      </c>
      <c r="H1099" s="15">
        <v>0.1346</v>
      </c>
      <c r="I1099" s="15">
        <v>4.4200000000000003E-2</v>
      </c>
      <c r="J1099" s="15">
        <v>3.0452488687782799</v>
      </c>
    </row>
    <row r="1100" spans="1:10" x14ac:dyDescent="0.25">
      <c r="A1100" s="2" t="s">
        <v>3296</v>
      </c>
      <c r="B1100" s="2" t="s">
        <v>3297</v>
      </c>
      <c r="C1100" s="2" t="s">
        <v>3298</v>
      </c>
      <c r="D1100" s="2" t="s">
        <v>10042</v>
      </c>
      <c r="E1100" s="15">
        <v>6.5699999999999995E-2</v>
      </c>
      <c r="F1100" s="15">
        <v>7.1099999999999997E-2</v>
      </c>
      <c r="G1100" s="15">
        <v>0.35570000000000002</v>
      </c>
      <c r="H1100" s="15">
        <v>0.22420000000000001</v>
      </c>
      <c r="I1100" s="15">
        <v>4.3200000000000002E-2</v>
      </c>
      <c r="J1100" s="15">
        <v>5.1898148148148149</v>
      </c>
    </row>
    <row r="1101" spans="1:10" x14ac:dyDescent="0.25">
      <c r="A1101" s="2" t="s">
        <v>3299</v>
      </c>
      <c r="B1101" s="2" t="s">
        <v>3300</v>
      </c>
      <c r="C1101" s="2" t="s">
        <v>3301</v>
      </c>
      <c r="D1101" s="2" t="s">
        <v>10042</v>
      </c>
      <c r="E1101" s="15">
        <v>0.16389999999999999</v>
      </c>
      <c r="F1101" s="15">
        <v>0.1021</v>
      </c>
      <c r="G1101" s="15">
        <v>0.1084</v>
      </c>
      <c r="H1101" s="15">
        <v>0.1363</v>
      </c>
      <c r="I1101" s="15">
        <v>4.2700000000000002E-2</v>
      </c>
      <c r="J1101" s="15">
        <v>3.1920374707259951</v>
      </c>
    </row>
    <row r="1102" spans="1:10" x14ac:dyDescent="0.25">
      <c r="A1102" s="2" t="s">
        <v>3302</v>
      </c>
      <c r="B1102" s="2" t="s">
        <v>3303</v>
      </c>
      <c r="C1102" s="2" t="s">
        <v>3304</v>
      </c>
      <c r="D1102" s="2" t="s">
        <v>10042</v>
      </c>
      <c r="E1102" s="15">
        <v>0.25969999999999999</v>
      </c>
      <c r="F1102" s="15">
        <v>0.16830000000000001</v>
      </c>
      <c r="G1102" s="15">
        <v>0.1227</v>
      </c>
      <c r="H1102" s="15">
        <v>5.4100000000000002E-2</v>
      </c>
      <c r="I1102" s="15">
        <v>4.2799999999999998E-2</v>
      </c>
      <c r="J1102" s="15">
        <v>1.264018691588785</v>
      </c>
    </row>
    <row r="1103" spans="1:10" x14ac:dyDescent="0.25">
      <c r="A1103" s="2" t="s">
        <v>3305</v>
      </c>
      <c r="B1103" s="2" t="s">
        <v>3306</v>
      </c>
      <c r="C1103" s="2" t="s">
        <v>3307</v>
      </c>
      <c r="D1103" s="2" t="s">
        <v>10042</v>
      </c>
      <c r="E1103" s="15">
        <v>1.0500000000000001E-2</v>
      </c>
      <c r="F1103" s="15">
        <v>0.1032</v>
      </c>
      <c r="G1103" s="15">
        <v>0.91900000000000004</v>
      </c>
      <c r="H1103" s="15">
        <v>0.1137</v>
      </c>
      <c r="I1103" s="15">
        <v>4.9000000000000002E-2</v>
      </c>
      <c r="J1103" s="15">
        <v>2.3204081632653062</v>
      </c>
    </row>
    <row r="1104" spans="1:10" x14ac:dyDescent="0.25">
      <c r="A1104" s="2" t="s">
        <v>3308</v>
      </c>
      <c r="B1104" s="2" t="s">
        <v>3309</v>
      </c>
      <c r="C1104" s="2" t="s">
        <v>3310</v>
      </c>
      <c r="D1104" s="2" t="s">
        <v>10042</v>
      </c>
      <c r="E1104" s="15">
        <v>0.26440000000000002</v>
      </c>
      <c r="F1104" s="15">
        <v>0.13500000000000001</v>
      </c>
      <c r="G1104" s="15">
        <v>5.0299999999999997E-2</v>
      </c>
      <c r="H1104" s="15">
        <v>0.1036</v>
      </c>
      <c r="I1104" s="15">
        <v>4.1399999999999999E-2</v>
      </c>
      <c r="J1104" s="15">
        <v>2.5024154589371981</v>
      </c>
    </row>
    <row r="1105" spans="1:10" x14ac:dyDescent="0.25">
      <c r="A1105" s="2" t="s">
        <v>3311</v>
      </c>
      <c r="B1105" s="2" t="s">
        <v>3312</v>
      </c>
      <c r="C1105" s="2" t="s">
        <v>3313</v>
      </c>
      <c r="D1105" s="2" t="s">
        <v>10042</v>
      </c>
      <c r="E1105" s="15">
        <v>0.20039999999999999</v>
      </c>
      <c r="F1105" s="15">
        <v>0.10639999999999999</v>
      </c>
      <c r="G1105" s="15">
        <v>5.9499999999999997E-2</v>
      </c>
      <c r="H1105" s="15">
        <v>0.1336</v>
      </c>
      <c r="I1105" s="15">
        <v>4.1700000000000001E-2</v>
      </c>
      <c r="J1105" s="15">
        <v>3.203836930455636</v>
      </c>
    </row>
    <row r="1106" spans="1:10" x14ac:dyDescent="0.25">
      <c r="A1106" s="2" t="s">
        <v>3314</v>
      </c>
      <c r="B1106" s="2" t="s">
        <v>3315</v>
      </c>
      <c r="C1106" s="2" t="s">
        <v>3316</v>
      </c>
      <c r="D1106" s="2" t="s">
        <v>10042</v>
      </c>
      <c r="E1106" s="15">
        <v>0.14660000000000001</v>
      </c>
      <c r="F1106" s="15">
        <v>9.69E-2</v>
      </c>
      <c r="G1106" s="15">
        <v>0.1303</v>
      </c>
      <c r="H1106" s="15">
        <v>0.15609999999999999</v>
      </c>
      <c r="I1106" s="15">
        <v>3.9800000000000002E-2</v>
      </c>
      <c r="J1106" s="15">
        <v>3.9221105527638191</v>
      </c>
    </row>
    <row r="1107" spans="1:10" x14ac:dyDescent="0.25">
      <c r="A1107" s="2" t="s">
        <v>3317</v>
      </c>
      <c r="B1107" s="2" t="s">
        <v>3318</v>
      </c>
      <c r="C1107" s="2" t="s">
        <v>3319</v>
      </c>
      <c r="D1107" s="2" t="s">
        <v>10042</v>
      </c>
      <c r="E1107" s="15">
        <v>0.29220000000000002</v>
      </c>
      <c r="F1107" s="15">
        <v>0.13059999999999999</v>
      </c>
      <c r="G1107" s="15">
        <v>2.53E-2</v>
      </c>
      <c r="H1107" s="15">
        <v>0.1009</v>
      </c>
      <c r="I1107" s="15">
        <v>4.5999999999999999E-2</v>
      </c>
      <c r="J1107" s="15">
        <v>2.1934782608695649</v>
      </c>
    </row>
    <row r="1108" spans="1:10" x14ac:dyDescent="0.25">
      <c r="A1108" s="2" t="s">
        <v>3320</v>
      </c>
      <c r="B1108" s="2" t="s">
        <v>3321</v>
      </c>
      <c r="C1108" s="2" t="s">
        <v>3322</v>
      </c>
      <c r="D1108" s="2" t="s">
        <v>10042</v>
      </c>
      <c r="E1108" s="15">
        <v>4.0000000000000002E-4</v>
      </c>
      <c r="F1108" s="15">
        <v>7.8600000000000003E-2</v>
      </c>
      <c r="G1108" s="15">
        <v>0.99580000000000002</v>
      </c>
      <c r="H1108" s="15">
        <v>0.18740000000000001</v>
      </c>
      <c r="I1108" s="15">
        <v>4.2900000000000001E-2</v>
      </c>
      <c r="J1108" s="15">
        <v>4.3682983682983689</v>
      </c>
    </row>
    <row r="1109" spans="1:10" x14ac:dyDescent="0.25">
      <c r="A1109" s="2" t="s">
        <v>3323</v>
      </c>
      <c r="B1109" s="2" t="s">
        <v>3324</v>
      </c>
      <c r="C1109" s="2" t="s">
        <v>3325</v>
      </c>
      <c r="D1109" s="2" t="s">
        <v>10042</v>
      </c>
      <c r="E1109" s="15">
        <v>7.3200000000000001E-2</v>
      </c>
      <c r="F1109" s="15">
        <v>9.74E-2</v>
      </c>
      <c r="G1109" s="15">
        <v>0.45219999999999999</v>
      </c>
      <c r="H1109" s="15">
        <v>0.13730000000000001</v>
      </c>
      <c r="I1109" s="15">
        <v>4.1399999999999999E-2</v>
      </c>
      <c r="J1109" s="15">
        <v>3.3164251207729469</v>
      </c>
    </row>
    <row r="1110" spans="1:10" x14ac:dyDescent="0.25">
      <c r="A1110" s="2" t="s">
        <v>3326</v>
      </c>
      <c r="B1110" s="2" t="s">
        <v>3327</v>
      </c>
      <c r="C1110" s="2" t="s">
        <v>3328</v>
      </c>
      <c r="D1110" s="2" t="s">
        <v>10042</v>
      </c>
      <c r="E1110" s="15">
        <v>6.6E-3</v>
      </c>
      <c r="F1110" s="15">
        <v>8.3599999999999994E-2</v>
      </c>
      <c r="G1110" s="15">
        <v>0.93720000000000003</v>
      </c>
      <c r="H1110" s="15">
        <v>0.1842</v>
      </c>
      <c r="I1110" s="15">
        <v>5.1799999999999999E-2</v>
      </c>
      <c r="J1110" s="15">
        <v>3.5559845559845562</v>
      </c>
    </row>
    <row r="1111" spans="1:10" x14ac:dyDescent="0.25">
      <c r="A1111" s="2" t="s">
        <v>3329</v>
      </c>
      <c r="B1111" s="2" t="s">
        <v>3330</v>
      </c>
      <c r="C1111" s="2" t="s">
        <v>3331</v>
      </c>
      <c r="D1111" s="2" t="s">
        <v>10042</v>
      </c>
      <c r="E1111" s="15">
        <v>-1.9699999999999999E-2</v>
      </c>
      <c r="F1111" s="15">
        <v>9.1300000000000006E-2</v>
      </c>
      <c r="G1111" s="15">
        <v>0.82930000000000004</v>
      </c>
      <c r="H1111" s="15">
        <v>0.161</v>
      </c>
      <c r="I1111" s="15">
        <v>5.0999999999999997E-2</v>
      </c>
      <c r="J1111" s="15">
        <v>3.15686274509804</v>
      </c>
    </row>
    <row r="1112" spans="1:10" x14ac:dyDescent="0.25">
      <c r="A1112" s="2" t="s">
        <v>3332</v>
      </c>
      <c r="B1112" s="2" t="s">
        <v>3333</v>
      </c>
      <c r="C1112" s="2" t="s">
        <v>3334</v>
      </c>
      <c r="D1112" s="2" t="s">
        <v>10042</v>
      </c>
      <c r="E1112" s="15">
        <v>0.1062</v>
      </c>
      <c r="F1112" s="15">
        <v>9.2399999999999996E-2</v>
      </c>
      <c r="G1112" s="15">
        <v>0.2505</v>
      </c>
      <c r="H1112" s="15">
        <v>0.14879999999999999</v>
      </c>
      <c r="I1112" s="15">
        <v>4.4699999999999997E-2</v>
      </c>
      <c r="J1112" s="15">
        <v>3.3288590604026851</v>
      </c>
    </row>
    <row r="1113" spans="1:10" x14ac:dyDescent="0.25">
      <c r="A1113" s="2" t="s">
        <v>3335</v>
      </c>
      <c r="B1113" s="2" t="s">
        <v>3336</v>
      </c>
      <c r="C1113" s="2" t="s">
        <v>3337</v>
      </c>
      <c r="D1113" s="2" t="s">
        <v>10042</v>
      </c>
      <c r="E1113" s="15">
        <v>0.1113</v>
      </c>
      <c r="F1113" s="15">
        <v>0.10970000000000001</v>
      </c>
      <c r="G1113" s="15">
        <v>0.3105</v>
      </c>
      <c r="H1113" s="15">
        <v>0.115</v>
      </c>
      <c r="I1113" s="15">
        <v>3.5299999999999998E-2</v>
      </c>
      <c r="J1113" s="15">
        <v>3.2577903682719551</v>
      </c>
    </row>
    <row r="1114" spans="1:10" x14ac:dyDescent="0.25">
      <c r="A1114" s="2" t="s">
        <v>3338</v>
      </c>
      <c r="B1114" s="2" t="s">
        <v>3339</v>
      </c>
      <c r="C1114" s="2" t="s">
        <v>3340</v>
      </c>
      <c r="D1114" s="2" t="s">
        <v>10042</v>
      </c>
      <c r="E1114" s="15">
        <v>0.1575</v>
      </c>
      <c r="F1114" s="15">
        <v>8.9099999999999999E-2</v>
      </c>
      <c r="G1114" s="15">
        <v>7.7200000000000005E-2</v>
      </c>
      <c r="H1114" s="15">
        <v>0.20150000000000001</v>
      </c>
      <c r="I1114" s="15">
        <v>4.65E-2</v>
      </c>
      <c r="J1114" s="15">
        <v>4.3333333333333339</v>
      </c>
    </row>
    <row r="1115" spans="1:10" x14ac:dyDescent="0.25">
      <c r="A1115" s="2" t="s">
        <v>3341</v>
      </c>
      <c r="B1115" s="2" t="s">
        <v>3342</v>
      </c>
      <c r="C1115" s="2" t="s">
        <v>3343</v>
      </c>
      <c r="D1115" s="2" t="s">
        <v>10042</v>
      </c>
      <c r="E1115" s="15">
        <v>0.1338</v>
      </c>
      <c r="F1115" s="15">
        <v>8.6199999999999999E-2</v>
      </c>
      <c r="G1115" s="15">
        <v>0.1207</v>
      </c>
      <c r="H1115" s="15">
        <v>0.16750000000000001</v>
      </c>
      <c r="I1115" s="15">
        <v>4.2900000000000001E-2</v>
      </c>
      <c r="J1115" s="15">
        <v>3.904428904428904</v>
      </c>
    </row>
    <row r="1116" spans="1:10" x14ac:dyDescent="0.25">
      <c r="A1116" s="2" t="s">
        <v>3344</v>
      </c>
      <c r="B1116" s="2" t="s">
        <v>3345</v>
      </c>
      <c r="C1116" s="2" t="s">
        <v>3346</v>
      </c>
      <c r="D1116" s="2" t="s">
        <v>10042</v>
      </c>
      <c r="E1116" s="15">
        <v>0.13469999999999999</v>
      </c>
      <c r="F1116" s="15">
        <v>0.13370000000000001</v>
      </c>
      <c r="G1116" s="15">
        <v>0.314</v>
      </c>
      <c r="H1116" s="15">
        <v>7.3400000000000007E-2</v>
      </c>
      <c r="I1116" s="15">
        <v>4.4600000000000001E-2</v>
      </c>
      <c r="J1116" s="15">
        <v>1.645739910313901</v>
      </c>
    </row>
    <row r="1117" spans="1:10" x14ac:dyDescent="0.25">
      <c r="A1117" s="2" t="s">
        <v>3347</v>
      </c>
      <c r="B1117" s="2" t="s">
        <v>3348</v>
      </c>
      <c r="C1117" s="2" t="s">
        <v>3349</v>
      </c>
      <c r="D1117" s="2" t="s">
        <v>10042</v>
      </c>
      <c r="E1117" s="15">
        <v>0.18859999999999999</v>
      </c>
      <c r="F1117" s="15">
        <v>0.11890000000000001</v>
      </c>
      <c r="G1117" s="15">
        <v>0.1128</v>
      </c>
      <c r="H1117" s="15">
        <v>0.1162</v>
      </c>
      <c r="I1117" s="15">
        <v>4.7199999999999999E-2</v>
      </c>
      <c r="J1117" s="15">
        <v>2.4618644067796609</v>
      </c>
    </row>
    <row r="1118" spans="1:10" x14ac:dyDescent="0.25">
      <c r="A1118" s="2" t="s">
        <v>3350</v>
      </c>
      <c r="B1118" s="2" t="s">
        <v>3351</v>
      </c>
      <c r="C1118" s="2" t="s">
        <v>3352</v>
      </c>
      <c r="D1118" s="2" t="s">
        <v>10042</v>
      </c>
      <c r="E1118" s="15">
        <v>0.14760000000000001</v>
      </c>
      <c r="F1118" s="15">
        <v>0.16270000000000001</v>
      </c>
      <c r="G1118" s="15">
        <v>0.3644</v>
      </c>
      <c r="H1118" s="15">
        <v>5.7099999999999998E-2</v>
      </c>
      <c r="I1118" s="15">
        <v>4.2200000000000001E-2</v>
      </c>
      <c r="J1118" s="15">
        <v>1.3530805687203791</v>
      </c>
    </row>
    <row r="1119" spans="1:10" x14ac:dyDescent="0.25">
      <c r="A1119" s="2" t="s">
        <v>3353</v>
      </c>
      <c r="B1119" s="2" t="s">
        <v>3354</v>
      </c>
      <c r="C1119" s="2" t="s">
        <v>3355</v>
      </c>
      <c r="D1119" s="2" t="s">
        <v>10042</v>
      </c>
      <c r="E1119" s="15">
        <v>2.87E-2</v>
      </c>
      <c r="F1119" s="15">
        <v>8.6900000000000005E-2</v>
      </c>
      <c r="G1119" s="15">
        <v>0.74080000000000001</v>
      </c>
      <c r="H1119" s="15">
        <v>0.17519999999999999</v>
      </c>
      <c r="I1119" s="15">
        <v>4.4400000000000002E-2</v>
      </c>
      <c r="J1119" s="15">
        <v>3.9459459459459461</v>
      </c>
    </row>
    <row r="1120" spans="1:10" x14ac:dyDescent="0.25">
      <c r="A1120" s="2" t="s">
        <v>3356</v>
      </c>
      <c r="B1120" s="2" t="s">
        <v>3357</v>
      </c>
      <c r="C1120" s="2" t="s">
        <v>3358</v>
      </c>
      <c r="D1120" s="2" t="s">
        <v>10042</v>
      </c>
      <c r="E1120" s="15">
        <v>0.1221</v>
      </c>
      <c r="F1120" s="15">
        <v>7.7200000000000005E-2</v>
      </c>
      <c r="G1120" s="15">
        <v>0.1137</v>
      </c>
      <c r="H1120" s="15">
        <v>0.22470000000000001</v>
      </c>
      <c r="I1120" s="15">
        <v>4.8300000000000003E-2</v>
      </c>
      <c r="J1120" s="15">
        <v>4.6521739130434776</v>
      </c>
    </row>
    <row r="1121" spans="1:10" x14ac:dyDescent="0.25">
      <c r="A1121" s="2" t="s">
        <v>3359</v>
      </c>
      <c r="B1121" s="2" t="s">
        <v>3360</v>
      </c>
      <c r="C1121" s="2" t="s">
        <v>3361</v>
      </c>
      <c r="D1121" s="2" t="s">
        <v>10042</v>
      </c>
      <c r="E1121" s="15">
        <v>0.1731</v>
      </c>
      <c r="F1121" s="15">
        <v>0.1278</v>
      </c>
      <c r="G1121" s="15">
        <v>0.17560000000000001</v>
      </c>
      <c r="H1121" s="15">
        <v>7.3700000000000002E-2</v>
      </c>
      <c r="I1121" s="15">
        <v>4.2799999999999998E-2</v>
      </c>
      <c r="J1121" s="15">
        <v>1.72196261682243</v>
      </c>
    </row>
    <row r="1122" spans="1:10" x14ac:dyDescent="0.25">
      <c r="A1122" s="2" t="s">
        <v>3362</v>
      </c>
      <c r="B1122" s="2" t="s">
        <v>3363</v>
      </c>
      <c r="C1122" s="2" t="s">
        <v>3364</v>
      </c>
      <c r="D1122" s="2" t="s">
        <v>10042</v>
      </c>
      <c r="E1122" s="15">
        <v>0.15279999999999999</v>
      </c>
      <c r="F1122" s="15">
        <v>8.8300000000000003E-2</v>
      </c>
      <c r="G1122" s="15">
        <v>8.3400000000000002E-2</v>
      </c>
      <c r="H1122" s="15">
        <v>0.1583</v>
      </c>
      <c r="I1122" s="15">
        <v>4.3700000000000003E-2</v>
      </c>
      <c r="J1122" s="15">
        <v>3.6224256292906181</v>
      </c>
    </row>
    <row r="1123" spans="1:10" x14ac:dyDescent="0.25">
      <c r="A1123" s="2" t="s">
        <v>3365</v>
      </c>
      <c r="B1123" s="2" t="s">
        <v>3366</v>
      </c>
      <c r="C1123" s="2" t="s">
        <v>3367</v>
      </c>
      <c r="D1123" s="2" t="s">
        <v>10042</v>
      </c>
      <c r="E1123" s="15">
        <v>9.5600000000000004E-2</v>
      </c>
      <c r="F1123" s="15">
        <v>8.2699999999999996E-2</v>
      </c>
      <c r="G1123" s="15">
        <v>0.24740000000000001</v>
      </c>
      <c r="H1123" s="15">
        <v>0.19350000000000001</v>
      </c>
      <c r="I1123" s="15">
        <v>4.9500000000000002E-2</v>
      </c>
      <c r="J1123" s="15">
        <v>3.9090909090909092</v>
      </c>
    </row>
    <row r="1124" spans="1:10" x14ac:dyDescent="0.25">
      <c r="A1124" s="2" t="s">
        <v>3368</v>
      </c>
      <c r="B1124" s="2" t="s">
        <v>3369</v>
      </c>
      <c r="C1124" s="2" t="s">
        <v>3370</v>
      </c>
      <c r="D1124" s="2" t="s">
        <v>10042</v>
      </c>
      <c r="E1124" s="15">
        <v>2.4500000000000001E-2</v>
      </c>
      <c r="F1124" s="15">
        <v>9.9500000000000005E-2</v>
      </c>
      <c r="G1124" s="15">
        <v>0.80510000000000004</v>
      </c>
      <c r="H1124" s="15">
        <v>0.14360000000000001</v>
      </c>
      <c r="I1124" s="15">
        <v>4.7500000000000001E-2</v>
      </c>
      <c r="J1124" s="15">
        <v>3.0231578947368418</v>
      </c>
    </row>
    <row r="1125" spans="1:10" x14ac:dyDescent="0.25">
      <c r="A1125" s="2" t="s">
        <v>3371</v>
      </c>
      <c r="B1125" s="2" t="s">
        <v>3372</v>
      </c>
      <c r="C1125" s="2" t="s">
        <v>3373</v>
      </c>
      <c r="D1125" s="2" t="s">
        <v>10042</v>
      </c>
      <c r="E1125" s="15">
        <v>-6.6000000000000003E-2</v>
      </c>
      <c r="F1125" s="15">
        <v>7.2800000000000004E-2</v>
      </c>
      <c r="G1125" s="15">
        <v>0.36509999999999998</v>
      </c>
      <c r="H1125" s="15">
        <v>0.26540000000000002</v>
      </c>
      <c r="I1125" s="15">
        <v>5.0200000000000002E-2</v>
      </c>
      <c r="J1125" s="15">
        <v>5.2868525896414349</v>
      </c>
    </row>
    <row r="1126" spans="1:10" x14ac:dyDescent="0.25">
      <c r="A1126" s="2" t="s">
        <v>3374</v>
      </c>
      <c r="B1126" s="2" t="s">
        <v>3375</v>
      </c>
      <c r="C1126" s="2" t="s">
        <v>3376</v>
      </c>
      <c r="D1126" s="2" t="s">
        <v>10042</v>
      </c>
      <c r="E1126" s="15">
        <v>0.13600000000000001</v>
      </c>
      <c r="F1126" s="15">
        <v>8.8400000000000006E-2</v>
      </c>
      <c r="G1126" s="15">
        <v>0.124</v>
      </c>
      <c r="H1126" s="15">
        <v>0.15859999999999999</v>
      </c>
      <c r="I1126" s="15">
        <v>4.0899999999999999E-2</v>
      </c>
      <c r="J1126" s="15">
        <v>3.877750611246944</v>
      </c>
    </row>
    <row r="1127" spans="1:10" x14ac:dyDescent="0.25">
      <c r="A1127" s="2" t="s">
        <v>3377</v>
      </c>
      <c r="B1127" s="2" t="s">
        <v>3378</v>
      </c>
      <c r="C1127" s="2" t="s">
        <v>3379</v>
      </c>
      <c r="D1127" s="2" t="s">
        <v>10042</v>
      </c>
      <c r="E1127" s="15">
        <v>2.0899999999999998E-2</v>
      </c>
      <c r="F1127" s="15">
        <v>8.8300000000000003E-2</v>
      </c>
      <c r="G1127" s="15">
        <v>0.81330000000000002</v>
      </c>
      <c r="H1127" s="15">
        <v>0.14799999999999999</v>
      </c>
      <c r="I1127" s="15">
        <v>4.4499999999999998E-2</v>
      </c>
      <c r="J1127" s="15">
        <v>3.3258426966292141</v>
      </c>
    </row>
    <row r="1128" spans="1:10" x14ac:dyDescent="0.25">
      <c r="A1128" s="2" t="s">
        <v>3380</v>
      </c>
      <c r="B1128" s="2" t="s">
        <v>3381</v>
      </c>
      <c r="C1128" s="2" t="s">
        <v>3382</v>
      </c>
      <c r="D1128" s="2" t="s">
        <v>10042</v>
      </c>
      <c r="E1128" s="15">
        <v>8.6300000000000002E-2</v>
      </c>
      <c r="F1128" s="15">
        <v>8.5400000000000004E-2</v>
      </c>
      <c r="G1128" s="15">
        <v>0.31209999999999999</v>
      </c>
      <c r="H1128" s="15">
        <v>0.17460000000000001</v>
      </c>
      <c r="I1128" s="15">
        <v>4.4499999999999998E-2</v>
      </c>
      <c r="J1128" s="15">
        <v>3.9235955056179779</v>
      </c>
    </row>
    <row r="1129" spans="1:10" x14ac:dyDescent="0.25">
      <c r="A1129" s="2" t="s">
        <v>3383</v>
      </c>
      <c r="B1129" s="2" t="s">
        <v>3384</v>
      </c>
      <c r="C1129" s="2" t="s">
        <v>3385</v>
      </c>
      <c r="D1129" s="2" t="s">
        <v>10042</v>
      </c>
      <c r="E1129" s="15">
        <v>7.1499999999999994E-2</v>
      </c>
      <c r="F1129" s="15">
        <v>0.13300000000000001</v>
      </c>
      <c r="G1129" s="15">
        <v>0.59079999999999999</v>
      </c>
      <c r="H1129" s="15">
        <v>6.7299999999999999E-2</v>
      </c>
      <c r="I1129" s="15">
        <v>4.1000000000000002E-2</v>
      </c>
      <c r="J1129" s="15">
        <v>1.641463414634146</v>
      </c>
    </row>
    <row r="1130" spans="1:10" x14ac:dyDescent="0.25">
      <c r="A1130" s="2" t="s">
        <v>3386</v>
      </c>
      <c r="B1130" s="2" t="s">
        <v>3387</v>
      </c>
      <c r="C1130" s="2" t="s">
        <v>3388</v>
      </c>
      <c r="D1130" s="2" t="s">
        <v>10042</v>
      </c>
      <c r="E1130" s="15">
        <v>0.1605</v>
      </c>
      <c r="F1130" s="15">
        <v>0.12770000000000001</v>
      </c>
      <c r="G1130" s="15">
        <v>0.20880000000000001</v>
      </c>
      <c r="H1130" s="15">
        <v>0.1009</v>
      </c>
      <c r="I1130" s="15">
        <v>4.2799999999999998E-2</v>
      </c>
      <c r="J1130" s="15">
        <v>2.3574766355140189</v>
      </c>
    </row>
    <row r="1131" spans="1:10" x14ac:dyDescent="0.25">
      <c r="A1131" s="2" t="s">
        <v>3389</v>
      </c>
      <c r="B1131" s="2" t="s">
        <v>3390</v>
      </c>
      <c r="C1131" s="2" t="s">
        <v>3391</v>
      </c>
      <c r="D1131" s="2" t="s">
        <v>10042</v>
      </c>
      <c r="E1131" s="15">
        <v>6.4600000000000005E-2</v>
      </c>
      <c r="F1131" s="15">
        <v>8.2000000000000003E-2</v>
      </c>
      <c r="G1131" s="15">
        <v>0.43070000000000003</v>
      </c>
      <c r="H1131" s="15">
        <v>0.20499999999999999</v>
      </c>
      <c r="I1131" s="15">
        <v>5.3400000000000003E-2</v>
      </c>
      <c r="J1131" s="15">
        <v>3.838951310861423</v>
      </c>
    </row>
    <row r="1132" spans="1:10" x14ac:dyDescent="0.25">
      <c r="A1132" s="2" t="s">
        <v>3392</v>
      </c>
      <c r="B1132" s="2" t="s">
        <v>3393</v>
      </c>
      <c r="C1132" s="2" t="s">
        <v>3394</v>
      </c>
      <c r="D1132" s="2" t="s">
        <v>10042</v>
      </c>
      <c r="E1132" s="15">
        <v>3.61E-2</v>
      </c>
      <c r="F1132" s="15">
        <v>8.4500000000000006E-2</v>
      </c>
      <c r="G1132" s="15">
        <v>0.66920000000000002</v>
      </c>
      <c r="H1132" s="15">
        <v>0.18959999999999999</v>
      </c>
      <c r="I1132" s="15">
        <v>4.58E-2</v>
      </c>
      <c r="J1132" s="15">
        <v>4.139737991266375</v>
      </c>
    </row>
    <row r="1133" spans="1:10" x14ac:dyDescent="0.25">
      <c r="A1133" s="2" t="s">
        <v>3395</v>
      </c>
      <c r="B1133" s="2" t="s">
        <v>3396</v>
      </c>
      <c r="C1133" s="2" t="s">
        <v>3397</v>
      </c>
      <c r="D1133" s="2" t="s">
        <v>10042</v>
      </c>
      <c r="E1133" s="15">
        <v>0.15440000000000001</v>
      </c>
      <c r="F1133" s="15">
        <v>0.1061</v>
      </c>
      <c r="G1133" s="15">
        <v>0.14549999999999999</v>
      </c>
      <c r="H1133" s="15">
        <v>0.1016</v>
      </c>
      <c r="I1133" s="15">
        <v>4.5100000000000001E-2</v>
      </c>
      <c r="J1133" s="15">
        <v>2.2527716186252769</v>
      </c>
    </row>
    <row r="1134" spans="1:10" x14ac:dyDescent="0.25">
      <c r="A1134" s="2" t="s">
        <v>3398</v>
      </c>
      <c r="B1134" s="2" t="s">
        <v>3399</v>
      </c>
      <c r="C1134" s="2" t="s">
        <v>3400</v>
      </c>
      <c r="D1134" s="2" t="s">
        <v>10042</v>
      </c>
      <c r="E1134" s="15">
        <v>-6.7699999999999996E-2</v>
      </c>
      <c r="F1134" s="15">
        <v>0.13869999999999999</v>
      </c>
      <c r="G1134" s="15">
        <v>0.62560000000000004</v>
      </c>
      <c r="H1134" s="15">
        <v>6.8900000000000003E-2</v>
      </c>
      <c r="I1134" s="15">
        <v>4.6899999999999997E-2</v>
      </c>
      <c r="J1134" s="15">
        <v>1.4690831556503201</v>
      </c>
    </row>
    <row r="1135" spans="1:10" x14ac:dyDescent="0.25">
      <c r="A1135" s="2" t="s">
        <v>3401</v>
      </c>
      <c r="B1135" s="2" t="s">
        <v>3402</v>
      </c>
      <c r="C1135" s="2" t="s">
        <v>3403</v>
      </c>
      <c r="D1135" s="2" t="s">
        <v>10042</v>
      </c>
      <c r="E1135" s="15">
        <v>0.15329999999999999</v>
      </c>
      <c r="F1135" s="15">
        <v>0.1376</v>
      </c>
      <c r="G1135" s="15">
        <v>0.26529999999999998</v>
      </c>
      <c r="H1135" s="15">
        <v>8.2000000000000003E-2</v>
      </c>
      <c r="I1135" s="15">
        <v>4.2599999999999999E-2</v>
      </c>
      <c r="J1135" s="15">
        <v>1.924882629107981</v>
      </c>
    </row>
    <row r="1136" spans="1:10" x14ac:dyDescent="0.25">
      <c r="A1136" s="2" t="s">
        <v>3404</v>
      </c>
      <c r="B1136" s="2" t="s">
        <v>3405</v>
      </c>
      <c r="C1136" s="2" t="s">
        <v>3406</v>
      </c>
      <c r="D1136" s="2" t="s">
        <v>10042</v>
      </c>
      <c r="E1136" s="15">
        <v>9.6000000000000002E-2</v>
      </c>
      <c r="F1136" s="15">
        <v>7.9799999999999996E-2</v>
      </c>
      <c r="G1136" s="15">
        <v>0.22900000000000001</v>
      </c>
      <c r="H1136" s="15">
        <v>0.16089999999999999</v>
      </c>
      <c r="I1136" s="15">
        <v>4.3999999999999997E-2</v>
      </c>
      <c r="J1136" s="15">
        <v>3.6568181818181822</v>
      </c>
    </row>
    <row r="1137" spans="1:10" x14ac:dyDescent="0.25">
      <c r="A1137" s="2" t="s">
        <v>3407</v>
      </c>
      <c r="B1137" s="2" t="s">
        <v>3408</v>
      </c>
      <c r="C1137" s="2" t="s">
        <v>3409</v>
      </c>
      <c r="D1137" s="2" t="s">
        <v>10042</v>
      </c>
      <c r="E1137" s="15">
        <v>0.24809999999999999</v>
      </c>
      <c r="F1137" s="15">
        <v>0.15909999999999999</v>
      </c>
      <c r="G1137" s="15">
        <v>0.11899999999999999</v>
      </c>
      <c r="H1137" s="15">
        <v>6.8500000000000005E-2</v>
      </c>
      <c r="I1137" s="15">
        <v>4.3999999999999997E-2</v>
      </c>
      <c r="J1137" s="15">
        <v>1.5568181818181821</v>
      </c>
    </row>
    <row r="1138" spans="1:10" x14ac:dyDescent="0.25">
      <c r="A1138" s="2" t="s">
        <v>3410</v>
      </c>
      <c r="B1138" s="2" t="s">
        <v>3411</v>
      </c>
      <c r="C1138" s="2" t="s">
        <v>3412</v>
      </c>
      <c r="D1138" s="2" t="s">
        <v>10042</v>
      </c>
      <c r="E1138" s="15">
        <v>0.128</v>
      </c>
      <c r="F1138" s="15">
        <v>0.1076</v>
      </c>
      <c r="G1138" s="15">
        <v>0.2341</v>
      </c>
      <c r="H1138" s="15">
        <v>0.13489999999999999</v>
      </c>
      <c r="I1138" s="15">
        <v>4.3900000000000002E-2</v>
      </c>
      <c r="J1138" s="15">
        <v>3.0728929384965831</v>
      </c>
    </row>
    <row r="1139" spans="1:10" x14ac:dyDescent="0.25">
      <c r="A1139" s="2" t="s">
        <v>3413</v>
      </c>
      <c r="B1139" s="2" t="s">
        <v>3414</v>
      </c>
      <c r="C1139" s="2" t="s">
        <v>3415</v>
      </c>
      <c r="D1139" s="2" t="s">
        <v>10042</v>
      </c>
      <c r="E1139" s="15">
        <v>4.2599999999999999E-2</v>
      </c>
      <c r="F1139" s="15">
        <v>8.0299999999999996E-2</v>
      </c>
      <c r="G1139" s="15">
        <v>0.59550000000000003</v>
      </c>
      <c r="H1139" s="15">
        <v>0.1653</v>
      </c>
      <c r="I1139" s="15">
        <v>4.5199999999999997E-2</v>
      </c>
      <c r="J1139" s="15">
        <v>3.6570796460176989</v>
      </c>
    </row>
    <row r="1140" spans="1:10" x14ac:dyDescent="0.25">
      <c r="A1140" s="2" t="s">
        <v>3416</v>
      </c>
      <c r="B1140" s="2" t="s">
        <v>3417</v>
      </c>
      <c r="C1140" s="2" t="s">
        <v>3418</v>
      </c>
      <c r="D1140" s="2" t="s">
        <v>10042</v>
      </c>
      <c r="E1140" s="15">
        <v>0.18809999999999999</v>
      </c>
      <c r="F1140" s="15">
        <v>8.8999999999999996E-2</v>
      </c>
      <c r="G1140" s="15">
        <v>3.4599999999999999E-2</v>
      </c>
      <c r="H1140" s="15">
        <v>0.2084</v>
      </c>
      <c r="I1140" s="15">
        <v>4.7300000000000002E-2</v>
      </c>
      <c r="J1140" s="15">
        <v>4.4059196617336154</v>
      </c>
    </row>
    <row r="1141" spans="1:10" x14ac:dyDescent="0.25">
      <c r="A1141" s="2" t="s">
        <v>3419</v>
      </c>
      <c r="B1141" s="2" t="s">
        <v>3420</v>
      </c>
      <c r="C1141" s="2" t="s">
        <v>3421</v>
      </c>
      <c r="D1141" s="2" t="s">
        <v>10042</v>
      </c>
      <c r="E1141" s="15">
        <v>0.1211</v>
      </c>
      <c r="F1141" s="15">
        <v>0.106</v>
      </c>
      <c r="G1141" s="15">
        <v>0.25319999999999998</v>
      </c>
      <c r="H1141" s="15">
        <v>0.11219999999999999</v>
      </c>
      <c r="I1141" s="15">
        <v>3.9199999999999999E-2</v>
      </c>
      <c r="J1141" s="15">
        <v>2.862244897959183</v>
      </c>
    </row>
    <row r="1142" spans="1:10" x14ac:dyDescent="0.25">
      <c r="A1142" s="2" t="s">
        <v>3422</v>
      </c>
      <c r="B1142" s="2" t="s">
        <v>3423</v>
      </c>
      <c r="C1142" s="2" t="s">
        <v>3424</v>
      </c>
      <c r="D1142" s="2" t="s">
        <v>10042</v>
      </c>
      <c r="E1142" s="15">
        <v>0.18790000000000001</v>
      </c>
      <c r="F1142" s="15">
        <v>9.9299999999999999E-2</v>
      </c>
      <c r="G1142" s="15">
        <v>5.8500000000000003E-2</v>
      </c>
      <c r="H1142" s="15">
        <v>0.1434</v>
      </c>
      <c r="I1142" s="15">
        <v>4.3900000000000002E-2</v>
      </c>
      <c r="J1142" s="15">
        <v>3.2665148063781322</v>
      </c>
    </row>
    <row r="1143" spans="1:10" x14ac:dyDescent="0.25">
      <c r="A1143" s="2" t="s">
        <v>3425</v>
      </c>
      <c r="B1143" s="2" t="s">
        <v>3426</v>
      </c>
      <c r="C1143" s="2" t="s">
        <v>3427</v>
      </c>
      <c r="D1143" s="2" t="s">
        <v>10042</v>
      </c>
      <c r="E1143" s="15">
        <v>8.7900000000000006E-2</v>
      </c>
      <c r="F1143" s="15">
        <v>8.6400000000000005E-2</v>
      </c>
      <c r="G1143" s="15">
        <v>0.30940000000000001</v>
      </c>
      <c r="H1143" s="15">
        <v>0.1673</v>
      </c>
      <c r="I1143" s="15">
        <v>5.3600000000000002E-2</v>
      </c>
      <c r="J1143" s="15">
        <v>3.1212686567164178</v>
      </c>
    </row>
    <row r="1144" spans="1:10" x14ac:dyDescent="0.25">
      <c r="A1144" s="2" t="s">
        <v>3428</v>
      </c>
      <c r="B1144" s="2" t="s">
        <v>3429</v>
      </c>
      <c r="C1144" s="2" t="s">
        <v>3430</v>
      </c>
      <c r="D1144" s="2" t="s">
        <v>10042</v>
      </c>
      <c r="E1144" s="15">
        <v>0.18160000000000001</v>
      </c>
      <c r="F1144" s="15">
        <v>7.1999999999999995E-2</v>
      </c>
      <c r="G1144" s="15">
        <v>1.17E-2</v>
      </c>
      <c r="H1144" s="15">
        <v>0.25469999999999998</v>
      </c>
      <c r="I1144" s="15">
        <v>4.6800000000000001E-2</v>
      </c>
      <c r="J1144" s="15">
        <v>5.4423076923076916</v>
      </c>
    </row>
    <row r="1145" spans="1:10" x14ac:dyDescent="0.25">
      <c r="A1145" s="2" t="s">
        <v>3431</v>
      </c>
      <c r="B1145" s="2" t="s">
        <v>3432</v>
      </c>
      <c r="C1145" s="2" t="s">
        <v>3433</v>
      </c>
      <c r="D1145" s="2" t="s">
        <v>10042</v>
      </c>
      <c r="E1145" s="15">
        <v>0.1517</v>
      </c>
      <c r="F1145" s="15">
        <v>8.9800000000000005E-2</v>
      </c>
      <c r="G1145" s="15">
        <v>9.1200000000000003E-2</v>
      </c>
      <c r="H1145" s="15">
        <v>0.16500000000000001</v>
      </c>
      <c r="I1145" s="15">
        <v>4.7E-2</v>
      </c>
      <c r="J1145" s="15">
        <v>3.5106382978723412</v>
      </c>
    </row>
    <row r="1146" spans="1:10" x14ac:dyDescent="0.25">
      <c r="A1146" s="2" t="s">
        <v>3434</v>
      </c>
      <c r="B1146" s="2" t="s">
        <v>3435</v>
      </c>
      <c r="C1146" s="2" t="s">
        <v>3436</v>
      </c>
      <c r="D1146" s="2" t="s">
        <v>10042</v>
      </c>
      <c r="E1146" s="15">
        <v>8.8900000000000007E-2</v>
      </c>
      <c r="F1146" s="15">
        <v>7.5499999999999998E-2</v>
      </c>
      <c r="G1146" s="15">
        <v>0.2392</v>
      </c>
      <c r="H1146" s="15">
        <v>0.1951</v>
      </c>
      <c r="I1146" s="15">
        <v>6.4600000000000005E-2</v>
      </c>
      <c r="J1146" s="15">
        <v>3.0201238390092882</v>
      </c>
    </row>
    <row r="1147" spans="1:10" x14ac:dyDescent="0.25">
      <c r="A1147" s="2" t="s">
        <v>3437</v>
      </c>
      <c r="B1147" s="2" t="s">
        <v>3438</v>
      </c>
      <c r="C1147" s="2" t="s">
        <v>3439</v>
      </c>
      <c r="D1147" s="2" t="s">
        <v>10042</v>
      </c>
      <c r="E1147" s="15">
        <v>7.1099999999999997E-2</v>
      </c>
      <c r="F1147" s="15">
        <v>8.5000000000000006E-2</v>
      </c>
      <c r="G1147" s="15">
        <v>0.40300000000000002</v>
      </c>
      <c r="H1147" s="15">
        <v>0.18240000000000001</v>
      </c>
      <c r="I1147" s="15">
        <v>4.8899999999999999E-2</v>
      </c>
      <c r="J1147" s="15">
        <v>3.7300613496932522</v>
      </c>
    </row>
    <row r="1148" spans="1:10" x14ac:dyDescent="0.25">
      <c r="A1148" s="2" t="s">
        <v>3440</v>
      </c>
      <c r="B1148" s="2" t="s">
        <v>3441</v>
      </c>
      <c r="C1148" s="2" t="s">
        <v>3442</v>
      </c>
      <c r="D1148" s="2" t="s">
        <v>10042</v>
      </c>
      <c r="E1148" s="15">
        <v>0.1391</v>
      </c>
      <c r="F1148" s="15">
        <v>0.1208</v>
      </c>
      <c r="G1148" s="15">
        <v>0.2495</v>
      </c>
      <c r="H1148" s="15">
        <v>8.9899999999999994E-2</v>
      </c>
      <c r="I1148" s="15">
        <v>4.2500000000000003E-2</v>
      </c>
      <c r="J1148" s="15">
        <v>2.1152941176470579</v>
      </c>
    </row>
    <row r="1149" spans="1:10" x14ac:dyDescent="0.25">
      <c r="A1149" s="2" t="s">
        <v>3443</v>
      </c>
      <c r="B1149" s="2" t="s">
        <v>3444</v>
      </c>
      <c r="C1149" s="2" t="s">
        <v>3445</v>
      </c>
      <c r="D1149" s="2" t="s">
        <v>10042</v>
      </c>
      <c r="E1149" s="15">
        <v>0.3216</v>
      </c>
      <c r="F1149" s="15">
        <v>0.14299999999999999</v>
      </c>
      <c r="G1149" s="15">
        <v>2.4500000000000001E-2</v>
      </c>
      <c r="H1149" s="15">
        <v>8.14E-2</v>
      </c>
      <c r="I1149" s="15">
        <v>4.4999999999999998E-2</v>
      </c>
      <c r="J1149" s="15">
        <v>1.808888888888889</v>
      </c>
    </row>
    <row r="1150" spans="1:10" x14ac:dyDescent="0.25">
      <c r="A1150" s="2" t="s">
        <v>3446</v>
      </c>
      <c r="B1150" s="2" t="s">
        <v>3447</v>
      </c>
      <c r="C1150" s="2" t="s">
        <v>3448</v>
      </c>
      <c r="D1150" s="2" t="s">
        <v>10042</v>
      </c>
      <c r="E1150" s="15">
        <v>1.7500000000000002E-2</v>
      </c>
      <c r="F1150" s="15">
        <v>8.9800000000000005E-2</v>
      </c>
      <c r="G1150" s="15">
        <v>0.84570000000000001</v>
      </c>
      <c r="H1150" s="15">
        <v>0.15279999999999999</v>
      </c>
      <c r="I1150" s="15">
        <v>4.2200000000000001E-2</v>
      </c>
      <c r="J1150" s="15">
        <v>3.62085308056872</v>
      </c>
    </row>
    <row r="1151" spans="1:10" x14ac:dyDescent="0.25">
      <c r="A1151" s="2" t="s">
        <v>3449</v>
      </c>
      <c r="B1151" s="2" t="s">
        <v>3450</v>
      </c>
      <c r="C1151" s="2" t="s">
        <v>3451</v>
      </c>
      <c r="D1151" s="2" t="s">
        <v>10042</v>
      </c>
      <c r="E1151" s="15">
        <v>7.1800000000000003E-2</v>
      </c>
      <c r="F1151" s="15">
        <v>9.35E-2</v>
      </c>
      <c r="G1151" s="15">
        <v>0.44240000000000002</v>
      </c>
      <c r="H1151" s="15">
        <v>0.16900000000000001</v>
      </c>
      <c r="I1151" s="15">
        <v>4.4600000000000001E-2</v>
      </c>
      <c r="J1151" s="15">
        <v>3.789237668161435</v>
      </c>
    </row>
    <row r="1152" spans="1:10" x14ac:dyDescent="0.25">
      <c r="A1152" s="2" t="s">
        <v>3452</v>
      </c>
      <c r="B1152" s="2" t="s">
        <v>3453</v>
      </c>
      <c r="C1152" s="2" t="s">
        <v>3454</v>
      </c>
      <c r="D1152" s="2" t="s">
        <v>10042</v>
      </c>
      <c r="E1152" s="15">
        <v>0.1057</v>
      </c>
      <c r="F1152" s="15">
        <v>0.1043</v>
      </c>
      <c r="G1152" s="15">
        <v>0.31109999999999999</v>
      </c>
      <c r="H1152" s="15">
        <v>0.10290000000000001</v>
      </c>
      <c r="I1152" s="15">
        <v>4.6199999999999998E-2</v>
      </c>
      <c r="J1152" s="15">
        <v>2.227272727272728</v>
      </c>
    </row>
    <row r="1153" spans="1:10" x14ac:dyDescent="0.25">
      <c r="A1153" s="2" t="s">
        <v>3455</v>
      </c>
      <c r="B1153" s="2" t="s">
        <v>3456</v>
      </c>
      <c r="C1153" s="2" t="s">
        <v>3457</v>
      </c>
      <c r="D1153" s="2" t="s">
        <v>10042</v>
      </c>
      <c r="E1153" s="15">
        <v>0.12859999999999999</v>
      </c>
      <c r="F1153" s="15">
        <v>8.7300000000000003E-2</v>
      </c>
      <c r="G1153" s="15">
        <v>0.14099999999999999</v>
      </c>
      <c r="H1153" s="15">
        <v>0.1837</v>
      </c>
      <c r="I1153" s="15">
        <v>4.8500000000000001E-2</v>
      </c>
      <c r="J1153" s="15">
        <v>3.7876288659793809</v>
      </c>
    </row>
    <row r="1154" spans="1:10" x14ac:dyDescent="0.25">
      <c r="A1154" s="2" t="s">
        <v>3458</v>
      </c>
      <c r="B1154" s="2" t="s">
        <v>3459</v>
      </c>
      <c r="C1154" s="2" t="s">
        <v>3460</v>
      </c>
      <c r="D1154" s="2" t="s">
        <v>10042</v>
      </c>
      <c r="E1154" s="15">
        <v>0.1348</v>
      </c>
      <c r="F1154" s="15">
        <v>7.5999999999999998E-2</v>
      </c>
      <c r="G1154" s="15">
        <v>7.6200000000000004E-2</v>
      </c>
      <c r="H1154" s="15">
        <v>0.20880000000000001</v>
      </c>
      <c r="I1154" s="15">
        <v>4.7699999999999999E-2</v>
      </c>
      <c r="J1154" s="15">
        <v>4.3773584905660377</v>
      </c>
    </row>
    <row r="1155" spans="1:10" x14ac:dyDescent="0.25">
      <c r="A1155" s="2" t="s">
        <v>3461</v>
      </c>
      <c r="B1155" s="2" t="s">
        <v>3462</v>
      </c>
      <c r="C1155" s="2" t="s">
        <v>3463</v>
      </c>
      <c r="D1155" s="2" t="s">
        <v>10042</v>
      </c>
      <c r="E1155" s="15">
        <v>0.1681</v>
      </c>
      <c r="F1155" s="15">
        <v>9.6699999999999994E-2</v>
      </c>
      <c r="G1155" s="15">
        <v>8.2000000000000003E-2</v>
      </c>
      <c r="H1155" s="15">
        <v>0.15329999999999999</v>
      </c>
      <c r="I1155" s="15">
        <v>4.6600000000000003E-2</v>
      </c>
      <c r="J1155" s="15">
        <v>3.2896995708154502</v>
      </c>
    </row>
    <row r="1156" spans="1:10" x14ac:dyDescent="0.25">
      <c r="A1156" s="2" t="s">
        <v>3464</v>
      </c>
      <c r="B1156" s="2" t="s">
        <v>3465</v>
      </c>
      <c r="C1156" s="2" t="s">
        <v>3466</v>
      </c>
      <c r="D1156" s="2" t="s">
        <v>10042</v>
      </c>
      <c r="E1156" s="15">
        <v>3.8999999999999998E-3</v>
      </c>
      <c r="F1156" s="15">
        <v>0.1</v>
      </c>
      <c r="G1156" s="15">
        <v>0.96879999999999999</v>
      </c>
      <c r="H1156" s="15">
        <v>0.16500000000000001</v>
      </c>
      <c r="I1156" s="15">
        <v>4.1500000000000002E-2</v>
      </c>
      <c r="J1156" s="15">
        <v>3.975903614457831</v>
      </c>
    </row>
    <row r="1157" spans="1:10" x14ac:dyDescent="0.25">
      <c r="A1157" s="2" t="s">
        <v>3467</v>
      </c>
      <c r="B1157" s="2" t="s">
        <v>3468</v>
      </c>
      <c r="C1157" s="2" t="s">
        <v>3469</v>
      </c>
      <c r="D1157" s="2" t="s">
        <v>10042</v>
      </c>
      <c r="E1157" s="15">
        <v>0.14879999999999999</v>
      </c>
      <c r="F1157" s="15">
        <v>8.5599999999999996E-2</v>
      </c>
      <c r="G1157" s="15">
        <v>8.2100000000000006E-2</v>
      </c>
      <c r="H1157" s="15">
        <v>0.2036</v>
      </c>
      <c r="I1157" s="15">
        <v>4.5400000000000003E-2</v>
      </c>
      <c r="J1157" s="15">
        <v>4.4845814977973566</v>
      </c>
    </row>
    <row r="1158" spans="1:10" x14ac:dyDescent="0.25">
      <c r="A1158" s="2" t="s">
        <v>3470</v>
      </c>
      <c r="B1158" s="2" t="s">
        <v>3471</v>
      </c>
      <c r="C1158" s="2" t="s">
        <v>3472</v>
      </c>
      <c r="D1158" s="2" t="s">
        <v>10042</v>
      </c>
      <c r="E1158" s="15">
        <v>8.6999999999999994E-2</v>
      </c>
      <c r="F1158" s="15">
        <v>9.8299999999999998E-2</v>
      </c>
      <c r="G1158" s="15">
        <v>0.37619999999999998</v>
      </c>
      <c r="H1158" s="15">
        <v>0.12870000000000001</v>
      </c>
      <c r="I1158" s="15">
        <v>4.7800000000000002E-2</v>
      </c>
      <c r="J1158" s="15">
        <v>2.6924686192468621</v>
      </c>
    </row>
    <row r="1159" spans="1:10" x14ac:dyDescent="0.25">
      <c r="A1159" s="2" t="s">
        <v>3473</v>
      </c>
      <c r="B1159" s="2" t="s">
        <v>3474</v>
      </c>
      <c r="C1159" s="2" t="s">
        <v>3475</v>
      </c>
      <c r="D1159" s="2" t="s">
        <v>10042</v>
      </c>
      <c r="E1159" s="15">
        <v>0.13850000000000001</v>
      </c>
      <c r="F1159" s="15">
        <v>9.2399999999999996E-2</v>
      </c>
      <c r="G1159" s="15">
        <v>0.13400000000000001</v>
      </c>
      <c r="H1159" s="15">
        <v>0.1772</v>
      </c>
      <c r="I1159" s="15">
        <v>4.99E-2</v>
      </c>
      <c r="J1159" s="15">
        <v>3.5511022044088181</v>
      </c>
    </row>
    <row r="1160" spans="1:10" x14ac:dyDescent="0.25">
      <c r="A1160" s="2" t="s">
        <v>3476</v>
      </c>
      <c r="B1160" s="2" t="s">
        <v>3477</v>
      </c>
      <c r="C1160" s="2" t="s">
        <v>3478</v>
      </c>
      <c r="D1160" s="2" t="s">
        <v>10042</v>
      </c>
      <c r="E1160" s="15">
        <v>-0.23880000000000001</v>
      </c>
      <c r="F1160" s="15">
        <v>0.24360000000000001</v>
      </c>
      <c r="G1160" s="15">
        <v>0.32700000000000001</v>
      </c>
      <c r="H1160" s="15">
        <v>3.2000000000000001E-2</v>
      </c>
      <c r="I1160" s="15">
        <v>4.0300000000000002E-2</v>
      </c>
      <c r="J1160" s="15">
        <v>0.79404466501240689</v>
      </c>
    </row>
    <row r="1161" spans="1:10" x14ac:dyDescent="0.25">
      <c r="A1161" s="2" t="s">
        <v>3479</v>
      </c>
      <c r="B1161" s="2" t="s">
        <v>3480</v>
      </c>
      <c r="C1161" s="2" t="s">
        <v>3481</v>
      </c>
      <c r="D1161" s="2" t="s">
        <v>10042</v>
      </c>
      <c r="E1161" s="15">
        <v>0.28189999999999998</v>
      </c>
      <c r="F1161" s="15">
        <v>0.1052</v>
      </c>
      <c r="G1161" s="15">
        <v>7.4000000000000003E-3</v>
      </c>
      <c r="H1161" s="15">
        <v>0.1234</v>
      </c>
      <c r="I1161" s="15">
        <v>4.3499999999999997E-2</v>
      </c>
      <c r="J1161" s="15">
        <v>2.8367816091954019</v>
      </c>
    </row>
    <row r="1162" spans="1:10" x14ac:dyDescent="0.25">
      <c r="A1162" s="2" t="s">
        <v>3482</v>
      </c>
      <c r="B1162" s="2" t="s">
        <v>3483</v>
      </c>
      <c r="C1162" s="2" t="s">
        <v>3484</v>
      </c>
      <c r="D1162" s="2" t="s">
        <v>10042</v>
      </c>
      <c r="E1162" s="15">
        <v>0.12529999999999999</v>
      </c>
      <c r="F1162" s="15">
        <v>9.1300000000000006E-2</v>
      </c>
      <c r="G1162" s="15">
        <v>0.17</v>
      </c>
      <c r="H1162" s="15">
        <v>0.1681</v>
      </c>
      <c r="I1162" s="15">
        <v>4.4499999999999998E-2</v>
      </c>
      <c r="J1162" s="15">
        <v>3.7775280898876411</v>
      </c>
    </row>
    <row r="1163" spans="1:10" x14ac:dyDescent="0.25">
      <c r="A1163" s="2" t="s">
        <v>3485</v>
      </c>
      <c r="B1163" s="2" t="s">
        <v>3486</v>
      </c>
      <c r="C1163" s="2" t="s">
        <v>3487</v>
      </c>
      <c r="D1163" s="2" t="s">
        <v>10042</v>
      </c>
      <c r="E1163" s="15">
        <v>5.5899999999999998E-2</v>
      </c>
      <c r="F1163" s="15">
        <v>7.4999999999999997E-2</v>
      </c>
      <c r="G1163" s="15">
        <v>0.45619999999999999</v>
      </c>
      <c r="H1163" s="15">
        <v>0.2162</v>
      </c>
      <c r="I1163" s="15">
        <v>6.0299999999999999E-2</v>
      </c>
      <c r="J1163" s="15">
        <v>3.5854063018242122</v>
      </c>
    </row>
    <row r="1164" spans="1:10" x14ac:dyDescent="0.25">
      <c r="A1164" s="2" t="s">
        <v>3488</v>
      </c>
      <c r="B1164" s="2" t="s">
        <v>3489</v>
      </c>
      <c r="C1164" s="2" t="s">
        <v>3490</v>
      </c>
      <c r="D1164" s="2" t="s">
        <v>10042</v>
      </c>
      <c r="E1164" s="15">
        <v>-6.8999999999999999E-3</v>
      </c>
      <c r="F1164" s="15">
        <v>0.1142</v>
      </c>
      <c r="G1164" s="15">
        <v>0.95209999999999995</v>
      </c>
      <c r="H1164" s="15">
        <v>0.1014</v>
      </c>
      <c r="I1164" s="15">
        <v>4.3700000000000003E-2</v>
      </c>
      <c r="J1164" s="15">
        <v>2.320366132723112</v>
      </c>
    </row>
    <row r="1165" spans="1:10" x14ac:dyDescent="0.25">
      <c r="A1165" s="2" t="s">
        <v>3491</v>
      </c>
      <c r="B1165" s="2" t="s">
        <v>3492</v>
      </c>
      <c r="C1165" s="2" t="s">
        <v>3493</v>
      </c>
      <c r="D1165" s="2" t="s">
        <v>10042</v>
      </c>
      <c r="E1165" s="15">
        <v>0.19070000000000001</v>
      </c>
      <c r="F1165" s="15">
        <v>0.1163</v>
      </c>
      <c r="G1165" s="15">
        <v>0.1011</v>
      </c>
      <c r="H1165" s="15">
        <v>9.7500000000000003E-2</v>
      </c>
      <c r="I1165" s="15">
        <v>4.8300000000000003E-2</v>
      </c>
      <c r="J1165" s="15">
        <v>2.018633540372671</v>
      </c>
    </row>
    <row r="1166" spans="1:10" x14ac:dyDescent="0.25">
      <c r="A1166" s="2" t="s">
        <v>3494</v>
      </c>
      <c r="B1166" s="2" t="s">
        <v>3495</v>
      </c>
      <c r="C1166" s="2" t="s">
        <v>3496</v>
      </c>
      <c r="D1166" s="2" t="s">
        <v>10042</v>
      </c>
      <c r="E1166" s="15">
        <v>3.7499999999999999E-2</v>
      </c>
      <c r="F1166" s="15">
        <v>9.2399999999999996E-2</v>
      </c>
      <c r="G1166" s="15">
        <v>0.68459999999999999</v>
      </c>
      <c r="H1166" s="15">
        <v>0.1288</v>
      </c>
      <c r="I1166" s="15">
        <v>4.4499999999999998E-2</v>
      </c>
      <c r="J1166" s="15">
        <v>2.8943820224719099</v>
      </c>
    </row>
    <row r="1167" spans="1:10" x14ac:dyDescent="0.25">
      <c r="A1167" s="2" t="s">
        <v>3497</v>
      </c>
      <c r="B1167" s="2" t="s">
        <v>3498</v>
      </c>
      <c r="C1167" s="2" t="s">
        <v>3499</v>
      </c>
      <c r="D1167" s="2" t="s">
        <v>10042</v>
      </c>
      <c r="E1167" s="15">
        <v>6.13E-2</v>
      </c>
      <c r="F1167" s="15">
        <v>0.1018</v>
      </c>
      <c r="G1167" s="15">
        <v>0.5474</v>
      </c>
      <c r="H1167" s="15">
        <v>0.13619999999999999</v>
      </c>
      <c r="I1167" s="15">
        <v>3.8800000000000001E-2</v>
      </c>
      <c r="J1167" s="15">
        <v>3.510309278350515</v>
      </c>
    </row>
    <row r="1168" spans="1:10" x14ac:dyDescent="0.25">
      <c r="A1168" s="2" t="s">
        <v>3500</v>
      </c>
      <c r="B1168" s="2" t="s">
        <v>3501</v>
      </c>
      <c r="C1168" s="2" t="s">
        <v>3502</v>
      </c>
      <c r="D1168" s="2" t="s">
        <v>10042</v>
      </c>
      <c r="E1168" s="15">
        <v>0.26469999999999999</v>
      </c>
      <c r="F1168" s="15">
        <v>0.1091</v>
      </c>
      <c r="G1168" s="15">
        <v>1.5299999999999999E-2</v>
      </c>
      <c r="H1168" s="15">
        <v>0.1444</v>
      </c>
      <c r="I1168" s="15">
        <v>4.4999999999999998E-2</v>
      </c>
      <c r="J1168" s="15">
        <v>3.2088888888888891</v>
      </c>
    </row>
    <row r="1169" spans="1:10" x14ac:dyDescent="0.25">
      <c r="A1169" s="2" t="s">
        <v>3503</v>
      </c>
      <c r="B1169" s="2" t="s">
        <v>3504</v>
      </c>
      <c r="C1169" s="2" t="s">
        <v>3505</v>
      </c>
      <c r="D1169" s="2" t="s">
        <v>10042</v>
      </c>
      <c r="E1169" s="15">
        <v>0.1273</v>
      </c>
      <c r="F1169" s="15">
        <v>9.9699999999999997E-2</v>
      </c>
      <c r="G1169" s="15">
        <v>0.2016</v>
      </c>
      <c r="H1169" s="15">
        <v>0.15090000000000001</v>
      </c>
      <c r="I1169" s="15">
        <v>4.7300000000000002E-2</v>
      </c>
      <c r="J1169" s="15">
        <v>3.1902748414376321</v>
      </c>
    </row>
    <row r="1170" spans="1:10" x14ac:dyDescent="0.25">
      <c r="A1170" s="2" t="s">
        <v>3506</v>
      </c>
      <c r="B1170" s="2" t="s">
        <v>3507</v>
      </c>
      <c r="C1170" s="2" t="s">
        <v>3508</v>
      </c>
      <c r="D1170" s="2" t="s">
        <v>10042</v>
      </c>
      <c r="E1170" s="15">
        <v>2.5499999999999998E-2</v>
      </c>
      <c r="F1170" s="15">
        <v>8.2299999999999998E-2</v>
      </c>
      <c r="G1170" s="15">
        <v>0.75700000000000001</v>
      </c>
      <c r="H1170" s="15">
        <v>0.1865</v>
      </c>
      <c r="I1170" s="15">
        <v>4.7399999999999998E-2</v>
      </c>
      <c r="J1170" s="15">
        <v>3.9345991561181441</v>
      </c>
    </row>
    <row r="1171" spans="1:10" x14ac:dyDescent="0.25">
      <c r="A1171" s="2" t="s">
        <v>3509</v>
      </c>
      <c r="B1171" s="2" t="s">
        <v>3510</v>
      </c>
      <c r="C1171" s="2" t="s">
        <v>3511</v>
      </c>
      <c r="D1171" s="2" t="s">
        <v>10042</v>
      </c>
      <c r="E1171" s="15">
        <v>0.12609999999999999</v>
      </c>
      <c r="F1171" s="15">
        <v>7.6499999999999999E-2</v>
      </c>
      <c r="G1171" s="15">
        <v>9.9199999999999997E-2</v>
      </c>
      <c r="H1171" s="15">
        <v>0.26329999999999998</v>
      </c>
      <c r="I1171" s="15">
        <v>5.4699999999999999E-2</v>
      </c>
      <c r="J1171" s="15">
        <v>4.8135283363802559</v>
      </c>
    </row>
    <row r="1172" spans="1:10" x14ac:dyDescent="0.25">
      <c r="A1172" s="2" t="s">
        <v>3512</v>
      </c>
      <c r="B1172" s="2" t="s">
        <v>3513</v>
      </c>
      <c r="C1172" s="2" t="s">
        <v>3514</v>
      </c>
      <c r="D1172" s="2" t="s">
        <v>10042</v>
      </c>
      <c r="E1172" s="15">
        <v>0.19650000000000001</v>
      </c>
      <c r="F1172" s="15">
        <v>0.1258</v>
      </c>
      <c r="G1172" s="15">
        <v>0.11840000000000001</v>
      </c>
      <c r="H1172" s="15">
        <v>7.6600000000000001E-2</v>
      </c>
      <c r="I1172" s="15">
        <v>4.0800000000000003E-2</v>
      </c>
      <c r="J1172" s="15">
        <v>1.8774509803921571</v>
      </c>
    </row>
    <row r="1173" spans="1:10" x14ac:dyDescent="0.25">
      <c r="A1173" s="2" t="s">
        <v>3515</v>
      </c>
      <c r="B1173" s="2" t="s">
        <v>3516</v>
      </c>
      <c r="C1173" s="2" t="s">
        <v>3517</v>
      </c>
      <c r="D1173" s="2" t="s">
        <v>10042</v>
      </c>
      <c r="E1173" s="15">
        <v>0.13320000000000001</v>
      </c>
      <c r="F1173" s="15">
        <v>0.1062</v>
      </c>
      <c r="G1173" s="15">
        <v>0.2099</v>
      </c>
      <c r="H1173" s="15">
        <v>0.1183</v>
      </c>
      <c r="I1173" s="15">
        <v>4.58E-2</v>
      </c>
      <c r="J1173" s="15">
        <v>2.5829694323144099</v>
      </c>
    </row>
    <row r="1174" spans="1:10" x14ac:dyDescent="0.25">
      <c r="A1174" s="2" t="s">
        <v>3518</v>
      </c>
      <c r="B1174" s="2" t="s">
        <v>3519</v>
      </c>
      <c r="C1174" s="2" t="s">
        <v>3520</v>
      </c>
      <c r="D1174" s="2" t="s">
        <v>10042</v>
      </c>
      <c r="E1174" s="15">
        <v>0.1394</v>
      </c>
      <c r="F1174" s="15">
        <v>8.9399999999999993E-2</v>
      </c>
      <c r="G1174" s="15">
        <v>0.11890000000000001</v>
      </c>
      <c r="H1174" s="15">
        <v>0.15959999999999999</v>
      </c>
      <c r="I1174" s="15">
        <v>4.8800000000000003E-2</v>
      </c>
      <c r="J1174" s="15">
        <v>3.2704918032786878</v>
      </c>
    </row>
    <row r="1175" spans="1:10" x14ac:dyDescent="0.25">
      <c r="A1175" s="2" t="s">
        <v>3521</v>
      </c>
      <c r="B1175" s="2" t="s">
        <v>3522</v>
      </c>
      <c r="C1175" s="2" t="s">
        <v>3523</v>
      </c>
      <c r="D1175" s="2" t="s">
        <v>10042</v>
      </c>
      <c r="E1175" s="15">
        <v>0.1265</v>
      </c>
      <c r="F1175" s="15">
        <v>9.0800000000000006E-2</v>
      </c>
      <c r="G1175" s="15">
        <v>0.16389999999999999</v>
      </c>
      <c r="H1175" s="15">
        <v>0.18390000000000001</v>
      </c>
      <c r="I1175" s="15">
        <v>4.65E-2</v>
      </c>
      <c r="J1175" s="15">
        <v>3.95483870967742</v>
      </c>
    </row>
    <row r="1176" spans="1:10" x14ac:dyDescent="0.25">
      <c r="A1176" s="2" t="s">
        <v>3524</v>
      </c>
      <c r="B1176" s="2" t="s">
        <v>3525</v>
      </c>
      <c r="C1176" s="2" t="s">
        <v>3526</v>
      </c>
      <c r="D1176" s="2" t="s">
        <v>10042</v>
      </c>
      <c r="E1176" s="15">
        <v>0.19059999999999999</v>
      </c>
      <c r="F1176" s="15">
        <v>7.6300000000000007E-2</v>
      </c>
      <c r="G1176" s="15">
        <v>1.24E-2</v>
      </c>
      <c r="H1176" s="15">
        <v>0.2281</v>
      </c>
      <c r="I1176" s="15">
        <v>5.0999999999999997E-2</v>
      </c>
      <c r="J1176" s="15">
        <v>4.4725490196078432</v>
      </c>
    </row>
    <row r="1177" spans="1:10" x14ac:dyDescent="0.25">
      <c r="A1177" s="2" t="s">
        <v>3527</v>
      </c>
      <c r="B1177" s="2" t="s">
        <v>3528</v>
      </c>
      <c r="C1177" s="2" t="s">
        <v>3529</v>
      </c>
      <c r="D1177" s="2" t="s">
        <v>10042</v>
      </c>
      <c r="E1177" s="15">
        <v>0.16</v>
      </c>
      <c r="F1177" s="15">
        <v>7.6499999999999999E-2</v>
      </c>
      <c r="G1177" s="15">
        <v>3.6499999999999998E-2</v>
      </c>
      <c r="H1177" s="15">
        <v>0.2316</v>
      </c>
      <c r="I1177" s="15">
        <v>5.0999999999999997E-2</v>
      </c>
      <c r="J1177" s="15">
        <v>4.5411764705882351</v>
      </c>
    </row>
    <row r="1178" spans="1:10" x14ac:dyDescent="0.25">
      <c r="A1178" s="2" t="s">
        <v>3530</v>
      </c>
      <c r="B1178" s="2" t="s">
        <v>3531</v>
      </c>
      <c r="C1178" s="2" t="s">
        <v>3532</v>
      </c>
      <c r="D1178" s="2" t="s">
        <v>10042</v>
      </c>
      <c r="E1178" s="15">
        <v>5.28E-2</v>
      </c>
      <c r="F1178" s="15">
        <v>8.4400000000000003E-2</v>
      </c>
      <c r="G1178" s="15">
        <v>0.53149999999999997</v>
      </c>
      <c r="H1178" s="15">
        <v>0.16850000000000001</v>
      </c>
      <c r="I1178" s="15">
        <v>4.4299999999999999E-2</v>
      </c>
      <c r="J1178" s="15">
        <v>3.8036117381489851</v>
      </c>
    </row>
    <row r="1179" spans="1:10" x14ac:dyDescent="0.25">
      <c r="A1179" s="2" t="s">
        <v>3533</v>
      </c>
      <c r="B1179" s="2" t="s">
        <v>3534</v>
      </c>
      <c r="C1179" s="2" t="s">
        <v>3535</v>
      </c>
      <c r="D1179" s="2" t="s">
        <v>10042</v>
      </c>
      <c r="E1179" s="15">
        <v>0.1353</v>
      </c>
      <c r="F1179" s="15">
        <v>9.2100000000000001E-2</v>
      </c>
      <c r="G1179" s="15">
        <v>0.14199999999999999</v>
      </c>
      <c r="H1179" s="15">
        <v>0.17380000000000001</v>
      </c>
      <c r="I1179" s="15">
        <v>4.3700000000000003E-2</v>
      </c>
      <c r="J1179" s="15">
        <v>3.9771167048054918</v>
      </c>
    </row>
    <row r="1180" spans="1:10" x14ac:dyDescent="0.25">
      <c r="A1180" s="2" t="s">
        <v>3536</v>
      </c>
      <c r="B1180" s="2" t="s">
        <v>3537</v>
      </c>
      <c r="C1180" s="2" t="s">
        <v>3538</v>
      </c>
      <c r="D1180" s="2" t="s">
        <v>10042</v>
      </c>
      <c r="E1180" s="15">
        <v>0.1517</v>
      </c>
      <c r="F1180" s="15">
        <v>0.11119999999999999</v>
      </c>
      <c r="G1180" s="15">
        <v>0.17269999999999999</v>
      </c>
      <c r="H1180" s="15">
        <v>8.1100000000000005E-2</v>
      </c>
      <c r="I1180" s="15">
        <v>3.9899999999999998E-2</v>
      </c>
      <c r="J1180" s="15">
        <v>2.0325814536340849</v>
      </c>
    </row>
    <row r="1181" spans="1:10" x14ac:dyDescent="0.25">
      <c r="A1181" s="2" t="s">
        <v>3539</v>
      </c>
      <c r="B1181" s="2" t="s">
        <v>3540</v>
      </c>
      <c r="C1181" s="2" t="s">
        <v>3541</v>
      </c>
      <c r="D1181" s="2" t="s">
        <v>10042</v>
      </c>
      <c r="E1181" s="15">
        <v>8.5099999999999995E-2</v>
      </c>
      <c r="F1181" s="15">
        <v>0.1026</v>
      </c>
      <c r="G1181" s="15">
        <v>0.40710000000000002</v>
      </c>
      <c r="H1181" s="15">
        <v>0.1406</v>
      </c>
      <c r="I1181" s="15">
        <v>4.2900000000000001E-2</v>
      </c>
      <c r="J1181" s="15">
        <v>3.2773892773892772</v>
      </c>
    </row>
    <row r="1182" spans="1:10" x14ac:dyDescent="0.25">
      <c r="A1182" s="2" t="s">
        <v>3542</v>
      </c>
      <c r="B1182" s="2" t="s">
        <v>3543</v>
      </c>
      <c r="C1182" s="2" t="s">
        <v>3544</v>
      </c>
      <c r="D1182" s="2" t="s">
        <v>10042</v>
      </c>
      <c r="E1182" s="15">
        <v>2.3900000000000001E-2</v>
      </c>
      <c r="F1182" s="15">
        <v>9.1999999999999998E-2</v>
      </c>
      <c r="G1182" s="15">
        <v>0.79510000000000003</v>
      </c>
      <c r="H1182" s="15">
        <v>0.1464</v>
      </c>
      <c r="I1182" s="15">
        <v>4.0899999999999999E-2</v>
      </c>
      <c r="J1182" s="15">
        <v>3.5794621026894871</v>
      </c>
    </row>
    <row r="1183" spans="1:10" x14ac:dyDescent="0.25">
      <c r="A1183" s="2" t="s">
        <v>3545</v>
      </c>
      <c r="B1183" s="2" t="s">
        <v>3546</v>
      </c>
      <c r="C1183" s="2" t="s">
        <v>3547</v>
      </c>
      <c r="D1183" s="2" t="s">
        <v>10042</v>
      </c>
      <c r="E1183" s="15">
        <v>0.16569999999999999</v>
      </c>
      <c r="F1183" s="15">
        <v>8.6199999999999999E-2</v>
      </c>
      <c r="G1183" s="15">
        <v>5.4699999999999999E-2</v>
      </c>
      <c r="H1183" s="15">
        <v>0.18010000000000001</v>
      </c>
      <c r="I1183" s="15">
        <v>4.53E-2</v>
      </c>
      <c r="J1183" s="15">
        <v>3.9757174392935979</v>
      </c>
    </row>
    <row r="1184" spans="1:10" x14ac:dyDescent="0.25">
      <c r="A1184" s="2" t="s">
        <v>3548</v>
      </c>
      <c r="B1184" s="2" t="s">
        <v>3549</v>
      </c>
      <c r="C1184" s="2" t="s">
        <v>3550</v>
      </c>
      <c r="D1184" s="2" t="s">
        <v>10042</v>
      </c>
      <c r="E1184" s="15">
        <v>2.5999999999999999E-3</v>
      </c>
      <c r="F1184" s="15">
        <v>9.3700000000000006E-2</v>
      </c>
      <c r="G1184" s="15">
        <v>0.97829999999999995</v>
      </c>
      <c r="H1184" s="15">
        <v>0.10009999999999999</v>
      </c>
      <c r="I1184" s="15">
        <v>4.7600000000000003E-2</v>
      </c>
      <c r="J1184" s="15">
        <v>2.1029411764705879</v>
      </c>
    </row>
    <row r="1185" spans="1:10" x14ac:dyDescent="0.25">
      <c r="A1185" s="2" t="s">
        <v>3551</v>
      </c>
      <c r="B1185" s="2" t="s">
        <v>3552</v>
      </c>
      <c r="C1185" s="2" t="s">
        <v>3553</v>
      </c>
      <c r="D1185" s="2" t="s">
        <v>10042</v>
      </c>
      <c r="E1185" s="15">
        <v>0.15920000000000001</v>
      </c>
      <c r="F1185" s="15">
        <v>0.12570000000000001</v>
      </c>
      <c r="G1185" s="15">
        <v>0.20519999999999999</v>
      </c>
      <c r="H1185" s="15">
        <v>9.01E-2</v>
      </c>
      <c r="I1185" s="15">
        <v>3.7999999999999999E-2</v>
      </c>
      <c r="J1185" s="15">
        <v>2.371052631578948</v>
      </c>
    </row>
    <row r="1186" spans="1:10" x14ac:dyDescent="0.25">
      <c r="A1186" s="2" t="s">
        <v>3554</v>
      </c>
      <c r="B1186" s="2" t="s">
        <v>3555</v>
      </c>
      <c r="C1186" s="2" t="s">
        <v>3556</v>
      </c>
      <c r="D1186" s="2" t="s">
        <v>10042</v>
      </c>
      <c r="E1186" s="15">
        <v>0.2457</v>
      </c>
      <c r="F1186" s="15">
        <v>0.26240000000000002</v>
      </c>
      <c r="G1186" s="15">
        <v>0.34920000000000001</v>
      </c>
      <c r="H1186" s="15">
        <v>2.87E-2</v>
      </c>
      <c r="I1186" s="15">
        <v>3.9800000000000002E-2</v>
      </c>
      <c r="J1186" s="15">
        <v>0.72110552763819091</v>
      </c>
    </row>
    <row r="1187" spans="1:10" x14ac:dyDescent="0.25">
      <c r="A1187" s="2" t="s">
        <v>3557</v>
      </c>
      <c r="B1187" s="2" t="s">
        <v>3558</v>
      </c>
      <c r="C1187" s="2" t="s">
        <v>3559</v>
      </c>
      <c r="D1187" s="2" t="s">
        <v>10042</v>
      </c>
      <c r="E1187" s="15">
        <v>0.1479</v>
      </c>
      <c r="F1187" s="15">
        <v>0.13800000000000001</v>
      </c>
      <c r="G1187" s="15">
        <v>0.28399999999999997</v>
      </c>
      <c r="H1187" s="15">
        <v>6.83E-2</v>
      </c>
      <c r="I1187" s="15">
        <v>4.2000000000000003E-2</v>
      </c>
      <c r="J1187" s="15">
        <v>1.626190476190476</v>
      </c>
    </row>
    <row r="1188" spans="1:10" x14ac:dyDescent="0.25">
      <c r="A1188" s="2" t="s">
        <v>3560</v>
      </c>
      <c r="B1188" s="2" t="s">
        <v>3561</v>
      </c>
      <c r="C1188" s="2" t="s">
        <v>3562</v>
      </c>
      <c r="D1188" s="2" t="s">
        <v>10042</v>
      </c>
      <c r="E1188" s="15">
        <v>3.3999999999999998E-3</v>
      </c>
      <c r="F1188" s="15">
        <v>9.3899999999999997E-2</v>
      </c>
      <c r="G1188" s="15">
        <v>0.9708</v>
      </c>
      <c r="H1188" s="15">
        <v>0.19339999999999999</v>
      </c>
      <c r="I1188" s="15">
        <v>4.6100000000000002E-2</v>
      </c>
      <c r="J1188" s="15">
        <v>4.1952277657266803</v>
      </c>
    </row>
    <row r="1189" spans="1:10" x14ac:dyDescent="0.25">
      <c r="A1189" s="2" t="s">
        <v>3563</v>
      </c>
      <c r="B1189" s="2" t="s">
        <v>3564</v>
      </c>
      <c r="C1189" s="2" t="s">
        <v>3565</v>
      </c>
      <c r="D1189" s="2" t="s">
        <v>10042</v>
      </c>
      <c r="E1189" s="15">
        <v>-6.5199999999999994E-2</v>
      </c>
      <c r="F1189" s="15">
        <v>0.1115</v>
      </c>
      <c r="G1189" s="15">
        <v>0.55879999999999996</v>
      </c>
      <c r="H1189" s="15">
        <v>0.10299999999999999</v>
      </c>
      <c r="I1189" s="15">
        <v>4.5400000000000003E-2</v>
      </c>
      <c r="J1189" s="15">
        <v>2.2687224669603521</v>
      </c>
    </row>
    <row r="1190" spans="1:10" x14ac:dyDescent="0.25">
      <c r="A1190" s="2" t="s">
        <v>3566</v>
      </c>
      <c r="B1190" s="2" t="s">
        <v>3567</v>
      </c>
      <c r="C1190" s="2" t="s">
        <v>3568</v>
      </c>
      <c r="D1190" s="2" t="s">
        <v>10042</v>
      </c>
      <c r="E1190" s="15">
        <v>0.15160000000000001</v>
      </c>
      <c r="F1190" s="15">
        <v>8.0799999999999997E-2</v>
      </c>
      <c r="G1190" s="15">
        <v>6.0600000000000001E-2</v>
      </c>
      <c r="H1190" s="15">
        <v>0.189</v>
      </c>
      <c r="I1190" s="15">
        <v>4.53E-2</v>
      </c>
      <c r="J1190" s="15">
        <v>4.1721854304635766</v>
      </c>
    </row>
    <row r="1191" spans="1:10" x14ac:dyDescent="0.25">
      <c r="A1191" s="2" t="s">
        <v>3569</v>
      </c>
      <c r="B1191" s="2" t="s">
        <v>3570</v>
      </c>
      <c r="C1191" s="2" t="s">
        <v>3571</v>
      </c>
      <c r="D1191" s="2" t="s">
        <v>10042</v>
      </c>
      <c r="E1191" s="15">
        <v>-3.1099999999999999E-2</v>
      </c>
      <c r="F1191" s="15">
        <v>0.105</v>
      </c>
      <c r="G1191" s="15">
        <v>0.76719999999999999</v>
      </c>
      <c r="H1191" s="15">
        <v>0.12139999999999999</v>
      </c>
      <c r="I1191" s="15">
        <v>4.7E-2</v>
      </c>
      <c r="J1191" s="15">
        <v>2.5829787234042549</v>
      </c>
    </row>
    <row r="1192" spans="1:10" x14ac:dyDescent="0.25">
      <c r="A1192" s="2" t="s">
        <v>3572</v>
      </c>
      <c r="B1192" s="2" t="s">
        <v>3573</v>
      </c>
      <c r="C1192" s="2" t="s">
        <v>3574</v>
      </c>
      <c r="D1192" s="2" t="s">
        <v>10042</v>
      </c>
      <c r="E1192" s="15">
        <v>-6.4000000000000003E-3</v>
      </c>
      <c r="F1192" s="15">
        <v>0.12759999999999999</v>
      </c>
      <c r="G1192" s="15">
        <v>0.95989999999999998</v>
      </c>
      <c r="H1192" s="15">
        <v>8.5699999999999998E-2</v>
      </c>
      <c r="I1192" s="15">
        <v>4.7300000000000002E-2</v>
      </c>
      <c r="J1192" s="15">
        <v>1.8118393234672301</v>
      </c>
    </row>
    <row r="1193" spans="1:10" x14ac:dyDescent="0.25">
      <c r="A1193" s="2" t="s">
        <v>3575</v>
      </c>
      <c r="B1193" s="2" t="s">
        <v>3576</v>
      </c>
      <c r="C1193" s="2" t="s">
        <v>3577</v>
      </c>
      <c r="D1193" s="2" t="s">
        <v>10042</v>
      </c>
      <c r="E1193" s="15">
        <v>8.0600000000000005E-2</v>
      </c>
      <c r="F1193" s="15">
        <v>0.124</v>
      </c>
      <c r="G1193" s="15">
        <v>0.51590000000000003</v>
      </c>
      <c r="H1193" s="15">
        <v>8.7900000000000006E-2</v>
      </c>
      <c r="I1193" s="15">
        <v>4.2500000000000003E-2</v>
      </c>
      <c r="J1193" s="15">
        <v>2.0682352941176472</v>
      </c>
    </row>
    <row r="1194" spans="1:10" x14ac:dyDescent="0.25">
      <c r="A1194" s="2" t="s">
        <v>3578</v>
      </c>
      <c r="B1194" s="2" t="s">
        <v>3579</v>
      </c>
      <c r="C1194" s="2" t="s">
        <v>3580</v>
      </c>
      <c r="D1194" s="2" t="s">
        <v>10042</v>
      </c>
      <c r="E1194" s="15">
        <v>0.1082</v>
      </c>
      <c r="F1194" s="15">
        <v>9.6500000000000002E-2</v>
      </c>
      <c r="G1194" s="15">
        <v>0.2621</v>
      </c>
      <c r="H1194" s="15">
        <v>0.1421</v>
      </c>
      <c r="I1194" s="15">
        <v>4.5199999999999997E-2</v>
      </c>
      <c r="J1194" s="15">
        <v>3.143805309734514</v>
      </c>
    </row>
    <row r="1195" spans="1:10" x14ac:dyDescent="0.25">
      <c r="A1195" s="2" t="s">
        <v>3581</v>
      </c>
      <c r="B1195" s="2" t="s">
        <v>3582</v>
      </c>
      <c r="C1195" s="2" t="s">
        <v>3583</v>
      </c>
      <c r="D1195" s="2" t="s">
        <v>10042</v>
      </c>
      <c r="E1195" s="15">
        <v>5.8000000000000003E-2</v>
      </c>
      <c r="F1195" s="15">
        <v>8.7099999999999997E-2</v>
      </c>
      <c r="G1195" s="15">
        <v>0.50519999999999998</v>
      </c>
      <c r="H1195" s="15">
        <v>0.1681</v>
      </c>
      <c r="I1195" s="15">
        <v>4.9299999999999997E-2</v>
      </c>
      <c r="J1195" s="15">
        <v>3.4097363083164298</v>
      </c>
    </row>
    <row r="1196" spans="1:10" x14ac:dyDescent="0.25">
      <c r="A1196" s="2" t="s">
        <v>3584</v>
      </c>
      <c r="B1196" s="2" t="s">
        <v>3585</v>
      </c>
      <c r="C1196" s="2" t="s">
        <v>3586</v>
      </c>
      <c r="D1196" s="2" t="s">
        <v>10042</v>
      </c>
      <c r="E1196" s="15">
        <v>4.6600000000000003E-2</v>
      </c>
      <c r="F1196" s="15">
        <v>0.19409999999999999</v>
      </c>
      <c r="G1196" s="15">
        <v>0.81010000000000004</v>
      </c>
      <c r="H1196" s="15">
        <v>3.0499999999999999E-2</v>
      </c>
      <c r="I1196" s="15">
        <v>4.0099999999999997E-2</v>
      </c>
      <c r="J1196" s="15">
        <v>0.76059850374064841</v>
      </c>
    </row>
    <row r="1197" spans="1:10" x14ac:dyDescent="0.25">
      <c r="A1197" s="2" t="s">
        <v>3587</v>
      </c>
      <c r="B1197" s="2" t="s">
        <v>3588</v>
      </c>
      <c r="C1197" s="2" t="s">
        <v>3589</v>
      </c>
      <c r="D1197" s="2" t="s">
        <v>10042</v>
      </c>
      <c r="E1197" s="15">
        <v>0.25409999999999999</v>
      </c>
      <c r="F1197" s="15">
        <v>0.12820000000000001</v>
      </c>
      <c r="G1197" s="15">
        <v>4.7500000000000001E-2</v>
      </c>
      <c r="H1197" s="15">
        <v>8.6999999999999994E-2</v>
      </c>
      <c r="I1197" s="15">
        <v>4.5499999999999999E-2</v>
      </c>
      <c r="J1197" s="15">
        <v>1.912087912087912</v>
      </c>
    </row>
    <row r="1198" spans="1:10" x14ac:dyDescent="0.25">
      <c r="A1198" s="2" t="s">
        <v>3590</v>
      </c>
      <c r="B1198" s="2" t="s">
        <v>3591</v>
      </c>
      <c r="C1198" s="2" t="s">
        <v>3592</v>
      </c>
      <c r="D1198" s="2" t="s">
        <v>10042</v>
      </c>
      <c r="E1198" s="15">
        <v>0.23200000000000001</v>
      </c>
      <c r="F1198" s="15">
        <v>0.1</v>
      </c>
      <c r="G1198" s="15">
        <v>2.0299999999999999E-2</v>
      </c>
      <c r="H1198" s="15">
        <v>0.13969999999999999</v>
      </c>
      <c r="I1198" s="15">
        <v>4.4299999999999999E-2</v>
      </c>
      <c r="J1198" s="15">
        <v>3.1534988713318279</v>
      </c>
    </row>
    <row r="1199" spans="1:10" x14ac:dyDescent="0.25">
      <c r="A1199" s="2" t="s">
        <v>3593</v>
      </c>
      <c r="B1199" s="2" t="s">
        <v>3594</v>
      </c>
      <c r="C1199" s="2" t="s">
        <v>3595</v>
      </c>
      <c r="D1199" s="2" t="s">
        <v>10042</v>
      </c>
      <c r="E1199" s="15">
        <v>0.1047</v>
      </c>
      <c r="F1199" s="15">
        <v>9.3700000000000006E-2</v>
      </c>
      <c r="G1199" s="15">
        <v>0.26379999999999998</v>
      </c>
      <c r="H1199" s="15">
        <v>0.15229999999999999</v>
      </c>
      <c r="I1199" s="15">
        <v>5.04E-2</v>
      </c>
      <c r="J1199" s="15">
        <v>3.0218253968253972</v>
      </c>
    </row>
    <row r="1200" spans="1:10" x14ac:dyDescent="0.25">
      <c r="A1200" s="2" t="s">
        <v>3596</v>
      </c>
      <c r="B1200" s="2" t="s">
        <v>3597</v>
      </c>
      <c r="C1200" s="2" t="s">
        <v>3598</v>
      </c>
      <c r="D1200" s="2" t="s">
        <v>10042</v>
      </c>
      <c r="E1200" s="15">
        <v>0.1191</v>
      </c>
      <c r="F1200" s="15">
        <v>8.8800000000000004E-2</v>
      </c>
      <c r="G1200" s="15">
        <v>0.1799</v>
      </c>
      <c r="H1200" s="15">
        <v>0.156</v>
      </c>
      <c r="I1200" s="15">
        <v>4.1700000000000001E-2</v>
      </c>
      <c r="J1200" s="15">
        <v>3.7410071942446042</v>
      </c>
    </row>
    <row r="1201" spans="1:10" x14ac:dyDescent="0.25">
      <c r="A1201" s="2" t="s">
        <v>3599</v>
      </c>
      <c r="B1201" s="2" t="s">
        <v>3600</v>
      </c>
      <c r="C1201" s="2" t="s">
        <v>3601</v>
      </c>
      <c r="D1201" s="2" t="s">
        <v>10042</v>
      </c>
      <c r="E1201" s="15">
        <v>0.11799999999999999</v>
      </c>
      <c r="F1201" s="15">
        <v>9.11E-2</v>
      </c>
      <c r="G1201" s="15">
        <v>0.19520000000000001</v>
      </c>
      <c r="H1201" s="15">
        <v>0.15759999999999999</v>
      </c>
      <c r="I1201" s="15">
        <v>4.24E-2</v>
      </c>
      <c r="J1201" s="15">
        <v>3.716981132075472</v>
      </c>
    </row>
    <row r="1202" spans="1:10" x14ac:dyDescent="0.25">
      <c r="A1202" s="2" t="s">
        <v>3602</v>
      </c>
      <c r="B1202" s="2" t="s">
        <v>3603</v>
      </c>
      <c r="C1202" s="2" t="s">
        <v>3604</v>
      </c>
      <c r="D1202" s="2" t="s">
        <v>10042</v>
      </c>
      <c r="E1202" s="15">
        <v>0.1434</v>
      </c>
      <c r="F1202" s="15">
        <v>0.11020000000000001</v>
      </c>
      <c r="G1202" s="15">
        <v>0.19320000000000001</v>
      </c>
      <c r="H1202" s="15">
        <v>0.127</v>
      </c>
      <c r="I1202" s="15">
        <v>5.5800000000000002E-2</v>
      </c>
      <c r="J1202" s="15">
        <v>2.2759856630824369</v>
      </c>
    </row>
    <row r="1203" spans="1:10" x14ac:dyDescent="0.25">
      <c r="A1203" s="2" t="s">
        <v>3605</v>
      </c>
      <c r="B1203" s="2" t="s">
        <v>3606</v>
      </c>
      <c r="C1203" s="2" t="s">
        <v>3607</v>
      </c>
      <c r="D1203" s="2" t="s">
        <v>10042</v>
      </c>
      <c r="E1203" s="15">
        <v>4.4400000000000002E-2</v>
      </c>
      <c r="F1203" s="15">
        <v>0.1207</v>
      </c>
      <c r="G1203" s="15">
        <v>0.71299999999999997</v>
      </c>
      <c r="H1203" s="15">
        <v>9.5600000000000004E-2</v>
      </c>
      <c r="I1203" s="15">
        <v>4.9200000000000001E-2</v>
      </c>
      <c r="J1203" s="15">
        <v>1.943089430894309</v>
      </c>
    </row>
    <row r="1204" spans="1:10" x14ac:dyDescent="0.25">
      <c r="A1204" s="2" t="s">
        <v>3608</v>
      </c>
      <c r="B1204" s="2" t="s">
        <v>3609</v>
      </c>
      <c r="C1204" s="2" t="s">
        <v>3610</v>
      </c>
      <c r="D1204" s="2" t="s">
        <v>10042</v>
      </c>
      <c r="E1204" s="15">
        <v>8.0600000000000005E-2</v>
      </c>
      <c r="F1204" s="15">
        <v>9.35E-2</v>
      </c>
      <c r="G1204" s="15">
        <v>0.38869999999999999</v>
      </c>
      <c r="H1204" s="15">
        <v>0.1522</v>
      </c>
      <c r="I1204" s="15">
        <v>4.7899999999999998E-2</v>
      </c>
      <c r="J1204" s="15">
        <v>3.1774530271398751</v>
      </c>
    </row>
    <row r="1205" spans="1:10" x14ac:dyDescent="0.25">
      <c r="A1205" s="2" t="s">
        <v>3611</v>
      </c>
      <c r="B1205" s="2" t="s">
        <v>3612</v>
      </c>
      <c r="C1205" s="2" t="s">
        <v>3613</v>
      </c>
      <c r="D1205" s="2" t="s">
        <v>10042</v>
      </c>
      <c r="E1205" s="15">
        <v>9.9400000000000002E-2</v>
      </c>
      <c r="F1205" s="15">
        <v>8.48E-2</v>
      </c>
      <c r="G1205" s="15">
        <v>0.2412</v>
      </c>
      <c r="H1205" s="15">
        <v>0.1535</v>
      </c>
      <c r="I1205" s="15">
        <v>6.1100000000000002E-2</v>
      </c>
      <c r="J1205" s="15">
        <v>2.5122749590834701</v>
      </c>
    </row>
    <row r="1206" spans="1:10" x14ac:dyDescent="0.25">
      <c r="A1206" s="2" t="s">
        <v>3614</v>
      </c>
      <c r="B1206" s="2" t="s">
        <v>3615</v>
      </c>
      <c r="C1206" s="2" t="s">
        <v>3616</v>
      </c>
      <c r="D1206" s="2" t="s">
        <v>10042</v>
      </c>
      <c r="E1206" s="15">
        <v>0.1605</v>
      </c>
      <c r="F1206" s="15">
        <v>8.1299999999999997E-2</v>
      </c>
      <c r="G1206" s="15">
        <v>4.8300000000000003E-2</v>
      </c>
      <c r="H1206" s="15">
        <v>0.2228</v>
      </c>
      <c r="I1206" s="15">
        <v>4.5900000000000003E-2</v>
      </c>
      <c r="J1206" s="15">
        <v>4.8540305010893254</v>
      </c>
    </row>
    <row r="1207" spans="1:10" x14ac:dyDescent="0.25">
      <c r="A1207" s="2" t="s">
        <v>3617</v>
      </c>
      <c r="B1207" s="2" t="s">
        <v>3618</v>
      </c>
      <c r="C1207" s="2" t="s">
        <v>3619</v>
      </c>
      <c r="D1207" s="2" t="s">
        <v>10042</v>
      </c>
      <c r="E1207" s="15">
        <v>0.21560000000000001</v>
      </c>
      <c r="F1207" s="15">
        <v>0.15340000000000001</v>
      </c>
      <c r="G1207" s="15">
        <v>0.16</v>
      </c>
      <c r="H1207" s="15">
        <v>7.1599999999999997E-2</v>
      </c>
      <c r="I1207" s="15">
        <v>4.3299999999999998E-2</v>
      </c>
      <c r="J1207" s="15">
        <v>1.6535796766743649</v>
      </c>
    </row>
    <row r="1208" spans="1:10" x14ac:dyDescent="0.25">
      <c r="A1208" s="2" t="s">
        <v>3620</v>
      </c>
      <c r="B1208" s="2" t="s">
        <v>3621</v>
      </c>
      <c r="C1208" s="2" t="s">
        <v>3622</v>
      </c>
      <c r="D1208" s="2" t="s">
        <v>10042</v>
      </c>
      <c r="E1208" s="15">
        <v>3.1600000000000003E-2</v>
      </c>
      <c r="F1208" s="15">
        <v>8.3500000000000005E-2</v>
      </c>
      <c r="G1208" s="15">
        <v>0.70540000000000003</v>
      </c>
      <c r="H1208" s="15">
        <v>0.15379999999999999</v>
      </c>
      <c r="I1208" s="15">
        <v>4.7699999999999999E-2</v>
      </c>
      <c r="J1208" s="15">
        <v>3.224318658280922</v>
      </c>
    </row>
    <row r="1209" spans="1:10" x14ac:dyDescent="0.25">
      <c r="A1209" s="2" t="s">
        <v>3623</v>
      </c>
      <c r="B1209" s="2" t="s">
        <v>3624</v>
      </c>
      <c r="C1209" s="2" t="s">
        <v>3625</v>
      </c>
      <c r="D1209" s="2" t="s">
        <v>10042</v>
      </c>
      <c r="E1209" s="15">
        <v>0.18529999999999999</v>
      </c>
      <c r="F1209" s="15">
        <v>0.1085</v>
      </c>
      <c r="G1209" s="15">
        <v>8.77E-2</v>
      </c>
      <c r="H1209" s="15">
        <v>0.16439999999999999</v>
      </c>
      <c r="I1209" s="15">
        <v>4.4299999999999999E-2</v>
      </c>
      <c r="J1209" s="15">
        <v>3.711060948081264</v>
      </c>
    </row>
    <row r="1210" spans="1:10" x14ac:dyDescent="0.25">
      <c r="A1210" s="2" t="s">
        <v>3626</v>
      </c>
      <c r="B1210" s="2" t="s">
        <v>3627</v>
      </c>
      <c r="C1210" s="2" t="s">
        <v>3628</v>
      </c>
      <c r="D1210" s="2" t="s">
        <v>10042</v>
      </c>
      <c r="E1210" s="15">
        <v>6.2300000000000001E-2</v>
      </c>
      <c r="F1210" s="15">
        <v>0.16259999999999999</v>
      </c>
      <c r="G1210" s="15">
        <v>0.70150000000000001</v>
      </c>
      <c r="H1210" s="15">
        <v>5.1999999999999998E-2</v>
      </c>
      <c r="I1210" s="15">
        <v>4.9500000000000002E-2</v>
      </c>
      <c r="J1210" s="15">
        <v>1.0505050505050499</v>
      </c>
    </row>
    <row r="1211" spans="1:10" x14ac:dyDescent="0.25">
      <c r="A1211" s="2" t="s">
        <v>3629</v>
      </c>
      <c r="B1211" s="2" t="s">
        <v>3630</v>
      </c>
      <c r="C1211" s="2" t="s">
        <v>3631</v>
      </c>
      <c r="D1211" s="2" t="s">
        <v>10042</v>
      </c>
      <c r="E1211" s="15">
        <v>-3.2000000000000001E-2</v>
      </c>
      <c r="F1211" s="15">
        <v>0.13220000000000001</v>
      </c>
      <c r="G1211" s="15">
        <v>0.8085</v>
      </c>
      <c r="H1211" s="15">
        <v>7.4899999999999994E-2</v>
      </c>
      <c r="I1211" s="15">
        <v>4.5999999999999999E-2</v>
      </c>
      <c r="J1211" s="15">
        <v>1.628260869565217</v>
      </c>
    </row>
    <row r="1212" spans="1:10" x14ac:dyDescent="0.25">
      <c r="A1212" s="2" t="s">
        <v>3632</v>
      </c>
      <c r="B1212" s="2" t="s">
        <v>3633</v>
      </c>
      <c r="C1212" s="2" t="s">
        <v>3634</v>
      </c>
      <c r="D1212" s="2" t="s">
        <v>10042</v>
      </c>
      <c r="E1212" s="15">
        <v>7.5300000000000006E-2</v>
      </c>
      <c r="F1212" s="15">
        <v>8.4900000000000003E-2</v>
      </c>
      <c r="G1212" s="15">
        <v>0.3755</v>
      </c>
      <c r="H1212" s="15">
        <v>0.1855</v>
      </c>
      <c r="I1212" s="15">
        <v>4.6399999999999997E-2</v>
      </c>
      <c r="J1212" s="15">
        <v>3.9978448275862069</v>
      </c>
    </row>
    <row r="1213" spans="1:10" x14ac:dyDescent="0.25">
      <c r="A1213" s="2" t="s">
        <v>3635</v>
      </c>
      <c r="B1213" s="2" t="s">
        <v>3636</v>
      </c>
      <c r="C1213" s="2" t="s">
        <v>3637</v>
      </c>
      <c r="D1213" s="2" t="s">
        <v>10042</v>
      </c>
      <c r="E1213" s="15">
        <v>0.1031</v>
      </c>
      <c r="F1213" s="15">
        <v>7.6899999999999996E-2</v>
      </c>
      <c r="G1213" s="15">
        <v>0.1804</v>
      </c>
      <c r="H1213" s="15">
        <v>0.22919999999999999</v>
      </c>
      <c r="I1213" s="15">
        <v>4.7899999999999998E-2</v>
      </c>
      <c r="J1213" s="15">
        <v>4.7849686847599164</v>
      </c>
    </row>
    <row r="1214" spans="1:10" x14ac:dyDescent="0.25">
      <c r="A1214" s="2" t="s">
        <v>3638</v>
      </c>
      <c r="B1214" s="2" t="s">
        <v>3639</v>
      </c>
      <c r="C1214" s="2" t="s">
        <v>3640</v>
      </c>
      <c r="D1214" s="2" t="s">
        <v>10042</v>
      </c>
      <c r="E1214" s="15">
        <v>0.22650000000000001</v>
      </c>
      <c r="F1214" s="15">
        <v>0.29339999999999999</v>
      </c>
      <c r="G1214" s="15">
        <v>0.44019999999999998</v>
      </c>
      <c r="H1214" s="15">
        <v>2.3900000000000001E-2</v>
      </c>
      <c r="I1214" s="15">
        <v>4.1500000000000002E-2</v>
      </c>
      <c r="J1214" s="15">
        <v>0.57590361445783134</v>
      </c>
    </row>
    <row r="1215" spans="1:10" x14ac:dyDescent="0.25">
      <c r="A1215" s="2" t="s">
        <v>3641</v>
      </c>
      <c r="B1215" s="2" t="s">
        <v>3642</v>
      </c>
      <c r="C1215" s="2" t="s">
        <v>3643</v>
      </c>
      <c r="D1215" s="2" t="s">
        <v>10042</v>
      </c>
      <c r="E1215" s="15">
        <v>6.0999999999999999E-2</v>
      </c>
      <c r="F1215" s="15">
        <v>8.3599999999999994E-2</v>
      </c>
      <c r="G1215" s="15">
        <v>0.46610000000000001</v>
      </c>
      <c r="H1215" s="15">
        <v>0.1676</v>
      </c>
      <c r="I1215" s="15">
        <v>5.0900000000000001E-2</v>
      </c>
      <c r="J1215" s="15">
        <v>3.2927308447937129</v>
      </c>
    </row>
    <row r="1216" spans="1:10" x14ac:dyDescent="0.25">
      <c r="A1216" s="2" t="s">
        <v>3644</v>
      </c>
      <c r="B1216" s="2" t="s">
        <v>3645</v>
      </c>
      <c r="C1216" s="2" t="s">
        <v>3646</v>
      </c>
      <c r="D1216" s="2" t="s">
        <v>10042</v>
      </c>
      <c r="E1216" s="15">
        <v>-8.1199999999999994E-2</v>
      </c>
      <c r="F1216" s="15">
        <v>0.111</v>
      </c>
      <c r="G1216" s="15">
        <v>0.4642</v>
      </c>
      <c r="H1216" s="15">
        <v>0.1176</v>
      </c>
      <c r="I1216" s="15">
        <v>4.3299999999999998E-2</v>
      </c>
      <c r="J1216" s="15">
        <v>2.7159353348729791</v>
      </c>
    </row>
    <row r="1217" spans="1:10" x14ac:dyDescent="0.25">
      <c r="A1217" s="2" t="s">
        <v>3647</v>
      </c>
      <c r="B1217" s="2" t="s">
        <v>3648</v>
      </c>
      <c r="C1217" s="2" t="s">
        <v>3649</v>
      </c>
      <c r="D1217" s="2" t="s">
        <v>10042</v>
      </c>
      <c r="E1217" s="15">
        <v>0.1741</v>
      </c>
      <c r="F1217" s="15">
        <v>0.1212</v>
      </c>
      <c r="G1217" s="15">
        <v>0.1507</v>
      </c>
      <c r="H1217" s="15">
        <v>0.1118</v>
      </c>
      <c r="I1217" s="15">
        <v>4.1399999999999999E-2</v>
      </c>
      <c r="J1217" s="15">
        <v>2.7004830917874401</v>
      </c>
    </row>
    <row r="1218" spans="1:10" x14ac:dyDescent="0.25">
      <c r="A1218" s="2" t="s">
        <v>3650</v>
      </c>
      <c r="B1218" s="2" t="s">
        <v>3651</v>
      </c>
      <c r="C1218" s="2" t="s">
        <v>3652</v>
      </c>
      <c r="D1218" s="2" t="s">
        <v>10042</v>
      </c>
      <c r="E1218" s="15">
        <v>-6.7999999999999996E-3</v>
      </c>
      <c r="F1218" s="15">
        <v>0.1197</v>
      </c>
      <c r="G1218" s="15">
        <v>0.95479999999999998</v>
      </c>
      <c r="H1218" s="15">
        <v>7.1300000000000002E-2</v>
      </c>
      <c r="I1218" s="15">
        <v>4.3799999999999999E-2</v>
      </c>
      <c r="J1218" s="15">
        <v>1.627853881278539</v>
      </c>
    </row>
    <row r="1219" spans="1:10" x14ac:dyDescent="0.25">
      <c r="A1219" s="2" t="s">
        <v>3653</v>
      </c>
      <c r="B1219" s="2" t="s">
        <v>3654</v>
      </c>
      <c r="C1219" s="2" t="s">
        <v>3655</v>
      </c>
      <c r="D1219" s="2" t="s">
        <v>10042</v>
      </c>
      <c r="E1219" s="15">
        <v>0.2026</v>
      </c>
      <c r="F1219" s="15">
        <v>0.1522</v>
      </c>
      <c r="G1219" s="15">
        <v>0.18329999999999999</v>
      </c>
      <c r="H1219" s="15">
        <v>5.6099999999999997E-2</v>
      </c>
      <c r="I1219" s="15">
        <v>4.0899999999999999E-2</v>
      </c>
      <c r="J1219" s="15">
        <v>1.3716381418092909</v>
      </c>
    </row>
    <row r="1220" spans="1:10" x14ac:dyDescent="0.25">
      <c r="A1220" s="2" t="s">
        <v>3656</v>
      </c>
      <c r="B1220" s="2" t="s">
        <v>3657</v>
      </c>
      <c r="C1220" s="2" t="s">
        <v>3658</v>
      </c>
      <c r="D1220" s="2" t="s">
        <v>10042</v>
      </c>
      <c r="E1220" s="15">
        <v>9.11E-2</v>
      </c>
      <c r="F1220" s="15">
        <v>8.2699999999999996E-2</v>
      </c>
      <c r="G1220" s="15">
        <v>0.2707</v>
      </c>
      <c r="H1220" s="15">
        <v>0.2301</v>
      </c>
      <c r="I1220" s="15">
        <v>5.6300000000000003E-2</v>
      </c>
      <c r="J1220" s="15">
        <v>4.0870337477797509</v>
      </c>
    </row>
    <row r="1221" spans="1:10" x14ac:dyDescent="0.25">
      <c r="A1221" s="2" t="s">
        <v>3659</v>
      </c>
      <c r="B1221" s="2" t="s">
        <v>3660</v>
      </c>
      <c r="C1221" s="2" t="s">
        <v>3661</v>
      </c>
      <c r="D1221" s="2" t="s">
        <v>10042</v>
      </c>
      <c r="E1221" s="15">
        <v>5.04E-2</v>
      </c>
      <c r="F1221" s="15">
        <v>0.125</v>
      </c>
      <c r="G1221" s="15">
        <v>0.68669999999999998</v>
      </c>
      <c r="H1221" s="15">
        <v>7.5200000000000003E-2</v>
      </c>
      <c r="I1221" s="15">
        <v>3.9E-2</v>
      </c>
      <c r="J1221" s="15">
        <v>1.928205128205128</v>
      </c>
    </row>
    <row r="1222" spans="1:10" x14ac:dyDescent="0.25">
      <c r="A1222" s="2" t="s">
        <v>3662</v>
      </c>
      <c r="B1222" s="2" t="s">
        <v>3663</v>
      </c>
      <c r="C1222" s="2" t="s">
        <v>3664</v>
      </c>
      <c r="D1222" s="2" t="s">
        <v>10042</v>
      </c>
      <c r="E1222" s="15">
        <v>0.1234</v>
      </c>
      <c r="F1222" s="15">
        <v>0.1333</v>
      </c>
      <c r="G1222" s="15">
        <v>0.35460000000000003</v>
      </c>
      <c r="H1222" s="15">
        <v>7.8E-2</v>
      </c>
      <c r="I1222" s="15">
        <v>4.4900000000000002E-2</v>
      </c>
      <c r="J1222" s="15">
        <v>1.7371937639198221</v>
      </c>
    </row>
    <row r="1223" spans="1:10" x14ac:dyDescent="0.25">
      <c r="A1223" s="2" t="s">
        <v>3665</v>
      </c>
      <c r="B1223" s="2" t="s">
        <v>3666</v>
      </c>
      <c r="C1223" s="2" t="s">
        <v>3667</v>
      </c>
      <c r="D1223" s="2" t="s">
        <v>10042</v>
      </c>
      <c r="E1223" s="15">
        <v>2.0899999999999998E-2</v>
      </c>
      <c r="F1223" s="15">
        <v>7.1599999999999997E-2</v>
      </c>
      <c r="G1223" s="15">
        <v>0.77029999999999998</v>
      </c>
      <c r="H1223" s="15">
        <v>0.18870000000000001</v>
      </c>
      <c r="I1223" s="15">
        <v>4.2900000000000001E-2</v>
      </c>
      <c r="J1223" s="15">
        <v>4.3986013986013983</v>
      </c>
    </row>
    <row r="1224" spans="1:10" x14ac:dyDescent="0.25">
      <c r="A1224" s="2" t="s">
        <v>3668</v>
      </c>
      <c r="B1224" s="2" t="s">
        <v>3669</v>
      </c>
      <c r="C1224" s="2" t="s">
        <v>3670</v>
      </c>
      <c r="D1224" s="2" t="s">
        <v>10042</v>
      </c>
      <c r="E1224" s="15">
        <v>4.6699999999999998E-2</v>
      </c>
      <c r="F1224" s="15">
        <v>8.6499999999999994E-2</v>
      </c>
      <c r="G1224" s="15">
        <v>0.58940000000000003</v>
      </c>
      <c r="H1224" s="15">
        <v>0.155</v>
      </c>
      <c r="I1224" s="15">
        <v>4.2500000000000003E-2</v>
      </c>
      <c r="J1224" s="15">
        <v>3.6470588235294121</v>
      </c>
    </row>
    <row r="1225" spans="1:10" x14ac:dyDescent="0.25">
      <c r="A1225" s="2" t="s">
        <v>3671</v>
      </c>
      <c r="B1225" s="2" t="s">
        <v>3672</v>
      </c>
      <c r="C1225" s="2" t="s">
        <v>3673</v>
      </c>
      <c r="D1225" s="2" t="s">
        <v>10042</v>
      </c>
      <c r="E1225" s="15">
        <v>0.22059999999999999</v>
      </c>
      <c r="F1225" s="15">
        <v>9.3200000000000005E-2</v>
      </c>
      <c r="G1225" s="15">
        <v>1.7899999999999999E-2</v>
      </c>
      <c r="H1225" s="15">
        <v>0.15859999999999999</v>
      </c>
      <c r="I1225" s="15">
        <v>4.3900000000000002E-2</v>
      </c>
      <c r="J1225" s="15">
        <v>3.6127562642369022</v>
      </c>
    </row>
    <row r="1226" spans="1:10" x14ac:dyDescent="0.25">
      <c r="A1226" s="2" t="s">
        <v>3674</v>
      </c>
      <c r="B1226" s="2" t="s">
        <v>3675</v>
      </c>
      <c r="C1226" s="2" t="s">
        <v>3676</v>
      </c>
      <c r="D1226" s="2" t="s">
        <v>10042</v>
      </c>
      <c r="E1226" s="15">
        <v>3.2800000000000003E-2</v>
      </c>
      <c r="F1226" s="15">
        <v>0.22900000000000001</v>
      </c>
      <c r="G1226" s="15">
        <v>0.88600000000000001</v>
      </c>
      <c r="H1226" s="15">
        <v>2.1899999999999999E-2</v>
      </c>
      <c r="I1226" s="15">
        <v>4.4299999999999999E-2</v>
      </c>
      <c r="J1226" s="15">
        <v>0.49435665914221222</v>
      </c>
    </row>
    <row r="1227" spans="1:10" x14ac:dyDescent="0.25">
      <c r="A1227" s="2" t="s">
        <v>3677</v>
      </c>
      <c r="B1227" s="2" t="s">
        <v>3678</v>
      </c>
      <c r="C1227" s="2" t="s">
        <v>3679</v>
      </c>
      <c r="D1227" s="2" t="s">
        <v>10042</v>
      </c>
      <c r="E1227" s="15">
        <v>5.3600000000000002E-2</v>
      </c>
      <c r="F1227" s="15">
        <v>9.74E-2</v>
      </c>
      <c r="G1227" s="15">
        <v>0.58179999999999998</v>
      </c>
      <c r="H1227" s="15">
        <v>0.13830000000000001</v>
      </c>
      <c r="I1227" s="15">
        <v>4.6300000000000001E-2</v>
      </c>
      <c r="J1227" s="15">
        <v>2.9870410367170628</v>
      </c>
    </row>
    <row r="1228" spans="1:10" x14ac:dyDescent="0.25">
      <c r="A1228" s="2" t="s">
        <v>3680</v>
      </c>
      <c r="B1228" s="2" t="s">
        <v>3681</v>
      </c>
      <c r="C1228" s="2" t="s">
        <v>3682</v>
      </c>
      <c r="D1228" s="2" t="s">
        <v>10042</v>
      </c>
      <c r="E1228" s="15">
        <v>7.4099999999999999E-2</v>
      </c>
      <c r="F1228" s="15">
        <v>9.7299999999999998E-2</v>
      </c>
      <c r="G1228" s="15">
        <v>0.44629999999999997</v>
      </c>
      <c r="H1228" s="15">
        <v>0.13739999999999999</v>
      </c>
      <c r="I1228" s="15">
        <v>4.1300000000000003E-2</v>
      </c>
      <c r="J1228" s="15">
        <v>3.3268765133171909</v>
      </c>
    </row>
    <row r="1229" spans="1:10" x14ac:dyDescent="0.25">
      <c r="A1229" s="2" t="s">
        <v>3683</v>
      </c>
      <c r="B1229" s="2" t="s">
        <v>3684</v>
      </c>
      <c r="C1229" s="2" t="s">
        <v>3685</v>
      </c>
      <c r="D1229" s="2" t="s">
        <v>10042</v>
      </c>
      <c r="E1229" s="15">
        <v>0.13039999999999999</v>
      </c>
      <c r="F1229" s="15">
        <v>0.1323</v>
      </c>
      <c r="G1229" s="15">
        <v>0.32440000000000002</v>
      </c>
      <c r="H1229" s="15">
        <v>7.6600000000000001E-2</v>
      </c>
      <c r="I1229" s="15">
        <v>4.4900000000000002E-2</v>
      </c>
      <c r="J1229" s="15">
        <v>1.7060133630289529</v>
      </c>
    </row>
    <row r="1230" spans="1:10" x14ac:dyDescent="0.25">
      <c r="A1230" s="2" t="s">
        <v>3686</v>
      </c>
      <c r="B1230" s="2" t="s">
        <v>3687</v>
      </c>
      <c r="C1230" s="2" t="s">
        <v>3688</v>
      </c>
      <c r="D1230" s="2" t="s">
        <v>10042</v>
      </c>
      <c r="E1230" s="15">
        <v>8.6199999999999999E-2</v>
      </c>
      <c r="F1230" s="15">
        <v>9.1600000000000001E-2</v>
      </c>
      <c r="G1230" s="15">
        <v>0.3463</v>
      </c>
      <c r="H1230" s="15">
        <v>0.1472</v>
      </c>
      <c r="I1230" s="15">
        <v>4.6600000000000003E-2</v>
      </c>
      <c r="J1230" s="15">
        <v>3.158798283261802</v>
      </c>
    </row>
    <row r="1231" spans="1:10" x14ac:dyDescent="0.25">
      <c r="A1231" s="2" t="s">
        <v>3689</v>
      </c>
      <c r="B1231" s="2" t="s">
        <v>3690</v>
      </c>
      <c r="C1231" s="2" t="s">
        <v>3691</v>
      </c>
      <c r="D1231" s="2" t="s">
        <v>10042</v>
      </c>
      <c r="E1231" s="15">
        <v>0.23300000000000001</v>
      </c>
      <c r="F1231" s="15">
        <v>0.10589999999999999</v>
      </c>
      <c r="G1231" s="15">
        <v>2.7799999999999998E-2</v>
      </c>
      <c r="H1231" s="15">
        <v>0.1502</v>
      </c>
      <c r="I1231" s="15">
        <v>3.8399999999999997E-2</v>
      </c>
      <c r="J1231" s="15">
        <v>3.911458333333333</v>
      </c>
    </row>
    <row r="1232" spans="1:10" x14ac:dyDescent="0.25">
      <c r="A1232" s="2" t="s">
        <v>3692</v>
      </c>
      <c r="B1232" s="2" t="s">
        <v>3693</v>
      </c>
      <c r="C1232" s="2" t="s">
        <v>3694</v>
      </c>
      <c r="D1232" s="2" t="s">
        <v>10042</v>
      </c>
      <c r="E1232" s="15">
        <v>6.4500000000000002E-2</v>
      </c>
      <c r="F1232" s="15">
        <v>0.1041</v>
      </c>
      <c r="G1232" s="15">
        <v>0.5353</v>
      </c>
      <c r="H1232" s="15">
        <v>0.11360000000000001</v>
      </c>
      <c r="I1232" s="15">
        <v>4.87E-2</v>
      </c>
      <c r="J1232" s="15">
        <v>2.3326488706365498</v>
      </c>
    </row>
    <row r="1233" spans="1:10" x14ac:dyDescent="0.25">
      <c r="A1233" s="2" t="s">
        <v>3695</v>
      </c>
      <c r="B1233" s="2" t="s">
        <v>3696</v>
      </c>
      <c r="C1233" s="2" t="s">
        <v>3697</v>
      </c>
      <c r="D1233" s="2" t="s">
        <v>10042</v>
      </c>
      <c r="E1233" s="15">
        <v>9.2499999999999999E-2</v>
      </c>
      <c r="F1233" s="15">
        <v>8.8999999999999996E-2</v>
      </c>
      <c r="G1233" s="15">
        <v>0.29870000000000002</v>
      </c>
      <c r="H1233" s="15">
        <v>0.18479999999999999</v>
      </c>
      <c r="I1233" s="15">
        <v>5.2900000000000003E-2</v>
      </c>
      <c r="J1233" s="15">
        <v>3.4933837429111532</v>
      </c>
    </row>
    <row r="1234" spans="1:10" x14ac:dyDescent="0.25">
      <c r="A1234" s="2" t="s">
        <v>3698</v>
      </c>
      <c r="B1234" s="2" t="s">
        <v>3699</v>
      </c>
      <c r="C1234" s="2" t="s">
        <v>3700</v>
      </c>
      <c r="D1234" s="2" t="s">
        <v>10042</v>
      </c>
      <c r="E1234" s="15">
        <v>0.1323</v>
      </c>
      <c r="F1234" s="15">
        <v>0.1125</v>
      </c>
      <c r="G1234" s="15">
        <v>0.23930000000000001</v>
      </c>
      <c r="H1234" s="15">
        <v>9.3100000000000002E-2</v>
      </c>
      <c r="I1234" s="15">
        <v>4.1099999999999998E-2</v>
      </c>
      <c r="J1234" s="15">
        <v>2.2652068126520679</v>
      </c>
    </row>
    <row r="1235" spans="1:10" x14ac:dyDescent="0.25">
      <c r="A1235" s="2" t="s">
        <v>3701</v>
      </c>
      <c r="B1235" s="2" t="s">
        <v>3702</v>
      </c>
      <c r="C1235" s="2" t="s">
        <v>3703</v>
      </c>
      <c r="D1235" s="2" t="s">
        <v>10042</v>
      </c>
      <c r="E1235" s="15">
        <v>0.1163</v>
      </c>
      <c r="F1235" s="15">
        <v>7.4700000000000003E-2</v>
      </c>
      <c r="G1235" s="15">
        <v>0.1193</v>
      </c>
      <c r="H1235" s="15">
        <v>0.19919999999999999</v>
      </c>
      <c r="I1235" s="15">
        <v>4.5699999999999998E-2</v>
      </c>
      <c r="J1235" s="15">
        <v>4.3588621444201312</v>
      </c>
    </row>
    <row r="1236" spans="1:10" x14ac:dyDescent="0.25">
      <c r="A1236" s="2" t="s">
        <v>3704</v>
      </c>
      <c r="B1236" s="2" t="s">
        <v>3705</v>
      </c>
      <c r="C1236" s="2" t="s">
        <v>3706</v>
      </c>
      <c r="D1236" s="2" t="s">
        <v>10042</v>
      </c>
      <c r="E1236" s="15">
        <v>0.12859999999999999</v>
      </c>
      <c r="F1236" s="15">
        <v>0.14799999999999999</v>
      </c>
      <c r="G1236" s="15">
        <v>0.38500000000000001</v>
      </c>
      <c r="H1236" s="15">
        <v>4.7300000000000002E-2</v>
      </c>
      <c r="I1236" s="15">
        <v>4.2200000000000001E-2</v>
      </c>
      <c r="J1236" s="15">
        <v>1.12085308056872</v>
      </c>
    </row>
    <row r="1237" spans="1:10" x14ac:dyDescent="0.25">
      <c r="A1237" s="2" t="s">
        <v>3707</v>
      </c>
      <c r="B1237" s="2" t="s">
        <v>3708</v>
      </c>
      <c r="C1237" s="2" t="s">
        <v>3709</v>
      </c>
      <c r="D1237" s="2" t="s">
        <v>10042</v>
      </c>
      <c r="E1237" s="15">
        <v>0.14549999999999999</v>
      </c>
      <c r="F1237" s="15">
        <v>9.4899999999999998E-2</v>
      </c>
      <c r="G1237" s="15">
        <v>0.12529999999999999</v>
      </c>
      <c r="H1237" s="15">
        <v>0.14849999999999999</v>
      </c>
      <c r="I1237" s="15">
        <v>0.04</v>
      </c>
      <c r="J1237" s="15">
        <v>3.7124999999999999</v>
      </c>
    </row>
    <row r="1238" spans="1:10" x14ac:dyDescent="0.25">
      <c r="A1238" s="2" t="s">
        <v>3710</v>
      </c>
      <c r="B1238" s="2" t="s">
        <v>3711</v>
      </c>
      <c r="C1238" s="2" t="s">
        <v>3712</v>
      </c>
      <c r="D1238" s="2" t="s">
        <v>10042</v>
      </c>
      <c r="E1238" s="15">
        <v>0.29920000000000002</v>
      </c>
      <c r="F1238" s="15">
        <v>0.189</v>
      </c>
      <c r="G1238" s="15">
        <v>0.1134</v>
      </c>
      <c r="H1238" s="15">
        <v>5.3900000000000003E-2</v>
      </c>
      <c r="I1238" s="15">
        <v>4.1599999999999998E-2</v>
      </c>
      <c r="J1238" s="15">
        <v>1.2956730769230771</v>
      </c>
    </row>
    <row r="1239" spans="1:10" x14ac:dyDescent="0.25">
      <c r="A1239" s="2" t="s">
        <v>3713</v>
      </c>
      <c r="B1239" s="2" t="s">
        <v>3714</v>
      </c>
      <c r="C1239" s="2" t="s">
        <v>3715</v>
      </c>
      <c r="D1239" s="2" t="s">
        <v>10042</v>
      </c>
      <c r="E1239" s="15">
        <v>0.13039999999999999</v>
      </c>
      <c r="F1239" s="15">
        <v>0.1162</v>
      </c>
      <c r="G1239" s="15">
        <v>0.26200000000000001</v>
      </c>
      <c r="H1239" s="15">
        <v>8.6699999999999999E-2</v>
      </c>
      <c r="I1239" s="15">
        <v>4.2900000000000001E-2</v>
      </c>
      <c r="J1239" s="15">
        <v>2.0209790209790208</v>
      </c>
    </row>
    <row r="1240" spans="1:10" x14ac:dyDescent="0.25">
      <c r="A1240" s="2" t="s">
        <v>3716</v>
      </c>
      <c r="B1240" s="2" t="s">
        <v>3717</v>
      </c>
      <c r="C1240" s="2" t="s">
        <v>3718</v>
      </c>
      <c r="D1240" s="2" t="s">
        <v>10042</v>
      </c>
      <c r="E1240" s="15">
        <v>4.8099999999999997E-2</v>
      </c>
      <c r="F1240" s="15">
        <v>0.1004</v>
      </c>
      <c r="G1240" s="15">
        <v>0.6321</v>
      </c>
      <c r="H1240" s="15">
        <v>0.1447</v>
      </c>
      <c r="I1240" s="15">
        <v>4.5499999999999999E-2</v>
      </c>
      <c r="J1240" s="15">
        <v>3.18021978021978</v>
      </c>
    </row>
    <row r="1241" spans="1:10" x14ac:dyDescent="0.25">
      <c r="A1241" s="2" t="s">
        <v>3719</v>
      </c>
      <c r="B1241" s="2" t="s">
        <v>3720</v>
      </c>
      <c r="C1241" s="2" t="s">
        <v>3721</v>
      </c>
      <c r="D1241" s="2" t="s">
        <v>10042</v>
      </c>
      <c r="E1241" s="15"/>
      <c r="F1241" s="15"/>
      <c r="G1241" s="15"/>
      <c r="H1241" s="15"/>
      <c r="I1241" s="15"/>
      <c r="J1241" s="15"/>
    </row>
    <row r="1242" spans="1:10" x14ac:dyDescent="0.25">
      <c r="A1242" s="2" t="s">
        <v>3722</v>
      </c>
      <c r="B1242" s="2" t="s">
        <v>3723</v>
      </c>
      <c r="C1242" s="2" t="s">
        <v>3724</v>
      </c>
      <c r="D1242" s="2" t="s">
        <v>10042</v>
      </c>
      <c r="E1242" s="15">
        <v>-0.16769999999999999</v>
      </c>
      <c r="F1242" s="15">
        <v>0.35659999999999997</v>
      </c>
      <c r="G1242" s="15">
        <v>0.6381</v>
      </c>
      <c r="H1242" s="15">
        <v>1.7299999999999999E-2</v>
      </c>
      <c r="I1242" s="15">
        <v>4.1599999999999998E-2</v>
      </c>
      <c r="J1242" s="15">
        <v>0.41586538461538458</v>
      </c>
    </row>
    <row r="1243" spans="1:10" x14ac:dyDescent="0.25">
      <c r="A1243" s="2" t="s">
        <v>3725</v>
      </c>
      <c r="B1243" s="2" t="s">
        <v>3726</v>
      </c>
      <c r="C1243" s="2" t="s">
        <v>3727</v>
      </c>
      <c r="D1243" s="2" t="s">
        <v>10042</v>
      </c>
      <c r="E1243" s="15">
        <v>-6.6299999999999998E-2</v>
      </c>
      <c r="F1243" s="15">
        <v>0.106</v>
      </c>
      <c r="G1243" s="15">
        <v>0.53159999999999996</v>
      </c>
      <c r="H1243" s="15">
        <v>0.1051</v>
      </c>
      <c r="I1243" s="15">
        <v>3.9699999999999999E-2</v>
      </c>
      <c r="J1243" s="15">
        <v>2.6473551637279602</v>
      </c>
    </row>
    <row r="1244" spans="1:10" x14ac:dyDescent="0.25">
      <c r="A1244" s="2" t="s">
        <v>3728</v>
      </c>
      <c r="B1244" s="2" t="s">
        <v>3729</v>
      </c>
      <c r="C1244" s="2" t="s">
        <v>3730</v>
      </c>
      <c r="D1244" s="2" t="s">
        <v>10042</v>
      </c>
      <c r="E1244" s="15">
        <v>0.152</v>
      </c>
      <c r="F1244" s="15">
        <v>0.08</v>
      </c>
      <c r="G1244" s="15">
        <v>5.7500000000000002E-2</v>
      </c>
      <c r="H1244" s="15">
        <v>0.2102</v>
      </c>
      <c r="I1244" s="15">
        <v>4.41E-2</v>
      </c>
      <c r="J1244" s="15">
        <v>4.766439909297052</v>
      </c>
    </row>
    <row r="1245" spans="1:10" x14ac:dyDescent="0.25">
      <c r="A1245" s="2" t="s">
        <v>3731</v>
      </c>
      <c r="B1245" s="2" t="s">
        <v>3732</v>
      </c>
      <c r="C1245" s="2" t="s">
        <v>3733</v>
      </c>
      <c r="D1245" s="2" t="s">
        <v>10042</v>
      </c>
      <c r="E1245" s="15">
        <v>-2.9000000000000001E-2</v>
      </c>
      <c r="F1245" s="15">
        <v>8.6499999999999994E-2</v>
      </c>
      <c r="G1245" s="15">
        <v>0.73740000000000006</v>
      </c>
      <c r="H1245" s="15">
        <v>0.16969999999999999</v>
      </c>
      <c r="I1245" s="15">
        <v>4.2799999999999998E-2</v>
      </c>
      <c r="J1245" s="15">
        <v>3.9649532710280369</v>
      </c>
    </row>
    <row r="1246" spans="1:10" x14ac:dyDescent="0.25">
      <c r="A1246" s="2" t="s">
        <v>3734</v>
      </c>
      <c r="B1246" s="2" t="s">
        <v>3735</v>
      </c>
      <c r="C1246" s="2" t="s">
        <v>3736</v>
      </c>
      <c r="D1246" s="2" t="s">
        <v>10042</v>
      </c>
      <c r="E1246" s="15">
        <v>0.1928</v>
      </c>
      <c r="F1246" s="15">
        <v>9.6299999999999997E-2</v>
      </c>
      <c r="G1246" s="15">
        <v>4.53E-2</v>
      </c>
      <c r="H1246" s="15">
        <v>0.12</v>
      </c>
      <c r="I1246" s="15">
        <v>4.8599999999999997E-2</v>
      </c>
      <c r="J1246" s="15">
        <v>2.4691358024691361</v>
      </c>
    </row>
    <row r="1247" spans="1:10" x14ac:dyDescent="0.25">
      <c r="A1247" s="2" t="s">
        <v>3737</v>
      </c>
      <c r="B1247" s="2" t="s">
        <v>3738</v>
      </c>
      <c r="C1247" s="2" t="s">
        <v>3739</v>
      </c>
      <c r="D1247" s="2" t="s">
        <v>10042</v>
      </c>
      <c r="E1247" s="15">
        <v>0.222</v>
      </c>
      <c r="F1247" s="15">
        <v>9.7100000000000006E-2</v>
      </c>
      <c r="G1247" s="15">
        <v>2.2200000000000001E-2</v>
      </c>
      <c r="H1247" s="15">
        <v>0.1239</v>
      </c>
      <c r="I1247" s="15">
        <v>4.2299999999999997E-2</v>
      </c>
      <c r="J1247" s="15">
        <v>2.9290780141843968</v>
      </c>
    </row>
    <row r="1248" spans="1:10" x14ac:dyDescent="0.25">
      <c r="A1248" s="2" t="s">
        <v>3740</v>
      </c>
      <c r="B1248" s="2" t="s">
        <v>3741</v>
      </c>
      <c r="C1248" s="2" t="s">
        <v>3742</v>
      </c>
      <c r="D1248" s="2" t="s">
        <v>10042</v>
      </c>
      <c r="E1248" s="15">
        <v>-2.3699999999999999E-2</v>
      </c>
      <c r="F1248" s="15">
        <v>9.9400000000000002E-2</v>
      </c>
      <c r="G1248" s="15">
        <v>0.81159999999999999</v>
      </c>
      <c r="H1248" s="15">
        <v>0.12330000000000001</v>
      </c>
      <c r="I1248" s="15">
        <v>4.9200000000000001E-2</v>
      </c>
      <c r="J1248" s="15">
        <v>2.50609756097561</v>
      </c>
    </row>
    <row r="1249" spans="1:10" x14ac:dyDescent="0.25">
      <c r="A1249" s="2" t="s">
        <v>3743</v>
      </c>
      <c r="B1249" s="2" t="s">
        <v>3744</v>
      </c>
      <c r="C1249" s="2" t="s">
        <v>3745</v>
      </c>
      <c r="D1249" s="2" t="s">
        <v>10042</v>
      </c>
      <c r="E1249" s="15">
        <v>0.16039999999999999</v>
      </c>
      <c r="F1249" s="15">
        <v>0.14710000000000001</v>
      </c>
      <c r="G1249" s="15">
        <v>0.2757</v>
      </c>
      <c r="H1249" s="15">
        <v>6.1499999999999999E-2</v>
      </c>
      <c r="I1249" s="15">
        <v>3.8100000000000002E-2</v>
      </c>
      <c r="J1249" s="15">
        <v>1.614173228346456</v>
      </c>
    </row>
    <row r="1250" spans="1:10" x14ac:dyDescent="0.25">
      <c r="A1250" s="2" t="s">
        <v>3746</v>
      </c>
      <c r="B1250" s="2" t="s">
        <v>3747</v>
      </c>
      <c r="C1250" s="2" t="s">
        <v>3748</v>
      </c>
      <c r="D1250" s="2" t="s">
        <v>10042</v>
      </c>
      <c r="E1250" s="15">
        <v>0.21870000000000001</v>
      </c>
      <c r="F1250" s="15">
        <v>0.1087</v>
      </c>
      <c r="G1250" s="15">
        <v>4.4200000000000003E-2</v>
      </c>
      <c r="H1250" s="15">
        <v>0.12889999999999999</v>
      </c>
      <c r="I1250" s="15">
        <v>4.3299999999999998E-2</v>
      </c>
      <c r="J1250" s="15">
        <v>2.9769053117782911</v>
      </c>
    </row>
    <row r="1251" spans="1:10" x14ac:dyDescent="0.25">
      <c r="A1251" s="2" t="s">
        <v>3749</v>
      </c>
      <c r="B1251" s="2" t="s">
        <v>3750</v>
      </c>
      <c r="C1251" s="2" t="s">
        <v>3751</v>
      </c>
      <c r="D1251" s="2" t="s">
        <v>10042</v>
      </c>
      <c r="E1251" s="15">
        <v>5.1900000000000002E-2</v>
      </c>
      <c r="F1251" s="15">
        <v>0.13350000000000001</v>
      </c>
      <c r="G1251" s="15">
        <v>0.69730000000000003</v>
      </c>
      <c r="H1251" s="15">
        <v>9.6199999999999994E-2</v>
      </c>
      <c r="I1251" s="15">
        <v>4.3099999999999999E-2</v>
      </c>
      <c r="J1251" s="15">
        <v>2.2320185614849191</v>
      </c>
    </row>
    <row r="1252" spans="1:10" x14ac:dyDescent="0.25">
      <c r="A1252" s="2" t="s">
        <v>3752</v>
      </c>
      <c r="B1252" s="2" t="s">
        <v>3753</v>
      </c>
      <c r="C1252" s="2" t="s">
        <v>3754</v>
      </c>
      <c r="D1252" s="2" t="s">
        <v>10042</v>
      </c>
      <c r="E1252" s="15">
        <v>0.18290000000000001</v>
      </c>
      <c r="F1252" s="15">
        <v>0.1119</v>
      </c>
      <c r="G1252" s="15">
        <v>0.1021</v>
      </c>
      <c r="H1252" s="15">
        <v>0.1242</v>
      </c>
      <c r="I1252" s="15">
        <v>4.5100000000000001E-2</v>
      </c>
      <c r="J1252" s="15">
        <v>2.7538802660753881</v>
      </c>
    </row>
    <row r="1253" spans="1:10" x14ac:dyDescent="0.25">
      <c r="A1253" s="2" t="s">
        <v>3755</v>
      </c>
      <c r="B1253" s="2" t="s">
        <v>3756</v>
      </c>
      <c r="C1253" s="2" t="s">
        <v>3757</v>
      </c>
      <c r="D1253" s="2" t="s">
        <v>10042</v>
      </c>
      <c r="E1253" s="15">
        <v>0.13289999999999999</v>
      </c>
      <c r="F1253" s="15">
        <v>0.16300000000000001</v>
      </c>
      <c r="G1253" s="15">
        <v>0.41520000000000001</v>
      </c>
      <c r="H1253" s="15">
        <v>5.8999999999999997E-2</v>
      </c>
      <c r="I1253" s="15">
        <v>3.6499999999999998E-2</v>
      </c>
      <c r="J1253" s="15">
        <v>1.616438356164384</v>
      </c>
    </row>
    <row r="1254" spans="1:10" x14ac:dyDescent="0.25">
      <c r="A1254" s="2" t="s">
        <v>3758</v>
      </c>
      <c r="B1254" s="2" t="s">
        <v>3759</v>
      </c>
      <c r="C1254" s="2" t="s">
        <v>3760</v>
      </c>
      <c r="D1254" s="2" t="s">
        <v>10042</v>
      </c>
      <c r="E1254" s="15">
        <v>0.24249999999999999</v>
      </c>
      <c r="F1254" s="15">
        <v>0.2293</v>
      </c>
      <c r="G1254" s="15">
        <v>0.29020000000000001</v>
      </c>
      <c r="H1254" s="15">
        <v>3.32E-2</v>
      </c>
      <c r="I1254" s="15">
        <v>4.0500000000000001E-2</v>
      </c>
      <c r="J1254" s="15">
        <v>0.81975308641975309</v>
      </c>
    </row>
    <row r="1255" spans="1:10" x14ac:dyDescent="0.25">
      <c r="A1255" s="2" t="s">
        <v>3761</v>
      </c>
      <c r="B1255" s="2" t="s">
        <v>3762</v>
      </c>
      <c r="C1255" s="2" t="s">
        <v>3763</v>
      </c>
      <c r="D1255" s="2" t="s">
        <v>10042</v>
      </c>
      <c r="E1255" s="15">
        <v>7.7200000000000005E-2</v>
      </c>
      <c r="F1255" s="15">
        <v>7.6200000000000004E-2</v>
      </c>
      <c r="G1255" s="15">
        <v>0.31119999999999998</v>
      </c>
      <c r="H1255" s="15">
        <v>0.1953</v>
      </c>
      <c r="I1255" s="15">
        <v>4.4900000000000002E-2</v>
      </c>
      <c r="J1255" s="15">
        <v>4.3496659242761693</v>
      </c>
    </row>
    <row r="1256" spans="1:10" x14ac:dyDescent="0.25">
      <c r="A1256" s="2" t="s">
        <v>3764</v>
      </c>
      <c r="B1256" s="2" t="s">
        <v>3765</v>
      </c>
      <c r="C1256" s="2" t="s">
        <v>3766</v>
      </c>
      <c r="D1256" s="2" t="s">
        <v>10042</v>
      </c>
      <c r="E1256" s="15">
        <v>6.8199999999999997E-2</v>
      </c>
      <c r="F1256" s="15">
        <v>9.2399999999999996E-2</v>
      </c>
      <c r="G1256" s="15">
        <v>0.46079999999999999</v>
      </c>
      <c r="H1256" s="15">
        <v>0.14779999999999999</v>
      </c>
      <c r="I1256" s="15">
        <v>4.5600000000000002E-2</v>
      </c>
      <c r="J1256" s="15">
        <v>3.2412280701754379</v>
      </c>
    </row>
    <row r="1257" spans="1:10" x14ac:dyDescent="0.25">
      <c r="A1257" s="2" t="s">
        <v>3767</v>
      </c>
      <c r="B1257" s="2" t="s">
        <v>3768</v>
      </c>
      <c r="C1257" s="2" t="s">
        <v>3769</v>
      </c>
      <c r="D1257" s="2" t="s">
        <v>10042</v>
      </c>
      <c r="E1257" s="15">
        <v>0.1605</v>
      </c>
      <c r="F1257" s="15">
        <v>9.01E-2</v>
      </c>
      <c r="G1257" s="15">
        <v>7.4800000000000005E-2</v>
      </c>
      <c r="H1257" s="15">
        <v>0.1658</v>
      </c>
      <c r="I1257" s="15">
        <v>4.3299999999999998E-2</v>
      </c>
      <c r="J1257" s="15">
        <v>3.8290993071593542</v>
      </c>
    </row>
    <row r="1258" spans="1:10" x14ac:dyDescent="0.25">
      <c r="A1258" s="2" t="s">
        <v>3770</v>
      </c>
      <c r="B1258" s="2" t="s">
        <v>3771</v>
      </c>
      <c r="C1258" s="2" t="s">
        <v>3772</v>
      </c>
      <c r="D1258" s="2" t="s">
        <v>10042</v>
      </c>
      <c r="E1258" s="15">
        <v>0.2288</v>
      </c>
      <c r="F1258" s="15">
        <v>0.14849999999999999</v>
      </c>
      <c r="G1258" s="15">
        <v>0.12330000000000001</v>
      </c>
      <c r="H1258" s="15">
        <v>6.9500000000000006E-2</v>
      </c>
      <c r="I1258" s="15">
        <v>4.5499999999999999E-2</v>
      </c>
      <c r="J1258" s="15">
        <v>1.527472527472528</v>
      </c>
    </row>
    <row r="1259" spans="1:10" x14ac:dyDescent="0.25">
      <c r="A1259" s="2" t="s">
        <v>3773</v>
      </c>
      <c r="B1259" s="2" t="s">
        <v>3774</v>
      </c>
      <c r="C1259" s="2" t="s">
        <v>3775</v>
      </c>
      <c r="D1259" s="2" t="s">
        <v>10042</v>
      </c>
      <c r="E1259" s="15">
        <v>9.2999999999999999E-2</v>
      </c>
      <c r="F1259" s="15">
        <v>0.1055</v>
      </c>
      <c r="G1259" s="15">
        <v>0.378</v>
      </c>
      <c r="H1259" s="15">
        <v>0.1056</v>
      </c>
      <c r="I1259" s="15">
        <v>4.3900000000000002E-2</v>
      </c>
      <c r="J1259" s="15">
        <v>2.405466970387244</v>
      </c>
    </row>
    <row r="1260" spans="1:10" x14ac:dyDescent="0.25">
      <c r="A1260" s="2" t="s">
        <v>3776</v>
      </c>
      <c r="B1260" s="2" t="s">
        <v>3777</v>
      </c>
      <c r="C1260" s="2" t="s">
        <v>3778</v>
      </c>
      <c r="D1260" s="2" t="s">
        <v>10042</v>
      </c>
      <c r="E1260" s="15">
        <v>0.155</v>
      </c>
      <c r="F1260" s="15">
        <v>0.1104</v>
      </c>
      <c r="G1260" s="15">
        <v>0.16039999999999999</v>
      </c>
      <c r="H1260" s="15">
        <v>9.4399999999999998E-2</v>
      </c>
      <c r="I1260" s="15">
        <v>4.7300000000000002E-2</v>
      </c>
      <c r="J1260" s="15">
        <v>1.995771670190275</v>
      </c>
    </row>
    <row r="1261" spans="1:10" x14ac:dyDescent="0.25">
      <c r="A1261" s="2" t="s">
        <v>3779</v>
      </c>
      <c r="B1261" s="2" t="s">
        <v>3780</v>
      </c>
      <c r="C1261" s="2" t="s">
        <v>3781</v>
      </c>
      <c r="D1261" s="2" t="s">
        <v>10042</v>
      </c>
      <c r="E1261" s="15">
        <v>0.1394</v>
      </c>
      <c r="F1261" s="15">
        <v>9.2200000000000004E-2</v>
      </c>
      <c r="G1261" s="15">
        <v>0.1308</v>
      </c>
      <c r="H1261" s="15">
        <v>0.15459999999999999</v>
      </c>
      <c r="I1261" s="15">
        <v>4.7199999999999999E-2</v>
      </c>
      <c r="J1261" s="15">
        <v>3.2754237288135588</v>
      </c>
    </row>
    <row r="1262" spans="1:10" x14ac:dyDescent="0.25">
      <c r="A1262" s="2" t="s">
        <v>3782</v>
      </c>
      <c r="B1262" s="2" t="s">
        <v>3783</v>
      </c>
      <c r="C1262" s="2" t="s">
        <v>3784</v>
      </c>
      <c r="D1262" s="2" t="s">
        <v>10042</v>
      </c>
      <c r="E1262" s="15">
        <v>-5.0500000000000003E-2</v>
      </c>
      <c r="F1262" s="15">
        <v>0.1125</v>
      </c>
      <c r="G1262" s="15">
        <v>0.65329999999999999</v>
      </c>
      <c r="H1262" s="15">
        <v>0.1009</v>
      </c>
      <c r="I1262" s="15">
        <v>4.4299999999999999E-2</v>
      </c>
      <c r="J1262" s="15">
        <v>2.2776523702031599</v>
      </c>
    </row>
    <row r="1263" spans="1:10" x14ac:dyDescent="0.25">
      <c r="A1263" s="2" t="s">
        <v>3785</v>
      </c>
      <c r="B1263" s="2" t="s">
        <v>3786</v>
      </c>
      <c r="C1263" s="2" t="s">
        <v>3787</v>
      </c>
      <c r="D1263" s="2" t="s">
        <v>10042</v>
      </c>
      <c r="E1263" s="15">
        <v>0.21540000000000001</v>
      </c>
      <c r="F1263" s="15">
        <v>0.16830000000000001</v>
      </c>
      <c r="G1263" s="15">
        <v>0.20069999999999999</v>
      </c>
      <c r="H1263" s="15">
        <v>6.7000000000000004E-2</v>
      </c>
      <c r="I1263" s="15">
        <v>4.4400000000000002E-2</v>
      </c>
      <c r="J1263" s="15">
        <v>1.5090090090090089</v>
      </c>
    </row>
    <row r="1264" spans="1:10" x14ac:dyDescent="0.25">
      <c r="A1264" s="2" t="s">
        <v>3788</v>
      </c>
      <c r="B1264" s="2" t="s">
        <v>3789</v>
      </c>
      <c r="C1264" s="2" t="s">
        <v>3790</v>
      </c>
      <c r="D1264" s="2" t="s">
        <v>10042</v>
      </c>
      <c r="E1264" s="15">
        <v>8.9599999999999999E-2</v>
      </c>
      <c r="F1264" s="15">
        <v>0.105</v>
      </c>
      <c r="G1264" s="15">
        <v>0.39369999999999999</v>
      </c>
      <c r="H1264" s="15">
        <v>0.13850000000000001</v>
      </c>
      <c r="I1264" s="15">
        <v>4.2099999999999999E-2</v>
      </c>
      <c r="J1264" s="15">
        <v>3.2897862232779098</v>
      </c>
    </row>
    <row r="1265" spans="1:10" x14ac:dyDescent="0.25">
      <c r="A1265" s="2" t="s">
        <v>3791</v>
      </c>
      <c r="B1265" s="2" t="s">
        <v>3792</v>
      </c>
      <c r="C1265" s="2" t="s">
        <v>3793</v>
      </c>
      <c r="D1265" s="2" t="s">
        <v>10042</v>
      </c>
      <c r="E1265" s="15">
        <v>-8.2000000000000007E-3</v>
      </c>
      <c r="F1265" s="15">
        <v>9.8000000000000004E-2</v>
      </c>
      <c r="G1265" s="15">
        <v>0.93320000000000003</v>
      </c>
      <c r="H1265" s="15">
        <v>0.12709999999999999</v>
      </c>
      <c r="I1265" s="15">
        <v>4.7399999999999998E-2</v>
      </c>
      <c r="J1265" s="15">
        <v>2.6814345991561179</v>
      </c>
    </row>
    <row r="1266" spans="1:10" x14ac:dyDescent="0.25">
      <c r="A1266" s="2" t="s">
        <v>3794</v>
      </c>
      <c r="B1266" s="2" t="s">
        <v>3795</v>
      </c>
      <c r="C1266" s="2" t="s">
        <v>3796</v>
      </c>
      <c r="D1266" s="2" t="s">
        <v>10042</v>
      </c>
      <c r="E1266" s="15">
        <v>3.5200000000000002E-2</v>
      </c>
      <c r="F1266" s="15">
        <v>8.7999999999999995E-2</v>
      </c>
      <c r="G1266" s="15">
        <v>0.68940000000000001</v>
      </c>
      <c r="H1266" s="15">
        <v>0.1638</v>
      </c>
      <c r="I1266" s="15">
        <v>5.11E-2</v>
      </c>
      <c r="J1266" s="15">
        <v>3.205479452054794</v>
      </c>
    </row>
    <row r="1267" spans="1:10" x14ac:dyDescent="0.25">
      <c r="A1267" s="2" t="s">
        <v>3797</v>
      </c>
      <c r="B1267" s="2" t="s">
        <v>3798</v>
      </c>
      <c r="C1267" s="2" t="s">
        <v>3799</v>
      </c>
      <c r="D1267" s="2" t="s">
        <v>10042</v>
      </c>
      <c r="E1267" s="15">
        <v>6.4000000000000003E-3</v>
      </c>
      <c r="F1267" s="15">
        <v>0.1111</v>
      </c>
      <c r="G1267" s="15">
        <v>0.95430000000000004</v>
      </c>
      <c r="H1267" s="15">
        <v>0.1017</v>
      </c>
      <c r="I1267" s="15">
        <v>4.0800000000000003E-2</v>
      </c>
      <c r="J1267" s="15">
        <v>2.492647058823529</v>
      </c>
    </row>
    <row r="1268" spans="1:10" x14ac:dyDescent="0.25">
      <c r="A1268" s="2" t="s">
        <v>3800</v>
      </c>
      <c r="B1268" s="2" t="s">
        <v>3801</v>
      </c>
      <c r="C1268" s="2" t="s">
        <v>3802</v>
      </c>
      <c r="D1268" s="2" t="s">
        <v>10042</v>
      </c>
      <c r="E1268" s="15">
        <v>6.8400000000000002E-2</v>
      </c>
      <c r="F1268" s="15">
        <v>0.1022</v>
      </c>
      <c r="G1268" s="15">
        <v>0.503</v>
      </c>
      <c r="H1268" s="15">
        <v>0.14319999999999999</v>
      </c>
      <c r="I1268" s="15">
        <v>4.5100000000000001E-2</v>
      </c>
      <c r="J1268" s="15">
        <v>3.1751662971175159</v>
      </c>
    </row>
    <row r="1269" spans="1:10" x14ac:dyDescent="0.25">
      <c r="A1269" s="2" t="s">
        <v>3803</v>
      </c>
      <c r="B1269" s="2" t="s">
        <v>3804</v>
      </c>
      <c r="C1269" s="2" t="s">
        <v>3805</v>
      </c>
      <c r="D1269" s="2" t="s">
        <v>10042</v>
      </c>
      <c r="E1269" s="15">
        <v>9.4799999999999995E-2</v>
      </c>
      <c r="F1269" s="15">
        <v>8.9599999999999999E-2</v>
      </c>
      <c r="G1269" s="15">
        <v>0.29010000000000002</v>
      </c>
      <c r="H1269" s="15">
        <v>0.1736</v>
      </c>
      <c r="I1269" s="15">
        <v>5.2499999999999998E-2</v>
      </c>
      <c r="J1269" s="15">
        <v>3.3066666666666671</v>
      </c>
    </row>
    <row r="1270" spans="1:10" x14ac:dyDescent="0.25">
      <c r="A1270" s="2" t="s">
        <v>3806</v>
      </c>
      <c r="B1270" s="2" t="s">
        <v>3807</v>
      </c>
      <c r="C1270" s="2" t="s">
        <v>3808</v>
      </c>
      <c r="D1270" s="2" t="s">
        <v>10042</v>
      </c>
      <c r="E1270" s="15">
        <v>0.12089999999999999</v>
      </c>
      <c r="F1270" s="15">
        <v>0.1053</v>
      </c>
      <c r="G1270" s="15">
        <v>0.25080000000000002</v>
      </c>
      <c r="H1270" s="15">
        <v>0.1154</v>
      </c>
      <c r="I1270" s="15">
        <v>4.3900000000000002E-2</v>
      </c>
      <c r="J1270" s="15">
        <v>2.628701594533029</v>
      </c>
    </row>
    <row r="1271" spans="1:10" x14ac:dyDescent="0.25">
      <c r="A1271" s="2" t="s">
        <v>3809</v>
      </c>
      <c r="B1271" s="2" t="s">
        <v>3810</v>
      </c>
      <c r="C1271" s="2" t="s">
        <v>3811</v>
      </c>
      <c r="D1271" s="2" t="s">
        <v>10042</v>
      </c>
      <c r="E1271" s="15">
        <v>0.13519999999999999</v>
      </c>
      <c r="F1271" s="15">
        <v>9.9199999999999997E-2</v>
      </c>
      <c r="G1271" s="15">
        <v>0.1726</v>
      </c>
      <c r="H1271" s="15">
        <v>0.1348</v>
      </c>
      <c r="I1271" s="15">
        <v>4.3900000000000002E-2</v>
      </c>
      <c r="J1271" s="15">
        <v>3.070615034168565</v>
      </c>
    </row>
    <row r="1272" spans="1:10" x14ac:dyDescent="0.25">
      <c r="A1272" s="2" t="s">
        <v>3812</v>
      </c>
      <c r="B1272" s="2" t="s">
        <v>3813</v>
      </c>
      <c r="C1272" s="2" t="s">
        <v>3814</v>
      </c>
      <c r="D1272" s="2" t="s">
        <v>10042</v>
      </c>
      <c r="E1272" s="15">
        <v>0.16700000000000001</v>
      </c>
      <c r="F1272" s="15">
        <v>8.7400000000000005E-2</v>
      </c>
      <c r="G1272" s="15">
        <v>5.6000000000000001E-2</v>
      </c>
      <c r="H1272" s="15">
        <v>0.18390000000000001</v>
      </c>
      <c r="I1272" s="15">
        <v>4.5600000000000002E-2</v>
      </c>
      <c r="J1272" s="15">
        <v>4.0328947368421053</v>
      </c>
    </row>
    <row r="1273" spans="1:10" x14ac:dyDescent="0.25">
      <c r="A1273" s="2" t="s">
        <v>3815</v>
      </c>
      <c r="B1273" s="2" t="s">
        <v>3816</v>
      </c>
      <c r="C1273" s="2" t="s">
        <v>3817</v>
      </c>
      <c r="D1273" s="2" t="s">
        <v>10042</v>
      </c>
      <c r="E1273" s="15">
        <v>0.107</v>
      </c>
      <c r="F1273" s="15">
        <v>0.1123</v>
      </c>
      <c r="G1273" s="15">
        <v>0.34060000000000001</v>
      </c>
      <c r="H1273" s="15">
        <v>0.12870000000000001</v>
      </c>
      <c r="I1273" s="15">
        <v>4.02E-2</v>
      </c>
      <c r="J1273" s="15">
        <v>3.2014925373134329</v>
      </c>
    </row>
    <row r="1274" spans="1:10" x14ac:dyDescent="0.25">
      <c r="A1274" s="2" t="s">
        <v>3818</v>
      </c>
      <c r="B1274" s="2" t="s">
        <v>3819</v>
      </c>
      <c r="C1274" s="2" t="s">
        <v>3820</v>
      </c>
      <c r="D1274" s="2" t="s">
        <v>10042</v>
      </c>
      <c r="E1274" s="15">
        <v>0.12759999999999999</v>
      </c>
      <c r="F1274" s="15">
        <v>0.10050000000000001</v>
      </c>
      <c r="G1274" s="15">
        <v>0.20419999999999999</v>
      </c>
      <c r="H1274" s="15">
        <v>0.15509999999999999</v>
      </c>
      <c r="I1274" s="15">
        <v>4.8000000000000001E-2</v>
      </c>
      <c r="J1274" s="15">
        <v>3.2312500000000002</v>
      </c>
    </row>
    <row r="1275" spans="1:10" x14ac:dyDescent="0.25">
      <c r="A1275" s="2" t="s">
        <v>3821</v>
      </c>
      <c r="B1275" s="2" t="s">
        <v>3822</v>
      </c>
      <c r="C1275" s="2" t="s">
        <v>3823</v>
      </c>
      <c r="D1275" s="2" t="s">
        <v>10042</v>
      </c>
      <c r="E1275" s="15">
        <v>0.157</v>
      </c>
      <c r="F1275" s="15">
        <v>0.1013</v>
      </c>
      <c r="G1275" s="15">
        <v>0.12130000000000001</v>
      </c>
      <c r="H1275" s="15">
        <v>0.13650000000000001</v>
      </c>
      <c r="I1275" s="15">
        <v>4.6699999999999998E-2</v>
      </c>
      <c r="J1275" s="15">
        <v>2.9229122055674521</v>
      </c>
    </row>
    <row r="1276" spans="1:10" x14ac:dyDescent="0.25">
      <c r="A1276" s="2" t="s">
        <v>3824</v>
      </c>
      <c r="B1276" s="2" t="s">
        <v>3825</v>
      </c>
      <c r="C1276" s="2" t="s">
        <v>3826</v>
      </c>
      <c r="D1276" s="2" t="s">
        <v>10042</v>
      </c>
      <c r="E1276" s="15">
        <v>0.16900000000000001</v>
      </c>
      <c r="F1276" s="15">
        <v>9.4899999999999998E-2</v>
      </c>
      <c r="G1276" s="15">
        <v>7.4899999999999994E-2</v>
      </c>
      <c r="H1276" s="15">
        <v>0.12280000000000001</v>
      </c>
      <c r="I1276" s="15">
        <v>4.2000000000000003E-2</v>
      </c>
      <c r="J1276" s="15">
        <v>2.9238095238095241</v>
      </c>
    </row>
    <row r="1277" spans="1:10" x14ac:dyDescent="0.25">
      <c r="A1277" s="2" t="s">
        <v>3827</v>
      </c>
      <c r="B1277" s="2" t="s">
        <v>3828</v>
      </c>
      <c r="C1277" s="2" t="s">
        <v>3829</v>
      </c>
      <c r="D1277" s="2" t="s">
        <v>10042</v>
      </c>
      <c r="E1277" s="15">
        <v>8.3500000000000005E-2</v>
      </c>
      <c r="F1277" s="15">
        <v>9.9099999999999994E-2</v>
      </c>
      <c r="G1277" s="15">
        <v>0.39939999999999998</v>
      </c>
      <c r="H1277" s="15">
        <v>0.13270000000000001</v>
      </c>
      <c r="I1277" s="15">
        <v>4.7399999999999998E-2</v>
      </c>
      <c r="J1277" s="15">
        <v>2.799578059071731</v>
      </c>
    </row>
    <row r="1278" spans="1:10" x14ac:dyDescent="0.25">
      <c r="A1278" s="2" t="s">
        <v>3830</v>
      </c>
      <c r="B1278" s="2" t="s">
        <v>3831</v>
      </c>
      <c r="C1278" s="2" t="s">
        <v>3832</v>
      </c>
      <c r="D1278" s="2" t="s">
        <v>10042</v>
      </c>
      <c r="E1278" s="15">
        <v>0.13439999999999999</v>
      </c>
      <c r="F1278" s="15">
        <v>8.3900000000000002E-2</v>
      </c>
      <c r="G1278" s="15">
        <v>0.10920000000000001</v>
      </c>
      <c r="H1278" s="15">
        <v>0.16400000000000001</v>
      </c>
      <c r="I1278" s="15">
        <v>4.3900000000000002E-2</v>
      </c>
      <c r="J1278" s="15">
        <v>3.7357630979498859</v>
      </c>
    </row>
    <row r="1279" spans="1:10" x14ac:dyDescent="0.25">
      <c r="A1279" s="2" t="s">
        <v>3833</v>
      </c>
      <c r="B1279" s="2" t="s">
        <v>3834</v>
      </c>
      <c r="C1279" s="2" t="s">
        <v>3835</v>
      </c>
      <c r="D1279" s="2" t="s">
        <v>10042</v>
      </c>
      <c r="E1279" s="15">
        <v>0.1497</v>
      </c>
      <c r="F1279" s="15">
        <v>7.7499999999999999E-2</v>
      </c>
      <c r="G1279" s="15">
        <v>5.33E-2</v>
      </c>
      <c r="H1279" s="15">
        <v>0.2369</v>
      </c>
      <c r="I1279" s="15">
        <v>5.0299999999999997E-2</v>
      </c>
      <c r="J1279" s="15">
        <v>4.7097415506958251</v>
      </c>
    </row>
    <row r="1280" spans="1:10" x14ac:dyDescent="0.25">
      <c r="A1280" s="2" t="s">
        <v>3836</v>
      </c>
      <c r="B1280" s="2" t="s">
        <v>3837</v>
      </c>
      <c r="C1280" s="2" t="s">
        <v>3838</v>
      </c>
      <c r="D1280" s="2" t="s">
        <v>10042</v>
      </c>
      <c r="E1280" s="15">
        <v>0.158</v>
      </c>
      <c r="F1280" s="15">
        <v>0.10349999999999999</v>
      </c>
      <c r="G1280" s="15">
        <v>0.12670000000000001</v>
      </c>
      <c r="H1280" s="15">
        <v>0.15720000000000001</v>
      </c>
      <c r="I1280" s="15">
        <v>4.99E-2</v>
      </c>
      <c r="J1280" s="15">
        <v>3.1503006012024048</v>
      </c>
    </row>
    <row r="1281" spans="1:10" x14ac:dyDescent="0.25">
      <c r="A1281" s="2" t="s">
        <v>3839</v>
      </c>
      <c r="B1281" s="2" t="s">
        <v>3840</v>
      </c>
      <c r="C1281" s="2" t="s">
        <v>3841</v>
      </c>
      <c r="D1281" s="2" t="s">
        <v>10042</v>
      </c>
      <c r="E1281" s="15">
        <v>0.23449999999999999</v>
      </c>
      <c r="F1281" s="15">
        <v>0.1089</v>
      </c>
      <c r="G1281" s="15">
        <v>3.1199999999999999E-2</v>
      </c>
      <c r="H1281" s="15">
        <v>0.1421</v>
      </c>
      <c r="I1281" s="15">
        <v>4.2799999999999998E-2</v>
      </c>
      <c r="J1281" s="15">
        <v>3.320093457943925</v>
      </c>
    </row>
    <row r="1282" spans="1:10" x14ac:dyDescent="0.25">
      <c r="A1282" s="2" t="s">
        <v>3842</v>
      </c>
      <c r="B1282" s="2" t="s">
        <v>3843</v>
      </c>
      <c r="C1282" s="2" t="s">
        <v>3844</v>
      </c>
      <c r="D1282" s="2" t="s">
        <v>10042</v>
      </c>
      <c r="E1282" s="15">
        <v>-4.8999999999999998E-3</v>
      </c>
      <c r="F1282" s="15">
        <v>8.6499999999999994E-2</v>
      </c>
      <c r="G1282" s="15">
        <v>0.95450000000000002</v>
      </c>
      <c r="H1282" s="15">
        <v>0.16120000000000001</v>
      </c>
      <c r="I1282" s="15">
        <v>4.7199999999999999E-2</v>
      </c>
      <c r="J1282" s="15">
        <v>3.4152542372881358</v>
      </c>
    </row>
    <row r="1283" spans="1:10" x14ac:dyDescent="0.25">
      <c r="A1283" s="2" t="s">
        <v>3845</v>
      </c>
      <c r="B1283" s="2" t="s">
        <v>3846</v>
      </c>
      <c r="C1283" s="2" t="s">
        <v>3847</v>
      </c>
      <c r="D1283" s="2" t="s">
        <v>10042</v>
      </c>
      <c r="E1283" s="15">
        <v>0.1608</v>
      </c>
      <c r="F1283" s="15">
        <v>8.9300000000000004E-2</v>
      </c>
      <c r="G1283" s="15">
        <v>7.1999999999999995E-2</v>
      </c>
      <c r="H1283" s="15">
        <v>0.21809999999999999</v>
      </c>
      <c r="I1283" s="15">
        <v>4.6300000000000001E-2</v>
      </c>
      <c r="J1283" s="15">
        <v>4.7105831533477316</v>
      </c>
    </row>
    <row r="1284" spans="1:10" x14ac:dyDescent="0.25">
      <c r="A1284" s="2" t="s">
        <v>3848</v>
      </c>
      <c r="B1284" s="2" t="s">
        <v>3849</v>
      </c>
      <c r="C1284" s="2" t="s">
        <v>3850</v>
      </c>
      <c r="D1284" s="2" t="s">
        <v>10042</v>
      </c>
      <c r="E1284" s="15">
        <v>-7.0300000000000001E-2</v>
      </c>
      <c r="F1284" s="15">
        <v>0.11609999999999999</v>
      </c>
      <c r="G1284" s="15">
        <v>0.54459999999999997</v>
      </c>
      <c r="H1284" s="15">
        <v>8.7999999999999995E-2</v>
      </c>
      <c r="I1284" s="15">
        <v>3.8600000000000002E-2</v>
      </c>
      <c r="J1284" s="15">
        <v>2.2797927461139889</v>
      </c>
    </row>
    <row r="1285" spans="1:10" x14ac:dyDescent="0.25">
      <c r="A1285" s="2" t="s">
        <v>3851</v>
      </c>
      <c r="B1285" s="2" t="s">
        <v>3852</v>
      </c>
      <c r="C1285" s="2" t="s">
        <v>3853</v>
      </c>
      <c r="D1285" s="2" t="s">
        <v>10042</v>
      </c>
      <c r="E1285" s="15">
        <v>-9.2499999999999999E-2</v>
      </c>
      <c r="F1285" s="15">
        <v>0.1226</v>
      </c>
      <c r="G1285" s="15">
        <v>0.45079999999999998</v>
      </c>
      <c r="H1285" s="15">
        <v>9.2200000000000004E-2</v>
      </c>
      <c r="I1285" s="15">
        <v>4.7300000000000002E-2</v>
      </c>
      <c r="J1285" s="15">
        <v>1.949260042283298</v>
      </c>
    </row>
    <row r="1286" spans="1:10" x14ac:dyDescent="0.25">
      <c r="A1286" s="2" t="s">
        <v>3854</v>
      </c>
      <c r="B1286" s="2" t="s">
        <v>3855</v>
      </c>
      <c r="C1286" s="2" t="s">
        <v>3856</v>
      </c>
      <c r="D1286" s="2" t="s">
        <v>10042</v>
      </c>
      <c r="E1286" s="15">
        <v>9.5600000000000004E-2</v>
      </c>
      <c r="F1286" s="15">
        <v>8.7800000000000003E-2</v>
      </c>
      <c r="G1286" s="15">
        <v>0.27600000000000002</v>
      </c>
      <c r="H1286" s="15">
        <v>0.1573</v>
      </c>
      <c r="I1286" s="15">
        <v>4.7600000000000003E-2</v>
      </c>
      <c r="J1286" s="15">
        <v>3.304621848739496</v>
      </c>
    </row>
    <row r="1287" spans="1:10" x14ac:dyDescent="0.25">
      <c r="A1287" s="2" t="s">
        <v>3857</v>
      </c>
      <c r="B1287" s="2" t="s">
        <v>3858</v>
      </c>
      <c r="C1287" s="2" t="s">
        <v>3859</v>
      </c>
      <c r="D1287" s="2" t="s">
        <v>10042</v>
      </c>
      <c r="E1287" s="15">
        <v>0.151</v>
      </c>
      <c r="F1287" s="15">
        <v>8.1199999999999994E-2</v>
      </c>
      <c r="G1287" s="15">
        <v>6.2799999999999995E-2</v>
      </c>
      <c r="H1287" s="15">
        <v>0.2334</v>
      </c>
      <c r="I1287" s="15">
        <v>4.5199999999999997E-2</v>
      </c>
      <c r="J1287" s="15">
        <v>5.163716814159292</v>
      </c>
    </row>
    <row r="1288" spans="1:10" x14ac:dyDescent="0.25">
      <c r="A1288" s="2" t="s">
        <v>3860</v>
      </c>
      <c r="B1288" s="2" t="s">
        <v>3861</v>
      </c>
      <c r="C1288" s="2" t="s">
        <v>3862</v>
      </c>
      <c r="D1288" s="2" t="s">
        <v>10042</v>
      </c>
      <c r="E1288" s="15">
        <v>0.24929999999999999</v>
      </c>
      <c r="F1288" s="15">
        <v>0.20169999999999999</v>
      </c>
      <c r="G1288" s="15">
        <v>0.21640000000000001</v>
      </c>
      <c r="H1288" s="15">
        <v>4.9599999999999998E-2</v>
      </c>
      <c r="I1288" s="15">
        <v>4.2799999999999998E-2</v>
      </c>
      <c r="J1288" s="15">
        <v>1.1588785046728971</v>
      </c>
    </row>
    <row r="1289" spans="1:10" x14ac:dyDescent="0.25">
      <c r="A1289" s="2" t="s">
        <v>3863</v>
      </c>
      <c r="B1289" s="2" t="s">
        <v>3864</v>
      </c>
      <c r="C1289" s="2" t="s">
        <v>3865</v>
      </c>
      <c r="D1289" s="2" t="s">
        <v>10042</v>
      </c>
      <c r="E1289" s="15">
        <v>0.2316</v>
      </c>
      <c r="F1289" s="15">
        <v>9.2399999999999996E-2</v>
      </c>
      <c r="G1289" s="15">
        <v>1.2200000000000001E-2</v>
      </c>
      <c r="H1289" s="15">
        <v>0.1976</v>
      </c>
      <c r="I1289" s="15">
        <v>4.7699999999999999E-2</v>
      </c>
      <c r="J1289" s="15">
        <v>4.1425576519916154</v>
      </c>
    </row>
    <row r="1290" spans="1:10" x14ac:dyDescent="0.25">
      <c r="A1290" s="2" t="s">
        <v>3866</v>
      </c>
      <c r="B1290" s="2" t="s">
        <v>3867</v>
      </c>
      <c r="C1290" s="2" t="s">
        <v>3868</v>
      </c>
      <c r="D1290" s="2" t="s">
        <v>10042</v>
      </c>
      <c r="E1290" s="15">
        <v>0.17699999999999999</v>
      </c>
      <c r="F1290" s="15">
        <v>0.105</v>
      </c>
      <c r="G1290" s="15">
        <v>9.1800000000000007E-2</v>
      </c>
      <c r="H1290" s="15">
        <v>0.1421</v>
      </c>
      <c r="I1290" s="15">
        <v>4.5699999999999998E-2</v>
      </c>
      <c r="J1290" s="15">
        <v>3.1094091903719909</v>
      </c>
    </row>
    <row r="1291" spans="1:10" x14ac:dyDescent="0.25">
      <c r="A1291" s="2" t="s">
        <v>3869</v>
      </c>
      <c r="B1291" s="2" t="s">
        <v>3870</v>
      </c>
      <c r="C1291" s="2" t="s">
        <v>3871</v>
      </c>
      <c r="D1291" s="2" t="s">
        <v>10042</v>
      </c>
      <c r="E1291" s="15">
        <v>0.2001</v>
      </c>
      <c r="F1291" s="15">
        <v>9.5899999999999999E-2</v>
      </c>
      <c r="G1291" s="15">
        <v>3.6900000000000002E-2</v>
      </c>
      <c r="H1291" s="15">
        <v>0.15379999999999999</v>
      </c>
      <c r="I1291" s="15">
        <v>4.8399999999999999E-2</v>
      </c>
      <c r="J1291" s="15">
        <v>3.1776859504132231</v>
      </c>
    </row>
    <row r="1292" spans="1:10" x14ac:dyDescent="0.25">
      <c r="A1292" s="2" t="s">
        <v>3872</v>
      </c>
      <c r="B1292" s="2" t="s">
        <v>3873</v>
      </c>
      <c r="C1292" s="2" t="s">
        <v>3874</v>
      </c>
      <c r="D1292" s="2" t="s">
        <v>10042</v>
      </c>
      <c r="E1292" s="15">
        <v>-4.1300000000000003E-2</v>
      </c>
      <c r="F1292" s="15">
        <v>8.4699999999999998E-2</v>
      </c>
      <c r="G1292" s="15">
        <v>0.62580000000000002</v>
      </c>
      <c r="H1292" s="15">
        <v>0.17460000000000001</v>
      </c>
      <c r="I1292" s="15">
        <v>4.0800000000000003E-2</v>
      </c>
      <c r="J1292" s="15">
        <v>4.2794117647058822</v>
      </c>
    </row>
    <row r="1293" spans="1:10" x14ac:dyDescent="0.25">
      <c r="A1293" s="2" t="s">
        <v>3875</v>
      </c>
      <c r="B1293" s="2" t="s">
        <v>3876</v>
      </c>
      <c r="C1293" s="2" t="s">
        <v>3877</v>
      </c>
      <c r="D1293" s="2" t="s">
        <v>10042</v>
      </c>
      <c r="E1293" s="15">
        <v>-3.3399999999999999E-2</v>
      </c>
      <c r="F1293" s="15">
        <v>0.14940000000000001</v>
      </c>
      <c r="G1293" s="15">
        <v>0.82320000000000004</v>
      </c>
      <c r="H1293" s="15">
        <v>5.3800000000000001E-2</v>
      </c>
      <c r="I1293" s="15">
        <v>3.7499999999999999E-2</v>
      </c>
      <c r="J1293" s="15">
        <v>1.434666666666667</v>
      </c>
    </row>
    <row r="1294" spans="1:10" x14ac:dyDescent="0.25">
      <c r="A1294" s="2" t="s">
        <v>3878</v>
      </c>
      <c r="B1294" s="2" t="s">
        <v>3879</v>
      </c>
      <c r="C1294" s="2" t="s">
        <v>3880</v>
      </c>
      <c r="D1294" s="2" t="s">
        <v>10042</v>
      </c>
      <c r="E1294" s="15">
        <v>8.8200000000000001E-2</v>
      </c>
      <c r="F1294" s="15">
        <v>7.4999999999999997E-2</v>
      </c>
      <c r="G1294" s="15">
        <v>0.2399</v>
      </c>
      <c r="H1294" s="15">
        <v>0.22589999999999999</v>
      </c>
      <c r="I1294" s="15">
        <v>5.4300000000000001E-2</v>
      </c>
      <c r="J1294" s="15">
        <v>4.1602209944751376</v>
      </c>
    </row>
    <row r="1295" spans="1:10" x14ac:dyDescent="0.25">
      <c r="A1295" s="2" t="s">
        <v>3881</v>
      </c>
      <c r="B1295" s="2" t="s">
        <v>3882</v>
      </c>
      <c r="C1295" s="2" t="s">
        <v>3883</v>
      </c>
      <c r="D1295" s="2" t="s">
        <v>10042</v>
      </c>
      <c r="E1295" s="15">
        <v>0.1661</v>
      </c>
      <c r="F1295" s="15">
        <v>0.1019</v>
      </c>
      <c r="G1295" s="15">
        <v>0.10290000000000001</v>
      </c>
      <c r="H1295" s="15">
        <v>0.1547</v>
      </c>
      <c r="I1295" s="15">
        <v>4.1000000000000002E-2</v>
      </c>
      <c r="J1295" s="15">
        <v>3.7731707317073169</v>
      </c>
    </row>
    <row r="1296" spans="1:10" x14ac:dyDescent="0.25">
      <c r="A1296" s="2" t="s">
        <v>3884</v>
      </c>
      <c r="B1296" s="2" t="s">
        <v>3885</v>
      </c>
      <c r="C1296" s="2" t="s">
        <v>3886</v>
      </c>
      <c r="D1296" s="2" t="s">
        <v>10042</v>
      </c>
      <c r="E1296" s="15">
        <v>0.1774</v>
      </c>
      <c r="F1296" s="15">
        <v>0.1109</v>
      </c>
      <c r="G1296" s="15">
        <v>0.10970000000000001</v>
      </c>
      <c r="H1296" s="15">
        <v>0.12620000000000001</v>
      </c>
      <c r="I1296" s="15">
        <v>4.1599999999999998E-2</v>
      </c>
      <c r="J1296" s="15">
        <v>3.0336538461538458</v>
      </c>
    </row>
    <row r="1297" spans="1:10" x14ac:dyDescent="0.25">
      <c r="A1297" s="2" t="s">
        <v>3887</v>
      </c>
      <c r="B1297" s="2" t="s">
        <v>3888</v>
      </c>
      <c r="C1297" s="2" t="s">
        <v>3889</v>
      </c>
      <c r="D1297" s="2" t="s">
        <v>10042</v>
      </c>
      <c r="E1297" s="15">
        <v>4.07E-2</v>
      </c>
      <c r="F1297" s="15">
        <v>9.8799999999999999E-2</v>
      </c>
      <c r="G1297" s="15">
        <v>0.68020000000000003</v>
      </c>
      <c r="H1297" s="15">
        <v>0.15129999999999999</v>
      </c>
      <c r="I1297" s="15">
        <v>4.0500000000000001E-2</v>
      </c>
      <c r="J1297" s="15">
        <v>3.7358024691358018</v>
      </c>
    </row>
    <row r="1298" spans="1:10" x14ac:dyDescent="0.25">
      <c r="A1298" s="2" t="s">
        <v>3890</v>
      </c>
      <c r="B1298" s="2" t="s">
        <v>3891</v>
      </c>
      <c r="C1298" s="2" t="s">
        <v>3892</v>
      </c>
      <c r="D1298" s="2" t="s">
        <v>10042</v>
      </c>
      <c r="E1298" s="15">
        <v>0.16969999999999999</v>
      </c>
      <c r="F1298" s="15">
        <v>9.6500000000000002E-2</v>
      </c>
      <c r="G1298" s="15">
        <v>7.8600000000000003E-2</v>
      </c>
      <c r="H1298" s="15">
        <v>0.15340000000000001</v>
      </c>
      <c r="I1298" s="15">
        <v>3.9199999999999999E-2</v>
      </c>
      <c r="J1298" s="15">
        <v>3.9132653061224492</v>
      </c>
    </row>
    <row r="1299" spans="1:10" x14ac:dyDescent="0.25">
      <c r="A1299" s="2" t="s">
        <v>3893</v>
      </c>
      <c r="B1299" s="2" t="s">
        <v>3894</v>
      </c>
      <c r="C1299" s="2" t="s">
        <v>3895</v>
      </c>
      <c r="D1299" s="2" t="s">
        <v>10042</v>
      </c>
      <c r="E1299" s="15">
        <v>0.2631</v>
      </c>
      <c r="F1299" s="15">
        <v>0.11269999999999999</v>
      </c>
      <c r="G1299" s="15">
        <v>1.95E-2</v>
      </c>
      <c r="H1299" s="15">
        <v>0.12570000000000001</v>
      </c>
      <c r="I1299" s="15">
        <v>5.21E-2</v>
      </c>
      <c r="J1299" s="15">
        <v>2.4126679462571978</v>
      </c>
    </row>
    <row r="1300" spans="1:10" x14ac:dyDescent="0.25">
      <c r="A1300" s="2" t="s">
        <v>3896</v>
      </c>
      <c r="B1300" s="2" t="s">
        <v>3897</v>
      </c>
      <c r="C1300" s="2" t="s">
        <v>3898</v>
      </c>
      <c r="D1300" s="2" t="s">
        <v>10042</v>
      </c>
      <c r="E1300" s="15">
        <v>-2.8299999999999999E-2</v>
      </c>
      <c r="F1300" s="15">
        <v>0.1167</v>
      </c>
      <c r="G1300" s="15">
        <v>0.80820000000000003</v>
      </c>
      <c r="H1300" s="15">
        <v>0.1057</v>
      </c>
      <c r="I1300" s="15">
        <v>4.2599999999999999E-2</v>
      </c>
      <c r="J1300" s="15">
        <v>2.481220657276995</v>
      </c>
    </row>
    <row r="1301" spans="1:10" x14ac:dyDescent="0.25">
      <c r="A1301" s="2" t="s">
        <v>3899</v>
      </c>
      <c r="B1301" s="2" t="s">
        <v>3900</v>
      </c>
      <c r="C1301" s="2" t="s">
        <v>3901</v>
      </c>
      <c r="D1301" s="2" t="s">
        <v>10042</v>
      </c>
      <c r="E1301" s="15">
        <v>9.1399999999999995E-2</v>
      </c>
      <c r="F1301" s="15">
        <v>7.4899999999999994E-2</v>
      </c>
      <c r="G1301" s="15">
        <v>0.2223</v>
      </c>
      <c r="H1301" s="15">
        <v>0.25280000000000002</v>
      </c>
      <c r="I1301" s="15">
        <v>5.0200000000000002E-2</v>
      </c>
      <c r="J1301" s="15">
        <v>5.0358565737051793</v>
      </c>
    </row>
    <row r="1302" spans="1:10" x14ac:dyDescent="0.25">
      <c r="A1302" s="2" t="s">
        <v>3902</v>
      </c>
      <c r="B1302" s="2" t="s">
        <v>3903</v>
      </c>
      <c r="C1302" s="2" t="s">
        <v>3904</v>
      </c>
      <c r="D1302" s="2" t="s">
        <v>10042</v>
      </c>
      <c r="E1302" s="15">
        <v>0.2112</v>
      </c>
      <c r="F1302" s="15">
        <v>0.13109999999999999</v>
      </c>
      <c r="G1302" s="15">
        <v>0.1072</v>
      </c>
      <c r="H1302" s="15">
        <v>0.10879999999999999</v>
      </c>
      <c r="I1302" s="15">
        <v>6.1699999999999998E-2</v>
      </c>
      <c r="J1302" s="15">
        <v>1.763371150729335</v>
      </c>
    </row>
    <row r="1303" spans="1:10" x14ac:dyDescent="0.25">
      <c r="A1303" s="2" t="s">
        <v>3905</v>
      </c>
      <c r="B1303" s="2" t="s">
        <v>3906</v>
      </c>
      <c r="C1303" s="2" t="s">
        <v>3907</v>
      </c>
      <c r="D1303" s="2" t="s">
        <v>10042</v>
      </c>
      <c r="E1303" s="15">
        <v>9.9900000000000003E-2</v>
      </c>
      <c r="F1303" s="15">
        <v>0.26869999999999999</v>
      </c>
      <c r="G1303" s="15">
        <v>0.71009999999999995</v>
      </c>
      <c r="H1303" s="15">
        <v>2.2200000000000001E-2</v>
      </c>
      <c r="I1303" s="15">
        <v>4.0899999999999999E-2</v>
      </c>
      <c r="J1303" s="15">
        <v>0.54278728606356974</v>
      </c>
    </row>
    <row r="1304" spans="1:10" x14ac:dyDescent="0.25">
      <c r="A1304" s="2" t="s">
        <v>3908</v>
      </c>
      <c r="B1304" s="2" t="s">
        <v>3909</v>
      </c>
      <c r="C1304" s="2" t="s">
        <v>3910</v>
      </c>
      <c r="D1304" s="2" t="s">
        <v>10042</v>
      </c>
      <c r="E1304" s="15">
        <v>0.23430000000000001</v>
      </c>
      <c r="F1304" s="15">
        <v>0.18459999999999999</v>
      </c>
      <c r="G1304" s="15">
        <v>0.20430000000000001</v>
      </c>
      <c r="H1304" s="15">
        <v>5.6800000000000003E-2</v>
      </c>
      <c r="I1304" s="15">
        <v>4.5999999999999999E-2</v>
      </c>
      <c r="J1304" s="15">
        <v>1.2347826086956519</v>
      </c>
    </row>
    <row r="1305" spans="1:10" x14ac:dyDescent="0.25">
      <c r="A1305" s="2" t="s">
        <v>3911</v>
      </c>
      <c r="B1305" s="2" t="s">
        <v>3912</v>
      </c>
      <c r="C1305" s="2" t="s">
        <v>3913</v>
      </c>
      <c r="D1305" s="2" t="s">
        <v>10042</v>
      </c>
      <c r="E1305" s="15">
        <v>9.3600000000000003E-2</v>
      </c>
      <c r="F1305" s="15">
        <v>0.1096</v>
      </c>
      <c r="G1305" s="15">
        <v>0.39319999999999999</v>
      </c>
      <c r="H1305" s="15">
        <v>8.8999999999999996E-2</v>
      </c>
      <c r="I1305" s="15">
        <v>4.1799999999999997E-2</v>
      </c>
      <c r="J1305" s="15">
        <v>2.129186602870814</v>
      </c>
    </row>
    <row r="1306" spans="1:10" x14ac:dyDescent="0.25">
      <c r="A1306" s="2" t="s">
        <v>3914</v>
      </c>
      <c r="B1306" s="2" t="s">
        <v>3915</v>
      </c>
      <c r="C1306" s="2" t="s">
        <v>3916</v>
      </c>
      <c r="D1306" s="2" t="s">
        <v>10042</v>
      </c>
      <c r="E1306" s="15">
        <v>0.23599999999999999</v>
      </c>
      <c r="F1306" s="15">
        <v>0.1948</v>
      </c>
      <c r="G1306" s="15">
        <v>0.22550000000000001</v>
      </c>
      <c r="H1306" s="15">
        <v>4.8099999999999997E-2</v>
      </c>
      <c r="I1306" s="15">
        <v>4.3499999999999997E-2</v>
      </c>
      <c r="J1306" s="15">
        <v>1.105747126436782</v>
      </c>
    </row>
    <row r="1307" spans="1:10" x14ac:dyDescent="0.25">
      <c r="A1307" s="2" t="s">
        <v>3917</v>
      </c>
      <c r="B1307" s="2" t="s">
        <v>3918</v>
      </c>
      <c r="C1307" s="2" t="s">
        <v>3919</v>
      </c>
      <c r="D1307" s="2" t="s">
        <v>10042</v>
      </c>
      <c r="E1307" s="15">
        <v>0.1391</v>
      </c>
      <c r="F1307" s="15">
        <v>0.1061</v>
      </c>
      <c r="G1307" s="15">
        <v>0.18990000000000001</v>
      </c>
      <c r="H1307" s="15">
        <v>0.1086</v>
      </c>
      <c r="I1307" s="15">
        <v>5.1799999999999999E-2</v>
      </c>
      <c r="J1307" s="15">
        <v>2.096525096525097</v>
      </c>
    </row>
    <row r="1308" spans="1:10" x14ac:dyDescent="0.25">
      <c r="A1308" s="2" t="s">
        <v>3920</v>
      </c>
      <c r="B1308" s="2" t="s">
        <v>3921</v>
      </c>
      <c r="C1308" s="2" t="s">
        <v>3922</v>
      </c>
      <c r="D1308" s="2" t="s">
        <v>10042</v>
      </c>
      <c r="E1308" s="15">
        <v>0.18459999999999999</v>
      </c>
      <c r="F1308" s="15">
        <v>0.23219999999999999</v>
      </c>
      <c r="G1308" s="15">
        <v>0.42680000000000001</v>
      </c>
      <c r="H1308" s="15">
        <v>4.19E-2</v>
      </c>
      <c r="I1308" s="15">
        <v>4.8500000000000001E-2</v>
      </c>
      <c r="J1308" s="15">
        <v>0.8639175257731958</v>
      </c>
    </row>
    <row r="1309" spans="1:10" x14ac:dyDescent="0.25">
      <c r="A1309" s="2" t="s">
        <v>3923</v>
      </c>
      <c r="B1309" s="2" t="s">
        <v>3924</v>
      </c>
      <c r="C1309" s="2" t="s">
        <v>3925</v>
      </c>
      <c r="D1309" s="2" t="s">
        <v>10042</v>
      </c>
      <c r="E1309" s="15">
        <v>9.9099999999999994E-2</v>
      </c>
      <c r="F1309" s="15">
        <v>8.3500000000000005E-2</v>
      </c>
      <c r="G1309" s="15">
        <v>0.2356</v>
      </c>
      <c r="H1309" s="15">
        <v>0.1736</v>
      </c>
      <c r="I1309" s="15">
        <v>4.87E-2</v>
      </c>
      <c r="J1309" s="15">
        <v>3.5646817248459959</v>
      </c>
    </row>
    <row r="1310" spans="1:10" x14ac:dyDescent="0.25">
      <c r="A1310" s="2" t="s">
        <v>3926</v>
      </c>
      <c r="B1310" s="2" t="s">
        <v>3927</v>
      </c>
      <c r="C1310" s="2" t="s">
        <v>3928</v>
      </c>
      <c r="D1310" s="2" t="s">
        <v>10042</v>
      </c>
      <c r="E1310" s="15"/>
      <c r="F1310" s="15"/>
      <c r="G1310" s="15"/>
      <c r="H1310" s="15">
        <v>-8.0000000000000004E-4</v>
      </c>
      <c r="I1310" s="15">
        <v>4.1799999999999997E-2</v>
      </c>
      <c r="J1310" s="15">
        <v>-1.913875598086125E-2</v>
      </c>
    </row>
    <row r="1311" spans="1:10" x14ac:dyDescent="0.25">
      <c r="A1311" s="2" t="s">
        <v>3929</v>
      </c>
      <c r="B1311" s="2" t="s">
        <v>3930</v>
      </c>
      <c r="C1311" s="2" t="s">
        <v>3931</v>
      </c>
      <c r="D1311" s="2" t="s">
        <v>10042</v>
      </c>
      <c r="E1311" s="15">
        <v>0.1011</v>
      </c>
      <c r="F1311" s="15">
        <v>8.6099999999999996E-2</v>
      </c>
      <c r="G1311" s="15">
        <v>0.2404</v>
      </c>
      <c r="H1311" s="15">
        <v>0.21640000000000001</v>
      </c>
      <c r="I1311" s="15">
        <v>4.1300000000000003E-2</v>
      </c>
      <c r="J1311" s="15">
        <v>5.2397094430992732</v>
      </c>
    </row>
    <row r="1312" spans="1:10" x14ac:dyDescent="0.25">
      <c r="A1312" s="2" t="s">
        <v>3932</v>
      </c>
      <c r="B1312" s="2" t="s">
        <v>3933</v>
      </c>
      <c r="C1312" s="2" t="s">
        <v>3934</v>
      </c>
      <c r="D1312" s="2" t="s">
        <v>10042</v>
      </c>
      <c r="E1312" s="15">
        <v>0.25829999999999997</v>
      </c>
      <c r="F1312" s="15">
        <v>0.1638</v>
      </c>
      <c r="G1312" s="15">
        <v>0.1149</v>
      </c>
      <c r="H1312" s="15">
        <v>7.0400000000000004E-2</v>
      </c>
      <c r="I1312" s="15">
        <v>4.4400000000000002E-2</v>
      </c>
      <c r="J1312" s="15">
        <v>1.585585585585586</v>
      </c>
    </row>
    <row r="1313" spans="1:10" x14ac:dyDescent="0.25">
      <c r="A1313" s="2" t="s">
        <v>3935</v>
      </c>
      <c r="B1313" s="2" t="s">
        <v>3936</v>
      </c>
      <c r="C1313" s="2" t="s">
        <v>3937</v>
      </c>
      <c r="D1313" s="2" t="s">
        <v>10042</v>
      </c>
      <c r="E1313" s="15">
        <v>-8.3599999999999994E-2</v>
      </c>
      <c r="F1313" s="15">
        <v>0.1341</v>
      </c>
      <c r="G1313" s="15">
        <v>0.53290000000000004</v>
      </c>
      <c r="H1313" s="15">
        <v>7.0900000000000005E-2</v>
      </c>
      <c r="I1313" s="15">
        <v>4.9299999999999997E-2</v>
      </c>
      <c r="J1313" s="15">
        <v>1.438133874239351</v>
      </c>
    </row>
    <row r="1314" spans="1:10" x14ac:dyDescent="0.25">
      <c r="A1314" s="2" t="s">
        <v>3938</v>
      </c>
      <c r="B1314" s="2" t="s">
        <v>3939</v>
      </c>
      <c r="C1314" s="2" t="s">
        <v>3940</v>
      </c>
      <c r="D1314" s="2" t="s">
        <v>10042</v>
      </c>
      <c r="E1314" s="15">
        <v>3.32E-2</v>
      </c>
      <c r="F1314" s="15">
        <v>8.5500000000000007E-2</v>
      </c>
      <c r="G1314" s="15">
        <v>0.69799999999999995</v>
      </c>
      <c r="H1314" s="15">
        <v>0.2087</v>
      </c>
      <c r="I1314" s="15">
        <v>4.5900000000000003E-2</v>
      </c>
      <c r="J1314" s="15">
        <v>4.5468409586056637</v>
      </c>
    </row>
    <row r="1315" spans="1:10" x14ac:dyDescent="0.25">
      <c r="A1315" s="2" t="s">
        <v>3941</v>
      </c>
      <c r="B1315" s="2" t="s">
        <v>3942</v>
      </c>
      <c r="C1315" s="2" t="s">
        <v>3943</v>
      </c>
      <c r="D1315" s="2" t="s">
        <v>10042</v>
      </c>
      <c r="E1315" s="15"/>
      <c r="F1315" s="15"/>
      <c r="G1315" s="15"/>
      <c r="H1315" s="15">
        <v>-2.9899999999999999E-2</v>
      </c>
      <c r="I1315" s="15">
        <v>4.2200000000000001E-2</v>
      </c>
      <c r="J1315" s="15">
        <v>-0.70853080568720372</v>
      </c>
    </row>
    <row r="1316" spans="1:10" x14ac:dyDescent="0.25">
      <c r="A1316" s="2" t="s">
        <v>3944</v>
      </c>
      <c r="B1316" s="2" t="s">
        <v>3945</v>
      </c>
      <c r="C1316" s="2" t="s">
        <v>3946</v>
      </c>
      <c r="D1316" s="2" t="s">
        <v>10042</v>
      </c>
      <c r="E1316" s="15">
        <v>-2.5499999999999998E-2</v>
      </c>
      <c r="F1316" s="15">
        <v>0.13830000000000001</v>
      </c>
      <c r="G1316" s="15">
        <v>0.85360000000000003</v>
      </c>
      <c r="H1316" s="15">
        <v>7.7799999999999994E-2</v>
      </c>
      <c r="I1316" s="15">
        <v>4.1399999999999999E-2</v>
      </c>
      <c r="J1316" s="15">
        <v>1.879227053140097</v>
      </c>
    </row>
    <row r="1317" spans="1:10" x14ac:dyDescent="0.25">
      <c r="A1317" s="2" t="s">
        <v>3947</v>
      </c>
      <c r="B1317" s="2" t="s">
        <v>3948</v>
      </c>
      <c r="C1317" s="2" t="s">
        <v>3949</v>
      </c>
      <c r="D1317" s="2" t="s">
        <v>10042</v>
      </c>
      <c r="E1317" s="15">
        <v>0.1119</v>
      </c>
      <c r="F1317" s="15">
        <v>0.10440000000000001</v>
      </c>
      <c r="G1317" s="15">
        <v>0.28370000000000001</v>
      </c>
      <c r="H1317" s="15">
        <v>0.1017</v>
      </c>
      <c r="I1317" s="15">
        <v>5.4800000000000001E-2</v>
      </c>
      <c r="J1317" s="15">
        <v>1.855839416058394</v>
      </c>
    </row>
    <row r="1318" spans="1:10" x14ac:dyDescent="0.25">
      <c r="A1318" s="2" t="s">
        <v>3950</v>
      </c>
      <c r="B1318" s="2" t="s">
        <v>3951</v>
      </c>
      <c r="C1318" s="2" t="s">
        <v>3952</v>
      </c>
      <c r="D1318" s="2" t="s">
        <v>10042</v>
      </c>
      <c r="E1318" s="15">
        <v>5.7500000000000002E-2</v>
      </c>
      <c r="F1318" s="15">
        <v>6.9099999999999995E-2</v>
      </c>
      <c r="G1318" s="15">
        <v>0.40570000000000001</v>
      </c>
      <c r="H1318" s="15">
        <v>0.26879999999999998</v>
      </c>
      <c r="I1318" s="15">
        <v>6.1499999999999999E-2</v>
      </c>
      <c r="J1318" s="15">
        <v>4.3707317073170726</v>
      </c>
    </row>
    <row r="1319" spans="1:10" x14ac:dyDescent="0.25">
      <c r="A1319" s="2" t="s">
        <v>3953</v>
      </c>
      <c r="B1319" s="2" t="s">
        <v>3954</v>
      </c>
      <c r="C1319" s="2" t="s">
        <v>3955</v>
      </c>
      <c r="D1319" s="2" t="s">
        <v>10042</v>
      </c>
      <c r="E1319" s="15">
        <v>6.9599999999999995E-2</v>
      </c>
      <c r="F1319" s="15">
        <v>9.6600000000000005E-2</v>
      </c>
      <c r="G1319" s="15">
        <v>0.47110000000000002</v>
      </c>
      <c r="H1319" s="15">
        <v>0.17549999999999999</v>
      </c>
      <c r="I1319" s="15">
        <v>5.0299999999999997E-2</v>
      </c>
      <c r="J1319" s="15">
        <v>3.4890656063618288</v>
      </c>
    </row>
    <row r="1320" spans="1:10" x14ac:dyDescent="0.25">
      <c r="A1320" s="2" t="s">
        <v>3956</v>
      </c>
      <c r="B1320" s="2" t="s">
        <v>3957</v>
      </c>
      <c r="C1320" s="2" t="s">
        <v>3958</v>
      </c>
      <c r="D1320" s="2" t="s">
        <v>10042</v>
      </c>
      <c r="E1320" s="15">
        <v>0.21190000000000001</v>
      </c>
      <c r="F1320" s="15">
        <v>0.12920000000000001</v>
      </c>
      <c r="G1320" s="15">
        <v>0.1011</v>
      </c>
      <c r="H1320" s="15">
        <v>9.2799999999999994E-2</v>
      </c>
      <c r="I1320" s="15">
        <v>4.1599999999999998E-2</v>
      </c>
      <c r="J1320" s="15">
        <v>2.2307692307692308</v>
      </c>
    </row>
    <row r="1321" spans="1:10" x14ac:dyDescent="0.25">
      <c r="A1321" s="2" t="s">
        <v>3959</v>
      </c>
      <c r="B1321" s="2" t="s">
        <v>3960</v>
      </c>
      <c r="C1321" s="2" t="s">
        <v>3961</v>
      </c>
      <c r="D1321" s="2" t="s">
        <v>10042</v>
      </c>
      <c r="E1321" s="15">
        <v>-7.2300000000000003E-2</v>
      </c>
      <c r="F1321" s="15">
        <v>9.3200000000000005E-2</v>
      </c>
      <c r="G1321" s="15">
        <v>0.43790000000000001</v>
      </c>
      <c r="H1321" s="15">
        <v>0.1487</v>
      </c>
      <c r="I1321" s="15">
        <v>5.3900000000000003E-2</v>
      </c>
      <c r="J1321" s="15">
        <v>2.7588126159554731</v>
      </c>
    </row>
    <row r="1322" spans="1:10" x14ac:dyDescent="0.25">
      <c r="A1322" s="2" t="s">
        <v>3962</v>
      </c>
      <c r="B1322" s="2" t="s">
        <v>3963</v>
      </c>
      <c r="C1322" s="2" t="s">
        <v>3964</v>
      </c>
      <c r="D1322" s="2" t="s">
        <v>10042</v>
      </c>
      <c r="E1322" s="15">
        <v>5.3E-3</v>
      </c>
      <c r="F1322" s="15">
        <v>8.2500000000000004E-2</v>
      </c>
      <c r="G1322" s="15">
        <v>0.9486</v>
      </c>
      <c r="H1322" s="15">
        <v>0.17399999999999999</v>
      </c>
      <c r="I1322" s="15">
        <v>3.8699999999999998E-2</v>
      </c>
      <c r="J1322" s="15">
        <v>4.4961240310077519</v>
      </c>
    </row>
    <row r="1323" spans="1:10" x14ac:dyDescent="0.25">
      <c r="A1323" s="2" t="s">
        <v>3965</v>
      </c>
      <c r="B1323" s="2" t="s">
        <v>3966</v>
      </c>
      <c r="C1323" s="2" t="s">
        <v>3967</v>
      </c>
      <c r="D1323" s="2" t="s">
        <v>10042</v>
      </c>
      <c r="E1323" s="15">
        <v>-0.22090000000000001</v>
      </c>
      <c r="F1323" s="15">
        <v>0.1792</v>
      </c>
      <c r="G1323" s="15">
        <v>0.21759999999999999</v>
      </c>
      <c r="H1323" s="15">
        <v>4.5400000000000003E-2</v>
      </c>
      <c r="I1323" s="15">
        <v>4.2900000000000001E-2</v>
      </c>
      <c r="J1323" s="15">
        <v>1.058275058275058</v>
      </c>
    </row>
    <row r="1324" spans="1:10" x14ac:dyDescent="0.25">
      <c r="A1324" s="2" t="s">
        <v>3968</v>
      </c>
      <c r="B1324" s="2" t="s">
        <v>3969</v>
      </c>
      <c r="C1324" s="2" t="s">
        <v>3970</v>
      </c>
      <c r="D1324" s="2" t="s">
        <v>10042</v>
      </c>
      <c r="E1324" s="15">
        <v>3.8600000000000002E-2</v>
      </c>
      <c r="F1324" s="15">
        <v>7.4700000000000003E-2</v>
      </c>
      <c r="G1324" s="15">
        <v>0.60509999999999997</v>
      </c>
      <c r="H1324" s="15">
        <v>0.2233</v>
      </c>
      <c r="I1324" s="15">
        <v>4.9599999999999998E-2</v>
      </c>
      <c r="J1324" s="15">
        <v>4.502016129032258</v>
      </c>
    </row>
    <row r="1325" spans="1:10" x14ac:dyDescent="0.25">
      <c r="A1325" s="2" t="s">
        <v>3971</v>
      </c>
      <c r="B1325" s="2" t="s">
        <v>3972</v>
      </c>
      <c r="C1325" s="2" t="s">
        <v>3973</v>
      </c>
      <c r="D1325" s="2" t="s">
        <v>10042</v>
      </c>
      <c r="E1325" s="15">
        <v>0.27239999999999998</v>
      </c>
      <c r="F1325" s="15">
        <v>0.10879999999999999</v>
      </c>
      <c r="G1325" s="15">
        <v>1.23E-2</v>
      </c>
      <c r="H1325" s="15">
        <v>0.1193</v>
      </c>
      <c r="I1325" s="15">
        <v>4.2900000000000001E-2</v>
      </c>
      <c r="J1325" s="15">
        <v>2.780885780885781</v>
      </c>
    </row>
    <row r="1326" spans="1:10" x14ac:dyDescent="0.25">
      <c r="A1326" s="2" t="s">
        <v>3974</v>
      </c>
      <c r="B1326" s="2" t="s">
        <v>3975</v>
      </c>
      <c r="C1326" s="2" t="s">
        <v>3976</v>
      </c>
      <c r="D1326" s="2" t="s">
        <v>10042</v>
      </c>
      <c r="E1326" s="15">
        <v>0.2422</v>
      </c>
      <c r="F1326" s="15">
        <v>0.1055</v>
      </c>
      <c r="G1326" s="15">
        <v>2.18E-2</v>
      </c>
      <c r="H1326" s="15">
        <v>0.12759999999999999</v>
      </c>
      <c r="I1326" s="15">
        <v>4.9399999999999999E-2</v>
      </c>
      <c r="J1326" s="15">
        <v>2.5829959514170042</v>
      </c>
    </row>
    <row r="1327" spans="1:10" x14ac:dyDescent="0.25">
      <c r="A1327" s="2" t="s">
        <v>3977</v>
      </c>
      <c r="B1327" s="2" t="s">
        <v>3978</v>
      </c>
      <c r="C1327" s="2" t="s">
        <v>3979</v>
      </c>
      <c r="D1327" s="2" t="s">
        <v>10042</v>
      </c>
      <c r="E1327" s="15">
        <v>5.5199999999999999E-2</v>
      </c>
      <c r="F1327" s="15">
        <v>8.9800000000000005E-2</v>
      </c>
      <c r="G1327" s="15">
        <v>0.53879999999999995</v>
      </c>
      <c r="H1327" s="15">
        <v>0.1641</v>
      </c>
      <c r="I1327" s="15">
        <v>4.0099999999999997E-2</v>
      </c>
      <c r="J1327" s="15">
        <v>4.0922693266832919</v>
      </c>
    </row>
    <row r="1328" spans="1:10" x14ac:dyDescent="0.25">
      <c r="A1328" s="2" t="s">
        <v>3980</v>
      </c>
      <c r="B1328" s="2" t="s">
        <v>3981</v>
      </c>
      <c r="C1328" s="2" t="s">
        <v>3982</v>
      </c>
      <c r="D1328" s="2" t="s">
        <v>10043</v>
      </c>
      <c r="E1328" s="15">
        <v>3.5999999999999999E-3</v>
      </c>
      <c r="F1328" s="15">
        <v>0.1023</v>
      </c>
      <c r="G1328" s="15">
        <v>0.9718</v>
      </c>
      <c r="H1328" s="15">
        <v>0.13639999999999999</v>
      </c>
      <c r="I1328" s="15">
        <v>4.58E-2</v>
      </c>
      <c r="J1328" s="15">
        <v>2.978165938864628</v>
      </c>
    </row>
    <row r="1329" spans="1:10" x14ac:dyDescent="0.25">
      <c r="A1329" s="2" t="s">
        <v>3983</v>
      </c>
      <c r="B1329" s="2" t="s">
        <v>3984</v>
      </c>
      <c r="C1329" s="2" t="s">
        <v>3985</v>
      </c>
      <c r="D1329" s="2" t="s">
        <v>10043</v>
      </c>
      <c r="E1329" s="15">
        <v>4.1300000000000003E-2</v>
      </c>
      <c r="F1329" s="15">
        <v>5.8599999999999999E-2</v>
      </c>
      <c r="G1329" s="15">
        <v>0.48049999999999998</v>
      </c>
      <c r="H1329" s="15">
        <v>0.33029999999999998</v>
      </c>
      <c r="I1329" s="15">
        <v>5.11E-2</v>
      </c>
      <c r="J1329" s="15">
        <v>6.4637964774951078</v>
      </c>
    </row>
    <row r="1330" spans="1:10" x14ac:dyDescent="0.25">
      <c r="A1330" s="2" t="s">
        <v>3986</v>
      </c>
      <c r="B1330" s="2" t="s">
        <v>3987</v>
      </c>
      <c r="C1330" s="2" t="s">
        <v>3988</v>
      </c>
      <c r="D1330" s="2" t="s">
        <v>10043</v>
      </c>
      <c r="E1330" s="15"/>
      <c r="F1330" s="15"/>
      <c r="G1330" s="15"/>
      <c r="H1330" s="15"/>
      <c r="I1330" s="15"/>
      <c r="J1330" s="15"/>
    </row>
    <row r="1331" spans="1:10" x14ac:dyDescent="0.25">
      <c r="A1331" s="2" t="s">
        <v>3989</v>
      </c>
      <c r="B1331" s="2" t="s">
        <v>3990</v>
      </c>
      <c r="C1331" s="2" t="s">
        <v>3991</v>
      </c>
      <c r="D1331" s="2" t="s">
        <v>10043</v>
      </c>
      <c r="E1331" s="15">
        <v>-4.4999999999999997E-3</v>
      </c>
      <c r="F1331" s="15">
        <v>8.3299999999999999E-2</v>
      </c>
      <c r="G1331" s="15">
        <v>0.95650000000000002</v>
      </c>
      <c r="H1331" s="15">
        <v>0.22320000000000001</v>
      </c>
      <c r="I1331" s="15">
        <v>4.7300000000000002E-2</v>
      </c>
      <c r="J1331" s="15">
        <v>4.7188160676532771</v>
      </c>
    </row>
    <row r="1332" spans="1:10" x14ac:dyDescent="0.25">
      <c r="A1332" s="2" t="s">
        <v>3992</v>
      </c>
      <c r="B1332" s="2" t="s">
        <v>3993</v>
      </c>
      <c r="C1332" s="2" t="s">
        <v>3994</v>
      </c>
      <c r="D1332" s="2" t="s">
        <v>10043</v>
      </c>
      <c r="E1332" s="15">
        <v>5.0999999999999997E-2</v>
      </c>
      <c r="F1332" s="15">
        <v>7.7399999999999997E-2</v>
      </c>
      <c r="G1332" s="15">
        <v>0.50990000000000002</v>
      </c>
      <c r="H1332" s="15">
        <v>0.20810000000000001</v>
      </c>
      <c r="I1332" s="15">
        <v>4.4999999999999998E-2</v>
      </c>
      <c r="J1332" s="15">
        <v>4.6244444444444444</v>
      </c>
    </row>
    <row r="1333" spans="1:10" x14ac:dyDescent="0.25">
      <c r="A1333" s="2" t="s">
        <v>3995</v>
      </c>
      <c r="B1333" s="2" t="s">
        <v>3996</v>
      </c>
      <c r="C1333" s="2" t="s">
        <v>3997</v>
      </c>
      <c r="D1333" s="2" t="s">
        <v>10043</v>
      </c>
      <c r="E1333" s="15">
        <v>-0.16439999999999999</v>
      </c>
      <c r="F1333" s="15">
        <v>0.1638</v>
      </c>
      <c r="G1333" s="15">
        <v>0.31540000000000001</v>
      </c>
      <c r="H1333" s="15">
        <v>5.9299999999999999E-2</v>
      </c>
      <c r="I1333" s="15">
        <v>3.8899999999999997E-2</v>
      </c>
      <c r="J1333" s="15">
        <v>1.524421593830334</v>
      </c>
    </row>
    <row r="1334" spans="1:10" x14ac:dyDescent="0.25">
      <c r="A1334" s="2" t="s">
        <v>3998</v>
      </c>
      <c r="B1334" s="2" t="s">
        <v>3999</v>
      </c>
      <c r="C1334" s="2" t="s">
        <v>4000</v>
      </c>
      <c r="D1334" s="2" t="s">
        <v>10043</v>
      </c>
      <c r="E1334" s="15"/>
      <c r="F1334" s="15"/>
      <c r="G1334" s="15"/>
      <c r="H1334" s="15">
        <v>-4.6699999999999998E-2</v>
      </c>
      <c r="I1334" s="15">
        <v>4.1000000000000002E-2</v>
      </c>
      <c r="J1334" s="15">
        <v>-1.1390243902439019</v>
      </c>
    </row>
    <row r="1335" spans="1:10" x14ac:dyDescent="0.25">
      <c r="A1335" s="2" t="s">
        <v>4001</v>
      </c>
      <c r="B1335" s="2" t="s">
        <v>4002</v>
      </c>
      <c r="C1335" s="2" t="s">
        <v>4003</v>
      </c>
      <c r="D1335" s="2" t="s">
        <v>10043</v>
      </c>
      <c r="E1335" s="15">
        <v>0.1285</v>
      </c>
      <c r="F1335" s="15">
        <v>9.2499999999999999E-2</v>
      </c>
      <c r="G1335" s="15">
        <v>0.16470000000000001</v>
      </c>
      <c r="H1335" s="15">
        <v>0.16200000000000001</v>
      </c>
      <c r="I1335" s="15">
        <v>4.8500000000000001E-2</v>
      </c>
      <c r="J1335" s="15">
        <v>3.34020618556701</v>
      </c>
    </row>
    <row r="1336" spans="1:10" x14ac:dyDescent="0.25">
      <c r="A1336" s="2" t="s">
        <v>4004</v>
      </c>
      <c r="B1336" s="2" t="s">
        <v>4005</v>
      </c>
      <c r="C1336" s="2" t="s">
        <v>4006</v>
      </c>
      <c r="D1336" s="2" t="s">
        <v>10043</v>
      </c>
      <c r="E1336" s="15">
        <v>-2.1700000000000001E-2</v>
      </c>
      <c r="F1336" s="15">
        <v>0.1157</v>
      </c>
      <c r="G1336" s="15">
        <v>0.85160000000000002</v>
      </c>
      <c r="H1336" s="15">
        <v>0.1138</v>
      </c>
      <c r="I1336" s="15">
        <v>4.7600000000000003E-2</v>
      </c>
      <c r="J1336" s="15">
        <v>2.3907563025210079</v>
      </c>
    </row>
    <row r="1337" spans="1:10" x14ac:dyDescent="0.25">
      <c r="A1337" s="2" t="s">
        <v>4007</v>
      </c>
      <c r="B1337" s="2" t="s">
        <v>4008</v>
      </c>
      <c r="C1337" s="2" t="s">
        <v>4009</v>
      </c>
      <c r="D1337" s="2" t="s">
        <v>10043</v>
      </c>
      <c r="E1337" s="15">
        <v>-0.10780000000000001</v>
      </c>
      <c r="F1337" s="15">
        <v>0.10580000000000001</v>
      </c>
      <c r="G1337" s="15">
        <v>0.30830000000000002</v>
      </c>
      <c r="H1337" s="15">
        <v>9.98E-2</v>
      </c>
      <c r="I1337" s="15">
        <v>4.1000000000000002E-2</v>
      </c>
      <c r="J1337" s="15">
        <v>2.434146341463415</v>
      </c>
    </row>
    <row r="1338" spans="1:10" x14ac:dyDescent="0.25">
      <c r="A1338" s="2" t="s">
        <v>4010</v>
      </c>
      <c r="B1338" s="2" t="s">
        <v>4011</v>
      </c>
      <c r="C1338" s="2" t="s">
        <v>4012</v>
      </c>
      <c r="D1338" s="2" t="s">
        <v>10043</v>
      </c>
      <c r="E1338" s="15">
        <v>-0.16159999999999999</v>
      </c>
      <c r="F1338" s="15">
        <v>9.2499999999999999E-2</v>
      </c>
      <c r="G1338" s="15">
        <v>8.0600000000000005E-2</v>
      </c>
      <c r="H1338" s="15">
        <v>0.14419999999999999</v>
      </c>
      <c r="I1338" s="15">
        <v>4.24E-2</v>
      </c>
      <c r="J1338" s="15">
        <v>3.4009433962264151</v>
      </c>
    </row>
    <row r="1339" spans="1:10" x14ac:dyDescent="0.25">
      <c r="A1339" s="2" t="s">
        <v>4013</v>
      </c>
      <c r="B1339" s="2" t="s">
        <v>4014</v>
      </c>
      <c r="C1339" s="2" t="s">
        <v>4015</v>
      </c>
      <c r="D1339" s="2" t="s">
        <v>10043</v>
      </c>
      <c r="E1339" s="15">
        <v>5.9799999999999999E-2</v>
      </c>
      <c r="F1339" s="15">
        <v>9.9299999999999999E-2</v>
      </c>
      <c r="G1339" s="15">
        <v>0.54649999999999999</v>
      </c>
      <c r="H1339" s="15">
        <v>0.1459</v>
      </c>
      <c r="I1339" s="15">
        <v>4.36E-2</v>
      </c>
      <c r="J1339" s="15">
        <v>3.346330275229358</v>
      </c>
    </row>
    <row r="1340" spans="1:10" x14ac:dyDescent="0.25">
      <c r="A1340" s="2" t="s">
        <v>4016</v>
      </c>
      <c r="B1340" s="2" t="s">
        <v>4017</v>
      </c>
      <c r="C1340" s="2" t="s">
        <v>4018</v>
      </c>
      <c r="D1340" s="2" t="s">
        <v>10043</v>
      </c>
      <c r="E1340" s="15">
        <v>-8.3000000000000001E-3</v>
      </c>
      <c r="F1340" s="15">
        <v>0.1009</v>
      </c>
      <c r="G1340" s="15">
        <v>0.93400000000000005</v>
      </c>
      <c r="H1340" s="15">
        <v>0.1226</v>
      </c>
      <c r="I1340" s="15">
        <v>4.3200000000000002E-2</v>
      </c>
      <c r="J1340" s="15">
        <v>2.8379629629629628</v>
      </c>
    </row>
    <row r="1341" spans="1:10" x14ac:dyDescent="0.25">
      <c r="A1341" s="2" t="s">
        <v>4019</v>
      </c>
      <c r="B1341" s="2" t="s">
        <v>4020</v>
      </c>
      <c r="C1341" s="2" t="s">
        <v>4021</v>
      </c>
      <c r="D1341" s="2" t="s">
        <v>10043</v>
      </c>
      <c r="E1341" s="15">
        <v>-9.1999999999999998E-2</v>
      </c>
      <c r="F1341" s="15">
        <v>8.43E-2</v>
      </c>
      <c r="G1341" s="15">
        <v>0.27560000000000001</v>
      </c>
      <c r="H1341" s="15">
        <v>0.20580000000000001</v>
      </c>
      <c r="I1341" s="15">
        <v>4.6699999999999998E-2</v>
      </c>
      <c r="J1341" s="15">
        <v>4.4068522483940047</v>
      </c>
    </row>
    <row r="1342" spans="1:10" x14ac:dyDescent="0.25">
      <c r="A1342" s="2" t="s">
        <v>4022</v>
      </c>
      <c r="B1342" s="2" t="s">
        <v>4023</v>
      </c>
      <c r="C1342" s="2" t="s">
        <v>4024</v>
      </c>
      <c r="D1342" s="2" t="s">
        <v>10043</v>
      </c>
      <c r="E1342" s="15">
        <v>-0.1082</v>
      </c>
      <c r="F1342" s="15">
        <v>7.7600000000000002E-2</v>
      </c>
      <c r="G1342" s="15">
        <v>0.1633</v>
      </c>
      <c r="H1342" s="15">
        <v>0.1757</v>
      </c>
      <c r="I1342" s="15">
        <v>4.8599999999999997E-2</v>
      </c>
      <c r="J1342" s="15">
        <v>3.61522633744856</v>
      </c>
    </row>
    <row r="1343" spans="1:10" x14ac:dyDescent="0.25">
      <c r="A1343" s="2" t="s">
        <v>4025</v>
      </c>
      <c r="B1343" s="2" t="s">
        <v>4026</v>
      </c>
      <c r="C1343" s="2" t="s">
        <v>4027</v>
      </c>
      <c r="D1343" s="2" t="s">
        <v>10043</v>
      </c>
      <c r="E1343" s="15">
        <v>2.0400000000000001E-2</v>
      </c>
      <c r="F1343" s="15">
        <v>8.2500000000000004E-2</v>
      </c>
      <c r="G1343" s="15">
        <v>0.80469999999999997</v>
      </c>
      <c r="H1343" s="15">
        <v>0.17349999999999999</v>
      </c>
      <c r="I1343" s="15">
        <v>6.3200000000000006E-2</v>
      </c>
      <c r="J1343" s="15">
        <v>2.7452531645569618</v>
      </c>
    </row>
    <row r="1344" spans="1:10" x14ac:dyDescent="0.25">
      <c r="A1344" s="2" t="s">
        <v>4028</v>
      </c>
      <c r="B1344" s="2" t="s">
        <v>4029</v>
      </c>
      <c r="C1344" s="2" t="s">
        <v>4030</v>
      </c>
      <c r="D1344" s="2" t="s">
        <v>10043</v>
      </c>
      <c r="E1344" s="15">
        <v>4.53E-2</v>
      </c>
      <c r="F1344" s="15">
        <v>6.7799999999999999E-2</v>
      </c>
      <c r="G1344" s="15">
        <v>0.50380000000000003</v>
      </c>
      <c r="H1344" s="15">
        <v>0.28160000000000002</v>
      </c>
      <c r="I1344" s="15">
        <v>4.7500000000000001E-2</v>
      </c>
      <c r="J1344" s="15">
        <v>5.9284210526315793</v>
      </c>
    </row>
    <row r="1345" spans="1:10" x14ac:dyDescent="0.25">
      <c r="A1345" s="2" t="s">
        <v>4031</v>
      </c>
      <c r="B1345" s="2" t="s">
        <v>4032</v>
      </c>
      <c r="C1345" s="2" t="s">
        <v>4033</v>
      </c>
      <c r="D1345" s="2" t="s">
        <v>10043</v>
      </c>
      <c r="E1345" s="15">
        <v>3.56E-2</v>
      </c>
      <c r="F1345" s="15">
        <v>6.2700000000000006E-2</v>
      </c>
      <c r="G1345" s="15">
        <v>0.57020000000000004</v>
      </c>
      <c r="H1345" s="15">
        <v>0.25359999999999999</v>
      </c>
      <c r="I1345" s="15">
        <v>4.4200000000000003E-2</v>
      </c>
      <c r="J1345" s="15">
        <v>5.737556561085972</v>
      </c>
    </row>
    <row r="1346" spans="1:10" x14ac:dyDescent="0.25">
      <c r="A1346" s="2" t="s">
        <v>4034</v>
      </c>
      <c r="B1346" s="2" t="s">
        <v>4035</v>
      </c>
      <c r="C1346" s="2" t="s">
        <v>4036</v>
      </c>
      <c r="D1346" s="2" t="s">
        <v>10043</v>
      </c>
      <c r="E1346" s="15">
        <v>-0.1401</v>
      </c>
      <c r="F1346" s="15">
        <v>7.6499999999999999E-2</v>
      </c>
      <c r="G1346" s="15">
        <v>6.7199999999999996E-2</v>
      </c>
      <c r="H1346" s="15">
        <v>0.23699999999999999</v>
      </c>
      <c r="I1346" s="15">
        <v>4.7199999999999999E-2</v>
      </c>
      <c r="J1346" s="15">
        <v>5.0211864406779663</v>
      </c>
    </row>
    <row r="1347" spans="1:10" x14ac:dyDescent="0.25">
      <c r="A1347" s="2" t="s">
        <v>4037</v>
      </c>
      <c r="B1347" s="2" t="s">
        <v>4038</v>
      </c>
      <c r="C1347" s="2" t="s">
        <v>4039</v>
      </c>
      <c r="D1347" s="2" t="s">
        <v>10043</v>
      </c>
      <c r="E1347" s="15">
        <v>-7.0599999999999996E-2</v>
      </c>
      <c r="F1347" s="15">
        <v>7.3499999999999996E-2</v>
      </c>
      <c r="G1347" s="15">
        <v>0.33629999999999999</v>
      </c>
      <c r="H1347" s="15">
        <v>0.2283</v>
      </c>
      <c r="I1347" s="15">
        <v>4.6800000000000001E-2</v>
      </c>
      <c r="J1347" s="15">
        <v>4.8782051282051277</v>
      </c>
    </row>
    <row r="1348" spans="1:10" x14ac:dyDescent="0.25">
      <c r="A1348" s="2" t="s">
        <v>4040</v>
      </c>
      <c r="B1348" s="2" t="s">
        <v>4041</v>
      </c>
      <c r="C1348" s="2" t="s">
        <v>4042</v>
      </c>
      <c r="D1348" s="2" t="s">
        <v>10043</v>
      </c>
      <c r="E1348" s="15">
        <v>6.9999999999999999E-4</v>
      </c>
      <c r="F1348" s="15">
        <v>0.1323</v>
      </c>
      <c r="G1348" s="15">
        <v>0.99560000000000004</v>
      </c>
      <c r="H1348" s="15">
        <v>6.4600000000000005E-2</v>
      </c>
      <c r="I1348" s="15">
        <v>4.7300000000000002E-2</v>
      </c>
      <c r="J1348" s="15">
        <v>1.3657505285412259</v>
      </c>
    </row>
    <row r="1349" spans="1:10" x14ac:dyDescent="0.25">
      <c r="A1349" s="2" t="s">
        <v>4043</v>
      </c>
      <c r="B1349" s="2" t="s">
        <v>4044</v>
      </c>
      <c r="C1349" s="2" t="s">
        <v>4045</v>
      </c>
      <c r="D1349" s="2" t="s">
        <v>10043</v>
      </c>
      <c r="E1349" s="15">
        <v>-9.0700000000000003E-2</v>
      </c>
      <c r="F1349" s="15">
        <v>9.64E-2</v>
      </c>
      <c r="G1349" s="15">
        <v>0.34660000000000002</v>
      </c>
      <c r="H1349" s="15">
        <v>0.1396</v>
      </c>
      <c r="I1349" s="15">
        <v>4.3499999999999997E-2</v>
      </c>
      <c r="J1349" s="15">
        <v>3.2091954022988509</v>
      </c>
    </row>
    <row r="1350" spans="1:10" x14ac:dyDescent="0.25">
      <c r="A1350" s="2" t="s">
        <v>4046</v>
      </c>
      <c r="B1350" s="2" t="s">
        <v>4047</v>
      </c>
      <c r="C1350" s="2" t="s">
        <v>4048</v>
      </c>
      <c r="D1350" s="2" t="s">
        <v>10043</v>
      </c>
      <c r="E1350" s="15">
        <v>-1.8700000000000001E-2</v>
      </c>
      <c r="F1350" s="15">
        <v>0.1144</v>
      </c>
      <c r="G1350" s="15">
        <v>0.87029999999999996</v>
      </c>
      <c r="H1350" s="15">
        <v>8.7800000000000003E-2</v>
      </c>
      <c r="I1350" s="15">
        <v>4.7899999999999998E-2</v>
      </c>
      <c r="J1350" s="15">
        <v>1.832985386221295</v>
      </c>
    </row>
    <row r="1351" spans="1:10" x14ac:dyDescent="0.25">
      <c r="A1351" s="2" t="s">
        <v>4049</v>
      </c>
      <c r="B1351" s="2" t="s">
        <v>4050</v>
      </c>
      <c r="C1351" s="2" t="s">
        <v>4051</v>
      </c>
      <c r="D1351" s="2" t="s">
        <v>10043</v>
      </c>
      <c r="E1351" s="15">
        <v>-6.1699999999999998E-2</v>
      </c>
      <c r="F1351" s="15">
        <v>7.22E-2</v>
      </c>
      <c r="G1351" s="15">
        <v>0.39300000000000002</v>
      </c>
      <c r="H1351" s="15">
        <v>0.25240000000000001</v>
      </c>
      <c r="I1351" s="15">
        <v>5.5199999999999999E-2</v>
      </c>
      <c r="J1351" s="15">
        <v>4.5724637681159424</v>
      </c>
    </row>
    <row r="1352" spans="1:10" x14ac:dyDescent="0.25">
      <c r="A1352" s="2" t="s">
        <v>4052</v>
      </c>
      <c r="B1352" s="2" t="s">
        <v>4053</v>
      </c>
      <c r="C1352" s="2" t="s">
        <v>4054</v>
      </c>
      <c r="D1352" s="2" t="s">
        <v>10043</v>
      </c>
      <c r="E1352" s="15">
        <v>1.03E-2</v>
      </c>
      <c r="F1352" s="15">
        <v>7.9299999999999995E-2</v>
      </c>
      <c r="G1352" s="15">
        <v>0.8962</v>
      </c>
      <c r="H1352" s="15">
        <v>0.1895</v>
      </c>
      <c r="I1352" s="15">
        <v>5.2499999999999998E-2</v>
      </c>
      <c r="J1352" s="15">
        <v>3.60952380952381</v>
      </c>
    </row>
    <row r="1353" spans="1:10" x14ac:dyDescent="0.25">
      <c r="A1353" s="2" t="s">
        <v>4055</v>
      </c>
      <c r="B1353" s="2" t="s">
        <v>4056</v>
      </c>
      <c r="C1353" s="2" t="s">
        <v>4057</v>
      </c>
      <c r="D1353" s="2" t="s">
        <v>10043</v>
      </c>
      <c r="E1353" s="15">
        <v>0.14649999999999999</v>
      </c>
      <c r="F1353" s="15">
        <v>0.1186</v>
      </c>
      <c r="G1353" s="15">
        <v>0.21659999999999999</v>
      </c>
      <c r="H1353" s="15">
        <v>9.3600000000000003E-2</v>
      </c>
      <c r="I1353" s="15">
        <v>3.9300000000000002E-2</v>
      </c>
      <c r="J1353" s="15">
        <v>2.3816793893129771</v>
      </c>
    </row>
    <row r="1354" spans="1:10" x14ac:dyDescent="0.25">
      <c r="A1354" s="2" t="s">
        <v>4058</v>
      </c>
      <c r="B1354" s="2" t="s">
        <v>4059</v>
      </c>
      <c r="C1354" s="2" t="s">
        <v>4060</v>
      </c>
      <c r="D1354" s="2" t="s">
        <v>10043</v>
      </c>
      <c r="E1354" s="15">
        <v>-9.7299999999999998E-2</v>
      </c>
      <c r="F1354" s="15">
        <v>8.5999999999999993E-2</v>
      </c>
      <c r="G1354" s="15">
        <v>0.25800000000000001</v>
      </c>
      <c r="H1354" s="15">
        <v>0.2001</v>
      </c>
      <c r="I1354" s="15">
        <v>5.04E-2</v>
      </c>
      <c r="J1354" s="15">
        <v>3.9702380952380949</v>
      </c>
    </row>
    <row r="1355" spans="1:10" x14ac:dyDescent="0.25">
      <c r="A1355" s="2" t="s">
        <v>4061</v>
      </c>
      <c r="B1355" s="2" t="s">
        <v>4062</v>
      </c>
      <c r="C1355" s="2" t="s">
        <v>4063</v>
      </c>
      <c r="D1355" s="2" t="s">
        <v>10043</v>
      </c>
      <c r="E1355" s="15">
        <v>-5.8299999999999998E-2</v>
      </c>
      <c r="F1355" s="15">
        <v>8.1900000000000001E-2</v>
      </c>
      <c r="G1355" s="15">
        <v>0.47710000000000002</v>
      </c>
      <c r="H1355" s="15">
        <v>0.1971</v>
      </c>
      <c r="I1355" s="15">
        <v>4.5499999999999999E-2</v>
      </c>
      <c r="J1355" s="15">
        <v>4.3318681318681316</v>
      </c>
    </row>
    <row r="1356" spans="1:10" x14ac:dyDescent="0.25">
      <c r="A1356" s="2" t="s">
        <v>4064</v>
      </c>
      <c r="B1356" s="2" t="s">
        <v>4065</v>
      </c>
      <c r="C1356" s="2" t="s">
        <v>4066</v>
      </c>
      <c r="D1356" s="2" t="s">
        <v>10043</v>
      </c>
      <c r="E1356" s="15">
        <v>-8.0600000000000005E-2</v>
      </c>
      <c r="F1356" s="15">
        <v>0.1021</v>
      </c>
      <c r="G1356" s="15">
        <v>0.4299</v>
      </c>
      <c r="H1356" s="15">
        <v>0.1106</v>
      </c>
      <c r="I1356" s="15">
        <v>4.4299999999999999E-2</v>
      </c>
      <c r="J1356" s="15">
        <v>2.496613995485327</v>
      </c>
    </row>
    <row r="1357" spans="1:10" x14ac:dyDescent="0.25">
      <c r="A1357" s="2" t="s">
        <v>4067</v>
      </c>
      <c r="B1357" s="2" t="s">
        <v>4068</v>
      </c>
      <c r="C1357" s="2" t="s">
        <v>4069</v>
      </c>
      <c r="D1357" s="2" t="s">
        <v>10043</v>
      </c>
      <c r="E1357" s="15">
        <v>-6.6699999999999995E-2</v>
      </c>
      <c r="F1357" s="15">
        <v>8.6300000000000002E-2</v>
      </c>
      <c r="G1357" s="15">
        <v>0.43959999999999999</v>
      </c>
      <c r="H1357" s="15">
        <v>0.17199999999999999</v>
      </c>
      <c r="I1357" s="15">
        <v>6.0900000000000003E-2</v>
      </c>
      <c r="J1357" s="15">
        <v>2.8243021346469619</v>
      </c>
    </row>
    <row r="1358" spans="1:10" x14ac:dyDescent="0.25">
      <c r="A1358" s="2" t="s">
        <v>4070</v>
      </c>
      <c r="B1358" s="2" t="s">
        <v>4071</v>
      </c>
      <c r="C1358" s="2" t="s">
        <v>4072</v>
      </c>
      <c r="D1358" s="2" t="s">
        <v>10043</v>
      </c>
      <c r="E1358" s="15">
        <v>4.7399999999999998E-2</v>
      </c>
      <c r="F1358" s="15">
        <v>6.7699999999999996E-2</v>
      </c>
      <c r="G1358" s="15">
        <v>0.48380000000000001</v>
      </c>
      <c r="H1358" s="15">
        <v>0.3054</v>
      </c>
      <c r="I1358" s="15">
        <v>5.0799999999999998E-2</v>
      </c>
      <c r="J1358" s="15">
        <v>6.0118110236220472</v>
      </c>
    </row>
    <row r="1359" spans="1:10" x14ac:dyDescent="0.25">
      <c r="A1359" s="2" t="s">
        <v>4073</v>
      </c>
      <c r="B1359" s="2" t="s">
        <v>4074</v>
      </c>
      <c r="C1359" s="2" t="s">
        <v>4075</v>
      </c>
      <c r="D1359" s="2" t="s">
        <v>10043</v>
      </c>
      <c r="E1359" s="15">
        <v>1.8499999999999999E-2</v>
      </c>
      <c r="F1359" s="15">
        <v>6.25E-2</v>
      </c>
      <c r="G1359" s="15">
        <v>0.76670000000000005</v>
      </c>
      <c r="H1359" s="15">
        <v>0.30180000000000001</v>
      </c>
      <c r="I1359" s="15">
        <v>4.9099999999999998E-2</v>
      </c>
      <c r="J1359" s="15">
        <v>6.1466395112016299</v>
      </c>
    </row>
    <row r="1360" spans="1:10" x14ac:dyDescent="0.25">
      <c r="A1360" s="2" t="s">
        <v>4076</v>
      </c>
      <c r="B1360" s="2" t="s">
        <v>4077</v>
      </c>
      <c r="C1360" s="2" t="s">
        <v>4078</v>
      </c>
      <c r="D1360" s="2" t="s">
        <v>10043</v>
      </c>
      <c r="E1360" s="15">
        <v>-0.17119999999999999</v>
      </c>
      <c r="F1360" s="15">
        <v>9.1200000000000003E-2</v>
      </c>
      <c r="G1360" s="15">
        <v>6.0299999999999999E-2</v>
      </c>
      <c r="H1360" s="15">
        <v>0.18060000000000001</v>
      </c>
      <c r="I1360" s="15">
        <v>5.0099999999999999E-2</v>
      </c>
      <c r="J1360" s="15">
        <v>3.6047904191616769</v>
      </c>
    </row>
    <row r="1361" spans="1:10" x14ac:dyDescent="0.25">
      <c r="A1361" s="2" t="s">
        <v>4079</v>
      </c>
      <c r="B1361" s="2" t="s">
        <v>4080</v>
      </c>
      <c r="C1361" s="2" t="s">
        <v>4081</v>
      </c>
      <c r="D1361" s="2" t="s">
        <v>10043</v>
      </c>
      <c r="E1361" s="15">
        <v>-0.12820000000000001</v>
      </c>
      <c r="F1361" s="15">
        <v>7.4899999999999994E-2</v>
      </c>
      <c r="G1361" s="15">
        <v>8.6999999999999994E-2</v>
      </c>
      <c r="H1361" s="15">
        <v>0.22889999999999999</v>
      </c>
      <c r="I1361" s="15">
        <v>4.6199999999999998E-2</v>
      </c>
      <c r="J1361" s="15">
        <v>4.954545454545455</v>
      </c>
    </row>
    <row r="1362" spans="1:10" x14ac:dyDescent="0.25">
      <c r="A1362" s="2" t="s">
        <v>4082</v>
      </c>
      <c r="B1362" s="2" t="s">
        <v>4083</v>
      </c>
      <c r="C1362" s="2" t="s">
        <v>4084</v>
      </c>
      <c r="D1362" s="2" t="s">
        <v>10043</v>
      </c>
      <c r="E1362" s="15">
        <v>-5.1299999999999998E-2</v>
      </c>
      <c r="F1362" s="15">
        <v>8.5099999999999995E-2</v>
      </c>
      <c r="G1362" s="15">
        <v>0.54659999999999997</v>
      </c>
      <c r="H1362" s="15">
        <v>0.13650000000000001</v>
      </c>
      <c r="I1362" s="15">
        <v>4.8300000000000003E-2</v>
      </c>
      <c r="J1362" s="15">
        <v>2.8260869565217388</v>
      </c>
    </row>
    <row r="1363" spans="1:10" x14ac:dyDescent="0.25">
      <c r="A1363" s="2" t="s">
        <v>4085</v>
      </c>
      <c r="B1363" s="2" t="s">
        <v>4086</v>
      </c>
      <c r="C1363" s="2" t="s">
        <v>4087</v>
      </c>
      <c r="D1363" s="2" t="s">
        <v>10043</v>
      </c>
      <c r="E1363" s="15">
        <v>-7.2099999999999997E-2</v>
      </c>
      <c r="F1363" s="15">
        <v>7.6100000000000001E-2</v>
      </c>
      <c r="G1363" s="15">
        <v>0.34350000000000003</v>
      </c>
      <c r="H1363" s="15">
        <v>0.21759999999999999</v>
      </c>
      <c r="I1363" s="15">
        <v>4.3099999999999999E-2</v>
      </c>
      <c r="J1363" s="15">
        <v>5.0487238979118327</v>
      </c>
    </row>
    <row r="1364" spans="1:10" x14ac:dyDescent="0.25">
      <c r="A1364" s="2" t="s">
        <v>4088</v>
      </c>
      <c r="B1364" s="2" t="s">
        <v>4089</v>
      </c>
      <c r="C1364" s="2" t="s">
        <v>4090</v>
      </c>
      <c r="D1364" s="2" t="s">
        <v>10043</v>
      </c>
      <c r="E1364" s="15">
        <v>-0.1138</v>
      </c>
      <c r="F1364" s="15">
        <v>9.0499999999999997E-2</v>
      </c>
      <c r="G1364" s="15">
        <v>0.20830000000000001</v>
      </c>
      <c r="H1364" s="15">
        <v>0.14000000000000001</v>
      </c>
      <c r="I1364" s="15">
        <v>4.2000000000000003E-2</v>
      </c>
      <c r="J1364" s="15">
        <v>3.333333333333333</v>
      </c>
    </row>
    <row r="1365" spans="1:10" x14ac:dyDescent="0.25">
      <c r="A1365" s="2" t="s">
        <v>4091</v>
      </c>
      <c r="B1365" s="2" t="s">
        <v>4092</v>
      </c>
      <c r="C1365" s="2" t="s">
        <v>4093</v>
      </c>
      <c r="D1365" s="2" t="s">
        <v>10043</v>
      </c>
      <c r="E1365" s="15">
        <v>-4.0399999999999998E-2</v>
      </c>
      <c r="F1365" s="15">
        <v>7.0499999999999993E-2</v>
      </c>
      <c r="G1365" s="15">
        <v>0.56669999999999998</v>
      </c>
      <c r="H1365" s="15">
        <v>0.25790000000000002</v>
      </c>
      <c r="I1365" s="15">
        <v>5.5E-2</v>
      </c>
      <c r="J1365" s="15">
        <v>4.6890909090909094</v>
      </c>
    </row>
    <row r="1366" spans="1:10" x14ac:dyDescent="0.25">
      <c r="A1366" s="2" t="s">
        <v>4094</v>
      </c>
      <c r="B1366" s="2" t="s">
        <v>4095</v>
      </c>
      <c r="C1366" s="2" t="s">
        <v>4096</v>
      </c>
      <c r="D1366" s="2" t="s">
        <v>10043</v>
      </c>
      <c r="E1366" s="15">
        <v>-6.3200000000000006E-2</v>
      </c>
      <c r="F1366" s="15">
        <v>0.1055</v>
      </c>
      <c r="G1366" s="15">
        <v>0.54930000000000001</v>
      </c>
      <c r="H1366" s="15">
        <v>0.10580000000000001</v>
      </c>
      <c r="I1366" s="15">
        <v>4.7600000000000003E-2</v>
      </c>
      <c r="J1366" s="15">
        <v>2.2226890756302522</v>
      </c>
    </row>
    <row r="1367" spans="1:10" x14ac:dyDescent="0.25">
      <c r="A1367" s="2" t="s">
        <v>4097</v>
      </c>
      <c r="B1367" s="2" t="s">
        <v>4098</v>
      </c>
      <c r="C1367" s="2" t="s">
        <v>4099</v>
      </c>
      <c r="D1367" s="2" t="s">
        <v>10043</v>
      </c>
      <c r="E1367" s="15">
        <v>1.8599999999999998E-2</v>
      </c>
      <c r="F1367" s="15">
        <v>0.15190000000000001</v>
      </c>
      <c r="G1367" s="15">
        <v>0.90229999999999999</v>
      </c>
      <c r="H1367" s="15">
        <v>6.4600000000000005E-2</v>
      </c>
      <c r="I1367" s="15">
        <v>4.7300000000000002E-2</v>
      </c>
      <c r="J1367" s="15">
        <v>1.3657505285412259</v>
      </c>
    </row>
    <row r="1368" spans="1:10" x14ac:dyDescent="0.25">
      <c r="A1368" s="2" t="s">
        <v>4100</v>
      </c>
      <c r="B1368" s="2" t="s">
        <v>4101</v>
      </c>
      <c r="C1368" s="2" t="s">
        <v>4102</v>
      </c>
      <c r="D1368" s="2" t="s">
        <v>10043</v>
      </c>
      <c r="E1368" s="15">
        <v>-8.3299999999999999E-2</v>
      </c>
      <c r="F1368" s="15">
        <v>9.6500000000000002E-2</v>
      </c>
      <c r="G1368" s="15">
        <v>0.3881</v>
      </c>
      <c r="H1368" s="15">
        <v>0.1128</v>
      </c>
      <c r="I1368" s="15">
        <v>5.2400000000000002E-2</v>
      </c>
      <c r="J1368" s="15">
        <v>2.1526717557251911</v>
      </c>
    </row>
    <row r="1369" spans="1:10" x14ac:dyDescent="0.25">
      <c r="A1369" s="2" t="s">
        <v>4103</v>
      </c>
      <c r="B1369" s="2" t="s">
        <v>4104</v>
      </c>
      <c r="C1369" s="2" t="s">
        <v>4105</v>
      </c>
      <c r="D1369" s="2" t="s">
        <v>10044</v>
      </c>
      <c r="E1369" s="15">
        <v>6.8500000000000005E-2</v>
      </c>
      <c r="F1369" s="15">
        <v>0.1099</v>
      </c>
      <c r="G1369" s="15">
        <v>0.53290000000000004</v>
      </c>
      <c r="H1369" s="15">
        <v>8.6400000000000005E-2</v>
      </c>
      <c r="I1369" s="15">
        <v>4.1200000000000001E-2</v>
      </c>
      <c r="J1369" s="15">
        <v>2.0970873786407771</v>
      </c>
    </row>
    <row r="1370" spans="1:10" x14ac:dyDescent="0.25">
      <c r="A1370" s="2" t="s">
        <v>4106</v>
      </c>
      <c r="B1370" s="2" t="s">
        <v>4107</v>
      </c>
      <c r="C1370" s="2" t="s">
        <v>4108</v>
      </c>
      <c r="D1370" s="2" t="s">
        <v>10044</v>
      </c>
      <c r="E1370" s="15">
        <v>8.1500000000000003E-2</v>
      </c>
      <c r="F1370" s="15">
        <v>8.0100000000000005E-2</v>
      </c>
      <c r="G1370" s="15">
        <v>0.30880000000000002</v>
      </c>
      <c r="H1370" s="15">
        <v>0.18940000000000001</v>
      </c>
      <c r="I1370" s="15">
        <v>4.5699999999999998E-2</v>
      </c>
      <c r="J1370" s="15">
        <v>4.1444201312910289</v>
      </c>
    </row>
    <row r="1371" spans="1:10" x14ac:dyDescent="0.25">
      <c r="A1371" s="2" t="s">
        <v>4109</v>
      </c>
      <c r="B1371" s="2" t="s">
        <v>4110</v>
      </c>
      <c r="C1371" s="2" t="s">
        <v>4111</v>
      </c>
      <c r="D1371" s="2" t="s">
        <v>10044</v>
      </c>
      <c r="E1371" s="15">
        <v>0.26979999999999998</v>
      </c>
      <c r="F1371" s="15">
        <v>0.28689999999999999</v>
      </c>
      <c r="G1371" s="15">
        <v>0.34699999999999998</v>
      </c>
      <c r="H1371" s="15">
        <v>2.7699999999999999E-2</v>
      </c>
      <c r="I1371" s="15">
        <v>3.7400000000000003E-2</v>
      </c>
      <c r="J1371" s="15">
        <v>0.74064171122994649</v>
      </c>
    </row>
    <row r="1372" spans="1:10" x14ac:dyDescent="0.25">
      <c r="A1372" s="2" t="s">
        <v>4112</v>
      </c>
      <c r="B1372" s="2" t="s">
        <v>4113</v>
      </c>
      <c r="C1372" s="2" t="s">
        <v>4114</v>
      </c>
      <c r="D1372" s="2" t="s">
        <v>10044</v>
      </c>
      <c r="E1372" s="15">
        <v>-5.1400000000000001E-2</v>
      </c>
      <c r="F1372" s="15">
        <v>6.4299999999999996E-2</v>
      </c>
      <c r="G1372" s="15">
        <v>0.4244</v>
      </c>
      <c r="H1372" s="15">
        <v>0.38129999999999997</v>
      </c>
      <c r="I1372" s="15">
        <v>5.0299999999999997E-2</v>
      </c>
      <c r="J1372" s="15">
        <v>7.5805168986083498</v>
      </c>
    </row>
    <row r="1373" spans="1:10" x14ac:dyDescent="0.25">
      <c r="A1373" s="2" t="s">
        <v>4115</v>
      </c>
      <c r="B1373" s="2" t="s">
        <v>4116</v>
      </c>
      <c r="C1373" s="2" t="s">
        <v>4117</v>
      </c>
      <c r="D1373" s="2" t="s">
        <v>10044</v>
      </c>
      <c r="E1373" s="15">
        <v>-5.1200000000000002E-2</v>
      </c>
      <c r="F1373" s="15">
        <v>6.7799999999999999E-2</v>
      </c>
      <c r="G1373" s="15">
        <v>0.4501</v>
      </c>
      <c r="H1373" s="15">
        <v>0.25180000000000002</v>
      </c>
      <c r="I1373" s="15">
        <v>6.4199999999999993E-2</v>
      </c>
      <c r="J1373" s="15">
        <v>3.9221183800623058</v>
      </c>
    </row>
    <row r="1374" spans="1:10" x14ac:dyDescent="0.25">
      <c r="A1374" s="2" t="s">
        <v>4118</v>
      </c>
      <c r="B1374" s="2" t="s">
        <v>4119</v>
      </c>
      <c r="C1374" s="2" t="s">
        <v>4120</v>
      </c>
      <c r="D1374" s="2" t="s">
        <v>10044</v>
      </c>
      <c r="E1374" s="15">
        <v>0.19950000000000001</v>
      </c>
      <c r="F1374" s="15">
        <v>8.5999999999999993E-2</v>
      </c>
      <c r="G1374" s="15">
        <v>2.0400000000000001E-2</v>
      </c>
      <c r="H1374" s="15">
        <v>0.17050000000000001</v>
      </c>
      <c r="I1374" s="15">
        <v>4.9700000000000001E-2</v>
      </c>
      <c r="J1374" s="15">
        <v>3.430583501006037</v>
      </c>
    </row>
    <row r="1375" spans="1:10" x14ac:dyDescent="0.25">
      <c r="A1375" s="2" t="s">
        <v>4121</v>
      </c>
      <c r="B1375" s="2" t="s">
        <v>4122</v>
      </c>
      <c r="C1375" s="2" t="s">
        <v>4123</v>
      </c>
      <c r="D1375" s="2" t="s">
        <v>10044</v>
      </c>
      <c r="E1375" s="15">
        <v>5.2499999999999998E-2</v>
      </c>
      <c r="F1375" s="15">
        <v>6.4299999999999996E-2</v>
      </c>
      <c r="G1375" s="15">
        <v>0.4143</v>
      </c>
      <c r="H1375" s="15">
        <v>0.3886</v>
      </c>
      <c r="I1375" s="15">
        <v>5.9200000000000003E-2</v>
      </c>
      <c r="J1375" s="15">
        <v>6.5641891891891886</v>
      </c>
    </row>
    <row r="1376" spans="1:10" x14ac:dyDescent="0.25">
      <c r="A1376" s="2" t="s">
        <v>4124</v>
      </c>
      <c r="B1376" s="2" t="s">
        <v>4125</v>
      </c>
      <c r="C1376" s="2" t="s">
        <v>4126</v>
      </c>
      <c r="D1376" s="2" t="s">
        <v>10044</v>
      </c>
      <c r="E1376" s="15">
        <v>1.47E-2</v>
      </c>
      <c r="F1376" s="15">
        <v>6.93E-2</v>
      </c>
      <c r="G1376" s="15">
        <v>0.83179999999999998</v>
      </c>
      <c r="H1376" s="15">
        <v>0.31090000000000001</v>
      </c>
      <c r="I1376" s="15">
        <v>5.3800000000000001E-2</v>
      </c>
      <c r="J1376" s="15">
        <v>5.7788104089219328</v>
      </c>
    </row>
    <row r="1377" spans="1:10" x14ac:dyDescent="0.25">
      <c r="A1377" s="2" t="s">
        <v>4127</v>
      </c>
      <c r="B1377" s="2" t="s">
        <v>4128</v>
      </c>
      <c r="C1377" s="2" t="s">
        <v>4129</v>
      </c>
      <c r="D1377" s="2" t="s">
        <v>10044</v>
      </c>
      <c r="E1377" s="15">
        <v>4.1300000000000003E-2</v>
      </c>
      <c r="F1377" s="15">
        <v>6.7000000000000004E-2</v>
      </c>
      <c r="G1377" s="15">
        <v>0.53720000000000001</v>
      </c>
      <c r="H1377" s="15">
        <v>0.36109999999999998</v>
      </c>
      <c r="I1377" s="15">
        <v>5.8400000000000001E-2</v>
      </c>
      <c r="J1377" s="15">
        <v>6.183219178082191</v>
      </c>
    </row>
    <row r="1378" spans="1:10" x14ac:dyDescent="0.25">
      <c r="A1378" s="2" t="s">
        <v>4130</v>
      </c>
      <c r="B1378" s="2" t="s">
        <v>4131</v>
      </c>
      <c r="C1378" s="2" t="s">
        <v>4132</v>
      </c>
      <c r="D1378" s="2" t="s">
        <v>10044</v>
      </c>
      <c r="E1378" s="15">
        <v>-1.9800000000000002E-2</v>
      </c>
      <c r="F1378" s="15">
        <v>6.4299999999999996E-2</v>
      </c>
      <c r="G1378" s="15">
        <v>0.75880000000000003</v>
      </c>
      <c r="H1378" s="15">
        <v>0.3095</v>
      </c>
      <c r="I1378" s="15">
        <v>6.0299999999999999E-2</v>
      </c>
      <c r="J1378" s="15">
        <v>5.1326699834162524</v>
      </c>
    </row>
    <row r="1379" spans="1:10" x14ac:dyDescent="0.25">
      <c r="A1379" s="2" t="s">
        <v>4133</v>
      </c>
      <c r="B1379" s="2" t="s">
        <v>4134</v>
      </c>
      <c r="C1379" s="2" t="s">
        <v>4135</v>
      </c>
      <c r="D1379" s="2" t="s">
        <v>10044</v>
      </c>
      <c r="E1379" s="15">
        <v>1.34E-2</v>
      </c>
      <c r="F1379" s="15">
        <v>6.8099999999999994E-2</v>
      </c>
      <c r="G1379" s="15">
        <v>0.84399999999999997</v>
      </c>
      <c r="H1379" s="15">
        <v>0.2878</v>
      </c>
      <c r="I1379" s="15">
        <v>5.4699999999999999E-2</v>
      </c>
      <c r="J1379" s="15">
        <v>5.2614259597806221</v>
      </c>
    </row>
    <row r="1380" spans="1:10" x14ac:dyDescent="0.25">
      <c r="A1380" s="2" t="s">
        <v>4136</v>
      </c>
      <c r="B1380" s="2" t="s">
        <v>4137</v>
      </c>
      <c r="C1380" s="2" t="s">
        <v>4138</v>
      </c>
      <c r="D1380" s="2" t="s">
        <v>10044</v>
      </c>
      <c r="E1380" s="15">
        <v>-1.5699999999999999E-2</v>
      </c>
      <c r="F1380" s="15">
        <v>6.6199999999999995E-2</v>
      </c>
      <c r="G1380" s="15">
        <v>0.81240000000000001</v>
      </c>
      <c r="H1380" s="15">
        <v>0.32619999999999999</v>
      </c>
      <c r="I1380" s="15">
        <v>5.7500000000000002E-2</v>
      </c>
      <c r="J1380" s="15">
        <v>5.673043478260869</v>
      </c>
    </row>
    <row r="1381" spans="1:10" x14ac:dyDescent="0.25">
      <c r="A1381" s="2" t="s">
        <v>4139</v>
      </c>
      <c r="B1381" s="2" t="s">
        <v>4140</v>
      </c>
      <c r="C1381" s="2" t="s">
        <v>4141</v>
      </c>
      <c r="D1381" s="2" t="s">
        <v>10044</v>
      </c>
      <c r="E1381" s="15">
        <v>5.16E-2</v>
      </c>
      <c r="F1381" s="15">
        <v>6.1800000000000001E-2</v>
      </c>
      <c r="G1381" s="15">
        <v>0.40410000000000001</v>
      </c>
      <c r="H1381" s="15">
        <v>0.34110000000000001</v>
      </c>
      <c r="I1381" s="15">
        <v>5.3800000000000001E-2</v>
      </c>
      <c r="J1381" s="15">
        <v>6.3401486988847582</v>
      </c>
    </row>
    <row r="1382" spans="1:10" x14ac:dyDescent="0.25">
      <c r="A1382" s="2" t="s">
        <v>4142</v>
      </c>
      <c r="B1382" s="2" t="s">
        <v>4143</v>
      </c>
      <c r="C1382" s="2" t="s">
        <v>4144</v>
      </c>
      <c r="D1382" s="2" t="s">
        <v>10044</v>
      </c>
      <c r="E1382" s="15">
        <v>9.1999999999999998E-3</v>
      </c>
      <c r="F1382" s="15">
        <v>7.2300000000000003E-2</v>
      </c>
      <c r="G1382" s="15">
        <v>0.8992</v>
      </c>
      <c r="H1382" s="15">
        <v>0.26579999999999998</v>
      </c>
      <c r="I1382" s="15">
        <v>5.2299999999999999E-2</v>
      </c>
      <c r="J1382" s="15">
        <v>5.0822179732313568</v>
      </c>
    </row>
    <row r="1383" spans="1:10" x14ac:dyDescent="0.25">
      <c r="A1383" s="2" t="s">
        <v>4145</v>
      </c>
      <c r="B1383" s="2" t="s">
        <v>4146</v>
      </c>
      <c r="C1383" s="2" t="s">
        <v>4147</v>
      </c>
      <c r="D1383" s="2" t="s">
        <v>10044</v>
      </c>
      <c r="E1383" s="15">
        <v>8.9599999999999999E-2</v>
      </c>
      <c r="F1383" s="15">
        <v>6.7699999999999996E-2</v>
      </c>
      <c r="G1383" s="15">
        <v>0.1857</v>
      </c>
      <c r="H1383" s="15">
        <v>0.33710000000000001</v>
      </c>
      <c r="I1383" s="15">
        <v>5.79E-2</v>
      </c>
      <c r="J1383" s="15">
        <v>5.8221070811744386</v>
      </c>
    </row>
    <row r="1384" spans="1:10" x14ac:dyDescent="0.25">
      <c r="A1384" s="2" t="s">
        <v>4148</v>
      </c>
      <c r="B1384" s="2" t="s">
        <v>4149</v>
      </c>
      <c r="C1384" s="2" t="s">
        <v>4150</v>
      </c>
      <c r="D1384" s="2" t="s">
        <v>10044</v>
      </c>
      <c r="E1384" s="15">
        <v>5.6099999999999997E-2</v>
      </c>
      <c r="F1384" s="15">
        <v>7.5600000000000001E-2</v>
      </c>
      <c r="G1384" s="15">
        <v>0.4582</v>
      </c>
      <c r="H1384" s="15">
        <v>0.23250000000000001</v>
      </c>
      <c r="I1384" s="15">
        <v>5.2499999999999998E-2</v>
      </c>
      <c r="J1384" s="15">
        <v>4.4285714285714288</v>
      </c>
    </row>
    <row r="1385" spans="1:10" x14ac:dyDescent="0.25">
      <c r="A1385" s="2" t="s">
        <v>4151</v>
      </c>
      <c r="B1385" s="2" t="s">
        <v>4152</v>
      </c>
      <c r="C1385" s="2" t="s">
        <v>4153</v>
      </c>
      <c r="D1385" s="2" t="s">
        <v>10044</v>
      </c>
      <c r="E1385" s="15">
        <v>-6.9500000000000006E-2</v>
      </c>
      <c r="F1385" s="15">
        <v>6.93E-2</v>
      </c>
      <c r="G1385" s="15">
        <v>0.31569999999999998</v>
      </c>
      <c r="H1385" s="15">
        <v>0.28939999999999999</v>
      </c>
      <c r="I1385" s="15">
        <v>5.04E-2</v>
      </c>
      <c r="J1385" s="15">
        <v>5.7420634920634921</v>
      </c>
    </row>
    <row r="1386" spans="1:10" x14ac:dyDescent="0.25">
      <c r="A1386" s="2" t="s">
        <v>4154</v>
      </c>
      <c r="B1386" s="2" t="s">
        <v>4155</v>
      </c>
      <c r="C1386" s="2" t="s">
        <v>4156</v>
      </c>
      <c r="D1386" s="2" t="s">
        <v>10044</v>
      </c>
      <c r="E1386" s="15">
        <v>-3.3099999999999997E-2</v>
      </c>
      <c r="F1386" s="15">
        <v>6.8500000000000005E-2</v>
      </c>
      <c r="G1386" s="15">
        <v>0.62860000000000005</v>
      </c>
      <c r="H1386" s="15">
        <v>0.32829999999999998</v>
      </c>
      <c r="I1386" s="15">
        <v>5.2900000000000003E-2</v>
      </c>
      <c r="J1386" s="15">
        <v>6.2060491493383738</v>
      </c>
    </row>
    <row r="1387" spans="1:10" x14ac:dyDescent="0.25">
      <c r="A1387" s="2" t="s">
        <v>4157</v>
      </c>
      <c r="B1387" s="2" t="s">
        <v>4158</v>
      </c>
      <c r="C1387" s="2" t="s">
        <v>4159</v>
      </c>
      <c r="D1387" s="2" t="s">
        <v>10044</v>
      </c>
      <c r="E1387" s="15">
        <v>-1.4999999999999999E-2</v>
      </c>
      <c r="F1387" s="15">
        <v>6.4100000000000004E-2</v>
      </c>
      <c r="G1387" s="15">
        <v>0.81459999999999999</v>
      </c>
      <c r="H1387" s="15">
        <v>0.35420000000000001</v>
      </c>
      <c r="I1387" s="15">
        <v>5.2999999999999999E-2</v>
      </c>
      <c r="J1387" s="15">
        <v>6.6830188679245284</v>
      </c>
    </row>
    <row r="1388" spans="1:10" x14ac:dyDescent="0.25">
      <c r="A1388" s="2" t="s">
        <v>4160</v>
      </c>
      <c r="B1388" s="2" t="s">
        <v>4161</v>
      </c>
      <c r="C1388" s="2" t="s">
        <v>4162</v>
      </c>
      <c r="D1388" s="2" t="s">
        <v>10044</v>
      </c>
      <c r="E1388" s="15">
        <v>-4.7600000000000003E-2</v>
      </c>
      <c r="F1388" s="15">
        <v>7.0499999999999993E-2</v>
      </c>
      <c r="G1388" s="15">
        <v>0.49959999999999999</v>
      </c>
      <c r="H1388" s="15">
        <v>0.30370000000000003</v>
      </c>
      <c r="I1388" s="15">
        <v>5.2499999999999998E-2</v>
      </c>
      <c r="J1388" s="15">
        <v>5.7847619047619059</v>
      </c>
    </row>
    <row r="1389" spans="1:10" x14ac:dyDescent="0.25">
      <c r="A1389" s="2" t="s">
        <v>4163</v>
      </c>
      <c r="B1389" s="2" t="s">
        <v>4164</v>
      </c>
      <c r="C1389" s="2" t="s">
        <v>4165</v>
      </c>
      <c r="D1389" s="2" t="s">
        <v>10044</v>
      </c>
      <c r="E1389" s="15">
        <v>4.7800000000000002E-2</v>
      </c>
      <c r="F1389" s="15">
        <v>7.6200000000000004E-2</v>
      </c>
      <c r="G1389" s="15">
        <v>0.5302</v>
      </c>
      <c r="H1389" s="15">
        <v>0.22259999999999999</v>
      </c>
      <c r="I1389" s="15">
        <v>4.9299999999999997E-2</v>
      </c>
      <c r="J1389" s="15">
        <v>4.5152129817444218</v>
      </c>
    </row>
    <row r="1390" spans="1:10" x14ac:dyDescent="0.25">
      <c r="A1390" s="2" t="s">
        <v>4166</v>
      </c>
      <c r="B1390" s="2" t="s">
        <v>4167</v>
      </c>
      <c r="C1390" s="2" t="s">
        <v>4168</v>
      </c>
      <c r="D1390" s="2" t="s">
        <v>10044</v>
      </c>
      <c r="E1390" s="15">
        <v>-4.3E-3</v>
      </c>
      <c r="F1390" s="15">
        <v>6.9800000000000001E-2</v>
      </c>
      <c r="G1390" s="15">
        <v>0.95130000000000003</v>
      </c>
      <c r="H1390" s="15">
        <v>0.27700000000000002</v>
      </c>
      <c r="I1390" s="15">
        <v>5.5399999999999998E-2</v>
      </c>
      <c r="J1390" s="15">
        <v>5.0000000000000009</v>
      </c>
    </row>
    <row r="1391" spans="1:10" x14ac:dyDescent="0.25">
      <c r="A1391" s="2" t="s">
        <v>4169</v>
      </c>
      <c r="B1391" s="2" t="s">
        <v>4170</v>
      </c>
      <c r="C1391" s="2" t="s">
        <v>4171</v>
      </c>
      <c r="D1391" s="2" t="s">
        <v>10044</v>
      </c>
      <c r="E1391" s="15">
        <v>6.3E-2</v>
      </c>
      <c r="F1391" s="15">
        <v>7.85E-2</v>
      </c>
      <c r="G1391" s="15">
        <v>0.4224</v>
      </c>
      <c r="H1391" s="15">
        <v>0.23480000000000001</v>
      </c>
      <c r="I1391" s="15">
        <v>4.8899999999999999E-2</v>
      </c>
      <c r="J1391" s="15">
        <v>4.8016359918200413</v>
      </c>
    </row>
    <row r="1392" spans="1:10" x14ac:dyDescent="0.25">
      <c r="A1392" s="2" t="s">
        <v>4172</v>
      </c>
      <c r="B1392" s="2" t="s">
        <v>4173</v>
      </c>
      <c r="C1392" s="2" t="s">
        <v>4174</v>
      </c>
      <c r="D1392" s="2" t="s">
        <v>10044</v>
      </c>
      <c r="E1392" s="15">
        <v>-8.3900000000000002E-2</v>
      </c>
      <c r="F1392" s="15">
        <v>6.4000000000000001E-2</v>
      </c>
      <c r="G1392" s="15">
        <v>0.18970000000000001</v>
      </c>
      <c r="H1392" s="15">
        <v>0.34079999999999999</v>
      </c>
      <c r="I1392" s="15">
        <v>5.6800000000000003E-2</v>
      </c>
      <c r="J1392" s="15">
        <v>5.9999999999999991</v>
      </c>
    </row>
    <row r="1393" spans="1:10" x14ac:dyDescent="0.25">
      <c r="A1393" s="2" t="s">
        <v>4175</v>
      </c>
      <c r="B1393" s="2" t="s">
        <v>4176</v>
      </c>
      <c r="C1393" s="2" t="s">
        <v>4177</v>
      </c>
      <c r="D1393" s="2" t="s">
        <v>10044</v>
      </c>
      <c r="E1393" s="15">
        <v>1.35E-2</v>
      </c>
      <c r="F1393" s="15">
        <v>6.8000000000000005E-2</v>
      </c>
      <c r="G1393" s="15">
        <v>0.84330000000000005</v>
      </c>
      <c r="H1393" s="15">
        <v>0.33950000000000002</v>
      </c>
      <c r="I1393" s="15">
        <v>5.8999999999999997E-2</v>
      </c>
      <c r="J1393" s="15">
        <v>5.7542372881355943</v>
      </c>
    </row>
    <row r="1394" spans="1:10" x14ac:dyDescent="0.25">
      <c r="A1394" s="2" t="s">
        <v>4178</v>
      </c>
      <c r="B1394" s="2" t="s">
        <v>4179</v>
      </c>
      <c r="C1394" s="2" t="s">
        <v>4180</v>
      </c>
      <c r="D1394" s="2" t="s">
        <v>10044</v>
      </c>
      <c r="E1394" s="15">
        <v>2.1299999999999999E-2</v>
      </c>
      <c r="F1394" s="15">
        <v>6.4500000000000002E-2</v>
      </c>
      <c r="G1394" s="15">
        <v>0.74160000000000004</v>
      </c>
      <c r="H1394" s="15">
        <v>0.29110000000000003</v>
      </c>
      <c r="I1394" s="15">
        <v>4.9200000000000001E-2</v>
      </c>
      <c r="J1394" s="15">
        <v>5.916666666666667</v>
      </c>
    </row>
    <row r="1395" spans="1:10" x14ac:dyDescent="0.25">
      <c r="A1395" s="2" t="s">
        <v>4181</v>
      </c>
      <c r="B1395" s="2" t="s">
        <v>4182</v>
      </c>
      <c r="C1395" s="2" t="s">
        <v>4183</v>
      </c>
      <c r="D1395" s="2" t="s">
        <v>10044</v>
      </c>
      <c r="E1395" s="15">
        <v>-8.9999999999999998E-4</v>
      </c>
      <c r="F1395" s="15">
        <v>6.6500000000000004E-2</v>
      </c>
      <c r="G1395" s="15">
        <v>0.9889</v>
      </c>
      <c r="H1395" s="15">
        <v>0.36609999999999998</v>
      </c>
      <c r="I1395" s="15">
        <v>6.0400000000000002E-2</v>
      </c>
      <c r="J1395" s="15">
        <v>6.0612582781456954</v>
      </c>
    </row>
    <row r="1396" spans="1:10" x14ac:dyDescent="0.25">
      <c r="A1396" s="2" t="s">
        <v>4184</v>
      </c>
      <c r="B1396" s="2" t="s">
        <v>4185</v>
      </c>
      <c r="C1396" s="2" t="s">
        <v>4186</v>
      </c>
      <c r="D1396" s="2" t="s">
        <v>10044</v>
      </c>
      <c r="E1396" s="15">
        <v>-1.2999999999999999E-2</v>
      </c>
      <c r="F1396" s="15">
        <v>6.2300000000000001E-2</v>
      </c>
      <c r="G1396" s="15">
        <v>0.83420000000000005</v>
      </c>
      <c r="H1396" s="15">
        <v>0.3866</v>
      </c>
      <c r="I1396" s="15">
        <v>5.4699999999999999E-2</v>
      </c>
      <c r="J1396" s="15">
        <v>7.0676416819012804</v>
      </c>
    </row>
    <row r="1397" spans="1:10" x14ac:dyDescent="0.25">
      <c r="A1397" s="2" t="s">
        <v>4187</v>
      </c>
      <c r="B1397" s="2" t="s">
        <v>4188</v>
      </c>
      <c r="C1397" s="2" t="s">
        <v>4189</v>
      </c>
      <c r="D1397" s="2" t="s">
        <v>10044</v>
      </c>
      <c r="E1397" s="15">
        <v>-1.2999999999999999E-3</v>
      </c>
      <c r="F1397" s="15">
        <v>7.0400000000000004E-2</v>
      </c>
      <c r="G1397" s="15">
        <v>0.98519999999999996</v>
      </c>
      <c r="H1397" s="15">
        <v>0.31840000000000002</v>
      </c>
      <c r="I1397" s="15">
        <v>5.6300000000000003E-2</v>
      </c>
      <c r="J1397" s="15">
        <v>5.6554174067495557</v>
      </c>
    </row>
    <row r="1398" spans="1:10" x14ac:dyDescent="0.25">
      <c r="A1398" s="2" t="s">
        <v>4190</v>
      </c>
      <c r="B1398" s="2" t="s">
        <v>4191</v>
      </c>
      <c r="C1398" s="2" t="s">
        <v>4192</v>
      </c>
      <c r="D1398" s="2" t="s">
        <v>10044</v>
      </c>
      <c r="E1398" s="15">
        <v>7.0999999999999994E-2</v>
      </c>
      <c r="F1398" s="15">
        <v>6.3399999999999998E-2</v>
      </c>
      <c r="G1398" s="15">
        <v>0.26290000000000002</v>
      </c>
      <c r="H1398" s="15">
        <v>0.35510000000000003</v>
      </c>
      <c r="I1398" s="15">
        <v>5.0099999999999999E-2</v>
      </c>
      <c r="J1398" s="15">
        <v>7.0878243512974057</v>
      </c>
    </row>
    <row r="1399" spans="1:10" x14ac:dyDescent="0.25">
      <c r="A1399" s="2" t="s">
        <v>4193</v>
      </c>
      <c r="B1399" s="2" t="s">
        <v>4194</v>
      </c>
      <c r="C1399" s="2" t="s">
        <v>4195</v>
      </c>
      <c r="D1399" s="2" t="s">
        <v>10044</v>
      </c>
      <c r="E1399" s="15">
        <v>3.1699999999999999E-2</v>
      </c>
      <c r="F1399" s="15">
        <v>7.1900000000000006E-2</v>
      </c>
      <c r="G1399" s="15">
        <v>0.65869999999999995</v>
      </c>
      <c r="H1399" s="15">
        <v>0.32069999999999999</v>
      </c>
      <c r="I1399" s="15">
        <v>5.33E-2</v>
      </c>
      <c r="J1399" s="15">
        <v>6.0168855534709191</v>
      </c>
    </row>
    <row r="1400" spans="1:10" x14ac:dyDescent="0.25">
      <c r="A1400" s="2" t="s">
        <v>4196</v>
      </c>
      <c r="B1400" s="2" t="s">
        <v>4197</v>
      </c>
      <c r="C1400" s="2" t="s">
        <v>4198</v>
      </c>
      <c r="D1400" s="2" t="s">
        <v>10044</v>
      </c>
      <c r="E1400" s="15">
        <v>-4.9099999999999998E-2</v>
      </c>
      <c r="F1400" s="15">
        <v>7.51E-2</v>
      </c>
      <c r="G1400" s="15">
        <v>0.5131</v>
      </c>
      <c r="H1400" s="15">
        <v>0.2281</v>
      </c>
      <c r="I1400" s="15">
        <v>5.1900000000000002E-2</v>
      </c>
      <c r="J1400" s="15">
        <v>4.3949903660886314</v>
      </c>
    </row>
    <row r="1401" spans="1:10" x14ac:dyDescent="0.25">
      <c r="A1401" s="2" t="s">
        <v>4199</v>
      </c>
      <c r="B1401" s="2" t="s">
        <v>4200</v>
      </c>
      <c r="C1401" s="2" t="s">
        <v>4201</v>
      </c>
      <c r="D1401" s="2" t="s">
        <v>10044</v>
      </c>
      <c r="E1401" s="15">
        <v>0.11550000000000001</v>
      </c>
      <c r="F1401" s="15">
        <v>8.1000000000000003E-2</v>
      </c>
      <c r="G1401" s="15">
        <v>0.1537</v>
      </c>
      <c r="H1401" s="15">
        <v>0.2399</v>
      </c>
      <c r="I1401" s="15">
        <v>4.7300000000000002E-2</v>
      </c>
      <c r="J1401" s="15">
        <v>5.0718816067653272</v>
      </c>
    </row>
    <row r="1402" spans="1:10" x14ac:dyDescent="0.25">
      <c r="A1402" s="2" t="s">
        <v>4202</v>
      </c>
      <c r="B1402" s="2" t="s">
        <v>4203</v>
      </c>
      <c r="C1402" s="2" t="s">
        <v>4204</v>
      </c>
      <c r="D1402" s="2" t="s">
        <v>10044</v>
      </c>
      <c r="E1402" s="15">
        <v>4.8000000000000001E-2</v>
      </c>
      <c r="F1402" s="15">
        <v>7.17E-2</v>
      </c>
      <c r="G1402" s="15">
        <v>0.50360000000000005</v>
      </c>
      <c r="H1402" s="15">
        <v>0.26490000000000002</v>
      </c>
      <c r="I1402" s="15">
        <v>5.8099999999999999E-2</v>
      </c>
      <c r="J1402" s="15">
        <v>4.5593803786574876</v>
      </c>
    </row>
    <row r="1403" spans="1:10" x14ac:dyDescent="0.25">
      <c r="A1403" s="2" t="s">
        <v>4205</v>
      </c>
      <c r="B1403" s="2" t="s">
        <v>4206</v>
      </c>
      <c r="C1403" s="2" t="s">
        <v>4207</v>
      </c>
      <c r="D1403" s="2" t="s">
        <v>10044</v>
      </c>
      <c r="E1403" s="15">
        <v>5.04E-2</v>
      </c>
      <c r="F1403" s="15">
        <v>7.1499999999999994E-2</v>
      </c>
      <c r="G1403" s="15">
        <v>0.48120000000000002</v>
      </c>
      <c r="H1403" s="15">
        <v>0.24929999999999999</v>
      </c>
      <c r="I1403" s="15">
        <v>5.1900000000000002E-2</v>
      </c>
      <c r="J1403" s="15">
        <v>4.8034682080924851</v>
      </c>
    </row>
    <row r="1404" spans="1:10" x14ac:dyDescent="0.25">
      <c r="A1404" s="2" t="s">
        <v>4208</v>
      </c>
      <c r="B1404" s="2" t="s">
        <v>4209</v>
      </c>
      <c r="C1404" s="2" t="s">
        <v>4210</v>
      </c>
      <c r="D1404" s="2" t="s">
        <v>10044</v>
      </c>
      <c r="E1404" s="15">
        <v>-4.8300000000000003E-2</v>
      </c>
      <c r="F1404" s="15">
        <v>0.19009999999999999</v>
      </c>
      <c r="G1404" s="15">
        <v>0.79949999999999999</v>
      </c>
      <c r="H1404" s="15">
        <v>3.6700000000000003E-2</v>
      </c>
      <c r="I1404" s="15">
        <v>4.5100000000000001E-2</v>
      </c>
      <c r="J1404" s="15">
        <v>0.81374722838137481</v>
      </c>
    </row>
    <row r="1405" spans="1:10" x14ac:dyDescent="0.25">
      <c r="A1405" s="2" t="s">
        <v>4211</v>
      </c>
      <c r="B1405" s="2" t="s">
        <v>4212</v>
      </c>
      <c r="C1405" s="2" t="s">
        <v>4213</v>
      </c>
      <c r="D1405" s="2" t="s">
        <v>10044</v>
      </c>
      <c r="E1405" s="15">
        <v>4.9500000000000002E-2</v>
      </c>
      <c r="F1405" s="15">
        <v>7.4399999999999994E-2</v>
      </c>
      <c r="G1405" s="15">
        <v>0.50580000000000003</v>
      </c>
      <c r="H1405" s="15">
        <v>0.31230000000000002</v>
      </c>
      <c r="I1405" s="15">
        <v>5.2400000000000002E-2</v>
      </c>
      <c r="J1405" s="15">
        <v>5.9599236641221376</v>
      </c>
    </row>
    <row r="1406" spans="1:10" x14ac:dyDescent="0.25">
      <c r="A1406" s="2" t="s">
        <v>4214</v>
      </c>
      <c r="B1406" s="2" t="s">
        <v>4215</v>
      </c>
      <c r="C1406" s="2" t="s">
        <v>4216</v>
      </c>
      <c r="D1406" s="2" t="s">
        <v>10044</v>
      </c>
      <c r="E1406" s="15">
        <v>0.10009999999999999</v>
      </c>
      <c r="F1406" s="15">
        <v>9.8500000000000004E-2</v>
      </c>
      <c r="G1406" s="15">
        <v>0.3095</v>
      </c>
      <c r="H1406" s="15">
        <v>0.14979999999999999</v>
      </c>
      <c r="I1406" s="15">
        <v>4.24E-2</v>
      </c>
      <c r="J1406" s="15">
        <v>3.533018867924528</v>
      </c>
    </row>
    <row r="1407" spans="1:10" x14ac:dyDescent="0.25">
      <c r="A1407" s="2" t="s">
        <v>4217</v>
      </c>
      <c r="B1407" s="2" t="s">
        <v>4218</v>
      </c>
      <c r="C1407" s="2" t="s">
        <v>4219</v>
      </c>
      <c r="D1407" s="2" t="s">
        <v>10044</v>
      </c>
      <c r="E1407" s="15">
        <v>-6.6299999999999998E-2</v>
      </c>
      <c r="F1407" s="15">
        <v>7.2900000000000006E-2</v>
      </c>
      <c r="G1407" s="15">
        <v>0.36270000000000002</v>
      </c>
      <c r="H1407" s="15">
        <v>0.30730000000000002</v>
      </c>
      <c r="I1407" s="15">
        <v>5.0700000000000002E-2</v>
      </c>
      <c r="J1407" s="15">
        <v>6.0611439842209078</v>
      </c>
    </row>
    <row r="1408" spans="1:10" x14ac:dyDescent="0.25">
      <c r="A1408" s="2" t="s">
        <v>4220</v>
      </c>
      <c r="B1408" s="2" t="s">
        <v>4221</v>
      </c>
      <c r="C1408" s="2" t="s">
        <v>4222</v>
      </c>
      <c r="D1408" s="2" t="s">
        <v>10044</v>
      </c>
      <c r="E1408" s="15">
        <v>-9.74E-2</v>
      </c>
      <c r="F1408" s="15">
        <v>7.4800000000000005E-2</v>
      </c>
      <c r="G1408" s="15">
        <v>0.19270000000000001</v>
      </c>
      <c r="H1408" s="15">
        <v>0.25280000000000002</v>
      </c>
      <c r="I1408" s="15">
        <v>6.6500000000000004E-2</v>
      </c>
      <c r="J1408" s="15">
        <v>3.8015037593984959</v>
      </c>
    </row>
    <row r="1409" spans="1:10" x14ac:dyDescent="0.25">
      <c r="A1409" s="2" t="s">
        <v>4223</v>
      </c>
      <c r="B1409" s="2" t="s">
        <v>4224</v>
      </c>
      <c r="C1409" s="2" t="s">
        <v>4225</v>
      </c>
      <c r="D1409" s="2" t="s">
        <v>10044</v>
      </c>
      <c r="E1409" s="15">
        <v>0.2382</v>
      </c>
      <c r="F1409" s="15">
        <v>8.8999999999999996E-2</v>
      </c>
      <c r="G1409" s="15">
        <v>7.4000000000000003E-3</v>
      </c>
      <c r="H1409" s="15">
        <v>0.1802</v>
      </c>
      <c r="I1409" s="15">
        <v>4.7899999999999998E-2</v>
      </c>
      <c r="J1409" s="15">
        <v>3.762004175365345</v>
      </c>
    </row>
    <row r="1410" spans="1:10" x14ac:dyDescent="0.25">
      <c r="A1410" s="2" t="s">
        <v>4226</v>
      </c>
      <c r="B1410" s="2" t="s">
        <v>4227</v>
      </c>
      <c r="C1410" s="2" t="s">
        <v>4228</v>
      </c>
      <c r="D1410" s="2" t="s">
        <v>10044</v>
      </c>
      <c r="E1410" s="15">
        <v>6.0699999999999997E-2</v>
      </c>
      <c r="F1410" s="15">
        <v>6.5000000000000002E-2</v>
      </c>
      <c r="G1410" s="15">
        <v>0.35039999999999999</v>
      </c>
      <c r="H1410" s="15">
        <v>0.374</v>
      </c>
      <c r="I1410" s="15">
        <v>5.79E-2</v>
      </c>
      <c r="J1410" s="15">
        <v>6.4594127806563044</v>
      </c>
    </row>
    <row r="1411" spans="1:10" x14ac:dyDescent="0.25">
      <c r="A1411" s="2" t="s">
        <v>4229</v>
      </c>
      <c r="B1411" s="2" t="s">
        <v>4230</v>
      </c>
      <c r="C1411" s="2" t="s">
        <v>4231</v>
      </c>
      <c r="D1411" s="2" t="s">
        <v>10044</v>
      </c>
      <c r="E1411" s="15">
        <v>3.78E-2</v>
      </c>
      <c r="F1411" s="15">
        <v>6.7400000000000002E-2</v>
      </c>
      <c r="G1411" s="15">
        <v>0.57430000000000003</v>
      </c>
      <c r="H1411" s="15">
        <v>0.35310000000000002</v>
      </c>
      <c r="I1411" s="15">
        <v>5.7299999999999997E-2</v>
      </c>
      <c r="J1411" s="15">
        <v>6.1623036649214669</v>
      </c>
    </row>
    <row r="1412" spans="1:10" x14ac:dyDescent="0.25">
      <c r="A1412" s="2" t="s">
        <v>4232</v>
      </c>
      <c r="B1412" s="2" t="s">
        <v>4233</v>
      </c>
      <c r="C1412" s="2" t="s">
        <v>4234</v>
      </c>
      <c r="D1412" s="2" t="s">
        <v>10044</v>
      </c>
      <c r="E1412" s="15">
        <v>8.8499999999999995E-2</v>
      </c>
      <c r="F1412" s="15">
        <v>6.4699999999999994E-2</v>
      </c>
      <c r="G1412" s="15">
        <v>0.1714</v>
      </c>
      <c r="H1412" s="15">
        <v>0.3725</v>
      </c>
      <c r="I1412" s="15">
        <v>5.5599999999999997E-2</v>
      </c>
      <c r="J1412" s="15">
        <v>6.6996402877697836</v>
      </c>
    </row>
    <row r="1413" spans="1:10" x14ac:dyDescent="0.25">
      <c r="A1413" s="2" t="s">
        <v>4235</v>
      </c>
      <c r="B1413" s="2" t="s">
        <v>4236</v>
      </c>
      <c r="C1413" s="2" t="s">
        <v>4237</v>
      </c>
      <c r="D1413" s="2" t="s">
        <v>10044</v>
      </c>
      <c r="E1413" s="15">
        <v>3.3300000000000003E-2</v>
      </c>
      <c r="F1413" s="15">
        <v>7.6200000000000004E-2</v>
      </c>
      <c r="G1413" s="15">
        <v>0.66220000000000001</v>
      </c>
      <c r="H1413" s="15">
        <v>0.27560000000000001</v>
      </c>
      <c r="I1413" s="15">
        <v>5.2699999999999997E-2</v>
      </c>
      <c r="J1413" s="15">
        <v>5.2296015180265663</v>
      </c>
    </row>
    <row r="1414" spans="1:10" x14ac:dyDescent="0.25">
      <c r="A1414" s="2" t="s">
        <v>4238</v>
      </c>
      <c r="B1414" s="2" t="s">
        <v>4239</v>
      </c>
      <c r="C1414" s="2" t="s">
        <v>4240</v>
      </c>
      <c r="D1414" s="2" t="s">
        <v>10044</v>
      </c>
      <c r="E1414" s="15">
        <v>1.34E-2</v>
      </c>
      <c r="F1414" s="15">
        <v>7.2499999999999995E-2</v>
      </c>
      <c r="G1414" s="15">
        <v>0.85370000000000001</v>
      </c>
      <c r="H1414" s="15">
        <v>0.28399999999999997</v>
      </c>
      <c r="I1414" s="15">
        <v>5.3800000000000001E-2</v>
      </c>
      <c r="J1414" s="15">
        <v>5.2788104089219328</v>
      </c>
    </row>
    <row r="1415" spans="1:10" x14ac:dyDescent="0.25">
      <c r="A1415" s="2" t="s">
        <v>4241</v>
      </c>
      <c r="B1415" s="2" t="s">
        <v>4242</v>
      </c>
      <c r="C1415" s="2" t="s">
        <v>4243</v>
      </c>
      <c r="D1415" s="2" t="s">
        <v>10044</v>
      </c>
      <c r="E1415" s="15">
        <v>-8.5900000000000004E-2</v>
      </c>
      <c r="F1415" s="15">
        <v>7.6999999999999999E-2</v>
      </c>
      <c r="G1415" s="15">
        <v>0.26419999999999999</v>
      </c>
      <c r="H1415" s="15">
        <v>0.29399999999999998</v>
      </c>
      <c r="I1415" s="15">
        <v>5.3100000000000001E-2</v>
      </c>
      <c r="J1415" s="15">
        <v>5.5367231638418071</v>
      </c>
    </row>
    <row r="1416" spans="1:10" x14ac:dyDescent="0.25">
      <c r="A1416" s="2" t="s">
        <v>4244</v>
      </c>
      <c r="B1416" s="2" t="s">
        <v>4245</v>
      </c>
      <c r="C1416" s="2" t="s">
        <v>4246</v>
      </c>
      <c r="D1416" s="2" t="s">
        <v>10044</v>
      </c>
      <c r="E1416" s="15">
        <v>7.2400000000000006E-2</v>
      </c>
      <c r="F1416" s="15">
        <v>7.9299999999999995E-2</v>
      </c>
      <c r="G1416" s="15">
        <v>0.36109999999999998</v>
      </c>
      <c r="H1416" s="15">
        <v>0.22570000000000001</v>
      </c>
      <c r="I1416" s="15">
        <v>5.0799999999999998E-2</v>
      </c>
      <c r="J1416" s="15">
        <v>4.4429133858267722</v>
      </c>
    </row>
    <row r="1417" spans="1:10" x14ac:dyDescent="0.25">
      <c r="A1417" s="2" t="s">
        <v>4247</v>
      </c>
      <c r="B1417" s="2" t="s">
        <v>4248</v>
      </c>
      <c r="C1417" s="2" t="s">
        <v>4249</v>
      </c>
      <c r="D1417" s="2" t="s">
        <v>10044</v>
      </c>
      <c r="E1417" s="15">
        <v>-2.7099999999999999E-2</v>
      </c>
      <c r="F1417" s="15">
        <v>7.6600000000000001E-2</v>
      </c>
      <c r="G1417" s="15">
        <v>0.72360000000000002</v>
      </c>
      <c r="H1417" s="15">
        <v>0.26619999999999999</v>
      </c>
      <c r="I1417" s="15">
        <v>5.91E-2</v>
      </c>
      <c r="J1417" s="15">
        <v>4.5042301184433162</v>
      </c>
    </row>
    <row r="1418" spans="1:10" x14ac:dyDescent="0.25">
      <c r="A1418" s="2" t="s">
        <v>4250</v>
      </c>
      <c r="B1418" s="2" t="s">
        <v>4251</v>
      </c>
      <c r="C1418" s="2" t="s">
        <v>4252</v>
      </c>
      <c r="D1418" s="2" t="s">
        <v>10044</v>
      </c>
      <c r="E1418" s="15">
        <v>0.10730000000000001</v>
      </c>
      <c r="F1418" s="15">
        <v>6.7299999999999999E-2</v>
      </c>
      <c r="G1418" s="15">
        <v>0.111</v>
      </c>
      <c r="H1418" s="15">
        <v>0.32819999999999999</v>
      </c>
      <c r="I1418" s="15">
        <v>5.5100000000000003E-2</v>
      </c>
      <c r="J1418" s="15">
        <v>5.9564428312159707</v>
      </c>
    </row>
    <row r="1419" spans="1:10" x14ac:dyDescent="0.25">
      <c r="A1419" s="2" t="s">
        <v>4253</v>
      </c>
      <c r="B1419" s="2" t="s">
        <v>4254</v>
      </c>
      <c r="C1419" s="2" t="s">
        <v>4255</v>
      </c>
      <c r="D1419" s="2" t="s">
        <v>10044</v>
      </c>
      <c r="E1419" s="15">
        <v>9.4899999999999998E-2</v>
      </c>
      <c r="F1419" s="15">
        <v>7.4300000000000005E-2</v>
      </c>
      <c r="G1419" s="15">
        <v>0.20180000000000001</v>
      </c>
      <c r="H1419" s="15">
        <v>0.24299999999999999</v>
      </c>
      <c r="I1419" s="15">
        <v>5.2200000000000003E-2</v>
      </c>
      <c r="J1419" s="15">
        <v>4.6551724137931032</v>
      </c>
    </row>
    <row r="1420" spans="1:10" x14ac:dyDescent="0.25">
      <c r="A1420" s="2" t="s">
        <v>4256</v>
      </c>
      <c r="B1420" s="2" t="s">
        <v>4257</v>
      </c>
      <c r="C1420" s="2" t="s">
        <v>4258</v>
      </c>
      <c r="D1420" s="2" t="s">
        <v>10044</v>
      </c>
      <c r="E1420" s="15">
        <v>-5.2499999999999998E-2</v>
      </c>
      <c r="F1420" s="15">
        <v>6.5000000000000002E-2</v>
      </c>
      <c r="G1420" s="15">
        <v>0.4194</v>
      </c>
      <c r="H1420" s="15">
        <v>0.29959999999999998</v>
      </c>
      <c r="I1420" s="15">
        <v>4.7899999999999998E-2</v>
      </c>
      <c r="J1420" s="15">
        <v>6.2546972860125258</v>
      </c>
    </row>
    <row r="1421" spans="1:10" x14ac:dyDescent="0.25">
      <c r="A1421" s="2" t="s">
        <v>4259</v>
      </c>
      <c r="B1421" s="2" t="s">
        <v>4260</v>
      </c>
      <c r="C1421" s="2" t="s">
        <v>4261</v>
      </c>
      <c r="D1421" s="2" t="s">
        <v>10044</v>
      </c>
      <c r="E1421" s="15">
        <v>-5.5300000000000002E-2</v>
      </c>
      <c r="F1421" s="15">
        <v>7.1199999999999999E-2</v>
      </c>
      <c r="G1421" s="15">
        <v>0.43790000000000001</v>
      </c>
      <c r="H1421" s="15">
        <v>0.31159999999999999</v>
      </c>
      <c r="I1421" s="15">
        <v>5.1999999999999998E-2</v>
      </c>
      <c r="J1421" s="15">
        <v>5.9923076923076923</v>
      </c>
    </row>
    <row r="1422" spans="1:10" x14ac:dyDescent="0.25">
      <c r="A1422" s="2" t="s">
        <v>4262</v>
      </c>
      <c r="B1422" s="2" t="s">
        <v>4263</v>
      </c>
      <c r="C1422" s="2" t="s">
        <v>4264</v>
      </c>
      <c r="D1422" s="2" t="s">
        <v>10044</v>
      </c>
      <c r="E1422" s="15">
        <v>3.6400000000000002E-2</v>
      </c>
      <c r="F1422" s="15">
        <v>7.2599999999999998E-2</v>
      </c>
      <c r="G1422" s="15">
        <v>0.61639999999999995</v>
      </c>
      <c r="H1422" s="15">
        <v>0.32350000000000001</v>
      </c>
      <c r="I1422" s="15">
        <v>5.4600000000000003E-2</v>
      </c>
      <c r="J1422" s="15">
        <v>5.9249084249084252</v>
      </c>
    </row>
    <row r="1423" spans="1:10" x14ac:dyDescent="0.25">
      <c r="A1423" s="2" t="s">
        <v>4265</v>
      </c>
      <c r="B1423" s="2" t="s">
        <v>4266</v>
      </c>
      <c r="C1423" s="2" t="s">
        <v>4267</v>
      </c>
      <c r="D1423" s="2" t="s">
        <v>10044</v>
      </c>
      <c r="E1423" s="15">
        <v>-5.4999999999999997E-3</v>
      </c>
      <c r="F1423" s="15">
        <v>7.0300000000000001E-2</v>
      </c>
      <c r="G1423" s="15">
        <v>0.93769999999999998</v>
      </c>
      <c r="H1423" s="15">
        <v>0.31669999999999998</v>
      </c>
      <c r="I1423" s="15">
        <v>5.2400000000000002E-2</v>
      </c>
      <c r="J1423" s="15">
        <v>6.0438931297709919</v>
      </c>
    </row>
    <row r="1424" spans="1:10" x14ac:dyDescent="0.25">
      <c r="A1424" s="2" t="s">
        <v>4268</v>
      </c>
      <c r="B1424" s="2" t="s">
        <v>4269</v>
      </c>
      <c r="C1424" s="2" t="s">
        <v>4270</v>
      </c>
      <c r="D1424" s="2" t="s">
        <v>10044</v>
      </c>
      <c r="E1424" s="15">
        <v>3.1099999999999999E-2</v>
      </c>
      <c r="F1424" s="15">
        <v>7.9699999999999993E-2</v>
      </c>
      <c r="G1424" s="15">
        <v>0.69599999999999995</v>
      </c>
      <c r="H1424" s="15">
        <v>0.1976</v>
      </c>
      <c r="I1424" s="15">
        <v>5.1700000000000003E-2</v>
      </c>
      <c r="J1424" s="15">
        <v>3.8220502901353961</v>
      </c>
    </row>
    <row r="1425" spans="1:10" x14ac:dyDescent="0.25">
      <c r="A1425" s="2" t="s">
        <v>4271</v>
      </c>
      <c r="B1425" s="2" t="s">
        <v>4272</v>
      </c>
      <c r="C1425" s="2" t="s">
        <v>4273</v>
      </c>
      <c r="D1425" s="2" t="s">
        <v>10044</v>
      </c>
      <c r="E1425" s="15">
        <v>1.9599999999999999E-2</v>
      </c>
      <c r="F1425" s="15">
        <v>6.6799999999999998E-2</v>
      </c>
      <c r="G1425" s="15">
        <v>0.76910000000000001</v>
      </c>
      <c r="H1425" s="15">
        <v>0.26519999999999999</v>
      </c>
      <c r="I1425" s="15">
        <v>4.82E-2</v>
      </c>
      <c r="J1425" s="15">
        <v>5.5020746887966796</v>
      </c>
    </row>
    <row r="1426" spans="1:10" x14ac:dyDescent="0.25">
      <c r="A1426" s="2" t="s">
        <v>4274</v>
      </c>
      <c r="B1426" s="2" t="s">
        <v>4275</v>
      </c>
      <c r="C1426" s="2" t="s">
        <v>4276</v>
      </c>
      <c r="D1426" s="2" t="s">
        <v>10044</v>
      </c>
      <c r="E1426" s="15">
        <v>4.4400000000000002E-2</v>
      </c>
      <c r="F1426" s="15">
        <v>6.93E-2</v>
      </c>
      <c r="G1426" s="15">
        <v>0.52170000000000005</v>
      </c>
      <c r="H1426" s="15">
        <v>0.34939999999999999</v>
      </c>
      <c r="I1426" s="15">
        <v>5.2600000000000001E-2</v>
      </c>
      <c r="J1426" s="15">
        <v>6.6425855513307983</v>
      </c>
    </row>
    <row r="1427" spans="1:10" x14ac:dyDescent="0.25">
      <c r="A1427" s="2" t="s">
        <v>4277</v>
      </c>
      <c r="B1427" s="2" t="s">
        <v>4278</v>
      </c>
      <c r="C1427" s="2" t="s">
        <v>4279</v>
      </c>
      <c r="D1427" s="2" t="s">
        <v>10044</v>
      </c>
      <c r="E1427" s="15">
        <v>-5.91E-2</v>
      </c>
      <c r="F1427" s="15">
        <v>6.5299999999999997E-2</v>
      </c>
      <c r="G1427" s="15">
        <v>0.36549999999999999</v>
      </c>
      <c r="H1427" s="15">
        <v>0.31009999999999999</v>
      </c>
      <c r="I1427" s="15">
        <v>4.9599999999999998E-2</v>
      </c>
      <c r="J1427" s="15">
        <v>6.252016129032258</v>
      </c>
    </row>
    <row r="1428" spans="1:10" x14ac:dyDescent="0.25">
      <c r="A1428" s="2" t="s">
        <v>4280</v>
      </c>
      <c r="B1428" s="2" t="s">
        <v>4281</v>
      </c>
      <c r="C1428" s="2" t="s">
        <v>4282</v>
      </c>
      <c r="D1428" s="2" t="s">
        <v>10044</v>
      </c>
      <c r="E1428" s="15">
        <v>1E-3</v>
      </c>
      <c r="F1428" s="15">
        <v>6.6299999999999998E-2</v>
      </c>
      <c r="G1428" s="15">
        <v>0.98799999999999999</v>
      </c>
      <c r="H1428" s="15">
        <v>0.34389999999999998</v>
      </c>
      <c r="I1428" s="15">
        <v>6.0999999999999999E-2</v>
      </c>
      <c r="J1428" s="15">
        <v>5.6377049180327869</v>
      </c>
    </row>
    <row r="1429" spans="1:10" x14ac:dyDescent="0.25">
      <c r="A1429" s="2" t="s">
        <v>4283</v>
      </c>
      <c r="B1429" s="2" t="s">
        <v>4284</v>
      </c>
      <c r="C1429" s="2" t="s">
        <v>4285</v>
      </c>
      <c r="D1429" s="2" t="s">
        <v>10044</v>
      </c>
      <c r="E1429" s="15">
        <v>0.1176</v>
      </c>
      <c r="F1429" s="15">
        <v>7.2599999999999998E-2</v>
      </c>
      <c r="G1429" s="15">
        <v>0.10539999999999999</v>
      </c>
      <c r="H1429" s="15">
        <v>0.27750000000000002</v>
      </c>
      <c r="I1429" s="15">
        <v>4.7300000000000002E-2</v>
      </c>
      <c r="J1429" s="15">
        <v>5.866807610993658</v>
      </c>
    </row>
    <row r="1430" spans="1:10" x14ac:dyDescent="0.25">
      <c r="A1430" s="2" t="s">
        <v>4286</v>
      </c>
      <c r="B1430" s="2" t="s">
        <v>4287</v>
      </c>
      <c r="C1430" s="2" t="s">
        <v>4288</v>
      </c>
      <c r="D1430" s="2" t="s">
        <v>10044</v>
      </c>
      <c r="E1430" s="15">
        <v>-1.6E-2</v>
      </c>
      <c r="F1430" s="15">
        <v>6.6199999999999995E-2</v>
      </c>
      <c r="G1430" s="15">
        <v>0.8085</v>
      </c>
      <c r="H1430" s="15">
        <v>0.36499999999999999</v>
      </c>
      <c r="I1430" s="15">
        <v>6.0600000000000001E-2</v>
      </c>
      <c r="J1430" s="15">
        <v>6.0231023102310228</v>
      </c>
    </row>
    <row r="1431" spans="1:10" x14ac:dyDescent="0.25">
      <c r="A1431" s="2" t="s">
        <v>4289</v>
      </c>
      <c r="B1431" s="2" t="s">
        <v>4290</v>
      </c>
      <c r="C1431" s="2" t="s">
        <v>4291</v>
      </c>
      <c r="D1431" s="2" t="s">
        <v>10044</v>
      </c>
      <c r="E1431" s="15">
        <v>-2.3999999999999998E-3</v>
      </c>
      <c r="F1431" s="15">
        <v>6.3299999999999995E-2</v>
      </c>
      <c r="G1431" s="15">
        <v>0.96989999999999998</v>
      </c>
      <c r="H1431" s="15">
        <v>0.38669999999999999</v>
      </c>
      <c r="I1431" s="15">
        <v>5.6000000000000001E-2</v>
      </c>
      <c r="J1431" s="15">
        <v>6.9053571428571434</v>
      </c>
    </row>
    <row r="1432" spans="1:10" x14ac:dyDescent="0.25">
      <c r="A1432" s="2" t="s">
        <v>4292</v>
      </c>
      <c r="B1432" s="2" t="s">
        <v>4293</v>
      </c>
      <c r="C1432" s="2" t="s">
        <v>4294</v>
      </c>
      <c r="D1432" s="2" t="s">
        <v>10044</v>
      </c>
      <c r="E1432" s="15">
        <v>-1.6E-2</v>
      </c>
      <c r="F1432" s="15">
        <v>6.54E-2</v>
      </c>
      <c r="G1432" s="15">
        <v>0.80720000000000003</v>
      </c>
      <c r="H1432" s="15">
        <v>0.35349999999999998</v>
      </c>
      <c r="I1432" s="15">
        <v>5.6500000000000002E-2</v>
      </c>
      <c r="J1432" s="15">
        <v>6.2566371681415927</v>
      </c>
    </row>
    <row r="1433" spans="1:10" x14ac:dyDescent="0.25">
      <c r="A1433" s="2" t="s">
        <v>4295</v>
      </c>
      <c r="B1433" s="2" t="s">
        <v>4296</v>
      </c>
      <c r="C1433" s="2" t="s">
        <v>4297</v>
      </c>
      <c r="D1433" s="2" t="s">
        <v>10044</v>
      </c>
      <c r="E1433" s="15">
        <v>7.8200000000000006E-2</v>
      </c>
      <c r="F1433" s="15">
        <v>6.4199999999999993E-2</v>
      </c>
      <c r="G1433" s="15">
        <v>0.22259999999999999</v>
      </c>
      <c r="H1433" s="15">
        <v>0.36280000000000001</v>
      </c>
      <c r="I1433" s="15">
        <v>5.16E-2</v>
      </c>
      <c r="J1433" s="15">
        <v>7.0310077519379854</v>
      </c>
    </row>
    <row r="1434" spans="1:10" x14ac:dyDescent="0.25">
      <c r="A1434" s="2" t="s">
        <v>4298</v>
      </c>
      <c r="B1434" s="2" t="s">
        <v>4299</v>
      </c>
      <c r="C1434" s="2" t="s">
        <v>4300</v>
      </c>
      <c r="D1434" s="2" t="s">
        <v>10044</v>
      </c>
      <c r="E1434" s="15">
        <v>3.7900000000000003E-2</v>
      </c>
      <c r="F1434" s="15">
        <v>6.5100000000000005E-2</v>
      </c>
      <c r="G1434" s="15">
        <v>0.56040000000000001</v>
      </c>
      <c r="H1434" s="15">
        <v>0.37809999999999999</v>
      </c>
      <c r="I1434" s="15">
        <v>5.74E-2</v>
      </c>
      <c r="J1434" s="15">
        <v>6.5871080139372822</v>
      </c>
    </row>
    <row r="1435" spans="1:10" x14ac:dyDescent="0.25">
      <c r="A1435" s="2" t="s">
        <v>4301</v>
      </c>
      <c r="B1435" s="2" t="s">
        <v>4302</v>
      </c>
      <c r="C1435" s="2" t="s">
        <v>4303</v>
      </c>
      <c r="D1435" s="2" t="s">
        <v>10044</v>
      </c>
      <c r="E1435" s="15">
        <v>3.56E-2</v>
      </c>
      <c r="F1435" s="15">
        <v>7.5999999999999998E-2</v>
      </c>
      <c r="G1435" s="15">
        <v>0.63929999999999998</v>
      </c>
      <c r="H1435" s="15">
        <v>0.25130000000000002</v>
      </c>
      <c r="I1435" s="15">
        <v>5.1799999999999999E-2</v>
      </c>
      <c r="J1435" s="15">
        <v>4.8513513513513518</v>
      </c>
    </row>
    <row r="1436" spans="1:10" x14ac:dyDescent="0.25">
      <c r="A1436" s="2" t="s">
        <v>4304</v>
      </c>
      <c r="B1436" s="2" t="s">
        <v>4305</v>
      </c>
      <c r="C1436" s="2" t="s">
        <v>4306</v>
      </c>
      <c r="D1436" s="2" t="s">
        <v>10044</v>
      </c>
      <c r="E1436" s="15">
        <v>4.3099999999999999E-2</v>
      </c>
      <c r="F1436" s="15">
        <v>7.8799999999999995E-2</v>
      </c>
      <c r="G1436" s="15">
        <v>0.58430000000000004</v>
      </c>
      <c r="H1436" s="15">
        <v>0.25469999999999998</v>
      </c>
      <c r="I1436" s="15">
        <v>4.5600000000000002E-2</v>
      </c>
      <c r="J1436" s="15">
        <v>5.5855263157894726</v>
      </c>
    </row>
    <row r="1437" spans="1:10" x14ac:dyDescent="0.25">
      <c r="A1437" s="2" t="s">
        <v>4307</v>
      </c>
      <c r="B1437" s="2" t="s">
        <v>4308</v>
      </c>
      <c r="C1437" s="2" t="s">
        <v>4309</v>
      </c>
      <c r="D1437" s="2" t="s">
        <v>10044</v>
      </c>
      <c r="E1437" s="15">
        <v>0.12529999999999999</v>
      </c>
      <c r="F1437" s="15">
        <v>7.3499999999999996E-2</v>
      </c>
      <c r="G1437" s="15">
        <v>8.8499999999999995E-2</v>
      </c>
      <c r="H1437" s="15">
        <v>0.23530000000000001</v>
      </c>
      <c r="I1437" s="15">
        <v>4.2999999999999997E-2</v>
      </c>
      <c r="J1437" s="15">
        <v>5.4720930232558143</v>
      </c>
    </row>
    <row r="1438" spans="1:10" x14ac:dyDescent="0.25">
      <c r="A1438" s="2" t="s">
        <v>4310</v>
      </c>
      <c r="B1438" s="2" t="s">
        <v>4311</v>
      </c>
      <c r="C1438" s="2" t="s">
        <v>4312</v>
      </c>
      <c r="D1438" s="2" t="s">
        <v>10044</v>
      </c>
      <c r="E1438" s="15">
        <v>0.1026</v>
      </c>
      <c r="F1438" s="15">
        <v>7.8600000000000003E-2</v>
      </c>
      <c r="G1438" s="15">
        <v>0.1918</v>
      </c>
      <c r="H1438" s="15">
        <v>0.23619999999999999</v>
      </c>
      <c r="I1438" s="15">
        <v>5.3999999999999999E-2</v>
      </c>
      <c r="J1438" s="15">
        <v>4.3740740740740742</v>
      </c>
    </row>
    <row r="1439" spans="1:10" x14ac:dyDescent="0.25">
      <c r="A1439" s="2" t="s">
        <v>4313</v>
      </c>
      <c r="B1439" s="2" t="s">
        <v>4314</v>
      </c>
      <c r="C1439" s="2" t="s">
        <v>4315</v>
      </c>
      <c r="D1439" s="2" t="s">
        <v>10045</v>
      </c>
      <c r="E1439" s="15">
        <v>9.2299999999999993E-2</v>
      </c>
      <c r="F1439" s="15">
        <v>0.09</v>
      </c>
      <c r="G1439" s="15">
        <v>0.30530000000000002</v>
      </c>
      <c r="H1439" s="15">
        <v>0.19600000000000001</v>
      </c>
      <c r="I1439" s="15">
        <v>4.8500000000000001E-2</v>
      </c>
      <c r="J1439" s="15">
        <v>4.0412371134020617</v>
      </c>
    </row>
    <row r="1440" spans="1:10" x14ac:dyDescent="0.25">
      <c r="A1440" s="2" t="s">
        <v>4316</v>
      </c>
      <c r="B1440" s="2" t="s">
        <v>4317</v>
      </c>
      <c r="C1440" s="2" t="s">
        <v>4318</v>
      </c>
      <c r="D1440" s="2" t="s">
        <v>10046</v>
      </c>
      <c r="E1440" s="15">
        <v>6.9000000000000006E-2</v>
      </c>
      <c r="F1440" s="15">
        <v>0.1137</v>
      </c>
      <c r="G1440" s="15">
        <v>0.54379999999999995</v>
      </c>
      <c r="H1440" s="15">
        <v>9.74E-2</v>
      </c>
      <c r="I1440" s="15">
        <v>4.2799999999999998E-2</v>
      </c>
      <c r="J1440" s="15">
        <v>2.2757009345794388</v>
      </c>
    </row>
    <row r="1441" spans="1:10" x14ac:dyDescent="0.25">
      <c r="A1441" s="2" t="s">
        <v>4319</v>
      </c>
      <c r="B1441" s="2" t="s">
        <v>4320</v>
      </c>
      <c r="C1441" s="2" t="s">
        <v>4321</v>
      </c>
      <c r="D1441" s="2" t="s">
        <v>10046</v>
      </c>
      <c r="E1441" s="15">
        <v>5.8000000000000003E-2</v>
      </c>
      <c r="F1441" s="15">
        <v>8.3900000000000002E-2</v>
      </c>
      <c r="G1441" s="15">
        <v>0.48970000000000002</v>
      </c>
      <c r="H1441" s="15">
        <v>0.1883</v>
      </c>
      <c r="I1441" s="15">
        <v>4.7300000000000002E-2</v>
      </c>
      <c r="J1441" s="15">
        <v>3.9809725158562359</v>
      </c>
    </row>
    <row r="1442" spans="1:10" x14ac:dyDescent="0.25">
      <c r="A1442" s="2" t="s">
        <v>4322</v>
      </c>
      <c r="B1442" s="2" t="s">
        <v>4323</v>
      </c>
      <c r="C1442" s="2" t="s">
        <v>4324</v>
      </c>
      <c r="D1442" s="2" t="s">
        <v>10046</v>
      </c>
      <c r="E1442" s="15">
        <v>0.18690000000000001</v>
      </c>
      <c r="F1442" s="15">
        <v>8.8900000000000007E-2</v>
      </c>
      <c r="G1442" s="15">
        <v>3.5499999999999997E-2</v>
      </c>
      <c r="H1442" s="15">
        <v>0.18290000000000001</v>
      </c>
      <c r="I1442" s="15">
        <v>4.82E-2</v>
      </c>
      <c r="J1442" s="15">
        <v>3.794605809128631</v>
      </c>
    </row>
    <row r="1443" spans="1:10" x14ac:dyDescent="0.25">
      <c r="A1443" s="2" t="s">
        <v>4325</v>
      </c>
      <c r="B1443" s="2" t="s">
        <v>4326</v>
      </c>
      <c r="C1443" s="2" t="s">
        <v>4327</v>
      </c>
      <c r="D1443" s="2" t="s">
        <v>10046</v>
      </c>
      <c r="E1443" s="15">
        <v>0.2281</v>
      </c>
      <c r="F1443" s="15">
        <v>0.11990000000000001</v>
      </c>
      <c r="G1443" s="15">
        <v>5.7099999999999998E-2</v>
      </c>
      <c r="H1443" s="15">
        <v>0.1089</v>
      </c>
      <c r="I1443" s="15">
        <v>4.6600000000000003E-2</v>
      </c>
      <c r="J1443" s="15">
        <v>2.336909871244635</v>
      </c>
    </row>
    <row r="1444" spans="1:10" x14ac:dyDescent="0.25">
      <c r="A1444" s="2" t="s">
        <v>4328</v>
      </c>
      <c r="B1444" s="2" t="s">
        <v>4329</v>
      </c>
      <c r="C1444" s="2" t="s">
        <v>4330</v>
      </c>
      <c r="D1444" s="2" t="s">
        <v>10046</v>
      </c>
      <c r="E1444" s="15">
        <v>0.10539999999999999</v>
      </c>
      <c r="F1444" s="15">
        <v>7.3300000000000004E-2</v>
      </c>
      <c r="G1444" s="15">
        <v>0.15060000000000001</v>
      </c>
      <c r="H1444" s="15">
        <v>0.2596</v>
      </c>
      <c r="I1444" s="15">
        <v>5.8500000000000003E-2</v>
      </c>
      <c r="J1444" s="15">
        <v>4.4376068376068369</v>
      </c>
    </row>
    <row r="1445" spans="1:10" x14ac:dyDescent="0.25">
      <c r="A1445" s="2" t="s">
        <v>4331</v>
      </c>
      <c r="B1445" s="2" t="s">
        <v>4332</v>
      </c>
      <c r="C1445" s="2" t="s">
        <v>4333</v>
      </c>
      <c r="D1445" s="2" t="s">
        <v>10046</v>
      </c>
      <c r="E1445" s="15">
        <v>0.15970000000000001</v>
      </c>
      <c r="F1445" s="15">
        <v>7.4499999999999997E-2</v>
      </c>
      <c r="G1445" s="15">
        <v>3.2000000000000001E-2</v>
      </c>
      <c r="H1445" s="15">
        <v>0.24210000000000001</v>
      </c>
      <c r="I1445" s="15">
        <v>5.3199999999999997E-2</v>
      </c>
      <c r="J1445" s="15">
        <v>4.5507518796992494</v>
      </c>
    </row>
    <row r="1446" spans="1:10" x14ac:dyDescent="0.25">
      <c r="A1446" s="2" t="s">
        <v>4334</v>
      </c>
      <c r="B1446" s="2" t="s">
        <v>4335</v>
      </c>
      <c r="C1446" s="2" t="s">
        <v>4336</v>
      </c>
      <c r="D1446" s="2" t="s">
        <v>10046</v>
      </c>
      <c r="E1446" s="15">
        <v>3.09E-2</v>
      </c>
      <c r="F1446" s="15">
        <v>8.5000000000000006E-2</v>
      </c>
      <c r="G1446" s="15">
        <v>0.71640000000000004</v>
      </c>
      <c r="H1446" s="15">
        <v>0.1847</v>
      </c>
      <c r="I1446" s="15">
        <v>4.4699999999999997E-2</v>
      </c>
      <c r="J1446" s="15">
        <v>4.1319910514541389</v>
      </c>
    </row>
    <row r="1447" spans="1:10" x14ac:dyDescent="0.25">
      <c r="A1447" s="2" t="s">
        <v>4337</v>
      </c>
      <c r="B1447" s="2" t="s">
        <v>4338</v>
      </c>
      <c r="C1447" s="2" t="s">
        <v>4339</v>
      </c>
      <c r="D1447" s="2" t="s">
        <v>10046</v>
      </c>
      <c r="E1447" s="15">
        <v>9.3700000000000006E-2</v>
      </c>
      <c r="F1447" s="15">
        <v>8.2600000000000007E-2</v>
      </c>
      <c r="G1447" s="15">
        <v>0.25650000000000001</v>
      </c>
      <c r="H1447" s="15">
        <v>0.1794</v>
      </c>
      <c r="I1447" s="15">
        <v>5.0799999999999998E-2</v>
      </c>
      <c r="J1447" s="15">
        <v>3.5314960629921259</v>
      </c>
    </row>
    <row r="1448" spans="1:10" x14ac:dyDescent="0.25">
      <c r="A1448" s="2" t="s">
        <v>4340</v>
      </c>
      <c r="B1448" s="2" t="s">
        <v>4341</v>
      </c>
      <c r="C1448" s="2" t="s">
        <v>4342</v>
      </c>
      <c r="D1448" s="2" t="s">
        <v>10046</v>
      </c>
      <c r="E1448" s="15">
        <v>-8.09E-2</v>
      </c>
      <c r="F1448" s="15">
        <v>0.10440000000000001</v>
      </c>
      <c r="G1448" s="15">
        <v>0.4385</v>
      </c>
      <c r="H1448" s="15">
        <v>0.1149</v>
      </c>
      <c r="I1448" s="15">
        <v>5.0999999999999997E-2</v>
      </c>
      <c r="J1448" s="15">
        <v>2.2529411764705878</v>
      </c>
    </row>
    <row r="1449" spans="1:10" x14ac:dyDescent="0.25">
      <c r="A1449" s="2" t="s">
        <v>4343</v>
      </c>
      <c r="B1449" s="2" t="s">
        <v>4344</v>
      </c>
      <c r="C1449" s="2" t="s">
        <v>4345</v>
      </c>
      <c r="D1449" s="2" t="s">
        <v>10046</v>
      </c>
      <c r="E1449" s="15">
        <v>3.7499999999999999E-2</v>
      </c>
      <c r="F1449" s="15">
        <v>0.1278</v>
      </c>
      <c r="G1449" s="15">
        <v>0.76900000000000002</v>
      </c>
      <c r="H1449" s="15">
        <v>7.4499999999999997E-2</v>
      </c>
      <c r="I1449" s="15">
        <v>4.7699999999999999E-2</v>
      </c>
      <c r="J1449" s="15">
        <v>1.561844863731656</v>
      </c>
    </row>
    <row r="1450" spans="1:10" x14ac:dyDescent="0.25">
      <c r="A1450" s="2" t="s">
        <v>4346</v>
      </c>
      <c r="B1450" s="2" t="s">
        <v>4347</v>
      </c>
      <c r="C1450" s="2" t="s">
        <v>4348</v>
      </c>
      <c r="D1450" s="2" t="s">
        <v>10046</v>
      </c>
      <c r="E1450" s="15">
        <v>-0.2102</v>
      </c>
      <c r="F1450" s="15">
        <v>0.61119999999999997</v>
      </c>
      <c r="G1450" s="15">
        <v>0.73099999999999998</v>
      </c>
      <c r="H1450" s="15">
        <v>1.5599999999999999E-2</v>
      </c>
      <c r="I1450" s="15">
        <v>4.4400000000000002E-2</v>
      </c>
      <c r="J1450" s="15">
        <v>0.35135135135135132</v>
      </c>
    </row>
    <row r="1451" spans="1:10" x14ac:dyDescent="0.25">
      <c r="A1451" s="2" t="s">
        <v>4349</v>
      </c>
      <c r="B1451" s="2" t="s">
        <v>4350</v>
      </c>
      <c r="C1451" s="2" t="s">
        <v>4351</v>
      </c>
      <c r="D1451" s="2" t="s">
        <v>10046</v>
      </c>
      <c r="E1451" s="15"/>
      <c r="F1451" s="15"/>
      <c r="G1451" s="15"/>
      <c r="H1451" s="15">
        <v>-1.14E-2</v>
      </c>
      <c r="I1451" s="15">
        <v>3.6700000000000003E-2</v>
      </c>
      <c r="J1451" s="15">
        <v>-0.31062670299727518</v>
      </c>
    </row>
    <row r="1452" spans="1:10" x14ac:dyDescent="0.25">
      <c r="A1452" s="2" t="s">
        <v>4352</v>
      </c>
      <c r="B1452" s="2" t="s">
        <v>4353</v>
      </c>
      <c r="C1452" s="2" t="s">
        <v>4354</v>
      </c>
      <c r="D1452" s="2" t="s">
        <v>10046</v>
      </c>
      <c r="E1452" s="15">
        <v>-8.0000000000000004E-4</v>
      </c>
      <c r="F1452" s="15">
        <v>9.6799999999999997E-2</v>
      </c>
      <c r="G1452" s="15">
        <v>0.99350000000000005</v>
      </c>
      <c r="H1452" s="15">
        <v>0.1361</v>
      </c>
      <c r="I1452" s="15">
        <v>4.1799999999999997E-2</v>
      </c>
      <c r="J1452" s="15">
        <v>3.2559808612440189</v>
      </c>
    </row>
    <row r="1453" spans="1:10" x14ac:dyDescent="0.25">
      <c r="A1453" s="2" t="s">
        <v>4355</v>
      </c>
      <c r="B1453" s="2" t="s">
        <v>4356</v>
      </c>
      <c r="C1453" s="2" t="s">
        <v>4357</v>
      </c>
      <c r="D1453" s="2" t="s">
        <v>10046</v>
      </c>
      <c r="E1453" s="15">
        <v>-3.56E-2</v>
      </c>
      <c r="F1453" s="15">
        <v>9.7100000000000006E-2</v>
      </c>
      <c r="G1453" s="15">
        <v>0.71360000000000001</v>
      </c>
      <c r="H1453" s="15">
        <v>0.13070000000000001</v>
      </c>
      <c r="I1453" s="15">
        <v>4.5400000000000003E-2</v>
      </c>
      <c r="J1453" s="15">
        <v>2.8788546255506611</v>
      </c>
    </row>
    <row r="1454" spans="1:10" x14ac:dyDescent="0.25">
      <c r="A1454" s="2" t="s">
        <v>4358</v>
      </c>
      <c r="B1454" s="2" t="s">
        <v>4359</v>
      </c>
      <c r="C1454" s="2" t="s">
        <v>4360</v>
      </c>
      <c r="D1454" s="2" t="s">
        <v>10047</v>
      </c>
      <c r="E1454" s="15">
        <v>8.4099999999999994E-2</v>
      </c>
      <c r="F1454" s="15">
        <v>6.9599999999999995E-2</v>
      </c>
      <c r="G1454" s="15">
        <v>0.22670000000000001</v>
      </c>
      <c r="H1454" s="15">
        <v>0.30730000000000002</v>
      </c>
      <c r="I1454" s="15">
        <v>4.7500000000000001E-2</v>
      </c>
      <c r="J1454" s="15">
        <v>6.4694736842105263</v>
      </c>
    </row>
    <row r="1455" spans="1:10" x14ac:dyDescent="0.25">
      <c r="A1455" s="2" t="s">
        <v>4361</v>
      </c>
      <c r="B1455" s="2" t="s">
        <v>4362</v>
      </c>
      <c r="C1455" s="2" t="s">
        <v>4363</v>
      </c>
      <c r="D1455" s="2" t="s">
        <v>10047</v>
      </c>
      <c r="E1455" s="15">
        <v>-6.2E-2</v>
      </c>
      <c r="F1455" s="15">
        <v>8.0299999999999996E-2</v>
      </c>
      <c r="G1455" s="15">
        <v>0.43990000000000001</v>
      </c>
      <c r="H1455" s="15">
        <v>0.21410000000000001</v>
      </c>
      <c r="I1455" s="15">
        <v>4.6899999999999997E-2</v>
      </c>
      <c r="J1455" s="15">
        <v>4.5650319829424308</v>
      </c>
    </row>
    <row r="1456" spans="1:10" x14ac:dyDescent="0.25">
      <c r="A1456" s="2" t="s">
        <v>4364</v>
      </c>
      <c r="B1456" s="2" t="s">
        <v>4365</v>
      </c>
      <c r="C1456" s="2" t="s">
        <v>4366</v>
      </c>
      <c r="D1456" s="2" t="s">
        <v>10047</v>
      </c>
      <c r="E1456" s="15">
        <v>4.4999999999999997E-3</v>
      </c>
      <c r="F1456" s="15">
        <v>6.2100000000000002E-2</v>
      </c>
      <c r="G1456" s="15">
        <v>0.94240000000000002</v>
      </c>
      <c r="H1456" s="15">
        <v>0.30149999999999999</v>
      </c>
      <c r="I1456" s="15">
        <v>4.6300000000000001E-2</v>
      </c>
      <c r="J1456" s="15">
        <v>6.5118790496760246</v>
      </c>
    </row>
    <row r="1457" spans="1:10" x14ac:dyDescent="0.25">
      <c r="A1457" s="2" t="s">
        <v>4367</v>
      </c>
      <c r="B1457" s="2" t="s">
        <v>4368</v>
      </c>
      <c r="C1457" s="2" t="s">
        <v>4369</v>
      </c>
      <c r="D1457" s="2" t="s">
        <v>10047</v>
      </c>
      <c r="E1457" s="15">
        <v>1.0699999999999999E-2</v>
      </c>
      <c r="F1457" s="15">
        <v>6.4699999999999994E-2</v>
      </c>
      <c r="G1457" s="15">
        <v>0.86799999999999999</v>
      </c>
      <c r="H1457" s="15">
        <v>0.29160000000000003</v>
      </c>
      <c r="I1457" s="15">
        <v>5.3499999999999999E-2</v>
      </c>
      <c r="J1457" s="15">
        <v>5.4504672897196267</v>
      </c>
    </row>
    <row r="1458" spans="1:10" x14ac:dyDescent="0.25">
      <c r="A1458" s="2" t="s">
        <v>4370</v>
      </c>
      <c r="B1458" s="2" t="s">
        <v>4371</v>
      </c>
      <c r="C1458" s="2" t="s">
        <v>4372</v>
      </c>
      <c r="D1458" s="2" t="s">
        <v>10047</v>
      </c>
      <c r="E1458" s="15">
        <v>9.9699999999999997E-2</v>
      </c>
      <c r="F1458" s="15">
        <v>7.6999999999999999E-2</v>
      </c>
      <c r="G1458" s="15">
        <v>0.19550000000000001</v>
      </c>
      <c r="H1458" s="15">
        <v>0.251</v>
      </c>
      <c r="I1458" s="15">
        <v>5.1700000000000003E-2</v>
      </c>
      <c r="J1458" s="15">
        <v>4.8549323017408117</v>
      </c>
    </row>
    <row r="1459" spans="1:10" x14ac:dyDescent="0.25">
      <c r="A1459" s="2" t="s">
        <v>4373</v>
      </c>
      <c r="B1459" s="2" t="s">
        <v>4374</v>
      </c>
      <c r="C1459" s="2" t="s">
        <v>4375</v>
      </c>
      <c r="D1459" s="2" t="s">
        <v>10047</v>
      </c>
      <c r="E1459" s="15">
        <v>-6.7999999999999996E-3</v>
      </c>
      <c r="F1459" s="15">
        <v>8.77E-2</v>
      </c>
      <c r="G1459" s="15">
        <v>0.93799999999999994</v>
      </c>
      <c r="H1459" s="15">
        <v>0.18770000000000001</v>
      </c>
      <c r="I1459" s="15">
        <v>5.2999999999999999E-2</v>
      </c>
      <c r="J1459" s="15">
        <v>3.5415094339622639</v>
      </c>
    </row>
    <row r="1460" spans="1:10" x14ac:dyDescent="0.25">
      <c r="A1460" s="2" t="s">
        <v>4376</v>
      </c>
      <c r="B1460" s="2" t="s">
        <v>4377</v>
      </c>
      <c r="C1460" s="2" t="s">
        <v>4378</v>
      </c>
      <c r="D1460" s="2" t="s">
        <v>10047</v>
      </c>
      <c r="E1460" s="15">
        <v>4.4200000000000003E-2</v>
      </c>
      <c r="F1460" s="15">
        <v>8.8599999999999998E-2</v>
      </c>
      <c r="G1460" s="15">
        <v>0.61770000000000003</v>
      </c>
      <c r="H1460" s="15">
        <v>0.18640000000000001</v>
      </c>
      <c r="I1460" s="15">
        <v>4.7E-2</v>
      </c>
      <c r="J1460" s="15">
        <v>3.965957446808511</v>
      </c>
    </row>
    <row r="1461" spans="1:10" x14ac:dyDescent="0.25">
      <c r="A1461" s="2" t="s">
        <v>4379</v>
      </c>
      <c r="B1461" s="2" t="s">
        <v>4380</v>
      </c>
      <c r="C1461" s="2" t="s">
        <v>4381</v>
      </c>
      <c r="D1461" s="2" t="s">
        <v>10047</v>
      </c>
      <c r="E1461" s="15">
        <v>4.3700000000000003E-2</v>
      </c>
      <c r="F1461" s="15">
        <v>7.6899999999999996E-2</v>
      </c>
      <c r="G1461" s="15">
        <v>0.56979999999999997</v>
      </c>
      <c r="H1461" s="15">
        <v>0.22700000000000001</v>
      </c>
      <c r="I1461" s="15">
        <v>4.8300000000000003E-2</v>
      </c>
      <c r="J1461" s="15">
        <v>4.6997929606625259</v>
      </c>
    </row>
    <row r="1462" spans="1:10" x14ac:dyDescent="0.25">
      <c r="A1462" s="2" t="s">
        <v>4382</v>
      </c>
      <c r="B1462" s="2" t="s">
        <v>4383</v>
      </c>
      <c r="C1462" s="2" t="s">
        <v>4384</v>
      </c>
      <c r="D1462" s="2" t="s">
        <v>10047</v>
      </c>
      <c r="E1462" s="15">
        <v>4.6100000000000002E-2</v>
      </c>
      <c r="F1462" s="15">
        <v>7.7799999999999994E-2</v>
      </c>
      <c r="G1462" s="15">
        <v>0.55279999999999996</v>
      </c>
      <c r="H1462" s="15">
        <v>0.18659999999999999</v>
      </c>
      <c r="I1462" s="15">
        <v>4.4499999999999998E-2</v>
      </c>
      <c r="J1462" s="15">
        <v>4.1932584269662918</v>
      </c>
    </row>
    <row r="1463" spans="1:10" x14ac:dyDescent="0.25">
      <c r="A1463" s="2" t="s">
        <v>4385</v>
      </c>
      <c r="B1463" s="2" t="s">
        <v>4386</v>
      </c>
      <c r="C1463" s="2" t="s">
        <v>4387</v>
      </c>
      <c r="D1463" s="2" t="s">
        <v>10047</v>
      </c>
      <c r="E1463" s="15">
        <v>5.2699999999999997E-2</v>
      </c>
      <c r="F1463" s="15">
        <v>7.6999999999999999E-2</v>
      </c>
      <c r="G1463" s="15">
        <v>0.49380000000000002</v>
      </c>
      <c r="H1463" s="15">
        <v>0.18809999999999999</v>
      </c>
      <c r="I1463" s="15">
        <v>4.36E-2</v>
      </c>
      <c r="J1463" s="15">
        <v>4.3142201834862384</v>
      </c>
    </row>
    <row r="1464" spans="1:10" x14ac:dyDescent="0.25">
      <c r="A1464" s="2" t="s">
        <v>4388</v>
      </c>
      <c r="B1464" s="2" t="s">
        <v>4389</v>
      </c>
      <c r="C1464" s="2" t="s">
        <v>4390</v>
      </c>
      <c r="D1464" s="2" t="s">
        <v>10047</v>
      </c>
      <c r="E1464" s="15">
        <v>8.5999999999999993E-2</v>
      </c>
      <c r="F1464" s="15">
        <v>7.1499999999999994E-2</v>
      </c>
      <c r="G1464" s="15">
        <v>0.22919999999999999</v>
      </c>
      <c r="H1464" s="15">
        <v>0.26119999999999999</v>
      </c>
      <c r="I1464" s="15">
        <v>4.7500000000000001E-2</v>
      </c>
      <c r="J1464" s="15">
        <v>5.4989473684210521</v>
      </c>
    </row>
    <row r="1465" spans="1:10" x14ac:dyDescent="0.25">
      <c r="A1465" s="2" t="s">
        <v>4391</v>
      </c>
      <c r="B1465" s="2" t="s">
        <v>4392</v>
      </c>
      <c r="C1465" s="2" t="s">
        <v>4393</v>
      </c>
      <c r="D1465" s="2" t="s">
        <v>10047</v>
      </c>
      <c r="E1465" s="15">
        <v>6.3899999999999998E-2</v>
      </c>
      <c r="F1465" s="15">
        <v>7.1800000000000003E-2</v>
      </c>
      <c r="G1465" s="15">
        <v>0.37319999999999998</v>
      </c>
      <c r="H1465" s="15">
        <v>0.23019999999999999</v>
      </c>
      <c r="I1465" s="15">
        <v>4.6100000000000002E-2</v>
      </c>
      <c r="J1465" s="15">
        <v>4.9934924078091099</v>
      </c>
    </row>
    <row r="1466" spans="1:10" x14ac:dyDescent="0.25">
      <c r="A1466" s="2" t="s">
        <v>4394</v>
      </c>
      <c r="B1466" s="2" t="s">
        <v>4395</v>
      </c>
      <c r="C1466" s="2" t="s">
        <v>4396</v>
      </c>
      <c r="D1466" s="2" t="s">
        <v>10047</v>
      </c>
      <c r="E1466" s="15">
        <v>0.1363</v>
      </c>
      <c r="F1466" s="15">
        <v>5.9700000000000003E-2</v>
      </c>
      <c r="G1466" s="15">
        <v>2.23E-2</v>
      </c>
      <c r="H1466" s="15">
        <v>0.33760000000000001</v>
      </c>
      <c r="I1466" s="15">
        <v>4.53E-2</v>
      </c>
      <c r="J1466" s="15">
        <v>7.4525386313465782</v>
      </c>
    </row>
    <row r="1467" spans="1:10" x14ac:dyDescent="0.25">
      <c r="A1467" s="2" t="s">
        <v>4397</v>
      </c>
      <c r="B1467" s="2" t="s">
        <v>4398</v>
      </c>
      <c r="C1467" s="2" t="s">
        <v>4399</v>
      </c>
      <c r="D1467" s="2" t="s">
        <v>10047</v>
      </c>
      <c r="E1467" s="15">
        <v>0.10970000000000001</v>
      </c>
      <c r="F1467" s="15">
        <v>5.79E-2</v>
      </c>
      <c r="G1467" s="15">
        <v>5.79E-2</v>
      </c>
      <c r="H1467" s="15">
        <v>0.32029999999999997</v>
      </c>
      <c r="I1467" s="15">
        <v>4.7E-2</v>
      </c>
      <c r="J1467" s="15">
        <v>6.8148936170212764</v>
      </c>
    </row>
    <row r="1468" spans="1:10" x14ac:dyDescent="0.25">
      <c r="A1468" s="2" t="s">
        <v>4400</v>
      </c>
      <c r="B1468" s="2" t="s">
        <v>4401</v>
      </c>
      <c r="C1468" s="2" t="s">
        <v>4402</v>
      </c>
      <c r="D1468" s="2" t="s">
        <v>10047</v>
      </c>
      <c r="E1468" s="15">
        <v>0.1139</v>
      </c>
      <c r="F1468" s="15">
        <v>8.3799999999999999E-2</v>
      </c>
      <c r="G1468" s="15">
        <v>0.17419999999999999</v>
      </c>
      <c r="H1468" s="15">
        <v>0.17399999999999999</v>
      </c>
      <c r="I1468" s="15">
        <v>4.4400000000000002E-2</v>
      </c>
      <c r="J1468" s="15">
        <v>3.918918918918918</v>
      </c>
    </row>
    <row r="1469" spans="1:10" x14ac:dyDescent="0.25">
      <c r="A1469" s="2" t="s">
        <v>4403</v>
      </c>
      <c r="B1469" s="2" t="s">
        <v>4404</v>
      </c>
      <c r="C1469" s="2" t="s">
        <v>4405</v>
      </c>
      <c r="D1469" s="2" t="s">
        <v>10047</v>
      </c>
      <c r="E1469" s="15">
        <v>4.65E-2</v>
      </c>
      <c r="F1469" s="15">
        <v>7.3300000000000004E-2</v>
      </c>
      <c r="G1469" s="15">
        <v>0.52600000000000002</v>
      </c>
      <c r="H1469" s="15">
        <v>0.20419999999999999</v>
      </c>
      <c r="I1469" s="15">
        <v>4.3499999999999997E-2</v>
      </c>
      <c r="J1469" s="15">
        <v>4.6942528735632187</v>
      </c>
    </row>
    <row r="1470" spans="1:10" x14ac:dyDescent="0.25">
      <c r="A1470" s="2" t="s">
        <v>4406</v>
      </c>
      <c r="B1470" s="2" t="s">
        <v>4407</v>
      </c>
      <c r="C1470" s="2" t="s">
        <v>4408</v>
      </c>
      <c r="D1470" s="2" t="s">
        <v>10047</v>
      </c>
      <c r="E1470" s="15">
        <v>0.1595</v>
      </c>
      <c r="F1470" s="15">
        <v>7.9500000000000001E-2</v>
      </c>
      <c r="G1470" s="15">
        <v>4.4900000000000002E-2</v>
      </c>
      <c r="H1470" s="15">
        <v>0.22520000000000001</v>
      </c>
      <c r="I1470" s="15">
        <v>4.4999999999999998E-2</v>
      </c>
      <c r="J1470" s="15">
        <v>5.0044444444444451</v>
      </c>
    </row>
    <row r="1471" spans="1:10" x14ac:dyDescent="0.25">
      <c r="A1471" s="2" t="s">
        <v>4409</v>
      </c>
      <c r="B1471" s="2" t="s">
        <v>4410</v>
      </c>
      <c r="C1471" s="2" t="s">
        <v>4411</v>
      </c>
      <c r="D1471" s="2" t="s">
        <v>10047</v>
      </c>
      <c r="E1471" s="15">
        <v>0.1678</v>
      </c>
      <c r="F1471" s="15">
        <v>8.3500000000000005E-2</v>
      </c>
      <c r="G1471" s="15">
        <v>4.4499999999999998E-2</v>
      </c>
      <c r="H1471" s="15">
        <v>0.23949999999999999</v>
      </c>
      <c r="I1471" s="15">
        <v>4.7699999999999999E-2</v>
      </c>
      <c r="J1471" s="15">
        <v>5.0209643605870022</v>
      </c>
    </row>
    <row r="1472" spans="1:10" x14ac:dyDescent="0.25">
      <c r="A1472" s="2" t="s">
        <v>4412</v>
      </c>
      <c r="B1472" s="2" t="s">
        <v>4413</v>
      </c>
      <c r="C1472" s="2" t="s">
        <v>4414</v>
      </c>
      <c r="D1472" s="2" t="s">
        <v>10047</v>
      </c>
      <c r="E1472" s="15">
        <v>0.14280000000000001</v>
      </c>
      <c r="F1472" s="15">
        <v>7.0900000000000005E-2</v>
      </c>
      <c r="G1472" s="15">
        <v>4.4200000000000003E-2</v>
      </c>
      <c r="H1472" s="15">
        <v>0.28189999999999998</v>
      </c>
      <c r="I1472" s="15">
        <v>4.7800000000000002E-2</v>
      </c>
      <c r="J1472" s="15">
        <v>5.8974895397489533</v>
      </c>
    </row>
    <row r="1473" spans="1:10" x14ac:dyDescent="0.25">
      <c r="A1473" s="2" t="s">
        <v>4415</v>
      </c>
      <c r="B1473" s="2" t="s">
        <v>4416</v>
      </c>
      <c r="C1473" s="2" t="s">
        <v>4417</v>
      </c>
      <c r="D1473" s="2" t="s">
        <v>10047</v>
      </c>
      <c r="E1473" s="15">
        <v>0.13689999999999999</v>
      </c>
      <c r="F1473" s="15">
        <v>7.7200000000000005E-2</v>
      </c>
      <c r="G1473" s="15">
        <v>7.5999999999999998E-2</v>
      </c>
      <c r="H1473" s="15">
        <v>0.23230000000000001</v>
      </c>
      <c r="I1473" s="15">
        <v>4.7100000000000003E-2</v>
      </c>
      <c r="J1473" s="15">
        <v>4.9320594479830149</v>
      </c>
    </row>
    <row r="1474" spans="1:10" x14ac:dyDescent="0.25">
      <c r="A1474" s="2" t="s">
        <v>4418</v>
      </c>
      <c r="B1474" s="2" t="s">
        <v>4419</v>
      </c>
      <c r="C1474" s="2" t="s">
        <v>4420</v>
      </c>
      <c r="D1474" s="2" t="s">
        <v>10047</v>
      </c>
      <c r="E1474" s="15">
        <v>0.17949999999999999</v>
      </c>
      <c r="F1474" s="15">
        <v>7.1400000000000005E-2</v>
      </c>
      <c r="G1474" s="15">
        <v>1.1900000000000001E-2</v>
      </c>
      <c r="H1474" s="15">
        <v>0.27129999999999999</v>
      </c>
      <c r="I1474" s="15">
        <v>5.2699999999999997E-2</v>
      </c>
      <c r="J1474" s="15">
        <v>5.1480075901328277</v>
      </c>
    </row>
    <row r="1475" spans="1:10" x14ac:dyDescent="0.25">
      <c r="A1475" s="2" t="s">
        <v>4421</v>
      </c>
      <c r="B1475" s="2" t="s">
        <v>4422</v>
      </c>
      <c r="C1475" s="2" t="s">
        <v>4423</v>
      </c>
      <c r="D1475" s="2" t="s">
        <v>10047</v>
      </c>
      <c r="E1475" s="15">
        <v>0.17630000000000001</v>
      </c>
      <c r="F1475" s="15">
        <v>9.5100000000000004E-2</v>
      </c>
      <c r="G1475" s="15">
        <v>6.3799999999999996E-2</v>
      </c>
      <c r="H1475" s="15">
        <v>0.19059999999999999</v>
      </c>
      <c r="I1475" s="15">
        <v>5.21E-2</v>
      </c>
      <c r="J1475" s="15">
        <v>3.6583493282149711</v>
      </c>
    </row>
    <row r="1476" spans="1:10" x14ac:dyDescent="0.25">
      <c r="A1476" s="2" t="s">
        <v>4424</v>
      </c>
      <c r="B1476" s="2" t="s">
        <v>4425</v>
      </c>
      <c r="C1476" s="2" t="s">
        <v>4426</v>
      </c>
      <c r="D1476" s="2" t="s">
        <v>10047</v>
      </c>
      <c r="E1476" s="15">
        <v>0.01</v>
      </c>
      <c r="F1476" s="15">
        <v>6.9699999999999998E-2</v>
      </c>
      <c r="G1476" s="15">
        <v>0.88549999999999995</v>
      </c>
      <c r="H1476" s="15">
        <v>0.31480000000000002</v>
      </c>
      <c r="I1476" s="15">
        <v>4.8599999999999997E-2</v>
      </c>
      <c r="J1476" s="15">
        <v>6.4773662551440339</v>
      </c>
    </row>
    <row r="1477" spans="1:10" x14ac:dyDescent="0.25">
      <c r="A1477" s="2" t="s">
        <v>4427</v>
      </c>
      <c r="B1477" s="2" t="s">
        <v>4428</v>
      </c>
      <c r="C1477" s="2" t="s">
        <v>4429</v>
      </c>
      <c r="D1477" s="2" t="s">
        <v>10047</v>
      </c>
      <c r="E1477" s="15">
        <v>2.7000000000000001E-3</v>
      </c>
      <c r="F1477" s="15">
        <v>7.8100000000000003E-2</v>
      </c>
      <c r="G1477" s="15">
        <v>0.97289999999999999</v>
      </c>
      <c r="H1477" s="15">
        <v>0.2316</v>
      </c>
      <c r="I1477" s="15">
        <v>4.36E-2</v>
      </c>
      <c r="J1477" s="15">
        <v>5.3119266055045884</v>
      </c>
    </row>
    <row r="1478" spans="1:10" x14ac:dyDescent="0.25">
      <c r="A1478" s="2" t="s">
        <v>4430</v>
      </c>
      <c r="B1478" s="2" t="s">
        <v>4431</v>
      </c>
      <c r="C1478" s="2" t="s">
        <v>4432</v>
      </c>
      <c r="D1478" s="2" t="s">
        <v>10047</v>
      </c>
      <c r="E1478" s="15">
        <v>0.1482</v>
      </c>
      <c r="F1478" s="15">
        <v>6.3700000000000007E-2</v>
      </c>
      <c r="G1478" s="15">
        <v>1.9900000000000001E-2</v>
      </c>
      <c r="H1478" s="15">
        <v>0.29120000000000001</v>
      </c>
      <c r="I1478" s="15">
        <v>5.2900000000000003E-2</v>
      </c>
      <c r="J1478" s="15">
        <v>5.5047258979206051</v>
      </c>
    </row>
    <row r="1479" spans="1:10" x14ac:dyDescent="0.25">
      <c r="A1479" s="2" t="s">
        <v>4433</v>
      </c>
      <c r="B1479" s="2" t="s">
        <v>4434</v>
      </c>
      <c r="C1479" s="2" t="s">
        <v>4435</v>
      </c>
      <c r="D1479" s="2" t="s">
        <v>10047</v>
      </c>
      <c r="E1479" s="15">
        <v>0.20569999999999999</v>
      </c>
      <c r="F1479" s="15">
        <v>6.7699999999999996E-2</v>
      </c>
      <c r="G1479" s="15">
        <v>2.3999999999999998E-3</v>
      </c>
      <c r="H1479" s="15">
        <v>0.26889999999999997</v>
      </c>
      <c r="I1479" s="15">
        <v>4.7699999999999999E-2</v>
      </c>
      <c r="J1479" s="15">
        <v>5.6373165618448633</v>
      </c>
    </row>
    <row r="1480" spans="1:10" x14ac:dyDescent="0.25">
      <c r="A1480" s="2" t="s">
        <v>4436</v>
      </c>
      <c r="B1480" s="2" t="s">
        <v>4437</v>
      </c>
      <c r="C1480" s="2" t="s">
        <v>4438</v>
      </c>
      <c r="D1480" s="2" t="s">
        <v>10047</v>
      </c>
      <c r="E1480" s="15">
        <v>5.3100000000000001E-2</v>
      </c>
      <c r="F1480" s="15">
        <v>6.9400000000000003E-2</v>
      </c>
      <c r="G1480" s="15">
        <v>0.44359999999999999</v>
      </c>
      <c r="H1480" s="15">
        <v>0.30549999999999999</v>
      </c>
      <c r="I1480" s="15">
        <v>5.1200000000000002E-2</v>
      </c>
      <c r="J1480" s="15">
        <v>5.966796875</v>
      </c>
    </row>
    <row r="1481" spans="1:10" x14ac:dyDescent="0.25">
      <c r="A1481" s="2" t="s">
        <v>4439</v>
      </c>
      <c r="B1481" s="2" t="s">
        <v>4440</v>
      </c>
      <c r="C1481" s="2" t="s">
        <v>4441</v>
      </c>
      <c r="D1481" s="2" t="s">
        <v>10047</v>
      </c>
      <c r="E1481" s="15">
        <v>0.14130000000000001</v>
      </c>
      <c r="F1481" s="15">
        <v>7.0800000000000002E-2</v>
      </c>
      <c r="G1481" s="15">
        <v>4.6100000000000002E-2</v>
      </c>
      <c r="H1481" s="15">
        <v>0.26850000000000002</v>
      </c>
      <c r="I1481" s="15">
        <v>5.4800000000000001E-2</v>
      </c>
      <c r="J1481" s="15">
        <v>4.8996350364963508</v>
      </c>
    </row>
    <row r="1482" spans="1:10" x14ac:dyDescent="0.25">
      <c r="A1482" s="2" t="s">
        <v>4442</v>
      </c>
      <c r="B1482" s="2" t="s">
        <v>4443</v>
      </c>
      <c r="C1482" s="2" t="s">
        <v>4444</v>
      </c>
      <c r="D1482" s="2" t="s">
        <v>10047</v>
      </c>
      <c r="E1482" s="15">
        <v>3.5799999999999998E-2</v>
      </c>
      <c r="F1482" s="15">
        <v>7.6700000000000004E-2</v>
      </c>
      <c r="G1482" s="15">
        <v>0.6401</v>
      </c>
      <c r="H1482" s="15">
        <v>0.22270000000000001</v>
      </c>
      <c r="I1482" s="15">
        <v>4.5400000000000003E-2</v>
      </c>
      <c r="J1482" s="15">
        <v>4.9052863436123344</v>
      </c>
    </row>
    <row r="1483" spans="1:10" x14ac:dyDescent="0.25">
      <c r="A1483" s="2" t="s">
        <v>4445</v>
      </c>
      <c r="B1483" s="2" t="s">
        <v>4446</v>
      </c>
      <c r="C1483" s="2" t="s">
        <v>4447</v>
      </c>
      <c r="D1483" s="2" t="s">
        <v>10047</v>
      </c>
      <c r="E1483" s="15">
        <v>2.6499999999999999E-2</v>
      </c>
      <c r="F1483" s="15">
        <v>0.09</v>
      </c>
      <c r="G1483" s="15">
        <v>0.76849999999999996</v>
      </c>
      <c r="H1483" s="15">
        <v>0.17780000000000001</v>
      </c>
      <c r="I1483" s="15">
        <v>4.6399999999999997E-2</v>
      </c>
      <c r="J1483" s="15">
        <v>3.8318965517241379</v>
      </c>
    </row>
    <row r="1484" spans="1:10" x14ac:dyDescent="0.25">
      <c r="A1484" s="2" t="s">
        <v>4448</v>
      </c>
      <c r="B1484" s="2" t="s">
        <v>4449</v>
      </c>
      <c r="C1484" s="2" t="s">
        <v>4450</v>
      </c>
      <c r="D1484" s="2" t="s">
        <v>10047</v>
      </c>
      <c r="E1484" s="15">
        <v>5.0799999999999998E-2</v>
      </c>
      <c r="F1484" s="15">
        <v>7.17E-2</v>
      </c>
      <c r="G1484" s="15">
        <v>0.47839999999999999</v>
      </c>
      <c r="H1484" s="15">
        <v>0.2351</v>
      </c>
      <c r="I1484" s="15">
        <v>5.2600000000000001E-2</v>
      </c>
      <c r="J1484" s="15">
        <v>4.4695817490494294</v>
      </c>
    </row>
    <row r="1485" spans="1:10" x14ac:dyDescent="0.25">
      <c r="A1485" s="2" t="s">
        <v>4451</v>
      </c>
      <c r="B1485" s="2" t="s">
        <v>4452</v>
      </c>
      <c r="C1485" s="2" t="s">
        <v>4453</v>
      </c>
      <c r="D1485" s="2" t="s">
        <v>10047</v>
      </c>
      <c r="E1485" s="15">
        <v>-3.7100000000000001E-2</v>
      </c>
      <c r="F1485" s="15">
        <v>8.6400000000000005E-2</v>
      </c>
      <c r="G1485" s="15">
        <v>0.66800000000000004</v>
      </c>
      <c r="H1485" s="15">
        <v>0.1764</v>
      </c>
      <c r="I1485" s="15">
        <v>5.1799999999999999E-2</v>
      </c>
      <c r="J1485" s="15">
        <v>3.4054054054054061</v>
      </c>
    </row>
    <row r="1486" spans="1:10" x14ac:dyDescent="0.25">
      <c r="A1486" s="2" t="s">
        <v>4454</v>
      </c>
      <c r="B1486" s="2" t="s">
        <v>4455</v>
      </c>
      <c r="C1486" s="2" t="s">
        <v>4456</v>
      </c>
      <c r="D1486" s="2" t="s">
        <v>10047</v>
      </c>
      <c r="E1486" s="15">
        <v>3.5999999999999997E-2</v>
      </c>
      <c r="F1486" s="15">
        <v>6.8000000000000005E-2</v>
      </c>
      <c r="G1486" s="15">
        <v>0.59699999999999998</v>
      </c>
      <c r="H1486" s="15">
        <v>0.29549999999999998</v>
      </c>
      <c r="I1486" s="15">
        <v>4.9399999999999999E-2</v>
      </c>
      <c r="J1486" s="15">
        <v>5.9817813765182182</v>
      </c>
    </row>
    <row r="1487" spans="1:10" x14ac:dyDescent="0.25">
      <c r="A1487" s="2" t="s">
        <v>4457</v>
      </c>
      <c r="B1487" s="2" t="s">
        <v>4458</v>
      </c>
      <c r="C1487" s="2" t="s">
        <v>4459</v>
      </c>
      <c r="D1487" s="2" t="s">
        <v>10047</v>
      </c>
      <c r="E1487" s="15">
        <v>9.4399999999999998E-2</v>
      </c>
      <c r="F1487" s="15">
        <v>7.2499999999999995E-2</v>
      </c>
      <c r="G1487" s="15">
        <v>0.1928</v>
      </c>
      <c r="H1487" s="15">
        <v>0.31330000000000002</v>
      </c>
      <c r="I1487" s="15">
        <v>5.0200000000000002E-2</v>
      </c>
      <c r="J1487" s="15">
        <v>6.2410358565737054</v>
      </c>
    </row>
    <row r="1488" spans="1:10" x14ac:dyDescent="0.25">
      <c r="A1488" s="2" t="s">
        <v>4460</v>
      </c>
      <c r="B1488" s="2" t="s">
        <v>4461</v>
      </c>
      <c r="C1488" s="2" t="s">
        <v>4462</v>
      </c>
      <c r="D1488" s="2" t="s">
        <v>10047</v>
      </c>
      <c r="E1488" s="15">
        <v>0.1041</v>
      </c>
      <c r="F1488" s="15">
        <v>6.8099999999999994E-2</v>
      </c>
      <c r="G1488" s="15">
        <v>0.12640000000000001</v>
      </c>
      <c r="H1488" s="15">
        <v>0.31840000000000002</v>
      </c>
      <c r="I1488" s="15">
        <v>5.5E-2</v>
      </c>
      <c r="J1488" s="15">
        <v>5.7890909090909091</v>
      </c>
    </row>
    <row r="1489" spans="1:10" x14ac:dyDescent="0.25">
      <c r="A1489" s="2" t="s">
        <v>4463</v>
      </c>
      <c r="B1489" s="2" t="s">
        <v>4464</v>
      </c>
      <c r="C1489" s="2" t="s">
        <v>4465</v>
      </c>
      <c r="D1489" s="2" t="s">
        <v>10047</v>
      </c>
      <c r="E1489" s="15">
        <v>0.13020000000000001</v>
      </c>
      <c r="F1489" s="15">
        <v>6.0999999999999999E-2</v>
      </c>
      <c r="G1489" s="15">
        <v>3.2800000000000003E-2</v>
      </c>
      <c r="H1489" s="15">
        <v>0.33279999999999998</v>
      </c>
      <c r="I1489" s="15">
        <v>5.4699999999999999E-2</v>
      </c>
      <c r="J1489" s="15">
        <v>6.0840950639853748</v>
      </c>
    </row>
    <row r="1490" spans="1:10" x14ac:dyDescent="0.25">
      <c r="A1490" s="2" t="s">
        <v>4466</v>
      </c>
      <c r="B1490" s="2" t="s">
        <v>4467</v>
      </c>
      <c r="C1490" s="2" t="s">
        <v>4468</v>
      </c>
      <c r="D1490" s="2" t="s">
        <v>10047</v>
      </c>
      <c r="E1490" s="15">
        <v>0.18629999999999999</v>
      </c>
      <c r="F1490" s="15">
        <v>6.9599999999999995E-2</v>
      </c>
      <c r="G1490" s="15">
        <v>7.4000000000000003E-3</v>
      </c>
      <c r="H1490" s="15">
        <v>0.23089999999999999</v>
      </c>
      <c r="I1490" s="15">
        <v>4.6899999999999997E-2</v>
      </c>
      <c r="J1490" s="15">
        <v>4.9232409381663116</v>
      </c>
    </row>
    <row r="1491" spans="1:10" x14ac:dyDescent="0.25">
      <c r="A1491" s="2" t="s">
        <v>4469</v>
      </c>
      <c r="B1491" s="2" t="s">
        <v>4470</v>
      </c>
      <c r="C1491" s="2" t="s">
        <v>4471</v>
      </c>
      <c r="D1491" s="2" t="s">
        <v>10047</v>
      </c>
      <c r="E1491" s="15">
        <v>0.19470000000000001</v>
      </c>
      <c r="F1491" s="15">
        <v>8.09E-2</v>
      </c>
      <c r="G1491" s="15">
        <v>1.6199999999999999E-2</v>
      </c>
      <c r="H1491" s="15">
        <v>0.19259999999999999</v>
      </c>
      <c r="I1491" s="15">
        <v>4.4200000000000003E-2</v>
      </c>
      <c r="J1491" s="15">
        <v>4.3574660633484159</v>
      </c>
    </row>
    <row r="1492" spans="1:10" x14ac:dyDescent="0.25">
      <c r="A1492" s="2" t="s">
        <v>4472</v>
      </c>
      <c r="B1492" s="2" t="s">
        <v>4473</v>
      </c>
      <c r="C1492" s="2" t="s">
        <v>4474</v>
      </c>
      <c r="D1492" s="2" t="s">
        <v>10047</v>
      </c>
      <c r="E1492" s="15">
        <v>-2.58E-2</v>
      </c>
      <c r="F1492" s="15">
        <v>8.3599999999999994E-2</v>
      </c>
      <c r="G1492" s="15">
        <v>0.75739999999999996</v>
      </c>
      <c r="H1492" s="15">
        <v>0.18729999999999999</v>
      </c>
      <c r="I1492" s="15">
        <v>4.7199999999999999E-2</v>
      </c>
      <c r="J1492" s="15">
        <v>3.968220338983051</v>
      </c>
    </row>
    <row r="1493" spans="1:10" x14ac:dyDescent="0.25">
      <c r="A1493" s="2" t="s">
        <v>4475</v>
      </c>
      <c r="B1493" s="2" t="s">
        <v>4476</v>
      </c>
      <c r="C1493" s="2" t="s">
        <v>4477</v>
      </c>
      <c r="D1493" s="2" t="s">
        <v>10047</v>
      </c>
      <c r="E1493" s="15">
        <v>-0.1406</v>
      </c>
      <c r="F1493" s="15">
        <v>8.5199999999999998E-2</v>
      </c>
      <c r="G1493" s="15">
        <v>9.9000000000000005E-2</v>
      </c>
      <c r="H1493" s="15">
        <v>0.19</v>
      </c>
      <c r="I1493" s="15">
        <v>4.87E-2</v>
      </c>
      <c r="J1493" s="15">
        <v>3.9014373716632438</v>
      </c>
    </row>
    <row r="1494" spans="1:10" x14ac:dyDescent="0.25">
      <c r="A1494" s="2" t="s">
        <v>4478</v>
      </c>
      <c r="B1494" s="2" t="s">
        <v>4479</v>
      </c>
      <c r="C1494" s="2" t="s">
        <v>4480</v>
      </c>
      <c r="D1494" s="2" t="s">
        <v>10047</v>
      </c>
      <c r="E1494" s="15">
        <v>0.17469999999999999</v>
      </c>
      <c r="F1494" s="15">
        <v>6.5699999999999995E-2</v>
      </c>
      <c r="G1494" s="15">
        <v>7.7999999999999996E-3</v>
      </c>
      <c r="H1494" s="15">
        <v>0.2954</v>
      </c>
      <c r="I1494" s="15">
        <v>4.8300000000000003E-2</v>
      </c>
      <c r="J1494" s="15">
        <v>6.1159420289855069</v>
      </c>
    </row>
    <row r="1495" spans="1:10" x14ac:dyDescent="0.25">
      <c r="A1495" s="2" t="s">
        <v>4481</v>
      </c>
      <c r="B1495" s="2" t="s">
        <v>4482</v>
      </c>
      <c r="C1495" s="2" t="s">
        <v>4483</v>
      </c>
      <c r="D1495" s="2" t="s">
        <v>10047</v>
      </c>
      <c r="E1495" s="15">
        <v>0.1646</v>
      </c>
      <c r="F1495" s="15">
        <v>6.9699999999999998E-2</v>
      </c>
      <c r="G1495" s="15">
        <v>1.8200000000000001E-2</v>
      </c>
      <c r="H1495" s="15">
        <v>0.28160000000000002</v>
      </c>
      <c r="I1495" s="15">
        <v>4.8599999999999997E-2</v>
      </c>
      <c r="J1495" s="15">
        <v>5.7942386831275723</v>
      </c>
    </row>
    <row r="1496" spans="1:10" x14ac:dyDescent="0.25">
      <c r="A1496" s="2" t="s">
        <v>4484</v>
      </c>
      <c r="B1496" s="2" t="s">
        <v>4485</v>
      </c>
      <c r="C1496" s="2" t="s">
        <v>4486</v>
      </c>
      <c r="D1496" s="2" t="s">
        <v>10047</v>
      </c>
      <c r="E1496" s="15">
        <v>4.0000000000000002E-4</v>
      </c>
      <c r="F1496" s="15">
        <v>9.9000000000000005E-2</v>
      </c>
      <c r="G1496" s="15">
        <v>0.99680000000000002</v>
      </c>
      <c r="H1496" s="15">
        <v>0.1678</v>
      </c>
      <c r="I1496" s="15">
        <v>4.65E-2</v>
      </c>
      <c r="J1496" s="15">
        <v>3.6086021505376351</v>
      </c>
    </row>
    <row r="1497" spans="1:10" x14ac:dyDescent="0.25">
      <c r="A1497" s="2" t="s">
        <v>4487</v>
      </c>
      <c r="B1497" s="2" t="s">
        <v>4488</v>
      </c>
      <c r="C1497" s="2" t="s">
        <v>4489</v>
      </c>
      <c r="D1497" s="2" t="s">
        <v>10047</v>
      </c>
      <c r="E1497" s="15">
        <v>-9.1000000000000004E-3</v>
      </c>
      <c r="F1497" s="15">
        <v>9.3299999999999994E-2</v>
      </c>
      <c r="G1497" s="15">
        <v>0.92230000000000001</v>
      </c>
      <c r="H1497" s="15">
        <v>0.17480000000000001</v>
      </c>
      <c r="I1497" s="15">
        <v>4.41E-2</v>
      </c>
      <c r="J1497" s="15">
        <v>3.9637188208616778</v>
      </c>
    </row>
    <row r="1498" spans="1:10" x14ac:dyDescent="0.25">
      <c r="A1498" s="2" t="s">
        <v>4490</v>
      </c>
      <c r="B1498" s="2" t="s">
        <v>4491</v>
      </c>
      <c r="C1498" s="2" t="s">
        <v>4492</v>
      </c>
      <c r="D1498" s="2" t="s">
        <v>10047</v>
      </c>
      <c r="E1498" s="15">
        <v>0.1966</v>
      </c>
      <c r="F1498" s="15">
        <v>7.1800000000000003E-2</v>
      </c>
      <c r="G1498" s="15">
        <v>6.1999999999999998E-3</v>
      </c>
      <c r="H1498" s="15">
        <v>0.33100000000000002</v>
      </c>
      <c r="I1498" s="15">
        <v>5.9900000000000002E-2</v>
      </c>
      <c r="J1498" s="15">
        <v>5.5258764607679467</v>
      </c>
    </row>
    <row r="1499" spans="1:10" x14ac:dyDescent="0.25">
      <c r="A1499" s="2" t="s">
        <v>4493</v>
      </c>
      <c r="B1499" s="2" t="s">
        <v>4494</v>
      </c>
      <c r="C1499" s="2" t="s">
        <v>4495</v>
      </c>
      <c r="D1499" s="2" t="s">
        <v>10047</v>
      </c>
      <c r="E1499" s="15">
        <v>0.14849999999999999</v>
      </c>
      <c r="F1499" s="15">
        <v>6.5299999999999997E-2</v>
      </c>
      <c r="G1499" s="15">
        <v>2.3E-2</v>
      </c>
      <c r="H1499" s="15">
        <v>0.33710000000000001</v>
      </c>
      <c r="I1499" s="15">
        <v>5.28E-2</v>
      </c>
      <c r="J1499" s="15">
        <v>6.3844696969696972</v>
      </c>
    </row>
    <row r="1500" spans="1:10" x14ac:dyDescent="0.25">
      <c r="A1500" s="2" t="s">
        <v>4496</v>
      </c>
      <c r="B1500" s="2" t="s">
        <v>4497</v>
      </c>
      <c r="C1500" s="2" t="s">
        <v>4498</v>
      </c>
      <c r="D1500" s="2" t="s">
        <v>10047</v>
      </c>
      <c r="E1500" s="15">
        <v>0.13700000000000001</v>
      </c>
      <c r="F1500" s="15">
        <v>6.9800000000000001E-2</v>
      </c>
      <c r="G1500" s="15">
        <v>4.9599999999999998E-2</v>
      </c>
      <c r="H1500" s="15">
        <v>0.2913</v>
      </c>
      <c r="I1500" s="15">
        <v>4.6300000000000001E-2</v>
      </c>
      <c r="J1500" s="15">
        <v>6.291576673866091</v>
      </c>
    </row>
    <row r="1501" spans="1:10" x14ac:dyDescent="0.25">
      <c r="A1501" s="2" t="s">
        <v>4499</v>
      </c>
      <c r="B1501" s="2" t="s">
        <v>4500</v>
      </c>
      <c r="C1501" s="2" t="s">
        <v>4501</v>
      </c>
      <c r="D1501" s="2" t="s">
        <v>10047</v>
      </c>
      <c r="E1501" s="15">
        <v>3.7100000000000001E-2</v>
      </c>
      <c r="F1501" s="15">
        <v>7.1400000000000005E-2</v>
      </c>
      <c r="G1501" s="15">
        <v>0.60360000000000003</v>
      </c>
      <c r="H1501" s="15">
        <v>0.26600000000000001</v>
      </c>
      <c r="I1501" s="15">
        <v>4.2299999999999997E-2</v>
      </c>
      <c r="J1501" s="15">
        <v>6.2884160756501188</v>
      </c>
    </row>
    <row r="1502" spans="1:10" x14ac:dyDescent="0.25">
      <c r="A1502" s="2" t="s">
        <v>4502</v>
      </c>
      <c r="B1502" s="2" t="s">
        <v>4503</v>
      </c>
      <c r="C1502" s="2" t="s">
        <v>4504</v>
      </c>
      <c r="D1502" s="2" t="s">
        <v>10047</v>
      </c>
      <c r="E1502" s="15">
        <v>6.4799999999999996E-2</v>
      </c>
      <c r="F1502" s="15">
        <v>8.1000000000000003E-2</v>
      </c>
      <c r="G1502" s="15">
        <v>0.42359999999999998</v>
      </c>
      <c r="H1502" s="15">
        <v>0.21340000000000001</v>
      </c>
      <c r="I1502" s="15">
        <v>4.65E-2</v>
      </c>
      <c r="J1502" s="15">
        <v>4.5892473118279584</v>
      </c>
    </row>
    <row r="1503" spans="1:10" x14ac:dyDescent="0.25">
      <c r="A1503" s="2" t="s">
        <v>4505</v>
      </c>
      <c r="B1503" s="2" t="s">
        <v>4506</v>
      </c>
      <c r="C1503" s="2" t="s">
        <v>4507</v>
      </c>
      <c r="D1503" s="2" t="s">
        <v>10047</v>
      </c>
      <c r="E1503" s="15">
        <v>9.74E-2</v>
      </c>
      <c r="F1503" s="15">
        <v>7.8200000000000006E-2</v>
      </c>
      <c r="G1503" s="15">
        <v>0.21290000000000001</v>
      </c>
      <c r="H1503" s="15">
        <v>0.23760000000000001</v>
      </c>
      <c r="I1503" s="15">
        <v>4.6399999999999997E-2</v>
      </c>
      <c r="J1503" s="15">
        <v>5.1206896551724146</v>
      </c>
    </row>
    <row r="1504" spans="1:10" x14ac:dyDescent="0.25">
      <c r="A1504" s="2" t="s">
        <v>4508</v>
      </c>
      <c r="B1504" s="2" t="s">
        <v>4509</v>
      </c>
      <c r="C1504" s="2" t="s">
        <v>4510</v>
      </c>
      <c r="D1504" s="2" t="s">
        <v>10047</v>
      </c>
      <c r="E1504" s="15">
        <v>0.14949999999999999</v>
      </c>
      <c r="F1504" s="15">
        <v>8.5300000000000001E-2</v>
      </c>
      <c r="G1504" s="15">
        <v>7.9699999999999993E-2</v>
      </c>
      <c r="H1504" s="15">
        <v>0.21829999999999999</v>
      </c>
      <c r="I1504" s="15">
        <v>4.3099999999999999E-2</v>
      </c>
      <c r="J1504" s="15">
        <v>5.064965197215777</v>
      </c>
    </row>
    <row r="1505" spans="1:10" x14ac:dyDescent="0.25">
      <c r="A1505" s="2" t="s">
        <v>4511</v>
      </c>
      <c r="B1505" s="2" t="s">
        <v>4512</v>
      </c>
      <c r="C1505" s="2" t="s">
        <v>4513</v>
      </c>
      <c r="D1505" s="2" t="s">
        <v>10047</v>
      </c>
      <c r="E1505" s="15">
        <v>7.8700000000000006E-2</v>
      </c>
      <c r="F1505" s="15">
        <v>7.2599999999999998E-2</v>
      </c>
      <c r="G1505" s="15">
        <v>0.27850000000000003</v>
      </c>
      <c r="H1505" s="15">
        <v>0.25950000000000001</v>
      </c>
      <c r="I1505" s="15">
        <v>4.6699999999999998E-2</v>
      </c>
      <c r="J1505" s="15">
        <v>5.5567451820128486</v>
      </c>
    </row>
    <row r="1506" spans="1:10" x14ac:dyDescent="0.25">
      <c r="A1506" s="2" t="s">
        <v>4514</v>
      </c>
      <c r="B1506" s="2" t="s">
        <v>4515</v>
      </c>
      <c r="C1506" s="2" t="s">
        <v>4516</v>
      </c>
      <c r="D1506" s="2" t="s">
        <v>10047</v>
      </c>
      <c r="E1506" s="15">
        <v>0.1709</v>
      </c>
      <c r="F1506" s="15">
        <v>7.9600000000000004E-2</v>
      </c>
      <c r="G1506" s="15">
        <v>3.1800000000000002E-2</v>
      </c>
      <c r="H1506" s="15">
        <v>0.19850000000000001</v>
      </c>
      <c r="I1506" s="15">
        <v>4.6300000000000001E-2</v>
      </c>
      <c r="J1506" s="15">
        <v>4.2872570194384449</v>
      </c>
    </row>
    <row r="1507" spans="1:10" x14ac:dyDescent="0.25">
      <c r="A1507" s="2" t="s">
        <v>4517</v>
      </c>
      <c r="B1507" s="2" t="s">
        <v>4518</v>
      </c>
      <c r="C1507" s="2" t="s">
        <v>4519</v>
      </c>
      <c r="D1507" s="2" t="s">
        <v>10047</v>
      </c>
      <c r="E1507" s="15">
        <v>0.14499999999999999</v>
      </c>
      <c r="F1507" s="15">
        <v>7.7499999999999999E-2</v>
      </c>
      <c r="G1507" s="15">
        <v>6.1600000000000002E-2</v>
      </c>
      <c r="H1507" s="15">
        <v>0.2157</v>
      </c>
      <c r="I1507" s="15">
        <v>4.7500000000000001E-2</v>
      </c>
      <c r="J1507" s="15">
        <v>4.541052631578947</v>
      </c>
    </row>
    <row r="1508" spans="1:10" x14ac:dyDescent="0.25">
      <c r="A1508" s="2" t="s">
        <v>4520</v>
      </c>
      <c r="B1508" s="2" t="s">
        <v>4521</v>
      </c>
      <c r="C1508" s="2" t="s">
        <v>4522</v>
      </c>
      <c r="D1508" s="2" t="s">
        <v>10047</v>
      </c>
      <c r="E1508" s="15">
        <v>0.1605</v>
      </c>
      <c r="F1508" s="15">
        <v>8.6599999999999996E-2</v>
      </c>
      <c r="G1508" s="15">
        <v>6.4000000000000001E-2</v>
      </c>
      <c r="H1508" s="15">
        <v>0.16089999999999999</v>
      </c>
      <c r="I1508" s="15">
        <v>4.2200000000000001E-2</v>
      </c>
      <c r="J1508" s="15">
        <v>3.8127962085308051</v>
      </c>
    </row>
    <row r="1509" spans="1:10" x14ac:dyDescent="0.25">
      <c r="A1509" s="2" t="s">
        <v>4523</v>
      </c>
      <c r="B1509" s="2" t="s">
        <v>4524</v>
      </c>
      <c r="C1509" s="2" t="s">
        <v>4525</v>
      </c>
      <c r="D1509" s="2" t="s">
        <v>10047</v>
      </c>
      <c r="E1509" s="15">
        <v>0.16139999999999999</v>
      </c>
      <c r="F1509" s="15">
        <v>8.0799999999999997E-2</v>
      </c>
      <c r="G1509" s="15">
        <v>4.5600000000000002E-2</v>
      </c>
      <c r="H1509" s="15">
        <v>0.1802</v>
      </c>
      <c r="I1509" s="15">
        <v>4.2799999999999998E-2</v>
      </c>
      <c r="J1509" s="15">
        <v>4.2102803738317762</v>
      </c>
    </row>
    <row r="1510" spans="1:10" x14ac:dyDescent="0.25">
      <c r="A1510" s="2" t="s">
        <v>4526</v>
      </c>
      <c r="B1510" s="2" t="s">
        <v>4527</v>
      </c>
      <c r="C1510" s="2" t="s">
        <v>4528</v>
      </c>
      <c r="D1510" s="2" t="s">
        <v>10047</v>
      </c>
      <c r="E1510" s="15">
        <v>0.1288</v>
      </c>
      <c r="F1510" s="15">
        <v>7.6300000000000007E-2</v>
      </c>
      <c r="G1510" s="15">
        <v>9.1499999999999998E-2</v>
      </c>
      <c r="H1510" s="15">
        <v>0.2339</v>
      </c>
      <c r="I1510" s="15">
        <v>4.8500000000000001E-2</v>
      </c>
      <c r="J1510" s="15">
        <v>4.8226804123711338</v>
      </c>
    </row>
    <row r="1511" spans="1:10" x14ac:dyDescent="0.25">
      <c r="A1511" s="2" t="s">
        <v>4529</v>
      </c>
      <c r="B1511" s="2" t="s">
        <v>4530</v>
      </c>
      <c r="C1511" s="2" t="s">
        <v>4531</v>
      </c>
      <c r="D1511" s="2" t="s">
        <v>10047</v>
      </c>
      <c r="E1511" s="15">
        <v>0.1389</v>
      </c>
      <c r="F1511" s="15">
        <v>7.2900000000000006E-2</v>
      </c>
      <c r="G1511" s="15">
        <v>5.6899999999999999E-2</v>
      </c>
      <c r="H1511" s="15">
        <v>0.2387</v>
      </c>
      <c r="I1511" s="15">
        <v>5.5599999999999997E-2</v>
      </c>
      <c r="J1511" s="15">
        <v>4.2931654676258999</v>
      </c>
    </row>
    <row r="1512" spans="1:10" x14ac:dyDescent="0.25">
      <c r="A1512" s="2" t="s">
        <v>4532</v>
      </c>
      <c r="B1512" s="2" t="s">
        <v>4533</v>
      </c>
      <c r="C1512" s="2" t="s">
        <v>4534</v>
      </c>
      <c r="D1512" s="2" t="s">
        <v>10047</v>
      </c>
      <c r="E1512" s="15">
        <v>4.6300000000000001E-2</v>
      </c>
      <c r="F1512" s="15">
        <v>8.5900000000000004E-2</v>
      </c>
      <c r="G1512" s="15">
        <v>0.58960000000000001</v>
      </c>
      <c r="H1512" s="15">
        <v>0.186</v>
      </c>
      <c r="I1512" s="15">
        <v>5.0099999999999999E-2</v>
      </c>
      <c r="J1512" s="15">
        <v>3.7125748502994012</v>
      </c>
    </row>
    <row r="1513" spans="1:10" x14ac:dyDescent="0.25">
      <c r="A1513" s="2" t="s">
        <v>4535</v>
      </c>
      <c r="B1513" s="2" t="s">
        <v>4536</v>
      </c>
      <c r="C1513" s="2" t="s">
        <v>4537</v>
      </c>
      <c r="D1513" s="2" t="s">
        <v>10047</v>
      </c>
      <c r="E1513" s="15">
        <v>6.4000000000000003E-3</v>
      </c>
      <c r="F1513" s="15">
        <v>6.9500000000000006E-2</v>
      </c>
      <c r="G1513" s="15">
        <v>0.92679999999999996</v>
      </c>
      <c r="H1513" s="15">
        <v>0.2757</v>
      </c>
      <c r="I1513" s="15">
        <v>4.9500000000000002E-2</v>
      </c>
      <c r="J1513" s="15">
        <v>5.5696969696969694</v>
      </c>
    </row>
    <row r="1514" spans="1:10" x14ac:dyDescent="0.25">
      <c r="A1514" s="2" t="s">
        <v>4538</v>
      </c>
      <c r="B1514" s="2" t="s">
        <v>4539</v>
      </c>
      <c r="C1514" s="2" t="s">
        <v>4540</v>
      </c>
      <c r="D1514" s="2" t="s">
        <v>10047</v>
      </c>
      <c r="E1514" s="15">
        <v>7.0400000000000004E-2</v>
      </c>
      <c r="F1514" s="15">
        <v>8.7400000000000005E-2</v>
      </c>
      <c r="G1514" s="15">
        <v>0.4204</v>
      </c>
      <c r="H1514" s="15">
        <v>0.1787</v>
      </c>
      <c r="I1514" s="15">
        <v>4.9500000000000002E-2</v>
      </c>
      <c r="J1514" s="15">
        <v>3.61010101010101</v>
      </c>
    </row>
    <row r="1515" spans="1:10" x14ac:dyDescent="0.25">
      <c r="A1515" s="2" t="s">
        <v>4541</v>
      </c>
      <c r="B1515" s="2" t="s">
        <v>4542</v>
      </c>
      <c r="C1515" s="2" t="s">
        <v>4543</v>
      </c>
      <c r="D1515" s="2" t="s">
        <v>10047</v>
      </c>
      <c r="E1515" s="15">
        <v>5.8700000000000002E-2</v>
      </c>
      <c r="F1515" s="15">
        <v>7.5200000000000003E-2</v>
      </c>
      <c r="G1515" s="15">
        <v>0.435</v>
      </c>
      <c r="H1515" s="15">
        <v>0.23899999999999999</v>
      </c>
      <c r="I1515" s="15">
        <v>4.9299999999999997E-2</v>
      </c>
      <c r="J1515" s="15">
        <v>4.8478701825557824</v>
      </c>
    </row>
    <row r="1516" spans="1:10" x14ac:dyDescent="0.25">
      <c r="A1516" s="2" t="s">
        <v>4544</v>
      </c>
      <c r="B1516" s="2" t="s">
        <v>4545</v>
      </c>
      <c r="C1516" s="2" t="s">
        <v>4546</v>
      </c>
      <c r="D1516" s="2" t="s">
        <v>10047</v>
      </c>
      <c r="E1516" s="15">
        <v>8.8499999999999995E-2</v>
      </c>
      <c r="F1516" s="15">
        <v>9.7299999999999998E-2</v>
      </c>
      <c r="G1516" s="15">
        <v>0.36280000000000001</v>
      </c>
      <c r="H1516" s="15">
        <v>0.17</v>
      </c>
      <c r="I1516" s="15">
        <v>4.9200000000000001E-2</v>
      </c>
      <c r="J1516" s="15">
        <v>3.4552845528455292</v>
      </c>
    </row>
    <row r="1517" spans="1:10" x14ac:dyDescent="0.25">
      <c r="A1517" s="2" t="s">
        <v>4547</v>
      </c>
      <c r="B1517" s="2" t="s">
        <v>4548</v>
      </c>
      <c r="C1517" s="2" t="s">
        <v>4549</v>
      </c>
      <c r="D1517" s="2" t="s">
        <v>10047</v>
      </c>
      <c r="E1517" s="15">
        <v>8.9599999999999999E-2</v>
      </c>
      <c r="F1517" s="15">
        <v>8.0100000000000005E-2</v>
      </c>
      <c r="G1517" s="15">
        <v>0.26340000000000002</v>
      </c>
      <c r="H1517" s="15">
        <v>0.2288</v>
      </c>
      <c r="I1517" s="15">
        <v>0.05</v>
      </c>
      <c r="J1517" s="15">
        <v>4.5759999999999996</v>
      </c>
    </row>
    <row r="1518" spans="1:10" x14ac:dyDescent="0.25">
      <c r="A1518" s="2" t="s">
        <v>4550</v>
      </c>
      <c r="B1518" s="2" t="s">
        <v>4551</v>
      </c>
      <c r="C1518" s="2" t="s">
        <v>4552</v>
      </c>
      <c r="D1518" s="2" t="s">
        <v>10047</v>
      </c>
      <c r="E1518" s="15">
        <v>0.1212</v>
      </c>
      <c r="F1518" s="15">
        <v>8.48E-2</v>
      </c>
      <c r="G1518" s="15">
        <v>0.15290000000000001</v>
      </c>
      <c r="H1518" s="15">
        <v>0.18870000000000001</v>
      </c>
      <c r="I1518" s="15">
        <v>5.2200000000000003E-2</v>
      </c>
      <c r="J1518" s="15">
        <v>3.6149425287356318</v>
      </c>
    </row>
    <row r="1519" spans="1:10" x14ac:dyDescent="0.25">
      <c r="A1519" s="2" t="s">
        <v>4553</v>
      </c>
      <c r="B1519" s="2" t="s">
        <v>4554</v>
      </c>
      <c r="C1519" s="2" t="s">
        <v>4555</v>
      </c>
      <c r="D1519" s="2" t="s">
        <v>10047</v>
      </c>
      <c r="E1519" s="15">
        <v>0.13569999999999999</v>
      </c>
      <c r="F1519" s="15">
        <v>0.1053</v>
      </c>
      <c r="G1519" s="15">
        <v>0.19719999999999999</v>
      </c>
      <c r="H1519" s="15">
        <v>0.1106</v>
      </c>
      <c r="I1519" s="15">
        <v>5.0999999999999997E-2</v>
      </c>
      <c r="J1519" s="15">
        <v>2.168627450980392</v>
      </c>
    </row>
    <row r="1520" spans="1:10" x14ac:dyDescent="0.25">
      <c r="A1520" s="2" t="s">
        <v>4556</v>
      </c>
      <c r="B1520" s="2" t="s">
        <v>4557</v>
      </c>
      <c r="C1520" s="2" t="s">
        <v>4558</v>
      </c>
      <c r="D1520" s="2" t="s">
        <v>10047</v>
      </c>
      <c r="E1520" s="15">
        <v>0.16300000000000001</v>
      </c>
      <c r="F1520" s="15">
        <v>9.4399999999999998E-2</v>
      </c>
      <c r="G1520" s="15">
        <v>8.4199999999999997E-2</v>
      </c>
      <c r="H1520" s="15">
        <v>0.13170000000000001</v>
      </c>
      <c r="I1520" s="15">
        <v>5.4699999999999999E-2</v>
      </c>
      <c r="J1520" s="15">
        <v>2.407678244972578</v>
      </c>
    </row>
    <row r="1521" spans="1:10" x14ac:dyDescent="0.25">
      <c r="A1521" s="2" t="s">
        <v>4559</v>
      </c>
      <c r="B1521" s="2" t="s">
        <v>4560</v>
      </c>
      <c r="C1521" s="2" t="s">
        <v>4561</v>
      </c>
      <c r="D1521" s="2" t="s">
        <v>10047</v>
      </c>
      <c r="E1521" s="15">
        <v>-3.39E-2</v>
      </c>
      <c r="F1521" s="15">
        <v>8.2100000000000006E-2</v>
      </c>
      <c r="G1521" s="15">
        <v>0.67989999999999995</v>
      </c>
      <c r="H1521" s="15">
        <v>0.20979999999999999</v>
      </c>
      <c r="I1521" s="15">
        <v>4.7E-2</v>
      </c>
      <c r="J1521" s="15">
        <v>4.463829787234042</v>
      </c>
    </row>
    <row r="1522" spans="1:10" x14ac:dyDescent="0.25">
      <c r="A1522" s="2" t="s">
        <v>4562</v>
      </c>
      <c r="B1522" s="2" t="s">
        <v>4563</v>
      </c>
      <c r="C1522" s="2" t="s">
        <v>4564</v>
      </c>
      <c r="D1522" s="2" t="s">
        <v>10047</v>
      </c>
      <c r="E1522" s="15">
        <v>2.92E-2</v>
      </c>
      <c r="F1522" s="15">
        <v>7.4099999999999999E-2</v>
      </c>
      <c r="G1522" s="15">
        <v>0.69320000000000004</v>
      </c>
      <c r="H1522" s="15">
        <v>0.2331</v>
      </c>
      <c r="I1522" s="15">
        <v>4.8000000000000001E-2</v>
      </c>
      <c r="J1522" s="15">
        <v>4.8562500000000002</v>
      </c>
    </row>
    <row r="1523" spans="1:10" x14ac:dyDescent="0.25">
      <c r="A1523" s="2" t="s">
        <v>4565</v>
      </c>
      <c r="B1523" s="2" t="s">
        <v>4566</v>
      </c>
      <c r="C1523" s="2" t="s">
        <v>4567</v>
      </c>
      <c r="D1523" s="2" t="s">
        <v>10047</v>
      </c>
      <c r="E1523" s="15">
        <v>8.0600000000000005E-2</v>
      </c>
      <c r="F1523" s="15">
        <v>7.0699999999999999E-2</v>
      </c>
      <c r="G1523" s="15">
        <v>0.25430000000000003</v>
      </c>
      <c r="H1523" s="15">
        <v>0.2964</v>
      </c>
      <c r="I1523" s="15">
        <v>5.1900000000000002E-2</v>
      </c>
      <c r="J1523" s="15">
        <v>5.7109826589595372</v>
      </c>
    </row>
    <row r="1524" spans="1:10" x14ac:dyDescent="0.25">
      <c r="A1524" s="2" t="s">
        <v>4568</v>
      </c>
      <c r="B1524" s="2" t="s">
        <v>4569</v>
      </c>
      <c r="C1524" s="2" t="s">
        <v>4570</v>
      </c>
      <c r="D1524" s="2" t="s">
        <v>10047</v>
      </c>
      <c r="E1524" s="15">
        <v>0.10340000000000001</v>
      </c>
      <c r="F1524" s="15">
        <v>7.0499999999999993E-2</v>
      </c>
      <c r="G1524" s="15">
        <v>0.14269999999999999</v>
      </c>
      <c r="H1524" s="15">
        <v>0.2772</v>
      </c>
      <c r="I1524" s="15">
        <v>5.04E-2</v>
      </c>
      <c r="J1524" s="15">
        <v>5.5</v>
      </c>
    </row>
    <row r="1525" spans="1:10" x14ac:dyDescent="0.25">
      <c r="A1525" s="2" t="s">
        <v>4571</v>
      </c>
      <c r="B1525" s="2" t="s">
        <v>4572</v>
      </c>
      <c r="C1525" s="2" t="s">
        <v>4573</v>
      </c>
      <c r="D1525" s="2" t="s">
        <v>10047</v>
      </c>
      <c r="E1525" s="15">
        <v>0.15770000000000001</v>
      </c>
      <c r="F1525" s="15">
        <v>7.46E-2</v>
      </c>
      <c r="G1525" s="15">
        <v>3.4500000000000003E-2</v>
      </c>
      <c r="H1525" s="15">
        <v>0.24690000000000001</v>
      </c>
      <c r="I1525" s="15">
        <v>5.1799999999999999E-2</v>
      </c>
      <c r="J1525" s="15">
        <v>4.7664092664092674</v>
      </c>
    </row>
    <row r="1526" spans="1:10" x14ac:dyDescent="0.25">
      <c r="A1526" s="2" t="s">
        <v>4574</v>
      </c>
      <c r="B1526" s="2" t="s">
        <v>4575</v>
      </c>
      <c r="C1526" s="2" t="s">
        <v>4576</v>
      </c>
      <c r="D1526" s="2" t="s">
        <v>10047</v>
      </c>
      <c r="E1526" s="15">
        <v>0.15</v>
      </c>
      <c r="F1526" s="15">
        <v>7.1300000000000002E-2</v>
      </c>
      <c r="G1526" s="15">
        <v>3.5499999999999997E-2</v>
      </c>
      <c r="H1526" s="15">
        <v>0.25319999999999998</v>
      </c>
      <c r="I1526" s="15">
        <v>5.2699999999999997E-2</v>
      </c>
      <c r="J1526" s="15">
        <v>4.8045540796963948</v>
      </c>
    </row>
    <row r="1527" spans="1:10" x14ac:dyDescent="0.25">
      <c r="A1527" s="2" t="s">
        <v>4577</v>
      </c>
      <c r="B1527" s="2" t="s">
        <v>4578</v>
      </c>
      <c r="C1527" s="2" t="s">
        <v>4579</v>
      </c>
      <c r="D1527" s="2" t="s">
        <v>10047</v>
      </c>
      <c r="E1527" s="15">
        <v>0.14749999999999999</v>
      </c>
      <c r="F1527" s="15">
        <v>8.2900000000000001E-2</v>
      </c>
      <c r="G1527" s="15">
        <v>7.51E-2</v>
      </c>
      <c r="H1527" s="15">
        <v>0.19800000000000001</v>
      </c>
      <c r="I1527" s="15">
        <v>4.7800000000000002E-2</v>
      </c>
      <c r="J1527" s="15">
        <v>4.1422594142259417</v>
      </c>
    </row>
    <row r="1528" spans="1:10" x14ac:dyDescent="0.25">
      <c r="A1528" s="2" t="s">
        <v>4580</v>
      </c>
      <c r="B1528" s="2" t="s">
        <v>4581</v>
      </c>
      <c r="C1528" s="2" t="s">
        <v>4582</v>
      </c>
      <c r="D1528" s="2" t="s">
        <v>10047</v>
      </c>
      <c r="E1528" s="15">
        <v>0.1676</v>
      </c>
      <c r="F1528" s="15">
        <v>7.0900000000000005E-2</v>
      </c>
      <c r="G1528" s="15">
        <v>1.7999999999999999E-2</v>
      </c>
      <c r="H1528" s="15">
        <v>0.27539999999999998</v>
      </c>
      <c r="I1528" s="15">
        <v>0.05</v>
      </c>
      <c r="J1528" s="15">
        <v>5.5079999999999991</v>
      </c>
    </row>
    <row r="1529" spans="1:10" x14ac:dyDescent="0.25">
      <c r="A1529" s="2" t="s">
        <v>4583</v>
      </c>
      <c r="B1529" s="2" t="s">
        <v>4584</v>
      </c>
      <c r="C1529" s="2" t="s">
        <v>4585</v>
      </c>
      <c r="D1529" s="2" t="s">
        <v>10048</v>
      </c>
      <c r="E1529" s="15">
        <v>-7.6100000000000001E-2</v>
      </c>
      <c r="F1529" s="15">
        <v>8.1699999999999995E-2</v>
      </c>
      <c r="G1529" s="15">
        <v>0.35149999999999998</v>
      </c>
      <c r="H1529" s="15">
        <v>0.17499999999999999</v>
      </c>
      <c r="I1529" s="15">
        <v>4.7500000000000001E-2</v>
      </c>
      <c r="J1529" s="15">
        <v>3.6842105263157889</v>
      </c>
    </row>
    <row r="1530" spans="1:10" x14ac:dyDescent="0.25">
      <c r="A1530" s="2" t="s">
        <v>4586</v>
      </c>
      <c r="B1530" s="2" t="s">
        <v>4587</v>
      </c>
      <c r="C1530" s="2" t="s">
        <v>4588</v>
      </c>
      <c r="D1530" s="2" t="s">
        <v>10048</v>
      </c>
      <c r="E1530" s="15">
        <v>4.8099999999999997E-2</v>
      </c>
      <c r="F1530" s="15">
        <v>6.7699999999999996E-2</v>
      </c>
      <c r="G1530" s="15">
        <v>0.4778</v>
      </c>
      <c r="H1530" s="15">
        <v>0.2802</v>
      </c>
      <c r="I1530" s="15">
        <v>6.7799999999999999E-2</v>
      </c>
      <c r="J1530" s="15">
        <v>4.1327433628318584</v>
      </c>
    </row>
    <row r="1531" spans="1:10" x14ac:dyDescent="0.25">
      <c r="A1531" s="2" t="s">
        <v>4589</v>
      </c>
      <c r="B1531" s="2" t="s">
        <v>4590</v>
      </c>
      <c r="C1531" s="2" t="s">
        <v>4591</v>
      </c>
      <c r="D1531" s="2" t="s">
        <v>10048</v>
      </c>
      <c r="E1531" s="15">
        <v>-0.2026</v>
      </c>
      <c r="F1531" s="15">
        <v>0.15490000000000001</v>
      </c>
      <c r="G1531" s="15">
        <v>0.19070000000000001</v>
      </c>
      <c r="H1531" s="15">
        <v>5.6399999999999999E-2</v>
      </c>
      <c r="I1531" s="15">
        <v>3.5900000000000001E-2</v>
      </c>
      <c r="J1531" s="15">
        <v>1.571030640668523</v>
      </c>
    </row>
    <row r="1532" spans="1:10" x14ac:dyDescent="0.25">
      <c r="A1532" s="2" t="s">
        <v>4592</v>
      </c>
      <c r="B1532" s="2" t="s">
        <v>4593</v>
      </c>
      <c r="C1532" s="2" t="s">
        <v>4594</v>
      </c>
      <c r="D1532" s="2" t="s">
        <v>10048</v>
      </c>
      <c r="E1532" s="15">
        <v>-0.1036</v>
      </c>
      <c r="F1532" s="15">
        <v>8.8499999999999995E-2</v>
      </c>
      <c r="G1532" s="15">
        <v>0.24199999999999999</v>
      </c>
      <c r="H1532" s="15">
        <v>0.17280000000000001</v>
      </c>
      <c r="I1532" s="15">
        <v>5.6000000000000001E-2</v>
      </c>
      <c r="J1532" s="15">
        <v>3.0857142857142859</v>
      </c>
    </row>
    <row r="1533" spans="1:10" x14ac:dyDescent="0.25">
      <c r="A1533" s="2" t="s">
        <v>4595</v>
      </c>
      <c r="B1533" s="2" t="s">
        <v>4596</v>
      </c>
      <c r="C1533" s="2" t="s">
        <v>4597</v>
      </c>
      <c r="D1533" s="2" t="s">
        <v>10048</v>
      </c>
      <c r="E1533" s="15">
        <v>9.6199999999999994E-2</v>
      </c>
      <c r="F1533" s="15">
        <v>7.5200000000000003E-2</v>
      </c>
      <c r="G1533" s="15">
        <v>0.2011</v>
      </c>
      <c r="H1533" s="15">
        <v>0.2402</v>
      </c>
      <c r="I1533" s="15">
        <v>4.7600000000000003E-2</v>
      </c>
      <c r="J1533" s="15">
        <v>5.0462184873949578</v>
      </c>
    </row>
    <row r="1534" spans="1:10" x14ac:dyDescent="0.25">
      <c r="A1534" s="2" t="s">
        <v>4598</v>
      </c>
      <c r="B1534" s="2" t="s">
        <v>4599</v>
      </c>
      <c r="C1534" s="2" t="s">
        <v>4600</v>
      </c>
      <c r="D1534" s="2" t="s">
        <v>10048</v>
      </c>
      <c r="E1534" s="15">
        <v>-4.4900000000000002E-2</v>
      </c>
      <c r="F1534" s="15">
        <v>9.1200000000000003E-2</v>
      </c>
      <c r="G1534" s="15">
        <v>0.62250000000000005</v>
      </c>
      <c r="H1534" s="15">
        <v>0.15939999999999999</v>
      </c>
      <c r="I1534" s="15">
        <v>4.7199999999999999E-2</v>
      </c>
      <c r="J1534" s="15">
        <v>3.3771186440677958</v>
      </c>
    </row>
    <row r="1535" spans="1:10" x14ac:dyDescent="0.25">
      <c r="A1535" s="2" t="s">
        <v>4601</v>
      </c>
      <c r="B1535" s="2" t="s">
        <v>4602</v>
      </c>
      <c r="C1535" s="2" t="s">
        <v>4603</v>
      </c>
      <c r="D1535" s="2" t="s">
        <v>10048</v>
      </c>
      <c r="E1535" s="15">
        <v>1.9699999999999999E-2</v>
      </c>
      <c r="F1535" s="15">
        <v>0.1082</v>
      </c>
      <c r="G1535" s="15">
        <v>0.85589999999999999</v>
      </c>
      <c r="H1535" s="15">
        <v>0.1113</v>
      </c>
      <c r="I1535" s="15">
        <v>4.8599999999999997E-2</v>
      </c>
      <c r="J1535" s="15">
        <v>2.290123456790123</v>
      </c>
    </row>
    <row r="1536" spans="1:10" x14ac:dyDescent="0.25">
      <c r="A1536" s="2" t="s">
        <v>4604</v>
      </c>
      <c r="B1536" s="2" t="s">
        <v>4605</v>
      </c>
      <c r="C1536" s="2" t="s">
        <v>4606</v>
      </c>
      <c r="D1536" s="2" t="s">
        <v>10048</v>
      </c>
      <c r="E1536" s="15">
        <v>8.9800000000000005E-2</v>
      </c>
      <c r="F1536" s="15">
        <v>0.10780000000000001</v>
      </c>
      <c r="G1536" s="15">
        <v>0.40479999999999999</v>
      </c>
      <c r="H1536" s="15">
        <v>0.1172</v>
      </c>
      <c r="I1536" s="15">
        <v>5.4899999999999997E-2</v>
      </c>
      <c r="J1536" s="15">
        <v>2.1347905282331512</v>
      </c>
    </row>
    <row r="1537" spans="1:10" x14ac:dyDescent="0.25">
      <c r="A1537" s="2" t="s">
        <v>4607</v>
      </c>
      <c r="B1537" s="2" t="s">
        <v>4608</v>
      </c>
      <c r="C1537" s="2" t="s">
        <v>4609</v>
      </c>
      <c r="D1537" s="2" t="s">
        <v>10048</v>
      </c>
      <c r="E1537" s="15">
        <v>-3.8899999999999997E-2</v>
      </c>
      <c r="F1537" s="15">
        <v>8.5500000000000007E-2</v>
      </c>
      <c r="G1537" s="15">
        <v>0.64900000000000002</v>
      </c>
      <c r="H1537" s="15">
        <v>0.16889999999999999</v>
      </c>
      <c r="I1537" s="15">
        <v>4.2500000000000003E-2</v>
      </c>
      <c r="J1537" s="15">
        <v>3.9741176470588231</v>
      </c>
    </row>
    <row r="1538" spans="1:10" x14ac:dyDescent="0.25">
      <c r="A1538" s="2" t="s">
        <v>4610</v>
      </c>
      <c r="B1538" s="2" t="s">
        <v>4611</v>
      </c>
      <c r="C1538" s="2" t="s">
        <v>4612</v>
      </c>
      <c r="D1538" s="2" t="s">
        <v>10048</v>
      </c>
      <c r="E1538" s="15">
        <v>-7.5700000000000003E-2</v>
      </c>
      <c r="F1538" s="15">
        <v>9.2299999999999993E-2</v>
      </c>
      <c r="G1538" s="15">
        <v>0.41220000000000001</v>
      </c>
      <c r="H1538" s="15">
        <v>0.13550000000000001</v>
      </c>
      <c r="I1538" s="15">
        <v>4.5400000000000003E-2</v>
      </c>
      <c r="J1538" s="15">
        <v>2.984581497797357</v>
      </c>
    </row>
    <row r="1539" spans="1:10" x14ac:dyDescent="0.25">
      <c r="A1539" s="2" t="s">
        <v>4613</v>
      </c>
      <c r="B1539" s="2" t="s">
        <v>4614</v>
      </c>
      <c r="C1539" s="2" t="s">
        <v>4615</v>
      </c>
      <c r="D1539" s="2" t="s">
        <v>10048</v>
      </c>
      <c r="E1539" s="15">
        <v>-7.1000000000000004E-3</v>
      </c>
      <c r="F1539" s="15">
        <v>8.9399999999999993E-2</v>
      </c>
      <c r="G1539" s="15">
        <v>0.93640000000000001</v>
      </c>
      <c r="H1539" s="15">
        <v>0.1822</v>
      </c>
      <c r="I1539" s="15">
        <v>4.4900000000000002E-2</v>
      </c>
      <c r="J1539" s="15">
        <v>4.0579064587973273</v>
      </c>
    </row>
    <row r="1540" spans="1:10" x14ac:dyDescent="0.25">
      <c r="A1540" s="2" t="s">
        <v>4616</v>
      </c>
      <c r="B1540" s="2" t="s">
        <v>4617</v>
      </c>
      <c r="C1540" s="2" t="s">
        <v>4618</v>
      </c>
      <c r="D1540" s="2" t="s">
        <v>10048</v>
      </c>
      <c r="E1540" s="15">
        <v>-3.4299999999999997E-2</v>
      </c>
      <c r="F1540" s="15">
        <v>9.8900000000000002E-2</v>
      </c>
      <c r="G1540" s="15">
        <v>0.72840000000000005</v>
      </c>
      <c r="H1540" s="15">
        <v>0.16300000000000001</v>
      </c>
      <c r="I1540" s="15">
        <v>4.3700000000000003E-2</v>
      </c>
      <c r="J1540" s="15">
        <v>3.7299771167048048</v>
      </c>
    </row>
    <row r="1541" spans="1:10" x14ac:dyDescent="0.25">
      <c r="A1541" s="2" t="s">
        <v>4619</v>
      </c>
      <c r="B1541" s="2" t="s">
        <v>4620</v>
      </c>
      <c r="C1541" s="2" t="s">
        <v>4621</v>
      </c>
      <c r="D1541" s="2" t="s">
        <v>10048</v>
      </c>
      <c r="E1541" s="15">
        <v>8.5000000000000006E-3</v>
      </c>
      <c r="F1541" s="15">
        <v>7.8600000000000003E-2</v>
      </c>
      <c r="G1541" s="15">
        <v>0.91410000000000002</v>
      </c>
      <c r="H1541" s="15">
        <v>0.21210000000000001</v>
      </c>
      <c r="I1541" s="15">
        <v>4.9299999999999997E-2</v>
      </c>
      <c r="J1541" s="15">
        <v>4.3022312373225153</v>
      </c>
    </row>
    <row r="1542" spans="1:10" x14ac:dyDescent="0.25">
      <c r="A1542" s="2" t="s">
        <v>4622</v>
      </c>
      <c r="B1542" s="2" t="s">
        <v>4623</v>
      </c>
      <c r="C1542" s="2" t="s">
        <v>4624</v>
      </c>
      <c r="D1542" s="2" t="s">
        <v>10048</v>
      </c>
      <c r="E1542" s="15">
        <v>5.7200000000000001E-2</v>
      </c>
      <c r="F1542" s="15">
        <v>7.9799999999999996E-2</v>
      </c>
      <c r="G1542" s="15">
        <v>0.47410000000000002</v>
      </c>
      <c r="H1542" s="15">
        <v>0.20399999999999999</v>
      </c>
      <c r="I1542" s="15">
        <v>4.3499999999999997E-2</v>
      </c>
      <c r="J1542" s="15">
        <v>4.6896551724137927</v>
      </c>
    </row>
    <row r="1543" spans="1:10" x14ac:dyDescent="0.25">
      <c r="A1543" s="2" t="s">
        <v>4625</v>
      </c>
      <c r="B1543" s="2" t="s">
        <v>4626</v>
      </c>
      <c r="C1543" s="2" t="s">
        <v>4627</v>
      </c>
      <c r="D1543" s="2" t="s">
        <v>10048</v>
      </c>
      <c r="E1543" s="15">
        <v>5.1400000000000001E-2</v>
      </c>
      <c r="F1543" s="15">
        <v>8.5000000000000006E-2</v>
      </c>
      <c r="G1543" s="15">
        <v>0.5454</v>
      </c>
      <c r="H1543" s="15">
        <v>0.1822</v>
      </c>
      <c r="I1543" s="15">
        <v>5.2299999999999999E-2</v>
      </c>
      <c r="J1543" s="15">
        <v>3.4837476099426392</v>
      </c>
    </row>
    <row r="1544" spans="1:10" x14ac:dyDescent="0.25">
      <c r="A1544" s="2" t="s">
        <v>4628</v>
      </c>
      <c r="B1544" s="2" t="s">
        <v>4629</v>
      </c>
      <c r="C1544" s="2" t="s">
        <v>4630</v>
      </c>
      <c r="D1544" s="2" t="s">
        <v>10048</v>
      </c>
      <c r="E1544" s="15">
        <v>-8.8499999999999995E-2</v>
      </c>
      <c r="F1544" s="15">
        <v>8.2500000000000004E-2</v>
      </c>
      <c r="G1544" s="15">
        <v>0.28370000000000001</v>
      </c>
      <c r="H1544" s="15">
        <v>0.1678</v>
      </c>
      <c r="I1544" s="15">
        <v>4.5999999999999999E-2</v>
      </c>
      <c r="J1544" s="15">
        <v>3.6478260869565222</v>
      </c>
    </row>
    <row r="1545" spans="1:10" x14ac:dyDescent="0.25">
      <c r="A1545" s="2" t="s">
        <v>4631</v>
      </c>
      <c r="B1545" s="2" t="s">
        <v>4632</v>
      </c>
      <c r="C1545" s="2" t="s">
        <v>4633</v>
      </c>
      <c r="D1545" s="2" t="s">
        <v>10048</v>
      </c>
      <c r="E1545" s="15">
        <v>9.1000000000000004E-3</v>
      </c>
      <c r="F1545" s="15">
        <v>5.8299999999999998E-2</v>
      </c>
      <c r="G1545" s="15">
        <v>0.87570000000000003</v>
      </c>
      <c r="H1545" s="15">
        <v>0.35020000000000001</v>
      </c>
      <c r="I1545" s="15">
        <v>4.58E-2</v>
      </c>
      <c r="J1545" s="15">
        <v>7.6462882096069871</v>
      </c>
    </row>
    <row r="1546" spans="1:10" x14ac:dyDescent="0.25">
      <c r="A1546" s="2" t="s">
        <v>4634</v>
      </c>
      <c r="B1546" s="2" t="s">
        <v>4635</v>
      </c>
      <c r="C1546" s="2" t="s">
        <v>4636</v>
      </c>
      <c r="D1546" s="2" t="s">
        <v>10048</v>
      </c>
      <c r="E1546" s="15">
        <v>4.3099999999999999E-2</v>
      </c>
      <c r="F1546" s="15">
        <v>6.0600000000000001E-2</v>
      </c>
      <c r="G1546" s="15">
        <v>0.47670000000000001</v>
      </c>
      <c r="H1546" s="15">
        <v>0.31790000000000002</v>
      </c>
      <c r="I1546" s="15">
        <v>4.3499999999999997E-2</v>
      </c>
      <c r="J1546" s="15">
        <v>7.3080459770114947</v>
      </c>
    </row>
    <row r="1547" spans="1:10" x14ac:dyDescent="0.25">
      <c r="A1547" s="2" t="s">
        <v>4637</v>
      </c>
      <c r="B1547" s="2" t="s">
        <v>4638</v>
      </c>
      <c r="C1547" s="2" t="s">
        <v>4639</v>
      </c>
      <c r="D1547" s="2" t="s">
        <v>10048</v>
      </c>
      <c r="E1547" s="15">
        <v>8.2699999999999996E-2</v>
      </c>
      <c r="F1547" s="15">
        <v>6.1800000000000001E-2</v>
      </c>
      <c r="G1547" s="15">
        <v>0.18099999999999999</v>
      </c>
      <c r="H1547" s="15">
        <v>0.31580000000000003</v>
      </c>
      <c r="I1547" s="15">
        <v>4.6399999999999997E-2</v>
      </c>
      <c r="J1547" s="15">
        <v>6.8060344827586219</v>
      </c>
    </row>
    <row r="1548" spans="1:10" x14ac:dyDescent="0.25">
      <c r="A1548" s="2" t="s">
        <v>4640</v>
      </c>
      <c r="B1548" s="2" t="s">
        <v>4641</v>
      </c>
      <c r="C1548" s="2" t="s">
        <v>4642</v>
      </c>
      <c r="D1548" s="2" t="s">
        <v>10048</v>
      </c>
      <c r="E1548" s="15">
        <v>7.8700000000000006E-2</v>
      </c>
      <c r="F1548" s="15">
        <v>6.4699999999999994E-2</v>
      </c>
      <c r="G1548" s="15">
        <v>0.22339999999999999</v>
      </c>
      <c r="H1548" s="15">
        <v>0.35260000000000002</v>
      </c>
      <c r="I1548" s="15">
        <v>4.99E-2</v>
      </c>
      <c r="J1548" s="15">
        <v>7.0661322645290587</v>
      </c>
    </row>
    <row r="1549" spans="1:10" x14ac:dyDescent="0.25">
      <c r="A1549" s="2" t="s">
        <v>4643</v>
      </c>
      <c r="B1549" s="2" t="s">
        <v>4644</v>
      </c>
      <c r="C1549" s="2" t="s">
        <v>4645</v>
      </c>
      <c r="D1549" s="2" t="s">
        <v>10048</v>
      </c>
      <c r="E1549" s="15">
        <v>0.21299999999999999</v>
      </c>
      <c r="F1549" s="15">
        <v>8.2000000000000003E-2</v>
      </c>
      <c r="G1549" s="15">
        <v>9.4000000000000004E-3</v>
      </c>
      <c r="H1549" s="15">
        <v>0.2137</v>
      </c>
      <c r="I1549" s="15">
        <v>4.8500000000000001E-2</v>
      </c>
      <c r="J1549" s="15">
        <v>4.4061855670103096</v>
      </c>
    </row>
    <row r="1550" spans="1:10" x14ac:dyDescent="0.25">
      <c r="A1550" s="2" t="s">
        <v>4646</v>
      </c>
      <c r="B1550" s="2" t="s">
        <v>4647</v>
      </c>
      <c r="C1550" s="2" t="s">
        <v>4648</v>
      </c>
      <c r="D1550" s="2" t="s">
        <v>10048</v>
      </c>
      <c r="E1550" s="15">
        <v>0.20430000000000001</v>
      </c>
      <c r="F1550" s="15">
        <v>6.9199999999999998E-2</v>
      </c>
      <c r="G1550" s="15">
        <v>3.2000000000000002E-3</v>
      </c>
      <c r="H1550" s="15">
        <v>0.26169999999999999</v>
      </c>
      <c r="I1550" s="15">
        <v>5.0900000000000001E-2</v>
      </c>
      <c r="J1550" s="15">
        <v>5.1414538310412574</v>
      </c>
    </row>
    <row r="1551" spans="1:10" x14ac:dyDescent="0.25">
      <c r="A1551" s="2" t="s">
        <v>4649</v>
      </c>
      <c r="B1551" s="2" t="s">
        <v>4650</v>
      </c>
      <c r="C1551" s="2" t="s">
        <v>4651</v>
      </c>
      <c r="D1551" s="2" t="s">
        <v>10048</v>
      </c>
      <c r="E1551" s="15">
        <v>-6.6299999999999998E-2</v>
      </c>
      <c r="F1551" s="15">
        <v>7.85E-2</v>
      </c>
      <c r="G1551" s="15">
        <v>0.39860000000000001</v>
      </c>
      <c r="H1551" s="15">
        <v>0.28970000000000001</v>
      </c>
      <c r="I1551" s="15">
        <v>4.7199999999999999E-2</v>
      </c>
      <c r="J1551" s="15">
        <v>6.1377118644067803</v>
      </c>
    </row>
    <row r="1552" spans="1:10" x14ac:dyDescent="0.25">
      <c r="A1552" s="2" t="s">
        <v>4652</v>
      </c>
      <c r="B1552" s="2" t="s">
        <v>4653</v>
      </c>
      <c r="C1552" s="2" t="s">
        <v>4654</v>
      </c>
      <c r="D1552" s="2" t="s">
        <v>10048</v>
      </c>
      <c r="E1552" s="15">
        <v>-0.14680000000000001</v>
      </c>
      <c r="F1552" s="15">
        <v>8.1100000000000005E-2</v>
      </c>
      <c r="G1552" s="15">
        <v>7.0199999999999999E-2</v>
      </c>
      <c r="H1552" s="15">
        <v>0.2445</v>
      </c>
      <c r="I1552" s="15">
        <v>4.5100000000000001E-2</v>
      </c>
      <c r="J1552" s="15">
        <v>5.4212860310421283</v>
      </c>
    </row>
    <row r="1553" spans="1:10" x14ac:dyDescent="0.25">
      <c r="A1553" s="2" t="s">
        <v>4655</v>
      </c>
      <c r="B1553" s="2" t="s">
        <v>4656</v>
      </c>
      <c r="C1553" s="2" t="s">
        <v>4657</v>
      </c>
      <c r="D1553" s="2" t="s">
        <v>10048</v>
      </c>
      <c r="E1553" s="15">
        <v>0.1031</v>
      </c>
      <c r="F1553" s="15">
        <v>7.6300000000000007E-2</v>
      </c>
      <c r="G1553" s="15">
        <v>0.17680000000000001</v>
      </c>
      <c r="H1553" s="15">
        <v>0.2457</v>
      </c>
      <c r="I1553" s="15">
        <v>5.1799999999999999E-2</v>
      </c>
      <c r="J1553" s="15">
        <v>4.743243243243243</v>
      </c>
    </row>
    <row r="1554" spans="1:10" x14ac:dyDescent="0.25">
      <c r="A1554" s="2" t="s">
        <v>4658</v>
      </c>
      <c r="B1554" s="2" t="s">
        <v>4659</v>
      </c>
      <c r="C1554" s="2" t="s">
        <v>4660</v>
      </c>
      <c r="D1554" s="2" t="s">
        <v>10048</v>
      </c>
      <c r="E1554" s="15">
        <v>0.16289999999999999</v>
      </c>
      <c r="F1554" s="15">
        <v>7.4300000000000005E-2</v>
      </c>
      <c r="G1554" s="15">
        <v>2.8400000000000002E-2</v>
      </c>
      <c r="H1554" s="15">
        <v>0.25979999999999998</v>
      </c>
      <c r="I1554" s="15">
        <v>5.6000000000000001E-2</v>
      </c>
      <c r="J1554" s="15">
        <v>4.6392857142857133</v>
      </c>
    </row>
    <row r="1555" spans="1:10" x14ac:dyDescent="0.25">
      <c r="A1555" s="2" t="s">
        <v>4661</v>
      </c>
      <c r="B1555" s="2" t="s">
        <v>4662</v>
      </c>
      <c r="C1555" s="2" t="s">
        <v>4663</v>
      </c>
      <c r="D1555" s="2" t="s">
        <v>10048</v>
      </c>
      <c r="E1555" s="15">
        <v>-1.03E-2</v>
      </c>
      <c r="F1555" s="15">
        <v>7.2700000000000001E-2</v>
      </c>
      <c r="G1555" s="15">
        <v>0.88780000000000003</v>
      </c>
      <c r="H1555" s="15">
        <v>0.20710000000000001</v>
      </c>
      <c r="I1555" s="15">
        <v>4.82E-2</v>
      </c>
      <c r="J1555" s="15">
        <v>4.296680497925311</v>
      </c>
    </row>
    <row r="1556" spans="1:10" x14ac:dyDescent="0.25">
      <c r="A1556" s="2" t="s">
        <v>4664</v>
      </c>
      <c r="B1556" s="2" t="s">
        <v>4665</v>
      </c>
      <c r="C1556" s="2" t="s">
        <v>4666</v>
      </c>
      <c r="D1556" s="2" t="s">
        <v>10048</v>
      </c>
      <c r="E1556" s="15">
        <v>9.4399999999999998E-2</v>
      </c>
      <c r="F1556" s="15">
        <v>7.0900000000000005E-2</v>
      </c>
      <c r="G1556" s="15">
        <v>0.18329999999999999</v>
      </c>
      <c r="H1556" s="15">
        <v>0.24579999999999999</v>
      </c>
      <c r="I1556" s="15">
        <v>4.5999999999999999E-2</v>
      </c>
      <c r="J1556" s="15">
        <v>5.3434782608695652</v>
      </c>
    </row>
    <row r="1557" spans="1:10" x14ac:dyDescent="0.25">
      <c r="A1557" s="2" t="s">
        <v>4667</v>
      </c>
      <c r="B1557" s="2" t="s">
        <v>4668</v>
      </c>
      <c r="C1557" s="2" t="s">
        <v>4669</v>
      </c>
      <c r="D1557" s="2" t="s">
        <v>10048</v>
      </c>
      <c r="E1557" s="15">
        <v>3.3599999999999998E-2</v>
      </c>
      <c r="F1557" s="15">
        <v>7.8600000000000003E-2</v>
      </c>
      <c r="G1557" s="15">
        <v>0.66930000000000001</v>
      </c>
      <c r="H1557" s="15">
        <v>0.16930000000000001</v>
      </c>
      <c r="I1557" s="15">
        <v>4.7899999999999998E-2</v>
      </c>
      <c r="J1557" s="15">
        <v>3.5344467640918582</v>
      </c>
    </row>
    <row r="1558" spans="1:10" x14ac:dyDescent="0.25">
      <c r="A1558" s="2" t="s">
        <v>4670</v>
      </c>
      <c r="B1558" s="2" t="s">
        <v>4671</v>
      </c>
      <c r="C1558" s="2" t="s">
        <v>4672</v>
      </c>
      <c r="D1558" s="2" t="s">
        <v>10048</v>
      </c>
      <c r="E1558" s="15">
        <v>1.9E-3</v>
      </c>
      <c r="F1558" s="15">
        <v>8.6400000000000005E-2</v>
      </c>
      <c r="G1558" s="15">
        <v>0.98229999999999995</v>
      </c>
      <c r="H1558" s="15">
        <v>0.15870000000000001</v>
      </c>
      <c r="I1558" s="15">
        <v>5.0999999999999997E-2</v>
      </c>
      <c r="J1558" s="15">
        <v>3.111764705882353</v>
      </c>
    </row>
    <row r="1559" spans="1:10" x14ac:dyDescent="0.25">
      <c r="A1559" s="2" t="s">
        <v>4673</v>
      </c>
      <c r="B1559" s="2" t="s">
        <v>4674</v>
      </c>
      <c r="C1559" s="2" t="s">
        <v>4675</v>
      </c>
      <c r="D1559" s="2" t="s">
        <v>10048</v>
      </c>
      <c r="E1559" s="15">
        <v>5.6399999999999999E-2</v>
      </c>
      <c r="F1559" s="15">
        <v>8.0699999999999994E-2</v>
      </c>
      <c r="G1559" s="15">
        <v>0.48459999999999998</v>
      </c>
      <c r="H1559" s="15">
        <v>0.18459999999999999</v>
      </c>
      <c r="I1559" s="15">
        <v>4.7699999999999999E-2</v>
      </c>
      <c r="J1559" s="15">
        <v>3.8700209643605872</v>
      </c>
    </row>
    <row r="1560" spans="1:10" x14ac:dyDescent="0.25">
      <c r="A1560" s="2" t="s">
        <v>4676</v>
      </c>
      <c r="B1560" s="2" t="s">
        <v>4677</v>
      </c>
      <c r="C1560" s="2" t="s">
        <v>4678</v>
      </c>
      <c r="D1560" s="2" t="s">
        <v>10048</v>
      </c>
      <c r="E1560" s="15">
        <v>-2.7099999999999999E-2</v>
      </c>
      <c r="F1560" s="15">
        <v>8.48E-2</v>
      </c>
      <c r="G1560" s="15">
        <v>0.74960000000000004</v>
      </c>
      <c r="H1560" s="15">
        <v>0.15740000000000001</v>
      </c>
      <c r="I1560" s="15">
        <v>4.3999999999999997E-2</v>
      </c>
      <c r="J1560" s="15">
        <v>3.577272727272728</v>
      </c>
    </row>
    <row r="1561" spans="1:10" x14ac:dyDescent="0.25">
      <c r="A1561" s="2" t="s">
        <v>4679</v>
      </c>
      <c r="B1561" s="2" t="s">
        <v>4680</v>
      </c>
      <c r="C1561" s="2" t="s">
        <v>4681</v>
      </c>
      <c r="D1561" s="2" t="s">
        <v>10048</v>
      </c>
      <c r="E1561" s="15">
        <v>-5.8799999999999998E-2</v>
      </c>
      <c r="F1561" s="15">
        <v>6.7900000000000002E-2</v>
      </c>
      <c r="G1561" s="15">
        <v>0.38600000000000001</v>
      </c>
      <c r="H1561" s="15">
        <v>0.26569999999999999</v>
      </c>
      <c r="I1561" s="15">
        <v>5.0900000000000001E-2</v>
      </c>
      <c r="J1561" s="15">
        <v>5.2200392927308448</v>
      </c>
    </row>
    <row r="1562" spans="1:10" x14ac:dyDescent="0.25">
      <c r="A1562" s="2" t="s">
        <v>4682</v>
      </c>
      <c r="B1562" s="2" t="s">
        <v>4683</v>
      </c>
      <c r="C1562" s="2" t="s">
        <v>4684</v>
      </c>
      <c r="D1562" s="2" t="s">
        <v>10048</v>
      </c>
      <c r="E1562" s="15">
        <v>3.1E-2</v>
      </c>
      <c r="F1562" s="15">
        <v>7.0499999999999993E-2</v>
      </c>
      <c r="G1562" s="15">
        <v>0.66</v>
      </c>
      <c r="H1562" s="15">
        <v>0.28370000000000001</v>
      </c>
      <c r="I1562" s="15">
        <v>6.0499999999999998E-2</v>
      </c>
      <c r="J1562" s="15">
        <v>4.6892561983471079</v>
      </c>
    </row>
    <row r="1563" spans="1:10" x14ac:dyDescent="0.25">
      <c r="A1563" s="2" t="s">
        <v>4685</v>
      </c>
      <c r="B1563" s="2" t="s">
        <v>4686</v>
      </c>
      <c r="C1563" s="2" t="s">
        <v>4687</v>
      </c>
      <c r="D1563" s="2" t="s">
        <v>10048</v>
      </c>
      <c r="E1563" s="15">
        <v>0.10489999999999999</v>
      </c>
      <c r="F1563" s="15">
        <v>7.8E-2</v>
      </c>
      <c r="G1563" s="15">
        <v>0.1784</v>
      </c>
      <c r="H1563" s="15">
        <v>0.26519999999999999</v>
      </c>
      <c r="I1563" s="15">
        <v>5.2200000000000003E-2</v>
      </c>
      <c r="J1563" s="15">
        <v>5.0804597701149419</v>
      </c>
    </row>
    <row r="1564" spans="1:10" x14ac:dyDescent="0.25">
      <c r="A1564" s="2" t="s">
        <v>4688</v>
      </c>
      <c r="B1564" s="2" t="s">
        <v>4689</v>
      </c>
      <c r="C1564" s="2" t="s">
        <v>4690</v>
      </c>
      <c r="D1564" s="2" t="s">
        <v>10048</v>
      </c>
      <c r="E1564" s="15">
        <v>0.12189999999999999</v>
      </c>
      <c r="F1564" s="15">
        <v>7.9600000000000004E-2</v>
      </c>
      <c r="G1564" s="15">
        <v>0.12559999999999999</v>
      </c>
      <c r="H1564" s="15">
        <v>0.25059999999999999</v>
      </c>
      <c r="I1564" s="15">
        <v>5.7299999999999997E-2</v>
      </c>
      <c r="J1564" s="15">
        <v>4.3734729493891802</v>
      </c>
    </row>
    <row r="1565" spans="1:10" x14ac:dyDescent="0.25">
      <c r="A1565" s="2" t="s">
        <v>4691</v>
      </c>
      <c r="B1565" s="2" t="s">
        <v>4692</v>
      </c>
      <c r="C1565" s="2" t="s">
        <v>4693</v>
      </c>
      <c r="D1565" s="2" t="s">
        <v>10048</v>
      </c>
      <c r="E1565" s="15">
        <v>0.2412</v>
      </c>
      <c r="F1565" s="15">
        <v>9.7600000000000006E-2</v>
      </c>
      <c r="G1565" s="15">
        <v>1.35E-2</v>
      </c>
      <c r="H1565" s="15">
        <v>0.1386</v>
      </c>
      <c r="I1565" s="15">
        <v>4.2500000000000003E-2</v>
      </c>
      <c r="J1565" s="15">
        <v>3.2611764705882349</v>
      </c>
    </row>
    <row r="1566" spans="1:10" x14ac:dyDescent="0.25">
      <c r="A1566" s="2" t="s">
        <v>4694</v>
      </c>
      <c r="B1566" s="2" t="s">
        <v>4695</v>
      </c>
      <c r="C1566" s="2" t="s">
        <v>4696</v>
      </c>
      <c r="D1566" s="2" t="s">
        <v>10048</v>
      </c>
      <c r="E1566" s="15">
        <v>0.1537</v>
      </c>
      <c r="F1566" s="15">
        <v>0.1149</v>
      </c>
      <c r="G1566" s="15">
        <v>0.18110000000000001</v>
      </c>
      <c r="H1566" s="15">
        <v>0.1027</v>
      </c>
      <c r="I1566" s="15">
        <v>4.5499999999999999E-2</v>
      </c>
      <c r="J1566" s="15">
        <v>2.2571428571428571</v>
      </c>
    </row>
    <row r="1567" spans="1:10" x14ac:dyDescent="0.25">
      <c r="A1567" s="2" t="s">
        <v>4697</v>
      </c>
      <c r="B1567" s="2" t="s">
        <v>4698</v>
      </c>
      <c r="C1567" s="2" t="s">
        <v>4699</v>
      </c>
      <c r="D1567" s="2" t="s">
        <v>10048</v>
      </c>
      <c r="E1567" s="15">
        <v>6.9500000000000006E-2</v>
      </c>
      <c r="F1567" s="15">
        <v>8.2699999999999996E-2</v>
      </c>
      <c r="G1567" s="15">
        <v>0.40029999999999999</v>
      </c>
      <c r="H1567" s="15">
        <v>0.18429999999999999</v>
      </c>
      <c r="I1567" s="15">
        <v>5.0599999999999999E-2</v>
      </c>
      <c r="J1567" s="15">
        <v>3.6422924901185771</v>
      </c>
    </row>
    <row r="1568" spans="1:10" x14ac:dyDescent="0.25">
      <c r="A1568" s="2" t="s">
        <v>4700</v>
      </c>
      <c r="B1568" s="2" t="s">
        <v>4701</v>
      </c>
      <c r="C1568" s="2" t="s">
        <v>4702</v>
      </c>
      <c r="D1568" s="2" t="s">
        <v>10048</v>
      </c>
      <c r="E1568" s="15">
        <v>-0.13919999999999999</v>
      </c>
      <c r="F1568" s="15">
        <v>7.8299999999999995E-2</v>
      </c>
      <c r="G1568" s="15">
        <v>7.5200000000000003E-2</v>
      </c>
      <c r="H1568" s="15">
        <v>0.2165</v>
      </c>
      <c r="I1568" s="15">
        <v>4.4600000000000001E-2</v>
      </c>
      <c r="J1568" s="15">
        <v>4.8542600896860986</v>
      </c>
    </row>
    <row r="1569" spans="1:10" x14ac:dyDescent="0.25">
      <c r="A1569" s="2" t="s">
        <v>4703</v>
      </c>
      <c r="B1569" s="2" t="s">
        <v>4704</v>
      </c>
      <c r="C1569" s="2" t="s">
        <v>4705</v>
      </c>
      <c r="D1569" s="2" t="s">
        <v>10048</v>
      </c>
      <c r="E1569" s="15">
        <v>0.1802</v>
      </c>
      <c r="F1569" s="15">
        <v>7.0000000000000007E-2</v>
      </c>
      <c r="G1569" s="15">
        <v>0.01</v>
      </c>
      <c r="H1569" s="15">
        <v>0.26989999999999997</v>
      </c>
      <c r="I1569" s="15">
        <v>4.8500000000000001E-2</v>
      </c>
      <c r="J1569" s="15">
        <v>5.5649484536082463</v>
      </c>
    </row>
    <row r="1570" spans="1:10" x14ac:dyDescent="0.25">
      <c r="A1570" s="2" t="s">
        <v>4706</v>
      </c>
      <c r="B1570" s="2" t="s">
        <v>4707</v>
      </c>
      <c r="C1570" s="2" t="s">
        <v>4708</v>
      </c>
      <c r="D1570" s="2" t="s">
        <v>10048</v>
      </c>
      <c r="E1570" s="15">
        <v>0.1193</v>
      </c>
      <c r="F1570" s="15">
        <v>6.7599999999999993E-2</v>
      </c>
      <c r="G1570" s="15">
        <v>7.7700000000000005E-2</v>
      </c>
      <c r="H1570" s="15">
        <v>0.25269999999999998</v>
      </c>
      <c r="I1570" s="15">
        <v>4.3099999999999999E-2</v>
      </c>
      <c r="J1570" s="15">
        <v>5.8631090487238966</v>
      </c>
    </row>
    <row r="1571" spans="1:10" x14ac:dyDescent="0.25">
      <c r="A1571" s="2" t="s">
        <v>4709</v>
      </c>
      <c r="B1571" s="2" t="s">
        <v>4710</v>
      </c>
      <c r="C1571" s="2" t="s">
        <v>4711</v>
      </c>
      <c r="D1571" s="2" t="s">
        <v>10048</v>
      </c>
      <c r="E1571" s="15">
        <v>-0.1946</v>
      </c>
      <c r="F1571" s="15">
        <v>0.12230000000000001</v>
      </c>
      <c r="G1571" s="15">
        <v>0.1118</v>
      </c>
      <c r="H1571" s="15">
        <v>9.2899999999999996E-2</v>
      </c>
      <c r="I1571" s="15">
        <v>5.1400000000000001E-2</v>
      </c>
      <c r="J1571" s="15">
        <v>1.807392996108949</v>
      </c>
    </row>
    <row r="1572" spans="1:10" x14ac:dyDescent="0.25">
      <c r="A1572" s="2" t="s">
        <v>4712</v>
      </c>
      <c r="B1572" s="2" t="s">
        <v>4713</v>
      </c>
      <c r="C1572" s="2" t="s">
        <v>4714</v>
      </c>
      <c r="D1572" s="2" t="s">
        <v>10048</v>
      </c>
      <c r="E1572" s="15">
        <v>-0.12230000000000001</v>
      </c>
      <c r="F1572" s="15">
        <v>0.11260000000000001</v>
      </c>
      <c r="G1572" s="15">
        <v>0.27710000000000001</v>
      </c>
      <c r="H1572" s="15">
        <v>0.1129</v>
      </c>
      <c r="I1572" s="15">
        <v>4.7600000000000003E-2</v>
      </c>
      <c r="J1572" s="15">
        <v>2.3718487394957979</v>
      </c>
    </row>
    <row r="1573" spans="1:10" x14ac:dyDescent="0.25">
      <c r="A1573" s="2" t="s">
        <v>4715</v>
      </c>
      <c r="B1573" s="2" t="s">
        <v>4716</v>
      </c>
      <c r="C1573" s="2" t="s">
        <v>4717</v>
      </c>
      <c r="D1573" s="2" t="s">
        <v>10048</v>
      </c>
      <c r="E1573" s="15">
        <v>0.20369999999999999</v>
      </c>
      <c r="F1573" s="15">
        <v>0.1109</v>
      </c>
      <c r="G1573" s="15">
        <v>6.6199999999999995E-2</v>
      </c>
      <c r="H1573" s="15">
        <v>0.1227</v>
      </c>
      <c r="I1573" s="15">
        <v>4.8500000000000001E-2</v>
      </c>
      <c r="J1573" s="15">
        <v>2.5298969072164952</v>
      </c>
    </row>
    <row r="1574" spans="1:10" x14ac:dyDescent="0.25">
      <c r="A1574" s="2" t="s">
        <v>4718</v>
      </c>
      <c r="B1574" s="2" t="s">
        <v>4719</v>
      </c>
      <c r="C1574" s="2" t="s">
        <v>4720</v>
      </c>
      <c r="D1574" s="2" t="s">
        <v>10048</v>
      </c>
      <c r="E1574" s="15">
        <v>0.1348</v>
      </c>
      <c r="F1574" s="15">
        <v>9.8100000000000007E-2</v>
      </c>
      <c r="G1574" s="15">
        <v>0.1694</v>
      </c>
      <c r="H1574" s="15">
        <v>0.1583</v>
      </c>
      <c r="I1574" s="15">
        <v>5.0299999999999997E-2</v>
      </c>
      <c r="J1574" s="15">
        <v>3.1471172962226639</v>
      </c>
    </row>
    <row r="1575" spans="1:10" x14ac:dyDescent="0.25">
      <c r="A1575" s="2" t="s">
        <v>4721</v>
      </c>
      <c r="B1575" s="2" t="s">
        <v>4722</v>
      </c>
      <c r="C1575" s="2" t="s">
        <v>4723</v>
      </c>
      <c r="D1575" s="2" t="s">
        <v>10048</v>
      </c>
      <c r="E1575" s="15">
        <v>0.1242</v>
      </c>
      <c r="F1575" s="15">
        <v>9.6100000000000005E-2</v>
      </c>
      <c r="G1575" s="15">
        <v>0.1961</v>
      </c>
      <c r="H1575" s="15">
        <v>0.14380000000000001</v>
      </c>
      <c r="I1575" s="15">
        <v>4.5699999999999998E-2</v>
      </c>
      <c r="J1575" s="15">
        <v>3.1466083150984692</v>
      </c>
    </row>
    <row r="1576" spans="1:10" x14ac:dyDescent="0.25">
      <c r="A1576" s="2" t="s">
        <v>4724</v>
      </c>
      <c r="B1576" s="2" t="s">
        <v>4725</v>
      </c>
      <c r="C1576" s="2" t="s">
        <v>4726</v>
      </c>
      <c r="D1576" s="2" t="s">
        <v>10048</v>
      </c>
      <c r="E1576" s="15">
        <v>-1.66E-2</v>
      </c>
      <c r="F1576" s="15">
        <v>7.4700000000000003E-2</v>
      </c>
      <c r="G1576" s="15">
        <v>0.82399999999999995</v>
      </c>
      <c r="H1576" s="15">
        <v>0.26140000000000002</v>
      </c>
      <c r="I1576" s="15">
        <v>5.8799999999999998E-2</v>
      </c>
      <c r="J1576" s="15">
        <v>4.4455782312925178</v>
      </c>
    </row>
    <row r="1577" spans="1:10" x14ac:dyDescent="0.25">
      <c r="A1577" s="2" t="s">
        <v>4727</v>
      </c>
      <c r="B1577" s="2" t="s">
        <v>4728</v>
      </c>
      <c r="C1577" s="2" t="s">
        <v>4729</v>
      </c>
      <c r="D1577" s="2" t="s">
        <v>10048</v>
      </c>
      <c r="E1577" s="15">
        <v>9.2600000000000002E-2</v>
      </c>
      <c r="F1577" s="15">
        <v>0.15049999999999999</v>
      </c>
      <c r="G1577" s="15">
        <v>0.5383</v>
      </c>
      <c r="H1577" s="15">
        <v>6.5799999999999997E-2</v>
      </c>
      <c r="I1577" s="15">
        <v>4.7E-2</v>
      </c>
      <c r="J1577" s="15">
        <v>1.4</v>
      </c>
    </row>
    <row r="1578" spans="1:10" x14ac:dyDescent="0.25">
      <c r="A1578" s="2" t="s">
        <v>4730</v>
      </c>
      <c r="B1578" s="2" t="s">
        <v>4731</v>
      </c>
      <c r="C1578" s="2" t="s">
        <v>4732</v>
      </c>
      <c r="D1578" s="2" t="s">
        <v>10048</v>
      </c>
      <c r="E1578" s="15">
        <v>2.64E-2</v>
      </c>
      <c r="F1578" s="15">
        <v>0.1052</v>
      </c>
      <c r="G1578" s="15">
        <v>0.80159999999999998</v>
      </c>
      <c r="H1578" s="15">
        <v>0.1215</v>
      </c>
      <c r="I1578" s="15">
        <v>4.4400000000000002E-2</v>
      </c>
      <c r="J1578" s="15">
        <v>2.736486486486486</v>
      </c>
    </row>
    <row r="1579" spans="1:10" x14ac:dyDescent="0.25">
      <c r="A1579" s="2" t="s">
        <v>4733</v>
      </c>
      <c r="B1579" s="2" t="s">
        <v>4734</v>
      </c>
      <c r="C1579" s="2" t="s">
        <v>4735</v>
      </c>
      <c r="D1579" s="2" t="s">
        <v>10048</v>
      </c>
      <c r="E1579" s="15">
        <v>-0.17230000000000001</v>
      </c>
      <c r="F1579" s="15">
        <v>7.0900000000000005E-2</v>
      </c>
      <c r="G1579" s="15">
        <v>1.5100000000000001E-2</v>
      </c>
      <c r="H1579" s="15">
        <v>0.25130000000000002</v>
      </c>
      <c r="I1579" s="15">
        <v>4.5600000000000002E-2</v>
      </c>
      <c r="J1579" s="15">
        <v>5.5109649122807021</v>
      </c>
    </row>
    <row r="1580" spans="1:10" x14ac:dyDescent="0.25">
      <c r="A1580" s="2" t="s">
        <v>4736</v>
      </c>
      <c r="B1580" s="2" t="s">
        <v>4737</v>
      </c>
      <c r="C1580" s="2" t="s">
        <v>4738</v>
      </c>
      <c r="D1580" s="2" t="s">
        <v>10048</v>
      </c>
      <c r="E1580" s="15">
        <v>-1.12E-2</v>
      </c>
      <c r="F1580" s="15">
        <v>8.8800000000000004E-2</v>
      </c>
      <c r="G1580" s="15">
        <v>0.89939999999999998</v>
      </c>
      <c r="H1580" s="15">
        <v>0.1744</v>
      </c>
      <c r="I1580" s="15">
        <v>4.3799999999999999E-2</v>
      </c>
      <c r="J1580" s="15">
        <v>3.9817351598173518</v>
      </c>
    </row>
    <row r="1581" spans="1:10" x14ac:dyDescent="0.25">
      <c r="A1581" s="2" t="s">
        <v>4739</v>
      </c>
      <c r="B1581" s="2" t="s">
        <v>4740</v>
      </c>
      <c r="C1581" s="2" t="s">
        <v>4741</v>
      </c>
      <c r="D1581" s="2" t="s">
        <v>10048</v>
      </c>
      <c r="E1581" s="15">
        <v>8.8000000000000005E-3</v>
      </c>
      <c r="F1581" s="15">
        <v>0.11020000000000001</v>
      </c>
      <c r="G1581" s="15">
        <v>0.93659999999999999</v>
      </c>
      <c r="H1581" s="15">
        <v>0.1275</v>
      </c>
      <c r="I1581" s="15">
        <v>5.6800000000000003E-2</v>
      </c>
      <c r="J1581" s="15">
        <v>2.244718309859155</v>
      </c>
    </row>
    <row r="1582" spans="1:10" x14ac:dyDescent="0.25">
      <c r="A1582" s="2" t="s">
        <v>4742</v>
      </c>
      <c r="B1582" s="2" t="s">
        <v>4743</v>
      </c>
      <c r="C1582" s="2" t="s">
        <v>4744</v>
      </c>
      <c r="D1582" s="2" t="s">
        <v>10048</v>
      </c>
      <c r="E1582" s="15">
        <v>0.17249999999999999</v>
      </c>
      <c r="F1582" s="15">
        <v>9.0899999999999995E-2</v>
      </c>
      <c r="G1582" s="15">
        <v>5.7700000000000001E-2</v>
      </c>
      <c r="H1582" s="15">
        <v>0.18240000000000001</v>
      </c>
      <c r="I1582" s="15">
        <v>4.65E-2</v>
      </c>
      <c r="J1582" s="15">
        <v>3.922580645161291</v>
      </c>
    </row>
    <row r="1583" spans="1:10" x14ac:dyDescent="0.25">
      <c r="A1583" s="2" t="s">
        <v>4745</v>
      </c>
      <c r="B1583" s="2" t="s">
        <v>4746</v>
      </c>
      <c r="C1583" s="2" t="s">
        <v>4747</v>
      </c>
      <c r="D1583" s="2" t="s">
        <v>10048</v>
      </c>
      <c r="E1583" s="15">
        <v>0.13700000000000001</v>
      </c>
      <c r="F1583" s="15">
        <v>0.1066</v>
      </c>
      <c r="G1583" s="15">
        <v>0.19889999999999999</v>
      </c>
      <c r="H1583" s="15">
        <v>0.1154</v>
      </c>
      <c r="I1583" s="15">
        <v>4.2999999999999997E-2</v>
      </c>
      <c r="J1583" s="15">
        <v>2.6837209302325582</v>
      </c>
    </row>
    <row r="1584" spans="1:10" x14ac:dyDescent="0.25">
      <c r="A1584" s="2" t="s">
        <v>4748</v>
      </c>
      <c r="B1584" s="2" t="s">
        <v>4749</v>
      </c>
      <c r="C1584" s="2" t="s">
        <v>4750</v>
      </c>
      <c r="D1584" s="2" t="s">
        <v>10048</v>
      </c>
      <c r="E1584" s="15">
        <v>0.19389999999999999</v>
      </c>
      <c r="F1584" s="15">
        <v>0.10539999999999999</v>
      </c>
      <c r="G1584" s="15">
        <v>6.5799999999999997E-2</v>
      </c>
      <c r="H1584" s="15">
        <v>0.13950000000000001</v>
      </c>
      <c r="I1584" s="15">
        <v>4.2900000000000001E-2</v>
      </c>
      <c r="J1584" s="15">
        <v>3.2517482517482521</v>
      </c>
    </row>
    <row r="1585" spans="1:10" x14ac:dyDescent="0.25">
      <c r="A1585" s="2" t="s">
        <v>4751</v>
      </c>
      <c r="B1585" s="2" t="s">
        <v>4752</v>
      </c>
      <c r="C1585" s="2" t="s">
        <v>4753</v>
      </c>
      <c r="D1585" s="2" t="s">
        <v>10048</v>
      </c>
      <c r="E1585" s="15">
        <v>5.1799999999999999E-2</v>
      </c>
      <c r="F1585" s="15">
        <v>6.7199999999999996E-2</v>
      </c>
      <c r="G1585" s="15">
        <v>0.44080000000000003</v>
      </c>
      <c r="H1585" s="15">
        <v>0.26050000000000001</v>
      </c>
      <c r="I1585" s="15">
        <v>4.4400000000000002E-2</v>
      </c>
      <c r="J1585" s="15">
        <v>5.8671171171171173</v>
      </c>
    </row>
    <row r="1586" spans="1:10" x14ac:dyDescent="0.25">
      <c r="A1586" s="2" t="s">
        <v>4754</v>
      </c>
      <c r="B1586" s="2" t="s">
        <v>4755</v>
      </c>
      <c r="C1586" s="2" t="s">
        <v>4756</v>
      </c>
      <c r="D1586" s="2" t="s">
        <v>10048</v>
      </c>
      <c r="E1586" s="15">
        <v>4.4600000000000001E-2</v>
      </c>
      <c r="F1586" s="15">
        <v>8.3500000000000005E-2</v>
      </c>
      <c r="G1586" s="15">
        <v>0.59299999999999997</v>
      </c>
      <c r="H1586" s="15">
        <v>0.17319999999999999</v>
      </c>
      <c r="I1586" s="15">
        <v>4.9299999999999997E-2</v>
      </c>
      <c r="J1586" s="15">
        <v>3.5131845841784992</v>
      </c>
    </row>
    <row r="1587" spans="1:10" x14ac:dyDescent="0.25">
      <c r="A1587" s="2" t="s">
        <v>4757</v>
      </c>
      <c r="B1587" s="2" t="s">
        <v>4758</v>
      </c>
      <c r="C1587" s="2" t="s">
        <v>4759</v>
      </c>
      <c r="D1587" s="2" t="s">
        <v>10048</v>
      </c>
      <c r="E1587" s="15">
        <v>2.1999999999999999E-2</v>
      </c>
      <c r="F1587" s="15">
        <v>0.1076</v>
      </c>
      <c r="G1587" s="15">
        <v>0.83840000000000003</v>
      </c>
      <c r="H1587" s="15">
        <v>0.1234</v>
      </c>
      <c r="I1587" s="15">
        <v>4.2900000000000001E-2</v>
      </c>
      <c r="J1587" s="15">
        <v>2.876456876456877</v>
      </c>
    </row>
    <row r="1588" spans="1:10" x14ac:dyDescent="0.25">
      <c r="A1588" s="2" t="s">
        <v>4760</v>
      </c>
      <c r="B1588" s="2" t="s">
        <v>4761</v>
      </c>
      <c r="C1588" s="2" t="s">
        <v>4762</v>
      </c>
      <c r="D1588" s="2" t="s">
        <v>10048</v>
      </c>
      <c r="E1588" s="15">
        <v>-0.10299999999999999</v>
      </c>
      <c r="F1588" s="15">
        <v>7.9899999999999999E-2</v>
      </c>
      <c r="G1588" s="15">
        <v>0.1976</v>
      </c>
      <c r="H1588" s="15">
        <v>0.2727</v>
      </c>
      <c r="I1588" s="15">
        <v>4.65E-2</v>
      </c>
      <c r="J1588" s="15">
        <v>5.8645161290322578</v>
      </c>
    </row>
    <row r="1589" spans="1:10" x14ac:dyDescent="0.25">
      <c r="A1589" s="2" t="s">
        <v>4763</v>
      </c>
      <c r="B1589" s="2" t="s">
        <v>4764</v>
      </c>
      <c r="C1589" s="2" t="s">
        <v>4765</v>
      </c>
      <c r="D1589" s="2" t="s">
        <v>10048</v>
      </c>
      <c r="E1589" s="15">
        <v>-1.06E-2</v>
      </c>
      <c r="F1589" s="15">
        <v>0.12920000000000001</v>
      </c>
      <c r="G1589" s="15">
        <v>0.93469999999999998</v>
      </c>
      <c r="H1589" s="15">
        <v>6.9599999999999995E-2</v>
      </c>
      <c r="I1589" s="15">
        <v>4.7800000000000002E-2</v>
      </c>
      <c r="J1589" s="15">
        <v>1.4560669456066939</v>
      </c>
    </row>
    <row r="1590" spans="1:10" x14ac:dyDescent="0.25">
      <c r="A1590" s="2" t="s">
        <v>4766</v>
      </c>
      <c r="B1590" s="2" t="s">
        <v>4767</v>
      </c>
      <c r="C1590" s="2" t="s">
        <v>4768</v>
      </c>
      <c r="D1590" s="2" t="s">
        <v>10048</v>
      </c>
      <c r="E1590" s="15">
        <v>-1.6799999999999999E-2</v>
      </c>
      <c r="F1590" s="15">
        <v>9.8699999999999996E-2</v>
      </c>
      <c r="G1590" s="15">
        <v>0.86480000000000001</v>
      </c>
      <c r="H1590" s="15">
        <v>0.13780000000000001</v>
      </c>
      <c r="I1590" s="15">
        <v>4.8899999999999999E-2</v>
      </c>
      <c r="J1590" s="15">
        <v>2.8179959100204499</v>
      </c>
    </row>
    <row r="1591" spans="1:10" x14ac:dyDescent="0.25">
      <c r="A1591" s="2" t="s">
        <v>4769</v>
      </c>
      <c r="B1591" s="2" t="s">
        <v>4770</v>
      </c>
      <c r="C1591" s="2" t="s">
        <v>4771</v>
      </c>
      <c r="D1591" s="2" t="s">
        <v>10048</v>
      </c>
      <c r="E1591" s="15">
        <v>-2.1299999999999999E-2</v>
      </c>
      <c r="F1591" s="15">
        <v>0.1216</v>
      </c>
      <c r="G1591" s="15">
        <v>0.86129999999999995</v>
      </c>
      <c r="H1591" s="15">
        <v>0.1079</v>
      </c>
      <c r="I1591" s="15">
        <v>4.9299999999999997E-2</v>
      </c>
      <c r="J1591" s="15">
        <v>2.1886409736308319</v>
      </c>
    </row>
    <row r="1592" spans="1:10" x14ac:dyDescent="0.25">
      <c r="A1592" s="2" t="s">
        <v>4772</v>
      </c>
      <c r="B1592" s="2" t="s">
        <v>4773</v>
      </c>
      <c r="C1592" s="2" t="s">
        <v>4774</v>
      </c>
      <c r="D1592" s="2" t="s">
        <v>10048</v>
      </c>
      <c r="E1592" s="15">
        <v>0.1731</v>
      </c>
      <c r="F1592" s="15">
        <v>7.9799999999999996E-2</v>
      </c>
      <c r="G1592" s="15">
        <v>3.0099999999999998E-2</v>
      </c>
      <c r="H1592" s="15">
        <v>0.1951</v>
      </c>
      <c r="I1592" s="15">
        <v>4.8800000000000003E-2</v>
      </c>
      <c r="J1592" s="15">
        <v>3.997950819672131</v>
      </c>
    </row>
    <row r="1593" spans="1:10" x14ac:dyDescent="0.25">
      <c r="A1593" s="2" t="s">
        <v>4775</v>
      </c>
      <c r="B1593" s="2" t="s">
        <v>4776</v>
      </c>
      <c r="C1593" s="2" t="s">
        <v>4777</v>
      </c>
      <c r="D1593" s="2" t="s">
        <v>10048</v>
      </c>
      <c r="E1593" s="15">
        <v>4.0300000000000002E-2</v>
      </c>
      <c r="F1593" s="15">
        <v>8.1100000000000005E-2</v>
      </c>
      <c r="G1593" s="15">
        <v>0.61899999999999999</v>
      </c>
      <c r="H1593" s="15">
        <v>0.22770000000000001</v>
      </c>
      <c r="I1593" s="15">
        <v>5.0900000000000001E-2</v>
      </c>
      <c r="J1593" s="15">
        <v>4.4734774066797636</v>
      </c>
    </row>
    <row r="1594" spans="1:10" x14ac:dyDescent="0.25">
      <c r="A1594" s="2" t="s">
        <v>4778</v>
      </c>
      <c r="B1594" s="2" t="s">
        <v>4779</v>
      </c>
      <c r="C1594" s="2" t="s">
        <v>4780</v>
      </c>
      <c r="D1594" s="2" t="s">
        <v>10048</v>
      </c>
      <c r="E1594" s="15">
        <v>-1.54E-2</v>
      </c>
      <c r="F1594" s="15">
        <v>7.1099999999999997E-2</v>
      </c>
      <c r="G1594" s="15">
        <v>0.82879999999999998</v>
      </c>
      <c r="H1594" s="15">
        <v>0.22220000000000001</v>
      </c>
      <c r="I1594" s="15">
        <v>5.1700000000000003E-2</v>
      </c>
      <c r="J1594" s="15">
        <v>4.2978723404255321</v>
      </c>
    </row>
    <row r="1595" spans="1:10" x14ac:dyDescent="0.25">
      <c r="A1595" s="2" t="s">
        <v>4781</v>
      </c>
      <c r="B1595" s="2" t="s">
        <v>4782</v>
      </c>
      <c r="C1595" s="2" t="s">
        <v>4783</v>
      </c>
      <c r="D1595" s="2" t="s">
        <v>10048</v>
      </c>
      <c r="E1595" s="15">
        <v>-2.6200000000000001E-2</v>
      </c>
      <c r="F1595" s="15">
        <v>7.0800000000000002E-2</v>
      </c>
      <c r="G1595" s="15">
        <v>0.71130000000000004</v>
      </c>
      <c r="H1595" s="15">
        <v>0.23549999999999999</v>
      </c>
      <c r="I1595" s="15">
        <v>4.6600000000000003E-2</v>
      </c>
      <c r="J1595" s="15">
        <v>5.0536480686695278</v>
      </c>
    </row>
    <row r="1596" spans="1:10" x14ac:dyDescent="0.25">
      <c r="A1596" s="2" t="s">
        <v>4784</v>
      </c>
      <c r="B1596" s="2" t="s">
        <v>4785</v>
      </c>
      <c r="C1596" s="2" t="s">
        <v>4786</v>
      </c>
      <c r="D1596" s="2" t="s">
        <v>10048</v>
      </c>
      <c r="E1596" s="15">
        <v>-6.4899999999999999E-2</v>
      </c>
      <c r="F1596" s="15">
        <v>7.9600000000000004E-2</v>
      </c>
      <c r="G1596" s="15">
        <v>0.41510000000000002</v>
      </c>
      <c r="H1596" s="15">
        <v>0.2225</v>
      </c>
      <c r="I1596" s="15">
        <v>5.4399999999999997E-2</v>
      </c>
      <c r="J1596" s="15">
        <v>4.0900735294117654</v>
      </c>
    </row>
    <row r="1597" spans="1:10" x14ac:dyDescent="0.25">
      <c r="A1597" s="2" t="s">
        <v>4787</v>
      </c>
      <c r="B1597" s="2" t="s">
        <v>4788</v>
      </c>
      <c r="C1597" s="2" t="s">
        <v>4789</v>
      </c>
      <c r="D1597" s="2" t="s">
        <v>10048</v>
      </c>
      <c r="E1597" s="15">
        <v>1.04E-2</v>
      </c>
      <c r="F1597" s="15">
        <v>8.9899999999999994E-2</v>
      </c>
      <c r="G1597" s="15">
        <v>0.90790000000000004</v>
      </c>
      <c r="H1597" s="15">
        <v>0.15720000000000001</v>
      </c>
      <c r="I1597" s="15">
        <v>5.0799999999999998E-2</v>
      </c>
      <c r="J1597" s="15">
        <v>3.0944881889763778</v>
      </c>
    </row>
    <row r="1598" spans="1:10" x14ac:dyDescent="0.25">
      <c r="A1598" s="2" t="s">
        <v>4790</v>
      </c>
      <c r="B1598" s="2" t="s">
        <v>4791</v>
      </c>
      <c r="C1598" s="2" t="s">
        <v>4792</v>
      </c>
      <c r="D1598" s="2" t="s">
        <v>10048</v>
      </c>
      <c r="E1598" s="15">
        <v>4.6399999999999997E-2</v>
      </c>
      <c r="F1598" s="15">
        <v>7.7799999999999994E-2</v>
      </c>
      <c r="G1598" s="15">
        <v>0.55069999999999997</v>
      </c>
      <c r="H1598" s="15">
        <v>0.22420000000000001</v>
      </c>
      <c r="I1598" s="15">
        <v>4.6399999999999997E-2</v>
      </c>
      <c r="J1598" s="15">
        <v>4.8318965517241388</v>
      </c>
    </row>
    <row r="1599" spans="1:10" x14ac:dyDescent="0.25">
      <c r="A1599" s="2" t="s">
        <v>4793</v>
      </c>
      <c r="B1599" s="2" t="s">
        <v>4794</v>
      </c>
      <c r="C1599" s="2" t="s">
        <v>4795</v>
      </c>
      <c r="D1599" s="2" t="s">
        <v>10048</v>
      </c>
      <c r="E1599" s="15">
        <v>0.18160000000000001</v>
      </c>
      <c r="F1599" s="15">
        <v>8.72E-2</v>
      </c>
      <c r="G1599" s="15">
        <v>3.7199999999999997E-2</v>
      </c>
      <c r="H1599" s="15">
        <v>0.16520000000000001</v>
      </c>
      <c r="I1599" s="15">
        <v>4.1200000000000001E-2</v>
      </c>
      <c r="J1599" s="15">
        <v>4.0097087378640781</v>
      </c>
    </row>
    <row r="1600" spans="1:10" x14ac:dyDescent="0.25">
      <c r="A1600" s="2" t="s">
        <v>4796</v>
      </c>
      <c r="B1600" s="2" t="s">
        <v>4797</v>
      </c>
      <c r="C1600" s="2" t="s">
        <v>4798</v>
      </c>
      <c r="D1600" s="2" t="s">
        <v>10048</v>
      </c>
      <c r="E1600" s="15">
        <v>8.9200000000000002E-2</v>
      </c>
      <c r="F1600" s="15">
        <v>6.5299999999999997E-2</v>
      </c>
      <c r="G1600" s="15">
        <v>0.1721</v>
      </c>
      <c r="H1600" s="15">
        <v>0.28539999999999999</v>
      </c>
      <c r="I1600" s="15">
        <v>5.6399999999999999E-2</v>
      </c>
      <c r="J1600" s="15">
        <v>5.0602836879432624</v>
      </c>
    </row>
    <row r="1601" spans="1:10" x14ac:dyDescent="0.25">
      <c r="A1601" s="2" t="s">
        <v>4799</v>
      </c>
      <c r="B1601" s="2" t="s">
        <v>4800</v>
      </c>
      <c r="C1601" s="2" t="s">
        <v>4801</v>
      </c>
      <c r="D1601" s="2" t="s">
        <v>10048</v>
      </c>
      <c r="E1601" s="15">
        <v>6.8199999999999997E-2</v>
      </c>
      <c r="F1601" s="15">
        <v>6.4399999999999999E-2</v>
      </c>
      <c r="G1601" s="15">
        <v>0.2893</v>
      </c>
      <c r="H1601" s="15">
        <v>0.31640000000000001</v>
      </c>
      <c r="I1601" s="15">
        <v>7.9000000000000001E-2</v>
      </c>
      <c r="J1601" s="15">
        <v>4.0050632911392414</v>
      </c>
    </row>
    <row r="1602" spans="1:10" x14ac:dyDescent="0.25">
      <c r="A1602" s="2" t="s">
        <v>4802</v>
      </c>
      <c r="B1602" s="2" t="s">
        <v>4803</v>
      </c>
      <c r="C1602" s="2" t="s">
        <v>4804</v>
      </c>
      <c r="D1602" s="2" t="s">
        <v>10048</v>
      </c>
      <c r="E1602" s="15">
        <v>0.1605</v>
      </c>
      <c r="F1602" s="15">
        <v>0.12859999999999999</v>
      </c>
      <c r="G1602" s="15">
        <v>0.2122</v>
      </c>
      <c r="H1602" s="15">
        <v>9.5100000000000004E-2</v>
      </c>
      <c r="I1602" s="15">
        <v>4.5100000000000001E-2</v>
      </c>
      <c r="J1602" s="15">
        <v>2.108647450110865</v>
      </c>
    </row>
    <row r="1603" spans="1:10" x14ac:dyDescent="0.25">
      <c r="A1603" s="2" t="s">
        <v>4805</v>
      </c>
      <c r="B1603" s="2" t="s">
        <v>4806</v>
      </c>
      <c r="C1603" s="2" t="s">
        <v>4807</v>
      </c>
      <c r="D1603" s="2" t="s">
        <v>10048</v>
      </c>
      <c r="E1603" s="15">
        <v>0.2087</v>
      </c>
      <c r="F1603" s="15">
        <v>9.9099999999999994E-2</v>
      </c>
      <c r="G1603" s="15">
        <v>3.5299999999999998E-2</v>
      </c>
      <c r="H1603" s="15">
        <v>0.1469</v>
      </c>
      <c r="I1603" s="15">
        <v>4.3999999999999997E-2</v>
      </c>
      <c r="J1603" s="15">
        <v>3.3386363636363638</v>
      </c>
    </row>
    <row r="1604" spans="1:10" x14ac:dyDescent="0.25">
      <c r="A1604" s="2" t="s">
        <v>4808</v>
      </c>
      <c r="B1604" s="2" t="s">
        <v>4809</v>
      </c>
      <c r="C1604" s="2" t="s">
        <v>4810</v>
      </c>
      <c r="D1604" s="2" t="s">
        <v>10049</v>
      </c>
      <c r="E1604" s="15">
        <v>-0.18720000000000001</v>
      </c>
      <c r="F1604" s="15">
        <v>9.6799999999999997E-2</v>
      </c>
      <c r="G1604" s="15">
        <v>5.3100000000000001E-2</v>
      </c>
      <c r="H1604" s="15">
        <v>0.1479</v>
      </c>
      <c r="I1604" s="15">
        <v>4.4900000000000002E-2</v>
      </c>
      <c r="J1604" s="15">
        <v>3.2939866369710469</v>
      </c>
    </row>
    <row r="1605" spans="1:10" x14ac:dyDescent="0.25">
      <c r="A1605" s="2" t="s">
        <v>4811</v>
      </c>
      <c r="B1605" s="2" t="s">
        <v>4812</v>
      </c>
      <c r="C1605" s="2" t="s">
        <v>4813</v>
      </c>
      <c r="D1605" s="2" t="s">
        <v>10049</v>
      </c>
      <c r="E1605" s="15">
        <v>-8.5000000000000006E-3</v>
      </c>
      <c r="F1605" s="15">
        <v>7.1400000000000005E-2</v>
      </c>
      <c r="G1605" s="15">
        <v>0.90529999999999999</v>
      </c>
      <c r="H1605" s="15">
        <v>0.2429</v>
      </c>
      <c r="I1605" s="15">
        <v>4.6399999999999997E-2</v>
      </c>
      <c r="J1605" s="15">
        <v>5.2349137931034484</v>
      </c>
    </row>
    <row r="1606" spans="1:10" x14ac:dyDescent="0.25">
      <c r="A1606" s="2" t="s">
        <v>4814</v>
      </c>
      <c r="B1606" s="2" t="s">
        <v>4815</v>
      </c>
      <c r="C1606" s="2" t="s">
        <v>4816</v>
      </c>
      <c r="D1606" s="2" t="s">
        <v>10049</v>
      </c>
      <c r="E1606" s="15">
        <v>-1.6400000000000001E-2</v>
      </c>
      <c r="F1606" s="15">
        <v>5.7599999999999998E-2</v>
      </c>
      <c r="G1606" s="15">
        <v>0.77659999999999996</v>
      </c>
      <c r="H1606" s="15">
        <v>0.31330000000000002</v>
      </c>
      <c r="I1606" s="15">
        <v>4.87E-2</v>
      </c>
      <c r="J1606" s="15">
        <v>6.4332648870636557</v>
      </c>
    </row>
    <row r="1607" spans="1:10" x14ac:dyDescent="0.25">
      <c r="A1607" s="2" t="s">
        <v>4817</v>
      </c>
      <c r="B1607" s="2" t="s">
        <v>4818</v>
      </c>
      <c r="C1607" s="2" t="s">
        <v>4819</v>
      </c>
      <c r="D1607" s="2" t="s">
        <v>10049</v>
      </c>
      <c r="E1607" s="15">
        <v>2.23E-2</v>
      </c>
      <c r="F1607" s="15">
        <v>5.79E-2</v>
      </c>
      <c r="G1607" s="15">
        <v>0.69969999999999999</v>
      </c>
      <c r="H1607" s="15">
        <v>0.32169999999999999</v>
      </c>
      <c r="I1607" s="15">
        <v>5.1700000000000003E-2</v>
      </c>
      <c r="J1607" s="15">
        <v>6.2224371373307541</v>
      </c>
    </row>
    <row r="1608" spans="1:10" x14ac:dyDescent="0.25">
      <c r="A1608" s="2" t="s">
        <v>4820</v>
      </c>
      <c r="B1608" s="2" t="s">
        <v>4821</v>
      </c>
      <c r="C1608" s="2" t="s">
        <v>4822</v>
      </c>
      <c r="D1608" s="2" t="s">
        <v>10049</v>
      </c>
      <c r="E1608" s="15">
        <v>-0.104</v>
      </c>
      <c r="F1608" s="15">
        <v>6.1699999999999998E-2</v>
      </c>
      <c r="G1608" s="15">
        <v>9.1800000000000007E-2</v>
      </c>
      <c r="H1608" s="15">
        <v>0.26829999999999998</v>
      </c>
      <c r="I1608" s="15">
        <v>4.8099999999999997E-2</v>
      </c>
      <c r="J1608" s="15">
        <v>5.5779625779625777</v>
      </c>
    </row>
    <row r="1609" spans="1:10" x14ac:dyDescent="0.25">
      <c r="A1609" s="2" t="s">
        <v>4823</v>
      </c>
      <c r="B1609" s="2" t="s">
        <v>4824</v>
      </c>
      <c r="C1609" s="2" t="s">
        <v>4825</v>
      </c>
      <c r="D1609" s="2" t="s">
        <v>10049</v>
      </c>
      <c r="E1609" s="15">
        <v>1.3100000000000001E-2</v>
      </c>
      <c r="F1609" s="15">
        <v>8.9499999999999996E-2</v>
      </c>
      <c r="G1609" s="15">
        <v>0.88319999999999999</v>
      </c>
      <c r="H1609" s="15">
        <v>0.191</v>
      </c>
      <c r="I1609" s="15">
        <v>5.5100000000000003E-2</v>
      </c>
      <c r="J1609" s="15">
        <v>3.4664246823956439</v>
      </c>
    </row>
    <row r="1610" spans="1:10" x14ac:dyDescent="0.25">
      <c r="A1610" s="2" t="s">
        <v>4826</v>
      </c>
      <c r="B1610" s="2" t="s">
        <v>4827</v>
      </c>
      <c r="C1610" s="2" t="s">
        <v>4828</v>
      </c>
      <c r="D1610" s="2" t="s">
        <v>10049</v>
      </c>
      <c r="E1610" s="15">
        <v>-6.7000000000000004E-2</v>
      </c>
      <c r="F1610" s="15">
        <v>9.1700000000000004E-2</v>
      </c>
      <c r="G1610" s="15">
        <v>0.46500000000000002</v>
      </c>
      <c r="H1610" s="15">
        <v>0.15920000000000001</v>
      </c>
      <c r="I1610" s="15">
        <v>5.0200000000000002E-2</v>
      </c>
      <c r="J1610" s="15">
        <v>3.171314741035856</v>
      </c>
    </row>
    <row r="1611" spans="1:10" x14ac:dyDescent="0.25">
      <c r="A1611" s="2" t="s">
        <v>4829</v>
      </c>
      <c r="B1611" s="2" t="s">
        <v>4830</v>
      </c>
      <c r="C1611" s="2" t="s">
        <v>4831</v>
      </c>
      <c r="D1611" s="2" t="s">
        <v>10049</v>
      </c>
      <c r="E1611" s="15">
        <v>8.9999999999999998E-4</v>
      </c>
      <c r="F1611" s="15">
        <v>7.9200000000000007E-2</v>
      </c>
      <c r="G1611" s="15">
        <v>0.99139999999999995</v>
      </c>
      <c r="H1611" s="15">
        <v>0.2016</v>
      </c>
      <c r="I1611" s="15">
        <v>5.1200000000000002E-2</v>
      </c>
      <c r="J1611" s="15">
        <v>3.9375</v>
      </c>
    </row>
    <row r="1612" spans="1:10" x14ac:dyDescent="0.25">
      <c r="A1612" s="2" t="s">
        <v>4832</v>
      </c>
      <c r="B1612" s="2" t="s">
        <v>4833</v>
      </c>
      <c r="C1612" s="2" t="s">
        <v>4834</v>
      </c>
      <c r="D1612" s="2" t="s">
        <v>10049</v>
      </c>
      <c r="E1612" s="15">
        <v>0.13109999999999999</v>
      </c>
      <c r="F1612" s="15">
        <v>0.10150000000000001</v>
      </c>
      <c r="G1612" s="15">
        <v>0.1968</v>
      </c>
      <c r="H1612" s="15">
        <v>0.1033</v>
      </c>
      <c r="I1612" s="15">
        <v>4.48E-2</v>
      </c>
      <c r="J1612" s="15">
        <v>2.3058035714285721</v>
      </c>
    </row>
    <row r="1613" spans="1:10" x14ac:dyDescent="0.25">
      <c r="A1613" s="2" t="s">
        <v>4835</v>
      </c>
      <c r="B1613" s="2" t="s">
        <v>4836</v>
      </c>
      <c r="C1613" s="2" t="s">
        <v>4837</v>
      </c>
      <c r="D1613" s="2" t="s">
        <v>10049</v>
      </c>
      <c r="E1613" s="15">
        <v>5.7700000000000001E-2</v>
      </c>
      <c r="F1613" s="15">
        <v>9.9400000000000002E-2</v>
      </c>
      <c r="G1613" s="15">
        <v>0.56179999999999997</v>
      </c>
      <c r="H1613" s="15">
        <v>9.9099999999999994E-2</v>
      </c>
      <c r="I1613" s="15">
        <v>4.5999999999999999E-2</v>
      </c>
      <c r="J1613" s="15">
        <v>2.1543478260869571</v>
      </c>
    </row>
    <row r="1614" spans="1:10" x14ac:dyDescent="0.25">
      <c r="A1614" s="2" t="s">
        <v>4838</v>
      </c>
      <c r="B1614" s="2" t="s">
        <v>4839</v>
      </c>
      <c r="C1614" s="2" t="s">
        <v>4840</v>
      </c>
      <c r="D1614" s="2" t="s">
        <v>10049</v>
      </c>
      <c r="E1614" s="15">
        <v>-0.1278</v>
      </c>
      <c r="F1614" s="15">
        <v>8.8200000000000001E-2</v>
      </c>
      <c r="G1614" s="15">
        <v>0.14729999999999999</v>
      </c>
      <c r="H1614" s="15">
        <v>0.15629999999999999</v>
      </c>
      <c r="I1614" s="15">
        <v>4.1700000000000001E-2</v>
      </c>
      <c r="J1614" s="15">
        <v>3.7482014388489211</v>
      </c>
    </row>
    <row r="1615" spans="1:10" x14ac:dyDescent="0.25">
      <c r="A1615" s="2" t="s">
        <v>4841</v>
      </c>
      <c r="B1615" s="2" t="s">
        <v>4842</v>
      </c>
      <c r="C1615" s="2" t="s">
        <v>4843</v>
      </c>
      <c r="D1615" s="2" t="s">
        <v>10049</v>
      </c>
      <c r="E1615" s="15">
        <v>-0.26479999999999998</v>
      </c>
      <c r="F1615" s="15">
        <v>8.8499999999999995E-2</v>
      </c>
      <c r="G1615" s="15">
        <v>2.8E-3</v>
      </c>
      <c r="H1615" s="15">
        <v>0.1628</v>
      </c>
      <c r="I1615" s="15">
        <v>4.5199999999999997E-2</v>
      </c>
      <c r="J1615" s="15">
        <v>3.6017699115044248</v>
      </c>
    </row>
    <row r="1616" spans="1:10" x14ac:dyDescent="0.25">
      <c r="A1616" s="2" t="s">
        <v>4844</v>
      </c>
      <c r="B1616" s="2" t="s">
        <v>4845</v>
      </c>
      <c r="C1616" s="2" t="s">
        <v>4846</v>
      </c>
      <c r="D1616" s="2" t="s">
        <v>10049</v>
      </c>
      <c r="E1616" s="15">
        <v>-3.4500000000000003E-2</v>
      </c>
      <c r="F1616" s="15">
        <v>6.7500000000000004E-2</v>
      </c>
      <c r="G1616" s="15">
        <v>0.60929999999999995</v>
      </c>
      <c r="H1616" s="15">
        <v>0.2974</v>
      </c>
      <c r="I1616" s="15">
        <v>7.6799999999999993E-2</v>
      </c>
      <c r="J1616" s="15">
        <v>3.872395833333333</v>
      </c>
    </row>
    <row r="1617" spans="1:10" x14ac:dyDescent="0.25">
      <c r="A1617" s="2" t="s">
        <v>4847</v>
      </c>
      <c r="B1617" s="2" t="s">
        <v>4848</v>
      </c>
      <c r="C1617" s="2" t="s">
        <v>4849</v>
      </c>
      <c r="D1617" s="2" t="s">
        <v>10049</v>
      </c>
      <c r="E1617" s="15">
        <v>-8.1799999999999998E-2</v>
      </c>
      <c r="F1617" s="15">
        <v>6.2100000000000002E-2</v>
      </c>
      <c r="G1617" s="15">
        <v>0.18729999999999999</v>
      </c>
      <c r="H1617" s="15">
        <v>0.34129999999999999</v>
      </c>
      <c r="I1617" s="15">
        <v>7.1099999999999997E-2</v>
      </c>
      <c r="J1617" s="15">
        <v>4.80028129395218</v>
      </c>
    </row>
    <row r="1618" spans="1:10" x14ac:dyDescent="0.25">
      <c r="A1618" s="2" t="s">
        <v>4850</v>
      </c>
      <c r="B1618" s="2" t="s">
        <v>4851</v>
      </c>
      <c r="C1618" s="2" t="s">
        <v>4852</v>
      </c>
      <c r="D1618" s="2" t="s">
        <v>10049</v>
      </c>
      <c r="E1618" s="15">
        <v>-0.1963</v>
      </c>
      <c r="F1618" s="15">
        <v>9.0300000000000005E-2</v>
      </c>
      <c r="G1618" s="15">
        <v>2.9600000000000001E-2</v>
      </c>
      <c r="H1618" s="15">
        <v>0.15939999999999999</v>
      </c>
      <c r="I1618" s="15">
        <v>4.53E-2</v>
      </c>
      <c r="J1618" s="15">
        <v>3.518763796909492</v>
      </c>
    </row>
    <row r="1619" spans="1:10" x14ac:dyDescent="0.25">
      <c r="A1619" s="2" t="s">
        <v>4853</v>
      </c>
      <c r="B1619" s="2" t="s">
        <v>4854</v>
      </c>
      <c r="C1619" s="2" t="s">
        <v>4855</v>
      </c>
      <c r="D1619" s="2" t="s">
        <v>10049</v>
      </c>
      <c r="E1619" s="15">
        <v>-0.17349999999999999</v>
      </c>
      <c r="F1619" s="15">
        <v>8.7499999999999994E-2</v>
      </c>
      <c r="G1619" s="15">
        <v>4.7399999999999998E-2</v>
      </c>
      <c r="H1619" s="15">
        <v>0.18160000000000001</v>
      </c>
      <c r="I1619" s="15">
        <v>3.9300000000000002E-2</v>
      </c>
      <c r="J1619" s="15">
        <v>4.6208651399491094</v>
      </c>
    </row>
    <row r="1620" spans="1:10" x14ac:dyDescent="0.25">
      <c r="A1620" s="2" t="s">
        <v>4856</v>
      </c>
      <c r="B1620" s="2" t="s">
        <v>4857</v>
      </c>
      <c r="C1620" s="2" t="s">
        <v>4858</v>
      </c>
      <c r="D1620" s="2" t="s">
        <v>10049</v>
      </c>
      <c r="E1620" s="15">
        <v>-2.76E-2</v>
      </c>
      <c r="F1620" s="15">
        <v>9.5899999999999999E-2</v>
      </c>
      <c r="G1620" s="15">
        <v>0.77329999999999999</v>
      </c>
      <c r="H1620" s="15">
        <v>0.14860000000000001</v>
      </c>
      <c r="I1620" s="15">
        <v>4.41E-2</v>
      </c>
      <c r="J1620" s="15">
        <v>3.3696145124716561</v>
      </c>
    </row>
    <row r="1621" spans="1:10" x14ac:dyDescent="0.25">
      <c r="A1621" s="2" t="s">
        <v>4859</v>
      </c>
      <c r="B1621" s="2" t="s">
        <v>4860</v>
      </c>
      <c r="C1621" s="2" t="s">
        <v>4861</v>
      </c>
      <c r="D1621" s="2" t="s">
        <v>10049</v>
      </c>
      <c r="E1621" s="15">
        <v>-2.46E-2</v>
      </c>
      <c r="F1621" s="15">
        <v>0.10340000000000001</v>
      </c>
      <c r="G1621" s="15">
        <v>0.81169999999999998</v>
      </c>
      <c r="H1621" s="15">
        <v>0.13170000000000001</v>
      </c>
      <c r="I1621" s="15">
        <v>4.9200000000000001E-2</v>
      </c>
      <c r="J1621" s="15">
        <v>2.6768292682926829</v>
      </c>
    </row>
    <row r="1622" spans="1:10" x14ac:dyDescent="0.25">
      <c r="A1622" s="2" t="s">
        <v>4862</v>
      </c>
      <c r="B1622" s="2" t="s">
        <v>4863</v>
      </c>
      <c r="C1622" s="2" t="s">
        <v>4864</v>
      </c>
      <c r="D1622" s="2" t="s">
        <v>10049</v>
      </c>
      <c r="E1622" s="15">
        <v>-6.6100000000000006E-2</v>
      </c>
      <c r="F1622" s="15">
        <v>7.2700000000000001E-2</v>
      </c>
      <c r="G1622" s="15">
        <v>0.36280000000000001</v>
      </c>
      <c r="H1622" s="15">
        <v>0.2147</v>
      </c>
      <c r="I1622" s="15">
        <v>4.7E-2</v>
      </c>
      <c r="J1622" s="15">
        <v>4.5680851063829788</v>
      </c>
    </row>
    <row r="1623" spans="1:10" x14ac:dyDescent="0.25">
      <c r="A1623" s="2" t="s">
        <v>4865</v>
      </c>
      <c r="B1623" s="2" t="s">
        <v>4866</v>
      </c>
      <c r="C1623" s="2" t="s">
        <v>4867</v>
      </c>
      <c r="D1623" s="2" t="s">
        <v>10049</v>
      </c>
      <c r="E1623" s="15">
        <v>-2.18E-2</v>
      </c>
      <c r="F1623" s="15">
        <v>9.6100000000000005E-2</v>
      </c>
      <c r="G1623" s="15">
        <v>0.8206</v>
      </c>
      <c r="H1623" s="15">
        <v>0.13780000000000001</v>
      </c>
      <c r="I1623" s="15">
        <v>4.4299999999999999E-2</v>
      </c>
      <c r="J1623" s="15">
        <v>3.110609480812641</v>
      </c>
    </row>
    <row r="1624" spans="1:10" x14ac:dyDescent="0.25">
      <c r="A1624" s="2" t="s">
        <v>4868</v>
      </c>
      <c r="B1624" s="2" t="s">
        <v>4869</v>
      </c>
      <c r="C1624" s="2" t="s">
        <v>4870</v>
      </c>
      <c r="D1624" s="2" t="s">
        <v>10049</v>
      </c>
      <c r="E1624" s="15">
        <v>-6.8699999999999997E-2</v>
      </c>
      <c r="F1624" s="15">
        <v>6.8699999999999997E-2</v>
      </c>
      <c r="G1624" s="15">
        <v>0.31730000000000003</v>
      </c>
      <c r="H1624" s="15">
        <v>0.252</v>
      </c>
      <c r="I1624" s="15">
        <v>4.7699999999999999E-2</v>
      </c>
      <c r="J1624" s="15">
        <v>5.283018867924528</v>
      </c>
    </row>
    <row r="1625" spans="1:10" x14ac:dyDescent="0.25">
      <c r="A1625" s="2" t="s">
        <v>4871</v>
      </c>
      <c r="B1625" s="2" t="s">
        <v>4872</v>
      </c>
      <c r="C1625" s="2" t="s">
        <v>4873</v>
      </c>
      <c r="D1625" s="2" t="s">
        <v>10049</v>
      </c>
      <c r="E1625" s="15">
        <v>-3.4000000000000002E-2</v>
      </c>
      <c r="F1625" s="15">
        <v>8.1000000000000003E-2</v>
      </c>
      <c r="G1625" s="15">
        <v>0.67420000000000002</v>
      </c>
      <c r="H1625" s="15">
        <v>0.2281</v>
      </c>
      <c r="I1625" s="15">
        <v>5.11E-2</v>
      </c>
      <c r="J1625" s="15">
        <v>4.4637964774951078</v>
      </c>
    </row>
    <row r="1626" spans="1:10" x14ac:dyDescent="0.25">
      <c r="A1626" s="2" t="s">
        <v>4874</v>
      </c>
      <c r="B1626" s="2" t="s">
        <v>4875</v>
      </c>
      <c r="C1626" s="2" t="s">
        <v>4876</v>
      </c>
      <c r="D1626" s="2" t="s">
        <v>10049</v>
      </c>
      <c r="E1626" s="15">
        <v>6.4999999999999997E-3</v>
      </c>
      <c r="F1626" s="15">
        <v>6.1899999999999997E-2</v>
      </c>
      <c r="G1626" s="15">
        <v>0.91579999999999995</v>
      </c>
      <c r="H1626" s="15">
        <v>0.30509999999999998</v>
      </c>
      <c r="I1626" s="15">
        <v>5.3100000000000001E-2</v>
      </c>
      <c r="J1626" s="15">
        <v>5.7457627118644066</v>
      </c>
    </row>
    <row r="1627" spans="1:10" x14ac:dyDescent="0.25">
      <c r="A1627" s="2" t="s">
        <v>4877</v>
      </c>
      <c r="B1627" s="2" t="s">
        <v>4878</v>
      </c>
      <c r="C1627" s="2" t="s">
        <v>4879</v>
      </c>
      <c r="D1627" s="2" t="s">
        <v>10049</v>
      </c>
      <c r="E1627" s="15">
        <v>2.4299999999999999E-2</v>
      </c>
      <c r="F1627" s="15">
        <v>6.4000000000000001E-2</v>
      </c>
      <c r="G1627" s="15">
        <v>0.70420000000000005</v>
      </c>
      <c r="H1627" s="15">
        <v>0.29120000000000001</v>
      </c>
      <c r="I1627" s="15">
        <v>5.2600000000000001E-2</v>
      </c>
      <c r="J1627" s="15">
        <v>5.5361216730038034</v>
      </c>
    </row>
    <row r="1628" spans="1:10" x14ac:dyDescent="0.25">
      <c r="A1628" s="2" t="s">
        <v>4880</v>
      </c>
      <c r="B1628" s="2" t="s">
        <v>4881</v>
      </c>
      <c r="C1628" s="2" t="s">
        <v>4882</v>
      </c>
      <c r="D1628" s="2" t="s">
        <v>10049</v>
      </c>
      <c r="E1628" s="15">
        <v>5.7000000000000002E-3</v>
      </c>
      <c r="F1628" s="15">
        <v>6.9699999999999998E-2</v>
      </c>
      <c r="G1628" s="15">
        <v>0.93500000000000005</v>
      </c>
      <c r="H1628" s="15">
        <v>0.25869999999999999</v>
      </c>
      <c r="I1628" s="15">
        <v>4.9200000000000001E-2</v>
      </c>
      <c r="J1628" s="15">
        <v>5.2581300813008127</v>
      </c>
    </row>
    <row r="1629" spans="1:10" x14ac:dyDescent="0.25">
      <c r="A1629" s="2" t="s">
        <v>4883</v>
      </c>
      <c r="B1629" s="2" t="s">
        <v>4884</v>
      </c>
      <c r="C1629" s="2" t="s">
        <v>4885</v>
      </c>
      <c r="D1629" s="2" t="s">
        <v>10049</v>
      </c>
      <c r="E1629" s="15">
        <v>3.73E-2</v>
      </c>
      <c r="F1629" s="15">
        <v>7.51E-2</v>
      </c>
      <c r="G1629" s="15">
        <v>0.61960000000000004</v>
      </c>
      <c r="H1629" s="15">
        <v>0.2445</v>
      </c>
      <c r="I1629" s="15">
        <v>4.9099999999999998E-2</v>
      </c>
      <c r="J1629" s="15">
        <v>4.9796334012219958</v>
      </c>
    </row>
    <row r="1630" spans="1:10" x14ac:dyDescent="0.25">
      <c r="A1630" s="2" t="s">
        <v>4886</v>
      </c>
      <c r="B1630" s="2" t="s">
        <v>4887</v>
      </c>
      <c r="C1630" s="2" t="s">
        <v>4888</v>
      </c>
      <c r="D1630" s="2" t="s">
        <v>10049</v>
      </c>
      <c r="E1630" s="15">
        <v>5.0500000000000003E-2</v>
      </c>
      <c r="F1630" s="15">
        <v>7.5300000000000006E-2</v>
      </c>
      <c r="G1630" s="15">
        <v>0.50229999999999997</v>
      </c>
      <c r="H1630" s="15">
        <v>0.26829999999999998</v>
      </c>
      <c r="I1630" s="15">
        <v>4.9399999999999999E-2</v>
      </c>
      <c r="J1630" s="15">
        <v>5.4311740890688256</v>
      </c>
    </row>
    <row r="1631" spans="1:10" x14ac:dyDescent="0.25">
      <c r="A1631" s="2" t="s">
        <v>4889</v>
      </c>
      <c r="B1631" s="2" t="s">
        <v>4890</v>
      </c>
      <c r="C1631" s="2" t="s">
        <v>4891</v>
      </c>
      <c r="D1631" s="2" t="s">
        <v>10049</v>
      </c>
      <c r="E1631" s="15">
        <v>9.1000000000000004E-3</v>
      </c>
      <c r="F1631" s="15">
        <v>7.7200000000000005E-2</v>
      </c>
      <c r="G1631" s="15">
        <v>0.90620000000000001</v>
      </c>
      <c r="H1631" s="15">
        <v>0.2339</v>
      </c>
      <c r="I1631" s="15">
        <v>5.1499999999999997E-2</v>
      </c>
      <c r="J1631" s="15">
        <v>4.5417475728155354</v>
      </c>
    </row>
    <row r="1632" spans="1:10" x14ac:dyDescent="0.25">
      <c r="A1632" s="2" t="s">
        <v>4892</v>
      </c>
      <c r="B1632" s="2" t="s">
        <v>4893</v>
      </c>
      <c r="C1632" s="2" t="s">
        <v>4894</v>
      </c>
      <c r="D1632" s="2" t="s">
        <v>10049</v>
      </c>
      <c r="E1632" s="15">
        <v>-4.3E-3</v>
      </c>
      <c r="F1632" s="15">
        <v>8.0299999999999996E-2</v>
      </c>
      <c r="G1632" s="15">
        <v>0.95709999999999995</v>
      </c>
      <c r="H1632" s="15">
        <v>0.20499999999999999</v>
      </c>
      <c r="I1632" s="15">
        <v>5.0299999999999997E-2</v>
      </c>
      <c r="J1632" s="15">
        <v>4.0755467196819088</v>
      </c>
    </row>
    <row r="1633" spans="1:10" x14ac:dyDescent="0.25">
      <c r="A1633" s="2" t="s">
        <v>4895</v>
      </c>
      <c r="B1633" s="2" t="s">
        <v>4896</v>
      </c>
      <c r="C1633" s="2" t="s">
        <v>4897</v>
      </c>
      <c r="D1633" s="2" t="s">
        <v>10049</v>
      </c>
      <c r="E1633" s="15">
        <v>1.7299999999999999E-2</v>
      </c>
      <c r="F1633" s="15">
        <v>8.6900000000000005E-2</v>
      </c>
      <c r="G1633" s="15">
        <v>0.84209999999999996</v>
      </c>
      <c r="H1633" s="15">
        <v>0.21890000000000001</v>
      </c>
      <c r="I1633" s="15">
        <v>5.1299999999999998E-2</v>
      </c>
      <c r="J1633" s="15">
        <v>4.2670565302144254</v>
      </c>
    </row>
    <row r="1634" spans="1:10" x14ac:dyDescent="0.25">
      <c r="A1634" s="2" t="s">
        <v>4898</v>
      </c>
      <c r="B1634" s="2" t="s">
        <v>4899</v>
      </c>
      <c r="C1634" s="2" t="s">
        <v>4900</v>
      </c>
      <c r="D1634" s="2" t="s">
        <v>10049</v>
      </c>
      <c r="E1634" s="15">
        <v>-4.8899999999999999E-2</v>
      </c>
      <c r="F1634" s="15">
        <v>7.5300000000000006E-2</v>
      </c>
      <c r="G1634" s="15">
        <v>0.51629999999999998</v>
      </c>
      <c r="H1634" s="15">
        <v>0.2419</v>
      </c>
      <c r="I1634" s="15">
        <v>5.11E-2</v>
      </c>
      <c r="J1634" s="15">
        <v>4.7338551859099809</v>
      </c>
    </row>
    <row r="1635" spans="1:10" x14ac:dyDescent="0.25">
      <c r="A1635" s="2" t="s">
        <v>4901</v>
      </c>
      <c r="B1635" s="2" t="s">
        <v>4902</v>
      </c>
      <c r="C1635" s="2" t="s">
        <v>4903</v>
      </c>
      <c r="D1635" s="2" t="s">
        <v>10049</v>
      </c>
      <c r="E1635" s="15">
        <v>-5.3800000000000001E-2</v>
      </c>
      <c r="F1635" s="15">
        <v>0.1013</v>
      </c>
      <c r="G1635" s="15">
        <v>0.59509999999999996</v>
      </c>
      <c r="H1635" s="15">
        <v>0.13289999999999999</v>
      </c>
      <c r="I1635" s="15">
        <v>5.2400000000000002E-2</v>
      </c>
      <c r="J1635" s="15">
        <v>2.536259541984732</v>
      </c>
    </row>
    <row r="1636" spans="1:10" x14ac:dyDescent="0.25">
      <c r="A1636" s="2" t="s">
        <v>4904</v>
      </c>
      <c r="B1636" s="2" t="s">
        <v>4905</v>
      </c>
      <c r="C1636" s="2" t="s">
        <v>4906</v>
      </c>
      <c r="D1636" s="2" t="s">
        <v>10049</v>
      </c>
      <c r="E1636" s="15">
        <v>-8.3299999999999999E-2</v>
      </c>
      <c r="F1636" s="15">
        <v>7.9699999999999993E-2</v>
      </c>
      <c r="G1636" s="15">
        <v>0.29570000000000002</v>
      </c>
      <c r="H1636" s="15">
        <v>0.21590000000000001</v>
      </c>
      <c r="I1636" s="15">
        <v>4.8300000000000003E-2</v>
      </c>
      <c r="J1636" s="15">
        <v>4.4699792960662528</v>
      </c>
    </row>
    <row r="1637" spans="1:10" x14ac:dyDescent="0.25">
      <c r="A1637" s="2" t="s">
        <v>4907</v>
      </c>
      <c r="B1637" s="2" t="s">
        <v>4908</v>
      </c>
      <c r="C1637" s="2" t="s">
        <v>4909</v>
      </c>
      <c r="D1637" s="2" t="s">
        <v>10049</v>
      </c>
      <c r="E1637" s="15">
        <v>-9.5699999999999993E-2</v>
      </c>
      <c r="F1637" s="15">
        <v>0.1031</v>
      </c>
      <c r="G1637" s="15">
        <v>0.3533</v>
      </c>
      <c r="H1637" s="15">
        <v>0.16250000000000001</v>
      </c>
      <c r="I1637" s="15">
        <v>5.4100000000000002E-2</v>
      </c>
      <c r="J1637" s="15">
        <v>3.0036968576709802</v>
      </c>
    </row>
    <row r="1638" spans="1:10" x14ac:dyDescent="0.25">
      <c r="A1638" s="2" t="s">
        <v>4910</v>
      </c>
      <c r="B1638" s="2" t="s">
        <v>4911</v>
      </c>
      <c r="C1638" s="2" t="s">
        <v>4912</v>
      </c>
      <c r="D1638" s="2" t="s">
        <v>10049</v>
      </c>
      <c r="E1638" s="15">
        <v>-2.0299999999999999E-2</v>
      </c>
      <c r="F1638" s="15">
        <v>6.25E-2</v>
      </c>
      <c r="G1638" s="15">
        <v>0.74519999999999997</v>
      </c>
      <c r="H1638" s="15">
        <v>0.30919999999999997</v>
      </c>
      <c r="I1638" s="15">
        <v>5.4300000000000001E-2</v>
      </c>
      <c r="J1638" s="15">
        <v>5.6942909760589311</v>
      </c>
    </row>
    <row r="1639" spans="1:10" x14ac:dyDescent="0.25">
      <c r="A1639" s="2" t="s">
        <v>4913</v>
      </c>
      <c r="B1639" s="2" t="s">
        <v>4914</v>
      </c>
      <c r="C1639" s="2" t="s">
        <v>4915</v>
      </c>
      <c r="D1639" s="2" t="s">
        <v>10049</v>
      </c>
      <c r="E1639" s="15">
        <v>-1.7999999999999999E-2</v>
      </c>
      <c r="F1639" s="15">
        <v>6.4899999999999999E-2</v>
      </c>
      <c r="G1639" s="15">
        <v>0.78129999999999999</v>
      </c>
      <c r="H1639" s="15">
        <v>0.29070000000000001</v>
      </c>
      <c r="I1639" s="15">
        <v>5.2499999999999998E-2</v>
      </c>
      <c r="J1639" s="15">
        <v>5.5371428571428574</v>
      </c>
    </row>
    <row r="1640" spans="1:10" x14ac:dyDescent="0.25">
      <c r="A1640" s="2" t="s">
        <v>4916</v>
      </c>
      <c r="B1640" s="2" t="s">
        <v>4917</v>
      </c>
      <c r="C1640" s="2" t="s">
        <v>4918</v>
      </c>
      <c r="D1640" s="2" t="s">
        <v>10049</v>
      </c>
      <c r="E1640" s="15">
        <v>-0.1447</v>
      </c>
      <c r="F1640" s="15">
        <v>7.5499999999999998E-2</v>
      </c>
      <c r="G1640" s="15">
        <v>5.5199999999999999E-2</v>
      </c>
      <c r="H1640" s="15">
        <v>0.2107</v>
      </c>
      <c r="I1640" s="15">
        <v>4.7699999999999999E-2</v>
      </c>
      <c r="J1640" s="15">
        <v>4.417190775681342</v>
      </c>
    </row>
    <row r="1641" spans="1:10" x14ac:dyDescent="0.25">
      <c r="A1641" s="2" t="s">
        <v>4919</v>
      </c>
      <c r="B1641" s="2" t="s">
        <v>4920</v>
      </c>
      <c r="C1641" s="2" t="s">
        <v>4921</v>
      </c>
      <c r="D1641" s="2" t="s">
        <v>10049</v>
      </c>
      <c r="E1641" s="15">
        <v>-0.2666</v>
      </c>
      <c r="F1641" s="15">
        <v>9.5600000000000004E-2</v>
      </c>
      <c r="G1641" s="15">
        <v>5.3E-3</v>
      </c>
      <c r="H1641" s="15">
        <v>0.16969999999999999</v>
      </c>
      <c r="I1641" s="15">
        <v>4.8399999999999999E-2</v>
      </c>
      <c r="J1641" s="15">
        <v>3.5061983471074378</v>
      </c>
    </row>
    <row r="1642" spans="1:10" x14ac:dyDescent="0.25">
      <c r="A1642" s="2" t="s">
        <v>4922</v>
      </c>
      <c r="B1642" s="2" t="s">
        <v>4923</v>
      </c>
      <c r="C1642" s="2" t="s">
        <v>4924</v>
      </c>
      <c r="D1642" s="2" t="s">
        <v>10049</v>
      </c>
      <c r="E1642" s="15">
        <v>4.7300000000000002E-2</v>
      </c>
      <c r="F1642" s="15">
        <v>7.3599999999999999E-2</v>
      </c>
      <c r="G1642" s="15">
        <v>0.52090000000000003</v>
      </c>
      <c r="H1642" s="15">
        <v>0.1883</v>
      </c>
      <c r="I1642" s="15">
        <v>4.3999999999999997E-2</v>
      </c>
      <c r="J1642" s="15">
        <v>4.2795454545454543</v>
      </c>
    </row>
    <row r="1643" spans="1:10" x14ac:dyDescent="0.25">
      <c r="A1643" s="2" t="s">
        <v>4925</v>
      </c>
      <c r="B1643" s="2" t="s">
        <v>4926</v>
      </c>
      <c r="C1643" s="2" t="s">
        <v>4927</v>
      </c>
      <c r="D1643" s="2" t="s">
        <v>10049</v>
      </c>
      <c r="E1643" s="15">
        <v>6.7599999999999993E-2</v>
      </c>
      <c r="F1643" s="15">
        <v>9.0200000000000002E-2</v>
      </c>
      <c r="G1643" s="15">
        <v>0.45379999999999998</v>
      </c>
      <c r="H1643" s="15">
        <v>0.1162</v>
      </c>
      <c r="I1643" s="15">
        <v>4.7899999999999998E-2</v>
      </c>
      <c r="J1643" s="15">
        <v>2.4258872651357</v>
      </c>
    </row>
    <row r="1644" spans="1:10" x14ac:dyDescent="0.25">
      <c r="A1644" s="2" t="s">
        <v>4928</v>
      </c>
      <c r="B1644" s="2" t="s">
        <v>4929</v>
      </c>
      <c r="C1644" s="2" t="s">
        <v>4930</v>
      </c>
      <c r="D1644" s="2" t="s">
        <v>10049</v>
      </c>
      <c r="E1644" s="15">
        <v>-2.9899999999999999E-2</v>
      </c>
      <c r="F1644" s="15">
        <v>6.2600000000000003E-2</v>
      </c>
      <c r="G1644" s="15">
        <v>0.6331</v>
      </c>
      <c r="H1644" s="15">
        <v>0.32850000000000001</v>
      </c>
      <c r="I1644" s="15">
        <v>5.0099999999999999E-2</v>
      </c>
      <c r="J1644" s="15">
        <v>6.5568862275449096</v>
      </c>
    </row>
    <row r="1645" spans="1:10" x14ac:dyDescent="0.25">
      <c r="A1645" s="2" t="s">
        <v>4931</v>
      </c>
      <c r="B1645" s="2" t="s">
        <v>4932</v>
      </c>
      <c r="C1645" s="2" t="s">
        <v>4933</v>
      </c>
      <c r="D1645" s="2" t="s">
        <v>10049</v>
      </c>
      <c r="E1645" s="15">
        <v>-4.9099999999999998E-2</v>
      </c>
      <c r="F1645" s="15">
        <v>6.13E-2</v>
      </c>
      <c r="G1645" s="15">
        <v>0.42309999999999998</v>
      </c>
      <c r="H1645" s="15">
        <v>0.33310000000000001</v>
      </c>
      <c r="I1645" s="15">
        <v>5.45E-2</v>
      </c>
      <c r="J1645" s="15">
        <v>6.1119266055045873</v>
      </c>
    </row>
    <row r="1646" spans="1:10" x14ac:dyDescent="0.25">
      <c r="A1646" s="2" t="s">
        <v>4934</v>
      </c>
      <c r="B1646" s="2" t="s">
        <v>4935</v>
      </c>
      <c r="C1646" s="2" t="s">
        <v>4936</v>
      </c>
      <c r="D1646" s="2" t="s">
        <v>10049</v>
      </c>
      <c r="E1646" s="15">
        <v>3.1699999999999999E-2</v>
      </c>
      <c r="F1646" s="15">
        <v>9.3899999999999997E-2</v>
      </c>
      <c r="G1646" s="15">
        <v>0.73550000000000004</v>
      </c>
      <c r="H1646" s="15">
        <v>0.17180000000000001</v>
      </c>
      <c r="I1646" s="15">
        <v>4.6899999999999997E-2</v>
      </c>
      <c r="J1646" s="15">
        <v>3.6631130063965891</v>
      </c>
    </row>
    <row r="1647" spans="1:10" x14ac:dyDescent="0.25">
      <c r="A1647" s="2" t="s">
        <v>4937</v>
      </c>
      <c r="B1647" s="2" t="s">
        <v>4938</v>
      </c>
      <c r="C1647" s="2" t="s">
        <v>4939</v>
      </c>
      <c r="D1647" s="2" t="s">
        <v>10049</v>
      </c>
      <c r="E1647" s="15">
        <v>0.1125</v>
      </c>
      <c r="F1647" s="15">
        <v>8.7599999999999997E-2</v>
      </c>
      <c r="G1647" s="15">
        <v>0.19889999999999999</v>
      </c>
      <c r="H1647" s="15">
        <v>0.18659999999999999</v>
      </c>
      <c r="I1647" s="15">
        <v>4.7E-2</v>
      </c>
      <c r="J1647" s="15">
        <v>3.970212765957446</v>
      </c>
    </row>
    <row r="1648" spans="1:10" x14ac:dyDescent="0.25">
      <c r="A1648" s="2" t="s">
        <v>4940</v>
      </c>
      <c r="B1648" s="2" t="s">
        <v>4941</v>
      </c>
      <c r="C1648" s="2" t="s">
        <v>4942</v>
      </c>
      <c r="D1648" s="2" t="s">
        <v>10049</v>
      </c>
      <c r="E1648" s="15">
        <v>-0.18940000000000001</v>
      </c>
      <c r="F1648" s="15">
        <v>8.5000000000000006E-2</v>
      </c>
      <c r="G1648" s="15">
        <v>2.58E-2</v>
      </c>
      <c r="H1648" s="15">
        <v>0.20499999999999999</v>
      </c>
      <c r="I1648" s="15">
        <v>4.9200000000000001E-2</v>
      </c>
      <c r="J1648" s="15">
        <v>4.1666666666666661</v>
      </c>
    </row>
    <row r="1649" spans="1:10" x14ac:dyDescent="0.25">
      <c r="A1649" s="2" t="s">
        <v>4943</v>
      </c>
      <c r="B1649" s="2" t="s">
        <v>4944</v>
      </c>
      <c r="C1649" s="2" t="s">
        <v>4945</v>
      </c>
      <c r="D1649" s="2" t="s">
        <v>10049</v>
      </c>
      <c r="E1649" s="15">
        <v>-0.10340000000000001</v>
      </c>
      <c r="F1649" s="15">
        <v>7.3700000000000002E-2</v>
      </c>
      <c r="G1649" s="15">
        <v>0.1605</v>
      </c>
      <c r="H1649" s="15">
        <v>0.24099999999999999</v>
      </c>
      <c r="I1649" s="15">
        <v>4.7500000000000001E-2</v>
      </c>
      <c r="J1649" s="15">
        <v>5.0736842105263156</v>
      </c>
    </row>
    <row r="1650" spans="1:10" x14ac:dyDescent="0.25">
      <c r="A1650" s="2" t="s">
        <v>4946</v>
      </c>
      <c r="B1650" s="2" t="s">
        <v>4947</v>
      </c>
      <c r="C1650" s="2" t="s">
        <v>4948</v>
      </c>
      <c r="D1650" s="2" t="s">
        <v>10049</v>
      </c>
      <c r="E1650" s="15">
        <v>-2.3E-2</v>
      </c>
      <c r="F1650" s="15">
        <v>8.3900000000000002E-2</v>
      </c>
      <c r="G1650" s="15">
        <v>0.7843</v>
      </c>
      <c r="H1650" s="15">
        <v>0.16589999999999999</v>
      </c>
      <c r="I1650" s="15">
        <v>4.36E-2</v>
      </c>
      <c r="J1650" s="15">
        <v>3.8050458715596331</v>
      </c>
    </row>
    <row r="1651" spans="1:10" x14ac:dyDescent="0.25">
      <c r="A1651" s="2" t="s">
        <v>4949</v>
      </c>
      <c r="B1651" s="2" t="s">
        <v>4950</v>
      </c>
      <c r="C1651" s="2" t="s">
        <v>4951</v>
      </c>
      <c r="D1651" s="2" t="s">
        <v>10049</v>
      </c>
      <c r="E1651" s="15">
        <v>4.1099999999999998E-2</v>
      </c>
      <c r="F1651" s="15">
        <v>8.2000000000000003E-2</v>
      </c>
      <c r="G1651" s="15">
        <v>0.61609999999999998</v>
      </c>
      <c r="H1651" s="15">
        <v>0.1749</v>
      </c>
      <c r="I1651" s="15">
        <v>4.41E-2</v>
      </c>
      <c r="J1651" s="15">
        <v>3.9659863945578229</v>
      </c>
    </row>
    <row r="1652" spans="1:10" x14ac:dyDescent="0.25">
      <c r="A1652" s="2" t="s">
        <v>4952</v>
      </c>
      <c r="B1652" s="2" t="s">
        <v>4953</v>
      </c>
      <c r="C1652" s="2" t="s">
        <v>4954</v>
      </c>
      <c r="D1652" s="2" t="s">
        <v>10049</v>
      </c>
      <c r="E1652" s="15">
        <v>-0.15</v>
      </c>
      <c r="F1652" s="15">
        <v>9.8400000000000001E-2</v>
      </c>
      <c r="G1652" s="15">
        <v>0.12740000000000001</v>
      </c>
      <c r="H1652" s="15">
        <v>0.1419</v>
      </c>
      <c r="I1652" s="15">
        <v>4.3400000000000001E-2</v>
      </c>
      <c r="J1652" s="15">
        <v>3.2695852534562211</v>
      </c>
    </row>
    <row r="1653" spans="1:10" x14ac:dyDescent="0.25">
      <c r="A1653" s="2" t="s">
        <v>4955</v>
      </c>
      <c r="B1653" s="2" t="s">
        <v>4956</v>
      </c>
      <c r="C1653" s="2" t="s">
        <v>4957</v>
      </c>
      <c r="D1653" s="2" t="s">
        <v>10049</v>
      </c>
      <c r="E1653" s="15">
        <v>-1.3899999999999999E-2</v>
      </c>
      <c r="F1653" s="15">
        <v>7.2400000000000006E-2</v>
      </c>
      <c r="G1653" s="15">
        <v>0.8478</v>
      </c>
      <c r="H1653" s="15">
        <v>0.2384</v>
      </c>
      <c r="I1653" s="15">
        <v>4.65E-2</v>
      </c>
      <c r="J1653" s="15">
        <v>5.1268817204301076</v>
      </c>
    </row>
    <row r="1654" spans="1:10" x14ac:dyDescent="0.25">
      <c r="A1654" s="2" t="s">
        <v>4958</v>
      </c>
      <c r="B1654" s="2" t="s">
        <v>4959</v>
      </c>
      <c r="C1654" s="2" t="s">
        <v>4960</v>
      </c>
      <c r="D1654" s="2" t="s">
        <v>10049</v>
      </c>
      <c r="E1654" s="15">
        <v>-2.7699999999999999E-2</v>
      </c>
      <c r="F1654" s="15">
        <v>5.9799999999999999E-2</v>
      </c>
      <c r="G1654" s="15">
        <v>0.64290000000000003</v>
      </c>
      <c r="H1654" s="15">
        <v>0.29880000000000001</v>
      </c>
      <c r="I1654" s="15">
        <v>5.0500000000000003E-2</v>
      </c>
      <c r="J1654" s="15">
        <v>5.9168316831683168</v>
      </c>
    </row>
    <row r="1655" spans="1:10" x14ac:dyDescent="0.25">
      <c r="A1655" s="2" t="s">
        <v>4961</v>
      </c>
      <c r="B1655" s="2" t="s">
        <v>4962</v>
      </c>
      <c r="C1655" s="2" t="s">
        <v>4963</v>
      </c>
      <c r="D1655" s="2" t="s">
        <v>10049</v>
      </c>
      <c r="E1655" s="15">
        <v>4.4999999999999998E-2</v>
      </c>
      <c r="F1655" s="15">
        <v>6.1699999999999998E-2</v>
      </c>
      <c r="G1655" s="15">
        <v>0.4657</v>
      </c>
      <c r="H1655" s="15">
        <v>0.2767</v>
      </c>
      <c r="I1655" s="15">
        <v>5.1299999999999998E-2</v>
      </c>
      <c r="J1655" s="15">
        <v>5.393762183235868</v>
      </c>
    </row>
    <row r="1656" spans="1:10" x14ac:dyDescent="0.25">
      <c r="A1656" s="2" t="s">
        <v>4964</v>
      </c>
      <c r="B1656" s="2" t="s">
        <v>4965</v>
      </c>
      <c r="C1656" s="2" t="s">
        <v>4966</v>
      </c>
      <c r="D1656" s="2" t="s">
        <v>10049</v>
      </c>
      <c r="E1656" s="15">
        <v>-4.2799999999999998E-2</v>
      </c>
      <c r="F1656" s="15">
        <v>6.9800000000000001E-2</v>
      </c>
      <c r="G1656" s="15">
        <v>0.54</v>
      </c>
      <c r="H1656" s="15">
        <v>0.29749999999999999</v>
      </c>
      <c r="I1656" s="15">
        <v>5.2999999999999999E-2</v>
      </c>
      <c r="J1656" s="15">
        <v>5.6132075471698109</v>
      </c>
    </row>
    <row r="1657" spans="1:10" x14ac:dyDescent="0.25">
      <c r="A1657" s="2" t="s">
        <v>4967</v>
      </c>
      <c r="B1657" s="2" t="s">
        <v>4968</v>
      </c>
      <c r="C1657" s="2" t="s">
        <v>4969</v>
      </c>
      <c r="D1657" s="2" t="s">
        <v>10049</v>
      </c>
      <c r="E1657" s="15">
        <v>1.2699999999999999E-2</v>
      </c>
      <c r="F1657" s="15">
        <v>8.7800000000000003E-2</v>
      </c>
      <c r="G1657" s="15">
        <v>0.88470000000000004</v>
      </c>
      <c r="H1657" s="15">
        <v>0.1933</v>
      </c>
      <c r="I1657" s="15">
        <v>5.28E-2</v>
      </c>
      <c r="J1657" s="15">
        <v>3.6609848484848491</v>
      </c>
    </row>
    <row r="1658" spans="1:10" x14ac:dyDescent="0.25">
      <c r="A1658" s="2" t="s">
        <v>4970</v>
      </c>
      <c r="B1658" s="2" t="s">
        <v>4971</v>
      </c>
      <c r="C1658" s="2" t="s">
        <v>4972</v>
      </c>
      <c r="D1658" s="2" t="s">
        <v>10049</v>
      </c>
      <c r="E1658" s="15">
        <v>-6.13E-2</v>
      </c>
      <c r="F1658" s="15">
        <v>9.4100000000000003E-2</v>
      </c>
      <c r="G1658" s="15">
        <v>0.51459999999999995</v>
      </c>
      <c r="H1658" s="15">
        <v>0.13830000000000001</v>
      </c>
      <c r="I1658" s="15">
        <v>4.8399999999999999E-2</v>
      </c>
      <c r="J1658" s="15">
        <v>2.8574380165289259</v>
      </c>
    </row>
    <row r="1659" spans="1:10" x14ac:dyDescent="0.25">
      <c r="A1659" s="2" t="s">
        <v>4973</v>
      </c>
      <c r="B1659" s="2" t="s">
        <v>4974</v>
      </c>
      <c r="C1659" s="2" t="s">
        <v>4975</v>
      </c>
      <c r="D1659" s="2" t="s">
        <v>10049</v>
      </c>
      <c r="E1659" s="15">
        <v>2.3699999999999999E-2</v>
      </c>
      <c r="F1659" s="15">
        <v>9.0200000000000002E-2</v>
      </c>
      <c r="G1659" s="15">
        <v>0.79279999999999995</v>
      </c>
      <c r="H1659" s="15">
        <v>0.15459999999999999</v>
      </c>
      <c r="I1659" s="15">
        <v>5.4100000000000002E-2</v>
      </c>
      <c r="J1659" s="15">
        <v>2.857670979667283</v>
      </c>
    </row>
    <row r="1660" spans="1:10" x14ac:dyDescent="0.25">
      <c r="A1660" s="2" t="s">
        <v>4976</v>
      </c>
      <c r="B1660" s="2" t="s">
        <v>4977</v>
      </c>
      <c r="C1660" s="2" t="s">
        <v>4978</v>
      </c>
      <c r="D1660" s="2" t="s">
        <v>10049</v>
      </c>
      <c r="E1660" s="15">
        <v>0.1447</v>
      </c>
      <c r="F1660" s="15">
        <v>7.51E-2</v>
      </c>
      <c r="G1660" s="15">
        <v>5.4100000000000002E-2</v>
      </c>
      <c r="H1660" s="15">
        <v>0.19259999999999999</v>
      </c>
      <c r="I1660" s="15">
        <v>5.6899999999999999E-2</v>
      </c>
      <c r="J1660" s="15">
        <v>3.384885764499121</v>
      </c>
    </row>
    <row r="1661" spans="1:10" x14ac:dyDescent="0.25">
      <c r="A1661" s="2" t="s">
        <v>4979</v>
      </c>
      <c r="B1661" s="2" t="s">
        <v>4980</v>
      </c>
      <c r="C1661" s="2" t="s">
        <v>4981</v>
      </c>
      <c r="D1661" s="2" t="s">
        <v>10049</v>
      </c>
      <c r="E1661" s="15">
        <v>8.7800000000000003E-2</v>
      </c>
      <c r="F1661" s="15">
        <v>8.8599999999999998E-2</v>
      </c>
      <c r="G1661" s="15">
        <v>0.3216</v>
      </c>
      <c r="H1661" s="15">
        <v>0.14299999999999999</v>
      </c>
      <c r="I1661" s="15">
        <v>6.2399999999999997E-2</v>
      </c>
      <c r="J1661" s="15">
        <v>2.291666666666667</v>
      </c>
    </row>
    <row r="1662" spans="1:10" x14ac:dyDescent="0.25">
      <c r="A1662" s="2" t="s">
        <v>4982</v>
      </c>
      <c r="B1662" s="2" t="s">
        <v>4983</v>
      </c>
      <c r="C1662" s="2" t="s">
        <v>4984</v>
      </c>
      <c r="D1662" s="2" t="s">
        <v>10049</v>
      </c>
      <c r="E1662" s="15">
        <v>-4.1300000000000003E-2</v>
      </c>
      <c r="F1662" s="15">
        <v>7.4499999999999997E-2</v>
      </c>
      <c r="G1662" s="15">
        <v>0.57909999999999995</v>
      </c>
      <c r="H1662" s="15">
        <v>0.22550000000000001</v>
      </c>
      <c r="I1662" s="15">
        <v>4.2000000000000003E-2</v>
      </c>
      <c r="J1662" s="15">
        <v>5.3690476190476186</v>
      </c>
    </row>
    <row r="1663" spans="1:10" x14ac:dyDescent="0.25">
      <c r="A1663" s="2" t="s">
        <v>4985</v>
      </c>
      <c r="B1663" s="2" t="s">
        <v>4986</v>
      </c>
      <c r="C1663" s="2" t="s">
        <v>4987</v>
      </c>
      <c r="D1663" s="2" t="s">
        <v>10049</v>
      </c>
      <c r="E1663" s="15">
        <v>-0.16830000000000001</v>
      </c>
      <c r="F1663" s="15">
        <v>7.8200000000000006E-2</v>
      </c>
      <c r="G1663" s="15">
        <v>3.1399999999999997E-2</v>
      </c>
      <c r="H1663" s="15">
        <v>0.19370000000000001</v>
      </c>
      <c r="I1663" s="15">
        <v>4.5900000000000003E-2</v>
      </c>
      <c r="J1663" s="15">
        <v>4.220043572984749</v>
      </c>
    </row>
    <row r="1664" spans="1:10" x14ac:dyDescent="0.25">
      <c r="A1664" s="2" t="s">
        <v>4988</v>
      </c>
      <c r="B1664" s="2" t="s">
        <v>4989</v>
      </c>
      <c r="C1664" s="2" t="s">
        <v>4990</v>
      </c>
      <c r="D1664" s="2" t="s">
        <v>10049</v>
      </c>
      <c r="E1664" s="15">
        <v>9.1300000000000006E-2</v>
      </c>
      <c r="F1664" s="15">
        <v>8.3000000000000004E-2</v>
      </c>
      <c r="G1664" s="15">
        <v>0.27139999999999997</v>
      </c>
      <c r="H1664" s="15">
        <v>0.1883</v>
      </c>
      <c r="I1664" s="15">
        <v>6.9199999999999998E-2</v>
      </c>
      <c r="J1664" s="15">
        <v>2.7210982658959542</v>
      </c>
    </row>
    <row r="1665" spans="1:10" x14ac:dyDescent="0.25">
      <c r="A1665" s="2" t="s">
        <v>4991</v>
      </c>
      <c r="B1665" s="2" t="s">
        <v>4992</v>
      </c>
      <c r="C1665" s="2" t="s">
        <v>4993</v>
      </c>
      <c r="D1665" s="2" t="s">
        <v>10049</v>
      </c>
      <c r="E1665" s="15">
        <v>-1.0200000000000001E-2</v>
      </c>
      <c r="F1665" s="15">
        <v>6.9199999999999998E-2</v>
      </c>
      <c r="G1665" s="15">
        <v>0.88270000000000004</v>
      </c>
      <c r="H1665" s="15">
        <v>0.28299999999999997</v>
      </c>
      <c r="I1665" s="15">
        <v>6.6799999999999998E-2</v>
      </c>
      <c r="J1665" s="15">
        <v>4.2365269461077846</v>
      </c>
    </row>
    <row r="1666" spans="1:10" x14ac:dyDescent="0.25">
      <c r="A1666" s="2" t="s">
        <v>4994</v>
      </c>
      <c r="B1666" s="2" t="s">
        <v>4995</v>
      </c>
      <c r="C1666" s="2" t="s">
        <v>4996</v>
      </c>
      <c r="D1666" s="2" t="s">
        <v>10049</v>
      </c>
      <c r="E1666" s="15">
        <v>-0.121</v>
      </c>
      <c r="F1666" s="15">
        <v>7.22E-2</v>
      </c>
      <c r="G1666" s="15">
        <v>9.3700000000000006E-2</v>
      </c>
      <c r="H1666" s="15">
        <v>0.2495</v>
      </c>
      <c r="I1666" s="15">
        <v>4.7100000000000003E-2</v>
      </c>
      <c r="J1666" s="15">
        <v>5.2972399150743099</v>
      </c>
    </row>
    <row r="1667" spans="1:10" x14ac:dyDescent="0.25">
      <c r="A1667" s="2" t="s">
        <v>4997</v>
      </c>
      <c r="B1667" s="2" t="s">
        <v>4998</v>
      </c>
      <c r="C1667" s="2" t="s">
        <v>4999</v>
      </c>
      <c r="D1667" s="2" t="s">
        <v>10049</v>
      </c>
      <c r="E1667" s="15">
        <v>-0.1759</v>
      </c>
      <c r="F1667" s="15">
        <v>8.8999999999999996E-2</v>
      </c>
      <c r="G1667" s="15">
        <v>4.82E-2</v>
      </c>
      <c r="H1667" s="15">
        <v>0.1837</v>
      </c>
      <c r="I1667" s="15">
        <v>4.4900000000000002E-2</v>
      </c>
      <c r="J1667" s="15">
        <v>4.091314031180401</v>
      </c>
    </row>
    <row r="1668" spans="1:10" x14ac:dyDescent="0.25">
      <c r="A1668" s="2" t="s">
        <v>5000</v>
      </c>
      <c r="B1668" s="2" t="s">
        <v>5001</v>
      </c>
      <c r="C1668" s="2" t="s">
        <v>5002</v>
      </c>
      <c r="D1668" s="2" t="s">
        <v>10049</v>
      </c>
      <c r="E1668" s="15">
        <v>6.2799999999999995E-2</v>
      </c>
      <c r="F1668" s="15">
        <v>6.8500000000000005E-2</v>
      </c>
      <c r="G1668" s="15">
        <v>0.35959999999999998</v>
      </c>
      <c r="H1668" s="15">
        <v>0.2727</v>
      </c>
      <c r="I1668" s="15">
        <v>4.7399999999999998E-2</v>
      </c>
      <c r="J1668" s="15">
        <v>5.7531645569620258</v>
      </c>
    </row>
    <row r="1669" spans="1:10" x14ac:dyDescent="0.25">
      <c r="A1669" s="2" t="s">
        <v>5003</v>
      </c>
      <c r="B1669" s="2" t="s">
        <v>5004</v>
      </c>
      <c r="C1669" s="2" t="s">
        <v>5005</v>
      </c>
      <c r="D1669" s="2" t="s">
        <v>10049</v>
      </c>
      <c r="E1669" s="15">
        <v>0.1178</v>
      </c>
      <c r="F1669" s="15">
        <v>8.8700000000000001E-2</v>
      </c>
      <c r="G1669" s="15">
        <v>0.18390000000000001</v>
      </c>
      <c r="H1669" s="15">
        <v>0.184</v>
      </c>
      <c r="I1669" s="15">
        <v>4.4600000000000001E-2</v>
      </c>
      <c r="J1669" s="15">
        <v>4.1255605381165914</v>
      </c>
    </row>
    <row r="1670" spans="1:10" x14ac:dyDescent="0.25">
      <c r="A1670" s="2" t="s">
        <v>5006</v>
      </c>
      <c r="B1670" s="2" t="s">
        <v>5007</v>
      </c>
      <c r="C1670" s="2" t="s">
        <v>5008</v>
      </c>
      <c r="D1670" s="2" t="s">
        <v>10049</v>
      </c>
      <c r="E1670" s="15">
        <v>6.0900000000000003E-2</v>
      </c>
      <c r="F1670" s="15">
        <v>6.5600000000000006E-2</v>
      </c>
      <c r="G1670" s="15">
        <v>0.35320000000000001</v>
      </c>
      <c r="H1670" s="15">
        <v>0.31859999999999999</v>
      </c>
      <c r="I1670" s="15">
        <v>5.11E-2</v>
      </c>
      <c r="J1670" s="15">
        <v>6.2348336594911933</v>
      </c>
    </row>
    <row r="1671" spans="1:10" x14ac:dyDescent="0.25">
      <c r="A1671" s="2" t="s">
        <v>5009</v>
      </c>
      <c r="B1671" s="2" t="s">
        <v>5010</v>
      </c>
      <c r="C1671" s="2" t="s">
        <v>5011</v>
      </c>
      <c r="D1671" s="2" t="s">
        <v>10049</v>
      </c>
      <c r="E1671" s="15">
        <v>8.1500000000000003E-2</v>
      </c>
      <c r="F1671" s="15">
        <v>7.17E-2</v>
      </c>
      <c r="G1671" s="15">
        <v>0.25580000000000003</v>
      </c>
      <c r="H1671" s="15">
        <v>0.3024</v>
      </c>
      <c r="I1671" s="15">
        <v>5.1299999999999998E-2</v>
      </c>
      <c r="J1671" s="15">
        <v>5.8947368421052637</v>
      </c>
    </row>
    <row r="1672" spans="1:10" x14ac:dyDescent="0.25">
      <c r="A1672" s="2" t="s">
        <v>5012</v>
      </c>
      <c r="B1672" s="2" t="s">
        <v>5013</v>
      </c>
      <c r="C1672" s="2" t="s">
        <v>5014</v>
      </c>
      <c r="D1672" s="2" t="s">
        <v>10049</v>
      </c>
      <c r="E1672" s="15">
        <v>7.5499999999999998E-2</v>
      </c>
      <c r="F1672" s="15">
        <v>6.3299999999999995E-2</v>
      </c>
      <c r="G1672" s="15">
        <v>0.2331</v>
      </c>
      <c r="H1672" s="15">
        <v>0.30180000000000001</v>
      </c>
      <c r="I1672" s="15">
        <v>4.8300000000000003E-2</v>
      </c>
      <c r="J1672" s="15">
        <v>6.2484472049689437</v>
      </c>
    </row>
    <row r="1673" spans="1:10" x14ac:dyDescent="0.25">
      <c r="A1673" s="2" t="s">
        <v>5015</v>
      </c>
      <c r="B1673" s="2" t="s">
        <v>5016</v>
      </c>
      <c r="C1673" s="2" t="s">
        <v>5017</v>
      </c>
      <c r="D1673" s="2" t="s">
        <v>10049</v>
      </c>
      <c r="E1673" s="15">
        <v>0.1012</v>
      </c>
      <c r="F1673" s="15">
        <v>7.5600000000000001E-2</v>
      </c>
      <c r="G1673" s="15">
        <v>0.18049999999999999</v>
      </c>
      <c r="H1673" s="15">
        <v>0.2447</v>
      </c>
      <c r="I1673" s="15">
        <v>5.4300000000000001E-2</v>
      </c>
      <c r="J1673" s="15">
        <v>4.5064456721915276</v>
      </c>
    </row>
    <row r="1674" spans="1:10" x14ac:dyDescent="0.25">
      <c r="A1674" s="2" t="s">
        <v>5018</v>
      </c>
      <c r="B1674" s="2" t="s">
        <v>5019</v>
      </c>
      <c r="C1674" s="2" t="s">
        <v>5020</v>
      </c>
      <c r="D1674" s="2" t="s">
        <v>10049</v>
      </c>
      <c r="E1674" s="15">
        <v>1.3100000000000001E-2</v>
      </c>
      <c r="F1674" s="15">
        <v>6.8400000000000002E-2</v>
      </c>
      <c r="G1674" s="15">
        <v>0.84840000000000004</v>
      </c>
      <c r="H1674" s="15">
        <v>0.311</v>
      </c>
      <c r="I1674" s="15">
        <v>5.0599999999999999E-2</v>
      </c>
      <c r="J1674" s="15">
        <v>6.146245059288538</v>
      </c>
    </row>
    <row r="1675" spans="1:10" x14ac:dyDescent="0.25">
      <c r="A1675" s="2" t="s">
        <v>5021</v>
      </c>
      <c r="B1675" s="2" t="s">
        <v>5022</v>
      </c>
      <c r="C1675" s="2" t="s">
        <v>5023</v>
      </c>
      <c r="D1675" s="2" t="s">
        <v>10049</v>
      </c>
      <c r="E1675" s="15">
        <v>1.9599999999999999E-2</v>
      </c>
      <c r="F1675" s="15">
        <v>7.0800000000000002E-2</v>
      </c>
      <c r="G1675" s="15">
        <v>0.78210000000000002</v>
      </c>
      <c r="H1675" s="15">
        <v>0.2621</v>
      </c>
      <c r="I1675" s="15">
        <v>5.2699999999999997E-2</v>
      </c>
      <c r="J1675" s="15">
        <v>4.9734345351043654</v>
      </c>
    </row>
    <row r="1676" spans="1:10" x14ac:dyDescent="0.25">
      <c r="A1676" s="2" t="s">
        <v>5024</v>
      </c>
      <c r="B1676" s="2" t="s">
        <v>5025</v>
      </c>
      <c r="C1676" s="2" t="s">
        <v>5026</v>
      </c>
      <c r="D1676" s="2" t="s">
        <v>10049</v>
      </c>
      <c r="E1676" s="15">
        <v>0.10580000000000001</v>
      </c>
      <c r="F1676" s="15">
        <v>6.7599999999999993E-2</v>
      </c>
      <c r="G1676" s="15">
        <v>0.1178</v>
      </c>
      <c r="H1676" s="15">
        <v>0.2626</v>
      </c>
      <c r="I1676" s="15">
        <v>4.7100000000000003E-2</v>
      </c>
      <c r="J1676" s="15">
        <v>5.5753715498938421</v>
      </c>
    </row>
    <row r="1677" spans="1:10" x14ac:dyDescent="0.25">
      <c r="A1677" s="2" t="s">
        <v>5027</v>
      </c>
      <c r="B1677" s="2" t="s">
        <v>5028</v>
      </c>
      <c r="C1677" s="2" t="s">
        <v>5029</v>
      </c>
      <c r="D1677" s="2" t="s">
        <v>10049</v>
      </c>
      <c r="E1677" s="15">
        <v>0.1973</v>
      </c>
      <c r="F1677" s="15">
        <v>7.5700000000000003E-2</v>
      </c>
      <c r="G1677" s="15">
        <v>9.1000000000000004E-3</v>
      </c>
      <c r="H1677" s="15">
        <v>0.22620000000000001</v>
      </c>
      <c r="I1677" s="15">
        <v>4.5900000000000003E-2</v>
      </c>
      <c r="J1677" s="15">
        <v>4.9281045751633989</v>
      </c>
    </row>
    <row r="1678" spans="1:10" x14ac:dyDescent="0.25">
      <c r="A1678" s="2" t="s">
        <v>5030</v>
      </c>
      <c r="B1678" s="2" t="s">
        <v>5031</v>
      </c>
      <c r="C1678" s="2" t="s">
        <v>5032</v>
      </c>
      <c r="D1678" s="2" t="s">
        <v>10049</v>
      </c>
      <c r="E1678" s="15">
        <v>9.6299999999999997E-2</v>
      </c>
      <c r="F1678" s="15">
        <v>7.17E-2</v>
      </c>
      <c r="G1678" s="15">
        <v>0.1789</v>
      </c>
      <c r="H1678" s="15">
        <v>0.25409999999999999</v>
      </c>
      <c r="I1678" s="15">
        <v>4.87E-2</v>
      </c>
      <c r="J1678" s="15">
        <v>5.2176591375770016</v>
      </c>
    </row>
    <row r="1679" spans="1:10" x14ac:dyDescent="0.25">
      <c r="A1679" s="2" t="s">
        <v>5033</v>
      </c>
      <c r="B1679" s="2" t="s">
        <v>5034</v>
      </c>
      <c r="C1679" s="2" t="s">
        <v>5035</v>
      </c>
      <c r="D1679" s="2" t="s">
        <v>10049</v>
      </c>
      <c r="E1679" s="15">
        <v>0.1056</v>
      </c>
      <c r="F1679" s="15">
        <v>7.85E-2</v>
      </c>
      <c r="G1679" s="15">
        <v>0.17860000000000001</v>
      </c>
      <c r="H1679" s="15">
        <v>0.22550000000000001</v>
      </c>
      <c r="I1679" s="15">
        <v>4.5699999999999998E-2</v>
      </c>
      <c r="J1679" s="15">
        <v>4.9343544857768054</v>
      </c>
    </row>
    <row r="1680" spans="1:10" x14ac:dyDescent="0.25">
      <c r="A1680" s="2" t="s">
        <v>5036</v>
      </c>
      <c r="B1680" s="2" t="s">
        <v>5037</v>
      </c>
      <c r="C1680" s="2" t="s">
        <v>5038</v>
      </c>
      <c r="D1680" s="2" t="s">
        <v>10049</v>
      </c>
      <c r="E1680" s="15">
        <v>2.52E-2</v>
      </c>
      <c r="F1680" s="15">
        <v>9.01E-2</v>
      </c>
      <c r="G1680" s="15">
        <v>0.78010000000000002</v>
      </c>
      <c r="H1680" s="15">
        <v>0.14080000000000001</v>
      </c>
      <c r="I1680" s="15">
        <v>4.65E-2</v>
      </c>
      <c r="J1680" s="15">
        <v>3.0279569892473122</v>
      </c>
    </row>
    <row r="1681" spans="1:10" x14ac:dyDescent="0.25">
      <c r="A1681" s="2" t="s">
        <v>5039</v>
      </c>
      <c r="B1681" s="2" t="s">
        <v>5040</v>
      </c>
      <c r="C1681" s="2" t="s">
        <v>5041</v>
      </c>
      <c r="D1681" s="2" t="s">
        <v>10049</v>
      </c>
      <c r="E1681" s="15">
        <v>2.06E-2</v>
      </c>
      <c r="F1681" s="15">
        <v>7.8399999999999997E-2</v>
      </c>
      <c r="G1681" s="15">
        <v>0.79279999999999995</v>
      </c>
      <c r="H1681" s="15">
        <v>0.2344</v>
      </c>
      <c r="I1681" s="15">
        <v>4.9099999999999998E-2</v>
      </c>
      <c r="J1681" s="15">
        <v>4.7739307535641551</v>
      </c>
    </row>
    <row r="1682" spans="1:10" x14ac:dyDescent="0.25">
      <c r="A1682" s="2" t="s">
        <v>5042</v>
      </c>
      <c r="B1682" s="2" t="s">
        <v>5043</v>
      </c>
      <c r="C1682" s="2" t="s">
        <v>5044</v>
      </c>
      <c r="D1682" s="2" t="s">
        <v>10049</v>
      </c>
      <c r="E1682" s="15">
        <v>-2.8199999999999999E-2</v>
      </c>
      <c r="F1682" s="15">
        <v>7.6499999999999999E-2</v>
      </c>
      <c r="G1682" s="15">
        <v>0.71230000000000004</v>
      </c>
      <c r="H1682" s="15">
        <v>0.25119999999999998</v>
      </c>
      <c r="I1682" s="15">
        <v>4.48E-2</v>
      </c>
      <c r="J1682" s="15">
        <v>5.6071428571428568</v>
      </c>
    </row>
    <row r="1683" spans="1:10" x14ac:dyDescent="0.25">
      <c r="A1683" s="2" t="s">
        <v>5045</v>
      </c>
      <c r="B1683" s="2" t="s">
        <v>5046</v>
      </c>
      <c r="C1683" s="2" t="s">
        <v>5047</v>
      </c>
      <c r="D1683" s="2" t="s">
        <v>10049</v>
      </c>
      <c r="E1683" s="15">
        <v>-6.4699999999999994E-2</v>
      </c>
      <c r="F1683" s="15">
        <v>6.8599999999999994E-2</v>
      </c>
      <c r="G1683" s="15">
        <v>0.3453</v>
      </c>
      <c r="H1683" s="15">
        <v>0.23810000000000001</v>
      </c>
      <c r="I1683" s="15">
        <v>4.5900000000000003E-2</v>
      </c>
      <c r="J1683" s="15">
        <v>5.1873638344226576</v>
      </c>
    </row>
    <row r="1684" spans="1:10" x14ac:dyDescent="0.25">
      <c r="A1684" s="2" t="s">
        <v>5048</v>
      </c>
      <c r="B1684" s="2" t="s">
        <v>5049</v>
      </c>
      <c r="C1684" s="2" t="s">
        <v>5050</v>
      </c>
      <c r="D1684" s="2" t="s">
        <v>10049</v>
      </c>
      <c r="E1684" s="15">
        <v>-7.3599999999999999E-2</v>
      </c>
      <c r="F1684" s="15">
        <v>6.8699999999999997E-2</v>
      </c>
      <c r="G1684" s="15">
        <v>0.28389999999999999</v>
      </c>
      <c r="H1684" s="15">
        <v>0.27360000000000001</v>
      </c>
      <c r="I1684" s="15">
        <v>4.87E-2</v>
      </c>
      <c r="J1684" s="15">
        <v>5.6180698151950716</v>
      </c>
    </row>
    <row r="1685" spans="1:10" x14ac:dyDescent="0.25">
      <c r="A1685" s="2" t="s">
        <v>5051</v>
      </c>
      <c r="B1685" s="2" t="s">
        <v>5052</v>
      </c>
      <c r="C1685" s="2" t="s">
        <v>5053</v>
      </c>
      <c r="D1685" s="2" t="s">
        <v>10049</v>
      </c>
      <c r="E1685" s="15">
        <v>-1.15E-2</v>
      </c>
      <c r="F1685" s="15">
        <v>8.0699999999999994E-2</v>
      </c>
      <c r="G1685" s="15">
        <v>0.88629999999999998</v>
      </c>
      <c r="H1685" s="15">
        <v>0.2339</v>
      </c>
      <c r="I1685" s="15">
        <v>5.5399999999999998E-2</v>
      </c>
      <c r="J1685" s="15">
        <v>4.22202166064982</v>
      </c>
    </row>
    <row r="1686" spans="1:10" x14ac:dyDescent="0.25">
      <c r="A1686" s="2" t="s">
        <v>5054</v>
      </c>
      <c r="B1686" s="2" t="s">
        <v>5055</v>
      </c>
      <c r="C1686" s="2" t="s">
        <v>5056</v>
      </c>
      <c r="D1686" s="2" t="s">
        <v>10049</v>
      </c>
      <c r="E1686" s="15">
        <v>8.8400000000000006E-2</v>
      </c>
      <c r="F1686" s="15">
        <v>8.1799999999999998E-2</v>
      </c>
      <c r="G1686" s="15">
        <v>0.27989999999999998</v>
      </c>
      <c r="H1686" s="15">
        <v>0.24160000000000001</v>
      </c>
      <c r="I1686" s="15">
        <v>4.9000000000000002E-2</v>
      </c>
      <c r="J1686" s="15">
        <v>4.9306122448979588</v>
      </c>
    </row>
    <row r="1687" spans="1:10" x14ac:dyDescent="0.25">
      <c r="A1687" s="2" t="s">
        <v>5057</v>
      </c>
      <c r="B1687" s="2" t="s">
        <v>5058</v>
      </c>
      <c r="C1687" s="2" t="s">
        <v>5059</v>
      </c>
      <c r="D1687" s="2" t="s">
        <v>10049</v>
      </c>
      <c r="E1687" s="15">
        <v>0.1051</v>
      </c>
      <c r="F1687" s="15">
        <v>7.6999999999999999E-2</v>
      </c>
      <c r="G1687" s="15">
        <v>0.1719</v>
      </c>
      <c r="H1687" s="15">
        <v>0.27229999999999999</v>
      </c>
      <c r="I1687" s="15">
        <v>5.3999999999999999E-2</v>
      </c>
      <c r="J1687" s="15">
        <v>5.0425925925925927</v>
      </c>
    </row>
    <row r="1688" spans="1:10" x14ac:dyDescent="0.25">
      <c r="A1688" s="2" t="s">
        <v>5060</v>
      </c>
      <c r="B1688" s="2" t="s">
        <v>5061</v>
      </c>
      <c r="C1688" s="2" t="s">
        <v>5062</v>
      </c>
      <c r="D1688" s="2" t="s">
        <v>10049</v>
      </c>
      <c r="E1688" s="15">
        <v>3.5499999999999997E-2</v>
      </c>
      <c r="F1688" s="15">
        <v>9.2100000000000001E-2</v>
      </c>
      <c r="G1688" s="15">
        <v>0.70009999999999994</v>
      </c>
      <c r="H1688" s="15">
        <v>0.13320000000000001</v>
      </c>
      <c r="I1688" s="15">
        <v>4.2799999999999998E-2</v>
      </c>
      <c r="J1688" s="15">
        <v>3.1121495327102808</v>
      </c>
    </row>
    <row r="1689" spans="1:10" x14ac:dyDescent="0.25">
      <c r="A1689" s="2" t="s">
        <v>5063</v>
      </c>
      <c r="B1689" s="2" t="s">
        <v>5064</v>
      </c>
      <c r="C1689" s="2" t="s">
        <v>5065</v>
      </c>
      <c r="D1689" s="2" t="s">
        <v>10049</v>
      </c>
      <c r="E1689" s="15">
        <v>-0.1069</v>
      </c>
      <c r="F1689" s="15">
        <v>8.6300000000000002E-2</v>
      </c>
      <c r="G1689" s="15">
        <v>0.21540000000000001</v>
      </c>
      <c r="H1689" s="15">
        <v>0.15629999999999999</v>
      </c>
      <c r="I1689" s="15">
        <v>4.5900000000000003E-2</v>
      </c>
      <c r="J1689" s="15">
        <v>3.4052287581699341</v>
      </c>
    </row>
    <row r="1690" spans="1:10" x14ac:dyDescent="0.25">
      <c r="A1690" s="2" t="s">
        <v>5066</v>
      </c>
      <c r="B1690" s="2" t="s">
        <v>5067</v>
      </c>
      <c r="C1690" s="2" t="s">
        <v>5068</v>
      </c>
      <c r="D1690" s="2" t="s">
        <v>10049</v>
      </c>
      <c r="E1690" s="15">
        <v>5.57E-2</v>
      </c>
      <c r="F1690" s="15">
        <v>7.3099999999999998E-2</v>
      </c>
      <c r="G1690" s="15">
        <v>0.4456</v>
      </c>
      <c r="H1690" s="15">
        <v>0.1958</v>
      </c>
      <c r="I1690" s="15">
        <v>4.7199999999999999E-2</v>
      </c>
      <c r="J1690" s="15">
        <v>4.148305084745763</v>
      </c>
    </row>
    <row r="1691" spans="1:10" x14ac:dyDescent="0.25">
      <c r="A1691" s="2" t="s">
        <v>5069</v>
      </c>
      <c r="B1691" s="2" t="s">
        <v>5070</v>
      </c>
      <c r="C1691" s="2" t="s">
        <v>5071</v>
      </c>
      <c r="D1691" s="2" t="s">
        <v>10049</v>
      </c>
      <c r="E1691" s="15">
        <v>-5.9799999999999999E-2</v>
      </c>
      <c r="F1691" s="15">
        <v>8.7400000000000005E-2</v>
      </c>
      <c r="G1691" s="15">
        <v>0.49340000000000001</v>
      </c>
      <c r="H1691" s="15">
        <v>0.13350000000000001</v>
      </c>
      <c r="I1691" s="15">
        <v>5.1299999999999998E-2</v>
      </c>
      <c r="J1691" s="15">
        <v>2.60233918128655</v>
      </c>
    </row>
    <row r="1692" spans="1:10" x14ac:dyDescent="0.25">
      <c r="A1692" s="2" t="s">
        <v>5072</v>
      </c>
      <c r="B1692" s="2" t="s">
        <v>5073</v>
      </c>
      <c r="C1692" s="2" t="s">
        <v>5074</v>
      </c>
      <c r="D1692" s="2" t="s">
        <v>10049</v>
      </c>
      <c r="E1692" s="15">
        <v>0.10539999999999999</v>
      </c>
      <c r="F1692" s="15">
        <v>5.7099999999999998E-2</v>
      </c>
      <c r="G1692" s="15">
        <v>6.5100000000000005E-2</v>
      </c>
      <c r="H1692" s="15">
        <v>0.37280000000000002</v>
      </c>
      <c r="I1692" s="15">
        <v>4.9599999999999998E-2</v>
      </c>
      <c r="J1692" s="15">
        <v>7.5161290322580649</v>
      </c>
    </row>
    <row r="1693" spans="1:10" x14ac:dyDescent="0.25">
      <c r="A1693" s="2" t="s">
        <v>5075</v>
      </c>
      <c r="B1693" s="2" t="s">
        <v>5076</v>
      </c>
      <c r="C1693" s="2" t="s">
        <v>5077</v>
      </c>
      <c r="D1693" s="2" t="s">
        <v>10049</v>
      </c>
      <c r="E1693" s="15">
        <v>7.9399999999999998E-2</v>
      </c>
      <c r="F1693" s="15">
        <v>6.0299999999999999E-2</v>
      </c>
      <c r="G1693" s="15">
        <v>0.18770000000000001</v>
      </c>
      <c r="H1693" s="15">
        <v>0.31519999999999998</v>
      </c>
      <c r="I1693" s="15">
        <v>4.7899999999999998E-2</v>
      </c>
      <c r="J1693" s="15">
        <v>6.5803757828810019</v>
      </c>
    </row>
    <row r="1694" spans="1:10" x14ac:dyDescent="0.25">
      <c r="A1694" s="2" t="s">
        <v>5078</v>
      </c>
      <c r="B1694" s="2" t="s">
        <v>5079</v>
      </c>
      <c r="C1694" s="2" t="s">
        <v>5080</v>
      </c>
      <c r="D1694" s="2" t="s">
        <v>10049</v>
      </c>
      <c r="E1694" s="15">
        <v>1.6500000000000001E-2</v>
      </c>
      <c r="F1694" s="15">
        <v>9.7600000000000006E-2</v>
      </c>
      <c r="G1694" s="15">
        <v>0.86570000000000003</v>
      </c>
      <c r="H1694" s="15">
        <v>0.13059999999999999</v>
      </c>
      <c r="I1694" s="15">
        <v>4.82E-2</v>
      </c>
      <c r="J1694" s="15">
        <v>2.70954356846473</v>
      </c>
    </row>
    <row r="1695" spans="1:10" x14ac:dyDescent="0.25">
      <c r="A1695" s="2" t="s">
        <v>5081</v>
      </c>
      <c r="B1695" s="2" t="s">
        <v>5082</v>
      </c>
      <c r="C1695" s="2" t="s">
        <v>5083</v>
      </c>
      <c r="D1695" s="2" t="s">
        <v>10049</v>
      </c>
      <c r="E1695" s="15">
        <v>0.1225</v>
      </c>
      <c r="F1695" s="15">
        <v>8.1900000000000001E-2</v>
      </c>
      <c r="G1695" s="15">
        <v>0.13500000000000001</v>
      </c>
      <c r="H1695" s="15">
        <v>0.1933</v>
      </c>
      <c r="I1695" s="15">
        <v>4.2000000000000003E-2</v>
      </c>
      <c r="J1695" s="15">
        <v>4.602380952380952</v>
      </c>
    </row>
    <row r="1696" spans="1:10" x14ac:dyDescent="0.25">
      <c r="A1696" s="2" t="s">
        <v>5084</v>
      </c>
      <c r="B1696" s="2" t="s">
        <v>5085</v>
      </c>
      <c r="C1696" s="2" t="s">
        <v>5086</v>
      </c>
      <c r="D1696" s="2" t="s">
        <v>10049</v>
      </c>
      <c r="E1696" s="15">
        <v>5.7099999999999998E-2</v>
      </c>
      <c r="F1696" s="15">
        <v>8.09E-2</v>
      </c>
      <c r="G1696" s="15">
        <v>0.47989999999999999</v>
      </c>
      <c r="H1696" s="15">
        <v>0.18940000000000001</v>
      </c>
      <c r="I1696" s="15">
        <v>4.7699999999999999E-2</v>
      </c>
      <c r="J1696" s="15">
        <v>3.9706498951781972</v>
      </c>
    </row>
    <row r="1697" spans="1:10" x14ac:dyDescent="0.25">
      <c r="A1697" s="2" t="s">
        <v>5087</v>
      </c>
      <c r="B1697" s="2" t="s">
        <v>5088</v>
      </c>
      <c r="C1697" s="2" t="s">
        <v>5089</v>
      </c>
      <c r="D1697" s="2" t="s">
        <v>10049</v>
      </c>
      <c r="E1697" s="15">
        <v>5.6000000000000001E-2</v>
      </c>
      <c r="F1697" s="15">
        <v>6.5199999999999994E-2</v>
      </c>
      <c r="G1697" s="15">
        <v>0.39</v>
      </c>
      <c r="H1697" s="15">
        <v>0.26579999999999998</v>
      </c>
      <c r="I1697" s="15">
        <v>4.7300000000000002E-2</v>
      </c>
      <c r="J1697" s="15">
        <v>5.619450317124735</v>
      </c>
    </row>
    <row r="1698" spans="1:10" x14ac:dyDescent="0.25">
      <c r="A1698" s="2" t="s">
        <v>5090</v>
      </c>
      <c r="B1698" s="2" t="s">
        <v>5091</v>
      </c>
      <c r="C1698" s="2" t="s">
        <v>5092</v>
      </c>
      <c r="D1698" s="2" t="s">
        <v>10049</v>
      </c>
      <c r="E1698" s="15">
        <v>0.22500000000000001</v>
      </c>
      <c r="F1698" s="15">
        <v>0.14480000000000001</v>
      </c>
      <c r="G1698" s="15">
        <v>0.1201</v>
      </c>
      <c r="H1698" s="15">
        <v>6.6600000000000006E-2</v>
      </c>
      <c r="I1698" s="15">
        <v>4.19E-2</v>
      </c>
      <c r="J1698" s="15">
        <v>1.5894988066825779</v>
      </c>
    </row>
    <row r="1699" spans="1:10" x14ac:dyDescent="0.25">
      <c r="A1699" s="2" t="s">
        <v>5093</v>
      </c>
      <c r="B1699" s="2" t="s">
        <v>5094</v>
      </c>
      <c r="C1699" s="2" t="s">
        <v>5095</v>
      </c>
      <c r="D1699" s="2" t="s">
        <v>10049</v>
      </c>
      <c r="E1699" s="15">
        <v>0.1033</v>
      </c>
      <c r="F1699" s="15">
        <v>9.4600000000000004E-2</v>
      </c>
      <c r="G1699" s="15">
        <v>0.27450000000000002</v>
      </c>
      <c r="H1699" s="15">
        <v>0.1552</v>
      </c>
      <c r="I1699" s="15">
        <v>4.4999999999999998E-2</v>
      </c>
      <c r="J1699" s="15">
        <v>3.4488888888888889</v>
      </c>
    </row>
    <row r="1700" spans="1:10" x14ac:dyDescent="0.25">
      <c r="A1700" s="2" t="s">
        <v>5096</v>
      </c>
      <c r="B1700" s="2" t="s">
        <v>5097</v>
      </c>
      <c r="C1700" s="2" t="s">
        <v>5098</v>
      </c>
      <c r="D1700" s="2" t="s">
        <v>10049</v>
      </c>
      <c r="E1700" s="15">
        <v>-0.10639999999999999</v>
      </c>
      <c r="F1700" s="15">
        <v>7.5899999999999995E-2</v>
      </c>
      <c r="G1700" s="15">
        <v>0.16070000000000001</v>
      </c>
      <c r="H1700" s="15">
        <v>0.23350000000000001</v>
      </c>
      <c r="I1700" s="15">
        <v>4.7899999999999998E-2</v>
      </c>
      <c r="J1700" s="15">
        <v>4.8747390396659709</v>
      </c>
    </row>
    <row r="1701" spans="1:10" x14ac:dyDescent="0.25">
      <c r="A1701" s="2" t="s">
        <v>5099</v>
      </c>
      <c r="B1701" s="2" t="s">
        <v>5100</v>
      </c>
      <c r="C1701" s="2" t="s">
        <v>5101</v>
      </c>
      <c r="D1701" s="2" t="s">
        <v>10049</v>
      </c>
      <c r="E1701" s="15">
        <v>-5.7000000000000002E-3</v>
      </c>
      <c r="F1701" s="15">
        <v>7.0800000000000002E-2</v>
      </c>
      <c r="G1701" s="15">
        <v>0.93579999999999997</v>
      </c>
      <c r="H1701" s="15">
        <v>0.2462</v>
      </c>
      <c r="I1701" s="15">
        <v>4.65E-2</v>
      </c>
      <c r="J1701" s="15">
        <v>5.2946236559139788</v>
      </c>
    </row>
    <row r="1702" spans="1:10" x14ac:dyDescent="0.25">
      <c r="A1702" s="2" t="s">
        <v>5102</v>
      </c>
      <c r="B1702" s="2" t="s">
        <v>5103</v>
      </c>
      <c r="C1702" s="2" t="s">
        <v>5104</v>
      </c>
      <c r="D1702" s="2" t="s">
        <v>10049</v>
      </c>
      <c r="E1702" s="15">
        <v>-3.8999999999999998E-3</v>
      </c>
      <c r="F1702" s="15">
        <v>6.4000000000000001E-2</v>
      </c>
      <c r="G1702" s="15">
        <v>0.95099999999999996</v>
      </c>
      <c r="H1702" s="15">
        <v>0.27139999999999997</v>
      </c>
      <c r="I1702" s="15">
        <v>4.6699999999999998E-2</v>
      </c>
      <c r="J1702" s="15">
        <v>5.8115631691648817</v>
      </c>
    </row>
    <row r="1703" spans="1:10" x14ac:dyDescent="0.25">
      <c r="A1703" s="2" t="s">
        <v>5105</v>
      </c>
      <c r="B1703" s="2" t="s">
        <v>5106</v>
      </c>
      <c r="C1703" s="2" t="s">
        <v>5107</v>
      </c>
      <c r="D1703" s="2" t="s">
        <v>10049</v>
      </c>
      <c r="E1703" s="15">
        <v>1.2500000000000001E-2</v>
      </c>
      <c r="F1703" s="15">
        <v>6.4600000000000005E-2</v>
      </c>
      <c r="G1703" s="15">
        <v>0.84619999999999995</v>
      </c>
      <c r="H1703" s="15">
        <v>0.27950000000000003</v>
      </c>
      <c r="I1703" s="15">
        <v>5.2499999999999998E-2</v>
      </c>
      <c r="J1703" s="15">
        <v>5.3238095238095244</v>
      </c>
    </row>
    <row r="1704" spans="1:10" x14ac:dyDescent="0.25">
      <c r="A1704" s="2" t="s">
        <v>5108</v>
      </c>
      <c r="B1704" s="2" t="s">
        <v>5109</v>
      </c>
      <c r="C1704" s="2" t="s">
        <v>5110</v>
      </c>
      <c r="D1704" s="2" t="s">
        <v>10049</v>
      </c>
      <c r="E1704" s="15">
        <v>-0.14510000000000001</v>
      </c>
      <c r="F1704" s="15">
        <v>8.2799999999999999E-2</v>
      </c>
      <c r="G1704" s="15">
        <v>7.9699999999999993E-2</v>
      </c>
      <c r="H1704" s="15">
        <v>0.21609999999999999</v>
      </c>
      <c r="I1704" s="15">
        <v>5.0799999999999998E-2</v>
      </c>
      <c r="J1704" s="15">
        <v>4.2539370078740157</v>
      </c>
    </row>
    <row r="1705" spans="1:10" x14ac:dyDescent="0.25">
      <c r="A1705" s="2" t="s">
        <v>5111</v>
      </c>
      <c r="B1705" s="2" t="s">
        <v>5112</v>
      </c>
      <c r="C1705" s="2" t="s">
        <v>5113</v>
      </c>
      <c r="D1705" s="2" t="s">
        <v>10049</v>
      </c>
      <c r="E1705" s="15">
        <v>1.6899999999999998E-2</v>
      </c>
      <c r="F1705" s="15">
        <v>8.8800000000000004E-2</v>
      </c>
      <c r="G1705" s="15">
        <v>0.84930000000000005</v>
      </c>
      <c r="H1705" s="15">
        <v>0.1938</v>
      </c>
      <c r="I1705" s="15">
        <v>5.5100000000000003E-2</v>
      </c>
      <c r="J1705" s="15">
        <v>3.5172413793103452</v>
      </c>
    </row>
    <row r="1706" spans="1:10" x14ac:dyDescent="0.25">
      <c r="A1706" s="2" t="s">
        <v>5114</v>
      </c>
      <c r="B1706" s="2" t="s">
        <v>5115</v>
      </c>
      <c r="C1706" s="2" t="s">
        <v>5116</v>
      </c>
      <c r="D1706" s="2" t="s">
        <v>10049</v>
      </c>
      <c r="E1706" s="15">
        <v>-2.4799999999999999E-2</v>
      </c>
      <c r="F1706" s="15">
        <v>9.2100000000000001E-2</v>
      </c>
      <c r="G1706" s="15">
        <v>0.78759999999999997</v>
      </c>
      <c r="H1706" s="15">
        <v>0.16550000000000001</v>
      </c>
      <c r="I1706" s="15">
        <v>4.87E-2</v>
      </c>
      <c r="J1706" s="15">
        <v>3.3983572895277212</v>
      </c>
    </row>
    <row r="1707" spans="1:10" x14ac:dyDescent="0.25">
      <c r="A1707" s="2" t="s">
        <v>5117</v>
      </c>
      <c r="B1707" s="2" t="s">
        <v>5118</v>
      </c>
      <c r="C1707" s="2" t="s">
        <v>5119</v>
      </c>
      <c r="D1707" s="2" t="s">
        <v>10049</v>
      </c>
      <c r="E1707" s="15">
        <v>-1.03E-2</v>
      </c>
      <c r="F1707" s="15">
        <v>7.4099999999999999E-2</v>
      </c>
      <c r="G1707" s="15">
        <v>0.88980000000000004</v>
      </c>
      <c r="H1707" s="15">
        <v>0.2175</v>
      </c>
      <c r="I1707" s="15">
        <v>4.4299999999999999E-2</v>
      </c>
      <c r="J1707" s="15">
        <v>4.9097065462753946</v>
      </c>
    </row>
    <row r="1708" spans="1:10" x14ac:dyDescent="0.25">
      <c r="A1708" s="2" t="s">
        <v>5120</v>
      </c>
      <c r="B1708" s="2" t="s">
        <v>5121</v>
      </c>
      <c r="C1708" s="2" t="s">
        <v>5122</v>
      </c>
      <c r="D1708" s="2" t="s">
        <v>10049</v>
      </c>
      <c r="E1708" s="15">
        <v>4.4699999999999997E-2</v>
      </c>
      <c r="F1708" s="15">
        <v>0.1124</v>
      </c>
      <c r="G1708" s="15">
        <v>0.69089999999999996</v>
      </c>
      <c r="H1708" s="15">
        <v>8.9700000000000002E-2</v>
      </c>
      <c r="I1708" s="15">
        <v>3.9300000000000002E-2</v>
      </c>
      <c r="J1708" s="15">
        <v>2.282442748091603</v>
      </c>
    </row>
    <row r="1709" spans="1:10" x14ac:dyDescent="0.25">
      <c r="A1709" s="2" t="s">
        <v>5123</v>
      </c>
      <c r="B1709" s="2" t="s">
        <v>5124</v>
      </c>
      <c r="C1709" s="2" t="s">
        <v>5125</v>
      </c>
      <c r="D1709" s="2" t="s">
        <v>10049</v>
      </c>
      <c r="E1709" s="15">
        <v>2.87E-2</v>
      </c>
      <c r="F1709" s="15">
        <v>9.4600000000000004E-2</v>
      </c>
      <c r="G1709" s="15">
        <v>0.76170000000000004</v>
      </c>
      <c r="H1709" s="15">
        <v>0.1071</v>
      </c>
      <c r="I1709" s="15">
        <v>3.9E-2</v>
      </c>
      <c r="J1709" s="15">
        <v>2.7461538461538462</v>
      </c>
    </row>
    <row r="1710" spans="1:10" x14ac:dyDescent="0.25">
      <c r="A1710" s="2" t="s">
        <v>5126</v>
      </c>
      <c r="B1710" s="2" t="s">
        <v>5127</v>
      </c>
      <c r="C1710" s="2" t="s">
        <v>5128</v>
      </c>
      <c r="D1710" s="2" t="s">
        <v>10049</v>
      </c>
      <c r="E1710" s="15">
        <v>-9.11E-2</v>
      </c>
      <c r="F1710" s="15">
        <v>8.5000000000000006E-2</v>
      </c>
      <c r="G1710" s="15">
        <v>0.28360000000000002</v>
      </c>
      <c r="H1710" s="15">
        <v>0.19600000000000001</v>
      </c>
      <c r="I1710" s="15">
        <v>4.5600000000000002E-2</v>
      </c>
      <c r="J1710" s="15">
        <v>4.2982456140350873</v>
      </c>
    </row>
    <row r="1711" spans="1:10" x14ac:dyDescent="0.25">
      <c r="A1711" s="2" t="s">
        <v>5129</v>
      </c>
      <c r="B1711" s="2" t="s">
        <v>5130</v>
      </c>
      <c r="C1711" s="2" t="s">
        <v>5131</v>
      </c>
      <c r="D1711" s="2" t="s">
        <v>10049</v>
      </c>
      <c r="E1711" s="15">
        <v>-0.15720000000000001</v>
      </c>
      <c r="F1711" s="15">
        <v>8.72E-2</v>
      </c>
      <c r="G1711" s="15">
        <v>7.1199999999999999E-2</v>
      </c>
      <c r="H1711" s="15">
        <v>0.1875</v>
      </c>
      <c r="I1711" s="15">
        <v>4.5600000000000002E-2</v>
      </c>
      <c r="J1711" s="15">
        <v>4.1118421052631584</v>
      </c>
    </row>
    <row r="1712" spans="1:10" x14ac:dyDescent="0.25">
      <c r="A1712" s="2" t="s">
        <v>5132</v>
      </c>
      <c r="B1712" s="2" t="s">
        <v>5133</v>
      </c>
      <c r="C1712" s="2" t="s">
        <v>5134</v>
      </c>
      <c r="D1712" s="2" t="s">
        <v>10049</v>
      </c>
      <c r="E1712" s="15">
        <v>-8.5599999999999996E-2</v>
      </c>
      <c r="F1712" s="15">
        <v>5.8599999999999999E-2</v>
      </c>
      <c r="G1712" s="15">
        <v>0.14410000000000001</v>
      </c>
      <c r="H1712" s="15">
        <v>0.37590000000000001</v>
      </c>
      <c r="I1712" s="15">
        <v>5.4100000000000002E-2</v>
      </c>
      <c r="J1712" s="15">
        <v>6.9482439926062849</v>
      </c>
    </row>
    <row r="1713" spans="1:10" x14ac:dyDescent="0.25">
      <c r="A1713" s="2" t="s">
        <v>5135</v>
      </c>
      <c r="B1713" s="2" t="s">
        <v>5136</v>
      </c>
      <c r="C1713" s="2" t="s">
        <v>5137</v>
      </c>
      <c r="D1713" s="2" t="s">
        <v>10049</v>
      </c>
      <c r="E1713" s="15">
        <v>-0.11020000000000001</v>
      </c>
      <c r="F1713" s="15">
        <v>5.7500000000000002E-2</v>
      </c>
      <c r="G1713" s="15">
        <v>5.5300000000000002E-2</v>
      </c>
      <c r="H1713" s="15">
        <v>0.36030000000000001</v>
      </c>
      <c r="I1713" s="15">
        <v>5.0700000000000002E-2</v>
      </c>
      <c r="J1713" s="15">
        <v>7.1065088757396451</v>
      </c>
    </row>
    <row r="1714" spans="1:10" x14ac:dyDescent="0.25">
      <c r="A1714" s="2" t="s">
        <v>5138</v>
      </c>
      <c r="B1714" s="2" t="s">
        <v>5139</v>
      </c>
      <c r="C1714" s="2" t="s">
        <v>5140</v>
      </c>
      <c r="D1714" s="2" t="s">
        <v>10049</v>
      </c>
      <c r="E1714" s="15">
        <v>-0.1694</v>
      </c>
      <c r="F1714" s="15">
        <v>8.8900000000000007E-2</v>
      </c>
      <c r="G1714" s="15">
        <v>5.6800000000000003E-2</v>
      </c>
      <c r="H1714" s="15">
        <v>0.1482</v>
      </c>
      <c r="I1714" s="15">
        <v>4.7600000000000003E-2</v>
      </c>
      <c r="J1714" s="15">
        <v>3.1134453781512601</v>
      </c>
    </row>
    <row r="1715" spans="1:10" x14ac:dyDescent="0.25">
      <c r="A1715" s="2" t="s">
        <v>5141</v>
      </c>
      <c r="B1715" s="2" t="s">
        <v>5142</v>
      </c>
      <c r="C1715" s="2" t="s">
        <v>5143</v>
      </c>
      <c r="D1715" s="2" t="s">
        <v>10049</v>
      </c>
      <c r="E1715" s="15">
        <v>-9.0899999999999995E-2</v>
      </c>
      <c r="F1715" s="15">
        <v>7.1199999999999999E-2</v>
      </c>
      <c r="G1715" s="15">
        <v>0.20150000000000001</v>
      </c>
      <c r="H1715" s="15">
        <v>0.21410000000000001</v>
      </c>
      <c r="I1715" s="15">
        <v>4.2299999999999997E-2</v>
      </c>
      <c r="J1715" s="15">
        <v>5.0614657210401894</v>
      </c>
    </row>
    <row r="1716" spans="1:10" x14ac:dyDescent="0.25">
      <c r="A1716" s="2" t="s">
        <v>5144</v>
      </c>
      <c r="B1716" s="2" t="s">
        <v>5145</v>
      </c>
      <c r="C1716" s="2" t="s">
        <v>5146</v>
      </c>
      <c r="D1716" s="2" t="s">
        <v>10049</v>
      </c>
      <c r="E1716" s="15">
        <v>-9.2499999999999999E-2</v>
      </c>
      <c r="F1716" s="15">
        <v>8.2799999999999999E-2</v>
      </c>
      <c r="G1716" s="15">
        <v>0.26400000000000001</v>
      </c>
      <c r="H1716" s="15">
        <v>0.20200000000000001</v>
      </c>
      <c r="I1716" s="15">
        <v>4.9599999999999998E-2</v>
      </c>
      <c r="J1716" s="15">
        <v>4.0725806451612909</v>
      </c>
    </row>
    <row r="1717" spans="1:10" x14ac:dyDescent="0.25">
      <c r="A1717" s="2" t="s">
        <v>5147</v>
      </c>
      <c r="B1717" s="2" t="s">
        <v>5148</v>
      </c>
      <c r="C1717" s="2" t="s">
        <v>5149</v>
      </c>
      <c r="D1717" s="2" t="s">
        <v>10049</v>
      </c>
      <c r="E1717" s="15">
        <v>-0.1041</v>
      </c>
      <c r="F1717" s="15">
        <v>8.5199999999999998E-2</v>
      </c>
      <c r="G1717" s="15">
        <v>0.22189999999999999</v>
      </c>
      <c r="H1717" s="15">
        <v>0.19350000000000001</v>
      </c>
      <c r="I1717" s="15">
        <v>5.2400000000000002E-2</v>
      </c>
      <c r="J1717" s="15">
        <v>3.692748091603054</v>
      </c>
    </row>
    <row r="1718" spans="1:10" x14ac:dyDescent="0.25">
      <c r="A1718" s="2" t="s">
        <v>5150</v>
      </c>
      <c r="B1718" s="2" t="s">
        <v>5151</v>
      </c>
      <c r="C1718" s="2" t="s">
        <v>5152</v>
      </c>
      <c r="D1718" s="2" t="s">
        <v>10049</v>
      </c>
      <c r="E1718" s="15">
        <v>-0.1346</v>
      </c>
      <c r="F1718" s="15">
        <v>7.0400000000000004E-2</v>
      </c>
      <c r="G1718" s="15">
        <v>5.6099999999999997E-2</v>
      </c>
      <c r="H1718" s="15">
        <v>0.24879999999999999</v>
      </c>
      <c r="I1718" s="15">
        <v>4.7800000000000002E-2</v>
      </c>
      <c r="J1718" s="15">
        <v>5.2050209205020916</v>
      </c>
    </row>
    <row r="1719" spans="1:10" x14ac:dyDescent="0.25">
      <c r="A1719" s="2" t="s">
        <v>5153</v>
      </c>
      <c r="B1719" s="2" t="s">
        <v>5154</v>
      </c>
      <c r="C1719" s="2" t="s">
        <v>5155</v>
      </c>
      <c r="D1719" s="2" t="s">
        <v>10049</v>
      </c>
      <c r="E1719" s="15">
        <v>-0.10299999999999999</v>
      </c>
      <c r="F1719" s="15">
        <v>7.2499999999999995E-2</v>
      </c>
      <c r="G1719" s="15">
        <v>0.1555</v>
      </c>
      <c r="H1719" s="15">
        <v>0.24940000000000001</v>
      </c>
      <c r="I1719" s="15">
        <v>4.9299999999999997E-2</v>
      </c>
      <c r="J1719" s="15">
        <v>5.0588235294117654</v>
      </c>
    </row>
    <row r="1720" spans="1:10" x14ac:dyDescent="0.25">
      <c r="A1720" s="2" t="s">
        <v>5156</v>
      </c>
      <c r="B1720" s="2" t="s">
        <v>5157</v>
      </c>
      <c r="C1720" s="2" t="s">
        <v>5158</v>
      </c>
      <c r="D1720" s="2" t="s">
        <v>10049</v>
      </c>
      <c r="E1720" s="15">
        <v>-0.1971</v>
      </c>
      <c r="F1720" s="15">
        <v>7.9399999999999998E-2</v>
      </c>
      <c r="G1720" s="15">
        <v>1.3100000000000001E-2</v>
      </c>
      <c r="H1720" s="15">
        <v>0.22470000000000001</v>
      </c>
      <c r="I1720" s="15">
        <v>5.21E-2</v>
      </c>
      <c r="J1720" s="15">
        <v>4.3128598848368522</v>
      </c>
    </row>
    <row r="1721" spans="1:10" x14ac:dyDescent="0.25">
      <c r="A1721" s="2" t="s">
        <v>5159</v>
      </c>
      <c r="B1721" s="2" t="s">
        <v>5160</v>
      </c>
      <c r="C1721" s="2" t="s">
        <v>5161</v>
      </c>
      <c r="D1721" s="2" t="s">
        <v>10049</v>
      </c>
      <c r="E1721" s="15">
        <v>-0.1739</v>
      </c>
      <c r="F1721" s="15">
        <v>8.8400000000000006E-2</v>
      </c>
      <c r="G1721" s="15">
        <v>4.9200000000000001E-2</v>
      </c>
      <c r="H1721" s="15">
        <v>0.21290000000000001</v>
      </c>
      <c r="I1721" s="15">
        <v>5.2699999999999997E-2</v>
      </c>
      <c r="J1721" s="15">
        <v>4.0398481973434537</v>
      </c>
    </row>
    <row r="1722" spans="1:10" x14ac:dyDescent="0.25">
      <c r="A1722" s="2" t="s">
        <v>5162</v>
      </c>
      <c r="B1722" s="2" t="s">
        <v>5163</v>
      </c>
      <c r="C1722" s="2" t="s">
        <v>5164</v>
      </c>
      <c r="D1722" s="2" t="s">
        <v>10049</v>
      </c>
      <c r="E1722" s="15">
        <v>1.9900000000000001E-2</v>
      </c>
      <c r="F1722" s="15">
        <v>7.0599999999999996E-2</v>
      </c>
      <c r="G1722" s="15">
        <v>0.77849999999999997</v>
      </c>
      <c r="H1722" s="15">
        <v>0.2828</v>
      </c>
      <c r="I1722" s="15">
        <v>4.8500000000000001E-2</v>
      </c>
      <c r="J1722" s="15">
        <v>5.8309278350515461</v>
      </c>
    </row>
    <row r="1723" spans="1:10" x14ac:dyDescent="0.25">
      <c r="A1723" s="2" t="s">
        <v>5165</v>
      </c>
      <c r="B1723" s="2" t="s">
        <v>5166</v>
      </c>
      <c r="C1723" s="2" t="s">
        <v>5167</v>
      </c>
      <c r="D1723" s="2" t="s">
        <v>10049</v>
      </c>
      <c r="E1723" s="15">
        <v>6.7000000000000004E-2</v>
      </c>
      <c r="F1723" s="15">
        <v>7.4700000000000003E-2</v>
      </c>
      <c r="G1723" s="15">
        <v>0.36919999999999997</v>
      </c>
      <c r="H1723" s="15">
        <v>0.25319999999999998</v>
      </c>
      <c r="I1723" s="15">
        <v>4.6100000000000002E-2</v>
      </c>
      <c r="J1723" s="15">
        <v>5.4924078091106283</v>
      </c>
    </row>
    <row r="1724" spans="1:10" x14ac:dyDescent="0.25">
      <c r="A1724" s="2" t="s">
        <v>5168</v>
      </c>
      <c r="B1724" s="2" t="s">
        <v>5169</v>
      </c>
      <c r="C1724" s="2" t="s">
        <v>5170</v>
      </c>
      <c r="D1724" s="2" t="s">
        <v>10049</v>
      </c>
      <c r="E1724" s="15">
        <v>-8.4599999999999995E-2</v>
      </c>
      <c r="F1724" s="15">
        <v>7.7899999999999997E-2</v>
      </c>
      <c r="G1724" s="15">
        <v>0.27710000000000001</v>
      </c>
      <c r="H1724" s="15">
        <v>0.2198</v>
      </c>
      <c r="I1724" s="15">
        <v>5.3400000000000003E-2</v>
      </c>
      <c r="J1724" s="15">
        <v>4.1161048689138573</v>
      </c>
    </row>
    <row r="1725" spans="1:10" x14ac:dyDescent="0.25">
      <c r="A1725" s="2" t="s">
        <v>5171</v>
      </c>
      <c r="B1725" s="2" t="s">
        <v>5172</v>
      </c>
      <c r="C1725" s="2" t="s">
        <v>5173</v>
      </c>
      <c r="D1725" s="2" t="s">
        <v>10049</v>
      </c>
      <c r="E1725" s="15">
        <v>-0.1195</v>
      </c>
      <c r="F1725" s="15">
        <v>7.8100000000000003E-2</v>
      </c>
      <c r="G1725" s="15">
        <v>0.1263</v>
      </c>
      <c r="H1725" s="15">
        <v>0.22220000000000001</v>
      </c>
      <c r="I1725" s="15">
        <v>5.6000000000000001E-2</v>
      </c>
      <c r="J1725" s="15">
        <v>3.967857142857143</v>
      </c>
    </row>
    <row r="1726" spans="1:10" x14ac:dyDescent="0.25">
      <c r="A1726" s="2" t="s">
        <v>5174</v>
      </c>
      <c r="B1726" s="2" t="s">
        <v>5175</v>
      </c>
      <c r="C1726" s="2" t="s">
        <v>5176</v>
      </c>
      <c r="D1726" s="2" t="s">
        <v>10049</v>
      </c>
      <c r="E1726" s="15">
        <v>1.21E-2</v>
      </c>
      <c r="F1726" s="15">
        <v>7.6200000000000004E-2</v>
      </c>
      <c r="G1726" s="15">
        <v>0.87350000000000005</v>
      </c>
      <c r="H1726" s="15">
        <v>0.25659999999999999</v>
      </c>
      <c r="I1726" s="15">
        <v>4.9099999999999998E-2</v>
      </c>
      <c r="J1726" s="15">
        <v>5.2260692464358449</v>
      </c>
    </row>
    <row r="1727" spans="1:10" x14ac:dyDescent="0.25">
      <c r="A1727" s="2" t="s">
        <v>5177</v>
      </c>
      <c r="B1727" s="2" t="s">
        <v>5178</v>
      </c>
      <c r="C1727" s="2" t="s">
        <v>5179</v>
      </c>
      <c r="D1727" s="2" t="s">
        <v>10049</v>
      </c>
      <c r="E1727" s="15">
        <v>-7.0800000000000002E-2</v>
      </c>
      <c r="F1727" s="15">
        <v>7.3700000000000002E-2</v>
      </c>
      <c r="G1727" s="15">
        <v>0.3372</v>
      </c>
      <c r="H1727" s="15">
        <v>0.23930000000000001</v>
      </c>
      <c r="I1727" s="15">
        <v>5.2900000000000003E-2</v>
      </c>
      <c r="J1727" s="15">
        <v>4.5236294896030236</v>
      </c>
    </row>
    <row r="1728" spans="1:10" x14ac:dyDescent="0.25">
      <c r="A1728" s="2" t="s">
        <v>5180</v>
      </c>
      <c r="B1728" s="2" t="s">
        <v>5181</v>
      </c>
      <c r="C1728" s="2" t="s">
        <v>5182</v>
      </c>
      <c r="D1728" s="2" t="s">
        <v>10049</v>
      </c>
      <c r="E1728" s="15">
        <v>-2.9700000000000001E-2</v>
      </c>
      <c r="F1728" s="15">
        <v>7.5700000000000003E-2</v>
      </c>
      <c r="G1728" s="15">
        <v>0.6946</v>
      </c>
      <c r="H1728" s="15">
        <v>0.22800000000000001</v>
      </c>
      <c r="I1728" s="15">
        <v>4.7199999999999999E-2</v>
      </c>
      <c r="J1728" s="15">
        <v>4.8305084745762716</v>
      </c>
    </row>
    <row r="1729" spans="1:10" x14ac:dyDescent="0.25">
      <c r="A1729" s="2" t="s">
        <v>5183</v>
      </c>
      <c r="B1729" s="2" t="s">
        <v>5184</v>
      </c>
      <c r="C1729" s="2" t="s">
        <v>5185</v>
      </c>
      <c r="D1729" s="2" t="s">
        <v>10049</v>
      </c>
      <c r="E1729" s="15">
        <v>-1.8200000000000001E-2</v>
      </c>
      <c r="F1729" s="15">
        <v>9.2899999999999996E-2</v>
      </c>
      <c r="G1729" s="15">
        <v>0.84450000000000003</v>
      </c>
      <c r="H1729" s="15">
        <v>0.17169999999999999</v>
      </c>
      <c r="I1729" s="15">
        <v>4.8899999999999999E-2</v>
      </c>
      <c r="J1729" s="15">
        <v>3.5112474437627812</v>
      </c>
    </row>
    <row r="1730" spans="1:10" x14ac:dyDescent="0.25">
      <c r="A1730" s="2" t="s">
        <v>5186</v>
      </c>
      <c r="B1730" s="2" t="s">
        <v>5187</v>
      </c>
      <c r="C1730" s="2" t="s">
        <v>5188</v>
      </c>
      <c r="D1730" s="2" t="s">
        <v>10049</v>
      </c>
      <c r="E1730" s="15">
        <v>-6.25E-2</v>
      </c>
      <c r="F1730" s="15">
        <v>7.2400000000000006E-2</v>
      </c>
      <c r="G1730" s="15">
        <v>0.38800000000000001</v>
      </c>
      <c r="H1730" s="15">
        <v>0.22639999999999999</v>
      </c>
      <c r="I1730" s="15">
        <v>5.1400000000000001E-2</v>
      </c>
      <c r="J1730" s="15">
        <v>4.4046692607003894</v>
      </c>
    </row>
    <row r="1731" spans="1:10" x14ac:dyDescent="0.25">
      <c r="A1731" s="2" t="s">
        <v>5189</v>
      </c>
      <c r="B1731" s="2" t="s">
        <v>5190</v>
      </c>
      <c r="C1731" s="2" t="s">
        <v>5191</v>
      </c>
      <c r="D1731" s="2" t="s">
        <v>10049</v>
      </c>
      <c r="E1731" s="15">
        <v>-9.4999999999999998E-3</v>
      </c>
      <c r="F1731" s="15">
        <v>0.1024</v>
      </c>
      <c r="G1731" s="15">
        <v>0.92600000000000005</v>
      </c>
      <c r="H1731" s="15">
        <v>0.13</v>
      </c>
      <c r="I1731" s="15">
        <v>5.11E-2</v>
      </c>
      <c r="J1731" s="15">
        <v>2.5440313111545989</v>
      </c>
    </row>
    <row r="1732" spans="1:10" x14ac:dyDescent="0.25">
      <c r="A1732" s="2" t="s">
        <v>5192</v>
      </c>
      <c r="B1732" s="2" t="s">
        <v>5193</v>
      </c>
      <c r="C1732" s="2" t="s">
        <v>5194</v>
      </c>
      <c r="D1732" s="2" t="s">
        <v>10049</v>
      </c>
      <c r="E1732" s="15">
        <v>-5.7000000000000002E-2</v>
      </c>
      <c r="F1732" s="15">
        <v>7.4200000000000002E-2</v>
      </c>
      <c r="G1732" s="15">
        <v>0.44190000000000002</v>
      </c>
      <c r="H1732" s="15">
        <v>0.23980000000000001</v>
      </c>
      <c r="I1732" s="15">
        <v>5.1900000000000002E-2</v>
      </c>
      <c r="J1732" s="15">
        <v>4.6204238921001934</v>
      </c>
    </row>
    <row r="1733" spans="1:10" x14ac:dyDescent="0.25">
      <c r="A1733" s="2" t="s">
        <v>5195</v>
      </c>
      <c r="B1733" s="2" t="s">
        <v>5196</v>
      </c>
      <c r="C1733" s="2" t="s">
        <v>5197</v>
      </c>
      <c r="D1733" s="2" t="s">
        <v>10049</v>
      </c>
      <c r="E1733" s="15">
        <v>-0.1087</v>
      </c>
      <c r="F1733" s="15">
        <v>9.0999999999999998E-2</v>
      </c>
      <c r="G1733" s="15">
        <v>0.23219999999999999</v>
      </c>
      <c r="H1733" s="15">
        <v>0.20649999999999999</v>
      </c>
      <c r="I1733" s="15">
        <v>5.5800000000000002E-2</v>
      </c>
      <c r="J1733" s="15">
        <v>3.7007168458781359</v>
      </c>
    </row>
    <row r="1734" spans="1:10" x14ac:dyDescent="0.25">
      <c r="A1734" s="2" t="s">
        <v>5198</v>
      </c>
      <c r="B1734" s="2" t="s">
        <v>5199</v>
      </c>
      <c r="C1734" s="2" t="s">
        <v>5200</v>
      </c>
      <c r="D1734" s="2" t="s">
        <v>10049</v>
      </c>
      <c r="E1734" s="15">
        <v>-9.7299999999999998E-2</v>
      </c>
      <c r="F1734" s="15">
        <v>6.0900000000000003E-2</v>
      </c>
      <c r="G1734" s="15">
        <v>0.1101</v>
      </c>
      <c r="H1734" s="15">
        <v>0.36020000000000002</v>
      </c>
      <c r="I1734" s="15">
        <v>5.2200000000000003E-2</v>
      </c>
      <c r="J1734" s="15">
        <v>6.9003831417624522</v>
      </c>
    </row>
    <row r="1735" spans="1:10" x14ac:dyDescent="0.25">
      <c r="A1735" s="2" t="s">
        <v>5201</v>
      </c>
      <c r="B1735" s="2" t="s">
        <v>5202</v>
      </c>
      <c r="C1735" s="2" t="s">
        <v>5203</v>
      </c>
      <c r="D1735" s="2" t="s">
        <v>10049</v>
      </c>
      <c r="E1735" s="15">
        <v>-0.10920000000000001</v>
      </c>
      <c r="F1735" s="15">
        <v>5.7700000000000001E-2</v>
      </c>
      <c r="G1735" s="15">
        <v>5.8400000000000001E-2</v>
      </c>
      <c r="H1735" s="15">
        <v>0.35270000000000001</v>
      </c>
      <c r="I1735" s="15">
        <v>5.2200000000000003E-2</v>
      </c>
      <c r="J1735" s="15">
        <v>6.7567049808429118</v>
      </c>
    </row>
    <row r="1736" spans="1:10" x14ac:dyDescent="0.25">
      <c r="A1736" s="2" t="s">
        <v>5204</v>
      </c>
      <c r="B1736" s="2" t="s">
        <v>5205</v>
      </c>
      <c r="C1736" s="2" t="s">
        <v>5206</v>
      </c>
      <c r="D1736" s="2" t="s">
        <v>10049</v>
      </c>
      <c r="E1736" s="15">
        <v>-0.22109999999999999</v>
      </c>
      <c r="F1736" s="15">
        <v>7.0999999999999994E-2</v>
      </c>
      <c r="G1736" s="15">
        <v>1.8E-3</v>
      </c>
      <c r="H1736" s="15">
        <v>0.2414</v>
      </c>
      <c r="I1736" s="15">
        <v>4.7399999999999998E-2</v>
      </c>
      <c r="J1736" s="15">
        <v>5.0928270042194086</v>
      </c>
    </row>
    <row r="1737" spans="1:10" x14ac:dyDescent="0.25">
      <c r="A1737" s="2" t="s">
        <v>5207</v>
      </c>
      <c r="B1737" s="2" t="s">
        <v>5208</v>
      </c>
      <c r="C1737" s="2" t="s">
        <v>5209</v>
      </c>
      <c r="D1737" s="2" t="s">
        <v>10049</v>
      </c>
      <c r="E1737" s="15">
        <v>-0.26290000000000002</v>
      </c>
      <c r="F1737" s="15">
        <v>8.9899999999999994E-2</v>
      </c>
      <c r="G1737" s="15">
        <v>3.5000000000000001E-3</v>
      </c>
      <c r="H1737" s="15">
        <v>0.1968</v>
      </c>
      <c r="I1737" s="15">
        <v>4.6199999999999998E-2</v>
      </c>
      <c r="J1737" s="15">
        <v>4.2597402597402603</v>
      </c>
    </row>
    <row r="1738" spans="1:10" x14ac:dyDescent="0.25">
      <c r="A1738" s="2" t="s">
        <v>5210</v>
      </c>
      <c r="B1738" s="2" t="s">
        <v>5211</v>
      </c>
      <c r="C1738" s="2" t="s">
        <v>5212</v>
      </c>
      <c r="D1738" s="2" t="s">
        <v>10049</v>
      </c>
      <c r="E1738" s="15">
        <v>2.7199999999999998E-2</v>
      </c>
      <c r="F1738" s="15">
        <v>8.9399999999999993E-2</v>
      </c>
      <c r="G1738" s="15">
        <v>0.76070000000000004</v>
      </c>
      <c r="H1738" s="15">
        <v>0.1449</v>
      </c>
      <c r="I1738" s="15">
        <v>4.4999999999999998E-2</v>
      </c>
      <c r="J1738" s="15">
        <v>3.22</v>
      </c>
    </row>
    <row r="1739" spans="1:10" x14ac:dyDescent="0.25">
      <c r="A1739" s="2" t="s">
        <v>5213</v>
      </c>
      <c r="B1739" s="2" t="s">
        <v>5214</v>
      </c>
      <c r="C1739" s="2" t="s">
        <v>5215</v>
      </c>
      <c r="D1739" s="2" t="s">
        <v>10049</v>
      </c>
      <c r="E1739" s="15">
        <v>0.1472</v>
      </c>
      <c r="F1739" s="15">
        <v>9.6100000000000005E-2</v>
      </c>
      <c r="G1739" s="15">
        <v>0.12529999999999999</v>
      </c>
      <c r="H1739" s="15">
        <v>0.13189999999999999</v>
      </c>
      <c r="I1739" s="15">
        <v>4.7899999999999998E-2</v>
      </c>
      <c r="J1739" s="15">
        <v>2.7536534446764089</v>
      </c>
    </row>
    <row r="1740" spans="1:10" x14ac:dyDescent="0.25">
      <c r="A1740" s="2" t="s">
        <v>5216</v>
      </c>
      <c r="B1740" s="2" t="s">
        <v>5217</v>
      </c>
      <c r="C1740" s="2" t="s">
        <v>5218</v>
      </c>
      <c r="D1740" s="2" t="s">
        <v>10049</v>
      </c>
      <c r="E1740" s="15">
        <v>-0.14430000000000001</v>
      </c>
      <c r="F1740" s="15">
        <v>6.4399999999999999E-2</v>
      </c>
      <c r="G1740" s="15">
        <v>2.52E-2</v>
      </c>
      <c r="H1740" s="15">
        <v>0.2918</v>
      </c>
      <c r="I1740" s="15">
        <v>5.1799999999999999E-2</v>
      </c>
      <c r="J1740" s="15">
        <v>5.6332046332046337</v>
      </c>
    </row>
    <row r="1741" spans="1:10" x14ac:dyDescent="0.25">
      <c r="A1741" s="2" t="s">
        <v>5219</v>
      </c>
      <c r="B1741" s="2" t="s">
        <v>5220</v>
      </c>
      <c r="C1741" s="2" t="s">
        <v>5221</v>
      </c>
      <c r="D1741" s="2" t="s">
        <v>10049</v>
      </c>
      <c r="E1741" s="15">
        <v>-0.12509999999999999</v>
      </c>
      <c r="F1741" s="15">
        <v>6.3E-2</v>
      </c>
      <c r="G1741" s="15">
        <v>4.7100000000000003E-2</v>
      </c>
      <c r="H1741" s="15">
        <v>0.31509999999999999</v>
      </c>
      <c r="I1741" s="15">
        <v>5.1999999999999998E-2</v>
      </c>
      <c r="J1741" s="15">
        <v>6.0596153846153848</v>
      </c>
    </row>
    <row r="1742" spans="1:10" x14ac:dyDescent="0.25">
      <c r="A1742" s="2" t="s">
        <v>5222</v>
      </c>
      <c r="B1742" s="2" t="s">
        <v>5223</v>
      </c>
      <c r="C1742" s="2" t="s">
        <v>5224</v>
      </c>
      <c r="D1742" s="2" t="s">
        <v>10049</v>
      </c>
      <c r="E1742" s="15">
        <v>9.8199999999999996E-2</v>
      </c>
      <c r="F1742" s="15">
        <v>9.64E-2</v>
      </c>
      <c r="G1742" s="15">
        <v>0.30790000000000001</v>
      </c>
      <c r="H1742" s="15">
        <v>0.17030000000000001</v>
      </c>
      <c r="I1742" s="15">
        <v>5.3499999999999999E-2</v>
      </c>
      <c r="J1742" s="15">
        <v>3.1831775700934579</v>
      </c>
    </row>
    <row r="1743" spans="1:10" x14ac:dyDescent="0.25">
      <c r="A1743" s="2" t="s">
        <v>5225</v>
      </c>
      <c r="B1743" s="2" t="s">
        <v>5226</v>
      </c>
      <c r="C1743" s="2" t="s">
        <v>5227</v>
      </c>
      <c r="D1743" s="2" t="s">
        <v>10049</v>
      </c>
      <c r="E1743" s="15">
        <v>0.1542</v>
      </c>
      <c r="F1743" s="15">
        <v>0.1099</v>
      </c>
      <c r="G1743" s="15">
        <v>0.16070000000000001</v>
      </c>
      <c r="H1743" s="15">
        <v>0.13730000000000001</v>
      </c>
      <c r="I1743" s="15">
        <v>4.7899999999999998E-2</v>
      </c>
      <c r="J1743" s="15">
        <v>2.8663883089770361</v>
      </c>
    </row>
    <row r="1744" spans="1:10" x14ac:dyDescent="0.25">
      <c r="A1744" s="2" t="s">
        <v>5228</v>
      </c>
      <c r="B1744" s="2" t="s">
        <v>5229</v>
      </c>
      <c r="C1744" s="2" t="s">
        <v>5230</v>
      </c>
      <c r="D1744" s="2" t="s">
        <v>10049</v>
      </c>
      <c r="E1744" s="15">
        <v>-0.23269999999999999</v>
      </c>
      <c r="F1744" s="15">
        <v>8.5599999999999996E-2</v>
      </c>
      <c r="G1744" s="15">
        <v>6.6E-3</v>
      </c>
      <c r="H1744" s="15">
        <v>0.24970000000000001</v>
      </c>
      <c r="I1744" s="15">
        <v>5.62E-2</v>
      </c>
      <c r="J1744" s="15">
        <v>4.4430604982206408</v>
      </c>
    </row>
    <row r="1745" spans="1:10" x14ac:dyDescent="0.25">
      <c r="A1745" s="2" t="s">
        <v>5231</v>
      </c>
      <c r="B1745" s="2" t="s">
        <v>5232</v>
      </c>
      <c r="C1745" s="2" t="s">
        <v>5233</v>
      </c>
      <c r="D1745" s="2" t="s">
        <v>10049</v>
      </c>
      <c r="E1745" s="15">
        <v>-0.14180000000000001</v>
      </c>
      <c r="F1745" s="15">
        <v>7.5300000000000006E-2</v>
      </c>
      <c r="G1745" s="15">
        <v>5.96E-2</v>
      </c>
      <c r="H1745" s="15">
        <v>0.27850000000000003</v>
      </c>
      <c r="I1745" s="15">
        <v>5.4699999999999999E-2</v>
      </c>
      <c r="J1745" s="15">
        <v>5.0914076782449733</v>
      </c>
    </row>
    <row r="1746" spans="1:10" x14ac:dyDescent="0.25">
      <c r="A1746" s="2" t="s">
        <v>5234</v>
      </c>
      <c r="B1746" s="2" t="s">
        <v>5235</v>
      </c>
      <c r="C1746" s="2" t="s">
        <v>5236</v>
      </c>
      <c r="D1746" s="2" t="s">
        <v>10049</v>
      </c>
      <c r="E1746" s="15">
        <v>-8.5199999999999998E-2</v>
      </c>
      <c r="F1746" s="15">
        <v>7.2499999999999995E-2</v>
      </c>
      <c r="G1746" s="15">
        <v>0.2399</v>
      </c>
      <c r="H1746" s="15">
        <v>0.2485</v>
      </c>
      <c r="I1746" s="15">
        <v>4.5100000000000001E-2</v>
      </c>
      <c r="J1746" s="15">
        <v>5.5099778270509976</v>
      </c>
    </row>
    <row r="1747" spans="1:10" x14ac:dyDescent="0.25">
      <c r="A1747" s="2" t="s">
        <v>5237</v>
      </c>
      <c r="B1747" s="2" t="s">
        <v>5238</v>
      </c>
      <c r="C1747" s="2" t="s">
        <v>5239</v>
      </c>
      <c r="D1747" s="2" t="s">
        <v>10049</v>
      </c>
      <c r="E1747" s="15">
        <v>-6.9999999999999999E-4</v>
      </c>
      <c r="F1747" s="15">
        <v>7.4899999999999994E-2</v>
      </c>
      <c r="G1747" s="15">
        <v>0.99260000000000004</v>
      </c>
      <c r="H1747" s="15">
        <v>0.22450000000000001</v>
      </c>
      <c r="I1747" s="15">
        <v>4.0500000000000001E-2</v>
      </c>
      <c r="J1747" s="15">
        <v>5.5432098765432096</v>
      </c>
    </row>
    <row r="1748" spans="1:10" x14ac:dyDescent="0.25">
      <c r="A1748" s="2" t="s">
        <v>5240</v>
      </c>
      <c r="B1748" s="2" t="s">
        <v>5241</v>
      </c>
      <c r="C1748" s="2" t="s">
        <v>5242</v>
      </c>
      <c r="D1748" s="2" t="s">
        <v>10049</v>
      </c>
      <c r="E1748" s="15">
        <v>-0.16470000000000001</v>
      </c>
      <c r="F1748" s="15">
        <v>8.7499999999999994E-2</v>
      </c>
      <c r="G1748" s="15">
        <v>5.9799999999999999E-2</v>
      </c>
      <c r="H1748" s="15">
        <v>0.1888</v>
      </c>
      <c r="I1748" s="15">
        <v>4.3799999999999999E-2</v>
      </c>
      <c r="J1748" s="15">
        <v>4.3105022831050226</v>
      </c>
    </row>
    <row r="1749" spans="1:10" x14ac:dyDescent="0.25">
      <c r="A1749" s="2" t="s">
        <v>5243</v>
      </c>
      <c r="B1749" s="2" t="s">
        <v>5244</v>
      </c>
      <c r="C1749" s="2" t="s">
        <v>5245</v>
      </c>
      <c r="D1749" s="2" t="s">
        <v>10049</v>
      </c>
      <c r="E1749" s="15">
        <v>1.8700000000000001E-2</v>
      </c>
      <c r="F1749" s="15">
        <v>7.3899999999999993E-2</v>
      </c>
      <c r="G1749" s="15">
        <v>0.79990000000000006</v>
      </c>
      <c r="H1749" s="15">
        <v>0.23139999999999999</v>
      </c>
      <c r="I1749" s="15">
        <v>4.8500000000000001E-2</v>
      </c>
      <c r="J1749" s="15">
        <v>4.7711340206185566</v>
      </c>
    </row>
    <row r="1750" spans="1:10" x14ac:dyDescent="0.25">
      <c r="A1750" s="2" t="s">
        <v>5246</v>
      </c>
      <c r="B1750" s="2" t="s">
        <v>5247</v>
      </c>
      <c r="C1750" s="2" t="s">
        <v>5248</v>
      </c>
      <c r="D1750" s="2" t="s">
        <v>10049</v>
      </c>
      <c r="E1750" s="15">
        <v>-1.23E-2</v>
      </c>
      <c r="F1750" s="15">
        <v>5.9700000000000003E-2</v>
      </c>
      <c r="G1750" s="15">
        <v>0.8367</v>
      </c>
      <c r="H1750" s="15">
        <v>0.31659999999999999</v>
      </c>
      <c r="I1750" s="15">
        <v>4.8099999999999997E-2</v>
      </c>
      <c r="J1750" s="15">
        <v>6.5821205821205826</v>
      </c>
    </row>
    <row r="1751" spans="1:10" x14ac:dyDescent="0.25">
      <c r="A1751" s="2" t="s">
        <v>5249</v>
      </c>
      <c r="B1751" s="2" t="s">
        <v>5250</v>
      </c>
      <c r="C1751" s="2" t="s">
        <v>5251</v>
      </c>
      <c r="D1751" s="2" t="s">
        <v>10049</v>
      </c>
      <c r="E1751" s="15">
        <v>-9.4000000000000004E-3</v>
      </c>
      <c r="F1751" s="15">
        <v>6.0699999999999997E-2</v>
      </c>
      <c r="G1751" s="15">
        <v>0.87739999999999996</v>
      </c>
      <c r="H1751" s="15">
        <v>0.31709999999999999</v>
      </c>
      <c r="I1751" s="15">
        <v>5.33E-2</v>
      </c>
      <c r="J1751" s="15">
        <v>5.9493433395872417</v>
      </c>
    </row>
    <row r="1752" spans="1:10" x14ac:dyDescent="0.25">
      <c r="A1752" s="2" t="s">
        <v>5252</v>
      </c>
      <c r="B1752" s="2" t="s">
        <v>5253</v>
      </c>
      <c r="C1752" s="2" t="s">
        <v>5254</v>
      </c>
      <c r="D1752" s="2" t="s">
        <v>10049</v>
      </c>
      <c r="E1752" s="15">
        <v>-7.5999999999999998E-2</v>
      </c>
      <c r="F1752" s="15">
        <v>6.3600000000000004E-2</v>
      </c>
      <c r="G1752" s="15">
        <v>0.2321</v>
      </c>
      <c r="H1752" s="15">
        <v>0.27</v>
      </c>
      <c r="I1752" s="15">
        <v>4.9399999999999999E-2</v>
      </c>
      <c r="J1752" s="15">
        <v>5.4655870445344137</v>
      </c>
    </row>
    <row r="1753" spans="1:10" x14ac:dyDescent="0.25">
      <c r="A1753" s="2" t="s">
        <v>5255</v>
      </c>
      <c r="B1753" s="2" t="s">
        <v>5256</v>
      </c>
      <c r="C1753" s="2" t="s">
        <v>5257</v>
      </c>
      <c r="D1753" s="2" t="s">
        <v>10049</v>
      </c>
      <c r="E1753" s="15">
        <v>1.1999999999999999E-3</v>
      </c>
      <c r="F1753" s="15">
        <v>0.09</v>
      </c>
      <c r="G1753" s="15">
        <v>0.98939999999999995</v>
      </c>
      <c r="H1753" s="15">
        <v>0.18870000000000001</v>
      </c>
      <c r="I1753" s="15">
        <v>5.57E-2</v>
      </c>
      <c r="J1753" s="15">
        <v>3.387791741472173</v>
      </c>
    </row>
    <row r="1754" spans="1:10" x14ac:dyDescent="0.25">
      <c r="A1754" s="2" t="s">
        <v>5258</v>
      </c>
      <c r="B1754" s="2" t="s">
        <v>5259</v>
      </c>
      <c r="C1754" s="2" t="s">
        <v>5260</v>
      </c>
      <c r="D1754" s="2" t="s">
        <v>10049</v>
      </c>
      <c r="E1754" s="15">
        <v>-7.7899999999999997E-2</v>
      </c>
      <c r="F1754" s="15">
        <v>9.2299999999999993E-2</v>
      </c>
      <c r="G1754" s="15">
        <v>0.3987</v>
      </c>
      <c r="H1754" s="15">
        <v>0.1636</v>
      </c>
      <c r="I1754" s="15">
        <v>4.99E-2</v>
      </c>
      <c r="J1754" s="15">
        <v>3.2785571142284571</v>
      </c>
    </row>
    <row r="1755" spans="1:10" x14ac:dyDescent="0.25">
      <c r="A1755" s="2" t="s">
        <v>5261</v>
      </c>
      <c r="B1755" s="2" t="s">
        <v>5262</v>
      </c>
      <c r="C1755" s="2" t="s">
        <v>5263</v>
      </c>
      <c r="D1755" s="2" t="s">
        <v>10049</v>
      </c>
      <c r="E1755" s="15">
        <v>-1.26E-2</v>
      </c>
      <c r="F1755" s="15">
        <v>7.7499999999999999E-2</v>
      </c>
      <c r="G1755" s="15">
        <v>0.87119999999999997</v>
      </c>
      <c r="H1755" s="15">
        <v>0.2273</v>
      </c>
      <c r="I1755" s="15">
        <v>5.5500000000000001E-2</v>
      </c>
      <c r="J1755" s="15">
        <v>4.0954954954954959</v>
      </c>
    </row>
    <row r="1756" spans="1:10" x14ac:dyDescent="0.25">
      <c r="A1756" s="2" t="s">
        <v>5264</v>
      </c>
      <c r="B1756" s="2" t="s">
        <v>5265</v>
      </c>
      <c r="C1756" s="2" t="s">
        <v>5266</v>
      </c>
      <c r="D1756" s="2" t="s">
        <v>10049</v>
      </c>
      <c r="E1756" s="15">
        <v>4.1799999999999997E-2</v>
      </c>
      <c r="F1756" s="15">
        <v>0.10299999999999999</v>
      </c>
      <c r="G1756" s="15">
        <v>0.68500000000000005</v>
      </c>
      <c r="H1756" s="15">
        <v>0.1075</v>
      </c>
      <c r="I1756" s="15">
        <v>3.9100000000000003E-2</v>
      </c>
      <c r="J1756" s="15">
        <v>2.749360613810742</v>
      </c>
    </row>
    <row r="1757" spans="1:10" x14ac:dyDescent="0.25">
      <c r="A1757" s="2" t="s">
        <v>5267</v>
      </c>
      <c r="B1757" s="2" t="s">
        <v>5268</v>
      </c>
      <c r="C1757" s="2" t="s">
        <v>5269</v>
      </c>
      <c r="D1757" s="2" t="s">
        <v>10049</v>
      </c>
      <c r="E1757" s="15">
        <v>-3.8600000000000002E-2</v>
      </c>
      <c r="F1757" s="15">
        <v>9.6500000000000002E-2</v>
      </c>
      <c r="G1757" s="15">
        <v>0.68940000000000001</v>
      </c>
      <c r="H1757" s="15">
        <v>0.1177</v>
      </c>
      <c r="I1757" s="15">
        <v>4.2500000000000003E-2</v>
      </c>
      <c r="J1757" s="15">
        <v>2.769411764705882</v>
      </c>
    </row>
    <row r="1758" spans="1:10" x14ac:dyDescent="0.25">
      <c r="A1758" s="2" t="s">
        <v>5270</v>
      </c>
      <c r="B1758" s="2" t="s">
        <v>5271</v>
      </c>
      <c r="C1758" s="2" t="s">
        <v>5272</v>
      </c>
      <c r="D1758" s="2" t="s">
        <v>10049</v>
      </c>
      <c r="E1758" s="15">
        <v>-0.15759999999999999</v>
      </c>
      <c r="F1758" s="15">
        <v>8.2299999999999998E-2</v>
      </c>
      <c r="G1758" s="15">
        <v>5.5399999999999998E-2</v>
      </c>
      <c r="H1758" s="15">
        <v>0.18679999999999999</v>
      </c>
      <c r="I1758" s="15">
        <v>4.4200000000000003E-2</v>
      </c>
      <c r="J1758" s="15">
        <v>4.2262443438914019</v>
      </c>
    </row>
    <row r="1759" spans="1:10" x14ac:dyDescent="0.25">
      <c r="A1759" s="2" t="s">
        <v>5273</v>
      </c>
      <c r="B1759" s="2" t="s">
        <v>5274</v>
      </c>
      <c r="C1759" s="2" t="s">
        <v>5275</v>
      </c>
      <c r="D1759" s="2" t="s">
        <v>10049</v>
      </c>
      <c r="E1759" s="15">
        <v>-0.20050000000000001</v>
      </c>
      <c r="F1759" s="15">
        <v>7.7200000000000005E-2</v>
      </c>
      <c r="G1759" s="15">
        <v>9.4000000000000004E-3</v>
      </c>
      <c r="H1759" s="15">
        <v>0.19070000000000001</v>
      </c>
      <c r="I1759" s="15">
        <v>4.6100000000000002E-2</v>
      </c>
      <c r="J1759" s="15">
        <v>4.136659436008677</v>
      </c>
    </row>
    <row r="1760" spans="1:10" x14ac:dyDescent="0.25">
      <c r="A1760" s="2" t="s">
        <v>5276</v>
      </c>
      <c r="B1760" s="2" t="s">
        <v>5277</v>
      </c>
      <c r="C1760" s="2" t="s">
        <v>5278</v>
      </c>
      <c r="D1760" s="2" t="s">
        <v>10049</v>
      </c>
      <c r="E1760" s="15">
        <v>-0.10009999999999999</v>
      </c>
      <c r="F1760" s="15">
        <v>6.2399999999999997E-2</v>
      </c>
      <c r="G1760" s="15">
        <v>0.109</v>
      </c>
      <c r="H1760" s="15">
        <v>0.36149999999999999</v>
      </c>
      <c r="I1760" s="15">
        <v>5.9299999999999999E-2</v>
      </c>
      <c r="J1760" s="15">
        <v>6.0961214165261381</v>
      </c>
    </row>
    <row r="1761" spans="1:10" x14ac:dyDescent="0.25">
      <c r="A1761" s="2" t="s">
        <v>5279</v>
      </c>
      <c r="B1761" s="2" t="s">
        <v>5280</v>
      </c>
      <c r="C1761" s="2" t="s">
        <v>5281</v>
      </c>
      <c r="D1761" s="2" t="s">
        <v>10049</v>
      </c>
      <c r="E1761" s="15">
        <v>-9.2399999999999996E-2</v>
      </c>
      <c r="F1761" s="15">
        <v>5.6399999999999999E-2</v>
      </c>
      <c r="G1761" s="15">
        <v>0.1016</v>
      </c>
      <c r="H1761" s="15">
        <v>0.37130000000000002</v>
      </c>
      <c r="I1761" s="15">
        <v>5.8700000000000002E-2</v>
      </c>
      <c r="J1761" s="15">
        <v>6.3253833049403747</v>
      </c>
    </row>
    <row r="1762" spans="1:10" x14ac:dyDescent="0.25">
      <c r="A1762" s="2" t="s">
        <v>5282</v>
      </c>
      <c r="B1762" s="2" t="s">
        <v>5283</v>
      </c>
      <c r="C1762" s="2" t="s">
        <v>5284</v>
      </c>
      <c r="D1762" s="2" t="s">
        <v>10049</v>
      </c>
      <c r="E1762" s="15">
        <v>-0.1535</v>
      </c>
      <c r="F1762" s="15">
        <v>9.6000000000000002E-2</v>
      </c>
      <c r="G1762" s="15">
        <v>0.10970000000000001</v>
      </c>
      <c r="H1762" s="15">
        <v>0.14779999999999999</v>
      </c>
      <c r="I1762" s="15">
        <v>4.24E-2</v>
      </c>
      <c r="J1762" s="15">
        <v>3.4858490566037732</v>
      </c>
    </row>
    <row r="1763" spans="1:10" x14ac:dyDescent="0.25">
      <c r="A1763" s="2" t="s">
        <v>5285</v>
      </c>
      <c r="B1763" s="2" t="s">
        <v>5286</v>
      </c>
      <c r="C1763" s="2" t="s">
        <v>5287</v>
      </c>
      <c r="D1763" s="2" t="s">
        <v>10049</v>
      </c>
      <c r="E1763" s="15">
        <v>-9.6500000000000002E-2</v>
      </c>
      <c r="F1763" s="15">
        <v>7.7200000000000005E-2</v>
      </c>
      <c r="G1763" s="15">
        <v>0.21129999999999999</v>
      </c>
      <c r="H1763" s="15">
        <v>0.20730000000000001</v>
      </c>
      <c r="I1763" s="15">
        <v>4.2900000000000001E-2</v>
      </c>
      <c r="J1763" s="15">
        <v>4.8321678321678334</v>
      </c>
    </row>
    <row r="1764" spans="1:10" x14ac:dyDescent="0.25">
      <c r="A1764" s="2" t="s">
        <v>5288</v>
      </c>
      <c r="B1764" s="2" t="s">
        <v>5289</v>
      </c>
      <c r="C1764" s="2" t="s">
        <v>5290</v>
      </c>
      <c r="D1764" s="2" t="s">
        <v>10049</v>
      </c>
      <c r="E1764" s="15">
        <v>-0.109</v>
      </c>
      <c r="F1764" s="15">
        <v>9.0899999999999995E-2</v>
      </c>
      <c r="G1764" s="15">
        <v>0.23039999999999999</v>
      </c>
      <c r="H1764" s="15">
        <v>0.1686</v>
      </c>
      <c r="I1764" s="15">
        <v>4.36E-2</v>
      </c>
      <c r="J1764" s="15">
        <v>3.8669724770642202</v>
      </c>
    </row>
    <row r="1765" spans="1:10" x14ac:dyDescent="0.25">
      <c r="A1765" s="2" t="s">
        <v>5291</v>
      </c>
      <c r="B1765" s="2" t="s">
        <v>5292</v>
      </c>
      <c r="C1765" s="2" t="s">
        <v>5293</v>
      </c>
      <c r="D1765" s="2" t="s">
        <v>10049</v>
      </c>
      <c r="E1765" s="15">
        <v>-0.1096</v>
      </c>
      <c r="F1765" s="15">
        <v>9.4E-2</v>
      </c>
      <c r="G1765" s="15">
        <v>0.2437</v>
      </c>
      <c r="H1765" s="15">
        <v>0.17519999999999999</v>
      </c>
      <c r="I1765" s="15">
        <v>4.7600000000000003E-2</v>
      </c>
      <c r="J1765" s="15">
        <v>3.6806722689075628</v>
      </c>
    </row>
    <row r="1766" spans="1:10" x14ac:dyDescent="0.25">
      <c r="A1766" s="2" t="s">
        <v>5294</v>
      </c>
      <c r="B1766" s="2" t="s">
        <v>5295</v>
      </c>
      <c r="C1766" s="2" t="s">
        <v>5296</v>
      </c>
      <c r="D1766" s="2" t="s">
        <v>10049</v>
      </c>
      <c r="E1766" s="15">
        <v>-0.1128</v>
      </c>
      <c r="F1766" s="15">
        <v>7.8299999999999995E-2</v>
      </c>
      <c r="G1766" s="15">
        <v>0.14990000000000001</v>
      </c>
      <c r="H1766" s="15">
        <v>0.219</v>
      </c>
      <c r="I1766" s="15">
        <v>4.4200000000000003E-2</v>
      </c>
      <c r="J1766" s="15">
        <v>4.9547511312217187</v>
      </c>
    </row>
    <row r="1767" spans="1:10" x14ac:dyDescent="0.25">
      <c r="A1767" s="2" t="s">
        <v>5297</v>
      </c>
      <c r="B1767" s="2" t="s">
        <v>5298</v>
      </c>
      <c r="C1767" s="2" t="s">
        <v>5299</v>
      </c>
      <c r="D1767" s="2" t="s">
        <v>10049</v>
      </c>
      <c r="E1767" s="15">
        <v>-0.1133</v>
      </c>
      <c r="F1767" s="15">
        <v>0.10580000000000001</v>
      </c>
      <c r="G1767" s="15">
        <v>0.28399999999999997</v>
      </c>
      <c r="H1767" s="15">
        <v>0.1226</v>
      </c>
      <c r="I1767" s="15">
        <v>4.2799999999999998E-2</v>
      </c>
      <c r="J1767" s="15">
        <v>2.864485981308412</v>
      </c>
    </row>
    <row r="1768" spans="1:10" x14ac:dyDescent="0.25">
      <c r="A1768" s="2" t="s">
        <v>5300</v>
      </c>
      <c r="B1768" s="2" t="s">
        <v>5301</v>
      </c>
      <c r="C1768" s="2" t="s">
        <v>5302</v>
      </c>
      <c r="D1768" s="2" t="s">
        <v>10049</v>
      </c>
      <c r="E1768" s="15">
        <v>-7.7700000000000005E-2</v>
      </c>
      <c r="F1768" s="15">
        <v>7.0699999999999999E-2</v>
      </c>
      <c r="G1768" s="15">
        <v>0.2717</v>
      </c>
      <c r="H1768" s="15">
        <v>0.25659999999999999</v>
      </c>
      <c r="I1768" s="15">
        <v>5.1700000000000003E-2</v>
      </c>
      <c r="J1768" s="15">
        <v>4.9632495164410058</v>
      </c>
    </row>
    <row r="1769" spans="1:10" x14ac:dyDescent="0.25">
      <c r="A1769" s="2" t="s">
        <v>5303</v>
      </c>
      <c r="B1769" s="2" t="s">
        <v>5304</v>
      </c>
      <c r="C1769" s="2" t="s">
        <v>5305</v>
      </c>
      <c r="D1769" s="2" t="s">
        <v>10049</v>
      </c>
      <c r="E1769" s="15">
        <v>-4.6899999999999997E-2</v>
      </c>
      <c r="F1769" s="15">
        <v>8.6400000000000005E-2</v>
      </c>
      <c r="G1769" s="15">
        <v>0.58679999999999999</v>
      </c>
      <c r="H1769" s="15">
        <v>0.2084</v>
      </c>
      <c r="I1769" s="15">
        <v>4.9000000000000002E-2</v>
      </c>
      <c r="J1769" s="15">
        <v>4.2530612244897954</v>
      </c>
    </row>
    <row r="1770" spans="1:10" x14ac:dyDescent="0.25">
      <c r="A1770" s="2" t="s">
        <v>5306</v>
      </c>
      <c r="B1770" s="2" t="s">
        <v>5307</v>
      </c>
      <c r="C1770" s="2" t="s">
        <v>5308</v>
      </c>
      <c r="D1770" s="2" t="s">
        <v>10049</v>
      </c>
      <c r="E1770" s="15">
        <v>-1.89E-2</v>
      </c>
      <c r="F1770" s="15">
        <v>6.0100000000000001E-2</v>
      </c>
      <c r="G1770" s="15">
        <v>0.75260000000000005</v>
      </c>
      <c r="H1770" s="15">
        <v>0.32450000000000001</v>
      </c>
      <c r="I1770" s="15">
        <v>5.1200000000000002E-2</v>
      </c>
      <c r="J1770" s="15">
        <v>6.337890625</v>
      </c>
    </row>
    <row r="1771" spans="1:10" x14ac:dyDescent="0.25">
      <c r="A1771" s="2" t="s">
        <v>5309</v>
      </c>
      <c r="B1771" s="2" t="s">
        <v>5310</v>
      </c>
      <c r="C1771" s="2" t="s">
        <v>5311</v>
      </c>
      <c r="D1771" s="2" t="s">
        <v>10049</v>
      </c>
      <c r="E1771" s="15">
        <v>-1.47E-2</v>
      </c>
      <c r="F1771" s="15">
        <v>6.2799999999999995E-2</v>
      </c>
      <c r="G1771" s="15">
        <v>0.81510000000000005</v>
      </c>
      <c r="H1771" s="15">
        <v>0.29149999999999998</v>
      </c>
      <c r="I1771" s="15">
        <v>4.8899999999999999E-2</v>
      </c>
      <c r="J1771" s="15">
        <v>5.9611451942740281</v>
      </c>
    </row>
    <row r="1772" spans="1:10" x14ac:dyDescent="0.25">
      <c r="A1772" s="2" t="s">
        <v>5312</v>
      </c>
      <c r="B1772" s="2" t="s">
        <v>5313</v>
      </c>
      <c r="C1772" s="2" t="s">
        <v>5314</v>
      </c>
      <c r="D1772" s="2" t="s">
        <v>10049</v>
      </c>
      <c r="E1772" s="15">
        <v>-6.2899999999999998E-2</v>
      </c>
      <c r="F1772" s="15">
        <v>6.7400000000000002E-2</v>
      </c>
      <c r="G1772" s="15">
        <v>0.35070000000000001</v>
      </c>
      <c r="H1772" s="15">
        <v>0.28050000000000003</v>
      </c>
      <c r="I1772" s="15">
        <v>4.8399999999999999E-2</v>
      </c>
      <c r="J1772" s="15">
        <v>5.7954545454545459</v>
      </c>
    </row>
    <row r="1773" spans="1:10" x14ac:dyDescent="0.25">
      <c r="A1773" s="2" t="s">
        <v>5315</v>
      </c>
      <c r="B1773" s="2" t="s">
        <v>5316</v>
      </c>
      <c r="C1773" s="2" t="s">
        <v>5317</v>
      </c>
      <c r="D1773" s="2" t="s">
        <v>10049</v>
      </c>
      <c r="E1773" s="15">
        <v>-5.6300000000000003E-2</v>
      </c>
      <c r="F1773" s="15">
        <v>6.8400000000000002E-2</v>
      </c>
      <c r="G1773" s="15">
        <v>0.4098</v>
      </c>
      <c r="H1773" s="15">
        <v>0.2949</v>
      </c>
      <c r="I1773" s="15">
        <v>4.7399999999999998E-2</v>
      </c>
      <c r="J1773" s="15">
        <v>6.2215189873417716</v>
      </c>
    </row>
    <row r="1774" spans="1:10" x14ac:dyDescent="0.25">
      <c r="A1774" s="2" t="s">
        <v>5318</v>
      </c>
      <c r="B1774" s="2" t="s">
        <v>5319</v>
      </c>
      <c r="C1774" s="2" t="s">
        <v>5320</v>
      </c>
      <c r="D1774" s="2" t="s">
        <v>10049</v>
      </c>
      <c r="E1774" s="15">
        <v>5.7999999999999996E-3</v>
      </c>
      <c r="F1774" s="15">
        <v>7.3099999999999998E-2</v>
      </c>
      <c r="G1774" s="15">
        <v>0.93710000000000004</v>
      </c>
      <c r="H1774" s="15">
        <v>0.28060000000000002</v>
      </c>
      <c r="I1774" s="15">
        <v>4.9200000000000001E-2</v>
      </c>
      <c r="J1774" s="15">
        <v>5.7032520325203251</v>
      </c>
    </row>
    <row r="1775" spans="1:10" x14ac:dyDescent="0.25">
      <c r="A1775" s="2" t="s">
        <v>5321</v>
      </c>
      <c r="B1775" s="2" t="s">
        <v>5322</v>
      </c>
      <c r="C1775" s="2" t="s">
        <v>5323</v>
      </c>
      <c r="D1775" s="2" t="s">
        <v>10049</v>
      </c>
      <c r="E1775" s="15">
        <v>-4.0800000000000003E-2</v>
      </c>
      <c r="F1775" s="15">
        <v>7.6300000000000007E-2</v>
      </c>
      <c r="G1775" s="15">
        <v>0.59309999999999996</v>
      </c>
      <c r="H1775" s="15">
        <v>0.2379</v>
      </c>
      <c r="I1775" s="15">
        <v>5.3400000000000003E-2</v>
      </c>
      <c r="J1775" s="15">
        <v>4.4550561797752808</v>
      </c>
    </row>
    <row r="1776" spans="1:10" x14ac:dyDescent="0.25">
      <c r="A1776" s="2" t="s">
        <v>5324</v>
      </c>
      <c r="B1776" s="2" t="s">
        <v>5325</v>
      </c>
      <c r="C1776" s="2" t="s">
        <v>5326</v>
      </c>
      <c r="D1776" s="2" t="s">
        <v>10049</v>
      </c>
      <c r="E1776" s="15">
        <v>-1.26E-2</v>
      </c>
      <c r="F1776" s="15">
        <v>8.1900000000000001E-2</v>
      </c>
      <c r="G1776" s="15">
        <v>0.87780000000000002</v>
      </c>
      <c r="H1776" s="15">
        <v>0.21010000000000001</v>
      </c>
      <c r="I1776" s="15">
        <v>5.0099999999999999E-2</v>
      </c>
      <c r="J1776" s="15">
        <v>4.1936127744510978</v>
      </c>
    </row>
    <row r="1777" spans="1:10" x14ac:dyDescent="0.25">
      <c r="A1777" s="2" t="s">
        <v>5327</v>
      </c>
      <c r="B1777" s="2" t="s">
        <v>5328</v>
      </c>
      <c r="C1777" s="2" t="s">
        <v>5329</v>
      </c>
      <c r="D1777" s="2" t="s">
        <v>10049</v>
      </c>
      <c r="E1777" s="15">
        <v>4.5999999999999999E-3</v>
      </c>
      <c r="F1777" s="15">
        <v>9.3600000000000003E-2</v>
      </c>
      <c r="G1777" s="15">
        <v>0.96079999999999999</v>
      </c>
      <c r="H1777" s="15">
        <v>0.19289999999999999</v>
      </c>
      <c r="I1777" s="15">
        <v>5.2600000000000001E-2</v>
      </c>
      <c r="J1777" s="15">
        <v>3.667300380228137</v>
      </c>
    </row>
    <row r="1778" spans="1:10" x14ac:dyDescent="0.25">
      <c r="A1778" s="2" t="s">
        <v>5330</v>
      </c>
      <c r="B1778" s="2" t="s">
        <v>5331</v>
      </c>
      <c r="C1778" s="2" t="s">
        <v>5332</v>
      </c>
      <c r="D1778" s="2" t="s">
        <v>10049</v>
      </c>
      <c r="E1778" s="15">
        <v>-3.9699999999999999E-2</v>
      </c>
      <c r="F1778" s="15">
        <v>7.4099999999999999E-2</v>
      </c>
      <c r="G1778" s="15">
        <v>0.59199999999999997</v>
      </c>
      <c r="H1778" s="15">
        <v>0.24959999999999999</v>
      </c>
      <c r="I1778" s="15">
        <v>5.1799999999999999E-2</v>
      </c>
      <c r="J1778" s="15">
        <v>4.8185328185328187</v>
      </c>
    </row>
    <row r="1779" spans="1:10" x14ac:dyDescent="0.25">
      <c r="A1779" s="2" t="s">
        <v>5333</v>
      </c>
      <c r="B1779" s="2" t="s">
        <v>5334</v>
      </c>
      <c r="C1779" s="2" t="s">
        <v>5335</v>
      </c>
      <c r="D1779" s="2" t="s">
        <v>10049</v>
      </c>
      <c r="E1779" s="15">
        <v>-1.47E-2</v>
      </c>
      <c r="F1779" s="15">
        <v>0.1022</v>
      </c>
      <c r="G1779" s="15">
        <v>0.88600000000000001</v>
      </c>
      <c r="H1779" s="15">
        <v>0.13739999999999999</v>
      </c>
      <c r="I1779" s="15">
        <v>5.11E-2</v>
      </c>
      <c r="J1779" s="15">
        <v>2.6888454011741678</v>
      </c>
    </row>
    <row r="1780" spans="1:10" x14ac:dyDescent="0.25">
      <c r="A1780" s="2" t="s">
        <v>5336</v>
      </c>
      <c r="B1780" s="2" t="s">
        <v>5337</v>
      </c>
      <c r="C1780" s="2" t="s">
        <v>5338</v>
      </c>
      <c r="D1780" s="2" t="s">
        <v>10049</v>
      </c>
      <c r="E1780" s="15">
        <v>-6.6299999999999998E-2</v>
      </c>
      <c r="F1780" s="15">
        <v>7.9100000000000004E-2</v>
      </c>
      <c r="G1780" s="15">
        <v>0.40189999999999998</v>
      </c>
      <c r="H1780" s="15">
        <v>0.22109999999999999</v>
      </c>
      <c r="I1780" s="15">
        <v>4.7500000000000001E-2</v>
      </c>
      <c r="J1780" s="15">
        <v>4.6547368421052626</v>
      </c>
    </row>
    <row r="1781" spans="1:10" x14ac:dyDescent="0.25">
      <c r="A1781" s="2" t="s">
        <v>5339</v>
      </c>
      <c r="B1781" s="2" t="s">
        <v>5340</v>
      </c>
      <c r="C1781" s="2" t="s">
        <v>5341</v>
      </c>
      <c r="D1781" s="2" t="s">
        <v>10049</v>
      </c>
      <c r="E1781" s="15">
        <v>-0.10199999999999999</v>
      </c>
      <c r="F1781" s="15">
        <v>9.3700000000000006E-2</v>
      </c>
      <c r="G1781" s="15">
        <v>0.27610000000000001</v>
      </c>
      <c r="H1781" s="15">
        <v>0.20130000000000001</v>
      </c>
      <c r="I1781" s="15">
        <v>5.04E-2</v>
      </c>
      <c r="J1781" s="15">
        <v>3.9940476190476191</v>
      </c>
    </row>
    <row r="1782" spans="1:10" x14ac:dyDescent="0.25">
      <c r="A1782" s="2" t="s">
        <v>5342</v>
      </c>
      <c r="B1782" s="2" t="s">
        <v>5343</v>
      </c>
      <c r="C1782" s="2" t="s">
        <v>5344</v>
      </c>
      <c r="D1782" s="2" t="s">
        <v>10049</v>
      </c>
      <c r="E1782" s="15">
        <v>-6.83E-2</v>
      </c>
      <c r="F1782" s="15">
        <v>6.0600000000000001E-2</v>
      </c>
      <c r="G1782" s="15">
        <v>0.25990000000000002</v>
      </c>
      <c r="H1782" s="15">
        <v>0.34989999999999999</v>
      </c>
      <c r="I1782" s="15">
        <v>5.2999999999999999E-2</v>
      </c>
      <c r="J1782" s="15">
        <v>6.6018867924528299</v>
      </c>
    </row>
    <row r="1783" spans="1:10" x14ac:dyDescent="0.25">
      <c r="A1783" s="2" t="s">
        <v>5345</v>
      </c>
      <c r="B1783" s="2" t="s">
        <v>5346</v>
      </c>
      <c r="C1783" s="2" t="s">
        <v>5347</v>
      </c>
      <c r="D1783" s="2" t="s">
        <v>10049</v>
      </c>
      <c r="E1783" s="15">
        <v>-9.3899999999999997E-2</v>
      </c>
      <c r="F1783" s="15">
        <v>5.79E-2</v>
      </c>
      <c r="G1783" s="15">
        <v>0.1051</v>
      </c>
      <c r="H1783" s="15">
        <v>0.32490000000000002</v>
      </c>
      <c r="I1783" s="15">
        <v>4.8399999999999999E-2</v>
      </c>
      <c r="J1783" s="15">
        <v>6.7128099173553721</v>
      </c>
    </row>
    <row r="1784" spans="1:10" x14ac:dyDescent="0.25">
      <c r="A1784" s="2" t="s">
        <v>5348</v>
      </c>
      <c r="B1784" s="2" t="s">
        <v>5349</v>
      </c>
      <c r="C1784" s="2" t="s">
        <v>5350</v>
      </c>
      <c r="D1784" s="2" t="s">
        <v>10049</v>
      </c>
      <c r="E1784" s="15">
        <v>-0.1414</v>
      </c>
      <c r="F1784" s="15">
        <v>6.8099999999999994E-2</v>
      </c>
      <c r="G1784" s="15">
        <v>3.7999999999999999E-2</v>
      </c>
      <c r="H1784" s="15">
        <v>0.2432</v>
      </c>
      <c r="I1784" s="15">
        <v>4.7199999999999999E-2</v>
      </c>
      <c r="J1784" s="15">
        <v>5.1525423728813564</v>
      </c>
    </row>
    <row r="1785" spans="1:10" x14ac:dyDescent="0.25">
      <c r="A1785" s="2" t="s">
        <v>5351</v>
      </c>
      <c r="B1785" s="2" t="s">
        <v>5352</v>
      </c>
      <c r="C1785" s="2" t="s">
        <v>5353</v>
      </c>
      <c r="D1785" s="2" t="s">
        <v>10049</v>
      </c>
      <c r="E1785" s="15">
        <v>-0.26440000000000002</v>
      </c>
      <c r="F1785" s="15">
        <v>9.2100000000000001E-2</v>
      </c>
      <c r="G1785" s="15">
        <v>4.1000000000000003E-3</v>
      </c>
      <c r="H1785" s="15">
        <v>0.16869999999999999</v>
      </c>
      <c r="I1785" s="15">
        <v>4.4200000000000003E-2</v>
      </c>
      <c r="J1785" s="15">
        <v>3.8167420814479631</v>
      </c>
    </row>
    <row r="1786" spans="1:10" x14ac:dyDescent="0.25">
      <c r="A1786" s="2" t="s">
        <v>5354</v>
      </c>
      <c r="B1786" s="2" t="s">
        <v>5355</v>
      </c>
      <c r="C1786" s="2" t="s">
        <v>5356</v>
      </c>
      <c r="D1786" s="2" t="s">
        <v>10049</v>
      </c>
      <c r="E1786" s="15">
        <v>6.7100000000000007E-2</v>
      </c>
      <c r="F1786" s="15">
        <v>7.2499999999999995E-2</v>
      </c>
      <c r="G1786" s="15">
        <v>0.35489999999999999</v>
      </c>
      <c r="H1786" s="15">
        <v>0.20680000000000001</v>
      </c>
      <c r="I1786" s="15">
        <v>4.6800000000000001E-2</v>
      </c>
      <c r="J1786" s="15">
        <v>4.4188034188034191</v>
      </c>
    </row>
    <row r="1787" spans="1:10" x14ac:dyDescent="0.25">
      <c r="A1787" s="2" t="s">
        <v>5357</v>
      </c>
      <c r="B1787" s="2" t="s">
        <v>5358</v>
      </c>
      <c r="C1787" s="2" t="s">
        <v>5359</v>
      </c>
      <c r="D1787" s="2" t="s">
        <v>10049</v>
      </c>
      <c r="E1787" s="15">
        <v>9.98E-2</v>
      </c>
      <c r="F1787" s="15">
        <v>9.0899999999999995E-2</v>
      </c>
      <c r="G1787" s="15">
        <v>0.27210000000000001</v>
      </c>
      <c r="H1787" s="15">
        <v>0.1371</v>
      </c>
      <c r="I1787" s="15">
        <v>4.9000000000000002E-2</v>
      </c>
      <c r="J1787" s="15">
        <v>2.797959183673469</v>
      </c>
    </row>
    <row r="1788" spans="1:10" x14ac:dyDescent="0.25">
      <c r="A1788" s="2" t="s">
        <v>5360</v>
      </c>
      <c r="B1788" s="2" t="s">
        <v>5361</v>
      </c>
      <c r="C1788" s="2" t="s">
        <v>5362</v>
      </c>
      <c r="D1788" s="2" t="s">
        <v>10049</v>
      </c>
      <c r="E1788" s="15">
        <v>-7.7799999999999994E-2</v>
      </c>
      <c r="F1788" s="15">
        <v>7.1400000000000005E-2</v>
      </c>
      <c r="G1788" s="15">
        <v>0.27600000000000002</v>
      </c>
      <c r="H1788" s="15">
        <v>0.28760000000000002</v>
      </c>
      <c r="I1788" s="15">
        <v>5.0599999999999999E-2</v>
      </c>
      <c r="J1788" s="15">
        <v>5.683794466403163</v>
      </c>
    </row>
    <row r="1789" spans="1:10" x14ac:dyDescent="0.25">
      <c r="A1789" s="2" t="s">
        <v>5363</v>
      </c>
      <c r="B1789" s="2" t="s">
        <v>5364</v>
      </c>
      <c r="C1789" s="2" t="s">
        <v>5365</v>
      </c>
      <c r="D1789" s="2" t="s">
        <v>10049</v>
      </c>
      <c r="E1789" s="15">
        <v>-0.1013</v>
      </c>
      <c r="F1789" s="15">
        <v>7.1400000000000005E-2</v>
      </c>
      <c r="G1789" s="15">
        <v>0.15579999999999999</v>
      </c>
      <c r="H1789" s="15">
        <v>0.2747</v>
      </c>
      <c r="I1789" s="15">
        <v>5.1799999999999999E-2</v>
      </c>
      <c r="J1789" s="15">
        <v>5.3030888030888033</v>
      </c>
    </row>
    <row r="1790" spans="1:10" x14ac:dyDescent="0.25">
      <c r="A1790" s="2" t="s">
        <v>5366</v>
      </c>
      <c r="B1790" s="2" t="s">
        <v>5367</v>
      </c>
      <c r="C1790" s="2" t="s">
        <v>5368</v>
      </c>
      <c r="D1790" s="2" t="s">
        <v>10049</v>
      </c>
      <c r="E1790" s="15">
        <v>-8.0999999999999996E-3</v>
      </c>
      <c r="F1790" s="15">
        <v>9.5000000000000001E-2</v>
      </c>
      <c r="G1790" s="15">
        <v>0.93240000000000001</v>
      </c>
      <c r="H1790" s="15">
        <v>0.1767</v>
      </c>
      <c r="I1790" s="15">
        <v>4.7600000000000003E-2</v>
      </c>
      <c r="J1790" s="15">
        <v>3.71218487394958</v>
      </c>
    </row>
    <row r="1791" spans="1:10" x14ac:dyDescent="0.25">
      <c r="A1791" s="2" t="s">
        <v>5369</v>
      </c>
      <c r="B1791" s="2" t="s">
        <v>5370</v>
      </c>
      <c r="C1791" s="2" t="s">
        <v>5371</v>
      </c>
      <c r="D1791" s="2" t="s">
        <v>10049</v>
      </c>
      <c r="E1791" s="15">
        <v>5.57E-2</v>
      </c>
      <c r="F1791" s="15">
        <v>8.5099999999999995E-2</v>
      </c>
      <c r="G1791" s="15">
        <v>0.51239999999999997</v>
      </c>
      <c r="H1791" s="15">
        <v>0.18990000000000001</v>
      </c>
      <c r="I1791" s="15">
        <v>4.6600000000000003E-2</v>
      </c>
      <c r="J1791" s="15">
        <v>4.0751072961373387</v>
      </c>
    </row>
    <row r="1792" spans="1:10" x14ac:dyDescent="0.25">
      <c r="A1792" s="2" t="s">
        <v>5372</v>
      </c>
      <c r="B1792" s="2" t="s">
        <v>5373</v>
      </c>
      <c r="C1792" s="2" t="s">
        <v>5374</v>
      </c>
      <c r="D1792" s="2" t="s">
        <v>10049</v>
      </c>
      <c r="E1792" s="15">
        <v>-0.18759999999999999</v>
      </c>
      <c r="F1792" s="15">
        <v>7.3800000000000004E-2</v>
      </c>
      <c r="G1792" s="15">
        <v>1.11E-2</v>
      </c>
      <c r="H1792" s="15">
        <v>0.31280000000000002</v>
      </c>
      <c r="I1792" s="15">
        <v>5.8299999999999998E-2</v>
      </c>
      <c r="J1792" s="15">
        <v>5.3653516295025732</v>
      </c>
    </row>
    <row r="1793" spans="1:10" x14ac:dyDescent="0.25">
      <c r="A1793" s="2" t="s">
        <v>5375</v>
      </c>
      <c r="B1793" s="2" t="s">
        <v>5376</v>
      </c>
      <c r="C1793" s="2" t="s">
        <v>5377</v>
      </c>
      <c r="D1793" s="2" t="s">
        <v>10049</v>
      </c>
      <c r="E1793" s="15">
        <v>-0.14410000000000001</v>
      </c>
      <c r="F1793" s="15">
        <v>7.22E-2</v>
      </c>
      <c r="G1793" s="15">
        <v>4.5999999999999999E-2</v>
      </c>
      <c r="H1793" s="15">
        <v>0.2848</v>
      </c>
      <c r="I1793" s="15">
        <v>4.7600000000000003E-2</v>
      </c>
      <c r="J1793" s="15">
        <v>5.9831932773109244</v>
      </c>
    </row>
    <row r="1794" spans="1:10" x14ac:dyDescent="0.25">
      <c r="A1794" s="2" t="s">
        <v>5378</v>
      </c>
      <c r="B1794" s="2" t="s">
        <v>5379</v>
      </c>
      <c r="C1794" s="2" t="s">
        <v>5380</v>
      </c>
      <c r="D1794" s="2" t="s">
        <v>10049</v>
      </c>
      <c r="E1794" s="15">
        <v>-9.6299999999999997E-2</v>
      </c>
      <c r="F1794" s="15">
        <v>7.8700000000000006E-2</v>
      </c>
      <c r="G1794" s="15">
        <v>0.221</v>
      </c>
      <c r="H1794" s="15">
        <v>0.19520000000000001</v>
      </c>
      <c r="I1794" s="15">
        <v>4.4400000000000002E-2</v>
      </c>
      <c r="J1794" s="15">
        <v>4.3963963963963968</v>
      </c>
    </row>
    <row r="1795" spans="1:10" x14ac:dyDescent="0.25">
      <c r="A1795" s="2" t="s">
        <v>5381</v>
      </c>
      <c r="B1795" s="2" t="s">
        <v>5382</v>
      </c>
      <c r="C1795" s="2" t="s">
        <v>5383</v>
      </c>
      <c r="D1795" s="2" t="s">
        <v>10049</v>
      </c>
      <c r="E1795" s="15">
        <v>-2.0999999999999999E-3</v>
      </c>
      <c r="F1795" s="15">
        <v>7.8200000000000006E-2</v>
      </c>
      <c r="G1795" s="15">
        <v>0.97889999999999999</v>
      </c>
      <c r="H1795" s="15">
        <v>0.18390000000000001</v>
      </c>
      <c r="I1795" s="15">
        <v>4.2500000000000003E-2</v>
      </c>
      <c r="J1795" s="15">
        <v>4.3270588235294118</v>
      </c>
    </row>
    <row r="1796" spans="1:10" x14ac:dyDescent="0.25">
      <c r="A1796" s="2" t="s">
        <v>5384</v>
      </c>
      <c r="B1796" s="2" t="s">
        <v>5385</v>
      </c>
      <c r="C1796" s="2" t="s">
        <v>5386</v>
      </c>
      <c r="D1796" s="2" t="s">
        <v>10049</v>
      </c>
      <c r="E1796" s="15">
        <v>-0.06</v>
      </c>
      <c r="F1796" s="15">
        <v>7.5300000000000006E-2</v>
      </c>
      <c r="G1796" s="15">
        <v>0.42559999999999998</v>
      </c>
      <c r="H1796" s="15">
        <v>0.2026</v>
      </c>
      <c r="I1796" s="15">
        <v>4.6199999999999998E-2</v>
      </c>
      <c r="J1796" s="15">
        <v>4.3852813852813846</v>
      </c>
    </row>
    <row r="1797" spans="1:10" x14ac:dyDescent="0.25">
      <c r="A1797" s="2" t="s">
        <v>5387</v>
      </c>
      <c r="B1797" s="2" t="s">
        <v>5388</v>
      </c>
      <c r="C1797" s="2" t="s">
        <v>5389</v>
      </c>
      <c r="D1797" s="2" t="s">
        <v>10049</v>
      </c>
      <c r="E1797" s="15">
        <v>-1.67E-2</v>
      </c>
      <c r="F1797" s="15">
        <v>8.7300000000000003E-2</v>
      </c>
      <c r="G1797" s="15">
        <v>0.84860000000000002</v>
      </c>
      <c r="H1797" s="15">
        <v>0.16400000000000001</v>
      </c>
      <c r="I1797" s="15">
        <v>4.3499999999999997E-2</v>
      </c>
      <c r="J1797" s="15">
        <v>3.7701149425287359</v>
      </c>
    </row>
    <row r="1798" spans="1:10" x14ac:dyDescent="0.25">
      <c r="A1798" s="2" t="s">
        <v>5390</v>
      </c>
      <c r="B1798" s="2" t="s">
        <v>5391</v>
      </c>
      <c r="C1798" s="2" t="s">
        <v>5392</v>
      </c>
      <c r="D1798" s="2" t="s">
        <v>10049</v>
      </c>
      <c r="E1798" s="15">
        <v>-4.8599999999999997E-2</v>
      </c>
      <c r="F1798" s="15">
        <v>8.4099999999999994E-2</v>
      </c>
      <c r="G1798" s="15">
        <v>0.56330000000000002</v>
      </c>
      <c r="H1798" s="15">
        <v>0.1943</v>
      </c>
      <c r="I1798" s="15">
        <v>4.8500000000000001E-2</v>
      </c>
      <c r="J1798" s="15">
        <v>4.0061855670103093</v>
      </c>
    </row>
    <row r="1799" spans="1:10" x14ac:dyDescent="0.25">
      <c r="A1799" s="2" t="s">
        <v>5393</v>
      </c>
      <c r="B1799" s="2" t="s">
        <v>5394</v>
      </c>
      <c r="C1799" s="2" t="s">
        <v>5395</v>
      </c>
      <c r="D1799" s="2" t="s">
        <v>10049</v>
      </c>
      <c r="E1799" s="15">
        <v>-7.3099999999999998E-2</v>
      </c>
      <c r="F1799" s="15">
        <v>7.6799999999999993E-2</v>
      </c>
      <c r="G1799" s="15">
        <v>0.3412</v>
      </c>
      <c r="H1799" s="15">
        <v>0.2223</v>
      </c>
      <c r="I1799" s="15">
        <v>4.7E-2</v>
      </c>
      <c r="J1799" s="15">
        <v>4.7297872340425533</v>
      </c>
    </row>
    <row r="1800" spans="1:10" x14ac:dyDescent="0.25">
      <c r="A1800" s="2" t="s">
        <v>5396</v>
      </c>
      <c r="B1800" s="2" t="s">
        <v>5397</v>
      </c>
      <c r="C1800" s="2" t="s">
        <v>5398</v>
      </c>
      <c r="D1800" s="2" t="s">
        <v>10049</v>
      </c>
      <c r="E1800" s="15">
        <v>-5.74E-2</v>
      </c>
      <c r="F1800" s="15">
        <v>6.3600000000000004E-2</v>
      </c>
      <c r="G1800" s="15">
        <v>0.36659999999999998</v>
      </c>
      <c r="H1800" s="15">
        <v>0.27100000000000002</v>
      </c>
      <c r="I1800" s="15">
        <v>4.9399999999999999E-2</v>
      </c>
      <c r="J1800" s="15">
        <v>5.4858299595141702</v>
      </c>
    </row>
    <row r="1801" spans="1:10" x14ac:dyDescent="0.25">
      <c r="A1801" s="2" t="s">
        <v>5399</v>
      </c>
      <c r="B1801" s="2" t="s">
        <v>5400</v>
      </c>
      <c r="C1801" s="2" t="s">
        <v>5401</v>
      </c>
      <c r="D1801" s="2" t="s">
        <v>10049</v>
      </c>
      <c r="E1801" s="15">
        <v>-1.2200000000000001E-2</v>
      </c>
      <c r="F1801" s="15">
        <v>6.7900000000000002E-2</v>
      </c>
      <c r="G1801" s="15">
        <v>0.85760000000000003</v>
      </c>
      <c r="H1801" s="15">
        <v>0.27660000000000001</v>
      </c>
      <c r="I1801" s="15">
        <v>5.16E-2</v>
      </c>
      <c r="J1801" s="15">
        <v>5.3604651162790704</v>
      </c>
    </row>
    <row r="1802" spans="1:10" x14ac:dyDescent="0.25">
      <c r="A1802" s="2" t="s">
        <v>5402</v>
      </c>
      <c r="B1802" s="2" t="s">
        <v>5403</v>
      </c>
      <c r="C1802" s="2" t="s">
        <v>5404</v>
      </c>
      <c r="D1802" s="2" t="s">
        <v>10049</v>
      </c>
      <c r="E1802" s="15">
        <v>-0.1242</v>
      </c>
      <c r="F1802" s="15">
        <v>9.5200000000000007E-2</v>
      </c>
      <c r="G1802" s="15">
        <v>0.192</v>
      </c>
      <c r="H1802" s="15">
        <v>0.1308</v>
      </c>
      <c r="I1802" s="15">
        <v>5.0299999999999997E-2</v>
      </c>
      <c r="J1802" s="15">
        <v>2.6003976143141161</v>
      </c>
    </row>
    <row r="1803" spans="1:10" x14ac:dyDescent="0.25">
      <c r="A1803" s="2" t="s">
        <v>5405</v>
      </c>
      <c r="B1803" s="2" t="s">
        <v>5406</v>
      </c>
      <c r="C1803" s="2" t="s">
        <v>5407</v>
      </c>
      <c r="D1803" s="2" t="s">
        <v>10049</v>
      </c>
      <c r="E1803" s="15">
        <v>-0.18659999999999999</v>
      </c>
      <c r="F1803" s="15">
        <v>0.13</v>
      </c>
      <c r="G1803" s="15">
        <v>0.15110000000000001</v>
      </c>
      <c r="H1803" s="15">
        <v>6.8599999999999994E-2</v>
      </c>
      <c r="I1803" s="15">
        <v>4.24E-2</v>
      </c>
      <c r="J1803" s="15">
        <v>1.617924528301887</v>
      </c>
    </row>
    <row r="1804" spans="1:10" x14ac:dyDescent="0.25">
      <c r="A1804" s="2" t="s">
        <v>5408</v>
      </c>
      <c r="B1804" s="2" t="s">
        <v>5409</v>
      </c>
      <c r="C1804" s="2" t="s">
        <v>5410</v>
      </c>
      <c r="D1804" s="2" t="s">
        <v>10049</v>
      </c>
      <c r="E1804" s="15">
        <v>-5.3100000000000001E-2</v>
      </c>
      <c r="F1804" s="15">
        <v>8.7599999999999997E-2</v>
      </c>
      <c r="G1804" s="15">
        <v>0.54459999999999997</v>
      </c>
      <c r="H1804" s="15">
        <v>0.15770000000000001</v>
      </c>
      <c r="I1804" s="15">
        <v>4.3799999999999999E-2</v>
      </c>
      <c r="J1804" s="15">
        <v>3.6004566210045659</v>
      </c>
    </row>
    <row r="1805" spans="1:10" x14ac:dyDescent="0.25">
      <c r="A1805" s="2" t="s">
        <v>5411</v>
      </c>
      <c r="B1805" s="2" t="s">
        <v>5412</v>
      </c>
      <c r="C1805" s="2" t="s">
        <v>5413</v>
      </c>
      <c r="D1805" s="2" t="s">
        <v>10049</v>
      </c>
      <c r="E1805" s="15">
        <v>-8.8200000000000001E-2</v>
      </c>
      <c r="F1805" s="15">
        <v>9.1600000000000001E-2</v>
      </c>
      <c r="G1805" s="15">
        <v>0.33550000000000002</v>
      </c>
      <c r="H1805" s="15">
        <v>0.13339999999999999</v>
      </c>
      <c r="I1805" s="15">
        <v>3.9E-2</v>
      </c>
      <c r="J1805" s="15">
        <v>3.4205128205128199</v>
      </c>
    </row>
    <row r="1806" spans="1:10" x14ac:dyDescent="0.25">
      <c r="A1806" s="2" t="s">
        <v>5414</v>
      </c>
      <c r="B1806" s="2" t="s">
        <v>5415</v>
      </c>
      <c r="C1806" s="2" t="s">
        <v>5416</v>
      </c>
      <c r="D1806" s="2" t="s">
        <v>10049</v>
      </c>
      <c r="E1806" s="15">
        <v>4.2099999999999999E-2</v>
      </c>
      <c r="F1806" s="15">
        <v>8.5500000000000007E-2</v>
      </c>
      <c r="G1806" s="15">
        <v>0.62219999999999998</v>
      </c>
      <c r="H1806" s="15">
        <v>0.1885</v>
      </c>
      <c r="I1806" s="15">
        <v>4.6600000000000003E-2</v>
      </c>
      <c r="J1806" s="15">
        <v>4.0450643776824036</v>
      </c>
    </row>
    <row r="1807" spans="1:10" x14ac:dyDescent="0.25">
      <c r="A1807" s="2" t="s">
        <v>5417</v>
      </c>
      <c r="B1807" s="2" t="s">
        <v>5418</v>
      </c>
      <c r="C1807" s="2" t="s">
        <v>5419</v>
      </c>
      <c r="D1807" s="2" t="s">
        <v>10049</v>
      </c>
      <c r="E1807" s="15">
        <v>-1.01E-2</v>
      </c>
      <c r="F1807" s="15">
        <v>6.8400000000000002E-2</v>
      </c>
      <c r="G1807" s="15">
        <v>0.88219999999999998</v>
      </c>
      <c r="H1807" s="15">
        <v>0.2185</v>
      </c>
      <c r="I1807" s="15">
        <v>5.1200000000000002E-2</v>
      </c>
      <c r="J1807" s="15">
        <v>4.267578125</v>
      </c>
    </row>
    <row r="1808" spans="1:10" x14ac:dyDescent="0.25">
      <c r="A1808" s="2" t="s">
        <v>5420</v>
      </c>
      <c r="B1808" s="2" t="s">
        <v>5421</v>
      </c>
      <c r="C1808" s="2" t="s">
        <v>5422</v>
      </c>
      <c r="D1808" s="2" t="s">
        <v>10049</v>
      </c>
      <c r="E1808" s="15">
        <v>-1.6299999999999999E-2</v>
      </c>
      <c r="F1808" s="15">
        <v>7.6100000000000001E-2</v>
      </c>
      <c r="G1808" s="15">
        <v>0.83040000000000003</v>
      </c>
      <c r="H1808" s="15">
        <v>0.26200000000000001</v>
      </c>
      <c r="I1808" s="15">
        <v>5.67E-2</v>
      </c>
      <c r="J1808" s="15">
        <v>4.6208112874779541</v>
      </c>
    </row>
    <row r="1809" spans="1:10" x14ac:dyDescent="0.25">
      <c r="A1809" s="2" t="s">
        <v>5423</v>
      </c>
      <c r="B1809" s="2" t="s">
        <v>5424</v>
      </c>
      <c r="C1809" s="2" t="s">
        <v>5425</v>
      </c>
      <c r="D1809" s="2" t="s">
        <v>10049</v>
      </c>
      <c r="E1809" s="15">
        <v>-7.7600000000000002E-2</v>
      </c>
      <c r="F1809" s="15">
        <v>7.3800000000000004E-2</v>
      </c>
      <c r="G1809" s="15">
        <v>0.29349999999999998</v>
      </c>
      <c r="H1809" s="15">
        <v>0.2702</v>
      </c>
      <c r="I1809" s="15">
        <v>5.4600000000000003E-2</v>
      </c>
      <c r="J1809" s="15">
        <v>4.948717948717948</v>
      </c>
    </row>
    <row r="1810" spans="1:10" x14ac:dyDescent="0.25">
      <c r="A1810" s="2" t="s">
        <v>5426</v>
      </c>
      <c r="B1810" s="2" t="s">
        <v>5427</v>
      </c>
      <c r="C1810" s="2" t="s">
        <v>5428</v>
      </c>
      <c r="D1810" s="2" t="s">
        <v>10049</v>
      </c>
      <c r="E1810" s="15">
        <v>-7.4999999999999997E-2</v>
      </c>
      <c r="F1810" s="15">
        <v>7.8200000000000006E-2</v>
      </c>
      <c r="G1810" s="15">
        <v>0.33789999999999998</v>
      </c>
      <c r="H1810" s="15">
        <v>0.26429999999999998</v>
      </c>
      <c r="I1810" s="15">
        <v>5.2400000000000002E-2</v>
      </c>
      <c r="J1810" s="15">
        <v>5.0438931297709919</v>
      </c>
    </row>
    <row r="1811" spans="1:10" x14ac:dyDescent="0.25">
      <c r="A1811" s="2" t="s">
        <v>5429</v>
      </c>
      <c r="B1811" s="2" t="s">
        <v>5430</v>
      </c>
      <c r="C1811" s="2" t="s">
        <v>5431</v>
      </c>
      <c r="D1811" s="2" t="s">
        <v>10049</v>
      </c>
      <c r="E1811" s="15">
        <v>-5.2600000000000001E-2</v>
      </c>
      <c r="F1811" s="15">
        <v>6.9500000000000006E-2</v>
      </c>
      <c r="G1811" s="15">
        <v>0.44890000000000002</v>
      </c>
      <c r="H1811" s="15">
        <v>0.29749999999999999</v>
      </c>
      <c r="I1811" s="15">
        <v>5.2400000000000002E-2</v>
      </c>
      <c r="J1811" s="15">
        <v>5.6774809160305342</v>
      </c>
    </row>
    <row r="1812" spans="1:10" x14ac:dyDescent="0.25">
      <c r="A1812" s="2" t="s">
        <v>5432</v>
      </c>
      <c r="B1812" s="2" t="s">
        <v>5433</v>
      </c>
      <c r="C1812" s="2" t="s">
        <v>5434</v>
      </c>
      <c r="D1812" s="2" t="s">
        <v>10049</v>
      </c>
      <c r="E1812" s="15">
        <v>-2.9100000000000001E-2</v>
      </c>
      <c r="F1812" s="15">
        <v>9.01E-2</v>
      </c>
      <c r="G1812" s="15">
        <v>0.747</v>
      </c>
      <c r="H1812" s="15">
        <v>0.1578</v>
      </c>
      <c r="I1812" s="15">
        <v>4.5499999999999999E-2</v>
      </c>
      <c r="J1812" s="15">
        <v>3.4681318681318678</v>
      </c>
    </row>
    <row r="1813" spans="1:10" x14ac:dyDescent="0.25">
      <c r="A1813" s="2" t="s">
        <v>5435</v>
      </c>
      <c r="B1813" s="2" t="s">
        <v>5436</v>
      </c>
      <c r="C1813" s="2" t="s">
        <v>5437</v>
      </c>
      <c r="D1813" s="2" t="s">
        <v>10049</v>
      </c>
      <c r="E1813" s="15">
        <v>-0.121</v>
      </c>
      <c r="F1813" s="15">
        <v>0.16250000000000001</v>
      </c>
      <c r="G1813" s="15">
        <v>0.45669999999999999</v>
      </c>
      <c r="H1813" s="15">
        <v>4.53E-2</v>
      </c>
      <c r="I1813" s="15">
        <v>3.6799999999999999E-2</v>
      </c>
      <c r="J1813" s="15">
        <v>1.230978260869565</v>
      </c>
    </row>
    <row r="1814" spans="1:10" x14ac:dyDescent="0.25">
      <c r="A1814" s="2" t="s">
        <v>5438</v>
      </c>
      <c r="B1814" s="2" t="s">
        <v>5439</v>
      </c>
      <c r="C1814" s="2" t="s">
        <v>5440</v>
      </c>
      <c r="D1814" s="2" t="s">
        <v>10049</v>
      </c>
      <c r="E1814" s="15">
        <v>0.1431</v>
      </c>
      <c r="F1814" s="15">
        <v>0.1401</v>
      </c>
      <c r="G1814" s="15">
        <v>0.30709999999999998</v>
      </c>
      <c r="H1814" s="15">
        <v>7.4499999999999997E-2</v>
      </c>
      <c r="I1814" s="15">
        <v>4.0800000000000003E-2</v>
      </c>
      <c r="J1814" s="15">
        <v>1.825980392156862</v>
      </c>
    </row>
    <row r="1815" spans="1:10" x14ac:dyDescent="0.25">
      <c r="A1815" s="2" t="s">
        <v>5441</v>
      </c>
      <c r="B1815" s="2" t="s">
        <v>5442</v>
      </c>
      <c r="C1815" s="2" t="s">
        <v>5443</v>
      </c>
      <c r="D1815" s="2" t="s">
        <v>10049</v>
      </c>
      <c r="E1815" s="15">
        <v>9.9000000000000005E-2</v>
      </c>
      <c r="F1815" s="15">
        <v>0.08</v>
      </c>
      <c r="G1815" s="15">
        <v>0.2157</v>
      </c>
      <c r="H1815" s="15">
        <v>0.21840000000000001</v>
      </c>
      <c r="I1815" s="15">
        <v>4.4499999999999998E-2</v>
      </c>
      <c r="J1815" s="15">
        <v>4.9078651685393266</v>
      </c>
    </row>
    <row r="1816" spans="1:10" x14ac:dyDescent="0.25">
      <c r="A1816" s="2" t="s">
        <v>5444</v>
      </c>
      <c r="B1816" s="2" t="s">
        <v>5445</v>
      </c>
      <c r="C1816" s="2" t="s">
        <v>5446</v>
      </c>
      <c r="D1816" s="2" t="s">
        <v>10049</v>
      </c>
      <c r="E1816" s="15">
        <v>-1.77E-2</v>
      </c>
      <c r="F1816" s="15">
        <v>6.7400000000000002E-2</v>
      </c>
      <c r="G1816" s="15">
        <v>0.79320000000000002</v>
      </c>
      <c r="H1816" s="15">
        <v>0.2772</v>
      </c>
      <c r="I1816" s="15">
        <v>4.5199999999999997E-2</v>
      </c>
      <c r="J1816" s="15">
        <v>6.1327433628318593</v>
      </c>
    </row>
    <row r="1817" spans="1:10" x14ac:dyDescent="0.25">
      <c r="A1817" s="2" t="s">
        <v>5447</v>
      </c>
      <c r="B1817" s="2" t="s">
        <v>5448</v>
      </c>
      <c r="C1817" s="2" t="s">
        <v>5449</v>
      </c>
      <c r="D1817" s="2" t="s">
        <v>10049</v>
      </c>
      <c r="E1817" s="15">
        <v>-2.6499999999999999E-2</v>
      </c>
      <c r="F1817" s="15">
        <v>6.0699999999999997E-2</v>
      </c>
      <c r="G1817" s="15">
        <v>0.66220000000000001</v>
      </c>
      <c r="H1817" s="15">
        <v>0.35970000000000002</v>
      </c>
      <c r="I1817" s="15">
        <v>5.1700000000000003E-2</v>
      </c>
      <c r="J1817" s="15">
        <v>6.957446808510638</v>
      </c>
    </row>
    <row r="1818" spans="1:10" x14ac:dyDescent="0.25">
      <c r="A1818" s="2" t="s">
        <v>5450</v>
      </c>
      <c r="B1818" s="2" t="s">
        <v>5451</v>
      </c>
      <c r="C1818" s="2" t="s">
        <v>5452</v>
      </c>
      <c r="D1818" s="2" t="s">
        <v>10049</v>
      </c>
      <c r="E1818" s="15">
        <v>-0.02</v>
      </c>
      <c r="F1818" s="15">
        <v>5.9900000000000002E-2</v>
      </c>
      <c r="G1818" s="15">
        <v>0.73799999999999999</v>
      </c>
      <c r="H1818" s="15">
        <v>0.34889999999999999</v>
      </c>
      <c r="I1818" s="15">
        <v>5.11E-2</v>
      </c>
      <c r="J1818" s="15">
        <v>6.8277886497064566</v>
      </c>
    </row>
    <row r="1819" spans="1:10" x14ac:dyDescent="0.25">
      <c r="A1819" s="2" t="s">
        <v>5453</v>
      </c>
      <c r="B1819" s="2" t="s">
        <v>5454</v>
      </c>
      <c r="C1819" s="2" t="s">
        <v>5455</v>
      </c>
      <c r="D1819" s="2" t="s">
        <v>10049</v>
      </c>
      <c r="E1819" s="15">
        <v>-6.0100000000000001E-2</v>
      </c>
      <c r="F1819" s="15">
        <v>8.3199999999999996E-2</v>
      </c>
      <c r="G1819" s="15">
        <v>0.4703</v>
      </c>
      <c r="H1819" s="15">
        <v>0.20660000000000001</v>
      </c>
      <c r="I1819" s="15">
        <v>4.7699999999999999E-2</v>
      </c>
      <c r="J1819" s="15">
        <v>4.3312368972746329</v>
      </c>
    </row>
    <row r="1820" spans="1:10" x14ac:dyDescent="0.25">
      <c r="A1820" s="2" t="s">
        <v>5456</v>
      </c>
      <c r="B1820" s="2" t="s">
        <v>5457</v>
      </c>
      <c r="C1820" s="2" t="s">
        <v>5458</v>
      </c>
      <c r="D1820" s="2" t="s">
        <v>10049</v>
      </c>
      <c r="E1820" s="15">
        <v>-3.56E-2</v>
      </c>
      <c r="F1820" s="15">
        <v>6.4500000000000002E-2</v>
      </c>
      <c r="G1820" s="15">
        <v>0.58120000000000005</v>
      </c>
      <c r="H1820" s="15">
        <v>0.28460000000000002</v>
      </c>
      <c r="I1820" s="15">
        <v>4.8099999999999997E-2</v>
      </c>
      <c r="J1820" s="15">
        <v>5.9168399168399173</v>
      </c>
    </row>
    <row r="1821" spans="1:10" x14ac:dyDescent="0.25">
      <c r="A1821" s="2" t="s">
        <v>5459</v>
      </c>
      <c r="B1821" s="2" t="s">
        <v>5460</v>
      </c>
      <c r="C1821" s="2" t="s">
        <v>5461</v>
      </c>
      <c r="D1821" s="2" t="s">
        <v>10049</v>
      </c>
      <c r="E1821" s="15">
        <v>-0.12690000000000001</v>
      </c>
      <c r="F1821" s="15">
        <v>7.4800000000000005E-2</v>
      </c>
      <c r="G1821" s="15">
        <v>8.9599999999999999E-2</v>
      </c>
      <c r="H1821" s="15">
        <v>0.2387</v>
      </c>
      <c r="I1821" s="15">
        <v>5.2900000000000003E-2</v>
      </c>
      <c r="J1821" s="15">
        <v>4.5122873345935721</v>
      </c>
    </row>
    <row r="1822" spans="1:10" x14ac:dyDescent="0.25">
      <c r="A1822" s="2" t="s">
        <v>5462</v>
      </c>
      <c r="B1822" s="2" t="s">
        <v>5463</v>
      </c>
      <c r="C1822" s="2" t="s">
        <v>5464</v>
      </c>
      <c r="D1822" s="2" t="s">
        <v>10049</v>
      </c>
      <c r="E1822" s="15">
        <v>-0.12520000000000001</v>
      </c>
      <c r="F1822" s="15">
        <v>6.5199999999999994E-2</v>
      </c>
      <c r="G1822" s="15">
        <v>5.4699999999999999E-2</v>
      </c>
      <c r="H1822" s="15">
        <v>0.2702</v>
      </c>
      <c r="I1822" s="15">
        <v>5.3100000000000001E-2</v>
      </c>
      <c r="J1822" s="15">
        <v>5.0885122410546133</v>
      </c>
    </row>
    <row r="1823" spans="1:10" x14ac:dyDescent="0.25">
      <c r="A1823" s="2" t="s">
        <v>5465</v>
      </c>
      <c r="B1823" s="2" t="s">
        <v>5466</v>
      </c>
      <c r="C1823" s="2" t="s">
        <v>5467</v>
      </c>
      <c r="D1823" s="2" t="s">
        <v>10049</v>
      </c>
      <c r="E1823" s="15">
        <v>-3.1099999999999999E-2</v>
      </c>
      <c r="F1823" s="15">
        <v>9.8100000000000007E-2</v>
      </c>
      <c r="G1823" s="15">
        <v>0.75139999999999996</v>
      </c>
      <c r="H1823" s="15">
        <v>0.1128</v>
      </c>
      <c r="I1823" s="15">
        <v>4.5600000000000002E-2</v>
      </c>
      <c r="J1823" s="15">
        <v>2.473684210526315</v>
      </c>
    </row>
    <row r="1824" spans="1:10" x14ac:dyDescent="0.25">
      <c r="A1824" s="2" t="s">
        <v>5468</v>
      </c>
      <c r="B1824" s="2" t="s">
        <v>5469</v>
      </c>
      <c r="C1824" s="2" t="s">
        <v>5470</v>
      </c>
      <c r="D1824" s="2" t="s">
        <v>10049</v>
      </c>
      <c r="E1824" s="15">
        <v>2.7E-2</v>
      </c>
      <c r="F1824" s="15">
        <v>8.4199999999999997E-2</v>
      </c>
      <c r="G1824" s="15">
        <v>0.74870000000000003</v>
      </c>
      <c r="H1824" s="15">
        <v>0.17499999999999999</v>
      </c>
      <c r="I1824" s="15">
        <v>4.1599999999999998E-2</v>
      </c>
      <c r="J1824" s="15">
        <v>4.2067307692307692</v>
      </c>
    </row>
    <row r="1825" spans="1:10" x14ac:dyDescent="0.25">
      <c r="A1825" s="2" t="s">
        <v>5471</v>
      </c>
      <c r="B1825" s="2" t="s">
        <v>5472</v>
      </c>
      <c r="C1825" s="2" t="s">
        <v>5473</v>
      </c>
      <c r="D1825" s="2" t="s">
        <v>10049</v>
      </c>
      <c r="E1825" s="15">
        <v>1.7500000000000002E-2</v>
      </c>
      <c r="F1825" s="15">
        <v>7.85E-2</v>
      </c>
      <c r="G1825" s="15">
        <v>0.82340000000000002</v>
      </c>
      <c r="H1825" s="15">
        <v>0.2049</v>
      </c>
      <c r="I1825" s="15">
        <v>4.6899999999999997E-2</v>
      </c>
      <c r="J1825" s="15">
        <v>4.3688699360341152</v>
      </c>
    </row>
    <row r="1826" spans="1:10" x14ac:dyDescent="0.25">
      <c r="A1826" s="2" t="s">
        <v>5474</v>
      </c>
      <c r="B1826" s="2" t="s">
        <v>5475</v>
      </c>
      <c r="C1826" s="2" t="s">
        <v>5476</v>
      </c>
      <c r="D1826" s="2" t="s">
        <v>10049</v>
      </c>
      <c r="E1826" s="15">
        <v>-3.85E-2</v>
      </c>
      <c r="F1826" s="15">
        <v>7.0199999999999999E-2</v>
      </c>
      <c r="G1826" s="15">
        <v>0.58389999999999997</v>
      </c>
      <c r="H1826" s="15">
        <v>0.25619999999999998</v>
      </c>
      <c r="I1826" s="15">
        <v>4.7199999999999999E-2</v>
      </c>
      <c r="J1826" s="15">
        <v>5.4279661016949152</v>
      </c>
    </row>
    <row r="1827" spans="1:10" x14ac:dyDescent="0.25">
      <c r="A1827" s="2" t="s">
        <v>5477</v>
      </c>
      <c r="B1827" s="2" t="s">
        <v>5478</v>
      </c>
      <c r="C1827" s="2" t="s">
        <v>5479</v>
      </c>
      <c r="D1827" s="2" t="s">
        <v>10049</v>
      </c>
      <c r="E1827" s="15">
        <v>0.1067</v>
      </c>
      <c r="F1827" s="15">
        <v>0.1094</v>
      </c>
      <c r="G1827" s="15">
        <v>0.32919999999999999</v>
      </c>
      <c r="H1827" s="15">
        <v>0.12520000000000001</v>
      </c>
      <c r="I1827" s="15">
        <v>4.5199999999999997E-2</v>
      </c>
      <c r="J1827" s="15">
        <v>2.7699115044247788</v>
      </c>
    </row>
    <row r="1828" spans="1:10" x14ac:dyDescent="0.25">
      <c r="A1828" s="2" t="s">
        <v>5480</v>
      </c>
      <c r="B1828" s="2" t="s">
        <v>5481</v>
      </c>
      <c r="C1828" s="2" t="s">
        <v>5482</v>
      </c>
      <c r="D1828" s="2" t="s">
        <v>10049</v>
      </c>
      <c r="E1828" s="15">
        <v>0.13950000000000001</v>
      </c>
      <c r="F1828" s="15">
        <v>9.8599999999999993E-2</v>
      </c>
      <c r="G1828" s="15">
        <v>0.15709999999999999</v>
      </c>
      <c r="H1828" s="15">
        <v>0.1585</v>
      </c>
      <c r="I1828" s="15">
        <v>4.1799999999999997E-2</v>
      </c>
      <c r="J1828" s="15">
        <v>3.7918660287081338</v>
      </c>
    </row>
    <row r="1829" spans="1:10" x14ac:dyDescent="0.25">
      <c r="A1829" s="2" t="s">
        <v>5483</v>
      </c>
      <c r="B1829" s="2" t="s">
        <v>5484</v>
      </c>
      <c r="C1829" s="2" t="s">
        <v>5485</v>
      </c>
      <c r="D1829" s="2" t="s">
        <v>10049</v>
      </c>
      <c r="E1829" s="15">
        <v>-3.6900000000000002E-2</v>
      </c>
      <c r="F1829" s="15">
        <v>9.1399999999999995E-2</v>
      </c>
      <c r="G1829" s="15">
        <v>0.68689999999999996</v>
      </c>
      <c r="H1829" s="15">
        <v>0.1482</v>
      </c>
      <c r="I1829" s="15">
        <v>5.6800000000000003E-2</v>
      </c>
      <c r="J1829" s="15">
        <v>2.609154929577465</v>
      </c>
    </row>
    <row r="1830" spans="1:10" x14ac:dyDescent="0.25">
      <c r="A1830" s="2" t="s">
        <v>5486</v>
      </c>
      <c r="B1830" s="2" t="s">
        <v>5487</v>
      </c>
      <c r="C1830" s="2" t="s">
        <v>5488</v>
      </c>
      <c r="D1830" s="2" t="s">
        <v>10049</v>
      </c>
      <c r="E1830" s="15">
        <v>-9.1200000000000003E-2</v>
      </c>
      <c r="F1830" s="15">
        <v>0.14000000000000001</v>
      </c>
      <c r="G1830" s="15">
        <v>0.51490000000000002</v>
      </c>
      <c r="H1830" s="15">
        <v>6.1800000000000001E-2</v>
      </c>
      <c r="I1830" s="15">
        <v>4.2500000000000003E-2</v>
      </c>
      <c r="J1830" s="15">
        <v>1.454117647058824</v>
      </c>
    </row>
    <row r="1831" spans="1:10" x14ac:dyDescent="0.25">
      <c r="A1831" s="2" t="s">
        <v>5489</v>
      </c>
      <c r="B1831" s="2" t="s">
        <v>5490</v>
      </c>
      <c r="C1831" s="2" t="s">
        <v>5491</v>
      </c>
      <c r="D1831" s="2" t="s">
        <v>10049</v>
      </c>
      <c r="E1831" s="15">
        <v>1.14E-2</v>
      </c>
      <c r="F1831" s="15">
        <v>6.6799999999999998E-2</v>
      </c>
      <c r="G1831" s="15">
        <v>0.86429999999999996</v>
      </c>
      <c r="H1831" s="15">
        <v>0.2505</v>
      </c>
      <c r="I1831" s="15">
        <v>5.0099999999999999E-2</v>
      </c>
      <c r="J1831" s="15">
        <v>5</v>
      </c>
    </row>
    <row r="1832" spans="1:10" x14ac:dyDescent="0.25">
      <c r="A1832" s="2" t="s">
        <v>5492</v>
      </c>
      <c r="B1832" s="2" t="s">
        <v>5493</v>
      </c>
      <c r="C1832" s="2" t="s">
        <v>5494</v>
      </c>
      <c r="D1832" s="2" t="s">
        <v>10049</v>
      </c>
      <c r="E1832" s="15">
        <v>-3.9899999999999998E-2</v>
      </c>
      <c r="F1832" s="15">
        <v>7.1999999999999995E-2</v>
      </c>
      <c r="G1832" s="15">
        <v>0.57879999999999998</v>
      </c>
      <c r="H1832" s="15">
        <v>0.20930000000000001</v>
      </c>
      <c r="I1832" s="15">
        <v>4.8599999999999997E-2</v>
      </c>
      <c r="J1832" s="15">
        <v>4.306584362139918</v>
      </c>
    </row>
    <row r="1833" spans="1:10" x14ac:dyDescent="0.25">
      <c r="A1833" s="2" t="s">
        <v>5495</v>
      </c>
      <c r="B1833" s="2" t="s">
        <v>5496</v>
      </c>
      <c r="C1833" s="2" t="s">
        <v>5497</v>
      </c>
      <c r="D1833" s="2" t="s">
        <v>10049</v>
      </c>
      <c r="E1833" s="15">
        <v>6.4100000000000004E-2</v>
      </c>
      <c r="F1833" s="15">
        <v>8.5099999999999995E-2</v>
      </c>
      <c r="G1833" s="15">
        <v>0.45140000000000002</v>
      </c>
      <c r="H1833" s="15">
        <v>0.18429999999999999</v>
      </c>
      <c r="I1833" s="15">
        <v>4.5699999999999998E-2</v>
      </c>
      <c r="J1833" s="15">
        <v>4.0328227571115978</v>
      </c>
    </row>
    <row r="1834" spans="1:10" x14ac:dyDescent="0.25">
      <c r="A1834" s="2" t="s">
        <v>5498</v>
      </c>
      <c r="B1834" s="2" t="s">
        <v>5499</v>
      </c>
      <c r="C1834" s="2" t="s">
        <v>5500</v>
      </c>
      <c r="D1834" s="2" t="s">
        <v>10049</v>
      </c>
      <c r="E1834" s="15">
        <v>-8.9999999999999993E-3</v>
      </c>
      <c r="F1834" s="15">
        <v>6.3E-2</v>
      </c>
      <c r="G1834" s="15">
        <v>0.88690000000000002</v>
      </c>
      <c r="H1834" s="15">
        <v>0.27089999999999997</v>
      </c>
      <c r="I1834" s="15">
        <v>4.7899999999999998E-2</v>
      </c>
      <c r="J1834" s="15">
        <v>5.6555323590814197</v>
      </c>
    </row>
    <row r="1835" spans="1:10" x14ac:dyDescent="0.25">
      <c r="A1835" s="2" t="s">
        <v>5501</v>
      </c>
      <c r="B1835" s="2" t="s">
        <v>5502</v>
      </c>
      <c r="C1835" s="2" t="s">
        <v>5503</v>
      </c>
      <c r="D1835" s="2" t="s">
        <v>10049</v>
      </c>
      <c r="E1835" s="15">
        <v>2.5100000000000001E-2</v>
      </c>
      <c r="F1835" s="15">
        <v>7.8700000000000006E-2</v>
      </c>
      <c r="G1835" s="15">
        <v>0.74970000000000003</v>
      </c>
      <c r="H1835" s="15">
        <v>0.22509999999999999</v>
      </c>
      <c r="I1835" s="15">
        <v>4.6600000000000003E-2</v>
      </c>
      <c r="J1835" s="15">
        <v>4.8304721030042916</v>
      </c>
    </row>
    <row r="1836" spans="1:10" x14ac:dyDescent="0.25">
      <c r="A1836" s="2" t="s">
        <v>5504</v>
      </c>
      <c r="B1836" s="2" t="s">
        <v>5505</v>
      </c>
      <c r="C1836" s="2" t="s">
        <v>5506</v>
      </c>
      <c r="D1836" s="2" t="s">
        <v>10049</v>
      </c>
      <c r="E1836" s="15">
        <v>-6.1100000000000002E-2</v>
      </c>
      <c r="F1836" s="15">
        <v>7.2999999999999995E-2</v>
      </c>
      <c r="G1836" s="15">
        <v>0.40239999999999998</v>
      </c>
      <c r="H1836" s="15">
        <v>0.2777</v>
      </c>
      <c r="I1836" s="15">
        <v>4.8899999999999999E-2</v>
      </c>
      <c r="J1836" s="15">
        <v>5.6789366053169736</v>
      </c>
    </row>
    <row r="1837" spans="1:10" x14ac:dyDescent="0.25">
      <c r="A1837" s="2" t="s">
        <v>5507</v>
      </c>
      <c r="B1837" s="2" t="s">
        <v>5508</v>
      </c>
      <c r="C1837" s="2" t="s">
        <v>5509</v>
      </c>
      <c r="D1837" s="2" t="s">
        <v>10049</v>
      </c>
      <c r="E1837" s="15">
        <v>-4.3499999999999997E-2</v>
      </c>
      <c r="F1837" s="15">
        <v>7.2400000000000006E-2</v>
      </c>
      <c r="G1837" s="15">
        <v>0.54820000000000002</v>
      </c>
      <c r="H1837" s="15">
        <v>0.2772</v>
      </c>
      <c r="I1837" s="15">
        <v>4.8599999999999997E-2</v>
      </c>
      <c r="J1837" s="15">
        <v>5.7037037037037042</v>
      </c>
    </row>
    <row r="1838" spans="1:10" x14ac:dyDescent="0.25">
      <c r="A1838" s="2" t="s">
        <v>5510</v>
      </c>
      <c r="B1838" s="2" t="s">
        <v>5511</v>
      </c>
      <c r="C1838" s="2" t="s">
        <v>5512</v>
      </c>
      <c r="D1838" s="2" t="s">
        <v>10049</v>
      </c>
      <c r="E1838" s="15">
        <v>-1.4999999999999999E-2</v>
      </c>
      <c r="F1838" s="15">
        <v>7.0699999999999999E-2</v>
      </c>
      <c r="G1838" s="15">
        <v>0.83150000000000002</v>
      </c>
      <c r="H1838" s="15">
        <v>0.28179999999999999</v>
      </c>
      <c r="I1838" s="15">
        <v>4.9500000000000002E-2</v>
      </c>
      <c r="J1838" s="15">
        <v>5.6929292929292927</v>
      </c>
    </row>
    <row r="1839" spans="1:10" x14ac:dyDescent="0.25">
      <c r="A1839" s="2" t="s">
        <v>5513</v>
      </c>
      <c r="B1839" s="2" t="s">
        <v>5514</v>
      </c>
      <c r="C1839" s="2" t="s">
        <v>5515</v>
      </c>
      <c r="D1839" s="2" t="s">
        <v>10049</v>
      </c>
      <c r="E1839" s="15">
        <v>7.0000000000000001E-3</v>
      </c>
      <c r="F1839" s="15">
        <v>8.1600000000000006E-2</v>
      </c>
      <c r="G1839" s="15">
        <v>0.93130000000000002</v>
      </c>
      <c r="H1839" s="15">
        <v>0.20230000000000001</v>
      </c>
      <c r="I1839" s="15">
        <v>4.65E-2</v>
      </c>
      <c r="J1839" s="15">
        <v>4.3505376344086022</v>
      </c>
    </row>
    <row r="1840" spans="1:10" x14ac:dyDescent="0.25">
      <c r="A1840" s="2" t="s">
        <v>5516</v>
      </c>
      <c r="B1840" s="2" t="s">
        <v>5517</v>
      </c>
      <c r="C1840" s="2" t="s">
        <v>5518</v>
      </c>
      <c r="D1840" s="2" t="s">
        <v>10049</v>
      </c>
      <c r="E1840" s="15">
        <v>-3.0300000000000001E-2</v>
      </c>
      <c r="F1840" s="15">
        <v>8.2799999999999999E-2</v>
      </c>
      <c r="G1840" s="15">
        <v>0.71479999999999999</v>
      </c>
      <c r="H1840" s="15">
        <v>0.16020000000000001</v>
      </c>
      <c r="I1840" s="15">
        <v>6.2E-2</v>
      </c>
      <c r="J1840" s="15">
        <v>2.583870967741936</v>
      </c>
    </row>
    <row r="1841" spans="1:10" x14ac:dyDescent="0.25">
      <c r="A1841" s="2" t="s">
        <v>5519</v>
      </c>
      <c r="B1841" s="2" t="s">
        <v>5520</v>
      </c>
      <c r="C1841" s="2" t="s">
        <v>5521</v>
      </c>
      <c r="D1841" s="2" t="s">
        <v>10049</v>
      </c>
      <c r="E1841" s="15">
        <v>0.13159999999999999</v>
      </c>
      <c r="F1841" s="15">
        <v>8.5599999999999996E-2</v>
      </c>
      <c r="G1841" s="15">
        <v>0.1242</v>
      </c>
      <c r="H1841" s="15">
        <v>0.191</v>
      </c>
      <c r="I1841" s="15">
        <v>6.4299999999999996E-2</v>
      </c>
      <c r="J1841" s="15">
        <v>2.9704510108864701</v>
      </c>
    </row>
    <row r="1842" spans="1:10" x14ac:dyDescent="0.25">
      <c r="A1842" s="2" t="s">
        <v>5522</v>
      </c>
      <c r="B1842" s="2" t="s">
        <v>5523</v>
      </c>
      <c r="C1842" s="2" t="s">
        <v>5524</v>
      </c>
      <c r="D1842" s="2" t="s">
        <v>10049</v>
      </c>
      <c r="E1842" s="15">
        <v>9.3899999999999997E-2</v>
      </c>
      <c r="F1842" s="15">
        <v>7.1900000000000006E-2</v>
      </c>
      <c r="G1842" s="15">
        <v>0.1915</v>
      </c>
      <c r="H1842" s="15">
        <v>0.25090000000000001</v>
      </c>
      <c r="I1842" s="15">
        <v>4.4200000000000003E-2</v>
      </c>
      <c r="J1842" s="15">
        <v>5.6764705882352944</v>
      </c>
    </row>
    <row r="1843" spans="1:10" x14ac:dyDescent="0.25">
      <c r="A1843" s="2" t="s">
        <v>5525</v>
      </c>
      <c r="B1843" s="2" t="s">
        <v>5526</v>
      </c>
      <c r="C1843" s="2" t="s">
        <v>5527</v>
      </c>
      <c r="D1843" s="2" t="s">
        <v>10049</v>
      </c>
      <c r="E1843" s="15">
        <v>-2.01E-2</v>
      </c>
      <c r="F1843" s="15">
        <v>7.5600000000000001E-2</v>
      </c>
      <c r="G1843" s="15">
        <v>0.7903</v>
      </c>
      <c r="H1843" s="15">
        <v>0.2261</v>
      </c>
      <c r="I1843" s="15">
        <v>4.3799999999999999E-2</v>
      </c>
      <c r="J1843" s="15">
        <v>5.1621004566210047</v>
      </c>
    </row>
    <row r="1844" spans="1:10" x14ac:dyDescent="0.25">
      <c r="A1844" s="2" t="s">
        <v>5528</v>
      </c>
      <c r="B1844" s="2" t="s">
        <v>5529</v>
      </c>
      <c r="C1844" s="2" t="s">
        <v>5530</v>
      </c>
      <c r="D1844" s="2" t="s">
        <v>10049</v>
      </c>
      <c r="E1844" s="15">
        <v>1.6E-2</v>
      </c>
      <c r="F1844" s="15">
        <v>5.7500000000000002E-2</v>
      </c>
      <c r="G1844" s="15">
        <v>0.78080000000000005</v>
      </c>
      <c r="H1844" s="15">
        <v>0.3911</v>
      </c>
      <c r="I1844" s="15">
        <v>5.1700000000000003E-2</v>
      </c>
      <c r="J1844" s="15">
        <v>7.5647969052224369</v>
      </c>
    </row>
    <row r="1845" spans="1:10" x14ac:dyDescent="0.25">
      <c r="A1845" s="2" t="s">
        <v>5531</v>
      </c>
      <c r="B1845" s="2" t="s">
        <v>5532</v>
      </c>
      <c r="C1845" s="2" t="s">
        <v>5533</v>
      </c>
      <c r="D1845" s="2" t="s">
        <v>10049</v>
      </c>
      <c r="E1845" s="15">
        <v>4.1500000000000002E-2</v>
      </c>
      <c r="F1845" s="15">
        <v>5.3499999999999999E-2</v>
      </c>
      <c r="G1845" s="15">
        <v>0.43819999999999998</v>
      </c>
      <c r="H1845" s="15">
        <v>0.40710000000000002</v>
      </c>
      <c r="I1845" s="15">
        <v>5.2900000000000003E-2</v>
      </c>
      <c r="J1845" s="15">
        <v>7.695652173913043</v>
      </c>
    </row>
    <row r="1846" spans="1:10" x14ac:dyDescent="0.25">
      <c r="A1846" s="2" t="s">
        <v>5534</v>
      </c>
      <c r="B1846" s="2" t="s">
        <v>5535</v>
      </c>
      <c r="C1846" s="2" t="s">
        <v>5536</v>
      </c>
      <c r="D1846" s="2" t="s">
        <v>10049</v>
      </c>
      <c r="E1846" s="15">
        <v>5.9900000000000002E-2</v>
      </c>
      <c r="F1846" s="15">
        <v>7.0199999999999999E-2</v>
      </c>
      <c r="G1846" s="15">
        <v>0.39319999999999999</v>
      </c>
      <c r="H1846" s="15">
        <v>0.24640000000000001</v>
      </c>
      <c r="I1846" s="15">
        <v>4.4400000000000002E-2</v>
      </c>
      <c r="J1846" s="15">
        <v>5.5495495495495497</v>
      </c>
    </row>
    <row r="1847" spans="1:10" x14ac:dyDescent="0.25">
      <c r="A1847" s="2" t="s">
        <v>5537</v>
      </c>
      <c r="B1847" s="2" t="s">
        <v>5538</v>
      </c>
      <c r="C1847" s="2" t="s">
        <v>5539</v>
      </c>
      <c r="D1847" s="2" t="s">
        <v>10049</v>
      </c>
      <c r="E1847" s="15">
        <v>4.1700000000000001E-2</v>
      </c>
      <c r="F1847" s="15">
        <v>5.7200000000000001E-2</v>
      </c>
      <c r="G1847" s="15">
        <v>0.4662</v>
      </c>
      <c r="H1847" s="15">
        <v>0.33760000000000001</v>
      </c>
      <c r="I1847" s="15">
        <v>4.5999999999999999E-2</v>
      </c>
      <c r="J1847" s="15">
        <v>7.339130434782609</v>
      </c>
    </row>
    <row r="1848" spans="1:10" x14ac:dyDescent="0.25">
      <c r="A1848" s="2" t="s">
        <v>5540</v>
      </c>
      <c r="B1848" s="2" t="s">
        <v>5541</v>
      </c>
      <c r="C1848" s="2" t="s">
        <v>5542</v>
      </c>
      <c r="D1848" s="2" t="s">
        <v>10049</v>
      </c>
      <c r="E1848" s="15">
        <v>-5.7599999999999998E-2</v>
      </c>
      <c r="F1848" s="15">
        <v>6.4699999999999994E-2</v>
      </c>
      <c r="G1848" s="15">
        <v>0.37309999999999999</v>
      </c>
      <c r="H1848" s="15">
        <v>0.26989999999999997</v>
      </c>
      <c r="I1848" s="15">
        <v>5.0900000000000001E-2</v>
      </c>
      <c r="J1848" s="15">
        <v>5.302554027504911</v>
      </c>
    </row>
    <row r="1849" spans="1:10" x14ac:dyDescent="0.25">
      <c r="A1849" s="2" t="s">
        <v>5543</v>
      </c>
      <c r="B1849" s="2" t="s">
        <v>5544</v>
      </c>
      <c r="C1849" s="2" t="s">
        <v>5545</v>
      </c>
      <c r="D1849" s="2" t="s">
        <v>10049</v>
      </c>
      <c r="E1849" s="15">
        <v>-4.0899999999999999E-2</v>
      </c>
      <c r="F1849" s="15">
        <v>6.8900000000000003E-2</v>
      </c>
      <c r="G1849" s="15">
        <v>0.55269999999999997</v>
      </c>
      <c r="H1849" s="15">
        <v>0.2253</v>
      </c>
      <c r="I1849" s="15">
        <v>4.8800000000000003E-2</v>
      </c>
      <c r="J1849" s="15">
        <v>4.6168032786885247</v>
      </c>
    </row>
    <row r="1850" spans="1:10" x14ac:dyDescent="0.25">
      <c r="A1850" s="2" t="s">
        <v>5546</v>
      </c>
      <c r="B1850" s="2" t="s">
        <v>5547</v>
      </c>
      <c r="C1850" s="2" t="s">
        <v>5548</v>
      </c>
      <c r="D1850" s="2" t="s">
        <v>10049</v>
      </c>
      <c r="E1850" s="15">
        <v>-7.9299999999999995E-2</v>
      </c>
      <c r="F1850" s="15">
        <v>7.5200000000000003E-2</v>
      </c>
      <c r="G1850" s="15">
        <v>0.29210000000000003</v>
      </c>
      <c r="H1850" s="15">
        <v>0.22070000000000001</v>
      </c>
      <c r="I1850" s="15">
        <v>4.3499999999999997E-2</v>
      </c>
      <c r="J1850" s="15">
        <v>5.073563218390805</v>
      </c>
    </row>
    <row r="1851" spans="1:10" x14ac:dyDescent="0.25">
      <c r="A1851" s="2" t="s">
        <v>5549</v>
      </c>
      <c r="B1851" s="2" t="s">
        <v>5550</v>
      </c>
      <c r="C1851" s="2" t="s">
        <v>5551</v>
      </c>
      <c r="D1851" s="2" t="s">
        <v>10049</v>
      </c>
      <c r="E1851" s="15">
        <v>-3.5000000000000003E-2</v>
      </c>
      <c r="F1851" s="15">
        <v>9.2600000000000002E-2</v>
      </c>
      <c r="G1851" s="15">
        <v>0.70530000000000004</v>
      </c>
      <c r="H1851" s="15">
        <v>0.1537</v>
      </c>
      <c r="I1851" s="15">
        <v>4.2299999999999997E-2</v>
      </c>
      <c r="J1851" s="15">
        <v>3.6335697399527191</v>
      </c>
    </row>
    <row r="1852" spans="1:10" x14ac:dyDescent="0.25">
      <c r="A1852" s="2" t="s">
        <v>5552</v>
      </c>
      <c r="B1852" s="2" t="s">
        <v>5553</v>
      </c>
      <c r="C1852" s="2" t="s">
        <v>5554</v>
      </c>
      <c r="D1852" s="2" t="s">
        <v>10049</v>
      </c>
      <c r="E1852" s="15">
        <v>-3.6200000000000003E-2</v>
      </c>
      <c r="F1852" s="15">
        <v>8.6400000000000005E-2</v>
      </c>
      <c r="G1852" s="15">
        <v>0.67530000000000001</v>
      </c>
      <c r="H1852" s="15">
        <v>0.19789999999999999</v>
      </c>
      <c r="I1852" s="15">
        <v>4.5900000000000003E-2</v>
      </c>
      <c r="J1852" s="15">
        <v>4.3115468409586049</v>
      </c>
    </row>
    <row r="1853" spans="1:10" x14ac:dyDescent="0.25">
      <c r="A1853" s="2" t="s">
        <v>5555</v>
      </c>
      <c r="B1853" s="2" t="s">
        <v>5556</v>
      </c>
      <c r="C1853" s="2" t="s">
        <v>5557</v>
      </c>
      <c r="D1853" s="2" t="s">
        <v>10049</v>
      </c>
      <c r="E1853" s="15">
        <v>-8.5999999999999993E-2</v>
      </c>
      <c r="F1853" s="15">
        <v>8.0799999999999997E-2</v>
      </c>
      <c r="G1853" s="15">
        <v>0.28720000000000001</v>
      </c>
      <c r="H1853" s="15">
        <v>0.20399999999999999</v>
      </c>
      <c r="I1853" s="15">
        <v>4.4600000000000001E-2</v>
      </c>
      <c r="J1853" s="15">
        <v>4.5739910313901344</v>
      </c>
    </row>
    <row r="1854" spans="1:10" x14ac:dyDescent="0.25">
      <c r="A1854" s="2" t="s">
        <v>5558</v>
      </c>
      <c r="B1854" s="2" t="s">
        <v>5559</v>
      </c>
      <c r="C1854" s="2" t="s">
        <v>5560</v>
      </c>
      <c r="D1854" s="2" t="s">
        <v>10049</v>
      </c>
      <c r="E1854" s="15">
        <v>-0.1089</v>
      </c>
      <c r="F1854" s="15">
        <v>6.1499999999999999E-2</v>
      </c>
      <c r="G1854" s="15">
        <v>7.6499999999999999E-2</v>
      </c>
      <c r="H1854" s="15">
        <v>0.31159999999999999</v>
      </c>
      <c r="I1854" s="15">
        <v>5.4899999999999997E-2</v>
      </c>
      <c r="J1854" s="15">
        <v>5.6757741347905286</v>
      </c>
    </row>
    <row r="1855" spans="1:10" x14ac:dyDescent="0.25">
      <c r="A1855" s="2" t="s">
        <v>5561</v>
      </c>
      <c r="B1855" s="2" t="s">
        <v>5562</v>
      </c>
      <c r="C1855" s="2" t="s">
        <v>5563</v>
      </c>
      <c r="D1855" s="2" t="s">
        <v>10049</v>
      </c>
      <c r="E1855" s="15">
        <v>-0.112</v>
      </c>
      <c r="F1855" s="15">
        <v>6.7299999999999999E-2</v>
      </c>
      <c r="G1855" s="15">
        <v>9.6000000000000002E-2</v>
      </c>
      <c r="H1855" s="15">
        <v>0.29770000000000002</v>
      </c>
      <c r="I1855" s="15">
        <v>4.9200000000000001E-2</v>
      </c>
      <c r="J1855" s="15">
        <v>6.0508130081300813</v>
      </c>
    </row>
    <row r="1856" spans="1:10" x14ac:dyDescent="0.25">
      <c r="A1856" s="2" t="s">
        <v>5564</v>
      </c>
      <c r="B1856" s="2" t="s">
        <v>5565</v>
      </c>
      <c r="C1856" s="2" t="s">
        <v>5566</v>
      </c>
      <c r="D1856" s="2" t="s">
        <v>10049</v>
      </c>
      <c r="E1856" s="15">
        <v>-0.14940000000000001</v>
      </c>
      <c r="F1856" s="15">
        <v>8.8099999999999998E-2</v>
      </c>
      <c r="G1856" s="15">
        <v>9.0200000000000002E-2</v>
      </c>
      <c r="H1856" s="15">
        <v>0.14430000000000001</v>
      </c>
      <c r="I1856" s="15">
        <v>4.5400000000000003E-2</v>
      </c>
      <c r="J1856" s="15">
        <v>3.1784140969162999</v>
      </c>
    </row>
    <row r="1857" spans="1:10" x14ac:dyDescent="0.25">
      <c r="A1857" s="2" t="s">
        <v>5567</v>
      </c>
      <c r="B1857" s="2" t="s">
        <v>5568</v>
      </c>
      <c r="C1857" s="2" t="s">
        <v>5569</v>
      </c>
      <c r="D1857" s="2" t="s">
        <v>10049</v>
      </c>
      <c r="E1857" s="15">
        <v>-0.2235</v>
      </c>
      <c r="F1857" s="15">
        <v>0.1145</v>
      </c>
      <c r="G1857" s="15">
        <v>5.0999999999999997E-2</v>
      </c>
      <c r="H1857" s="15">
        <v>8.4900000000000003E-2</v>
      </c>
      <c r="I1857" s="15">
        <v>4.2099999999999999E-2</v>
      </c>
      <c r="J1857" s="15">
        <v>2.0166270783847979</v>
      </c>
    </row>
    <row r="1858" spans="1:10" x14ac:dyDescent="0.25">
      <c r="A1858" s="2" t="s">
        <v>5570</v>
      </c>
      <c r="B1858" s="2" t="s">
        <v>5571</v>
      </c>
      <c r="C1858" s="2" t="s">
        <v>5572</v>
      </c>
      <c r="D1858" s="2" t="s">
        <v>10049</v>
      </c>
      <c r="E1858" s="15">
        <v>-8.1799999999999998E-2</v>
      </c>
      <c r="F1858" s="15">
        <v>8.6199999999999999E-2</v>
      </c>
      <c r="G1858" s="15">
        <v>0.34260000000000002</v>
      </c>
      <c r="H1858" s="15">
        <v>0.1736</v>
      </c>
      <c r="I1858" s="15">
        <v>4.65E-2</v>
      </c>
      <c r="J1858" s="15">
        <v>3.7333333333333329</v>
      </c>
    </row>
    <row r="1859" spans="1:10" x14ac:dyDescent="0.25">
      <c r="A1859" s="2" t="s">
        <v>5573</v>
      </c>
      <c r="B1859" s="2" t="s">
        <v>5574</v>
      </c>
      <c r="C1859" s="2" t="s">
        <v>5575</v>
      </c>
      <c r="D1859" s="2" t="s">
        <v>10049</v>
      </c>
      <c r="E1859" s="15">
        <v>-7.7899999999999997E-2</v>
      </c>
      <c r="F1859" s="15">
        <v>8.4000000000000005E-2</v>
      </c>
      <c r="G1859" s="15">
        <v>0.3538</v>
      </c>
      <c r="H1859" s="15">
        <v>0.1678</v>
      </c>
      <c r="I1859" s="15">
        <v>4.3799999999999999E-2</v>
      </c>
      <c r="J1859" s="15">
        <v>3.8310502283105019</v>
      </c>
    </row>
    <row r="1860" spans="1:10" x14ac:dyDescent="0.25">
      <c r="A1860" s="2" t="s">
        <v>5576</v>
      </c>
      <c r="B1860" s="2" t="s">
        <v>5577</v>
      </c>
      <c r="C1860" s="2" t="s">
        <v>5578</v>
      </c>
      <c r="D1860" s="2" t="s">
        <v>10049</v>
      </c>
      <c r="E1860" s="15">
        <v>1.18E-2</v>
      </c>
      <c r="F1860" s="15">
        <v>8.8999999999999996E-2</v>
      </c>
      <c r="G1860" s="15">
        <v>0.89439999999999997</v>
      </c>
      <c r="H1860" s="15">
        <v>0.17369999999999999</v>
      </c>
      <c r="I1860" s="15">
        <v>4.5999999999999999E-2</v>
      </c>
      <c r="J1860" s="15">
        <v>3.776086956521739</v>
      </c>
    </row>
    <row r="1861" spans="1:10" x14ac:dyDescent="0.25">
      <c r="A1861" s="2" t="s">
        <v>5579</v>
      </c>
      <c r="B1861" s="2" t="s">
        <v>5580</v>
      </c>
      <c r="C1861" s="2" t="s">
        <v>5581</v>
      </c>
      <c r="D1861" s="2" t="s">
        <v>10049</v>
      </c>
      <c r="E1861" s="15">
        <v>1.0500000000000001E-2</v>
      </c>
      <c r="F1861" s="15">
        <v>7.5800000000000006E-2</v>
      </c>
      <c r="G1861" s="15">
        <v>0.88980000000000004</v>
      </c>
      <c r="H1861" s="15">
        <v>0.20380000000000001</v>
      </c>
      <c r="I1861" s="15">
        <v>5.04E-2</v>
      </c>
      <c r="J1861" s="15">
        <v>4.0436507936507926</v>
      </c>
    </row>
    <row r="1862" spans="1:10" x14ac:dyDescent="0.25">
      <c r="A1862" s="2" t="s">
        <v>5582</v>
      </c>
      <c r="B1862" s="2" t="s">
        <v>5583</v>
      </c>
      <c r="C1862" s="2" t="s">
        <v>5584</v>
      </c>
      <c r="D1862" s="2" t="s">
        <v>10049</v>
      </c>
      <c r="E1862" s="15">
        <v>-3.1800000000000002E-2</v>
      </c>
      <c r="F1862" s="15">
        <v>8.1000000000000003E-2</v>
      </c>
      <c r="G1862" s="15">
        <v>0.69410000000000005</v>
      </c>
      <c r="H1862" s="15">
        <v>0.22520000000000001</v>
      </c>
      <c r="I1862" s="15">
        <v>5.4899999999999997E-2</v>
      </c>
      <c r="J1862" s="15">
        <v>4.10200364298725</v>
      </c>
    </row>
    <row r="1863" spans="1:10" x14ac:dyDescent="0.25">
      <c r="A1863" s="2" t="s">
        <v>5585</v>
      </c>
      <c r="B1863" s="2" t="s">
        <v>5586</v>
      </c>
      <c r="C1863" s="2" t="s">
        <v>5587</v>
      </c>
      <c r="D1863" s="2" t="s">
        <v>10049</v>
      </c>
      <c r="E1863" s="15">
        <v>-7.8200000000000006E-2</v>
      </c>
      <c r="F1863" s="15">
        <v>7.3499999999999996E-2</v>
      </c>
      <c r="G1863" s="15">
        <v>0.28739999999999999</v>
      </c>
      <c r="H1863" s="15">
        <v>0.25729999999999997</v>
      </c>
      <c r="I1863" s="15">
        <v>5.1200000000000002E-2</v>
      </c>
      <c r="J1863" s="15">
        <v>5.0253906249999991</v>
      </c>
    </row>
    <row r="1864" spans="1:10" x14ac:dyDescent="0.25">
      <c r="A1864" s="2" t="s">
        <v>5588</v>
      </c>
      <c r="B1864" s="2" t="s">
        <v>5589</v>
      </c>
      <c r="C1864" s="2" t="s">
        <v>5590</v>
      </c>
      <c r="D1864" s="2" t="s">
        <v>10049</v>
      </c>
      <c r="E1864" s="15">
        <v>-8.6499999999999994E-2</v>
      </c>
      <c r="F1864" s="15">
        <v>8.2699999999999996E-2</v>
      </c>
      <c r="G1864" s="15">
        <v>0.29570000000000002</v>
      </c>
      <c r="H1864" s="15">
        <v>0.22969999999999999</v>
      </c>
      <c r="I1864" s="15">
        <v>5.1200000000000002E-2</v>
      </c>
      <c r="J1864" s="15">
        <v>4.4863281249999991</v>
      </c>
    </row>
    <row r="1865" spans="1:10" x14ac:dyDescent="0.25">
      <c r="A1865" s="2" t="s">
        <v>5591</v>
      </c>
      <c r="B1865" s="2" t="s">
        <v>5592</v>
      </c>
      <c r="C1865" s="2" t="s">
        <v>5593</v>
      </c>
      <c r="D1865" s="2" t="s">
        <v>10049</v>
      </c>
      <c r="E1865" s="15">
        <v>-9.01E-2</v>
      </c>
      <c r="F1865" s="15">
        <v>6.93E-2</v>
      </c>
      <c r="G1865" s="15">
        <v>0.19359999999999999</v>
      </c>
      <c r="H1865" s="15">
        <v>0.29399999999999998</v>
      </c>
      <c r="I1865" s="15">
        <v>5.1499999999999997E-2</v>
      </c>
      <c r="J1865" s="15">
        <v>5.70873786407767</v>
      </c>
    </row>
    <row r="1866" spans="1:10" x14ac:dyDescent="0.25">
      <c r="A1866" s="2" t="s">
        <v>5594</v>
      </c>
      <c r="B1866" s="2" t="s">
        <v>5595</v>
      </c>
      <c r="C1866" s="2" t="s">
        <v>5596</v>
      </c>
      <c r="D1866" s="2" t="s">
        <v>10049</v>
      </c>
      <c r="E1866" s="15">
        <v>-3.3300000000000003E-2</v>
      </c>
      <c r="F1866" s="15">
        <v>9.8699999999999996E-2</v>
      </c>
      <c r="G1866" s="15">
        <v>0.7359</v>
      </c>
      <c r="H1866" s="15">
        <v>0.13539999999999999</v>
      </c>
      <c r="I1866" s="15">
        <v>4.8300000000000003E-2</v>
      </c>
      <c r="J1866" s="15">
        <v>2.8033126293995858</v>
      </c>
    </row>
    <row r="1867" spans="1:10" x14ac:dyDescent="0.25">
      <c r="A1867" s="2" t="s">
        <v>5597</v>
      </c>
      <c r="B1867" s="2" t="s">
        <v>5598</v>
      </c>
      <c r="C1867" s="2" t="s">
        <v>5599</v>
      </c>
      <c r="D1867" s="2" t="s">
        <v>10049</v>
      </c>
      <c r="E1867" s="15">
        <v>-0.1583</v>
      </c>
      <c r="F1867" s="15">
        <v>0.20080000000000001</v>
      </c>
      <c r="G1867" s="15">
        <v>0.43049999999999999</v>
      </c>
      <c r="H1867" s="15">
        <v>3.3599999999999998E-2</v>
      </c>
      <c r="I1867" s="15">
        <v>3.6799999999999999E-2</v>
      </c>
      <c r="J1867" s="15">
        <v>0.91304347826086951</v>
      </c>
    </row>
    <row r="1868" spans="1:10" x14ac:dyDescent="0.25">
      <c r="A1868" s="2" t="s">
        <v>5600</v>
      </c>
      <c r="B1868" s="2" t="s">
        <v>5601</v>
      </c>
      <c r="C1868" s="2" t="s">
        <v>5602</v>
      </c>
      <c r="D1868" s="2" t="s">
        <v>10049</v>
      </c>
      <c r="E1868" s="15">
        <v>9.1600000000000001E-2</v>
      </c>
      <c r="F1868" s="15">
        <v>0.1603</v>
      </c>
      <c r="G1868" s="15">
        <v>0.56759999999999999</v>
      </c>
      <c r="H1868" s="15">
        <v>5.3400000000000003E-2</v>
      </c>
      <c r="I1868" s="15">
        <v>4.0099999999999997E-2</v>
      </c>
      <c r="J1868" s="15">
        <v>1.3316708229426431</v>
      </c>
    </row>
    <row r="1869" spans="1:10" x14ac:dyDescent="0.25">
      <c r="A1869" s="2" t="s">
        <v>5603</v>
      </c>
      <c r="B1869" s="2" t="s">
        <v>5604</v>
      </c>
      <c r="C1869" s="2" t="s">
        <v>5605</v>
      </c>
      <c r="D1869" s="2" t="s">
        <v>10049</v>
      </c>
      <c r="E1869" s="15">
        <v>9.8599999999999993E-2</v>
      </c>
      <c r="F1869" s="15">
        <v>8.3699999999999997E-2</v>
      </c>
      <c r="G1869" s="15">
        <v>0.2392</v>
      </c>
      <c r="H1869" s="15">
        <v>0.18609999999999999</v>
      </c>
      <c r="I1869" s="15">
        <v>4.48E-2</v>
      </c>
      <c r="J1869" s="15">
        <v>4.1540178571428568</v>
      </c>
    </row>
    <row r="1870" spans="1:10" x14ac:dyDescent="0.25">
      <c r="A1870" s="2" t="s">
        <v>5606</v>
      </c>
      <c r="B1870" s="2" t="s">
        <v>5607</v>
      </c>
      <c r="C1870" s="2" t="s">
        <v>5608</v>
      </c>
      <c r="D1870" s="2" t="s">
        <v>10049</v>
      </c>
      <c r="E1870" s="15">
        <v>-2.35E-2</v>
      </c>
      <c r="F1870" s="15">
        <v>6.6000000000000003E-2</v>
      </c>
      <c r="G1870" s="15">
        <v>0.72219999999999995</v>
      </c>
      <c r="H1870" s="15">
        <v>0.2747</v>
      </c>
      <c r="I1870" s="15">
        <v>4.6800000000000001E-2</v>
      </c>
      <c r="J1870" s="15">
        <v>5.8696581196581192</v>
      </c>
    </row>
    <row r="1871" spans="1:10" x14ac:dyDescent="0.25">
      <c r="A1871" s="2" t="s">
        <v>5609</v>
      </c>
      <c r="B1871" s="2" t="s">
        <v>5610</v>
      </c>
      <c r="C1871" s="2" t="s">
        <v>5611</v>
      </c>
      <c r="D1871" s="2" t="s">
        <v>10049</v>
      </c>
      <c r="E1871" s="15">
        <v>-5.3600000000000002E-2</v>
      </c>
      <c r="F1871" s="15">
        <v>6.1100000000000002E-2</v>
      </c>
      <c r="G1871" s="15">
        <v>0.37990000000000002</v>
      </c>
      <c r="H1871" s="15">
        <v>0.3624</v>
      </c>
      <c r="I1871" s="15">
        <v>5.2299999999999999E-2</v>
      </c>
      <c r="J1871" s="15">
        <v>6.9292543021032502</v>
      </c>
    </row>
    <row r="1872" spans="1:10" x14ac:dyDescent="0.25">
      <c r="A1872" s="2" t="s">
        <v>5612</v>
      </c>
      <c r="B1872" s="2" t="s">
        <v>5613</v>
      </c>
      <c r="C1872" s="2" t="s">
        <v>5614</v>
      </c>
      <c r="D1872" s="2" t="s">
        <v>10049</v>
      </c>
      <c r="E1872" s="15">
        <v>-7.7799999999999994E-2</v>
      </c>
      <c r="F1872" s="15">
        <v>6.2600000000000003E-2</v>
      </c>
      <c r="G1872" s="15">
        <v>0.21340000000000001</v>
      </c>
      <c r="H1872" s="15">
        <v>0.33510000000000001</v>
      </c>
      <c r="I1872" s="15">
        <v>5.0500000000000003E-2</v>
      </c>
      <c r="J1872" s="15">
        <v>6.6356435643564353</v>
      </c>
    </row>
    <row r="1873" spans="1:10" x14ac:dyDescent="0.25">
      <c r="A1873" s="2" t="s">
        <v>5615</v>
      </c>
      <c r="B1873" s="2" t="s">
        <v>5616</v>
      </c>
      <c r="C1873" s="2" t="s">
        <v>5617</v>
      </c>
      <c r="D1873" s="2" t="s">
        <v>10049</v>
      </c>
      <c r="E1873" s="15">
        <v>-0.14360000000000001</v>
      </c>
      <c r="F1873" s="15">
        <v>8.5000000000000006E-2</v>
      </c>
      <c r="G1873" s="15">
        <v>9.1200000000000003E-2</v>
      </c>
      <c r="H1873" s="15">
        <v>0.20469999999999999</v>
      </c>
      <c r="I1873" s="15">
        <v>5.0900000000000001E-2</v>
      </c>
      <c r="J1873" s="15">
        <v>4.0216110019646374</v>
      </c>
    </row>
    <row r="1874" spans="1:10" x14ac:dyDescent="0.25">
      <c r="A1874" s="2" t="s">
        <v>5618</v>
      </c>
      <c r="B1874" s="2" t="s">
        <v>5619</v>
      </c>
      <c r="C1874" s="2" t="s">
        <v>5620</v>
      </c>
      <c r="D1874" s="2" t="s">
        <v>10049</v>
      </c>
      <c r="E1874" s="15">
        <v>-9.1399999999999995E-2</v>
      </c>
      <c r="F1874" s="15">
        <v>7.3800000000000004E-2</v>
      </c>
      <c r="G1874" s="15">
        <v>0.2157</v>
      </c>
      <c r="H1874" s="15">
        <v>0.24679999999999999</v>
      </c>
      <c r="I1874" s="15">
        <v>5.0099999999999999E-2</v>
      </c>
      <c r="J1874" s="15">
        <v>4.926147704590818</v>
      </c>
    </row>
    <row r="1875" spans="1:10" x14ac:dyDescent="0.25">
      <c r="A1875" s="2" t="s">
        <v>5621</v>
      </c>
      <c r="B1875" s="2" t="s">
        <v>5622</v>
      </c>
      <c r="C1875" s="2" t="s">
        <v>5623</v>
      </c>
      <c r="D1875" s="2" t="s">
        <v>10049</v>
      </c>
      <c r="E1875" s="15">
        <v>-0.16400000000000001</v>
      </c>
      <c r="F1875" s="15">
        <v>8.2199999999999995E-2</v>
      </c>
      <c r="G1875" s="15">
        <v>4.6100000000000002E-2</v>
      </c>
      <c r="H1875" s="15">
        <v>0.21029999999999999</v>
      </c>
      <c r="I1875" s="15">
        <v>5.1200000000000002E-2</v>
      </c>
      <c r="J1875" s="15">
        <v>4.1074218749999991</v>
      </c>
    </row>
    <row r="1876" spans="1:10" x14ac:dyDescent="0.25">
      <c r="A1876" s="2" t="s">
        <v>5624</v>
      </c>
      <c r="B1876" s="2" t="s">
        <v>5625</v>
      </c>
      <c r="C1876" s="2" t="s">
        <v>5626</v>
      </c>
      <c r="D1876" s="2" t="s">
        <v>10049</v>
      </c>
      <c r="E1876" s="15">
        <v>-0.1656</v>
      </c>
      <c r="F1876" s="15">
        <v>6.7900000000000002E-2</v>
      </c>
      <c r="G1876" s="15">
        <v>1.47E-2</v>
      </c>
      <c r="H1876" s="15">
        <v>0.27629999999999999</v>
      </c>
      <c r="I1876" s="15">
        <v>5.28E-2</v>
      </c>
      <c r="J1876" s="15">
        <v>5.232954545454545</v>
      </c>
    </row>
    <row r="1877" spans="1:10" x14ac:dyDescent="0.25">
      <c r="A1877" s="2" t="s">
        <v>5627</v>
      </c>
      <c r="B1877" s="2" t="s">
        <v>5628</v>
      </c>
      <c r="C1877" s="2" t="s">
        <v>5629</v>
      </c>
      <c r="D1877" s="2" t="s">
        <v>10049</v>
      </c>
      <c r="E1877" s="15">
        <v>-5.11E-2</v>
      </c>
      <c r="F1877" s="15">
        <v>7.2999999999999995E-2</v>
      </c>
      <c r="G1877" s="15">
        <v>0.48430000000000001</v>
      </c>
      <c r="H1877" s="15">
        <v>0.24959999999999999</v>
      </c>
      <c r="I1877" s="15">
        <v>4.65E-2</v>
      </c>
      <c r="J1877" s="15">
        <v>5.3677419354838696</v>
      </c>
    </row>
    <row r="1878" spans="1:10" x14ac:dyDescent="0.25">
      <c r="A1878" s="2" t="s">
        <v>5630</v>
      </c>
      <c r="B1878" s="2" t="s">
        <v>5631</v>
      </c>
      <c r="C1878" s="2" t="s">
        <v>5632</v>
      </c>
      <c r="D1878" s="2" t="s">
        <v>10049</v>
      </c>
      <c r="E1878" s="15">
        <v>-3.9300000000000002E-2</v>
      </c>
      <c r="F1878" s="15">
        <v>8.2699999999999996E-2</v>
      </c>
      <c r="G1878" s="15">
        <v>0.63449999999999995</v>
      </c>
      <c r="H1878" s="15">
        <v>0.1925</v>
      </c>
      <c r="I1878" s="15">
        <v>4.5699999999999998E-2</v>
      </c>
      <c r="J1878" s="15">
        <v>4.2122538293216634</v>
      </c>
    </row>
    <row r="1879" spans="1:10" x14ac:dyDescent="0.25">
      <c r="A1879" s="2" t="s">
        <v>5633</v>
      </c>
      <c r="B1879" s="2" t="s">
        <v>5634</v>
      </c>
      <c r="C1879" s="2" t="s">
        <v>5635</v>
      </c>
      <c r="D1879" s="2" t="s">
        <v>10049</v>
      </c>
      <c r="E1879" s="15">
        <v>-0.1221</v>
      </c>
      <c r="F1879" s="15">
        <v>8.7400000000000005E-2</v>
      </c>
      <c r="G1879" s="15">
        <v>0.16259999999999999</v>
      </c>
      <c r="H1879" s="15">
        <v>0.19009999999999999</v>
      </c>
      <c r="I1879" s="15">
        <v>4.7600000000000003E-2</v>
      </c>
      <c r="J1879" s="15">
        <v>3.9936974789915962</v>
      </c>
    </row>
    <row r="1880" spans="1:10" x14ac:dyDescent="0.25">
      <c r="A1880" s="2" t="s">
        <v>5636</v>
      </c>
      <c r="B1880" s="2" t="s">
        <v>5637</v>
      </c>
      <c r="C1880" s="2" t="s">
        <v>5638</v>
      </c>
      <c r="D1880" s="2" t="s">
        <v>10049</v>
      </c>
      <c r="E1880" s="15">
        <v>-8.1799999999999998E-2</v>
      </c>
      <c r="F1880" s="15">
        <v>7.7299999999999994E-2</v>
      </c>
      <c r="G1880" s="15">
        <v>0.29049999999999998</v>
      </c>
      <c r="H1880" s="15">
        <v>0.22339999999999999</v>
      </c>
      <c r="I1880" s="15">
        <v>4.6600000000000003E-2</v>
      </c>
      <c r="J1880" s="15">
        <v>4.7939914163090123</v>
      </c>
    </row>
    <row r="1881" spans="1:10" x14ac:dyDescent="0.25">
      <c r="A1881" s="2" t="s">
        <v>5639</v>
      </c>
      <c r="B1881" s="2" t="s">
        <v>5640</v>
      </c>
      <c r="C1881" s="2" t="s">
        <v>5641</v>
      </c>
      <c r="D1881" s="2" t="s">
        <v>10049</v>
      </c>
      <c r="E1881" s="15">
        <v>-0.14580000000000001</v>
      </c>
      <c r="F1881" s="15">
        <v>6.5500000000000003E-2</v>
      </c>
      <c r="G1881" s="15">
        <v>2.6100000000000002E-2</v>
      </c>
      <c r="H1881" s="15">
        <v>0.25740000000000002</v>
      </c>
      <c r="I1881" s="15">
        <v>5.0500000000000003E-2</v>
      </c>
      <c r="J1881" s="15">
        <v>5.0970297029702971</v>
      </c>
    </row>
    <row r="1882" spans="1:10" x14ac:dyDescent="0.25">
      <c r="A1882" s="2" t="s">
        <v>5642</v>
      </c>
      <c r="B1882" s="2" t="s">
        <v>5643</v>
      </c>
      <c r="C1882" s="2" t="s">
        <v>5644</v>
      </c>
      <c r="D1882" s="2" t="s">
        <v>10049</v>
      </c>
      <c r="E1882" s="15">
        <v>-7.2800000000000004E-2</v>
      </c>
      <c r="F1882" s="15">
        <v>6.59E-2</v>
      </c>
      <c r="G1882" s="15">
        <v>0.26929999999999998</v>
      </c>
      <c r="H1882" s="15">
        <v>0.27729999999999999</v>
      </c>
      <c r="I1882" s="15">
        <v>5.1400000000000001E-2</v>
      </c>
      <c r="J1882" s="15">
        <v>5.3949416342412446</v>
      </c>
    </row>
    <row r="1883" spans="1:10" x14ac:dyDescent="0.25">
      <c r="A1883" s="2" t="s">
        <v>5645</v>
      </c>
      <c r="B1883" s="2" t="s">
        <v>5646</v>
      </c>
      <c r="C1883" s="2" t="s">
        <v>5647</v>
      </c>
      <c r="D1883" s="2" t="s">
        <v>10049</v>
      </c>
      <c r="E1883" s="15">
        <v>-0.1502</v>
      </c>
      <c r="F1883" s="15">
        <v>0.1002</v>
      </c>
      <c r="G1883" s="15">
        <v>0.13400000000000001</v>
      </c>
      <c r="H1883" s="15">
        <v>0.11899999999999999</v>
      </c>
      <c r="I1883" s="15">
        <v>4.6600000000000003E-2</v>
      </c>
      <c r="J1883" s="15">
        <v>2.5536480686695282</v>
      </c>
    </row>
    <row r="1884" spans="1:10" x14ac:dyDescent="0.25">
      <c r="A1884" s="2" t="s">
        <v>5648</v>
      </c>
      <c r="B1884" s="2" t="s">
        <v>5649</v>
      </c>
      <c r="C1884" s="2" t="s">
        <v>5650</v>
      </c>
      <c r="D1884" s="2" t="s">
        <v>10049</v>
      </c>
      <c r="E1884" s="15">
        <v>-0.18609999999999999</v>
      </c>
      <c r="F1884" s="15">
        <v>0.1207</v>
      </c>
      <c r="G1884" s="15">
        <v>0.1231</v>
      </c>
      <c r="H1884" s="15">
        <v>7.7100000000000002E-2</v>
      </c>
      <c r="I1884" s="15">
        <v>4.3400000000000001E-2</v>
      </c>
      <c r="J1884" s="15">
        <v>1.776497695852534</v>
      </c>
    </row>
    <row r="1885" spans="1:10" x14ac:dyDescent="0.25">
      <c r="A1885" s="2" t="s">
        <v>5651</v>
      </c>
      <c r="B1885" s="2" t="s">
        <v>5652</v>
      </c>
      <c r="C1885" s="2" t="s">
        <v>5653</v>
      </c>
      <c r="D1885" s="2" t="s">
        <v>10049</v>
      </c>
      <c r="E1885" s="15">
        <v>-7.1300000000000002E-2</v>
      </c>
      <c r="F1885" s="15">
        <v>8.6699999999999999E-2</v>
      </c>
      <c r="G1885" s="15">
        <v>0.41120000000000001</v>
      </c>
      <c r="H1885" s="15">
        <v>0.1681</v>
      </c>
      <c r="I1885" s="15">
        <v>4.2099999999999999E-2</v>
      </c>
      <c r="J1885" s="15">
        <v>3.9928741092636582</v>
      </c>
    </row>
    <row r="1886" spans="1:10" x14ac:dyDescent="0.25">
      <c r="A1886" s="2" t="s">
        <v>5654</v>
      </c>
      <c r="B1886" s="2" t="s">
        <v>5655</v>
      </c>
      <c r="C1886" s="2" t="s">
        <v>5656</v>
      </c>
      <c r="D1886" s="2" t="s">
        <v>10049</v>
      </c>
      <c r="E1886" s="15">
        <v>-7.2900000000000006E-2</v>
      </c>
      <c r="F1886" s="15">
        <v>9.06E-2</v>
      </c>
      <c r="G1886" s="15">
        <v>0.4214</v>
      </c>
      <c r="H1886" s="15">
        <v>0.14560000000000001</v>
      </c>
      <c r="I1886" s="15">
        <v>4.0399999999999998E-2</v>
      </c>
      <c r="J1886" s="15">
        <v>3.6039603960396041</v>
      </c>
    </row>
    <row r="1887" spans="1:10" x14ac:dyDescent="0.25">
      <c r="A1887" s="2" t="s">
        <v>5657</v>
      </c>
      <c r="B1887" s="2" t="s">
        <v>5658</v>
      </c>
      <c r="C1887" s="2" t="s">
        <v>5659</v>
      </c>
      <c r="D1887" s="2" t="s">
        <v>10049</v>
      </c>
      <c r="E1887" s="15">
        <v>2.5700000000000001E-2</v>
      </c>
      <c r="F1887" s="15">
        <v>8.6900000000000005E-2</v>
      </c>
      <c r="G1887" s="15">
        <v>0.76749999999999996</v>
      </c>
      <c r="H1887" s="15">
        <v>0.18190000000000001</v>
      </c>
      <c r="I1887" s="15">
        <v>4.65E-2</v>
      </c>
      <c r="J1887" s="15">
        <v>3.911827956989248</v>
      </c>
    </row>
    <row r="1888" spans="1:10" x14ac:dyDescent="0.25">
      <c r="A1888" s="2" t="s">
        <v>5660</v>
      </c>
      <c r="B1888" s="2" t="s">
        <v>5661</v>
      </c>
      <c r="C1888" s="2" t="s">
        <v>5662</v>
      </c>
      <c r="D1888" s="2" t="s">
        <v>10049</v>
      </c>
      <c r="E1888" s="15">
        <v>-2.76E-2</v>
      </c>
      <c r="F1888" s="15">
        <v>6.9900000000000004E-2</v>
      </c>
      <c r="G1888" s="15">
        <v>0.69350000000000001</v>
      </c>
      <c r="H1888" s="15">
        <v>0.22140000000000001</v>
      </c>
      <c r="I1888" s="15">
        <v>5.1400000000000001E-2</v>
      </c>
      <c r="J1888" s="15">
        <v>4.3073929961089492</v>
      </c>
    </row>
    <row r="1889" spans="1:10" x14ac:dyDescent="0.25">
      <c r="A1889" s="2" t="s">
        <v>5663</v>
      </c>
      <c r="B1889" s="2" t="s">
        <v>5664</v>
      </c>
      <c r="C1889" s="2" t="s">
        <v>5665</v>
      </c>
      <c r="D1889" s="2" t="s">
        <v>10049</v>
      </c>
      <c r="E1889" s="15">
        <v>-3.7900000000000003E-2</v>
      </c>
      <c r="F1889" s="15">
        <v>7.8899999999999998E-2</v>
      </c>
      <c r="G1889" s="15">
        <v>0.63090000000000002</v>
      </c>
      <c r="H1889" s="15">
        <v>0.2452</v>
      </c>
      <c r="I1889" s="15">
        <v>5.4100000000000002E-2</v>
      </c>
      <c r="J1889" s="15">
        <v>4.5323475046210717</v>
      </c>
    </row>
    <row r="1890" spans="1:10" x14ac:dyDescent="0.25">
      <c r="A1890" s="2" t="s">
        <v>5666</v>
      </c>
      <c r="B1890" s="2" t="s">
        <v>5667</v>
      </c>
      <c r="C1890" s="2" t="s">
        <v>5668</v>
      </c>
      <c r="D1890" s="2" t="s">
        <v>10049</v>
      </c>
      <c r="E1890" s="15">
        <v>-7.5300000000000006E-2</v>
      </c>
      <c r="F1890" s="15">
        <v>7.6899999999999996E-2</v>
      </c>
      <c r="G1890" s="15">
        <v>0.32779999999999998</v>
      </c>
      <c r="H1890" s="15">
        <v>0.25659999999999999</v>
      </c>
      <c r="I1890" s="15">
        <v>5.2999999999999999E-2</v>
      </c>
      <c r="J1890" s="15">
        <v>4.8415094339622646</v>
      </c>
    </row>
    <row r="1891" spans="1:10" x14ac:dyDescent="0.25">
      <c r="A1891" s="2" t="s">
        <v>5669</v>
      </c>
      <c r="B1891" s="2" t="s">
        <v>5670</v>
      </c>
      <c r="C1891" s="2" t="s">
        <v>5671</v>
      </c>
      <c r="D1891" s="2" t="s">
        <v>10049</v>
      </c>
      <c r="E1891" s="15">
        <v>-9.2299999999999993E-2</v>
      </c>
      <c r="F1891" s="15">
        <v>8.6999999999999994E-2</v>
      </c>
      <c r="G1891" s="15">
        <v>0.28899999999999998</v>
      </c>
      <c r="H1891" s="15">
        <v>0.22900000000000001</v>
      </c>
      <c r="I1891" s="15">
        <v>0.05</v>
      </c>
      <c r="J1891" s="15">
        <v>4.58</v>
      </c>
    </row>
    <row r="1892" spans="1:10" x14ac:dyDescent="0.25">
      <c r="A1892" s="2" t="s">
        <v>5672</v>
      </c>
      <c r="B1892" s="2" t="s">
        <v>5673</v>
      </c>
      <c r="C1892" s="2" t="s">
        <v>5674</v>
      </c>
      <c r="D1892" s="2" t="s">
        <v>10049</v>
      </c>
      <c r="E1892" s="15">
        <v>-4.7500000000000001E-2</v>
      </c>
      <c r="F1892" s="15">
        <v>7.3700000000000002E-2</v>
      </c>
      <c r="G1892" s="15">
        <v>0.51929999999999998</v>
      </c>
      <c r="H1892" s="15">
        <v>0.27950000000000003</v>
      </c>
      <c r="I1892" s="15">
        <v>5.1499999999999997E-2</v>
      </c>
      <c r="J1892" s="15">
        <v>5.4271844660194182</v>
      </c>
    </row>
    <row r="1893" spans="1:10" x14ac:dyDescent="0.25">
      <c r="A1893" s="2" t="s">
        <v>5675</v>
      </c>
      <c r="B1893" s="2" t="s">
        <v>5676</v>
      </c>
      <c r="C1893" s="2" t="s">
        <v>5677</v>
      </c>
      <c r="D1893" s="2" t="s">
        <v>10049</v>
      </c>
      <c r="E1893" s="15">
        <v>-7.0999999999999994E-2</v>
      </c>
      <c r="F1893" s="15">
        <v>0.1033</v>
      </c>
      <c r="G1893" s="15">
        <v>0.49209999999999998</v>
      </c>
      <c r="H1893" s="15">
        <v>0.11559999999999999</v>
      </c>
      <c r="I1893" s="15">
        <v>4.36E-2</v>
      </c>
      <c r="J1893" s="15">
        <v>2.6513761467889911</v>
      </c>
    </row>
    <row r="1894" spans="1:10" x14ac:dyDescent="0.25">
      <c r="A1894" s="2" t="s">
        <v>5678</v>
      </c>
      <c r="B1894" s="2" t="s">
        <v>5679</v>
      </c>
      <c r="C1894" s="2" t="s">
        <v>5680</v>
      </c>
      <c r="D1894" s="2" t="s">
        <v>10049</v>
      </c>
      <c r="E1894" s="15">
        <v>-0.18720000000000001</v>
      </c>
      <c r="F1894" s="15">
        <v>0.19819999999999999</v>
      </c>
      <c r="G1894" s="15">
        <v>0.3448</v>
      </c>
      <c r="H1894" s="15">
        <v>3.6999999999999998E-2</v>
      </c>
      <c r="I1894" s="15">
        <v>3.6499999999999998E-2</v>
      </c>
      <c r="J1894" s="15">
        <v>1.0136986301369859</v>
      </c>
    </row>
    <row r="1895" spans="1:10" x14ac:dyDescent="0.25">
      <c r="A1895" s="2" t="s">
        <v>5681</v>
      </c>
      <c r="B1895" s="2" t="s">
        <v>5682</v>
      </c>
      <c r="C1895" s="2" t="s">
        <v>5683</v>
      </c>
      <c r="D1895" s="2" t="s">
        <v>10049</v>
      </c>
      <c r="E1895" s="15">
        <v>7.2700000000000001E-2</v>
      </c>
      <c r="F1895" s="15">
        <v>0.14430000000000001</v>
      </c>
      <c r="G1895" s="15">
        <v>0.61419999999999997</v>
      </c>
      <c r="H1895" s="15">
        <v>6.3200000000000006E-2</v>
      </c>
      <c r="I1895" s="15">
        <v>4.02E-2</v>
      </c>
      <c r="J1895" s="15">
        <v>1.572139303482587</v>
      </c>
    </row>
    <row r="1896" spans="1:10" x14ac:dyDescent="0.25">
      <c r="A1896" s="2" t="s">
        <v>5684</v>
      </c>
      <c r="B1896" s="2" t="s">
        <v>5685</v>
      </c>
      <c r="C1896" s="2" t="s">
        <v>5686</v>
      </c>
      <c r="D1896" s="2" t="s">
        <v>10049</v>
      </c>
      <c r="E1896" s="15">
        <v>9.2399999999999996E-2</v>
      </c>
      <c r="F1896" s="15">
        <v>8.5699999999999998E-2</v>
      </c>
      <c r="G1896" s="15">
        <v>0.28089999999999998</v>
      </c>
      <c r="H1896" s="15">
        <v>0.20300000000000001</v>
      </c>
      <c r="I1896" s="15">
        <v>4.4699999999999997E-2</v>
      </c>
      <c r="J1896" s="15">
        <v>4.5413870246085022</v>
      </c>
    </row>
    <row r="1897" spans="1:10" x14ac:dyDescent="0.25">
      <c r="A1897" s="2" t="s">
        <v>5687</v>
      </c>
      <c r="B1897" s="2" t="s">
        <v>5688</v>
      </c>
      <c r="C1897" s="2" t="s">
        <v>5689</v>
      </c>
      <c r="D1897" s="2" t="s">
        <v>10049</v>
      </c>
      <c r="E1897" s="15">
        <v>-1.7999999999999999E-2</v>
      </c>
      <c r="F1897" s="15">
        <v>6.9800000000000001E-2</v>
      </c>
      <c r="G1897" s="15">
        <v>0.79659999999999997</v>
      </c>
      <c r="H1897" s="15">
        <v>0.26850000000000002</v>
      </c>
      <c r="I1897" s="15">
        <v>4.6199999999999998E-2</v>
      </c>
      <c r="J1897" s="15">
        <v>5.8116883116883127</v>
      </c>
    </row>
    <row r="1898" spans="1:10" x14ac:dyDescent="0.25">
      <c r="A1898" s="2" t="s">
        <v>5690</v>
      </c>
      <c r="B1898" s="2" t="s">
        <v>5691</v>
      </c>
      <c r="C1898" s="2" t="s">
        <v>5692</v>
      </c>
      <c r="D1898" s="2" t="s">
        <v>10049</v>
      </c>
      <c r="E1898" s="15">
        <v>-4.9099999999999998E-2</v>
      </c>
      <c r="F1898" s="15">
        <v>6.8500000000000005E-2</v>
      </c>
      <c r="G1898" s="15">
        <v>0.47399999999999998</v>
      </c>
      <c r="H1898" s="15">
        <v>0.30059999999999998</v>
      </c>
      <c r="I1898" s="15">
        <v>5.1400000000000001E-2</v>
      </c>
      <c r="J1898" s="15">
        <v>5.8482490272373537</v>
      </c>
    </row>
    <row r="1899" spans="1:10" x14ac:dyDescent="0.25">
      <c r="A1899" s="2" t="s">
        <v>5693</v>
      </c>
      <c r="B1899" s="2" t="s">
        <v>5694</v>
      </c>
      <c r="C1899" s="2" t="s">
        <v>5695</v>
      </c>
      <c r="D1899" s="2" t="s">
        <v>10049</v>
      </c>
      <c r="E1899" s="15">
        <v>-3.7699999999999997E-2</v>
      </c>
      <c r="F1899" s="15">
        <v>6.8500000000000005E-2</v>
      </c>
      <c r="G1899" s="15">
        <v>0.58169999999999999</v>
      </c>
      <c r="H1899" s="15">
        <v>0.28789999999999999</v>
      </c>
      <c r="I1899" s="15">
        <v>5.1299999999999998E-2</v>
      </c>
      <c r="J1899" s="15">
        <v>5.6120857699805056</v>
      </c>
    </row>
    <row r="1900" spans="1:10" x14ac:dyDescent="0.25">
      <c r="A1900" s="2" t="s">
        <v>5696</v>
      </c>
      <c r="B1900" s="2" t="s">
        <v>5697</v>
      </c>
      <c r="C1900" s="2" t="s">
        <v>5698</v>
      </c>
      <c r="D1900" s="2" t="s">
        <v>10049</v>
      </c>
      <c r="E1900" s="15">
        <v>-0.1278</v>
      </c>
      <c r="F1900" s="15">
        <v>8.5500000000000007E-2</v>
      </c>
      <c r="G1900" s="15">
        <v>0.13489999999999999</v>
      </c>
      <c r="H1900" s="15">
        <v>0.21099999999999999</v>
      </c>
      <c r="I1900" s="15">
        <v>4.8099999999999997E-2</v>
      </c>
      <c r="J1900" s="15">
        <v>4.386694386694387</v>
      </c>
    </row>
    <row r="1901" spans="1:10" x14ac:dyDescent="0.25">
      <c r="A1901" s="2" t="s">
        <v>5699</v>
      </c>
      <c r="B1901" s="2" t="s">
        <v>5700</v>
      </c>
      <c r="C1901" s="2" t="s">
        <v>5701</v>
      </c>
      <c r="D1901" s="2" t="s">
        <v>10049</v>
      </c>
      <c r="E1901" s="15">
        <v>-0.1012</v>
      </c>
      <c r="F1901" s="15">
        <v>7.1499999999999994E-2</v>
      </c>
      <c r="G1901" s="15">
        <v>0.15670000000000001</v>
      </c>
      <c r="H1901" s="15">
        <v>0.25240000000000001</v>
      </c>
      <c r="I1901" s="15">
        <v>4.6699999999999998E-2</v>
      </c>
      <c r="J1901" s="15">
        <v>5.4047109207708788</v>
      </c>
    </row>
    <row r="1902" spans="1:10" x14ac:dyDescent="0.25">
      <c r="A1902" s="2" t="s">
        <v>5702</v>
      </c>
      <c r="B1902" s="2" t="s">
        <v>5703</v>
      </c>
      <c r="C1902" s="2" t="s">
        <v>5704</v>
      </c>
      <c r="D1902" s="2" t="s">
        <v>10049</v>
      </c>
      <c r="E1902" s="15">
        <v>-0.1394</v>
      </c>
      <c r="F1902" s="15">
        <v>8.0799999999999997E-2</v>
      </c>
      <c r="G1902" s="15">
        <v>8.4400000000000003E-2</v>
      </c>
      <c r="H1902" s="15">
        <v>0.21440000000000001</v>
      </c>
      <c r="I1902" s="15">
        <v>5.1499999999999997E-2</v>
      </c>
      <c r="J1902" s="15">
        <v>4.1631067961165051</v>
      </c>
    </row>
    <row r="1903" spans="1:10" x14ac:dyDescent="0.25">
      <c r="A1903" s="2" t="s">
        <v>5705</v>
      </c>
      <c r="B1903" s="2" t="s">
        <v>5706</v>
      </c>
      <c r="C1903" s="2" t="s">
        <v>5707</v>
      </c>
      <c r="D1903" s="2" t="s">
        <v>10049</v>
      </c>
      <c r="E1903" s="15">
        <v>-0.13420000000000001</v>
      </c>
      <c r="F1903" s="15">
        <v>6.6900000000000001E-2</v>
      </c>
      <c r="G1903" s="15">
        <v>4.48E-2</v>
      </c>
      <c r="H1903" s="15">
        <v>0.2792</v>
      </c>
      <c r="I1903" s="15">
        <v>5.3100000000000001E-2</v>
      </c>
      <c r="J1903" s="15">
        <v>5.2580037664783434</v>
      </c>
    </row>
    <row r="1904" spans="1:10" x14ac:dyDescent="0.25">
      <c r="A1904" s="2" t="s">
        <v>5708</v>
      </c>
      <c r="B1904" s="2" t="s">
        <v>5709</v>
      </c>
      <c r="C1904" s="2" t="s">
        <v>5710</v>
      </c>
      <c r="D1904" s="2" t="s">
        <v>10050</v>
      </c>
      <c r="E1904" s="15">
        <v>7.22E-2</v>
      </c>
      <c r="F1904" s="15">
        <v>6.1400000000000003E-2</v>
      </c>
      <c r="G1904" s="15">
        <v>0.24030000000000001</v>
      </c>
      <c r="H1904" s="15">
        <v>0.32019999999999998</v>
      </c>
      <c r="I1904" s="15">
        <v>5.5399999999999998E-2</v>
      </c>
      <c r="J1904" s="15">
        <v>5.7797833935018046</v>
      </c>
    </row>
    <row r="1905" spans="1:10" x14ac:dyDescent="0.25">
      <c r="A1905" s="2" t="s">
        <v>5711</v>
      </c>
      <c r="B1905" s="2" t="s">
        <v>5712</v>
      </c>
      <c r="C1905" s="2" t="s">
        <v>5713</v>
      </c>
      <c r="D1905" s="2" t="s">
        <v>10050</v>
      </c>
      <c r="E1905" s="15">
        <v>-7.2099999999999997E-2</v>
      </c>
      <c r="F1905" s="15">
        <v>0.125</v>
      </c>
      <c r="G1905" s="15">
        <v>0.56420000000000003</v>
      </c>
      <c r="H1905" s="15">
        <v>8.7400000000000005E-2</v>
      </c>
      <c r="I1905" s="15">
        <v>4.4200000000000003E-2</v>
      </c>
      <c r="J1905" s="15">
        <v>1.97737556561086</v>
      </c>
    </row>
    <row r="1906" spans="1:10" x14ac:dyDescent="0.25">
      <c r="A1906" s="2" t="s">
        <v>5714</v>
      </c>
      <c r="B1906" s="2" t="s">
        <v>5715</v>
      </c>
      <c r="C1906" s="2" t="s">
        <v>5716</v>
      </c>
      <c r="D1906" s="2" t="s">
        <v>10050</v>
      </c>
      <c r="E1906" s="15">
        <v>4.7399999999999998E-2</v>
      </c>
      <c r="F1906" s="15">
        <v>5.7299999999999997E-2</v>
      </c>
      <c r="G1906" s="15">
        <v>0.40799999999999997</v>
      </c>
      <c r="H1906" s="15">
        <v>0.37369999999999998</v>
      </c>
      <c r="I1906" s="15">
        <v>5.8599999999999999E-2</v>
      </c>
      <c r="J1906" s="15">
        <v>6.3771331058020477</v>
      </c>
    </row>
    <row r="1907" spans="1:10" x14ac:dyDescent="0.25">
      <c r="A1907" s="2" t="s">
        <v>5717</v>
      </c>
      <c r="B1907" s="2" t="s">
        <v>5718</v>
      </c>
      <c r="C1907" s="2" t="s">
        <v>5719</v>
      </c>
      <c r="D1907" s="2" t="s">
        <v>10050</v>
      </c>
      <c r="E1907" s="15">
        <v>3.5999999999999997E-2</v>
      </c>
      <c r="F1907" s="15">
        <v>5.8900000000000001E-2</v>
      </c>
      <c r="G1907" s="15">
        <v>0.54159999999999997</v>
      </c>
      <c r="H1907" s="15">
        <v>0.3952</v>
      </c>
      <c r="I1907" s="15">
        <v>6.3600000000000004E-2</v>
      </c>
      <c r="J1907" s="15">
        <v>6.2138364779874209</v>
      </c>
    </row>
    <row r="1908" spans="1:10" x14ac:dyDescent="0.25">
      <c r="A1908" s="2" t="s">
        <v>5720</v>
      </c>
      <c r="B1908" s="2" t="s">
        <v>5721</v>
      </c>
      <c r="C1908" s="2" t="s">
        <v>5722</v>
      </c>
      <c r="D1908" s="2" t="s">
        <v>10050</v>
      </c>
      <c r="E1908" s="15">
        <v>2.81E-2</v>
      </c>
      <c r="F1908" s="15">
        <v>5.33E-2</v>
      </c>
      <c r="G1908" s="15">
        <v>0.59830000000000005</v>
      </c>
      <c r="H1908" s="15">
        <v>0.36699999999999999</v>
      </c>
      <c r="I1908" s="15">
        <v>5.5100000000000003E-2</v>
      </c>
      <c r="J1908" s="15">
        <v>6.6606170598911074</v>
      </c>
    </row>
    <row r="1909" spans="1:10" x14ac:dyDescent="0.25">
      <c r="A1909" s="2" t="s">
        <v>5723</v>
      </c>
      <c r="B1909" s="2" t="s">
        <v>5724</v>
      </c>
      <c r="C1909" s="2" t="s">
        <v>5725</v>
      </c>
      <c r="D1909" s="2" t="s">
        <v>10050</v>
      </c>
      <c r="E1909" s="15">
        <v>-9.9900000000000003E-2</v>
      </c>
      <c r="F1909" s="15">
        <v>8.8499999999999995E-2</v>
      </c>
      <c r="G1909" s="15">
        <v>0.25890000000000002</v>
      </c>
      <c r="H1909" s="15">
        <v>0.16889999999999999</v>
      </c>
      <c r="I1909" s="15">
        <v>4.4400000000000002E-2</v>
      </c>
      <c r="J1909" s="15">
        <v>3.8040540540540539</v>
      </c>
    </row>
    <row r="1910" spans="1:10" x14ac:dyDescent="0.25">
      <c r="A1910" s="2" t="s">
        <v>5726</v>
      </c>
      <c r="B1910" s="2" t="s">
        <v>5727</v>
      </c>
      <c r="C1910" s="2" t="s">
        <v>5728</v>
      </c>
      <c r="D1910" s="2" t="s">
        <v>10050</v>
      </c>
      <c r="E1910" s="15">
        <v>4.4699999999999997E-2</v>
      </c>
      <c r="F1910" s="15">
        <v>0.11</v>
      </c>
      <c r="G1910" s="15">
        <v>0.68410000000000004</v>
      </c>
      <c r="H1910" s="15">
        <v>0.1014</v>
      </c>
      <c r="I1910" s="15">
        <v>4.82E-2</v>
      </c>
      <c r="J1910" s="15">
        <v>2.103734439834025</v>
      </c>
    </row>
    <row r="1911" spans="1:10" x14ac:dyDescent="0.25">
      <c r="A1911" s="2" t="s">
        <v>5729</v>
      </c>
      <c r="B1911" s="2" t="s">
        <v>5730</v>
      </c>
      <c r="C1911" s="2" t="s">
        <v>5731</v>
      </c>
      <c r="D1911" s="2" t="s">
        <v>10050</v>
      </c>
      <c r="E1911" s="15">
        <v>4.3E-3</v>
      </c>
      <c r="F1911" s="15">
        <v>9.8400000000000001E-2</v>
      </c>
      <c r="G1911" s="15">
        <v>0.96519999999999995</v>
      </c>
      <c r="H1911" s="15">
        <v>0.1341</v>
      </c>
      <c r="I1911" s="15">
        <v>4.7500000000000001E-2</v>
      </c>
      <c r="J1911" s="15">
        <v>2.8231578947368421</v>
      </c>
    </row>
    <row r="1912" spans="1:10" x14ac:dyDescent="0.25">
      <c r="A1912" s="2" t="s">
        <v>5732</v>
      </c>
      <c r="B1912" s="2" t="s">
        <v>5733</v>
      </c>
      <c r="C1912" s="2" t="s">
        <v>5734</v>
      </c>
      <c r="D1912" s="2" t="s">
        <v>10050</v>
      </c>
      <c r="E1912" s="15">
        <v>5.45E-2</v>
      </c>
      <c r="F1912" s="15">
        <v>7.6700000000000004E-2</v>
      </c>
      <c r="G1912" s="15">
        <v>0.47739999999999999</v>
      </c>
      <c r="H1912" s="15">
        <v>0.24460000000000001</v>
      </c>
      <c r="I1912" s="15">
        <v>4.6300000000000001E-2</v>
      </c>
      <c r="J1912" s="15">
        <v>5.2829373650107989</v>
      </c>
    </row>
    <row r="1913" spans="1:10" x14ac:dyDescent="0.25">
      <c r="A1913" s="2" t="s">
        <v>5735</v>
      </c>
      <c r="B1913" s="2" t="s">
        <v>5736</v>
      </c>
      <c r="C1913" s="2" t="s">
        <v>5737</v>
      </c>
      <c r="D1913" s="2" t="s">
        <v>10050</v>
      </c>
      <c r="E1913" s="15">
        <v>0.1004</v>
      </c>
      <c r="F1913" s="15">
        <v>6.9900000000000004E-2</v>
      </c>
      <c r="G1913" s="15">
        <v>0.15129999999999999</v>
      </c>
      <c r="H1913" s="15">
        <v>0.2656</v>
      </c>
      <c r="I1913" s="15">
        <v>4.4200000000000003E-2</v>
      </c>
      <c r="J1913" s="15">
        <v>6.0090497737556561</v>
      </c>
    </row>
    <row r="1914" spans="1:10" x14ac:dyDescent="0.25">
      <c r="A1914" s="2" t="s">
        <v>5738</v>
      </c>
      <c r="B1914" s="2" t="s">
        <v>5739</v>
      </c>
      <c r="C1914" s="2" t="s">
        <v>5740</v>
      </c>
      <c r="D1914" s="2" t="s">
        <v>10050</v>
      </c>
      <c r="E1914" s="15">
        <v>3.04E-2</v>
      </c>
      <c r="F1914" s="15">
        <v>6.4899999999999999E-2</v>
      </c>
      <c r="G1914" s="15">
        <v>0.63970000000000005</v>
      </c>
      <c r="H1914" s="15">
        <v>0.28510000000000002</v>
      </c>
      <c r="I1914" s="15">
        <v>5.2299999999999999E-2</v>
      </c>
      <c r="J1914" s="15">
        <v>5.4512428298279163</v>
      </c>
    </row>
    <row r="1915" spans="1:10" x14ac:dyDescent="0.25">
      <c r="A1915" s="2" t="s">
        <v>5741</v>
      </c>
      <c r="B1915" s="2" t="s">
        <v>5742</v>
      </c>
      <c r="C1915" s="2" t="s">
        <v>5743</v>
      </c>
      <c r="D1915" s="2" t="s">
        <v>10050</v>
      </c>
      <c r="E1915" s="15">
        <v>7.46E-2</v>
      </c>
      <c r="F1915" s="15">
        <v>6.7599999999999993E-2</v>
      </c>
      <c r="G1915" s="15">
        <v>0.27</v>
      </c>
      <c r="H1915" s="15">
        <v>0.31009999999999999</v>
      </c>
      <c r="I1915" s="15">
        <v>5.21E-2</v>
      </c>
      <c r="J1915" s="15">
        <v>5.9520153550863721</v>
      </c>
    </row>
    <row r="1916" spans="1:10" x14ac:dyDescent="0.25">
      <c r="A1916" s="2" t="s">
        <v>5744</v>
      </c>
      <c r="B1916" s="2" t="s">
        <v>5745</v>
      </c>
      <c r="C1916" s="2" t="s">
        <v>5746</v>
      </c>
      <c r="D1916" s="2" t="s">
        <v>10050</v>
      </c>
      <c r="E1916" s="15">
        <v>9.2499999999999999E-2</v>
      </c>
      <c r="F1916" s="15">
        <v>6.4799999999999996E-2</v>
      </c>
      <c r="G1916" s="15">
        <v>0.15359999999999999</v>
      </c>
      <c r="H1916" s="15">
        <v>0.2424</v>
      </c>
      <c r="I1916" s="15">
        <v>4.8099999999999997E-2</v>
      </c>
      <c r="J1916" s="15">
        <v>5.0395010395010402</v>
      </c>
    </row>
    <row r="1917" spans="1:10" x14ac:dyDescent="0.25">
      <c r="A1917" s="2" t="s">
        <v>5747</v>
      </c>
      <c r="B1917" s="2" t="s">
        <v>5748</v>
      </c>
      <c r="C1917" s="2" t="s">
        <v>5749</v>
      </c>
      <c r="D1917" s="2" t="s">
        <v>10050</v>
      </c>
      <c r="E1917" s="15">
        <v>8.2699999999999996E-2</v>
      </c>
      <c r="F1917" s="15">
        <v>6.2E-2</v>
      </c>
      <c r="G1917" s="15">
        <v>0.18210000000000001</v>
      </c>
      <c r="H1917" s="15">
        <v>0.29609999999999997</v>
      </c>
      <c r="I1917" s="15">
        <v>5.11E-2</v>
      </c>
      <c r="J1917" s="15">
        <v>5.7945205479452051</v>
      </c>
    </row>
    <row r="1918" spans="1:10" x14ac:dyDescent="0.25">
      <c r="A1918" s="2" t="s">
        <v>5750</v>
      </c>
      <c r="B1918" s="2" t="s">
        <v>5751</v>
      </c>
      <c r="C1918" s="2" t="s">
        <v>5752</v>
      </c>
      <c r="D1918" s="2" t="s">
        <v>10050</v>
      </c>
      <c r="E1918" s="15">
        <v>4.1500000000000002E-2</v>
      </c>
      <c r="F1918" s="15">
        <v>6.7799999999999999E-2</v>
      </c>
      <c r="G1918" s="15">
        <v>0.54010000000000002</v>
      </c>
      <c r="H1918" s="15">
        <v>0.25169999999999998</v>
      </c>
      <c r="I1918" s="15">
        <v>4.6100000000000002E-2</v>
      </c>
      <c r="J1918" s="15">
        <v>5.4598698481561811</v>
      </c>
    </row>
    <row r="1919" spans="1:10" x14ac:dyDescent="0.25">
      <c r="A1919" s="2" t="s">
        <v>5753</v>
      </c>
      <c r="B1919" s="2" t="s">
        <v>5754</v>
      </c>
      <c r="C1919" s="2" t="s">
        <v>5755</v>
      </c>
      <c r="D1919" s="2" t="s">
        <v>10050</v>
      </c>
      <c r="E1919" s="15">
        <v>2.8799999999999999E-2</v>
      </c>
      <c r="F1919" s="15">
        <v>6.8500000000000005E-2</v>
      </c>
      <c r="G1919" s="15">
        <v>0.67390000000000005</v>
      </c>
      <c r="H1919" s="15">
        <v>0.2626</v>
      </c>
      <c r="I1919" s="15">
        <v>4.9200000000000001E-2</v>
      </c>
      <c r="J1919" s="15">
        <v>5.3373983739837394</v>
      </c>
    </row>
    <row r="1920" spans="1:10" x14ac:dyDescent="0.25">
      <c r="A1920" s="2" t="s">
        <v>5756</v>
      </c>
      <c r="B1920" s="2" t="s">
        <v>5757</v>
      </c>
      <c r="C1920" s="2" t="s">
        <v>5758</v>
      </c>
      <c r="D1920" s="2" t="s">
        <v>10050</v>
      </c>
      <c r="E1920" s="15">
        <v>5.3E-3</v>
      </c>
      <c r="F1920" s="15">
        <v>7.4499999999999997E-2</v>
      </c>
      <c r="G1920" s="15">
        <v>0.94310000000000005</v>
      </c>
      <c r="H1920" s="15">
        <v>0.25900000000000001</v>
      </c>
      <c r="I1920" s="15">
        <v>5.4300000000000001E-2</v>
      </c>
      <c r="J1920" s="15">
        <v>4.7697974217311234</v>
      </c>
    </row>
    <row r="1921" spans="1:10" x14ac:dyDescent="0.25">
      <c r="A1921" s="2" t="s">
        <v>5759</v>
      </c>
      <c r="B1921" s="2" t="s">
        <v>5760</v>
      </c>
      <c r="C1921" s="2" t="s">
        <v>5761</v>
      </c>
      <c r="D1921" s="2" t="s">
        <v>10050</v>
      </c>
      <c r="E1921" s="15">
        <v>8.6999999999999994E-3</v>
      </c>
      <c r="F1921" s="15">
        <v>7.0199999999999999E-2</v>
      </c>
      <c r="G1921" s="15">
        <v>0.90169999999999995</v>
      </c>
      <c r="H1921" s="15">
        <v>0.26150000000000001</v>
      </c>
      <c r="I1921" s="15">
        <v>5.2900000000000003E-2</v>
      </c>
      <c r="J1921" s="15">
        <v>4.9432892249527409</v>
      </c>
    </row>
    <row r="1922" spans="1:10" x14ac:dyDescent="0.25">
      <c r="A1922" s="2" t="s">
        <v>5762</v>
      </c>
      <c r="B1922" s="2" t="s">
        <v>5763</v>
      </c>
      <c r="C1922" s="2" t="s">
        <v>5764</v>
      </c>
      <c r="D1922" s="2" t="s">
        <v>10050</v>
      </c>
      <c r="E1922" s="15">
        <v>8.1000000000000003E-2</v>
      </c>
      <c r="F1922" s="15">
        <v>6.5600000000000006E-2</v>
      </c>
      <c r="G1922" s="15">
        <v>0.217</v>
      </c>
      <c r="H1922" s="15">
        <v>0.29409999999999997</v>
      </c>
      <c r="I1922" s="15">
        <v>4.6100000000000002E-2</v>
      </c>
      <c r="J1922" s="15">
        <v>6.3796095444685461</v>
      </c>
    </row>
    <row r="1923" spans="1:10" x14ac:dyDescent="0.25">
      <c r="A1923" s="2" t="s">
        <v>5765</v>
      </c>
      <c r="B1923" s="2" t="s">
        <v>5766</v>
      </c>
      <c r="C1923" s="2" t="s">
        <v>5767</v>
      </c>
      <c r="D1923" s="2" t="s">
        <v>10050</v>
      </c>
      <c r="E1923" s="15">
        <v>6.5699999999999995E-2</v>
      </c>
      <c r="F1923" s="15">
        <v>6.4100000000000004E-2</v>
      </c>
      <c r="G1923" s="15">
        <v>0.30520000000000003</v>
      </c>
      <c r="H1923" s="15">
        <v>0.28220000000000001</v>
      </c>
      <c r="I1923" s="15">
        <v>4.65E-2</v>
      </c>
      <c r="J1923" s="15">
        <v>6.0688172043010757</v>
      </c>
    </row>
    <row r="1924" spans="1:10" x14ac:dyDescent="0.25">
      <c r="A1924" s="2" t="s">
        <v>5768</v>
      </c>
      <c r="B1924" s="2" t="s">
        <v>5769</v>
      </c>
      <c r="C1924" s="2" t="s">
        <v>5770</v>
      </c>
      <c r="D1924" s="2" t="s">
        <v>10050</v>
      </c>
      <c r="E1924" s="15">
        <v>3.8600000000000002E-2</v>
      </c>
      <c r="F1924" s="15">
        <v>5.8999999999999997E-2</v>
      </c>
      <c r="G1924" s="15">
        <v>0.51280000000000003</v>
      </c>
      <c r="H1924" s="15">
        <v>0.34139999999999998</v>
      </c>
      <c r="I1924" s="15">
        <v>5.4399999999999997E-2</v>
      </c>
      <c r="J1924" s="15">
        <v>6.2757352941176467</v>
      </c>
    </row>
    <row r="1925" spans="1:10" x14ac:dyDescent="0.25">
      <c r="A1925" s="2" t="s">
        <v>5771</v>
      </c>
      <c r="B1925" s="2" t="s">
        <v>5772</v>
      </c>
      <c r="C1925" s="2" t="s">
        <v>5773</v>
      </c>
      <c r="D1925" s="2" t="s">
        <v>10050</v>
      </c>
      <c r="E1925" s="15">
        <v>9.2299999999999993E-2</v>
      </c>
      <c r="F1925" s="15">
        <v>7.0999999999999994E-2</v>
      </c>
      <c r="G1925" s="15">
        <v>0.19350000000000001</v>
      </c>
      <c r="H1925" s="15">
        <v>0.25009999999999999</v>
      </c>
      <c r="I1925" s="15">
        <v>5.3499999999999999E-2</v>
      </c>
      <c r="J1925" s="15">
        <v>4.6747663551401866</v>
      </c>
    </row>
    <row r="1926" spans="1:10" x14ac:dyDescent="0.25">
      <c r="A1926" s="2" t="s">
        <v>5774</v>
      </c>
      <c r="B1926" s="2" t="s">
        <v>5775</v>
      </c>
      <c r="C1926" s="2" t="s">
        <v>5776</v>
      </c>
      <c r="D1926" s="2" t="s">
        <v>10050</v>
      </c>
      <c r="E1926" s="15">
        <v>1.38E-2</v>
      </c>
      <c r="F1926" s="15">
        <v>5.67E-2</v>
      </c>
      <c r="G1926" s="15">
        <v>0.8085</v>
      </c>
      <c r="H1926" s="15">
        <v>0.34699999999999998</v>
      </c>
      <c r="I1926" s="15">
        <v>5.5100000000000003E-2</v>
      </c>
      <c r="J1926" s="15">
        <v>6.2976406533575311</v>
      </c>
    </row>
    <row r="1927" spans="1:10" x14ac:dyDescent="0.25">
      <c r="A1927" s="2" t="s">
        <v>5777</v>
      </c>
      <c r="B1927" s="2" t="s">
        <v>5778</v>
      </c>
      <c r="C1927" s="2" t="s">
        <v>5779</v>
      </c>
      <c r="D1927" s="2" t="s">
        <v>10050</v>
      </c>
      <c r="E1927" s="15">
        <v>-4.4000000000000003E-3</v>
      </c>
      <c r="F1927" s="15">
        <v>5.8999999999999997E-2</v>
      </c>
      <c r="G1927" s="15">
        <v>0.94089999999999996</v>
      </c>
      <c r="H1927" s="15">
        <v>0.3337</v>
      </c>
      <c r="I1927" s="15">
        <v>5.5100000000000003E-2</v>
      </c>
      <c r="J1927" s="15">
        <v>6.0562613430127037</v>
      </c>
    </row>
    <row r="1928" spans="1:10" x14ac:dyDescent="0.25">
      <c r="A1928" s="2" t="s">
        <v>5780</v>
      </c>
      <c r="B1928" s="2" t="s">
        <v>5781</v>
      </c>
      <c r="C1928" s="2" t="s">
        <v>5782</v>
      </c>
      <c r="D1928" s="2" t="s">
        <v>10050</v>
      </c>
      <c r="E1928" s="15">
        <v>2.6200000000000001E-2</v>
      </c>
      <c r="F1928" s="15">
        <v>6.2399999999999997E-2</v>
      </c>
      <c r="G1928" s="15">
        <v>0.67520000000000002</v>
      </c>
      <c r="H1928" s="15">
        <v>0.31240000000000001</v>
      </c>
      <c r="I1928" s="15">
        <v>5.3900000000000003E-2</v>
      </c>
      <c r="J1928" s="15">
        <v>5.795918367346939</v>
      </c>
    </row>
    <row r="1929" spans="1:10" x14ac:dyDescent="0.25">
      <c r="A1929" s="2" t="s">
        <v>5783</v>
      </c>
      <c r="B1929" s="2" t="s">
        <v>5784</v>
      </c>
      <c r="C1929" s="2" t="s">
        <v>5785</v>
      </c>
      <c r="D1929" s="2" t="s">
        <v>10050</v>
      </c>
      <c r="E1929" s="15">
        <v>1.52E-2</v>
      </c>
      <c r="F1929" s="15">
        <v>6.6500000000000004E-2</v>
      </c>
      <c r="G1929" s="15">
        <v>0.81869999999999998</v>
      </c>
      <c r="H1929" s="15">
        <v>0.29559999999999997</v>
      </c>
      <c r="I1929" s="15">
        <v>5.1799999999999999E-2</v>
      </c>
      <c r="J1929" s="15">
        <v>5.7065637065637063</v>
      </c>
    </row>
    <row r="1930" spans="1:10" x14ac:dyDescent="0.25">
      <c r="A1930" s="2" t="s">
        <v>5786</v>
      </c>
      <c r="B1930" s="2" t="s">
        <v>5787</v>
      </c>
      <c r="C1930" s="2" t="s">
        <v>5788</v>
      </c>
      <c r="D1930" s="2" t="s">
        <v>10050</v>
      </c>
      <c r="E1930" s="15">
        <v>-6.9999999999999999E-4</v>
      </c>
      <c r="F1930" s="15">
        <v>6.6500000000000004E-2</v>
      </c>
      <c r="G1930" s="15">
        <v>0.99139999999999995</v>
      </c>
      <c r="H1930" s="15">
        <v>0.29699999999999999</v>
      </c>
      <c r="I1930" s="15">
        <v>5.3699999999999998E-2</v>
      </c>
      <c r="J1930" s="15">
        <v>5.5307262569832396</v>
      </c>
    </row>
    <row r="1931" spans="1:10" x14ac:dyDescent="0.25">
      <c r="A1931" s="2" t="s">
        <v>5789</v>
      </c>
      <c r="B1931" s="2" t="s">
        <v>5790</v>
      </c>
      <c r="C1931" s="2" t="s">
        <v>5791</v>
      </c>
      <c r="D1931" s="2" t="s">
        <v>10050</v>
      </c>
      <c r="E1931" s="15">
        <v>8.0000000000000004E-4</v>
      </c>
      <c r="F1931" s="15">
        <v>6.8199999999999997E-2</v>
      </c>
      <c r="G1931" s="15">
        <v>0.99009999999999998</v>
      </c>
      <c r="H1931" s="15">
        <v>0.2928</v>
      </c>
      <c r="I1931" s="15">
        <v>5.62E-2</v>
      </c>
      <c r="J1931" s="15">
        <v>5.209964412811388</v>
      </c>
    </row>
    <row r="1932" spans="1:10" x14ac:dyDescent="0.25">
      <c r="A1932" s="2" t="s">
        <v>5792</v>
      </c>
      <c r="B1932" s="2" t="s">
        <v>5793</v>
      </c>
      <c r="C1932" s="2" t="s">
        <v>5794</v>
      </c>
      <c r="D1932" s="2" t="s">
        <v>10050</v>
      </c>
      <c r="E1932" s="15">
        <v>1.9099999999999999E-2</v>
      </c>
      <c r="F1932" s="15">
        <v>7.5200000000000003E-2</v>
      </c>
      <c r="G1932" s="15">
        <v>0.7994</v>
      </c>
      <c r="H1932" s="15">
        <v>0.2336</v>
      </c>
      <c r="I1932" s="15">
        <v>5.5399999999999998E-2</v>
      </c>
      <c r="J1932" s="15">
        <v>4.2166064981949463</v>
      </c>
    </row>
    <row r="1933" spans="1:10" x14ac:dyDescent="0.25">
      <c r="A1933" s="2" t="s">
        <v>5795</v>
      </c>
      <c r="B1933" s="2" t="s">
        <v>5796</v>
      </c>
      <c r="C1933" s="2" t="s">
        <v>5797</v>
      </c>
      <c r="D1933" s="2" t="s">
        <v>10050</v>
      </c>
      <c r="E1933" s="15">
        <v>7.6E-3</v>
      </c>
      <c r="F1933" s="15">
        <v>7.5800000000000006E-2</v>
      </c>
      <c r="G1933" s="15">
        <v>0.92049999999999998</v>
      </c>
      <c r="H1933" s="15">
        <v>0.24349999999999999</v>
      </c>
      <c r="I1933" s="15">
        <v>5.6399999999999999E-2</v>
      </c>
      <c r="J1933" s="15">
        <v>4.3173758865248226</v>
      </c>
    </row>
    <row r="1934" spans="1:10" x14ac:dyDescent="0.25">
      <c r="A1934" s="2" t="s">
        <v>5798</v>
      </c>
      <c r="B1934" s="2" t="s">
        <v>5799</v>
      </c>
      <c r="C1934" s="2" t="s">
        <v>5800</v>
      </c>
      <c r="D1934" s="2" t="s">
        <v>10050</v>
      </c>
      <c r="E1934" s="15">
        <v>3.6299999999999999E-2</v>
      </c>
      <c r="F1934" s="15">
        <v>6.5100000000000005E-2</v>
      </c>
      <c r="G1934" s="15">
        <v>0.57669999999999999</v>
      </c>
      <c r="H1934" s="15">
        <v>0.28620000000000001</v>
      </c>
      <c r="I1934" s="15">
        <v>5.79E-2</v>
      </c>
      <c r="J1934" s="15">
        <v>4.9430051813471501</v>
      </c>
    </row>
    <row r="1935" spans="1:10" x14ac:dyDescent="0.25">
      <c r="A1935" s="2" t="s">
        <v>5801</v>
      </c>
      <c r="B1935" s="2" t="s">
        <v>5802</v>
      </c>
      <c r="C1935" s="2" t="s">
        <v>5803</v>
      </c>
      <c r="D1935" s="2" t="s">
        <v>10050</v>
      </c>
      <c r="E1935" s="15">
        <v>6.6E-3</v>
      </c>
      <c r="F1935" s="15">
        <v>7.0199999999999999E-2</v>
      </c>
      <c r="G1935" s="15">
        <v>0.9254</v>
      </c>
      <c r="H1935" s="15">
        <v>0.2455</v>
      </c>
      <c r="I1935" s="15">
        <v>5.8500000000000003E-2</v>
      </c>
      <c r="J1935" s="15">
        <v>4.1965811965811959</v>
      </c>
    </row>
    <row r="1936" spans="1:10" x14ac:dyDescent="0.25">
      <c r="A1936" s="2" t="s">
        <v>5804</v>
      </c>
      <c r="B1936" s="2" t="s">
        <v>5805</v>
      </c>
      <c r="C1936" s="2" t="s">
        <v>5806</v>
      </c>
      <c r="D1936" s="2" t="s">
        <v>10050</v>
      </c>
      <c r="E1936" s="15">
        <v>2.6599999999999999E-2</v>
      </c>
      <c r="F1936" s="15">
        <v>6.1199999999999997E-2</v>
      </c>
      <c r="G1936" s="15">
        <v>0.66349999999999998</v>
      </c>
      <c r="H1936" s="15">
        <v>0.31740000000000002</v>
      </c>
      <c r="I1936" s="15">
        <v>7.0699999999999999E-2</v>
      </c>
      <c r="J1936" s="15">
        <v>4.4893917963224901</v>
      </c>
    </row>
    <row r="1937" spans="1:10" x14ac:dyDescent="0.25">
      <c r="A1937" s="2" t="s">
        <v>5807</v>
      </c>
      <c r="B1937" s="2" t="s">
        <v>5808</v>
      </c>
      <c r="C1937" s="2" t="s">
        <v>5809</v>
      </c>
      <c r="D1937" s="2" t="s">
        <v>10050</v>
      </c>
      <c r="E1937" s="15">
        <v>3.0599999999999999E-2</v>
      </c>
      <c r="F1937" s="15">
        <v>6.5100000000000005E-2</v>
      </c>
      <c r="G1937" s="15">
        <v>0.6381</v>
      </c>
      <c r="H1937" s="15">
        <v>0.307</v>
      </c>
      <c r="I1937" s="15">
        <v>7.0199999999999999E-2</v>
      </c>
      <c r="J1937" s="15">
        <v>4.3732193732193734</v>
      </c>
    </row>
    <row r="1938" spans="1:10" x14ac:dyDescent="0.25">
      <c r="A1938" s="2" t="s">
        <v>5810</v>
      </c>
      <c r="B1938" s="2" t="s">
        <v>5811</v>
      </c>
      <c r="C1938" s="2" t="s">
        <v>5812</v>
      </c>
      <c r="D1938" s="2" t="s">
        <v>10050</v>
      </c>
      <c r="E1938" s="15">
        <v>5.8099999999999999E-2</v>
      </c>
      <c r="F1938" s="15">
        <v>5.9900000000000002E-2</v>
      </c>
      <c r="G1938" s="15">
        <v>0.33210000000000001</v>
      </c>
      <c r="H1938" s="15">
        <v>0.36599999999999999</v>
      </c>
      <c r="I1938" s="15">
        <v>5.7200000000000001E-2</v>
      </c>
      <c r="J1938" s="15">
        <v>6.3986013986013983</v>
      </c>
    </row>
    <row r="1939" spans="1:10" x14ac:dyDescent="0.25">
      <c r="A1939" s="2" t="s">
        <v>5813</v>
      </c>
      <c r="B1939" s="2" t="s">
        <v>5814</v>
      </c>
      <c r="C1939" s="2" t="s">
        <v>5815</v>
      </c>
      <c r="D1939" s="2" t="s">
        <v>10050</v>
      </c>
      <c r="E1939" s="15">
        <v>4.6100000000000002E-2</v>
      </c>
      <c r="F1939" s="15">
        <v>5.62E-2</v>
      </c>
      <c r="G1939" s="15">
        <v>0.41160000000000002</v>
      </c>
      <c r="H1939" s="15">
        <v>0.38440000000000002</v>
      </c>
      <c r="I1939" s="15">
        <v>6.0499999999999998E-2</v>
      </c>
      <c r="J1939" s="15">
        <v>6.3537190082644637</v>
      </c>
    </row>
    <row r="1940" spans="1:10" x14ac:dyDescent="0.25">
      <c r="A1940" s="2" t="s">
        <v>5816</v>
      </c>
      <c r="B1940" s="2" t="s">
        <v>5817</v>
      </c>
      <c r="C1940" s="2" t="s">
        <v>5818</v>
      </c>
      <c r="D1940" s="2" t="s">
        <v>10050</v>
      </c>
      <c r="E1940" s="15">
        <v>9.4399999999999998E-2</v>
      </c>
      <c r="F1940" s="15">
        <v>6.4799999999999996E-2</v>
      </c>
      <c r="G1940" s="15">
        <v>0.14530000000000001</v>
      </c>
      <c r="H1940" s="15">
        <v>0.27660000000000001</v>
      </c>
      <c r="I1940" s="15">
        <v>5.6099999999999997E-2</v>
      </c>
      <c r="J1940" s="15">
        <v>4.9304812834224601</v>
      </c>
    </row>
    <row r="1941" spans="1:10" x14ac:dyDescent="0.25">
      <c r="A1941" s="2" t="s">
        <v>5819</v>
      </c>
      <c r="B1941" s="2" t="s">
        <v>5820</v>
      </c>
      <c r="C1941" s="2" t="s">
        <v>5821</v>
      </c>
      <c r="D1941" s="2" t="s">
        <v>10050</v>
      </c>
      <c r="E1941" s="15">
        <v>0.127</v>
      </c>
      <c r="F1941" s="15">
        <v>6.6199999999999995E-2</v>
      </c>
      <c r="G1941" s="15">
        <v>5.5E-2</v>
      </c>
      <c r="H1941" s="15">
        <v>0.25519999999999998</v>
      </c>
      <c r="I1941" s="15">
        <v>5.04E-2</v>
      </c>
      <c r="J1941" s="15">
        <v>5.0634920634920633</v>
      </c>
    </row>
    <row r="1942" spans="1:10" x14ac:dyDescent="0.25">
      <c r="A1942" s="2" t="s">
        <v>5822</v>
      </c>
      <c r="B1942" s="2" t="s">
        <v>5823</v>
      </c>
      <c r="C1942" s="2" t="s">
        <v>5824</v>
      </c>
      <c r="D1942" s="2" t="s">
        <v>10050</v>
      </c>
      <c r="E1942" s="15">
        <v>-1.8700000000000001E-2</v>
      </c>
      <c r="F1942" s="15">
        <v>6.4799999999999996E-2</v>
      </c>
      <c r="G1942" s="15">
        <v>0.7732</v>
      </c>
      <c r="H1942" s="15">
        <v>0.27529999999999999</v>
      </c>
      <c r="I1942" s="15">
        <v>4.9399999999999999E-2</v>
      </c>
      <c r="J1942" s="15">
        <v>5.5728744939271264</v>
      </c>
    </row>
    <row r="1943" spans="1:10" x14ac:dyDescent="0.25">
      <c r="A1943" s="2" t="s">
        <v>5825</v>
      </c>
      <c r="B1943" s="2" t="s">
        <v>5826</v>
      </c>
      <c r="C1943" s="2" t="s">
        <v>5827</v>
      </c>
      <c r="D1943" s="2" t="s">
        <v>10050</v>
      </c>
      <c r="E1943" s="15">
        <v>4.4000000000000003E-3</v>
      </c>
      <c r="F1943" s="15">
        <v>7.0000000000000007E-2</v>
      </c>
      <c r="G1943" s="15">
        <v>0.94969999999999999</v>
      </c>
      <c r="H1943" s="15">
        <v>0.29680000000000001</v>
      </c>
      <c r="I1943" s="15">
        <v>5.0299999999999997E-2</v>
      </c>
      <c r="J1943" s="15">
        <v>5.9005964214711737</v>
      </c>
    </row>
    <row r="1944" spans="1:10" x14ac:dyDescent="0.25">
      <c r="A1944" s="2" t="s">
        <v>5828</v>
      </c>
      <c r="B1944" s="2" t="s">
        <v>5829</v>
      </c>
      <c r="C1944" s="2" t="s">
        <v>5830</v>
      </c>
      <c r="D1944" s="2" t="s">
        <v>10050</v>
      </c>
      <c r="E1944" s="15">
        <v>3.8899999999999997E-2</v>
      </c>
      <c r="F1944" s="15">
        <v>5.9700000000000003E-2</v>
      </c>
      <c r="G1944" s="15">
        <v>0.51470000000000005</v>
      </c>
      <c r="H1944" s="15">
        <v>0.34079999999999999</v>
      </c>
      <c r="I1944" s="15">
        <v>5.5899999999999998E-2</v>
      </c>
      <c r="J1944" s="15">
        <v>6.0966010733452594</v>
      </c>
    </row>
    <row r="1945" spans="1:10" x14ac:dyDescent="0.25">
      <c r="A1945" s="2" t="s">
        <v>5831</v>
      </c>
      <c r="B1945" s="2" t="s">
        <v>5832</v>
      </c>
      <c r="C1945" s="2" t="s">
        <v>5833</v>
      </c>
      <c r="D1945" s="2" t="s">
        <v>10050</v>
      </c>
      <c r="E1945" s="15">
        <v>4.1099999999999998E-2</v>
      </c>
      <c r="F1945" s="15">
        <v>5.9799999999999999E-2</v>
      </c>
      <c r="G1945" s="15">
        <v>0.49109999999999998</v>
      </c>
      <c r="H1945" s="15">
        <v>0.32840000000000003</v>
      </c>
      <c r="I1945" s="15">
        <v>5.6099999999999997E-2</v>
      </c>
      <c r="J1945" s="15">
        <v>5.8538324420677368</v>
      </c>
    </row>
    <row r="1946" spans="1:10" x14ac:dyDescent="0.25">
      <c r="A1946" s="2" t="s">
        <v>5834</v>
      </c>
      <c r="B1946" s="2" t="s">
        <v>5835</v>
      </c>
      <c r="C1946" s="2" t="s">
        <v>5836</v>
      </c>
      <c r="D1946" s="2" t="s">
        <v>10050</v>
      </c>
      <c r="E1946" s="15">
        <v>9.7000000000000003E-3</v>
      </c>
      <c r="F1946" s="15">
        <v>6.7199999999999996E-2</v>
      </c>
      <c r="G1946" s="15">
        <v>0.88519999999999999</v>
      </c>
      <c r="H1946" s="15">
        <v>0.27979999999999999</v>
      </c>
      <c r="I1946" s="15">
        <v>5.0700000000000002E-2</v>
      </c>
      <c r="J1946" s="15">
        <v>5.5187376725838257</v>
      </c>
    </row>
    <row r="1947" spans="1:10" x14ac:dyDescent="0.25">
      <c r="A1947" s="2" t="s">
        <v>5837</v>
      </c>
      <c r="B1947" s="2" t="s">
        <v>5838</v>
      </c>
      <c r="C1947" s="2" t="s">
        <v>5839</v>
      </c>
      <c r="D1947" s="2" t="s">
        <v>10050</v>
      </c>
      <c r="E1947" s="15">
        <v>-0.1037</v>
      </c>
      <c r="F1947" s="15">
        <v>7.2300000000000003E-2</v>
      </c>
      <c r="G1947" s="15">
        <v>0.15140000000000001</v>
      </c>
      <c r="H1947" s="15">
        <v>0.27129999999999999</v>
      </c>
      <c r="I1947" s="15">
        <v>5.2200000000000003E-2</v>
      </c>
      <c r="J1947" s="15">
        <v>5.1973180076628349</v>
      </c>
    </row>
    <row r="1948" spans="1:10" x14ac:dyDescent="0.25">
      <c r="A1948" s="2" t="s">
        <v>5840</v>
      </c>
      <c r="B1948" s="2" t="s">
        <v>5841</v>
      </c>
      <c r="C1948" s="2" t="s">
        <v>5842</v>
      </c>
      <c r="D1948" s="2" t="s">
        <v>10050</v>
      </c>
      <c r="E1948" s="15">
        <v>0.1191</v>
      </c>
      <c r="F1948" s="15">
        <v>6.0699999999999997E-2</v>
      </c>
      <c r="G1948" s="15">
        <v>4.9700000000000001E-2</v>
      </c>
      <c r="H1948" s="15">
        <v>0.34860000000000002</v>
      </c>
      <c r="I1948" s="15">
        <v>7.5700000000000003E-2</v>
      </c>
      <c r="J1948" s="15">
        <v>4.6050198150594452</v>
      </c>
    </row>
    <row r="1949" spans="1:10" x14ac:dyDescent="0.25">
      <c r="A1949" s="2" t="s">
        <v>5843</v>
      </c>
      <c r="B1949" s="2" t="s">
        <v>5844</v>
      </c>
      <c r="C1949" s="2" t="s">
        <v>5845</v>
      </c>
      <c r="D1949" s="2" t="s">
        <v>10050</v>
      </c>
      <c r="E1949" s="15">
        <v>6.6799999999999998E-2</v>
      </c>
      <c r="F1949" s="15">
        <v>6.4000000000000001E-2</v>
      </c>
      <c r="G1949" s="15">
        <v>0.29609999999999997</v>
      </c>
      <c r="H1949" s="15">
        <v>0.34539999999999998</v>
      </c>
      <c r="I1949" s="15">
        <v>7.1499999999999994E-2</v>
      </c>
      <c r="J1949" s="15">
        <v>4.8307692307692314</v>
      </c>
    </row>
    <row r="1950" spans="1:10" x14ac:dyDescent="0.25">
      <c r="A1950" s="2" t="s">
        <v>5846</v>
      </c>
      <c r="B1950" s="2" t="s">
        <v>5847</v>
      </c>
      <c r="C1950" s="2" t="s">
        <v>5848</v>
      </c>
      <c r="D1950" s="2" t="s">
        <v>10050</v>
      </c>
      <c r="E1950" s="15">
        <v>3.4099999999999998E-2</v>
      </c>
      <c r="F1950" s="15">
        <v>7.7499999999999999E-2</v>
      </c>
      <c r="G1950" s="15">
        <v>0.65969999999999995</v>
      </c>
      <c r="H1950" s="15">
        <v>0.22850000000000001</v>
      </c>
      <c r="I1950" s="15">
        <v>4.65E-2</v>
      </c>
      <c r="J1950" s="15">
        <v>4.913978494623656</v>
      </c>
    </row>
    <row r="1951" spans="1:10" x14ac:dyDescent="0.25">
      <c r="A1951" s="2" t="s">
        <v>5849</v>
      </c>
      <c r="B1951" s="2" t="s">
        <v>5850</v>
      </c>
      <c r="C1951" s="2" t="s">
        <v>5851</v>
      </c>
      <c r="D1951" s="2" t="s">
        <v>10050</v>
      </c>
      <c r="E1951" s="15">
        <v>-5.0000000000000001E-4</v>
      </c>
      <c r="F1951" s="15">
        <v>6.5699999999999995E-2</v>
      </c>
      <c r="G1951" s="15">
        <v>0.99360000000000004</v>
      </c>
      <c r="H1951" s="15">
        <v>0.30409999999999998</v>
      </c>
      <c r="I1951" s="15">
        <v>5.0799999999999998E-2</v>
      </c>
      <c r="J1951" s="15">
        <v>5.9862204724409436</v>
      </c>
    </row>
    <row r="1952" spans="1:10" x14ac:dyDescent="0.25">
      <c r="A1952" s="2" t="s">
        <v>5852</v>
      </c>
      <c r="B1952" s="2" t="s">
        <v>5853</v>
      </c>
      <c r="C1952" s="2" t="s">
        <v>5854</v>
      </c>
      <c r="D1952" s="2" t="s">
        <v>10050</v>
      </c>
      <c r="E1952" s="15">
        <v>5.2200000000000003E-2</v>
      </c>
      <c r="F1952" s="15">
        <v>5.9799999999999999E-2</v>
      </c>
      <c r="G1952" s="15">
        <v>0.38269999999999998</v>
      </c>
      <c r="H1952" s="15">
        <v>0.30819999999999997</v>
      </c>
      <c r="I1952" s="15">
        <v>5.1499999999999997E-2</v>
      </c>
      <c r="J1952" s="15">
        <v>5.9844660194174759</v>
      </c>
    </row>
    <row r="1953" spans="1:10" x14ac:dyDescent="0.25">
      <c r="A1953" s="2" t="s">
        <v>5855</v>
      </c>
      <c r="B1953" s="2" t="s">
        <v>5856</v>
      </c>
      <c r="C1953" s="2" t="s">
        <v>5857</v>
      </c>
      <c r="D1953" s="2" t="s">
        <v>10050</v>
      </c>
      <c r="E1953" s="15">
        <v>1.6999999999999999E-3</v>
      </c>
      <c r="F1953" s="15">
        <v>5.91E-2</v>
      </c>
      <c r="G1953" s="15">
        <v>0.97650000000000003</v>
      </c>
      <c r="H1953" s="15">
        <v>0.31830000000000003</v>
      </c>
      <c r="I1953" s="15">
        <v>4.9700000000000001E-2</v>
      </c>
      <c r="J1953" s="15">
        <v>6.4044265593561374</v>
      </c>
    </row>
    <row r="1954" spans="1:10" x14ac:dyDescent="0.25">
      <c r="A1954" s="2" t="s">
        <v>5858</v>
      </c>
      <c r="B1954" s="2" t="s">
        <v>5859</v>
      </c>
      <c r="C1954" s="2" t="s">
        <v>5860</v>
      </c>
      <c r="D1954" s="2" t="s">
        <v>10050</v>
      </c>
      <c r="E1954" s="15">
        <v>-2.3E-3</v>
      </c>
      <c r="F1954" s="15">
        <v>6.3899999999999998E-2</v>
      </c>
      <c r="G1954" s="15">
        <v>0.97189999999999999</v>
      </c>
      <c r="H1954" s="15">
        <v>0.31809999999999999</v>
      </c>
      <c r="I1954" s="15">
        <v>5.6300000000000003E-2</v>
      </c>
      <c r="J1954" s="15">
        <v>5.6500888099467126</v>
      </c>
    </row>
    <row r="1955" spans="1:10" x14ac:dyDescent="0.25">
      <c r="A1955" s="2" t="s">
        <v>5861</v>
      </c>
      <c r="B1955" s="2" t="s">
        <v>5862</v>
      </c>
      <c r="C1955" s="2" t="s">
        <v>5863</v>
      </c>
      <c r="D1955" s="2" t="s">
        <v>10050</v>
      </c>
      <c r="E1955" s="15">
        <v>1.2800000000000001E-2</v>
      </c>
      <c r="F1955" s="15">
        <v>6.1199999999999997E-2</v>
      </c>
      <c r="G1955" s="15">
        <v>0.83420000000000005</v>
      </c>
      <c r="H1955" s="15">
        <v>0.32</v>
      </c>
      <c r="I1955" s="15">
        <v>5.3699999999999998E-2</v>
      </c>
      <c r="J1955" s="15">
        <v>5.9590316573556796</v>
      </c>
    </row>
    <row r="1956" spans="1:10" x14ac:dyDescent="0.25">
      <c r="A1956" s="2" t="s">
        <v>5864</v>
      </c>
      <c r="B1956" s="2" t="s">
        <v>5865</v>
      </c>
      <c r="C1956" s="2" t="s">
        <v>5866</v>
      </c>
      <c r="D1956" s="2" t="s">
        <v>10050</v>
      </c>
      <c r="E1956" s="15">
        <v>6.5100000000000005E-2</v>
      </c>
      <c r="F1956" s="15">
        <v>5.4899999999999997E-2</v>
      </c>
      <c r="G1956" s="15">
        <v>0.2361</v>
      </c>
      <c r="H1956" s="15">
        <v>0.34510000000000002</v>
      </c>
      <c r="I1956" s="15">
        <v>5.8700000000000002E-2</v>
      </c>
      <c r="J1956" s="15">
        <v>5.8790459965928452</v>
      </c>
    </row>
    <row r="1957" spans="1:10" x14ac:dyDescent="0.25">
      <c r="A1957" s="2" t="s">
        <v>5867</v>
      </c>
      <c r="B1957" s="2" t="s">
        <v>5868</v>
      </c>
      <c r="C1957" s="2" t="s">
        <v>5869</v>
      </c>
      <c r="D1957" s="2" t="s">
        <v>10050</v>
      </c>
      <c r="E1957" s="15">
        <v>7.5300000000000006E-2</v>
      </c>
      <c r="F1957" s="15">
        <v>5.8999999999999997E-2</v>
      </c>
      <c r="G1957" s="15">
        <v>0.2019</v>
      </c>
      <c r="H1957" s="15">
        <v>0.30819999999999997</v>
      </c>
      <c r="I1957" s="15">
        <v>5.21E-2</v>
      </c>
      <c r="J1957" s="15">
        <v>5.9155470249520148</v>
      </c>
    </row>
    <row r="1958" spans="1:10" x14ac:dyDescent="0.25">
      <c r="A1958" s="2" t="s">
        <v>5870</v>
      </c>
      <c r="B1958" s="2" t="s">
        <v>5871</v>
      </c>
      <c r="C1958" s="2" t="s">
        <v>5872</v>
      </c>
      <c r="D1958" s="2" t="s">
        <v>10050</v>
      </c>
      <c r="E1958" s="15">
        <v>4.8800000000000003E-2</v>
      </c>
      <c r="F1958" s="15">
        <v>7.1800000000000003E-2</v>
      </c>
      <c r="G1958" s="15">
        <v>0.49640000000000001</v>
      </c>
      <c r="H1958" s="15">
        <v>0.21990000000000001</v>
      </c>
      <c r="I1958" s="15">
        <v>4.8599999999999997E-2</v>
      </c>
      <c r="J1958" s="15">
        <v>4.5246913580246906</v>
      </c>
    </row>
    <row r="1959" spans="1:10" x14ac:dyDescent="0.25">
      <c r="A1959" s="2" t="s">
        <v>5873</v>
      </c>
      <c r="B1959" s="2" t="s">
        <v>5874</v>
      </c>
      <c r="C1959" s="2" t="s">
        <v>5875</v>
      </c>
      <c r="D1959" s="2" t="s">
        <v>10050</v>
      </c>
      <c r="E1959" s="15">
        <v>4.6199999999999998E-2</v>
      </c>
      <c r="F1959" s="15">
        <v>7.0400000000000004E-2</v>
      </c>
      <c r="G1959" s="15">
        <v>0.51200000000000001</v>
      </c>
      <c r="H1959" s="15">
        <v>0.24049999999999999</v>
      </c>
      <c r="I1959" s="15">
        <v>4.99E-2</v>
      </c>
      <c r="J1959" s="15">
        <v>4.8196392785571138</v>
      </c>
    </row>
    <row r="1960" spans="1:10" x14ac:dyDescent="0.25">
      <c r="A1960" s="2" t="s">
        <v>5876</v>
      </c>
      <c r="B1960" s="2" t="s">
        <v>5877</v>
      </c>
      <c r="C1960" s="2" t="s">
        <v>5878</v>
      </c>
      <c r="D1960" s="2" t="s">
        <v>10050</v>
      </c>
      <c r="E1960" s="15">
        <v>6.6400000000000001E-2</v>
      </c>
      <c r="F1960" s="15">
        <v>6.3100000000000003E-2</v>
      </c>
      <c r="G1960" s="15">
        <v>0.2928</v>
      </c>
      <c r="H1960" s="15">
        <v>0.33589999999999998</v>
      </c>
      <c r="I1960" s="15">
        <v>4.8599999999999997E-2</v>
      </c>
      <c r="J1960" s="15">
        <v>6.9115226337448554</v>
      </c>
    </row>
    <row r="1961" spans="1:10" x14ac:dyDescent="0.25">
      <c r="A1961" s="2" t="s">
        <v>5879</v>
      </c>
      <c r="B1961" s="2" t="s">
        <v>5880</v>
      </c>
      <c r="C1961" s="2" t="s">
        <v>5881</v>
      </c>
      <c r="D1961" s="2" t="s">
        <v>10050</v>
      </c>
      <c r="E1961" s="15">
        <v>5.6399999999999999E-2</v>
      </c>
      <c r="F1961" s="15">
        <v>6.2199999999999998E-2</v>
      </c>
      <c r="G1961" s="15">
        <v>0.3649</v>
      </c>
      <c r="H1961" s="15">
        <v>0.3095</v>
      </c>
      <c r="I1961" s="15">
        <v>5.2200000000000003E-2</v>
      </c>
      <c r="J1961" s="15">
        <v>5.9291187739463593</v>
      </c>
    </row>
    <row r="1962" spans="1:10" x14ac:dyDescent="0.25">
      <c r="A1962" s="2" t="s">
        <v>5882</v>
      </c>
      <c r="B1962" s="2" t="s">
        <v>5883</v>
      </c>
      <c r="C1962" s="2" t="s">
        <v>5884</v>
      </c>
      <c r="D1962" s="2" t="s">
        <v>10050</v>
      </c>
      <c r="E1962" s="15">
        <v>2.3199999999999998E-2</v>
      </c>
      <c r="F1962" s="15">
        <v>6.3399999999999998E-2</v>
      </c>
      <c r="G1962" s="15">
        <v>0.71409999999999996</v>
      </c>
      <c r="H1962" s="15">
        <v>0.32379999999999998</v>
      </c>
      <c r="I1962" s="15">
        <v>5.9700000000000003E-2</v>
      </c>
      <c r="J1962" s="15">
        <v>5.423785594639865</v>
      </c>
    </row>
    <row r="1963" spans="1:10" x14ac:dyDescent="0.25">
      <c r="A1963" s="2" t="s">
        <v>5885</v>
      </c>
      <c r="B1963" s="2" t="s">
        <v>5886</v>
      </c>
      <c r="C1963" s="2" t="s">
        <v>5887</v>
      </c>
      <c r="D1963" s="2" t="s">
        <v>10050</v>
      </c>
      <c r="E1963" s="15">
        <v>1.4E-3</v>
      </c>
      <c r="F1963" s="15">
        <v>5.6599999999999998E-2</v>
      </c>
      <c r="G1963" s="15">
        <v>0.98080000000000001</v>
      </c>
      <c r="H1963" s="15">
        <v>0.37159999999999999</v>
      </c>
      <c r="I1963" s="15">
        <v>5.8799999999999998E-2</v>
      </c>
      <c r="J1963" s="15">
        <v>6.3197278911564627</v>
      </c>
    </row>
    <row r="1964" spans="1:10" x14ac:dyDescent="0.25">
      <c r="A1964" s="2" t="s">
        <v>5888</v>
      </c>
      <c r="B1964" s="2" t="s">
        <v>5889</v>
      </c>
      <c r="C1964" s="2" t="s">
        <v>5890</v>
      </c>
      <c r="D1964" s="2" t="s">
        <v>10050</v>
      </c>
      <c r="E1964" s="15">
        <v>-7.9000000000000008E-3</v>
      </c>
      <c r="F1964" s="15">
        <v>6.3100000000000003E-2</v>
      </c>
      <c r="G1964" s="15">
        <v>0.9002</v>
      </c>
      <c r="H1964" s="15">
        <v>0.31190000000000001</v>
      </c>
      <c r="I1964" s="15">
        <v>5.8299999999999998E-2</v>
      </c>
      <c r="J1964" s="15">
        <v>5.3499142367066899</v>
      </c>
    </row>
    <row r="1965" spans="1:10" x14ac:dyDescent="0.25">
      <c r="A1965" s="2" t="s">
        <v>5891</v>
      </c>
      <c r="B1965" s="2" t="s">
        <v>5892</v>
      </c>
      <c r="C1965" s="2" t="s">
        <v>5893</v>
      </c>
      <c r="D1965" s="2" t="s">
        <v>10050</v>
      </c>
      <c r="E1965" s="15">
        <v>1.49E-2</v>
      </c>
      <c r="F1965" s="15">
        <v>6.1699999999999998E-2</v>
      </c>
      <c r="G1965" s="15">
        <v>0.80869999999999997</v>
      </c>
      <c r="H1965" s="15">
        <v>0.32029999999999997</v>
      </c>
      <c r="I1965" s="15">
        <v>5.91E-2</v>
      </c>
      <c r="J1965" s="15">
        <v>5.4196277495769873</v>
      </c>
    </row>
    <row r="1966" spans="1:10" x14ac:dyDescent="0.25">
      <c r="A1966" s="2" t="s">
        <v>5894</v>
      </c>
      <c r="B1966" s="2" t="s">
        <v>5895</v>
      </c>
      <c r="C1966" s="2" t="s">
        <v>5896</v>
      </c>
      <c r="D1966" s="2" t="s">
        <v>10050</v>
      </c>
      <c r="E1966" s="15">
        <v>2.9899999999999999E-2</v>
      </c>
      <c r="F1966" s="15">
        <v>6.4699999999999994E-2</v>
      </c>
      <c r="G1966" s="15">
        <v>0.64449999999999996</v>
      </c>
      <c r="H1966" s="15">
        <v>0.29599999999999999</v>
      </c>
      <c r="I1966" s="15">
        <v>5.7700000000000001E-2</v>
      </c>
      <c r="J1966" s="15">
        <v>5.129982668977469</v>
      </c>
    </row>
    <row r="1967" spans="1:10" x14ac:dyDescent="0.25">
      <c r="A1967" s="2" t="s">
        <v>5897</v>
      </c>
      <c r="B1967" s="2" t="s">
        <v>5898</v>
      </c>
      <c r="C1967" s="2" t="s">
        <v>5899</v>
      </c>
      <c r="D1967" s="2" t="s">
        <v>10050</v>
      </c>
      <c r="E1967" s="15">
        <v>7.7000000000000002E-3</v>
      </c>
      <c r="F1967" s="15">
        <v>6.2700000000000006E-2</v>
      </c>
      <c r="G1967" s="15">
        <v>0.90259999999999996</v>
      </c>
      <c r="H1967" s="15">
        <v>0.2873</v>
      </c>
      <c r="I1967" s="15">
        <v>5.7700000000000001E-2</v>
      </c>
      <c r="J1967" s="15">
        <v>4.979202772963605</v>
      </c>
    </row>
    <row r="1968" spans="1:10" x14ac:dyDescent="0.25">
      <c r="A1968" s="2" t="s">
        <v>5900</v>
      </c>
      <c r="B1968" s="2" t="s">
        <v>5901</v>
      </c>
      <c r="C1968" s="2" t="s">
        <v>5902</v>
      </c>
      <c r="D1968" s="2" t="s">
        <v>10050</v>
      </c>
      <c r="E1968" s="15">
        <v>0.11749999999999999</v>
      </c>
      <c r="F1968" s="15">
        <v>7.0699999999999999E-2</v>
      </c>
      <c r="G1968" s="15">
        <v>9.6699999999999994E-2</v>
      </c>
      <c r="H1968" s="15">
        <v>0.26240000000000002</v>
      </c>
      <c r="I1968" s="15">
        <v>5.9400000000000001E-2</v>
      </c>
      <c r="J1968" s="15">
        <v>4.4175084175084178</v>
      </c>
    </row>
    <row r="1969" spans="1:10" x14ac:dyDescent="0.25">
      <c r="A1969" s="2" t="s">
        <v>5903</v>
      </c>
      <c r="B1969" s="2" t="s">
        <v>5904</v>
      </c>
      <c r="C1969" s="2" t="s">
        <v>5905</v>
      </c>
      <c r="D1969" s="2" t="s">
        <v>10050</v>
      </c>
      <c r="E1969" s="15">
        <v>7.2400000000000006E-2</v>
      </c>
      <c r="F1969" s="15">
        <v>6.2600000000000003E-2</v>
      </c>
      <c r="G1969" s="15">
        <v>0.24740000000000001</v>
      </c>
      <c r="H1969" s="15">
        <v>0.33500000000000002</v>
      </c>
      <c r="I1969" s="15">
        <v>4.8099999999999997E-2</v>
      </c>
      <c r="J1969" s="15">
        <v>6.9646569646569656</v>
      </c>
    </row>
    <row r="1970" spans="1:10" x14ac:dyDescent="0.25">
      <c r="A1970" s="2" t="s">
        <v>5906</v>
      </c>
      <c r="B1970" s="2" t="s">
        <v>5907</v>
      </c>
      <c r="C1970" s="2" t="s">
        <v>5908</v>
      </c>
      <c r="D1970" s="2" t="s">
        <v>10050</v>
      </c>
      <c r="E1970" s="15">
        <v>-3.3E-3</v>
      </c>
      <c r="F1970" s="15">
        <v>6.6000000000000003E-2</v>
      </c>
      <c r="G1970" s="15">
        <v>0.95960000000000001</v>
      </c>
      <c r="H1970" s="15">
        <v>0.31369999999999998</v>
      </c>
      <c r="I1970" s="15">
        <v>4.8500000000000001E-2</v>
      </c>
      <c r="J1970" s="15">
        <v>6.4680412371134013</v>
      </c>
    </row>
    <row r="1971" spans="1:10" x14ac:dyDescent="0.25">
      <c r="A1971" s="2" t="s">
        <v>5909</v>
      </c>
      <c r="B1971" s="2" t="s">
        <v>5910</v>
      </c>
      <c r="C1971" s="2" t="s">
        <v>5911</v>
      </c>
      <c r="D1971" s="2" t="s">
        <v>10050</v>
      </c>
      <c r="E1971" s="15">
        <v>8.8999999999999999E-3</v>
      </c>
      <c r="F1971" s="15">
        <v>6.9800000000000001E-2</v>
      </c>
      <c r="G1971" s="15">
        <v>0.89870000000000005</v>
      </c>
      <c r="H1971" s="15">
        <v>0.28070000000000001</v>
      </c>
      <c r="I1971" s="15">
        <v>5.7700000000000001E-2</v>
      </c>
      <c r="J1971" s="15">
        <v>4.8648180242634318</v>
      </c>
    </row>
    <row r="1972" spans="1:10" x14ac:dyDescent="0.25">
      <c r="A1972" s="2" t="s">
        <v>5912</v>
      </c>
      <c r="B1972" s="2" t="s">
        <v>5913</v>
      </c>
      <c r="C1972" s="2" t="s">
        <v>5914</v>
      </c>
      <c r="D1972" s="2" t="s">
        <v>10050</v>
      </c>
      <c r="E1972" s="15">
        <v>-3.0000000000000001E-3</v>
      </c>
      <c r="F1972" s="15">
        <v>6.6500000000000004E-2</v>
      </c>
      <c r="G1972" s="15">
        <v>0.96379999999999999</v>
      </c>
      <c r="H1972" s="15">
        <v>0.2863</v>
      </c>
      <c r="I1972" s="15">
        <v>5.6099999999999997E-2</v>
      </c>
      <c r="J1972" s="15">
        <v>5.1033868092691623</v>
      </c>
    </row>
    <row r="1973" spans="1:10" x14ac:dyDescent="0.25">
      <c r="A1973" s="2" t="s">
        <v>5915</v>
      </c>
      <c r="B1973" s="2" t="s">
        <v>5916</v>
      </c>
      <c r="C1973" s="2" t="s">
        <v>5917</v>
      </c>
      <c r="D1973" s="2" t="s">
        <v>10050</v>
      </c>
      <c r="E1973" s="15">
        <v>1.5800000000000002E-2</v>
      </c>
      <c r="F1973" s="15">
        <v>5.74E-2</v>
      </c>
      <c r="G1973" s="15">
        <v>0.78359999999999996</v>
      </c>
      <c r="H1973" s="15">
        <v>0.35849999999999999</v>
      </c>
      <c r="I1973" s="15">
        <v>5.6000000000000001E-2</v>
      </c>
      <c r="J1973" s="15">
        <v>6.4017857142857144</v>
      </c>
    </row>
    <row r="1974" spans="1:10" x14ac:dyDescent="0.25">
      <c r="A1974" s="2" t="s">
        <v>5918</v>
      </c>
      <c r="B1974" s="2" t="s">
        <v>5919</v>
      </c>
      <c r="C1974" s="2" t="s">
        <v>5920</v>
      </c>
      <c r="D1974" s="2" t="s">
        <v>10050</v>
      </c>
      <c r="E1974" s="15">
        <v>1.52E-2</v>
      </c>
      <c r="F1974" s="15">
        <v>5.62E-2</v>
      </c>
      <c r="G1974" s="15">
        <v>0.78700000000000003</v>
      </c>
      <c r="H1974" s="15">
        <v>0.37040000000000001</v>
      </c>
      <c r="I1974" s="15">
        <v>5.62E-2</v>
      </c>
      <c r="J1974" s="15">
        <v>6.5907473309608546</v>
      </c>
    </row>
    <row r="1975" spans="1:10" x14ac:dyDescent="0.25">
      <c r="A1975" s="2" t="s">
        <v>5921</v>
      </c>
      <c r="B1975" s="2" t="s">
        <v>5922</v>
      </c>
      <c r="C1975" s="2" t="s">
        <v>5923</v>
      </c>
      <c r="D1975" s="2" t="s">
        <v>10050</v>
      </c>
      <c r="E1975" s="15">
        <v>6.9800000000000001E-2</v>
      </c>
      <c r="F1975" s="15">
        <v>6.3799999999999996E-2</v>
      </c>
      <c r="G1975" s="15">
        <v>0.27379999999999999</v>
      </c>
      <c r="H1975" s="15">
        <v>0.32240000000000002</v>
      </c>
      <c r="I1975" s="15">
        <v>5.2499999999999998E-2</v>
      </c>
      <c r="J1975" s="15">
        <v>6.1409523809523812</v>
      </c>
    </row>
    <row r="1976" spans="1:10" x14ac:dyDescent="0.25">
      <c r="A1976" s="2" t="s">
        <v>5924</v>
      </c>
      <c r="B1976" s="2" t="s">
        <v>5925</v>
      </c>
      <c r="C1976" s="2" t="s">
        <v>5926</v>
      </c>
      <c r="D1976" s="2" t="s">
        <v>10050</v>
      </c>
      <c r="E1976" s="15">
        <v>6.1699999999999998E-2</v>
      </c>
      <c r="F1976" s="15">
        <v>5.96E-2</v>
      </c>
      <c r="G1976" s="15">
        <v>0.30109999999999998</v>
      </c>
      <c r="H1976" s="15">
        <v>0.35570000000000002</v>
      </c>
      <c r="I1976" s="15">
        <v>5.4399999999999997E-2</v>
      </c>
      <c r="J1976" s="15">
        <v>6.538602941176471</v>
      </c>
    </row>
    <row r="1977" spans="1:10" x14ac:dyDescent="0.25">
      <c r="A1977" s="2" t="s">
        <v>5927</v>
      </c>
      <c r="B1977" s="2" t="s">
        <v>5928</v>
      </c>
      <c r="C1977" s="2" t="s">
        <v>5929</v>
      </c>
      <c r="D1977" s="2" t="s">
        <v>10050</v>
      </c>
      <c r="E1977" s="15">
        <v>5.4300000000000001E-2</v>
      </c>
      <c r="F1977" s="15">
        <v>5.8700000000000002E-2</v>
      </c>
      <c r="G1977" s="15">
        <v>0.35549999999999998</v>
      </c>
      <c r="H1977" s="15">
        <v>0.34539999999999998</v>
      </c>
      <c r="I1977" s="15">
        <v>5.5800000000000002E-2</v>
      </c>
      <c r="J1977" s="15">
        <v>6.1899641577060924</v>
      </c>
    </row>
    <row r="1978" spans="1:10" x14ac:dyDescent="0.25">
      <c r="A1978" s="2" t="s">
        <v>5930</v>
      </c>
      <c r="B1978" s="2" t="s">
        <v>5931</v>
      </c>
      <c r="C1978" s="2" t="s">
        <v>5932</v>
      </c>
      <c r="D1978" s="2" t="s">
        <v>10050</v>
      </c>
      <c r="E1978" s="15">
        <v>7.85E-2</v>
      </c>
      <c r="F1978" s="15">
        <v>5.6399999999999999E-2</v>
      </c>
      <c r="G1978" s="15">
        <v>0.16400000000000001</v>
      </c>
      <c r="H1978" s="15">
        <v>0.36720000000000003</v>
      </c>
      <c r="I1978" s="15">
        <v>5.7299999999999997E-2</v>
      </c>
      <c r="J1978" s="15">
        <v>6.4083769633507863</v>
      </c>
    </row>
    <row r="1979" spans="1:10" x14ac:dyDescent="0.25">
      <c r="A1979" s="2" t="s">
        <v>5933</v>
      </c>
      <c r="B1979" s="2" t="s">
        <v>5934</v>
      </c>
      <c r="C1979" s="2" t="s">
        <v>5935</v>
      </c>
      <c r="D1979" s="2" t="s">
        <v>10051</v>
      </c>
      <c r="E1979" s="15">
        <v>2.4500000000000001E-2</v>
      </c>
      <c r="F1979" s="15">
        <v>8.1299999999999997E-2</v>
      </c>
      <c r="G1979" s="15">
        <v>0.76270000000000004</v>
      </c>
      <c r="H1979" s="15">
        <v>0.2482</v>
      </c>
      <c r="I1979" s="15">
        <v>5.0099999999999999E-2</v>
      </c>
      <c r="J1979" s="15">
        <v>4.9540918163672654</v>
      </c>
    </row>
    <row r="1980" spans="1:10" x14ac:dyDescent="0.25">
      <c r="A1980" s="2" t="s">
        <v>5936</v>
      </c>
      <c r="B1980" s="2" t="s">
        <v>5937</v>
      </c>
      <c r="C1980" s="2" t="s">
        <v>5938</v>
      </c>
      <c r="D1980" s="2" t="s">
        <v>10051</v>
      </c>
      <c r="E1980" s="15">
        <v>6.7599999999999993E-2</v>
      </c>
      <c r="F1980" s="15">
        <v>7.85E-2</v>
      </c>
      <c r="G1980" s="15">
        <v>0.38929999999999998</v>
      </c>
      <c r="H1980" s="15">
        <v>0.2137</v>
      </c>
      <c r="I1980" s="15">
        <v>5.0200000000000002E-2</v>
      </c>
      <c r="J1980" s="15">
        <v>4.2569721115537851</v>
      </c>
    </row>
    <row r="1981" spans="1:10" x14ac:dyDescent="0.25">
      <c r="A1981" s="2" t="s">
        <v>5939</v>
      </c>
      <c r="B1981" s="2" t="s">
        <v>5940</v>
      </c>
      <c r="C1981" s="2" t="s">
        <v>5941</v>
      </c>
      <c r="D1981" s="2" t="s">
        <v>10051</v>
      </c>
      <c r="E1981" s="15">
        <v>0.13</v>
      </c>
      <c r="F1981" s="15">
        <v>7.7299999999999994E-2</v>
      </c>
      <c r="G1981" s="15">
        <v>9.2499999999999999E-2</v>
      </c>
      <c r="H1981" s="15">
        <v>0.20910000000000001</v>
      </c>
      <c r="I1981" s="15">
        <v>4.9000000000000002E-2</v>
      </c>
      <c r="J1981" s="15">
        <v>4.2673469387755114</v>
      </c>
    </row>
    <row r="1982" spans="1:10" x14ac:dyDescent="0.25">
      <c r="A1982" s="2" t="s">
        <v>5942</v>
      </c>
      <c r="B1982" s="2" t="s">
        <v>5943</v>
      </c>
      <c r="C1982" s="2" t="s">
        <v>5944</v>
      </c>
      <c r="D1982" s="2" t="s">
        <v>10051</v>
      </c>
      <c r="E1982" s="15">
        <v>2.29E-2</v>
      </c>
      <c r="F1982" s="15">
        <v>7.8700000000000006E-2</v>
      </c>
      <c r="G1982" s="15">
        <v>0.77170000000000005</v>
      </c>
      <c r="H1982" s="15">
        <v>0.2286</v>
      </c>
      <c r="I1982" s="15">
        <v>5.57E-2</v>
      </c>
      <c r="J1982" s="15">
        <v>4.1041292639138236</v>
      </c>
    </row>
    <row r="1983" spans="1:10" x14ac:dyDescent="0.25">
      <c r="A1983" s="2" t="s">
        <v>5945</v>
      </c>
      <c r="B1983" s="2" t="s">
        <v>5946</v>
      </c>
      <c r="C1983" s="2" t="s">
        <v>5947</v>
      </c>
      <c r="D1983" s="2" t="s">
        <v>10051</v>
      </c>
      <c r="E1983" s="15">
        <v>7.6E-3</v>
      </c>
      <c r="F1983" s="15">
        <v>6.93E-2</v>
      </c>
      <c r="G1983" s="15">
        <v>0.9123</v>
      </c>
      <c r="H1983" s="15">
        <v>0.30449999999999999</v>
      </c>
      <c r="I1983" s="15">
        <v>4.7500000000000001E-2</v>
      </c>
      <c r="J1983" s="15">
        <v>6.4105263157894736</v>
      </c>
    </row>
    <row r="1984" spans="1:10" x14ac:dyDescent="0.25">
      <c r="A1984" s="2" t="s">
        <v>5948</v>
      </c>
      <c r="B1984" s="2" t="s">
        <v>5949</v>
      </c>
      <c r="C1984" s="2" t="s">
        <v>5950</v>
      </c>
      <c r="D1984" s="2" t="s">
        <v>10051</v>
      </c>
      <c r="E1984" s="15">
        <v>-3.09E-2</v>
      </c>
      <c r="F1984" s="15">
        <v>0.11459999999999999</v>
      </c>
      <c r="G1984" s="15">
        <v>0.78749999999999998</v>
      </c>
      <c r="H1984" s="15">
        <v>0.1207</v>
      </c>
      <c r="I1984" s="15">
        <v>4.8599999999999997E-2</v>
      </c>
      <c r="J1984" s="15">
        <v>2.4835390946502058</v>
      </c>
    </row>
    <row r="1985" spans="1:10" x14ac:dyDescent="0.25">
      <c r="A1985" s="2" t="s">
        <v>5951</v>
      </c>
      <c r="B1985" s="2" t="s">
        <v>5952</v>
      </c>
      <c r="C1985" s="2" t="s">
        <v>5953</v>
      </c>
      <c r="D1985" s="2" t="s">
        <v>10051</v>
      </c>
      <c r="E1985" s="15">
        <v>-2.2599999999999999E-2</v>
      </c>
      <c r="F1985" s="15">
        <v>0.10340000000000001</v>
      </c>
      <c r="G1985" s="15">
        <v>0.82709999999999995</v>
      </c>
      <c r="H1985" s="15">
        <v>0.13</v>
      </c>
      <c r="I1985" s="15">
        <v>4.7100000000000003E-2</v>
      </c>
      <c r="J1985" s="15">
        <v>2.7600849256900211</v>
      </c>
    </row>
    <row r="1986" spans="1:10" x14ac:dyDescent="0.25">
      <c r="A1986" s="2" t="s">
        <v>5954</v>
      </c>
      <c r="B1986" s="2" t="s">
        <v>5955</v>
      </c>
      <c r="C1986" s="2" t="s">
        <v>5956</v>
      </c>
      <c r="D1986" s="2" t="s">
        <v>10051</v>
      </c>
      <c r="E1986" s="15">
        <v>-5.4600000000000003E-2</v>
      </c>
      <c r="F1986" s="15">
        <v>7.6999999999999999E-2</v>
      </c>
      <c r="G1986" s="15">
        <v>0.47799999999999998</v>
      </c>
      <c r="H1986" s="15">
        <v>0.21199999999999999</v>
      </c>
      <c r="I1986" s="15">
        <v>4.4999999999999998E-2</v>
      </c>
      <c r="J1986" s="15">
        <v>4.7111111111111112</v>
      </c>
    </row>
    <row r="1987" spans="1:10" x14ac:dyDescent="0.25">
      <c r="A1987" s="2" t="s">
        <v>5957</v>
      </c>
      <c r="B1987" s="2" t="s">
        <v>5958</v>
      </c>
      <c r="C1987" s="2" t="s">
        <v>5959</v>
      </c>
      <c r="D1987" s="2" t="s">
        <v>10051</v>
      </c>
      <c r="E1987" s="15">
        <v>-2.8999999999999998E-3</v>
      </c>
      <c r="F1987" s="15">
        <v>8.3400000000000002E-2</v>
      </c>
      <c r="G1987" s="15">
        <v>0.97189999999999999</v>
      </c>
      <c r="H1987" s="15">
        <v>0.16850000000000001</v>
      </c>
      <c r="I1987" s="15">
        <v>4.8800000000000003E-2</v>
      </c>
      <c r="J1987" s="15">
        <v>3.4528688524590159</v>
      </c>
    </row>
    <row r="1988" spans="1:10" x14ac:dyDescent="0.25">
      <c r="A1988" s="2" t="s">
        <v>5960</v>
      </c>
      <c r="B1988" s="2" t="s">
        <v>5961</v>
      </c>
      <c r="C1988" s="2" t="s">
        <v>5962</v>
      </c>
      <c r="D1988" s="2" t="s">
        <v>10051</v>
      </c>
      <c r="E1988" s="15">
        <v>-2.7300000000000001E-2</v>
      </c>
      <c r="F1988" s="15">
        <v>8.6300000000000002E-2</v>
      </c>
      <c r="G1988" s="15">
        <v>0.75139999999999996</v>
      </c>
      <c r="H1988" s="15">
        <v>0.16320000000000001</v>
      </c>
      <c r="I1988" s="15">
        <v>4.7800000000000002E-2</v>
      </c>
      <c r="J1988" s="15">
        <v>3.4142259414225942</v>
      </c>
    </row>
    <row r="1989" spans="1:10" x14ac:dyDescent="0.25">
      <c r="A1989" s="2" t="s">
        <v>5963</v>
      </c>
      <c r="B1989" s="2" t="s">
        <v>5964</v>
      </c>
      <c r="C1989" s="2" t="s">
        <v>5965</v>
      </c>
      <c r="D1989" s="2" t="s">
        <v>10051</v>
      </c>
      <c r="E1989" s="15">
        <v>-2.12E-2</v>
      </c>
      <c r="F1989" s="15">
        <v>7.9200000000000007E-2</v>
      </c>
      <c r="G1989" s="15">
        <v>0.78849999999999998</v>
      </c>
      <c r="H1989" s="15">
        <v>0.23280000000000001</v>
      </c>
      <c r="I1989" s="15">
        <v>4.2200000000000001E-2</v>
      </c>
      <c r="J1989" s="15">
        <v>5.5165876777251182</v>
      </c>
    </row>
    <row r="1990" spans="1:10" x14ac:dyDescent="0.25">
      <c r="A1990" s="2" t="s">
        <v>5966</v>
      </c>
      <c r="B1990" s="2" t="s">
        <v>5967</v>
      </c>
      <c r="C1990" s="2" t="s">
        <v>5968</v>
      </c>
      <c r="D1990" s="2" t="s">
        <v>10051</v>
      </c>
      <c r="E1990" s="15">
        <v>7.9100000000000004E-2</v>
      </c>
      <c r="F1990" s="15">
        <v>8.4000000000000005E-2</v>
      </c>
      <c r="G1990" s="15">
        <v>0.34599999999999997</v>
      </c>
      <c r="H1990" s="15">
        <v>0.21199999999999999</v>
      </c>
      <c r="I1990" s="15">
        <v>4.7899999999999998E-2</v>
      </c>
      <c r="J1990" s="15">
        <v>4.4258872651357004</v>
      </c>
    </row>
    <row r="1991" spans="1:10" x14ac:dyDescent="0.25">
      <c r="A1991" s="2" t="s">
        <v>5969</v>
      </c>
      <c r="B1991" s="2" t="s">
        <v>5970</v>
      </c>
      <c r="C1991" s="2" t="s">
        <v>5971</v>
      </c>
      <c r="D1991" s="2" t="s">
        <v>10051</v>
      </c>
      <c r="E1991" s="15">
        <v>-0.20449999999999999</v>
      </c>
      <c r="F1991" s="15">
        <v>9.2700000000000005E-2</v>
      </c>
      <c r="G1991" s="15">
        <v>2.7400000000000001E-2</v>
      </c>
      <c r="H1991" s="15">
        <v>0.13880000000000001</v>
      </c>
      <c r="I1991" s="15">
        <v>4.2200000000000001E-2</v>
      </c>
      <c r="J1991" s="15">
        <v>3.2890995260663511</v>
      </c>
    </row>
    <row r="1992" spans="1:10" x14ac:dyDescent="0.25">
      <c r="A1992" s="2" t="s">
        <v>5972</v>
      </c>
      <c r="B1992" s="2" t="s">
        <v>5973</v>
      </c>
      <c r="C1992" s="2" t="s">
        <v>5974</v>
      </c>
      <c r="D1992" s="2" t="s">
        <v>10051</v>
      </c>
      <c r="E1992" s="15">
        <v>-0.12230000000000001</v>
      </c>
      <c r="F1992" s="15">
        <v>7.7799999999999994E-2</v>
      </c>
      <c r="G1992" s="15">
        <v>0.11600000000000001</v>
      </c>
      <c r="H1992" s="15">
        <v>0.23219999999999999</v>
      </c>
      <c r="I1992" s="15">
        <v>4.53E-2</v>
      </c>
      <c r="J1992" s="15">
        <v>5.1258278145695364</v>
      </c>
    </row>
    <row r="1993" spans="1:10" x14ac:dyDescent="0.25">
      <c r="A1993" s="2" t="s">
        <v>5975</v>
      </c>
      <c r="B1993" s="2" t="s">
        <v>5976</v>
      </c>
      <c r="C1993" s="2" t="s">
        <v>5977</v>
      </c>
      <c r="D1993" s="2" t="s">
        <v>10051</v>
      </c>
      <c r="E1993" s="15">
        <v>5.5100000000000003E-2</v>
      </c>
      <c r="F1993" s="15">
        <v>7.3099999999999998E-2</v>
      </c>
      <c r="G1993" s="15">
        <v>0.45119999999999999</v>
      </c>
      <c r="H1993" s="15">
        <v>0.25009999999999999</v>
      </c>
      <c r="I1993" s="15">
        <v>4.87E-2</v>
      </c>
      <c r="J1993" s="15">
        <v>5.1355236139630387</v>
      </c>
    </row>
    <row r="1994" spans="1:10" x14ac:dyDescent="0.25">
      <c r="A1994" s="2" t="s">
        <v>5978</v>
      </c>
      <c r="B1994" s="2" t="s">
        <v>5979</v>
      </c>
      <c r="C1994" s="2" t="s">
        <v>5980</v>
      </c>
      <c r="D1994" s="2" t="s">
        <v>10051</v>
      </c>
      <c r="E1994" s="15">
        <v>4.1300000000000003E-2</v>
      </c>
      <c r="F1994" s="15">
        <v>7.2499999999999995E-2</v>
      </c>
      <c r="G1994" s="15">
        <v>0.56910000000000005</v>
      </c>
      <c r="H1994" s="15">
        <v>0.24890000000000001</v>
      </c>
      <c r="I1994" s="15">
        <v>4.4200000000000003E-2</v>
      </c>
      <c r="J1994" s="15">
        <v>5.6312217194570131</v>
      </c>
    </row>
    <row r="1995" spans="1:10" x14ac:dyDescent="0.25">
      <c r="A1995" s="2" t="s">
        <v>5981</v>
      </c>
      <c r="B1995" s="2" t="s">
        <v>5982</v>
      </c>
      <c r="C1995" s="2" t="s">
        <v>5983</v>
      </c>
      <c r="D1995" s="2" t="s">
        <v>10051</v>
      </c>
      <c r="E1995" s="15">
        <v>-9.7199999999999995E-2</v>
      </c>
      <c r="F1995" s="15">
        <v>6.8500000000000005E-2</v>
      </c>
      <c r="G1995" s="15">
        <v>0.15559999999999999</v>
      </c>
      <c r="H1995" s="15">
        <v>0.27939999999999998</v>
      </c>
      <c r="I1995" s="15">
        <v>4.7500000000000001E-2</v>
      </c>
      <c r="J1995" s="15">
        <v>5.8821052631578947</v>
      </c>
    </row>
    <row r="1996" spans="1:10" x14ac:dyDescent="0.25">
      <c r="A1996" s="2" t="s">
        <v>5984</v>
      </c>
      <c r="B1996" s="2" t="s">
        <v>5985</v>
      </c>
      <c r="C1996" s="2" t="s">
        <v>5986</v>
      </c>
      <c r="D1996" s="2" t="s">
        <v>10051</v>
      </c>
      <c r="E1996" s="15">
        <v>-0.14449999999999999</v>
      </c>
      <c r="F1996" s="15">
        <v>6.9900000000000004E-2</v>
      </c>
      <c r="G1996" s="15">
        <v>3.8699999999999998E-2</v>
      </c>
      <c r="H1996" s="15">
        <v>0.29880000000000001</v>
      </c>
      <c r="I1996" s="15">
        <v>0.05</v>
      </c>
      <c r="J1996" s="15">
        <v>5.976</v>
      </c>
    </row>
    <row r="1997" spans="1:10" x14ac:dyDescent="0.25">
      <c r="A1997" s="2" t="s">
        <v>5987</v>
      </c>
      <c r="B1997" s="2" t="s">
        <v>5988</v>
      </c>
      <c r="C1997" s="2" t="s">
        <v>5989</v>
      </c>
      <c r="D1997" s="2" t="s">
        <v>10051</v>
      </c>
      <c r="E1997" s="15">
        <v>-5.2299999999999999E-2</v>
      </c>
      <c r="F1997" s="15">
        <v>7.1300000000000002E-2</v>
      </c>
      <c r="G1997" s="15">
        <v>0.46310000000000001</v>
      </c>
      <c r="H1997" s="15">
        <v>0.30869999999999997</v>
      </c>
      <c r="I1997" s="15">
        <v>4.9599999999999998E-2</v>
      </c>
      <c r="J1997" s="15">
        <v>6.223790322580645</v>
      </c>
    </row>
    <row r="1998" spans="1:10" x14ac:dyDescent="0.25">
      <c r="A1998" s="2" t="s">
        <v>5990</v>
      </c>
      <c r="B1998" s="2" t="s">
        <v>5991</v>
      </c>
      <c r="C1998" s="2" t="s">
        <v>5992</v>
      </c>
      <c r="D1998" s="2" t="s">
        <v>10051</v>
      </c>
      <c r="E1998" s="15">
        <v>-2.9499999999999998E-2</v>
      </c>
      <c r="F1998" s="15">
        <v>7.2999999999999995E-2</v>
      </c>
      <c r="G1998" s="15">
        <v>0.68589999999999995</v>
      </c>
      <c r="H1998" s="15">
        <v>0.2969</v>
      </c>
      <c r="I1998" s="15">
        <v>4.9099999999999998E-2</v>
      </c>
      <c r="J1998" s="15">
        <v>6.0468431771894098</v>
      </c>
    </row>
    <row r="1999" spans="1:10" x14ac:dyDescent="0.25">
      <c r="A1999" s="2" t="s">
        <v>5993</v>
      </c>
      <c r="B1999" s="2" t="s">
        <v>5994</v>
      </c>
      <c r="C1999" s="2" t="s">
        <v>5995</v>
      </c>
      <c r="D1999" s="2" t="s">
        <v>10051</v>
      </c>
      <c r="E1999" s="15">
        <v>-0.1741</v>
      </c>
      <c r="F1999" s="15">
        <v>7.22E-2</v>
      </c>
      <c r="G1999" s="15">
        <v>1.5800000000000002E-2</v>
      </c>
      <c r="H1999" s="15">
        <v>0.24229999999999999</v>
      </c>
      <c r="I1999" s="15">
        <v>4.5999999999999999E-2</v>
      </c>
      <c r="J1999" s="15">
        <v>5.267391304347826</v>
      </c>
    </row>
    <row r="2000" spans="1:10" x14ac:dyDescent="0.25">
      <c r="A2000" s="2" t="s">
        <v>5996</v>
      </c>
      <c r="B2000" s="2" t="s">
        <v>5997</v>
      </c>
      <c r="C2000" s="2" t="s">
        <v>5998</v>
      </c>
      <c r="D2000" s="2" t="s">
        <v>10051</v>
      </c>
      <c r="E2000" s="15">
        <v>-0.17480000000000001</v>
      </c>
      <c r="F2000" s="15">
        <v>8.4400000000000003E-2</v>
      </c>
      <c r="G2000" s="15">
        <v>3.8300000000000001E-2</v>
      </c>
      <c r="H2000" s="15">
        <v>0.20549999999999999</v>
      </c>
      <c r="I2000" s="15">
        <v>5.3499999999999999E-2</v>
      </c>
      <c r="J2000" s="15">
        <v>3.8411214953271031</v>
      </c>
    </row>
    <row r="2001" spans="1:10" x14ac:dyDescent="0.25">
      <c r="A2001" s="2" t="s">
        <v>5999</v>
      </c>
      <c r="B2001" s="2" t="s">
        <v>6000</v>
      </c>
      <c r="C2001" s="2" t="s">
        <v>6001</v>
      </c>
      <c r="D2001" s="2" t="s">
        <v>10051</v>
      </c>
      <c r="E2001" s="15">
        <v>3.8E-3</v>
      </c>
      <c r="F2001" s="15">
        <v>7.9100000000000004E-2</v>
      </c>
      <c r="G2001" s="15">
        <v>0.96189999999999998</v>
      </c>
      <c r="H2001" s="15">
        <v>0.2954</v>
      </c>
      <c r="I2001" s="15">
        <v>4.5499999999999999E-2</v>
      </c>
      <c r="J2001" s="15">
        <v>6.4923076923076923</v>
      </c>
    </row>
    <row r="2002" spans="1:10" x14ac:dyDescent="0.25">
      <c r="A2002" s="2" t="s">
        <v>6002</v>
      </c>
      <c r="B2002" s="2" t="s">
        <v>6003</v>
      </c>
      <c r="C2002" s="2" t="s">
        <v>6004</v>
      </c>
      <c r="D2002" s="2" t="s">
        <v>10051</v>
      </c>
      <c r="E2002" s="15">
        <v>3.2399999999999998E-2</v>
      </c>
      <c r="F2002" s="15">
        <v>9.3899999999999997E-2</v>
      </c>
      <c r="G2002" s="15">
        <v>0.73040000000000005</v>
      </c>
      <c r="H2002" s="15">
        <v>0.18720000000000001</v>
      </c>
      <c r="I2002" s="15">
        <v>5.2299999999999999E-2</v>
      </c>
      <c r="J2002" s="15">
        <v>3.5793499043977062</v>
      </c>
    </row>
    <row r="2003" spans="1:10" x14ac:dyDescent="0.25">
      <c r="A2003" s="2" t="s">
        <v>6005</v>
      </c>
      <c r="B2003" s="2" t="s">
        <v>6006</v>
      </c>
      <c r="C2003" s="2" t="s">
        <v>6007</v>
      </c>
      <c r="D2003" s="2" t="s">
        <v>10051</v>
      </c>
      <c r="E2003" s="15">
        <v>-0.12529999999999999</v>
      </c>
      <c r="F2003" s="15">
        <v>6.4899999999999999E-2</v>
      </c>
      <c r="G2003" s="15">
        <v>5.3699999999999998E-2</v>
      </c>
      <c r="H2003" s="15">
        <v>0.3039</v>
      </c>
      <c r="I2003" s="15">
        <v>4.8599999999999997E-2</v>
      </c>
      <c r="J2003" s="15">
        <v>6.2530864197530871</v>
      </c>
    </row>
    <row r="2004" spans="1:10" x14ac:dyDescent="0.25">
      <c r="A2004" s="2" t="s">
        <v>6008</v>
      </c>
      <c r="B2004" s="2" t="s">
        <v>6009</v>
      </c>
      <c r="C2004" s="2" t="s">
        <v>6010</v>
      </c>
      <c r="D2004" s="2" t="s">
        <v>10051</v>
      </c>
      <c r="E2004" s="15">
        <v>-0.23880000000000001</v>
      </c>
      <c r="F2004" s="15">
        <v>7.2499999999999995E-2</v>
      </c>
      <c r="G2004" s="15">
        <v>1E-3</v>
      </c>
      <c r="H2004" s="15">
        <v>0.24579999999999999</v>
      </c>
      <c r="I2004" s="15">
        <v>4.7300000000000002E-2</v>
      </c>
      <c r="J2004" s="15">
        <v>5.1966173361522197</v>
      </c>
    </row>
    <row r="2005" spans="1:10" x14ac:dyDescent="0.25">
      <c r="A2005" s="2" t="s">
        <v>6011</v>
      </c>
      <c r="B2005" s="2" t="s">
        <v>6012</v>
      </c>
      <c r="C2005" s="2" t="s">
        <v>6013</v>
      </c>
      <c r="D2005" s="2" t="s">
        <v>10051</v>
      </c>
      <c r="E2005" s="15">
        <v>-0.12720000000000001</v>
      </c>
      <c r="F2005" s="15">
        <v>7.1199999999999999E-2</v>
      </c>
      <c r="G2005" s="15">
        <v>7.3999999999999996E-2</v>
      </c>
      <c r="H2005" s="15">
        <v>0.2281</v>
      </c>
      <c r="I2005" s="15">
        <v>4.9099999999999998E-2</v>
      </c>
      <c r="J2005" s="15">
        <v>4.6456211812627286</v>
      </c>
    </row>
    <row r="2006" spans="1:10" x14ac:dyDescent="0.25">
      <c r="A2006" s="2" t="s">
        <v>6014</v>
      </c>
      <c r="B2006" s="2" t="s">
        <v>6015</v>
      </c>
      <c r="C2006" s="2" t="s">
        <v>6016</v>
      </c>
      <c r="D2006" s="2" t="s">
        <v>10051</v>
      </c>
      <c r="E2006" s="15">
        <v>-0.17829999999999999</v>
      </c>
      <c r="F2006" s="15">
        <v>6.9800000000000001E-2</v>
      </c>
      <c r="G2006" s="15">
        <v>1.06E-2</v>
      </c>
      <c r="H2006" s="15">
        <v>0.2641</v>
      </c>
      <c r="I2006" s="15">
        <v>4.48E-2</v>
      </c>
      <c r="J2006" s="15">
        <v>5.8950892857142856</v>
      </c>
    </row>
    <row r="2007" spans="1:10" x14ac:dyDescent="0.25">
      <c r="A2007" s="2" t="s">
        <v>6017</v>
      </c>
      <c r="B2007" s="2" t="s">
        <v>6018</v>
      </c>
      <c r="C2007" s="2" t="s">
        <v>6019</v>
      </c>
      <c r="D2007" s="2" t="s">
        <v>10051</v>
      </c>
      <c r="E2007" s="15">
        <v>4.3400000000000001E-2</v>
      </c>
      <c r="F2007" s="15">
        <v>8.6499999999999994E-2</v>
      </c>
      <c r="G2007" s="15">
        <v>0.61580000000000001</v>
      </c>
      <c r="H2007" s="15">
        <v>0.14230000000000001</v>
      </c>
      <c r="I2007" s="15">
        <v>4.6199999999999998E-2</v>
      </c>
      <c r="J2007" s="15">
        <v>3.0800865800865811</v>
      </c>
    </row>
    <row r="2008" spans="1:10" x14ac:dyDescent="0.25">
      <c r="A2008" s="2" t="s">
        <v>6020</v>
      </c>
      <c r="B2008" s="2" t="s">
        <v>6021</v>
      </c>
      <c r="C2008" s="2" t="s">
        <v>6022</v>
      </c>
      <c r="D2008" s="2" t="s">
        <v>10051</v>
      </c>
      <c r="E2008" s="15">
        <v>3.2800000000000003E-2</v>
      </c>
      <c r="F2008" s="15">
        <v>6.9099999999999995E-2</v>
      </c>
      <c r="G2008" s="15">
        <v>0.63470000000000004</v>
      </c>
      <c r="H2008" s="15">
        <v>0.24199999999999999</v>
      </c>
      <c r="I2008" s="15">
        <v>5.0700000000000002E-2</v>
      </c>
      <c r="J2008" s="15">
        <v>4.7731755424063111</v>
      </c>
    </row>
    <row r="2009" spans="1:10" x14ac:dyDescent="0.25">
      <c r="A2009" s="2" t="s">
        <v>6023</v>
      </c>
      <c r="B2009" s="2" t="s">
        <v>6024</v>
      </c>
      <c r="C2009" s="2" t="s">
        <v>6025</v>
      </c>
      <c r="D2009" s="2" t="s">
        <v>10051</v>
      </c>
      <c r="E2009" s="15">
        <v>-2.7300000000000001E-2</v>
      </c>
      <c r="F2009" s="15">
        <v>7.9000000000000001E-2</v>
      </c>
      <c r="G2009" s="15">
        <v>0.72950000000000004</v>
      </c>
      <c r="H2009" s="15">
        <v>0.2064</v>
      </c>
      <c r="I2009" s="15">
        <v>4.3900000000000002E-2</v>
      </c>
      <c r="J2009" s="15">
        <v>4.7015945330296116</v>
      </c>
    </row>
    <row r="2010" spans="1:10" x14ac:dyDescent="0.25">
      <c r="A2010" s="2" t="s">
        <v>6026</v>
      </c>
      <c r="B2010" s="2" t="s">
        <v>6027</v>
      </c>
      <c r="C2010" s="2" t="s">
        <v>6028</v>
      </c>
      <c r="D2010" s="2" t="s">
        <v>10051</v>
      </c>
      <c r="E2010" s="15">
        <v>6.3899999999999998E-2</v>
      </c>
      <c r="F2010" s="15">
        <v>7.9699999999999993E-2</v>
      </c>
      <c r="G2010" s="15">
        <v>0.42259999999999998</v>
      </c>
      <c r="H2010" s="15">
        <v>0.17879999999999999</v>
      </c>
      <c r="I2010" s="15">
        <v>4.5999999999999999E-2</v>
      </c>
      <c r="J2010" s="15">
        <v>3.8869565217391302</v>
      </c>
    </row>
    <row r="2011" spans="1:10" x14ac:dyDescent="0.25">
      <c r="A2011" s="2" t="s">
        <v>6029</v>
      </c>
      <c r="B2011" s="2" t="s">
        <v>6030</v>
      </c>
      <c r="C2011" s="2" t="s">
        <v>6031</v>
      </c>
      <c r="D2011" s="2" t="s">
        <v>10051</v>
      </c>
      <c r="E2011" s="15">
        <v>4.24E-2</v>
      </c>
      <c r="F2011" s="15">
        <v>7.0900000000000005E-2</v>
      </c>
      <c r="G2011" s="15">
        <v>0.5504</v>
      </c>
      <c r="H2011" s="15">
        <v>0.26790000000000003</v>
      </c>
      <c r="I2011" s="15">
        <v>5.4600000000000003E-2</v>
      </c>
      <c r="J2011" s="15">
        <v>4.9065934065934069</v>
      </c>
    </row>
    <row r="2012" spans="1:10" x14ac:dyDescent="0.25">
      <c r="A2012" s="2" t="s">
        <v>6032</v>
      </c>
      <c r="B2012" s="2" t="s">
        <v>6033</v>
      </c>
      <c r="C2012" s="2" t="s">
        <v>6034</v>
      </c>
      <c r="D2012" s="2" t="s">
        <v>10051</v>
      </c>
      <c r="E2012" s="15">
        <v>-3.85E-2</v>
      </c>
      <c r="F2012" s="15">
        <v>6.7799999999999999E-2</v>
      </c>
      <c r="G2012" s="15">
        <v>0.57040000000000002</v>
      </c>
      <c r="H2012" s="15">
        <v>0.33200000000000002</v>
      </c>
      <c r="I2012" s="15">
        <v>5.5399999999999998E-2</v>
      </c>
      <c r="J2012" s="15">
        <v>5.9927797833935026</v>
      </c>
    </row>
    <row r="2013" spans="1:10" x14ac:dyDescent="0.25">
      <c r="A2013" s="2" t="s">
        <v>6035</v>
      </c>
      <c r="B2013" s="2" t="s">
        <v>6036</v>
      </c>
      <c r="C2013" s="2" t="s">
        <v>6037</v>
      </c>
      <c r="D2013" s="2" t="s">
        <v>10051</v>
      </c>
      <c r="E2013" s="15">
        <v>-5.0700000000000002E-2</v>
      </c>
      <c r="F2013" s="15">
        <v>8.8099999999999998E-2</v>
      </c>
      <c r="G2013" s="15">
        <v>0.5655</v>
      </c>
      <c r="H2013" s="15">
        <v>0.182</v>
      </c>
      <c r="I2013" s="15">
        <v>5.45E-2</v>
      </c>
      <c r="J2013" s="15">
        <v>3.3394495412844041</v>
      </c>
    </row>
    <row r="2014" spans="1:10" x14ac:dyDescent="0.25">
      <c r="A2014" s="2" t="s">
        <v>6038</v>
      </c>
      <c r="B2014" s="2" t="s">
        <v>6039</v>
      </c>
      <c r="C2014" s="2" t="s">
        <v>6040</v>
      </c>
      <c r="D2014" s="2" t="s">
        <v>10051</v>
      </c>
      <c r="E2014" s="15">
        <v>-0.1459</v>
      </c>
      <c r="F2014" s="15">
        <v>7.1400000000000005E-2</v>
      </c>
      <c r="G2014" s="15">
        <v>4.1099999999999998E-2</v>
      </c>
      <c r="H2014" s="15">
        <v>0.2437</v>
      </c>
      <c r="I2014" s="15">
        <v>5.3600000000000002E-2</v>
      </c>
      <c r="J2014" s="15">
        <v>4.5466417910447756</v>
      </c>
    </row>
    <row r="2015" spans="1:10" x14ac:dyDescent="0.25">
      <c r="A2015" s="2" t="s">
        <v>6041</v>
      </c>
      <c r="B2015" s="2" t="s">
        <v>6042</v>
      </c>
      <c r="C2015" s="2" t="s">
        <v>6043</v>
      </c>
      <c r="D2015" s="2" t="s">
        <v>10051</v>
      </c>
      <c r="E2015" s="15">
        <v>-0.20130000000000001</v>
      </c>
      <c r="F2015" s="15">
        <v>8.7099999999999997E-2</v>
      </c>
      <c r="G2015" s="15">
        <v>2.0799999999999999E-2</v>
      </c>
      <c r="H2015" s="15">
        <v>0.14119999999999999</v>
      </c>
      <c r="I2015" s="15">
        <v>4.4499999999999998E-2</v>
      </c>
      <c r="J2015" s="15">
        <v>3.173033707865168</v>
      </c>
    </row>
    <row r="2016" spans="1:10" x14ac:dyDescent="0.25">
      <c r="A2016" s="2" t="s">
        <v>6044</v>
      </c>
      <c r="B2016" s="2" t="s">
        <v>6045</v>
      </c>
      <c r="C2016" s="2" t="s">
        <v>6046</v>
      </c>
      <c r="D2016" s="2" t="s">
        <v>10051</v>
      </c>
      <c r="E2016" s="15">
        <v>-7.2300000000000003E-2</v>
      </c>
      <c r="F2016" s="15">
        <v>9.4500000000000001E-2</v>
      </c>
      <c r="G2016" s="15">
        <v>0.44440000000000002</v>
      </c>
      <c r="H2016" s="15">
        <v>0.13250000000000001</v>
      </c>
      <c r="I2016" s="15">
        <v>4.02E-2</v>
      </c>
      <c r="J2016" s="15">
        <v>3.2960199004975128</v>
      </c>
    </row>
    <row r="2017" spans="1:10" x14ac:dyDescent="0.25">
      <c r="A2017" s="2" t="s">
        <v>6047</v>
      </c>
      <c r="B2017" s="2" t="s">
        <v>6048</v>
      </c>
      <c r="C2017" s="2" t="s">
        <v>6049</v>
      </c>
      <c r="D2017" s="2" t="s">
        <v>10051</v>
      </c>
      <c r="E2017" s="15">
        <v>2.7900000000000001E-2</v>
      </c>
      <c r="F2017" s="15">
        <v>0.1003</v>
      </c>
      <c r="G2017" s="15">
        <v>0.78049999999999997</v>
      </c>
      <c r="H2017" s="15">
        <v>0.12609999999999999</v>
      </c>
      <c r="I2017" s="15">
        <v>4.4400000000000002E-2</v>
      </c>
      <c r="J2017" s="15">
        <v>2.8400900900900901</v>
      </c>
    </row>
    <row r="2018" spans="1:10" x14ac:dyDescent="0.25">
      <c r="A2018" s="2" t="s">
        <v>6050</v>
      </c>
      <c r="B2018" s="2" t="s">
        <v>6051</v>
      </c>
      <c r="C2018" s="2" t="s">
        <v>6052</v>
      </c>
      <c r="D2018" s="2" t="s">
        <v>10051</v>
      </c>
      <c r="E2018" s="15">
        <v>0.15110000000000001</v>
      </c>
      <c r="F2018" s="15">
        <v>8.8700000000000001E-2</v>
      </c>
      <c r="G2018" s="15">
        <v>8.8400000000000006E-2</v>
      </c>
      <c r="H2018" s="15">
        <v>0.17480000000000001</v>
      </c>
      <c r="I2018" s="15">
        <v>4.0599999999999997E-2</v>
      </c>
      <c r="J2018" s="15">
        <v>4.305418719211823</v>
      </c>
    </row>
    <row r="2019" spans="1:10" x14ac:dyDescent="0.25">
      <c r="A2019" s="2" t="s">
        <v>6053</v>
      </c>
      <c r="B2019" s="2" t="s">
        <v>6054</v>
      </c>
      <c r="C2019" s="2" t="s">
        <v>6055</v>
      </c>
      <c r="D2019" s="2" t="s">
        <v>10051</v>
      </c>
      <c r="E2019" s="15">
        <v>-0.15429999999999999</v>
      </c>
      <c r="F2019" s="15">
        <v>5.8299999999999998E-2</v>
      </c>
      <c r="G2019" s="15">
        <v>8.0999999999999996E-3</v>
      </c>
      <c r="H2019" s="15">
        <v>0.33989999999999998</v>
      </c>
      <c r="I2019" s="15">
        <v>4.3200000000000002E-2</v>
      </c>
      <c r="J2019" s="15">
        <v>7.8680555555555536</v>
      </c>
    </row>
    <row r="2020" spans="1:10" x14ac:dyDescent="0.25">
      <c r="A2020" s="2" t="s">
        <v>6056</v>
      </c>
      <c r="B2020" s="2" t="s">
        <v>6057</v>
      </c>
      <c r="C2020" s="2" t="s">
        <v>6058</v>
      </c>
      <c r="D2020" s="2" t="s">
        <v>10051</v>
      </c>
      <c r="E2020" s="15">
        <v>-0.1595</v>
      </c>
      <c r="F2020" s="15">
        <v>6.5699999999999995E-2</v>
      </c>
      <c r="G2020" s="15">
        <v>1.52E-2</v>
      </c>
      <c r="H2020" s="15">
        <v>0.26979999999999998</v>
      </c>
      <c r="I2020" s="15">
        <v>4.1799999999999997E-2</v>
      </c>
      <c r="J2020" s="15">
        <v>6.454545454545455</v>
      </c>
    </row>
    <row r="2021" spans="1:10" x14ac:dyDescent="0.25">
      <c r="A2021" s="2" t="s">
        <v>6059</v>
      </c>
      <c r="B2021" s="2" t="s">
        <v>6060</v>
      </c>
      <c r="C2021" s="2" t="s">
        <v>6061</v>
      </c>
      <c r="D2021" s="2" t="s">
        <v>10051</v>
      </c>
      <c r="E2021" s="15">
        <v>-5.5800000000000002E-2</v>
      </c>
      <c r="F2021" s="15">
        <v>8.8700000000000001E-2</v>
      </c>
      <c r="G2021" s="15">
        <v>0.52939999999999998</v>
      </c>
      <c r="H2021" s="15">
        <v>0.1701</v>
      </c>
      <c r="I2021" s="15">
        <v>4.6199999999999998E-2</v>
      </c>
      <c r="J2021" s="15">
        <v>3.6818181818181821</v>
      </c>
    </row>
    <row r="2022" spans="1:10" x14ac:dyDescent="0.25">
      <c r="A2022" s="2" t="s">
        <v>6062</v>
      </c>
      <c r="B2022" s="2" t="s">
        <v>6063</v>
      </c>
      <c r="C2022" s="2" t="s">
        <v>6064</v>
      </c>
      <c r="D2022" s="2" t="s">
        <v>10051</v>
      </c>
      <c r="E2022" s="15">
        <v>-7.4099999999999999E-2</v>
      </c>
      <c r="F2022" s="15">
        <v>8.1600000000000006E-2</v>
      </c>
      <c r="G2022" s="15">
        <v>0.36330000000000001</v>
      </c>
      <c r="H2022" s="15">
        <v>0.1988</v>
      </c>
      <c r="I2022" s="15">
        <v>4.6699999999999998E-2</v>
      </c>
      <c r="J2022" s="15">
        <v>4.2569593147751608</v>
      </c>
    </row>
    <row r="2023" spans="1:10" x14ac:dyDescent="0.25">
      <c r="A2023" s="2" t="s">
        <v>6065</v>
      </c>
      <c r="B2023" s="2" t="s">
        <v>6066</v>
      </c>
      <c r="C2023" s="2" t="s">
        <v>6067</v>
      </c>
      <c r="D2023" s="2" t="s">
        <v>10051</v>
      </c>
      <c r="E2023" s="15">
        <v>-0.1333</v>
      </c>
      <c r="F2023" s="15">
        <v>7.7899999999999997E-2</v>
      </c>
      <c r="G2023" s="15">
        <v>8.7099999999999997E-2</v>
      </c>
      <c r="H2023" s="15">
        <v>0.26840000000000003</v>
      </c>
      <c r="I2023" s="15">
        <v>5.1799999999999999E-2</v>
      </c>
      <c r="J2023" s="15">
        <v>5.1814671814671822</v>
      </c>
    </row>
    <row r="2024" spans="1:10" x14ac:dyDescent="0.25">
      <c r="A2024" s="2" t="s">
        <v>6068</v>
      </c>
      <c r="B2024" s="2" t="s">
        <v>6069</v>
      </c>
      <c r="C2024" s="2" t="s">
        <v>6070</v>
      </c>
      <c r="D2024" s="2" t="s">
        <v>10051</v>
      </c>
      <c r="E2024" s="15">
        <v>-0.14949999999999999</v>
      </c>
      <c r="F2024" s="15">
        <v>7.2800000000000004E-2</v>
      </c>
      <c r="G2024" s="15">
        <v>0.04</v>
      </c>
      <c r="H2024" s="15">
        <v>0.25459999999999999</v>
      </c>
      <c r="I2024" s="15">
        <v>4.8500000000000001E-2</v>
      </c>
      <c r="J2024" s="15">
        <v>5.2494845360824742</v>
      </c>
    </row>
    <row r="2025" spans="1:10" x14ac:dyDescent="0.25">
      <c r="A2025" s="2" t="s">
        <v>6071</v>
      </c>
      <c r="B2025" s="2" t="s">
        <v>6072</v>
      </c>
      <c r="C2025" s="2" t="s">
        <v>6073</v>
      </c>
      <c r="D2025" s="2" t="s">
        <v>10051</v>
      </c>
      <c r="E2025" s="15">
        <v>-0.15079999999999999</v>
      </c>
      <c r="F2025" s="15">
        <v>8.1199999999999994E-2</v>
      </c>
      <c r="G2025" s="15">
        <v>6.3399999999999998E-2</v>
      </c>
      <c r="H2025" s="15">
        <v>0.1832</v>
      </c>
      <c r="I2025" s="15">
        <v>4.3499999999999997E-2</v>
      </c>
      <c r="J2025" s="15">
        <v>4.2114942528735639</v>
      </c>
    </row>
    <row r="2026" spans="1:10" x14ac:dyDescent="0.25">
      <c r="A2026" s="2" t="s">
        <v>6074</v>
      </c>
      <c r="B2026" s="2" t="s">
        <v>6075</v>
      </c>
      <c r="C2026" s="2" t="s">
        <v>6076</v>
      </c>
      <c r="D2026" s="2" t="s">
        <v>10051</v>
      </c>
      <c r="E2026" s="15">
        <v>-3.44E-2</v>
      </c>
      <c r="F2026" s="15">
        <v>8.9099999999999999E-2</v>
      </c>
      <c r="G2026" s="15">
        <v>0.6996</v>
      </c>
      <c r="H2026" s="15">
        <v>0.19</v>
      </c>
      <c r="I2026" s="15">
        <v>4.6300000000000001E-2</v>
      </c>
      <c r="J2026" s="15">
        <v>4.1036717062634986</v>
      </c>
    </row>
    <row r="2027" spans="1:10" x14ac:dyDescent="0.25">
      <c r="A2027" s="2" t="s">
        <v>6077</v>
      </c>
      <c r="B2027" s="2" t="s">
        <v>6078</v>
      </c>
      <c r="C2027" s="2" t="s">
        <v>6079</v>
      </c>
      <c r="D2027" s="2" t="s">
        <v>10051</v>
      </c>
      <c r="E2027" s="15">
        <v>-6.6100000000000006E-2</v>
      </c>
      <c r="F2027" s="15">
        <v>0.11650000000000001</v>
      </c>
      <c r="G2027" s="15">
        <v>0.57040000000000002</v>
      </c>
      <c r="H2027" s="15">
        <v>0.10780000000000001</v>
      </c>
      <c r="I2027" s="15">
        <v>4.1500000000000002E-2</v>
      </c>
      <c r="J2027" s="15">
        <v>2.5975903614457829</v>
      </c>
    </row>
    <row r="2028" spans="1:10" x14ac:dyDescent="0.25">
      <c r="A2028" s="2" t="s">
        <v>6080</v>
      </c>
      <c r="B2028" s="2" t="s">
        <v>6081</v>
      </c>
      <c r="C2028" s="2" t="s">
        <v>6082</v>
      </c>
      <c r="D2028" s="2" t="s">
        <v>10051</v>
      </c>
      <c r="E2028" s="15">
        <v>-2.8500000000000001E-2</v>
      </c>
      <c r="F2028" s="15">
        <v>9.4E-2</v>
      </c>
      <c r="G2028" s="15">
        <v>0.76139999999999997</v>
      </c>
      <c r="H2028" s="15">
        <v>0.1704</v>
      </c>
      <c r="I2028" s="15">
        <v>4.2700000000000002E-2</v>
      </c>
      <c r="J2028" s="15">
        <v>3.9906323185011709</v>
      </c>
    </row>
    <row r="2029" spans="1:10" x14ac:dyDescent="0.25">
      <c r="A2029" s="2" t="s">
        <v>6083</v>
      </c>
      <c r="B2029" s="2" t="s">
        <v>6084</v>
      </c>
      <c r="C2029" s="2" t="s">
        <v>6085</v>
      </c>
      <c r="D2029" s="2" t="s">
        <v>10051</v>
      </c>
      <c r="E2029" s="15">
        <v>-9.1399999999999995E-2</v>
      </c>
      <c r="F2029" s="15">
        <v>6.4899999999999999E-2</v>
      </c>
      <c r="G2029" s="15">
        <v>0.15939999999999999</v>
      </c>
      <c r="H2029" s="15">
        <v>0.27639999999999998</v>
      </c>
      <c r="I2029" s="15">
        <v>4.5699999999999998E-2</v>
      </c>
      <c r="J2029" s="15">
        <v>6.0481400437636763</v>
      </c>
    </row>
    <row r="2030" spans="1:10" x14ac:dyDescent="0.25">
      <c r="A2030" s="2" t="s">
        <v>6086</v>
      </c>
      <c r="B2030" s="2" t="s">
        <v>6087</v>
      </c>
      <c r="C2030" s="2" t="s">
        <v>6088</v>
      </c>
      <c r="D2030" s="2" t="s">
        <v>10051</v>
      </c>
      <c r="E2030" s="15">
        <v>-5.0900000000000001E-2</v>
      </c>
      <c r="F2030" s="15">
        <v>6.5000000000000002E-2</v>
      </c>
      <c r="G2030" s="15">
        <v>0.43380000000000002</v>
      </c>
      <c r="H2030" s="15">
        <v>0.28110000000000002</v>
      </c>
      <c r="I2030" s="15">
        <v>4.8399999999999999E-2</v>
      </c>
      <c r="J2030" s="15">
        <v>5.8078512396694224</v>
      </c>
    </row>
    <row r="2031" spans="1:10" x14ac:dyDescent="0.25">
      <c r="A2031" s="2" t="s">
        <v>6089</v>
      </c>
      <c r="B2031" s="2" t="s">
        <v>6090</v>
      </c>
      <c r="C2031" s="2" t="s">
        <v>6091</v>
      </c>
      <c r="D2031" s="2" t="s">
        <v>10051</v>
      </c>
      <c r="E2031" s="15">
        <v>-0.23680000000000001</v>
      </c>
      <c r="F2031" s="15">
        <v>0.1943</v>
      </c>
      <c r="G2031" s="15">
        <v>0.223</v>
      </c>
      <c r="H2031" s="15">
        <v>5.3800000000000001E-2</v>
      </c>
      <c r="I2031" s="15">
        <v>4.07E-2</v>
      </c>
      <c r="J2031" s="15">
        <v>1.321867321867322</v>
      </c>
    </row>
    <row r="2032" spans="1:10" x14ac:dyDescent="0.25">
      <c r="A2032" s="2" t="s">
        <v>6092</v>
      </c>
      <c r="B2032" s="2" t="s">
        <v>6093</v>
      </c>
      <c r="C2032" s="2" t="s">
        <v>6094</v>
      </c>
      <c r="D2032" s="2" t="s">
        <v>10051</v>
      </c>
      <c r="E2032" s="15">
        <v>-0.1069</v>
      </c>
      <c r="F2032" s="15">
        <v>9.4399999999999998E-2</v>
      </c>
      <c r="G2032" s="15">
        <v>0.25740000000000002</v>
      </c>
      <c r="H2032" s="15">
        <v>0.15479999999999999</v>
      </c>
      <c r="I2032" s="15">
        <v>4.0800000000000003E-2</v>
      </c>
      <c r="J2032" s="15">
        <v>3.7941176470588229</v>
      </c>
    </row>
    <row r="2033" spans="1:10" x14ac:dyDescent="0.25">
      <c r="A2033" s="2" t="s">
        <v>6095</v>
      </c>
      <c r="B2033" s="2" t="s">
        <v>6096</v>
      </c>
      <c r="C2033" s="2" t="s">
        <v>6097</v>
      </c>
      <c r="D2033" s="2" t="s">
        <v>10051</v>
      </c>
      <c r="E2033" s="15">
        <v>-9.2499999999999999E-2</v>
      </c>
      <c r="F2033" s="15">
        <v>0.1014</v>
      </c>
      <c r="G2033" s="15">
        <v>0.36170000000000002</v>
      </c>
      <c r="H2033" s="15">
        <v>0.11609999999999999</v>
      </c>
      <c r="I2033" s="15">
        <v>4.1099999999999998E-2</v>
      </c>
      <c r="J2033" s="15">
        <v>2.824817518248175</v>
      </c>
    </row>
    <row r="2034" spans="1:10" x14ac:dyDescent="0.25">
      <c r="A2034" s="2" t="s">
        <v>6098</v>
      </c>
      <c r="B2034" s="2" t="s">
        <v>6099</v>
      </c>
      <c r="C2034" s="2" t="s">
        <v>6100</v>
      </c>
      <c r="D2034" s="2" t="s">
        <v>10051</v>
      </c>
      <c r="E2034" s="15">
        <v>-0.10979999999999999</v>
      </c>
      <c r="F2034" s="15">
        <v>9.06E-2</v>
      </c>
      <c r="G2034" s="15">
        <v>0.22570000000000001</v>
      </c>
      <c r="H2034" s="15">
        <v>0.1535</v>
      </c>
      <c r="I2034" s="15">
        <v>4.1399999999999999E-2</v>
      </c>
      <c r="J2034" s="15">
        <v>3.7077294685990339</v>
      </c>
    </row>
    <row r="2035" spans="1:10" x14ac:dyDescent="0.25">
      <c r="A2035" s="2" t="s">
        <v>6101</v>
      </c>
      <c r="B2035" s="2" t="s">
        <v>6102</v>
      </c>
      <c r="C2035" s="2" t="s">
        <v>6103</v>
      </c>
      <c r="D2035" s="2" t="s">
        <v>10051</v>
      </c>
      <c r="E2035" s="15">
        <v>-4.9099999999999998E-2</v>
      </c>
      <c r="F2035" s="15">
        <v>6.2300000000000001E-2</v>
      </c>
      <c r="G2035" s="15">
        <v>0.4304</v>
      </c>
      <c r="H2035" s="15">
        <v>0.34060000000000001</v>
      </c>
      <c r="I2035" s="15">
        <v>4.7399999999999998E-2</v>
      </c>
      <c r="J2035" s="15">
        <v>7.185654008438819</v>
      </c>
    </row>
    <row r="2036" spans="1:10" x14ac:dyDescent="0.25">
      <c r="A2036" s="2" t="s">
        <v>6104</v>
      </c>
      <c r="B2036" s="2" t="s">
        <v>6105</v>
      </c>
      <c r="C2036" s="2" t="s">
        <v>6106</v>
      </c>
      <c r="D2036" s="2" t="s">
        <v>10051</v>
      </c>
      <c r="E2036" s="15">
        <v>3.3999999999999998E-3</v>
      </c>
      <c r="F2036" s="15">
        <v>6.9000000000000006E-2</v>
      </c>
      <c r="G2036" s="15">
        <v>0.96079999999999999</v>
      </c>
      <c r="H2036" s="15">
        <v>0.25740000000000002</v>
      </c>
      <c r="I2036" s="15">
        <v>5.3400000000000003E-2</v>
      </c>
      <c r="J2036" s="15">
        <v>4.820224719101124</v>
      </c>
    </row>
    <row r="2037" spans="1:10" x14ac:dyDescent="0.25">
      <c r="A2037" s="2" t="s">
        <v>6107</v>
      </c>
      <c r="B2037" s="2" t="s">
        <v>6108</v>
      </c>
      <c r="C2037" s="2" t="s">
        <v>6109</v>
      </c>
      <c r="D2037" s="2" t="s">
        <v>10051</v>
      </c>
      <c r="E2037" s="15">
        <v>-1.0200000000000001E-2</v>
      </c>
      <c r="F2037" s="15">
        <v>0.1022</v>
      </c>
      <c r="G2037" s="15">
        <v>0.92069999999999996</v>
      </c>
      <c r="H2037" s="15">
        <v>0.125</v>
      </c>
      <c r="I2037" s="15">
        <v>3.9300000000000002E-2</v>
      </c>
      <c r="J2037" s="15">
        <v>3.1806615776081419</v>
      </c>
    </row>
    <row r="2038" spans="1:10" x14ac:dyDescent="0.25">
      <c r="A2038" s="2" t="s">
        <v>6110</v>
      </c>
      <c r="B2038" s="2" t="s">
        <v>6111</v>
      </c>
      <c r="C2038" s="2" t="s">
        <v>6112</v>
      </c>
      <c r="D2038" s="2" t="s">
        <v>10051</v>
      </c>
      <c r="E2038" s="15">
        <v>1.6000000000000001E-3</v>
      </c>
      <c r="F2038" s="15">
        <v>7.2400000000000006E-2</v>
      </c>
      <c r="G2038" s="15">
        <v>0.9829</v>
      </c>
      <c r="H2038" s="15">
        <v>0.33339999999999997</v>
      </c>
      <c r="I2038" s="15">
        <v>5.2499999999999998E-2</v>
      </c>
      <c r="J2038" s="15">
        <v>6.3504761904761899</v>
      </c>
    </row>
    <row r="2039" spans="1:10" x14ac:dyDescent="0.25">
      <c r="A2039" s="2" t="s">
        <v>6113</v>
      </c>
      <c r="B2039" s="2" t="s">
        <v>6114</v>
      </c>
      <c r="C2039" s="2" t="s">
        <v>6115</v>
      </c>
      <c r="D2039" s="2" t="s">
        <v>10051</v>
      </c>
      <c r="E2039" s="15">
        <v>-0.1653</v>
      </c>
      <c r="F2039" s="15">
        <v>0.15559999999999999</v>
      </c>
      <c r="G2039" s="15">
        <v>0.28789999999999999</v>
      </c>
      <c r="H2039" s="15">
        <v>6.6000000000000003E-2</v>
      </c>
      <c r="I2039" s="15">
        <v>4.07E-2</v>
      </c>
      <c r="J2039" s="15">
        <v>1.6216216216216219</v>
      </c>
    </row>
    <row r="2040" spans="1:10" x14ac:dyDescent="0.25">
      <c r="A2040" s="2" t="s">
        <v>6116</v>
      </c>
      <c r="B2040" s="2" t="s">
        <v>6117</v>
      </c>
      <c r="C2040" s="2" t="s">
        <v>6118</v>
      </c>
      <c r="D2040" s="2" t="s">
        <v>10051</v>
      </c>
      <c r="E2040" s="15">
        <v>-6.7999999999999996E-3</v>
      </c>
      <c r="F2040" s="15">
        <v>8.4400000000000003E-2</v>
      </c>
      <c r="G2040" s="15">
        <v>0.93620000000000003</v>
      </c>
      <c r="H2040" s="15">
        <v>0.18479999999999999</v>
      </c>
      <c r="I2040" s="15">
        <v>4.7800000000000002E-2</v>
      </c>
      <c r="J2040" s="15">
        <v>3.8661087866108779</v>
      </c>
    </row>
    <row r="2041" spans="1:10" x14ac:dyDescent="0.25">
      <c r="A2041" s="2" t="s">
        <v>6119</v>
      </c>
      <c r="B2041" s="2" t="s">
        <v>6120</v>
      </c>
      <c r="C2041" s="2" t="s">
        <v>6121</v>
      </c>
      <c r="D2041" s="2" t="s">
        <v>10051</v>
      </c>
      <c r="E2041" s="15">
        <v>-0.10290000000000001</v>
      </c>
      <c r="F2041" s="15">
        <v>9.9900000000000003E-2</v>
      </c>
      <c r="G2041" s="15">
        <v>0.30309999999999998</v>
      </c>
      <c r="H2041" s="15">
        <v>0.1401</v>
      </c>
      <c r="I2041" s="15">
        <v>5.0500000000000003E-2</v>
      </c>
      <c r="J2041" s="15">
        <v>2.7742574257425741</v>
      </c>
    </row>
    <row r="2042" spans="1:10" x14ac:dyDescent="0.25">
      <c r="A2042" s="2" t="s">
        <v>6122</v>
      </c>
      <c r="B2042" s="2" t="s">
        <v>6123</v>
      </c>
      <c r="C2042" s="2" t="s">
        <v>6124</v>
      </c>
      <c r="D2042" s="2" t="s">
        <v>10051</v>
      </c>
      <c r="E2042" s="15">
        <v>-8.1500000000000003E-2</v>
      </c>
      <c r="F2042" s="15">
        <v>8.5099999999999995E-2</v>
      </c>
      <c r="G2042" s="15">
        <v>0.33850000000000002</v>
      </c>
      <c r="H2042" s="15">
        <v>0.17319999999999999</v>
      </c>
      <c r="I2042" s="15">
        <v>4.8899999999999999E-2</v>
      </c>
      <c r="J2042" s="15">
        <v>3.5419222903885479</v>
      </c>
    </row>
    <row r="2043" spans="1:10" x14ac:dyDescent="0.25">
      <c r="A2043" s="2" t="s">
        <v>6125</v>
      </c>
      <c r="B2043" s="2" t="s">
        <v>6126</v>
      </c>
      <c r="C2043" s="2" t="s">
        <v>6127</v>
      </c>
      <c r="D2043" s="2" t="s">
        <v>10051</v>
      </c>
      <c r="E2043" s="15">
        <v>-3.04E-2</v>
      </c>
      <c r="F2043" s="15">
        <v>8.6800000000000002E-2</v>
      </c>
      <c r="G2043" s="15">
        <v>0.7258</v>
      </c>
      <c r="H2043" s="15">
        <v>0.18540000000000001</v>
      </c>
      <c r="I2043" s="15">
        <v>4.8000000000000001E-2</v>
      </c>
      <c r="J2043" s="15">
        <v>3.8624999999999998</v>
      </c>
    </row>
    <row r="2044" spans="1:10" x14ac:dyDescent="0.25">
      <c r="A2044" s="2" t="s">
        <v>6128</v>
      </c>
      <c r="B2044" s="2" t="s">
        <v>6129</v>
      </c>
      <c r="C2044" s="2" t="s">
        <v>6130</v>
      </c>
      <c r="D2044" s="2" t="s">
        <v>10051</v>
      </c>
      <c r="E2044" s="15">
        <v>-1.6E-2</v>
      </c>
      <c r="F2044" s="15">
        <v>7.8200000000000006E-2</v>
      </c>
      <c r="G2044" s="15">
        <v>0.83760000000000001</v>
      </c>
      <c r="H2044" s="15">
        <v>0.248</v>
      </c>
      <c r="I2044" s="15">
        <v>6.8699999999999997E-2</v>
      </c>
      <c r="J2044" s="15">
        <v>3.6098981077147019</v>
      </c>
    </row>
    <row r="2045" spans="1:10" x14ac:dyDescent="0.25">
      <c r="A2045" s="2" t="s">
        <v>6131</v>
      </c>
      <c r="B2045" s="2" t="s">
        <v>6132</v>
      </c>
      <c r="C2045" s="2" t="s">
        <v>6133</v>
      </c>
      <c r="D2045" s="2" t="s">
        <v>10051</v>
      </c>
      <c r="E2045" s="15">
        <v>-3.3700000000000001E-2</v>
      </c>
      <c r="F2045" s="15">
        <v>6.6600000000000006E-2</v>
      </c>
      <c r="G2045" s="15">
        <v>0.61319999999999997</v>
      </c>
      <c r="H2045" s="15">
        <v>0.2944</v>
      </c>
      <c r="I2045" s="15">
        <v>5.6500000000000002E-2</v>
      </c>
      <c r="J2045" s="15">
        <v>5.2106194690265486</v>
      </c>
    </row>
    <row r="2046" spans="1:10" x14ac:dyDescent="0.25">
      <c r="A2046" s="2" t="s">
        <v>6134</v>
      </c>
      <c r="B2046" s="2" t="s">
        <v>6135</v>
      </c>
      <c r="C2046" s="2" t="s">
        <v>6136</v>
      </c>
      <c r="D2046" s="2" t="s">
        <v>10051</v>
      </c>
      <c r="E2046" s="15">
        <v>4.3799999999999999E-2</v>
      </c>
      <c r="F2046" s="15">
        <v>0.10680000000000001</v>
      </c>
      <c r="G2046" s="15">
        <v>0.68179999999999996</v>
      </c>
      <c r="H2046" s="15">
        <v>0.1062</v>
      </c>
      <c r="I2046" s="15">
        <v>5.3999999999999999E-2</v>
      </c>
      <c r="J2046" s="15">
        <v>1.966666666666667</v>
      </c>
    </row>
    <row r="2047" spans="1:10" x14ac:dyDescent="0.25">
      <c r="A2047" s="2" t="s">
        <v>6137</v>
      </c>
      <c r="B2047" s="2" t="s">
        <v>6138</v>
      </c>
      <c r="C2047" s="2" t="s">
        <v>6139</v>
      </c>
      <c r="D2047" s="2" t="s">
        <v>10051</v>
      </c>
      <c r="E2047" s="15">
        <v>5.79E-2</v>
      </c>
      <c r="F2047" s="15">
        <v>0.14960000000000001</v>
      </c>
      <c r="G2047" s="15">
        <v>0.69889999999999997</v>
      </c>
      <c r="H2047" s="15">
        <v>6.0499999999999998E-2</v>
      </c>
      <c r="I2047" s="15">
        <v>4.2200000000000001E-2</v>
      </c>
      <c r="J2047" s="15">
        <v>1.433649289099526</v>
      </c>
    </row>
    <row r="2048" spans="1:10" x14ac:dyDescent="0.25">
      <c r="A2048" s="2" t="s">
        <v>6140</v>
      </c>
      <c r="B2048" s="2" t="s">
        <v>6141</v>
      </c>
      <c r="C2048" s="2" t="s">
        <v>6142</v>
      </c>
      <c r="D2048" s="2" t="s">
        <v>10051</v>
      </c>
      <c r="E2048" s="15">
        <v>-7.3300000000000004E-2</v>
      </c>
      <c r="F2048" s="15">
        <v>6.4799999999999996E-2</v>
      </c>
      <c r="G2048" s="15">
        <v>0.2581</v>
      </c>
      <c r="H2048" s="15">
        <v>0.34960000000000002</v>
      </c>
      <c r="I2048" s="15">
        <v>4.9500000000000002E-2</v>
      </c>
      <c r="J2048" s="15">
        <v>7.0626262626262628</v>
      </c>
    </row>
    <row r="2049" spans="1:10" x14ac:dyDescent="0.25">
      <c r="A2049" s="2" t="s">
        <v>6143</v>
      </c>
      <c r="B2049" s="2" t="s">
        <v>6144</v>
      </c>
      <c r="C2049" s="2" t="s">
        <v>6145</v>
      </c>
      <c r="D2049" s="2" t="s">
        <v>10051</v>
      </c>
      <c r="E2049" s="15">
        <v>-8.9800000000000005E-2</v>
      </c>
      <c r="F2049" s="15">
        <v>5.7200000000000001E-2</v>
      </c>
      <c r="G2049" s="15">
        <v>0.1162</v>
      </c>
      <c r="H2049" s="15">
        <v>0.3957</v>
      </c>
      <c r="I2049" s="15">
        <v>5.1299999999999998E-2</v>
      </c>
      <c r="J2049" s="15">
        <v>7.7134502923976607</v>
      </c>
    </row>
    <row r="2050" spans="1:10" x14ac:dyDescent="0.25">
      <c r="A2050" s="2" t="s">
        <v>6146</v>
      </c>
      <c r="B2050" s="2" t="s">
        <v>6147</v>
      </c>
      <c r="C2050" s="2" t="s">
        <v>6148</v>
      </c>
      <c r="D2050" s="2" t="s">
        <v>10051</v>
      </c>
      <c r="E2050" s="15">
        <v>-0.13</v>
      </c>
      <c r="F2050" s="15">
        <v>7.0199999999999999E-2</v>
      </c>
      <c r="G2050" s="15">
        <v>6.3899999999999998E-2</v>
      </c>
      <c r="H2050" s="15">
        <v>0.28439999999999999</v>
      </c>
      <c r="I2050" s="15">
        <v>4.7199999999999999E-2</v>
      </c>
      <c r="J2050" s="15">
        <v>6.0254237288135588</v>
      </c>
    </row>
    <row r="2051" spans="1:10" x14ac:dyDescent="0.25">
      <c r="A2051" s="2" t="s">
        <v>6149</v>
      </c>
      <c r="B2051" s="2" t="s">
        <v>6150</v>
      </c>
      <c r="C2051" s="2" t="s">
        <v>6151</v>
      </c>
      <c r="D2051" s="2" t="s">
        <v>10051</v>
      </c>
      <c r="E2051" s="15">
        <v>-9.06E-2</v>
      </c>
      <c r="F2051" s="15">
        <v>6.3500000000000001E-2</v>
      </c>
      <c r="G2051" s="15">
        <v>0.15390000000000001</v>
      </c>
      <c r="H2051" s="15">
        <v>0.31490000000000001</v>
      </c>
      <c r="I2051" s="15">
        <v>6.3899999999999998E-2</v>
      </c>
      <c r="J2051" s="15">
        <v>4.9280125195618156</v>
      </c>
    </row>
    <row r="2052" spans="1:10" x14ac:dyDescent="0.25">
      <c r="A2052" s="2" t="s">
        <v>6152</v>
      </c>
      <c r="B2052" s="2" t="s">
        <v>6153</v>
      </c>
      <c r="C2052" s="2" t="s">
        <v>6154</v>
      </c>
      <c r="D2052" s="2" t="s">
        <v>10051</v>
      </c>
      <c r="E2052" s="15">
        <v>-6.0100000000000001E-2</v>
      </c>
      <c r="F2052" s="15">
        <v>9.5600000000000004E-2</v>
      </c>
      <c r="G2052" s="15">
        <v>0.5292</v>
      </c>
      <c r="H2052" s="15">
        <v>0.13450000000000001</v>
      </c>
      <c r="I2052" s="15">
        <v>4.2500000000000003E-2</v>
      </c>
      <c r="J2052" s="15">
        <v>3.164705882352941</v>
      </c>
    </row>
    <row r="2053" spans="1:10" x14ac:dyDescent="0.25">
      <c r="A2053" s="2" t="s">
        <v>6155</v>
      </c>
      <c r="B2053" s="2" t="s">
        <v>6156</v>
      </c>
      <c r="C2053" s="2" t="s">
        <v>6157</v>
      </c>
      <c r="D2053" s="2" t="s">
        <v>10051</v>
      </c>
      <c r="E2053" s="15">
        <v>-9.8299999999999998E-2</v>
      </c>
      <c r="F2053" s="15">
        <v>7.7600000000000002E-2</v>
      </c>
      <c r="G2053" s="15">
        <v>0.20530000000000001</v>
      </c>
      <c r="H2053" s="15">
        <v>0.20799999999999999</v>
      </c>
      <c r="I2053" s="15">
        <v>5.0299999999999997E-2</v>
      </c>
      <c r="J2053" s="15">
        <v>4.1351888667992052</v>
      </c>
    </row>
    <row r="2054" spans="1:10" x14ac:dyDescent="0.25">
      <c r="A2054" s="2" t="s">
        <v>6158</v>
      </c>
      <c r="B2054" s="2" t="s">
        <v>6159</v>
      </c>
      <c r="C2054" s="2" t="s">
        <v>6160</v>
      </c>
      <c r="D2054" s="2" t="s">
        <v>10052</v>
      </c>
      <c r="E2054" s="15">
        <v>-0.1744</v>
      </c>
      <c r="F2054" s="15">
        <v>0.12379999999999999</v>
      </c>
      <c r="G2054" s="15">
        <v>0.1588</v>
      </c>
      <c r="H2054" s="15">
        <v>9.2700000000000005E-2</v>
      </c>
      <c r="I2054" s="15">
        <v>4.3200000000000002E-2</v>
      </c>
      <c r="J2054" s="15">
        <v>2.145833333333333</v>
      </c>
    </row>
    <row r="2055" spans="1:10" x14ac:dyDescent="0.25">
      <c r="A2055" s="2" t="s">
        <v>6161</v>
      </c>
      <c r="B2055" s="2" t="s">
        <v>6162</v>
      </c>
      <c r="C2055" s="2" t="s">
        <v>6163</v>
      </c>
      <c r="D2055" s="2" t="s">
        <v>10052</v>
      </c>
      <c r="E2055" s="15">
        <v>-3.3099999999999997E-2</v>
      </c>
      <c r="F2055" s="15">
        <v>7.6600000000000001E-2</v>
      </c>
      <c r="G2055" s="15">
        <v>0.66559999999999997</v>
      </c>
      <c r="H2055" s="15">
        <v>0.22600000000000001</v>
      </c>
      <c r="I2055" s="15">
        <v>4.6800000000000001E-2</v>
      </c>
      <c r="J2055" s="15">
        <v>4.8290598290598288</v>
      </c>
    </row>
    <row r="2056" spans="1:10" x14ac:dyDescent="0.25">
      <c r="A2056" s="2" t="s">
        <v>6164</v>
      </c>
      <c r="B2056" s="2" t="s">
        <v>6165</v>
      </c>
      <c r="C2056" s="2" t="s">
        <v>6166</v>
      </c>
      <c r="D2056" s="2" t="s">
        <v>10052</v>
      </c>
      <c r="E2056" s="15">
        <v>3.0599999999999999E-2</v>
      </c>
      <c r="F2056" s="15">
        <v>8.5000000000000006E-2</v>
      </c>
      <c r="G2056" s="15">
        <v>0.71850000000000003</v>
      </c>
      <c r="H2056" s="15">
        <v>0.17299999999999999</v>
      </c>
      <c r="I2056" s="15">
        <v>4.4400000000000002E-2</v>
      </c>
      <c r="J2056" s="15">
        <v>3.8963963963963959</v>
      </c>
    </row>
    <row r="2057" spans="1:10" x14ac:dyDescent="0.25">
      <c r="A2057" s="2" t="s">
        <v>6167</v>
      </c>
      <c r="B2057" s="2" t="s">
        <v>6168</v>
      </c>
      <c r="C2057" s="2" t="s">
        <v>6169</v>
      </c>
      <c r="D2057" s="2" t="s">
        <v>10052</v>
      </c>
      <c r="E2057" s="15">
        <v>3.7199999999999997E-2</v>
      </c>
      <c r="F2057" s="15">
        <v>6.7299999999999999E-2</v>
      </c>
      <c r="G2057" s="15">
        <v>0.58030000000000004</v>
      </c>
      <c r="H2057" s="15">
        <v>0.26819999999999999</v>
      </c>
      <c r="I2057" s="15">
        <v>4.6899999999999997E-2</v>
      </c>
      <c r="J2057" s="15">
        <v>5.7185501066098086</v>
      </c>
    </row>
    <row r="2058" spans="1:10" x14ac:dyDescent="0.25">
      <c r="A2058" s="2" t="s">
        <v>6170</v>
      </c>
      <c r="B2058" s="2" t="s">
        <v>6171</v>
      </c>
      <c r="C2058" s="2" t="s">
        <v>6172</v>
      </c>
      <c r="D2058" s="2" t="s">
        <v>10052</v>
      </c>
      <c r="E2058" s="15">
        <v>-0.22040000000000001</v>
      </c>
      <c r="F2058" s="15">
        <v>9.7900000000000001E-2</v>
      </c>
      <c r="G2058" s="15">
        <v>2.4299999999999999E-2</v>
      </c>
      <c r="H2058" s="15">
        <v>0.12889999999999999</v>
      </c>
      <c r="I2058" s="15">
        <v>4.3900000000000002E-2</v>
      </c>
      <c r="J2058" s="15">
        <v>2.9362186788154889</v>
      </c>
    </row>
    <row r="2059" spans="1:10" x14ac:dyDescent="0.25">
      <c r="A2059" s="2" t="s">
        <v>6173</v>
      </c>
      <c r="B2059" s="2" t="s">
        <v>6174</v>
      </c>
      <c r="C2059" s="2" t="s">
        <v>6175</v>
      </c>
      <c r="D2059" s="2" t="s">
        <v>10052</v>
      </c>
      <c r="E2059" s="15">
        <v>3.8E-3</v>
      </c>
      <c r="F2059" s="15">
        <v>8.5599999999999996E-2</v>
      </c>
      <c r="G2059" s="15">
        <v>0.96489999999999998</v>
      </c>
      <c r="H2059" s="15">
        <v>0.1981</v>
      </c>
      <c r="I2059" s="15">
        <v>5.4699999999999999E-2</v>
      </c>
      <c r="J2059" s="15">
        <v>3.6215722120658129</v>
      </c>
    </row>
    <row r="2060" spans="1:10" x14ac:dyDescent="0.25">
      <c r="A2060" s="2" t="s">
        <v>6176</v>
      </c>
      <c r="B2060" s="2" t="s">
        <v>6177</v>
      </c>
      <c r="C2060" s="2" t="s">
        <v>6178</v>
      </c>
      <c r="D2060" s="2" t="s">
        <v>10052</v>
      </c>
      <c r="E2060" s="15">
        <v>-3.5200000000000002E-2</v>
      </c>
      <c r="F2060" s="15">
        <v>9.5500000000000002E-2</v>
      </c>
      <c r="G2060" s="15">
        <v>0.71250000000000002</v>
      </c>
      <c r="H2060" s="15">
        <v>0.14560000000000001</v>
      </c>
      <c r="I2060" s="15">
        <v>5.1200000000000002E-2</v>
      </c>
      <c r="J2060" s="15">
        <v>2.84375</v>
      </c>
    </row>
    <row r="2061" spans="1:10" x14ac:dyDescent="0.25">
      <c r="A2061" s="2" t="s">
        <v>6179</v>
      </c>
      <c r="B2061" s="2" t="s">
        <v>6180</v>
      </c>
      <c r="C2061" s="2" t="s">
        <v>6181</v>
      </c>
      <c r="D2061" s="2" t="s">
        <v>10052</v>
      </c>
      <c r="E2061" s="15">
        <v>4.1300000000000003E-2</v>
      </c>
      <c r="F2061" s="15">
        <v>8.6400000000000005E-2</v>
      </c>
      <c r="G2061" s="15">
        <v>0.63280000000000003</v>
      </c>
      <c r="H2061" s="15">
        <v>0.1648</v>
      </c>
      <c r="I2061" s="15">
        <v>4.8599999999999997E-2</v>
      </c>
      <c r="J2061" s="15">
        <v>3.3909465020576128</v>
      </c>
    </row>
    <row r="2062" spans="1:10" x14ac:dyDescent="0.25">
      <c r="A2062" s="2" t="s">
        <v>6182</v>
      </c>
      <c r="B2062" s="2" t="s">
        <v>6183</v>
      </c>
      <c r="C2062" s="2" t="s">
        <v>6184</v>
      </c>
      <c r="D2062" s="2" t="s">
        <v>10052</v>
      </c>
      <c r="E2062" s="15"/>
      <c r="F2062" s="15"/>
      <c r="G2062" s="15"/>
      <c r="H2062" s="15"/>
      <c r="I2062" s="15"/>
      <c r="J2062" s="15"/>
    </row>
    <row r="2063" spans="1:10" x14ac:dyDescent="0.25">
      <c r="A2063" s="2" t="s">
        <v>6185</v>
      </c>
      <c r="B2063" s="2" t="s">
        <v>6186</v>
      </c>
      <c r="C2063" s="2" t="s">
        <v>6187</v>
      </c>
      <c r="D2063" s="2" t="s">
        <v>10052</v>
      </c>
      <c r="E2063" s="15">
        <v>0.18029999999999999</v>
      </c>
      <c r="F2063" s="15">
        <v>0.1343</v>
      </c>
      <c r="G2063" s="15">
        <v>0.1794</v>
      </c>
      <c r="H2063" s="15">
        <v>7.46E-2</v>
      </c>
      <c r="I2063" s="15">
        <v>4.41E-2</v>
      </c>
      <c r="J2063" s="15">
        <v>1.691609977324263</v>
      </c>
    </row>
    <row r="2064" spans="1:10" x14ac:dyDescent="0.25">
      <c r="A2064" s="2" t="s">
        <v>6188</v>
      </c>
      <c r="B2064" s="2" t="s">
        <v>6189</v>
      </c>
      <c r="C2064" s="2" t="s">
        <v>6190</v>
      </c>
      <c r="D2064" s="2" t="s">
        <v>10052</v>
      </c>
      <c r="E2064" s="15">
        <v>-0.1313</v>
      </c>
      <c r="F2064" s="15">
        <v>0.13009999999999999</v>
      </c>
      <c r="G2064" s="15">
        <v>0.31280000000000002</v>
      </c>
      <c r="H2064" s="15">
        <v>8.4699999999999998E-2</v>
      </c>
      <c r="I2064" s="15">
        <v>4.0800000000000003E-2</v>
      </c>
      <c r="J2064" s="15">
        <v>2.075980392156862</v>
      </c>
    </row>
    <row r="2065" spans="1:10" x14ac:dyDescent="0.25">
      <c r="A2065" s="2" t="s">
        <v>6191</v>
      </c>
      <c r="B2065" s="2" t="s">
        <v>6192</v>
      </c>
      <c r="C2065" s="2" t="s">
        <v>6193</v>
      </c>
      <c r="D2065" s="2" t="s">
        <v>10052</v>
      </c>
      <c r="E2065" s="15">
        <v>-0.3795</v>
      </c>
      <c r="F2065" s="15">
        <v>0.38490000000000002</v>
      </c>
      <c r="G2065" s="15">
        <v>0.32419999999999999</v>
      </c>
      <c r="H2065" s="15">
        <v>2.3699999999999999E-2</v>
      </c>
      <c r="I2065" s="15">
        <v>3.9899999999999998E-2</v>
      </c>
      <c r="J2065" s="15">
        <v>0.59398496240601506</v>
      </c>
    </row>
    <row r="2066" spans="1:10" x14ac:dyDescent="0.25">
      <c r="A2066" s="2" t="s">
        <v>6194</v>
      </c>
      <c r="B2066" s="2" t="s">
        <v>6195</v>
      </c>
      <c r="C2066" s="2" t="s">
        <v>6196</v>
      </c>
      <c r="D2066" s="2" t="s">
        <v>10052</v>
      </c>
      <c r="E2066" s="15">
        <v>-2.6599999999999999E-2</v>
      </c>
      <c r="F2066" s="15">
        <v>7.5499999999999998E-2</v>
      </c>
      <c r="G2066" s="15">
        <v>0.72460000000000002</v>
      </c>
      <c r="H2066" s="15">
        <v>0.23619999999999999</v>
      </c>
      <c r="I2066" s="15">
        <v>7.4800000000000005E-2</v>
      </c>
      <c r="J2066" s="15">
        <v>3.1577540106951871</v>
      </c>
    </row>
    <row r="2067" spans="1:10" x14ac:dyDescent="0.25">
      <c r="A2067" s="2" t="s">
        <v>6197</v>
      </c>
      <c r="B2067" s="2" t="s">
        <v>6198</v>
      </c>
      <c r="C2067" s="2" t="s">
        <v>6199</v>
      </c>
      <c r="D2067" s="2" t="s">
        <v>10052</v>
      </c>
      <c r="E2067" s="15">
        <v>-6.9699999999999998E-2</v>
      </c>
      <c r="F2067" s="15">
        <v>7.6799999999999993E-2</v>
      </c>
      <c r="G2067" s="15">
        <v>0.36430000000000001</v>
      </c>
      <c r="H2067" s="15">
        <v>0.22869999999999999</v>
      </c>
      <c r="I2067" s="15">
        <v>6.2799999999999995E-2</v>
      </c>
      <c r="J2067" s="15">
        <v>3.6417197452229302</v>
      </c>
    </row>
    <row r="2068" spans="1:10" x14ac:dyDescent="0.25">
      <c r="A2068" s="2" t="s">
        <v>6200</v>
      </c>
      <c r="B2068" s="2" t="s">
        <v>6201</v>
      </c>
      <c r="C2068" s="2" t="s">
        <v>6202</v>
      </c>
      <c r="D2068" s="2" t="s">
        <v>10052</v>
      </c>
      <c r="E2068" s="15">
        <v>-0.30530000000000002</v>
      </c>
      <c r="F2068" s="15">
        <v>0.1845</v>
      </c>
      <c r="G2068" s="15">
        <v>9.7900000000000001E-2</v>
      </c>
      <c r="H2068" s="15">
        <v>5.5899999999999998E-2</v>
      </c>
      <c r="I2068" s="15">
        <v>4.2999999999999997E-2</v>
      </c>
      <c r="J2068" s="15">
        <v>1.3</v>
      </c>
    </row>
    <row r="2069" spans="1:10" x14ac:dyDescent="0.25">
      <c r="A2069" s="2" t="s">
        <v>6203</v>
      </c>
      <c r="B2069" s="2" t="s">
        <v>6204</v>
      </c>
      <c r="C2069" s="2" t="s">
        <v>6205</v>
      </c>
      <c r="D2069" s="2" t="s">
        <v>10052</v>
      </c>
      <c r="E2069" s="15">
        <v>-0.1991</v>
      </c>
      <c r="F2069" s="15">
        <v>0.13120000000000001</v>
      </c>
      <c r="G2069" s="15">
        <v>0.129</v>
      </c>
      <c r="H2069" s="15">
        <v>8.5900000000000004E-2</v>
      </c>
      <c r="I2069" s="15">
        <v>4.3499999999999997E-2</v>
      </c>
      <c r="J2069" s="15">
        <v>1.974712643678161</v>
      </c>
    </row>
    <row r="2070" spans="1:10" x14ac:dyDescent="0.25">
      <c r="A2070" s="2" t="s">
        <v>6206</v>
      </c>
      <c r="B2070" s="2" t="s">
        <v>6207</v>
      </c>
      <c r="C2070" s="2" t="s">
        <v>6208</v>
      </c>
      <c r="D2070" s="2" t="s">
        <v>10052</v>
      </c>
      <c r="E2070" s="15">
        <v>-4.6800000000000001E-2</v>
      </c>
      <c r="F2070" s="15">
        <v>8.0600000000000005E-2</v>
      </c>
      <c r="G2070" s="15">
        <v>0.56130000000000002</v>
      </c>
      <c r="H2070" s="15">
        <v>0.18379999999999999</v>
      </c>
      <c r="I2070" s="15">
        <v>4.1599999999999998E-2</v>
      </c>
      <c r="J2070" s="15">
        <v>4.4182692307692308</v>
      </c>
    </row>
    <row r="2071" spans="1:10" x14ac:dyDescent="0.25">
      <c r="A2071" s="2" t="s">
        <v>6209</v>
      </c>
      <c r="B2071" s="2" t="s">
        <v>6210</v>
      </c>
      <c r="C2071" s="2" t="s">
        <v>6211</v>
      </c>
      <c r="D2071" s="2" t="s">
        <v>10052</v>
      </c>
      <c r="E2071" s="15">
        <v>-3.7400000000000003E-2</v>
      </c>
      <c r="F2071" s="15">
        <v>9.8199999999999996E-2</v>
      </c>
      <c r="G2071" s="15">
        <v>0.70350000000000001</v>
      </c>
      <c r="H2071" s="15">
        <v>0.12239999999999999</v>
      </c>
      <c r="I2071" s="15">
        <v>3.8800000000000001E-2</v>
      </c>
      <c r="J2071" s="15">
        <v>3.1546391752577319</v>
      </c>
    </row>
    <row r="2072" spans="1:10" x14ac:dyDescent="0.25">
      <c r="A2072" s="2" t="s">
        <v>6212</v>
      </c>
      <c r="B2072" s="2" t="s">
        <v>6213</v>
      </c>
      <c r="C2072" s="2" t="s">
        <v>6214</v>
      </c>
      <c r="D2072" s="2" t="s">
        <v>10052</v>
      </c>
      <c r="E2072" s="15">
        <v>-1.46E-2</v>
      </c>
      <c r="F2072" s="15">
        <v>8.4599999999999995E-2</v>
      </c>
      <c r="G2072" s="15">
        <v>0.86319999999999997</v>
      </c>
      <c r="H2072" s="15">
        <v>0.161</v>
      </c>
      <c r="I2072" s="15">
        <v>4.2000000000000003E-2</v>
      </c>
      <c r="J2072" s="15">
        <v>3.833333333333333</v>
      </c>
    </row>
    <row r="2073" spans="1:10" x14ac:dyDescent="0.25">
      <c r="A2073" s="2" t="s">
        <v>6215</v>
      </c>
      <c r="B2073" s="2" t="s">
        <v>6216</v>
      </c>
      <c r="C2073" s="2" t="s">
        <v>6217</v>
      </c>
      <c r="D2073" s="2" t="s">
        <v>10052</v>
      </c>
      <c r="E2073" s="15">
        <v>7.1999999999999995E-2</v>
      </c>
      <c r="F2073" s="15">
        <v>0.1109</v>
      </c>
      <c r="G2073" s="15">
        <v>0.51629999999999998</v>
      </c>
      <c r="H2073" s="15">
        <v>9.4E-2</v>
      </c>
      <c r="I2073" s="15">
        <v>4.0800000000000003E-2</v>
      </c>
      <c r="J2073" s="15">
        <v>2.3039215686274508</v>
      </c>
    </row>
    <row r="2074" spans="1:10" x14ac:dyDescent="0.25">
      <c r="A2074" s="2" t="s">
        <v>6218</v>
      </c>
      <c r="B2074" s="2" t="s">
        <v>6219</v>
      </c>
      <c r="C2074" s="2" t="s">
        <v>6220</v>
      </c>
      <c r="D2074" s="2" t="s">
        <v>10052</v>
      </c>
      <c r="E2074" s="15">
        <v>-9.5500000000000002E-2</v>
      </c>
      <c r="F2074" s="15">
        <v>8.3500000000000005E-2</v>
      </c>
      <c r="G2074" s="15">
        <v>0.25259999999999999</v>
      </c>
      <c r="H2074" s="15">
        <v>0.19</v>
      </c>
      <c r="I2074" s="15">
        <v>4.1099999999999998E-2</v>
      </c>
      <c r="J2074" s="15">
        <v>4.6228710462287106</v>
      </c>
    </row>
    <row r="2075" spans="1:10" x14ac:dyDescent="0.25">
      <c r="A2075" s="2" t="s">
        <v>6221</v>
      </c>
      <c r="B2075" s="2" t="s">
        <v>6222</v>
      </c>
      <c r="C2075" s="2" t="s">
        <v>6223</v>
      </c>
      <c r="D2075" s="2" t="s">
        <v>10052</v>
      </c>
      <c r="E2075" s="15">
        <v>5.5399999999999998E-2</v>
      </c>
      <c r="F2075" s="15">
        <v>0.1125</v>
      </c>
      <c r="G2075" s="15">
        <v>0.62239999999999995</v>
      </c>
      <c r="H2075" s="15">
        <v>0.1157</v>
      </c>
      <c r="I2075" s="15">
        <v>4.53E-2</v>
      </c>
      <c r="J2075" s="15">
        <v>2.554083885209713</v>
      </c>
    </row>
    <row r="2076" spans="1:10" x14ac:dyDescent="0.25">
      <c r="A2076" s="2" t="s">
        <v>6224</v>
      </c>
      <c r="B2076" s="2" t="s">
        <v>6225</v>
      </c>
      <c r="C2076" s="2" t="s">
        <v>6226</v>
      </c>
      <c r="D2076" s="2" t="s">
        <v>10052</v>
      </c>
      <c r="E2076" s="15">
        <v>8.9999999999999998E-4</v>
      </c>
      <c r="F2076" s="15">
        <v>7.5899999999999995E-2</v>
      </c>
      <c r="G2076" s="15">
        <v>0.99060000000000004</v>
      </c>
      <c r="H2076" s="15">
        <v>0.23799999999999999</v>
      </c>
      <c r="I2076" s="15">
        <v>4.8899999999999999E-2</v>
      </c>
      <c r="J2076" s="15">
        <v>4.8670756646216766</v>
      </c>
    </row>
    <row r="2077" spans="1:10" x14ac:dyDescent="0.25">
      <c r="A2077" s="2" t="s">
        <v>6227</v>
      </c>
      <c r="B2077" s="2" t="s">
        <v>6228</v>
      </c>
      <c r="C2077" s="2" t="s">
        <v>6229</v>
      </c>
      <c r="D2077" s="2" t="s">
        <v>10052</v>
      </c>
      <c r="E2077" s="15">
        <v>1.7100000000000001E-2</v>
      </c>
      <c r="F2077" s="15">
        <v>8.5400000000000004E-2</v>
      </c>
      <c r="G2077" s="15">
        <v>0.84119999999999995</v>
      </c>
      <c r="H2077" s="15">
        <v>0.21970000000000001</v>
      </c>
      <c r="I2077" s="15">
        <v>4.3200000000000002E-2</v>
      </c>
      <c r="J2077" s="15">
        <v>5.0856481481481479</v>
      </c>
    </row>
    <row r="2078" spans="1:10" x14ac:dyDescent="0.25">
      <c r="A2078" s="2" t="s">
        <v>6230</v>
      </c>
      <c r="B2078" s="2" t="s">
        <v>6231</v>
      </c>
      <c r="C2078" s="2" t="s">
        <v>6232</v>
      </c>
      <c r="D2078" s="2" t="s">
        <v>10052</v>
      </c>
      <c r="E2078" s="15">
        <v>2.6599999999999999E-2</v>
      </c>
      <c r="F2078" s="15">
        <v>7.7700000000000005E-2</v>
      </c>
      <c r="G2078" s="15">
        <v>0.73229999999999995</v>
      </c>
      <c r="H2078" s="15">
        <v>0.21029999999999999</v>
      </c>
      <c r="I2078" s="15">
        <v>4.7600000000000003E-2</v>
      </c>
      <c r="J2078" s="15">
        <v>4.4180672268907557</v>
      </c>
    </row>
    <row r="2079" spans="1:10" x14ac:dyDescent="0.25">
      <c r="A2079" s="2" t="s">
        <v>6233</v>
      </c>
      <c r="B2079" s="2" t="s">
        <v>6234</v>
      </c>
      <c r="C2079" s="2" t="s">
        <v>6235</v>
      </c>
      <c r="D2079" s="2" t="s">
        <v>10052</v>
      </c>
      <c r="E2079" s="15">
        <v>1.9300000000000001E-2</v>
      </c>
      <c r="F2079" s="15">
        <v>8.0399999999999999E-2</v>
      </c>
      <c r="G2079" s="15">
        <v>0.8105</v>
      </c>
      <c r="H2079" s="15">
        <v>0.1973</v>
      </c>
      <c r="I2079" s="15">
        <v>4.7600000000000003E-2</v>
      </c>
      <c r="J2079" s="15">
        <v>4.1449579831932768</v>
      </c>
    </row>
    <row r="2080" spans="1:10" x14ac:dyDescent="0.25">
      <c r="A2080" s="2" t="s">
        <v>6236</v>
      </c>
      <c r="B2080" s="2" t="s">
        <v>6237</v>
      </c>
      <c r="C2080" s="2" t="s">
        <v>6238</v>
      </c>
      <c r="D2080" s="2" t="s">
        <v>10052</v>
      </c>
      <c r="E2080" s="15">
        <v>5.4800000000000001E-2</v>
      </c>
      <c r="F2080" s="15">
        <v>7.3599999999999999E-2</v>
      </c>
      <c r="G2080" s="15">
        <v>0.45700000000000002</v>
      </c>
      <c r="H2080" s="15">
        <v>0.23230000000000001</v>
      </c>
      <c r="I2080" s="15">
        <v>4.2099999999999999E-2</v>
      </c>
      <c r="J2080" s="15">
        <v>5.5178147268408546</v>
      </c>
    </row>
    <row r="2081" spans="1:10" x14ac:dyDescent="0.25">
      <c r="A2081" s="2" t="s">
        <v>6239</v>
      </c>
      <c r="B2081" s="2" t="s">
        <v>6240</v>
      </c>
      <c r="C2081" s="2" t="s">
        <v>6241</v>
      </c>
      <c r="D2081" s="2" t="s">
        <v>10052</v>
      </c>
      <c r="E2081" s="15">
        <v>-3.04E-2</v>
      </c>
      <c r="F2081" s="15">
        <v>6.9699999999999998E-2</v>
      </c>
      <c r="G2081" s="15">
        <v>0.66259999999999997</v>
      </c>
      <c r="H2081" s="15">
        <v>0.24440000000000001</v>
      </c>
      <c r="I2081" s="15">
        <v>4.5600000000000002E-2</v>
      </c>
      <c r="J2081" s="15">
        <v>5.3596491228070171</v>
      </c>
    </row>
    <row r="2082" spans="1:10" x14ac:dyDescent="0.25">
      <c r="A2082" s="2" t="s">
        <v>6242</v>
      </c>
      <c r="B2082" s="2" t="s">
        <v>6243</v>
      </c>
      <c r="C2082" s="2" t="s">
        <v>6244</v>
      </c>
      <c r="D2082" s="2" t="s">
        <v>10052</v>
      </c>
      <c r="E2082" s="15">
        <v>-5.9999999999999995E-4</v>
      </c>
      <c r="F2082" s="15">
        <v>7.7799999999999994E-2</v>
      </c>
      <c r="G2082" s="15">
        <v>0.99360000000000004</v>
      </c>
      <c r="H2082" s="15">
        <v>0.2021</v>
      </c>
      <c r="I2082" s="15">
        <v>4.3799999999999999E-2</v>
      </c>
      <c r="J2082" s="15">
        <v>4.6141552511415531</v>
      </c>
    </row>
    <row r="2083" spans="1:10" x14ac:dyDescent="0.25">
      <c r="A2083" s="2" t="s">
        <v>6245</v>
      </c>
      <c r="B2083" s="2" t="s">
        <v>6246</v>
      </c>
      <c r="C2083" s="2" t="s">
        <v>6247</v>
      </c>
      <c r="D2083" s="2" t="s">
        <v>10052</v>
      </c>
      <c r="E2083" s="15">
        <v>2.3E-3</v>
      </c>
      <c r="F2083" s="15">
        <v>9.01E-2</v>
      </c>
      <c r="G2083" s="15">
        <v>0.97950000000000004</v>
      </c>
      <c r="H2083" s="15">
        <v>0.16220000000000001</v>
      </c>
      <c r="I2083" s="15">
        <v>4.4499999999999998E-2</v>
      </c>
      <c r="J2083" s="15">
        <v>3.6449438202247189</v>
      </c>
    </row>
    <row r="2084" spans="1:10" x14ac:dyDescent="0.25">
      <c r="A2084" s="2" t="s">
        <v>6248</v>
      </c>
      <c r="B2084" s="2" t="s">
        <v>6249</v>
      </c>
      <c r="C2084" s="2" t="s">
        <v>6250</v>
      </c>
      <c r="D2084" s="2" t="s">
        <v>10052</v>
      </c>
      <c r="E2084" s="15">
        <v>-6.3100000000000003E-2</v>
      </c>
      <c r="F2084" s="15">
        <v>7.3700000000000002E-2</v>
      </c>
      <c r="G2084" s="15">
        <v>0.39179999999999998</v>
      </c>
      <c r="H2084" s="15">
        <v>0.23250000000000001</v>
      </c>
      <c r="I2084" s="15">
        <v>4.5999999999999999E-2</v>
      </c>
      <c r="J2084" s="15">
        <v>5.054347826086957</v>
      </c>
    </row>
    <row r="2085" spans="1:10" x14ac:dyDescent="0.25">
      <c r="A2085" s="2" t="s">
        <v>6251</v>
      </c>
      <c r="B2085" s="2" t="s">
        <v>6252</v>
      </c>
      <c r="C2085" s="2" t="s">
        <v>6253</v>
      </c>
      <c r="D2085" s="2" t="s">
        <v>10052</v>
      </c>
      <c r="E2085" s="15">
        <v>-9.3399999999999997E-2</v>
      </c>
      <c r="F2085" s="15">
        <v>9.4299999999999995E-2</v>
      </c>
      <c r="G2085" s="15">
        <v>0.32229999999999998</v>
      </c>
      <c r="H2085" s="15">
        <v>0.13439999999999999</v>
      </c>
      <c r="I2085" s="15">
        <v>4.5999999999999999E-2</v>
      </c>
      <c r="J2085" s="15">
        <v>2.9217391304347831</v>
      </c>
    </row>
    <row r="2086" spans="1:10" x14ac:dyDescent="0.25">
      <c r="A2086" s="2" t="s">
        <v>6254</v>
      </c>
      <c r="B2086" s="2" t="s">
        <v>6255</v>
      </c>
      <c r="C2086" s="2" t="s">
        <v>6256</v>
      </c>
      <c r="D2086" s="2" t="s">
        <v>10052</v>
      </c>
      <c r="E2086" s="15">
        <v>-0.1071</v>
      </c>
      <c r="F2086" s="15">
        <v>8.8599999999999998E-2</v>
      </c>
      <c r="G2086" s="15">
        <v>0.2268</v>
      </c>
      <c r="H2086" s="15">
        <v>0.1857</v>
      </c>
      <c r="I2086" s="15">
        <v>5.0299999999999997E-2</v>
      </c>
      <c r="J2086" s="15">
        <v>3.691848906560637</v>
      </c>
    </row>
    <row r="2087" spans="1:10" x14ac:dyDescent="0.25">
      <c r="A2087" s="2" t="s">
        <v>6257</v>
      </c>
      <c r="B2087" s="2" t="s">
        <v>6258</v>
      </c>
      <c r="C2087" s="2" t="s">
        <v>6259</v>
      </c>
      <c r="D2087" s="2" t="s">
        <v>10052</v>
      </c>
      <c r="E2087" s="15">
        <v>-7.5700000000000003E-2</v>
      </c>
      <c r="F2087" s="15">
        <v>8.3500000000000005E-2</v>
      </c>
      <c r="G2087" s="15">
        <v>0.36470000000000002</v>
      </c>
      <c r="H2087" s="15">
        <v>0.20319999999999999</v>
      </c>
      <c r="I2087" s="15">
        <v>4.48E-2</v>
      </c>
      <c r="J2087" s="15">
        <v>4.5357142857142856</v>
      </c>
    </row>
    <row r="2088" spans="1:10" x14ac:dyDescent="0.25">
      <c r="A2088" s="2" t="s">
        <v>6260</v>
      </c>
      <c r="B2088" s="2" t="s">
        <v>6261</v>
      </c>
      <c r="C2088" s="2" t="s">
        <v>6262</v>
      </c>
      <c r="D2088" s="2" t="s">
        <v>10052</v>
      </c>
      <c r="E2088" s="15">
        <v>2.7300000000000001E-2</v>
      </c>
      <c r="F2088" s="15">
        <v>7.7600000000000002E-2</v>
      </c>
      <c r="G2088" s="15">
        <v>0.72470000000000001</v>
      </c>
      <c r="H2088" s="15">
        <v>0.25359999999999999</v>
      </c>
      <c r="I2088" s="15">
        <v>5.4699999999999999E-2</v>
      </c>
      <c r="J2088" s="15">
        <v>4.6361974405850086</v>
      </c>
    </row>
    <row r="2089" spans="1:10" x14ac:dyDescent="0.25">
      <c r="A2089" s="2" t="s">
        <v>6263</v>
      </c>
      <c r="B2089" s="2" t="s">
        <v>6264</v>
      </c>
      <c r="C2089" s="2" t="s">
        <v>6265</v>
      </c>
      <c r="D2089" s="2" t="s">
        <v>10052</v>
      </c>
      <c r="E2089" s="15">
        <v>-2.0000000000000001E-4</v>
      </c>
      <c r="F2089" s="15">
        <v>0.10050000000000001</v>
      </c>
      <c r="G2089" s="15">
        <v>0.99880000000000002</v>
      </c>
      <c r="H2089" s="15">
        <v>0.1817</v>
      </c>
      <c r="I2089" s="15">
        <v>6.6000000000000003E-2</v>
      </c>
      <c r="J2089" s="15">
        <v>2.7530303030303029</v>
      </c>
    </row>
    <row r="2090" spans="1:10" x14ac:dyDescent="0.25">
      <c r="A2090" s="2" t="s">
        <v>6266</v>
      </c>
      <c r="B2090" s="2" t="s">
        <v>6267</v>
      </c>
      <c r="C2090" s="2" t="s">
        <v>6268</v>
      </c>
      <c r="D2090" s="2" t="s">
        <v>10052</v>
      </c>
      <c r="E2090" s="15">
        <v>-7.8799999999999995E-2</v>
      </c>
      <c r="F2090" s="15">
        <v>0.1069</v>
      </c>
      <c r="G2090" s="15">
        <v>0.4612</v>
      </c>
      <c r="H2090" s="15">
        <v>0.1303</v>
      </c>
      <c r="I2090" s="15">
        <v>4.8500000000000001E-2</v>
      </c>
      <c r="J2090" s="15">
        <v>2.6865979381443301</v>
      </c>
    </row>
    <row r="2091" spans="1:10" x14ac:dyDescent="0.25">
      <c r="A2091" s="2" t="s">
        <v>6269</v>
      </c>
      <c r="B2091" s="2" t="s">
        <v>6270</v>
      </c>
      <c r="C2091" s="2" t="s">
        <v>6271</v>
      </c>
      <c r="D2091" s="2" t="s">
        <v>10052</v>
      </c>
      <c r="E2091" s="15">
        <v>-0.1996</v>
      </c>
      <c r="F2091" s="15">
        <v>0.26029999999999998</v>
      </c>
      <c r="G2091" s="15">
        <v>0.44309999999999999</v>
      </c>
      <c r="H2091" s="15">
        <v>2.7099999999999999E-2</v>
      </c>
      <c r="I2091" s="15">
        <v>0.04</v>
      </c>
      <c r="J2091" s="15">
        <v>0.67749999999999999</v>
      </c>
    </row>
    <row r="2092" spans="1:10" x14ac:dyDescent="0.25">
      <c r="A2092" s="2" t="s">
        <v>6272</v>
      </c>
      <c r="B2092" s="2" t="s">
        <v>6273</v>
      </c>
      <c r="C2092" s="2" t="s">
        <v>6274</v>
      </c>
      <c r="D2092" s="2" t="s">
        <v>10052</v>
      </c>
      <c r="E2092" s="15">
        <v>4.53E-2</v>
      </c>
      <c r="F2092" s="15">
        <v>0.1033</v>
      </c>
      <c r="G2092" s="15">
        <v>0.66100000000000003</v>
      </c>
      <c r="H2092" s="15">
        <v>9.2899999999999996E-2</v>
      </c>
      <c r="I2092" s="15">
        <v>4.02E-2</v>
      </c>
      <c r="J2092" s="15">
        <v>2.310945273631841</v>
      </c>
    </row>
    <row r="2093" spans="1:10" x14ac:dyDescent="0.25">
      <c r="A2093" s="2" t="s">
        <v>6275</v>
      </c>
      <c r="B2093" s="2" t="s">
        <v>6276</v>
      </c>
      <c r="C2093" s="2" t="s">
        <v>6277</v>
      </c>
      <c r="D2093" s="2" t="s">
        <v>10052</v>
      </c>
      <c r="E2093" s="15">
        <v>9.1700000000000004E-2</v>
      </c>
      <c r="F2093" s="15">
        <v>0.16070000000000001</v>
      </c>
      <c r="G2093" s="15">
        <v>0.56840000000000002</v>
      </c>
      <c r="H2093" s="15">
        <v>4.2999999999999997E-2</v>
      </c>
      <c r="I2093" s="15">
        <v>4.4299999999999999E-2</v>
      </c>
      <c r="J2093" s="15">
        <v>0.97065462753950338</v>
      </c>
    </row>
    <row r="2094" spans="1:10" x14ac:dyDescent="0.25">
      <c r="A2094" s="2" t="s">
        <v>6278</v>
      </c>
      <c r="B2094" s="2" t="s">
        <v>6279</v>
      </c>
      <c r="C2094" s="2" t="s">
        <v>6280</v>
      </c>
      <c r="D2094" s="2" t="s">
        <v>10052</v>
      </c>
      <c r="E2094" s="15">
        <v>-3.78E-2</v>
      </c>
      <c r="F2094" s="15">
        <v>7.3099999999999998E-2</v>
      </c>
      <c r="G2094" s="15">
        <v>0.60509999999999997</v>
      </c>
      <c r="H2094" s="15">
        <v>0.25119999999999998</v>
      </c>
      <c r="I2094" s="15">
        <v>4.8899999999999999E-2</v>
      </c>
      <c r="J2094" s="15">
        <v>5.1370143149284253</v>
      </c>
    </row>
    <row r="2095" spans="1:10" x14ac:dyDescent="0.25">
      <c r="A2095" s="2" t="s">
        <v>6281</v>
      </c>
      <c r="B2095" s="2" t="s">
        <v>6282</v>
      </c>
      <c r="C2095" s="2" t="s">
        <v>6283</v>
      </c>
      <c r="D2095" s="2" t="s">
        <v>10052</v>
      </c>
      <c r="E2095" s="15">
        <v>-5.45E-2</v>
      </c>
      <c r="F2095" s="15">
        <v>7.8299999999999995E-2</v>
      </c>
      <c r="G2095" s="15">
        <v>0.48659999999999998</v>
      </c>
      <c r="H2095" s="15">
        <v>0.23860000000000001</v>
      </c>
      <c r="I2095" s="15">
        <v>4.7300000000000002E-2</v>
      </c>
      <c r="J2095" s="15">
        <v>5.044397463002114</v>
      </c>
    </row>
    <row r="2096" spans="1:10" x14ac:dyDescent="0.25">
      <c r="A2096" s="2" t="s">
        <v>6284</v>
      </c>
      <c r="B2096" s="2" t="s">
        <v>6285</v>
      </c>
      <c r="C2096" s="2" t="s">
        <v>6286</v>
      </c>
      <c r="D2096" s="2" t="s">
        <v>10052</v>
      </c>
      <c r="E2096" s="15">
        <v>3.3099999999999997E-2</v>
      </c>
      <c r="F2096" s="15">
        <v>0.11799999999999999</v>
      </c>
      <c r="G2096" s="15">
        <v>0.77929999999999999</v>
      </c>
      <c r="H2096" s="15">
        <v>9.5399999999999999E-2</v>
      </c>
      <c r="I2096" s="15">
        <v>4.4400000000000002E-2</v>
      </c>
      <c r="J2096" s="15">
        <v>2.1486486486486491</v>
      </c>
    </row>
    <row r="2097" spans="1:10" x14ac:dyDescent="0.25">
      <c r="A2097" s="2" t="s">
        <v>6287</v>
      </c>
      <c r="B2097" s="2" t="s">
        <v>6288</v>
      </c>
      <c r="C2097" s="2" t="s">
        <v>6289</v>
      </c>
      <c r="D2097" s="2" t="s">
        <v>10052</v>
      </c>
      <c r="E2097" s="15">
        <v>0.13009999999999999</v>
      </c>
      <c r="F2097" s="15">
        <v>0.1188</v>
      </c>
      <c r="G2097" s="15">
        <v>0.27339999999999998</v>
      </c>
      <c r="H2097" s="15">
        <v>0.1124</v>
      </c>
      <c r="I2097" s="15">
        <v>4.6800000000000001E-2</v>
      </c>
      <c r="J2097" s="15">
        <v>2.4017094017094021</v>
      </c>
    </row>
    <row r="2098" spans="1:10" x14ac:dyDescent="0.25">
      <c r="A2098" s="2" t="s">
        <v>6290</v>
      </c>
      <c r="B2098" s="2" t="s">
        <v>6291</v>
      </c>
      <c r="C2098" s="2" t="s">
        <v>6292</v>
      </c>
      <c r="D2098" s="2" t="s">
        <v>10052</v>
      </c>
      <c r="E2098" s="15">
        <v>-5.5999999999999999E-3</v>
      </c>
      <c r="F2098" s="15">
        <v>0.13500000000000001</v>
      </c>
      <c r="G2098" s="15">
        <v>0.96709999999999996</v>
      </c>
      <c r="H2098" s="15">
        <v>6.2700000000000006E-2</v>
      </c>
      <c r="I2098" s="15">
        <v>4.5699999999999998E-2</v>
      </c>
      <c r="J2098" s="15">
        <v>1.37199124726477</v>
      </c>
    </row>
    <row r="2099" spans="1:10" x14ac:dyDescent="0.25">
      <c r="A2099" s="2" t="s">
        <v>6293</v>
      </c>
      <c r="B2099" s="2" t="s">
        <v>6294</v>
      </c>
      <c r="C2099" s="2" t="s">
        <v>6295</v>
      </c>
      <c r="D2099" s="2" t="s">
        <v>10052</v>
      </c>
      <c r="E2099" s="15">
        <v>-3.5099999999999999E-2</v>
      </c>
      <c r="F2099" s="15">
        <v>9.8400000000000001E-2</v>
      </c>
      <c r="G2099" s="15">
        <v>0.72150000000000003</v>
      </c>
      <c r="H2099" s="15">
        <v>0.10630000000000001</v>
      </c>
      <c r="I2099" s="15">
        <v>4.7800000000000002E-2</v>
      </c>
      <c r="J2099" s="15">
        <v>2.2238493723849371</v>
      </c>
    </row>
    <row r="2100" spans="1:10" x14ac:dyDescent="0.25">
      <c r="A2100" s="2" t="s">
        <v>6296</v>
      </c>
      <c r="B2100" s="2" t="s">
        <v>6297</v>
      </c>
      <c r="C2100" s="2" t="s">
        <v>6298</v>
      </c>
      <c r="D2100" s="2" t="s">
        <v>10052</v>
      </c>
      <c r="E2100" s="15">
        <v>5.57E-2</v>
      </c>
      <c r="F2100" s="15">
        <v>0.1135</v>
      </c>
      <c r="G2100" s="15">
        <v>0.62350000000000005</v>
      </c>
      <c r="H2100" s="15">
        <v>8.9599999999999999E-2</v>
      </c>
      <c r="I2100" s="15">
        <v>4.2299999999999997E-2</v>
      </c>
      <c r="J2100" s="15">
        <v>2.1182033096926709</v>
      </c>
    </row>
    <row r="2101" spans="1:10" x14ac:dyDescent="0.25">
      <c r="A2101" s="2" t="s">
        <v>6299</v>
      </c>
      <c r="B2101" s="2" t="s">
        <v>6300</v>
      </c>
      <c r="C2101" s="2" t="s">
        <v>6301</v>
      </c>
      <c r="D2101" s="2" t="s">
        <v>10052</v>
      </c>
      <c r="E2101" s="15">
        <v>2.3E-2</v>
      </c>
      <c r="F2101" s="15">
        <v>0.1226</v>
      </c>
      <c r="G2101" s="15">
        <v>0.85119999999999996</v>
      </c>
      <c r="H2101" s="15">
        <v>7.7799999999999994E-2</v>
      </c>
      <c r="I2101" s="15">
        <v>4.2900000000000001E-2</v>
      </c>
      <c r="J2101" s="15">
        <v>1.813519813519813</v>
      </c>
    </row>
    <row r="2102" spans="1:10" x14ac:dyDescent="0.25">
      <c r="A2102" s="2" t="s">
        <v>6302</v>
      </c>
      <c r="B2102" s="2" t="s">
        <v>6303</v>
      </c>
      <c r="C2102" s="2" t="s">
        <v>6304</v>
      </c>
      <c r="D2102" s="2" t="s">
        <v>10052</v>
      </c>
      <c r="E2102" s="15">
        <v>-4.1000000000000002E-2</v>
      </c>
      <c r="F2102" s="15">
        <v>8.4599999999999995E-2</v>
      </c>
      <c r="G2102" s="15">
        <v>0.62809999999999999</v>
      </c>
      <c r="H2102" s="15">
        <v>0.14480000000000001</v>
      </c>
      <c r="I2102" s="15">
        <v>4.3700000000000003E-2</v>
      </c>
      <c r="J2102" s="15">
        <v>3.3135011441647602</v>
      </c>
    </row>
    <row r="2103" spans="1:10" x14ac:dyDescent="0.25">
      <c r="A2103" s="2" t="s">
        <v>6305</v>
      </c>
      <c r="B2103" s="2" t="s">
        <v>6306</v>
      </c>
      <c r="C2103" s="2" t="s">
        <v>6307</v>
      </c>
      <c r="D2103" s="2" t="s">
        <v>10052</v>
      </c>
      <c r="E2103" s="15">
        <v>-4.0300000000000002E-2</v>
      </c>
      <c r="F2103" s="15">
        <v>0.1037</v>
      </c>
      <c r="G2103" s="15">
        <v>0.69750000000000001</v>
      </c>
      <c r="H2103" s="15">
        <v>0.12939999999999999</v>
      </c>
      <c r="I2103" s="15">
        <v>4.1099999999999998E-2</v>
      </c>
      <c r="J2103" s="15">
        <v>3.1484184914841848</v>
      </c>
    </row>
    <row r="2104" spans="1:10" x14ac:dyDescent="0.25">
      <c r="A2104" s="2" t="s">
        <v>6308</v>
      </c>
      <c r="B2104" s="2" t="s">
        <v>6309</v>
      </c>
      <c r="C2104" s="2" t="s">
        <v>6310</v>
      </c>
      <c r="D2104" s="2" t="s">
        <v>10052</v>
      </c>
      <c r="E2104" s="15">
        <v>-0.1231</v>
      </c>
      <c r="F2104" s="15">
        <v>8.1600000000000006E-2</v>
      </c>
      <c r="G2104" s="15">
        <v>0.13150000000000001</v>
      </c>
      <c r="H2104" s="15">
        <v>0.20449999999999999</v>
      </c>
      <c r="I2104" s="15">
        <v>4.5600000000000002E-2</v>
      </c>
      <c r="J2104" s="15">
        <v>4.4846491228070171</v>
      </c>
    </row>
    <row r="2105" spans="1:10" x14ac:dyDescent="0.25">
      <c r="A2105" s="2" t="s">
        <v>6311</v>
      </c>
      <c r="B2105" s="2" t="s">
        <v>6312</v>
      </c>
      <c r="C2105" s="2" t="s">
        <v>6313</v>
      </c>
      <c r="D2105" s="2" t="s">
        <v>10052</v>
      </c>
      <c r="E2105" s="15">
        <v>-0.13159999999999999</v>
      </c>
      <c r="F2105" s="15">
        <v>8.4199999999999997E-2</v>
      </c>
      <c r="G2105" s="15">
        <v>0.1179</v>
      </c>
      <c r="H2105" s="15">
        <v>0.20630000000000001</v>
      </c>
      <c r="I2105" s="15">
        <v>4.0300000000000002E-2</v>
      </c>
      <c r="J2105" s="15">
        <v>5.1191066997518613</v>
      </c>
    </row>
    <row r="2106" spans="1:10" x14ac:dyDescent="0.25">
      <c r="A2106" s="2" t="s">
        <v>6314</v>
      </c>
      <c r="B2106" s="2" t="s">
        <v>6315</v>
      </c>
      <c r="C2106" s="2" t="s">
        <v>6316</v>
      </c>
      <c r="D2106" s="2" t="s">
        <v>10052</v>
      </c>
      <c r="E2106" s="15">
        <v>-3.0599999999999999E-2</v>
      </c>
      <c r="F2106" s="15">
        <v>8.14E-2</v>
      </c>
      <c r="G2106" s="15">
        <v>0.70669999999999999</v>
      </c>
      <c r="H2106" s="15">
        <v>0.1953</v>
      </c>
      <c r="I2106" s="15">
        <v>6.6400000000000001E-2</v>
      </c>
      <c r="J2106" s="15">
        <v>2.9412650602409638</v>
      </c>
    </row>
    <row r="2107" spans="1:10" x14ac:dyDescent="0.25">
      <c r="A2107" s="2" t="s">
        <v>6317</v>
      </c>
      <c r="B2107" s="2" t="s">
        <v>6318</v>
      </c>
      <c r="C2107" s="2" t="s">
        <v>6319</v>
      </c>
      <c r="D2107" s="2" t="s">
        <v>10052</v>
      </c>
      <c r="E2107" s="15">
        <v>3.2899999999999999E-2</v>
      </c>
      <c r="F2107" s="15">
        <v>8.77E-2</v>
      </c>
      <c r="G2107" s="15">
        <v>0.7077</v>
      </c>
      <c r="H2107" s="15">
        <v>0.17710000000000001</v>
      </c>
      <c r="I2107" s="15">
        <v>5.8200000000000002E-2</v>
      </c>
      <c r="J2107" s="15">
        <v>3.0429553264604809</v>
      </c>
    </row>
    <row r="2108" spans="1:10" x14ac:dyDescent="0.25">
      <c r="A2108" s="2" t="s">
        <v>6320</v>
      </c>
      <c r="B2108" s="2" t="s">
        <v>6321</v>
      </c>
      <c r="C2108" s="2" t="s">
        <v>6322</v>
      </c>
      <c r="D2108" s="2" t="s">
        <v>10052</v>
      </c>
      <c r="E2108" s="15">
        <v>-0.1404</v>
      </c>
      <c r="F2108" s="15">
        <v>0.1399</v>
      </c>
      <c r="G2108" s="15">
        <v>0.31540000000000001</v>
      </c>
      <c r="H2108" s="15">
        <v>6.3899999999999998E-2</v>
      </c>
      <c r="I2108" s="15">
        <v>4.5499999999999999E-2</v>
      </c>
      <c r="J2108" s="15">
        <v>1.4043956043956041</v>
      </c>
    </row>
    <row r="2109" spans="1:10" x14ac:dyDescent="0.25">
      <c r="A2109" s="2" t="s">
        <v>6323</v>
      </c>
      <c r="B2109" s="2" t="s">
        <v>6324</v>
      </c>
      <c r="C2109" s="2" t="s">
        <v>6325</v>
      </c>
      <c r="D2109" s="2" t="s">
        <v>10052</v>
      </c>
      <c r="E2109" s="15">
        <v>-0.15570000000000001</v>
      </c>
      <c r="F2109" s="15">
        <v>0.17299999999999999</v>
      </c>
      <c r="G2109" s="15">
        <v>0.36799999999999999</v>
      </c>
      <c r="H2109" s="15">
        <v>4.2799999999999998E-2</v>
      </c>
      <c r="I2109" s="15">
        <v>4.02E-2</v>
      </c>
      <c r="J2109" s="15">
        <v>1.0646766169154229</v>
      </c>
    </row>
    <row r="2110" spans="1:10" x14ac:dyDescent="0.25">
      <c r="A2110" s="2" t="s">
        <v>6326</v>
      </c>
      <c r="B2110" s="2" t="s">
        <v>6327</v>
      </c>
      <c r="C2110" s="2" t="s">
        <v>6328</v>
      </c>
      <c r="D2110" s="2" t="s">
        <v>10052</v>
      </c>
      <c r="E2110" s="15">
        <v>-2.5999999999999999E-3</v>
      </c>
      <c r="F2110" s="15">
        <v>9.11E-2</v>
      </c>
      <c r="G2110" s="15">
        <v>0.97689999999999999</v>
      </c>
      <c r="H2110" s="15">
        <v>0.12939999999999999</v>
      </c>
      <c r="I2110" s="15">
        <v>4.4699999999999997E-2</v>
      </c>
      <c r="J2110" s="15">
        <v>2.8948545861297541</v>
      </c>
    </row>
    <row r="2111" spans="1:10" x14ac:dyDescent="0.25">
      <c r="A2111" s="2" t="s">
        <v>6329</v>
      </c>
      <c r="B2111" s="2" t="s">
        <v>6330</v>
      </c>
      <c r="C2111" s="2" t="s">
        <v>6331</v>
      </c>
      <c r="D2111" s="2" t="s">
        <v>10052</v>
      </c>
      <c r="E2111" s="15">
        <v>-5.45E-2</v>
      </c>
      <c r="F2111" s="15">
        <v>9.7699999999999995E-2</v>
      </c>
      <c r="G2111" s="15">
        <v>0.57679999999999998</v>
      </c>
      <c r="H2111" s="15">
        <v>0.12559999999999999</v>
      </c>
      <c r="I2111" s="15">
        <v>4.0099999999999997E-2</v>
      </c>
      <c r="J2111" s="15">
        <v>3.1321695760598498</v>
      </c>
    </row>
    <row r="2112" spans="1:10" x14ac:dyDescent="0.25">
      <c r="A2112" s="2" t="s">
        <v>6332</v>
      </c>
      <c r="B2112" s="2" t="s">
        <v>6333</v>
      </c>
      <c r="C2112" s="2" t="s">
        <v>6334</v>
      </c>
      <c r="D2112" s="2" t="s">
        <v>10052</v>
      </c>
      <c r="E2112" s="15">
        <v>5.3900000000000003E-2</v>
      </c>
      <c r="F2112" s="15">
        <v>9.2100000000000001E-2</v>
      </c>
      <c r="G2112" s="15">
        <v>0.55810000000000004</v>
      </c>
      <c r="H2112" s="15">
        <v>0.1457</v>
      </c>
      <c r="I2112" s="15">
        <v>4.6699999999999998E-2</v>
      </c>
      <c r="J2112" s="15">
        <v>3.119914346895075</v>
      </c>
    </row>
    <row r="2113" spans="1:10" x14ac:dyDescent="0.25">
      <c r="A2113" s="2" t="s">
        <v>6335</v>
      </c>
      <c r="B2113" s="2" t="s">
        <v>6336</v>
      </c>
      <c r="C2113" s="2" t="s">
        <v>6337</v>
      </c>
      <c r="D2113" s="2" t="s">
        <v>10052</v>
      </c>
      <c r="E2113" s="15">
        <v>-8.5699999999999998E-2</v>
      </c>
      <c r="F2113" s="15">
        <v>0.13189999999999999</v>
      </c>
      <c r="G2113" s="15">
        <v>0.51600000000000001</v>
      </c>
      <c r="H2113" s="15">
        <v>9.3600000000000003E-2</v>
      </c>
      <c r="I2113" s="15">
        <v>4.2900000000000001E-2</v>
      </c>
      <c r="J2113" s="15">
        <v>2.1818181818181821</v>
      </c>
    </row>
    <row r="2114" spans="1:10" x14ac:dyDescent="0.25">
      <c r="A2114" s="2" t="s">
        <v>6338</v>
      </c>
      <c r="B2114" s="2" t="s">
        <v>6339</v>
      </c>
      <c r="C2114" s="2" t="s">
        <v>6340</v>
      </c>
      <c r="D2114" s="2" t="s">
        <v>10052</v>
      </c>
      <c r="E2114" s="15">
        <v>-8.4000000000000005E-2</v>
      </c>
      <c r="F2114" s="15">
        <v>8.6699999999999999E-2</v>
      </c>
      <c r="G2114" s="15">
        <v>0.33260000000000001</v>
      </c>
      <c r="H2114" s="15">
        <v>0.18490000000000001</v>
      </c>
      <c r="I2114" s="15">
        <v>4.6199999999999998E-2</v>
      </c>
      <c r="J2114" s="15">
        <v>4.0021645021645016</v>
      </c>
    </row>
    <row r="2115" spans="1:10" x14ac:dyDescent="0.25">
      <c r="A2115" s="2" t="s">
        <v>6341</v>
      </c>
      <c r="B2115" s="2" t="s">
        <v>6342</v>
      </c>
      <c r="C2115" s="2" t="s">
        <v>6343</v>
      </c>
      <c r="D2115" s="2" t="s">
        <v>10052</v>
      </c>
      <c r="E2115" s="15">
        <v>-0.1671</v>
      </c>
      <c r="F2115" s="15">
        <v>7.6600000000000001E-2</v>
      </c>
      <c r="G2115" s="15">
        <v>2.92E-2</v>
      </c>
      <c r="H2115" s="15">
        <v>0.2414</v>
      </c>
      <c r="I2115" s="15">
        <v>4.4200000000000003E-2</v>
      </c>
      <c r="J2115" s="15">
        <v>5.4615384615384608</v>
      </c>
    </row>
    <row r="2116" spans="1:10" x14ac:dyDescent="0.25">
      <c r="A2116" s="2" t="s">
        <v>6344</v>
      </c>
      <c r="B2116" s="2" t="s">
        <v>6345</v>
      </c>
      <c r="C2116" s="2" t="s">
        <v>6346</v>
      </c>
      <c r="D2116" s="2" t="s">
        <v>10052</v>
      </c>
      <c r="E2116" s="15">
        <v>-9.7900000000000001E-2</v>
      </c>
      <c r="F2116" s="15">
        <v>9.3799999999999994E-2</v>
      </c>
      <c r="G2116" s="15">
        <v>0.2969</v>
      </c>
      <c r="H2116" s="15">
        <v>0.1618</v>
      </c>
      <c r="I2116" s="15">
        <v>4.6899999999999997E-2</v>
      </c>
      <c r="J2116" s="15">
        <v>3.4498933901918978</v>
      </c>
    </row>
    <row r="2117" spans="1:10" x14ac:dyDescent="0.25">
      <c r="A2117" s="2" t="s">
        <v>6347</v>
      </c>
      <c r="B2117" s="2" t="s">
        <v>6348</v>
      </c>
      <c r="C2117" s="2" t="s">
        <v>6349</v>
      </c>
      <c r="D2117" s="2" t="s">
        <v>10052</v>
      </c>
      <c r="E2117" s="15">
        <v>-9.4600000000000004E-2</v>
      </c>
      <c r="F2117" s="15">
        <v>7.4300000000000005E-2</v>
      </c>
      <c r="G2117" s="15">
        <v>0.20330000000000001</v>
      </c>
      <c r="H2117" s="15">
        <v>0.25900000000000001</v>
      </c>
      <c r="I2117" s="15">
        <v>4.5999999999999999E-2</v>
      </c>
      <c r="J2117" s="15">
        <v>5.6304347826086962</v>
      </c>
    </row>
    <row r="2118" spans="1:10" x14ac:dyDescent="0.25">
      <c r="A2118" s="2" t="s">
        <v>6350</v>
      </c>
      <c r="B2118" s="2" t="s">
        <v>6351</v>
      </c>
      <c r="C2118" s="2" t="s">
        <v>6352</v>
      </c>
      <c r="D2118" s="2" t="s">
        <v>10052</v>
      </c>
      <c r="E2118" s="15">
        <v>-2.4199999999999999E-2</v>
      </c>
      <c r="F2118" s="15">
        <v>9.8000000000000004E-2</v>
      </c>
      <c r="G2118" s="15">
        <v>0.80489999999999995</v>
      </c>
      <c r="H2118" s="15">
        <v>0.1414</v>
      </c>
      <c r="I2118" s="15">
        <v>4.4699999999999997E-2</v>
      </c>
      <c r="J2118" s="15">
        <v>3.1633109619686799</v>
      </c>
    </row>
    <row r="2119" spans="1:10" x14ac:dyDescent="0.25">
      <c r="A2119" s="2" t="s">
        <v>6353</v>
      </c>
      <c r="B2119" s="2" t="s">
        <v>6354</v>
      </c>
      <c r="C2119" s="2" t="s">
        <v>6355</v>
      </c>
      <c r="D2119" s="2" t="s">
        <v>10052</v>
      </c>
      <c r="E2119" s="15"/>
      <c r="F2119" s="15"/>
      <c r="G2119" s="15"/>
      <c r="H2119" s="15">
        <v>-6.7000000000000002E-3</v>
      </c>
      <c r="I2119" s="15">
        <v>3.5900000000000001E-2</v>
      </c>
      <c r="J2119" s="15">
        <v>-0.1866295264623955</v>
      </c>
    </row>
    <row r="2120" spans="1:10" x14ac:dyDescent="0.25">
      <c r="A2120" s="2" t="s">
        <v>6356</v>
      </c>
      <c r="B2120" s="2" t="s">
        <v>6357</v>
      </c>
      <c r="C2120" s="2" t="s">
        <v>6358</v>
      </c>
      <c r="D2120" s="2" t="s">
        <v>10052</v>
      </c>
      <c r="E2120" s="15">
        <v>0.16800000000000001</v>
      </c>
      <c r="F2120" s="15">
        <v>0.1673</v>
      </c>
      <c r="G2120" s="15">
        <v>0.31519999999999998</v>
      </c>
      <c r="H2120" s="15">
        <v>5.0900000000000001E-2</v>
      </c>
      <c r="I2120" s="15">
        <v>3.9800000000000002E-2</v>
      </c>
      <c r="J2120" s="15">
        <v>1.278894472361809</v>
      </c>
    </row>
    <row r="2121" spans="1:10" x14ac:dyDescent="0.25">
      <c r="A2121" s="2" t="s">
        <v>6359</v>
      </c>
      <c r="B2121" s="2" t="s">
        <v>6360</v>
      </c>
      <c r="C2121" s="2" t="s">
        <v>6361</v>
      </c>
      <c r="D2121" s="2" t="s">
        <v>10052</v>
      </c>
      <c r="E2121" s="15">
        <v>0.1615</v>
      </c>
      <c r="F2121" s="15">
        <v>0.1032</v>
      </c>
      <c r="G2121" s="15">
        <v>0.11749999999999999</v>
      </c>
      <c r="H2121" s="15">
        <v>0.1235</v>
      </c>
      <c r="I2121" s="15">
        <v>4.6300000000000001E-2</v>
      </c>
      <c r="J2121" s="15">
        <v>2.6673866090712739</v>
      </c>
    </row>
    <row r="2122" spans="1:10" x14ac:dyDescent="0.25">
      <c r="A2122" s="2" t="s">
        <v>6362</v>
      </c>
      <c r="B2122" s="2" t="s">
        <v>6363</v>
      </c>
      <c r="C2122" s="2" t="s">
        <v>6364</v>
      </c>
      <c r="D2122" s="2" t="s">
        <v>10052</v>
      </c>
      <c r="E2122" s="15">
        <v>-5.7299999999999997E-2</v>
      </c>
      <c r="F2122" s="15">
        <v>8.6499999999999994E-2</v>
      </c>
      <c r="G2122" s="15">
        <v>0.50760000000000005</v>
      </c>
      <c r="H2122" s="15">
        <v>0.15160000000000001</v>
      </c>
      <c r="I2122" s="15">
        <v>4.1300000000000003E-2</v>
      </c>
      <c r="J2122" s="15">
        <v>3.670702179176756</v>
      </c>
    </row>
    <row r="2123" spans="1:10" x14ac:dyDescent="0.25">
      <c r="A2123" s="2" t="s">
        <v>6365</v>
      </c>
      <c r="B2123" s="2" t="s">
        <v>6366</v>
      </c>
      <c r="C2123" s="2" t="s">
        <v>6367</v>
      </c>
      <c r="D2123" s="2" t="s">
        <v>10052</v>
      </c>
      <c r="E2123" s="15">
        <v>-4.1000000000000002E-2</v>
      </c>
      <c r="F2123" s="15">
        <v>7.9799999999999996E-2</v>
      </c>
      <c r="G2123" s="15">
        <v>0.60680000000000001</v>
      </c>
      <c r="H2123" s="15">
        <v>0.26490000000000002</v>
      </c>
      <c r="I2123" s="15">
        <v>5.0799999999999998E-2</v>
      </c>
      <c r="J2123" s="15">
        <v>5.2145669291338592</v>
      </c>
    </row>
    <row r="2124" spans="1:10" x14ac:dyDescent="0.25">
      <c r="A2124" s="2" t="s">
        <v>6368</v>
      </c>
      <c r="B2124" s="2" t="s">
        <v>6369</v>
      </c>
      <c r="C2124" s="2" t="s">
        <v>6370</v>
      </c>
      <c r="D2124" s="2" t="s">
        <v>10052</v>
      </c>
      <c r="E2124" s="15">
        <v>-4.4900000000000002E-2</v>
      </c>
      <c r="F2124" s="15">
        <v>7.85E-2</v>
      </c>
      <c r="G2124" s="15">
        <v>0.56720000000000004</v>
      </c>
      <c r="H2124" s="15">
        <v>0.2576</v>
      </c>
      <c r="I2124" s="15">
        <v>4.9000000000000002E-2</v>
      </c>
      <c r="J2124" s="15">
        <v>5.2571428571428571</v>
      </c>
    </row>
    <row r="2125" spans="1:10" x14ac:dyDescent="0.25">
      <c r="A2125" s="2" t="s">
        <v>6371</v>
      </c>
      <c r="B2125" s="2" t="s">
        <v>6372</v>
      </c>
      <c r="C2125" s="2" t="s">
        <v>6373</v>
      </c>
      <c r="D2125" s="2" t="s">
        <v>10052</v>
      </c>
      <c r="E2125" s="15">
        <v>-1.8700000000000001E-2</v>
      </c>
      <c r="F2125" s="15">
        <v>9.35E-2</v>
      </c>
      <c r="G2125" s="15">
        <v>0.84150000000000003</v>
      </c>
      <c r="H2125" s="15">
        <v>0.15590000000000001</v>
      </c>
      <c r="I2125" s="15">
        <v>4.6300000000000001E-2</v>
      </c>
      <c r="J2125" s="15">
        <v>3.3671706263498922</v>
      </c>
    </row>
    <row r="2126" spans="1:10" x14ac:dyDescent="0.25">
      <c r="A2126" s="2" t="s">
        <v>6374</v>
      </c>
      <c r="B2126" s="2" t="s">
        <v>6375</v>
      </c>
      <c r="C2126" s="2" t="s">
        <v>6376</v>
      </c>
      <c r="D2126" s="2" t="s">
        <v>10052</v>
      </c>
      <c r="E2126" s="15">
        <v>1.26E-2</v>
      </c>
      <c r="F2126" s="15">
        <v>6.9599999999999995E-2</v>
      </c>
      <c r="G2126" s="15">
        <v>0.85680000000000001</v>
      </c>
      <c r="H2126" s="15">
        <v>0.23910000000000001</v>
      </c>
      <c r="I2126" s="15">
        <v>4.6399999999999997E-2</v>
      </c>
      <c r="J2126" s="15">
        <v>5.1530172413793096</v>
      </c>
    </row>
    <row r="2127" spans="1:10" x14ac:dyDescent="0.25">
      <c r="A2127" s="2" t="s">
        <v>6377</v>
      </c>
      <c r="B2127" s="2" t="s">
        <v>6378</v>
      </c>
      <c r="C2127" s="2" t="s">
        <v>6379</v>
      </c>
      <c r="D2127" s="2" t="s">
        <v>10052</v>
      </c>
      <c r="E2127" s="15">
        <v>-8.9899999999999994E-2</v>
      </c>
      <c r="F2127" s="15">
        <v>7.3700000000000002E-2</v>
      </c>
      <c r="G2127" s="15">
        <v>0.22270000000000001</v>
      </c>
      <c r="H2127" s="15">
        <v>0.20019999999999999</v>
      </c>
      <c r="I2127" s="15">
        <v>4.6899999999999997E-2</v>
      </c>
      <c r="J2127" s="15">
        <v>4.2686567164179108</v>
      </c>
    </row>
    <row r="2128" spans="1:10" x14ac:dyDescent="0.25">
      <c r="A2128" s="2" t="s">
        <v>6380</v>
      </c>
      <c r="B2128" s="2" t="s">
        <v>6381</v>
      </c>
      <c r="C2128" s="2" t="s">
        <v>6382</v>
      </c>
      <c r="D2128" s="2" t="s">
        <v>10052</v>
      </c>
      <c r="E2128" s="15">
        <v>-9.7199999999999995E-2</v>
      </c>
      <c r="F2128" s="15">
        <v>7.3800000000000004E-2</v>
      </c>
      <c r="G2128" s="15">
        <v>0.188</v>
      </c>
      <c r="H2128" s="15">
        <v>0.22839999999999999</v>
      </c>
      <c r="I2128" s="15">
        <v>4.4999999999999998E-2</v>
      </c>
      <c r="J2128" s="15">
        <v>5.0755555555555558</v>
      </c>
    </row>
    <row r="2129" spans="1:10" x14ac:dyDescent="0.25">
      <c r="A2129" s="2" t="s">
        <v>6383</v>
      </c>
      <c r="B2129" s="2" t="s">
        <v>6384</v>
      </c>
      <c r="C2129" s="2" t="s">
        <v>6385</v>
      </c>
      <c r="D2129" s="2" t="s">
        <v>10053</v>
      </c>
      <c r="E2129" s="15">
        <v>-8.3000000000000001E-3</v>
      </c>
      <c r="F2129" s="15">
        <v>0.38350000000000001</v>
      </c>
      <c r="G2129" s="15">
        <v>0.98270000000000002</v>
      </c>
      <c r="H2129" s="15">
        <v>2.24E-2</v>
      </c>
      <c r="I2129" s="15">
        <v>4.4200000000000003E-2</v>
      </c>
      <c r="J2129" s="15">
        <v>0.50678733031674206</v>
      </c>
    </row>
    <row r="2130" spans="1:10" x14ac:dyDescent="0.25">
      <c r="A2130" s="2" t="s">
        <v>6386</v>
      </c>
      <c r="B2130" s="2" t="s">
        <v>6387</v>
      </c>
      <c r="C2130" s="2" t="s">
        <v>6388</v>
      </c>
      <c r="D2130" s="2" t="s">
        <v>10053</v>
      </c>
      <c r="E2130" s="15">
        <v>-0.10299999999999999</v>
      </c>
      <c r="F2130" s="15">
        <v>0.12709999999999999</v>
      </c>
      <c r="G2130" s="15">
        <v>0.41770000000000002</v>
      </c>
      <c r="H2130" s="15">
        <v>8.4599999999999995E-2</v>
      </c>
      <c r="I2130" s="15">
        <v>4.1799999999999997E-2</v>
      </c>
      <c r="J2130" s="15">
        <v>2.0239234449760768</v>
      </c>
    </row>
    <row r="2131" spans="1:10" x14ac:dyDescent="0.25">
      <c r="A2131" s="2" t="s">
        <v>6389</v>
      </c>
      <c r="B2131" s="2" t="s">
        <v>6390</v>
      </c>
      <c r="C2131" s="2" t="s">
        <v>6391</v>
      </c>
      <c r="D2131" s="2" t="s">
        <v>10053</v>
      </c>
      <c r="E2131" s="15">
        <v>4.58E-2</v>
      </c>
      <c r="F2131" s="15">
        <v>0.1928</v>
      </c>
      <c r="G2131" s="15">
        <v>0.81200000000000006</v>
      </c>
      <c r="H2131" s="15">
        <v>3.6400000000000002E-2</v>
      </c>
      <c r="I2131" s="15">
        <v>4.3499999999999997E-2</v>
      </c>
      <c r="J2131" s="15">
        <v>0.83678160919540234</v>
      </c>
    </row>
    <row r="2132" spans="1:10" x14ac:dyDescent="0.25">
      <c r="A2132" s="2" t="s">
        <v>6392</v>
      </c>
      <c r="B2132" s="2" t="s">
        <v>6393</v>
      </c>
      <c r="C2132" s="2" t="s">
        <v>6394</v>
      </c>
      <c r="D2132" s="2" t="s">
        <v>10053</v>
      </c>
      <c r="E2132" s="15">
        <v>-1.54E-2</v>
      </c>
      <c r="F2132" s="15">
        <v>0.1605</v>
      </c>
      <c r="G2132" s="15">
        <v>0.9234</v>
      </c>
      <c r="H2132" s="15">
        <v>4.9599999999999998E-2</v>
      </c>
      <c r="I2132" s="15">
        <v>0.04</v>
      </c>
      <c r="J2132" s="15">
        <v>1.24</v>
      </c>
    </row>
    <row r="2133" spans="1:10" x14ac:dyDescent="0.25">
      <c r="A2133" s="2" t="s">
        <v>6395</v>
      </c>
      <c r="B2133" s="2" t="s">
        <v>6396</v>
      </c>
      <c r="C2133" s="2" t="s">
        <v>6397</v>
      </c>
      <c r="D2133" s="2" t="s">
        <v>10053</v>
      </c>
      <c r="E2133" s="15"/>
      <c r="F2133" s="15"/>
      <c r="G2133" s="15"/>
      <c r="H2133" s="15"/>
      <c r="I2133" s="15"/>
      <c r="J2133" s="15"/>
    </row>
    <row r="2134" spans="1:10" x14ac:dyDescent="0.25">
      <c r="A2134" s="2" t="s">
        <v>6398</v>
      </c>
      <c r="B2134" s="2" t="s">
        <v>6399</v>
      </c>
      <c r="C2134" s="2" t="s">
        <v>6400</v>
      </c>
      <c r="D2134" s="2" t="s">
        <v>10053</v>
      </c>
      <c r="E2134" s="15">
        <v>-0.1032</v>
      </c>
      <c r="F2134" s="15">
        <v>0.12770000000000001</v>
      </c>
      <c r="G2134" s="15">
        <v>0.41899999999999998</v>
      </c>
      <c r="H2134" s="15">
        <v>7.9299999999999995E-2</v>
      </c>
      <c r="I2134" s="15">
        <v>4.1200000000000001E-2</v>
      </c>
      <c r="J2134" s="15">
        <v>1.924757281553398</v>
      </c>
    </row>
    <row r="2135" spans="1:10" x14ac:dyDescent="0.25">
      <c r="A2135" s="2" t="s">
        <v>6401</v>
      </c>
      <c r="B2135" s="2" t="s">
        <v>6402</v>
      </c>
      <c r="C2135" s="2" t="s">
        <v>6403</v>
      </c>
      <c r="D2135" s="2" t="s">
        <v>10053</v>
      </c>
      <c r="E2135" s="15">
        <v>2.9600000000000001E-2</v>
      </c>
      <c r="F2135" s="15">
        <v>0.20960000000000001</v>
      </c>
      <c r="G2135" s="15">
        <v>0.88780000000000003</v>
      </c>
      <c r="H2135" s="15">
        <v>2.9100000000000001E-2</v>
      </c>
      <c r="I2135" s="15">
        <v>4.6199999999999998E-2</v>
      </c>
      <c r="J2135" s="15">
        <v>0.62987012987012991</v>
      </c>
    </row>
    <row r="2136" spans="1:10" x14ac:dyDescent="0.25">
      <c r="A2136" s="2" t="s">
        <v>6404</v>
      </c>
      <c r="B2136" s="2" t="s">
        <v>6405</v>
      </c>
      <c r="C2136" s="2" t="s">
        <v>6406</v>
      </c>
      <c r="D2136" s="2" t="s">
        <v>10053</v>
      </c>
      <c r="E2136" s="15">
        <v>-7.6E-3</v>
      </c>
      <c r="F2136" s="15">
        <v>0.13739999999999999</v>
      </c>
      <c r="G2136" s="15">
        <v>0.95569999999999999</v>
      </c>
      <c r="H2136" s="15">
        <v>5.9700000000000003E-2</v>
      </c>
      <c r="I2136" s="15">
        <v>4.19E-2</v>
      </c>
      <c r="J2136" s="15">
        <v>1.424821002386635</v>
      </c>
    </row>
    <row r="2137" spans="1:10" x14ac:dyDescent="0.25">
      <c r="A2137" s="2" t="s">
        <v>6407</v>
      </c>
      <c r="B2137" s="2" t="s">
        <v>6408</v>
      </c>
      <c r="C2137" s="2" t="s">
        <v>6409</v>
      </c>
      <c r="D2137" s="2" t="s">
        <v>10053</v>
      </c>
      <c r="E2137" s="15">
        <v>-4.7000000000000002E-3</v>
      </c>
      <c r="F2137" s="15">
        <v>9.9000000000000005E-2</v>
      </c>
      <c r="G2137" s="15">
        <v>0.96220000000000006</v>
      </c>
      <c r="H2137" s="15">
        <v>0.11899999999999999</v>
      </c>
      <c r="I2137" s="15">
        <v>4.2599999999999999E-2</v>
      </c>
      <c r="J2137" s="15">
        <v>2.793427230046948</v>
      </c>
    </row>
    <row r="2138" spans="1:10" x14ac:dyDescent="0.25">
      <c r="A2138" s="2" t="s">
        <v>6410</v>
      </c>
      <c r="B2138" s="2" t="s">
        <v>6411</v>
      </c>
      <c r="C2138" s="2" t="s">
        <v>6412</v>
      </c>
      <c r="D2138" s="2" t="s">
        <v>10053</v>
      </c>
      <c r="E2138" s="15">
        <v>-5.3E-3</v>
      </c>
      <c r="F2138" s="15">
        <v>0.1177</v>
      </c>
      <c r="G2138" s="15">
        <v>0.96379999999999999</v>
      </c>
      <c r="H2138" s="15">
        <v>8.7599999999999997E-2</v>
      </c>
      <c r="I2138" s="15">
        <v>4.24E-2</v>
      </c>
      <c r="J2138" s="15">
        <v>2.066037735849056</v>
      </c>
    </row>
    <row r="2139" spans="1:10" x14ac:dyDescent="0.25">
      <c r="A2139" s="2" t="s">
        <v>6413</v>
      </c>
      <c r="B2139" s="2" t="s">
        <v>6414</v>
      </c>
      <c r="C2139" s="2" t="s">
        <v>6415</v>
      </c>
      <c r="D2139" s="2" t="s">
        <v>10053</v>
      </c>
      <c r="E2139" s="15">
        <v>6.3200000000000006E-2</v>
      </c>
      <c r="F2139" s="15">
        <v>0.1045</v>
      </c>
      <c r="G2139" s="15">
        <v>0.5454</v>
      </c>
      <c r="H2139" s="15">
        <v>0.10199999999999999</v>
      </c>
      <c r="I2139" s="15">
        <v>4.2799999999999998E-2</v>
      </c>
      <c r="J2139" s="15">
        <v>2.3831775700934581</v>
      </c>
    </row>
    <row r="2140" spans="1:10" x14ac:dyDescent="0.25">
      <c r="A2140" s="2" t="s">
        <v>6416</v>
      </c>
      <c r="B2140" s="2" t="s">
        <v>6417</v>
      </c>
      <c r="C2140" s="2" t="s">
        <v>6418</v>
      </c>
      <c r="D2140" s="2" t="s">
        <v>10053</v>
      </c>
      <c r="E2140" s="15">
        <v>9.4600000000000004E-2</v>
      </c>
      <c r="F2140" s="15">
        <v>0.12989999999999999</v>
      </c>
      <c r="G2140" s="15">
        <v>0.46639999999999998</v>
      </c>
      <c r="H2140" s="15">
        <v>6.9599999999999995E-2</v>
      </c>
      <c r="I2140" s="15">
        <v>4.5600000000000002E-2</v>
      </c>
      <c r="J2140" s="15">
        <v>1.5263157894736841</v>
      </c>
    </row>
    <row r="2141" spans="1:10" x14ac:dyDescent="0.25">
      <c r="A2141" s="2" t="s">
        <v>6419</v>
      </c>
      <c r="B2141" s="2" t="s">
        <v>6420</v>
      </c>
      <c r="C2141" s="2" t="s">
        <v>6421</v>
      </c>
      <c r="D2141" s="2" t="s">
        <v>10053</v>
      </c>
      <c r="E2141" s="15">
        <v>-1.3899999999999999E-2</v>
      </c>
      <c r="F2141" s="15">
        <v>0.1273</v>
      </c>
      <c r="G2141" s="15">
        <v>0.91300000000000003</v>
      </c>
      <c r="H2141" s="15">
        <v>7.8700000000000006E-2</v>
      </c>
      <c r="I2141" s="15">
        <v>4.2099999999999999E-2</v>
      </c>
      <c r="J2141" s="15">
        <v>1.869358669833729</v>
      </c>
    </row>
    <row r="2142" spans="1:10" x14ac:dyDescent="0.25">
      <c r="A2142" s="2" t="s">
        <v>6422</v>
      </c>
      <c r="B2142" s="2" t="s">
        <v>6423</v>
      </c>
      <c r="C2142" s="2" t="s">
        <v>6424</v>
      </c>
      <c r="D2142" s="2" t="s">
        <v>10053</v>
      </c>
      <c r="E2142" s="15">
        <v>-5.1499999999999997E-2</v>
      </c>
      <c r="F2142" s="15">
        <v>0.1144</v>
      </c>
      <c r="G2142" s="15">
        <v>0.65259999999999996</v>
      </c>
      <c r="H2142" s="15">
        <v>9.5500000000000002E-2</v>
      </c>
      <c r="I2142" s="15">
        <v>4.2900000000000001E-2</v>
      </c>
      <c r="J2142" s="15">
        <v>2.2261072261072261</v>
      </c>
    </row>
    <row r="2143" spans="1:10" x14ac:dyDescent="0.25">
      <c r="A2143" s="2" t="s">
        <v>6425</v>
      </c>
      <c r="B2143" s="2" t="s">
        <v>6426</v>
      </c>
      <c r="C2143" s="2" t="s">
        <v>6427</v>
      </c>
      <c r="D2143" s="2" t="s">
        <v>10053</v>
      </c>
      <c r="E2143" s="15">
        <v>5.3600000000000002E-2</v>
      </c>
      <c r="F2143" s="15">
        <v>0.1089</v>
      </c>
      <c r="G2143" s="15">
        <v>0.62239999999999995</v>
      </c>
      <c r="H2143" s="15">
        <v>0.1082</v>
      </c>
      <c r="I2143" s="15">
        <v>4.4499999999999998E-2</v>
      </c>
      <c r="J2143" s="15">
        <v>2.4314606741573042</v>
      </c>
    </row>
    <row r="2144" spans="1:10" x14ac:dyDescent="0.25">
      <c r="A2144" s="2" t="s">
        <v>6428</v>
      </c>
      <c r="B2144" s="2" t="s">
        <v>6429</v>
      </c>
      <c r="C2144" s="2" t="s">
        <v>6430</v>
      </c>
      <c r="D2144" s="2" t="s">
        <v>10053</v>
      </c>
      <c r="E2144" s="15">
        <v>2.6499999999999999E-2</v>
      </c>
      <c r="F2144" s="15">
        <v>9.98E-2</v>
      </c>
      <c r="G2144" s="15">
        <v>0.79069999999999996</v>
      </c>
      <c r="H2144" s="15">
        <v>0.12759999999999999</v>
      </c>
      <c r="I2144" s="15">
        <v>4.4900000000000002E-2</v>
      </c>
      <c r="J2144" s="15">
        <v>2.8418708240534518</v>
      </c>
    </row>
    <row r="2145" spans="1:10" x14ac:dyDescent="0.25">
      <c r="A2145" s="2" t="s">
        <v>6431</v>
      </c>
      <c r="B2145" s="2" t="s">
        <v>6432</v>
      </c>
      <c r="C2145" s="2" t="s">
        <v>6433</v>
      </c>
      <c r="D2145" s="2" t="s">
        <v>10054</v>
      </c>
      <c r="E2145" s="15">
        <v>-3.9300000000000002E-2</v>
      </c>
      <c r="F2145" s="15">
        <v>8.6400000000000005E-2</v>
      </c>
      <c r="G2145" s="15">
        <v>0.64900000000000002</v>
      </c>
      <c r="H2145" s="15">
        <v>0.16209999999999999</v>
      </c>
      <c r="I2145" s="15">
        <v>4.6300000000000001E-2</v>
      </c>
      <c r="J2145" s="15">
        <v>3.5010799136069108</v>
      </c>
    </row>
    <row r="2146" spans="1:10" x14ac:dyDescent="0.25">
      <c r="A2146" s="2" t="s">
        <v>6434</v>
      </c>
      <c r="B2146" s="2" t="s">
        <v>6432</v>
      </c>
      <c r="C2146" s="2" t="s">
        <v>6435</v>
      </c>
      <c r="D2146" s="2" t="s">
        <v>10054</v>
      </c>
      <c r="E2146" s="15">
        <v>-8.9499999999999996E-2</v>
      </c>
      <c r="F2146" s="15">
        <v>9.5899999999999999E-2</v>
      </c>
      <c r="G2146" s="15">
        <v>0.35049999999999998</v>
      </c>
      <c r="H2146" s="15">
        <v>0.13350000000000001</v>
      </c>
      <c r="I2146" s="15">
        <v>4.2099999999999999E-2</v>
      </c>
      <c r="J2146" s="15">
        <v>3.1710213776722092</v>
      </c>
    </row>
    <row r="2147" spans="1:10" x14ac:dyDescent="0.25">
      <c r="A2147" s="2" t="s">
        <v>6436</v>
      </c>
      <c r="B2147" s="2" t="s">
        <v>6432</v>
      </c>
      <c r="C2147" s="2" t="s">
        <v>6437</v>
      </c>
      <c r="D2147" s="2" t="s">
        <v>10054</v>
      </c>
      <c r="E2147" s="15">
        <v>-3.8699999999999998E-2</v>
      </c>
      <c r="F2147" s="15">
        <v>9.6100000000000005E-2</v>
      </c>
      <c r="G2147" s="15">
        <v>0.68710000000000004</v>
      </c>
      <c r="H2147" s="15">
        <v>0.1361</v>
      </c>
      <c r="I2147" s="15">
        <v>4.4200000000000003E-2</v>
      </c>
      <c r="J2147" s="15">
        <v>3.0791855203619911</v>
      </c>
    </row>
    <row r="2148" spans="1:10" x14ac:dyDescent="0.25">
      <c r="A2148" s="2" t="s">
        <v>6438</v>
      </c>
      <c r="B2148" s="2" t="s">
        <v>6432</v>
      </c>
      <c r="C2148" s="2" t="s">
        <v>6439</v>
      </c>
      <c r="D2148" s="2" t="s">
        <v>10054</v>
      </c>
      <c r="E2148" s="15">
        <v>0.24660000000000001</v>
      </c>
      <c r="F2148" s="15">
        <v>1.1086</v>
      </c>
      <c r="G2148" s="15">
        <v>0.82399999999999995</v>
      </c>
      <c r="H2148" s="15">
        <v>1.14E-2</v>
      </c>
      <c r="I2148" s="15">
        <v>4.2599999999999999E-2</v>
      </c>
      <c r="J2148" s="15">
        <v>0.26760563380281688</v>
      </c>
    </row>
    <row r="2149" spans="1:10" x14ac:dyDescent="0.25">
      <c r="A2149" s="2" t="s">
        <v>6440</v>
      </c>
      <c r="B2149" s="2" t="s">
        <v>6432</v>
      </c>
      <c r="C2149" s="2" t="s">
        <v>6441</v>
      </c>
      <c r="D2149" s="2" t="s">
        <v>10054</v>
      </c>
      <c r="E2149" s="15">
        <v>6.1600000000000002E-2</v>
      </c>
      <c r="F2149" s="15">
        <v>8.7099999999999997E-2</v>
      </c>
      <c r="G2149" s="15">
        <v>0.4793</v>
      </c>
      <c r="H2149" s="15">
        <v>0.20979999999999999</v>
      </c>
      <c r="I2149" s="15">
        <v>4.6800000000000001E-2</v>
      </c>
      <c r="J2149" s="15">
        <v>4.4829059829059821</v>
      </c>
    </row>
    <row r="2150" spans="1:10" x14ac:dyDescent="0.25">
      <c r="A2150" s="2" t="s">
        <v>6442</v>
      </c>
      <c r="B2150" s="2" t="s">
        <v>6432</v>
      </c>
      <c r="C2150" s="2" t="s">
        <v>6443</v>
      </c>
      <c r="D2150" s="2" t="s">
        <v>10054</v>
      </c>
      <c r="E2150" s="15">
        <v>0.10639999999999999</v>
      </c>
      <c r="F2150" s="15">
        <v>7.4899999999999994E-2</v>
      </c>
      <c r="G2150" s="15">
        <v>0.15529999999999999</v>
      </c>
      <c r="H2150" s="15">
        <v>0.22090000000000001</v>
      </c>
      <c r="I2150" s="15">
        <v>6.1800000000000001E-2</v>
      </c>
      <c r="J2150" s="15">
        <v>3.5744336569579289</v>
      </c>
    </row>
    <row r="2151" spans="1:10" x14ac:dyDescent="0.25">
      <c r="A2151" s="2" t="s">
        <v>6444</v>
      </c>
      <c r="B2151" s="2" t="s">
        <v>6432</v>
      </c>
      <c r="C2151" s="2" t="s">
        <v>6445</v>
      </c>
      <c r="D2151" s="2" t="s">
        <v>10054</v>
      </c>
      <c r="E2151" s="15">
        <v>-0.14580000000000001</v>
      </c>
      <c r="F2151" s="15">
        <v>0.1668</v>
      </c>
      <c r="G2151" s="15">
        <v>0.38190000000000002</v>
      </c>
      <c r="H2151" s="15">
        <v>5.4399999999999997E-2</v>
      </c>
      <c r="I2151" s="15">
        <v>4.2700000000000002E-2</v>
      </c>
      <c r="J2151" s="15">
        <v>1.2740046838407491</v>
      </c>
    </row>
    <row r="2152" spans="1:10" x14ac:dyDescent="0.25">
      <c r="A2152" s="2" t="s">
        <v>6446</v>
      </c>
      <c r="B2152" s="2" t="s">
        <v>6432</v>
      </c>
      <c r="C2152" s="2" t="s">
        <v>6447</v>
      </c>
      <c r="D2152" s="2" t="s">
        <v>10054</v>
      </c>
      <c r="E2152" s="15"/>
      <c r="F2152" s="15"/>
      <c r="G2152" s="15"/>
      <c r="H2152" s="15"/>
      <c r="I2152" s="15"/>
      <c r="J2152" s="15"/>
    </row>
    <row r="2153" spans="1:10" x14ac:dyDescent="0.25">
      <c r="A2153" s="2" t="s">
        <v>6448</v>
      </c>
      <c r="B2153" s="2" t="s">
        <v>6432</v>
      </c>
      <c r="C2153" s="2" t="s">
        <v>6449</v>
      </c>
      <c r="D2153" s="2" t="s">
        <v>10054</v>
      </c>
      <c r="E2153" s="15">
        <v>8.5900000000000004E-2</v>
      </c>
      <c r="F2153" s="15">
        <v>9.1999999999999998E-2</v>
      </c>
      <c r="G2153" s="15">
        <v>0.35049999999999998</v>
      </c>
      <c r="H2153" s="15">
        <v>0.14499999999999999</v>
      </c>
      <c r="I2153" s="15">
        <v>4.2200000000000001E-2</v>
      </c>
      <c r="J2153" s="15">
        <v>3.4360189573459712</v>
      </c>
    </row>
    <row r="2154" spans="1:10" x14ac:dyDescent="0.25">
      <c r="A2154" s="2" t="s">
        <v>6450</v>
      </c>
      <c r="B2154" s="2" t="s">
        <v>6432</v>
      </c>
      <c r="C2154" s="2" t="s">
        <v>6451</v>
      </c>
      <c r="D2154" s="2" t="s">
        <v>10054</v>
      </c>
      <c r="E2154" s="15">
        <v>4.3900000000000002E-2</v>
      </c>
      <c r="F2154" s="15">
        <v>0.1263</v>
      </c>
      <c r="G2154" s="15">
        <v>0.72809999999999997</v>
      </c>
      <c r="H2154" s="15">
        <v>8.14E-2</v>
      </c>
      <c r="I2154" s="15">
        <v>4.5400000000000003E-2</v>
      </c>
      <c r="J2154" s="15">
        <v>1.79295154185022</v>
      </c>
    </row>
    <row r="2155" spans="1:10" x14ac:dyDescent="0.25">
      <c r="A2155" s="2" t="s">
        <v>6452</v>
      </c>
      <c r="B2155" s="2" t="s">
        <v>6432</v>
      </c>
      <c r="C2155" s="2" t="s">
        <v>6453</v>
      </c>
      <c r="D2155" s="2" t="s">
        <v>10054</v>
      </c>
      <c r="E2155" s="15">
        <v>3.3599999999999998E-2</v>
      </c>
      <c r="F2155" s="15">
        <v>0.1404</v>
      </c>
      <c r="G2155" s="15">
        <v>0.81110000000000004</v>
      </c>
      <c r="H2155" s="15">
        <v>7.1800000000000003E-2</v>
      </c>
      <c r="I2155" s="15">
        <v>4.07E-2</v>
      </c>
      <c r="J2155" s="15">
        <v>1.764127764127764</v>
      </c>
    </row>
    <row r="2156" spans="1:10" x14ac:dyDescent="0.25">
      <c r="A2156" s="2" t="s">
        <v>6454</v>
      </c>
      <c r="B2156" s="2" t="s">
        <v>6432</v>
      </c>
      <c r="C2156" s="2" t="s">
        <v>6455</v>
      </c>
      <c r="D2156" s="2" t="s">
        <v>10054</v>
      </c>
      <c r="E2156" s="15">
        <v>2.1399999999999999E-2</v>
      </c>
      <c r="F2156" s="15">
        <v>0.152</v>
      </c>
      <c r="G2156" s="15">
        <v>0.8881</v>
      </c>
      <c r="H2156" s="15">
        <v>5.0200000000000002E-2</v>
      </c>
      <c r="I2156" s="15">
        <v>4.07E-2</v>
      </c>
      <c r="J2156" s="15">
        <v>1.233415233415234</v>
      </c>
    </row>
    <row r="2157" spans="1:10" x14ac:dyDescent="0.25">
      <c r="A2157" s="2" t="s">
        <v>6456</v>
      </c>
      <c r="B2157" s="2" t="s">
        <v>6432</v>
      </c>
      <c r="C2157" s="2" t="s">
        <v>6457</v>
      </c>
      <c r="D2157" s="2" t="s">
        <v>10054</v>
      </c>
      <c r="E2157" s="15">
        <v>-2.1100000000000001E-2</v>
      </c>
      <c r="F2157" s="15">
        <v>9.3899999999999997E-2</v>
      </c>
      <c r="G2157" s="15">
        <v>0.82220000000000004</v>
      </c>
      <c r="H2157" s="15">
        <v>0.18090000000000001</v>
      </c>
      <c r="I2157" s="15">
        <v>5.1499999999999997E-2</v>
      </c>
      <c r="J2157" s="15">
        <v>3.5126213592233011</v>
      </c>
    </row>
    <row r="2158" spans="1:10" x14ac:dyDescent="0.25">
      <c r="A2158" s="2" t="s">
        <v>6458</v>
      </c>
      <c r="B2158" s="2" t="s">
        <v>6432</v>
      </c>
      <c r="C2158" s="2" t="s">
        <v>6459</v>
      </c>
      <c r="D2158" s="2" t="s">
        <v>10054</v>
      </c>
      <c r="E2158" s="15">
        <v>3.4200000000000001E-2</v>
      </c>
      <c r="F2158" s="15">
        <v>9.2499999999999999E-2</v>
      </c>
      <c r="G2158" s="15">
        <v>0.71160000000000001</v>
      </c>
      <c r="H2158" s="15">
        <v>0.1293</v>
      </c>
      <c r="I2158" s="15">
        <v>4.8599999999999997E-2</v>
      </c>
      <c r="J2158" s="15">
        <v>2.6604938271604941</v>
      </c>
    </row>
    <row r="2159" spans="1:10" x14ac:dyDescent="0.25">
      <c r="A2159" s="2" t="s">
        <v>6460</v>
      </c>
      <c r="B2159" s="2" t="s">
        <v>6432</v>
      </c>
      <c r="C2159" s="2" t="s">
        <v>6461</v>
      </c>
      <c r="D2159" s="2" t="s">
        <v>10054</v>
      </c>
      <c r="E2159" s="15">
        <v>0.1371</v>
      </c>
      <c r="F2159" s="15">
        <v>0.1022</v>
      </c>
      <c r="G2159" s="15">
        <v>0.18</v>
      </c>
      <c r="H2159" s="15">
        <v>0.12790000000000001</v>
      </c>
      <c r="I2159" s="15">
        <v>3.7499999999999999E-2</v>
      </c>
      <c r="J2159" s="15">
        <v>3.4106666666666672</v>
      </c>
    </row>
    <row r="2160" spans="1:10" x14ac:dyDescent="0.25">
      <c r="A2160" s="2" t="s">
        <v>6462</v>
      </c>
      <c r="B2160" s="2" t="s">
        <v>6432</v>
      </c>
      <c r="C2160" s="2" t="s">
        <v>6463</v>
      </c>
      <c r="D2160" s="2" t="s">
        <v>10054</v>
      </c>
      <c r="E2160" s="15">
        <v>-7.0999999999999994E-2</v>
      </c>
      <c r="F2160" s="15">
        <v>0.1303</v>
      </c>
      <c r="G2160" s="15">
        <v>0.58579999999999999</v>
      </c>
      <c r="H2160" s="15">
        <v>8.4599999999999995E-2</v>
      </c>
      <c r="I2160" s="15">
        <v>3.7900000000000003E-2</v>
      </c>
      <c r="J2160" s="15">
        <v>2.232189973614775</v>
      </c>
    </row>
    <row r="2161" spans="1:10" x14ac:dyDescent="0.25">
      <c r="A2161" s="2" t="s">
        <v>6464</v>
      </c>
      <c r="B2161" s="2" t="s">
        <v>6432</v>
      </c>
      <c r="C2161" s="2" t="s">
        <v>6465</v>
      </c>
      <c r="D2161" s="2" t="s">
        <v>10054</v>
      </c>
      <c r="E2161" s="15">
        <v>0.13089999999999999</v>
      </c>
      <c r="F2161" s="15">
        <v>0.12909999999999999</v>
      </c>
      <c r="G2161" s="15">
        <v>0.31069999999999998</v>
      </c>
      <c r="H2161" s="15">
        <v>8.14E-2</v>
      </c>
      <c r="I2161" s="15">
        <v>4.4200000000000003E-2</v>
      </c>
      <c r="J2161" s="15">
        <v>1.841628959276018</v>
      </c>
    </row>
    <row r="2162" spans="1:10" x14ac:dyDescent="0.25">
      <c r="A2162" s="2" t="s">
        <v>6466</v>
      </c>
      <c r="B2162" s="2" t="s">
        <v>6432</v>
      </c>
      <c r="C2162" s="2" t="s">
        <v>6467</v>
      </c>
      <c r="D2162" s="2" t="s">
        <v>10054</v>
      </c>
      <c r="E2162" s="15">
        <v>6.7999999999999996E-3</v>
      </c>
      <c r="F2162" s="15">
        <v>9.6799999999999997E-2</v>
      </c>
      <c r="G2162" s="15">
        <v>0.94359999999999999</v>
      </c>
      <c r="H2162" s="15">
        <v>0.14710000000000001</v>
      </c>
      <c r="I2162" s="15">
        <v>4.3499999999999997E-2</v>
      </c>
      <c r="J2162" s="15">
        <v>3.3816091954022989</v>
      </c>
    </row>
    <row r="2163" spans="1:10" x14ac:dyDescent="0.25">
      <c r="A2163" s="2" t="s">
        <v>6468</v>
      </c>
      <c r="B2163" s="2" t="s">
        <v>6432</v>
      </c>
      <c r="C2163" s="2" t="s">
        <v>6469</v>
      </c>
      <c r="D2163" s="2" t="s">
        <v>10054</v>
      </c>
      <c r="E2163" s="15">
        <v>-0.1004</v>
      </c>
      <c r="F2163" s="15">
        <v>0.13039999999999999</v>
      </c>
      <c r="G2163" s="15">
        <v>0.44140000000000001</v>
      </c>
      <c r="H2163" s="15">
        <v>6.2100000000000002E-2</v>
      </c>
      <c r="I2163" s="15">
        <v>4.0500000000000001E-2</v>
      </c>
      <c r="J2163" s="15">
        <v>1.533333333333333</v>
      </c>
    </row>
    <row r="2164" spans="1:10" x14ac:dyDescent="0.25">
      <c r="A2164" s="2" t="s">
        <v>6470</v>
      </c>
      <c r="B2164" s="2" t="s">
        <v>6432</v>
      </c>
      <c r="C2164" s="2" t="s">
        <v>6471</v>
      </c>
      <c r="D2164" s="2" t="s">
        <v>10054</v>
      </c>
      <c r="E2164" s="15">
        <v>-1.5900000000000001E-2</v>
      </c>
      <c r="F2164" s="15">
        <v>0.10050000000000001</v>
      </c>
      <c r="G2164" s="15">
        <v>0.87439999999999996</v>
      </c>
      <c r="H2164" s="15">
        <v>0.16039999999999999</v>
      </c>
      <c r="I2164" s="15">
        <v>4.7399999999999998E-2</v>
      </c>
      <c r="J2164" s="15">
        <v>3.3839662447257379</v>
      </c>
    </row>
    <row r="2165" spans="1:10" x14ac:dyDescent="0.25">
      <c r="A2165" s="2" t="s">
        <v>6472</v>
      </c>
      <c r="B2165" s="2" t="s">
        <v>6432</v>
      </c>
      <c r="C2165" s="2" t="s">
        <v>6473</v>
      </c>
      <c r="D2165" s="2" t="s">
        <v>10054</v>
      </c>
      <c r="E2165" s="15">
        <v>8.1100000000000005E-2</v>
      </c>
      <c r="F2165" s="15">
        <v>9.0399999999999994E-2</v>
      </c>
      <c r="G2165" s="15">
        <v>0.37</v>
      </c>
      <c r="H2165" s="15">
        <v>0.1371</v>
      </c>
      <c r="I2165" s="15">
        <v>4.7300000000000002E-2</v>
      </c>
      <c r="J2165" s="15">
        <v>2.8985200845665959</v>
      </c>
    </row>
    <row r="2166" spans="1:10" x14ac:dyDescent="0.25">
      <c r="A2166" s="2" t="s">
        <v>6474</v>
      </c>
      <c r="B2166" s="2" t="s">
        <v>6475</v>
      </c>
      <c r="C2166" s="2" t="s">
        <v>6476</v>
      </c>
      <c r="D2166" s="2" t="s">
        <v>10054</v>
      </c>
      <c r="E2166" s="15">
        <v>0.19170000000000001</v>
      </c>
      <c r="F2166" s="15">
        <v>0.12859999999999999</v>
      </c>
      <c r="G2166" s="15">
        <v>0.1361</v>
      </c>
      <c r="H2166" s="15">
        <v>9.1999999999999998E-2</v>
      </c>
      <c r="I2166" s="15">
        <v>4.7399999999999998E-2</v>
      </c>
      <c r="J2166" s="15">
        <v>1.9409282700421939</v>
      </c>
    </row>
    <row r="2167" spans="1:10" x14ac:dyDescent="0.25">
      <c r="A2167" s="2" t="s">
        <v>6477</v>
      </c>
      <c r="B2167" s="2" t="s">
        <v>6475</v>
      </c>
      <c r="C2167" s="2" t="s">
        <v>6478</v>
      </c>
      <c r="D2167" s="2" t="s">
        <v>10054</v>
      </c>
      <c r="E2167" s="15">
        <v>8.1100000000000005E-2</v>
      </c>
      <c r="F2167" s="15">
        <v>7.9200000000000007E-2</v>
      </c>
      <c r="G2167" s="15">
        <v>0.30599999999999999</v>
      </c>
      <c r="H2167" s="15">
        <v>0.18629999999999999</v>
      </c>
      <c r="I2167" s="15">
        <v>4.5400000000000003E-2</v>
      </c>
      <c r="J2167" s="15">
        <v>4.1035242290748899</v>
      </c>
    </row>
    <row r="2168" spans="1:10" x14ac:dyDescent="0.25">
      <c r="A2168" s="2" t="s">
        <v>6479</v>
      </c>
      <c r="B2168" s="2" t="s">
        <v>6475</v>
      </c>
      <c r="C2168" s="2" t="s">
        <v>6480</v>
      </c>
      <c r="D2168" s="2" t="s">
        <v>10054</v>
      </c>
      <c r="E2168" s="15">
        <v>-0.15490000000000001</v>
      </c>
      <c r="F2168" s="15">
        <v>9.3799999999999994E-2</v>
      </c>
      <c r="G2168" s="15">
        <v>9.8699999999999996E-2</v>
      </c>
      <c r="H2168" s="15">
        <v>0.1326</v>
      </c>
      <c r="I2168" s="15">
        <v>4.5999999999999999E-2</v>
      </c>
      <c r="J2168" s="15">
        <v>2.8826086956521739</v>
      </c>
    </row>
    <row r="2169" spans="1:10" x14ac:dyDescent="0.25">
      <c r="A2169" s="2" t="s">
        <v>6481</v>
      </c>
      <c r="B2169" s="2" t="s">
        <v>6475</v>
      </c>
      <c r="C2169" s="2" t="s">
        <v>6482</v>
      </c>
      <c r="D2169" s="2" t="s">
        <v>10054</v>
      </c>
      <c r="E2169" s="15">
        <v>-1.8E-3</v>
      </c>
      <c r="F2169" s="15">
        <v>0.1072</v>
      </c>
      <c r="G2169" s="15">
        <v>0.98640000000000005</v>
      </c>
      <c r="H2169" s="15">
        <v>0.10340000000000001</v>
      </c>
      <c r="I2169" s="15">
        <v>4.2700000000000002E-2</v>
      </c>
      <c r="J2169" s="15">
        <v>2.4215456674473068</v>
      </c>
    </row>
    <row r="2170" spans="1:10" x14ac:dyDescent="0.25">
      <c r="A2170" s="2" t="s">
        <v>6483</v>
      </c>
      <c r="B2170" s="2" t="s">
        <v>6475</v>
      </c>
      <c r="C2170" s="2" t="s">
        <v>6484</v>
      </c>
      <c r="D2170" s="2" t="s">
        <v>10054</v>
      </c>
      <c r="E2170" s="15">
        <v>0.13270000000000001</v>
      </c>
      <c r="F2170" s="15">
        <v>9.5399999999999999E-2</v>
      </c>
      <c r="G2170" s="15">
        <v>0.16400000000000001</v>
      </c>
      <c r="H2170" s="15">
        <v>0.1424</v>
      </c>
      <c r="I2170" s="15">
        <v>4.0599999999999997E-2</v>
      </c>
      <c r="J2170" s="15">
        <v>3.507389162561577</v>
      </c>
    </row>
    <row r="2171" spans="1:10" x14ac:dyDescent="0.25">
      <c r="A2171" s="2" t="s">
        <v>6485</v>
      </c>
      <c r="B2171" s="2" t="s">
        <v>6475</v>
      </c>
      <c r="C2171" s="2" t="s">
        <v>6486</v>
      </c>
      <c r="D2171" s="2" t="s">
        <v>10054</v>
      </c>
      <c r="E2171" s="15">
        <v>3.4599999999999999E-2</v>
      </c>
      <c r="F2171" s="15">
        <v>0.1348</v>
      </c>
      <c r="G2171" s="15">
        <v>0.79769999999999996</v>
      </c>
      <c r="H2171" s="15">
        <v>7.9399999999999998E-2</v>
      </c>
      <c r="I2171" s="15">
        <v>4.5900000000000003E-2</v>
      </c>
      <c r="J2171" s="15">
        <v>1.7298474945533771</v>
      </c>
    </row>
    <row r="2172" spans="1:10" x14ac:dyDescent="0.25">
      <c r="A2172" s="2" t="s">
        <v>6487</v>
      </c>
      <c r="B2172" s="2" t="s">
        <v>6475</v>
      </c>
      <c r="C2172" s="2" t="s">
        <v>6488</v>
      </c>
      <c r="D2172" s="2" t="s">
        <v>10054</v>
      </c>
      <c r="E2172" s="15">
        <v>-2.06E-2</v>
      </c>
      <c r="F2172" s="15">
        <v>8.1799999999999998E-2</v>
      </c>
      <c r="G2172" s="15">
        <v>0.80069999999999997</v>
      </c>
      <c r="H2172" s="15">
        <v>0.1641</v>
      </c>
      <c r="I2172" s="15">
        <v>5.0999999999999997E-2</v>
      </c>
      <c r="J2172" s="15">
        <v>3.21764705882353</v>
      </c>
    </row>
    <row r="2173" spans="1:10" x14ac:dyDescent="0.25">
      <c r="A2173" s="2" t="s">
        <v>6489</v>
      </c>
      <c r="B2173" s="2" t="s">
        <v>6475</v>
      </c>
      <c r="C2173" s="2" t="s">
        <v>6490</v>
      </c>
      <c r="D2173" s="2" t="s">
        <v>10054</v>
      </c>
      <c r="E2173" s="15">
        <v>0.14799999999999999</v>
      </c>
      <c r="F2173" s="15">
        <v>0.1641</v>
      </c>
      <c r="G2173" s="15">
        <v>0.36720000000000003</v>
      </c>
      <c r="H2173" s="15">
        <v>5.3600000000000002E-2</v>
      </c>
      <c r="I2173" s="15">
        <v>4.2700000000000002E-2</v>
      </c>
      <c r="J2173" s="15">
        <v>1.255269320843091</v>
      </c>
    </row>
    <row r="2174" spans="1:10" x14ac:dyDescent="0.25">
      <c r="A2174" s="2" t="s">
        <v>6491</v>
      </c>
      <c r="B2174" s="2" t="s">
        <v>6475</v>
      </c>
      <c r="C2174" s="2" t="s">
        <v>6492</v>
      </c>
      <c r="D2174" s="2" t="s">
        <v>10054</v>
      </c>
      <c r="E2174" s="15">
        <v>-2.5999999999999999E-3</v>
      </c>
      <c r="F2174" s="15">
        <v>8.9200000000000002E-2</v>
      </c>
      <c r="G2174" s="15">
        <v>0.97640000000000005</v>
      </c>
      <c r="H2174" s="15">
        <v>0.1477</v>
      </c>
      <c r="I2174" s="15">
        <v>4.7100000000000003E-2</v>
      </c>
      <c r="J2174" s="15">
        <v>3.1358811040339698</v>
      </c>
    </row>
    <row r="2175" spans="1:10" x14ac:dyDescent="0.25">
      <c r="A2175" s="2" t="s">
        <v>6493</v>
      </c>
      <c r="B2175" s="2" t="s">
        <v>6475</v>
      </c>
      <c r="C2175" s="2" t="s">
        <v>6494</v>
      </c>
      <c r="D2175" s="2" t="s">
        <v>10054</v>
      </c>
      <c r="E2175" s="15">
        <v>-0.18909999999999999</v>
      </c>
      <c r="F2175" s="15">
        <v>0.13289999999999999</v>
      </c>
      <c r="G2175" s="15">
        <v>0.15490000000000001</v>
      </c>
      <c r="H2175" s="15">
        <v>7.8600000000000003E-2</v>
      </c>
      <c r="I2175" s="15">
        <v>3.85E-2</v>
      </c>
      <c r="J2175" s="15">
        <v>2.041558441558442</v>
      </c>
    </row>
    <row r="2176" spans="1:10" x14ac:dyDescent="0.25">
      <c r="A2176" s="2" t="s">
        <v>6495</v>
      </c>
      <c r="B2176" s="2" t="s">
        <v>6475</v>
      </c>
      <c r="C2176" s="2" t="s">
        <v>6496</v>
      </c>
      <c r="D2176" s="2" t="s">
        <v>10054</v>
      </c>
      <c r="E2176" s="15">
        <v>-9.4999999999999998E-3</v>
      </c>
      <c r="F2176" s="15">
        <v>9.4600000000000004E-2</v>
      </c>
      <c r="G2176" s="15">
        <v>0.9204</v>
      </c>
      <c r="H2176" s="15">
        <v>0.128</v>
      </c>
      <c r="I2176" s="15">
        <v>7.1400000000000005E-2</v>
      </c>
      <c r="J2176" s="15">
        <v>1.792717086834734</v>
      </c>
    </row>
    <row r="2177" spans="1:10" x14ac:dyDescent="0.25">
      <c r="A2177" s="2" t="s">
        <v>6497</v>
      </c>
      <c r="B2177" s="2" t="s">
        <v>6475</v>
      </c>
      <c r="C2177" s="2" t="s">
        <v>6498</v>
      </c>
      <c r="D2177" s="2" t="s">
        <v>10054</v>
      </c>
      <c r="E2177" s="15">
        <v>-1.0800000000000001E-2</v>
      </c>
      <c r="F2177" s="15">
        <v>7.0000000000000007E-2</v>
      </c>
      <c r="G2177" s="15">
        <v>0.877</v>
      </c>
      <c r="H2177" s="15">
        <v>0.24260000000000001</v>
      </c>
      <c r="I2177" s="15">
        <v>6.4399999999999999E-2</v>
      </c>
      <c r="J2177" s="15">
        <v>3.7670807453416151</v>
      </c>
    </row>
    <row r="2178" spans="1:10" x14ac:dyDescent="0.25">
      <c r="A2178" s="2" t="s">
        <v>6499</v>
      </c>
      <c r="B2178" s="2" t="s">
        <v>6475</v>
      </c>
      <c r="C2178" s="2" t="s">
        <v>6500</v>
      </c>
      <c r="D2178" s="2" t="s">
        <v>10054</v>
      </c>
      <c r="E2178" s="15">
        <v>-0.1255</v>
      </c>
      <c r="F2178" s="15">
        <v>8.8200000000000001E-2</v>
      </c>
      <c r="G2178" s="15">
        <v>0.1547</v>
      </c>
      <c r="H2178" s="15">
        <v>0.14410000000000001</v>
      </c>
      <c r="I2178" s="15">
        <v>4.1700000000000001E-2</v>
      </c>
      <c r="J2178" s="15">
        <v>3.4556354916067149</v>
      </c>
    </row>
    <row r="2179" spans="1:10" x14ac:dyDescent="0.25">
      <c r="A2179" s="2" t="s">
        <v>6501</v>
      </c>
      <c r="B2179" s="2" t="s">
        <v>6475</v>
      </c>
      <c r="C2179" s="2" t="s">
        <v>6502</v>
      </c>
      <c r="D2179" s="2" t="s">
        <v>10054</v>
      </c>
      <c r="E2179" s="15">
        <v>7.1400000000000005E-2</v>
      </c>
      <c r="F2179" s="15">
        <v>0.19719999999999999</v>
      </c>
      <c r="G2179" s="15">
        <v>0.71730000000000005</v>
      </c>
      <c r="H2179" s="15">
        <v>3.3700000000000001E-2</v>
      </c>
      <c r="I2179" s="15">
        <v>4.4200000000000003E-2</v>
      </c>
      <c r="J2179" s="15">
        <v>0.76244343891402711</v>
      </c>
    </row>
    <row r="2180" spans="1:10" x14ac:dyDescent="0.25">
      <c r="A2180" s="2" t="s">
        <v>6503</v>
      </c>
      <c r="B2180" s="2" t="s">
        <v>6475</v>
      </c>
      <c r="C2180" s="2" t="s">
        <v>6504</v>
      </c>
      <c r="D2180" s="2" t="s">
        <v>10054</v>
      </c>
      <c r="E2180" s="15">
        <v>-4.0099999999999997E-2</v>
      </c>
      <c r="F2180" s="15">
        <v>0.10050000000000001</v>
      </c>
      <c r="G2180" s="15">
        <v>0.68969999999999998</v>
      </c>
      <c r="H2180" s="15">
        <v>0.15579999999999999</v>
      </c>
      <c r="I2180" s="15">
        <v>4.9799999999999997E-2</v>
      </c>
      <c r="J2180" s="15">
        <v>3.1285140562248999</v>
      </c>
    </row>
    <row r="2181" spans="1:10" x14ac:dyDescent="0.25">
      <c r="A2181" s="2" t="s">
        <v>6505</v>
      </c>
      <c r="B2181" s="2" t="s">
        <v>6475</v>
      </c>
      <c r="C2181" s="2" t="s">
        <v>6506</v>
      </c>
      <c r="D2181" s="2" t="s">
        <v>10054</v>
      </c>
      <c r="E2181" s="15">
        <v>-0.13289999999999999</v>
      </c>
      <c r="F2181" s="15">
        <v>0.17780000000000001</v>
      </c>
      <c r="G2181" s="15">
        <v>0.4546</v>
      </c>
      <c r="H2181" s="15">
        <v>3.5200000000000002E-2</v>
      </c>
      <c r="I2181" s="15">
        <v>4.1300000000000003E-2</v>
      </c>
      <c r="J2181" s="15">
        <v>0.85230024213075062</v>
      </c>
    </row>
    <row r="2182" spans="1:10" x14ac:dyDescent="0.25">
      <c r="A2182" s="2" t="s">
        <v>6507</v>
      </c>
      <c r="B2182" s="2" t="s">
        <v>6475</v>
      </c>
      <c r="C2182" s="2" t="s">
        <v>6508</v>
      </c>
      <c r="D2182" s="2" t="s">
        <v>10054</v>
      </c>
      <c r="E2182" s="15">
        <v>-0.10290000000000001</v>
      </c>
      <c r="F2182" s="15">
        <v>0.10100000000000001</v>
      </c>
      <c r="G2182" s="15">
        <v>0.30830000000000002</v>
      </c>
      <c r="H2182" s="15">
        <v>0.1052</v>
      </c>
      <c r="I2182" s="15">
        <v>4.1500000000000002E-2</v>
      </c>
      <c r="J2182" s="15">
        <v>2.5349397590361451</v>
      </c>
    </row>
    <row r="2183" spans="1:10" x14ac:dyDescent="0.25">
      <c r="A2183" s="2" t="s">
        <v>6509</v>
      </c>
      <c r="B2183" s="2" t="s">
        <v>6475</v>
      </c>
      <c r="C2183" s="2" t="s">
        <v>6510</v>
      </c>
      <c r="D2183" s="2" t="s">
        <v>10054</v>
      </c>
      <c r="E2183" s="15">
        <v>2.6700000000000002E-2</v>
      </c>
      <c r="F2183" s="15">
        <v>0.21240000000000001</v>
      </c>
      <c r="G2183" s="15">
        <v>0.89990000000000003</v>
      </c>
      <c r="H2183" s="15">
        <v>3.6999999999999998E-2</v>
      </c>
      <c r="I2183" s="15">
        <v>4.1500000000000002E-2</v>
      </c>
      <c r="J2183" s="15">
        <v>0.89156626506024084</v>
      </c>
    </row>
    <row r="2184" spans="1:10" x14ac:dyDescent="0.25">
      <c r="A2184" s="2" t="s">
        <v>6511</v>
      </c>
      <c r="B2184" s="2" t="s">
        <v>6475</v>
      </c>
      <c r="C2184" s="2" t="s">
        <v>6512</v>
      </c>
      <c r="D2184" s="2" t="s">
        <v>10054</v>
      </c>
      <c r="E2184" s="15">
        <v>4.36E-2</v>
      </c>
      <c r="F2184" s="15">
        <v>9.9400000000000002E-2</v>
      </c>
      <c r="G2184" s="15">
        <v>0.66080000000000005</v>
      </c>
      <c r="H2184" s="15">
        <v>0.153</v>
      </c>
      <c r="I2184" s="15">
        <v>4.58E-2</v>
      </c>
      <c r="J2184" s="15">
        <v>3.3406113537117901</v>
      </c>
    </row>
    <row r="2185" spans="1:10" x14ac:dyDescent="0.25">
      <c r="A2185" s="2" t="s">
        <v>6513</v>
      </c>
      <c r="B2185" s="2" t="s">
        <v>6475</v>
      </c>
      <c r="C2185" s="2" t="s">
        <v>6514</v>
      </c>
      <c r="D2185" s="2" t="s">
        <v>10054</v>
      </c>
      <c r="E2185" s="15">
        <v>4.48E-2</v>
      </c>
      <c r="F2185" s="15">
        <v>9.8900000000000002E-2</v>
      </c>
      <c r="G2185" s="15">
        <v>0.65029999999999999</v>
      </c>
      <c r="H2185" s="15">
        <v>0.12479999999999999</v>
      </c>
      <c r="I2185" s="15">
        <v>4.7699999999999999E-2</v>
      </c>
      <c r="J2185" s="15">
        <v>2.6163522012578611</v>
      </c>
    </row>
    <row r="2186" spans="1:10" x14ac:dyDescent="0.25">
      <c r="A2186" s="2" t="s">
        <v>6515</v>
      </c>
      <c r="B2186" s="2" t="s">
        <v>6475</v>
      </c>
      <c r="C2186" s="2" t="s">
        <v>6516</v>
      </c>
      <c r="D2186" s="2" t="s">
        <v>10054</v>
      </c>
      <c r="E2186" s="15">
        <v>4.9000000000000002E-2</v>
      </c>
      <c r="F2186" s="15">
        <v>8.6400000000000005E-2</v>
      </c>
      <c r="G2186" s="15">
        <v>0.5706</v>
      </c>
      <c r="H2186" s="15">
        <v>0.16139999999999999</v>
      </c>
      <c r="I2186" s="15">
        <v>4.4299999999999999E-2</v>
      </c>
      <c r="J2186" s="15">
        <v>3.6433408577878099</v>
      </c>
    </row>
    <row r="2187" spans="1:10" x14ac:dyDescent="0.25">
      <c r="A2187" s="2" t="s">
        <v>6517</v>
      </c>
      <c r="B2187" s="2" t="s">
        <v>6475</v>
      </c>
      <c r="C2187" s="2" t="s">
        <v>6518</v>
      </c>
      <c r="D2187" s="2" t="s">
        <v>10054</v>
      </c>
      <c r="E2187" s="15">
        <v>9.6799999999999997E-2</v>
      </c>
      <c r="F2187" s="15">
        <v>0.15390000000000001</v>
      </c>
      <c r="G2187" s="15">
        <v>0.52949999999999997</v>
      </c>
      <c r="H2187" s="15">
        <v>5.9700000000000003E-2</v>
      </c>
      <c r="I2187" s="15">
        <v>4.5199999999999997E-2</v>
      </c>
      <c r="J2187" s="15">
        <v>1.320796460176991</v>
      </c>
    </row>
    <row r="2188" spans="1:10" x14ac:dyDescent="0.25">
      <c r="A2188" s="2" t="s">
        <v>6519</v>
      </c>
      <c r="B2188" s="2" t="s">
        <v>6475</v>
      </c>
      <c r="C2188" s="2" t="s">
        <v>6520</v>
      </c>
      <c r="D2188" s="2" t="s">
        <v>10054</v>
      </c>
      <c r="E2188" s="15">
        <v>1.2999999999999999E-2</v>
      </c>
      <c r="F2188" s="15">
        <v>0.1087</v>
      </c>
      <c r="G2188" s="15">
        <v>0.90500000000000003</v>
      </c>
      <c r="H2188" s="15">
        <v>0.1023</v>
      </c>
      <c r="I2188" s="15">
        <v>4.24E-2</v>
      </c>
      <c r="J2188" s="15">
        <v>2.4127358490566042</v>
      </c>
    </row>
    <row r="2189" spans="1:10" x14ac:dyDescent="0.25">
      <c r="A2189" s="2" t="s">
        <v>6521</v>
      </c>
      <c r="B2189" s="2" t="s">
        <v>6475</v>
      </c>
      <c r="C2189" s="2" t="s">
        <v>6522</v>
      </c>
      <c r="D2189" s="2" t="s">
        <v>10054</v>
      </c>
      <c r="E2189" s="15">
        <v>0.1085</v>
      </c>
      <c r="F2189" s="15">
        <v>9.9099999999999994E-2</v>
      </c>
      <c r="G2189" s="15">
        <v>0.27329999999999999</v>
      </c>
      <c r="H2189" s="15">
        <v>0.1258</v>
      </c>
      <c r="I2189" s="15">
        <v>4.5699999999999998E-2</v>
      </c>
      <c r="J2189" s="15">
        <v>2.7527352297593</v>
      </c>
    </row>
    <row r="2190" spans="1:10" x14ac:dyDescent="0.25">
      <c r="A2190" s="2" t="s">
        <v>6523</v>
      </c>
      <c r="B2190" s="2" t="s">
        <v>6475</v>
      </c>
      <c r="C2190" s="2" t="s">
        <v>6524</v>
      </c>
      <c r="D2190" s="2" t="s">
        <v>10054</v>
      </c>
      <c r="E2190" s="15">
        <v>5.9799999999999999E-2</v>
      </c>
      <c r="F2190" s="15">
        <v>9.5200000000000007E-2</v>
      </c>
      <c r="G2190" s="15">
        <v>0.53029999999999999</v>
      </c>
      <c r="H2190" s="15">
        <v>0.13730000000000001</v>
      </c>
      <c r="I2190" s="15">
        <v>4.5199999999999997E-2</v>
      </c>
      <c r="J2190" s="15">
        <v>3.0376106194690271</v>
      </c>
    </row>
    <row r="2191" spans="1:10" x14ac:dyDescent="0.25">
      <c r="A2191" s="2" t="s">
        <v>6525</v>
      </c>
      <c r="B2191" s="2" t="s">
        <v>6475</v>
      </c>
      <c r="C2191" s="2" t="s">
        <v>6526</v>
      </c>
      <c r="D2191" s="2" t="s">
        <v>10054</v>
      </c>
      <c r="E2191" s="15">
        <v>0.121</v>
      </c>
      <c r="F2191" s="15">
        <v>0.1351</v>
      </c>
      <c r="G2191" s="15">
        <v>0.37030000000000002</v>
      </c>
      <c r="H2191" s="15">
        <v>7.1499999999999994E-2</v>
      </c>
      <c r="I2191" s="15">
        <v>4.4200000000000003E-2</v>
      </c>
      <c r="J2191" s="15">
        <v>1.617647058823529</v>
      </c>
    </row>
    <row r="2192" spans="1:10" x14ac:dyDescent="0.25">
      <c r="A2192" s="2" t="s">
        <v>6527</v>
      </c>
      <c r="B2192" s="2" t="s">
        <v>6475</v>
      </c>
      <c r="C2192" s="2" t="s">
        <v>6528</v>
      </c>
      <c r="D2192" s="2" t="s">
        <v>10054</v>
      </c>
      <c r="E2192" s="15">
        <v>-6.2300000000000001E-2</v>
      </c>
      <c r="F2192" s="15">
        <v>9.3700000000000006E-2</v>
      </c>
      <c r="G2192" s="15">
        <v>0.50580000000000003</v>
      </c>
      <c r="H2192" s="15">
        <v>0.16719999999999999</v>
      </c>
      <c r="I2192" s="15">
        <v>4.4900000000000002E-2</v>
      </c>
      <c r="J2192" s="15">
        <v>3.723830734966592</v>
      </c>
    </row>
    <row r="2193" spans="1:10" x14ac:dyDescent="0.25">
      <c r="A2193" s="2" t="s">
        <v>6529</v>
      </c>
      <c r="B2193" s="2" t="s">
        <v>6475</v>
      </c>
      <c r="C2193" s="2" t="s">
        <v>6530</v>
      </c>
      <c r="D2193" s="2" t="s">
        <v>10054</v>
      </c>
      <c r="E2193" s="15">
        <v>-0.108</v>
      </c>
      <c r="F2193" s="15">
        <v>0.10780000000000001</v>
      </c>
      <c r="G2193" s="15">
        <v>0.31619999999999998</v>
      </c>
      <c r="H2193" s="15">
        <v>0.11219999999999999</v>
      </c>
      <c r="I2193" s="15">
        <v>5.2699999999999997E-2</v>
      </c>
      <c r="J2193" s="15">
        <v>2.129032258064516</v>
      </c>
    </row>
    <row r="2194" spans="1:10" x14ac:dyDescent="0.25">
      <c r="A2194" s="2" t="s">
        <v>6531</v>
      </c>
      <c r="B2194" s="2" t="s">
        <v>6475</v>
      </c>
      <c r="C2194" s="2" t="s">
        <v>6532</v>
      </c>
      <c r="D2194" s="2" t="s">
        <v>10054</v>
      </c>
      <c r="E2194" s="15">
        <v>0.11550000000000001</v>
      </c>
      <c r="F2194" s="15">
        <v>0.1042</v>
      </c>
      <c r="G2194" s="15">
        <v>0.2676</v>
      </c>
      <c r="H2194" s="15">
        <v>0.1043</v>
      </c>
      <c r="I2194" s="15">
        <v>4.65E-2</v>
      </c>
      <c r="J2194" s="15">
        <v>2.2430107526881722</v>
      </c>
    </row>
    <row r="2195" spans="1:10" x14ac:dyDescent="0.25">
      <c r="A2195" s="2" t="s">
        <v>6533</v>
      </c>
      <c r="B2195" s="2" t="s">
        <v>6475</v>
      </c>
      <c r="C2195" s="2" t="s">
        <v>6534</v>
      </c>
      <c r="D2195" s="2" t="s">
        <v>10054</v>
      </c>
      <c r="E2195" s="15">
        <v>-7.8799999999999995E-2</v>
      </c>
      <c r="F2195" s="15">
        <v>0.191</v>
      </c>
      <c r="G2195" s="15">
        <v>0.67989999999999995</v>
      </c>
      <c r="H2195" s="15">
        <v>3.2500000000000001E-2</v>
      </c>
      <c r="I2195" s="15">
        <v>3.8899999999999997E-2</v>
      </c>
      <c r="J2195" s="15">
        <v>0.83547557840616971</v>
      </c>
    </row>
    <row r="2196" spans="1:10" x14ac:dyDescent="0.25">
      <c r="A2196" s="2" t="s">
        <v>6535</v>
      </c>
      <c r="B2196" s="2" t="s">
        <v>6475</v>
      </c>
      <c r="C2196" s="2" t="s">
        <v>6536</v>
      </c>
      <c r="D2196" s="2" t="s">
        <v>10054</v>
      </c>
      <c r="E2196" s="15">
        <v>6.1400000000000003E-2</v>
      </c>
      <c r="F2196" s="15">
        <v>7.6399999999999996E-2</v>
      </c>
      <c r="G2196" s="15">
        <v>0.42180000000000001</v>
      </c>
      <c r="H2196" s="15">
        <v>0.18590000000000001</v>
      </c>
      <c r="I2196" s="15">
        <v>4.5999999999999999E-2</v>
      </c>
      <c r="J2196" s="15">
        <v>4.0413043478260873</v>
      </c>
    </row>
    <row r="2197" spans="1:10" x14ac:dyDescent="0.25">
      <c r="A2197" s="2" t="s">
        <v>6537</v>
      </c>
      <c r="B2197" s="2" t="s">
        <v>6475</v>
      </c>
      <c r="C2197" s="2" t="s">
        <v>6538</v>
      </c>
      <c r="D2197" s="2" t="s">
        <v>10054</v>
      </c>
      <c r="E2197" s="15">
        <v>0.11559999999999999</v>
      </c>
      <c r="F2197" s="15">
        <v>0.21529999999999999</v>
      </c>
      <c r="G2197" s="15">
        <v>0.59119999999999995</v>
      </c>
      <c r="H2197" s="15">
        <v>3.7400000000000003E-2</v>
      </c>
      <c r="I2197" s="15">
        <v>4.4200000000000003E-2</v>
      </c>
      <c r="J2197" s="15">
        <v>0.84615384615384615</v>
      </c>
    </row>
    <row r="2198" spans="1:10" x14ac:dyDescent="0.25">
      <c r="A2198" s="2" t="s">
        <v>6539</v>
      </c>
      <c r="B2198" s="2" t="s">
        <v>6475</v>
      </c>
      <c r="C2198" s="2" t="s">
        <v>6540</v>
      </c>
      <c r="D2198" s="2" t="s">
        <v>10054</v>
      </c>
      <c r="E2198" s="15">
        <v>0.20349999999999999</v>
      </c>
      <c r="F2198" s="15">
        <v>0.15490000000000001</v>
      </c>
      <c r="G2198" s="15">
        <v>0.18909999999999999</v>
      </c>
      <c r="H2198" s="15">
        <v>6.88E-2</v>
      </c>
      <c r="I2198" s="15">
        <v>4.3299999999999998E-2</v>
      </c>
      <c r="J2198" s="15">
        <v>1.5889145496535799</v>
      </c>
    </row>
    <row r="2199" spans="1:10" x14ac:dyDescent="0.25">
      <c r="A2199" s="2" t="s">
        <v>6541</v>
      </c>
      <c r="B2199" s="2" t="s">
        <v>6475</v>
      </c>
      <c r="C2199" s="2" t="s">
        <v>6542</v>
      </c>
      <c r="D2199" s="2" t="s">
        <v>10054</v>
      </c>
      <c r="E2199" s="15">
        <v>0.14960000000000001</v>
      </c>
      <c r="F2199" s="15">
        <v>0.12620000000000001</v>
      </c>
      <c r="G2199" s="15">
        <v>0.2356</v>
      </c>
      <c r="H2199" s="15">
        <v>8.5699999999999998E-2</v>
      </c>
      <c r="I2199" s="15">
        <v>4.0899999999999999E-2</v>
      </c>
      <c r="J2199" s="15">
        <v>2.095354523227384</v>
      </c>
    </row>
    <row r="2200" spans="1:10" x14ac:dyDescent="0.25">
      <c r="A2200" s="2" t="s">
        <v>6543</v>
      </c>
      <c r="B2200" s="2" t="s">
        <v>6475</v>
      </c>
      <c r="C2200" s="2" t="s">
        <v>6544</v>
      </c>
      <c r="D2200" s="2" t="s">
        <v>10054</v>
      </c>
      <c r="E2200" s="15">
        <v>-9.4E-2</v>
      </c>
      <c r="F2200" s="15">
        <v>0.1285</v>
      </c>
      <c r="G2200" s="15">
        <v>0.46439999999999998</v>
      </c>
      <c r="H2200" s="15">
        <v>8.77E-2</v>
      </c>
      <c r="I2200" s="15">
        <v>3.9800000000000002E-2</v>
      </c>
      <c r="J2200" s="15">
        <v>2.203517587939698</v>
      </c>
    </row>
    <row r="2201" spans="1:10" x14ac:dyDescent="0.25">
      <c r="A2201" s="2" t="s">
        <v>6545</v>
      </c>
      <c r="B2201" s="2" t="s">
        <v>6475</v>
      </c>
      <c r="C2201" s="2" t="s">
        <v>6546</v>
      </c>
      <c r="D2201" s="2" t="s">
        <v>10054</v>
      </c>
      <c r="E2201" s="15">
        <v>-6.3799999999999996E-2</v>
      </c>
      <c r="F2201" s="15">
        <v>8.9899999999999994E-2</v>
      </c>
      <c r="G2201" s="15">
        <v>0.47749999999999998</v>
      </c>
      <c r="H2201" s="15">
        <v>0.15010000000000001</v>
      </c>
      <c r="I2201" s="15">
        <v>4.48E-2</v>
      </c>
      <c r="J2201" s="15">
        <v>3.3504464285714288</v>
      </c>
    </row>
    <row r="2202" spans="1:10" x14ac:dyDescent="0.25">
      <c r="A2202" s="2" t="s">
        <v>6547</v>
      </c>
      <c r="B2202" s="2" t="s">
        <v>6475</v>
      </c>
      <c r="C2202" s="2" t="s">
        <v>6548</v>
      </c>
      <c r="D2202" s="2" t="s">
        <v>10054</v>
      </c>
      <c r="E2202" s="15">
        <v>0.10489999999999999</v>
      </c>
      <c r="F2202" s="15">
        <v>0.1333</v>
      </c>
      <c r="G2202" s="15">
        <v>0.43130000000000002</v>
      </c>
      <c r="H2202" s="15">
        <v>8.3400000000000002E-2</v>
      </c>
      <c r="I2202" s="15">
        <v>4.0300000000000002E-2</v>
      </c>
      <c r="J2202" s="15">
        <v>2.0694789081885849</v>
      </c>
    </row>
    <row r="2203" spans="1:10" x14ac:dyDescent="0.25">
      <c r="A2203" s="2" t="s">
        <v>6549</v>
      </c>
      <c r="B2203" s="2" t="s">
        <v>6475</v>
      </c>
      <c r="C2203" s="2" t="s">
        <v>6550</v>
      </c>
      <c r="D2203" s="2" t="s">
        <v>10054</v>
      </c>
      <c r="E2203" s="15">
        <v>-5.8900000000000001E-2</v>
      </c>
      <c r="F2203" s="15">
        <v>0.104</v>
      </c>
      <c r="G2203" s="15">
        <v>0.57130000000000003</v>
      </c>
      <c r="H2203" s="15">
        <v>0.12540000000000001</v>
      </c>
      <c r="I2203" s="15">
        <v>4.2700000000000002E-2</v>
      </c>
      <c r="J2203" s="15">
        <v>2.9367681498829041</v>
      </c>
    </row>
    <row r="2204" spans="1:10" x14ac:dyDescent="0.25">
      <c r="A2204" s="2" t="s">
        <v>6551</v>
      </c>
      <c r="B2204" s="2" t="s">
        <v>6475</v>
      </c>
      <c r="C2204" s="2" t="s">
        <v>6552</v>
      </c>
      <c r="D2204" s="2" t="s">
        <v>10054</v>
      </c>
      <c r="E2204" s="15">
        <v>7.4999999999999997E-2</v>
      </c>
      <c r="F2204" s="15">
        <v>0.1023</v>
      </c>
      <c r="G2204" s="15">
        <v>0.46329999999999999</v>
      </c>
      <c r="H2204" s="15">
        <v>0.1062</v>
      </c>
      <c r="I2204" s="15">
        <v>3.9399999999999998E-2</v>
      </c>
      <c r="J2204" s="15">
        <v>2.6954314720812191</v>
      </c>
    </row>
    <row r="2205" spans="1:10" x14ac:dyDescent="0.25">
      <c r="A2205" s="2" t="s">
        <v>6553</v>
      </c>
      <c r="B2205" s="2" t="s">
        <v>6475</v>
      </c>
      <c r="C2205" s="2" t="s">
        <v>6554</v>
      </c>
      <c r="D2205" s="2" t="s">
        <v>10054</v>
      </c>
      <c r="E2205" s="15">
        <v>0.1203</v>
      </c>
      <c r="F2205" s="15">
        <v>0.1071</v>
      </c>
      <c r="G2205" s="15">
        <v>0.26119999999999999</v>
      </c>
      <c r="H2205" s="15">
        <v>0.1206</v>
      </c>
      <c r="I2205" s="15">
        <v>4.6600000000000003E-2</v>
      </c>
      <c r="J2205" s="15">
        <v>2.587982832618025</v>
      </c>
    </row>
    <row r="2206" spans="1:10" x14ac:dyDescent="0.25">
      <c r="A2206" s="2" t="s">
        <v>6555</v>
      </c>
      <c r="B2206" s="2" t="s">
        <v>6475</v>
      </c>
      <c r="C2206" s="2" t="s">
        <v>6556</v>
      </c>
      <c r="D2206" s="2" t="s">
        <v>10054</v>
      </c>
      <c r="E2206" s="15">
        <v>4.41E-2</v>
      </c>
      <c r="F2206" s="15">
        <v>0.13980000000000001</v>
      </c>
      <c r="G2206" s="15">
        <v>0.75219999999999998</v>
      </c>
      <c r="H2206" s="15">
        <v>5.9799999999999999E-2</v>
      </c>
      <c r="I2206" s="15">
        <v>4.0399999999999998E-2</v>
      </c>
      <c r="J2206" s="15">
        <v>1.48019801980198</v>
      </c>
    </row>
    <row r="2207" spans="1:10" x14ac:dyDescent="0.25">
      <c r="A2207" s="2" t="s">
        <v>6557</v>
      </c>
      <c r="B2207" s="2" t="s">
        <v>6475</v>
      </c>
      <c r="C2207" s="2" t="s">
        <v>6558</v>
      </c>
      <c r="D2207" s="2" t="s">
        <v>10054</v>
      </c>
      <c r="E2207" s="15">
        <v>-8.1500000000000003E-2</v>
      </c>
      <c r="F2207" s="15">
        <v>0.1101</v>
      </c>
      <c r="G2207" s="15">
        <v>0.45910000000000001</v>
      </c>
      <c r="H2207" s="15">
        <v>0.1081</v>
      </c>
      <c r="I2207" s="15">
        <v>5.5399999999999998E-2</v>
      </c>
      <c r="J2207" s="15">
        <v>1.9512635379061369</v>
      </c>
    </row>
    <row r="2208" spans="1:10" x14ac:dyDescent="0.25">
      <c r="A2208" s="2" t="s">
        <v>6559</v>
      </c>
      <c r="B2208" s="2" t="s">
        <v>6475</v>
      </c>
      <c r="C2208" s="2" t="s">
        <v>6560</v>
      </c>
      <c r="D2208" s="2" t="s">
        <v>10054</v>
      </c>
      <c r="E2208" s="15">
        <v>0.1444</v>
      </c>
      <c r="F2208" s="15">
        <v>0.108</v>
      </c>
      <c r="G2208" s="15">
        <v>0.18110000000000001</v>
      </c>
      <c r="H2208" s="15">
        <v>0.1229</v>
      </c>
      <c r="I2208" s="15">
        <v>4.4499999999999998E-2</v>
      </c>
      <c r="J2208" s="15">
        <v>2.761797752808989</v>
      </c>
    </row>
    <row r="2209" spans="1:10" x14ac:dyDescent="0.25">
      <c r="A2209" s="2" t="s">
        <v>6561</v>
      </c>
      <c r="B2209" s="2" t="s">
        <v>6475</v>
      </c>
      <c r="C2209" s="2" t="s">
        <v>6562</v>
      </c>
      <c r="D2209" s="2" t="s">
        <v>10054</v>
      </c>
      <c r="E2209" s="15">
        <v>-9.2200000000000004E-2</v>
      </c>
      <c r="F2209" s="15">
        <v>0.11749999999999999</v>
      </c>
      <c r="G2209" s="15">
        <v>0.43269999999999997</v>
      </c>
      <c r="H2209" s="15">
        <v>0.1065</v>
      </c>
      <c r="I2209" s="15">
        <v>4.6899999999999997E-2</v>
      </c>
      <c r="J2209" s="15">
        <v>2.270788912579957</v>
      </c>
    </row>
    <row r="2210" spans="1:10" x14ac:dyDescent="0.25">
      <c r="A2210" s="2" t="s">
        <v>6563</v>
      </c>
      <c r="B2210" s="2" t="s">
        <v>6475</v>
      </c>
      <c r="C2210" s="2" t="s">
        <v>6564</v>
      </c>
      <c r="D2210" s="2" t="s">
        <v>10054</v>
      </c>
      <c r="E2210" s="15">
        <v>7.4300000000000005E-2</v>
      </c>
      <c r="F2210" s="15">
        <v>0.10539999999999999</v>
      </c>
      <c r="G2210" s="15">
        <v>0.48099999999999998</v>
      </c>
      <c r="H2210" s="15">
        <v>0.10879999999999999</v>
      </c>
      <c r="I2210" s="15">
        <v>4.5600000000000002E-2</v>
      </c>
      <c r="J2210" s="15">
        <v>2.3859649122807021</v>
      </c>
    </row>
    <row r="2211" spans="1:10" x14ac:dyDescent="0.25">
      <c r="A2211" s="2" t="s">
        <v>6565</v>
      </c>
      <c r="B2211" s="2" t="s">
        <v>6475</v>
      </c>
      <c r="C2211" s="2" t="s">
        <v>6566</v>
      </c>
      <c r="D2211" s="2" t="s">
        <v>10054</v>
      </c>
      <c r="E2211" s="15">
        <v>0.2011</v>
      </c>
      <c r="F2211" s="15">
        <v>9.9199999999999997E-2</v>
      </c>
      <c r="G2211" s="15">
        <v>4.2700000000000002E-2</v>
      </c>
      <c r="H2211" s="15">
        <v>0.184</v>
      </c>
      <c r="I2211" s="15">
        <v>8.2000000000000003E-2</v>
      </c>
      <c r="J2211" s="15">
        <v>2.24390243902439</v>
      </c>
    </row>
    <row r="2212" spans="1:10" x14ac:dyDescent="0.25">
      <c r="A2212" s="2" t="s">
        <v>6567</v>
      </c>
      <c r="B2212" s="2" t="s">
        <v>6475</v>
      </c>
      <c r="C2212" s="2" t="s">
        <v>6568</v>
      </c>
      <c r="D2212" s="2" t="s">
        <v>10054</v>
      </c>
      <c r="E2212" s="15">
        <v>3.4500000000000003E-2</v>
      </c>
      <c r="F2212" s="15">
        <v>0.2487</v>
      </c>
      <c r="G2212" s="15">
        <v>0.88980000000000004</v>
      </c>
      <c r="H2212" s="15">
        <v>2.6599999999999999E-2</v>
      </c>
      <c r="I2212" s="15">
        <v>4.0599999999999997E-2</v>
      </c>
      <c r="J2212" s="15">
        <v>0.65517241379310343</v>
      </c>
    </row>
    <row r="2213" spans="1:10" x14ac:dyDescent="0.25">
      <c r="A2213" s="2" t="s">
        <v>6569</v>
      </c>
      <c r="B2213" s="2" t="s">
        <v>6475</v>
      </c>
      <c r="C2213" s="2" t="s">
        <v>6570</v>
      </c>
      <c r="D2213" s="2" t="s">
        <v>10054</v>
      </c>
      <c r="E2213" s="15">
        <v>4.65E-2</v>
      </c>
      <c r="F2213" s="15">
        <v>9.5399999999999999E-2</v>
      </c>
      <c r="G2213" s="15">
        <v>0.62580000000000002</v>
      </c>
      <c r="H2213" s="15">
        <v>0.14080000000000001</v>
      </c>
      <c r="I2213" s="15">
        <v>5.8500000000000003E-2</v>
      </c>
      <c r="J2213" s="15">
        <v>2.4068376068376072</v>
      </c>
    </row>
    <row r="2214" spans="1:10" x14ac:dyDescent="0.25">
      <c r="A2214" s="2" t="s">
        <v>6571</v>
      </c>
      <c r="B2214" s="2" t="s">
        <v>6475</v>
      </c>
      <c r="C2214" s="2" t="s">
        <v>6572</v>
      </c>
      <c r="D2214" s="2" t="s">
        <v>10054</v>
      </c>
      <c r="E2214" s="15">
        <v>0.15129999999999999</v>
      </c>
      <c r="F2214" s="15">
        <v>9.4700000000000006E-2</v>
      </c>
      <c r="G2214" s="15">
        <v>0.1101</v>
      </c>
      <c r="H2214" s="15">
        <v>0.1321</v>
      </c>
      <c r="I2214" s="15">
        <v>4.2700000000000002E-2</v>
      </c>
      <c r="J2214" s="15">
        <v>3.0936768149882901</v>
      </c>
    </row>
    <row r="2215" spans="1:10" x14ac:dyDescent="0.25">
      <c r="A2215" s="2" t="s">
        <v>6573</v>
      </c>
      <c r="B2215" s="2" t="s">
        <v>6475</v>
      </c>
      <c r="C2215" s="2" t="s">
        <v>6574</v>
      </c>
      <c r="D2215" s="2" t="s">
        <v>10054</v>
      </c>
      <c r="E2215" s="15">
        <v>3.5200000000000002E-2</v>
      </c>
      <c r="F2215" s="15">
        <v>0.1065</v>
      </c>
      <c r="G2215" s="15">
        <v>0.74060000000000004</v>
      </c>
      <c r="H2215" s="15">
        <v>0.10589999999999999</v>
      </c>
      <c r="I2215" s="15">
        <v>4.8099999999999997E-2</v>
      </c>
      <c r="J2215" s="15">
        <v>2.2016632016632021</v>
      </c>
    </row>
    <row r="2216" spans="1:10" x14ac:dyDescent="0.25">
      <c r="A2216" s="2" t="s">
        <v>6575</v>
      </c>
      <c r="B2216" s="2" t="s">
        <v>6475</v>
      </c>
      <c r="C2216" s="2" t="s">
        <v>6576</v>
      </c>
      <c r="D2216" s="2" t="s">
        <v>10054</v>
      </c>
      <c r="E2216" s="15">
        <v>3.9300000000000002E-2</v>
      </c>
      <c r="F2216" s="15">
        <v>9.8299999999999998E-2</v>
      </c>
      <c r="G2216" s="15">
        <v>0.68920000000000003</v>
      </c>
      <c r="H2216" s="15">
        <v>0.1454</v>
      </c>
      <c r="I2216" s="15">
        <v>4.6899999999999997E-2</v>
      </c>
      <c r="J2216" s="15">
        <v>3.1002132196162049</v>
      </c>
    </row>
    <row r="2217" spans="1:10" x14ac:dyDescent="0.25">
      <c r="A2217" s="2" t="s">
        <v>6577</v>
      </c>
      <c r="B2217" s="2" t="s">
        <v>6475</v>
      </c>
      <c r="C2217" s="2" t="s">
        <v>6578</v>
      </c>
      <c r="D2217" s="2" t="s">
        <v>10054</v>
      </c>
      <c r="E2217" s="15">
        <v>0.13739999999999999</v>
      </c>
      <c r="F2217" s="15">
        <v>0.1522</v>
      </c>
      <c r="G2217" s="15">
        <v>0.36670000000000003</v>
      </c>
      <c r="H2217" s="15">
        <v>8.2699999999999996E-2</v>
      </c>
      <c r="I2217" s="15">
        <v>5.8700000000000002E-2</v>
      </c>
      <c r="J2217" s="15">
        <v>1.408858603066439</v>
      </c>
    </row>
    <row r="2218" spans="1:10" x14ac:dyDescent="0.25">
      <c r="A2218" s="2" t="s">
        <v>6579</v>
      </c>
      <c r="B2218" s="2" t="s">
        <v>6475</v>
      </c>
      <c r="C2218" s="2" t="s">
        <v>6580</v>
      </c>
      <c r="D2218" s="2" t="s">
        <v>10054</v>
      </c>
      <c r="E2218" s="15">
        <v>5.33E-2</v>
      </c>
      <c r="F2218" s="15">
        <v>7.3899999999999993E-2</v>
      </c>
      <c r="G2218" s="15">
        <v>0.47089999999999999</v>
      </c>
      <c r="H2218" s="15">
        <v>0.2286</v>
      </c>
      <c r="I2218" s="15">
        <v>4.5900000000000003E-2</v>
      </c>
      <c r="J2218" s="15">
        <v>4.9803921568627443</v>
      </c>
    </row>
    <row r="2219" spans="1:10" x14ac:dyDescent="0.25">
      <c r="A2219" s="2" t="s">
        <v>6581</v>
      </c>
      <c r="B2219" s="2" t="s">
        <v>6475</v>
      </c>
      <c r="C2219" s="2" t="s">
        <v>6582</v>
      </c>
      <c r="D2219" s="2" t="s">
        <v>10054</v>
      </c>
      <c r="E2219" s="15"/>
      <c r="F2219" s="15"/>
      <c r="G2219" s="15"/>
      <c r="H2219" s="15">
        <v>-5.4000000000000003E-3</v>
      </c>
      <c r="I2219" s="15">
        <v>4.4200000000000003E-2</v>
      </c>
      <c r="J2219" s="15">
        <v>-0.1221719457013575</v>
      </c>
    </row>
    <row r="2220" spans="1:10" x14ac:dyDescent="0.25">
      <c r="A2220" s="2" t="s">
        <v>6583</v>
      </c>
      <c r="B2220" s="2" t="s">
        <v>6475</v>
      </c>
      <c r="C2220" s="2" t="s">
        <v>6584</v>
      </c>
      <c r="D2220" s="2" t="s">
        <v>10054</v>
      </c>
      <c r="E2220" s="15">
        <v>1.2800000000000001E-2</v>
      </c>
      <c r="F2220" s="15">
        <v>9.8100000000000007E-2</v>
      </c>
      <c r="G2220" s="15">
        <v>0.89649999999999996</v>
      </c>
      <c r="H2220" s="15">
        <v>0.14580000000000001</v>
      </c>
      <c r="I2220" s="15">
        <v>4.7600000000000003E-2</v>
      </c>
      <c r="J2220" s="15">
        <v>3.0630252100840338</v>
      </c>
    </row>
    <row r="2221" spans="1:10" x14ac:dyDescent="0.25">
      <c r="A2221" s="2" t="s">
        <v>6585</v>
      </c>
      <c r="B2221" s="2" t="s">
        <v>6586</v>
      </c>
      <c r="C2221" s="2" t="s">
        <v>6587</v>
      </c>
      <c r="D2221" s="2" t="s">
        <v>10055</v>
      </c>
      <c r="E2221" s="15"/>
      <c r="F2221" s="15"/>
      <c r="G2221" s="15"/>
      <c r="H2221" s="15"/>
      <c r="I2221" s="15"/>
      <c r="J2221" s="15"/>
    </row>
    <row r="2222" spans="1:10" x14ac:dyDescent="0.25">
      <c r="A2222" s="2" t="s">
        <v>6588</v>
      </c>
      <c r="B2222" s="2" t="s">
        <v>6586</v>
      </c>
      <c r="C2222" s="2" t="s">
        <v>6589</v>
      </c>
      <c r="D2222" s="2" t="s">
        <v>10055</v>
      </c>
      <c r="E2222" s="15">
        <v>9.1800000000000007E-2</v>
      </c>
      <c r="F2222" s="15">
        <v>0.37890000000000001</v>
      </c>
      <c r="G2222" s="15">
        <v>0.8085</v>
      </c>
      <c r="H2222" s="15">
        <v>1.47E-2</v>
      </c>
      <c r="I2222" s="15">
        <v>4.07E-2</v>
      </c>
      <c r="J2222" s="15">
        <v>0.36117936117936122</v>
      </c>
    </row>
    <row r="2223" spans="1:10" x14ac:dyDescent="0.25">
      <c r="A2223" s="2" t="s">
        <v>6590</v>
      </c>
      <c r="B2223" s="2" t="s">
        <v>6586</v>
      </c>
      <c r="C2223" s="2" t="s">
        <v>6591</v>
      </c>
      <c r="D2223" s="2" t="s">
        <v>10055</v>
      </c>
      <c r="E2223" s="15">
        <v>-0.111</v>
      </c>
      <c r="F2223" s="15">
        <v>0.124</v>
      </c>
      <c r="G2223" s="15">
        <v>0.37090000000000001</v>
      </c>
      <c r="H2223" s="15">
        <v>7.22E-2</v>
      </c>
      <c r="I2223" s="15">
        <v>4.3299999999999998E-2</v>
      </c>
      <c r="J2223" s="15">
        <v>1.6674364896073901</v>
      </c>
    </row>
    <row r="2224" spans="1:10" x14ac:dyDescent="0.25">
      <c r="A2224" s="2" t="s">
        <v>6592</v>
      </c>
      <c r="B2224" s="2" t="s">
        <v>6586</v>
      </c>
      <c r="C2224" s="2" t="s">
        <v>6593</v>
      </c>
      <c r="D2224" s="2" t="s">
        <v>10055</v>
      </c>
      <c r="E2224" s="15"/>
      <c r="F2224" s="15"/>
      <c r="G2224" s="15"/>
      <c r="H2224" s="15">
        <v>-9.4999999999999998E-3</v>
      </c>
      <c r="I2224" s="15">
        <v>4.1599999999999998E-2</v>
      </c>
      <c r="J2224" s="15">
        <v>-0.22836538461538461</v>
      </c>
    </row>
    <row r="2225" spans="1:10" x14ac:dyDescent="0.25">
      <c r="A2225" s="2" t="s">
        <v>6594</v>
      </c>
      <c r="B2225" s="2" t="s">
        <v>6586</v>
      </c>
      <c r="C2225" s="2" t="s">
        <v>6595</v>
      </c>
      <c r="D2225" s="2" t="s">
        <v>10055</v>
      </c>
      <c r="E2225" s="15">
        <v>6.3899999999999998E-2</v>
      </c>
      <c r="F2225" s="15">
        <v>0.13489999999999999</v>
      </c>
      <c r="G2225" s="15">
        <v>0.63590000000000002</v>
      </c>
      <c r="H2225" s="15">
        <v>7.0499999999999993E-2</v>
      </c>
      <c r="I2225" s="15">
        <v>4.53E-2</v>
      </c>
      <c r="J2225" s="15">
        <v>1.556291390728477</v>
      </c>
    </row>
    <row r="2226" spans="1:10" x14ac:dyDescent="0.25">
      <c r="A2226" s="2" t="s">
        <v>6596</v>
      </c>
      <c r="B2226" s="2" t="s">
        <v>6586</v>
      </c>
      <c r="C2226" s="2" t="s">
        <v>6597</v>
      </c>
      <c r="D2226" s="2" t="s">
        <v>10055</v>
      </c>
      <c r="E2226" s="15"/>
      <c r="F2226" s="15"/>
      <c r="G2226" s="15"/>
      <c r="H2226" s="15">
        <v>-1.7899999999999999E-2</v>
      </c>
      <c r="I2226" s="15">
        <v>4.2799999999999998E-2</v>
      </c>
      <c r="J2226" s="15">
        <v>-0.41822429906542058</v>
      </c>
    </row>
    <row r="2227" spans="1:10" x14ac:dyDescent="0.25">
      <c r="A2227" s="2" t="s">
        <v>6598</v>
      </c>
      <c r="B2227" s="2" t="s">
        <v>6586</v>
      </c>
      <c r="C2227" s="2" t="s">
        <v>6599</v>
      </c>
      <c r="D2227" s="2" t="s">
        <v>10055</v>
      </c>
      <c r="E2227" s="15">
        <v>-3.8199999999999998E-2</v>
      </c>
      <c r="F2227" s="15">
        <v>0.12189999999999999</v>
      </c>
      <c r="G2227" s="15">
        <v>0.75419999999999998</v>
      </c>
      <c r="H2227" s="15">
        <v>0.10199999999999999</v>
      </c>
      <c r="I2227" s="15">
        <v>4.58E-2</v>
      </c>
      <c r="J2227" s="15">
        <v>2.2270742358078599</v>
      </c>
    </row>
    <row r="2228" spans="1:10" x14ac:dyDescent="0.25">
      <c r="A2228" s="2" t="s">
        <v>6600</v>
      </c>
      <c r="B2228" s="2" t="s">
        <v>6586</v>
      </c>
      <c r="C2228" s="2" t="s">
        <v>6601</v>
      </c>
      <c r="D2228" s="2" t="s">
        <v>10055</v>
      </c>
      <c r="E2228" s="15">
        <v>1.9900000000000001E-2</v>
      </c>
      <c r="F2228" s="15">
        <v>0.13900000000000001</v>
      </c>
      <c r="G2228" s="15">
        <v>0.88600000000000001</v>
      </c>
      <c r="H2228" s="15">
        <v>6.7299999999999999E-2</v>
      </c>
      <c r="I2228" s="15">
        <v>4.41E-2</v>
      </c>
      <c r="J2228" s="15">
        <v>1.526077097505669</v>
      </c>
    </row>
    <row r="2229" spans="1:10" x14ac:dyDescent="0.25">
      <c r="A2229" s="2" t="s">
        <v>6602</v>
      </c>
      <c r="B2229" s="2" t="s">
        <v>6586</v>
      </c>
      <c r="C2229" s="2" t="s">
        <v>6603</v>
      </c>
      <c r="D2229" s="2" t="s">
        <v>10055</v>
      </c>
      <c r="E2229" s="15">
        <v>4.9299999999999997E-2</v>
      </c>
      <c r="F2229" s="15">
        <v>0.1066</v>
      </c>
      <c r="G2229" s="15">
        <v>0.64380000000000004</v>
      </c>
      <c r="H2229" s="15">
        <v>0.1222</v>
      </c>
      <c r="I2229" s="15">
        <v>5.5199999999999999E-2</v>
      </c>
      <c r="J2229" s="15">
        <v>2.2137681159420288</v>
      </c>
    </row>
    <row r="2230" spans="1:10" x14ac:dyDescent="0.25">
      <c r="A2230" s="2" t="s">
        <v>6604</v>
      </c>
      <c r="B2230" s="2" t="s">
        <v>6586</v>
      </c>
      <c r="C2230" s="2" t="s">
        <v>6605</v>
      </c>
      <c r="D2230" s="2" t="s">
        <v>10055</v>
      </c>
      <c r="E2230" s="15">
        <v>-9.9699999999999997E-2</v>
      </c>
      <c r="F2230" s="15">
        <v>0.26090000000000002</v>
      </c>
      <c r="G2230" s="15">
        <v>0.70240000000000002</v>
      </c>
      <c r="H2230" s="15">
        <v>2.2499999999999999E-2</v>
      </c>
      <c r="I2230" s="15">
        <v>4.0300000000000002E-2</v>
      </c>
      <c r="J2230" s="15">
        <v>0.55831265508684857</v>
      </c>
    </row>
    <row r="2231" spans="1:10" x14ac:dyDescent="0.25">
      <c r="A2231" s="2" t="s">
        <v>6606</v>
      </c>
      <c r="B2231" s="2" t="s">
        <v>6586</v>
      </c>
      <c r="C2231" s="2" t="s">
        <v>6607</v>
      </c>
      <c r="D2231" s="2" t="s">
        <v>10055</v>
      </c>
      <c r="E2231" s="15">
        <v>1.7899999999999999E-2</v>
      </c>
      <c r="F2231" s="15">
        <v>0.1207</v>
      </c>
      <c r="G2231" s="15">
        <v>0.88200000000000001</v>
      </c>
      <c r="H2231" s="15">
        <v>8.3299999999999999E-2</v>
      </c>
      <c r="I2231" s="15">
        <v>4.4499999999999998E-2</v>
      </c>
      <c r="J2231" s="15">
        <v>1.871910112359551</v>
      </c>
    </row>
    <row r="2232" spans="1:10" x14ac:dyDescent="0.25">
      <c r="A2232" s="2" t="s">
        <v>6608</v>
      </c>
      <c r="B2232" s="2" t="s">
        <v>6586</v>
      </c>
      <c r="C2232" s="2" t="s">
        <v>6609</v>
      </c>
      <c r="D2232" s="2" t="s">
        <v>10055</v>
      </c>
      <c r="E2232" s="15">
        <v>-0.12740000000000001</v>
      </c>
      <c r="F2232" s="15">
        <v>0.25580000000000003</v>
      </c>
      <c r="G2232" s="15">
        <v>0.61850000000000005</v>
      </c>
      <c r="H2232" s="15">
        <v>2.52E-2</v>
      </c>
      <c r="I2232" s="15">
        <v>3.7699999999999997E-2</v>
      </c>
      <c r="J2232" s="15">
        <v>0.66843501326259958</v>
      </c>
    </row>
    <row r="2233" spans="1:10" x14ac:dyDescent="0.25">
      <c r="A2233" s="2" t="s">
        <v>6610</v>
      </c>
      <c r="B2233" s="2" t="s">
        <v>6586</v>
      </c>
      <c r="C2233" s="2" t="s">
        <v>6611</v>
      </c>
      <c r="D2233" s="2" t="s">
        <v>10055</v>
      </c>
      <c r="E2233" s="15">
        <v>-0.22420000000000001</v>
      </c>
      <c r="F2233" s="15">
        <v>0.12590000000000001</v>
      </c>
      <c r="G2233" s="15">
        <v>7.51E-2</v>
      </c>
      <c r="H2233" s="15">
        <v>9.5799999999999996E-2</v>
      </c>
      <c r="I2233" s="15">
        <v>4.1000000000000002E-2</v>
      </c>
      <c r="J2233" s="15">
        <v>2.3365853658536579</v>
      </c>
    </row>
    <row r="2234" spans="1:10" x14ac:dyDescent="0.25">
      <c r="A2234" s="2" t="s">
        <v>6612</v>
      </c>
      <c r="B2234" s="2" t="s">
        <v>6586</v>
      </c>
      <c r="C2234" s="2" t="s">
        <v>6613</v>
      </c>
      <c r="D2234" s="2" t="s">
        <v>10055</v>
      </c>
      <c r="E2234" s="15"/>
      <c r="F2234" s="15"/>
      <c r="G2234" s="15"/>
      <c r="H2234" s="15">
        <v>-2.1700000000000001E-2</v>
      </c>
      <c r="I2234" s="15">
        <v>4.3200000000000002E-2</v>
      </c>
      <c r="J2234" s="15">
        <v>-0.50231481481481477</v>
      </c>
    </row>
    <row r="2235" spans="1:10" x14ac:dyDescent="0.25">
      <c r="A2235" s="2" t="s">
        <v>6614</v>
      </c>
      <c r="B2235" s="2" t="s">
        <v>6586</v>
      </c>
      <c r="C2235" s="2" t="s">
        <v>6615</v>
      </c>
      <c r="D2235" s="2" t="s">
        <v>10055</v>
      </c>
      <c r="E2235" s="15">
        <v>-3.5000000000000001E-3</v>
      </c>
      <c r="F2235" s="15">
        <v>0.1305</v>
      </c>
      <c r="G2235" s="15">
        <v>0.9788</v>
      </c>
      <c r="H2235" s="15">
        <v>6.2300000000000001E-2</v>
      </c>
      <c r="I2235" s="15">
        <v>3.9800000000000002E-2</v>
      </c>
      <c r="J2235" s="15">
        <v>1.5653266331658291</v>
      </c>
    </row>
    <row r="2236" spans="1:10" x14ac:dyDescent="0.25">
      <c r="A2236" s="2" t="s">
        <v>6616</v>
      </c>
      <c r="B2236" s="2" t="s">
        <v>6586</v>
      </c>
      <c r="C2236" s="2" t="s">
        <v>6617</v>
      </c>
      <c r="D2236" s="2" t="s">
        <v>10055</v>
      </c>
      <c r="E2236" s="15">
        <v>-0.1525</v>
      </c>
      <c r="F2236" s="15">
        <v>0.15509999999999999</v>
      </c>
      <c r="G2236" s="15">
        <v>0.32540000000000002</v>
      </c>
      <c r="H2236" s="15">
        <v>6.7000000000000004E-2</v>
      </c>
      <c r="I2236" s="15">
        <v>4.2999999999999997E-2</v>
      </c>
      <c r="J2236" s="15">
        <v>1.558139534883721</v>
      </c>
    </row>
    <row r="2237" spans="1:10" x14ac:dyDescent="0.25">
      <c r="A2237" s="2" t="s">
        <v>6618</v>
      </c>
      <c r="B2237" s="2" t="s">
        <v>6586</v>
      </c>
      <c r="C2237" s="2" t="s">
        <v>6619</v>
      </c>
      <c r="D2237" s="2" t="s">
        <v>10055</v>
      </c>
      <c r="E2237" s="15">
        <v>-0.10440000000000001</v>
      </c>
      <c r="F2237" s="15">
        <v>0.253</v>
      </c>
      <c r="G2237" s="15">
        <v>0.67979999999999996</v>
      </c>
      <c r="H2237" s="15">
        <v>2.2200000000000001E-2</v>
      </c>
      <c r="I2237" s="15">
        <v>4.4200000000000003E-2</v>
      </c>
      <c r="J2237" s="15">
        <v>0.50226244343891402</v>
      </c>
    </row>
    <row r="2238" spans="1:10" x14ac:dyDescent="0.25">
      <c r="A2238" s="2" t="s">
        <v>6620</v>
      </c>
      <c r="B2238" s="2" t="s">
        <v>6586</v>
      </c>
      <c r="C2238" s="2" t="s">
        <v>6621</v>
      </c>
      <c r="D2238" s="2" t="s">
        <v>10055</v>
      </c>
      <c r="E2238" s="15">
        <v>-0.18</v>
      </c>
      <c r="F2238" s="15">
        <v>0.11650000000000001</v>
      </c>
      <c r="G2238" s="15">
        <v>0.12239999999999999</v>
      </c>
      <c r="H2238" s="15">
        <v>9.4100000000000003E-2</v>
      </c>
      <c r="I2238" s="15">
        <v>4.4699999999999997E-2</v>
      </c>
      <c r="J2238" s="15">
        <v>2.1051454138702459</v>
      </c>
    </row>
    <row r="2239" spans="1:10" x14ac:dyDescent="0.25">
      <c r="A2239" s="2" t="s">
        <v>6622</v>
      </c>
      <c r="B2239" s="2" t="s">
        <v>6586</v>
      </c>
      <c r="C2239" s="2" t="s">
        <v>6623</v>
      </c>
      <c r="D2239" s="2" t="s">
        <v>10055</v>
      </c>
      <c r="E2239" s="15">
        <v>6.6699999999999995E-2</v>
      </c>
      <c r="F2239" s="15">
        <v>0.1983</v>
      </c>
      <c r="G2239" s="15">
        <v>0.73680000000000001</v>
      </c>
      <c r="H2239" s="15">
        <v>3.5299999999999998E-2</v>
      </c>
      <c r="I2239" s="15">
        <v>4.1700000000000001E-2</v>
      </c>
      <c r="J2239" s="15">
        <v>0.84652278177458029</v>
      </c>
    </row>
    <row r="2240" spans="1:10" x14ac:dyDescent="0.25">
      <c r="A2240" s="2" t="s">
        <v>6624</v>
      </c>
      <c r="B2240" s="2" t="s">
        <v>6586</v>
      </c>
      <c r="C2240" s="2" t="s">
        <v>6625</v>
      </c>
      <c r="D2240" s="2" t="s">
        <v>10055</v>
      </c>
      <c r="E2240" s="15"/>
      <c r="F2240" s="15"/>
      <c r="G2240" s="15"/>
      <c r="H2240" s="15"/>
      <c r="I2240" s="15"/>
      <c r="J2240" s="15"/>
    </row>
    <row r="2241" spans="1:10" x14ac:dyDescent="0.25">
      <c r="A2241" s="2" t="s">
        <v>6626</v>
      </c>
      <c r="B2241" s="2" t="s">
        <v>6586</v>
      </c>
      <c r="C2241" s="2" t="s">
        <v>6627</v>
      </c>
      <c r="D2241" s="2" t="s">
        <v>10055</v>
      </c>
      <c r="E2241" s="15">
        <v>-2.3E-2</v>
      </c>
      <c r="F2241" s="15">
        <v>0.1353</v>
      </c>
      <c r="G2241" s="15">
        <v>0.86519999999999997</v>
      </c>
      <c r="H2241" s="15">
        <v>7.0499999999999993E-2</v>
      </c>
      <c r="I2241" s="15">
        <v>4.3999999999999997E-2</v>
      </c>
      <c r="J2241" s="15">
        <v>1.6022727272727271</v>
      </c>
    </row>
    <row r="2242" spans="1:10" x14ac:dyDescent="0.25">
      <c r="A2242" s="2" t="s">
        <v>6628</v>
      </c>
      <c r="B2242" s="2" t="s">
        <v>6586</v>
      </c>
      <c r="C2242" s="2" t="s">
        <v>6629</v>
      </c>
      <c r="D2242" s="2" t="s">
        <v>10055</v>
      </c>
      <c r="E2242" s="15"/>
      <c r="F2242" s="15"/>
      <c r="G2242" s="15"/>
      <c r="H2242" s="15">
        <v>-1.7299999999999999E-2</v>
      </c>
      <c r="I2242" s="15">
        <v>4.07E-2</v>
      </c>
      <c r="J2242" s="15">
        <v>-0.42506142506142502</v>
      </c>
    </row>
    <row r="2243" spans="1:10" x14ac:dyDescent="0.25">
      <c r="A2243" s="2" t="s">
        <v>6630</v>
      </c>
      <c r="B2243" s="2" t="s">
        <v>6586</v>
      </c>
      <c r="C2243" s="2" t="s">
        <v>6631</v>
      </c>
      <c r="D2243" s="2" t="s">
        <v>10055</v>
      </c>
      <c r="E2243" s="15">
        <v>-0.2218</v>
      </c>
      <c r="F2243" s="15">
        <v>0.1333</v>
      </c>
      <c r="G2243" s="15">
        <v>9.6000000000000002E-2</v>
      </c>
      <c r="H2243" s="15">
        <v>9.2799999999999994E-2</v>
      </c>
      <c r="I2243" s="15">
        <v>4.6699999999999998E-2</v>
      </c>
      <c r="J2243" s="15">
        <v>1.9871520342612421</v>
      </c>
    </row>
    <row r="2244" spans="1:10" x14ac:dyDescent="0.25">
      <c r="A2244" s="2" t="s">
        <v>6632</v>
      </c>
      <c r="B2244" s="2" t="s">
        <v>6586</v>
      </c>
      <c r="C2244" s="2" t="s">
        <v>6633</v>
      </c>
      <c r="D2244" s="2" t="s">
        <v>10055</v>
      </c>
      <c r="E2244" s="15">
        <v>-9.2100000000000001E-2</v>
      </c>
      <c r="F2244" s="15">
        <v>9.98E-2</v>
      </c>
      <c r="G2244" s="15">
        <v>0.35599999999999998</v>
      </c>
      <c r="H2244" s="15">
        <v>0.11169999999999999</v>
      </c>
      <c r="I2244" s="15">
        <v>5.3900000000000003E-2</v>
      </c>
      <c r="J2244" s="15">
        <v>2.0723562152133579</v>
      </c>
    </row>
    <row r="2245" spans="1:10" x14ac:dyDescent="0.25">
      <c r="A2245" s="2" t="s">
        <v>6634</v>
      </c>
      <c r="B2245" s="2" t="s">
        <v>6586</v>
      </c>
      <c r="C2245" s="2" t="s">
        <v>6635</v>
      </c>
      <c r="D2245" s="2" t="s">
        <v>10055</v>
      </c>
      <c r="E2245" s="15">
        <v>7.8E-2</v>
      </c>
      <c r="F2245" s="15">
        <v>0.16250000000000001</v>
      </c>
      <c r="G2245" s="15">
        <v>0.63119999999999998</v>
      </c>
      <c r="H2245" s="15">
        <v>5.7599999999999998E-2</v>
      </c>
      <c r="I2245" s="15">
        <v>4.5499999999999999E-2</v>
      </c>
      <c r="J2245" s="15">
        <v>1.2659340659340661</v>
      </c>
    </row>
    <row r="2246" spans="1:10" x14ac:dyDescent="0.25">
      <c r="A2246" s="2" t="s">
        <v>6636</v>
      </c>
      <c r="B2246" s="2" t="s">
        <v>6586</v>
      </c>
      <c r="C2246" s="2" t="s">
        <v>6637</v>
      </c>
      <c r="D2246" s="2" t="s">
        <v>10055</v>
      </c>
      <c r="E2246" s="15"/>
      <c r="F2246" s="15"/>
      <c r="G2246" s="15"/>
      <c r="H2246" s="15">
        <v>-1.5E-3</v>
      </c>
      <c r="I2246" s="15">
        <v>4.65E-2</v>
      </c>
      <c r="J2246" s="15">
        <v>-3.2258064516129031E-2</v>
      </c>
    </row>
    <row r="2247" spans="1:10" x14ac:dyDescent="0.25">
      <c r="A2247" s="2" t="s">
        <v>6638</v>
      </c>
      <c r="B2247" s="2" t="s">
        <v>6586</v>
      </c>
      <c r="C2247" s="2" t="s">
        <v>6639</v>
      </c>
      <c r="D2247" s="2" t="s">
        <v>10055</v>
      </c>
      <c r="E2247" s="15"/>
      <c r="F2247" s="15"/>
      <c r="G2247" s="15"/>
      <c r="H2247" s="15">
        <v>-1.2E-2</v>
      </c>
      <c r="I2247" s="15">
        <v>4.41E-2</v>
      </c>
      <c r="J2247" s="15">
        <v>-0.27210884353741499</v>
      </c>
    </row>
    <row r="2248" spans="1:10" x14ac:dyDescent="0.25">
      <c r="A2248" s="2" t="s">
        <v>6640</v>
      </c>
      <c r="B2248" s="2" t="s">
        <v>6586</v>
      </c>
      <c r="C2248" s="2" t="s">
        <v>6641</v>
      </c>
      <c r="D2248" s="2" t="s">
        <v>10055</v>
      </c>
      <c r="E2248" s="15">
        <v>0.14199999999999999</v>
      </c>
      <c r="F2248" s="15">
        <v>0.21340000000000001</v>
      </c>
      <c r="G2248" s="15">
        <v>0.50590000000000002</v>
      </c>
      <c r="H2248" s="15">
        <v>3.8800000000000001E-2</v>
      </c>
      <c r="I2248" s="15">
        <v>4.6600000000000003E-2</v>
      </c>
      <c r="J2248" s="15">
        <v>0.83261802575107291</v>
      </c>
    </row>
    <row r="2249" spans="1:10" x14ac:dyDescent="0.25">
      <c r="A2249" s="2" t="s">
        <v>6642</v>
      </c>
      <c r="B2249" s="2" t="s">
        <v>6586</v>
      </c>
      <c r="C2249" s="2" t="s">
        <v>6643</v>
      </c>
      <c r="D2249" s="2" t="s">
        <v>10055</v>
      </c>
      <c r="E2249" s="15">
        <v>6.2899999999999998E-2</v>
      </c>
      <c r="F2249" s="15">
        <v>0.22109999999999999</v>
      </c>
      <c r="G2249" s="15">
        <v>0.77610000000000001</v>
      </c>
      <c r="H2249" s="15">
        <v>2.8400000000000002E-2</v>
      </c>
      <c r="I2249" s="15">
        <v>4.3200000000000002E-2</v>
      </c>
      <c r="J2249" s="15">
        <v>0.65740740740740744</v>
      </c>
    </row>
    <row r="2250" spans="1:10" x14ac:dyDescent="0.25">
      <c r="A2250" s="2" t="s">
        <v>6644</v>
      </c>
      <c r="B2250" s="2" t="s">
        <v>6586</v>
      </c>
      <c r="C2250" s="2" t="s">
        <v>6645</v>
      </c>
      <c r="D2250" s="2" t="s">
        <v>10055</v>
      </c>
      <c r="E2250" s="15">
        <v>4.58E-2</v>
      </c>
      <c r="F2250" s="15">
        <v>0.12790000000000001</v>
      </c>
      <c r="G2250" s="15">
        <v>0.72030000000000005</v>
      </c>
      <c r="H2250" s="15">
        <v>6.9900000000000004E-2</v>
      </c>
      <c r="I2250" s="15">
        <v>4.02E-2</v>
      </c>
      <c r="J2250" s="15">
        <v>1.738805970149254</v>
      </c>
    </row>
    <row r="2251" spans="1:10" x14ac:dyDescent="0.25">
      <c r="A2251" s="2" t="s">
        <v>6646</v>
      </c>
      <c r="B2251" s="2" t="s">
        <v>6586</v>
      </c>
      <c r="C2251" s="2" t="s">
        <v>6647</v>
      </c>
      <c r="D2251" s="2" t="s">
        <v>10055</v>
      </c>
      <c r="E2251" s="15">
        <v>4.6699999999999998E-2</v>
      </c>
      <c r="F2251" s="15">
        <v>0.1241</v>
      </c>
      <c r="G2251" s="15">
        <v>0.70679999999999998</v>
      </c>
      <c r="H2251" s="15">
        <v>8.6599999999999996E-2</v>
      </c>
      <c r="I2251" s="15">
        <v>4.0800000000000003E-2</v>
      </c>
      <c r="J2251" s="15">
        <v>2.1225490196078431</v>
      </c>
    </row>
    <row r="2252" spans="1:10" x14ac:dyDescent="0.25">
      <c r="A2252" s="2" t="s">
        <v>6648</v>
      </c>
      <c r="B2252" s="2" t="s">
        <v>6586</v>
      </c>
      <c r="C2252" s="2" t="s">
        <v>6649</v>
      </c>
      <c r="D2252" s="2" t="s">
        <v>10055</v>
      </c>
      <c r="E2252" s="15">
        <v>-0.1109</v>
      </c>
      <c r="F2252" s="15">
        <v>0.17180000000000001</v>
      </c>
      <c r="G2252" s="15">
        <v>0.51849999999999996</v>
      </c>
      <c r="H2252" s="15">
        <v>6.1100000000000002E-2</v>
      </c>
      <c r="I2252" s="15">
        <v>4.3999999999999997E-2</v>
      </c>
      <c r="J2252" s="15">
        <v>1.3886363636363639</v>
      </c>
    </row>
    <row r="2253" spans="1:10" x14ac:dyDescent="0.25">
      <c r="A2253" s="2" t="s">
        <v>6650</v>
      </c>
      <c r="B2253" s="2" t="s">
        <v>6586</v>
      </c>
      <c r="C2253" s="2" t="s">
        <v>6651</v>
      </c>
      <c r="D2253" s="2" t="s">
        <v>10055</v>
      </c>
      <c r="E2253" s="15">
        <v>-0.14879999999999999</v>
      </c>
      <c r="F2253" s="15">
        <v>0.11799999999999999</v>
      </c>
      <c r="G2253" s="15">
        <v>0.20730000000000001</v>
      </c>
      <c r="H2253" s="15">
        <v>9.3799999999999994E-2</v>
      </c>
      <c r="I2253" s="15">
        <v>4.4999999999999998E-2</v>
      </c>
      <c r="J2253" s="15">
        <v>2.0844444444444439</v>
      </c>
    </row>
    <row r="2254" spans="1:10" x14ac:dyDescent="0.25">
      <c r="A2254" s="2" t="s">
        <v>6652</v>
      </c>
      <c r="B2254" s="2" t="s">
        <v>6586</v>
      </c>
      <c r="C2254" s="2" t="s">
        <v>6653</v>
      </c>
      <c r="D2254" s="2" t="s">
        <v>10055</v>
      </c>
      <c r="E2254" s="15">
        <v>6.7400000000000002E-2</v>
      </c>
      <c r="F2254" s="15">
        <v>0.17319999999999999</v>
      </c>
      <c r="G2254" s="15">
        <v>0.69720000000000004</v>
      </c>
      <c r="H2254" s="15">
        <v>4.0599999999999997E-2</v>
      </c>
      <c r="I2254" s="15">
        <v>4.0099999999999997E-2</v>
      </c>
      <c r="J2254" s="15">
        <v>1.012468827930175</v>
      </c>
    </row>
    <row r="2255" spans="1:10" x14ac:dyDescent="0.25">
      <c r="A2255" s="2" t="s">
        <v>6654</v>
      </c>
      <c r="B2255" s="2" t="s">
        <v>6586</v>
      </c>
      <c r="C2255" s="2" t="s">
        <v>6655</v>
      </c>
      <c r="D2255" s="2" t="s">
        <v>10055</v>
      </c>
      <c r="E2255" s="15"/>
      <c r="F2255" s="15"/>
      <c r="G2255" s="15"/>
      <c r="H2255" s="15"/>
      <c r="I2255" s="15"/>
      <c r="J2255" s="15"/>
    </row>
    <row r="2256" spans="1:10" x14ac:dyDescent="0.25">
      <c r="A2256" s="2" t="s">
        <v>6656</v>
      </c>
      <c r="B2256" s="2" t="s">
        <v>6586</v>
      </c>
      <c r="C2256" s="2" t="s">
        <v>6657</v>
      </c>
      <c r="D2256" s="2" t="s">
        <v>10055</v>
      </c>
      <c r="E2256" s="15"/>
      <c r="F2256" s="15"/>
      <c r="G2256" s="15"/>
      <c r="H2256" s="15">
        <v>-1E-4</v>
      </c>
      <c r="I2256" s="15">
        <v>3.9E-2</v>
      </c>
      <c r="J2256" s="15">
        <v>-2.5641025641025641E-3</v>
      </c>
    </row>
    <row r="2257" spans="1:10" x14ac:dyDescent="0.25">
      <c r="A2257" s="2" t="s">
        <v>6658</v>
      </c>
      <c r="B2257" s="2" t="s">
        <v>6586</v>
      </c>
      <c r="C2257" s="2" t="s">
        <v>6659</v>
      </c>
      <c r="D2257" s="2" t="s">
        <v>10055</v>
      </c>
      <c r="E2257" s="15">
        <v>0.29659999999999997</v>
      </c>
      <c r="F2257" s="15">
        <v>1.2630999999999999</v>
      </c>
      <c r="G2257" s="15">
        <v>0.81440000000000001</v>
      </c>
      <c r="H2257" s="15">
        <v>1.2699999999999999E-2</v>
      </c>
      <c r="I2257" s="15">
        <v>3.95E-2</v>
      </c>
      <c r="J2257" s="15">
        <v>0.32151898734177209</v>
      </c>
    </row>
    <row r="2258" spans="1:10" x14ac:dyDescent="0.25">
      <c r="A2258" s="2" t="s">
        <v>6660</v>
      </c>
      <c r="B2258" s="2" t="s">
        <v>6586</v>
      </c>
      <c r="C2258" s="2" t="s">
        <v>6661</v>
      </c>
      <c r="D2258" s="2" t="s">
        <v>10055</v>
      </c>
      <c r="E2258" s="15">
        <v>0.12239999999999999</v>
      </c>
      <c r="F2258" s="15">
        <v>0.11840000000000001</v>
      </c>
      <c r="G2258" s="15">
        <v>0.30149999999999999</v>
      </c>
      <c r="H2258" s="15">
        <v>9.4700000000000006E-2</v>
      </c>
      <c r="I2258" s="15">
        <v>4.5699999999999998E-2</v>
      </c>
      <c r="J2258" s="15">
        <v>2.072210065645514</v>
      </c>
    </row>
    <row r="2259" spans="1:10" x14ac:dyDescent="0.25">
      <c r="A2259" s="2" t="s">
        <v>6662</v>
      </c>
      <c r="B2259" s="2" t="s">
        <v>6586</v>
      </c>
      <c r="C2259" s="2" t="s">
        <v>6663</v>
      </c>
      <c r="D2259" s="2" t="s">
        <v>10055</v>
      </c>
      <c r="E2259" s="15"/>
      <c r="F2259" s="15"/>
      <c r="G2259" s="15"/>
      <c r="H2259" s="15"/>
      <c r="I2259" s="15"/>
      <c r="J2259" s="15"/>
    </row>
    <row r="2260" spans="1:10" x14ac:dyDescent="0.25">
      <c r="A2260" s="2" t="s">
        <v>6664</v>
      </c>
      <c r="B2260" s="2" t="s">
        <v>6586</v>
      </c>
      <c r="C2260" s="2" t="s">
        <v>6665</v>
      </c>
      <c r="D2260" s="2" t="s">
        <v>10055</v>
      </c>
      <c r="E2260" s="15"/>
      <c r="F2260" s="15"/>
      <c r="G2260" s="15"/>
      <c r="H2260" s="15"/>
      <c r="I2260" s="15"/>
      <c r="J2260" s="15"/>
    </row>
    <row r="2261" spans="1:10" x14ac:dyDescent="0.25">
      <c r="A2261" s="2" t="s">
        <v>6666</v>
      </c>
      <c r="B2261" s="2" t="s">
        <v>6586</v>
      </c>
      <c r="C2261" s="2" t="s">
        <v>6667</v>
      </c>
      <c r="D2261" s="2" t="s">
        <v>10055</v>
      </c>
      <c r="E2261" s="15">
        <v>0.13800000000000001</v>
      </c>
      <c r="F2261" s="15">
        <v>0.18720000000000001</v>
      </c>
      <c r="G2261" s="15">
        <v>0.46089999999999998</v>
      </c>
      <c r="H2261" s="15">
        <v>4.3099999999999999E-2</v>
      </c>
      <c r="I2261" s="15">
        <v>4.4999999999999998E-2</v>
      </c>
      <c r="J2261" s="15">
        <v>0.95777777777777784</v>
      </c>
    </row>
    <row r="2262" spans="1:10" x14ac:dyDescent="0.25">
      <c r="A2262" s="2" t="s">
        <v>6668</v>
      </c>
      <c r="B2262" s="2" t="s">
        <v>6586</v>
      </c>
      <c r="C2262" s="2" t="s">
        <v>6669</v>
      </c>
      <c r="D2262" s="2" t="s">
        <v>10055</v>
      </c>
      <c r="E2262" s="15"/>
      <c r="F2262" s="15"/>
      <c r="G2262" s="15"/>
      <c r="H2262" s="15">
        <v>-5.1000000000000004E-3</v>
      </c>
      <c r="I2262" s="15">
        <v>4.1799999999999997E-2</v>
      </c>
      <c r="J2262" s="15">
        <v>-0.1220095693779904</v>
      </c>
    </row>
    <row r="2263" spans="1:10" x14ac:dyDescent="0.25">
      <c r="A2263" s="2" t="s">
        <v>6670</v>
      </c>
      <c r="B2263" s="2" t="s">
        <v>6586</v>
      </c>
      <c r="C2263" s="2" t="s">
        <v>6671</v>
      </c>
      <c r="D2263" s="2" t="s">
        <v>10055</v>
      </c>
      <c r="E2263" s="15">
        <v>0.27339999999999998</v>
      </c>
      <c r="F2263" s="15">
        <v>0.14929999999999999</v>
      </c>
      <c r="G2263" s="15">
        <v>6.7100000000000007E-2</v>
      </c>
      <c r="H2263" s="15">
        <v>7.3400000000000007E-2</v>
      </c>
      <c r="I2263" s="15">
        <v>4.2000000000000003E-2</v>
      </c>
      <c r="J2263" s="15">
        <v>1.7476190476190481</v>
      </c>
    </row>
    <row r="2264" spans="1:10" x14ac:dyDescent="0.25">
      <c r="A2264" s="2" t="s">
        <v>6672</v>
      </c>
      <c r="B2264" s="2" t="s">
        <v>6586</v>
      </c>
      <c r="C2264" s="2" t="s">
        <v>6673</v>
      </c>
      <c r="D2264" s="2" t="s">
        <v>10055</v>
      </c>
      <c r="E2264" s="15"/>
      <c r="F2264" s="15"/>
      <c r="G2264" s="15"/>
      <c r="H2264" s="15">
        <v>-1.5900000000000001E-2</v>
      </c>
      <c r="I2264" s="15">
        <v>4.1300000000000003E-2</v>
      </c>
      <c r="J2264" s="15">
        <v>-0.3849878934624697</v>
      </c>
    </row>
    <row r="2265" spans="1:10" x14ac:dyDescent="0.25">
      <c r="A2265" s="2" t="s">
        <v>6674</v>
      </c>
      <c r="B2265" s="2" t="s">
        <v>6586</v>
      </c>
      <c r="C2265" s="2" t="s">
        <v>6675</v>
      </c>
      <c r="D2265" s="2" t="s">
        <v>10055</v>
      </c>
      <c r="E2265" s="15"/>
      <c r="F2265" s="15"/>
      <c r="G2265" s="15"/>
      <c r="H2265" s="15">
        <v>-0.04</v>
      </c>
      <c r="I2265" s="15">
        <v>3.9600000000000003E-2</v>
      </c>
      <c r="J2265" s="15">
        <v>-1.0101010101010099</v>
      </c>
    </row>
    <row r="2266" spans="1:10" x14ac:dyDescent="0.25">
      <c r="A2266" s="2" t="s">
        <v>6676</v>
      </c>
      <c r="B2266" s="2" t="s">
        <v>6586</v>
      </c>
      <c r="C2266" s="2" t="s">
        <v>6677</v>
      </c>
      <c r="D2266" s="2" t="s">
        <v>10055</v>
      </c>
      <c r="E2266" s="15">
        <v>0.14119999999999999</v>
      </c>
      <c r="F2266" s="15">
        <v>0.1782</v>
      </c>
      <c r="G2266" s="15">
        <v>0.4284</v>
      </c>
      <c r="H2266" s="15">
        <v>4.3299999999999998E-2</v>
      </c>
      <c r="I2266" s="15">
        <v>4.7199999999999999E-2</v>
      </c>
      <c r="J2266" s="15">
        <v>0.9173728813559322</v>
      </c>
    </row>
    <row r="2267" spans="1:10" x14ac:dyDescent="0.25">
      <c r="A2267" s="2" t="s">
        <v>6678</v>
      </c>
      <c r="B2267" s="2" t="s">
        <v>6586</v>
      </c>
      <c r="C2267" s="2" t="s">
        <v>6679</v>
      </c>
      <c r="D2267" s="2" t="s">
        <v>10055</v>
      </c>
      <c r="E2267" s="15">
        <v>3.78E-2</v>
      </c>
      <c r="F2267" s="15">
        <v>0.16669999999999999</v>
      </c>
      <c r="G2267" s="15">
        <v>0.82079999999999997</v>
      </c>
      <c r="H2267" s="15">
        <v>3.9600000000000003E-2</v>
      </c>
      <c r="I2267" s="15">
        <v>4.0500000000000001E-2</v>
      </c>
      <c r="J2267" s="15">
        <v>0.97777777777777786</v>
      </c>
    </row>
    <row r="2268" spans="1:10" x14ac:dyDescent="0.25">
      <c r="A2268" s="2" t="s">
        <v>6680</v>
      </c>
      <c r="B2268" s="2" t="s">
        <v>6586</v>
      </c>
      <c r="C2268" s="2" t="s">
        <v>6681</v>
      </c>
      <c r="D2268" s="2" t="s">
        <v>10055</v>
      </c>
      <c r="E2268" s="15">
        <v>6.1000000000000004E-3</v>
      </c>
      <c r="F2268" s="15">
        <v>0.12089999999999999</v>
      </c>
      <c r="G2268" s="15">
        <v>0.96009999999999995</v>
      </c>
      <c r="H2268" s="15">
        <v>9.5500000000000002E-2</v>
      </c>
      <c r="I2268" s="15">
        <v>4.3900000000000002E-2</v>
      </c>
      <c r="J2268" s="15">
        <v>2.1753986332574029</v>
      </c>
    </row>
    <row r="2269" spans="1:10" x14ac:dyDescent="0.25">
      <c r="A2269" s="2" t="s">
        <v>6682</v>
      </c>
      <c r="B2269" s="2" t="s">
        <v>6586</v>
      </c>
      <c r="C2269" s="2" t="s">
        <v>6683</v>
      </c>
      <c r="D2269" s="2" t="s">
        <v>10055</v>
      </c>
      <c r="E2269" s="15">
        <v>-0.35570000000000002</v>
      </c>
      <c r="F2269" s="15">
        <v>0.55759999999999998</v>
      </c>
      <c r="G2269" s="15">
        <v>0.52359999999999995</v>
      </c>
      <c r="H2269" s="15">
        <v>1.8100000000000002E-2</v>
      </c>
      <c r="I2269" s="15">
        <v>4.5900000000000003E-2</v>
      </c>
      <c r="J2269" s="15">
        <v>0.39433551198257077</v>
      </c>
    </row>
    <row r="2270" spans="1:10" x14ac:dyDescent="0.25">
      <c r="A2270" s="2" t="s">
        <v>6684</v>
      </c>
      <c r="B2270" s="2" t="s">
        <v>6586</v>
      </c>
      <c r="C2270" s="2" t="s">
        <v>6685</v>
      </c>
      <c r="D2270" s="2" t="s">
        <v>10055</v>
      </c>
      <c r="E2270" s="15">
        <v>0.27139999999999997</v>
      </c>
      <c r="F2270" s="15">
        <v>1.2092000000000001</v>
      </c>
      <c r="G2270" s="15">
        <v>0.82240000000000002</v>
      </c>
      <c r="H2270" s="15">
        <v>1.17E-2</v>
      </c>
      <c r="I2270" s="15">
        <v>3.9199999999999999E-2</v>
      </c>
      <c r="J2270" s="15">
        <v>0.29846938775510212</v>
      </c>
    </row>
    <row r="2271" spans="1:10" x14ac:dyDescent="0.25">
      <c r="A2271" s="2" t="s">
        <v>6686</v>
      </c>
      <c r="B2271" s="2" t="s">
        <v>6586</v>
      </c>
      <c r="C2271" s="2" t="s">
        <v>6687</v>
      </c>
      <c r="D2271" s="2" t="s">
        <v>10055</v>
      </c>
      <c r="E2271" s="15"/>
      <c r="F2271" s="15"/>
      <c r="G2271" s="15"/>
      <c r="H2271" s="15">
        <v>-6.6E-3</v>
      </c>
      <c r="I2271" s="15">
        <v>4.0099999999999997E-2</v>
      </c>
      <c r="J2271" s="15">
        <v>-0.16458852867830431</v>
      </c>
    </row>
    <row r="2272" spans="1:10" x14ac:dyDescent="0.25">
      <c r="A2272" s="2" t="s">
        <v>6688</v>
      </c>
      <c r="B2272" s="2" t="s">
        <v>6586</v>
      </c>
      <c r="C2272" s="2" t="s">
        <v>6689</v>
      </c>
      <c r="D2272" s="2" t="s">
        <v>10055</v>
      </c>
      <c r="E2272" s="15"/>
      <c r="F2272" s="15"/>
      <c r="G2272" s="15"/>
      <c r="H2272" s="15"/>
      <c r="I2272" s="15"/>
      <c r="J2272" s="15"/>
    </row>
    <row r="2273" spans="1:10" x14ac:dyDescent="0.25">
      <c r="A2273" s="2" t="s">
        <v>6690</v>
      </c>
      <c r="B2273" s="2" t="s">
        <v>6586</v>
      </c>
      <c r="C2273" s="2" t="s">
        <v>6691</v>
      </c>
      <c r="D2273" s="2" t="s">
        <v>10055</v>
      </c>
      <c r="E2273" s="15">
        <v>-3.7000000000000002E-3</v>
      </c>
      <c r="F2273" s="15">
        <v>0.13039999999999999</v>
      </c>
      <c r="G2273" s="15">
        <v>0.97740000000000005</v>
      </c>
      <c r="H2273" s="15">
        <v>7.0499999999999993E-2</v>
      </c>
      <c r="I2273" s="15">
        <v>4.1399999999999999E-2</v>
      </c>
      <c r="J2273" s="15">
        <v>1.702898550724637</v>
      </c>
    </row>
    <row r="2274" spans="1:10" x14ac:dyDescent="0.25">
      <c r="A2274" s="2" t="s">
        <v>6692</v>
      </c>
      <c r="B2274" s="2" t="s">
        <v>6586</v>
      </c>
      <c r="C2274" s="2" t="s">
        <v>6693</v>
      </c>
      <c r="D2274" s="2" t="s">
        <v>10055</v>
      </c>
      <c r="E2274" s="15"/>
      <c r="F2274" s="15"/>
      <c r="G2274" s="15"/>
      <c r="H2274" s="15">
        <v>-1.04E-2</v>
      </c>
      <c r="I2274" s="15">
        <v>4.0500000000000001E-2</v>
      </c>
      <c r="J2274" s="15">
        <v>-0.25679012345679009</v>
      </c>
    </row>
    <row r="2275" spans="1:10" x14ac:dyDescent="0.25">
      <c r="A2275" s="2" t="s">
        <v>6694</v>
      </c>
      <c r="B2275" s="2" t="s">
        <v>6586</v>
      </c>
      <c r="C2275" s="2" t="s">
        <v>6695</v>
      </c>
      <c r="D2275" s="2" t="s">
        <v>10055</v>
      </c>
      <c r="E2275" s="15">
        <v>1.2999999999999999E-3</v>
      </c>
      <c r="F2275" s="15">
        <v>0.1183</v>
      </c>
      <c r="G2275" s="15">
        <v>0.99109999999999998</v>
      </c>
      <c r="H2275" s="15">
        <v>0.1371</v>
      </c>
      <c r="I2275" s="15">
        <v>4.6800000000000001E-2</v>
      </c>
      <c r="J2275" s="15">
        <v>2.9294871794871788</v>
      </c>
    </row>
    <row r="2276" spans="1:10" x14ac:dyDescent="0.25">
      <c r="A2276" s="2" t="s">
        <v>6696</v>
      </c>
      <c r="B2276" s="2" t="s">
        <v>6586</v>
      </c>
      <c r="C2276" s="2" t="s">
        <v>6697</v>
      </c>
      <c r="D2276" s="2" t="s">
        <v>10055</v>
      </c>
      <c r="E2276" s="15"/>
      <c r="F2276" s="15"/>
      <c r="G2276" s="15"/>
      <c r="H2276" s="15">
        <v>-1.7899999999999999E-2</v>
      </c>
      <c r="I2276" s="15">
        <v>3.6600000000000001E-2</v>
      </c>
      <c r="J2276" s="15">
        <v>-0.48907103825136611</v>
      </c>
    </row>
    <row r="2277" spans="1:10" x14ac:dyDescent="0.25">
      <c r="A2277" s="2" t="s">
        <v>6698</v>
      </c>
      <c r="B2277" s="2" t="s">
        <v>6586</v>
      </c>
      <c r="C2277" s="2" t="s">
        <v>6699</v>
      </c>
      <c r="D2277" s="2" t="s">
        <v>10055</v>
      </c>
      <c r="E2277" s="15">
        <v>0.11990000000000001</v>
      </c>
      <c r="F2277" s="15">
        <v>0.16009999999999999</v>
      </c>
      <c r="G2277" s="15">
        <v>0.45390000000000003</v>
      </c>
      <c r="H2277" s="15">
        <v>5.8099999999999999E-2</v>
      </c>
      <c r="I2277" s="15">
        <v>4.3999999999999997E-2</v>
      </c>
      <c r="J2277" s="15">
        <v>1.320454545454546</v>
      </c>
    </row>
    <row r="2278" spans="1:10" x14ac:dyDescent="0.25">
      <c r="A2278" s="2" t="s">
        <v>6700</v>
      </c>
      <c r="B2278" s="2" t="s">
        <v>6586</v>
      </c>
      <c r="C2278" s="2" t="s">
        <v>6701</v>
      </c>
      <c r="D2278" s="2" t="s">
        <v>10055</v>
      </c>
      <c r="E2278" s="15">
        <v>0.11409999999999999</v>
      </c>
      <c r="F2278" s="15">
        <v>0.1903</v>
      </c>
      <c r="G2278" s="15">
        <v>0.54879999999999995</v>
      </c>
      <c r="H2278" s="15">
        <v>3.1199999999999999E-2</v>
      </c>
      <c r="I2278" s="15">
        <v>4.4999999999999998E-2</v>
      </c>
      <c r="J2278" s="15">
        <v>0.69333333333333336</v>
      </c>
    </row>
    <row r="2279" spans="1:10" x14ac:dyDescent="0.25">
      <c r="A2279" s="2" t="s">
        <v>6702</v>
      </c>
      <c r="B2279" s="2" t="s">
        <v>6586</v>
      </c>
      <c r="C2279" s="2" t="s">
        <v>6703</v>
      </c>
      <c r="D2279" s="2" t="s">
        <v>10055</v>
      </c>
      <c r="E2279" s="15">
        <v>0.2959</v>
      </c>
      <c r="F2279" s="15">
        <v>0.46760000000000002</v>
      </c>
      <c r="G2279" s="15">
        <v>0.52690000000000003</v>
      </c>
      <c r="H2279" s="15">
        <v>1.7899999999999999E-2</v>
      </c>
      <c r="I2279" s="15">
        <v>4.02E-2</v>
      </c>
      <c r="J2279" s="15">
        <v>0.44527363184079599</v>
      </c>
    </row>
    <row r="2280" spans="1:10" x14ac:dyDescent="0.25">
      <c r="A2280" s="2" t="s">
        <v>6704</v>
      </c>
      <c r="B2280" s="2" t="s">
        <v>6586</v>
      </c>
      <c r="C2280" s="2" t="s">
        <v>6705</v>
      </c>
      <c r="D2280" s="2" t="s">
        <v>10055</v>
      </c>
      <c r="E2280" s="15"/>
      <c r="F2280" s="15"/>
      <c r="G2280" s="15"/>
      <c r="H2280" s="15"/>
      <c r="I2280" s="15"/>
      <c r="J2280" s="15"/>
    </row>
    <row r="2281" spans="1:10" x14ac:dyDescent="0.25">
      <c r="A2281" s="2" t="s">
        <v>6706</v>
      </c>
      <c r="B2281" s="2" t="s">
        <v>6586</v>
      </c>
      <c r="C2281" s="2" t="s">
        <v>6707</v>
      </c>
      <c r="D2281" s="2" t="s">
        <v>10055</v>
      </c>
      <c r="E2281" s="15">
        <v>-1.2E-2</v>
      </c>
      <c r="F2281" s="15">
        <v>0.14169999999999999</v>
      </c>
      <c r="G2281" s="15">
        <v>0.93230000000000002</v>
      </c>
      <c r="H2281" s="15">
        <v>6.3899999999999998E-2</v>
      </c>
      <c r="I2281" s="15">
        <v>4.1000000000000002E-2</v>
      </c>
      <c r="J2281" s="15">
        <v>1.558536585365853</v>
      </c>
    </row>
    <row r="2282" spans="1:10" x14ac:dyDescent="0.25">
      <c r="A2282" s="2" t="s">
        <v>6708</v>
      </c>
      <c r="B2282" s="2" t="s">
        <v>6586</v>
      </c>
      <c r="C2282" s="2" t="s">
        <v>6709</v>
      </c>
      <c r="D2282" s="2" t="s">
        <v>10055</v>
      </c>
      <c r="E2282" s="15"/>
      <c r="F2282" s="15"/>
      <c r="G2282" s="15"/>
      <c r="H2282" s="15">
        <v>-4.07E-2</v>
      </c>
      <c r="I2282" s="15">
        <v>4.0500000000000001E-2</v>
      </c>
      <c r="J2282" s="15">
        <v>-1.004938271604938</v>
      </c>
    </row>
    <row r="2283" spans="1:10" x14ac:dyDescent="0.25">
      <c r="A2283" s="2" t="s">
        <v>6710</v>
      </c>
      <c r="B2283" s="2" t="s">
        <v>6586</v>
      </c>
      <c r="C2283" s="2" t="s">
        <v>6711</v>
      </c>
      <c r="D2283" s="2" t="s">
        <v>10055</v>
      </c>
      <c r="E2283" s="15">
        <v>2.7E-2</v>
      </c>
      <c r="F2283" s="15">
        <v>0.14860000000000001</v>
      </c>
      <c r="G2283" s="15">
        <v>0.85599999999999998</v>
      </c>
      <c r="H2283" s="15">
        <v>7.4499999999999997E-2</v>
      </c>
      <c r="I2283" s="15">
        <v>4.0599999999999997E-2</v>
      </c>
      <c r="J2283" s="15">
        <v>1.8349753694581279</v>
      </c>
    </row>
    <row r="2284" spans="1:10" x14ac:dyDescent="0.25">
      <c r="A2284" s="2" t="s">
        <v>6712</v>
      </c>
      <c r="B2284" s="2" t="s">
        <v>6586</v>
      </c>
      <c r="C2284" s="2" t="s">
        <v>6713</v>
      </c>
      <c r="D2284" s="2" t="s">
        <v>10055</v>
      </c>
      <c r="E2284" s="15"/>
      <c r="F2284" s="15"/>
      <c r="G2284" s="15"/>
      <c r="H2284" s="15">
        <v>-8.5000000000000006E-3</v>
      </c>
      <c r="I2284" s="15">
        <v>4.2999999999999997E-2</v>
      </c>
      <c r="J2284" s="15">
        <v>-0.19767441860465121</v>
      </c>
    </row>
    <row r="2285" spans="1:10" x14ac:dyDescent="0.25">
      <c r="A2285" s="2" t="s">
        <v>6714</v>
      </c>
      <c r="B2285" s="2" t="s">
        <v>6586</v>
      </c>
      <c r="C2285" s="2" t="s">
        <v>6715</v>
      </c>
      <c r="D2285" s="2" t="s">
        <v>10055</v>
      </c>
      <c r="E2285" s="15"/>
      <c r="F2285" s="15"/>
      <c r="G2285" s="15"/>
      <c r="H2285" s="15">
        <v>-2.9499999999999998E-2</v>
      </c>
      <c r="I2285" s="15">
        <v>4.1300000000000003E-2</v>
      </c>
      <c r="J2285" s="15">
        <v>-0.71428571428571419</v>
      </c>
    </row>
    <row r="2286" spans="1:10" x14ac:dyDescent="0.25">
      <c r="A2286" s="2" t="s">
        <v>6716</v>
      </c>
      <c r="B2286" s="2" t="s">
        <v>6586</v>
      </c>
      <c r="C2286" s="2" t="s">
        <v>6717</v>
      </c>
      <c r="D2286" s="2" t="s">
        <v>10055</v>
      </c>
      <c r="E2286" s="15">
        <v>0.1754</v>
      </c>
      <c r="F2286" s="15">
        <v>0.3987</v>
      </c>
      <c r="G2286" s="15">
        <v>0.66</v>
      </c>
      <c r="H2286" s="15">
        <v>1.32E-2</v>
      </c>
      <c r="I2286" s="15">
        <v>3.8199999999999998E-2</v>
      </c>
      <c r="J2286" s="15">
        <v>0.34554973821989532</v>
      </c>
    </row>
    <row r="2287" spans="1:10" x14ac:dyDescent="0.25">
      <c r="A2287" s="2" t="s">
        <v>6718</v>
      </c>
      <c r="B2287" s="2" t="s">
        <v>6586</v>
      </c>
      <c r="C2287" s="2" t="s">
        <v>6719</v>
      </c>
      <c r="D2287" s="2" t="s">
        <v>10055</v>
      </c>
      <c r="E2287" s="15">
        <v>-0.1502</v>
      </c>
      <c r="F2287" s="15">
        <v>0.1094</v>
      </c>
      <c r="G2287" s="15">
        <v>0.1696</v>
      </c>
      <c r="H2287" s="15">
        <v>9.5399999999999999E-2</v>
      </c>
      <c r="I2287" s="15">
        <v>4.24E-2</v>
      </c>
      <c r="J2287" s="15">
        <v>2.25</v>
      </c>
    </row>
    <row r="2288" spans="1:10" x14ac:dyDescent="0.25">
      <c r="A2288" s="2" t="s">
        <v>6720</v>
      </c>
      <c r="B2288" s="2" t="s">
        <v>6586</v>
      </c>
      <c r="C2288" s="2" t="s">
        <v>6721</v>
      </c>
      <c r="D2288" s="2" t="s">
        <v>10055</v>
      </c>
      <c r="E2288" s="15"/>
      <c r="F2288" s="15"/>
      <c r="G2288" s="15"/>
      <c r="H2288" s="15">
        <v>-6.0699999999999997E-2</v>
      </c>
      <c r="I2288" s="15">
        <v>3.5400000000000001E-2</v>
      </c>
      <c r="J2288" s="15">
        <v>-1.714689265536723</v>
      </c>
    </row>
    <row r="2289" spans="1:10" x14ac:dyDescent="0.25">
      <c r="A2289" s="2" t="s">
        <v>6722</v>
      </c>
      <c r="B2289" s="2" t="s">
        <v>6586</v>
      </c>
      <c r="C2289" s="2" t="s">
        <v>6723</v>
      </c>
      <c r="D2289" s="2" t="s">
        <v>10055</v>
      </c>
      <c r="E2289" s="15">
        <v>0.1203</v>
      </c>
      <c r="F2289" s="15">
        <v>0.10440000000000001</v>
      </c>
      <c r="G2289" s="15">
        <v>0.2492</v>
      </c>
      <c r="H2289" s="15">
        <v>0.1263</v>
      </c>
      <c r="I2289" s="15">
        <v>4.1599999999999998E-2</v>
      </c>
      <c r="J2289" s="15">
        <v>3.036057692307693</v>
      </c>
    </row>
    <row r="2290" spans="1:10" x14ac:dyDescent="0.25">
      <c r="A2290" s="2" t="s">
        <v>6724</v>
      </c>
      <c r="B2290" s="2" t="s">
        <v>6586</v>
      </c>
      <c r="C2290" s="2" t="s">
        <v>6725</v>
      </c>
      <c r="D2290" s="2" t="s">
        <v>10055</v>
      </c>
      <c r="E2290" s="15">
        <v>-0.13070000000000001</v>
      </c>
      <c r="F2290" s="15">
        <v>0.23089999999999999</v>
      </c>
      <c r="G2290" s="15">
        <v>0.57130000000000003</v>
      </c>
      <c r="H2290" s="15">
        <v>2.9100000000000001E-2</v>
      </c>
      <c r="I2290" s="15">
        <v>4.0800000000000003E-2</v>
      </c>
      <c r="J2290" s="15">
        <v>0.71323529411764708</v>
      </c>
    </row>
    <row r="2291" spans="1:10" x14ac:dyDescent="0.25">
      <c r="A2291" s="2" t="s">
        <v>6726</v>
      </c>
      <c r="B2291" s="2" t="s">
        <v>6586</v>
      </c>
      <c r="C2291" s="2" t="s">
        <v>6727</v>
      </c>
      <c r="D2291" s="2" t="s">
        <v>10055</v>
      </c>
      <c r="E2291" s="15">
        <v>7.4999999999999997E-3</v>
      </c>
      <c r="F2291" s="15">
        <v>0.1052</v>
      </c>
      <c r="G2291" s="15">
        <v>0.94299999999999995</v>
      </c>
      <c r="H2291" s="15">
        <v>0.13569999999999999</v>
      </c>
      <c r="I2291" s="15">
        <v>5.11E-2</v>
      </c>
      <c r="J2291" s="15">
        <v>2.655577299412915</v>
      </c>
    </row>
    <row r="2292" spans="1:10" x14ac:dyDescent="0.25">
      <c r="A2292" s="2" t="s">
        <v>6728</v>
      </c>
      <c r="B2292" s="2" t="s">
        <v>6586</v>
      </c>
      <c r="C2292" s="2" t="s">
        <v>6729</v>
      </c>
      <c r="D2292" s="2" t="s">
        <v>10055</v>
      </c>
      <c r="E2292" s="15">
        <v>0.1148</v>
      </c>
      <c r="F2292" s="15">
        <v>0.1716</v>
      </c>
      <c r="G2292" s="15">
        <v>0.50349999999999995</v>
      </c>
      <c r="H2292" s="15">
        <v>5.0599999999999999E-2</v>
      </c>
      <c r="I2292" s="15">
        <v>4.0899999999999999E-2</v>
      </c>
      <c r="J2292" s="15">
        <v>1.2371638141809289</v>
      </c>
    </row>
    <row r="2293" spans="1:10" x14ac:dyDescent="0.25">
      <c r="A2293" s="2" t="s">
        <v>6730</v>
      </c>
      <c r="B2293" s="2" t="s">
        <v>6586</v>
      </c>
      <c r="C2293" s="2" t="s">
        <v>6731</v>
      </c>
      <c r="D2293" s="2" t="s">
        <v>10055</v>
      </c>
      <c r="E2293" s="15">
        <v>-0.20710000000000001</v>
      </c>
      <c r="F2293" s="15">
        <v>0.11609999999999999</v>
      </c>
      <c r="G2293" s="15">
        <v>7.4399999999999994E-2</v>
      </c>
      <c r="H2293" s="15">
        <v>9.1600000000000001E-2</v>
      </c>
      <c r="I2293" s="15">
        <v>4.1500000000000002E-2</v>
      </c>
      <c r="J2293" s="15">
        <v>2.2072289156626499</v>
      </c>
    </row>
    <row r="2294" spans="1:10" x14ac:dyDescent="0.25">
      <c r="A2294" s="2" t="s">
        <v>6732</v>
      </c>
      <c r="B2294" s="2" t="s">
        <v>6586</v>
      </c>
      <c r="C2294" s="2" t="s">
        <v>6733</v>
      </c>
      <c r="D2294" s="2" t="s">
        <v>10055</v>
      </c>
      <c r="E2294" s="15">
        <v>2.41E-2</v>
      </c>
      <c r="F2294" s="15">
        <v>0.17899999999999999</v>
      </c>
      <c r="G2294" s="15">
        <v>0.8931</v>
      </c>
      <c r="H2294" s="15">
        <v>3.7999999999999999E-2</v>
      </c>
      <c r="I2294" s="15">
        <v>3.9E-2</v>
      </c>
      <c r="J2294" s="15">
        <v>0.97435897435897434</v>
      </c>
    </row>
    <row r="2295" spans="1:10" x14ac:dyDescent="0.25">
      <c r="A2295" s="2" t="s">
        <v>6734</v>
      </c>
      <c r="B2295" s="2" t="s">
        <v>6586</v>
      </c>
      <c r="C2295" s="2" t="s">
        <v>6735</v>
      </c>
      <c r="D2295" s="2" t="s">
        <v>10055</v>
      </c>
      <c r="E2295" s="15">
        <v>0.14829999999999999</v>
      </c>
      <c r="F2295" s="15">
        <v>0.36120000000000002</v>
      </c>
      <c r="G2295" s="15">
        <v>0.68130000000000002</v>
      </c>
      <c r="H2295" s="15">
        <v>1.6E-2</v>
      </c>
      <c r="I2295" s="15">
        <v>4.2700000000000002E-2</v>
      </c>
      <c r="J2295" s="15">
        <v>0.37470725995316162</v>
      </c>
    </row>
    <row r="2296" spans="1:10" x14ac:dyDescent="0.25">
      <c r="A2296" s="2" t="s">
        <v>6736</v>
      </c>
      <c r="B2296" s="2" t="s">
        <v>6586</v>
      </c>
      <c r="C2296" s="2" t="s">
        <v>6737</v>
      </c>
      <c r="D2296" s="2" t="s">
        <v>10055</v>
      </c>
      <c r="E2296" s="15">
        <v>5.4600000000000003E-2</v>
      </c>
      <c r="F2296" s="15">
        <v>0.12889999999999999</v>
      </c>
      <c r="G2296" s="15">
        <v>0.67179999999999995</v>
      </c>
      <c r="H2296" s="15">
        <v>7.3899999999999993E-2</v>
      </c>
      <c r="I2296" s="15">
        <v>4.2799999999999998E-2</v>
      </c>
      <c r="J2296" s="15">
        <v>1.726635514018692</v>
      </c>
    </row>
    <row r="2297" spans="1:10" x14ac:dyDescent="0.25">
      <c r="A2297" s="2" t="s">
        <v>6738</v>
      </c>
      <c r="B2297" s="2" t="s">
        <v>6586</v>
      </c>
      <c r="C2297" s="2" t="s">
        <v>6739</v>
      </c>
      <c r="D2297" s="2" t="s">
        <v>10055</v>
      </c>
      <c r="E2297" s="15">
        <v>0.24940000000000001</v>
      </c>
      <c r="F2297" s="15">
        <v>0.25940000000000002</v>
      </c>
      <c r="G2297" s="15">
        <v>0.33639999999999998</v>
      </c>
      <c r="H2297" s="15">
        <v>3.2800000000000003E-2</v>
      </c>
      <c r="I2297" s="15">
        <v>4.0399999999999998E-2</v>
      </c>
      <c r="J2297" s="15">
        <v>0.81188118811881194</v>
      </c>
    </row>
    <row r="2298" spans="1:10" x14ac:dyDescent="0.25">
      <c r="A2298" s="2" t="s">
        <v>6740</v>
      </c>
      <c r="B2298" s="2" t="s">
        <v>6586</v>
      </c>
      <c r="C2298" s="2" t="s">
        <v>6741</v>
      </c>
      <c r="D2298" s="2" t="s">
        <v>10055</v>
      </c>
      <c r="E2298" s="15">
        <v>-0.1032</v>
      </c>
      <c r="F2298" s="15">
        <v>0.1278</v>
      </c>
      <c r="G2298" s="15">
        <v>0.4194</v>
      </c>
      <c r="H2298" s="15">
        <v>8.2400000000000001E-2</v>
      </c>
      <c r="I2298" s="15">
        <v>4.0800000000000003E-2</v>
      </c>
      <c r="J2298" s="15">
        <v>2.0196078431372548</v>
      </c>
    </row>
    <row r="2299" spans="1:10" x14ac:dyDescent="0.25">
      <c r="A2299" s="2" t="s">
        <v>6742</v>
      </c>
      <c r="B2299" s="2" t="s">
        <v>6586</v>
      </c>
      <c r="C2299" s="2" t="s">
        <v>6743</v>
      </c>
      <c r="D2299" s="2" t="s">
        <v>10055</v>
      </c>
      <c r="E2299" s="15">
        <v>7.7499999999999999E-2</v>
      </c>
      <c r="F2299" s="15">
        <v>9.6100000000000005E-2</v>
      </c>
      <c r="G2299" s="15">
        <v>0.42</v>
      </c>
      <c r="H2299" s="15">
        <v>0.1305</v>
      </c>
      <c r="I2299" s="15">
        <v>4.3400000000000001E-2</v>
      </c>
      <c r="J2299" s="15">
        <v>3.0069124423963141</v>
      </c>
    </row>
    <row r="2300" spans="1:10" x14ac:dyDescent="0.25">
      <c r="A2300" s="2" t="s">
        <v>6744</v>
      </c>
      <c r="B2300" s="2" t="s">
        <v>6586</v>
      </c>
      <c r="C2300" s="2" t="s">
        <v>6745</v>
      </c>
      <c r="D2300" s="2" t="s">
        <v>10055</v>
      </c>
      <c r="E2300" s="15">
        <v>5.1400000000000001E-2</v>
      </c>
      <c r="F2300" s="15">
        <v>0.1013</v>
      </c>
      <c r="G2300" s="15">
        <v>0.61199999999999999</v>
      </c>
      <c r="H2300" s="15">
        <v>0.11899999999999999</v>
      </c>
      <c r="I2300" s="15">
        <v>4.6600000000000003E-2</v>
      </c>
      <c r="J2300" s="15">
        <v>2.5536480686695282</v>
      </c>
    </row>
    <row r="2301" spans="1:10" x14ac:dyDescent="0.25">
      <c r="A2301" s="2" t="s">
        <v>6746</v>
      </c>
      <c r="B2301" s="2" t="s">
        <v>6586</v>
      </c>
      <c r="C2301" s="2" t="s">
        <v>6747</v>
      </c>
      <c r="D2301" s="2" t="s">
        <v>10055</v>
      </c>
      <c r="E2301" s="15">
        <v>-3.3099999999999997E-2</v>
      </c>
      <c r="F2301" s="15">
        <v>9.0300000000000005E-2</v>
      </c>
      <c r="G2301" s="15">
        <v>0.71389999999999998</v>
      </c>
      <c r="H2301" s="15">
        <v>0.1237</v>
      </c>
      <c r="I2301" s="15">
        <v>4.0800000000000003E-2</v>
      </c>
      <c r="J2301" s="15">
        <v>3.0318627450980391</v>
      </c>
    </row>
    <row r="2302" spans="1:10" x14ac:dyDescent="0.25">
      <c r="A2302" s="2" t="s">
        <v>6748</v>
      </c>
      <c r="B2302" s="2" t="s">
        <v>6586</v>
      </c>
      <c r="C2302" s="2" t="s">
        <v>6749</v>
      </c>
      <c r="D2302" s="2" t="s">
        <v>10055</v>
      </c>
      <c r="E2302" s="15"/>
      <c r="F2302" s="15"/>
      <c r="G2302" s="15"/>
      <c r="H2302" s="15">
        <v>-5.1000000000000004E-3</v>
      </c>
      <c r="I2302" s="15">
        <v>3.9800000000000002E-2</v>
      </c>
      <c r="J2302" s="15">
        <v>-0.12814070351758791</v>
      </c>
    </row>
    <row r="2303" spans="1:10" x14ac:dyDescent="0.25">
      <c r="A2303" s="2" t="s">
        <v>6750</v>
      </c>
      <c r="B2303" s="2" t="s">
        <v>6586</v>
      </c>
      <c r="C2303" s="2" t="s">
        <v>6751</v>
      </c>
      <c r="D2303" s="2" t="s">
        <v>10055</v>
      </c>
      <c r="E2303" s="15"/>
      <c r="F2303" s="15"/>
      <c r="G2303" s="15"/>
      <c r="H2303" s="15">
        <v>-1.55E-2</v>
      </c>
      <c r="I2303" s="15">
        <v>3.6900000000000002E-2</v>
      </c>
      <c r="J2303" s="15">
        <v>-0.42005420054200537</v>
      </c>
    </row>
    <row r="2304" spans="1:10" x14ac:dyDescent="0.25">
      <c r="A2304" s="2" t="s">
        <v>6752</v>
      </c>
      <c r="B2304" s="2" t="s">
        <v>6586</v>
      </c>
      <c r="C2304" s="2" t="s">
        <v>6753</v>
      </c>
      <c r="D2304" s="2" t="s">
        <v>10055</v>
      </c>
      <c r="E2304" s="15">
        <v>0.13689999999999999</v>
      </c>
      <c r="F2304" s="15">
        <v>0.12620000000000001</v>
      </c>
      <c r="G2304" s="15">
        <v>0.27789999999999998</v>
      </c>
      <c r="H2304" s="15">
        <v>6.9699999999999998E-2</v>
      </c>
      <c r="I2304" s="15">
        <v>4.6199999999999998E-2</v>
      </c>
      <c r="J2304" s="15">
        <v>1.508658008658009</v>
      </c>
    </row>
    <row r="2305" spans="1:10" x14ac:dyDescent="0.25">
      <c r="A2305" s="2" t="s">
        <v>6754</v>
      </c>
      <c r="B2305" s="2" t="s">
        <v>6586</v>
      </c>
      <c r="C2305" s="2" t="s">
        <v>6755</v>
      </c>
      <c r="D2305" s="2" t="s">
        <v>10055</v>
      </c>
      <c r="E2305" s="15"/>
      <c r="F2305" s="15"/>
      <c r="G2305" s="15"/>
      <c r="H2305" s="15"/>
      <c r="I2305" s="15"/>
      <c r="J2305" s="15"/>
    </row>
    <row r="2306" spans="1:10" x14ac:dyDescent="0.25">
      <c r="A2306" s="2" t="s">
        <v>6756</v>
      </c>
      <c r="B2306" s="2" t="s">
        <v>6586</v>
      </c>
      <c r="C2306" s="2" t="s">
        <v>6757</v>
      </c>
      <c r="D2306" s="2" t="s">
        <v>10055</v>
      </c>
      <c r="E2306" s="15">
        <v>-1.9199999999999998E-2</v>
      </c>
      <c r="F2306" s="15">
        <v>0.1036</v>
      </c>
      <c r="G2306" s="15">
        <v>0.85289999999999999</v>
      </c>
      <c r="H2306" s="15">
        <v>0.1265</v>
      </c>
      <c r="I2306" s="15">
        <v>0.04</v>
      </c>
      <c r="J2306" s="15">
        <v>3.1625000000000001</v>
      </c>
    </row>
    <row r="2307" spans="1:10" x14ac:dyDescent="0.25">
      <c r="A2307" s="2" t="s">
        <v>6758</v>
      </c>
      <c r="B2307" s="2" t="s">
        <v>6586</v>
      </c>
      <c r="C2307" s="2" t="s">
        <v>6759</v>
      </c>
      <c r="D2307" s="2" t="s">
        <v>10055</v>
      </c>
      <c r="E2307" s="15">
        <v>7.6799999999999993E-2</v>
      </c>
      <c r="F2307" s="15">
        <v>0.1074</v>
      </c>
      <c r="G2307" s="15">
        <v>0.47460000000000002</v>
      </c>
      <c r="H2307" s="15">
        <v>0.1096</v>
      </c>
      <c r="I2307" s="15">
        <v>4.0300000000000002E-2</v>
      </c>
      <c r="J2307" s="15">
        <v>2.7196029776674941</v>
      </c>
    </row>
    <row r="2308" spans="1:10" x14ac:dyDescent="0.25">
      <c r="A2308" s="2" t="s">
        <v>6760</v>
      </c>
      <c r="B2308" s="2" t="s">
        <v>6586</v>
      </c>
      <c r="C2308" s="2" t="s">
        <v>6761</v>
      </c>
      <c r="D2308" s="2" t="s">
        <v>10055</v>
      </c>
      <c r="E2308" s="15">
        <v>0.2026</v>
      </c>
      <c r="F2308" s="15">
        <v>0.13400000000000001</v>
      </c>
      <c r="G2308" s="15">
        <v>0.1305</v>
      </c>
      <c r="H2308" s="15">
        <v>6.93E-2</v>
      </c>
      <c r="I2308" s="15">
        <v>4.0300000000000002E-2</v>
      </c>
      <c r="J2308" s="15">
        <v>1.7196029776674939</v>
      </c>
    </row>
    <row r="2309" spans="1:10" x14ac:dyDescent="0.25">
      <c r="A2309" s="2" t="s">
        <v>6762</v>
      </c>
      <c r="B2309" s="2" t="s">
        <v>6586</v>
      </c>
      <c r="C2309" s="2" t="s">
        <v>6763</v>
      </c>
      <c r="D2309" s="2" t="s">
        <v>10055</v>
      </c>
      <c r="E2309" s="15">
        <v>0.30080000000000001</v>
      </c>
      <c r="F2309" s="15">
        <v>0.30659999999999998</v>
      </c>
      <c r="G2309" s="15">
        <v>0.3266</v>
      </c>
      <c r="H2309" s="15">
        <v>3.04E-2</v>
      </c>
      <c r="I2309" s="15">
        <v>4.4299999999999999E-2</v>
      </c>
      <c r="J2309" s="15">
        <v>0.68623024830699775</v>
      </c>
    </row>
    <row r="2310" spans="1:10" x14ac:dyDescent="0.25">
      <c r="A2310" s="2" t="s">
        <v>6764</v>
      </c>
      <c r="B2310" s="2" t="s">
        <v>6586</v>
      </c>
      <c r="C2310" s="2" t="s">
        <v>6765</v>
      </c>
      <c r="D2310" s="2" t="s">
        <v>10055</v>
      </c>
      <c r="E2310" s="15"/>
      <c r="F2310" s="15"/>
      <c r="G2310" s="15"/>
      <c r="H2310" s="15">
        <v>-2.1000000000000001E-2</v>
      </c>
      <c r="I2310" s="15">
        <v>3.8800000000000001E-2</v>
      </c>
      <c r="J2310" s="15">
        <v>-0.54123711340206182</v>
      </c>
    </row>
    <row r="2311" spans="1:10" x14ac:dyDescent="0.25">
      <c r="A2311" s="2" t="s">
        <v>6766</v>
      </c>
      <c r="B2311" s="2" t="s">
        <v>6586</v>
      </c>
      <c r="C2311" s="2" t="s">
        <v>6767</v>
      </c>
      <c r="D2311" s="2" t="s">
        <v>10055</v>
      </c>
      <c r="E2311" s="15">
        <v>-3.2899999999999999E-2</v>
      </c>
      <c r="F2311" s="15">
        <v>0.13239999999999999</v>
      </c>
      <c r="G2311" s="15">
        <v>0.80359999999999998</v>
      </c>
      <c r="H2311" s="15">
        <v>7.4099999999999999E-2</v>
      </c>
      <c r="I2311" s="15">
        <v>4.0099999999999997E-2</v>
      </c>
      <c r="J2311" s="15">
        <v>1.8478802992518699</v>
      </c>
    </row>
    <row r="2312" spans="1:10" x14ac:dyDescent="0.25">
      <c r="A2312" s="2" t="s">
        <v>6768</v>
      </c>
      <c r="B2312" s="2" t="s">
        <v>6586</v>
      </c>
      <c r="C2312" s="2" t="s">
        <v>6769</v>
      </c>
      <c r="D2312" s="2" t="s">
        <v>10055</v>
      </c>
      <c r="E2312" s="15">
        <v>0.1178</v>
      </c>
      <c r="F2312" s="15">
        <v>0.1133</v>
      </c>
      <c r="G2312" s="15">
        <v>0.2984</v>
      </c>
      <c r="H2312" s="15">
        <v>0.1055</v>
      </c>
      <c r="I2312" s="15">
        <v>4.7600000000000003E-2</v>
      </c>
      <c r="J2312" s="15">
        <v>2.216386554621848</v>
      </c>
    </row>
    <row r="2313" spans="1:10" x14ac:dyDescent="0.25">
      <c r="A2313" s="2" t="s">
        <v>6770</v>
      </c>
      <c r="B2313" s="2" t="s">
        <v>6586</v>
      </c>
      <c r="C2313" s="2" t="s">
        <v>6771</v>
      </c>
      <c r="D2313" s="2" t="s">
        <v>10055</v>
      </c>
      <c r="E2313" s="15">
        <v>-0.1206</v>
      </c>
      <c r="F2313" s="15">
        <v>0.17399999999999999</v>
      </c>
      <c r="G2313" s="15">
        <v>0.48830000000000001</v>
      </c>
      <c r="H2313" s="15">
        <v>4.5400000000000003E-2</v>
      </c>
      <c r="I2313" s="15">
        <v>0.04</v>
      </c>
      <c r="J2313" s="15">
        <v>1.135</v>
      </c>
    </row>
    <row r="2314" spans="1:10" x14ac:dyDescent="0.25">
      <c r="A2314" s="2" t="s">
        <v>6772</v>
      </c>
      <c r="B2314" s="2" t="s">
        <v>6586</v>
      </c>
      <c r="C2314" s="2" t="s">
        <v>6773</v>
      </c>
      <c r="D2314" s="2" t="s">
        <v>10055</v>
      </c>
      <c r="E2314" s="15">
        <v>-3.5499999999999997E-2</v>
      </c>
      <c r="F2314" s="15">
        <v>0.1152</v>
      </c>
      <c r="G2314" s="15">
        <v>0.75829999999999997</v>
      </c>
      <c r="H2314" s="15">
        <v>9.1800000000000007E-2</v>
      </c>
      <c r="I2314" s="15">
        <v>4.3299999999999998E-2</v>
      </c>
      <c r="J2314" s="15">
        <v>2.1200923787528869</v>
      </c>
    </row>
    <row r="2315" spans="1:10" x14ac:dyDescent="0.25">
      <c r="A2315" s="2" t="s">
        <v>6774</v>
      </c>
      <c r="B2315" s="2" t="s">
        <v>6586</v>
      </c>
      <c r="C2315" s="2" t="s">
        <v>6775</v>
      </c>
      <c r="D2315" s="2" t="s">
        <v>10055</v>
      </c>
      <c r="E2315" s="15">
        <v>-9.9900000000000003E-2</v>
      </c>
      <c r="F2315" s="15">
        <v>0.2162</v>
      </c>
      <c r="G2315" s="15">
        <v>0.64400000000000002</v>
      </c>
      <c r="H2315" s="15">
        <v>2.9499999999999998E-2</v>
      </c>
      <c r="I2315" s="15">
        <v>4.1000000000000002E-2</v>
      </c>
      <c r="J2315" s="15">
        <v>0.71951219512195119</v>
      </c>
    </row>
    <row r="2316" spans="1:10" x14ac:dyDescent="0.25">
      <c r="A2316" s="2" t="s">
        <v>6776</v>
      </c>
      <c r="B2316" s="2" t="s">
        <v>6586</v>
      </c>
      <c r="C2316" s="2" t="s">
        <v>6777</v>
      </c>
      <c r="D2316" s="2" t="s">
        <v>10055</v>
      </c>
      <c r="E2316" s="15">
        <v>-4.3999999999999997E-2</v>
      </c>
      <c r="F2316" s="15">
        <v>0.12330000000000001</v>
      </c>
      <c r="G2316" s="15">
        <v>0.72099999999999997</v>
      </c>
      <c r="H2316" s="15">
        <v>0.1056</v>
      </c>
      <c r="I2316" s="15">
        <v>4.24E-2</v>
      </c>
      <c r="J2316" s="15">
        <v>2.4905660377358489</v>
      </c>
    </row>
    <row r="2317" spans="1:10" x14ac:dyDescent="0.25">
      <c r="A2317" s="2" t="s">
        <v>6778</v>
      </c>
      <c r="B2317" s="2" t="s">
        <v>6586</v>
      </c>
      <c r="C2317" s="2" t="s">
        <v>6779</v>
      </c>
      <c r="D2317" s="2" t="s">
        <v>10055</v>
      </c>
      <c r="E2317" s="15"/>
      <c r="F2317" s="15"/>
      <c r="G2317" s="15"/>
      <c r="H2317" s="15">
        <v>-2.0000000000000001E-4</v>
      </c>
      <c r="I2317" s="15">
        <v>3.6799999999999999E-2</v>
      </c>
      <c r="J2317" s="15">
        <v>-5.4347826086956529E-3</v>
      </c>
    </row>
    <row r="2318" spans="1:10" x14ac:dyDescent="0.25">
      <c r="A2318" s="2" t="s">
        <v>6780</v>
      </c>
      <c r="B2318" s="2" t="s">
        <v>6586</v>
      </c>
      <c r="C2318" s="2" t="s">
        <v>6781</v>
      </c>
      <c r="D2318" s="2" t="s">
        <v>10055</v>
      </c>
      <c r="E2318" s="15">
        <v>-0.2271</v>
      </c>
      <c r="F2318" s="15">
        <v>0.1013</v>
      </c>
      <c r="G2318" s="15">
        <v>2.4899999999999999E-2</v>
      </c>
      <c r="H2318" s="15">
        <v>0.12759999999999999</v>
      </c>
      <c r="I2318" s="15">
        <v>4.3700000000000003E-2</v>
      </c>
      <c r="J2318" s="15">
        <v>2.919908466819221</v>
      </c>
    </row>
    <row r="2319" spans="1:10" x14ac:dyDescent="0.25">
      <c r="A2319" s="2" t="s">
        <v>6782</v>
      </c>
      <c r="B2319" s="2" t="s">
        <v>6586</v>
      </c>
      <c r="C2319" s="2" t="s">
        <v>6783</v>
      </c>
      <c r="D2319" s="2" t="s">
        <v>10055</v>
      </c>
      <c r="E2319" s="15"/>
      <c r="F2319" s="15"/>
      <c r="G2319" s="15"/>
      <c r="H2319" s="15">
        <v>-2.63E-2</v>
      </c>
      <c r="I2319" s="15">
        <v>4.8800000000000003E-2</v>
      </c>
      <c r="J2319" s="15">
        <v>-0.53893442622950816</v>
      </c>
    </row>
    <row r="2320" spans="1:10" x14ac:dyDescent="0.25">
      <c r="A2320" s="2" t="s">
        <v>6784</v>
      </c>
      <c r="B2320" s="2" t="s">
        <v>6586</v>
      </c>
      <c r="C2320" s="2" t="s">
        <v>6785</v>
      </c>
      <c r="D2320" s="2" t="s">
        <v>10055</v>
      </c>
      <c r="E2320" s="15"/>
      <c r="F2320" s="15"/>
      <c r="G2320" s="15"/>
      <c r="H2320" s="15">
        <v>-1.6299999999999999E-2</v>
      </c>
      <c r="I2320" s="15">
        <v>4.7899999999999998E-2</v>
      </c>
      <c r="J2320" s="15">
        <v>-0.34029227557411268</v>
      </c>
    </row>
    <row r="2321" spans="1:10" x14ac:dyDescent="0.25">
      <c r="A2321" s="2" t="s">
        <v>6786</v>
      </c>
      <c r="B2321" s="2" t="s">
        <v>6586</v>
      </c>
      <c r="C2321" s="2" t="s">
        <v>6787</v>
      </c>
      <c r="D2321" s="2" t="s">
        <v>10055</v>
      </c>
      <c r="E2321" s="15">
        <v>-5.7999999999999996E-3</v>
      </c>
      <c r="F2321" s="15">
        <v>0.16159999999999999</v>
      </c>
      <c r="G2321" s="15">
        <v>0.97150000000000003</v>
      </c>
      <c r="H2321" s="15">
        <v>4.8099999999999997E-2</v>
      </c>
      <c r="I2321" s="15">
        <v>4.0899999999999999E-2</v>
      </c>
      <c r="J2321" s="15">
        <v>1.1760391198044009</v>
      </c>
    </row>
    <row r="2322" spans="1:10" x14ac:dyDescent="0.25">
      <c r="A2322" s="2" t="s">
        <v>6788</v>
      </c>
      <c r="B2322" s="2" t="s">
        <v>6586</v>
      </c>
      <c r="C2322" s="2" t="s">
        <v>6789</v>
      </c>
      <c r="D2322" s="2" t="s">
        <v>10055</v>
      </c>
      <c r="E2322" s="15">
        <v>-0.21809999999999999</v>
      </c>
      <c r="F2322" s="15">
        <v>0.15390000000000001</v>
      </c>
      <c r="G2322" s="15">
        <v>0.15629999999999999</v>
      </c>
      <c r="H2322" s="15">
        <v>6.9400000000000003E-2</v>
      </c>
      <c r="I2322" s="15">
        <v>4.4499999999999998E-2</v>
      </c>
      <c r="J2322" s="15">
        <v>1.559550561797753</v>
      </c>
    </row>
    <row r="2323" spans="1:10" x14ac:dyDescent="0.25">
      <c r="A2323" s="2" t="s">
        <v>6790</v>
      </c>
      <c r="B2323" s="2" t="s">
        <v>6586</v>
      </c>
      <c r="C2323" s="2" t="s">
        <v>6791</v>
      </c>
      <c r="D2323" s="2" t="s">
        <v>10055</v>
      </c>
      <c r="E2323" s="15">
        <v>-0.161</v>
      </c>
      <c r="F2323" s="15">
        <v>0.113</v>
      </c>
      <c r="G2323" s="15">
        <v>0.15440000000000001</v>
      </c>
      <c r="H2323" s="15">
        <v>9.6500000000000002E-2</v>
      </c>
      <c r="I2323" s="15">
        <v>3.8899999999999997E-2</v>
      </c>
      <c r="J2323" s="15">
        <v>2.480719794344473</v>
      </c>
    </row>
    <row r="2324" spans="1:10" x14ac:dyDescent="0.25">
      <c r="A2324" s="2" t="s">
        <v>6792</v>
      </c>
      <c r="B2324" s="2" t="s">
        <v>6586</v>
      </c>
      <c r="C2324" s="2" t="s">
        <v>6793</v>
      </c>
      <c r="D2324" s="2" t="s">
        <v>10055</v>
      </c>
      <c r="E2324" s="15">
        <v>3.2500000000000001E-2</v>
      </c>
      <c r="F2324" s="15">
        <v>0.1258</v>
      </c>
      <c r="G2324" s="15">
        <v>0.79610000000000003</v>
      </c>
      <c r="H2324" s="15">
        <v>7.17E-2</v>
      </c>
      <c r="I2324" s="15">
        <v>4.7600000000000003E-2</v>
      </c>
      <c r="J2324" s="15">
        <v>1.5063025210084029</v>
      </c>
    </row>
    <row r="2325" spans="1:10" x14ac:dyDescent="0.25">
      <c r="A2325" s="2" t="s">
        <v>6794</v>
      </c>
      <c r="B2325" s="2" t="s">
        <v>6586</v>
      </c>
      <c r="C2325" s="2" t="s">
        <v>6795</v>
      </c>
      <c r="D2325" s="2" t="s">
        <v>10055</v>
      </c>
      <c r="E2325" s="15">
        <v>4.6600000000000003E-2</v>
      </c>
      <c r="F2325" s="15">
        <v>0.1222</v>
      </c>
      <c r="G2325" s="15">
        <v>0.70299999999999996</v>
      </c>
      <c r="H2325" s="15">
        <v>8.0500000000000002E-2</v>
      </c>
      <c r="I2325" s="15">
        <v>4.3999999999999997E-2</v>
      </c>
      <c r="J2325" s="15">
        <v>1.829545454545455</v>
      </c>
    </row>
    <row r="2326" spans="1:10" x14ac:dyDescent="0.25">
      <c r="A2326" s="2" t="s">
        <v>6796</v>
      </c>
      <c r="B2326" s="2" t="s">
        <v>6586</v>
      </c>
      <c r="C2326" s="2" t="s">
        <v>6797</v>
      </c>
      <c r="D2326" s="2" t="s">
        <v>10055</v>
      </c>
      <c r="E2326" s="15">
        <v>0.2283</v>
      </c>
      <c r="F2326" s="15">
        <v>0.18110000000000001</v>
      </c>
      <c r="G2326" s="15">
        <v>0.20730000000000001</v>
      </c>
      <c r="H2326" s="15">
        <v>4.9099999999999998E-2</v>
      </c>
      <c r="I2326" s="15">
        <v>4.2000000000000003E-2</v>
      </c>
      <c r="J2326" s="15">
        <v>1.1690476190476189</v>
      </c>
    </row>
    <row r="2327" spans="1:10" x14ac:dyDescent="0.25">
      <c r="A2327" s="2" t="s">
        <v>6798</v>
      </c>
      <c r="B2327" s="2" t="s">
        <v>6586</v>
      </c>
      <c r="C2327" s="2" t="s">
        <v>6799</v>
      </c>
      <c r="D2327" s="2" t="s">
        <v>10055</v>
      </c>
      <c r="E2327" s="15"/>
      <c r="F2327" s="15"/>
      <c r="G2327" s="15"/>
      <c r="H2327" s="15">
        <v>-3.4700000000000002E-2</v>
      </c>
      <c r="I2327" s="15">
        <v>4.3200000000000002E-2</v>
      </c>
      <c r="J2327" s="15">
        <v>-0.8032407407407407</v>
      </c>
    </row>
    <row r="2328" spans="1:10" x14ac:dyDescent="0.25">
      <c r="A2328" s="2" t="s">
        <v>6800</v>
      </c>
      <c r="B2328" s="2" t="s">
        <v>6586</v>
      </c>
      <c r="C2328" s="2" t="s">
        <v>6801</v>
      </c>
      <c r="D2328" s="2" t="s">
        <v>10055</v>
      </c>
      <c r="E2328" s="15">
        <v>-0.10929999999999999</v>
      </c>
      <c r="F2328" s="15">
        <v>0.13850000000000001</v>
      </c>
      <c r="G2328" s="15">
        <v>0.4304</v>
      </c>
      <c r="H2328" s="15">
        <v>7.1099999999999997E-2</v>
      </c>
      <c r="I2328" s="15">
        <v>4.5199999999999997E-2</v>
      </c>
      <c r="J2328" s="15">
        <v>1.5730088495575221</v>
      </c>
    </row>
    <row r="2329" spans="1:10" x14ac:dyDescent="0.25">
      <c r="A2329" s="2" t="s">
        <v>6802</v>
      </c>
      <c r="B2329" s="2" t="s">
        <v>6586</v>
      </c>
      <c r="C2329" s="2" t="s">
        <v>6803</v>
      </c>
      <c r="D2329" s="2" t="s">
        <v>10055</v>
      </c>
      <c r="E2329" s="15">
        <v>-5.04E-2</v>
      </c>
      <c r="F2329" s="15">
        <v>0.1734</v>
      </c>
      <c r="G2329" s="15">
        <v>0.77159999999999995</v>
      </c>
      <c r="H2329" s="15">
        <v>4.2700000000000002E-2</v>
      </c>
      <c r="I2329" s="15">
        <v>3.8699999999999998E-2</v>
      </c>
      <c r="J2329" s="15">
        <v>1.103359173126615</v>
      </c>
    </row>
    <row r="2330" spans="1:10" x14ac:dyDescent="0.25">
      <c r="A2330" s="2" t="s">
        <v>6804</v>
      </c>
      <c r="B2330" s="2" t="s">
        <v>6586</v>
      </c>
      <c r="C2330" s="2" t="s">
        <v>6805</v>
      </c>
      <c r="D2330" s="2" t="s">
        <v>10055</v>
      </c>
      <c r="E2330" s="15">
        <v>0.16539999999999999</v>
      </c>
      <c r="F2330" s="15">
        <v>0.1404</v>
      </c>
      <c r="G2330" s="15">
        <v>0.2387</v>
      </c>
      <c r="H2330" s="15">
        <v>7.6300000000000007E-2</v>
      </c>
      <c r="I2330" s="15">
        <v>4.4999999999999998E-2</v>
      </c>
      <c r="J2330" s="15">
        <v>1.6955555555555559</v>
      </c>
    </row>
    <row r="2331" spans="1:10" x14ac:dyDescent="0.25">
      <c r="A2331" s="2" t="s">
        <v>6806</v>
      </c>
      <c r="B2331" s="2" t="s">
        <v>6586</v>
      </c>
      <c r="C2331" s="2" t="s">
        <v>6807</v>
      </c>
      <c r="D2331" s="2" t="s">
        <v>10055</v>
      </c>
      <c r="E2331" s="15">
        <v>-8.4599999999999995E-2</v>
      </c>
      <c r="F2331" s="15">
        <v>0.12959999999999999</v>
      </c>
      <c r="G2331" s="15">
        <v>0.5141</v>
      </c>
      <c r="H2331" s="15">
        <v>7.9299999999999995E-2</v>
      </c>
      <c r="I2331" s="15">
        <v>3.9899999999999998E-2</v>
      </c>
      <c r="J2331" s="15">
        <v>1.9874686716791981</v>
      </c>
    </row>
    <row r="2332" spans="1:10" x14ac:dyDescent="0.25">
      <c r="A2332" s="2" t="s">
        <v>6808</v>
      </c>
      <c r="B2332" s="2" t="s">
        <v>6586</v>
      </c>
      <c r="C2332" s="2" t="s">
        <v>6809</v>
      </c>
      <c r="D2332" s="2" t="s">
        <v>10055</v>
      </c>
      <c r="E2332" s="15">
        <v>0.22689999999999999</v>
      </c>
      <c r="F2332" s="15">
        <v>0.18229999999999999</v>
      </c>
      <c r="G2332" s="15">
        <v>0.2132</v>
      </c>
      <c r="H2332" s="15">
        <v>4.9700000000000001E-2</v>
      </c>
      <c r="I2332" s="15">
        <v>4.4499999999999998E-2</v>
      </c>
      <c r="J2332" s="15">
        <v>1.1168539325842699</v>
      </c>
    </row>
    <row r="2333" spans="1:10" x14ac:dyDescent="0.25">
      <c r="A2333" s="2" t="s">
        <v>6810</v>
      </c>
      <c r="B2333" s="2" t="s">
        <v>6586</v>
      </c>
      <c r="C2333" s="2" t="s">
        <v>6811</v>
      </c>
      <c r="D2333" s="2" t="s">
        <v>10055</v>
      </c>
      <c r="E2333" s="15"/>
      <c r="F2333" s="15"/>
      <c r="G2333" s="15"/>
      <c r="H2333" s="15"/>
      <c r="I2333" s="15"/>
      <c r="J2333" s="15"/>
    </row>
    <row r="2334" spans="1:10" x14ac:dyDescent="0.25">
      <c r="A2334" s="2" t="s">
        <v>6812</v>
      </c>
      <c r="B2334" s="2" t="s">
        <v>6586</v>
      </c>
      <c r="C2334" s="2" t="s">
        <v>6813</v>
      </c>
      <c r="D2334" s="2" t="s">
        <v>10055</v>
      </c>
      <c r="E2334" s="15">
        <v>-0.1227</v>
      </c>
      <c r="F2334" s="15">
        <v>0.12609999999999999</v>
      </c>
      <c r="G2334" s="15">
        <v>0.3306</v>
      </c>
      <c r="H2334" s="15">
        <v>7.0900000000000005E-2</v>
      </c>
      <c r="I2334" s="15">
        <v>4.0899999999999999E-2</v>
      </c>
      <c r="J2334" s="15">
        <v>1.7334963325183379</v>
      </c>
    </row>
    <row r="2335" spans="1:10" x14ac:dyDescent="0.25">
      <c r="A2335" s="2" t="s">
        <v>6814</v>
      </c>
      <c r="B2335" s="2" t="s">
        <v>6586</v>
      </c>
      <c r="C2335" s="2" t="s">
        <v>6815</v>
      </c>
      <c r="D2335" s="2" t="s">
        <v>10055</v>
      </c>
      <c r="E2335" s="15"/>
      <c r="F2335" s="15"/>
      <c r="G2335" s="15"/>
      <c r="H2335" s="15">
        <v>-3.5499999999999997E-2</v>
      </c>
      <c r="I2335" s="15">
        <v>3.9800000000000002E-2</v>
      </c>
      <c r="J2335" s="15">
        <v>-0.8919597989949748</v>
      </c>
    </row>
    <row r="2336" spans="1:10" x14ac:dyDescent="0.25">
      <c r="A2336" s="2" t="s">
        <v>6816</v>
      </c>
      <c r="B2336" s="2" t="s">
        <v>6586</v>
      </c>
      <c r="C2336" s="2" t="s">
        <v>6817</v>
      </c>
      <c r="D2336" s="2" t="s">
        <v>10055</v>
      </c>
      <c r="E2336" s="15"/>
      <c r="F2336" s="15"/>
      <c r="G2336" s="15"/>
      <c r="H2336" s="15"/>
      <c r="I2336" s="15"/>
      <c r="J2336" s="15"/>
    </row>
    <row r="2337" spans="1:10" x14ac:dyDescent="0.25">
      <c r="A2337" s="2" t="s">
        <v>6818</v>
      </c>
      <c r="B2337" s="2" t="s">
        <v>6586</v>
      </c>
      <c r="C2337" s="2" t="s">
        <v>6819</v>
      </c>
      <c r="D2337" s="2" t="s">
        <v>10055</v>
      </c>
      <c r="E2337" s="15">
        <v>0.25390000000000001</v>
      </c>
      <c r="F2337" s="15">
        <v>0.26569999999999999</v>
      </c>
      <c r="G2337" s="15">
        <v>0.33939999999999998</v>
      </c>
      <c r="H2337" s="15">
        <v>3.3099999999999997E-2</v>
      </c>
      <c r="I2337" s="15">
        <v>4.2900000000000001E-2</v>
      </c>
      <c r="J2337" s="15">
        <v>0.77156177156177153</v>
      </c>
    </row>
    <row r="2338" spans="1:10" x14ac:dyDescent="0.25">
      <c r="A2338" s="2" t="s">
        <v>6820</v>
      </c>
      <c r="B2338" s="2" t="s">
        <v>6586</v>
      </c>
      <c r="C2338" s="2" t="s">
        <v>6821</v>
      </c>
      <c r="D2338" s="2" t="s">
        <v>10055</v>
      </c>
      <c r="E2338" s="15">
        <v>-0.22850000000000001</v>
      </c>
      <c r="F2338" s="15">
        <v>0.2782</v>
      </c>
      <c r="G2338" s="15">
        <v>0.41149999999999998</v>
      </c>
      <c r="H2338" s="15">
        <v>2.7E-2</v>
      </c>
      <c r="I2338" s="15">
        <v>4.58E-2</v>
      </c>
      <c r="J2338" s="15">
        <v>0.58951965065502188</v>
      </c>
    </row>
    <row r="2339" spans="1:10" x14ac:dyDescent="0.25">
      <c r="A2339" s="2" t="s">
        <v>6822</v>
      </c>
      <c r="B2339" s="2" t="s">
        <v>6586</v>
      </c>
      <c r="C2339" s="2" t="s">
        <v>6823</v>
      </c>
      <c r="D2339" s="2" t="s">
        <v>10055</v>
      </c>
      <c r="E2339" s="15">
        <v>-6.5500000000000003E-2</v>
      </c>
      <c r="F2339" s="15">
        <v>9.4799999999999995E-2</v>
      </c>
      <c r="G2339" s="15">
        <v>0.4894</v>
      </c>
      <c r="H2339" s="15">
        <v>0.14000000000000001</v>
      </c>
      <c r="I2339" s="15">
        <v>3.9600000000000003E-2</v>
      </c>
      <c r="J2339" s="15">
        <v>3.535353535353535</v>
      </c>
    </row>
    <row r="2340" spans="1:10" x14ac:dyDescent="0.25">
      <c r="A2340" s="2" t="s">
        <v>6824</v>
      </c>
      <c r="B2340" s="2" t="s">
        <v>6586</v>
      </c>
      <c r="C2340" s="2" t="s">
        <v>6825</v>
      </c>
      <c r="D2340" s="2" t="s">
        <v>10055</v>
      </c>
      <c r="E2340" s="15">
        <v>1.7600000000000001E-2</v>
      </c>
      <c r="F2340" s="15">
        <v>9.1399999999999995E-2</v>
      </c>
      <c r="G2340" s="15">
        <v>0.84719999999999995</v>
      </c>
      <c r="H2340" s="15">
        <v>0.127</v>
      </c>
      <c r="I2340" s="15">
        <v>4.0500000000000001E-2</v>
      </c>
      <c r="J2340" s="15">
        <v>3.1358024691358031</v>
      </c>
    </row>
    <row r="2341" spans="1:10" x14ac:dyDescent="0.25">
      <c r="A2341" s="2" t="s">
        <v>6826</v>
      </c>
      <c r="B2341" s="2" t="s">
        <v>6586</v>
      </c>
      <c r="C2341" s="2" t="s">
        <v>6827</v>
      </c>
      <c r="D2341" s="2" t="s">
        <v>10055</v>
      </c>
      <c r="E2341" s="15">
        <v>-7.0400000000000004E-2</v>
      </c>
      <c r="F2341" s="15">
        <v>0.23380000000000001</v>
      </c>
      <c r="G2341" s="15">
        <v>0.76339999999999997</v>
      </c>
      <c r="H2341" s="15">
        <v>2.3199999999999998E-2</v>
      </c>
      <c r="I2341" s="15">
        <v>3.78E-2</v>
      </c>
      <c r="J2341" s="15">
        <v>0.61375661375661372</v>
      </c>
    </row>
    <row r="2342" spans="1:10" x14ac:dyDescent="0.25">
      <c r="A2342" s="2" t="s">
        <v>6828</v>
      </c>
      <c r="B2342" s="2" t="s">
        <v>6586</v>
      </c>
      <c r="C2342" s="2" t="s">
        <v>6829</v>
      </c>
      <c r="D2342" s="2" t="s">
        <v>10055</v>
      </c>
      <c r="E2342" s="15"/>
      <c r="F2342" s="15"/>
      <c r="G2342" s="15"/>
      <c r="H2342" s="15"/>
      <c r="I2342" s="15"/>
      <c r="J2342" s="15"/>
    </row>
    <row r="2343" spans="1:10" x14ac:dyDescent="0.25">
      <c r="A2343" s="2" t="s">
        <v>6830</v>
      </c>
      <c r="B2343" s="2" t="s">
        <v>6586</v>
      </c>
      <c r="C2343" s="2" t="s">
        <v>6831</v>
      </c>
      <c r="D2343" s="2" t="s">
        <v>10055</v>
      </c>
      <c r="E2343" s="15">
        <v>-0.30630000000000002</v>
      </c>
      <c r="F2343" s="15">
        <v>0.2974</v>
      </c>
      <c r="G2343" s="15">
        <v>0.30309999999999998</v>
      </c>
      <c r="H2343" s="15">
        <v>3.0800000000000001E-2</v>
      </c>
      <c r="I2343" s="15">
        <v>4.3799999999999999E-2</v>
      </c>
      <c r="J2343" s="15">
        <v>0.70319634703196354</v>
      </c>
    </row>
    <row r="2344" spans="1:10" x14ac:dyDescent="0.25">
      <c r="A2344" s="2" t="s">
        <v>6832</v>
      </c>
      <c r="B2344" s="2" t="s">
        <v>6586</v>
      </c>
      <c r="C2344" s="2" t="s">
        <v>6833</v>
      </c>
      <c r="D2344" s="2" t="s">
        <v>10055</v>
      </c>
      <c r="E2344" s="15"/>
      <c r="F2344" s="15"/>
      <c r="G2344" s="15"/>
      <c r="H2344" s="15">
        <v>-1.61E-2</v>
      </c>
      <c r="I2344" s="15">
        <v>3.8699999999999998E-2</v>
      </c>
      <c r="J2344" s="15">
        <v>-0.41602067183462532</v>
      </c>
    </row>
    <row r="2345" spans="1:10" x14ac:dyDescent="0.25">
      <c r="A2345" s="2" t="s">
        <v>6834</v>
      </c>
      <c r="B2345" s="2" t="s">
        <v>6586</v>
      </c>
      <c r="C2345" s="2" t="s">
        <v>6835</v>
      </c>
      <c r="D2345" s="2" t="s">
        <v>10055</v>
      </c>
      <c r="E2345" s="15">
        <v>-0.2341</v>
      </c>
      <c r="F2345" s="15">
        <v>0.31619999999999998</v>
      </c>
      <c r="G2345" s="15">
        <v>0.45900000000000002</v>
      </c>
      <c r="H2345" s="15">
        <v>2.3199999999999998E-2</v>
      </c>
      <c r="I2345" s="15">
        <v>3.9E-2</v>
      </c>
      <c r="J2345" s="15">
        <v>0.59487179487179487</v>
      </c>
    </row>
    <row r="2346" spans="1:10" x14ac:dyDescent="0.25">
      <c r="A2346" s="2" t="s">
        <v>6836</v>
      </c>
      <c r="B2346" s="2" t="s">
        <v>6586</v>
      </c>
      <c r="C2346" s="2" t="s">
        <v>6837</v>
      </c>
      <c r="D2346" s="2" t="s">
        <v>10055</v>
      </c>
      <c r="E2346" s="15">
        <v>-9.6299999999999997E-2</v>
      </c>
      <c r="F2346" s="15">
        <v>0.1108</v>
      </c>
      <c r="G2346" s="15">
        <v>0.38440000000000002</v>
      </c>
      <c r="H2346" s="15">
        <v>0.10829999999999999</v>
      </c>
      <c r="I2346" s="15">
        <v>4.0800000000000003E-2</v>
      </c>
      <c r="J2346" s="15">
        <v>2.6544117647058818</v>
      </c>
    </row>
    <row r="2347" spans="1:10" x14ac:dyDescent="0.25">
      <c r="A2347" s="2" t="s">
        <v>6838</v>
      </c>
      <c r="B2347" s="2" t="s">
        <v>6586</v>
      </c>
      <c r="C2347" s="2" t="s">
        <v>6839</v>
      </c>
      <c r="D2347" s="2" t="s">
        <v>10055</v>
      </c>
      <c r="E2347" s="15"/>
      <c r="F2347" s="15"/>
      <c r="G2347" s="15"/>
      <c r="H2347" s="15">
        <v>-2.1899999999999999E-2</v>
      </c>
      <c r="I2347" s="15">
        <v>4.1099999999999998E-2</v>
      </c>
      <c r="J2347" s="15">
        <v>-0.53284671532846717</v>
      </c>
    </row>
    <row r="2348" spans="1:10" x14ac:dyDescent="0.25">
      <c r="A2348" s="2" t="s">
        <v>6840</v>
      </c>
      <c r="B2348" s="2" t="s">
        <v>6586</v>
      </c>
      <c r="C2348" s="2" t="s">
        <v>6841</v>
      </c>
      <c r="D2348" s="2" t="s">
        <v>10055</v>
      </c>
      <c r="E2348" s="15">
        <v>-3.7100000000000001E-2</v>
      </c>
      <c r="F2348" s="15">
        <v>0.1167</v>
      </c>
      <c r="G2348" s="15">
        <v>0.75070000000000003</v>
      </c>
      <c r="H2348" s="15">
        <v>8.9599999999999999E-2</v>
      </c>
      <c r="I2348" s="15">
        <v>4.02E-2</v>
      </c>
      <c r="J2348" s="15">
        <v>2.2288557213930349</v>
      </c>
    </row>
    <row r="2349" spans="1:10" x14ac:dyDescent="0.25">
      <c r="A2349" s="2" t="s">
        <v>6842</v>
      </c>
      <c r="B2349" s="2" t="s">
        <v>6586</v>
      </c>
      <c r="C2349" s="2" t="s">
        <v>6843</v>
      </c>
      <c r="D2349" s="2" t="s">
        <v>10055</v>
      </c>
      <c r="E2349" s="15">
        <v>6.9599999999999995E-2</v>
      </c>
      <c r="F2349" s="15">
        <v>0.14419999999999999</v>
      </c>
      <c r="G2349" s="15">
        <v>0.62919999999999998</v>
      </c>
      <c r="H2349" s="15">
        <v>5.4800000000000001E-2</v>
      </c>
      <c r="I2349" s="15">
        <v>4.0500000000000001E-2</v>
      </c>
      <c r="J2349" s="15">
        <v>1.353086419753087</v>
      </c>
    </row>
    <row r="2350" spans="1:10" x14ac:dyDescent="0.25">
      <c r="A2350" s="2" t="s">
        <v>6844</v>
      </c>
      <c r="B2350" s="2" t="s">
        <v>6586</v>
      </c>
      <c r="C2350" s="2" t="s">
        <v>6845</v>
      </c>
      <c r="D2350" s="2" t="s">
        <v>10055</v>
      </c>
      <c r="E2350" s="15">
        <v>0.1056</v>
      </c>
      <c r="F2350" s="15">
        <v>0.12479999999999999</v>
      </c>
      <c r="G2350" s="15">
        <v>0.39750000000000002</v>
      </c>
      <c r="H2350" s="15">
        <v>0.1077</v>
      </c>
      <c r="I2350" s="15">
        <v>4.3200000000000002E-2</v>
      </c>
      <c r="J2350" s="15">
        <v>2.4930555555555549</v>
      </c>
    </row>
    <row r="2351" spans="1:10" x14ac:dyDescent="0.25">
      <c r="A2351" s="2" t="s">
        <v>6846</v>
      </c>
      <c r="B2351" s="2" t="s">
        <v>6586</v>
      </c>
      <c r="C2351" s="2" t="s">
        <v>6847</v>
      </c>
      <c r="D2351" s="2" t="s">
        <v>10055</v>
      </c>
      <c r="E2351" s="15"/>
      <c r="F2351" s="15"/>
      <c r="G2351" s="15"/>
      <c r="H2351" s="15">
        <v>-1.1999999999999999E-3</v>
      </c>
      <c r="I2351" s="15">
        <v>4.36E-2</v>
      </c>
      <c r="J2351" s="15">
        <v>-2.7522935779816508E-2</v>
      </c>
    </row>
    <row r="2352" spans="1:10" x14ac:dyDescent="0.25">
      <c r="A2352" s="2" t="s">
        <v>6848</v>
      </c>
      <c r="B2352" s="2" t="s">
        <v>6586</v>
      </c>
      <c r="C2352" s="2" t="s">
        <v>6849</v>
      </c>
      <c r="D2352" s="2" t="s">
        <v>10055</v>
      </c>
      <c r="E2352" s="15">
        <v>0.433</v>
      </c>
      <c r="F2352" s="15">
        <v>0.53720000000000001</v>
      </c>
      <c r="G2352" s="15">
        <v>0.42020000000000002</v>
      </c>
      <c r="H2352" s="15">
        <v>2.23E-2</v>
      </c>
      <c r="I2352" s="15">
        <v>4.3200000000000002E-2</v>
      </c>
      <c r="J2352" s="15">
        <v>0.51620370370370372</v>
      </c>
    </row>
    <row r="2353" spans="1:10" x14ac:dyDescent="0.25">
      <c r="A2353" s="2" t="s">
        <v>6850</v>
      </c>
      <c r="B2353" s="2" t="s">
        <v>6586</v>
      </c>
      <c r="C2353" s="2" t="s">
        <v>6851</v>
      </c>
      <c r="D2353" s="2" t="s">
        <v>10055</v>
      </c>
      <c r="E2353" s="15">
        <v>-0.11700000000000001</v>
      </c>
      <c r="F2353" s="15">
        <v>0.15010000000000001</v>
      </c>
      <c r="G2353" s="15">
        <v>0.436</v>
      </c>
      <c r="H2353" s="15">
        <v>6.9400000000000003E-2</v>
      </c>
      <c r="I2353" s="15">
        <v>3.8300000000000001E-2</v>
      </c>
      <c r="J2353" s="15">
        <v>1.8120104438642299</v>
      </c>
    </row>
    <row r="2354" spans="1:10" x14ac:dyDescent="0.25">
      <c r="A2354" s="2" t="s">
        <v>6852</v>
      </c>
      <c r="B2354" s="2" t="s">
        <v>6586</v>
      </c>
      <c r="C2354" s="2" t="s">
        <v>6853</v>
      </c>
      <c r="D2354" s="2" t="s">
        <v>10055</v>
      </c>
      <c r="E2354" s="15">
        <v>-5.2999999999999999E-2</v>
      </c>
      <c r="F2354" s="15">
        <v>0.15959999999999999</v>
      </c>
      <c r="G2354" s="15">
        <v>0.73980000000000001</v>
      </c>
      <c r="H2354" s="15">
        <v>5.4699999999999999E-2</v>
      </c>
      <c r="I2354" s="15">
        <v>4.1399999999999999E-2</v>
      </c>
      <c r="J2354" s="15">
        <v>1.3212560386473431</v>
      </c>
    </row>
    <row r="2355" spans="1:10" x14ac:dyDescent="0.25">
      <c r="A2355" s="2" t="s">
        <v>6854</v>
      </c>
      <c r="B2355" s="2" t="s">
        <v>6586</v>
      </c>
      <c r="C2355" s="2" t="s">
        <v>6855</v>
      </c>
      <c r="D2355" s="2" t="s">
        <v>10055</v>
      </c>
      <c r="E2355" s="15">
        <v>6.7999999999999996E-3</v>
      </c>
      <c r="F2355" s="15">
        <v>0.1394</v>
      </c>
      <c r="G2355" s="15">
        <v>0.96140000000000003</v>
      </c>
      <c r="H2355" s="15">
        <v>6.93E-2</v>
      </c>
      <c r="I2355" s="15">
        <v>3.8399999999999997E-2</v>
      </c>
      <c r="J2355" s="15">
        <v>1.8046875</v>
      </c>
    </row>
    <row r="2356" spans="1:10" x14ac:dyDescent="0.25">
      <c r="A2356" s="2" t="s">
        <v>6856</v>
      </c>
      <c r="B2356" s="2" t="s">
        <v>6586</v>
      </c>
      <c r="C2356" s="2" t="s">
        <v>6857</v>
      </c>
      <c r="D2356" s="2" t="s">
        <v>10055</v>
      </c>
      <c r="E2356" s="15">
        <v>7.3200000000000001E-2</v>
      </c>
      <c r="F2356" s="15">
        <v>0.25990000000000002</v>
      </c>
      <c r="G2356" s="15">
        <v>0.77829999999999999</v>
      </c>
      <c r="H2356" s="15">
        <v>2.1600000000000001E-2</v>
      </c>
      <c r="I2356" s="15">
        <v>3.8800000000000001E-2</v>
      </c>
      <c r="J2356" s="15">
        <v>0.55670103092783507</v>
      </c>
    </row>
    <row r="2357" spans="1:10" x14ac:dyDescent="0.25">
      <c r="A2357" s="2" t="s">
        <v>6858</v>
      </c>
      <c r="B2357" s="2" t="s">
        <v>6586</v>
      </c>
      <c r="C2357" s="2" t="s">
        <v>6859</v>
      </c>
      <c r="D2357" s="2" t="s">
        <v>10055</v>
      </c>
      <c r="E2357" s="15">
        <v>-1.11E-2</v>
      </c>
      <c r="F2357" s="15">
        <v>0.12740000000000001</v>
      </c>
      <c r="G2357" s="15">
        <v>0.9304</v>
      </c>
      <c r="H2357" s="15">
        <v>6.8000000000000005E-2</v>
      </c>
      <c r="I2357" s="15">
        <v>4.0099999999999997E-2</v>
      </c>
      <c r="J2357" s="15">
        <v>1.6957605985037409</v>
      </c>
    </row>
    <row r="2358" spans="1:10" x14ac:dyDescent="0.25">
      <c r="A2358" s="2" t="s">
        <v>6860</v>
      </c>
      <c r="B2358" s="2" t="s">
        <v>6586</v>
      </c>
      <c r="C2358" s="2" t="s">
        <v>6861</v>
      </c>
      <c r="D2358" s="2" t="s">
        <v>10055</v>
      </c>
      <c r="E2358" s="15">
        <v>1.37E-2</v>
      </c>
      <c r="F2358" s="15">
        <v>0.1091</v>
      </c>
      <c r="G2358" s="15">
        <v>0.89970000000000006</v>
      </c>
      <c r="H2358" s="15">
        <v>0.1057</v>
      </c>
      <c r="I2358" s="15">
        <v>4.0399999999999998E-2</v>
      </c>
      <c r="J2358" s="15">
        <v>2.6163366336633671</v>
      </c>
    </row>
    <row r="2359" spans="1:10" x14ac:dyDescent="0.25">
      <c r="A2359" s="2" t="s">
        <v>6862</v>
      </c>
      <c r="B2359" s="2" t="s">
        <v>6586</v>
      </c>
      <c r="C2359" s="2" t="s">
        <v>6863</v>
      </c>
      <c r="D2359" s="2" t="s">
        <v>10055</v>
      </c>
      <c r="E2359" s="15">
        <v>2.3199999999999998E-2</v>
      </c>
      <c r="F2359" s="15">
        <v>0.1338</v>
      </c>
      <c r="G2359" s="15">
        <v>0.86229999999999996</v>
      </c>
      <c r="H2359" s="15">
        <v>8.1100000000000005E-2</v>
      </c>
      <c r="I2359" s="15">
        <v>3.9E-2</v>
      </c>
      <c r="J2359" s="15">
        <v>2.0794871794871801</v>
      </c>
    </row>
    <row r="2360" spans="1:10" x14ac:dyDescent="0.25">
      <c r="A2360" s="2" t="s">
        <v>6864</v>
      </c>
      <c r="B2360" s="2" t="s">
        <v>6586</v>
      </c>
      <c r="C2360" s="2" t="s">
        <v>6865</v>
      </c>
      <c r="D2360" s="2" t="s">
        <v>10055</v>
      </c>
      <c r="E2360" s="15">
        <v>0.08</v>
      </c>
      <c r="F2360" s="15">
        <v>0.61280000000000001</v>
      </c>
      <c r="G2360" s="15">
        <v>0.89610000000000001</v>
      </c>
      <c r="H2360" s="15">
        <v>7.9000000000000008E-3</v>
      </c>
      <c r="I2360" s="15">
        <v>3.85E-2</v>
      </c>
      <c r="J2360" s="15">
        <v>0.20519480519480521</v>
      </c>
    </row>
    <row r="2361" spans="1:10" x14ac:dyDescent="0.25">
      <c r="A2361" s="2" t="s">
        <v>6866</v>
      </c>
      <c r="B2361" s="2" t="s">
        <v>6586</v>
      </c>
      <c r="C2361" s="2" t="s">
        <v>6867</v>
      </c>
      <c r="D2361" s="2" t="s">
        <v>10055</v>
      </c>
      <c r="E2361" s="15">
        <v>6.8699999999999997E-2</v>
      </c>
      <c r="F2361" s="15">
        <v>0.15279999999999999</v>
      </c>
      <c r="G2361" s="15">
        <v>0.65310000000000001</v>
      </c>
      <c r="H2361" s="15">
        <v>5.4100000000000002E-2</v>
      </c>
      <c r="I2361" s="15">
        <v>3.73E-2</v>
      </c>
      <c r="J2361" s="15">
        <v>1.450402144772118</v>
      </c>
    </row>
    <row r="2362" spans="1:10" x14ac:dyDescent="0.25">
      <c r="A2362" s="2" t="s">
        <v>6868</v>
      </c>
      <c r="B2362" s="2" t="s">
        <v>6586</v>
      </c>
      <c r="C2362" s="2" t="s">
        <v>6869</v>
      </c>
      <c r="D2362" s="2" t="s">
        <v>10055</v>
      </c>
      <c r="E2362" s="15">
        <v>-3.6299999999999999E-2</v>
      </c>
      <c r="F2362" s="15">
        <v>0.24429999999999999</v>
      </c>
      <c r="G2362" s="15">
        <v>0.88180000000000003</v>
      </c>
      <c r="H2362" s="15">
        <v>2.4500000000000001E-2</v>
      </c>
      <c r="I2362" s="15">
        <v>4.1599999999999998E-2</v>
      </c>
      <c r="J2362" s="15">
        <v>0.58894230769230771</v>
      </c>
    </row>
    <row r="2363" spans="1:10" x14ac:dyDescent="0.25">
      <c r="A2363" s="2" t="s">
        <v>6870</v>
      </c>
      <c r="B2363" s="2" t="s">
        <v>6586</v>
      </c>
      <c r="C2363" s="2" t="s">
        <v>6871</v>
      </c>
      <c r="D2363" s="2" t="s">
        <v>10055</v>
      </c>
      <c r="E2363" s="15">
        <v>-0.1229</v>
      </c>
      <c r="F2363" s="15">
        <v>0.2261</v>
      </c>
      <c r="G2363" s="15">
        <v>0.58689999999999998</v>
      </c>
      <c r="H2363" s="15">
        <v>2.8899999999999999E-2</v>
      </c>
      <c r="I2363" s="15">
        <v>3.8800000000000001E-2</v>
      </c>
      <c r="J2363" s="15">
        <v>0.74484536082474218</v>
      </c>
    </row>
    <row r="2364" spans="1:10" x14ac:dyDescent="0.25">
      <c r="A2364" s="2" t="s">
        <v>6872</v>
      </c>
      <c r="B2364" s="2" t="s">
        <v>6586</v>
      </c>
      <c r="C2364" s="2" t="s">
        <v>6873</v>
      </c>
      <c r="D2364" s="2" t="s">
        <v>10055</v>
      </c>
      <c r="E2364" s="15"/>
      <c r="F2364" s="15"/>
      <c r="G2364" s="15"/>
      <c r="H2364" s="15">
        <v>-5.7200000000000001E-2</v>
      </c>
      <c r="I2364" s="15">
        <v>3.7900000000000003E-2</v>
      </c>
      <c r="J2364" s="15">
        <v>-1.509234828496042</v>
      </c>
    </row>
    <row r="2365" spans="1:10" x14ac:dyDescent="0.25">
      <c r="A2365" s="2" t="s">
        <v>6874</v>
      </c>
      <c r="B2365" s="2" t="s">
        <v>6586</v>
      </c>
      <c r="C2365" s="2" t="s">
        <v>6875</v>
      </c>
      <c r="D2365" s="2" t="s">
        <v>10055</v>
      </c>
      <c r="E2365" s="15">
        <v>-0.2208</v>
      </c>
      <c r="F2365" s="15">
        <v>0.19089999999999999</v>
      </c>
      <c r="G2365" s="15">
        <v>0.2475</v>
      </c>
      <c r="H2365" s="15">
        <v>4.4600000000000001E-2</v>
      </c>
      <c r="I2365" s="15">
        <v>3.9100000000000003E-2</v>
      </c>
      <c r="J2365" s="15">
        <v>1.140664961636829</v>
      </c>
    </row>
    <row r="2366" spans="1:10" x14ac:dyDescent="0.25">
      <c r="A2366" s="2" t="s">
        <v>6876</v>
      </c>
      <c r="B2366" s="2" t="s">
        <v>6586</v>
      </c>
      <c r="C2366" s="2" t="s">
        <v>6877</v>
      </c>
      <c r="D2366" s="2" t="s">
        <v>10055</v>
      </c>
      <c r="E2366" s="15"/>
      <c r="F2366" s="15"/>
      <c r="G2366" s="15"/>
      <c r="H2366" s="15"/>
      <c r="I2366" s="15"/>
      <c r="J2366" s="15"/>
    </row>
    <row r="2367" spans="1:10" x14ac:dyDescent="0.25">
      <c r="A2367" s="2" t="s">
        <v>6878</v>
      </c>
      <c r="B2367" s="2" t="s">
        <v>6586</v>
      </c>
      <c r="C2367" s="2" t="s">
        <v>6879</v>
      </c>
      <c r="D2367" s="2" t="s">
        <v>10055</v>
      </c>
      <c r="E2367" s="15">
        <v>-0.1019</v>
      </c>
      <c r="F2367" s="15">
        <v>0.22289999999999999</v>
      </c>
      <c r="G2367" s="15">
        <v>0.64759999999999995</v>
      </c>
      <c r="H2367" s="15">
        <v>3.2899999999999999E-2</v>
      </c>
      <c r="I2367" s="15">
        <v>4.1599999999999998E-2</v>
      </c>
      <c r="J2367" s="15">
        <v>0.79086538461538458</v>
      </c>
    </row>
    <row r="2368" spans="1:10" x14ac:dyDescent="0.25">
      <c r="A2368" s="2" t="s">
        <v>6880</v>
      </c>
      <c r="B2368" s="2" t="s">
        <v>6586</v>
      </c>
      <c r="C2368" s="2" t="s">
        <v>6881</v>
      </c>
      <c r="D2368" s="2" t="s">
        <v>10055</v>
      </c>
      <c r="E2368" s="15">
        <v>-3.2000000000000002E-3</v>
      </c>
      <c r="F2368" s="15">
        <v>0.16</v>
      </c>
      <c r="G2368" s="15">
        <v>0.98409999999999997</v>
      </c>
      <c r="H2368" s="15">
        <v>6.7900000000000002E-2</v>
      </c>
      <c r="I2368" s="15">
        <v>3.9600000000000003E-2</v>
      </c>
      <c r="J2368" s="15">
        <v>1.714646464646465</v>
      </c>
    </row>
    <row r="2369" spans="1:10" x14ac:dyDescent="0.25">
      <c r="A2369" s="2" t="s">
        <v>6882</v>
      </c>
      <c r="B2369" s="2" t="s">
        <v>6586</v>
      </c>
      <c r="C2369" s="2" t="s">
        <v>6883</v>
      </c>
      <c r="D2369" s="2" t="s">
        <v>10055</v>
      </c>
      <c r="E2369" s="15">
        <v>-3.5799999999999998E-2</v>
      </c>
      <c r="F2369" s="15">
        <v>0.1469</v>
      </c>
      <c r="G2369" s="15">
        <v>0.8075</v>
      </c>
      <c r="H2369" s="15">
        <v>5.7299999999999997E-2</v>
      </c>
      <c r="I2369" s="15">
        <v>4.2700000000000002E-2</v>
      </c>
      <c r="J2369" s="15">
        <v>1.3419203747072601</v>
      </c>
    </row>
    <row r="2370" spans="1:10" x14ac:dyDescent="0.25">
      <c r="A2370" s="2" t="s">
        <v>6884</v>
      </c>
      <c r="B2370" s="2" t="s">
        <v>6586</v>
      </c>
      <c r="C2370" s="2" t="s">
        <v>6885</v>
      </c>
      <c r="D2370" s="2" t="s">
        <v>10055</v>
      </c>
      <c r="E2370" s="15">
        <v>2.4199999999999999E-2</v>
      </c>
      <c r="F2370" s="15">
        <v>0.2</v>
      </c>
      <c r="G2370" s="15">
        <v>0.90349999999999997</v>
      </c>
      <c r="H2370" s="15">
        <v>3.0200000000000001E-2</v>
      </c>
      <c r="I2370" s="15">
        <v>4.0800000000000003E-2</v>
      </c>
      <c r="J2370" s="15">
        <v>0.74019607843137247</v>
      </c>
    </row>
    <row r="2371" spans="1:10" x14ac:dyDescent="0.25">
      <c r="A2371" s="2" t="s">
        <v>6886</v>
      </c>
      <c r="B2371" s="2" t="s">
        <v>6586</v>
      </c>
      <c r="C2371" s="2" t="s">
        <v>6887</v>
      </c>
      <c r="D2371" s="2" t="s">
        <v>10055</v>
      </c>
      <c r="E2371" s="15">
        <v>0.1071</v>
      </c>
      <c r="F2371" s="15">
        <v>0.15090000000000001</v>
      </c>
      <c r="G2371" s="15">
        <v>0.4778</v>
      </c>
      <c r="H2371" s="15">
        <v>5.7000000000000002E-2</v>
      </c>
      <c r="I2371" s="15">
        <v>4.4499999999999998E-2</v>
      </c>
      <c r="J2371" s="15">
        <v>1.280898876404494</v>
      </c>
    </row>
    <row r="2372" spans="1:10" x14ac:dyDescent="0.25">
      <c r="A2372" s="2" t="s">
        <v>6888</v>
      </c>
      <c r="B2372" s="2" t="s">
        <v>6586</v>
      </c>
      <c r="C2372" s="2" t="s">
        <v>6889</v>
      </c>
      <c r="D2372" s="2" t="s">
        <v>10055</v>
      </c>
      <c r="E2372" s="15"/>
      <c r="F2372" s="15"/>
      <c r="G2372" s="15"/>
      <c r="H2372" s="15">
        <v>-4.1000000000000003E-3</v>
      </c>
      <c r="I2372" s="15">
        <v>4.1799999999999997E-2</v>
      </c>
      <c r="J2372" s="15">
        <v>-9.8086124401913888E-2</v>
      </c>
    </row>
    <row r="2373" spans="1:10" x14ac:dyDescent="0.25">
      <c r="A2373" s="2" t="s">
        <v>6890</v>
      </c>
      <c r="B2373" s="2" t="s">
        <v>6586</v>
      </c>
      <c r="C2373" s="2" t="s">
        <v>6891</v>
      </c>
      <c r="D2373" s="2" t="s">
        <v>10055</v>
      </c>
      <c r="E2373" s="15">
        <v>4.0300000000000002E-2</v>
      </c>
      <c r="F2373" s="15">
        <v>0.14280000000000001</v>
      </c>
      <c r="G2373" s="15">
        <v>0.77810000000000001</v>
      </c>
      <c r="H2373" s="15">
        <v>6.1800000000000001E-2</v>
      </c>
      <c r="I2373" s="15">
        <v>4.8899999999999999E-2</v>
      </c>
      <c r="J2373" s="15">
        <v>1.2638036809815949</v>
      </c>
    </row>
    <row r="2374" spans="1:10" x14ac:dyDescent="0.25">
      <c r="A2374" s="2" t="s">
        <v>6892</v>
      </c>
      <c r="B2374" s="2" t="s">
        <v>6586</v>
      </c>
      <c r="C2374" s="2" t="s">
        <v>6893</v>
      </c>
      <c r="D2374" s="2" t="s">
        <v>10055</v>
      </c>
      <c r="E2374" s="15"/>
      <c r="F2374" s="15"/>
      <c r="G2374" s="15"/>
      <c r="H2374" s="15"/>
      <c r="I2374" s="15"/>
      <c r="J2374" s="15"/>
    </row>
    <row r="2375" spans="1:10" x14ac:dyDescent="0.25">
      <c r="A2375" s="2" t="s">
        <v>6894</v>
      </c>
      <c r="B2375" s="2" t="s">
        <v>6586</v>
      </c>
      <c r="C2375" s="2" t="s">
        <v>6895</v>
      </c>
      <c r="D2375" s="2" t="s">
        <v>10055</v>
      </c>
      <c r="E2375" s="15">
        <v>0.14760000000000001</v>
      </c>
      <c r="F2375" s="15">
        <v>0.38769999999999999</v>
      </c>
      <c r="G2375" s="15">
        <v>0.70350000000000001</v>
      </c>
      <c r="H2375" s="15">
        <v>1.49E-2</v>
      </c>
      <c r="I2375" s="15">
        <v>3.95E-2</v>
      </c>
      <c r="J2375" s="15">
        <v>0.37721518987341768</v>
      </c>
    </row>
    <row r="2376" spans="1:10" x14ac:dyDescent="0.25">
      <c r="A2376" s="2" t="s">
        <v>6896</v>
      </c>
      <c r="B2376" s="2" t="s">
        <v>6586</v>
      </c>
      <c r="C2376" s="2" t="s">
        <v>6897</v>
      </c>
      <c r="D2376" s="2" t="s">
        <v>10055</v>
      </c>
      <c r="E2376" s="15"/>
      <c r="F2376" s="15"/>
      <c r="G2376" s="15"/>
      <c r="H2376" s="15">
        <v>-1.34E-2</v>
      </c>
      <c r="I2376" s="15">
        <v>3.7199999999999997E-2</v>
      </c>
      <c r="J2376" s="15">
        <v>-0.36021505376344087</v>
      </c>
    </row>
    <row r="2377" spans="1:10" x14ac:dyDescent="0.25">
      <c r="A2377" s="2" t="s">
        <v>6898</v>
      </c>
      <c r="B2377" s="2" t="s">
        <v>6586</v>
      </c>
      <c r="C2377" s="2" t="s">
        <v>6899</v>
      </c>
      <c r="D2377" s="2" t="s">
        <v>10055</v>
      </c>
      <c r="E2377" s="15">
        <v>0.11840000000000001</v>
      </c>
      <c r="F2377" s="15">
        <v>0.3715</v>
      </c>
      <c r="G2377" s="15">
        <v>0.75</v>
      </c>
      <c r="H2377" s="15">
        <v>1.44E-2</v>
      </c>
      <c r="I2377" s="15">
        <v>4.4200000000000003E-2</v>
      </c>
      <c r="J2377" s="15">
        <v>0.32579185520361992</v>
      </c>
    </row>
    <row r="2378" spans="1:10" x14ac:dyDescent="0.25">
      <c r="A2378" s="2" t="s">
        <v>6900</v>
      </c>
      <c r="B2378" s="2" t="s">
        <v>6586</v>
      </c>
      <c r="C2378" s="2" t="s">
        <v>6901</v>
      </c>
      <c r="D2378" s="2" t="s">
        <v>10055</v>
      </c>
      <c r="E2378" s="15">
        <v>-0.10639999999999999</v>
      </c>
      <c r="F2378" s="15">
        <v>0.2049</v>
      </c>
      <c r="G2378" s="15">
        <v>0.60340000000000005</v>
      </c>
      <c r="H2378" s="15">
        <v>2.9499999999999998E-2</v>
      </c>
      <c r="I2378" s="15">
        <v>4.0599999999999997E-2</v>
      </c>
      <c r="J2378" s="15">
        <v>0.72660098522167493</v>
      </c>
    </row>
    <row r="2379" spans="1:10" x14ac:dyDescent="0.25">
      <c r="A2379" s="2" t="s">
        <v>6902</v>
      </c>
      <c r="B2379" s="2" t="s">
        <v>6586</v>
      </c>
      <c r="C2379" s="2" t="s">
        <v>6903</v>
      </c>
      <c r="D2379" s="2" t="s">
        <v>10055</v>
      </c>
      <c r="E2379" s="15">
        <v>0.12770000000000001</v>
      </c>
      <c r="F2379" s="15">
        <v>0.2591</v>
      </c>
      <c r="G2379" s="15">
        <v>0.62209999999999999</v>
      </c>
      <c r="H2379" s="15">
        <v>1.95E-2</v>
      </c>
      <c r="I2379" s="15">
        <v>3.8800000000000001E-2</v>
      </c>
      <c r="J2379" s="15">
        <v>0.50257731958762886</v>
      </c>
    </row>
    <row r="2380" spans="1:10" x14ac:dyDescent="0.25">
      <c r="A2380" s="2" t="s">
        <v>6904</v>
      </c>
      <c r="B2380" s="2" t="s">
        <v>6586</v>
      </c>
      <c r="C2380" s="2" t="s">
        <v>6905</v>
      </c>
      <c r="D2380" s="2" t="s">
        <v>10055</v>
      </c>
      <c r="E2380" s="15"/>
      <c r="F2380" s="15"/>
      <c r="G2380" s="15"/>
      <c r="H2380" s="15"/>
      <c r="I2380" s="15"/>
      <c r="J2380" s="15"/>
    </row>
    <row r="2381" spans="1:10" x14ac:dyDescent="0.25">
      <c r="A2381" s="2" t="s">
        <v>6906</v>
      </c>
      <c r="B2381" s="2" t="s">
        <v>6586</v>
      </c>
      <c r="C2381" s="2" t="s">
        <v>6907</v>
      </c>
      <c r="D2381" s="2" t="s">
        <v>10055</v>
      </c>
      <c r="E2381" s="15">
        <v>-2.46E-2</v>
      </c>
      <c r="F2381" s="15">
        <v>0.123</v>
      </c>
      <c r="G2381" s="15">
        <v>0.84130000000000005</v>
      </c>
      <c r="H2381" s="15">
        <v>8.3000000000000004E-2</v>
      </c>
      <c r="I2381" s="15">
        <v>4.2700000000000002E-2</v>
      </c>
      <c r="J2381" s="15">
        <v>1.9437939110070259</v>
      </c>
    </row>
    <row r="2382" spans="1:10" x14ac:dyDescent="0.25">
      <c r="A2382" s="2" t="s">
        <v>6908</v>
      </c>
      <c r="B2382" s="2" t="s">
        <v>6586</v>
      </c>
      <c r="C2382" s="2" t="s">
        <v>6909</v>
      </c>
      <c r="D2382" s="2" t="s">
        <v>10055</v>
      </c>
      <c r="E2382" s="15"/>
      <c r="F2382" s="15"/>
      <c r="G2382" s="15"/>
      <c r="H2382" s="15">
        <v>-3.3599999999999998E-2</v>
      </c>
      <c r="I2382" s="15">
        <v>3.6299999999999999E-2</v>
      </c>
      <c r="J2382" s="15">
        <v>-0.92561983471074372</v>
      </c>
    </row>
    <row r="2383" spans="1:10" x14ac:dyDescent="0.25">
      <c r="A2383" s="2" t="s">
        <v>6910</v>
      </c>
      <c r="B2383" s="2" t="s">
        <v>6586</v>
      </c>
      <c r="C2383" s="2" t="s">
        <v>6911</v>
      </c>
      <c r="D2383" s="2" t="s">
        <v>10055</v>
      </c>
      <c r="E2383" s="15">
        <v>-0.14990000000000001</v>
      </c>
      <c r="F2383" s="15">
        <v>0.2409</v>
      </c>
      <c r="G2383" s="15">
        <v>0.53369999999999995</v>
      </c>
      <c r="H2383" s="15">
        <v>2.7199999999999998E-2</v>
      </c>
      <c r="I2383" s="15">
        <v>4.1000000000000002E-2</v>
      </c>
      <c r="J2383" s="15">
        <v>0.66341463414634139</v>
      </c>
    </row>
    <row r="2384" spans="1:10" x14ac:dyDescent="0.25">
      <c r="A2384" s="2" t="s">
        <v>6912</v>
      </c>
      <c r="B2384" s="2" t="s">
        <v>6586</v>
      </c>
      <c r="C2384" s="2" t="s">
        <v>6913</v>
      </c>
      <c r="D2384" s="2" t="s">
        <v>10055</v>
      </c>
      <c r="E2384" s="15"/>
      <c r="F2384" s="15"/>
      <c r="G2384" s="15"/>
      <c r="H2384" s="15">
        <v>-3.95E-2</v>
      </c>
      <c r="I2384" s="15">
        <v>4.1099999999999998E-2</v>
      </c>
      <c r="J2384" s="15">
        <v>-0.96107055961070564</v>
      </c>
    </row>
    <row r="2385" spans="1:10" x14ac:dyDescent="0.25">
      <c r="A2385" s="2" t="s">
        <v>6914</v>
      </c>
      <c r="B2385" s="2" t="s">
        <v>6586</v>
      </c>
      <c r="C2385" s="2" t="s">
        <v>6915</v>
      </c>
      <c r="D2385" s="2" t="s">
        <v>10055</v>
      </c>
      <c r="E2385" s="15">
        <v>0.16689999999999999</v>
      </c>
      <c r="F2385" s="15">
        <v>0.1636</v>
      </c>
      <c r="G2385" s="15">
        <v>0.30790000000000001</v>
      </c>
      <c r="H2385" s="15">
        <v>5.7599999999999998E-2</v>
      </c>
      <c r="I2385" s="15">
        <v>4.5199999999999997E-2</v>
      </c>
      <c r="J2385" s="15">
        <v>1.2743362831858409</v>
      </c>
    </row>
    <row r="2386" spans="1:10" x14ac:dyDescent="0.25">
      <c r="A2386" s="2" t="s">
        <v>6916</v>
      </c>
      <c r="B2386" s="2" t="s">
        <v>6586</v>
      </c>
      <c r="C2386" s="2" t="s">
        <v>6917</v>
      </c>
      <c r="D2386" s="2" t="s">
        <v>10055</v>
      </c>
      <c r="E2386" s="15"/>
      <c r="F2386" s="15"/>
      <c r="G2386" s="15"/>
      <c r="H2386" s="15"/>
      <c r="I2386" s="15"/>
      <c r="J2386" s="15"/>
    </row>
    <row r="2387" spans="1:10" x14ac:dyDescent="0.25">
      <c r="A2387" s="2" t="s">
        <v>6918</v>
      </c>
      <c r="B2387" s="2" t="s">
        <v>6586</v>
      </c>
      <c r="C2387" s="2" t="s">
        <v>6919</v>
      </c>
      <c r="D2387" s="2" t="s">
        <v>10055</v>
      </c>
      <c r="E2387" s="15">
        <v>0.1653</v>
      </c>
      <c r="F2387" s="15">
        <v>0.36959999999999998</v>
      </c>
      <c r="G2387" s="15">
        <v>0.65480000000000005</v>
      </c>
      <c r="H2387" s="15">
        <v>2.0299999999999999E-2</v>
      </c>
      <c r="I2387" s="15">
        <v>4.36E-2</v>
      </c>
      <c r="J2387" s="15">
        <v>0.46559633027522929</v>
      </c>
    </row>
    <row r="2388" spans="1:10" x14ac:dyDescent="0.25">
      <c r="A2388" s="2" t="s">
        <v>6920</v>
      </c>
      <c r="B2388" s="2" t="s">
        <v>6586</v>
      </c>
      <c r="C2388" s="2" t="s">
        <v>6921</v>
      </c>
      <c r="D2388" s="2" t="s">
        <v>10055</v>
      </c>
      <c r="E2388" s="15">
        <v>-9.11E-2</v>
      </c>
      <c r="F2388" s="15">
        <v>9.74E-2</v>
      </c>
      <c r="G2388" s="15">
        <v>0.34989999999999999</v>
      </c>
      <c r="H2388" s="15">
        <v>0.1232</v>
      </c>
      <c r="I2388" s="15">
        <v>4.0599999999999997E-2</v>
      </c>
      <c r="J2388" s="15">
        <v>3.0344827586206899</v>
      </c>
    </row>
    <row r="2389" spans="1:10" x14ac:dyDescent="0.25">
      <c r="A2389" s="2" t="s">
        <v>6922</v>
      </c>
      <c r="B2389" s="2" t="s">
        <v>6586</v>
      </c>
      <c r="C2389" s="2" t="s">
        <v>6923</v>
      </c>
      <c r="D2389" s="2" t="s">
        <v>10055</v>
      </c>
      <c r="E2389" s="15">
        <v>5.4999999999999997E-3</v>
      </c>
      <c r="F2389" s="15">
        <v>0.1391</v>
      </c>
      <c r="G2389" s="15">
        <v>0.96830000000000005</v>
      </c>
      <c r="H2389" s="15">
        <v>5.3699999999999998E-2</v>
      </c>
      <c r="I2389" s="15">
        <v>3.8899999999999997E-2</v>
      </c>
      <c r="J2389" s="15">
        <v>1.3804627249357331</v>
      </c>
    </row>
    <row r="2390" spans="1:10" x14ac:dyDescent="0.25">
      <c r="A2390" s="2" t="s">
        <v>6924</v>
      </c>
      <c r="B2390" s="2" t="s">
        <v>6586</v>
      </c>
      <c r="C2390" s="2" t="s">
        <v>6925</v>
      </c>
      <c r="D2390" s="2" t="s">
        <v>10055</v>
      </c>
      <c r="E2390" s="15"/>
      <c r="F2390" s="15"/>
      <c r="G2390" s="15"/>
      <c r="H2390" s="15">
        <v>-7.4000000000000003E-3</v>
      </c>
      <c r="I2390" s="15">
        <v>3.9300000000000002E-2</v>
      </c>
      <c r="J2390" s="15">
        <v>-0.188295165394402</v>
      </c>
    </row>
    <row r="2391" spans="1:10" x14ac:dyDescent="0.25">
      <c r="A2391" s="2" t="s">
        <v>6926</v>
      </c>
      <c r="B2391" s="2" t="s">
        <v>6586</v>
      </c>
      <c r="C2391" s="2" t="s">
        <v>6927</v>
      </c>
      <c r="D2391" s="2" t="s">
        <v>10055</v>
      </c>
      <c r="E2391" s="15">
        <v>0.68440000000000001</v>
      </c>
      <c r="F2391" s="15">
        <v>1.8703000000000001</v>
      </c>
      <c r="G2391" s="15">
        <v>0.71440000000000003</v>
      </c>
      <c r="H2391" s="15">
        <v>1.2E-2</v>
      </c>
      <c r="I2391" s="15">
        <v>4.4600000000000001E-2</v>
      </c>
      <c r="J2391" s="15">
        <v>0.26905829596412562</v>
      </c>
    </row>
    <row r="2392" spans="1:10" x14ac:dyDescent="0.25">
      <c r="A2392" s="2" t="s">
        <v>6928</v>
      </c>
      <c r="B2392" s="2" t="s">
        <v>6586</v>
      </c>
      <c r="C2392" s="2" t="s">
        <v>6929</v>
      </c>
      <c r="D2392" s="2" t="s">
        <v>10055</v>
      </c>
      <c r="E2392" s="15">
        <v>-2.8199999999999999E-2</v>
      </c>
      <c r="F2392" s="15">
        <v>0.1608</v>
      </c>
      <c r="G2392" s="15">
        <v>0.8609</v>
      </c>
      <c r="H2392" s="15">
        <v>5.8200000000000002E-2</v>
      </c>
      <c r="I2392" s="15">
        <v>4.4600000000000001E-2</v>
      </c>
      <c r="J2392" s="15">
        <v>1.304932735426009</v>
      </c>
    </row>
    <row r="2393" spans="1:10" x14ac:dyDescent="0.25">
      <c r="A2393" s="2" t="s">
        <v>6930</v>
      </c>
      <c r="B2393" s="2" t="s">
        <v>6586</v>
      </c>
      <c r="C2393" s="2" t="s">
        <v>6931</v>
      </c>
      <c r="D2393" s="2" t="s">
        <v>10055</v>
      </c>
      <c r="E2393" s="15">
        <v>0.23150000000000001</v>
      </c>
      <c r="F2393" s="15">
        <v>0.192</v>
      </c>
      <c r="G2393" s="15">
        <v>0.22800000000000001</v>
      </c>
      <c r="H2393" s="15">
        <v>5.11E-2</v>
      </c>
      <c r="I2393" s="15">
        <v>4.07E-2</v>
      </c>
      <c r="J2393" s="15">
        <v>1.255528255528255</v>
      </c>
    </row>
    <row r="2394" spans="1:10" x14ac:dyDescent="0.25">
      <c r="A2394" s="2" t="s">
        <v>6932</v>
      </c>
      <c r="B2394" s="2" t="s">
        <v>6586</v>
      </c>
      <c r="C2394" s="2" t="s">
        <v>6933</v>
      </c>
      <c r="D2394" s="2" t="s">
        <v>10055</v>
      </c>
      <c r="E2394" s="15">
        <v>0.17430000000000001</v>
      </c>
      <c r="F2394" s="15">
        <v>0.1353</v>
      </c>
      <c r="G2394" s="15">
        <v>0.1978</v>
      </c>
      <c r="H2394" s="15">
        <v>8.1699999999999995E-2</v>
      </c>
      <c r="I2394" s="15">
        <v>4.1799999999999997E-2</v>
      </c>
      <c r="J2394" s="15">
        <v>1.954545454545455</v>
      </c>
    </row>
    <row r="2395" spans="1:10" x14ac:dyDescent="0.25">
      <c r="A2395" s="2" t="s">
        <v>6934</v>
      </c>
      <c r="B2395" s="2" t="s">
        <v>6586</v>
      </c>
      <c r="C2395" s="2" t="s">
        <v>6935</v>
      </c>
      <c r="D2395" s="2" t="s">
        <v>10055</v>
      </c>
      <c r="E2395" s="15">
        <v>-4.4000000000000003E-3</v>
      </c>
      <c r="F2395" s="15">
        <v>0.27700000000000002</v>
      </c>
      <c r="G2395" s="15">
        <v>0.98719999999999997</v>
      </c>
      <c r="H2395" s="15">
        <v>1.9699999999999999E-2</v>
      </c>
      <c r="I2395" s="15">
        <v>3.7499999999999999E-2</v>
      </c>
      <c r="J2395" s="15">
        <v>0.52533333333333332</v>
      </c>
    </row>
    <row r="2396" spans="1:10" x14ac:dyDescent="0.25">
      <c r="A2396" s="2" t="s">
        <v>6936</v>
      </c>
      <c r="B2396" s="2" t="s">
        <v>6586</v>
      </c>
      <c r="C2396" s="2" t="s">
        <v>6937</v>
      </c>
      <c r="D2396" s="2" t="s">
        <v>10055</v>
      </c>
      <c r="E2396" s="15">
        <v>-3.2399999999999998E-2</v>
      </c>
      <c r="F2396" s="15">
        <v>0.25240000000000001</v>
      </c>
      <c r="G2396" s="15">
        <v>0.89790000000000003</v>
      </c>
      <c r="H2396" s="15">
        <v>2.35E-2</v>
      </c>
      <c r="I2396" s="15">
        <v>3.9E-2</v>
      </c>
      <c r="J2396" s="15">
        <v>0.60256410256410253</v>
      </c>
    </row>
    <row r="2397" spans="1:10" x14ac:dyDescent="0.25">
      <c r="A2397" s="2" t="s">
        <v>6938</v>
      </c>
      <c r="B2397" s="2" t="s">
        <v>6586</v>
      </c>
      <c r="C2397" s="2" t="s">
        <v>6939</v>
      </c>
      <c r="D2397" s="2" t="s">
        <v>10055</v>
      </c>
      <c r="E2397" s="15">
        <v>2.3099999999999999E-2</v>
      </c>
      <c r="F2397" s="15">
        <v>0.18659999999999999</v>
      </c>
      <c r="G2397" s="15">
        <v>0.90129999999999999</v>
      </c>
      <c r="H2397" s="15">
        <v>4.36E-2</v>
      </c>
      <c r="I2397" s="15">
        <v>5.0700000000000002E-2</v>
      </c>
      <c r="J2397" s="15">
        <v>0.85996055226824453</v>
      </c>
    </row>
    <row r="2398" spans="1:10" x14ac:dyDescent="0.25">
      <c r="A2398" s="2" t="s">
        <v>6940</v>
      </c>
      <c r="B2398" s="2" t="s">
        <v>6586</v>
      </c>
      <c r="C2398" s="2" t="s">
        <v>6941</v>
      </c>
      <c r="D2398" s="2" t="s">
        <v>10055</v>
      </c>
      <c r="E2398" s="15"/>
      <c r="F2398" s="15"/>
      <c r="G2398" s="15"/>
      <c r="H2398" s="15">
        <v>-3.1099999999999999E-2</v>
      </c>
      <c r="I2398" s="15">
        <v>4.2200000000000001E-2</v>
      </c>
      <c r="J2398" s="15">
        <v>-0.73696682464454977</v>
      </c>
    </row>
    <row r="2399" spans="1:10" x14ac:dyDescent="0.25">
      <c r="A2399" s="2" t="s">
        <v>6942</v>
      </c>
      <c r="B2399" s="2" t="s">
        <v>6586</v>
      </c>
      <c r="C2399" s="2" t="s">
        <v>6943</v>
      </c>
      <c r="D2399" s="2" t="s">
        <v>10055</v>
      </c>
      <c r="E2399" s="15"/>
      <c r="F2399" s="15"/>
      <c r="G2399" s="15"/>
      <c r="H2399" s="15">
        <v>-5.57E-2</v>
      </c>
      <c r="I2399" s="15">
        <v>3.7699999999999997E-2</v>
      </c>
      <c r="J2399" s="15">
        <v>-1.477453580901857</v>
      </c>
    </row>
    <row r="2400" spans="1:10" x14ac:dyDescent="0.25">
      <c r="A2400" s="2" t="s">
        <v>6944</v>
      </c>
      <c r="B2400" s="2" t="s">
        <v>6586</v>
      </c>
      <c r="C2400" s="2" t="s">
        <v>6945</v>
      </c>
      <c r="D2400" s="2" t="s">
        <v>10055</v>
      </c>
      <c r="E2400" s="15">
        <v>8.1699999999999995E-2</v>
      </c>
      <c r="F2400" s="15">
        <v>0.1201</v>
      </c>
      <c r="G2400" s="15">
        <v>0.49609999999999999</v>
      </c>
      <c r="H2400" s="15">
        <v>8.9800000000000005E-2</v>
      </c>
      <c r="I2400" s="15">
        <v>4.8500000000000001E-2</v>
      </c>
      <c r="J2400" s="15">
        <v>1.851546391752577</v>
      </c>
    </row>
    <row r="2401" spans="1:10" x14ac:dyDescent="0.25">
      <c r="A2401" s="2" t="s">
        <v>6946</v>
      </c>
      <c r="B2401" s="2" t="s">
        <v>6586</v>
      </c>
      <c r="C2401" s="2" t="s">
        <v>6947</v>
      </c>
      <c r="D2401" s="2" t="s">
        <v>10055</v>
      </c>
      <c r="E2401" s="15">
        <v>-6.6299999999999998E-2</v>
      </c>
      <c r="F2401" s="15">
        <v>0.1285</v>
      </c>
      <c r="G2401" s="15">
        <v>0.60589999999999999</v>
      </c>
      <c r="H2401" s="15">
        <v>7.7899999999999997E-2</v>
      </c>
      <c r="I2401" s="15">
        <v>4.6300000000000001E-2</v>
      </c>
      <c r="J2401" s="15">
        <v>1.6825053995680339</v>
      </c>
    </row>
    <row r="2402" spans="1:10" x14ac:dyDescent="0.25">
      <c r="A2402" s="2" t="s">
        <v>6948</v>
      </c>
      <c r="B2402" s="2" t="s">
        <v>6586</v>
      </c>
      <c r="C2402" s="2" t="s">
        <v>6949</v>
      </c>
      <c r="D2402" s="2" t="s">
        <v>10055</v>
      </c>
      <c r="E2402" s="15">
        <v>-6.9800000000000001E-2</v>
      </c>
      <c r="F2402" s="15">
        <v>0.18870000000000001</v>
      </c>
      <c r="G2402" s="15">
        <v>0.71150000000000002</v>
      </c>
      <c r="H2402" s="15">
        <v>4.5499999999999999E-2</v>
      </c>
      <c r="I2402" s="15">
        <v>4.8599999999999997E-2</v>
      </c>
      <c r="J2402" s="15">
        <v>0.93621399176954734</v>
      </c>
    </row>
    <row r="2403" spans="1:10" x14ac:dyDescent="0.25">
      <c r="A2403" s="2" t="s">
        <v>6950</v>
      </c>
      <c r="B2403" s="2" t="s">
        <v>6586</v>
      </c>
      <c r="C2403" s="2" t="s">
        <v>6951</v>
      </c>
      <c r="D2403" s="2" t="s">
        <v>10055</v>
      </c>
      <c r="E2403" s="15"/>
      <c r="F2403" s="15"/>
      <c r="G2403" s="15"/>
      <c r="H2403" s="15">
        <v>-3.7000000000000002E-3</v>
      </c>
      <c r="I2403" s="15">
        <v>4.2700000000000002E-2</v>
      </c>
      <c r="J2403" s="15">
        <v>-8.6651053864168617E-2</v>
      </c>
    </row>
    <row r="2404" spans="1:10" x14ac:dyDescent="0.25">
      <c r="A2404" s="2" t="s">
        <v>6952</v>
      </c>
      <c r="B2404" s="2" t="s">
        <v>6586</v>
      </c>
      <c r="C2404" s="2" t="s">
        <v>6953</v>
      </c>
      <c r="D2404" s="2" t="s">
        <v>10055</v>
      </c>
      <c r="E2404" s="15">
        <v>-2.1000000000000001E-2</v>
      </c>
      <c r="F2404" s="15">
        <v>0.2301</v>
      </c>
      <c r="G2404" s="15">
        <v>0.9274</v>
      </c>
      <c r="H2404" s="15">
        <v>2.3199999999999998E-2</v>
      </c>
      <c r="I2404" s="15">
        <v>4.1700000000000001E-2</v>
      </c>
      <c r="J2404" s="15">
        <v>0.55635491606714627</v>
      </c>
    </row>
    <row r="2405" spans="1:10" x14ac:dyDescent="0.25">
      <c r="A2405" s="2" t="s">
        <v>6954</v>
      </c>
      <c r="B2405" s="2" t="s">
        <v>6586</v>
      </c>
      <c r="C2405" s="2" t="s">
        <v>6955</v>
      </c>
      <c r="D2405" s="2" t="s">
        <v>10055</v>
      </c>
      <c r="E2405" s="15">
        <v>0.1153</v>
      </c>
      <c r="F2405" s="15">
        <v>0.15240000000000001</v>
      </c>
      <c r="G2405" s="15">
        <v>0.44900000000000001</v>
      </c>
      <c r="H2405" s="15">
        <v>5.8500000000000003E-2</v>
      </c>
      <c r="I2405" s="15">
        <v>3.9699999999999999E-2</v>
      </c>
      <c r="J2405" s="15">
        <v>1.4735516372795969</v>
      </c>
    </row>
    <row r="2406" spans="1:10" x14ac:dyDescent="0.25">
      <c r="A2406" s="2" t="s">
        <v>6956</v>
      </c>
      <c r="B2406" s="2" t="s">
        <v>6586</v>
      </c>
      <c r="C2406" s="2" t="s">
        <v>6957</v>
      </c>
      <c r="D2406" s="2" t="s">
        <v>10055</v>
      </c>
      <c r="E2406" s="15"/>
      <c r="F2406" s="15"/>
      <c r="G2406" s="15"/>
      <c r="H2406" s="15"/>
      <c r="I2406" s="15"/>
      <c r="J2406" s="15"/>
    </row>
    <row r="2407" spans="1:10" x14ac:dyDescent="0.25">
      <c r="A2407" s="2" t="s">
        <v>6958</v>
      </c>
      <c r="B2407" s="2" t="s">
        <v>6586</v>
      </c>
      <c r="C2407" s="2" t="s">
        <v>6959</v>
      </c>
      <c r="D2407" s="2" t="s">
        <v>10055</v>
      </c>
      <c r="E2407" s="15">
        <v>-8.2199999999999995E-2</v>
      </c>
      <c r="F2407" s="15">
        <v>0.30070000000000002</v>
      </c>
      <c r="G2407" s="15">
        <v>0.78459999999999996</v>
      </c>
      <c r="H2407" s="15">
        <v>1.9699999999999999E-2</v>
      </c>
      <c r="I2407" s="15">
        <v>4.4499999999999998E-2</v>
      </c>
      <c r="J2407" s="15">
        <v>0.44269662921348307</v>
      </c>
    </row>
    <row r="2408" spans="1:10" x14ac:dyDescent="0.25">
      <c r="A2408" s="2" t="s">
        <v>6960</v>
      </c>
      <c r="B2408" s="2" t="s">
        <v>6586</v>
      </c>
      <c r="C2408" s="2" t="s">
        <v>6961</v>
      </c>
      <c r="D2408" s="2" t="s">
        <v>10055</v>
      </c>
      <c r="E2408" s="15">
        <v>0.24110000000000001</v>
      </c>
      <c r="F2408" s="15">
        <v>0.1661</v>
      </c>
      <c r="G2408" s="15">
        <v>0.14660000000000001</v>
      </c>
      <c r="H2408" s="15">
        <v>5.57E-2</v>
      </c>
      <c r="I2408" s="15">
        <v>4.1799999999999997E-2</v>
      </c>
      <c r="J2408" s="15">
        <v>1.332535885167464</v>
      </c>
    </row>
    <row r="2409" spans="1:10" x14ac:dyDescent="0.25">
      <c r="A2409" s="2" t="s">
        <v>6962</v>
      </c>
      <c r="B2409" s="2" t="s">
        <v>6586</v>
      </c>
      <c r="C2409" s="2" t="s">
        <v>6963</v>
      </c>
      <c r="D2409" s="2" t="s">
        <v>10055</v>
      </c>
      <c r="E2409" s="15">
        <v>0.32300000000000001</v>
      </c>
      <c r="F2409" s="15">
        <v>0.29870000000000002</v>
      </c>
      <c r="G2409" s="15">
        <v>0.27939999999999998</v>
      </c>
      <c r="H2409" s="15">
        <v>3.27E-2</v>
      </c>
      <c r="I2409" s="15">
        <v>4.3200000000000002E-2</v>
      </c>
      <c r="J2409" s="15">
        <v>0.75694444444444442</v>
      </c>
    </row>
    <row r="2410" spans="1:10" x14ac:dyDescent="0.25">
      <c r="A2410" s="2" t="s">
        <v>6964</v>
      </c>
      <c r="B2410" s="2" t="s">
        <v>6586</v>
      </c>
      <c r="C2410" s="2" t="s">
        <v>6965</v>
      </c>
      <c r="D2410" s="2" t="s">
        <v>10055</v>
      </c>
      <c r="E2410" s="15">
        <v>-0.1153</v>
      </c>
      <c r="F2410" s="15">
        <v>0.14149999999999999</v>
      </c>
      <c r="G2410" s="15">
        <v>0.41499999999999998</v>
      </c>
      <c r="H2410" s="15">
        <v>6.59E-2</v>
      </c>
      <c r="I2410" s="15">
        <v>4.0599999999999997E-2</v>
      </c>
      <c r="J2410" s="15">
        <v>1.6231527093596061</v>
      </c>
    </row>
    <row r="2411" spans="1:10" x14ac:dyDescent="0.25">
      <c r="A2411" s="2" t="s">
        <v>6966</v>
      </c>
      <c r="B2411" s="2" t="s">
        <v>6586</v>
      </c>
      <c r="C2411" s="2" t="s">
        <v>6967</v>
      </c>
      <c r="D2411" s="2" t="s">
        <v>10055</v>
      </c>
      <c r="E2411" s="15">
        <v>2.4500000000000001E-2</v>
      </c>
      <c r="F2411" s="15">
        <v>0.1636</v>
      </c>
      <c r="G2411" s="15">
        <v>0.88080000000000003</v>
      </c>
      <c r="H2411" s="15">
        <v>4.5100000000000001E-2</v>
      </c>
      <c r="I2411" s="15">
        <v>4.2099999999999999E-2</v>
      </c>
      <c r="J2411" s="15">
        <v>1.07125890736342</v>
      </c>
    </row>
    <row r="2412" spans="1:10" x14ac:dyDescent="0.25">
      <c r="A2412" s="2" t="s">
        <v>6968</v>
      </c>
      <c r="B2412" s="2" t="s">
        <v>6586</v>
      </c>
      <c r="C2412" s="2" t="s">
        <v>6969</v>
      </c>
      <c r="D2412" s="2" t="s">
        <v>10055</v>
      </c>
      <c r="E2412" s="15">
        <v>0.26250000000000001</v>
      </c>
      <c r="F2412" s="15">
        <v>0.48830000000000001</v>
      </c>
      <c r="G2412" s="15">
        <v>0.59079999999999999</v>
      </c>
      <c r="H2412" s="15">
        <v>1.4800000000000001E-2</v>
      </c>
      <c r="I2412" s="15">
        <v>4.0800000000000003E-2</v>
      </c>
      <c r="J2412" s="15">
        <v>0.36274509803921567</v>
      </c>
    </row>
    <row r="2413" spans="1:10" x14ac:dyDescent="0.25">
      <c r="A2413" s="2" t="s">
        <v>6970</v>
      </c>
      <c r="B2413" s="2" t="s">
        <v>6586</v>
      </c>
      <c r="C2413" s="2" t="s">
        <v>6971</v>
      </c>
      <c r="D2413" s="2" t="s">
        <v>10055</v>
      </c>
      <c r="E2413" s="15"/>
      <c r="F2413" s="15"/>
      <c r="G2413" s="15"/>
      <c r="H2413" s="15">
        <v>-2.3400000000000001E-2</v>
      </c>
      <c r="I2413" s="15">
        <v>3.8699999999999998E-2</v>
      </c>
      <c r="J2413" s="15">
        <v>-0.60465116279069775</v>
      </c>
    </row>
    <row r="2414" spans="1:10" x14ac:dyDescent="0.25">
      <c r="A2414" s="2" t="s">
        <v>6972</v>
      </c>
      <c r="B2414" s="2" t="s">
        <v>6586</v>
      </c>
      <c r="C2414" s="2" t="s">
        <v>6973</v>
      </c>
      <c r="D2414" s="2" t="s">
        <v>10055</v>
      </c>
      <c r="E2414" s="15"/>
      <c r="F2414" s="15"/>
      <c r="G2414" s="15"/>
      <c r="H2414" s="15">
        <v>-3.3E-3</v>
      </c>
      <c r="I2414" s="15">
        <v>3.8100000000000002E-2</v>
      </c>
      <c r="J2414" s="15">
        <v>-8.6614173228346455E-2</v>
      </c>
    </row>
    <row r="2415" spans="1:10" x14ac:dyDescent="0.25">
      <c r="A2415" s="2" t="s">
        <v>6974</v>
      </c>
      <c r="B2415" s="2" t="s">
        <v>6586</v>
      </c>
      <c r="C2415" s="2" t="s">
        <v>6975</v>
      </c>
      <c r="D2415" s="2" t="s">
        <v>10055</v>
      </c>
      <c r="E2415" s="15">
        <v>-5.5100000000000003E-2</v>
      </c>
      <c r="F2415" s="15">
        <v>8.3299999999999999E-2</v>
      </c>
      <c r="G2415" s="15">
        <v>0.50790000000000002</v>
      </c>
      <c r="H2415" s="15">
        <v>0.20399999999999999</v>
      </c>
      <c r="I2415" s="15">
        <v>4.9099999999999998E-2</v>
      </c>
      <c r="J2415" s="15">
        <v>4.1547861507128312</v>
      </c>
    </row>
    <row r="2416" spans="1:10" x14ac:dyDescent="0.25">
      <c r="A2416" s="2" t="s">
        <v>6976</v>
      </c>
      <c r="B2416" s="2" t="s">
        <v>6586</v>
      </c>
      <c r="C2416" s="2" t="s">
        <v>6977</v>
      </c>
      <c r="D2416" s="2" t="s">
        <v>10055</v>
      </c>
      <c r="E2416" s="15">
        <v>-0.121</v>
      </c>
      <c r="F2416" s="15">
        <v>0.1245</v>
      </c>
      <c r="G2416" s="15">
        <v>0.33069999999999999</v>
      </c>
      <c r="H2416" s="15">
        <v>0.1008</v>
      </c>
      <c r="I2416" s="15">
        <v>4.36E-2</v>
      </c>
      <c r="J2416" s="15">
        <v>2.3119266055045871</v>
      </c>
    </row>
    <row r="2417" spans="1:10" x14ac:dyDescent="0.25">
      <c r="A2417" s="2" t="s">
        <v>6978</v>
      </c>
      <c r="B2417" s="2" t="s">
        <v>6586</v>
      </c>
      <c r="C2417" s="2" t="s">
        <v>6979</v>
      </c>
      <c r="D2417" s="2" t="s">
        <v>10055</v>
      </c>
      <c r="E2417" s="15">
        <v>-0.2157</v>
      </c>
      <c r="F2417" s="15">
        <v>0.27179999999999999</v>
      </c>
      <c r="G2417" s="15">
        <v>0.42749999999999999</v>
      </c>
      <c r="H2417" s="15">
        <v>2.6700000000000002E-2</v>
      </c>
      <c r="I2417" s="15">
        <v>4.0300000000000002E-2</v>
      </c>
      <c r="J2417" s="15">
        <v>0.66253101736972708</v>
      </c>
    </row>
    <row r="2418" spans="1:10" x14ac:dyDescent="0.25">
      <c r="A2418" s="2" t="s">
        <v>6980</v>
      </c>
      <c r="B2418" s="2" t="s">
        <v>6586</v>
      </c>
      <c r="C2418" s="2" t="s">
        <v>6981</v>
      </c>
      <c r="D2418" s="2" t="s">
        <v>10055</v>
      </c>
      <c r="E2418" s="15"/>
      <c r="F2418" s="15"/>
      <c r="G2418" s="15"/>
      <c r="H2418" s="15">
        <v>-1.9599999999999999E-2</v>
      </c>
      <c r="I2418" s="15">
        <v>3.8199999999999998E-2</v>
      </c>
      <c r="J2418" s="15">
        <v>-0.51308900523560208</v>
      </c>
    </row>
    <row r="2419" spans="1:10" x14ac:dyDescent="0.25">
      <c r="A2419" s="2" t="s">
        <v>6982</v>
      </c>
      <c r="B2419" s="2" t="s">
        <v>6586</v>
      </c>
      <c r="C2419" s="2" t="s">
        <v>6983</v>
      </c>
      <c r="D2419" s="2" t="s">
        <v>10055</v>
      </c>
      <c r="E2419" s="15">
        <v>4.24E-2</v>
      </c>
      <c r="F2419" s="15">
        <v>0.1135</v>
      </c>
      <c r="G2419" s="15">
        <v>0.7087</v>
      </c>
      <c r="H2419" s="15">
        <v>0.10539999999999999</v>
      </c>
      <c r="I2419" s="15">
        <v>3.9E-2</v>
      </c>
      <c r="J2419" s="15">
        <v>2.7025641025641018</v>
      </c>
    </row>
    <row r="2420" spans="1:10" x14ac:dyDescent="0.25">
      <c r="A2420" s="2" t="s">
        <v>6984</v>
      </c>
      <c r="B2420" s="2" t="s">
        <v>6586</v>
      </c>
      <c r="C2420" s="2" t="s">
        <v>6985</v>
      </c>
      <c r="D2420" s="2" t="s">
        <v>10055</v>
      </c>
      <c r="E2420" s="15">
        <v>1.9800000000000002E-2</v>
      </c>
      <c r="F2420" s="15">
        <v>0.27989999999999998</v>
      </c>
      <c r="G2420" s="15">
        <v>0.94369999999999998</v>
      </c>
      <c r="H2420" s="15">
        <v>2.1899999999999999E-2</v>
      </c>
      <c r="I2420" s="15">
        <v>4.2799999999999998E-2</v>
      </c>
      <c r="J2420" s="15">
        <v>0.51168224299065423</v>
      </c>
    </row>
    <row r="2421" spans="1:10" x14ac:dyDescent="0.25">
      <c r="A2421" s="2" t="s">
        <v>6986</v>
      </c>
      <c r="B2421" s="2" t="s">
        <v>6586</v>
      </c>
      <c r="C2421" s="2" t="s">
        <v>6987</v>
      </c>
      <c r="D2421" s="2" t="s">
        <v>10055</v>
      </c>
      <c r="E2421" s="15"/>
      <c r="F2421" s="15"/>
      <c r="G2421" s="15"/>
      <c r="H2421" s="15">
        <v>-6.4399999999999999E-2</v>
      </c>
      <c r="I2421" s="15">
        <v>4.2500000000000003E-2</v>
      </c>
      <c r="J2421" s="15">
        <v>-1.5152941176470589</v>
      </c>
    </row>
    <row r="2422" spans="1:10" x14ac:dyDescent="0.25">
      <c r="A2422" s="2" t="s">
        <v>6988</v>
      </c>
      <c r="B2422" s="2" t="s">
        <v>6586</v>
      </c>
      <c r="C2422" s="2" t="s">
        <v>6989</v>
      </c>
      <c r="D2422" s="2" t="s">
        <v>10055</v>
      </c>
      <c r="E2422" s="15"/>
      <c r="F2422" s="15"/>
      <c r="G2422" s="15"/>
      <c r="H2422" s="15"/>
      <c r="I2422" s="15"/>
      <c r="J2422" s="15"/>
    </row>
    <row r="2423" spans="1:10" x14ac:dyDescent="0.25">
      <c r="A2423" s="2" t="s">
        <v>6990</v>
      </c>
      <c r="B2423" s="2" t="s">
        <v>6586</v>
      </c>
      <c r="C2423" s="2" t="s">
        <v>6991</v>
      </c>
      <c r="D2423" s="2" t="s">
        <v>10055</v>
      </c>
      <c r="E2423" s="15">
        <v>-2.63E-2</v>
      </c>
      <c r="F2423" s="15">
        <v>0.15029999999999999</v>
      </c>
      <c r="G2423" s="15">
        <v>0.86099999999999999</v>
      </c>
      <c r="H2423" s="15">
        <v>6.4699999999999994E-2</v>
      </c>
      <c r="I2423" s="15">
        <v>4.24E-2</v>
      </c>
      <c r="J2423" s="15">
        <v>1.5259433962264151</v>
      </c>
    </row>
    <row r="2424" spans="1:10" x14ac:dyDescent="0.25">
      <c r="A2424" s="2" t="s">
        <v>6992</v>
      </c>
      <c r="B2424" s="2" t="s">
        <v>6586</v>
      </c>
      <c r="C2424" s="2" t="s">
        <v>6993</v>
      </c>
      <c r="D2424" s="2" t="s">
        <v>10055</v>
      </c>
      <c r="E2424" s="15"/>
      <c r="F2424" s="15"/>
      <c r="G2424" s="15"/>
      <c r="H2424" s="15"/>
      <c r="I2424" s="15"/>
      <c r="J2424" s="15"/>
    </row>
    <row r="2425" spans="1:10" x14ac:dyDescent="0.25">
      <c r="A2425" s="2" t="s">
        <v>6994</v>
      </c>
      <c r="B2425" s="2" t="s">
        <v>6586</v>
      </c>
      <c r="C2425" s="2" t="s">
        <v>6995</v>
      </c>
      <c r="D2425" s="2" t="s">
        <v>10055</v>
      </c>
      <c r="E2425" s="15">
        <v>0.27950000000000003</v>
      </c>
      <c r="F2425" s="15">
        <v>0.3286</v>
      </c>
      <c r="G2425" s="15">
        <v>0.39500000000000002</v>
      </c>
      <c r="H2425" s="15">
        <v>2.5999999999999999E-2</v>
      </c>
      <c r="I2425" s="15">
        <v>4.07E-2</v>
      </c>
      <c r="J2425" s="15">
        <v>0.63882063882063878</v>
      </c>
    </row>
    <row r="2426" spans="1:10" x14ac:dyDescent="0.25">
      <c r="A2426" s="2" t="s">
        <v>6996</v>
      </c>
      <c r="B2426" s="2" t="s">
        <v>6586</v>
      </c>
      <c r="C2426" s="2" t="s">
        <v>6997</v>
      </c>
      <c r="D2426" s="2" t="s">
        <v>10055</v>
      </c>
      <c r="E2426" s="15">
        <v>0.10299999999999999</v>
      </c>
      <c r="F2426" s="15">
        <v>0.12590000000000001</v>
      </c>
      <c r="G2426" s="15">
        <v>0.41299999999999998</v>
      </c>
      <c r="H2426" s="15">
        <v>9.1899999999999996E-2</v>
      </c>
      <c r="I2426" s="15">
        <v>4.0599999999999997E-2</v>
      </c>
      <c r="J2426" s="15">
        <v>2.2635467980295561</v>
      </c>
    </row>
    <row r="2427" spans="1:10" x14ac:dyDescent="0.25">
      <c r="A2427" s="2" t="s">
        <v>6998</v>
      </c>
      <c r="B2427" s="2" t="s">
        <v>6586</v>
      </c>
      <c r="C2427" s="2" t="s">
        <v>6999</v>
      </c>
      <c r="D2427" s="2" t="s">
        <v>10055</v>
      </c>
      <c r="E2427" s="15">
        <v>5.11E-2</v>
      </c>
      <c r="F2427" s="15">
        <v>0.1026</v>
      </c>
      <c r="G2427" s="15">
        <v>0.61839999999999995</v>
      </c>
      <c r="H2427" s="15">
        <v>0.1024</v>
      </c>
      <c r="I2427" s="15">
        <v>3.9399999999999998E-2</v>
      </c>
      <c r="J2427" s="15">
        <v>2.5989847715736039</v>
      </c>
    </row>
    <row r="2428" spans="1:10" x14ac:dyDescent="0.25">
      <c r="A2428" s="2" t="s">
        <v>7000</v>
      </c>
      <c r="B2428" s="2" t="s">
        <v>6586</v>
      </c>
      <c r="C2428" s="2" t="s">
        <v>7001</v>
      </c>
      <c r="D2428" s="2" t="s">
        <v>10055</v>
      </c>
      <c r="E2428" s="15"/>
      <c r="F2428" s="15"/>
      <c r="G2428" s="15"/>
      <c r="H2428" s="15">
        <v>-6.8999999999999999E-3</v>
      </c>
      <c r="I2428" s="15">
        <v>4.1700000000000001E-2</v>
      </c>
      <c r="J2428" s="15">
        <v>-0.1654676258992806</v>
      </c>
    </row>
    <row r="2429" spans="1:10" x14ac:dyDescent="0.25">
      <c r="A2429" s="2" t="s">
        <v>7002</v>
      </c>
      <c r="B2429" s="2" t="s">
        <v>6586</v>
      </c>
      <c r="C2429" s="2" t="s">
        <v>7003</v>
      </c>
      <c r="D2429" s="2" t="s">
        <v>10055</v>
      </c>
      <c r="E2429" s="15"/>
      <c r="F2429" s="15"/>
      <c r="G2429" s="15"/>
      <c r="H2429" s="15">
        <v>-1.5599999999999999E-2</v>
      </c>
      <c r="I2429" s="15">
        <v>3.9100000000000003E-2</v>
      </c>
      <c r="J2429" s="15">
        <v>-0.39897698209718663</v>
      </c>
    </row>
    <row r="2430" spans="1:10" x14ac:dyDescent="0.25">
      <c r="A2430" s="2" t="s">
        <v>7004</v>
      </c>
      <c r="B2430" s="2" t="s">
        <v>6586</v>
      </c>
      <c r="C2430" s="2" t="s">
        <v>7005</v>
      </c>
      <c r="D2430" s="2" t="s">
        <v>10055</v>
      </c>
      <c r="E2430" s="15">
        <v>5.4800000000000001E-2</v>
      </c>
      <c r="F2430" s="15">
        <v>0.12330000000000001</v>
      </c>
      <c r="G2430" s="15">
        <v>0.65659999999999996</v>
      </c>
      <c r="H2430" s="15">
        <v>9.2399999999999996E-2</v>
      </c>
      <c r="I2430" s="15">
        <v>4.5199999999999997E-2</v>
      </c>
      <c r="J2430" s="15">
        <v>2.0442477876106189</v>
      </c>
    </row>
    <row r="2431" spans="1:10" x14ac:dyDescent="0.25">
      <c r="A2431" s="2" t="s">
        <v>7006</v>
      </c>
      <c r="B2431" s="2" t="s">
        <v>7007</v>
      </c>
      <c r="C2431" s="2" t="s">
        <v>7008</v>
      </c>
      <c r="D2431" s="2" t="s">
        <v>10055</v>
      </c>
      <c r="E2431" s="15">
        <v>4.2500000000000003E-2</v>
      </c>
      <c r="F2431" s="15">
        <v>0.14299999999999999</v>
      </c>
      <c r="G2431" s="15">
        <v>0.7661</v>
      </c>
      <c r="H2431" s="15">
        <v>6.0400000000000002E-2</v>
      </c>
      <c r="I2431" s="15">
        <v>4.0899999999999999E-2</v>
      </c>
      <c r="J2431" s="15">
        <v>1.476772616136919</v>
      </c>
    </row>
    <row r="2432" spans="1:10" x14ac:dyDescent="0.25">
      <c r="A2432" s="2" t="s">
        <v>7009</v>
      </c>
      <c r="B2432" s="2" t="s">
        <v>7007</v>
      </c>
      <c r="C2432" s="2" t="s">
        <v>7010</v>
      </c>
      <c r="D2432" s="2" t="s">
        <v>10055</v>
      </c>
      <c r="E2432" s="15">
        <v>-0.15409999999999999</v>
      </c>
      <c r="F2432" s="15">
        <v>0.1772</v>
      </c>
      <c r="G2432" s="15">
        <v>0.38440000000000002</v>
      </c>
      <c r="H2432" s="15">
        <v>4.6300000000000001E-2</v>
      </c>
      <c r="I2432" s="15">
        <v>4.2999999999999997E-2</v>
      </c>
      <c r="J2432" s="15">
        <v>1.0767441860465119</v>
      </c>
    </row>
    <row r="2433" spans="1:10" x14ac:dyDescent="0.25">
      <c r="A2433" s="2" t="s">
        <v>7011</v>
      </c>
      <c r="B2433" s="2" t="s">
        <v>7007</v>
      </c>
      <c r="C2433" s="2" t="s">
        <v>7012</v>
      </c>
      <c r="D2433" s="2" t="s">
        <v>10055</v>
      </c>
      <c r="E2433" s="15">
        <v>0.22739999999999999</v>
      </c>
      <c r="F2433" s="15">
        <v>0.31469999999999998</v>
      </c>
      <c r="G2433" s="15">
        <v>0.46989999999999998</v>
      </c>
      <c r="H2433" s="15">
        <v>2.2800000000000001E-2</v>
      </c>
      <c r="I2433" s="15">
        <v>4.0099999999999997E-2</v>
      </c>
      <c r="J2433" s="15">
        <v>0.56857855361596021</v>
      </c>
    </row>
    <row r="2434" spans="1:10" x14ac:dyDescent="0.25">
      <c r="A2434" s="2" t="s">
        <v>7013</v>
      </c>
      <c r="B2434" s="2" t="s">
        <v>7007</v>
      </c>
      <c r="C2434" s="2" t="s">
        <v>7014</v>
      </c>
      <c r="D2434" s="2" t="s">
        <v>10055</v>
      </c>
      <c r="E2434" s="15">
        <v>0.3276</v>
      </c>
      <c r="F2434" s="15">
        <v>0.52780000000000005</v>
      </c>
      <c r="G2434" s="15">
        <v>0.53469999999999995</v>
      </c>
      <c r="H2434" s="15">
        <v>2.1600000000000001E-2</v>
      </c>
      <c r="I2434" s="15">
        <v>4.5999999999999999E-2</v>
      </c>
      <c r="J2434" s="15">
        <v>0.46956521739130441</v>
      </c>
    </row>
    <row r="2435" spans="1:10" x14ac:dyDescent="0.25">
      <c r="A2435" s="2" t="s">
        <v>7015</v>
      </c>
      <c r="B2435" s="2" t="s">
        <v>7007</v>
      </c>
      <c r="C2435" s="2" t="s">
        <v>7016</v>
      </c>
      <c r="D2435" s="2" t="s">
        <v>10055</v>
      </c>
      <c r="E2435" s="15"/>
      <c r="F2435" s="15"/>
      <c r="G2435" s="15"/>
      <c r="H2435" s="15"/>
      <c r="I2435" s="15"/>
      <c r="J2435" s="15"/>
    </row>
    <row r="2436" spans="1:10" x14ac:dyDescent="0.25">
      <c r="A2436" s="2" t="s">
        <v>7017</v>
      </c>
      <c r="B2436" s="2" t="s">
        <v>7007</v>
      </c>
      <c r="C2436" s="2" t="s">
        <v>7018</v>
      </c>
      <c r="D2436" s="2" t="s">
        <v>10055</v>
      </c>
      <c r="E2436" s="15">
        <v>-0.18579999999999999</v>
      </c>
      <c r="F2436" s="15">
        <v>0.11119999999999999</v>
      </c>
      <c r="G2436" s="15">
        <v>9.4600000000000004E-2</v>
      </c>
      <c r="H2436" s="15">
        <v>0.1178</v>
      </c>
      <c r="I2436" s="15">
        <v>4.6600000000000003E-2</v>
      </c>
      <c r="J2436" s="15">
        <v>2.5278969957081538</v>
      </c>
    </row>
    <row r="2437" spans="1:10" x14ac:dyDescent="0.25">
      <c r="A2437" s="2" t="s">
        <v>7019</v>
      </c>
      <c r="B2437" s="2" t="s">
        <v>7007</v>
      </c>
      <c r="C2437" s="2" t="s">
        <v>7020</v>
      </c>
      <c r="D2437" s="2" t="s">
        <v>10055</v>
      </c>
      <c r="E2437" s="15"/>
      <c r="F2437" s="15"/>
      <c r="G2437" s="15"/>
      <c r="H2437" s="15">
        <v>-4.8999999999999998E-3</v>
      </c>
      <c r="I2437" s="15">
        <v>4.3900000000000002E-2</v>
      </c>
      <c r="J2437" s="15">
        <v>-0.1116173120728929</v>
      </c>
    </row>
    <row r="2438" spans="1:10" x14ac:dyDescent="0.25">
      <c r="A2438" s="2" t="s">
        <v>7021</v>
      </c>
      <c r="B2438" s="2" t="s">
        <v>7007</v>
      </c>
      <c r="C2438" s="2" t="s">
        <v>7022</v>
      </c>
      <c r="D2438" s="2" t="s">
        <v>10055</v>
      </c>
      <c r="E2438" s="15">
        <v>0.1144</v>
      </c>
      <c r="F2438" s="15">
        <v>0.20910000000000001</v>
      </c>
      <c r="G2438" s="15">
        <v>0.58420000000000005</v>
      </c>
      <c r="H2438" s="15">
        <v>3.78E-2</v>
      </c>
      <c r="I2438" s="15">
        <v>4.1000000000000002E-2</v>
      </c>
      <c r="J2438" s="15">
        <v>0.92195121951219505</v>
      </c>
    </row>
    <row r="2439" spans="1:10" x14ac:dyDescent="0.25">
      <c r="A2439" s="2" t="s">
        <v>7023</v>
      </c>
      <c r="B2439" s="2" t="s">
        <v>7007</v>
      </c>
      <c r="C2439" s="2" t="s">
        <v>7024</v>
      </c>
      <c r="D2439" s="2" t="s">
        <v>10055</v>
      </c>
      <c r="E2439" s="15">
        <v>9.4000000000000004E-3</v>
      </c>
      <c r="F2439" s="15">
        <v>0.13250000000000001</v>
      </c>
      <c r="G2439" s="15">
        <v>0.94369999999999998</v>
      </c>
      <c r="H2439" s="15">
        <v>6.8699999999999997E-2</v>
      </c>
      <c r="I2439" s="15">
        <v>4.4999999999999998E-2</v>
      </c>
      <c r="J2439" s="15">
        <v>1.5266666666666671</v>
      </c>
    </row>
    <row r="2440" spans="1:10" x14ac:dyDescent="0.25">
      <c r="A2440" s="2" t="s">
        <v>7025</v>
      </c>
      <c r="B2440" s="2" t="s">
        <v>7007</v>
      </c>
      <c r="C2440" s="2" t="s">
        <v>7026</v>
      </c>
      <c r="D2440" s="2" t="s">
        <v>10055</v>
      </c>
      <c r="E2440" s="15"/>
      <c r="F2440" s="15"/>
      <c r="G2440" s="15"/>
      <c r="H2440" s="15"/>
      <c r="I2440" s="15"/>
      <c r="J2440" s="15"/>
    </row>
    <row r="2441" spans="1:10" x14ac:dyDescent="0.25">
      <c r="A2441" s="2" t="s">
        <v>7027</v>
      </c>
      <c r="B2441" s="2" t="s">
        <v>7007</v>
      </c>
      <c r="C2441" s="2" t="s">
        <v>7028</v>
      </c>
      <c r="D2441" s="2" t="s">
        <v>10055</v>
      </c>
      <c r="E2441" s="15"/>
      <c r="F2441" s="15"/>
      <c r="G2441" s="15"/>
      <c r="H2441" s="15">
        <v>-1.6400000000000001E-2</v>
      </c>
      <c r="I2441" s="15">
        <v>4.0800000000000003E-2</v>
      </c>
      <c r="J2441" s="15">
        <v>-0.40196078431372551</v>
      </c>
    </row>
    <row r="2442" spans="1:10" x14ac:dyDescent="0.25">
      <c r="A2442" s="2" t="s">
        <v>7029</v>
      </c>
      <c r="B2442" s="2" t="s">
        <v>7007</v>
      </c>
      <c r="C2442" s="2" t="s">
        <v>7030</v>
      </c>
      <c r="D2442" s="2" t="s">
        <v>10055</v>
      </c>
      <c r="E2442" s="15">
        <v>-0.15659999999999999</v>
      </c>
      <c r="F2442" s="15">
        <v>0.15670000000000001</v>
      </c>
      <c r="G2442" s="15">
        <v>0.31769999999999998</v>
      </c>
      <c r="H2442" s="15">
        <v>5.33E-2</v>
      </c>
      <c r="I2442" s="15">
        <v>4.6899999999999997E-2</v>
      </c>
      <c r="J2442" s="15">
        <v>1.136460554371002</v>
      </c>
    </row>
    <row r="2443" spans="1:10" x14ac:dyDescent="0.25">
      <c r="A2443" s="2" t="s">
        <v>7031</v>
      </c>
      <c r="B2443" s="2" t="s">
        <v>7007</v>
      </c>
      <c r="C2443" s="2" t="s">
        <v>7032</v>
      </c>
      <c r="D2443" s="2" t="s">
        <v>10055</v>
      </c>
      <c r="E2443" s="15">
        <v>-5.7500000000000002E-2</v>
      </c>
      <c r="F2443" s="15">
        <v>0.17899999999999999</v>
      </c>
      <c r="G2443" s="15">
        <v>0.74819999999999998</v>
      </c>
      <c r="H2443" s="15">
        <v>3.1699999999999999E-2</v>
      </c>
      <c r="I2443" s="15">
        <v>4.3299999999999998E-2</v>
      </c>
      <c r="J2443" s="15">
        <v>0.73210161662817552</v>
      </c>
    </row>
    <row r="2444" spans="1:10" x14ac:dyDescent="0.25">
      <c r="A2444" s="2" t="s">
        <v>7033</v>
      </c>
      <c r="B2444" s="2" t="s">
        <v>7007</v>
      </c>
      <c r="C2444" s="2" t="s">
        <v>7034</v>
      </c>
      <c r="D2444" s="2" t="s">
        <v>10055</v>
      </c>
      <c r="E2444" s="15"/>
      <c r="F2444" s="15"/>
      <c r="G2444" s="15"/>
      <c r="H2444" s="15">
        <v>-2.4899999999999999E-2</v>
      </c>
      <c r="I2444" s="15">
        <v>4.0099999999999997E-2</v>
      </c>
      <c r="J2444" s="15">
        <v>-0.62094763092269323</v>
      </c>
    </row>
    <row r="2445" spans="1:10" x14ac:dyDescent="0.25">
      <c r="A2445" s="2" t="s">
        <v>7035</v>
      </c>
      <c r="B2445" s="2" t="s">
        <v>7007</v>
      </c>
      <c r="C2445" s="2" t="s">
        <v>7036</v>
      </c>
      <c r="D2445" s="2" t="s">
        <v>10055</v>
      </c>
      <c r="E2445" s="15"/>
      <c r="F2445" s="15"/>
      <c r="G2445" s="15"/>
      <c r="H2445" s="15">
        <v>-1.9699999999999999E-2</v>
      </c>
      <c r="I2445" s="15">
        <v>3.8800000000000001E-2</v>
      </c>
      <c r="J2445" s="15">
        <v>-0.50773195876288657</v>
      </c>
    </row>
    <row r="2446" spans="1:10" x14ac:dyDescent="0.25">
      <c r="A2446" s="2" t="s">
        <v>7037</v>
      </c>
      <c r="B2446" s="2" t="s">
        <v>7007</v>
      </c>
      <c r="C2446" s="2" t="s">
        <v>7038</v>
      </c>
      <c r="D2446" s="2" t="s">
        <v>10055</v>
      </c>
      <c r="E2446" s="15"/>
      <c r="F2446" s="15"/>
      <c r="G2446" s="15"/>
      <c r="H2446" s="15"/>
      <c r="I2446" s="15"/>
      <c r="J2446" s="15"/>
    </row>
    <row r="2447" spans="1:10" x14ac:dyDescent="0.25">
      <c r="A2447" s="2" t="s">
        <v>7039</v>
      </c>
      <c r="B2447" s="2" t="s">
        <v>7007</v>
      </c>
      <c r="C2447" s="2" t="s">
        <v>7040</v>
      </c>
      <c r="D2447" s="2" t="s">
        <v>10055</v>
      </c>
      <c r="E2447" s="15"/>
      <c r="F2447" s="15"/>
      <c r="G2447" s="15"/>
      <c r="H2447" s="15">
        <v>-5.9999999999999995E-4</v>
      </c>
      <c r="I2447" s="15">
        <v>3.9899999999999998E-2</v>
      </c>
      <c r="J2447" s="15">
        <v>-1.503759398496241E-2</v>
      </c>
    </row>
    <row r="2448" spans="1:10" x14ac:dyDescent="0.25">
      <c r="A2448" s="2" t="s">
        <v>7041</v>
      </c>
      <c r="B2448" s="2" t="s">
        <v>7007</v>
      </c>
      <c r="C2448" s="2" t="s">
        <v>7042</v>
      </c>
      <c r="D2448" s="2" t="s">
        <v>10055</v>
      </c>
      <c r="E2448" s="15">
        <v>8.3000000000000001E-3</v>
      </c>
      <c r="F2448" s="15">
        <v>0.12529999999999999</v>
      </c>
      <c r="G2448" s="15">
        <v>0.94720000000000004</v>
      </c>
      <c r="H2448" s="15">
        <v>7.1599999999999997E-2</v>
      </c>
      <c r="I2448" s="15">
        <v>3.4700000000000002E-2</v>
      </c>
      <c r="J2448" s="15">
        <v>2.0634005763688759</v>
      </c>
    </row>
    <row r="2449" spans="1:10" x14ac:dyDescent="0.25">
      <c r="A2449" s="2" t="s">
        <v>7043</v>
      </c>
      <c r="B2449" s="2" t="s">
        <v>7007</v>
      </c>
      <c r="C2449" s="2" t="s">
        <v>7044</v>
      </c>
      <c r="D2449" s="2" t="s">
        <v>10055</v>
      </c>
      <c r="E2449" s="15"/>
      <c r="F2449" s="15"/>
      <c r="G2449" s="15"/>
      <c r="H2449" s="15">
        <v>-3.1E-2</v>
      </c>
      <c r="I2449" s="15">
        <v>4.1200000000000001E-2</v>
      </c>
      <c r="J2449" s="15">
        <v>-0.75242718446601942</v>
      </c>
    </row>
    <row r="2450" spans="1:10" x14ac:dyDescent="0.25">
      <c r="A2450" s="2" t="s">
        <v>7045</v>
      </c>
      <c r="B2450" s="2" t="s">
        <v>7007</v>
      </c>
      <c r="C2450" s="2" t="s">
        <v>7046</v>
      </c>
      <c r="D2450" s="2" t="s">
        <v>10055</v>
      </c>
      <c r="E2450" s="15">
        <v>-0.16339999999999999</v>
      </c>
      <c r="F2450" s="15">
        <v>0.10199999999999999</v>
      </c>
      <c r="G2450" s="15">
        <v>0.1091</v>
      </c>
      <c r="H2450" s="15">
        <v>0.1109</v>
      </c>
      <c r="I2450" s="15">
        <v>4.6199999999999998E-2</v>
      </c>
      <c r="J2450" s="15">
        <v>2.400432900432901</v>
      </c>
    </row>
    <row r="2451" spans="1:10" x14ac:dyDescent="0.25">
      <c r="A2451" s="2" t="s">
        <v>7047</v>
      </c>
      <c r="B2451" s="2" t="s">
        <v>7007</v>
      </c>
      <c r="C2451" s="2" t="s">
        <v>7048</v>
      </c>
      <c r="D2451" s="2" t="s">
        <v>10055</v>
      </c>
      <c r="E2451" s="15">
        <v>-0.19889999999999999</v>
      </c>
      <c r="F2451" s="15">
        <v>0.3211</v>
      </c>
      <c r="G2451" s="15">
        <v>0.53559999999999997</v>
      </c>
      <c r="H2451" s="15">
        <v>1.9E-2</v>
      </c>
      <c r="I2451" s="15">
        <v>3.8100000000000002E-2</v>
      </c>
      <c r="J2451" s="15">
        <v>0.49868766404199472</v>
      </c>
    </row>
    <row r="2452" spans="1:10" x14ac:dyDescent="0.25">
      <c r="A2452" s="2" t="s">
        <v>7049</v>
      </c>
      <c r="B2452" s="2" t="s">
        <v>7007</v>
      </c>
      <c r="C2452" s="2" t="s">
        <v>7050</v>
      </c>
      <c r="D2452" s="2" t="s">
        <v>10055</v>
      </c>
      <c r="E2452" s="15">
        <v>0.1363</v>
      </c>
      <c r="F2452" s="15">
        <v>0.10290000000000001</v>
      </c>
      <c r="G2452" s="15">
        <v>0.1855</v>
      </c>
      <c r="H2452" s="15">
        <v>0.185</v>
      </c>
      <c r="I2452" s="15">
        <v>4.9099999999999998E-2</v>
      </c>
      <c r="J2452" s="15">
        <v>3.7678207739307541</v>
      </c>
    </row>
    <row r="2453" spans="1:10" x14ac:dyDescent="0.25">
      <c r="A2453" s="2" t="s">
        <v>7051</v>
      </c>
      <c r="B2453" s="2" t="s">
        <v>7007</v>
      </c>
      <c r="C2453" s="2" t="s">
        <v>7052</v>
      </c>
      <c r="D2453" s="2" t="s">
        <v>10055</v>
      </c>
      <c r="E2453" s="15"/>
      <c r="F2453" s="15"/>
      <c r="G2453" s="15"/>
      <c r="H2453" s="15">
        <v>-2.8400000000000002E-2</v>
      </c>
      <c r="I2453" s="15">
        <v>4.2500000000000003E-2</v>
      </c>
      <c r="J2453" s="15">
        <v>-0.66823529411764704</v>
      </c>
    </row>
    <row r="2454" spans="1:10" x14ac:dyDescent="0.25">
      <c r="A2454" s="2" t="s">
        <v>7053</v>
      </c>
      <c r="B2454" s="2" t="s">
        <v>7007</v>
      </c>
      <c r="C2454" s="2" t="s">
        <v>7054</v>
      </c>
      <c r="D2454" s="2" t="s">
        <v>10055</v>
      </c>
      <c r="E2454" s="15"/>
      <c r="F2454" s="15"/>
      <c r="G2454" s="15"/>
      <c r="H2454" s="15">
        <v>-2.2000000000000001E-3</v>
      </c>
      <c r="I2454" s="15">
        <v>3.8600000000000002E-2</v>
      </c>
      <c r="J2454" s="15">
        <v>-5.6994818652849742E-2</v>
      </c>
    </row>
    <row r="2455" spans="1:10" x14ac:dyDescent="0.25">
      <c r="A2455" s="2" t="s">
        <v>7055</v>
      </c>
      <c r="B2455" s="2" t="s">
        <v>7007</v>
      </c>
      <c r="C2455" s="2" t="s">
        <v>7056</v>
      </c>
      <c r="D2455" s="2" t="s">
        <v>10055</v>
      </c>
      <c r="E2455" s="15">
        <v>-0.12709999999999999</v>
      </c>
      <c r="F2455" s="15">
        <v>0.11269999999999999</v>
      </c>
      <c r="G2455" s="15">
        <v>0.25950000000000001</v>
      </c>
      <c r="H2455" s="15">
        <v>0.1067</v>
      </c>
      <c r="I2455" s="15">
        <v>4.1799999999999997E-2</v>
      </c>
      <c r="J2455" s="15">
        <v>2.552631578947369</v>
      </c>
    </row>
    <row r="2456" spans="1:10" x14ac:dyDescent="0.25">
      <c r="A2456" s="2" t="s">
        <v>7057</v>
      </c>
      <c r="B2456" s="2" t="s">
        <v>7007</v>
      </c>
      <c r="C2456" s="2" t="s">
        <v>7058</v>
      </c>
      <c r="D2456" s="2" t="s">
        <v>10055</v>
      </c>
      <c r="E2456" s="15">
        <v>0.12180000000000001</v>
      </c>
      <c r="F2456" s="15">
        <v>0.13159999999999999</v>
      </c>
      <c r="G2456" s="15">
        <v>0.35460000000000003</v>
      </c>
      <c r="H2456" s="15">
        <v>7.3599999999999999E-2</v>
      </c>
      <c r="I2456" s="15">
        <v>5.0500000000000003E-2</v>
      </c>
      <c r="J2456" s="15">
        <v>1.4574257425742569</v>
      </c>
    </row>
    <row r="2457" spans="1:10" x14ac:dyDescent="0.25">
      <c r="A2457" s="2" t="s">
        <v>7059</v>
      </c>
      <c r="B2457" s="2" t="s">
        <v>7007</v>
      </c>
      <c r="C2457" s="2" t="s">
        <v>7060</v>
      </c>
      <c r="D2457" s="2" t="s">
        <v>10055</v>
      </c>
      <c r="E2457" s="15"/>
      <c r="F2457" s="15"/>
      <c r="G2457" s="15"/>
      <c r="H2457" s="15">
        <v>-3.1699999999999999E-2</v>
      </c>
      <c r="I2457" s="15">
        <v>4.2999999999999997E-2</v>
      </c>
      <c r="J2457" s="15">
        <v>-0.73720930232558146</v>
      </c>
    </row>
    <row r="2458" spans="1:10" x14ac:dyDescent="0.25">
      <c r="A2458" s="2" t="s">
        <v>7061</v>
      </c>
      <c r="B2458" s="2" t="s">
        <v>7007</v>
      </c>
      <c r="C2458" s="2" t="s">
        <v>7062</v>
      </c>
      <c r="D2458" s="2" t="s">
        <v>10055</v>
      </c>
      <c r="E2458" s="15"/>
      <c r="F2458" s="15"/>
      <c r="G2458" s="15"/>
      <c r="H2458" s="15">
        <v>-1.34E-2</v>
      </c>
      <c r="I2458" s="15">
        <v>3.6200000000000003E-2</v>
      </c>
      <c r="J2458" s="15">
        <v>-0.37016574585635359</v>
      </c>
    </row>
    <row r="2459" spans="1:10" x14ac:dyDescent="0.25">
      <c r="A2459" s="2" t="s">
        <v>7063</v>
      </c>
      <c r="B2459" s="2" t="s">
        <v>7007</v>
      </c>
      <c r="C2459" s="2" t="s">
        <v>7064</v>
      </c>
      <c r="D2459" s="2" t="s">
        <v>10055</v>
      </c>
      <c r="E2459" s="15">
        <v>-8.6400000000000005E-2</v>
      </c>
      <c r="F2459" s="15">
        <v>0.1585</v>
      </c>
      <c r="G2459" s="15">
        <v>0.58560000000000001</v>
      </c>
      <c r="H2459" s="15">
        <v>5.3400000000000003E-2</v>
      </c>
      <c r="I2459" s="15">
        <v>4.3799999999999999E-2</v>
      </c>
      <c r="J2459" s="15">
        <v>1.219178082191781</v>
      </c>
    </row>
    <row r="2460" spans="1:10" x14ac:dyDescent="0.25">
      <c r="A2460" s="2" t="s">
        <v>7065</v>
      </c>
      <c r="B2460" s="2" t="s">
        <v>7007</v>
      </c>
      <c r="C2460" s="2" t="s">
        <v>7066</v>
      </c>
      <c r="D2460" s="2" t="s">
        <v>10055</v>
      </c>
      <c r="E2460" s="15">
        <v>-4.65E-2</v>
      </c>
      <c r="F2460" s="15">
        <v>0.14080000000000001</v>
      </c>
      <c r="G2460" s="15">
        <v>0.74139999999999995</v>
      </c>
      <c r="H2460" s="15">
        <v>6.6199999999999995E-2</v>
      </c>
      <c r="I2460" s="15">
        <v>4.1700000000000001E-2</v>
      </c>
      <c r="J2460" s="15">
        <v>1.587529976019185</v>
      </c>
    </row>
    <row r="2461" spans="1:10" x14ac:dyDescent="0.25">
      <c r="A2461" s="2" t="s">
        <v>7067</v>
      </c>
      <c r="B2461" s="2" t="s">
        <v>7007</v>
      </c>
      <c r="C2461" s="2" t="s">
        <v>7068</v>
      </c>
      <c r="D2461" s="2" t="s">
        <v>10055</v>
      </c>
      <c r="E2461" s="15">
        <v>-0.15590000000000001</v>
      </c>
      <c r="F2461" s="15">
        <v>0.23230000000000001</v>
      </c>
      <c r="G2461" s="15">
        <v>0.50219999999999998</v>
      </c>
      <c r="H2461" s="15">
        <v>3.3099999999999997E-2</v>
      </c>
      <c r="I2461" s="15">
        <v>4.5499999999999999E-2</v>
      </c>
      <c r="J2461" s="15">
        <v>0.72747252747252744</v>
      </c>
    </row>
    <row r="2462" spans="1:10" x14ac:dyDescent="0.25">
      <c r="A2462" s="2" t="s">
        <v>7069</v>
      </c>
      <c r="B2462" s="2" t="s">
        <v>7007</v>
      </c>
      <c r="C2462" s="2" t="s">
        <v>7070</v>
      </c>
      <c r="D2462" s="2" t="s">
        <v>10055</v>
      </c>
      <c r="E2462" s="15"/>
      <c r="F2462" s="15"/>
      <c r="G2462" s="15"/>
      <c r="H2462" s="15"/>
      <c r="I2462" s="15"/>
      <c r="J2462" s="15"/>
    </row>
    <row r="2463" spans="1:10" x14ac:dyDescent="0.25">
      <c r="A2463" s="2" t="s">
        <v>7071</v>
      </c>
      <c r="B2463" s="2" t="s">
        <v>7007</v>
      </c>
      <c r="C2463" s="2" t="s">
        <v>7072</v>
      </c>
      <c r="D2463" s="2" t="s">
        <v>10055</v>
      </c>
      <c r="E2463" s="15"/>
      <c r="F2463" s="15"/>
      <c r="G2463" s="15"/>
      <c r="H2463" s="15">
        <v>-3.3000000000000002E-2</v>
      </c>
      <c r="I2463" s="15">
        <v>4.1099999999999998E-2</v>
      </c>
      <c r="J2463" s="15">
        <v>-0.80291970802919721</v>
      </c>
    </row>
    <row r="2464" spans="1:10" x14ac:dyDescent="0.25">
      <c r="A2464" s="2" t="s">
        <v>7073</v>
      </c>
      <c r="B2464" s="2" t="s">
        <v>7007</v>
      </c>
      <c r="C2464" s="2" t="s">
        <v>7074</v>
      </c>
      <c r="D2464" s="2" t="s">
        <v>10055</v>
      </c>
      <c r="E2464" s="15"/>
      <c r="F2464" s="15"/>
      <c r="G2464" s="15"/>
      <c r="H2464" s="15">
        <v>-2.5000000000000001E-3</v>
      </c>
      <c r="I2464" s="15">
        <v>3.95E-2</v>
      </c>
      <c r="J2464" s="15">
        <v>-6.3291139240506333E-2</v>
      </c>
    </row>
    <row r="2465" spans="1:10" x14ac:dyDescent="0.25">
      <c r="A2465" s="2" t="s">
        <v>7075</v>
      </c>
      <c r="B2465" s="2" t="s">
        <v>7007</v>
      </c>
      <c r="C2465" s="2" t="s">
        <v>7076</v>
      </c>
      <c r="D2465" s="2" t="s">
        <v>10055</v>
      </c>
      <c r="E2465" s="15">
        <v>-6.7000000000000002E-3</v>
      </c>
      <c r="F2465" s="15">
        <v>9.06E-2</v>
      </c>
      <c r="G2465" s="15">
        <v>0.94099999999999995</v>
      </c>
      <c r="H2465" s="15">
        <v>0.13819999999999999</v>
      </c>
      <c r="I2465" s="15">
        <v>4.36E-2</v>
      </c>
      <c r="J2465" s="15">
        <v>3.169724770642202</v>
      </c>
    </row>
    <row r="2466" spans="1:10" x14ac:dyDescent="0.25">
      <c r="A2466" s="2" t="s">
        <v>7077</v>
      </c>
      <c r="B2466" s="2" t="s">
        <v>7007</v>
      </c>
      <c r="C2466" s="2" t="s">
        <v>7078</v>
      </c>
      <c r="D2466" s="2" t="s">
        <v>10055</v>
      </c>
      <c r="E2466" s="15">
        <v>0.17330000000000001</v>
      </c>
      <c r="F2466" s="15">
        <v>0.1416</v>
      </c>
      <c r="G2466" s="15">
        <v>0.221</v>
      </c>
      <c r="H2466" s="15">
        <v>6.1100000000000002E-2</v>
      </c>
      <c r="I2466" s="15">
        <v>3.9E-2</v>
      </c>
      <c r="J2466" s="15">
        <v>1.5666666666666671</v>
      </c>
    </row>
    <row r="2467" spans="1:10" x14ac:dyDescent="0.25">
      <c r="A2467" s="2" t="s">
        <v>7079</v>
      </c>
      <c r="B2467" s="2" t="s">
        <v>7007</v>
      </c>
      <c r="C2467" s="2" t="s">
        <v>7080</v>
      </c>
      <c r="D2467" s="2" t="s">
        <v>10055</v>
      </c>
      <c r="E2467" s="15">
        <v>1.54E-2</v>
      </c>
      <c r="F2467" s="15">
        <v>0.25629999999999997</v>
      </c>
      <c r="G2467" s="15">
        <v>0.95199999999999996</v>
      </c>
      <c r="H2467" s="15">
        <v>1.7600000000000001E-2</v>
      </c>
      <c r="I2467" s="15">
        <v>3.8600000000000002E-2</v>
      </c>
      <c r="J2467" s="15">
        <v>0.45595854922279788</v>
      </c>
    </row>
    <row r="2468" spans="1:10" x14ac:dyDescent="0.25">
      <c r="A2468" s="2" t="s">
        <v>7081</v>
      </c>
      <c r="B2468" s="2" t="s">
        <v>7007</v>
      </c>
      <c r="C2468" s="2" t="s">
        <v>7082</v>
      </c>
      <c r="D2468" s="2" t="s">
        <v>10055</v>
      </c>
      <c r="E2468" s="15">
        <v>-1.37E-2</v>
      </c>
      <c r="F2468" s="15">
        <v>0.18290000000000001</v>
      </c>
      <c r="G2468" s="15">
        <v>0.94020000000000004</v>
      </c>
      <c r="H2468" s="15">
        <v>3.8100000000000002E-2</v>
      </c>
      <c r="I2468" s="15">
        <v>4.1099999999999998E-2</v>
      </c>
      <c r="J2468" s="15">
        <v>0.92700729927007308</v>
      </c>
    </row>
    <row r="2469" spans="1:10" x14ac:dyDescent="0.25">
      <c r="A2469" s="2" t="s">
        <v>7083</v>
      </c>
      <c r="B2469" s="2" t="s">
        <v>7007</v>
      </c>
      <c r="C2469" s="2" t="s">
        <v>7084</v>
      </c>
      <c r="D2469" s="2" t="s">
        <v>10055</v>
      </c>
      <c r="E2469" s="15">
        <v>0.20930000000000001</v>
      </c>
      <c r="F2469" s="15">
        <v>0.1111</v>
      </c>
      <c r="G2469" s="15">
        <v>5.9400000000000001E-2</v>
      </c>
      <c r="H2469" s="15">
        <v>0.1081</v>
      </c>
      <c r="I2469" s="15">
        <v>4.1599999999999998E-2</v>
      </c>
      <c r="J2469" s="15">
        <v>2.598557692307693</v>
      </c>
    </row>
    <row r="2470" spans="1:10" x14ac:dyDescent="0.25">
      <c r="A2470" s="2" t="s">
        <v>7085</v>
      </c>
      <c r="B2470" s="2" t="s">
        <v>7007</v>
      </c>
      <c r="C2470" s="2" t="s">
        <v>7086</v>
      </c>
      <c r="D2470" s="2" t="s">
        <v>10055</v>
      </c>
      <c r="E2470" s="15">
        <v>0.21010000000000001</v>
      </c>
      <c r="F2470" s="15">
        <v>0.5716</v>
      </c>
      <c r="G2470" s="15">
        <v>0.71319999999999995</v>
      </c>
      <c r="H2470" s="15">
        <v>1.44E-2</v>
      </c>
      <c r="I2470" s="15">
        <v>3.9399999999999998E-2</v>
      </c>
      <c r="J2470" s="15">
        <v>0.36548223350253811</v>
      </c>
    </row>
    <row r="2471" spans="1:10" x14ac:dyDescent="0.25">
      <c r="A2471" s="2" t="s">
        <v>7087</v>
      </c>
      <c r="B2471" s="2" t="s">
        <v>7007</v>
      </c>
      <c r="C2471" s="2" t="s">
        <v>7088</v>
      </c>
      <c r="D2471" s="2" t="s">
        <v>10055</v>
      </c>
      <c r="E2471" s="15">
        <v>-6.9000000000000006E-2</v>
      </c>
      <c r="F2471" s="15">
        <v>0.27129999999999999</v>
      </c>
      <c r="G2471" s="15">
        <v>0.79930000000000001</v>
      </c>
      <c r="H2471" s="15">
        <v>2.41E-2</v>
      </c>
      <c r="I2471" s="15">
        <v>4.2299999999999997E-2</v>
      </c>
      <c r="J2471" s="15">
        <v>0.56973995271867617</v>
      </c>
    </row>
    <row r="2472" spans="1:10" x14ac:dyDescent="0.25">
      <c r="A2472" s="2" t="s">
        <v>7089</v>
      </c>
      <c r="B2472" s="2" t="s">
        <v>7007</v>
      </c>
      <c r="C2472" s="2" t="s">
        <v>7090</v>
      </c>
      <c r="D2472" s="2" t="s">
        <v>10055</v>
      </c>
      <c r="E2472" s="15"/>
      <c r="F2472" s="15"/>
      <c r="G2472" s="15"/>
      <c r="H2472" s="15">
        <v>-4.2099999999999999E-2</v>
      </c>
      <c r="I2472" s="15">
        <v>4.0399999999999998E-2</v>
      </c>
      <c r="J2472" s="15">
        <v>-1.0420792079207919</v>
      </c>
    </row>
    <row r="2473" spans="1:10" x14ac:dyDescent="0.25">
      <c r="A2473" s="2" t="s">
        <v>7091</v>
      </c>
      <c r="B2473" s="2" t="s">
        <v>7007</v>
      </c>
      <c r="C2473" s="2" t="s">
        <v>7092</v>
      </c>
      <c r="D2473" s="2" t="s">
        <v>10055</v>
      </c>
      <c r="E2473" s="15">
        <v>-5.8700000000000002E-2</v>
      </c>
      <c r="F2473" s="15">
        <v>0.1069</v>
      </c>
      <c r="G2473" s="15">
        <v>0.5827</v>
      </c>
      <c r="H2473" s="15">
        <v>0.1028</v>
      </c>
      <c r="I2473" s="15">
        <v>3.9800000000000002E-2</v>
      </c>
      <c r="J2473" s="15">
        <v>2.582914572864321</v>
      </c>
    </row>
    <row r="2474" spans="1:10" x14ac:dyDescent="0.25">
      <c r="A2474" s="2" t="s">
        <v>7093</v>
      </c>
      <c r="B2474" s="2" t="s">
        <v>7007</v>
      </c>
      <c r="C2474" s="2" t="s">
        <v>7094</v>
      </c>
      <c r="D2474" s="2" t="s">
        <v>10055</v>
      </c>
      <c r="E2474" s="15"/>
      <c r="F2474" s="15"/>
      <c r="G2474" s="15"/>
      <c r="H2474" s="15">
        <v>-1.6400000000000001E-2</v>
      </c>
      <c r="I2474" s="15">
        <v>4.1200000000000001E-2</v>
      </c>
      <c r="J2474" s="15">
        <v>-0.39805825242718451</v>
      </c>
    </row>
    <row r="2475" spans="1:10" x14ac:dyDescent="0.25">
      <c r="A2475" s="2" t="s">
        <v>7095</v>
      </c>
      <c r="B2475" s="2" t="s">
        <v>7007</v>
      </c>
      <c r="C2475" s="2" t="s">
        <v>7096</v>
      </c>
      <c r="D2475" s="2" t="s">
        <v>10055</v>
      </c>
      <c r="E2475" s="15">
        <v>0.1895</v>
      </c>
      <c r="F2475" s="15">
        <v>1.0053000000000001</v>
      </c>
      <c r="G2475" s="15">
        <v>0.85050000000000003</v>
      </c>
      <c r="H2475" s="15">
        <v>1.29E-2</v>
      </c>
      <c r="I2475" s="15">
        <v>4.0599999999999997E-2</v>
      </c>
      <c r="J2475" s="15">
        <v>0.31773399014778331</v>
      </c>
    </row>
    <row r="2476" spans="1:10" x14ac:dyDescent="0.25">
      <c r="A2476" s="2" t="s">
        <v>7097</v>
      </c>
      <c r="B2476" s="2" t="s">
        <v>7007</v>
      </c>
      <c r="C2476" s="2" t="s">
        <v>7098</v>
      </c>
      <c r="D2476" s="2" t="s">
        <v>10055</v>
      </c>
      <c r="E2476" s="15"/>
      <c r="F2476" s="15"/>
      <c r="G2476" s="15"/>
      <c r="H2476" s="15">
        <v>-8.0000000000000002E-3</v>
      </c>
      <c r="I2476" s="15">
        <v>4.6300000000000001E-2</v>
      </c>
      <c r="J2476" s="15">
        <v>-0.1727861771058315</v>
      </c>
    </row>
    <row r="2477" spans="1:10" x14ac:dyDescent="0.25">
      <c r="A2477" s="2" t="s">
        <v>7099</v>
      </c>
      <c r="B2477" s="2" t="s">
        <v>7007</v>
      </c>
      <c r="C2477" s="2" t="s">
        <v>7100</v>
      </c>
      <c r="D2477" s="2" t="s">
        <v>10055</v>
      </c>
      <c r="E2477" s="15">
        <v>4.4200000000000003E-2</v>
      </c>
      <c r="F2477" s="15">
        <v>0.21379999999999999</v>
      </c>
      <c r="G2477" s="15">
        <v>0.83620000000000005</v>
      </c>
      <c r="H2477" s="15">
        <v>2.92E-2</v>
      </c>
      <c r="I2477" s="15">
        <v>4.0099999999999997E-2</v>
      </c>
      <c r="J2477" s="15">
        <v>0.72817955112219457</v>
      </c>
    </row>
    <row r="2478" spans="1:10" x14ac:dyDescent="0.25">
      <c r="A2478" s="2" t="s">
        <v>7101</v>
      </c>
      <c r="B2478" s="2" t="s">
        <v>7007</v>
      </c>
      <c r="C2478" s="2" t="s">
        <v>7102</v>
      </c>
      <c r="D2478" s="2" t="s">
        <v>10055</v>
      </c>
      <c r="E2478" s="15"/>
      <c r="F2478" s="15"/>
      <c r="G2478" s="15"/>
      <c r="H2478" s="15">
        <v>-6.7199999999999996E-2</v>
      </c>
      <c r="I2478" s="15">
        <v>4.2500000000000003E-2</v>
      </c>
      <c r="J2478" s="15">
        <v>-1.581176470588235</v>
      </c>
    </row>
    <row r="2479" spans="1:10" x14ac:dyDescent="0.25">
      <c r="A2479" s="2" t="s">
        <v>7103</v>
      </c>
      <c r="B2479" s="2" t="s">
        <v>7007</v>
      </c>
      <c r="C2479" s="2" t="s">
        <v>7104</v>
      </c>
      <c r="D2479" s="2" t="s">
        <v>10055</v>
      </c>
      <c r="E2479" s="15">
        <v>-9.2999999999999992E-3</v>
      </c>
      <c r="F2479" s="15">
        <v>9.9699999999999997E-2</v>
      </c>
      <c r="G2479" s="15">
        <v>0.92569999999999997</v>
      </c>
      <c r="H2479" s="15">
        <v>0.12809999999999999</v>
      </c>
      <c r="I2479" s="15">
        <v>4.2599999999999999E-2</v>
      </c>
      <c r="J2479" s="15">
        <v>3.007042253521127</v>
      </c>
    </row>
    <row r="2480" spans="1:10" x14ac:dyDescent="0.25">
      <c r="A2480" s="2" t="s">
        <v>7105</v>
      </c>
      <c r="B2480" s="2" t="s">
        <v>7007</v>
      </c>
      <c r="C2480" s="2" t="s">
        <v>7106</v>
      </c>
      <c r="D2480" s="2" t="s">
        <v>10055</v>
      </c>
      <c r="E2480" s="15">
        <v>1.9099999999999999E-2</v>
      </c>
      <c r="F2480" s="15">
        <v>0.1096</v>
      </c>
      <c r="G2480" s="15">
        <v>0.86140000000000005</v>
      </c>
      <c r="H2480" s="15">
        <v>8.9200000000000002E-2</v>
      </c>
      <c r="I2480" s="15">
        <v>4.5600000000000002E-2</v>
      </c>
      <c r="J2480" s="15">
        <v>1.9561403508771931</v>
      </c>
    </row>
    <row r="2481" spans="1:10" x14ac:dyDescent="0.25">
      <c r="A2481" s="2" t="s">
        <v>7107</v>
      </c>
      <c r="B2481" s="2" t="s">
        <v>7007</v>
      </c>
      <c r="C2481" s="2" t="s">
        <v>7108</v>
      </c>
      <c r="D2481" s="2" t="s">
        <v>10055</v>
      </c>
      <c r="E2481" s="15">
        <v>6.3200000000000006E-2</v>
      </c>
      <c r="F2481" s="15">
        <v>0.19919999999999999</v>
      </c>
      <c r="G2481" s="15">
        <v>0.75109999999999999</v>
      </c>
      <c r="H2481" s="15">
        <v>3.5000000000000003E-2</v>
      </c>
      <c r="I2481" s="15">
        <v>4.2999999999999997E-2</v>
      </c>
      <c r="J2481" s="15">
        <v>0.81395348837209314</v>
      </c>
    </row>
    <row r="2482" spans="1:10" x14ac:dyDescent="0.25">
      <c r="A2482" s="2" t="s">
        <v>7109</v>
      </c>
      <c r="B2482" s="2" t="s">
        <v>7007</v>
      </c>
      <c r="C2482" s="2" t="s">
        <v>7110</v>
      </c>
      <c r="D2482" s="2" t="s">
        <v>10055</v>
      </c>
      <c r="E2482" s="15">
        <v>-6.7799999999999999E-2</v>
      </c>
      <c r="F2482" s="15">
        <v>0.13800000000000001</v>
      </c>
      <c r="G2482" s="15">
        <v>0.62329999999999997</v>
      </c>
      <c r="H2482" s="15">
        <v>6.3700000000000007E-2</v>
      </c>
      <c r="I2482" s="15">
        <v>4.3099999999999999E-2</v>
      </c>
      <c r="J2482" s="15">
        <v>1.477958236658933</v>
      </c>
    </row>
    <row r="2483" spans="1:10" x14ac:dyDescent="0.25">
      <c r="A2483" s="2" t="s">
        <v>7111</v>
      </c>
      <c r="B2483" s="2" t="s">
        <v>7007</v>
      </c>
      <c r="C2483" s="2" t="s">
        <v>7112</v>
      </c>
      <c r="D2483" s="2" t="s">
        <v>10055</v>
      </c>
      <c r="E2483" s="15"/>
      <c r="F2483" s="15"/>
      <c r="G2483" s="15"/>
      <c r="H2483" s="15">
        <v>-4.7000000000000002E-3</v>
      </c>
      <c r="I2483" s="15">
        <v>4.4499999999999998E-2</v>
      </c>
      <c r="J2483" s="15">
        <v>-0.10561797752808991</v>
      </c>
    </row>
    <row r="2484" spans="1:10" x14ac:dyDescent="0.25">
      <c r="A2484" s="2" t="s">
        <v>7113</v>
      </c>
      <c r="B2484" s="2" t="s">
        <v>7007</v>
      </c>
      <c r="C2484" s="2" t="s">
        <v>7114</v>
      </c>
      <c r="D2484" s="2" t="s">
        <v>10055</v>
      </c>
      <c r="E2484" s="15">
        <v>-0.14879999999999999</v>
      </c>
      <c r="F2484" s="15">
        <v>0.1517</v>
      </c>
      <c r="G2484" s="15">
        <v>0.32669999999999999</v>
      </c>
      <c r="H2484" s="15">
        <v>7.4300000000000005E-2</v>
      </c>
      <c r="I2484" s="15">
        <v>4.8899999999999999E-2</v>
      </c>
      <c r="J2484" s="15">
        <v>1.5194274028629859</v>
      </c>
    </row>
    <row r="2485" spans="1:10" x14ac:dyDescent="0.25">
      <c r="A2485" s="2" t="s">
        <v>7115</v>
      </c>
      <c r="B2485" s="2" t="s">
        <v>7007</v>
      </c>
      <c r="C2485" s="2" t="s">
        <v>7116</v>
      </c>
      <c r="D2485" s="2" t="s">
        <v>10055</v>
      </c>
      <c r="E2485" s="15"/>
      <c r="F2485" s="15"/>
      <c r="G2485" s="15"/>
      <c r="H2485" s="15">
        <v>-5.1999999999999998E-3</v>
      </c>
      <c r="I2485" s="15">
        <v>3.8300000000000001E-2</v>
      </c>
      <c r="J2485" s="15">
        <v>-0.13577023498694521</v>
      </c>
    </row>
    <row r="2486" spans="1:10" x14ac:dyDescent="0.25">
      <c r="A2486" s="2" t="s">
        <v>7117</v>
      </c>
      <c r="B2486" s="2" t="s">
        <v>7007</v>
      </c>
      <c r="C2486" s="2" t="s">
        <v>7118</v>
      </c>
      <c r="D2486" s="2" t="s">
        <v>10055</v>
      </c>
      <c r="E2486" s="15"/>
      <c r="F2486" s="15"/>
      <c r="G2486" s="15"/>
      <c r="H2486" s="15">
        <v>-2.06E-2</v>
      </c>
      <c r="I2486" s="15">
        <v>4.1099999999999998E-2</v>
      </c>
      <c r="J2486" s="15">
        <v>-0.5012165450121655</v>
      </c>
    </row>
    <row r="2487" spans="1:10" x14ac:dyDescent="0.25">
      <c r="A2487" s="2" t="s">
        <v>7119</v>
      </c>
      <c r="B2487" s="2" t="s">
        <v>7007</v>
      </c>
      <c r="C2487" s="2" t="s">
        <v>7120</v>
      </c>
      <c r="D2487" s="2" t="s">
        <v>10055</v>
      </c>
      <c r="E2487" s="15"/>
      <c r="F2487" s="15"/>
      <c r="G2487" s="15"/>
      <c r="H2487" s="15">
        <v>-1.43E-2</v>
      </c>
      <c r="I2487" s="15">
        <v>4.2200000000000001E-2</v>
      </c>
      <c r="J2487" s="15">
        <v>-0.33886255924170622</v>
      </c>
    </row>
    <row r="2488" spans="1:10" x14ac:dyDescent="0.25">
      <c r="A2488" s="2" t="s">
        <v>7121</v>
      </c>
      <c r="B2488" s="2" t="s">
        <v>7007</v>
      </c>
      <c r="C2488" s="2" t="s">
        <v>7122</v>
      </c>
      <c r="D2488" s="2" t="s">
        <v>10055</v>
      </c>
      <c r="E2488" s="15"/>
      <c r="F2488" s="15"/>
      <c r="G2488" s="15"/>
      <c r="H2488" s="15">
        <v>-5.3E-3</v>
      </c>
      <c r="I2488" s="15">
        <v>3.78E-2</v>
      </c>
      <c r="J2488" s="15">
        <v>-0.1402116402116402</v>
      </c>
    </row>
    <row r="2489" spans="1:10" x14ac:dyDescent="0.25">
      <c r="A2489" s="2" t="s">
        <v>7123</v>
      </c>
      <c r="B2489" s="2" t="s">
        <v>7007</v>
      </c>
      <c r="C2489" s="2" t="s">
        <v>7124</v>
      </c>
      <c r="D2489" s="2" t="s">
        <v>10055</v>
      </c>
      <c r="E2489" s="15">
        <v>0.26</v>
      </c>
      <c r="F2489" s="15">
        <v>0.22</v>
      </c>
      <c r="G2489" s="15">
        <v>0.23730000000000001</v>
      </c>
      <c r="H2489" s="15">
        <v>4.0500000000000001E-2</v>
      </c>
      <c r="I2489" s="15">
        <v>3.9100000000000003E-2</v>
      </c>
      <c r="J2489" s="15">
        <v>1.035805626598465</v>
      </c>
    </row>
    <row r="2490" spans="1:10" x14ac:dyDescent="0.25">
      <c r="A2490" s="2" t="s">
        <v>7125</v>
      </c>
      <c r="B2490" s="2" t="s">
        <v>7007</v>
      </c>
      <c r="C2490" s="2" t="s">
        <v>7126</v>
      </c>
      <c r="D2490" s="2" t="s">
        <v>10055</v>
      </c>
      <c r="E2490" s="15">
        <v>4.4699999999999997E-2</v>
      </c>
      <c r="F2490" s="15">
        <v>0.19520000000000001</v>
      </c>
      <c r="G2490" s="15">
        <v>0.81889999999999996</v>
      </c>
      <c r="H2490" s="15">
        <v>3.2500000000000001E-2</v>
      </c>
      <c r="I2490" s="15">
        <v>4.2900000000000001E-2</v>
      </c>
      <c r="J2490" s="15">
        <v>0.75757575757575757</v>
      </c>
    </row>
    <row r="2491" spans="1:10" x14ac:dyDescent="0.25">
      <c r="A2491" s="2" t="s">
        <v>7127</v>
      </c>
      <c r="B2491" s="2" t="s">
        <v>7007</v>
      </c>
      <c r="C2491" s="2" t="s">
        <v>7128</v>
      </c>
      <c r="D2491" s="2" t="s">
        <v>10055</v>
      </c>
      <c r="E2491" s="15"/>
      <c r="F2491" s="15"/>
      <c r="G2491" s="15"/>
      <c r="H2491" s="15">
        <v>-1.52E-2</v>
      </c>
      <c r="I2491" s="15">
        <v>4.4400000000000002E-2</v>
      </c>
      <c r="J2491" s="15">
        <v>-0.34234234234234229</v>
      </c>
    </row>
    <row r="2492" spans="1:10" x14ac:dyDescent="0.25">
      <c r="A2492" s="2" t="s">
        <v>7129</v>
      </c>
      <c r="B2492" s="2" t="s">
        <v>7007</v>
      </c>
      <c r="C2492" s="2" t="s">
        <v>7130</v>
      </c>
      <c r="D2492" s="2" t="s">
        <v>10055</v>
      </c>
      <c r="E2492" s="15">
        <v>7.7999999999999996E-3</v>
      </c>
      <c r="F2492" s="15">
        <v>0.13950000000000001</v>
      </c>
      <c r="G2492" s="15">
        <v>0.95530000000000004</v>
      </c>
      <c r="H2492" s="15">
        <v>5.11E-2</v>
      </c>
      <c r="I2492" s="15">
        <v>4.3200000000000002E-2</v>
      </c>
      <c r="J2492" s="15">
        <v>1.18287037037037</v>
      </c>
    </row>
    <row r="2493" spans="1:10" x14ac:dyDescent="0.25">
      <c r="A2493" s="2" t="s">
        <v>7131</v>
      </c>
      <c r="B2493" s="2" t="s">
        <v>7007</v>
      </c>
      <c r="C2493" s="2" t="s">
        <v>7132</v>
      </c>
      <c r="D2493" s="2" t="s">
        <v>10055</v>
      </c>
      <c r="E2493" s="15">
        <v>-0.1832</v>
      </c>
      <c r="F2493" s="15">
        <v>0.16800000000000001</v>
      </c>
      <c r="G2493" s="15">
        <v>0.27529999999999999</v>
      </c>
      <c r="H2493" s="15">
        <v>4.9500000000000002E-2</v>
      </c>
      <c r="I2493" s="15">
        <v>4.3200000000000002E-2</v>
      </c>
      <c r="J2493" s="15">
        <v>1.145833333333333</v>
      </c>
    </row>
    <row r="2494" spans="1:10" x14ac:dyDescent="0.25">
      <c r="A2494" s="2" t="s">
        <v>7133</v>
      </c>
      <c r="B2494" s="2" t="s">
        <v>7007</v>
      </c>
      <c r="C2494" s="2" t="s">
        <v>7134</v>
      </c>
      <c r="D2494" s="2" t="s">
        <v>10055</v>
      </c>
      <c r="E2494" s="15">
        <v>-2.7199999999999998E-2</v>
      </c>
      <c r="F2494" s="15">
        <v>0.1143</v>
      </c>
      <c r="G2494" s="15">
        <v>0.81179999999999997</v>
      </c>
      <c r="H2494" s="15">
        <v>0.1002</v>
      </c>
      <c r="I2494" s="15">
        <v>3.9699999999999999E-2</v>
      </c>
      <c r="J2494" s="15">
        <v>2.523929471032746</v>
      </c>
    </row>
    <row r="2495" spans="1:10" x14ac:dyDescent="0.25">
      <c r="A2495" s="2" t="s">
        <v>7135</v>
      </c>
      <c r="B2495" s="2" t="s">
        <v>7007</v>
      </c>
      <c r="C2495" s="2" t="s">
        <v>7136</v>
      </c>
      <c r="D2495" s="2" t="s">
        <v>10055</v>
      </c>
      <c r="E2495" s="15">
        <v>6.7000000000000002E-3</v>
      </c>
      <c r="F2495" s="15">
        <v>0.28110000000000002</v>
      </c>
      <c r="G2495" s="15">
        <v>0.98109999999999997</v>
      </c>
      <c r="H2495" s="15">
        <v>1.8800000000000001E-2</v>
      </c>
      <c r="I2495" s="15">
        <v>3.9199999999999999E-2</v>
      </c>
      <c r="J2495" s="15">
        <v>0.47959183673469391</v>
      </c>
    </row>
    <row r="2496" spans="1:10" x14ac:dyDescent="0.25">
      <c r="A2496" s="2" t="s">
        <v>7137</v>
      </c>
      <c r="B2496" s="2" t="s">
        <v>7007</v>
      </c>
      <c r="C2496" s="2" t="s">
        <v>7138</v>
      </c>
      <c r="D2496" s="2" t="s">
        <v>10055</v>
      </c>
      <c r="E2496" s="15">
        <v>2.8899999999999999E-2</v>
      </c>
      <c r="F2496" s="15">
        <v>8.7800000000000003E-2</v>
      </c>
      <c r="G2496" s="15">
        <v>0.74180000000000001</v>
      </c>
      <c r="H2496" s="15">
        <v>0.16239999999999999</v>
      </c>
      <c r="I2496" s="15">
        <v>4.7100000000000003E-2</v>
      </c>
      <c r="J2496" s="15">
        <v>3.447983014861995</v>
      </c>
    </row>
    <row r="2497" spans="1:10" x14ac:dyDescent="0.25">
      <c r="A2497" s="2" t="s">
        <v>7139</v>
      </c>
      <c r="B2497" s="2" t="s">
        <v>7007</v>
      </c>
      <c r="C2497" s="2" t="s">
        <v>7140</v>
      </c>
      <c r="D2497" s="2" t="s">
        <v>10055</v>
      </c>
      <c r="E2497" s="15">
        <v>-4.5999999999999999E-2</v>
      </c>
      <c r="F2497" s="15">
        <v>0.2082</v>
      </c>
      <c r="G2497" s="15">
        <v>0.82530000000000003</v>
      </c>
      <c r="H2497" s="15">
        <v>3.2199999999999999E-2</v>
      </c>
      <c r="I2497" s="15">
        <v>4.5999999999999999E-2</v>
      </c>
      <c r="J2497" s="15">
        <v>0.7</v>
      </c>
    </row>
    <row r="2498" spans="1:10" x14ac:dyDescent="0.25">
      <c r="A2498" s="2" t="s">
        <v>7141</v>
      </c>
      <c r="B2498" s="2" t="s">
        <v>7007</v>
      </c>
      <c r="C2498" s="2" t="s">
        <v>7142</v>
      </c>
      <c r="D2498" s="2" t="s">
        <v>10055</v>
      </c>
      <c r="E2498" s="15">
        <v>0.18870000000000001</v>
      </c>
      <c r="F2498" s="15">
        <v>0.1454</v>
      </c>
      <c r="G2498" s="15">
        <v>0.1943</v>
      </c>
      <c r="H2498" s="15">
        <v>6.5699999999999995E-2</v>
      </c>
      <c r="I2498" s="15">
        <v>4.6899999999999997E-2</v>
      </c>
      <c r="J2498" s="15">
        <v>1.4008528784648191</v>
      </c>
    </row>
    <row r="2499" spans="1:10" x14ac:dyDescent="0.25">
      <c r="A2499" s="2" t="s">
        <v>7143</v>
      </c>
      <c r="B2499" s="2" t="s">
        <v>7007</v>
      </c>
      <c r="C2499" s="2" t="s">
        <v>7144</v>
      </c>
      <c r="D2499" s="2" t="s">
        <v>10055</v>
      </c>
      <c r="E2499" s="15"/>
      <c r="F2499" s="15"/>
      <c r="G2499" s="15"/>
      <c r="H2499" s="15">
        <v>-1.8700000000000001E-2</v>
      </c>
      <c r="I2499" s="15">
        <v>4.3700000000000003E-2</v>
      </c>
      <c r="J2499" s="15">
        <v>-0.42791762013729978</v>
      </c>
    </row>
    <row r="2500" spans="1:10" x14ac:dyDescent="0.25">
      <c r="A2500" s="2" t="s">
        <v>7145</v>
      </c>
      <c r="B2500" s="2" t="s">
        <v>7007</v>
      </c>
      <c r="C2500" s="2" t="s">
        <v>7146</v>
      </c>
      <c r="D2500" s="2" t="s">
        <v>10055</v>
      </c>
      <c r="E2500" s="15">
        <v>-7.5700000000000003E-2</v>
      </c>
      <c r="F2500" s="15">
        <v>0.11</v>
      </c>
      <c r="G2500" s="15">
        <v>0.49149999999999999</v>
      </c>
      <c r="H2500" s="15">
        <v>9.5200000000000007E-2</v>
      </c>
      <c r="I2500" s="15">
        <v>4.3700000000000003E-2</v>
      </c>
      <c r="J2500" s="15">
        <v>2.178489702517163</v>
      </c>
    </row>
    <row r="2501" spans="1:10" x14ac:dyDescent="0.25">
      <c r="A2501" s="2" t="s">
        <v>7147</v>
      </c>
      <c r="B2501" s="2" t="s">
        <v>7007</v>
      </c>
      <c r="C2501" s="2" t="s">
        <v>7148</v>
      </c>
      <c r="D2501" s="2" t="s">
        <v>10055</v>
      </c>
      <c r="E2501" s="15">
        <v>-2.5100000000000001E-2</v>
      </c>
      <c r="F2501" s="15">
        <v>0.12180000000000001</v>
      </c>
      <c r="G2501" s="15">
        <v>0.83679999999999999</v>
      </c>
      <c r="H2501" s="15">
        <v>8.09E-2</v>
      </c>
      <c r="I2501" s="15">
        <v>4.4299999999999999E-2</v>
      </c>
      <c r="J2501" s="15">
        <v>1.8261851015801349</v>
      </c>
    </row>
    <row r="2502" spans="1:10" x14ac:dyDescent="0.25">
      <c r="A2502" s="2" t="s">
        <v>7149</v>
      </c>
      <c r="B2502" s="2" t="s">
        <v>7007</v>
      </c>
      <c r="C2502" s="2" t="s">
        <v>7150</v>
      </c>
      <c r="D2502" s="2" t="s">
        <v>10055</v>
      </c>
      <c r="E2502" s="15"/>
      <c r="F2502" s="15"/>
      <c r="G2502" s="15"/>
      <c r="H2502" s="15">
        <v>-2.6700000000000002E-2</v>
      </c>
      <c r="I2502" s="15">
        <v>4.0399999999999998E-2</v>
      </c>
      <c r="J2502" s="15">
        <v>-0.66089108910891092</v>
      </c>
    </row>
    <row r="2503" spans="1:10" x14ac:dyDescent="0.25">
      <c r="A2503" s="2" t="s">
        <v>7151</v>
      </c>
      <c r="B2503" s="2" t="s">
        <v>7007</v>
      </c>
      <c r="C2503" s="2" t="s">
        <v>7152</v>
      </c>
      <c r="D2503" s="2" t="s">
        <v>10055</v>
      </c>
      <c r="E2503" s="15">
        <v>9.7699999999999995E-2</v>
      </c>
      <c r="F2503" s="15">
        <v>0.1147</v>
      </c>
      <c r="G2503" s="15">
        <v>0.39419999999999999</v>
      </c>
      <c r="H2503" s="15">
        <v>0.114</v>
      </c>
      <c r="I2503" s="15">
        <v>4.4200000000000003E-2</v>
      </c>
      <c r="J2503" s="15">
        <v>2.5791855203619911</v>
      </c>
    </row>
    <row r="2504" spans="1:10" x14ac:dyDescent="0.25">
      <c r="A2504" s="2" t="s">
        <v>7153</v>
      </c>
      <c r="B2504" s="2" t="s">
        <v>7007</v>
      </c>
      <c r="C2504" s="2" t="s">
        <v>7154</v>
      </c>
      <c r="D2504" s="2" t="s">
        <v>10055</v>
      </c>
      <c r="E2504" s="15"/>
      <c r="F2504" s="15"/>
      <c r="G2504" s="15"/>
      <c r="H2504" s="15">
        <v>-1.7500000000000002E-2</v>
      </c>
      <c r="I2504" s="15">
        <v>4.0599999999999997E-2</v>
      </c>
      <c r="J2504" s="15">
        <v>-0.43103448275862077</v>
      </c>
    </row>
    <row r="2505" spans="1:10" x14ac:dyDescent="0.25">
      <c r="A2505" s="2" t="s">
        <v>7155</v>
      </c>
      <c r="B2505" s="2" t="s">
        <v>7007</v>
      </c>
      <c r="C2505" s="2" t="s">
        <v>7156</v>
      </c>
      <c r="D2505" s="2" t="s">
        <v>10055</v>
      </c>
      <c r="E2505" s="15">
        <v>-9.9599999999999994E-2</v>
      </c>
      <c r="F2505" s="15">
        <v>0.1348</v>
      </c>
      <c r="G2505" s="15">
        <v>0.46010000000000001</v>
      </c>
      <c r="H2505" s="15">
        <v>0.1174</v>
      </c>
      <c r="I2505" s="15">
        <v>4.1200000000000001E-2</v>
      </c>
      <c r="J2505" s="15">
        <v>2.849514563106796</v>
      </c>
    </row>
    <row r="2506" spans="1:10" x14ac:dyDescent="0.25">
      <c r="A2506" s="2" t="s">
        <v>7157</v>
      </c>
      <c r="B2506" s="2" t="s">
        <v>7007</v>
      </c>
      <c r="C2506" s="2" t="s">
        <v>7158</v>
      </c>
      <c r="D2506" s="2" t="s">
        <v>10055</v>
      </c>
      <c r="E2506" s="15">
        <v>0.3463</v>
      </c>
      <c r="F2506" s="15">
        <v>0.3982</v>
      </c>
      <c r="G2506" s="15">
        <v>0.38450000000000001</v>
      </c>
      <c r="H2506" s="15">
        <v>2.3400000000000001E-2</v>
      </c>
      <c r="I2506" s="15">
        <v>3.9699999999999999E-2</v>
      </c>
      <c r="J2506" s="15">
        <v>0.58942065491183881</v>
      </c>
    </row>
    <row r="2507" spans="1:10" x14ac:dyDescent="0.25">
      <c r="A2507" s="2" t="s">
        <v>7159</v>
      </c>
      <c r="B2507" s="2" t="s">
        <v>7007</v>
      </c>
      <c r="C2507" s="2" t="s">
        <v>7160</v>
      </c>
      <c r="D2507" s="2" t="s">
        <v>10055</v>
      </c>
      <c r="E2507" s="15">
        <v>-9.8599999999999993E-2</v>
      </c>
      <c r="F2507" s="15">
        <v>0.1598</v>
      </c>
      <c r="G2507" s="15">
        <v>0.5373</v>
      </c>
      <c r="H2507" s="15">
        <v>5.91E-2</v>
      </c>
      <c r="I2507" s="15">
        <v>4.4299999999999999E-2</v>
      </c>
      <c r="J2507" s="15">
        <v>1.3340857787810381</v>
      </c>
    </row>
    <row r="2508" spans="1:10" x14ac:dyDescent="0.25">
      <c r="A2508" s="2" t="s">
        <v>7161</v>
      </c>
      <c r="B2508" s="2" t="s">
        <v>7007</v>
      </c>
      <c r="C2508" s="2" t="s">
        <v>7162</v>
      </c>
      <c r="D2508" s="2" t="s">
        <v>10055</v>
      </c>
      <c r="E2508" s="15">
        <v>-6.5100000000000005E-2</v>
      </c>
      <c r="F2508" s="15">
        <v>0.1114</v>
      </c>
      <c r="G2508" s="15">
        <v>0.55900000000000005</v>
      </c>
      <c r="H2508" s="15">
        <v>0.10199999999999999</v>
      </c>
      <c r="I2508" s="15">
        <v>4.41E-2</v>
      </c>
      <c r="J2508" s="15">
        <v>2.3129251700680271</v>
      </c>
    </row>
    <row r="2509" spans="1:10" x14ac:dyDescent="0.25">
      <c r="A2509" s="2" t="s">
        <v>7163</v>
      </c>
      <c r="B2509" s="2" t="s">
        <v>7007</v>
      </c>
      <c r="C2509" s="2" t="s">
        <v>7164</v>
      </c>
      <c r="D2509" s="2" t="s">
        <v>10055</v>
      </c>
      <c r="E2509" s="15">
        <v>0.1041</v>
      </c>
      <c r="F2509" s="15">
        <v>0.1043</v>
      </c>
      <c r="G2509" s="15">
        <v>0.318</v>
      </c>
      <c r="H2509" s="15">
        <v>0.1351</v>
      </c>
      <c r="I2509" s="15">
        <v>4.0800000000000003E-2</v>
      </c>
      <c r="J2509" s="15">
        <v>3.3112745098039209</v>
      </c>
    </row>
    <row r="2510" spans="1:10" x14ac:dyDescent="0.25">
      <c r="A2510" s="2" t="s">
        <v>7165</v>
      </c>
      <c r="B2510" s="2" t="s">
        <v>7007</v>
      </c>
      <c r="C2510" s="2" t="s">
        <v>7166</v>
      </c>
      <c r="D2510" s="2" t="s">
        <v>10055</v>
      </c>
      <c r="E2510" s="15">
        <v>-5.04E-2</v>
      </c>
      <c r="F2510" s="15">
        <v>0.25569999999999998</v>
      </c>
      <c r="G2510" s="15">
        <v>0.84370000000000001</v>
      </c>
      <c r="H2510" s="15">
        <v>2.1299999999999999E-2</v>
      </c>
      <c r="I2510" s="15">
        <v>4.0899999999999999E-2</v>
      </c>
      <c r="J2510" s="15">
        <v>0.52078239608801957</v>
      </c>
    </row>
    <row r="2511" spans="1:10" x14ac:dyDescent="0.25">
      <c r="A2511" s="2" t="s">
        <v>7167</v>
      </c>
      <c r="B2511" s="2" t="s">
        <v>7007</v>
      </c>
      <c r="C2511" s="2" t="s">
        <v>7168</v>
      </c>
      <c r="D2511" s="2" t="s">
        <v>10055</v>
      </c>
      <c r="E2511" s="15">
        <v>-4.2099999999999999E-2</v>
      </c>
      <c r="F2511" s="15">
        <v>0.17349999999999999</v>
      </c>
      <c r="G2511" s="15">
        <v>0.80830000000000002</v>
      </c>
      <c r="H2511" s="15">
        <v>4.8300000000000003E-2</v>
      </c>
      <c r="I2511" s="15">
        <v>3.9899999999999998E-2</v>
      </c>
      <c r="J2511" s="15">
        <v>1.2105263157894739</v>
      </c>
    </row>
    <row r="2512" spans="1:10" x14ac:dyDescent="0.25">
      <c r="A2512" s="2" t="s">
        <v>7169</v>
      </c>
      <c r="B2512" s="2" t="s">
        <v>7007</v>
      </c>
      <c r="C2512" s="2" t="s">
        <v>7170</v>
      </c>
      <c r="D2512" s="2" t="s">
        <v>10055</v>
      </c>
      <c r="E2512" s="15">
        <v>-9.3899999999999997E-2</v>
      </c>
      <c r="F2512" s="15">
        <v>0.13950000000000001</v>
      </c>
      <c r="G2512" s="15">
        <v>0.50109999999999999</v>
      </c>
      <c r="H2512" s="15">
        <v>7.7399999999999997E-2</v>
      </c>
      <c r="I2512" s="15">
        <v>4.53E-2</v>
      </c>
      <c r="J2512" s="15">
        <v>1.7086092715231791</v>
      </c>
    </row>
    <row r="2513" spans="1:10" x14ac:dyDescent="0.25">
      <c r="A2513" s="2" t="s">
        <v>7171</v>
      </c>
      <c r="B2513" s="2" t="s">
        <v>7007</v>
      </c>
      <c r="C2513" s="2" t="s">
        <v>7172</v>
      </c>
      <c r="D2513" s="2" t="s">
        <v>10055</v>
      </c>
      <c r="E2513" s="15"/>
      <c r="F2513" s="15"/>
      <c r="G2513" s="15"/>
      <c r="H2513" s="15">
        <v>-3.9600000000000003E-2</v>
      </c>
      <c r="I2513" s="15">
        <v>3.7499999999999999E-2</v>
      </c>
      <c r="J2513" s="15">
        <v>-1.056</v>
      </c>
    </row>
    <row r="2514" spans="1:10" x14ac:dyDescent="0.25">
      <c r="A2514" s="2" t="s">
        <v>7173</v>
      </c>
      <c r="B2514" s="2" t="s">
        <v>7007</v>
      </c>
      <c r="C2514" s="2" t="s">
        <v>7174</v>
      </c>
      <c r="D2514" s="2" t="s">
        <v>10055</v>
      </c>
      <c r="E2514" s="15">
        <v>3.95E-2</v>
      </c>
      <c r="F2514" s="15">
        <v>0.191</v>
      </c>
      <c r="G2514" s="15">
        <v>0.83630000000000004</v>
      </c>
      <c r="H2514" s="15">
        <v>3.2899999999999999E-2</v>
      </c>
      <c r="I2514" s="15">
        <v>4.1799999999999997E-2</v>
      </c>
      <c r="J2514" s="15">
        <v>0.78708133971291872</v>
      </c>
    </row>
    <row r="2515" spans="1:10" x14ac:dyDescent="0.25">
      <c r="A2515" s="2" t="s">
        <v>7175</v>
      </c>
      <c r="B2515" s="2" t="s">
        <v>7007</v>
      </c>
      <c r="C2515" s="2" t="s">
        <v>7176</v>
      </c>
      <c r="D2515" s="2" t="s">
        <v>10055</v>
      </c>
      <c r="E2515" s="15"/>
      <c r="F2515" s="15"/>
      <c r="G2515" s="15"/>
      <c r="H2515" s="15"/>
      <c r="I2515" s="15"/>
      <c r="J2515" s="15"/>
    </row>
    <row r="2516" spans="1:10" x14ac:dyDescent="0.25">
      <c r="A2516" s="2" t="s">
        <v>7177</v>
      </c>
      <c r="B2516" s="2" t="s">
        <v>7007</v>
      </c>
      <c r="C2516" s="2" t="s">
        <v>7178</v>
      </c>
      <c r="D2516" s="2" t="s">
        <v>10055</v>
      </c>
      <c r="E2516" s="15">
        <v>0.17499999999999999</v>
      </c>
      <c r="F2516" s="15">
        <v>0.18279999999999999</v>
      </c>
      <c r="G2516" s="15">
        <v>0.33860000000000001</v>
      </c>
      <c r="H2516" s="15">
        <v>4.5699999999999998E-2</v>
      </c>
      <c r="I2516" s="15">
        <v>4.3299999999999998E-2</v>
      </c>
      <c r="J2516" s="15">
        <v>1.0554272517321019</v>
      </c>
    </row>
    <row r="2517" spans="1:10" x14ac:dyDescent="0.25">
      <c r="A2517" s="2" t="s">
        <v>7179</v>
      </c>
      <c r="B2517" s="2" t="s">
        <v>7007</v>
      </c>
      <c r="C2517" s="2" t="s">
        <v>7180</v>
      </c>
      <c r="D2517" s="2" t="s">
        <v>10055</v>
      </c>
      <c r="E2517" s="15">
        <v>8.3900000000000002E-2</v>
      </c>
      <c r="F2517" s="15">
        <v>0.15690000000000001</v>
      </c>
      <c r="G2517" s="15">
        <v>0.59289999999999998</v>
      </c>
      <c r="H2517" s="15">
        <v>6.9000000000000006E-2</v>
      </c>
      <c r="I2517" s="15">
        <v>4.4600000000000001E-2</v>
      </c>
      <c r="J2517" s="15">
        <v>1.547085201793722</v>
      </c>
    </row>
    <row r="2518" spans="1:10" x14ac:dyDescent="0.25">
      <c r="A2518" s="2" t="s">
        <v>7181</v>
      </c>
      <c r="B2518" s="2" t="s">
        <v>7007</v>
      </c>
      <c r="C2518" s="2" t="s">
        <v>7182</v>
      </c>
      <c r="D2518" s="2" t="s">
        <v>10055</v>
      </c>
      <c r="E2518" s="15">
        <v>0.17119999999999999</v>
      </c>
      <c r="F2518" s="15">
        <v>0.16869999999999999</v>
      </c>
      <c r="G2518" s="15">
        <v>0.31019999999999998</v>
      </c>
      <c r="H2518" s="15">
        <v>5.5399999999999998E-2</v>
      </c>
      <c r="I2518" s="15">
        <v>4.1300000000000003E-2</v>
      </c>
      <c r="J2518" s="15">
        <v>1.3414043583535109</v>
      </c>
    </row>
    <row r="2519" spans="1:10" x14ac:dyDescent="0.25">
      <c r="A2519" s="2" t="s">
        <v>7183</v>
      </c>
      <c r="B2519" s="2" t="s">
        <v>7007</v>
      </c>
      <c r="C2519" s="2" t="s">
        <v>7184</v>
      </c>
      <c r="D2519" s="2" t="s">
        <v>10055</v>
      </c>
      <c r="E2519" s="15"/>
      <c r="F2519" s="15"/>
      <c r="G2519" s="15"/>
      <c r="H2519" s="15">
        <v>-3.5999999999999999E-3</v>
      </c>
      <c r="I2519" s="15">
        <v>4.7E-2</v>
      </c>
      <c r="J2519" s="15">
        <v>-7.6595744680851063E-2</v>
      </c>
    </row>
    <row r="2520" spans="1:10" x14ac:dyDescent="0.25">
      <c r="A2520" s="2" t="s">
        <v>7185</v>
      </c>
      <c r="B2520" s="2" t="s">
        <v>7007</v>
      </c>
      <c r="C2520" s="2" t="s">
        <v>7186</v>
      </c>
      <c r="D2520" s="2" t="s">
        <v>10055</v>
      </c>
      <c r="E2520" s="15">
        <v>-0.51200000000000001</v>
      </c>
      <c r="F2520" s="15">
        <v>13.059799999999999</v>
      </c>
      <c r="G2520" s="15">
        <v>0.96870000000000001</v>
      </c>
      <c r="H2520" s="15">
        <v>1.32E-2</v>
      </c>
      <c r="I2520" s="15">
        <v>3.9899999999999998E-2</v>
      </c>
      <c r="J2520" s="15">
        <v>0.33082706766917302</v>
      </c>
    </row>
    <row r="2521" spans="1:10" x14ac:dyDescent="0.25">
      <c r="A2521" s="2" t="s">
        <v>7187</v>
      </c>
      <c r="B2521" s="2" t="s">
        <v>7007</v>
      </c>
      <c r="C2521" s="2" t="s">
        <v>7188</v>
      </c>
      <c r="D2521" s="2" t="s">
        <v>10055</v>
      </c>
      <c r="E2521" s="15"/>
      <c r="F2521" s="15"/>
      <c r="G2521" s="15"/>
      <c r="H2521" s="15"/>
      <c r="I2521" s="15"/>
      <c r="J2521" s="15"/>
    </row>
    <row r="2522" spans="1:10" x14ac:dyDescent="0.25">
      <c r="A2522" s="2" t="s">
        <v>7189</v>
      </c>
      <c r="B2522" s="2" t="s">
        <v>7007</v>
      </c>
      <c r="C2522" s="2" t="s">
        <v>7190</v>
      </c>
      <c r="D2522" s="2" t="s">
        <v>10055</v>
      </c>
      <c r="E2522" s="15">
        <v>-0.15479999999999999</v>
      </c>
      <c r="F2522" s="15">
        <v>0.21690000000000001</v>
      </c>
      <c r="G2522" s="15">
        <v>0.47539999999999999</v>
      </c>
      <c r="H2522" s="15">
        <v>3.5299999999999998E-2</v>
      </c>
      <c r="I2522" s="15">
        <v>4.2200000000000001E-2</v>
      </c>
      <c r="J2522" s="15">
        <v>0.83649289099526059</v>
      </c>
    </row>
    <row r="2523" spans="1:10" x14ac:dyDescent="0.25">
      <c r="A2523" s="2" t="s">
        <v>7191</v>
      </c>
      <c r="B2523" s="2" t="s">
        <v>7007</v>
      </c>
      <c r="C2523" s="2" t="s">
        <v>7192</v>
      </c>
      <c r="D2523" s="2" t="s">
        <v>10055</v>
      </c>
      <c r="E2523" s="15">
        <v>-4.1300000000000003E-2</v>
      </c>
      <c r="F2523" s="15">
        <v>0.10340000000000001</v>
      </c>
      <c r="G2523" s="15">
        <v>0.68959999999999999</v>
      </c>
      <c r="H2523" s="15">
        <v>0.1046</v>
      </c>
      <c r="I2523" s="15">
        <v>4.02E-2</v>
      </c>
      <c r="J2523" s="15">
        <v>2.6019900497512438</v>
      </c>
    </row>
    <row r="2524" spans="1:10" x14ac:dyDescent="0.25">
      <c r="A2524" s="2" t="s">
        <v>7193</v>
      </c>
      <c r="B2524" s="2" t="s">
        <v>7007</v>
      </c>
      <c r="C2524" s="2" t="s">
        <v>7194</v>
      </c>
      <c r="D2524" s="2" t="s">
        <v>10055</v>
      </c>
      <c r="E2524" s="15">
        <v>1.6000000000000001E-3</v>
      </c>
      <c r="F2524" s="15">
        <v>9.8900000000000002E-2</v>
      </c>
      <c r="G2524" s="15">
        <v>0.98729999999999996</v>
      </c>
      <c r="H2524" s="15">
        <v>0.12859999999999999</v>
      </c>
      <c r="I2524" s="15">
        <v>4.0300000000000002E-2</v>
      </c>
      <c r="J2524" s="15">
        <v>3.1910669975186101</v>
      </c>
    </row>
    <row r="2525" spans="1:10" x14ac:dyDescent="0.25">
      <c r="A2525" s="2" t="s">
        <v>7195</v>
      </c>
      <c r="B2525" s="2" t="s">
        <v>7007</v>
      </c>
      <c r="C2525" s="2" t="s">
        <v>7196</v>
      </c>
      <c r="D2525" s="2" t="s">
        <v>10055</v>
      </c>
      <c r="E2525" s="15">
        <v>-0.04</v>
      </c>
      <c r="F2525" s="15">
        <v>0.13239999999999999</v>
      </c>
      <c r="G2525" s="15">
        <v>0.76270000000000004</v>
      </c>
      <c r="H2525" s="15">
        <v>7.6600000000000001E-2</v>
      </c>
      <c r="I2525" s="15">
        <v>4.3400000000000001E-2</v>
      </c>
      <c r="J2525" s="15">
        <v>1.7649769585253461</v>
      </c>
    </row>
    <row r="2526" spans="1:10" x14ac:dyDescent="0.25">
      <c r="A2526" s="2" t="s">
        <v>7197</v>
      </c>
      <c r="B2526" s="2" t="s">
        <v>7007</v>
      </c>
      <c r="C2526" s="2" t="s">
        <v>7198</v>
      </c>
      <c r="D2526" s="2" t="s">
        <v>10055</v>
      </c>
      <c r="E2526" s="15">
        <v>0.1024</v>
      </c>
      <c r="F2526" s="15">
        <v>0.26350000000000001</v>
      </c>
      <c r="G2526" s="15">
        <v>0.69750000000000001</v>
      </c>
      <c r="H2526" s="15">
        <v>1.9300000000000001E-2</v>
      </c>
      <c r="I2526" s="15">
        <v>3.9899999999999998E-2</v>
      </c>
      <c r="J2526" s="15">
        <v>0.48370927318295742</v>
      </c>
    </row>
    <row r="2527" spans="1:10" x14ac:dyDescent="0.25">
      <c r="A2527" s="2" t="s">
        <v>7199</v>
      </c>
      <c r="B2527" s="2" t="s">
        <v>7007</v>
      </c>
      <c r="C2527" s="2" t="s">
        <v>7200</v>
      </c>
      <c r="D2527" s="2" t="s">
        <v>10055</v>
      </c>
      <c r="E2527" s="15"/>
      <c r="F2527" s="15"/>
      <c r="G2527" s="15"/>
      <c r="H2527" s="15"/>
      <c r="I2527" s="15"/>
      <c r="J2527" s="15"/>
    </row>
    <row r="2528" spans="1:10" x14ac:dyDescent="0.25">
      <c r="A2528" s="2" t="s">
        <v>7201</v>
      </c>
      <c r="B2528" s="2" t="s">
        <v>7007</v>
      </c>
      <c r="C2528" s="2" t="s">
        <v>7202</v>
      </c>
      <c r="D2528" s="2" t="s">
        <v>10055</v>
      </c>
      <c r="E2528" s="15">
        <v>-0.1014</v>
      </c>
      <c r="F2528" s="15">
        <v>0.26679999999999998</v>
      </c>
      <c r="G2528" s="15">
        <v>0.70389999999999997</v>
      </c>
      <c r="H2528" s="15">
        <v>2.1700000000000001E-2</v>
      </c>
      <c r="I2528" s="15">
        <v>4.1799999999999997E-2</v>
      </c>
      <c r="J2528" s="15">
        <v>0.51913875598086134</v>
      </c>
    </row>
    <row r="2529" spans="1:10" x14ac:dyDescent="0.25">
      <c r="A2529" s="2" t="s">
        <v>7203</v>
      </c>
      <c r="B2529" s="2" t="s">
        <v>7007</v>
      </c>
      <c r="C2529" s="2" t="s">
        <v>7204</v>
      </c>
      <c r="D2529" s="2" t="s">
        <v>10055</v>
      </c>
      <c r="E2529" s="15">
        <v>0.12859999999999999</v>
      </c>
      <c r="F2529" s="15">
        <v>0.245</v>
      </c>
      <c r="G2529" s="15">
        <v>0.59970000000000001</v>
      </c>
      <c r="H2529" s="15">
        <v>3.0499999999999999E-2</v>
      </c>
      <c r="I2529" s="15">
        <v>4.6600000000000003E-2</v>
      </c>
      <c r="J2529" s="15">
        <v>0.65450643776824025</v>
      </c>
    </row>
    <row r="2530" spans="1:10" x14ac:dyDescent="0.25">
      <c r="A2530" s="2" t="s">
        <v>7205</v>
      </c>
      <c r="B2530" s="2" t="s">
        <v>7007</v>
      </c>
      <c r="C2530" s="2" t="s">
        <v>7206</v>
      </c>
      <c r="D2530" s="2" t="s">
        <v>10055</v>
      </c>
      <c r="E2530" s="15"/>
      <c r="F2530" s="15"/>
      <c r="G2530" s="15"/>
      <c r="H2530" s="15">
        <v>-6.7999999999999996E-3</v>
      </c>
      <c r="I2530" s="15">
        <v>4.0500000000000001E-2</v>
      </c>
      <c r="J2530" s="15">
        <v>-0.16790123456790121</v>
      </c>
    </row>
    <row r="2531" spans="1:10" x14ac:dyDescent="0.25">
      <c r="A2531" s="2" t="s">
        <v>7207</v>
      </c>
      <c r="B2531" s="2" t="s">
        <v>7007</v>
      </c>
      <c r="C2531" s="2" t="s">
        <v>7208</v>
      </c>
      <c r="D2531" s="2" t="s">
        <v>10055</v>
      </c>
      <c r="E2531" s="15">
        <v>3.39E-2</v>
      </c>
      <c r="F2531" s="15">
        <v>0.16389999999999999</v>
      </c>
      <c r="G2531" s="15">
        <v>0.83630000000000004</v>
      </c>
      <c r="H2531" s="15">
        <v>4.2000000000000003E-2</v>
      </c>
      <c r="I2531" s="15">
        <v>4.2299999999999997E-2</v>
      </c>
      <c r="J2531" s="15">
        <v>0.99290780141843982</v>
      </c>
    </row>
    <row r="2532" spans="1:10" x14ac:dyDescent="0.25">
      <c r="A2532" s="2" t="s">
        <v>7209</v>
      </c>
      <c r="B2532" s="2" t="s">
        <v>7007</v>
      </c>
      <c r="C2532" s="2" t="s">
        <v>7210</v>
      </c>
      <c r="D2532" s="2" t="s">
        <v>10055</v>
      </c>
      <c r="E2532" s="15">
        <v>0.1084</v>
      </c>
      <c r="F2532" s="15">
        <v>0.1014</v>
      </c>
      <c r="G2532" s="15">
        <v>0.28470000000000001</v>
      </c>
      <c r="H2532" s="15">
        <v>0.14599999999999999</v>
      </c>
      <c r="I2532" s="15">
        <v>4.7399999999999998E-2</v>
      </c>
      <c r="J2532" s="15">
        <v>3.0801687763713081</v>
      </c>
    </row>
    <row r="2533" spans="1:10" x14ac:dyDescent="0.25">
      <c r="A2533" s="2" t="s">
        <v>7211</v>
      </c>
      <c r="B2533" s="2" t="s">
        <v>7007</v>
      </c>
      <c r="C2533" s="2" t="s">
        <v>7212</v>
      </c>
      <c r="D2533" s="2" t="s">
        <v>10055</v>
      </c>
      <c r="E2533" s="15">
        <v>-0.17349999999999999</v>
      </c>
      <c r="F2533" s="15">
        <v>0.19059999999999999</v>
      </c>
      <c r="G2533" s="15">
        <v>0.36259999999999998</v>
      </c>
      <c r="H2533" s="15">
        <v>4.3900000000000002E-2</v>
      </c>
      <c r="I2533" s="15">
        <v>3.95E-2</v>
      </c>
      <c r="J2533" s="15">
        <v>1.1113924050632911</v>
      </c>
    </row>
    <row r="2534" spans="1:10" x14ac:dyDescent="0.25">
      <c r="A2534" s="2" t="s">
        <v>7213</v>
      </c>
      <c r="B2534" s="2" t="s">
        <v>7007</v>
      </c>
      <c r="C2534" s="2" t="s">
        <v>7214</v>
      </c>
      <c r="D2534" s="2" t="s">
        <v>10055</v>
      </c>
      <c r="E2534" s="15">
        <v>0.16320000000000001</v>
      </c>
      <c r="F2534" s="15">
        <v>0.13250000000000001</v>
      </c>
      <c r="G2534" s="15">
        <v>0.218</v>
      </c>
      <c r="H2534" s="15">
        <v>9.6799999999999997E-2</v>
      </c>
      <c r="I2534" s="15">
        <v>4.3400000000000001E-2</v>
      </c>
      <c r="J2534" s="15">
        <v>2.230414746543778</v>
      </c>
    </row>
    <row r="2535" spans="1:10" x14ac:dyDescent="0.25">
      <c r="A2535" s="2" t="s">
        <v>7215</v>
      </c>
      <c r="B2535" s="2" t="s">
        <v>7007</v>
      </c>
      <c r="C2535" s="2" t="s">
        <v>7216</v>
      </c>
      <c r="D2535" s="2" t="s">
        <v>10055</v>
      </c>
      <c r="E2535" s="15">
        <v>2.9499999999999998E-2</v>
      </c>
      <c r="F2535" s="15">
        <v>0.126</v>
      </c>
      <c r="G2535" s="15">
        <v>0.81510000000000005</v>
      </c>
      <c r="H2535" s="15">
        <v>7.7399999999999997E-2</v>
      </c>
      <c r="I2535" s="15">
        <v>4.24E-2</v>
      </c>
      <c r="J2535" s="15">
        <v>1.825471698113208</v>
      </c>
    </row>
    <row r="2536" spans="1:10" x14ac:dyDescent="0.25">
      <c r="A2536" s="2" t="s">
        <v>7217</v>
      </c>
      <c r="B2536" s="2" t="s">
        <v>7007</v>
      </c>
      <c r="C2536" s="2" t="s">
        <v>7218</v>
      </c>
      <c r="D2536" s="2" t="s">
        <v>10055</v>
      </c>
      <c r="E2536" s="15"/>
      <c r="F2536" s="15"/>
      <c r="G2536" s="15"/>
      <c r="H2536" s="15"/>
      <c r="I2536" s="15"/>
      <c r="J2536" s="15"/>
    </row>
    <row r="2537" spans="1:10" x14ac:dyDescent="0.25">
      <c r="A2537" s="2" t="s">
        <v>7219</v>
      </c>
      <c r="B2537" s="2" t="s">
        <v>7007</v>
      </c>
      <c r="C2537" s="2" t="s">
        <v>7220</v>
      </c>
      <c r="D2537" s="2" t="s">
        <v>10055</v>
      </c>
      <c r="E2537" s="15"/>
      <c r="F2537" s="15"/>
      <c r="G2537" s="15"/>
      <c r="H2537" s="15">
        <v>-2.7199999999999998E-2</v>
      </c>
      <c r="I2537" s="15">
        <v>4.3499999999999997E-2</v>
      </c>
      <c r="J2537" s="15">
        <v>-0.62528735632183907</v>
      </c>
    </row>
    <row r="2538" spans="1:10" x14ac:dyDescent="0.25">
      <c r="A2538" s="2" t="s">
        <v>7221</v>
      </c>
      <c r="B2538" s="2" t="s">
        <v>7007</v>
      </c>
      <c r="C2538" s="2" t="s">
        <v>7222</v>
      </c>
      <c r="D2538" s="2" t="s">
        <v>10055</v>
      </c>
      <c r="E2538" s="15">
        <v>-5.6000000000000001E-2</v>
      </c>
      <c r="F2538" s="15">
        <v>0.1076</v>
      </c>
      <c r="G2538" s="15">
        <v>0.60250000000000004</v>
      </c>
      <c r="H2538" s="15">
        <v>0.11559999999999999</v>
      </c>
      <c r="I2538" s="15">
        <v>3.7600000000000001E-2</v>
      </c>
      <c r="J2538" s="15">
        <v>3.0744680851063828</v>
      </c>
    </row>
    <row r="2539" spans="1:10" x14ac:dyDescent="0.25">
      <c r="A2539" s="2" t="s">
        <v>7223</v>
      </c>
      <c r="B2539" s="2" t="s">
        <v>7007</v>
      </c>
      <c r="C2539" s="2" t="s">
        <v>7224</v>
      </c>
      <c r="D2539" s="2" t="s">
        <v>10055</v>
      </c>
      <c r="E2539" s="15">
        <v>0.11020000000000001</v>
      </c>
      <c r="F2539" s="15">
        <v>0.43519999999999998</v>
      </c>
      <c r="G2539" s="15">
        <v>0.80010000000000003</v>
      </c>
      <c r="H2539" s="15">
        <v>1.3899999999999999E-2</v>
      </c>
      <c r="I2539" s="15">
        <v>3.9600000000000003E-2</v>
      </c>
      <c r="J2539" s="15">
        <v>0.35101010101010088</v>
      </c>
    </row>
    <row r="2540" spans="1:10" x14ac:dyDescent="0.25">
      <c r="A2540" s="2" t="s">
        <v>7225</v>
      </c>
      <c r="B2540" s="2" t="s">
        <v>7007</v>
      </c>
      <c r="C2540" s="2" t="s">
        <v>7226</v>
      </c>
      <c r="D2540" s="2" t="s">
        <v>10055</v>
      </c>
      <c r="E2540" s="15">
        <v>-0.30980000000000002</v>
      </c>
      <c r="F2540" s="15">
        <v>0.22289999999999999</v>
      </c>
      <c r="G2540" s="15">
        <v>0.1646</v>
      </c>
      <c r="H2540" s="15">
        <v>4.3999999999999997E-2</v>
      </c>
      <c r="I2540" s="15">
        <v>4.2299999999999997E-2</v>
      </c>
      <c r="J2540" s="15">
        <v>1.040189125295508</v>
      </c>
    </row>
    <row r="2541" spans="1:10" x14ac:dyDescent="0.25">
      <c r="A2541" s="2" t="s">
        <v>7227</v>
      </c>
      <c r="B2541" s="2" t="s">
        <v>7007</v>
      </c>
      <c r="C2541" s="2" t="s">
        <v>7228</v>
      </c>
      <c r="D2541" s="2" t="s">
        <v>10055</v>
      </c>
      <c r="E2541" s="15"/>
      <c r="F2541" s="15"/>
      <c r="G2541" s="15"/>
      <c r="H2541" s="15"/>
      <c r="I2541" s="15"/>
      <c r="J2541" s="15"/>
    </row>
    <row r="2542" spans="1:10" x14ac:dyDescent="0.25">
      <c r="A2542" s="2" t="s">
        <v>7229</v>
      </c>
      <c r="B2542" s="2" t="s">
        <v>7007</v>
      </c>
      <c r="C2542" s="2" t="s">
        <v>7230</v>
      </c>
      <c r="D2542" s="2" t="s">
        <v>10055</v>
      </c>
      <c r="E2542" s="15"/>
      <c r="F2542" s="15"/>
      <c r="G2542" s="15"/>
      <c r="H2542" s="15">
        <v>-1.7600000000000001E-2</v>
      </c>
      <c r="I2542" s="15">
        <v>3.9399999999999998E-2</v>
      </c>
      <c r="J2542" s="15">
        <v>-0.44670050761421332</v>
      </c>
    </row>
    <row r="2543" spans="1:10" x14ac:dyDescent="0.25">
      <c r="A2543" s="2" t="s">
        <v>7231</v>
      </c>
      <c r="B2543" s="2" t="s">
        <v>7007</v>
      </c>
      <c r="C2543" s="2" t="s">
        <v>7232</v>
      </c>
      <c r="D2543" s="2" t="s">
        <v>10055</v>
      </c>
      <c r="E2543" s="15">
        <v>3.6999999999999998E-2</v>
      </c>
      <c r="F2543" s="15">
        <v>0.1084</v>
      </c>
      <c r="G2543" s="15">
        <v>0.7329</v>
      </c>
      <c r="H2543" s="15">
        <v>0.1052</v>
      </c>
      <c r="I2543" s="15">
        <v>3.5499999999999997E-2</v>
      </c>
      <c r="J2543" s="15">
        <v>2.9633802816901409</v>
      </c>
    </row>
    <row r="2544" spans="1:10" x14ac:dyDescent="0.25">
      <c r="A2544" s="2" t="s">
        <v>7233</v>
      </c>
      <c r="B2544" s="2" t="s">
        <v>7007</v>
      </c>
      <c r="C2544" s="2" t="s">
        <v>7234</v>
      </c>
      <c r="D2544" s="2" t="s">
        <v>10055</v>
      </c>
      <c r="E2544" s="15">
        <v>2.7400000000000001E-2</v>
      </c>
      <c r="F2544" s="15">
        <v>0.1143</v>
      </c>
      <c r="G2544" s="15">
        <v>0.81069999999999998</v>
      </c>
      <c r="H2544" s="15">
        <v>8.2100000000000006E-2</v>
      </c>
      <c r="I2544" s="15">
        <v>3.85E-2</v>
      </c>
      <c r="J2544" s="15">
        <v>2.1324675324675328</v>
      </c>
    </row>
    <row r="2545" spans="1:10" x14ac:dyDescent="0.25">
      <c r="A2545" s="2" t="s">
        <v>7235</v>
      </c>
      <c r="B2545" s="2" t="s">
        <v>7007</v>
      </c>
      <c r="C2545" s="2" t="s">
        <v>7236</v>
      </c>
      <c r="D2545" s="2" t="s">
        <v>10055</v>
      </c>
      <c r="E2545" s="15">
        <v>0.26900000000000002</v>
      </c>
      <c r="F2545" s="15">
        <v>0.11020000000000001</v>
      </c>
      <c r="G2545" s="15">
        <v>1.47E-2</v>
      </c>
      <c r="H2545" s="15">
        <v>0.10059999999999999</v>
      </c>
      <c r="I2545" s="15">
        <v>4.2700000000000002E-2</v>
      </c>
      <c r="J2545" s="15">
        <v>2.355971896955503</v>
      </c>
    </row>
    <row r="2546" spans="1:10" x14ac:dyDescent="0.25">
      <c r="A2546" s="2" t="s">
        <v>7237</v>
      </c>
      <c r="B2546" s="2" t="s">
        <v>7007</v>
      </c>
      <c r="C2546" s="2" t="s">
        <v>7238</v>
      </c>
      <c r="D2546" s="2" t="s">
        <v>10055</v>
      </c>
      <c r="E2546" s="15">
        <v>-0.10440000000000001</v>
      </c>
      <c r="F2546" s="15">
        <v>0.1842</v>
      </c>
      <c r="G2546" s="15">
        <v>0.57099999999999995</v>
      </c>
      <c r="H2546" s="15">
        <v>3.9E-2</v>
      </c>
      <c r="I2546" s="15">
        <v>4.1000000000000002E-2</v>
      </c>
      <c r="J2546" s="15">
        <v>0.95121951219512191</v>
      </c>
    </row>
    <row r="2547" spans="1:10" x14ac:dyDescent="0.25">
      <c r="A2547" s="2" t="s">
        <v>7239</v>
      </c>
      <c r="B2547" s="2" t="s">
        <v>7007</v>
      </c>
      <c r="C2547" s="2" t="s">
        <v>7240</v>
      </c>
      <c r="D2547" s="2" t="s">
        <v>10055</v>
      </c>
      <c r="E2547" s="15">
        <v>-0.25209999999999999</v>
      </c>
      <c r="F2547" s="15">
        <v>0.16919999999999999</v>
      </c>
      <c r="G2547" s="15">
        <v>0.1361</v>
      </c>
      <c r="H2547" s="15">
        <v>6.5799999999999997E-2</v>
      </c>
      <c r="I2547" s="15">
        <v>3.9199999999999999E-2</v>
      </c>
      <c r="J2547" s="15">
        <v>1.678571428571429</v>
      </c>
    </row>
    <row r="2548" spans="1:10" x14ac:dyDescent="0.25">
      <c r="A2548" s="2" t="s">
        <v>7241</v>
      </c>
      <c r="B2548" s="2" t="s">
        <v>7007</v>
      </c>
      <c r="C2548" s="2" t="s">
        <v>7242</v>
      </c>
      <c r="D2548" s="2" t="s">
        <v>10055</v>
      </c>
      <c r="E2548" s="15">
        <v>8.8800000000000004E-2</v>
      </c>
      <c r="F2548" s="15">
        <v>0.2515</v>
      </c>
      <c r="G2548" s="15">
        <v>0.72409999999999997</v>
      </c>
      <c r="H2548" s="15">
        <v>2.23E-2</v>
      </c>
      <c r="I2548" s="15">
        <v>4.3299999999999998E-2</v>
      </c>
      <c r="J2548" s="15">
        <v>0.51501154734411092</v>
      </c>
    </row>
    <row r="2549" spans="1:10" x14ac:dyDescent="0.25">
      <c r="A2549" s="2" t="s">
        <v>7243</v>
      </c>
      <c r="B2549" s="2" t="s">
        <v>7007</v>
      </c>
      <c r="C2549" s="2" t="s">
        <v>7244</v>
      </c>
      <c r="D2549" s="2" t="s">
        <v>10055</v>
      </c>
      <c r="E2549" s="15">
        <v>6.1899999999999997E-2</v>
      </c>
      <c r="F2549" s="15">
        <v>0.18770000000000001</v>
      </c>
      <c r="G2549" s="15">
        <v>0.74170000000000003</v>
      </c>
      <c r="H2549" s="15">
        <v>3.6200000000000003E-2</v>
      </c>
      <c r="I2549" s="15">
        <v>4.2200000000000001E-2</v>
      </c>
      <c r="J2549" s="15">
        <v>0.85781990521327023</v>
      </c>
    </row>
    <row r="2550" spans="1:10" x14ac:dyDescent="0.25">
      <c r="A2550" s="2" t="s">
        <v>7245</v>
      </c>
      <c r="B2550" s="2" t="s">
        <v>7007</v>
      </c>
      <c r="C2550" s="2" t="s">
        <v>7246</v>
      </c>
      <c r="D2550" s="2" t="s">
        <v>10055</v>
      </c>
      <c r="E2550" s="15">
        <v>0.2044</v>
      </c>
      <c r="F2550" s="15">
        <v>0.16889999999999999</v>
      </c>
      <c r="G2550" s="15">
        <v>0.2263</v>
      </c>
      <c r="H2550" s="15">
        <v>4.9299999999999997E-2</v>
      </c>
      <c r="I2550" s="15">
        <v>3.85E-2</v>
      </c>
      <c r="J2550" s="15">
        <v>1.2805194805194799</v>
      </c>
    </row>
    <row r="2551" spans="1:10" x14ac:dyDescent="0.25">
      <c r="A2551" s="2" t="s">
        <v>7247</v>
      </c>
      <c r="B2551" s="2" t="s">
        <v>7007</v>
      </c>
      <c r="C2551" s="2" t="s">
        <v>7248</v>
      </c>
      <c r="D2551" s="2" t="s">
        <v>10055</v>
      </c>
      <c r="E2551" s="15">
        <v>8.8999999999999999E-3</v>
      </c>
      <c r="F2551" s="15">
        <v>0.19359999999999999</v>
      </c>
      <c r="G2551" s="15">
        <v>0.96319999999999995</v>
      </c>
      <c r="H2551" s="15">
        <v>4.1700000000000001E-2</v>
      </c>
      <c r="I2551" s="15">
        <v>4.6899999999999997E-2</v>
      </c>
      <c r="J2551" s="15">
        <v>0.88912579957356086</v>
      </c>
    </row>
    <row r="2552" spans="1:10" x14ac:dyDescent="0.25">
      <c r="A2552" s="2" t="s">
        <v>7249</v>
      </c>
      <c r="B2552" s="2" t="s">
        <v>7007</v>
      </c>
      <c r="C2552" s="2" t="s">
        <v>7250</v>
      </c>
      <c r="D2552" s="2" t="s">
        <v>10055</v>
      </c>
      <c r="E2552" s="15"/>
      <c r="F2552" s="15"/>
      <c r="G2552" s="15"/>
      <c r="H2552" s="15">
        <v>-5.91E-2</v>
      </c>
      <c r="I2552" s="15">
        <v>3.7400000000000003E-2</v>
      </c>
      <c r="J2552" s="15">
        <v>-1.5802139037433149</v>
      </c>
    </row>
    <row r="2553" spans="1:10" x14ac:dyDescent="0.25">
      <c r="A2553" s="2" t="s">
        <v>7251</v>
      </c>
      <c r="B2553" s="2" t="s">
        <v>7007</v>
      </c>
      <c r="C2553" s="2" t="s">
        <v>7252</v>
      </c>
      <c r="D2553" s="2" t="s">
        <v>10055</v>
      </c>
      <c r="E2553" s="15"/>
      <c r="F2553" s="15"/>
      <c r="G2553" s="15"/>
      <c r="H2553" s="15">
        <v>-2.64E-2</v>
      </c>
      <c r="I2553" s="15">
        <v>3.5299999999999998E-2</v>
      </c>
      <c r="J2553" s="15">
        <v>-0.74787535410764872</v>
      </c>
    </row>
    <row r="2554" spans="1:10" x14ac:dyDescent="0.25">
      <c r="A2554" s="2" t="s">
        <v>7253</v>
      </c>
      <c r="B2554" s="2" t="s">
        <v>7007</v>
      </c>
      <c r="C2554" s="2" t="s">
        <v>7254</v>
      </c>
      <c r="D2554" s="2" t="s">
        <v>10055</v>
      </c>
      <c r="E2554" s="15">
        <v>-0.23910000000000001</v>
      </c>
      <c r="F2554" s="15">
        <v>0.14019999999999999</v>
      </c>
      <c r="G2554" s="15">
        <v>8.8099999999999998E-2</v>
      </c>
      <c r="H2554" s="15">
        <v>7.6899999999999996E-2</v>
      </c>
      <c r="I2554" s="15">
        <v>4.3200000000000002E-2</v>
      </c>
      <c r="J2554" s="15">
        <v>1.7800925925925919</v>
      </c>
    </row>
    <row r="2555" spans="1:10" x14ac:dyDescent="0.25">
      <c r="A2555" s="2" t="s">
        <v>7255</v>
      </c>
      <c r="B2555" s="2" t="s">
        <v>7007</v>
      </c>
      <c r="C2555" s="2" t="s">
        <v>7256</v>
      </c>
      <c r="D2555" s="2" t="s">
        <v>10055</v>
      </c>
      <c r="E2555" s="15"/>
      <c r="F2555" s="15"/>
      <c r="G2555" s="15"/>
      <c r="H2555" s="15"/>
      <c r="I2555" s="15"/>
      <c r="J2555" s="15"/>
    </row>
    <row r="2556" spans="1:10" x14ac:dyDescent="0.25">
      <c r="A2556" s="2" t="s">
        <v>7257</v>
      </c>
      <c r="B2556" s="2" t="s">
        <v>7007</v>
      </c>
      <c r="C2556" s="2" t="s">
        <v>7258</v>
      </c>
      <c r="D2556" s="2" t="s">
        <v>10055</v>
      </c>
      <c r="E2556" s="15">
        <v>8.6999999999999994E-3</v>
      </c>
      <c r="F2556" s="15">
        <v>0.1108</v>
      </c>
      <c r="G2556" s="15">
        <v>0.93710000000000004</v>
      </c>
      <c r="H2556" s="15">
        <v>9.9000000000000005E-2</v>
      </c>
      <c r="I2556" s="15">
        <v>4.9099999999999998E-2</v>
      </c>
      <c r="J2556" s="15">
        <v>2.016293279022404</v>
      </c>
    </row>
    <row r="2557" spans="1:10" x14ac:dyDescent="0.25">
      <c r="A2557" s="2" t="s">
        <v>7259</v>
      </c>
      <c r="B2557" s="2" t="s">
        <v>7007</v>
      </c>
      <c r="C2557" s="2" t="s">
        <v>7260</v>
      </c>
      <c r="D2557" s="2" t="s">
        <v>10055</v>
      </c>
      <c r="E2557" s="15"/>
      <c r="F2557" s="15"/>
      <c r="G2557" s="15"/>
      <c r="H2557" s="15">
        <v>-1.78E-2</v>
      </c>
      <c r="I2557" s="15">
        <v>4.0099999999999997E-2</v>
      </c>
      <c r="J2557" s="15">
        <v>-0.44389027431421452</v>
      </c>
    </row>
    <row r="2558" spans="1:10" x14ac:dyDescent="0.25">
      <c r="A2558" s="2" t="s">
        <v>7261</v>
      </c>
      <c r="B2558" s="2" t="s">
        <v>7007</v>
      </c>
      <c r="C2558" s="2" t="s">
        <v>7262</v>
      </c>
      <c r="D2558" s="2" t="s">
        <v>10055</v>
      </c>
      <c r="E2558" s="15">
        <v>-0.1229</v>
      </c>
      <c r="F2558" s="15">
        <v>0.35239999999999999</v>
      </c>
      <c r="G2558" s="15">
        <v>0.72719999999999996</v>
      </c>
      <c r="H2558" s="15">
        <v>1.95E-2</v>
      </c>
      <c r="I2558" s="15">
        <v>4.2799999999999998E-2</v>
      </c>
      <c r="J2558" s="15">
        <v>0.45560747663551399</v>
      </c>
    </row>
    <row r="2559" spans="1:10" x14ac:dyDescent="0.25">
      <c r="A2559" s="2" t="s">
        <v>7263</v>
      </c>
      <c r="B2559" s="2" t="s">
        <v>7007</v>
      </c>
      <c r="C2559" s="2" t="s">
        <v>7264</v>
      </c>
      <c r="D2559" s="2" t="s">
        <v>10055</v>
      </c>
      <c r="E2559" s="15">
        <v>4.5900000000000003E-2</v>
      </c>
      <c r="F2559" s="15">
        <v>0.13500000000000001</v>
      </c>
      <c r="G2559" s="15">
        <v>0.73370000000000002</v>
      </c>
      <c r="H2559" s="15">
        <v>7.8799999999999995E-2</v>
      </c>
      <c r="I2559" s="15">
        <v>4.0599999999999997E-2</v>
      </c>
      <c r="J2559" s="15">
        <v>1.940886699507389</v>
      </c>
    </row>
    <row r="2560" spans="1:10" x14ac:dyDescent="0.25">
      <c r="A2560" s="2" t="s">
        <v>7265</v>
      </c>
      <c r="B2560" s="2" t="s">
        <v>7007</v>
      </c>
      <c r="C2560" s="2" t="s">
        <v>7266</v>
      </c>
      <c r="D2560" s="2" t="s">
        <v>10055</v>
      </c>
      <c r="E2560" s="15"/>
      <c r="F2560" s="15"/>
      <c r="G2560" s="15"/>
      <c r="H2560" s="15">
        <v>-1E-3</v>
      </c>
      <c r="I2560" s="15">
        <v>3.9300000000000002E-2</v>
      </c>
      <c r="J2560" s="15">
        <v>-2.5445292620865138E-2</v>
      </c>
    </row>
    <row r="2561" spans="1:10" x14ac:dyDescent="0.25">
      <c r="A2561" s="2" t="s">
        <v>7267</v>
      </c>
      <c r="B2561" s="2" t="s">
        <v>7007</v>
      </c>
      <c r="C2561" s="2" t="s">
        <v>7268</v>
      </c>
      <c r="D2561" s="2" t="s">
        <v>10055</v>
      </c>
      <c r="E2561" s="15">
        <v>-4.8599999999999997E-2</v>
      </c>
      <c r="F2561" s="15">
        <v>0.125</v>
      </c>
      <c r="G2561" s="15">
        <v>0.69750000000000001</v>
      </c>
      <c r="H2561" s="15">
        <v>7.3800000000000004E-2</v>
      </c>
      <c r="I2561" s="15">
        <v>4.1700000000000001E-2</v>
      </c>
      <c r="J2561" s="15">
        <v>1.769784172661871</v>
      </c>
    </row>
    <row r="2562" spans="1:10" x14ac:dyDescent="0.25">
      <c r="A2562" s="2" t="s">
        <v>7269</v>
      </c>
      <c r="B2562" s="2" t="s">
        <v>7007</v>
      </c>
      <c r="C2562" s="2" t="s">
        <v>7270</v>
      </c>
      <c r="D2562" s="2" t="s">
        <v>10055</v>
      </c>
      <c r="E2562" s="15">
        <v>-4.8999999999999998E-3</v>
      </c>
      <c r="F2562" s="15">
        <v>0.1376</v>
      </c>
      <c r="G2562" s="15">
        <v>0.97160000000000002</v>
      </c>
      <c r="H2562" s="15">
        <v>5.8999999999999997E-2</v>
      </c>
      <c r="I2562" s="15">
        <v>4.07E-2</v>
      </c>
      <c r="J2562" s="15">
        <v>1.44963144963145</v>
      </c>
    </row>
    <row r="2563" spans="1:10" x14ac:dyDescent="0.25">
      <c r="A2563" s="2" t="s">
        <v>7271</v>
      </c>
      <c r="B2563" s="2" t="s">
        <v>7007</v>
      </c>
      <c r="C2563" s="2" t="s">
        <v>7272</v>
      </c>
      <c r="D2563" s="2" t="s">
        <v>10055</v>
      </c>
      <c r="E2563" s="15"/>
      <c r="F2563" s="15"/>
      <c r="G2563" s="15"/>
      <c r="H2563" s="15">
        <v>-3.1699999999999999E-2</v>
      </c>
      <c r="I2563" s="15">
        <v>3.9E-2</v>
      </c>
      <c r="J2563" s="15">
        <v>-0.81282051282051282</v>
      </c>
    </row>
    <row r="2564" spans="1:10" x14ac:dyDescent="0.25">
      <c r="A2564" s="2" t="s">
        <v>7273</v>
      </c>
      <c r="B2564" s="2" t="s">
        <v>7007</v>
      </c>
      <c r="C2564" s="2" t="s">
        <v>7274</v>
      </c>
      <c r="D2564" s="2" t="s">
        <v>10055</v>
      </c>
      <c r="E2564" s="15">
        <v>-0.28420000000000001</v>
      </c>
      <c r="F2564" s="15">
        <v>0.45119999999999999</v>
      </c>
      <c r="G2564" s="15">
        <v>0.52880000000000005</v>
      </c>
      <c r="H2564" s="15">
        <v>3.8600000000000002E-2</v>
      </c>
      <c r="I2564" s="15">
        <v>5.4300000000000001E-2</v>
      </c>
      <c r="J2564" s="15">
        <v>0.71086556169429105</v>
      </c>
    </row>
    <row r="2565" spans="1:10" x14ac:dyDescent="0.25">
      <c r="A2565" s="2" t="s">
        <v>7275</v>
      </c>
      <c r="B2565" s="2" t="s">
        <v>7007</v>
      </c>
      <c r="C2565" s="2" t="s">
        <v>7276</v>
      </c>
      <c r="D2565" s="2" t="s">
        <v>10055</v>
      </c>
      <c r="E2565" s="15">
        <v>0.16569999999999999</v>
      </c>
      <c r="F2565" s="15">
        <v>0.24099999999999999</v>
      </c>
      <c r="G2565" s="15">
        <v>0.49170000000000003</v>
      </c>
      <c r="H2565" s="15">
        <v>2.6599999999999999E-2</v>
      </c>
      <c r="I2565" s="15">
        <v>4.2000000000000003E-2</v>
      </c>
      <c r="J2565" s="15">
        <v>0.6333333333333333</v>
      </c>
    </row>
    <row r="2566" spans="1:10" x14ac:dyDescent="0.25">
      <c r="A2566" s="2" t="s">
        <v>7277</v>
      </c>
      <c r="B2566" s="2" t="s">
        <v>7007</v>
      </c>
      <c r="C2566" s="2" t="s">
        <v>7278</v>
      </c>
      <c r="D2566" s="2" t="s">
        <v>10055</v>
      </c>
      <c r="E2566" s="15">
        <v>-0.21990000000000001</v>
      </c>
      <c r="F2566" s="15">
        <v>0.29299999999999998</v>
      </c>
      <c r="G2566" s="15">
        <v>0.45300000000000001</v>
      </c>
      <c r="H2566" s="15">
        <v>2.9000000000000001E-2</v>
      </c>
      <c r="I2566" s="15">
        <v>4.2099999999999999E-2</v>
      </c>
      <c r="J2566" s="15">
        <v>0.68883610451306421</v>
      </c>
    </row>
    <row r="2567" spans="1:10" x14ac:dyDescent="0.25">
      <c r="A2567" s="2" t="s">
        <v>7279</v>
      </c>
      <c r="B2567" s="2" t="s">
        <v>7007</v>
      </c>
      <c r="C2567" s="2" t="s">
        <v>7280</v>
      </c>
      <c r="D2567" s="2" t="s">
        <v>10055</v>
      </c>
      <c r="E2567" s="15"/>
      <c r="F2567" s="15"/>
      <c r="G2567" s="15"/>
      <c r="H2567" s="15">
        <v>-3.7600000000000001E-2</v>
      </c>
      <c r="I2567" s="15">
        <v>3.9899999999999998E-2</v>
      </c>
      <c r="J2567" s="15">
        <v>-0.94235588972431084</v>
      </c>
    </row>
    <row r="2568" spans="1:10" x14ac:dyDescent="0.25">
      <c r="A2568" s="2" t="s">
        <v>7281</v>
      </c>
      <c r="B2568" s="2" t="s">
        <v>7007</v>
      </c>
      <c r="C2568" s="2" t="s">
        <v>7282</v>
      </c>
      <c r="D2568" s="2" t="s">
        <v>10055</v>
      </c>
      <c r="E2568" s="15">
        <v>-0.15049999999999999</v>
      </c>
      <c r="F2568" s="15">
        <v>0.1075</v>
      </c>
      <c r="G2568" s="15">
        <v>0.1613</v>
      </c>
      <c r="H2568" s="15">
        <v>0.1053</v>
      </c>
      <c r="I2568" s="15">
        <v>4.0899999999999999E-2</v>
      </c>
      <c r="J2568" s="15">
        <v>2.5745721271393651</v>
      </c>
    </row>
    <row r="2569" spans="1:10" x14ac:dyDescent="0.25">
      <c r="A2569" s="2" t="s">
        <v>7283</v>
      </c>
      <c r="B2569" s="2" t="s">
        <v>7007</v>
      </c>
      <c r="C2569" s="2" t="s">
        <v>7284</v>
      </c>
      <c r="D2569" s="2" t="s">
        <v>10055</v>
      </c>
      <c r="E2569" s="15"/>
      <c r="F2569" s="15"/>
      <c r="G2569" s="15"/>
      <c r="H2569" s="15">
        <v>-1.77E-2</v>
      </c>
      <c r="I2569" s="15">
        <v>4.0599999999999997E-2</v>
      </c>
      <c r="J2569" s="15">
        <v>-0.43596059113300489</v>
      </c>
    </row>
    <row r="2570" spans="1:10" x14ac:dyDescent="0.25">
      <c r="A2570" s="2" t="s">
        <v>7285</v>
      </c>
      <c r="B2570" s="2" t="s">
        <v>7007</v>
      </c>
      <c r="C2570" s="2" t="s">
        <v>7286</v>
      </c>
      <c r="D2570" s="2" t="s">
        <v>10055</v>
      </c>
      <c r="E2570" s="15"/>
      <c r="F2570" s="15"/>
      <c r="G2570" s="15"/>
      <c r="H2570" s="15">
        <v>-1.7899999999999999E-2</v>
      </c>
      <c r="I2570" s="15">
        <v>3.8699999999999998E-2</v>
      </c>
      <c r="J2570" s="15">
        <v>-0.46253229974160209</v>
      </c>
    </row>
    <row r="2571" spans="1:10" x14ac:dyDescent="0.25">
      <c r="A2571" s="2" t="s">
        <v>7287</v>
      </c>
      <c r="B2571" s="2" t="s">
        <v>7007</v>
      </c>
      <c r="C2571" s="2" t="s">
        <v>7288</v>
      </c>
      <c r="D2571" s="2" t="s">
        <v>10055</v>
      </c>
      <c r="E2571" s="15"/>
      <c r="F2571" s="15"/>
      <c r="G2571" s="15"/>
      <c r="H2571" s="15">
        <v>-3.8399999999999997E-2</v>
      </c>
      <c r="I2571" s="15">
        <v>0.04</v>
      </c>
      <c r="J2571" s="15">
        <v>-0.95999999999999985</v>
      </c>
    </row>
    <row r="2572" spans="1:10" x14ac:dyDescent="0.25">
      <c r="A2572" s="2" t="s">
        <v>7289</v>
      </c>
      <c r="B2572" s="2" t="s">
        <v>7007</v>
      </c>
      <c r="C2572" s="2" t="s">
        <v>7290</v>
      </c>
      <c r="D2572" s="2" t="s">
        <v>10055</v>
      </c>
      <c r="E2572" s="15">
        <v>-0.13070000000000001</v>
      </c>
      <c r="F2572" s="15">
        <v>0.28949999999999998</v>
      </c>
      <c r="G2572" s="15">
        <v>0.65180000000000005</v>
      </c>
      <c r="H2572" s="15">
        <v>2.6700000000000002E-2</v>
      </c>
      <c r="I2572" s="15">
        <v>4.48E-2</v>
      </c>
      <c r="J2572" s="15">
        <v>0.5959821428571429</v>
      </c>
    </row>
    <row r="2573" spans="1:10" x14ac:dyDescent="0.25">
      <c r="A2573" s="2" t="s">
        <v>7291</v>
      </c>
      <c r="B2573" s="2" t="s">
        <v>7007</v>
      </c>
      <c r="C2573" s="2" t="s">
        <v>7292</v>
      </c>
      <c r="D2573" s="2" t="s">
        <v>10055</v>
      </c>
      <c r="E2573" s="15">
        <v>8.8400000000000006E-2</v>
      </c>
      <c r="F2573" s="15">
        <v>0.1234</v>
      </c>
      <c r="G2573" s="15">
        <v>0.47399999999999998</v>
      </c>
      <c r="H2573" s="15">
        <v>9.74E-2</v>
      </c>
      <c r="I2573" s="15">
        <v>4.1799999999999997E-2</v>
      </c>
      <c r="J2573" s="15">
        <v>2.330143540669857</v>
      </c>
    </row>
    <row r="2574" spans="1:10" x14ac:dyDescent="0.25">
      <c r="A2574" s="2" t="s">
        <v>7293</v>
      </c>
      <c r="B2574" s="2" t="s">
        <v>7007</v>
      </c>
      <c r="C2574" s="2" t="s">
        <v>7294</v>
      </c>
      <c r="D2574" s="2" t="s">
        <v>10055</v>
      </c>
      <c r="E2574" s="15">
        <v>3.5099999999999999E-2</v>
      </c>
      <c r="F2574" s="15">
        <v>0.1527</v>
      </c>
      <c r="G2574" s="15">
        <v>0.81799999999999995</v>
      </c>
      <c r="H2574" s="15">
        <v>5.45E-2</v>
      </c>
      <c r="I2574" s="15">
        <v>4.2299999999999997E-2</v>
      </c>
      <c r="J2574" s="15">
        <v>1.288416075650118</v>
      </c>
    </row>
    <row r="2575" spans="1:10" x14ac:dyDescent="0.25">
      <c r="A2575" s="2" t="s">
        <v>7295</v>
      </c>
      <c r="B2575" s="2" t="s">
        <v>7007</v>
      </c>
      <c r="C2575" s="2" t="s">
        <v>7296</v>
      </c>
      <c r="D2575" s="2" t="s">
        <v>10055</v>
      </c>
      <c r="E2575" s="15">
        <v>0.11890000000000001</v>
      </c>
      <c r="F2575" s="15">
        <v>0.15609999999999999</v>
      </c>
      <c r="G2575" s="15">
        <v>0.44650000000000001</v>
      </c>
      <c r="H2575" s="15">
        <v>6.6000000000000003E-2</v>
      </c>
      <c r="I2575" s="15">
        <v>4.1200000000000001E-2</v>
      </c>
      <c r="J2575" s="15">
        <v>1.601941747572815</v>
      </c>
    </row>
    <row r="2576" spans="1:10" x14ac:dyDescent="0.25">
      <c r="A2576" s="2" t="s">
        <v>7297</v>
      </c>
      <c r="B2576" s="2" t="s">
        <v>7007</v>
      </c>
      <c r="C2576" s="2" t="s">
        <v>7298</v>
      </c>
      <c r="D2576" s="2" t="s">
        <v>10055</v>
      </c>
      <c r="E2576" s="15"/>
      <c r="F2576" s="15"/>
      <c r="G2576" s="15"/>
      <c r="H2576" s="15">
        <v>-1.2200000000000001E-2</v>
      </c>
      <c r="I2576" s="15">
        <v>4.1500000000000002E-2</v>
      </c>
      <c r="J2576" s="15">
        <v>-0.29397590361445791</v>
      </c>
    </row>
    <row r="2577" spans="1:10" x14ac:dyDescent="0.25">
      <c r="A2577" s="2" t="s">
        <v>7299</v>
      </c>
      <c r="B2577" s="2" t="s">
        <v>7007</v>
      </c>
      <c r="C2577" s="2" t="s">
        <v>7300</v>
      </c>
      <c r="D2577" s="2" t="s">
        <v>10055</v>
      </c>
      <c r="E2577" s="15"/>
      <c r="F2577" s="15"/>
      <c r="G2577" s="15"/>
      <c r="H2577" s="15">
        <v>-1.9099999999999999E-2</v>
      </c>
      <c r="I2577" s="15">
        <v>3.6499999999999998E-2</v>
      </c>
      <c r="J2577" s="15">
        <v>-0.52328767123287667</v>
      </c>
    </row>
    <row r="2578" spans="1:10" x14ac:dyDescent="0.25">
      <c r="A2578" s="2" t="s">
        <v>7301</v>
      </c>
      <c r="B2578" s="2" t="s">
        <v>7007</v>
      </c>
      <c r="C2578" s="2" t="s">
        <v>7302</v>
      </c>
      <c r="D2578" s="2" t="s">
        <v>10055</v>
      </c>
      <c r="E2578" s="15"/>
      <c r="F2578" s="15"/>
      <c r="G2578" s="15"/>
      <c r="H2578" s="15">
        <v>-2.1999999999999999E-2</v>
      </c>
      <c r="I2578" s="15">
        <v>4.2500000000000003E-2</v>
      </c>
      <c r="J2578" s="15">
        <v>-0.51764705882352935</v>
      </c>
    </row>
    <row r="2579" spans="1:10" x14ac:dyDescent="0.25">
      <c r="A2579" s="2" t="s">
        <v>7303</v>
      </c>
      <c r="B2579" s="2" t="s">
        <v>7007</v>
      </c>
      <c r="C2579" s="2" t="s">
        <v>7304</v>
      </c>
      <c r="D2579" s="2" t="s">
        <v>10055</v>
      </c>
      <c r="E2579" s="15"/>
      <c r="F2579" s="15"/>
      <c r="G2579" s="15"/>
      <c r="H2579" s="15">
        <v>-6.5500000000000003E-2</v>
      </c>
      <c r="I2579" s="15">
        <v>4.3400000000000001E-2</v>
      </c>
      <c r="J2579" s="15">
        <v>-1.5092165898617509</v>
      </c>
    </row>
    <row r="2580" spans="1:10" x14ac:dyDescent="0.25">
      <c r="A2580" s="2" t="s">
        <v>7305</v>
      </c>
      <c r="B2580" s="2" t="s">
        <v>7007</v>
      </c>
      <c r="C2580" s="2" t="s">
        <v>7306</v>
      </c>
      <c r="D2580" s="2" t="s">
        <v>10055</v>
      </c>
      <c r="E2580" s="15">
        <v>-4.1700000000000001E-2</v>
      </c>
      <c r="F2580" s="15">
        <v>0.13900000000000001</v>
      </c>
      <c r="G2580" s="15">
        <v>0.76439999999999997</v>
      </c>
      <c r="H2580" s="15">
        <v>6.4799999999999996E-2</v>
      </c>
      <c r="I2580" s="15">
        <v>4.0899999999999999E-2</v>
      </c>
      <c r="J2580" s="15">
        <v>1.584352078239609</v>
      </c>
    </row>
    <row r="2581" spans="1:10" x14ac:dyDescent="0.25">
      <c r="A2581" s="2" t="s">
        <v>7307</v>
      </c>
      <c r="B2581" s="2" t="s">
        <v>7007</v>
      </c>
      <c r="C2581" s="2" t="s">
        <v>7308</v>
      </c>
      <c r="D2581" s="2" t="s">
        <v>10055</v>
      </c>
      <c r="E2581" s="15">
        <v>-0.15840000000000001</v>
      </c>
      <c r="F2581" s="15">
        <v>0.18</v>
      </c>
      <c r="G2581" s="15">
        <v>0.37909999999999999</v>
      </c>
      <c r="H2581" s="15">
        <v>5.8000000000000003E-2</v>
      </c>
      <c r="I2581" s="15">
        <v>4.3099999999999999E-2</v>
      </c>
      <c r="J2581" s="15">
        <v>1.345707656612529</v>
      </c>
    </row>
    <row r="2582" spans="1:10" x14ac:dyDescent="0.25">
      <c r="A2582" s="2" t="s">
        <v>7309</v>
      </c>
      <c r="B2582" s="2" t="s">
        <v>7007</v>
      </c>
      <c r="C2582" s="2" t="s">
        <v>7310</v>
      </c>
      <c r="D2582" s="2" t="s">
        <v>10055</v>
      </c>
      <c r="E2582" s="15"/>
      <c r="F2582" s="15"/>
      <c r="G2582" s="15"/>
      <c r="H2582" s="15">
        <v>-2.0299999999999999E-2</v>
      </c>
      <c r="I2582" s="15">
        <v>3.7900000000000003E-2</v>
      </c>
      <c r="J2582" s="15">
        <v>-0.53562005277044844</v>
      </c>
    </row>
    <row r="2583" spans="1:10" x14ac:dyDescent="0.25">
      <c r="A2583" s="2" t="s">
        <v>7311</v>
      </c>
      <c r="B2583" s="2" t="s">
        <v>7007</v>
      </c>
      <c r="C2583" s="2" t="s">
        <v>7312</v>
      </c>
      <c r="D2583" s="2" t="s">
        <v>10055</v>
      </c>
      <c r="E2583" s="15"/>
      <c r="F2583" s="15"/>
      <c r="G2583" s="15"/>
      <c r="H2583" s="15">
        <v>-4.07E-2</v>
      </c>
      <c r="I2583" s="15">
        <v>3.8699999999999998E-2</v>
      </c>
      <c r="J2583" s="15">
        <v>-1.051679586563308</v>
      </c>
    </row>
    <row r="2584" spans="1:10" x14ac:dyDescent="0.25">
      <c r="A2584" s="2" t="s">
        <v>7313</v>
      </c>
      <c r="B2584" s="2" t="s">
        <v>7007</v>
      </c>
      <c r="C2584" s="2" t="s">
        <v>7314</v>
      </c>
      <c r="D2584" s="2" t="s">
        <v>10055</v>
      </c>
      <c r="E2584" s="15"/>
      <c r="F2584" s="15"/>
      <c r="G2584" s="15"/>
      <c r="H2584" s="15">
        <v>-1.47E-2</v>
      </c>
      <c r="I2584" s="15">
        <v>4.2500000000000003E-2</v>
      </c>
      <c r="J2584" s="15">
        <v>-0.34588235294117642</v>
      </c>
    </row>
    <row r="2585" spans="1:10" x14ac:dyDescent="0.25">
      <c r="A2585" s="2" t="s">
        <v>7315</v>
      </c>
      <c r="B2585" s="2" t="s">
        <v>7007</v>
      </c>
      <c r="C2585" s="2" t="s">
        <v>7316</v>
      </c>
      <c r="D2585" s="2" t="s">
        <v>10055</v>
      </c>
      <c r="E2585" s="15"/>
      <c r="F2585" s="15"/>
      <c r="G2585" s="15"/>
      <c r="H2585" s="15">
        <v>-3.4700000000000002E-2</v>
      </c>
      <c r="I2585" s="15">
        <v>3.7999999999999999E-2</v>
      </c>
      <c r="J2585" s="15">
        <v>-0.91315789473684217</v>
      </c>
    </row>
    <row r="2586" spans="1:10" x14ac:dyDescent="0.25">
      <c r="A2586" s="2" t="s">
        <v>7317</v>
      </c>
      <c r="B2586" s="2" t="s">
        <v>7007</v>
      </c>
      <c r="C2586" s="2" t="s">
        <v>7318</v>
      </c>
      <c r="D2586" s="2" t="s">
        <v>10055</v>
      </c>
      <c r="E2586" s="15"/>
      <c r="F2586" s="15"/>
      <c r="G2586" s="15"/>
      <c r="H2586" s="15">
        <v>-3.9800000000000002E-2</v>
      </c>
      <c r="I2586" s="15">
        <v>4.24E-2</v>
      </c>
      <c r="J2586" s="15">
        <v>-0.93867924528301894</v>
      </c>
    </row>
    <row r="2587" spans="1:10" x14ac:dyDescent="0.25">
      <c r="A2587" s="2" t="s">
        <v>7319</v>
      </c>
      <c r="B2587" s="2" t="s">
        <v>7007</v>
      </c>
      <c r="C2587" s="2" t="s">
        <v>7320</v>
      </c>
      <c r="D2587" s="2" t="s">
        <v>10055</v>
      </c>
      <c r="E2587" s="15">
        <v>0.44450000000000001</v>
      </c>
      <c r="F2587" s="15">
        <v>0.3397</v>
      </c>
      <c r="G2587" s="15">
        <v>0.19059999999999999</v>
      </c>
      <c r="H2587" s="15">
        <v>3.6400000000000002E-2</v>
      </c>
      <c r="I2587" s="15">
        <v>4.4699999999999997E-2</v>
      </c>
      <c r="J2587" s="15">
        <v>0.81431767337807615</v>
      </c>
    </row>
    <row r="2588" spans="1:10" x14ac:dyDescent="0.25">
      <c r="A2588" s="2" t="s">
        <v>7321</v>
      </c>
      <c r="B2588" s="2" t="s">
        <v>7007</v>
      </c>
      <c r="C2588" s="2" t="s">
        <v>7322</v>
      </c>
      <c r="D2588" s="2" t="s">
        <v>10055</v>
      </c>
      <c r="E2588" s="15">
        <v>6.5100000000000005E-2</v>
      </c>
      <c r="F2588" s="15">
        <v>0.10489999999999999</v>
      </c>
      <c r="G2588" s="15">
        <v>0.53449999999999998</v>
      </c>
      <c r="H2588" s="15">
        <v>0.14080000000000001</v>
      </c>
      <c r="I2588" s="15">
        <v>4.7199999999999999E-2</v>
      </c>
      <c r="J2588" s="15">
        <v>2.9830508474576272</v>
      </c>
    </row>
    <row r="2589" spans="1:10" x14ac:dyDescent="0.25">
      <c r="A2589" s="2" t="s">
        <v>7323</v>
      </c>
      <c r="B2589" s="2" t="s">
        <v>7007</v>
      </c>
      <c r="C2589" s="2" t="s">
        <v>7324</v>
      </c>
      <c r="D2589" s="2" t="s">
        <v>10055</v>
      </c>
      <c r="E2589" s="15"/>
      <c r="F2589" s="15"/>
      <c r="G2589" s="15"/>
      <c r="H2589" s="15">
        <v>-1.6000000000000001E-3</v>
      </c>
      <c r="I2589" s="15">
        <v>3.9899999999999998E-2</v>
      </c>
      <c r="J2589" s="15">
        <v>-4.0100250626566421E-2</v>
      </c>
    </row>
    <row r="2590" spans="1:10" x14ac:dyDescent="0.25">
      <c r="A2590" s="2" t="s">
        <v>7325</v>
      </c>
      <c r="B2590" s="2" t="s">
        <v>7007</v>
      </c>
      <c r="C2590" s="2" t="s">
        <v>7326</v>
      </c>
      <c r="D2590" s="2" t="s">
        <v>10055</v>
      </c>
      <c r="E2590" s="15"/>
      <c r="F2590" s="15"/>
      <c r="G2590" s="15"/>
      <c r="H2590" s="15"/>
      <c r="I2590" s="15"/>
      <c r="J2590" s="15"/>
    </row>
    <row r="2591" spans="1:10" x14ac:dyDescent="0.25">
      <c r="A2591" s="2" t="s">
        <v>7327</v>
      </c>
      <c r="B2591" s="2" t="s">
        <v>7007</v>
      </c>
      <c r="C2591" s="2" t="s">
        <v>7328</v>
      </c>
      <c r="D2591" s="2" t="s">
        <v>10055</v>
      </c>
      <c r="E2591" s="15"/>
      <c r="F2591" s="15"/>
      <c r="G2591" s="15"/>
      <c r="H2591" s="15">
        <v>-2.6100000000000002E-2</v>
      </c>
      <c r="I2591" s="15">
        <v>4.3299999999999998E-2</v>
      </c>
      <c r="J2591" s="15">
        <v>-0.60277136258660513</v>
      </c>
    </row>
    <row r="2592" spans="1:10" x14ac:dyDescent="0.25">
      <c r="A2592" s="2" t="s">
        <v>7329</v>
      </c>
      <c r="B2592" s="2" t="s">
        <v>7007</v>
      </c>
      <c r="C2592" s="2" t="s">
        <v>7330</v>
      </c>
      <c r="D2592" s="2" t="s">
        <v>10055</v>
      </c>
      <c r="E2592" s="15">
        <v>3.9E-2</v>
      </c>
      <c r="F2592" s="15">
        <v>0.1968</v>
      </c>
      <c r="G2592" s="15">
        <v>0.84289999999999998</v>
      </c>
      <c r="H2592" s="15">
        <v>3.4000000000000002E-2</v>
      </c>
      <c r="I2592" s="15">
        <v>4.2200000000000001E-2</v>
      </c>
      <c r="J2592" s="15">
        <v>0.80568720379146919</v>
      </c>
    </row>
    <row r="2593" spans="1:10" x14ac:dyDescent="0.25">
      <c r="A2593" s="2" t="s">
        <v>7331</v>
      </c>
      <c r="B2593" s="2" t="s">
        <v>7007</v>
      </c>
      <c r="C2593" s="2" t="s">
        <v>7332</v>
      </c>
      <c r="D2593" s="2" t="s">
        <v>10055</v>
      </c>
      <c r="E2593" s="15">
        <v>-0.2893</v>
      </c>
      <c r="F2593" s="15">
        <v>0.2006</v>
      </c>
      <c r="G2593" s="15">
        <v>0.14929999999999999</v>
      </c>
      <c r="H2593" s="15">
        <v>4.2900000000000001E-2</v>
      </c>
      <c r="I2593" s="15">
        <v>3.7699999999999997E-2</v>
      </c>
      <c r="J2593" s="15">
        <v>1.1379310344827589</v>
      </c>
    </row>
    <row r="2594" spans="1:10" x14ac:dyDescent="0.25">
      <c r="A2594" s="2" t="s">
        <v>7333</v>
      </c>
      <c r="B2594" s="2" t="s">
        <v>7007</v>
      </c>
      <c r="C2594" s="2" t="s">
        <v>7334</v>
      </c>
      <c r="D2594" s="2" t="s">
        <v>10055</v>
      </c>
      <c r="E2594" s="15">
        <v>0.1065</v>
      </c>
      <c r="F2594" s="15">
        <v>0.1023</v>
      </c>
      <c r="G2594" s="15">
        <v>0.29770000000000002</v>
      </c>
      <c r="H2594" s="15">
        <v>0.1406</v>
      </c>
      <c r="I2594" s="15">
        <v>4.07E-2</v>
      </c>
      <c r="J2594" s="15">
        <v>3.454545454545455</v>
      </c>
    </row>
    <row r="2595" spans="1:10" x14ac:dyDescent="0.25">
      <c r="A2595" s="2" t="s">
        <v>7335</v>
      </c>
      <c r="B2595" s="2" t="s">
        <v>7007</v>
      </c>
      <c r="C2595" s="2" t="s">
        <v>7336</v>
      </c>
      <c r="D2595" s="2" t="s">
        <v>10055</v>
      </c>
      <c r="E2595" s="15"/>
      <c r="F2595" s="15"/>
      <c r="G2595" s="15"/>
      <c r="H2595" s="15"/>
      <c r="I2595" s="15"/>
      <c r="J2595" s="15"/>
    </row>
    <row r="2596" spans="1:10" x14ac:dyDescent="0.25">
      <c r="A2596" s="2" t="s">
        <v>7337</v>
      </c>
      <c r="B2596" s="2" t="s">
        <v>7007</v>
      </c>
      <c r="C2596" s="2" t="s">
        <v>7338</v>
      </c>
      <c r="D2596" s="2" t="s">
        <v>10055</v>
      </c>
      <c r="E2596" s="15"/>
      <c r="F2596" s="15"/>
      <c r="G2596" s="15"/>
      <c r="H2596" s="15">
        <v>-7.8399999999999997E-2</v>
      </c>
      <c r="I2596" s="15">
        <v>3.9E-2</v>
      </c>
      <c r="J2596" s="15">
        <v>-2.0102564102564102</v>
      </c>
    </row>
    <row r="2597" spans="1:10" x14ac:dyDescent="0.25">
      <c r="A2597" s="2" t="s">
        <v>7339</v>
      </c>
      <c r="B2597" s="2" t="s">
        <v>7007</v>
      </c>
      <c r="C2597" s="2" t="s">
        <v>7340</v>
      </c>
      <c r="D2597" s="2" t="s">
        <v>10055</v>
      </c>
      <c r="E2597" s="15"/>
      <c r="F2597" s="15"/>
      <c r="G2597" s="15"/>
      <c r="H2597" s="15">
        <v>-1.0500000000000001E-2</v>
      </c>
      <c r="I2597" s="15">
        <v>4.1099999999999998E-2</v>
      </c>
      <c r="J2597" s="15">
        <v>-0.25547445255474449</v>
      </c>
    </row>
    <row r="2598" spans="1:10" x14ac:dyDescent="0.25">
      <c r="A2598" s="2" t="s">
        <v>7341</v>
      </c>
      <c r="B2598" s="2" t="s">
        <v>7007</v>
      </c>
      <c r="C2598" s="2" t="s">
        <v>7342</v>
      </c>
      <c r="D2598" s="2" t="s">
        <v>10055</v>
      </c>
      <c r="E2598" s="15"/>
      <c r="F2598" s="15"/>
      <c r="G2598" s="15"/>
      <c r="H2598" s="15"/>
      <c r="I2598" s="15"/>
      <c r="J2598" s="15"/>
    </row>
    <row r="2599" spans="1:10" x14ac:dyDescent="0.25">
      <c r="A2599" s="2" t="s">
        <v>7343</v>
      </c>
      <c r="B2599" s="2" t="s">
        <v>7007</v>
      </c>
      <c r="C2599" s="2" t="s">
        <v>7344</v>
      </c>
      <c r="D2599" s="2" t="s">
        <v>10055</v>
      </c>
      <c r="E2599" s="15">
        <v>-3.3000000000000002E-2</v>
      </c>
      <c r="F2599" s="15">
        <v>0.16869999999999999</v>
      </c>
      <c r="G2599" s="15">
        <v>0.84489999999999998</v>
      </c>
      <c r="H2599" s="15">
        <v>4.9500000000000002E-2</v>
      </c>
      <c r="I2599" s="15">
        <v>4.4200000000000003E-2</v>
      </c>
      <c r="J2599" s="15">
        <v>1.119909502262443</v>
      </c>
    </row>
    <row r="2600" spans="1:10" x14ac:dyDescent="0.25">
      <c r="A2600" s="2" t="s">
        <v>7345</v>
      </c>
      <c r="B2600" s="2" t="s">
        <v>7007</v>
      </c>
      <c r="C2600" s="2" t="s">
        <v>7346</v>
      </c>
      <c r="D2600" s="2" t="s">
        <v>10055</v>
      </c>
      <c r="E2600" s="15">
        <v>9.0999999999999998E-2</v>
      </c>
      <c r="F2600" s="15">
        <v>0.184</v>
      </c>
      <c r="G2600" s="15">
        <v>0.621</v>
      </c>
      <c r="H2600" s="15">
        <v>4.0800000000000003E-2</v>
      </c>
      <c r="I2600" s="15">
        <v>4.2299999999999997E-2</v>
      </c>
      <c r="J2600" s="15">
        <v>0.96453900709219875</v>
      </c>
    </row>
    <row r="2601" spans="1:10" x14ac:dyDescent="0.25">
      <c r="A2601" s="2" t="s">
        <v>7347</v>
      </c>
      <c r="B2601" s="2" t="s">
        <v>7007</v>
      </c>
      <c r="C2601" s="2" t="s">
        <v>7348</v>
      </c>
      <c r="D2601" s="2" t="s">
        <v>10055</v>
      </c>
      <c r="E2601" s="15">
        <v>-5.62E-2</v>
      </c>
      <c r="F2601" s="15">
        <v>0.20810000000000001</v>
      </c>
      <c r="G2601" s="15">
        <v>0.78720000000000001</v>
      </c>
      <c r="H2601" s="15">
        <v>3.3099999999999997E-2</v>
      </c>
      <c r="I2601" s="15">
        <v>4.1700000000000001E-2</v>
      </c>
      <c r="J2601" s="15">
        <v>0.79376498800959228</v>
      </c>
    </row>
    <row r="2602" spans="1:10" x14ac:dyDescent="0.25">
      <c r="A2602" s="2" t="s">
        <v>7349</v>
      </c>
      <c r="B2602" s="2" t="s">
        <v>7007</v>
      </c>
      <c r="C2602" s="2" t="s">
        <v>7350</v>
      </c>
      <c r="D2602" s="2" t="s">
        <v>10055</v>
      </c>
      <c r="E2602" s="15"/>
      <c r="F2602" s="15"/>
      <c r="G2602" s="15"/>
      <c r="H2602" s="15">
        <v>-2.2100000000000002E-2</v>
      </c>
      <c r="I2602" s="15">
        <v>4.0099999999999997E-2</v>
      </c>
      <c r="J2602" s="15">
        <v>-0.5511221945137158</v>
      </c>
    </row>
    <row r="2603" spans="1:10" x14ac:dyDescent="0.25">
      <c r="A2603" s="2" t="s">
        <v>7351</v>
      </c>
      <c r="B2603" s="2" t="s">
        <v>7007</v>
      </c>
      <c r="C2603" s="2" t="s">
        <v>7352</v>
      </c>
      <c r="D2603" s="2" t="s">
        <v>10055</v>
      </c>
      <c r="E2603" s="15"/>
      <c r="F2603" s="15"/>
      <c r="G2603" s="15"/>
      <c r="H2603" s="15">
        <v>-2.0199999999999999E-2</v>
      </c>
      <c r="I2603" s="15">
        <v>3.7999999999999999E-2</v>
      </c>
      <c r="J2603" s="15">
        <v>-0.53157894736842104</v>
      </c>
    </row>
    <row r="2604" spans="1:10" x14ac:dyDescent="0.25">
      <c r="A2604" s="2" t="s">
        <v>7353</v>
      </c>
      <c r="B2604" s="2" t="s">
        <v>7007</v>
      </c>
      <c r="C2604" s="2" t="s">
        <v>7354</v>
      </c>
      <c r="D2604" s="2" t="s">
        <v>10055</v>
      </c>
      <c r="E2604" s="15"/>
      <c r="F2604" s="15"/>
      <c r="G2604" s="15"/>
      <c r="H2604" s="15">
        <v>-2.6700000000000002E-2</v>
      </c>
      <c r="I2604" s="15">
        <v>4.1500000000000002E-2</v>
      </c>
      <c r="J2604" s="15">
        <v>-0.6433734939759036</v>
      </c>
    </row>
    <row r="2605" spans="1:10" x14ac:dyDescent="0.25">
      <c r="A2605" s="2" t="s">
        <v>7355</v>
      </c>
      <c r="B2605" s="2" t="s">
        <v>7007</v>
      </c>
      <c r="C2605" s="2" t="s">
        <v>7356</v>
      </c>
      <c r="D2605" s="2" t="s">
        <v>10055</v>
      </c>
      <c r="E2605" s="15">
        <v>0.1211</v>
      </c>
      <c r="F2605" s="15">
        <v>0.1502</v>
      </c>
      <c r="G2605" s="15">
        <v>0.42030000000000001</v>
      </c>
      <c r="H2605" s="15">
        <v>6.13E-2</v>
      </c>
      <c r="I2605" s="15">
        <v>4.0800000000000003E-2</v>
      </c>
      <c r="J2605" s="15">
        <v>1.5024509803921571</v>
      </c>
    </row>
    <row r="2606" spans="1:10" x14ac:dyDescent="0.25">
      <c r="A2606" s="2" t="s">
        <v>7357</v>
      </c>
      <c r="B2606" s="2" t="s">
        <v>7007</v>
      </c>
      <c r="C2606" s="2" t="s">
        <v>7358</v>
      </c>
      <c r="D2606" s="2" t="s">
        <v>10055</v>
      </c>
      <c r="E2606" s="15"/>
      <c r="F2606" s="15"/>
      <c r="G2606" s="15"/>
      <c r="H2606" s="15">
        <v>-9.7999999999999997E-3</v>
      </c>
      <c r="I2606" s="15">
        <v>4.5900000000000003E-2</v>
      </c>
      <c r="J2606" s="15">
        <v>-0.21350762527233111</v>
      </c>
    </row>
    <row r="2607" spans="1:10" x14ac:dyDescent="0.25">
      <c r="A2607" s="2" t="s">
        <v>7359</v>
      </c>
      <c r="B2607" s="2" t="s">
        <v>7007</v>
      </c>
      <c r="C2607" s="2" t="s">
        <v>7360</v>
      </c>
      <c r="D2607" s="2" t="s">
        <v>10055</v>
      </c>
      <c r="E2607" s="15">
        <v>-3.2000000000000001E-2</v>
      </c>
      <c r="F2607" s="15">
        <v>0.1288</v>
      </c>
      <c r="G2607" s="15">
        <v>0.80400000000000005</v>
      </c>
      <c r="H2607" s="15">
        <v>9.3200000000000005E-2</v>
      </c>
      <c r="I2607" s="15">
        <v>4.4400000000000002E-2</v>
      </c>
      <c r="J2607" s="15">
        <v>2.099099099099099</v>
      </c>
    </row>
    <row r="2608" spans="1:10" x14ac:dyDescent="0.25">
      <c r="A2608" s="2" t="s">
        <v>7361</v>
      </c>
      <c r="B2608" s="2" t="s">
        <v>7007</v>
      </c>
      <c r="C2608" s="2" t="s">
        <v>7362</v>
      </c>
      <c r="D2608" s="2" t="s">
        <v>10055</v>
      </c>
      <c r="E2608" s="15">
        <v>0.1099</v>
      </c>
      <c r="F2608" s="15">
        <v>0.23960000000000001</v>
      </c>
      <c r="G2608" s="15">
        <v>0.64639999999999997</v>
      </c>
      <c r="H2608" s="15">
        <v>2.58E-2</v>
      </c>
      <c r="I2608" s="15">
        <v>4.2200000000000001E-2</v>
      </c>
      <c r="J2608" s="15">
        <v>0.61137440758293837</v>
      </c>
    </row>
    <row r="2609" spans="1:10" x14ac:dyDescent="0.25">
      <c r="A2609" s="2" t="s">
        <v>7363</v>
      </c>
      <c r="B2609" s="2" t="s">
        <v>7007</v>
      </c>
      <c r="C2609" s="2" t="s">
        <v>7364</v>
      </c>
      <c r="D2609" s="2" t="s">
        <v>10055</v>
      </c>
      <c r="E2609" s="15"/>
      <c r="F2609" s="15"/>
      <c r="G2609" s="15"/>
      <c r="H2609" s="15"/>
      <c r="I2609" s="15"/>
      <c r="J2609" s="15"/>
    </row>
    <row r="2610" spans="1:10" x14ac:dyDescent="0.25">
      <c r="A2610" s="2" t="s">
        <v>7365</v>
      </c>
      <c r="B2610" s="2" t="s">
        <v>7007</v>
      </c>
      <c r="C2610" s="2" t="s">
        <v>7366</v>
      </c>
      <c r="D2610" s="2" t="s">
        <v>10055</v>
      </c>
      <c r="E2610" s="15">
        <v>-8.5699999999999998E-2</v>
      </c>
      <c r="F2610" s="15">
        <v>0.2225</v>
      </c>
      <c r="G2610" s="15">
        <v>0.69989999999999997</v>
      </c>
      <c r="H2610" s="15">
        <v>2.7300000000000001E-2</v>
      </c>
      <c r="I2610" s="15">
        <v>4.2900000000000001E-2</v>
      </c>
      <c r="J2610" s="15">
        <v>0.63636363636363635</v>
      </c>
    </row>
    <row r="2611" spans="1:10" x14ac:dyDescent="0.25">
      <c r="A2611" s="2" t="s">
        <v>7367</v>
      </c>
      <c r="B2611" s="2" t="s">
        <v>7007</v>
      </c>
      <c r="C2611" s="2" t="s">
        <v>7368</v>
      </c>
      <c r="D2611" s="2" t="s">
        <v>10055</v>
      </c>
      <c r="E2611" s="15"/>
      <c r="F2611" s="15"/>
      <c r="G2611" s="15"/>
      <c r="H2611" s="15">
        <v>-2.9999999999999997E-4</v>
      </c>
      <c r="I2611" s="15">
        <v>4.4600000000000001E-2</v>
      </c>
      <c r="J2611" s="15">
        <v>-6.7264573991031376E-3</v>
      </c>
    </row>
    <row r="2612" spans="1:10" x14ac:dyDescent="0.25">
      <c r="A2612" s="2" t="s">
        <v>7369</v>
      </c>
      <c r="B2612" s="2" t="s">
        <v>7007</v>
      </c>
      <c r="C2612" s="2" t="s">
        <v>7370</v>
      </c>
      <c r="D2612" s="2" t="s">
        <v>10055</v>
      </c>
      <c r="E2612" s="15"/>
      <c r="F2612" s="15"/>
      <c r="G2612" s="15"/>
      <c r="H2612" s="15"/>
      <c r="I2612" s="15"/>
      <c r="J2612" s="15"/>
    </row>
    <row r="2613" spans="1:10" x14ac:dyDescent="0.25">
      <c r="A2613" s="2" t="s">
        <v>7371</v>
      </c>
      <c r="B2613" s="2" t="s">
        <v>7007</v>
      </c>
      <c r="C2613" s="2" t="s">
        <v>7372</v>
      </c>
      <c r="D2613" s="2" t="s">
        <v>10055</v>
      </c>
      <c r="E2613" s="15"/>
      <c r="F2613" s="15"/>
      <c r="G2613" s="15"/>
      <c r="H2613" s="15"/>
      <c r="I2613" s="15"/>
      <c r="J2613" s="15"/>
    </row>
    <row r="2614" spans="1:10" x14ac:dyDescent="0.25">
      <c r="A2614" s="2" t="s">
        <v>7373</v>
      </c>
      <c r="B2614" s="2" t="s">
        <v>7007</v>
      </c>
      <c r="C2614" s="2" t="s">
        <v>7374</v>
      </c>
      <c r="D2614" s="2" t="s">
        <v>10055</v>
      </c>
      <c r="E2614" s="15">
        <v>0.12620000000000001</v>
      </c>
      <c r="F2614" s="15">
        <v>0.17349999999999999</v>
      </c>
      <c r="G2614" s="15">
        <v>0.46700000000000003</v>
      </c>
      <c r="H2614" s="15">
        <v>3.6400000000000002E-2</v>
      </c>
      <c r="I2614" s="15">
        <v>4.1099999999999998E-2</v>
      </c>
      <c r="J2614" s="15">
        <v>0.88564476885644783</v>
      </c>
    </row>
    <row r="2615" spans="1:10" x14ac:dyDescent="0.25">
      <c r="A2615" s="2" t="s">
        <v>7375</v>
      </c>
      <c r="B2615" s="2" t="s">
        <v>7007</v>
      </c>
      <c r="C2615" s="2" t="s">
        <v>7376</v>
      </c>
      <c r="D2615" s="2" t="s">
        <v>10055</v>
      </c>
      <c r="E2615" s="15">
        <v>-0.1913</v>
      </c>
      <c r="F2615" s="15">
        <v>0.26129999999999998</v>
      </c>
      <c r="G2615" s="15">
        <v>0.46410000000000001</v>
      </c>
      <c r="H2615" s="15">
        <v>3.1399999999999997E-2</v>
      </c>
      <c r="I2615" s="15">
        <v>4.19E-2</v>
      </c>
      <c r="J2615" s="15">
        <v>0.74940334128878272</v>
      </c>
    </row>
    <row r="2616" spans="1:10" x14ac:dyDescent="0.25">
      <c r="A2616" s="2" t="s">
        <v>7377</v>
      </c>
      <c r="B2616" s="2" t="s">
        <v>7007</v>
      </c>
      <c r="C2616" s="2" t="s">
        <v>7378</v>
      </c>
      <c r="D2616" s="2" t="s">
        <v>10055</v>
      </c>
      <c r="E2616" s="15">
        <v>-2.7400000000000001E-2</v>
      </c>
      <c r="F2616" s="15">
        <v>0.15049999999999999</v>
      </c>
      <c r="G2616" s="15">
        <v>0.85560000000000003</v>
      </c>
      <c r="H2616" s="15">
        <v>4.7899999999999998E-2</v>
      </c>
      <c r="I2616" s="15">
        <v>4.3499999999999997E-2</v>
      </c>
      <c r="J2616" s="15">
        <v>1.1011494252873559</v>
      </c>
    </row>
    <row r="2617" spans="1:10" x14ac:dyDescent="0.25">
      <c r="A2617" s="2" t="s">
        <v>7379</v>
      </c>
      <c r="B2617" s="2" t="s">
        <v>7007</v>
      </c>
      <c r="C2617" s="2" t="s">
        <v>7380</v>
      </c>
      <c r="D2617" s="2" t="s">
        <v>10055</v>
      </c>
      <c r="E2617" s="15"/>
      <c r="F2617" s="15"/>
      <c r="G2617" s="15"/>
      <c r="H2617" s="15">
        <v>-1.2999999999999999E-3</v>
      </c>
      <c r="I2617" s="15">
        <v>4.5499999999999999E-2</v>
      </c>
      <c r="J2617" s="15">
        <v>-2.8571428571428571E-2</v>
      </c>
    </row>
    <row r="2618" spans="1:10" x14ac:dyDescent="0.25">
      <c r="A2618" s="2" t="s">
        <v>7381</v>
      </c>
      <c r="B2618" s="2" t="s">
        <v>7007</v>
      </c>
      <c r="C2618" s="2" t="s">
        <v>7382</v>
      </c>
      <c r="D2618" s="2" t="s">
        <v>10055</v>
      </c>
      <c r="E2618" s="15">
        <v>5.0000000000000001E-3</v>
      </c>
      <c r="F2618" s="15">
        <v>0.1132</v>
      </c>
      <c r="G2618" s="15">
        <v>0.96450000000000002</v>
      </c>
      <c r="H2618" s="15">
        <v>0.1137</v>
      </c>
      <c r="I2618" s="15">
        <v>4.5600000000000002E-2</v>
      </c>
      <c r="J2618" s="15">
        <v>2.4934210526315792</v>
      </c>
    </row>
    <row r="2619" spans="1:10" x14ac:dyDescent="0.25">
      <c r="A2619" s="2" t="s">
        <v>7383</v>
      </c>
      <c r="B2619" s="2" t="s">
        <v>7007</v>
      </c>
      <c r="C2619" s="2" t="s">
        <v>7384</v>
      </c>
      <c r="D2619" s="2" t="s">
        <v>10055</v>
      </c>
      <c r="E2619" s="15"/>
      <c r="F2619" s="15"/>
      <c r="G2619" s="15"/>
      <c r="H2619" s="15">
        <v>-2.6100000000000002E-2</v>
      </c>
      <c r="I2619" s="15">
        <v>3.9899999999999998E-2</v>
      </c>
      <c r="J2619" s="15">
        <v>-0.65413533834586479</v>
      </c>
    </row>
    <row r="2620" spans="1:10" x14ac:dyDescent="0.25">
      <c r="A2620" s="2" t="s">
        <v>7385</v>
      </c>
      <c r="B2620" s="2" t="s">
        <v>7007</v>
      </c>
      <c r="C2620" s="2" t="s">
        <v>7386</v>
      </c>
      <c r="D2620" s="2" t="s">
        <v>10055</v>
      </c>
      <c r="E2620" s="15"/>
      <c r="F2620" s="15"/>
      <c r="G2620" s="15"/>
      <c r="H2620" s="15"/>
      <c r="I2620" s="15"/>
      <c r="J2620" s="15"/>
    </row>
    <row r="2621" spans="1:10" x14ac:dyDescent="0.25">
      <c r="A2621" s="2" t="s">
        <v>7387</v>
      </c>
      <c r="B2621" s="2" t="s">
        <v>7007</v>
      </c>
      <c r="C2621" s="2" t="s">
        <v>7388</v>
      </c>
      <c r="D2621" s="2" t="s">
        <v>10055</v>
      </c>
      <c r="E2621" s="15"/>
      <c r="F2621" s="15"/>
      <c r="G2621" s="15"/>
      <c r="H2621" s="15">
        <v>-5.5599999999999997E-2</v>
      </c>
      <c r="I2621" s="15">
        <v>4.3099999999999999E-2</v>
      </c>
      <c r="J2621" s="15">
        <v>-1.2900232018561479</v>
      </c>
    </row>
    <row r="2622" spans="1:10" x14ac:dyDescent="0.25">
      <c r="A2622" s="2" t="s">
        <v>7389</v>
      </c>
      <c r="B2622" s="2" t="s">
        <v>7007</v>
      </c>
      <c r="C2622" s="2" t="s">
        <v>7390</v>
      </c>
      <c r="D2622" s="2" t="s">
        <v>10055</v>
      </c>
      <c r="E2622" s="15">
        <v>-0.1739</v>
      </c>
      <c r="F2622" s="15">
        <v>0.38890000000000002</v>
      </c>
      <c r="G2622" s="15">
        <v>0.65480000000000005</v>
      </c>
      <c r="H2622" s="15">
        <v>1.7399999999999999E-2</v>
      </c>
      <c r="I2622" s="15">
        <v>3.85E-2</v>
      </c>
      <c r="J2622" s="15">
        <v>0.45194805194805188</v>
      </c>
    </row>
    <row r="2623" spans="1:10" x14ac:dyDescent="0.25">
      <c r="A2623" s="2" t="s">
        <v>7391</v>
      </c>
      <c r="B2623" s="2" t="s">
        <v>7007</v>
      </c>
      <c r="C2623" s="2" t="s">
        <v>7392</v>
      </c>
      <c r="D2623" s="2" t="s">
        <v>10055</v>
      </c>
      <c r="E2623" s="15">
        <v>0.14080000000000001</v>
      </c>
      <c r="F2623" s="15">
        <v>0.17760000000000001</v>
      </c>
      <c r="G2623" s="15">
        <v>0.42770000000000002</v>
      </c>
      <c r="H2623" s="15">
        <v>4.9700000000000001E-2</v>
      </c>
      <c r="I2623" s="15">
        <v>4.2900000000000001E-2</v>
      </c>
      <c r="J2623" s="15">
        <v>1.158508158508158</v>
      </c>
    </row>
    <row r="2624" spans="1:10" x14ac:dyDescent="0.25">
      <c r="A2624" s="2" t="s">
        <v>7393</v>
      </c>
      <c r="B2624" s="2" t="s">
        <v>7007</v>
      </c>
      <c r="C2624" s="2" t="s">
        <v>7394</v>
      </c>
      <c r="D2624" s="2" t="s">
        <v>10055</v>
      </c>
      <c r="E2624" s="15"/>
      <c r="F2624" s="15"/>
      <c r="G2624" s="15"/>
      <c r="H2624" s="15">
        <v>-8.7565000000000006E-5</v>
      </c>
      <c r="I2624" s="15">
        <v>4.19E-2</v>
      </c>
      <c r="J2624" s="15">
        <v>-2.0898568019093078E-3</v>
      </c>
    </row>
    <row r="2625" spans="1:10" x14ac:dyDescent="0.25">
      <c r="A2625" s="2" t="s">
        <v>7395</v>
      </c>
      <c r="B2625" s="2" t="s">
        <v>7007</v>
      </c>
      <c r="C2625" s="2" t="s">
        <v>7396</v>
      </c>
      <c r="D2625" s="2" t="s">
        <v>10055</v>
      </c>
      <c r="E2625" s="15">
        <v>5.0900000000000001E-2</v>
      </c>
      <c r="F2625" s="15">
        <v>9.5899999999999999E-2</v>
      </c>
      <c r="G2625" s="15">
        <v>0.59550000000000003</v>
      </c>
      <c r="H2625" s="15">
        <v>0.14130000000000001</v>
      </c>
      <c r="I2625" s="15">
        <v>4.1399999999999999E-2</v>
      </c>
      <c r="J2625" s="15">
        <v>3.4130434782608701</v>
      </c>
    </row>
    <row r="2626" spans="1:10" x14ac:dyDescent="0.25">
      <c r="A2626" s="2" t="s">
        <v>7397</v>
      </c>
      <c r="B2626" s="2" t="s">
        <v>7007</v>
      </c>
      <c r="C2626" s="2" t="s">
        <v>7398</v>
      </c>
      <c r="D2626" s="2" t="s">
        <v>10055</v>
      </c>
      <c r="E2626" s="15">
        <v>5.5399999999999998E-2</v>
      </c>
      <c r="F2626" s="15">
        <v>0.1399</v>
      </c>
      <c r="G2626" s="15">
        <v>0.69220000000000004</v>
      </c>
      <c r="H2626" s="15">
        <v>5.8299999999999998E-2</v>
      </c>
      <c r="I2626" s="15">
        <v>4.3400000000000001E-2</v>
      </c>
      <c r="J2626" s="15">
        <v>1.34331797235023</v>
      </c>
    </row>
    <row r="2627" spans="1:10" x14ac:dyDescent="0.25">
      <c r="A2627" s="2" t="s">
        <v>7399</v>
      </c>
      <c r="B2627" s="2" t="s">
        <v>7007</v>
      </c>
      <c r="C2627" s="2" t="s">
        <v>7400</v>
      </c>
      <c r="D2627" s="2" t="s">
        <v>10055</v>
      </c>
      <c r="E2627" s="15">
        <v>-0.1641</v>
      </c>
      <c r="F2627" s="15">
        <v>0.1376</v>
      </c>
      <c r="G2627" s="15">
        <v>0.23319999999999999</v>
      </c>
      <c r="H2627" s="15">
        <v>7.4999999999999997E-2</v>
      </c>
      <c r="I2627" s="15">
        <v>4.2000000000000003E-2</v>
      </c>
      <c r="J2627" s="15">
        <v>1.785714285714286</v>
      </c>
    </row>
    <row r="2628" spans="1:10" x14ac:dyDescent="0.25">
      <c r="A2628" s="2" t="s">
        <v>7401</v>
      </c>
      <c r="B2628" s="2" t="s">
        <v>7007</v>
      </c>
      <c r="C2628" s="2" t="s">
        <v>7402</v>
      </c>
      <c r="D2628" s="2" t="s">
        <v>10055</v>
      </c>
      <c r="E2628" s="15"/>
      <c r="F2628" s="15"/>
      <c r="G2628" s="15"/>
      <c r="H2628" s="15">
        <v>-3.5000000000000003E-2</v>
      </c>
      <c r="I2628" s="15">
        <v>4.1599999999999998E-2</v>
      </c>
      <c r="J2628" s="15">
        <v>-0.84134615384615397</v>
      </c>
    </row>
    <row r="2629" spans="1:10" x14ac:dyDescent="0.25">
      <c r="A2629" s="2" t="s">
        <v>7403</v>
      </c>
      <c r="B2629" s="2" t="s">
        <v>7007</v>
      </c>
      <c r="C2629" s="2" t="s">
        <v>7404</v>
      </c>
      <c r="D2629" s="2" t="s">
        <v>10055</v>
      </c>
      <c r="E2629" s="15">
        <v>-0.1484</v>
      </c>
      <c r="F2629" s="15">
        <v>9.7000000000000003E-2</v>
      </c>
      <c r="G2629" s="15">
        <v>0.126</v>
      </c>
      <c r="H2629" s="15">
        <v>0.13400000000000001</v>
      </c>
      <c r="I2629" s="15">
        <v>4.5600000000000002E-2</v>
      </c>
      <c r="J2629" s="15">
        <v>2.9385964912280702</v>
      </c>
    </row>
    <row r="2630" spans="1:10" x14ac:dyDescent="0.25">
      <c r="A2630" s="2" t="s">
        <v>7405</v>
      </c>
      <c r="B2630" s="2" t="s">
        <v>7007</v>
      </c>
      <c r="C2630" s="2" t="s">
        <v>7406</v>
      </c>
      <c r="D2630" s="2" t="s">
        <v>10055</v>
      </c>
      <c r="E2630" s="15">
        <v>-0.18790000000000001</v>
      </c>
      <c r="F2630" s="15">
        <v>0.1386</v>
      </c>
      <c r="G2630" s="15">
        <v>0.1754</v>
      </c>
      <c r="H2630" s="15">
        <v>7.51E-2</v>
      </c>
      <c r="I2630" s="15">
        <v>4.4900000000000002E-2</v>
      </c>
      <c r="J2630" s="15">
        <v>1.67260579064588</v>
      </c>
    </row>
    <row r="2631" spans="1:10" x14ac:dyDescent="0.25">
      <c r="A2631" s="2" t="s">
        <v>7407</v>
      </c>
      <c r="B2631" s="2" t="s">
        <v>7007</v>
      </c>
      <c r="C2631" s="2" t="s">
        <v>7408</v>
      </c>
      <c r="D2631" s="2" t="s">
        <v>10055</v>
      </c>
      <c r="E2631" s="15">
        <v>-1.5900000000000001E-2</v>
      </c>
      <c r="F2631" s="15">
        <v>8.6599999999999996E-2</v>
      </c>
      <c r="G2631" s="15">
        <v>0.85419999999999996</v>
      </c>
      <c r="H2631" s="15">
        <v>0.1487</v>
      </c>
      <c r="I2631" s="15">
        <v>4.48E-2</v>
      </c>
      <c r="J2631" s="15">
        <v>3.3191964285714279</v>
      </c>
    </row>
    <row r="2632" spans="1:10" x14ac:dyDescent="0.25">
      <c r="A2632" s="2" t="s">
        <v>7409</v>
      </c>
      <c r="B2632" s="2" t="s">
        <v>7007</v>
      </c>
      <c r="C2632" s="2" t="s">
        <v>7410</v>
      </c>
      <c r="D2632" s="2" t="s">
        <v>10055</v>
      </c>
      <c r="E2632" s="15">
        <v>4.7600000000000003E-2</v>
      </c>
      <c r="F2632" s="15">
        <v>0.1113</v>
      </c>
      <c r="G2632" s="15">
        <v>0.66890000000000005</v>
      </c>
      <c r="H2632" s="15">
        <v>8.8800000000000004E-2</v>
      </c>
      <c r="I2632" s="15">
        <v>4.2500000000000003E-2</v>
      </c>
      <c r="J2632" s="15">
        <v>2.0894117647058819</v>
      </c>
    </row>
    <row r="2633" spans="1:10" x14ac:dyDescent="0.25">
      <c r="A2633" s="2" t="s">
        <v>7411</v>
      </c>
      <c r="B2633" s="2" t="s">
        <v>7007</v>
      </c>
      <c r="C2633" s="2" t="s">
        <v>7412</v>
      </c>
      <c r="D2633" s="2" t="s">
        <v>10055</v>
      </c>
      <c r="E2633" s="15">
        <v>-4.2799999999999998E-2</v>
      </c>
      <c r="F2633" s="15">
        <v>0.13919999999999999</v>
      </c>
      <c r="G2633" s="15">
        <v>0.75870000000000004</v>
      </c>
      <c r="H2633" s="15">
        <v>6.5100000000000005E-2</v>
      </c>
      <c r="I2633" s="15">
        <v>3.9199999999999999E-2</v>
      </c>
      <c r="J2633" s="15">
        <v>1.660714285714286</v>
      </c>
    </row>
    <row r="2634" spans="1:10" x14ac:dyDescent="0.25">
      <c r="A2634" s="2" t="s">
        <v>7413</v>
      </c>
      <c r="B2634" s="2" t="s">
        <v>7007</v>
      </c>
      <c r="C2634" s="2" t="s">
        <v>7414</v>
      </c>
      <c r="D2634" s="2" t="s">
        <v>10055</v>
      </c>
      <c r="E2634" s="15">
        <v>-9.9199999999999997E-2</v>
      </c>
      <c r="F2634" s="15">
        <v>0.20810000000000001</v>
      </c>
      <c r="G2634" s="15">
        <v>0.63370000000000004</v>
      </c>
      <c r="H2634" s="15">
        <v>3.9600000000000003E-2</v>
      </c>
      <c r="I2634" s="15">
        <v>4.4699999999999997E-2</v>
      </c>
      <c r="J2634" s="15">
        <v>0.88590604026845654</v>
      </c>
    </row>
    <row r="2635" spans="1:10" x14ac:dyDescent="0.25">
      <c r="A2635" s="2" t="s">
        <v>7415</v>
      </c>
      <c r="B2635" s="2" t="s">
        <v>7007</v>
      </c>
      <c r="C2635" s="2" t="s">
        <v>7416</v>
      </c>
      <c r="D2635" s="2" t="s">
        <v>10055</v>
      </c>
      <c r="E2635" s="15">
        <v>9.2600000000000002E-2</v>
      </c>
      <c r="F2635" s="15">
        <v>0.10730000000000001</v>
      </c>
      <c r="G2635" s="15">
        <v>0.38829999999999998</v>
      </c>
      <c r="H2635" s="15">
        <v>0.1173</v>
      </c>
      <c r="I2635" s="15">
        <v>4.6399999999999997E-2</v>
      </c>
      <c r="J2635" s="15">
        <v>2.5280172413793101</v>
      </c>
    </row>
    <row r="2636" spans="1:10" x14ac:dyDescent="0.25">
      <c r="A2636" s="2" t="s">
        <v>7417</v>
      </c>
      <c r="B2636" s="2" t="s">
        <v>7007</v>
      </c>
      <c r="C2636" s="2" t="s">
        <v>7418</v>
      </c>
      <c r="D2636" s="2" t="s">
        <v>10055</v>
      </c>
      <c r="E2636" s="15">
        <v>-5.7999999999999996E-3</v>
      </c>
      <c r="F2636" s="15">
        <v>0.2172</v>
      </c>
      <c r="G2636" s="15">
        <v>0.97850000000000004</v>
      </c>
      <c r="H2636" s="15">
        <v>0.03</v>
      </c>
      <c r="I2636" s="15">
        <v>3.8600000000000002E-2</v>
      </c>
      <c r="J2636" s="15">
        <v>0.77720207253885998</v>
      </c>
    </row>
    <row r="2637" spans="1:10" x14ac:dyDescent="0.25">
      <c r="A2637" s="2" t="s">
        <v>7419</v>
      </c>
      <c r="B2637" s="2" t="s">
        <v>7007</v>
      </c>
      <c r="C2637" s="2" t="s">
        <v>7420</v>
      </c>
      <c r="D2637" s="2" t="s">
        <v>10055</v>
      </c>
      <c r="E2637" s="15">
        <v>1.95E-2</v>
      </c>
      <c r="F2637" s="15">
        <v>0.12759999999999999</v>
      </c>
      <c r="G2637" s="15">
        <v>0.87870000000000004</v>
      </c>
      <c r="H2637" s="15">
        <v>6.9900000000000004E-2</v>
      </c>
      <c r="I2637" s="15">
        <v>4.0599999999999997E-2</v>
      </c>
      <c r="J2637" s="15">
        <v>1.7216748768472909</v>
      </c>
    </row>
    <row r="2638" spans="1:10" x14ac:dyDescent="0.25">
      <c r="A2638" s="2" t="s">
        <v>7421</v>
      </c>
      <c r="B2638" s="2" t="s">
        <v>7007</v>
      </c>
      <c r="C2638" s="2" t="s">
        <v>7422</v>
      </c>
      <c r="D2638" s="2" t="s">
        <v>10055</v>
      </c>
      <c r="E2638" s="15">
        <v>0.3105</v>
      </c>
      <c r="F2638" s="15">
        <v>0.3155</v>
      </c>
      <c r="G2638" s="15">
        <v>0.32500000000000001</v>
      </c>
      <c r="H2638" s="15">
        <v>2.5999999999999999E-2</v>
      </c>
      <c r="I2638" s="15">
        <v>3.9100000000000003E-2</v>
      </c>
      <c r="J2638" s="15">
        <v>0.6649616368286444</v>
      </c>
    </row>
    <row r="2639" spans="1:10" x14ac:dyDescent="0.25">
      <c r="A2639" s="2" t="s">
        <v>7423</v>
      </c>
      <c r="B2639" s="2" t="s">
        <v>7007</v>
      </c>
      <c r="C2639" s="2" t="s">
        <v>7424</v>
      </c>
      <c r="D2639" s="2" t="s">
        <v>10055</v>
      </c>
      <c r="E2639" s="15">
        <v>-0.16259999999999999</v>
      </c>
      <c r="F2639" s="15">
        <v>0.31019999999999998</v>
      </c>
      <c r="G2639" s="15">
        <v>0.60009999999999997</v>
      </c>
      <c r="H2639" s="15">
        <v>2.18E-2</v>
      </c>
      <c r="I2639" s="15">
        <v>3.9399999999999998E-2</v>
      </c>
      <c r="J2639" s="15">
        <v>0.5532994923857868</v>
      </c>
    </row>
    <row r="2640" spans="1:10" x14ac:dyDescent="0.25">
      <c r="A2640" s="2" t="s">
        <v>7425</v>
      </c>
      <c r="B2640" s="2" t="s">
        <v>7007</v>
      </c>
      <c r="C2640" s="2" t="s">
        <v>7426</v>
      </c>
      <c r="D2640" s="2" t="s">
        <v>10055</v>
      </c>
      <c r="E2640" s="15"/>
      <c r="F2640" s="15"/>
      <c r="G2640" s="15"/>
      <c r="H2640" s="15"/>
      <c r="I2640" s="15"/>
      <c r="J2640" s="15"/>
    </row>
    <row r="2641" spans="1:10" x14ac:dyDescent="0.25">
      <c r="A2641" s="2" t="s">
        <v>7427</v>
      </c>
      <c r="B2641" s="2" t="s">
        <v>7007</v>
      </c>
      <c r="C2641" s="2" t="s">
        <v>7428</v>
      </c>
      <c r="D2641" s="2" t="s">
        <v>10055</v>
      </c>
      <c r="E2641" s="15"/>
      <c r="F2641" s="15"/>
      <c r="G2641" s="15"/>
      <c r="H2641" s="15">
        <v>-0.10580000000000001</v>
      </c>
      <c r="I2641" s="15">
        <v>3.7499999999999999E-2</v>
      </c>
      <c r="J2641" s="15">
        <v>-2.821333333333333</v>
      </c>
    </row>
    <row r="2642" spans="1:10" x14ac:dyDescent="0.25">
      <c r="A2642" s="2" t="s">
        <v>7429</v>
      </c>
      <c r="B2642" s="2" t="s">
        <v>7007</v>
      </c>
      <c r="C2642" s="2" t="s">
        <v>7430</v>
      </c>
      <c r="D2642" s="2" t="s">
        <v>10055</v>
      </c>
      <c r="E2642" s="15"/>
      <c r="F2642" s="15"/>
      <c r="G2642" s="15"/>
      <c r="H2642" s="15">
        <v>-2.64E-2</v>
      </c>
      <c r="I2642" s="15">
        <v>4.2299999999999997E-2</v>
      </c>
      <c r="J2642" s="15">
        <v>-0.62411347517730498</v>
      </c>
    </row>
    <row r="2643" spans="1:10" x14ac:dyDescent="0.25">
      <c r="A2643" s="2" t="s">
        <v>7431</v>
      </c>
      <c r="B2643" s="2" t="s">
        <v>7007</v>
      </c>
      <c r="C2643" s="2" t="s">
        <v>7432</v>
      </c>
      <c r="D2643" s="2" t="s">
        <v>10055</v>
      </c>
      <c r="E2643" s="15"/>
      <c r="F2643" s="15"/>
      <c r="G2643" s="15"/>
      <c r="H2643" s="15"/>
      <c r="I2643" s="15"/>
      <c r="J2643" s="15"/>
    </row>
    <row r="2644" spans="1:10" x14ac:dyDescent="0.25">
      <c r="A2644" s="2" t="s">
        <v>7433</v>
      </c>
      <c r="B2644" s="2" t="s">
        <v>7007</v>
      </c>
      <c r="C2644" s="2" t="s">
        <v>7434</v>
      </c>
      <c r="D2644" s="2" t="s">
        <v>10055</v>
      </c>
      <c r="E2644" s="15">
        <v>-0.1681</v>
      </c>
      <c r="F2644" s="15">
        <v>0.18529999999999999</v>
      </c>
      <c r="G2644" s="15">
        <v>0.36430000000000001</v>
      </c>
      <c r="H2644" s="15">
        <v>5.3999999999999999E-2</v>
      </c>
      <c r="I2644" s="15">
        <v>4.7399999999999998E-2</v>
      </c>
      <c r="J2644" s="15">
        <v>1.139240506329114</v>
      </c>
    </row>
    <row r="2645" spans="1:10" x14ac:dyDescent="0.25">
      <c r="A2645" s="2" t="s">
        <v>7435</v>
      </c>
      <c r="B2645" s="2" t="s">
        <v>7007</v>
      </c>
      <c r="C2645" s="2" t="s">
        <v>7436</v>
      </c>
      <c r="D2645" s="2" t="s">
        <v>10055</v>
      </c>
      <c r="E2645" s="15"/>
      <c r="F2645" s="15"/>
      <c r="G2645" s="15"/>
      <c r="H2645" s="15">
        <v>-3.7000000000000002E-3</v>
      </c>
      <c r="I2645" s="15">
        <v>5.0099999999999999E-2</v>
      </c>
      <c r="J2645" s="15">
        <v>-7.3852295409181645E-2</v>
      </c>
    </row>
    <row r="2646" spans="1:10" x14ac:dyDescent="0.25">
      <c r="A2646" s="2" t="s">
        <v>7437</v>
      </c>
      <c r="B2646" s="2" t="s">
        <v>7007</v>
      </c>
      <c r="C2646" s="2" t="s">
        <v>7438</v>
      </c>
      <c r="D2646" s="2" t="s">
        <v>10055</v>
      </c>
      <c r="E2646" s="15"/>
      <c r="F2646" s="15"/>
      <c r="G2646" s="15"/>
      <c r="H2646" s="15">
        <v>-1.9800000000000002E-2</v>
      </c>
      <c r="I2646" s="15">
        <v>3.7699999999999997E-2</v>
      </c>
      <c r="J2646" s="15">
        <v>-0.52519893899204251</v>
      </c>
    </row>
    <row r="2647" spans="1:10" x14ac:dyDescent="0.25">
      <c r="A2647" s="2" t="s">
        <v>7439</v>
      </c>
      <c r="B2647" s="2" t="s">
        <v>7007</v>
      </c>
      <c r="C2647" s="2" t="s">
        <v>7440</v>
      </c>
      <c r="D2647" s="2" t="s">
        <v>10055</v>
      </c>
      <c r="E2647" s="15">
        <v>7.1999999999999995E-2</v>
      </c>
      <c r="F2647" s="15">
        <v>0.17050000000000001</v>
      </c>
      <c r="G2647" s="15">
        <v>0.67290000000000005</v>
      </c>
      <c r="H2647" s="15">
        <v>5.0200000000000002E-2</v>
      </c>
      <c r="I2647" s="15">
        <v>4.1599999999999998E-2</v>
      </c>
      <c r="J2647" s="15">
        <v>1.2067307692307689</v>
      </c>
    </row>
    <row r="2648" spans="1:10" x14ac:dyDescent="0.25">
      <c r="A2648" s="2" t="s">
        <v>7441</v>
      </c>
      <c r="B2648" s="2" t="s">
        <v>7007</v>
      </c>
      <c r="C2648" s="2" t="s">
        <v>7442</v>
      </c>
      <c r="D2648" s="2" t="s">
        <v>10055</v>
      </c>
      <c r="E2648" s="15"/>
      <c r="F2648" s="15"/>
      <c r="G2648" s="15"/>
      <c r="H2648" s="15"/>
      <c r="I2648" s="15"/>
      <c r="J2648" s="15"/>
    </row>
    <row r="2649" spans="1:10" x14ac:dyDescent="0.25">
      <c r="A2649" s="2" t="s">
        <v>7443</v>
      </c>
      <c r="B2649" s="2" t="s">
        <v>7007</v>
      </c>
      <c r="C2649" s="2" t="s">
        <v>7444</v>
      </c>
      <c r="D2649" s="2" t="s">
        <v>10055</v>
      </c>
      <c r="E2649" s="15">
        <v>-2.1100000000000001E-2</v>
      </c>
      <c r="F2649" s="15">
        <v>0.1074</v>
      </c>
      <c r="G2649" s="15">
        <v>0.84389999999999998</v>
      </c>
      <c r="H2649" s="15">
        <v>0.1361</v>
      </c>
      <c r="I2649" s="15">
        <v>5.5100000000000003E-2</v>
      </c>
      <c r="J2649" s="15">
        <v>2.4700544464609799</v>
      </c>
    </row>
    <row r="2650" spans="1:10" x14ac:dyDescent="0.25">
      <c r="A2650" s="2" t="s">
        <v>7445</v>
      </c>
      <c r="B2650" s="2" t="s">
        <v>7007</v>
      </c>
      <c r="C2650" s="2" t="s">
        <v>7446</v>
      </c>
      <c r="D2650" s="2" t="s">
        <v>10055</v>
      </c>
      <c r="E2650" s="15">
        <v>-1.37E-2</v>
      </c>
      <c r="F2650" s="15">
        <v>0.14449999999999999</v>
      </c>
      <c r="G2650" s="15">
        <v>0.92449999999999999</v>
      </c>
      <c r="H2650" s="15">
        <v>5.9200000000000003E-2</v>
      </c>
      <c r="I2650" s="15">
        <v>4.4900000000000002E-2</v>
      </c>
      <c r="J2650" s="15">
        <v>1.318485523385301</v>
      </c>
    </row>
    <row r="2651" spans="1:10" x14ac:dyDescent="0.25">
      <c r="A2651" s="2" t="s">
        <v>7447</v>
      </c>
      <c r="B2651" s="2" t="s">
        <v>7007</v>
      </c>
      <c r="C2651" s="2" t="s">
        <v>7448</v>
      </c>
      <c r="D2651" s="2" t="s">
        <v>10055</v>
      </c>
      <c r="E2651" s="15">
        <v>0.19470000000000001</v>
      </c>
      <c r="F2651" s="15">
        <v>0.18509999999999999</v>
      </c>
      <c r="G2651" s="15">
        <v>0.29289999999999999</v>
      </c>
      <c r="H2651" s="15">
        <v>4.7800000000000002E-2</v>
      </c>
      <c r="I2651" s="15">
        <v>4.5199999999999997E-2</v>
      </c>
      <c r="J2651" s="15">
        <v>1.057522123893806</v>
      </c>
    </row>
    <row r="2652" spans="1:10" x14ac:dyDescent="0.25">
      <c r="A2652" s="2" t="s">
        <v>7449</v>
      </c>
      <c r="B2652" s="2" t="s">
        <v>7007</v>
      </c>
      <c r="C2652" s="2" t="s">
        <v>7450</v>
      </c>
      <c r="D2652" s="2" t="s">
        <v>10055</v>
      </c>
      <c r="E2652" s="15"/>
      <c r="F2652" s="15"/>
      <c r="G2652" s="15"/>
      <c r="H2652" s="15">
        <v>-2.2499999999999999E-2</v>
      </c>
      <c r="I2652" s="15">
        <v>4.2799999999999998E-2</v>
      </c>
      <c r="J2652" s="15">
        <v>-0.52570093457943923</v>
      </c>
    </row>
    <row r="2653" spans="1:10" x14ac:dyDescent="0.25">
      <c r="A2653" s="2" t="s">
        <v>7451</v>
      </c>
      <c r="B2653" s="2" t="s">
        <v>7007</v>
      </c>
      <c r="C2653" s="2" t="s">
        <v>7452</v>
      </c>
      <c r="D2653" s="2" t="s">
        <v>10055</v>
      </c>
      <c r="E2653" s="15">
        <v>0.1179</v>
      </c>
      <c r="F2653" s="15">
        <v>0.33179999999999998</v>
      </c>
      <c r="G2653" s="15">
        <v>0.72230000000000005</v>
      </c>
      <c r="H2653" s="15">
        <v>1.5699999999999999E-2</v>
      </c>
      <c r="I2653" s="15">
        <v>4.1099999999999998E-2</v>
      </c>
      <c r="J2653" s="15">
        <v>0.38199513381995132</v>
      </c>
    </row>
    <row r="2654" spans="1:10" x14ac:dyDescent="0.25">
      <c r="A2654" s="2" t="s">
        <v>7453</v>
      </c>
      <c r="B2654" s="2" t="s">
        <v>7007</v>
      </c>
      <c r="C2654" s="2" t="s">
        <v>7454</v>
      </c>
      <c r="D2654" s="2" t="s">
        <v>10055</v>
      </c>
      <c r="E2654" s="15"/>
      <c r="F2654" s="15"/>
      <c r="G2654" s="15"/>
      <c r="H2654" s="15">
        <v>-1.61E-2</v>
      </c>
      <c r="I2654" s="15">
        <v>3.8100000000000002E-2</v>
      </c>
      <c r="J2654" s="15">
        <v>-0.42257217847769019</v>
      </c>
    </row>
    <row r="2655" spans="1:10" x14ac:dyDescent="0.25">
      <c r="A2655" s="2" t="s">
        <v>7455</v>
      </c>
      <c r="B2655" s="2" t="s">
        <v>7007</v>
      </c>
      <c r="C2655" s="2" t="s">
        <v>7456</v>
      </c>
      <c r="D2655" s="2" t="s">
        <v>10055</v>
      </c>
      <c r="E2655" s="15">
        <v>-0.1079</v>
      </c>
      <c r="F2655" s="15">
        <v>0.20599999999999999</v>
      </c>
      <c r="G2655" s="15">
        <v>0.60050000000000003</v>
      </c>
      <c r="H2655" s="15">
        <v>3.5499999999999997E-2</v>
      </c>
      <c r="I2655" s="15">
        <v>4.0800000000000003E-2</v>
      </c>
      <c r="J2655" s="15">
        <v>0.87009803921568618</v>
      </c>
    </row>
    <row r="2656" spans="1:10" x14ac:dyDescent="0.25">
      <c r="A2656" s="2" t="s">
        <v>7457</v>
      </c>
      <c r="B2656" s="2" t="s">
        <v>7007</v>
      </c>
      <c r="C2656" s="2" t="s">
        <v>7458</v>
      </c>
      <c r="D2656" s="2" t="s">
        <v>10055</v>
      </c>
      <c r="E2656" s="15"/>
      <c r="F2656" s="15"/>
      <c r="G2656" s="15"/>
      <c r="H2656" s="15">
        <v>-4.4499999999999998E-2</v>
      </c>
      <c r="I2656" s="15">
        <v>3.9199999999999999E-2</v>
      </c>
      <c r="J2656" s="15">
        <v>-1.135204081632653</v>
      </c>
    </row>
    <row r="2657" spans="1:10" x14ac:dyDescent="0.25">
      <c r="A2657" s="2" t="s">
        <v>7459</v>
      </c>
      <c r="B2657" s="2" t="s">
        <v>7007</v>
      </c>
      <c r="C2657" s="2" t="s">
        <v>7460</v>
      </c>
      <c r="D2657" s="2" t="s">
        <v>10055</v>
      </c>
      <c r="E2657" s="15">
        <v>-9.2100000000000001E-2</v>
      </c>
      <c r="F2657" s="15">
        <v>0.1116</v>
      </c>
      <c r="G2657" s="15">
        <v>0.40939999999999999</v>
      </c>
      <c r="H2657" s="15">
        <v>9.3399999999999997E-2</v>
      </c>
      <c r="I2657" s="15">
        <v>3.8199999999999998E-2</v>
      </c>
      <c r="J2657" s="15">
        <v>2.4450261780104712</v>
      </c>
    </row>
    <row r="2658" spans="1:10" x14ac:dyDescent="0.25">
      <c r="A2658" s="2" t="s">
        <v>7461</v>
      </c>
      <c r="B2658" s="2" t="s">
        <v>7007</v>
      </c>
      <c r="C2658" s="2" t="s">
        <v>7462</v>
      </c>
      <c r="D2658" s="2" t="s">
        <v>10055</v>
      </c>
      <c r="E2658" s="15"/>
      <c r="F2658" s="15"/>
      <c r="G2658" s="15"/>
      <c r="H2658" s="15"/>
      <c r="I2658" s="15"/>
      <c r="J2658" s="15"/>
    </row>
    <row r="2659" spans="1:10" x14ac:dyDescent="0.25">
      <c r="A2659" s="2" t="s">
        <v>7463</v>
      </c>
      <c r="B2659" s="2" t="s">
        <v>7007</v>
      </c>
      <c r="C2659" s="2" t="s">
        <v>7464</v>
      </c>
      <c r="D2659" s="2" t="s">
        <v>10055</v>
      </c>
      <c r="E2659" s="15">
        <v>7.7600000000000002E-2</v>
      </c>
      <c r="F2659" s="15">
        <v>0.2087</v>
      </c>
      <c r="G2659" s="15">
        <v>0.71</v>
      </c>
      <c r="H2659" s="15">
        <v>3.2099999999999997E-2</v>
      </c>
      <c r="I2659" s="15">
        <v>4.0099999999999997E-2</v>
      </c>
      <c r="J2659" s="15">
        <v>0.80049875311720697</v>
      </c>
    </row>
    <row r="2660" spans="1:10" x14ac:dyDescent="0.25">
      <c r="A2660" s="2" t="s">
        <v>7465</v>
      </c>
      <c r="B2660" s="2" t="s">
        <v>7007</v>
      </c>
      <c r="C2660" s="2" t="s">
        <v>7466</v>
      </c>
      <c r="D2660" s="2" t="s">
        <v>10055</v>
      </c>
      <c r="E2660" s="15">
        <v>-0.1835</v>
      </c>
      <c r="F2660" s="15">
        <v>0.21590000000000001</v>
      </c>
      <c r="G2660" s="15">
        <v>0.39510000000000001</v>
      </c>
      <c r="H2660" s="15">
        <v>3.8899999999999997E-2</v>
      </c>
      <c r="I2660" s="15">
        <v>4.3700000000000003E-2</v>
      </c>
      <c r="J2660" s="15">
        <v>0.89016018306636147</v>
      </c>
    </row>
    <row r="2661" spans="1:10" x14ac:dyDescent="0.25">
      <c r="A2661" s="2" t="s">
        <v>7467</v>
      </c>
      <c r="B2661" s="2" t="s">
        <v>7007</v>
      </c>
      <c r="C2661" s="2" t="s">
        <v>7468</v>
      </c>
      <c r="D2661" s="2" t="s">
        <v>10055</v>
      </c>
      <c r="E2661" s="15">
        <v>-0.1138</v>
      </c>
      <c r="F2661" s="15">
        <v>0.1348</v>
      </c>
      <c r="G2661" s="15">
        <v>0.3987</v>
      </c>
      <c r="H2661" s="15">
        <v>7.3099999999999998E-2</v>
      </c>
      <c r="I2661" s="15">
        <v>3.8800000000000001E-2</v>
      </c>
      <c r="J2661" s="15">
        <v>1.884020618556701</v>
      </c>
    </row>
    <row r="2662" spans="1:10" x14ac:dyDescent="0.25">
      <c r="A2662" s="2" t="s">
        <v>7469</v>
      </c>
      <c r="B2662" s="2" t="s">
        <v>7007</v>
      </c>
      <c r="C2662" s="2" t="s">
        <v>7470</v>
      </c>
      <c r="D2662" s="2" t="s">
        <v>10055</v>
      </c>
      <c r="E2662" s="15"/>
      <c r="F2662" s="15"/>
      <c r="G2662" s="15"/>
      <c r="H2662" s="15">
        <v>-1.6400000000000001E-2</v>
      </c>
      <c r="I2662" s="15">
        <v>4.2299999999999997E-2</v>
      </c>
      <c r="J2662" s="15">
        <v>-0.38770685579196218</v>
      </c>
    </row>
    <row r="2663" spans="1:10" x14ac:dyDescent="0.25">
      <c r="A2663" s="2" t="s">
        <v>7471</v>
      </c>
      <c r="B2663" s="2" t="s">
        <v>7007</v>
      </c>
      <c r="C2663" s="2" t="s">
        <v>7472</v>
      </c>
      <c r="D2663" s="2" t="s">
        <v>10055</v>
      </c>
      <c r="E2663" s="15">
        <v>-0.2863</v>
      </c>
      <c r="F2663" s="15">
        <v>0.22989999999999999</v>
      </c>
      <c r="G2663" s="15">
        <v>0.21299999999999999</v>
      </c>
      <c r="H2663" s="15">
        <v>4.87E-2</v>
      </c>
      <c r="I2663" s="15">
        <v>4.41E-2</v>
      </c>
      <c r="J2663" s="15">
        <v>1.104308390022676</v>
      </c>
    </row>
    <row r="2664" spans="1:10" x14ac:dyDescent="0.25">
      <c r="A2664" s="2" t="s">
        <v>7473</v>
      </c>
      <c r="B2664" s="2" t="s">
        <v>7007</v>
      </c>
      <c r="C2664" s="2" t="s">
        <v>7474</v>
      </c>
      <c r="D2664" s="2" t="s">
        <v>10055</v>
      </c>
      <c r="E2664" s="15"/>
      <c r="F2664" s="15"/>
      <c r="G2664" s="15"/>
      <c r="H2664" s="15">
        <v>-2.5999999999999999E-3</v>
      </c>
      <c r="I2664" s="15">
        <v>4.0899999999999999E-2</v>
      </c>
      <c r="J2664" s="15">
        <v>-6.3569682151589244E-2</v>
      </c>
    </row>
    <row r="2665" spans="1:10" x14ac:dyDescent="0.25">
      <c r="A2665" s="2" t="s">
        <v>7475</v>
      </c>
      <c r="B2665" s="2" t="s">
        <v>7007</v>
      </c>
      <c r="C2665" s="2" t="s">
        <v>7476</v>
      </c>
      <c r="D2665" s="2" t="s">
        <v>10055</v>
      </c>
      <c r="E2665" s="15"/>
      <c r="F2665" s="15"/>
      <c r="G2665" s="15"/>
      <c r="H2665" s="15">
        <v>-1.04E-2</v>
      </c>
      <c r="I2665" s="15">
        <v>4.0099999999999997E-2</v>
      </c>
      <c r="J2665" s="15">
        <v>-0.25935162094763092</v>
      </c>
    </row>
    <row r="2666" spans="1:10" x14ac:dyDescent="0.25">
      <c r="A2666" s="2" t="s">
        <v>7477</v>
      </c>
      <c r="B2666" s="2" t="s">
        <v>7007</v>
      </c>
      <c r="C2666" s="2" t="s">
        <v>7478</v>
      </c>
      <c r="D2666" s="2" t="s">
        <v>10055</v>
      </c>
      <c r="E2666" s="15"/>
      <c r="F2666" s="15"/>
      <c r="G2666" s="15"/>
      <c r="H2666" s="15"/>
      <c r="I2666" s="15"/>
      <c r="J2666" s="15"/>
    </row>
    <row r="2667" spans="1:10" x14ac:dyDescent="0.25">
      <c r="A2667" s="2" t="s">
        <v>7479</v>
      </c>
      <c r="B2667" s="2" t="s">
        <v>7007</v>
      </c>
      <c r="C2667" s="2" t="s">
        <v>7480</v>
      </c>
      <c r="D2667" s="2" t="s">
        <v>10055</v>
      </c>
      <c r="E2667" s="15">
        <v>-0.31669999999999998</v>
      </c>
      <c r="F2667" s="15">
        <v>0.1946</v>
      </c>
      <c r="G2667" s="15">
        <v>0.1036</v>
      </c>
      <c r="H2667" s="15">
        <v>5.7500000000000002E-2</v>
      </c>
      <c r="I2667" s="15">
        <v>4.3799999999999999E-2</v>
      </c>
      <c r="J2667" s="15">
        <v>1.3127853881278539</v>
      </c>
    </row>
    <row r="2668" spans="1:10" x14ac:dyDescent="0.25">
      <c r="A2668" s="2" t="s">
        <v>7481</v>
      </c>
      <c r="B2668" s="2" t="s">
        <v>7007</v>
      </c>
      <c r="C2668" s="2" t="s">
        <v>7482</v>
      </c>
      <c r="D2668" s="2" t="s">
        <v>10055</v>
      </c>
      <c r="E2668" s="15">
        <v>-1.7399999999999999E-2</v>
      </c>
      <c r="F2668" s="15">
        <v>0.1356</v>
      </c>
      <c r="G2668" s="15">
        <v>0.89790000000000003</v>
      </c>
      <c r="H2668" s="15">
        <v>6.8900000000000003E-2</v>
      </c>
      <c r="I2668" s="15">
        <v>4.7199999999999999E-2</v>
      </c>
      <c r="J2668" s="15">
        <v>1.459745762711864</v>
      </c>
    </row>
    <row r="2669" spans="1:10" x14ac:dyDescent="0.25">
      <c r="A2669" s="2" t="s">
        <v>7483</v>
      </c>
      <c r="B2669" s="2" t="s">
        <v>7007</v>
      </c>
      <c r="C2669" s="2" t="s">
        <v>7484</v>
      </c>
      <c r="D2669" s="2" t="s">
        <v>10055</v>
      </c>
      <c r="E2669" s="15">
        <v>-1.11E-2</v>
      </c>
      <c r="F2669" s="15">
        <v>0.1172</v>
      </c>
      <c r="G2669" s="15">
        <v>0.92449999999999999</v>
      </c>
      <c r="H2669" s="15">
        <v>9.3600000000000003E-2</v>
      </c>
      <c r="I2669" s="15">
        <v>4.0099999999999997E-2</v>
      </c>
      <c r="J2669" s="15">
        <v>2.334164588528679</v>
      </c>
    </row>
    <row r="2670" spans="1:10" x14ac:dyDescent="0.25">
      <c r="A2670" s="2" t="s">
        <v>7485</v>
      </c>
      <c r="B2670" s="2" t="s">
        <v>7007</v>
      </c>
      <c r="C2670" s="2" t="s">
        <v>7486</v>
      </c>
      <c r="D2670" s="2" t="s">
        <v>10055</v>
      </c>
      <c r="E2670" s="15">
        <v>0.2026</v>
      </c>
      <c r="F2670" s="15">
        <v>0.21410000000000001</v>
      </c>
      <c r="G2670" s="15">
        <v>0.34399999999999997</v>
      </c>
      <c r="H2670" s="15">
        <v>3.95E-2</v>
      </c>
      <c r="I2670" s="15">
        <v>3.78E-2</v>
      </c>
      <c r="J2670" s="15">
        <v>1.0449735449735451</v>
      </c>
    </row>
    <row r="2671" spans="1:10" x14ac:dyDescent="0.25">
      <c r="A2671" s="2" t="s">
        <v>7487</v>
      </c>
      <c r="B2671" s="2" t="s">
        <v>7007</v>
      </c>
      <c r="C2671" s="2" t="s">
        <v>7488</v>
      </c>
      <c r="D2671" s="2" t="s">
        <v>10055</v>
      </c>
      <c r="E2671" s="15">
        <v>-0.67290000000000005</v>
      </c>
      <c r="F2671" s="15">
        <v>2.4112</v>
      </c>
      <c r="G2671" s="15">
        <v>0.7802</v>
      </c>
      <c r="H2671" s="15">
        <v>9.4000000000000004E-3</v>
      </c>
      <c r="I2671" s="15">
        <v>3.9699999999999999E-2</v>
      </c>
      <c r="J2671" s="15">
        <v>0.23677581863979849</v>
      </c>
    </row>
    <row r="2672" spans="1:10" x14ac:dyDescent="0.25">
      <c r="A2672" s="2" t="s">
        <v>7489</v>
      </c>
      <c r="B2672" s="2" t="s">
        <v>7007</v>
      </c>
      <c r="C2672" s="2" t="s">
        <v>7490</v>
      </c>
      <c r="D2672" s="2" t="s">
        <v>10055</v>
      </c>
      <c r="E2672" s="15">
        <v>-3.5099999999999999E-2</v>
      </c>
      <c r="F2672" s="15">
        <v>0.31590000000000001</v>
      </c>
      <c r="G2672" s="15">
        <v>0.91159999999999997</v>
      </c>
      <c r="H2672" s="15">
        <v>1.7600000000000001E-2</v>
      </c>
      <c r="I2672" s="15">
        <v>4.2799999999999998E-2</v>
      </c>
      <c r="J2672" s="15">
        <v>0.41121495327102808</v>
      </c>
    </row>
    <row r="2673" spans="1:10" x14ac:dyDescent="0.25">
      <c r="A2673" s="2" t="s">
        <v>7491</v>
      </c>
      <c r="B2673" s="2" t="s">
        <v>7007</v>
      </c>
      <c r="C2673" s="2" t="s">
        <v>7492</v>
      </c>
      <c r="D2673" s="2" t="s">
        <v>10055</v>
      </c>
      <c r="E2673" s="15">
        <v>0.1641</v>
      </c>
      <c r="F2673" s="15">
        <v>0.18099999999999999</v>
      </c>
      <c r="G2673" s="15">
        <v>0.36449999999999999</v>
      </c>
      <c r="H2673" s="15">
        <v>4.36E-2</v>
      </c>
      <c r="I2673" s="15">
        <v>0.04</v>
      </c>
      <c r="J2673" s="15">
        <v>1.0900000000000001</v>
      </c>
    </row>
    <row r="2674" spans="1:10" x14ac:dyDescent="0.25">
      <c r="A2674" s="2" t="s">
        <v>7493</v>
      </c>
      <c r="B2674" s="2" t="s">
        <v>7007</v>
      </c>
      <c r="C2674" s="2" t="s">
        <v>7494</v>
      </c>
      <c r="D2674" s="2" t="s">
        <v>10055</v>
      </c>
      <c r="E2674" s="15">
        <v>0.1326</v>
      </c>
      <c r="F2674" s="15">
        <v>0.14130000000000001</v>
      </c>
      <c r="G2674" s="15">
        <v>0.34789999999999999</v>
      </c>
      <c r="H2674" s="15">
        <v>7.0599999999999996E-2</v>
      </c>
      <c r="I2674" s="15">
        <v>4.2599999999999999E-2</v>
      </c>
      <c r="J2674" s="15">
        <v>1.657276995305164</v>
      </c>
    </row>
    <row r="2675" spans="1:10" x14ac:dyDescent="0.25">
      <c r="A2675" s="2" t="s">
        <v>7495</v>
      </c>
      <c r="B2675" s="2" t="s">
        <v>7007</v>
      </c>
      <c r="C2675" s="2" t="s">
        <v>7496</v>
      </c>
      <c r="D2675" s="2" t="s">
        <v>10055</v>
      </c>
      <c r="E2675" s="15">
        <v>-5.8599999999999999E-2</v>
      </c>
      <c r="F2675" s="15">
        <v>0.16850000000000001</v>
      </c>
      <c r="G2675" s="15">
        <v>0.72819999999999996</v>
      </c>
      <c r="H2675" s="15">
        <v>4.1200000000000001E-2</v>
      </c>
      <c r="I2675" s="15">
        <v>4.0300000000000002E-2</v>
      </c>
      <c r="J2675" s="15">
        <v>1.022332506203474</v>
      </c>
    </row>
    <row r="2676" spans="1:10" x14ac:dyDescent="0.25">
      <c r="A2676" s="2" t="s">
        <v>7497</v>
      </c>
      <c r="B2676" s="2" t="s">
        <v>7007</v>
      </c>
      <c r="C2676" s="2" t="s">
        <v>7498</v>
      </c>
      <c r="D2676" s="2" t="s">
        <v>10055</v>
      </c>
      <c r="E2676" s="15"/>
      <c r="F2676" s="15"/>
      <c r="G2676" s="15"/>
      <c r="H2676" s="15">
        <v>-2.6200000000000001E-2</v>
      </c>
      <c r="I2676" s="15">
        <v>3.7400000000000003E-2</v>
      </c>
      <c r="J2676" s="15">
        <v>-0.70053475935828879</v>
      </c>
    </row>
    <row r="2677" spans="1:10" x14ac:dyDescent="0.25">
      <c r="A2677" s="2" t="s">
        <v>7499</v>
      </c>
      <c r="B2677" s="2" t="s">
        <v>7007</v>
      </c>
      <c r="C2677" s="2" t="s">
        <v>7500</v>
      </c>
      <c r="D2677" s="2" t="s">
        <v>10055</v>
      </c>
      <c r="E2677" s="15"/>
      <c r="F2677" s="15"/>
      <c r="G2677" s="15"/>
      <c r="H2677" s="15">
        <v>-2.24E-2</v>
      </c>
      <c r="I2677" s="15">
        <v>3.95E-2</v>
      </c>
      <c r="J2677" s="15">
        <v>-0.56708860759493673</v>
      </c>
    </row>
    <row r="2678" spans="1:10" x14ac:dyDescent="0.25">
      <c r="A2678" s="2" t="s">
        <v>7501</v>
      </c>
      <c r="B2678" s="2" t="s">
        <v>7007</v>
      </c>
      <c r="C2678" s="2" t="s">
        <v>7502</v>
      </c>
      <c r="D2678" s="2" t="s">
        <v>10055</v>
      </c>
      <c r="E2678" s="15">
        <v>-1.3599999999999999E-2</v>
      </c>
      <c r="F2678" s="15">
        <v>0.1244</v>
      </c>
      <c r="G2678" s="15">
        <v>0.91269999999999996</v>
      </c>
      <c r="H2678" s="15">
        <v>9.9699999999999997E-2</v>
      </c>
      <c r="I2678" s="15">
        <v>4.8899999999999999E-2</v>
      </c>
      <c r="J2678" s="15">
        <v>2.038854805725971</v>
      </c>
    </row>
    <row r="2679" spans="1:10" x14ac:dyDescent="0.25">
      <c r="A2679" s="2" t="s">
        <v>7503</v>
      </c>
      <c r="B2679" s="2" t="s">
        <v>7007</v>
      </c>
      <c r="C2679" s="2" t="s">
        <v>7504</v>
      </c>
      <c r="D2679" s="2" t="s">
        <v>10055</v>
      </c>
      <c r="E2679" s="15"/>
      <c r="F2679" s="15"/>
      <c r="G2679" s="15"/>
      <c r="H2679" s="15"/>
      <c r="I2679" s="15"/>
      <c r="J2679" s="15"/>
    </row>
    <row r="2680" spans="1:10" x14ac:dyDescent="0.25">
      <c r="A2680" s="2" t="s">
        <v>7505</v>
      </c>
      <c r="B2680" s="2" t="s">
        <v>7007</v>
      </c>
      <c r="C2680" s="2" t="s">
        <v>7506</v>
      </c>
      <c r="D2680" s="2" t="s">
        <v>10055</v>
      </c>
      <c r="E2680" s="15">
        <v>-0.12239999999999999</v>
      </c>
      <c r="F2680" s="15">
        <v>0.35239999999999999</v>
      </c>
      <c r="G2680" s="15">
        <v>0.72840000000000005</v>
      </c>
      <c r="H2680" s="15">
        <v>1.46E-2</v>
      </c>
      <c r="I2680" s="15">
        <v>4.0800000000000003E-2</v>
      </c>
      <c r="J2680" s="15">
        <v>0.35784313725490191</v>
      </c>
    </row>
    <row r="2681" spans="1:10" x14ac:dyDescent="0.25">
      <c r="A2681" s="2" t="s">
        <v>7507</v>
      </c>
      <c r="B2681" s="2" t="s">
        <v>7007</v>
      </c>
      <c r="C2681" s="2" t="s">
        <v>7508</v>
      </c>
      <c r="D2681" s="2" t="s">
        <v>10055</v>
      </c>
      <c r="E2681" s="15">
        <v>-4.58E-2</v>
      </c>
      <c r="F2681" s="15">
        <v>0.11509999999999999</v>
      </c>
      <c r="G2681" s="15">
        <v>0.69059999999999999</v>
      </c>
      <c r="H2681" s="15">
        <v>9.74E-2</v>
      </c>
      <c r="I2681" s="15">
        <v>3.8800000000000001E-2</v>
      </c>
      <c r="J2681" s="15">
        <v>2.510309278350515</v>
      </c>
    </row>
    <row r="2682" spans="1:10" x14ac:dyDescent="0.25">
      <c r="A2682" s="2" t="s">
        <v>7509</v>
      </c>
      <c r="B2682" s="2" t="s">
        <v>7007</v>
      </c>
      <c r="C2682" s="2" t="s">
        <v>7510</v>
      </c>
      <c r="D2682" s="2" t="s">
        <v>10055</v>
      </c>
      <c r="E2682" s="15">
        <v>0.18049999999999999</v>
      </c>
      <c r="F2682" s="15">
        <v>0.14929999999999999</v>
      </c>
      <c r="G2682" s="15">
        <v>0.22670000000000001</v>
      </c>
      <c r="H2682" s="15">
        <v>5.9200000000000003E-2</v>
      </c>
      <c r="I2682" s="15">
        <v>4.5499999999999999E-2</v>
      </c>
      <c r="J2682" s="15">
        <v>1.3010989010989009</v>
      </c>
    </row>
    <row r="2683" spans="1:10" x14ac:dyDescent="0.25">
      <c r="A2683" s="2" t="s">
        <v>7511</v>
      </c>
      <c r="B2683" s="2" t="s">
        <v>7007</v>
      </c>
      <c r="C2683" s="2" t="s">
        <v>7512</v>
      </c>
      <c r="D2683" s="2" t="s">
        <v>10055</v>
      </c>
      <c r="E2683" s="15"/>
      <c r="F2683" s="15"/>
      <c r="G2683" s="15"/>
      <c r="H2683" s="15">
        <v>-1.9199999999999998E-2</v>
      </c>
      <c r="I2683" s="15">
        <v>4.0800000000000003E-2</v>
      </c>
      <c r="J2683" s="15">
        <v>-0.47058823529411759</v>
      </c>
    </row>
    <row r="2684" spans="1:10" x14ac:dyDescent="0.25">
      <c r="A2684" s="2" t="s">
        <v>7513</v>
      </c>
      <c r="B2684" s="2" t="s">
        <v>7007</v>
      </c>
      <c r="C2684" s="2" t="s">
        <v>7514</v>
      </c>
      <c r="D2684" s="2" t="s">
        <v>10055</v>
      </c>
      <c r="E2684" s="15">
        <v>1.0800000000000001E-2</v>
      </c>
      <c r="F2684" s="15">
        <v>0.14410000000000001</v>
      </c>
      <c r="G2684" s="15">
        <v>0.94030000000000002</v>
      </c>
      <c r="H2684" s="15">
        <v>5.3199999999999997E-2</v>
      </c>
      <c r="I2684" s="15">
        <v>4.3900000000000002E-2</v>
      </c>
      <c r="J2684" s="15">
        <v>1.2118451025056951</v>
      </c>
    </row>
    <row r="2685" spans="1:10" x14ac:dyDescent="0.25">
      <c r="A2685" s="2" t="s">
        <v>7515</v>
      </c>
      <c r="B2685" s="2" t="s">
        <v>7007</v>
      </c>
      <c r="C2685" s="2" t="s">
        <v>7516</v>
      </c>
      <c r="D2685" s="2" t="s">
        <v>10055</v>
      </c>
      <c r="E2685" s="15">
        <v>-1.72E-2</v>
      </c>
      <c r="F2685" s="15">
        <v>0.13109999999999999</v>
      </c>
      <c r="G2685" s="15">
        <v>0.89559999999999995</v>
      </c>
      <c r="H2685" s="15">
        <v>6.4399999999999999E-2</v>
      </c>
      <c r="I2685" s="15">
        <v>4.0800000000000003E-2</v>
      </c>
      <c r="J2685" s="15">
        <v>1.57843137254902</v>
      </c>
    </row>
    <row r="2686" spans="1:10" x14ac:dyDescent="0.25">
      <c r="A2686" s="2" t="s">
        <v>7517</v>
      </c>
      <c r="B2686" s="2" t="s">
        <v>7007</v>
      </c>
      <c r="C2686" s="2" t="s">
        <v>7518</v>
      </c>
      <c r="D2686" s="2" t="s">
        <v>10055</v>
      </c>
      <c r="E2686" s="15">
        <v>0.17519999999999999</v>
      </c>
      <c r="F2686" s="15">
        <v>0.1474</v>
      </c>
      <c r="G2686" s="15">
        <v>0.23449999999999999</v>
      </c>
      <c r="H2686" s="15">
        <v>7.22E-2</v>
      </c>
      <c r="I2686" s="15">
        <v>4.1799999999999997E-2</v>
      </c>
      <c r="J2686" s="15">
        <v>1.727272727272728</v>
      </c>
    </row>
    <row r="2687" spans="1:10" x14ac:dyDescent="0.25">
      <c r="A2687" s="2" t="s">
        <v>7519</v>
      </c>
      <c r="B2687" s="2" t="s">
        <v>7007</v>
      </c>
      <c r="C2687" s="2" t="s">
        <v>7520</v>
      </c>
      <c r="D2687" s="2" t="s">
        <v>10055</v>
      </c>
      <c r="E2687" s="15">
        <v>-5.11E-2</v>
      </c>
      <c r="F2687" s="15">
        <v>0.2477</v>
      </c>
      <c r="G2687" s="15">
        <v>0.83650000000000002</v>
      </c>
      <c r="H2687" s="15">
        <v>2.46E-2</v>
      </c>
      <c r="I2687" s="15">
        <v>4.5600000000000002E-2</v>
      </c>
      <c r="J2687" s="15">
        <v>0.53947368421052633</v>
      </c>
    </row>
    <row r="2688" spans="1:10" x14ac:dyDescent="0.25">
      <c r="A2688" s="2" t="s">
        <v>7521</v>
      </c>
      <c r="B2688" s="2" t="s">
        <v>7007</v>
      </c>
      <c r="C2688" s="2" t="s">
        <v>7522</v>
      </c>
      <c r="D2688" s="2" t="s">
        <v>10055</v>
      </c>
      <c r="E2688" s="15">
        <v>-0.1666</v>
      </c>
      <c r="F2688" s="15">
        <v>0.13730000000000001</v>
      </c>
      <c r="G2688" s="15">
        <v>0.22470000000000001</v>
      </c>
      <c r="H2688" s="15">
        <v>7.4999999999999997E-2</v>
      </c>
      <c r="I2688" s="15">
        <v>4.0500000000000001E-2</v>
      </c>
      <c r="J2688" s="15">
        <v>1.8518518518518521</v>
      </c>
    </row>
    <row r="2689" spans="1:10" x14ac:dyDescent="0.25">
      <c r="A2689" s="2" t="s">
        <v>7523</v>
      </c>
      <c r="B2689" s="2" t="s">
        <v>7007</v>
      </c>
      <c r="C2689" s="2" t="s">
        <v>7524</v>
      </c>
      <c r="D2689" s="2" t="s">
        <v>10055</v>
      </c>
      <c r="E2689" s="15">
        <v>3.8999999999999998E-3</v>
      </c>
      <c r="F2689" s="15">
        <v>0.27210000000000001</v>
      </c>
      <c r="G2689" s="15">
        <v>0.98850000000000005</v>
      </c>
      <c r="H2689" s="15">
        <v>2.0400000000000001E-2</v>
      </c>
      <c r="I2689" s="15">
        <v>4.2900000000000001E-2</v>
      </c>
      <c r="J2689" s="15">
        <v>0.47552447552447558</v>
      </c>
    </row>
    <row r="2690" spans="1:10" x14ac:dyDescent="0.25">
      <c r="A2690" s="2" t="s">
        <v>7525</v>
      </c>
      <c r="B2690" s="2" t="s">
        <v>7007</v>
      </c>
      <c r="C2690" s="2" t="s">
        <v>7526</v>
      </c>
      <c r="D2690" s="2" t="s">
        <v>10055</v>
      </c>
      <c r="E2690" s="15">
        <v>-0.1391</v>
      </c>
      <c r="F2690" s="15">
        <v>0.15060000000000001</v>
      </c>
      <c r="G2690" s="15">
        <v>0.35580000000000001</v>
      </c>
      <c r="H2690" s="15">
        <v>6.1100000000000002E-2</v>
      </c>
      <c r="I2690" s="15">
        <v>4.7199999999999999E-2</v>
      </c>
      <c r="J2690" s="15">
        <v>1.294491525423729</v>
      </c>
    </row>
    <row r="2691" spans="1:10" x14ac:dyDescent="0.25">
      <c r="A2691" s="2" t="s">
        <v>7527</v>
      </c>
      <c r="B2691" s="2" t="s">
        <v>7007</v>
      </c>
      <c r="C2691" s="2" t="s">
        <v>7528</v>
      </c>
      <c r="D2691" s="2" t="s">
        <v>10055</v>
      </c>
      <c r="E2691" s="15">
        <v>-8.6999999999999994E-2</v>
      </c>
      <c r="F2691" s="15">
        <v>0.24349999999999999</v>
      </c>
      <c r="G2691" s="15">
        <v>0.72089999999999999</v>
      </c>
      <c r="H2691" s="15">
        <v>2.07E-2</v>
      </c>
      <c r="I2691" s="15">
        <v>3.9E-2</v>
      </c>
      <c r="J2691" s="15">
        <v>0.53076923076923077</v>
      </c>
    </row>
    <row r="2692" spans="1:10" x14ac:dyDescent="0.25">
      <c r="A2692" s="2" t="s">
        <v>7529</v>
      </c>
      <c r="B2692" s="2" t="s">
        <v>7007</v>
      </c>
      <c r="C2692" s="2" t="s">
        <v>7530</v>
      </c>
      <c r="D2692" s="2" t="s">
        <v>10055</v>
      </c>
      <c r="E2692" s="15"/>
      <c r="F2692" s="15"/>
      <c r="G2692" s="15"/>
      <c r="H2692" s="15">
        <v>-3.0499999999999999E-2</v>
      </c>
      <c r="I2692" s="15">
        <v>4.1000000000000002E-2</v>
      </c>
      <c r="J2692" s="15">
        <v>-0.74390243902439024</v>
      </c>
    </row>
    <row r="2693" spans="1:10" x14ac:dyDescent="0.25">
      <c r="A2693" s="2" t="s">
        <v>7531</v>
      </c>
      <c r="B2693" s="2" t="s">
        <v>7007</v>
      </c>
      <c r="C2693" s="2" t="s">
        <v>7532</v>
      </c>
      <c r="D2693" s="2" t="s">
        <v>10055</v>
      </c>
      <c r="E2693" s="15">
        <v>-0.1016</v>
      </c>
      <c r="F2693" s="15">
        <v>0.14430000000000001</v>
      </c>
      <c r="G2693" s="15">
        <v>0.48130000000000001</v>
      </c>
      <c r="H2693" s="15">
        <v>7.9100000000000004E-2</v>
      </c>
      <c r="I2693" s="15">
        <v>3.9399999999999998E-2</v>
      </c>
      <c r="J2693" s="15">
        <v>2.0076142131979702</v>
      </c>
    </row>
    <row r="2694" spans="1:10" x14ac:dyDescent="0.25">
      <c r="A2694" s="2" t="s">
        <v>7533</v>
      </c>
      <c r="B2694" s="2" t="s">
        <v>7007</v>
      </c>
      <c r="C2694" s="2" t="s">
        <v>7534</v>
      </c>
      <c r="D2694" s="2" t="s">
        <v>10055</v>
      </c>
      <c r="E2694" s="15">
        <v>-0.16059999999999999</v>
      </c>
      <c r="F2694" s="15">
        <v>0.25159999999999999</v>
      </c>
      <c r="G2694" s="15">
        <v>0.52329999999999999</v>
      </c>
      <c r="H2694" s="15">
        <v>3.1300000000000001E-2</v>
      </c>
      <c r="I2694" s="15">
        <v>4.3999999999999997E-2</v>
      </c>
      <c r="J2694" s="15">
        <v>0.71136363636363642</v>
      </c>
    </row>
    <row r="2695" spans="1:10" x14ac:dyDescent="0.25">
      <c r="A2695" s="2" t="s">
        <v>7535</v>
      </c>
      <c r="B2695" s="2" t="s">
        <v>7007</v>
      </c>
      <c r="C2695" s="2" t="s">
        <v>7536</v>
      </c>
      <c r="D2695" s="2" t="s">
        <v>10055</v>
      </c>
      <c r="E2695" s="15">
        <v>0.16309999999999999</v>
      </c>
      <c r="F2695" s="15">
        <v>0.1143</v>
      </c>
      <c r="G2695" s="15">
        <v>0.15359999999999999</v>
      </c>
      <c r="H2695" s="15">
        <v>9.3799999999999994E-2</v>
      </c>
      <c r="I2695" s="15">
        <v>4.3200000000000002E-2</v>
      </c>
      <c r="J2695" s="15">
        <v>2.1712962962962958</v>
      </c>
    </row>
    <row r="2696" spans="1:10" x14ac:dyDescent="0.25">
      <c r="A2696" s="2" t="s">
        <v>7537</v>
      </c>
      <c r="B2696" s="2" t="s">
        <v>7007</v>
      </c>
      <c r="C2696" s="2" t="s">
        <v>7538</v>
      </c>
      <c r="D2696" s="2" t="s">
        <v>10055</v>
      </c>
      <c r="E2696" s="15">
        <v>-0.1211</v>
      </c>
      <c r="F2696" s="15">
        <v>0.1045</v>
      </c>
      <c r="G2696" s="15">
        <v>0.2465</v>
      </c>
      <c r="H2696" s="15">
        <v>0.1196</v>
      </c>
      <c r="I2696" s="15">
        <v>4.8399999999999999E-2</v>
      </c>
      <c r="J2696" s="15">
        <v>2.4710743801652888</v>
      </c>
    </row>
    <row r="2697" spans="1:10" x14ac:dyDescent="0.25">
      <c r="A2697" s="2" t="s">
        <v>7539</v>
      </c>
      <c r="B2697" s="2" t="s">
        <v>7007</v>
      </c>
      <c r="C2697" s="2" t="s">
        <v>7540</v>
      </c>
      <c r="D2697" s="2" t="s">
        <v>10055</v>
      </c>
      <c r="E2697" s="15">
        <v>0.1759</v>
      </c>
      <c r="F2697" s="15">
        <v>0.16450000000000001</v>
      </c>
      <c r="G2697" s="15">
        <v>0.28489999999999999</v>
      </c>
      <c r="H2697" s="15">
        <v>5.1799999999999999E-2</v>
      </c>
      <c r="I2697" s="15">
        <v>4.4400000000000002E-2</v>
      </c>
      <c r="J2697" s="15">
        <v>1.166666666666667</v>
      </c>
    </row>
    <row r="2698" spans="1:10" x14ac:dyDescent="0.25">
      <c r="A2698" s="2" t="s">
        <v>7541</v>
      </c>
      <c r="B2698" s="2" t="s">
        <v>7007</v>
      </c>
      <c r="C2698" s="2" t="s">
        <v>7542</v>
      </c>
      <c r="D2698" s="2" t="s">
        <v>10055</v>
      </c>
      <c r="E2698" s="15">
        <v>4.7E-2</v>
      </c>
      <c r="F2698" s="15">
        <v>0.1045</v>
      </c>
      <c r="G2698" s="15">
        <v>0.65310000000000001</v>
      </c>
      <c r="H2698" s="15">
        <v>0.1023</v>
      </c>
      <c r="I2698" s="15">
        <v>4.1200000000000001E-2</v>
      </c>
      <c r="J2698" s="15">
        <v>2.483009708737864</v>
      </c>
    </row>
    <row r="2699" spans="1:10" x14ac:dyDescent="0.25">
      <c r="A2699" s="2" t="s">
        <v>7543</v>
      </c>
      <c r="B2699" s="2" t="s">
        <v>7007</v>
      </c>
      <c r="C2699" s="2" t="s">
        <v>7544</v>
      </c>
      <c r="D2699" s="2" t="s">
        <v>10055</v>
      </c>
      <c r="E2699" s="15">
        <v>-0.21679999999999999</v>
      </c>
      <c r="F2699" s="15">
        <v>0.43149999999999999</v>
      </c>
      <c r="G2699" s="15">
        <v>0.61539999999999995</v>
      </c>
      <c r="H2699" s="15">
        <v>1.7399999999999999E-2</v>
      </c>
      <c r="I2699" s="15">
        <v>4.1500000000000002E-2</v>
      </c>
      <c r="J2699" s="15">
        <v>0.41927710843373489</v>
      </c>
    </row>
    <row r="2700" spans="1:10" x14ac:dyDescent="0.25">
      <c r="A2700" s="2" t="s">
        <v>7545</v>
      </c>
      <c r="B2700" s="2" t="s">
        <v>7007</v>
      </c>
      <c r="C2700" s="2" t="s">
        <v>7546</v>
      </c>
      <c r="D2700" s="2" t="s">
        <v>10055</v>
      </c>
      <c r="E2700" s="15">
        <v>-0.14050000000000001</v>
      </c>
      <c r="F2700" s="15">
        <v>0.22839999999999999</v>
      </c>
      <c r="G2700" s="15">
        <v>0.53849999999999998</v>
      </c>
      <c r="H2700" s="15">
        <v>3.8100000000000002E-2</v>
      </c>
      <c r="I2700" s="15">
        <v>4.19E-2</v>
      </c>
      <c r="J2700" s="15">
        <v>0.90930787589498807</v>
      </c>
    </row>
    <row r="2701" spans="1:10" x14ac:dyDescent="0.25">
      <c r="A2701" s="2" t="s">
        <v>7547</v>
      </c>
      <c r="B2701" s="2" t="s">
        <v>7007</v>
      </c>
      <c r="C2701" s="2" t="s">
        <v>7548</v>
      </c>
      <c r="D2701" s="2" t="s">
        <v>10055</v>
      </c>
      <c r="E2701" s="15">
        <v>2.0400000000000001E-2</v>
      </c>
      <c r="F2701" s="15">
        <v>0.1366</v>
      </c>
      <c r="G2701" s="15">
        <v>0.88139999999999996</v>
      </c>
      <c r="H2701" s="15">
        <v>6.9599999999999995E-2</v>
      </c>
      <c r="I2701" s="15">
        <v>4.2799999999999998E-2</v>
      </c>
      <c r="J2701" s="15">
        <v>1.6261682242990649</v>
      </c>
    </row>
    <row r="2702" spans="1:10" x14ac:dyDescent="0.25">
      <c r="A2702" s="2" t="s">
        <v>7549</v>
      </c>
      <c r="B2702" s="2" t="s">
        <v>7007</v>
      </c>
      <c r="C2702" s="2" t="s">
        <v>7550</v>
      </c>
      <c r="D2702" s="2" t="s">
        <v>10055</v>
      </c>
      <c r="E2702" s="15">
        <v>-8.6400000000000005E-2</v>
      </c>
      <c r="F2702" s="15">
        <v>0.1429</v>
      </c>
      <c r="G2702" s="15">
        <v>0.54530000000000001</v>
      </c>
      <c r="H2702" s="15">
        <v>7.0900000000000005E-2</v>
      </c>
      <c r="I2702" s="15">
        <v>4.3799999999999999E-2</v>
      </c>
      <c r="J2702" s="15">
        <v>1.6187214611872149</v>
      </c>
    </row>
    <row r="2703" spans="1:10" x14ac:dyDescent="0.25">
      <c r="A2703" s="2" t="s">
        <v>7551</v>
      </c>
      <c r="B2703" s="2" t="s">
        <v>7007</v>
      </c>
      <c r="C2703" s="2" t="s">
        <v>7552</v>
      </c>
      <c r="D2703" s="2" t="s">
        <v>10055</v>
      </c>
      <c r="E2703" s="15">
        <v>4.8300000000000003E-2</v>
      </c>
      <c r="F2703" s="15">
        <v>0.13519999999999999</v>
      </c>
      <c r="G2703" s="15">
        <v>0.72070000000000001</v>
      </c>
      <c r="H2703" s="15">
        <v>5.8099999999999999E-2</v>
      </c>
      <c r="I2703" s="15">
        <v>4.1200000000000001E-2</v>
      </c>
      <c r="J2703" s="15">
        <v>1.410194174757281</v>
      </c>
    </row>
    <row r="2704" spans="1:10" x14ac:dyDescent="0.25">
      <c r="A2704" s="2" t="s">
        <v>7553</v>
      </c>
      <c r="B2704" s="2" t="s">
        <v>7007</v>
      </c>
      <c r="C2704" s="2" t="s">
        <v>7554</v>
      </c>
      <c r="D2704" s="2" t="s">
        <v>10055</v>
      </c>
      <c r="E2704" s="15">
        <v>-0.14929999999999999</v>
      </c>
      <c r="F2704" s="15">
        <v>0.17180000000000001</v>
      </c>
      <c r="G2704" s="15">
        <v>0.38469999999999999</v>
      </c>
      <c r="H2704" s="15">
        <v>5.33E-2</v>
      </c>
      <c r="I2704" s="15">
        <v>4.7399999999999998E-2</v>
      </c>
      <c r="J2704" s="15">
        <v>1.124472573839663</v>
      </c>
    </row>
    <row r="2705" spans="1:10" x14ac:dyDescent="0.25">
      <c r="A2705" s="2" t="s">
        <v>7555</v>
      </c>
      <c r="B2705" s="2" t="s">
        <v>7007</v>
      </c>
      <c r="C2705" s="2" t="s">
        <v>7556</v>
      </c>
      <c r="D2705" s="2" t="s">
        <v>10055</v>
      </c>
      <c r="E2705" s="15"/>
      <c r="F2705" s="15"/>
      <c r="G2705" s="15"/>
      <c r="H2705" s="15">
        <v>-6.0999999999999999E-2</v>
      </c>
      <c r="I2705" s="15">
        <v>4.19E-2</v>
      </c>
      <c r="J2705" s="15">
        <v>-1.455847255369928</v>
      </c>
    </row>
    <row r="2706" spans="1:10" x14ac:dyDescent="0.25">
      <c r="A2706" s="2" t="s">
        <v>7557</v>
      </c>
      <c r="B2706" s="2" t="s">
        <v>7007</v>
      </c>
      <c r="C2706" s="2" t="s">
        <v>7558</v>
      </c>
      <c r="D2706" s="2" t="s">
        <v>10055</v>
      </c>
      <c r="E2706" s="15">
        <v>-0.24540000000000001</v>
      </c>
      <c r="F2706" s="15">
        <v>0.66520000000000001</v>
      </c>
      <c r="G2706" s="15">
        <v>0.71220000000000006</v>
      </c>
      <c r="H2706" s="15">
        <v>1.29E-2</v>
      </c>
      <c r="I2706" s="15">
        <v>4.1300000000000003E-2</v>
      </c>
      <c r="J2706" s="15">
        <v>0.31234866828087171</v>
      </c>
    </row>
    <row r="2707" spans="1:10" x14ac:dyDescent="0.25">
      <c r="A2707" s="2" t="s">
        <v>7559</v>
      </c>
      <c r="B2707" s="2" t="s">
        <v>7007</v>
      </c>
      <c r="C2707" s="2" t="s">
        <v>7560</v>
      </c>
      <c r="D2707" s="2" t="s">
        <v>10055</v>
      </c>
      <c r="E2707" s="15"/>
      <c r="F2707" s="15"/>
      <c r="G2707" s="15"/>
      <c r="H2707" s="15"/>
      <c r="I2707" s="15"/>
      <c r="J2707" s="15"/>
    </row>
    <row r="2708" spans="1:10" x14ac:dyDescent="0.25">
      <c r="A2708" s="2" t="s">
        <v>7561</v>
      </c>
      <c r="B2708" s="2" t="s">
        <v>7007</v>
      </c>
      <c r="C2708" s="2" t="s">
        <v>7562</v>
      </c>
      <c r="D2708" s="2" t="s">
        <v>10055</v>
      </c>
      <c r="E2708" s="15">
        <v>0.11940000000000001</v>
      </c>
      <c r="F2708" s="15">
        <v>0.1031</v>
      </c>
      <c r="G2708" s="15">
        <v>0.24690000000000001</v>
      </c>
      <c r="H2708" s="15">
        <v>0.1273</v>
      </c>
      <c r="I2708" s="15">
        <v>4.5400000000000003E-2</v>
      </c>
      <c r="J2708" s="15">
        <v>2.803964757709251</v>
      </c>
    </row>
    <row r="2709" spans="1:10" x14ac:dyDescent="0.25">
      <c r="A2709" s="2" t="s">
        <v>7563</v>
      </c>
      <c r="B2709" s="2" t="s">
        <v>7007</v>
      </c>
      <c r="C2709" s="2" t="s">
        <v>7564</v>
      </c>
      <c r="D2709" s="2" t="s">
        <v>10055</v>
      </c>
      <c r="E2709" s="15">
        <v>-0.443</v>
      </c>
      <c r="F2709" s="15">
        <v>0.67230000000000001</v>
      </c>
      <c r="G2709" s="15">
        <v>0.50990000000000002</v>
      </c>
      <c r="H2709" s="15">
        <v>2.2700000000000001E-2</v>
      </c>
      <c r="I2709" s="15">
        <v>4.4900000000000002E-2</v>
      </c>
      <c r="J2709" s="15">
        <v>0.50556792873051226</v>
      </c>
    </row>
    <row r="2710" spans="1:10" x14ac:dyDescent="0.25">
      <c r="A2710" s="2" t="s">
        <v>7565</v>
      </c>
      <c r="B2710" s="2" t="s">
        <v>7007</v>
      </c>
      <c r="C2710" s="2" t="s">
        <v>7566</v>
      </c>
      <c r="D2710" s="2" t="s">
        <v>10055</v>
      </c>
      <c r="E2710" s="15">
        <v>-0.224</v>
      </c>
      <c r="F2710" s="15">
        <v>0.31690000000000002</v>
      </c>
      <c r="G2710" s="15">
        <v>0.4798</v>
      </c>
      <c r="H2710" s="15">
        <v>2.23E-2</v>
      </c>
      <c r="I2710" s="15">
        <v>4.07E-2</v>
      </c>
      <c r="J2710" s="15">
        <v>0.54791154791154795</v>
      </c>
    </row>
    <row r="2711" spans="1:10" x14ac:dyDescent="0.25">
      <c r="A2711" s="2" t="s">
        <v>7567</v>
      </c>
      <c r="B2711" s="2" t="s">
        <v>7007</v>
      </c>
      <c r="C2711" s="2" t="s">
        <v>7568</v>
      </c>
      <c r="D2711" s="2" t="s">
        <v>10055</v>
      </c>
      <c r="E2711" s="15">
        <v>-0.21740000000000001</v>
      </c>
      <c r="F2711" s="15">
        <v>0.1182</v>
      </c>
      <c r="G2711" s="15">
        <v>6.5799999999999997E-2</v>
      </c>
      <c r="H2711" s="15">
        <v>9.8900000000000002E-2</v>
      </c>
      <c r="I2711" s="15">
        <v>4.5199999999999997E-2</v>
      </c>
      <c r="J2711" s="15">
        <v>2.1880530973451329</v>
      </c>
    </row>
    <row r="2712" spans="1:10" x14ac:dyDescent="0.25">
      <c r="A2712" s="2" t="s">
        <v>7569</v>
      </c>
      <c r="B2712" s="2" t="s">
        <v>7007</v>
      </c>
      <c r="C2712" s="2" t="s">
        <v>7570</v>
      </c>
      <c r="D2712" s="2" t="s">
        <v>10055</v>
      </c>
      <c r="E2712" s="15"/>
      <c r="F2712" s="15"/>
      <c r="G2712" s="15"/>
      <c r="H2712" s="15">
        <v>-1.0800000000000001E-2</v>
      </c>
      <c r="I2712" s="15">
        <v>4.0099999999999997E-2</v>
      </c>
      <c r="J2712" s="15">
        <v>-0.26932668329177062</v>
      </c>
    </row>
    <row r="2713" spans="1:10" x14ac:dyDescent="0.25">
      <c r="A2713" s="2" t="s">
        <v>7571</v>
      </c>
      <c r="B2713" s="2" t="s">
        <v>7007</v>
      </c>
      <c r="C2713" s="2" t="s">
        <v>7572</v>
      </c>
      <c r="D2713" s="2" t="s">
        <v>10055</v>
      </c>
      <c r="E2713" s="15">
        <v>0.13120000000000001</v>
      </c>
      <c r="F2713" s="15">
        <v>0.2135</v>
      </c>
      <c r="G2713" s="15">
        <v>0.53879999999999995</v>
      </c>
      <c r="H2713" s="15">
        <v>3.3300000000000003E-2</v>
      </c>
      <c r="I2713" s="15">
        <v>4.1000000000000002E-2</v>
      </c>
      <c r="J2713" s="15">
        <v>0.81219512195121957</v>
      </c>
    </row>
    <row r="2714" spans="1:10" x14ac:dyDescent="0.25">
      <c r="A2714" s="2" t="s">
        <v>7573</v>
      </c>
      <c r="B2714" s="2" t="s">
        <v>7007</v>
      </c>
      <c r="C2714" s="2" t="s">
        <v>7574</v>
      </c>
      <c r="D2714" s="2" t="s">
        <v>10055</v>
      </c>
      <c r="E2714" s="15"/>
      <c r="F2714" s="15"/>
      <c r="G2714" s="15"/>
      <c r="H2714" s="15">
        <v>-9.1000000000000004E-3</v>
      </c>
      <c r="I2714" s="15">
        <v>3.8600000000000002E-2</v>
      </c>
      <c r="J2714" s="15">
        <v>-0.2357512953367876</v>
      </c>
    </row>
    <row r="2715" spans="1:10" x14ac:dyDescent="0.25">
      <c r="A2715" s="2" t="s">
        <v>7575</v>
      </c>
      <c r="B2715" s="2" t="s">
        <v>7007</v>
      </c>
      <c r="C2715" s="2" t="s">
        <v>7576</v>
      </c>
      <c r="D2715" s="2" t="s">
        <v>10055</v>
      </c>
      <c r="E2715" s="15">
        <v>0.25330000000000003</v>
      </c>
      <c r="F2715" s="15">
        <v>0.248</v>
      </c>
      <c r="G2715" s="15">
        <v>0.30690000000000001</v>
      </c>
      <c r="H2715" s="15">
        <v>3.2800000000000003E-2</v>
      </c>
      <c r="I2715" s="15">
        <v>4.3499999999999997E-2</v>
      </c>
      <c r="J2715" s="15">
        <v>0.75402298850574723</v>
      </c>
    </row>
    <row r="2716" spans="1:10" x14ac:dyDescent="0.25">
      <c r="A2716" s="2" t="s">
        <v>7577</v>
      </c>
      <c r="B2716" s="2" t="s">
        <v>7007</v>
      </c>
      <c r="C2716" s="2" t="s">
        <v>7578</v>
      </c>
      <c r="D2716" s="2" t="s">
        <v>10055</v>
      </c>
      <c r="E2716" s="15">
        <v>-0.19800000000000001</v>
      </c>
      <c r="F2716" s="15">
        <v>0.113</v>
      </c>
      <c r="G2716" s="15">
        <v>7.9799999999999996E-2</v>
      </c>
      <c r="H2716" s="15">
        <v>0.11940000000000001</v>
      </c>
      <c r="I2716" s="15">
        <v>4.2700000000000002E-2</v>
      </c>
      <c r="J2716" s="15">
        <v>2.7962529274004679</v>
      </c>
    </row>
    <row r="2717" spans="1:10" x14ac:dyDescent="0.25">
      <c r="A2717" s="2" t="s">
        <v>7579</v>
      </c>
      <c r="B2717" s="2" t="s">
        <v>7007</v>
      </c>
      <c r="C2717" s="2" t="s">
        <v>7580</v>
      </c>
      <c r="D2717" s="2" t="s">
        <v>10055</v>
      </c>
      <c r="E2717" s="15">
        <v>-0.1623</v>
      </c>
      <c r="F2717" s="15">
        <v>0.1118</v>
      </c>
      <c r="G2717" s="15">
        <v>0.1467</v>
      </c>
      <c r="H2717" s="15">
        <v>9.1800000000000007E-2</v>
      </c>
      <c r="I2717" s="15">
        <v>4.4299999999999999E-2</v>
      </c>
      <c r="J2717" s="15">
        <v>2.0722347629796838</v>
      </c>
    </row>
    <row r="2718" spans="1:10" x14ac:dyDescent="0.25">
      <c r="A2718" s="2" t="s">
        <v>7581</v>
      </c>
      <c r="B2718" s="2" t="s">
        <v>7007</v>
      </c>
      <c r="C2718" s="2" t="s">
        <v>7582</v>
      </c>
      <c r="D2718" s="2" t="s">
        <v>10055</v>
      </c>
      <c r="E2718" s="15">
        <v>-3.2300000000000002E-2</v>
      </c>
      <c r="F2718" s="15">
        <v>0.12039999999999999</v>
      </c>
      <c r="G2718" s="15">
        <v>0.78839999999999999</v>
      </c>
      <c r="H2718" s="15">
        <v>7.6799999999999993E-2</v>
      </c>
      <c r="I2718" s="15">
        <v>4.7199999999999999E-2</v>
      </c>
      <c r="J2718" s="15">
        <v>1.627118644067796</v>
      </c>
    </row>
    <row r="2719" spans="1:10" x14ac:dyDescent="0.25">
      <c r="A2719" s="2" t="s">
        <v>7583</v>
      </c>
      <c r="B2719" s="2" t="s">
        <v>7007</v>
      </c>
      <c r="C2719" s="2" t="s">
        <v>7584</v>
      </c>
      <c r="D2719" s="2" t="s">
        <v>10055</v>
      </c>
      <c r="E2719" s="15">
        <v>4.5999999999999999E-2</v>
      </c>
      <c r="F2719" s="15">
        <v>0.3206</v>
      </c>
      <c r="G2719" s="15">
        <v>0.88600000000000001</v>
      </c>
      <c r="H2719" s="15">
        <v>1.38E-2</v>
      </c>
      <c r="I2719" s="15">
        <v>3.7400000000000003E-2</v>
      </c>
      <c r="J2719" s="15">
        <v>0.36898395721925131</v>
      </c>
    </row>
    <row r="2720" spans="1:10" x14ac:dyDescent="0.25">
      <c r="A2720" s="2" t="s">
        <v>7585</v>
      </c>
      <c r="B2720" s="2" t="s">
        <v>7007</v>
      </c>
      <c r="C2720" s="2" t="s">
        <v>7586</v>
      </c>
      <c r="D2720" s="2" t="s">
        <v>10055</v>
      </c>
      <c r="E2720" s="15"/>
      <c r="F2720" s="15"/>
      <c r="G2720" s="15"/>
      <c r="H2720" s="15"/>
      <c r="I2720" s="15"/>
      <c r="J2720" s="15"/>
    </row>
    <row r="2721" spans="1:10" x14ac:dyDescent="0.25">
      <c r="A2721" s="2" t="s">
        <v>7587</v>
      </c>
      <c r="B2721" s="2" t="s">
        <v>7007</v>
      </c>
      <c r="C2721" s="2" t="s">
        <v>7588</v>
      </c>
      <c r="D2721" s="2" t="s">
        <v>10055</v>
      </c>
      <c r="E2721" s="15">
        <v>0.1201</v>
      </c>
      <c r="F2721" s="15">
        <v>0.11269999999999999</v>
      </c>
      <c r="G2721" s="15">
        <v>0.28649999999999998</v>
      </c>
      <c r="H2721" s="15">
        <v>0.1066</v>
      </c>
      <c r="I2721" s="15">
        <v>4.2999999999999997E-2</v>
      </c>
      <c r="J2721" s="15">
        <v>2.4790697674418611</v>
      </c>
    </row>
    <row r="2722" spans="1:10" x14ac:dyDescent="0.25">
      <c r="A2722" s="2" t="s">
        <v>7589</v>
      </c>
      <c r="B2722" s="2" t="s">
        <v>7007</v>
      </c>
      <c r="C2722" s="2" t="s">
        <v>7590</v>
      </c>
      <c r="D2722" s="2" t="s">
        <v>10055</v>
      </c>
      <c r="E2722" s="15">
        <v>0.13039999999999999</v>
      </c>
      <c r="F2722" s="15">
        <v>0.1792</v>
      </c>
      <c r="G2722" s="15">
        <v>0.46689999999999998</v>
      </c>
      <c r="H2722" s="15">
        <v>4.5499999999999999E-2</v>
      </c>
      <c r="I2722" s="15">
        <v>4.2099999999999999E-2</v>
      </c>
      <c r="J2722" s="15">
        <v>1.080760095011877</v>
      </c>
    </row>
    <row r="2723" spans="1:10" x14ac:dyDescent="0.25">
      <c r="A2723" s="2" t="s">
        <v>7591</v>
      </c>
      <c r="B2723" s="2" t="s">
        <v>7007</v>
      </c>
      <c r="C2723" s="2" t="s">
        <v>7592</v>
      </c>
      <c r="D2723" s="2" t="s">
        <v>10055</v>
      </c>
      <c r="E2723" s="15"/>
      <c r="F2723" s="15"/>
      <c r="G2723" s="15"/>
      <c r="H2723" s="15">
        <v>-8.9999999999999993E-3</v>
      </c>
      <c r="I2723" s="15">
        <v>3.6299999999999999E-2</v>
      </c>
      <c r="J2723" s="15">
        <v>-0.24793388429752061</v>
      </c>
    </row>
    <row r="2724" spans="1:10" x14ac:dyDescent="0.25">
      <c r="A2724" s="2" t="s">
        <v>7593</v>
      </c>
      <c r="B2724" s="2" t="s">
        <v>7007</v>
      </c>
      <c r="C2724" s="2" t="s">
        <v>7594</v>
      </c>
      <c r="D2724" s="2" t="s">
        <v>10055</v>
      </c>
      <c r="E2724" s="15">
        <v>-0.16209999999999999</v>
      </c>
      <c r="F2724" s="15">
        <v>0.1166</v>
      </c>
      <c r="G2724" s="15">
        <v>0.1646</v>
      </c>
      <c r="H2724" s="15">
        <v>0.10730000000000001</v>
      </c>
      <c r="I2724" s="15">
        <v>4.2599999999999999E-2</v>
      </c>
      <c r="J2724" s="15">
        <v>2.518779342723005</v>
      </c>
    </row>
    <row r="2725" spans="1:10" x14ac:dyDescent="0.25">
      <c r="A2725" s="2" t="s">
        <v>7595</v>
      </c>
      <c r="B2725" s="2" t="s">
        <v>7007</v>
      </c>
      <c r="C2725" s="2" t="s">
        <v>7596</v>
      </c>
      <c r="D2725" s="2" t="s">
        <v>10055</v>
      </c>
      <c r="E2725" s="15">
        <v>-8.48E-2</v>
      </c>
      <c r="F2725" s="15">
        <v>0.14530000000000001</v>
      </c>
      <c r="G2725" s="15">
        <v>0.55910000000000004</v>
      </c>
      <c r="H2725" s="15">
        <v>7.2300000000000003E-2</v>
      </c>
      <c r="I2725" s="15">
        <v>4.6600000000000003E-2</v>
      </c>
      <c r="J2725" s="15">
        <v>1.5515021459227469</v>
      </c>
    </row>
    <row r="2726" spans="1:10" x14ac:dyDescent="0.25">
      <c r="A2726" s="2" t="s">
        <v>7597</v>
      </c>
      <c r="B2726" s="2" t="s">
        <v>7007</v>
      </c>
      <c r="C2726" s="2" t="s">
        <v>7598</v>
      </c>
      <c r="D2726" s="2" t="s">
        <v>10055</v>
      </c>
      <c r="E2726" s="15">
        <v>-5.7599999999999998E-2</v>
      </c>
      <c r="F2726" s="15">
        <v>0.2145</v>
      </c>
      <c r="G2726" s="15">
        <v>0.78839999999999999</v>
      </c>
      <c r="H2726" s="15">
        <v>2.64E-2</v>
      </c>
      <c r="I2726" s="15">
        <v>4.3400000000000001E-2</v>
      </c>
      <c r="J2726" s="15">
        <v>0.60829493087557607</v>
      </c>
    </row>
    <row r="2727" spans="1:10" x14ac:dyDescent="0.25">
      <c r="A2727" s="2" t="s">
        <v>7599</v>
      </c>
      <c r="B2727" s="2" t="s">
        <v>7007</v>
      </c>
      <c r="C2727" s="2" t="s">
        <v>7600</v>
      </c>
      <c r="D2727" s="2" t="s">
        <v>10055</v>
      </c>
      <c r="E2727" s="15">
        <v>-0.05</v>
      </c>
      <c r="F2727" s="15">
        <v>0.1203</v>
      </c>
      <c r="G2727" s="15">
        <v>0.6774</v>
      </c>
      <c r="H2727" s="15">
        <v>8.6400000000000005E-2</v>
      </c>
      <c r="I2727" s="15">
        <v>4.8599999999999997E-2</v>
      </c>
      <c r="J2727" s="15">
        <v>1.7777777777777779</v>
      </c>
    </row>
    <row r="2728" spans="1:10" x14ac:dyDescent="0.25">
      <c r="A2728" s="2" t="s">
        <v>7601</v>
      </c>
      <c r="B2728" s="2" t="s">
        <v>7007</v>
      </c>
      <c r="C2728" s="2" t="s">
        <v>7602</v>
      </c>
      <c r="D2728" s="2" t="s">
        <v>10055</v>
      </c>
      <c r="E2728" s="15">
        <v>2.5399999999999999E-2</v>
      </c>
      <c r="F2728" s="15">
        <v>0.1099</v>
      </c>
      <c r="G2728" s="15">
        <v>0.81740000000000002</v>
      </c>
      <c r="H2728" s="15">
        <v>0.1</v>
      </c>
      <c r="I2728" s="15">
        <v>3.8800000000000001E-2</v>
      </c>
      <c r="J2728" s="15">
        <v>2.5773195876288661</v>
      </c>
    </row>
    <row r="2729" spans="1:10" x14ac:dyDescent="0.25">
      <c r="A2729" s="2" t="s">
        <v>7603</v>
      </c>
      <c r="B2729" s="2" t="s">
        <v>7007</v>
      </c>
      <c r="C2729" s="2" t="s">
        <v>7604</v>
      </c>
      <c r="D2729" s="2" t="s">
        <v>10055</v>
      </c>
      <c r="E2729" s="15">
        <v>3.7000000000000002E-3</v>
      </c>
      <c r="F2729" s="15">
        <v>0.1668</v>
      </c>
      <c r="G2729" s="15">
        <v>0.98229999999999995</v>
      </c>
      <c r="H2729" s="15">
        <v>5.4399999999999997E-2</v>
      </c>
      <c r="I2729" s="15">
        <v>4.2799999999999998E-2</v>
      </c>
      <c r="J2729" s="15">
        <v>1.271028037383177</v>
      </c>
    </row>
    <row r="2730" spans="1:10" x14ac:dyDescent="0.25">
      <c r="A2730" s="2" t="s">
        <v>7605</v>
      </c>
      <c r="B2730" s="2" t="s">
        <v>7007</v>
      </c>
      <c r="C2730" s="2" t="s">
        <v>7606</v>
      </c>
      <c r="D2730" s="2" t="s">
        <v>10055</v>
      </c>
      <c r="E2730" s="15">
        <v>-6.8999999999999999E-3</v>
      </c>
      <c r="F2730" s="15">
        <v>9.4299999999999995E-2</v>
      </c>
      <c r="G2730" s="15">
        <v>0.9415</v>
      </c>
      <c r="H2730" s="15">
        <v>0.1226</v>
      </c>
      <c r="I2730" s="15">
        <v>4.8000000000000001E-2</v>
      </c>
      <c r="J2730" s="15">
        <v>2.5541666666666671</v>
      </c>
    </row>
    <row r="2731" spans="1:10" x14ac:dyDescent="0.25">
      <c r="A2731" s="2" t="s">
        <v>7607</v>
      </c>
      <c r="B2731" s="2" t="s">
        <v>7007</v>
      </c>
      <c r="C2731" s="2" t="s">
        <v>7608</v>
      </c>
      <c r="D2731" s="2" t="s">
        <v>10055</v>
      </c>
      <c r="E2731" s="15">
        <v>-9.4299999999999995E-2</v>
      </c>
      <c r="F2731" s="15">
        <v>0.1148</v>
      </c>
      <c r="G2731" s="15">
        <v>0.41170000000000001</v>
      </c>
      <c r="H2731" s="15">
        <v>9.0499999999999997E-2</v>
      </c>
      <c r="I2731" s="15">
        <v>4.41E-2</v>
      </c>
      <c r="J2731" s="15">
        <v>2.052154195011338</v>
      </c>
    </row>
    <row r="2732" spans="1:10" x14ac:dyDescent="0.25">
      <c r="A2732" s="2" t="s">
        <v>7609</v>
      </c>
      <c r="B2732" s="2" t="s">
        <v>7007</v>
      </c>
      <c r="C2732" s="2" t="s">
        <v>7610</v>
      </c>
      <c r="D2732" s="2" t="s">
        <v>10055</v>
      </c>
      <c r="E2732" s="15">
        <v>0.1211</v>
      </c>
      <c r="F2732" s="15">
        <v>0.45440000000000003</v>
      </c>
      <c r="G2732" s="15">
        <v>0.78979999999999995</v>
      </c>
      <c r="H2732" s="15">
        <v>1.09E-2</v>
      </c>
      <c r="I2732" s="15">
        <v>3.8800000000000001E-2</v>
      </c>
      <c r="J2732" s="15">
        <v>0.28092783505154639</v>
      </c>
    </row>
    <row r="2733" spans="1:10" x14ac:dyDescent="0.25">
      <c r="A2733" s="2" t="s">
        <v>7611</v>
      </c>
      <c r="B2733" s="2" t="s">
        <v>7007</v>
      </c>
      <c r="C2733" s="2" t="s">
        <v>7612</v>
      </c>
      <c r="D2733" s="2" t="s">
        <v>10055</v>
      </c>
      <c r="E2733" s="15"/>
      <c r="F2733" s="15"/>
      <c r="G2733" s="15"/>
      <c r="H2733" s="15">
        <v>-4.7000000000000002E-3</v>
      </c>
      <c r="I2733" s="15">
        <v>4.1500000000000002E-2</v>
      </c>
      <c r="J2733" s="15">
        <v>-0.1132530120481928</v>
      </c>
    </row>
    <row r="2734" spans="1:10" x14ac:dyDescent="0.25">
      <c r="A2734" s="2" t="s">
        <v>7613</v>
      </c>
      <c r="B2734" s="2" t="s">
        <v>7007</v>
      </c>
      <c r="C2734" s="2" t="s">
        <v>7614</v>
      </c>
      <c r="D2734" s="2" t="s">
        <v>10055</v>
      </c>
      <c r="E2734" s="15"/>
      <c r="F2734" s="15"/>
      <c r="G2734" s="15"/>
      <c r="H2734" s="15"/>
      <c r="I2734" s="15"/>
      <c r="J2734" s="15"/>
    </row>
    <row r="2735" spans="1:10" x14ac:dyDescent="0.25">
      <c r="A2735" s="2" t="s">
        <v>7615</v>
      </c>
      <c r="B2735" s="2" t="s">
        <v>7007</v>
      </c>
      <c r="C2735" s="2" t="s">
        <v>7616</v>
      </c>
      <c r="D2735" s="2" t="s">
        <v>10055</v>
      </c>
      <c r="E2735" s="15">
        <v>9.11E-2</v>
      </c>
      <c r="F2735" s="15">
        <v>9.6000000000000002E-2</v>
      </c>
      <c r="G2735" s="15">
        <v>0.34279999999999999</v>
      </c>
      <c r="H2735" s="15">
        <v>0.1051</v>
      </c>
      <c r="I2735" s="15">
        <v>4.5499999999999999E-2</v>
      </c>
      <c r="J2735" s="15">
        <v>2.3098901098901101</v>
      </c>
    </row>
    <row r="2736" spans="1:10" x14ac:dyDescent="0.25">
      <c r="A2736" s="2" t="s">
        <v>7617</v>
      </c>
      <c r="B2736" s="2" t="s">
        <v>7007</v>
      </c>
      <c r="C2736" s="2" t="s">
        <v>7618</v>
      </c>
      <c r="D2736" s="2" t="s">
        <v>10055</v>
      </c>
      <c r="E2736" s="15">
        <v>0.35809999999999997</v>
      </c>
      <c r="F2736" s="15">
        <v>0.80310000000000004</v>
      </c>
      <c r="G2736" s="15">
        <v>0.65569999999999995</v>
      </c>
      <c r="H2736" s="15">
        <v>1.34E-2</v>
      </c>
      <c r="I2736" s="15">
        <v>4.0099999999999997E-2</v>
      </c>
      <c r="J2736" s="15">
        <v>0.33416458852867842</v>
      </c>
    </row>
    <row r="2737" spans="1:10" x14ac:dyDescent="0.25">
      <c r="A2737" s="2" t="s">
        <v>7619</v>
      </c>
      <c r="B2737" s="2" t="s">
        <v>7007</v>
      </c>
      <c r="C2737" s="2" t="s">
        <v>7620</v>
      </c>
      <c r="D2737" s="2" t="s">
        <v>10055</v>
      </c>
      <c r="E2737" s="15">
        <v>-0.23</v>
      </c>
      <c r="F2737" s="15">
        <v>1.5632999999999999</v>
      </c>
      <c r="G2737" s="15">
        <v>0.88300000000000001</v>
      </c>
      <c r="H2737" s="15">
        <v>1.84E-2</v>
      </c>
      <c r="I2737" s="15">
        <v>4.5699999999999998E-2</v>
      </c>
      <c r="J2737" s="15">
        <v>0.40262582056892782</v>
      </c>
    </row>
    <row r="2738" spans="1:10" x14ac:dyDescent="0.25">
      <c r="A2738" s="2" t="s">
        <v>7621</v>
      </c>
      <c r="B2738" s="2" t="s">
        <v>7007</v>
      </c>
      <c r="C2738" s="2" t="s">
        <v>7622</v>
      </c>
      <c r="D2738" s="2" t="s">
        <v>10055</v>
      </c>
      <c r="E2738" s="15">
        <v>5.5800000000000002E-2</v>
      </c>
      <c r="F2738" s="15">
        <v>0.1734</v>
      </c>
      <c r="G2738" s="15">
        <v>0.74739999999999995</v>
      </c>
      <c r="H2738" s="15">
        <v>5.6000000000000001E-2</v>
      </c>
      <c r="I2738" s="15">
        <v>3.9800000000000002E-2</v>
      </c>
      <c r="J2738" s="15">
        <v>1.4070351758793971</v>
      </c>
    </row>
    <row r="2739" spans="1:10" x14ac:dyDescent="0.25">
      <c r="A2739" s="2" t="s">
        <v>7623</v>
      </c>
      <c r="B2739" s="2" t="s">
        <v>7007</v>
      </c>
      <c r="C2739" s="2" t="s">
        <v>7624</v>
      </c>
      <c r="D2739" s="2" t="s">
        <v>10055</v>
      </c>
      <c r="E2739" s="15"/>
      <c r="F2739" s="15"/>
      <c r="G2739" s="15"/>
      <c r="H2739" s="15">
        <v>-3.7000000000000002E-3</v>
      </c>
      <c r="I2739" s="15">
        <v>3.6900000000000002E-2</v>
      </c>
      <c r="J2739" s="15">
        <v>-0.1002710027100271</v>
      </c>
    </row>
    <row r="2740" spans="1:10" x14ac:dyDescent="0.25">
      <c r="A2740" s="2" t="s">
        <v>7625</v>
      </c>
      <c r="B2740" s="2" t="s">
        <v>7007</v>
      </c>
      <c r="C2740" s="2" t="s">
        <v>7626</v>
      </c>
      <c r="D2740" s="2" t="s">
        <v>10055</v>
      </c>
      <c r="E2740" s="15">
        <v>-0.28299999999999997</v>
      </c>
      <c r="F2740" s="15">
        <v>0.31730000000000003</v>
      </c>
      <c r="G2740" s="15">
        <v>0.37259999999999999</v>
      </c>
      <c r="H2740" s="15">
        <v>2.4299999999999999E-2</v>
      </c>
      <c r="I2740" s="15">
        <v>3.9699999999999999E-2</v>
      </c>
      <c r="J2740" s="15">
        <v>0.61209068010075562</v>
      </c>
    </row>
    <row r="2741" spans="1:10" x14ac:dyDescent="0.25">
      <c r="A2741" s="2" t="s">
        <v>7627</v>
      </c>
      <c r="B2741" s="2" t="s">
        <v>7007</v>
      </c>
      <c r="C2741" s="2" t="s">
        <v>7628</v>
      </c>
      <c r="D2741" s="2" t="s">
        <v>10055</v>
      </c>
      <c r="E2741" s="15">
        <v>-0.14779999999999999</v>
      </c>
      <c r="F2741" s="15">
        <v>0.1187</v>
      </c>
      <c r="G2741" s="15">
        <v>0.21310000000000001</v>
      </c>
      <c r="H2741" s="15">
        <v>9.74E-2</v>
      </c>
      <c r="I2741" s="15">
        <v>4.3400000000000001E-2</v>
      </c>
      <c r="J2741" s="15">
        <v>2.2442396313364061</v>
      </c>
    </row>
    <row r="2742" spans="1:10" x14ac:dyDescent="0.25">
      <c r="A2742" s="2" t="s">
        <v>7629</v>
      </c>
      <c r="B2742" s="2" t="s">
        <v>7007</v>
      </c>
      <c r="C2742" s="2" t="s">
        <v>7630</v>
      </c>
      <c r="D2742" s="2" t="s">
        <v>10055</v>
      </c>
      <c r="E2742" s="15">
        <v>-0.19209999999999999</v>
      </c>
      <c r="F2742" s="15">
        <v>0.14729999999999999</v>
      </c>
      <c r="G2742" s="15">
        <v>0.1923</v>
      </c>
      <c r="H2742" s="15">
        <v>7.6200000000000004E-2</v>
      </c>
      <c r="I2742" s="15">
        <v>4.2599999999999999E-2</v>
      </c>
      <c r="J2742" s="15">
        <v>1.788732394366197</v>
      </c>
    </row>
    <row r="2743" spans="1:10" x14ac:dyDescent="0.25">
      <c r="A2743" s="2" t="s">
        <v>7631</v>
      </c>
      <c r="B2743" s="2" t="s">
        <v>7007</v>
      </c>
      <c r="C2743" s="2" t="s">
        <v>7632</v>
      </c>
      <c r="D2743" s="2" t="s">
        <v>10055</v>
      </c>
      <c r="E2743" s="15">
        <v>-7.4000000000000003E-3</v>
      </c>
      <c r="F2743" s="15">
        <v>0.15890000000000001</v>
      </c>
      <c r="G2743" s="15">
        <v>0.96309999999999996</v>
      </c>
      <c r="H2743" s="15">
        <v>3.95E-2</v>
      </c>
      <c r="I2743" s="15">
        <v>3.8399999999999997E-2</v>
      </c>
      <c r="J2743" s="15">
        <v>1.028645833333333</v>
      </c>
    </row>
    <row r="2744" spans="1:10" x14ac:dyDescent="0.25">
      <c r="A2744" s="2" t="s">
        <v>7633</v>
      </c>
      <c r="B2744" s="2" t="s">
        <v>7007</v>
      </c>
      <c r="C2744" s="2" t="s">
        <v>7634</v>
      </c>
      <c r="D2744" s="2" t="s">
        <v>10055</v>
      </c>
      <c r="E2744" s="15"/>
      <c r="F2744" s="15"/>
      <c r="G2744" s="15"/>
      <c r="H2744" s="15"/>
      <c r="I2744" s="15"/>
      <c r="J2744" s="15"/>
    </row>
    <row r="2745" spans="1:10" x14ac:dyDescent="0.25">
      <c r="A2745" s="2" t="s">
        <v>7635</v>
      </c>
      <c r="B2745" s="2" t="s">
        <v>7007</v>
      </c>
      <c r="C2745" s="2" t="s">
        <v>7636</v>
      </c>
      <c r="D2745" s="2" t="s">
        <v>10055</v>
      </c>
      <c r="E2745" s="15"/>
      <c r="F2745" s="15"/>
      <c r="G2745" s="15"/>
      <c r="H2745" s="15"/>
      <c r="I2745" s="15"/>
      <c r="J2745" s="15"/>
    </row>
    <row r="2746" spans="1:10" x14ac:dyDescent="0.25">
      <c r="A2746" s="2" t="s">
        <v>7637</v>
      </c>
      <c r="B2746" s="2" t="s">
        <v>7007</v>
      </c>
      <c r="C2746" s="2" t="s">
        <v>7638</v>
      </c>
      <c r="D2746" s="2" t="s">
        <v>10055</v>
      </c>
      <c r="E2746" s="15">
        <v>-5.11E-2</v>
      </c>
      <c r="F2746" s="15">
        <v>0.1313</v>
      </c>
      <c r="G2746" s="15">
        <v>0.69689999999999996</v>
      </c>
      <c r="H2746" s="15">
        <v>5.0900000000000001E-2</v>
      </c>
      <c r="I2746" s="15">
        <v>4.1099999999999998E-2</v>
      </c>
      <c r="J2746" s="15">
        <v>1.2384428223844279</v>
      </c>
    </row>
    <row r="2747" spans="1:10" x14ac:dyDescent="0.25">
      <c r="A2747" s="2" t="s">
        <v>7639</v>
      </c>
      <c r="B2747" s="2" t="s">
        <v>7007</v>
      </c>
      <c r="C2747" s="2" t="s">
        <v>7640</v>
      </c>
      <c r="D2747" s="2" t="s">
        <v>10055</v>
      </c>
      <c r="E2747" s="15"/>
      <c r="F2747" s="15"/>
      <c r="G2747" s="15"/>
      <c r="H2747" s="15"/>
      <c r="I2747" s="15"/>
      <c r="J2747" s="15"/>
    </row>
    <row r="2748" spans="1:10" x14ac:dyDescent="0.25">
      <c r="A2748" s="2" t="s">
        <v>7641</v>
      </c>
      <c r="B2748" s="2" t="s">
        <v>7007</v>
      </c>
      <c r="C2748" s="2" t="s">
        <v>7642</v>
      </c>
      <c r="D2748" s="2" t="s">
        <v>10055</v>
      </c>
      <c r="E2748" s="15">
        <v>0.17380000000000001</v>
      </c>
      <c r="F2748" s="15">
        <v>0.1686</v>
      </c>
      <c r="G2748" s="15">
        <v>0.30270000000000002</v>
      </c>
      <c r="H2748" s="15">
        <v>5.5399999999999998E-2</v>
      </c>
      <c r="I2748" s="15">
        <v>4.8099999999999997E-2</v>
      </c>
      <c r="J2748" s="15">
        <v>1.1517671517671519</v>
      </c>
    </row>
    <row r="2749" spans="1:10" x14ac:dyDescent="0.25">
      <c r="A2749" s="2" t="s">
        <v>7643</v>
      </c>
      <c r="B2749" s="2" t="s">
        <v>7007</v>
      </c>
      <c r="C2749" s="2" t="s">
        <v>7644</v>
      </c>
      <c r="D2749" s="2" t="s">
        <v>10055</v>
      </c>
      <c r="E2749" s="15">
        <v>0.18140000000000001</v>
      </c>
      <c r="F2749" s="15">
        <v>0.114</v>
      </c>
      <c r="G2749" s="15">
        <v>0.1115</v>
      </c>
      <c r="H2749" s="15">
        <v>0.10349999999999999</v>
      </c>
      <c r="I2749" s="15">
        <v>4.5999999999999999E-2</v>
      </c>
      <c r="J2749" s="15">
        <v>2.25</v>
      </c>
    </row>
    <row r="2750" spans="1:10" x14ac:dyDescent="0.25">
      <c r="A2750" s="2" t="s">
        <v>7645</v>
      </c>
      <c r="B2750" s="2" t="s">
        <v>7007</v>
      </c>
      <c r="C2750" s="2" t="s">
        <v>7646</v>
      </c>
      <c r="D2750" s="2" t="s">
        <v>10055</v>
      </c>
      <c r="E2750" s="15"/>
      <c r="F2750" s="15"/>
      <c r="G2750" s="15"/>
      <c r="H2750" s="15"/>
      <c r="I2750" s="15"/>
      <c r="J2750" s="15"/>
    </row>
    <row r="2751" spans="1:10" x14ac:dyDescent="0.25">
      <c r="A2751" s="2" t="s">
        <v>7647</v>
      </c>
      <c r="B2751" s="2" t="s">
        <v>7007</v>
      </c>
      <c r="C2751" s="2" t="s">
        <v>7648</v>
      </c>
      <c r="D2751" s="2" t="s">
        <v>10055</v>
      </c>
      <c r="E2751" s="15">
        <v>8.2299999999999998E-2</v>
      </c>
      <c r="F2751" s="15">
        <v>0.36470000000000002</v>
      </c>
      <c r="G2751" s="15">
        <v>0.82150000000000001</v>
      </c>
      <c r="H2751" s="15">
        <v>1.47E-2</v>
      </c>
      <c r="I2751" s="15">
        <v>4.24E-2</v>
      </c>
      <c r="J2751" s="15">
        <v>0.34669811320754718</v>
      </c>
    </row>
    <row r="2752" spans="1:10" x14ac:dyDescent="0.25">
      <c r="A2752" s="2" t="s">
        <v>7649</v>
      </c>
      <c r="B2752" s="2" t="s">
        <v>7007</v>
      </c>
      <c r="C2752" s="2" t="s">
        <v>7650</v>
      </c>
      <c r="D2752" s="2" t="s">
        <v>10055</v>
      </c>
      <c r="E2752" s="15">
        <v>0.12690000000000001</v>
      </c>
      <c r="F2752" s="15">
        <v>0.10440000000000001</v>
      </c>
      <c r="G2752" s="15">
        <v>0.22420000000000001</v>
      </c>
      <c r="H2752" s="15">
        <v>0.10630000000000001</v>
      </c>
      <c r="I2752" s="15">
        <v>4.5900000000000003E-2</v>
      </c>
      <c r="J2752" s="15">
        <v>2.3159041394335511</v>
      </c>
    </row>
    <row r="2753" spans="1:10" x14ac:dyDescent="0.25">
      <c r="A2753" s="2" t="s">
        <v>7651</v>
      </c>
      <c r="B2753" s="2" t="s">
        <v>7007</v>
      </c>
      <c r="C2753" s="2" t="s">
        <v>7652</v>
      </c>
      <c r="D2753" s="2" t="s">
        <v>10055</v>
      </c>
      <c r="E2753" s="15">
        <v>3.2800000000000003E-2</v>
      </c>
      <c r="F2753" s="15">
        <v>0.19869999999999999</v>
      </c>
      <c r="G2753" s="15">
        <v>0.86899999999999999</v>
      </c>
      <c r="H2753" s="15">
        <v>3.4599999999999999E-2</v>
      </c>
      <c r="I2753" s="15">
        <v>3.9699999999999999E-2</v>
      </c>
      <c r="J2753" s="15">
        <v>0.87153652392947101</v>
      </c>
    </row>
    <row r="2754" spans="1:10" x14ac:dyDescent="0.25">
      <c r="A2754" s="2" t="s">
        <v>7653</v>
      </c>
      <c r="B2754" s="2" t="s">
        <v>7007</v>
      </c>
      <c r="C2754" s="2" t="s">
        <v>7654</v>
      </c>
      <c r="D2754" s="2" t="s">
        <v>10055</v>
      </c>
      <c r="E2754" s="15">
        <v>0.3861</v>
      </c>
      <c r="F2754" s="15">
        <v>1.1032</v>
      </c>
      <c r="G2754" s="15">
        <v>0.72640000000000005</v>
      </c>
      <c r="H2754" s="15">
        <v>1.2E-2</v>
      </c>
      <c r="I2754" s="15">
        <v>4.4699999999999997E-2</v>
      </c>
      <c r="J2754" s="15">
        <v>0.26845637583892618</v>
      </c>
    </row>
    <row r="2755" spans="1:10" x14ac:dyDescent="0.25">
      <c r="A2755" s="2" t="s">
        <v>7655</v>
      </c>
      <c r="B2755" s="2" t="s">
        <v>7007</v>
      </c>
      <c r="C2755" s="2" t="s">
        <v>7656</v>
      </c>
      <c r="D2755" s="2" t="s">
        <v>10055</v>
      </c>
      <c r="E2755" s="15">
        <v>-6.4100000000000004E-2</v>
      </c>
      <c r="F2755" s="15">
        <v>0.1066</v>
      </c>
      <c r="G2755" s="15">
        <v>0.5474</v>
      </c>
      <c r="H2755" s="15">
        <v>0.1144</v>
      </c>
      <c r="I2755" s="15">
        <v>4.4900000000000002E-2</v>
      </c>
      <c r="J2755" s="15">
        <v>2.5478841870824049</v>
      </c>
    </row>
    <row r="2756" spans="1:10" x14ac:dyDescent="0.25">
      <c r="A2756" s="2" t="s">
        <v>7657</v>
      </c>
      <c r="B2756" s="2" t="s">
        <v>7007</v>
      </c>
      <c r="C2756" s="2" t="s">
        <v>7658</v>
      </c>
      <c r="D2756" s="2" t="s">
        <v>10055</v>
      </c>
      <c r="E2756" s="15"/>
      <c r="F2756" s="15"/>
      <c r="G2756" s="15"/>
      <c r="H2756" s="15">
        <v>-5.6300000000000003E-2</v>
      </c>
      <c r="I2756" s="15">
        <v>4.1300000000000003E-2</v>
      </c>
      <c r="J2756" s="15">
        <v>-1.3631961259079901</v>
      </c>
    </row>
    <row r="2757" spans="1:10" x14ac:dyDescent="0.25">
      <c r="A2757" s="2" t="s">
        <v>7659</v>
      </c>
      <c r="B2757" s="2" t="s">
        <v>7007</v>
      </c>
      <c r="C2757" s="2" t="s">
        <v>7660</v>
      </c>
      <c r="D2757" s="2" t="s">
        <v>10055</v>
      </c>
      <c r="E2757" s="15">
        <v>-0.13059999999999999</v>
      </c>
      <c r="F2757" s="15">
        <v>0.1134</v>
      </c>
      <c r="G2757" s="15">
        <v>0.24940000000000001</v>
      </c>
      <c r="H2757" s="15">
        <v>9.64E-2</v>
      </c>
      <c r="I2757" s="15">
        <v>3.6999999999999998E-2</v>
      </c>
      <c r="J2757" s="15">
        <v>2.605405405405405</v>
      </c>
    </row>
    <row r="2758" spans="1:10" x14ac:dyDescent="0.25">
      <c r="A2758" s="2" t="s">
        <v>7661</v>
      </c>
      <c r="B2758" s="2" t="s">
        <v>7007</v>
      </c>
      <c r="C2758" s="2" t="s">
        <v>7662</v>
      </c>
      <c r="D2758" s="2" t="s">
        <v>10055</v>
      </c>
      <c r="E2758" s="15">
        <v>-1.37E-2</v>
      </c>
      <c r="F2758" s="15">
        <v>0.1183</v>
      </c>
      <c r="G2758" s="15">
        <v>0.90759999999999996</v>
      </c>
      <c r="H2758" s="15">
        <v>7.3400000000000007E-2</v>
      </c>
      <c r="I2758" s="15">
        <v>4.3299999999999998E-2</v>
      </c>
      <c r="J2758" s="15">
        <v>1.695150115473441</v>
      </c>
    </row>
    <row r="2759" spans="1:10" x14ac:dyDescent="0.25">
      <c r="A2759" s="2" t="s">
        <v>7663</v>
      </c>
      <c r="B2759" s="2" t="s">
        <v>7007</v>
      </c>
      <c r="C2759" s="2" t="s">
        <v>7664</v>
      </c>
      <c r="D2759" s="2" t="s">
        <v>10055</v>
      </c>
      <c r="E2759" s="15"/>
      <c r="F2759" s="15"/>
      <c r="G2759" s="15"/>
      <c r="H2759" s="15">
        <v>-2.2100000000000002E-2</v>
      </c>
      <c r="I2759" s="15">
        <v>4.2700000000000002E-2</v>
      </c>
      <c r="J2759" s="15">
        <v>-0.51756440281030447</v>
      </c>
    </row>
    <row r="2760" spans="1:10" x14ac:dyDescent="0.25">
      <c r="A2760" s="2" t="s">
        <v>7665</v>
      </c>
      <c r="B2760" s="2" t="s">
        <v>7007</v>
      </c>
      <c r="C2760" s="2" t="s">
        <v>7666</v>
      </c>
      <c r="D2760" s="2" t="s">
        <v>10055</v>
      </c>
      <c r="E2760" s="15"/>
      <c r="F2760" s="15"/>
      <c r="G2760" s="15"/>
      <c r="H2760" s="15">
        <v>-1.6E-2</v>
      </c>
      <c r="I2760" s="15">
        <v>4.1200000000000001E-2</v>
      </c>
      <c r="J2760" s="15">
        <v>-0.38834951456310679</v>
      </c>
    </row>
    <row r="2761" spans="1:10" x14ac:dyDescent="0.25">
      <c r="A2761" s="2" t="s">
        <v>7667</v>
      </c>
      <c r="B2761" s="2" t="s">
        <v>7007</v>
      </c>
      <c r="C2761" s="2" t="s">
        <v>7668</v>
      </c>
      <c r="D2761" s="2" t="s">
        <v>10055</v>
      </c>
      <c r="E2761" s="15">
        <v>-9.2600000000000002E-2</v>
      </c>
      <c r="F2761" s="15">
        <v>0.2102</v>
      </c>
      <c r="G2761" s="15">
        <v>0.65959999999999996</v>
      </c>
      <c r="H2761" s="15">
        <v>3.3300000000000003E-2</v>
      </c>
      <c r="I2761" s="15">
        <v>4.1700000000000001E-2</v>
      </c>
      <c r="J2761" s="15">
        <v>0.79856115107913672</v>
      </c>
    </row>
    <row r="2762" spans="1:10" x14ac:dyDescent="0.25">
      <c r="A2762" s="2" t="s">
        <v>7669</v>
      </c>
      <c r="B2762" s="2" t="s">
        <v>7007</v>
      </c>
      <c r="C2762" s="2" t="s">
        <v>7670</v>
      </c>
      <c r="D2762" s="2" t="s">
        <v>10055</v>
      </c>
      <c r="E2762" s="15"/>
      <c r="F2762" s="15"/>
      <c r="G2762" s="15"/>
      <c r="H2762" s="15">
        <v>-2.1700000000000001E-2</v>
      </c>
      <c r="I2762" s="15">
        <v>4.1099999999999998E-2</v>
      </c>
      <c r="J2762" s="15">
        <v>-0.52798053527980537</v>
      </c>
    </row>
    <row r="2763" spans="1:10" x14ac:dyDescent="0.25">
      <c r="A2763" s="2" t="s">
        <v>7671</v>
      </c>
      <c r="B2763" s="2" t="s">
        <v>7007</v>
      </c>
      <c r="C2763" s="2" t="s">
        <v>7672</v>
      </c>
      <c r="D2763" s="2" t="s">
        <v>10055</v>
      </c>
      <c r="E2763" s="15">
        <v>0.38940000000000002</v>
      </c>
      <c r="F2763" s="15">
        <v>0.16309999999999999</v>
      </c>
      <c r="G2763" s="15">
        <v>1.7000000000000001E-2</v>
      </c>
      <c r="H2763" s="15">
        <v>7.8299999999999995E-2</v>
      </c>
      <c r="I2763" s="15">
        <v>4.4900000000000002E-2</v>
      </c>
      <c r="J2763" s="15">
        <v>1.743875278396436</v>
      </c>
    </row>
    <row r="2764" spans="1:10" x14ac:dyDescent="0.25">
      <c r="A2764" s="2" t="s">
        <v>7673</v>
      </c>
      <c r="B2764" s="2" t="s">
        <v>7007</v>
      </c>
      <c r="C2764" s="2" t="s">
        <v>7674</v>
      </c>
      <c r="D2764" s="2" t="s">
        <v>10055</v>
      </c>
      <c r="E2764" s="15">
        <v>-5.1299999999999998E-2</v>
      </c>
      <c r="F2764" s="15">
        <v>0.1159</v>
      </c>
      <c r="G2764" s="15">
        <v>0.65780000000000005</v>
      </c>
      <c r="H2764" s="15">
        <v>0.1046</v>
      </c>
      <c r="I2764" s="15">
        <v>4.2999999999999997E-2</v>
      </c>
      <c r="J2764" s="15">
        <v>2.4325581395348839</v>
      </c>
    </row>
    <row r="2765" spans="1:10" x14ac:dyDescent="0.25">
      <c r="A2765" s="2" t="s">
        <v>7675</v>
      </c>
      <c r="B2765" s="2" t="s">
        <v>7007</v>
      </c>
      <c r="C2765" s="2" t="s">
        <v>7676</v>
      </c>
      <c r="D2765" s="2" t="s">
        <v>10055</v>
      </c>
      <c r="E2765" s="15"/>
      <c r="F2765" s="15"/>
      <c r="G2765" s="15"/>
      <c r="H2765" s="15"/>
      <c r="I2765" s="15"/>
      <c r="J2765" s="15"/>
    </row>
    <row r="2766" spans="1:10" x14ac:dyDescent="0.25">
      <c r="A2766" s="2" t="s">
        <v>7677</v>
      </c>
      <c r="B2766" s="2" t="s">
        <v>7007</v>
      </c>
      <c r="C2766" s="2" t="s">
        <v>7678</v>
      </c>
      <c r="D2766" s="2" t="s">
        <v>10055</v>
      </c>
      <c r="E2766" s="15">
        <v>8.8499999999999995E-2</v>
      </c>
      <c r="F2766" s="15">
        <v>9.6199999999999994E-2</v>
      </c>
      <c r="G2766" s="15">
        <v>0.35759999999999997</v>
      </c>
      <c r="H2766" s="15">
        <v>0.14050000000000001</v>
      </c>
      <c r="I2766" s="15">
        <v>4.7800000000000002E-2</v>
      </c>
      <c r="J2766" s="15">
        <v>2.939330543933055</v>
      </c>
    </row>
    <row r="2767" spans="1:10" x14ac:dyDescent="0.25">
      <c r="A2767" s="2" t="s">
        <v>7679</v>
      </c>
      <c r="B2767" s="2" t="s">
        <v>7007</v>
      </c>
      <c r="C2767" s="2" t="s">
        <v>7680</v>
      </c>
      <c r="D2767" s="2" t="s">
        <v>10055</v>
      </c>
      <c r="E2767" s="15">
        <v>0.27139999999999997</v>
      </c>
      <c r="F2767" s="15">
        <v>0.1585</v>
      </c>
      <c r="G2767" s="15">
        <v>8.6800000000000002E-2</v>
      </c>
      <c r="H2767" s="15">
        <v>6.9000000000000006E-2</v>
      </c>
      <c r="I2767" s="15">
        <v>4.3499999999999997E-2</v>
      </c>
      <c r="J2767" s="15">
        <v>1.586206896551724</v>
      </c>
    </row>
    <row r="2768" spans="1:10" x14ac:dyDescent="0.25">
      <c r="A2768" s="2" t="s">
        <v>7681</v>
      </c>
      <c r="B2768" s="2" t="s">
        <v>7007</v>
      </c>
      <c r="C2768" s="2" t="s">
        <v>7682</v>
      </c>
      <c r="D2768" s="2" t="s">
        <v>10055</v>
      </c>
      <c r="E2768" s="15">
        <v>2.5899999999999999E-2</v>
      </c>
      <c r="F2768" s="15">
        <v>0.16869999999999999</v>
      </c>
      <c r="G2768" s="15">
        <v>0.87790000000000001</v>
      </c>
      <c r="H2768" s="15">
        <v>5.04E-2</v>
      </c>
      <c r="I2768" s="15">
        <v>4.4699999999999997E-2</v>
      </c>
      <c r="J2768" s="15">
        <v>1.1275167785234901</v>
      </c>
    </row>
    <row r="2769" spans="1:10" x14ac:dyDescent="0.25">
      <c r="A2769" s="2" t="s">
        <v>7683</v>
      </c>
      <c r="B2769" s="2" t="s">
        <v>7007</v>
      </c>
      <c r="C2769" s="2" t="s">
        <v>7684</v>
      </c>
      <c r="D2769" s="2" t="s">
        <v>10055</v>
      </c>
      <c r="E2769" s="15"/>
      <c r="F2769" s="15"/>
      <c r="G2769" s="15"/>
      <c r="H2769" s="15">
        <v>-1.8800000000000001E-2</v>
      </c>
      <c r="I2769" s="15">
        <v>3.9399999999999998E-2</v>
      </c>
      <c r="J2769" s="15">
        <v>-0.47715736040609141</v>
      </c>
    </row>
    <row r="2770" spans="1:10" x14ac:dyDescent="0.25">
      <c r="A2770" s="2" t="s">
        <v>7685</v>
      </c>
      <c r="B2770" s="2" t="s">
        <v>7007</v>
      </c>
      <c r="C2770" s="2" t="s">
        <v>7686</v>
      </c>
      <c r="D2770" s="2" t="s">
        <v>10055</v>
      </c>
      <c r="E2770" s="15">
        <v>0.45419999999999999</v>
      </c>
      <c r="F2770" s="15">
        <v>0.39860000000000001</v>
      </c>
      <c r="G2770" s="15">
        <v>0.2545</v>
      </c>
      <c r="H2770" s="15">
        <v>2.93E-2</v>
      </c>
      <c r="I2770" s="15">
        <v>4.1300000000000003E-2</v>
      </c>
      <c r="J2770" s="15">
        <v>0.70944309927360771</v>
      </c>
    </row>
    <row r="2771" spans="1:10" x14ac:dyDescent="0.25">
      <c r="A2771" s="2" t="s">
        <v>7687</v>
      </c>
      <c r="B2771" s="2" t="s">
        <v>7007</v>
      </c>
      <c r="C2771" s="2" t="s">
        <v>7688</v>
      </c>
      <c r="D2771" s="2" t="s">
        <v>10055</v>
      </c>
      <c r="E2771" s="15">
        <v>-7.3000000000000001E-3</v>
      </c>
      <c r="F2771" s="15">
        <v>0.2009</v>
      </c>
      <c r="G2771" s="15">
        <v>0.97099999999999997</v>
      </c>
      <c r="H2771" s="15">
        <v>2.9700000000000001E-2</v>
      </c>
      <c r="I2771" s="15">
        <v>4.3700000000000003E-2</v>
      </c>
      <c r="J2771" s="15">
        <v>0.67963386727688779</v>
      </c>
    </row>
    <row r="2772" spans="1:10" x14ac:dyDescent="0.25">
      <c r="A2772" s="2" t="s">
        <v>7689</v>
      </c>
      <c r="B2772" s="2" t="s">
        <v>7007</v>
      </c>
      <c r="C2772" s="2" t="s">
        <v>7690</v>
      </c>
      <c r="D2772" s="2" t="s">
        <v>10055</v>
      </c>
      <c r="E2772" s="15">
        <v>-8.0799999999999997E-2</v>
      </c>
      <c r="F2772" s="15">
        <v>0.1515</v>
      </c>
      <c r="G2772" s="15">
        <v>0.59370000000000001</v>
      </c>
      <c r="H2772" s="15">
        <v>5.6800000000000003E-2</v>
      </c>
      <c r="I2772" s="15">
        <v>4.6899999999999997E-2</v>
      </c>
      <c r="J2772" s="15">
        <v>1.211087420042644</v>
      </c>
    </row>
    <row r="2773" spans="1:10" x14ac:dyDescent="0.25">
      <c r="A2773" s="2" t="s">
        <v>7691</v>
      </c>
      <c r="B2773" s="2" t="s">
        <v>7007</v>
      </c>
      <c r="C2773" s="2" t="s">
        <v>7692</v>
      </c>
      <c r="D2773" s="2" t="s">
        <v>10055</v>
      </c>
      <c r="E2773" s="15">
        <v>-8.5300000000000001E-2</v>
      </c>
      <c r="F2773" s="15">
        <v>0.1137</v>
      </c>
      <c r="G2773" s="15">
        <v>0.45319999999999999</v>
      </c>
      <c r="H2773" s="15">
        <v>8.1500000000000003E-2</v>
      </c>
      <c r="I2773" s="15">
        <v>4.2099999999999999E-2</v>
      </c>
      <c r="J2773" s="15">
        <v>1.9358669833729221</v>
      </c>
    </row>
    <row r="2774" spans="1:10" x14ac:dyDescent="0.25">
      <c r="A2774" s="2" t="s">
        <v>7693</v>
      </c>
      <c r="B2774" s="2" t="s">
        <v>7007</v>
      </c>
      <c r="C2774" s="2" t="s">
        <v>7694</v>
      </c>
      <c r="D2774" s="2" t="s">
        <v>10055</v>
      </c>
      <c r="E2774" s="15">
        <v>4.9099999999999998E-2</v>
      </c>
      <c r="F2774" s="15">
        <v>0.15359999999999999</v>
      </c>
      <c r="G2774" s="15">
        <v>0.74929999999999997</v>
      </c>
      <c r="H2774" s="15">
        <v>6.1899999999999997E-2</v>
      </c>
      <c r="I2774" s="15">
        <v>4.2000000000000003E-2</v>
      </c>
      <c r="J2774" s="15">
        <v>1.4738095238095239</v>
      </c>
    </row>
    <row r="2775" spans="1:10" x14ac:dyDescent="0.25">
      <c r="A2775" s="2" t="s">
        <v>7695</v>
      </c>
      <c r="B2775" s="2" t="s">
        <v>7007</v>
      </c>
      <c r="C2775" s="2" t="s">
        <v>7696</v>
      </c>
      <c r="D2775" s="2" t="s">
        <v>10055</v>
      </c>
      <c r="E2775" s="15">
        <v>9.0700000000000003E-2</v>
      </c>
      <c r="F2775" s="15">
        <v>0.1421</v>
      </c>
      <c r="G2775" s="15">
        <v>0.52310000000000001</v>
      </c>
      <c r="H2775" s="15">
        <v>6.4699999999999994E-2</v>
      </c>
      <c r="I2775" s="15">
        <v>4.6199999999999998E-2</v>
      </c>
      <c r="J2775" s="15">
        <v>1.4004329004328999</v>
      </c>
    </row>
    <row r="2776" spans="1:10" x14ac:dyDescent="0.25">
      <c r="A2776" s="2" t="s">
        <v>7697</v>
      </c>
      <c r="B2776" s="2" t="s">
        <v>7007</v>
      </c>
      <c r="C2776" s="2" t="s">
        <v>7698</v>
      </c>
      <c r="D2776" s="2" t="s">
        <v>10055</v>
      </c>
      <c r="E2776" s="15">
        <v>0.20569999999999999</v>
      </c>
      <c r="F2776" s="15">
        <v>0.2626</v>
      </c>
      <c r="G2776" s="15">
        <v>0.43330000000000002</v>
      </c>
      <c r="H2776" s="15">
        <v>3.4500000000000003E-2</v>
      </c>
      <c r="I2776" s="15">
        <v>4.2799999999999998E-2</v>
      </c>
      <c r="J2776" s="15">
        <v>0.8060747663551403</v>
      </c>
    </row>
    <row r="2777" spans="1:10" x14ac:dyDescent="0.25">
      <c r="A2777" s="2" t="s">
        <v>7699</v>
      </c>
      <c r="B2777" s="2" t="s">
        <v>7007</v>
      </c>
      <c r="C2777" s="2" t="s">
        <v>7700</v>
      </c>
      <c r="D2777" s="2" t="s">
        <v>10055</v>
      </c>
      <c r="E2777" s="15">
        <v>0.18540000000000001</v>
      </c>
      <c r="F2777" s="15">
        <v>0.16800000000000001</v>
      </c>
      <c r="G2777" s="15">
        <v>0.2697</v>
      </c>
      <c r="H2777" s="15">
        <v>6.3200000000000006E-2</v>
      </c>
      <c r="I2777" s="15">
        <v>5.7200000000000001E-2</v>
      </c>
      <c r="J2777" s="15">
        <v>1.104895104895105</v>
      </c>
    </row>
    <row r="2778" spans="1:10" x14ac:dyDescent="0.25">
      <c r="A2778" s="2" t="s">
        <v>7701</v>
      </c>
      <c r="B2778" s="2" t="s">
        <v>7007</v>
      </c>
      <c r="C2778" s="2" t="s">
        <v>7702</v>
      </c>
      <c r="D2778" s="2" t="s">
        <v>10055</v>
      </c>
      <c r="E2778" s="15"/>
      <c r="F2778" s="15"/>
      <c r="G2778" s="15"/>
      <c r="H2778" s="15">
        <v>-5.4199999999999998E-2</v>
      </c>
      <c r="I2778" s="15">
        <v>4.07E-2</v>
      </c>
      <c r="J2778" s="15">
        <v>-1.3316953316953319</v>
      </c>
    </row>
    <row r="2779" spans="1:10" x14ac:dyDescent="0.25">
      <c r="A2779" s="2" t="s">
        <v>7703</v>
      </c>
      <c r="B2779" s="2" t="s">
        <v>7007</v>
      </c>
      <c r="C2779" s="2" t="s">
        <v>7704</v>
      </c>
      <c r="D2779" s="2" t="s">
        <v>10055</v>
      </c>
      <c r="E2779" s="15">
        <v>1.9800000000000002E-2</v>
      </c>
      <c r="F2779" s="15">
        <v>0.1183</v>
      </c>
      <c r="G2779" s="15">
        <v>0.86699999999999999</v>
      </c>
      <c r="H2779" s="15">
        <v>9.1399999999999995E-2</v>
      </c>
      <c r="I2779" s="15">
        <v>4.4499999999999998E-2</v>
      </c>
      <c r="J2779" s="15">
        <v>2.053932584269663</v>
      </c>
    </row>
    <row r="2780" spans="1:10" x14ac:dyDescent="0.25">
      <c r="A2780" s="2" t="s">
        <v>7705</v>
      </c>
      <c r="B2780" s="2" t="s">
        <v>7007</v>
      </c>
      <c r="C2780" s="2" t="s">
        <v>7706</v>
      </c>
      <c r="D2780" s="2" t="s">
        <v>10055</v>
      </c>
      <c r="E2780" s="15"/>
      <c r="F2780" s="15"/>
      <c r="G2780" s="15"/>
      <c r="H2780" s="15">
        <v>-7.6700000000000004E-2</v>
      </c>
      <c r="I2780" s="15">
        <v>3.6900000000000002E-2</v>
      </c>
      <c r="J2780" s="15">
        <v>-2.078590785907859</v>
      </c>
    </row>
    <row r="2781" spans="1:10" x14ac:dyDescent="0.25">
      <c r="A2781" s="2" t="s">
        <v>7707</v>
      </c>
      <c r="B2781" s="2" t="s">
        <v>7007</v>
      </c>
      <c r="C2781" s="2" t="s">
        <v>7708</v>
      </c>
      <c r="D2781" s="2" t="s">
        <v>10055</v>
      </c>
      <c r="E2781" s="15">
        <v>0.1192</v>
      </c>
      <c r="F2781" s="15">
        <v>0.16470000000000001</v>
      </c>
      <c r="G2781" s="15">
        <v>0.46920000000000001</v>
      </c>
      <c r="H2781" s="15">
        <v>4.6300000000000001E-2</v>
      </c>
      <c r="I2781" s="15">
        <v>3.7400000000000003E-2</v>
      </c>
      <c r="J2781" s="15">
        <v>1.237967914438503</v>
      </c>
    </row>
    <row r="2782" spans="1:10" x14ac:dyDescent="0.25">
      <c r="A2782" s="2" t="s">
        <v>7709</v>
      </c>
      <c r="B2782" s="2" t="s">
        <v>7007</v>
      </c>
      <c r="C2782" s="2" t="s">
        <v>7710</v>
      </c>
      <c r="D2782" s="2" t="s">
        <v>10055</v>
      </c>
      <c r="E2782" s="15"/>
      <c r="F2782" s="15"/>
      <c r="G2782" s="15"/>
      <c r="H2782" s="15"/>
      <c r="I2782" s="15"/>
      <c r="J2782" s="15"/>
    </row>
    <row r="2783" spans="1:10" x14ac:dyDescent="0.25">
      <c r="A2783" s="2" t="s">
        <v>7711</v>
      </c>
      <c r="B2783" s="2" t="s">
        <v>7007</v>
      </c>
      <c r="C2783" s="2" t="s">
        <v>7712</v>
      </c>
      <c r="D2783" s="2" t="s">
        <v>10055</v>
      </c>
      <c r="E2783" s="15">
        <v>0.15870000000000001</v>
      </c>
      <c r="F2783" s="15">
        <v>0.1229</v>
      </c>
      <c r="G2783" s="15">
        <v>0.1968</v>
      </c>
      <c r="H2783" s="15">
        <v>8.9300000000000004E-2</v>
      </c>
      <c r="I2783" s="15">
        <v>3.9600000000000003E-2</v>
      </c>
      <c r="J2783" s="15">
        <v>2.2550505050505052</v>
      </c>
    </row>
    <row r="2784" spans="1:10" x14ac:dyDescent="0.25">
      <c r="A2784" s="2" t="s">
        <v>7713</v>
      </c>
      <c r="B2784" s="2" t="s">
        <v>7007</v>
      </c>
      <c r="C2784" s="2" t="s">
        <v>7714</v>
      </c>
      <c r="D2784" s="2" t="s">
        <v>10055</v>
      </c>
      <c r="E2784" s="15"/>
      <c r="F2784" s="15"/>
      <c r="G2784" s="15"/>
      <c r="H2784" s="15">
        <v>-1.34E-2</v>
      </c>
      <c r="I2784" s="15">
        <v>4.3200000000000002E-2</v>
      </c>
      <c r="J2784" s="15">
        <v>-0.31018518518518517</v>
      </c>
    </row>
    <row r="2785" spans="1:10" x14ac:dyDescent="0.25">
      <c r="A2785" s="2" t="s">
        <v>7715</v>
      </c>
      <c r="B2785" s="2" t="s">
        <v>7007</v>
      </c>
      <c r="C2785" s="2" t="s">
        <v>7716</v>
      </c>
      <c r="D2785" s="2" t="s">
        <v>10055</v>
      </c>
      <c r="E2785" s="15"/>
      <c r="F2785" s="15"/>
      <c r="G2785" s="15"/>
      <c r="H2785" s="15">
        <v>-2.3E-3</v>
      </c>
      <c r="I2785" s="15">
        <v>4.5999999999999999E-2</v>
      </c>
      <c r="J2785" s="15">
        <v>-0.05</v>
      </c>
    </row>
    <row r="2786" spans="1:10" x14ac:dyDescent="0.25">
      <c r="A2786" s="2" t="s">
        <v>7717</v>
      </c>
      <c r="B2786" s="2" t="s">
        <v>7007</v>
      </c>
      <c r="C2786" s="2" t="s">
        <v>7718</v>
      </c>
      <c r="D2786" s="2" t="s">
        <v>10055</v>
      </c>
      <c r="E2786" s="15">
        <v>0.27979999999999999</v>
      </c>
      <c r="F2786" s="15">
        <v>0.17249999999999999</v>
      </c>
      <c r="G2786" s="15">
        <v>0.1048</v>
      </c>
      <c r="H2786" s="15">
        <v>6.1100000000000002E-2</v>
      </c>
      <c r="I2786" s="15">
        <v>4.2099999999999999E-2</v>
      </c>
      <c r="J2786" s="15">
        <v>1.4513064133016631</v>
      </c>
    </row>
    <row r="2787" spans="1:10" x14ac:dyDescent="0.25">
      <c r="A2787" s="2" t="s">
        <v>7719</v>
      </c>
      <c r="B2787" s="2" t="s">
        <v>7007</v>
      </c>
      <c r="C2787" s="2" t="s">
        <v>7720</v>
      </c>
      <c r="D2787" s="2" t="s">
        <v>10055</v>
      </c>
      <c r="E2787" s="15">
        <v>-0.16869999999999999</v>
      </c>
      <c r="F2787" s="15">
        <v>0.30380000000000001</v>
      </c>
      <c r="G2787" s="15">
        <v>0.57879999999999998</v>
      </c>
      <c r="H2787" s="15">
        <v>2.18E-2</v>
      </c>
      <c r="I2787" s="15">
        <v>4.4499999999999998E-2</v>
      </c>
      <c r="J2787" s="15">
        <v>0.48988764044943822</v>
      </c>
    </row>
    <row r="2788" spans="1:10" x14ac:dyDescent="0.25">
      <c r="A2788" s="2" t="s">
        <v>7721</v>
      </c>
      <c r="B2788" s="2" t="s">
        <v>7007</v>
      </c>
      <c r="C2788" s="2" t="s">
        <v>7722</v>
      </c>
      <c r="D2788" s="2" t="s">
        <v>10055</v>
      </c>
      <c r="E2788" s="15">
        <v>1.77E-2</v>
      </c>
      <c r="F2788" s="15">
        <v>0.10580000000000001</v>
      </c>
      <c r="G2788" s="15">
        <v>0.86709999999999998</v>
      </c>
      <c r="H2788" s="15">
        <v>0.1084</v>
      </c>
      <c r="I2788" s="15">
        <v>4.3099999999999999E-2</v>
      </c>
      <c r="J2788" s="15">
        <v>2.5150812064965198</v>
      </c>
    </row>
    <row r="2789" spans="1:10" x14ac:dyDescent="0.25">
      <c r="A2789" s="2" t="s">
        <v>7723</v>
      </c>
      <c r="B2789" s="2" t="s">
        <v>7007</v>
      </c>
      <c r="C2789" s="2" t="s">
        <v>7724</v>
      </c>
      <c r="D2789" s="2" t="s">
        <v>10055</v>
      </c>
      <c r="E2789" s="15">
        <v>-0.2616</v>
      </c>
      <c r="F2789" s="15">
        <v>0.78339999999999999</v>
      </c>
      <c r="G2789" s="15">
        <v>0.73839999999999995</v>
      </c>
      <c r="H2789" s="15">
        <v>1.2699999999999999E-2</v>
      </c>
      <c r="I2789" s="15">
        <v>4.3299999999999998E-2</v>
      </c>
      <c r="J2789" s="15">
        <v>0.29330254041570442</v>
      </c>
    </row>
    <row r="2790" spans="1:10" x14ac:dyDescent="0.25">
      <c r="A2790" s="2" t="s">
        <v>7725</v>
      </c>
      <c r="B2790" s="2" t="s">
        <v>7007</v>
      </c>
      <c r="C2790" s="2" t="s">
        <v>7726</v>
      </c>
      <c r="D2790" s="2" t="s">
        <v>10055</v>
      </c>
      <c r="E2790" s="15">
        <v>-0.14829999999999999</v>
      </c>
      <c r="F2790" s="15">
        <v>0.214</v>
      </c>
      <c r="G2790" s="15">
        <v>0.48830000000000001</v>
      </c>
      <c r="H2790" s="15">
        <v>3.9E-2</v>
      </c>
      <c r="I2790" s="15">
        <v>3.8199999999999998E-2</v>
      </c>
      <c r="J2790" s="15">
        <v>1.0209424083769629</v>
      </c>
    </row>
    <row r="2791" spans="1:10" x14ac:dyDescent="0.25">
      <c r="A2791" s="2" t="s">
        <v>7727</v>
      </c>
      <c r="B2791" s="2" t="s">
        <v>7007</v>
      </c>
      <c r="C2791" s="2" t="s">
        <v>7728</v>
      </c>
      <c r="D2791" s="2" t="s">
        <v>10055</v>
      </c>
      <c r="E2791" s="15"/>
      <c r="F2791" s="15"/>
      <c r="G2791" s="15"/>
      <c r="H2791" s="15">
        <v>-4.9299999999999997E-2</v>
      </c>
      <c r="I2791" s="15">
        <v>4.4999999999999998E-2</v>
      </c>
      <c r="J2791" s="15">
        <v>-1.0955555555555561</v>
      </c>
    </row>
    <row r="2792" spans="1:10" x14ac:dyDescent="0.25">
      <c r="A2792" s="2" t="s">
        <v>7729</v>
      </c>
      <c r="B2792" s="2" t="s">
        <v>7007</v>
      </c>
      <c r="C2792" s="2" t="s">
        <v>7730</v>
      </c>
      <c r="D2792" s="2" t="s">
        <v>10055</v>
      </c>
      <c r="E2792" s="15">
        <v>-0.12280000000000001</v>
      </c>
      <c r="F2792" s="15">
        <v>0.17</v>
      </c>
      <c r="G2792" s="15">
        <v>0.47010000000000002</v>
      </c>
      <c r="H2792" s="15">
        <v>4.48E-2</v>
      </c>
      <c r="I2792" s="15">
        <v>3.9100000000000003E-2</v>
      </c>
      <c r="J2792" s="15">
        <v>1.1457800511508951</v>
      </c>
    </row>
    <row r="2793" spans="1:10" x14ac:dyDescent="0.25">
      <c r="A2793" s="2" t="s">
        <v>7731</v>
      </c>
      <c r="B2793" s="2" t="s">
        <v>7007</v>
      </c>
      <c r="C2793" s="2" t="s">
        <v>7732</v>
      </c>
      <c r="D2793" s="2" t="s">
        <v>10055</v>
      </c>
      <c r="E2793" s="15">
        <v>0.2069</v>
      </c>
      <c r="F2793" s="15">
        <v>0.2084</v>
      </c>
      <c r="G2793" s="15">
        <v>0.3206</v>
      </c>
      <c r="H2793" s="15">
        <v>3.27E-2</v>
      </c>
      <c r="I2793" s="15">
        <v>3.7999999999999999E-2</v>
      </c>
      <c r="J2793" s="15">
        <v>0.86052631578947369</v>
      </c>
    </row>
    <row r="2794" spans="1:10" x14ac:dyDescent="0.25">
      <c r="A2794" s="2" t="s">
        <v>7733</v>
      </c>
      <c r="B2794" s="2" t="s">
        <v>7007</v>
      </c>
      <c r="C2794" s="2" t="s">
        <v>7734</v>
      </c>
      <c r="D2794" s="2" t="s">
        <v>10055</v>
      </c>
      <c r="E2794" s="15">
        <v>-0.05</v>
      </c>
      <c r="F2794" s="15">
        <v>0.1133</v>
      </c>
      <c r="G2794" s="15">
        <v>0.65920000000000001</v>
      </c>
      <c r="H2794" s="15">
        <v>0.1166</v>
      </c>
      <c r="I2794" s="15">
        <v>4.2700000000000002E-2</v>
      </c>
      <c r="J2794" s="15">
        <v>2.730679156908665</v>
      </c>
    </row>
    <row r="2795" spans="1:10" x14ac:dyDescent="0.25">
      <c r="A2795" s="2" t="s">
        <v>7735</v>
      </c>
      <c r="B2795" s="2" t="s">
        <v>7007</v>
      </c>
      <c r="C2795" s="2" t="s">
        <v>7736</v>
      </c>
      <c r="D2795" s="2" t="s">
        <v>10055</v>
      </c>
      <c r="E2795" s="15">
        <v>3.3799999999999997E-2</v>
      </c>
      <c r="F2795" s="15">
        <v>0.16739999999999999</v>
      </c>
      <c r="G2795" s="15">
        <v>0.83989999999999998</v>
      </c>
      <c r="H2795" s="15">
        <v>4.7100000000000003E-2</v>
      </c>
      <c r="I2795" s="15">
        <v>4.36E-2</v>
      </c>
      <c r="J2795" s="15">
        <v>1.080275229357798</v>
      </c>
    </row>
    <row r="2796" spans="1:10" x14ac:dyDescent="0.25">
      <c r="A2796" s="2" t="s">
        <v>7737</v>
      </c>
      <c r="B2796" s="2" t="s">
        <v>7007</v>
      </c>
      <c r="C2796" s="2" t="s">
        <v>7738</v>
      </c>
      <c r="D2796" s="2" t="s">
        <v>10055</v>
      </c>
      <c r="E2796" s="15">
        <v>-0.1229</v>
      </c>
      <c r="F2796" s="15">
        <v>0.13639999999999999</v>
      </c>
      <c r="G2796" s="15">
        <v>0.36770000000000003</v>
      </c>
      <c r="H2796" s="15">
        <v>7.4899999999999994E-2</v>
      </c>
      <c r="I2796" s="15">
        <v>4.0899999999999999E-2</v>
      </c>
      <c r="J2796" s="15">
        <v>1.831295843520782</v>
      </c>
    </row>
    <row r="2797" spans="1:10" x14ac:dyDescent="0.25">
      <c r="A2797" s="2" t="s">
        <v>7739</v>
      </c>
      <c r="B2797" s="2" t="s">
        <v>7007</v>
      </c>
      <c r="C2797" s="2" t="s">
        <v>7740</v>
      </c>
      <c r="D2797" s="2" t="s">
        <v>10055</v>
      </c>
      <c r="E2797" s="15">
        <v>0.127</v>
      </c>
      <c r="F2797" s="15">
        <v>0.23710000000000001</v>
      </c>
      <c r="G2797" s="15">
        <v>0.59219999999999995</v>
      </c>
      <c r="H2797" s="15">
        <v>2.7799999999999998E-2</v>
      </c>
      <c r="I2797" s="15">
        <v>4.3499999999999997E-2</v>
      </c>
      <c r="J2797" s="15">
        <v>0.63908045977011496</v>
      </c>
    </row>
    <row r="2798" spans="1:10" x14ac:dyDescent="0.25">
      <c r="A2798" s="2" t="s">
        <v>7741</v>
      </c>
      <c r="B2798" s="2" t="s">
        <v>7007</v>
      </c>
      <c r="C2798" s="2" t="s">
        <v>7742</v>
      </c>
      <c r="D2798" s="2" t="s">
        <v>10055</v>
      </c>
      <c r="E2798" s="15">
        <v>4.2200000000000001E-2</v>
      </c>
      <c r="F2798" s="15">
        <v>0.14000000000000001</v>
      </c>
      <c r="G2798" s="15">
        <v>0.76300000000000001</v>
      </c>
      <c r="H2798" s="15">
        <v>7.5899999999999995E-2</v>
      </c>
      <c r="I2798" s="15">
        <v>4.0099999999999997E-2</v>
      </c>
      <c r="J2798" s="15">
        <v>1.8927680798004991</v>
      </c>
    </row>
    <row r="2799" spans="1:10" x14ac:dyDescent="0.25">
      <c r="A2799" s="2" t="s">
        <v>7743</v>
      </c>
      <c r="B2799" s="2" t="s">
        <v>7007</v>
      </c>
      <c r="C2799" s="2" t="s">
        <v>7744</v>
      </c>
      <c r="D2799" s="2" t="s">
        <v>10055</v>
      </c>
      <c r="E2799" s="15">
        <v>0.1918</v>
      </c>
      <c r="F2799" s="15">
        <v>0.3901</v>
      </c>
      <c r="G2799" s="15">
        <v>0.623</v>
      </c>
      <c r="H2799" s="15">
        <v>2.2599999999999999E-2</v>
      </c>
      <c r="I2799" s="15">
        <v>4.7399999999999998E-2</v>
      </c>
      <c r="J2799" s="15">
        <v>0.47679324894514769</v>
      </c>
    </row>
    <row r="2800" spans="1:10" x14ac:dyDescent="0.25">
      <c r="A2800" s="2" t="s">
        <v>7745</v>
      </c>
      <c r="B2800" s="2" t="s">
        <v>7007</v>
      </c>
      <c r="C2800" s="2" t="s">
        <v>7746</v>
      </c>
      <c r="D2800" s="2" t="s">
        <v>10055</v>
      </c>
      <c r="E2800" s="15">
        <v>0.1338</v>
      </c>
      <c r="F2800" s="15">
        <v>0.1207</v>
      </c>
      <c r="G2800" s="15">
        <v>0.26779999999999998</v>
      </c>
      <c r="H2800" s="15">
        <v>9.3899999999999997E-2</v>
      </c>
      <c r="I2800" s="15">
        <v>4.7600000000000003E-2</v>
      </c>
      <c r="J2800" s="15">
        <v>1.972689075630252</v>
      </c>
    </row>
    <row r="2801" spans="1:10" x14ac:dyDescent="0.25">
      <c r="A2801" s="2" t="s">
        <v>7747</v>
      </c>
      <c r="B2801" s="2" t="s">
        <v>7007</v>
      </c>
      <c r="C2801" s="2" t="s">
        <v>7748</v>
      </c>
      <c r="D2801" s="2" t="s">
        <v>10055</v>
      </c>
      <c r="E2801" s="15">
        <v>2.3599999999999999E-2</v>
      </c>
      <c r="F2801" s="15">
        <v>0.17630000000000001</v>
      </c>
      <c r="G2801" s="15">
        <v>0.89349999999999996</v>
      </c>
      <c r="H2801" s="15">
        <v>4.6399999999999997E-2</v>
      </c>
      <c r="I2801" s="15">
        <v>4.1399999999999999E-2</v>
      </c>
      <c r="J2801" s="15">
        <v>1.120772946859903</v>
      </c>
    </row>
    <row r="2802" spans="1:10" x14ac:dyDescent="0.25">
      <c r="A2802" s="2" t="s">
        <v>7749</v>
      </c>
      <c r="B2802" s="2" t="s">
        <v>7007</v>
      </c>
      <c r="C2802" s="2" t="s">
        <v>7750</v>
      </c>
      <c r="D2802" s="2" t="s">
        <v>10055</v>
      </c>
      <c r="E2802" s="15">
        <v>-2.76E-2</v>
      </c>
      <c r="F2802" s="15">
        <v>0.1134</v>
      </c>
      <c r="G2802" s="15">
        <v>0.80740000000000001</v>
      </c>
      <c r="H2802" s="15">
        <v>8.48E-2</v>
      </c>
      <c r="I2802" s="15">
        <v>4.2700000000000002E-2</v>
      </c>
      <c r="J2802" s="15">
        <v>1.985948477751756</v>
      </c>
    </row>
    <row r="2803" spans="1:10" x14ac:dyDescent="0.25">
      <c r="A2803" s="2" t="s">
        <v>7751</v>
      </c>
      <c r="B2803" s="2" t="s">
        <v>7007</v>
      </c>
      <c r="C2803" s="2" t="s">
        <v>7752</v>
      </c>
      <c r="D2803" s="2" t="s">
        <v>10055</v>
      </c>
      <c r="E2803" s="15">
        <v>0.2283</v>
      </c>
      <c r="F2803" s="15">
        <v>0.16059999999999999</v>
      </c>
      <c r="G2803" s="15">
        <v>0.1552</v>
      </c>
      <c r="H2803" s="15">
        <v>6.1899999999999997E-2</v>
      </c>
      <c r="I2803" s="15">
        <v>4.2599999999999999E-2</v>
      </c>
      <c r="J2803" s="15">
        <v>1.453051643192488</v>
      </c>
    </row>
    <row r="2804" spans="1:10" x14ac:dyDescent="0.25">
      <c r="A2804" s="2" t="s">
        <v>7753</v>
      </c>
      <c r="B2804" s="2" t="s">
        <v>7007</v>
      </c>
      <c r="C2804" s="2" t="s">
        <v>7754</v>
      </c>
      <c r="D2804" s="2" t="s">
        <v>10055</v>
      </c>
      <c r="E2804" s="15">
        <v>-0.14280000000000001</v>
      </c>
      <c r="F2804" s="15">
        <v>0.16450000000000001</v>
      </c>
      <c r="G2804" s="15">
        <v>0.3851</v>
      </c>
      <c r="H2804" s="15">
        <v>4.8399999999999999E-2</v>
      </c>
      <c r="I2804" s="15">
        <v>4.1399999999999999E-2</v>
      </c>
      <c r="J2804" s="15">
        <v>1.169082125603865</v>
      </c>
    </row>
    <row r="2805" spans="1:10" x14ac:dyDescent="0.25">
      <c r="A2805" s="2" t="s">
        <v>7755</v>
      </c>
      <c r="B2805" s="2" t="s">
        <v>7007</v>
      </c>
      <c r="C2805" s="2" t="s">
        <v>7756</v>
      </c>
      <c r="D2805" s="2" t="s">
        <v>10055</v>
      </c>
      <c r="E2805" s="15"/>
      <c r="F2805" s="15"/>
      <c r="G2805" s="15"/>
      <c r="H2805" s="15">
        <v>-2.3599999999999999E-2</v>
      </c>
      <c r="I2805" s="15">
        <v>4.2099999999999999E-2</v>
      </c>
      <c r="J2805" s="15">
        <v>-0.56057007125890734</v>
      </c>
    </row>
    <row r="2806" spans="1:10" x14ac:dyDescent="0.25">
      <c r="A2806" s="2" t="s">
        <v>7757</v>
      </c>
      <c r="B2806" s="2" t="s">
        <v>7007</v>
      </c>
      <c r="C2806" s="2" t="s">
        <v>7758</v>
      </c>
      <c r="D2806" s="2" t="s">
        <v>10055</v>
      </c>
      <c r="E2806" s="15">
        <v>8.5099999999999995E-2</v>
      </c>
      <c r="F2806" s="15">
        <v>0.10290000000000001</v>
      </c>
      <c r="G2806" s="15">
        <v>0.40799999999999997</v>
      </c>
      <c r="H2806" s="15">
        <v>0.11</v>
      </c>
      <c r="I2806" s="15">
        <v>4.3299999999999998E-2</v>
      </c>
      <c r="J2806" s="15">
        <v>2.5404157043879909</v>
      </c>
    </row>
    <row r="2807" spans="1:10" x14ac:dyDescent="0.25">
      <c r="A2807" s="2" t="s">
        <v>7759</v>
      </c>
      <c r="B2807" s="2" t="s">
        <v>7007</v>
      </c>
      <c r="C2807" s="2" t="s">
        <v>7760</v>
      </c>
      <c r="D2807" s="2" t="s">
        <v>10055</v>
      </c>
      <c r="E2807" s="15"/>
      <c r="F2807" s="15"/>
      <c r="G2807" s="15"/>
      <c r="H2807" s="15">
        <v>-2.5000000000000001E-3</v>
      </c>
      <c r="I2807" s="15">
        <v>3.9399999999999998E-2</v>
      </c>
      <c r="J2807" s="15">
        <v>-6.3451776649746203E-2</v>
      </c>
    </row>
    <row r="2808" spans="1:10" x14ac:dyDescent="0.25">
      <c r="A2808" s="2" t="s">
        <v>7761</v>
      </c>
      <c r="B2808" s="2" t="s">
        <v>7007</v>
      </c>
      <c r="C2808" s="2" t="s">
        <v>7762</v>
      </c>
      <c r="D2808" s="2" t="s">
        <v>10055</v>
      </c>
      <c r="E2808" s="15">
        <v>3.6999999999999998E-2</v>
      </c>
      <c r="F2808" s="15">
        <v>0.13150000000000001</v>
      </c>
      <c r="G2808" s="15">
        <v>0.77859999999999996</v>
      </c>
      <c r="H2808" s="15">
        <v>9.1899999999999996E-2</v>
      </c>
      <c r="I2808" s="15">
        <v>4.4699999999999997E-2</v>
      </c>
      <c r="J2808" s="15">
        <v>2.05592841163311</v>
      </c>
    </row>
    <row r="2809" spans="1:10" x14ac:dyDescent="0.25">
      <c r="A2809" s="2" t="s">
        <v>7763</v>
      </c>
      <c r="B2809" s="2" t="s">
        <v>7007</v>
      </c>
      <c r="C2809" s="2" t="s">
        <v>7764</v>
      </c>
      <c r="D2809" s="2" t="s">
        <v>10055</v>
      </c>
      <c r="E2809" s="15">
        <v>-0.18210000000000001</v>
      </c>
      <c r="F2809" s="15">
        <v>0.12509999999999999</v>
      </c>
      <c r="G2809" s="15">
        <v>0.14560000000000001</v>
      </c>
      <c r="H2809" s="15">
        <v>7.8200000000000006E-2</v>
      </c>
      <c r="I2809" s="15">
        <v>4.1599999999999998E-2</v>
      </c>
      <c r="J2809" s="15">
        <v>1.879807692307693</v>
      </c>
    </row>
    <row r="2810" spans="1:10" x14ac:dyDescent="0.25">
      <c r="A2810" s="2" t="s">
        <v>7765</v>
      </c>
      <c r="B2810" s="2" t="s">
        <v>7007</v>
      </c>
      <c r="C2810" s="2" t="s">
        <v>7766</v>
      </c>
      <c r="D2810" s="2" t="s">
        <v>10055</v>
      </c>
      <c r="E2810" s="15">
        <v>3.2500000000000001E-2</v>
      </c>
      <c r="F2810" s="15">
        <v>0.1085</v>
      </c>
      <c r="G2810" s="15">
        <v>0.76429999999999998</v>
      </c>
      <c r="H2810" s="15">
        <v>0.1123</v>
      </c>
      <c r="I2810" s="15">
        <v>5.0900000000000001E-2</v>
      </c>
      <c r="J2810" s="15">
        <v>2.2062868369351669</v>
      </c>
    </row>
    <row r="2811" spans="1:10" x14ac:dyDescent="0.25">
      <c r="A2811" s="2" t="s">
        <v>7767</v>
      </c>
      <c r="B2811" s="2" t="s">
        <v>7007</v>
      </c>
      <c r="C2811" s="2" t="s">
        <v>7768</v>
      </c>
      <c r="D2811" s="2" t="s">
        <v>10055</v>
      </c>
      <c r="E2811" s="15">
        <v>-0.14580000000000001</v>
      </c>
      <c r="F2811" s="15">
        <v>0.27689999999999998</v>
      </c>
      <c r="G2811" s="15">
        <v>0.59860000000000002</v>
      </c>
      <c r="H2811" s="15">
        <v>2.3800000000000002E-2</v>
      </c>
      <c r="I2811" s="15">
        <v>4.2900000000000001E-2</v>
      </c>
      <c r="J2811" s="15">
        <v>0.55477855477855476</v>
      </c>
    </row>
    <row r="2812" spans="1:10" x14ac:dyDescent="0.25">
      <c r="A2812" s="2" t="s">
        <v>7769</v>
      </c>
      <c r="B2812" s="2" t="s">
        <v>7007</v>
      </c>
      <c r="C2812" s="2" t="s">
        <v>7770</v>
      </c>
      <c r="D2812" s="2" t="s">
        <v>10055</v>
      </c>
      <c r="E2812" s="15">
        <v>-4.3900000000000002E-2</v>
      </c>
      <c r="F2812" s="15">
        <v>8.8999999999999996E-2</v>
      </c>
      <c r="G2812" s="15">
        <v>0.62170000000000003</v>
      </c>
      <c r="H2812" s="15">
        <v>0.13550000000000001</v>
      </c>
      <c r="I2812" s="15">
        <v>5.8299999999999998E-2</v>
      </c>
      <c r="J2812" s="15">
        <v>2.324185248713551</v>
      </c>
    </row>
    <row r="2813" spans="1:10" x14ac:dyDescent="0.25">
      <c r="A2813" s="2" t="s">
        <v>7771</v>
      </c>
      <c r="B2813" s="2" t="s">
        <v>7007</v>
      </c>
      <c r="C2813" s="2" t="s">
        <v>7772</v>
      </c>
      <c r="D2813" s="2" t="s">
        <v>10055</v>
      </c>
      <c r="E2813" s="15">
        <v>-0.1232</v>
      </c>
      <c r="F2813" s="15">
        <v>7.3300000000000004E-2</v>
      </c>
      <c r="G2813" s="15">
        <v>9.2899999999999996E-2</v>
      </c>
      <c r="H2813" s="15">
        <v>0.2354</v>
      </c>
      <c r="I2813" s="15">
        <v>5.3499999999999999E-2</v>
      </c>
      <c r="J2813" s="15">
        <v>4.4000000000000004</v>
      </c>
    </row>
    <row r="2814" spans="1:10" x14ac:dyDescent="0.25">
      <c r="A2814" s="2" t="s">
        <v>7773</v>
      </c>
      <c r="B2814" s="2" t="s">
        <v>7007</v>
      </c>
      <c r="C2814" s="2" t="s">
        <v>7774</v>
      </c>
      <c r="D2814" s="2" t="s">
        <v>10055</v>
      </c>
      <c r="E2814" s="15"/>
      <c r="F2814" s="15"/>
      <c r="G2814" s="15"/>
      <c r="H2814" s="15">
        <v>-7.4000000000000003E-3</v>
      </c>
      <c r="I2814" s="15">
        <v>3.9600000000000003E-2</v>
      </c>
      <c r="J2814" s="15">
        <v>-0.18686868686868691</v>
      </c>
    </row>
    <row r="2815" spans="1:10" x14ac:dyDescent="0.25">
      <c r="A2815" s="2" t="s">
        <v>7775</v>
      </c>
      <c r="B2815" s="2" t="s">
        <v>7007</v>
      </c>
      <c r="C2815" s="2" t="s">
        <v>7776</v>
      </c>
      <c r="D2815" s="2" t="s">
        <v>10055</v>
      </c>
      <c r="E2815" s="15">
        <v>-0.16789999999999999</v>
      </c>
      <c r="F2815" s="15">
        <v>0.1421</v>
      </c>
      <c r="G2815" s="15">
        <v>0.23719999999999999</v>
      </c>
      <c r="H2815" s="15">
        <v>6.2799999999999995E-2</v>
      </c>
      <c r="I2815" s="15">
        <v>4.1000000000000002E-2</v>
      </c>
      <c r="J2815" s="15">
        <v>1.531707317073171</v>
      </c>
    </row>
    <row r="2816" spans="1:10" x14ac:dyDescent="0.25">
      <c r="A2816" s="2" t="s">
        <v>7777</v>
      </c>
      <c r="B2816" s="2" t="s">
        <v>7007</v>
      </c>
      <c r="C2816" s="2" t="s">
        <v>7778</v>
      </c>
      <c r="D2816" s="2" t="s">
        <v>10055</v>
      </c>
      <c r="E2816" s="15"/>
      <c r="F2816" s="15"/>
      <c r="G2816" s="15"/>
      <c r="H2816" s="15">
        <v>-3.15E-2</v>
      </c>
      <c r="I2816" s="15">
        <v>4.2099999999999999E-2</v>
      </c>
      <c r="J2816" s="15">
        <v>-0.74821852731591454</v>
      </c>
    </row>
    <row r="2817" spans="1:10" x14ac:dyDescent="0.25">
      <c r="A2817" s="2" t="s">
        <v>7779</v>
      </c>
      <c r="B2817" s="2" t="s">
        <v>7007</v>
      </c>
      <c r="C2817" s="2" t="s">
        <v>7780</v>
      </c>
      <c r="D2817" s="2" t="s">
        <v>10055</v>
      </c>
      <c r="E2817" s="15">
        <v>7.4000000000000003E-3</v>
      </c>
      <c r="F2817" s="15">
        <v>8.5500000000000007E-2</v>
      </c>
      <c r="G2817" s="15">
        <v>0.93089999999999995</v>
      </c>
      <c r="H2817" s="15">
        <v>0.21479999999999999</v>
      </c>
      <c r="I2817" s="15">
        <v>6.8599999999999994E-2</v>
      </c>
      <c r="J2817" s="15">
        <v>3.1311953352769679</v>
      </c>
    </row>
    <row r="2818" spans="1:10" x14ac:dyDescent="0.25">
      <c r="A2818" s="2" t="s">
        <v>7781</v>
      </c>
      <c r="B2818" s="2" t="s">
        <v>7007</v>
      </c>
      <c r="C2818" s="2" t="s">
        <v>7782</v>
      </c>
      <c r="D2818" s="2" t="s">
        <v>10055</v>
      </c>
      <c r="E2818" s="15">
        <v>-7.2499999999999995E-2</v>
      </c>
      <c r="F2818" s="15">
        <v>8.6300000000000002E-2</v>
      </c>
      <c r="G2818" s="15">
        <v>0.4007</v>
      </c>
      <c r="H2818" s="15">
        <v>0.17349999999999999</v>
      </c>
      <c r="I2818" s="15">
        <v>4.4900000000000002E-2</v>
      </c>
      <c r="J2818" s="15">
        <v>3.8641425389755</v>
      </c>
    </row>
    <row r="2819" spans="1:10" x14ac:dyDescent="0.25">
      <c r="A2819" s="2" t="s">
        <v>7783</v>
      </c>
      <c r="B2819" s="2" t="s">
        <v>7007</v>
      </c>
      <c r="C2819" s="2" t="s">
        <v>7784</v>
      </c>
      <c r="D2819" s="2" t="s">
        <v>10055</v>
      </c>
      <c r="E2819" s="15">
        <v>5.4399999999999997E-2</v>
      </c>
      <c r="F2819" s="15">
        <v>9.7000000000000003E-2</v>
      </c>
      <c r="G2819" s="15">
        <v>0.57530000000000003</v>
      </c>
      <c r="H2819" s="15">
        <v>0.127</v>
      </c>
      <c r="I2819" s="15">
        <v>4.2500000000000003E-2</v>
      </c>
      <c r="J2819" s="15">
        <v>2.9882352941176471</v>
      </c>
    </row>
    <row r="2820" spans="1:10" x14ac:dyDescent="0.25">
      <c r="A2820" s="2" t="s">
        <v>7785</v>
      </c>
      <c r="B2820" s="2" t="s">
        <v>7007</v>
      </c>
      <c r="C2820" s="2" t="s">
        <v>7786</v>
      </c>
      <c r="D2820" s="2" t="s">
        <v>10055</v>
      </c>
      <c r="E2820" s="15">
        <v>-0.15160000000000001</v>
      </c>
      <c r="F2820" s="15">
        <v>0.10680000000000001</v>
      </c>
      <c r="G2820" s="15">
        <v>0.15590000000000001</v>
      </c>
      <c r="H2820" s="15">
        <v>0.12640000000000001</v>
      </c>
      <c r="I2820" s="15">
        <v>4.1700000000000001E-2</v>
      </c>
      <c r="J2820" s="15">
        <v>3.0311750599520391</v>
      </c>
    </row>
    <row r="2821" spans="1:10" x14ac:dyDescent="0.25">
      <c r="A2821" s="2" t="s">
        <v>7787</v>
      </c>
      <c r="B2821" s="2" t="s">
        <v>7007</v>
      </c>
      <c r="C2821" s="2" t="s">
        <v>7788</v>
      </c>
      <c r="D2821" s="2" t="s">
        <v>10055</v>
      </c>
      <c r="E2821" s="15">
        <v>5.4199999999999998E-2</v>
      </c>
      <c r="F2821" s="15">
        <v>0.10680000000000001</v>
      </c>
      <c r="G2821" s="15">
        <v>0.61209999999999998</v>
      </c>
      <c r="H2821" s="15">
        <v>0.1113</v>
      </c>
      <c r="I2821" s="15">
        <v>4.4200000000000003E-2</v>
      </c>
      <c r="J2821" s="15">
        <v>2.5180995475113122</v>
      </c>
    </row>
    <row r="2822" spans="1:10" x14ac:dyDescent="0.25">
      <c r="A2822" s="2" t="s">
        <v>7789</v>
      </c>
      <c r="B2822" s="2" t="s">
        <v>7007</v>
      </c>
      <c r="C2822" s="2" t="s">
        <v>7790</v>
      </c>
      <c r="D2822" s="2" t="s">
        <v>10055</v>
      </c>
      <c r="E2822" s="15"/>
      <c r="F2822" s="15"/>
      <c r="G2822" s="15"/>
      <c r="H2822" s="15">
        <v>-4.5699999999999998E-2</v>
      </c>
      <c r="I2822" s="15">
        <v>3.5999999999999997E-2</v>
      </c>
      <c r="J2822" s="15">
        <v>-1.2694444444444439</v>
      </c>
    </row>
    <row r="2823" spans="1:10" x14ac:dyDescent="0.25">
      <c r="A2823" s="2" t="s">
        <v>7791</v>
      </c>
      <c r="B2823" s="2" t="s">
        <v>7007</v>
      </c>
      <c r="C2823" s="2" t="s">
        <v>7792</v>
      </c>
      <c r="D2823" s="2" t="s">
        <v>10055</v>
      </c>
      <c r="E2823" s="15">
        <v>-0.1895</v>
      </c>
      <c r="F2823" s="15">
        <v>0.13170000000000001</v>
      </c>
      <c r="G2823" s="15">
        <v>0.15010000000000001</v>
      </c>
      <c r="H2823" s="15">
        <v>7.5600000000000001E-2</v>
      </c>
      <c r="I2823" s="15">
        <v>4.1300000000000003E-2</v>
      </c>
      <c r="J2823" s="15">
        <v>1.830508474576271</v>
      </c>
    </row>
    <row r="2824" spans="1:10" x14ac:dyDescent="0.25">
      <c r="A2824" s="2" t="s">
        <v>7793</v>
      </c>
      <c r="B2824" s="2" t="s">
        <v>7007</v>
      </c>
      <c r="C2824" s="2" t="s">
        <v>7794</v>
      </c>
      <c r="D2824" s="2" t="s">
        <v>10055</v>
      </c>
      <c r="E2824" s="15">
        <v>5.21E-2</v>
      </c>
      <c r="F2824" s="15">
        <v>0.19520000000000001</v>
      </c>
      <c r="G2824" s="15">
        <v>0.78969999999999996</v>
      </c>
      <c r="H2824" s="15">
        <v>3.56E-2</v>
      </c>
      <c r="I2824" s="15">
        <v>4.0399999999999998E-2</v>
      </c>
      <c r="J2824" s="15">
        <v>0.88118811881188119</v>
      </c>
    </row>
    <row r="2825" spans="1:10" x14ac:dyDescent="0.25">
      <c r="A2825" s="2" t="s">
        <v>7795</v>
      </c>
      <c r="B2825" s="2" t="s">
        <v>7007</v>
      </c>
      <c r="C2825" s="2" t="s">
        <v>7796</v>
      </c>
      <c r="D2825" s="2" t="s">
        <v>10055</v>
      </c>
      <c r="E2825" s="15"/>
      <c r="F2825" s="15"/>
      <c r="G2825" s="15"/>
      <c r="H2825" s="15">
        <v>-1.12E-2</v>
      </c>
      <c r="I2825" s="15">
        <v>4.1000000000000002E-2</v>
      </c>
      <c r="J2825" s="15">
        <v>-0.27317073170731698</v>
      </c>
    </row>
    <row r="2826" spans="1:10" x14ac:dyDescent="0.25">
      <c r="A2826" s="2" t="s">
        <v>7797</v>
      </c>
      <c r="B2826" s="2" t="s">
        <v>7007</v>
      </c>
      <c r="C2826" s="2" t="s">
        <v>7798</v>
      </c>
      <c r="D2826" s="2" t="s">
        <v>10055</v>
      </c>
      <c r="E2826" s="15">
        <v>0.1242</v>
      </c>
      <c r="F2826" s="15">
        <v>0.1113</v>
      </c>
      <c r="G2826" s="15">
        <v>0.26429999999999998</v>
      </c>
      <c r="H2826" s="15">
        <v>0.1046</v>
      </c>
      <c r="I2826" s="15">
        <v>3.95E-2</v>
      </c>
      <c r="J2826" s="15">
        <v>2.6481012658227852</v>
      </c>
    </row>
    <row r="2827" spans="1:10" x14ac:dyDescent="0.25">
      <c r="A2827" s="2" t="s">
        <v>7799</v>
      </c>
      <c r="B2827" s="2" t="s">
        <v>7007</v>
      </c>
      <c r="C2827" s="2" t="s">
        <v>7800</v>
      </c>
      <c r="D2827" s="2" t="s">
        <v>10055</v>
      </c>
      <c r="E2827" s="15">
        <v>-1.11E-2</v>
      </c>
      <c r="F2827" s="15">
        <v>0.1178</v>
      </c>
      <c r="G2827" s="15">
        <v>0.92510000000000003</v>
      </c>
      <c r="H2827" s="15">
        <v>9.5399999999999999E-2</v>
      </c>
      <c r="I2827" s="15">
        <v>4.0399999999999998E-2</v>
      </c>
      <c r="J2827" s="15">
        <v>2.3613861386138608</v>
      </c>
    </row>
    <row r="2828" spans="1:10" x14ac:dyDescent="0.25">
      <c r="A2828" s="2" t="s">
        <v>7801</v>
      </c>
      <c r="B2828" s="2" t="s">
        <v>7007</v>
      </c>
      <c r="C2828" s="2" t="s">
        <v>7802</v>
      </c>
      <c r="D2828" s="2" t="s">
        <v>10055</v>
      </c>
      <c r="E2828" s="15">
        <v>6.3799999999999996E-2</v>
      </c>
      <c r="F2828" s="15">
        <v>0.15970000000000001</v>
      </c>
      <c r="G2828" s="15">
        <v>0.6895</v>
      </c>
      <c r="H2828" s="15">
        <v>4.7899999999999998E-2</v>
      </c>
      <c r="I2828" s="15">
        <v>3.7400000000000003E-2</v>
      </c>
      <c r="J2828" s="15">
        <v>1.2807486631016041</v>
      </c>
    </row>
    <row r="2829" spans="1:10" x14ac:dyDescent="0.25">
      <c r="A2829" s="2" t="s">
        <v>7803</v>
      </c>
      <c r="B2829" s="2" t="s">
        <v>7007</v>
      </c>
      <c r="C2829" s="2" t="s">
        <v>7804</v>
      </c>
      <c r="D2829" s="2" t="s">
        <v>10055</v>
      </c>
      <c r="E2829" s="15">
        <v>-8.3500000000000005E-2</v>
      </c>
      <c r="F2829" s="15">
        <v>0.108</v>
      </c>
      <c r="G2829" s="15">
        <v>0.43940000000000001</v>
      </c>
      <c r="H2829" s="15">
        <v>0.12039999999999999</v>
      </c>
      <c r="I2829" s="15">
        <v>0.05</v>
      </c>
      <c r="J2829" s="15">
        <v>2.4079999999999999</v>
      </c>
    </row>
    <row r="2830" spans="1:10" x14ac:dyDescent="0.25">
      <c r="A2830" s="2" t="s">
        <v>7805</v>
      </c>
      <c r="B2830" s="2" t="s">
        <v>7007</v>
      </c>
      <c r="C2830" s="2" t="s">
        <v>7806</v>
      </c>
      <c r="D2830" s="2" t="s">
        <v>10055</v>
      </c>
      <c r="E2830" s="15"/>
      <c r="F2830" s="15"/>
      <c r="G2830" s="15"/>
      <c r="H2830" s="15"/>
      <c r="I2830" s="15"/>
      <c r="J2830" s="15"/>
    </row>
    <row r="2831" spans="1:10" x14ac:dyDescent="0.25">
      <c r="A2831" s="2" t="s">
        <v>7807</v>
      </c>
      <c r="B2831" s="2" t="s">
        <v>7007</v>
      </c>
      <c r="C2831" s="2" t="s">
        <v>7808</v>
      </c>
      <c r="D2831" s="2" t="s">
        <v>10055</v>
      </c>
      <c r="E2831" s="15"/>
      <c r="F2831" s="15"/>
      <c r="G2831" s="15"/>
      <c r="H2831" s="15">
        <v>-6.4600000000000005E-2</v>
      </c>
      <c r="I2831" s="15">
        <v>3.8199999999999998E-2</v>
      </c>
      <c r="J2831" s="15">
        <v>-1.6910994764397911</v>
      </c>
    </row>
    <row r="2832" spans="1:10" x14ac:dyDescent="0.25">
      <c r="A2832" s="2" t="s">
        <v>7809</v>
      </c>
      <c r="B2832" s="2" t="s">
        <v>7007</v>
      </c>
      <c r="C2832" s="2" t="s">
        <v>7810</v>
      </c>
      <c r="D2832" s="2" t="s">
        <v>10055</v>
      </c>
      <c r="E2832" s="15">
        <v>5.67E-2</v>
      </c>
      <c r="F2832" s="15">
        <v>0.1608</v>
      </c>
      <c r="G2832" s="15">
        <v>0.72440000000000004</v>
      </c>
      <c r="H2832" s="15">
        <v>4.41E-2</v>
      </c>
      <c r="I2832" s="15">
        <v>4.07E-2</v>
      </c>
      <c r="J2832" s="15">
        <v>1.083538083538083</v>
      </c>
    </row>
    <row r="2833" spans="1:10" x14ac:dyDescent="0.25">
      <c r="A2833" s="2" t="s">
        <v>7811</v>
      </c>
      <c r="B2833" s="2" t="s">
        <v>7007</v>
      </c>
      <c r="C2833" s="2" t="s">
        <v>7812</v>
      </c>
      <c r="D2833" s="2" t="s">
        <v>10055</v>
      </c>
      <c r="E2833" s="15">
        <v>-2.6800000000000001E-2</v>
      </c>
      <c r="F2833" s="15">
        <v>0.106</v>
      </c>
      <c r="G2833" s="15">
        <v>0.80010000000000003</v>
      </c>
      <c r="H2833" s="15">
        <v>0.12330000000000001</v>
      </c>
      <c r="I2833" s="15">
        <v>4.2999999999999997E-2</v>
      </c>
      <c r="J2833" s="15">
        <v>2.8674418604651168</v>
      </c>
    </row>
    <row r="2834" spans="1:10" x14ac:dyDescent="0.25">
      <c r="A2834" s="2" t="s">
        <v>7813</v>
      </c>
      <c r="B2834" s="2" t="s">
        <v>7007</v>
      </c>
      <c r="C2834" s="2" t="s">
        <v>7814</v>
      </c>
      <c r="D2834" s="2" t="s">
        <v>10055</v>
      </c>
      <c r="E2834" s="15">
        <v>-9.2499999999999999E-2</v>
      </c>
      <c r="F2834" s="15">
        <v>0.1295</v>
      </c>
      <c r="G2834" s="15">
        <v>0.47510000000000002</v>
      </c>
      <c r="H2834" s="15">
        <v>7.5700000000000003E-2</v>
      </c>
      <c r="I2834" s="15">
        <v>4.3299999999999998E-2</v>
      </c>
      <c r="J2834" s="15">
        <v>1.7482678983833719</v>
      </c>
    </row>
    <row r="2835" spans="1:10" x14ac:dyDescent="0.25">
      <c r="A2835" s="2" t="s">
        <v>7815</v>
      </c>
      <c r="B2835" s="2" t="s">
        <v>7007</v>
      </c>
      <c r="C2835" s="2" t="s">
        <v>7816</v>
      </c>
      <c r="D2835" s="2" t="s">
        <v>10055</v>
      </c>
      <c r="E2835" s="15">
        <v>0.1246</v>
      </c>
      <c r="F2835" s="15">
        <v>0.10440000000000001</v>
      </c>
      <c r="G2835" s="15">
        <v>0.23280000000000001</v>
      </c>
      <c r="H2835" s="15">
        <v>0.13159999999999999</v>
      </c>
      <c r="I2835" s="15">
        <v>4.6800000000000001E-2</v>
      </c>
      <c r="J2835" s="15">
        <v>2.8119658119658122</v>
      </c>
    </row>
    <row r="2836" spans="1:10" x14ac:dyDescent="0.25">
      <c r="A2836" s="2" t="s">
        <v>7817</v>
      </c>
      <c r="B2836" s="2" t="s">
        <v>7007</v>
      </c>
      <c r="C2836" s="2" t="s">
        <v>7818</v>
      </c>
      <c r="D2836" s="2" t="s">
        <v>10055</v>
      </c>
      <c r="E2836" s="15"/>
      <c r="F2836" s="15"/>
      <c r="G2836" s="15"/>
      <c r="H2836" s="15">
        <v>-1.32E-2</v>
      </c>
      <c r="I2836" s="15">
        <v>4.19E-2</v>
      </c>
      <c r="J2836" s="15">
        <v>-0.31503579952267302</v>
      </c>
    </row>
    <row r="2837" spans="1:10" x14ac:dyDescent="0.25">
      <c r="A2837" s="2" t="s">
        <v>7819</v>
      </c>
      <c r="B2837" s="2" t="s">
        <v>7007</v>
      </c>
      <c r="C2837" s="2" t="s">
        <v>7820</v>
      </c>
      <c r="D2837" s="2" t="s">
        <v>10055</v>
      </c>
      <c r="E2837" s="15"/>
      <c r="F2837" s="15"/>
      <c r="G2837" s="15"/>
      <c r="H2837" s="15">
        <v>-5.91E-2</v>
      </c>
      <c r="I2837" s="15">
        <v>4.2000000000000003E-2</v>
      </c>
      <c r="J2837" s="15">
        <v>-1.407142857142857</v>
      </c>
    </row>
    <row r="2838" spans="1:10" x14ac:dyDescent="0.25">
      <c r="A2838" s="2" t="s">
        <v>7821</v>
      </c>
      <c r="B2838" s="2" t="s">
        <v>7007</v>
      </c>
      <c r="C2838" s="2" t="s">
        <v>7822</v>
      </c>
      <c r="D2838" s="2" t="s">
        <v>10055</v>
      </c>
      <c r="E2838" s="15">
        <v>-5.5999999999999999E-3</v>
      </c>
      <c r="F2838" s="15">
        <v>0.10539999999999999</v>
      </c>
      <c r="G2838" s="15">
        <v>0.9577</v>
      </c>
      <c r="H2838" s="15">
        <v>0.112</v>
      </c>
      <c r="I2838" s="15">
        <v>4.2700000000000002E-2</v>
      </c>
      <c r="J2838" s="15">
        <v>2.622950819672131</v>
      </c>
    </row>
    <row r="2839" spans="1:10" x14ac:dyDescent="0.25">
      <c r="A2839" s="2" t="s">
        <v>7823</v>
      </c>
      <c r="B2839" s="2" t="s">
        <v>7007</v>
      </c>
      <c r="C2839" s="2" t="s">
        <v>7824</v>
      </c>
      <c r="D2839" s="2" t="s">
        <v>10055</v>
      </c>
      <c r="E2839" s="15">
        <v>-0.37559999999999999</v>
      </c>
      <c r="F2839" s="15">
        <v>0.314</v>
      </c>
      <c r="G2839" s="15">
        <v>0.2316</v>
      </c>
      <c r="H2839" s="15">
        <v>3.1399999999999997E-2</v>
      </c>
      <c r="I2839" s="15">
        <v>0.04</v>
      </c>
      <c r="J2839" s="15">
        <v>0.78499999999999992</v>
      </c>
    </row>
    <row r="2840" spans="1:10" x14ac:dyDescent="0.25">
      <c r="A2840" s="2" t="s">
        <v>7825</v>
      </c>
      <c r="B2840" s="2" t="s">
        <v>7007</v>
      </c>
      <c r="C2840" s="2" t="s">
        <v>7826</v>
      </c>
      <c r="D2840" s="2" t="s">
        <v>10055</v>
      </c>
      <c r="E2840" s="15"/>
      <c r="F2840" s="15"/>
      <c r="G2840" s="15"/>
      <c r="H2840" s="15">
        <v>-3.7000000000000002E-3</v>
      </c>
      <c r="I2840" s="15">
        <v>3.9899999999999998E-2</v>
      </c>
      <c r="J2840" s="15">
        <v>-9.2731829573934846E-2</v>
      </c>
    </row>
    <row r="2841" spans="1:10" x14ac:dyDescent="0.25">
      <c r="A2841" s="2" t="s">
        <v>7827</v>
      </c>
      <c r="B2841" s="2" t="s">
        <v>7007</v>
      </c>
      <c r="C2841" s="2" t="s">
        <v>7828</v>
      </c>
      <c r="D2841" s="2" t="s">
        <v>10055</v>
      </c>
      <c r="E2841" s="15"/>
      <c r="F2841" s="15"/>
      <c r="G2841" s="15"/>
      <c r="H2841" s="15">
        <v>-2.2000000000000001E-3</v>
      </c>
      <c r="I2841" s="15">
        <v>4.7199999999999999E-2</v>
      </c>
      <c r="J2841" s="15">
        <v>-4.6610169491525417E-2</v>
      </c>
    </row>
    <row r="2842" spans="1:10" x14ac:dyDescent="0.25">
      <c r="A2842" s="2" t="s">
        <v>7829</v>
      </c>
      <c r="B2842" s="2" t="s">
        <v>7007</v>
      </c>
      <c r="C2842" s="2" t="s">
        <v>7830</v>
      </c>
      <c r="D2842" s="2" t="s">
        <v>10055</v>
      </c>
      <c r="E2842" s="15">
        <v>-3.8199999999999998E-2</v>
      </c>
      <c r="F2842" s="15">
        <v>0.3367</v>
      </c>
      <c r="G2842" s="15">
        <v>0.90980000000000005</v>
      </c>
      <c r="H2842" s="15">
        <v>1.43E-2</v>
      </c>
      <c r="I2842" s="15">
        <v>3.9699999999999999E-2</v>
      </c>
      <c r="J2842" s="15">
        <v>0.3602015113350126</v>
      </c>
    </row>
    <row r="2843" spans="1:10" x14ac:dyDescent="0.25">
      <c r="A2843" s="2" t="s">
        <v>7831</v>
      </c>
      <c r="B2843" s="2" t="s">
        <v>7007</v>
      </c>
      <c r="C2843" s="2" t="s">
        <v>7832</v>
      </c>
      <c r="D2843" s="2" t="s">
        <v>10055</v>
      </c>
      <c r="E2843" s="15">
        <v>7.4399999999999994E-2</v>
      </c>
      <c r="F2843" s="15">
        <v>0.1628</v>
      </c>
      <c r="G2843" s="15">
        <v>0.64790000000000003</v>
      </c>
      <c r="H2843" s="15">
        <v>4.9399999999999999E-2</v>
      </c>
      <c r="I2843" s="15">
        <v>3.7900000000000003E-2</v>
      </c>
      <c r="J2843" s="15">
        <v>1.303430079155673</v>
      </c>
    </row>
    <row r="2844" spans="1:10" x14ac:dyDescent="0.25">
      <c r="A2844" s="2" t="s">
        <v>7833</v>
      </c>
      <c r="B2844" s="2" t="s">
        <v>7007</v>
      </c>
      <c r="C2844" s="2" t="s">
        <v>7834</v>
      </c>
      <c r="D2844" s="2" t="s">
        <v>10055</v>
      </c>
      <c r="E2844" s="15">
        <v>-0.25080000000000002</v>
      </c>
      <c r="F2844" s="15">
        <v>0.57199999999999995</v>
      </c>
      <c r="G2844" s="15">
        <v>0.66110000000000002</v>
      </c>
      <c r="H2844" s="15">
        <v>1.11E-2</v>
      </c>
      <c r="I2844" s="15">
        <v>3.5099999999999999E-2</v>
      </c>
      <c r="J2844" s="15">
        <v>0.31623931623931628</v>
      </c>
    </row>
    <row r="2845" spans="1:10" x14ac:dyDescent="0.25">
      <c r="A2845" s="2" t="s">
        <v>7835</v>
      </c>
      <c r="B2845" s="2" t="s">
        <v>7007</v>
      </c>
      <c r="C2845" s="2" t="s">
        <v>7836</v>
      </c>
      <c r="D2845" s="2" t="s">
        <v>10055</v>
      </c>
      <c r="E2845" s="15"/>
      <c r="F2845" s="15"/>
      <c r="G2845" s="15"/>
      <c r="H2845" s="15">
        <v>-1.95E-2</v>
      </c>
      <c r="I2845" s="15">
        <v>4.3200000000000002E-2</v>
      </c>
      <c r="J2845" s="15">
        <v>-0.45138888888888878</v>
      </c>
    </row>
    <row r="2846" spans="1:10" x14ac:dyDescent="0.25">
      <c r="A2846" s="2" t="s">
        <v>7837</v>
      </c>
      <c r="B2846" s="2" t="s">
        <v>7007</v>
      </c>
      <c r="C2846" s="2" t="s">
        <v>7838</v>
      </c>
      <c r="D2846" s="2" t="s">
        <v>10055</v>
      </c>
      <c r="E2846" s="15">
        <v>0.32750000000000001</v>
      </c>
      <c r="F2846" s="15">
        <v>0.38269999999999998</v>
      </c>
      <c r="G2846" s="15">
        <v>0.3921</v>
      </c>
      <c r="H2846" s="15">
        <v>2.1299999999999999E-2</v>
      </c>
      <c r="I2846" s="15">
        <v>4.0599999999999997E-2</v>
      </c>
      <c r="J2846" s="15">
        <v>0.52463054187192115</v>
      </c>
    </row>
    <row r="2847" spans="1:10" x14ac:dyDescent="0.25">
      <c r="A2847" s="2" t="s">
        <v>7839</v>
      </c>
      <c r="B2847" s="2" t="s">
        <v>7007</v>
      </c>
      <c r="C2847" s="2" t="s">
        <v>7840</v>
      </c>
      <c r="D2847" s="2" t="s">
        <v>10055</v>
      </c>
      <c r="E2847" s="15">
        <v>-0.3458</v>
      </c>
      <c r="F2847" s="15">
        <v>0.3241</v>
      </c>
      <c r="G2847" s="15">
        <v>0.28589999999999999</v>
      </c>
      <c r="H2847" s="15">
        <v>2.93E-2</v>
      </c>
      <c r="I2847" s="15">
        <v>4.2200000000000001E-2</v>
      </c>
      <c r="J2847" s="15">
        <v>0.69431279620853081</v>
      </c>
    </row>
    <row r="2848" spans="1:10" x14ac:dyDescent="0.25">
      <c r="A2848" s="2" t="s">
        <v>7841</v>
      </c>
      <c r="B2848" s="2" t="s">
        <v>7007</v>
      </c>
      <c r="C2848" s="2" t="s">
        <v>7842</v>
      </c>
      <c r="D2848" s="2" t="s">
        <v>10055</v>
      </c>
      <c r="E2848" s="15"/>
      <c r="F2848" s="15"/>
      <c r="G2848" s="15"/>
      <c r="H2848" s="15">
        <v>-3.3599999999999998E-2</v>
      </c>
      <c r="I2848" s="15">
        <v>4.07E-2</v>
      </c>
      <c r="J2848" s="15">
        <v>-0.8255528255528255</v>
      </c>
    </row>
    <row r="2849" spans="1:10" x14ac:dyDescent="0.25">
      <c r="A2849" s="2" t="s">
        <v>7843</v>
      </c>
      <c r="B2849" s="2" t="s">
        <v>7007</v>
      </c>
      <c r="C2849" s="2" t="s">
        <v>7844</v>
      </c>
      <c r="D2849" s="2" t="s">
        <v>10055</v>
      </c>
      <c r="E2849" s="15">
        <v>-0.156</v>
      </c>
      <c r="F2849" s="15">
        <v>0.24529999999999999</v>
      </c>
      <c r="G2849" s="15">
        <v>0.52470000000000006</v>
      </c>
      <c r="H2849" s="15">
        <v>2.9100000000000001E-2</v>
      </c>
      <c r="I2849" s="15">
        <v>4.07E-2</v>
      </c>
      <c r="J2849" s="15">
        <v>0.71498771498771496</v>
      </c>
    </row>
    <row r="2850" spans="1:10" x14ac:dyDescent="0.25">
      <c r="A2850" s="2" t="s">
        <v>7845</v>
      </c>
      <c r="B2850" s="2" t="s">
        <v>7007</v>
      </c>
      <c r="C2850" s="2" t="s">
        <v>7846</v>
      </c>
      <c r="D2850" s="2" t="s">
        <v>10055</v>
      </c>
      <c r="E2850" s="15">
        <v>-7.9399999999999998E-2</v>
      </c>
      <c r="F2850" s="15">
        <v>0.1381</v>
      </c>
      <c r="G2850" s="15">
        <v>0.56540000000000001</v>
      </c>
      <c r="H2850" s="15">
        <v>6.6400000000000001E-2</v>
      </c>
      <c r="I2850" s="15">
        <v>3.9600000000000003E-2</v>
      </c>
      <c r="J2850" s="15">
        <v>1.6767676767676769</v>
      </c>
    </row>
    <row r="2851" spans="1:10" x14ac:dyDescent="0.25">
      <c r="A2851" s="2" t="s">
        <v>7847</v>
      </c>
      <c r="B2851" s="2" t="s">
        <v>7007</v>
      </c>
      <c r="C2851" s="2" t="s">
        <v>7848</v>
      </c>
      <c r="D2851" s="2" t="s">
        <v>10055</v>
      </c>
      <c r="E2851" s="15">
        <v>0.13100000000000001</v>
      </c>
      <c r="F2851" s="15">
        <v>0.15720000000000001</v>
      </c>
      <c r="G2851" s="15">
        <v>0.4047</v>
      </c>
      <c r="H2851" s="15">
        <v>6.4600000000000005E-2</v>
      </c>
      <c r="I2851" s="15">
        <v>4.4400000000000002E-2</v>
      </c>
      <c r="J2851" s="15">
        <v>1.454954954954955</v>
      </c>
    </row>
    <row r="2852" spans="1:10" x14ac:dyDescent="0.25">
      <c r="A2852" s="2" t="s">
        <v>7849</v>
      </c>
      <c r="B2852" s="2" t="s">
        <v>7007</v>
      </c>
      <c r="C2852" s="2" t="s">
        <v>7850</v>
      </c>
      <c r="D2852" s="2" t="s">
        <v>10055</v>
      </c>
      <c r="E2852" s="15"/>
      <c r="F2852" s="15"/>
      <c r="G2852" s="15"/>
      <c r="H2852" s="15"/>
      <c r="I2852" s="15"/>
      <c r="J2852" s="15"/>
    </row>
    <row r="2853" spans="1:10" x14ac:dyDescent="0.25">
      <c r="A2853" s="2" t="s">
        <v>7851</v>
      </c>
      <c r="B2853" s="2" t="s">
        <v>7007</v>
      </c>
      <c r="C2853" s="2" t="s">
        <v>7852</v>
      </c>
      <c r="D2853" s="2" t="s">
        <v>10055</v>
      </c>
      <c r="E2853" s="15"/>
      <c r="F2853" s="15"/>
      <c r="G2853" s="15"/>
      <c r="H2853" s="15">
        <v>-5.8400000000000001E-2</v>
      </c>
      <c r="I2853" s="15">
        <v>3.8699999999999998E-2</v>
      </c>
      <c r="J2853" s="15">
        <v>-1.509043927648579</v>
      </c>
    </row>
    <row r="2854" spans="1:10" x14ac:dyDescent="0.25">
      <c r="A2854" s="2" t="s">
        <v>7853</v>
      </c>
      <c r="B2854" s="2" t="s">
        <v>7007</v>
      </c>
      <c r="C2854" s="2" t="s">
        <v>7854</v>
      </c>
      <c r="D2854" s="2" t="s">
        <v>10055</v>
      </c>
      <c r="E2854" s="15"/>
      <c r="F2854" s="15"/>
      <c r="G2854" s="15"/>
      <c r="H2854" s="15"/>
      <c r="I2854" s="15"/>
      <c r="J2854" s="15"/>
    </row>
    <row r="2855" spans="1:10" x14ac:dyDescent="0.25">
      <c r="A2855" s="2" t="s">
        <v>7855</v>
      </c>
      <c r="B2855" s="2" t="s">
        <v>7007</v>
      </c>
      <c r="C2855" s="2" t="s">
        <v>7856</v>
      </c>
      <c r="D2855" s="2" t="s">
        <v>10055</v>
      </c>
      <c r="E2855" s="15">
        <v>-0.46179999999999999</v>
      </c>
      <c r="F2855" s="15">
        <v>0.78939999999999999</v>
      </c>
      <c r="G2855" s="15">
        <v>0.55859999999999999</v>
      </c>
      <c r="H2855" s="15">
        <v>1.4200000000000001E-2</v>
      </c>
      <c r="I2855" s="15">
        <v>3.8899999999999997E-2</v>
      </c>
      <c r="J2855" s="15">
        <v>0.36503856041131111</v>
      </c>
    </row>
    <row r="2856" spans="1:10" x14ac:dyDescent="0.25">
      <c r="A2856" s="2" t="s">
        <v>7857</v>
      </c>
      <c r="B2856" s="2" t="s">
        <v>7007</v>
      </c>
      <c r="C2856" s="2" t="s">
        <v>7858</v>
      </c>
      <c r="D2856" s="2" t="s">
        <v>10055</v>
      </c>
      <c r="E2856" s="15">
        <v>-0.1043</v>
      </c>
      <c r="F2856" s="15">
        <v>0.1507</v>
      </c>
      <c r="G2856" s="15">
        <v>0.48880000000000001</v>
      </c>
      <c r="H2856" s="15">
        <v>5.3900000000000003E-2</v>
      </c>
      <c r="I2856" s="15">
        <v>4.2799999999999998E-2</v>
      </c>
      <c r="J2856" s="15">
        <v>1.259345794392523</v>
      </c>
    </row>
    <row r="2857" spans="1:10" x14ac:dyDescent="0.25">
      <c r="A2857" s="2" t="s">
        <v>7859</v>
      </c>
      <c r="B2857" s="2" t="s">
        <v>7007</v>
      </c>
      <c r="C2857" s="2" t="s">
        <v>7860</v>
      </c>
      <c r="D2857" s="2" t="s">
        <v>10055</v>
      </c>
      <c r="E2857" s="15">
        <v>0.191</v>
      </c>
      <c r="F2857" s="15">
        <v>0.2195</v>
      </c>
      <c r="G2857" s="15">
        <v>0.38440000000000002</v>
      </c>
      <c r="H2857" s="15">
        <v>3.8800000000000001E-2</v>
      </c>
      <c r="I2857" s="15">
        <v>4.2000000000000003E-2</v>
      </c>
      <c r="J2857" s="15">
        <v>0.92380952380952375</v>
      </c>
    </row>
    <row r="2858" spans="1:10" x14ac:dyDescent="0.25">
      <c r="A2858" s="2" t="s">
        <v>7861</v>
      </c>
      <c r="B2858" s="2" t="s">
        <v>7007</v>
      </c>
      <c r="C2858" s="2" t="s">
        <v>7862</v>
      </c>
      <c r="D2858" s="2" t="s">
        <v>10055</v>
      </c>
      <c r="E2858" s="15">
        <v>9.9900000000000003E-2</v>
      </c>
      <c r="F2858" s="15">
        <v>0.3952</v>
      </c>
      <c r="G2858" s="15">
        <v>0.80049999999999999</v>
      </c>
      <c r="H2858" s="15">
        <v>1.6899999999999998E-2</v>
      </c>
      <c r="I2858" s="15">
        <v>4.2200000000000001E-2</v>
      </c>
      <c r="J2858" s="15">
        <v>0.40047393364928913</v>
      </c>
    </row>
    <row r="2859" spans="1:10" x14ac:dyDescent="0.25">
      <c r="A2859" s="2" t="s">
        <v>7863</v>
      </c>
      <c r="B2859" s="2" t="s">
        <v>7007</v>
      </c>
      <c r="C2859" s="2" t="s">
        <v>7864</v>
      </c>
      <c r="D2859" s="2" t="s">
        <v>10055</v>
      </c>
      <c r="E2859" s="15">
        <v>-1.43E-2</v>
      </c>
      <c r="F2859" s="15">
        <v>0.14749999999999999</v>
      </c>
      <c r="G2859" s="15">
        <v>0.92269999999999996</v>
      </c>
      <c r="H2859" s="15">
        <v>5.4600000000000003E-2</v>
      </c>
      <c r="I2859" s="15">
        <v>4.0599999999999997E-2</v>
      </c>
      <c r="J2859" s="15">
        <v>1.344827586206897</v>
      </c>
    </row>
    <row r="2860" spans="1:10" x14ac:dyDescent="0.25">
      <c r="A2860" s="2" t="s">
        <v>7865</v>
      </c>
      <c r="B2860" s="2" t="s">
        <v>7007</v>
      </c>
      <c r="C2860" s="2" t="s">
        <v>7866</v>
      </c>
      <c r="D2860" s="2" t="s">
        <v>10055</v>
      </c>
      <c r="E2860" s="15">
        <v>-0.1792</v>
      </c>
      <c r="F2860" s="15">
        <v>0.1094</v>
      </c>
      <c r="G2860" s="15">
        <v>0.10150000000000001</v>
      </c>
      <c r="H2860" s="15">
        <v>9.8199999999999996E-2</v>
      </c>
      <c r="I2860" s="15">
        <v>4.1700000000000001E-2</v>
      </c>
      <c r="J2860" s="15">
        <v>2.354916067146283</v>
      </c>
    </row>
    <row r="2861" spans="1:10" x14ac:dyDescent="0.25">
      <c r="A2861" s="2" t="s">
        <v>7867</v>
      </c>
      <c r="B2861" s="2" t="s">
        <v>7007</v>
      </c>
      <c r="C2861" s="2" t="s">
        <v>7868</v>
      </c>
      <c r="D2861" s="2" t="s">
        <v>10055</v>
      </c>
      <c r="E2861" s="15"/>
      <c r="F2861" s="15"/>
      <c r="G2861" s="15"/>
      <c r="H2861" s="15">
        <v>-1.9599999999999999E-2</v>
      </c>
      <c r="I2861" s="15">
        <v>4.0300000000000002E-2</v>
      </c>
      <c r="J2861" s="15">
        <v>-0.48635235732009918</v>
      </c>
    </row>
    <row r="2862" spans="1:10" x14ac:dyDescent="0.25">
      <c r="A2862" s="2" t="s">
        <v>7869</v>
      </c>
      <c r="B2862" s="2" t="s">
        <v>7007</v>
      </c>
      <c r="C2862" s="2" t="s">
        <v>7870</v>
      </c>
      <c r="D2862" s="2" t="s">
        <v>10055</v>
      </c>
      <c r="E2862" s="15"/>
      <c r="F2862" s="15"/>
      <c r="G2862" s="15"/>
      <c r="H2862" s="15"/>
      <c r="I2862" s="15"/>
      <c r="J2862" s="15"/>
    </row>
    <row r="2863" spans="1:10" x14ac:dyDescent="0.25">
      <c r="A2863" s="2" t="s">
        <v>7871</v>
      </c>
      <c r="B2863" s="2" t="s">
        <v>7007</v>
      </c>
      <c r="C2863" s="2" t="s">
        <v>7872</v>
      </c>
      <c r="D2863" s="2" t="s">
        <v>10055</v>
      </c>
      <c r="E2863" s="15">
        <v>-7.0499999999999993E-2</v>
      </c>
      <c r="F2863" s="15">
        <v>0.1336</v>
      </c>
      <c r="G2863" s="15">
        <v>0.59760000000000002</v>
      </c>
      <c r="H2863" s="15">
        <v>7.1300000000000002E-2</v>
      </c>
      <c r="I2863" s="15">
        <v>4.1300000000000003E-2</v>
      </c>
      <c r="J2863" s="15">
        <v>1.72639225181598</v>
      </c>
    </row>
    <row r="2864" spans="1:10" x14ac:dyDescent="0.25">
      <c r="A2864" s="2" t="s">
        <v>7873</v>
      </c>
      <c r="B2864" s="2" t="s">
        <v>7007</v>
      </c>
      <c r="C2864" s="2" t="s">
        <v>7874</v>
      </c>
      <c r="D2864" s="2" t="s">
        <v>10055</v>
      </c>
      <c r="E2864" s="15"/>
      <c r="F2864" s="15"/>
      <c r="G2864" s="15"/>
      <c r="H2864" s="15">
        <v>-5.7099999999999998E-2</v>
      </c>
      <c r="I2864" s="15">
        <v>4.1200000000000001E-2</v>
      </c>
      <c r="J2864" s="15">
        <v>-1.3859223300970871</v>
      </c>
    </row>
    <row r="2865" spans="1:10" x14ac:dyDescent="0.25">
      <c r="A2865" s="2" t="s">
        <v>7875</v>
      </c>
      <c r="B2865" s="2" t="s">
        <v>7007</v>
      </c>
      <c r="C2865" s="2" t="s">
        <v>7876</v>
      </c>
      <c r="D2865" s="2" t="s">
        <v>10055</v>
      </c>
      <c r="E2865" s="15"/>
      <c r="F2865" s="15"/>
      <c r="G2865" s="15"/>
      <c r="H2865" s="15">
        <v>-1.2200000000000001E-2</v>
      </c>
      <c r="I2865" s="15">
        <v>4.3099999999999999E-2</v>
      </c>
      <c r="J2865" s="15">
        <v>-0.28306264501160089</v>
      </c>
    </row>
    <row r="2866" spans="1:10" x14ac:dyDescent="0.25">
      <c r="A2866" s="2" t="s">
        <v>7877</v>
      </c>
      <c r="B2866" s="2" t="s">
        <v>7007</v>
      </c>
      <c r="C2866" s="2" t="s">
        <v>7878</v>
      </c>
      <c r="D2866" s="2" t="s">
        <v>10055</v>
      </c>
      <c r="E2866" s="15"/>
      <c r="F2866" s="15"/>
      <c r="G2866" s="15"/>
      <c r="H2866" s="15">
        <v>-4.53E-2</v>
      </c>
      <c r="I2866" s="15">
        <v>4.1300000000000003E-2</v>
      </c>
      <c r="J2866" s="15">
        <v>-1.0968523002421311</v>
      </c>
    </row>
    <row r="2867" spans="1:10" x14ac:dyDescent="0.25">
      <c r="A2867" s="2" t="s">
        <v>7879</v>
      </c>
      <c r="B2867" s="2" t="s">
        <v>7007</v>
      </c>
      <c r="C2867" s="2" t="s">
        <v>7880</v>
      </c>
      <c r="D2867" s="2" t="s">
        <v>10055</v>
      </c>
      <c r="E2867" s="15">
        <v>-0.1981</v>
      </c>
      <c r="F2867" s="15">
        <v>0.16950000000000001</v>
      </c>
      <c r="G2867" s="15">
        <v>0.2424</v>
      </c>
      <c r="H2867" s="15">
        <v>4.19E-2</v>
      </c>
      <c r="I2867" s="15">
        <v>3.7999999999999999E-2</v>
      </c>
      <c r="J2867" s="15">
        <v>1.102631578947368</v>
      </c>
    </row>
    <row r="2868" spans="1:10" x14ac:dyDescent="0.25">
      <c r="A2868" s="2" t="s">
        <v>7881</v>
      </c>
      <c r="B2868" s="2" t="s">
        <v>7007</v>
      </c>
      <c r="C2868" s="2" t="s">
        <v>7882</v>
      </c>
      <c r="D2868" s="2" t="s">
        <v>10055</v>
      </c>
      <c r="E2868" s="15">
        <v>0.23649999999999999</v>
      </c>
      <c r="F2868" s="15">
        <v>0.28210000000000002</v>
      </c>
      <c r="G2868" s="15">
        <v>0.40179999999999999</v>
      </c>
      <c r="H2868" s="15">
        <v>2.4E-2</v>
      </c>
      <c r="I2868" s="15">
        <v>3.78E-2</v>
      </c>
      <c r="J2868" s="15">
        <v>0.63492063492063489</v>
      </c>
    </row>
    <row r="2869" spans="1:10" x14ac:dyDescent="0.25">
      <c r="A2869" s="2" t="s">
        <v>7883</v>
      </c>
      <c r="B2869" s="2" t="s">
        <v>7007</v>
      </c>
      <c r="C2869" s="2" t="s">
        <v>7884</v>
      </c>
      <c r="D2869" s="2" t="s">
        <v>10055</v>
      </c>
      <c r="E2869" s="15"/>
      <c r="F2869" s="15"/>
      <c r="G2869" s="15"/>
      <c r="H2869" s="15">
        <v>-6.1999999999999998E-3</v>
      </c>
      <c r="I2869" s="15">
        <v>4.19E-2</v>
      </c>
      <c r="J2869" s="15">
        <v>-0.14797136038186159</v>
      </c>
    </row>
    <row r="2870" spans="1:10" x14ac:dyDescent="0.25">
      <c r="A2870" s="2" t="s">
        <v>7885</v>
      </c>
      <c r="B2870" s="2" t="s">
        <v>7007</v>
      </c>
      <c r="C2870" s="2" t="s">
        <v>7886</v>
      </c>
      <c r="D2870" s="2" t="s">
        <v>10055</v>
      </c>
      <c r="E2870" s="15">
        <v>0.2039</v>
      </c>
      <c r="F2870" s="15">
        <v>0.13070000000000001</v>
      </c>
      <c r="G2870" s="15">
        <v>0.1187</v>
      </c>
      <c r="H2870" s="15">
        <v>8.2799999999999999E-2</v>
      </c>
      <c r="I2870" s="15">
        <v>3.9600000000000003E-2</v>
      </c>
      <c r="J2870" s="15">
        <v>2.0909090909090908</v>
      </c>
    </row>
    <row r="2871" spans="1:10" x14ac:dyDescent="0.25">
      <c r="A2871" s="2" t="s">
        <v>7887</v>
      </c>
      <c r="B2871" s="2" t="s">
        <v>7007</v>
      </c>
      <c r="C2871" s="2" t="s">
        <v>7888</v>
      </c>
      <c r="D2871" s="2" t="s">
        <v>10055</v>
      </c>
      <c r="E2871" s="15">
        <v>5.9900000000000002E-2</v>
      </c>
      <c r="F2871" s="15">
        <v>9.3299999999999994E-2</v>
      </c>
      <c r="G2871" s="15">
        <v>0.52110000000000001</v>
      </c>
      <c r="H2871" s="15">
        <v>0.14630000000000001</v>
      </c>
      <c r="I2871" s="15">
        <v>4.2999999999999997E-2</v>
      </c>
      <c r="J2871" s="15">
        <v>3.402325581395349</v>
      </c>
    </row>
    <row r="2872" spans="1:10" x14ac:dyDescent="0.25">
      <c r="A2872" s="2" t="s">
        <v>7889</v>
      </c>
      <c r="B2872" s="2" t="s">
        <v>7007</v>
      </c>
      <c r="C2872" s="2" t="s">
        <v>7890</v>
      </c>
      <c r="D2872" s="2" t="s">
        <v>10055</v>
      </c>
      <c r="E2872" s="15">
        <v>0.14949999999999999</v>
      </c>
      <c r="F2872" s="15">
        <v>0.1321</v>
      </c>
      <c r="G2872" s="15">
        <v>0.25779999999999997</v>
      </c>
      <c r="H2872" s="15">
        <v>7.7499999999999999E-2</v>
      </c>
      <c r="I2872" s="15">
        <v>4.1399999999999999E-2</v>
      </c>
      <c r="J2872" s="15">
        <v>1.871980676328503</v>
      </c>
    </row>
    <row r="2873" spans="1:10" x14ac:dyDescent="0.25">
      <c r="A2873" s="2" t="s">
        <v>7891</v>
      </c>
      <c r="B2873" s="2" t="s">
        <v>7007</v>
      </c>
      <c r="C2873" s="2" t="s">
        <v>7892</v>
      </c>
      <c r="D2873" s="2" t="s">
        <v>10055</v>
      </c>
      <c r="E2873" s="15"/>
      <c r="F2873" s="15"/>
      <c r="G2873" s="15"/>
      <c r="H2873" s="15">
        <v>-6.6799999999999998E-2</v>
      </c>
      <c r="I2873" s="15">
        <v>3.9800000000000002E-2</v>
      </c>
      <c r="J2873" s="15">
        <v>-1.6783919597989949</v>
      </c>
    </row>
    <row r="2874" spans="1:10" x14ac:dyDescent="0.25">
      <c r="A2874" s="2" t="s">
        <v>7893</v>
      </c>
      <c r="B2874" s="2" t="s">
        <v>7007</v>
      </c>
      <c r="C2874" s="2" t="s">
        <v>7894</v>
      </c>
      <c r="D2874" s="2" t="s">
        <v>10055</v>
      </c>
      <c r="E2874" s="15">
        <v>-1.0699999999999999E-2</v>
      </c>
      <c r="F2874" s="15">
        <v>0.14799999999999999</v>
      </c>
      <c r="G2874" s="15">
        <v>0.94230000000000003</v>
      </c>
      <c r="H2874" s="15">
        <v>5.4199999999999998E-2</v>
      </c>
      <c r="I2874" s="15">
        <v>4.2599999999999999E-2</v>
      </c>
      <c r="J2874" s="15">
        <v>1.272300469483568</v>
      </c>
    </row>
    <row r="2875" spans="1:10" x14ac:dyDescent="0.25">
      <c r="A2875" s="2" t="s">
        <v>7895</v>
      </c>
      <c r="B2875" s="2" t="s">
        <v>7007</v>
      </c>
      <c r="C2875" s="2" t="s">
        <v>7896</v>
      </c>
      <c r="D2875" s="2" t="s">
        <v>10055</v>
      </c>
      <c r="E2875" s="15"/>
      <c r="F2875" s="15"/>
      <c r="G2875" s="15"/>
      <c r="H2875" s="15">
        <v>-1.4200000000000001E-2</v>
      </c>
      <c r="I2875" s="15">
        <v>4.3400000000000001E-2</v>
      </c>
      <c r="J2875" s="15">
        <v>-0.32718894009216593</v>
      </c>
    </row>
    <row r="2876" spans="1:10" x14ac:dyDescent="0.25">
      <c r="A2876" s="2" t="s">
        <v>7897</v>
      </c>
      <c r="B2876" s="2" t="s">
        <v>7007</v>
      </c>
      <c r="C2876" s="2" t="s">
        <v>7898</v>
      </c>
      <c r="D2876" s="2" t="s">
        <v>10055</v>
      </c>
      <c r="E2876" s="15">
        <v>-2.3800000000000002E-2</v>
      </c>
      <c r="F2876" s="15">
        <v>0.1958</v>
      </c>
      <c r="G2876" s="15">
        <v>0.90329999999999999</v>
      </c>
      <c r="H2876" s="15">
        <v>2.7400000000000001E-2</v>
      </c>
      <c r="I2876" s="15">
        <v>3.9800000000000002E-2</v>
      </c>
      <c r="J2876" s="15">
        <v>0.68844221105527637</v>
      </c>
    </row>
    <row r="2877" spans="1:10" x14ac:dyDescent="0.25">
      <c r="A2877" s="2" t="s">
        <v>7899</v>
      </c>
      <c r="B2877" s="2" t="s">
        <v>7007</v>
      </c>
      <c r="C2877" s="2" t="s">
        <v>7900</v>
      </c>
      <c r="D2877" s="2" t="s">
        <v>10055</v>
      </c>
      <c r="E2877" s="15">
        <v>-3.2199999999999999E-2</v>
      </c>
      <c r="F2877" s="15">
        <v>0.13730000000000001</v>
      </c>
      <c r="G2877" s="15">
        <v>0.81430000000000002</v>
      </c>
      <c r="H2877" s="15">
        <v>6.2600000000000003E-2</v>
      </c>
      <c r="I2877" s="15">
        <v>3.9899999999999998E-2</v>
      </c>
      <c r="J2877" s="15">
        <v>1.5689223057644111</v>
      </c>
    </row>
    <row r="2878" spans="1:10" x14ac:dyDescent="0.25">
      <c r="A2878" s="2" t="s">
        <v>7901</v>
      </c>
      <c r="B2878" s="2" t="s">
        <v>7007</v>
      </c>
      <c r="C2878" s="2" t="s">
        <v>7902</v>
      </c>
      <c r="D2878" s="2" t="s">
        <v>10055</v>
      </c>
      <c r="E2878" s="15">
        <v>-0.1852</v>
      </c>
      <c r="F2878" s="15">
        <v>0.15029999999999999</v>
      </c>
      <c r="G2878" s="15">
        <v>0.21790000000000001</v>
      </c>
      <c r="H2878" s="15">
        <v>5.6300000000000003E-2</v>
      </c>
      <c r="I2878" s="15">
        <v>4.1700000000000001E-2</v>
      </c>
      <c r="J2878" s="15">
        <v>1.3501199040767391</v>
      </c>
    </row>
    <row r="2879" spans="1:10" x14ac:dyDescent="0.25">
      <c r="A2879" s="2" t="s">
        <v>7903</v>
      </c>
      <c r="B2879" s="2" t="s">
        <v>7007</v>
      </c>
      <c r="C2879" s="2" t="s">
        <v>7904</v>
      </c>
      <c r="D2879" s="2" t="s">
        <v>10055</v>
      </c>
      <c r="E2879" s="15">
        <v>-0.51700000000000002</v>
      </c>
      <c r="F2879" s="15">
        <v>0.61990000000000001</v>
      </c>
      <c r="G2879" s="15">
        <v>0.40429999999999999</v>
      </c>
      <c r="H2879" s="15">
        <v>2.6100000000000002E-2</v>
      </c>
      <c r="I2879" s="15">
        <v>4.5999999999999999E-2</v>
      </c>
      <c r="J2879" s="15">
        <v>0.56739130434782614</v>
      </c>
    </row>
    <row r="2880" spans="1:10" x14ac:dyDescent="0.25">
      <c r="A2880" s="2" t="s">
        <v>7905</v>
      </c>
      <c r="B2880" s="2" t="s">
        <v>7007</v>
      </c>
      <c r="C2880" s="2" t="s">
        <v>7906</v>
      </c>
      <c r="D2880" s="2" t="s">
        <v>10055</v>
      </c>
      <c r="E2880" s="15">
        <v>-8.1600000000000006E-2</v>
      </c>
      <c r="F2880" s="15">
        <v>0.10970000000000001</v>
      </c>
      <c r="G2880" s="15">
        <v>0.45729999999999998</v>
      </c>
      <c r="H2880" s="15">
        <v>0.1085</v>
      </c>
      <c r="I2880" s="15">
        <v>4.1799999999999997E-2</v>
      </c>
      <c r="J2880" s="15">
        <v>2.5956937799043058</v>
      </c>
    </row>
    <row r="2881" spans="1:10" x14ac:dyDescent="0.25">
      <c r="A2881" s="2" t="s">
        <v>7907</v>
      </c>
      <c r="B2881" s="2" t="s">
        <v>7007</v>
      </c>
      <c r="C2881" s="2" t="s">
        <v>7908</v>
      </c>
      <c r="D2881" s="2" t="s">
        <v>10055</v>
      </c>
      <c r="E2881" s="15">
        <v>0.1464</v>
      </c>
      <c r="F2881" s="15">
        <v>0.12139999999999999</v>
      </c>
      <c r="G2881" s="15">
        <v>0.22800000000000001</v>
      </c>
      <c r="H2881" s="15">
        <v>8.1000000000000003E-2</v>
      </c>
      <c r="I2881" s="15">
        <v>4.2099999999999999E-2</v>
      </c>
      <c r="J2881" s="15">
        <v>1.923990498812352</v>
      </c>
    </row>
    <row r="2882" spans="1:10" x14ac:dyDescent="0.25">
      <c r="A2882" s="2" t="s">
        <v>7909</v>
      </c>
      <c r="B2882" s="2" t="s">
        <v>7007</v>
      </c>
      <c r="C2882" s="2" t="s">
        <v>7910</v>
      </c>
      <c r="D2882" s="2" t="s">
        <v>10055</v>
      </c>
      <c r="E2882" s="15"/>
      <c r="F2882" s="15"/>
      <c r="G2882" s="15"/>
      <c r="H2882" s="15">
        <v>-4.7100000000000003E-2</v>
      </c>
      <c r="I2882" s="15">
        <v>4.2200000000000001E-2</v>
      </c>
      <c r="J2882" s="15">
        <v>-1.11611374407583</v>
      </c>
    </row>
    <row r="2883" spans="1:10" x14ac:dyDescent="0.25">
      <c r="A2883" s="2" t="s">
        <v>7911</v>
      </c>
      <c r="B2883" s="2" t="s">
        <v>7007</v>
      </c>
      <c r="C2883" s="2" t="s">
        <v>7912</v>
      </c>
      <c r="D2883" s="2" t="s">
        <v>10055</v>
      </c>
      <c r="E2883" s="15">
        <v>-0.34720000000000001</v>
      </c>
      <c r="F2883" s="15">
        <v>0.1724</v>
      </c>
      <c r="G2883" s="15">
        <v>4.3999999999999997E-2</v>
      </c>
      <c r="H2883" s="15">
        <v>6.9599999999999995E-2</v>
      </c>
      <c r="I2883" s="15">
        <v>4.7100000000000003E-2</v>
      </c>
      <c r="J2883" s="15">
        <v>1.4777070063694271</v>
      </c>
    </row>
    <row r="2884" spans="1:10" x14ac:dyDescent="0.25">
      <c r="A2884" s="2" t="s">
        <v>7913</v>
      </c>
      <c r="B2884" s="2" t="s">
        <v>7007</v>
      </c>
      <c r="C2884" s="2" t="s">
        <v>7914</v>
      </c>
      <c r="D2884" s="2" t="s">
        <v>10055</v>
      </c>
      <c r="E2884" s="15">
        <v>-9.8500000000000004E-2</v>
      </c>
      <c r="F2884" s="15">
        <v>0.12790000000000001</v>
      </c>
      <c r="G2884" s="15">
        <v>0.44130000000000003</v>
      </c>
      <c r="H2884" s="15">
        <v>8.6800000000000002E-2</v>
      </c>
      <c r="I2884" s="15">
        <v>4.19E-2</v>
      </c>
      <c r="J2884" s="15">
        <v>2.071599045346062</v>
      </c>
    </row>
    <row r="2885" spans="1:10" x14ac:dyDescent="0.25">
      <c r="A2885" s="2" t="s">
        <v>7915</v>
      </c>
      <c r="B2885" s="2" t="s">
        <v>7007</v>
      </c>
      <c r="C2885" s="2" t="s">
        <v>7916</v>
      </c>
      <c r="D2885" s="2" t="s">
        <v>10055</v>
      </c>
      <c r="E2885" s="15">
        <v>-0.19750000000000001</v>
      </c>
      <c r="F2885" s="15">
        <v>0.24959999999999999</v>
      </c>
      <c r="G2885" s="15">
        <v>0.42880000000000001</v>
      </c>
      <c r="H2885" s="15">
        <v>2.7799999999999998E-2</v>
      </c>
      <c r="I2885" s="15">
        <v>3.8300000000000001E-2</v>
      </c>
      <c r="J2885" s="15">
        <v>0.72584856396866837</v>
      </c>
    </row>
    <row r="2886" spans="1:10" x14ac:dyDescent="0.25">
      <c r="A2886" s="2" t="s">
        <v>7917</v>
      </c>
      <c r="B2886" s="2" t="s">
        <v>7007</v>
      </c>
      <c r="C2886" s="2" t="s">
        <v>7918</v>
      </c>
      <c r="D2886" s="2" t="s">
        <v>10055</v>
      </c>
      <c r="E2886" s="15">
        <v>0.1981</v>
      </c>
      <c r="F2886" s="15">
        <v>0.11459999999999999</v>
      </c>
      <c r="G2886" s="15">
        <v>8.3799999999999999E-2</v>
      </c>
      <c r="H2886" s="15">
        <v>0.12809999999999999</v>
      </c>
      <c r="I2886" s="15">
        <v>5.1999999999999998E-2</v>
      </c>
      <c r="J2886" s="15">
        <v>2.463461538461539</v>
      </c>
    </row>
    <row r="2887" spans="1:10" x14ac:dyDescent="0.25">
      <c r="A2887" s="2" t="s">
        <v>7919</v>
      </c>
      <c r="B2887" s="2" t="s">
        <v>7007</v>
      </c>
      <c r="C2887" s="2" t="s">
        <v>7920</v>
      </c>
      <c r="D2887" s="2" t="s">
        <v>10055</v>
      </c>
      <c r="E2887" s="15"/>
      <c r="F2887" s="15"/>
      <c r="G2887" s="15"/>
      <c r="H2887" s="15">
        <v>-1.01E-2</v>
      </c>
      <c r="I2887" s="15">
        <v>3.9699999999999999E-2</v>
      </c>
      <c r="J2887" s="15">
        <v>-0.25440806045340048</v>
      </c>
    </row>
    <row r="2888" spans="1:10" x14ac:dyDescent="0.25">
      <c r="A2888" s="2" t="s">
        <v>7921</v>
      </c>
      <c r="B2888" s="2" t="s">
        <v>7007</v>
      </c>
      <c r="C2888" s="2" t="s">
        <v>7922</v>
      </c>
      <c r="D2888" s="2" t="s">
        <v>10055</v>
      </c>
      <c r="E2888" s="15">
        <v>-5.0000000000000001E-3</v>
      </c>
      <c r="F2888" s="15">
        <v>0.13159999999999999</v>
      </c>
      <c r="G2888" s="15">
        <v>0.96960000000000002</v>
      </c>
      <c r="H2888" s="15">
        <v>6.6299999999999998E-2</v>
      </c>
      <c r="I2888" s="15">
        <v>4.6899999999999997E-2</v>
      </c>
      <c r="J2888" s="15">
        <v>1.4136460554371</v>
      </c>
    </row>
    <row r="2889" spans="1:10" x14ac:dyDescent="0.25">
      <c r="A2889" s="2" t="s">
        <v>7923</v>
      </c>
      <c r="B2889" s="2" t="s">
        <v>7007</v>
      </c>
      <c r="C2889" s="2" t="s">
        <v>7924</v>
      </c>
      <c r="D2889" s="2" t="s">
        <v>10055</v>
      </c>
      <c r="E2889" s="15">
        <v>0.17380000000000001</v>
      </c>
      <c r="F2889" s="15">
        <v>0.1419</v>
      </c>
      <c r="G2889" s="15">
        <v>0.22090000000000001</v>
      </c>
      <c r="H2889" s="15">
        <v>8.2500000000000004E-2</v>
      </c>
      <c r="I2889" s="15">
        <v>3.9E-2</v>
      </c>
      <c r="J2889" s="15">
        <v>2.115384615384615</v>
      </c>
    </row>
    <row r="2890" spans="1:10" x14ac:dyDescent="0.25">
      <c r="A2890" s="2" t="s">
        <v>7925</v>
      </c>
      <c r="B2890" s="2" t="s">
        <v>7007</v>
      </c>
      <c r="C2890" s="2" t="s">
        <v>7926</v>
      </c>
      <c r="D2890" s="2" t="s">
        <v>10055</v>
      </c>
      <c r="E2890" s="15">
        <v>-0.14929999999999999</v>
      </c>
      <c r="F2890" s="15">
        <v>0.11</v>
      </c>
      <c r="G2890" s="15">
        <v>0.17460000000000001</v>
      </c>
      <c r="H2890" s="15">
        <v>0.1024</v>
      </c>
      <c r="I2890" s="15">
        <v>4.3999999999999997E-2</v>
      </c>
      <c r="J2890" s="15">
        <v>2.327272727272728</v>
      </c>
    </row>
    <row r="2891" spans="1:10" x14ac:dyDescent="0.25">
      <c r="A2891" s="2" t="s">
        <v>7927</v>
      </c>
      <c r="B2891" s="2" t="s">
        <v>7007</v>
      </c>
      <c r="C2891" s="2" t="s">
        <v>7928</v>
      </c>
      <c r="D2891" s="2" t="s">
        <v>10055</v>
      </c>
      <c r="E2891" s="15">
        <v>-0.28620000000000001</v>
      </c>
      <c r="F2891" s="15">
        <v>0.44619999999999999</v>
      </c>
      <c r="G2891" s="15">
        <v>0.52129999999999999</v>
      </c>
      <c r="H2891" s="15">
        <v>1.6500000000000001E-2</v>
      </c>
      <c r="I2891" s="15">
        <v>3.8699999999999998E-2</v>
      </c>
      <c r="J2891" s="15">
        <v>0.42635658914728691</v>
      </c>
    </row>
    <row r="2892" spans="1:10" x14ac:dyDescent="0.25">
      <c r="A2892" s="2" t="s">
        <v>7929</v>
      </c>
      <c r="B2892" s="2" t="s">
        <v>7007</v>
      </c>
      <c r="C2892" s="2" t="s">
        <v>7930</v>
      </c>
      <c r="D2892" s="2" t="s">
        <v>10055</v>
      </c>
      <c r="E2892" s="15"/>
      <c r="F2892" s="15"/>
      <c r="G2892" s="15"/>
      <c r="H2892" s="15">
        <v>-4.5100000000000001E-2</v>
      </c>
      <c r="I2892" s="15">
        <v>4.2299999999999997E-2</v>
      </c>
      <c r="J2892" s="15">
        <v>-1.0661938534278961</v>
      </c>
    </row>
    <row r="2893" spans="1:10" x14ac:dyDescent="0.25">
      <c r="A2893" s="2" t="s">
        <v>7931</v>
      </c>
      <c r="B2893" s="2" t="s">
        <v>7007</v>
      </c>
      <c r="C2893" s="2" t="s">
        <v>7932</v>
      </c>
      <c r="D2893" s="2" t="s">
        <v>10055</v>
      </c>
      <c r="E2893" s="15"/>
      <c r="F2893" s="15"/>
      <c r="G2893" s="15"/>
      <c r="H2893" s="15">
        <v>-2.01E-2</v>
      </c>
      <c r="I2893" s="15">
        <v>4.1799999999999997E-2</v>
      </c>
      <c r="J2893" s="15">
        <v>-0.48086124401913882</v>
      </c>
    </row>
    <row r="2894" spans="1:10" x14ac:dyDescent="0.25">
      <c r="A2894" s="2" t="s">
        <v>7933</v>
      </c>
      <c r="B2894" s="2" t="s">
        <v>7007</v>
      </c>
      <c r="C2894" s="2" t="s">
        <v>7934</v>
      </c>
      <c r="D2894" s="2" t="s">
        <v>10055</v>
      </c>
      <c r="E2894" s="15">
        <v>-0.26229999999999998</v>
      </c>
      <c r="F2894" s="15">
        <v>0.1033</v>
      </c>
      <c r="G2894" s="15">
        <v>1.11E-2</v>
      </c>
      <c r="H2894" s="15">
        <v>0.10340000000000001</v>
      </c>
      <c r="I2894" s="15">
        <v>4.3900000000000002E-2</v>
      </c>
      <c r="J2894" s="15">
        <v>2.3553530751708429</v>
      </c>
    </row>
    <row r="2895" spans="1:10" x14ac:dyDescent="0.25">
      <c r="A2895" s="2" t="s">
        <v>7935</v>
      </c>
      <c r="B2895" s="2" t="s">
        <v>7007</v>
      </c>
      <c r="C2895" s="2" t="s">
        <v>7936</v>
      </c>
      <c r="D2895" s="2" t="s">
        <v>10055</v>
      </c>
      <c r="E2895" s="15"/>
      <c r="F2895" s="15"/>
      <c r="G2895" s="15"/>
      <c r="H2895" s="15">
        <v>-2.41E-2</v>
      </c>
      <c r="I2895" s="15">
        <v>3.9699999999999999E-2</v>
      </c>
      <c r="J2895" s="15">
        <v>-0.60705289672544083</v>
      </c>
    </row>
    <row r="2896" spans="1:10" x14ac:dyDescent="0.25">
      <c r="A2896" s="2" t="s">
        <v>7937</v>
      </c>
      <c r="B2896" s="2" t="s">
        <v>7007</v>
      </c>
      <c r="C2896" s="2" t="s">
        <v>7938</v>
      </c>
      <c r="D2896" s="2" t="s">
        <v>10055</v>
      </c>
      <c r="E2896" s="15"/>
      <c r="F2896" s="15"/>
      <c r="G2896" s="15"/>
      <c r="H2896" s="15">
        <v>-5.1000000000000004E-3</v>
      </c>
      <c r="I2896" s="15">
        <v>4.41E-2</v>
      </c>
      <c r="J2896" s="15">
        <v>-0.11564625850340141</v>
      </c>
    </row>
    <row r="2897" spans="1:10" x14ac:dyDescent="0.25">
      <c r="A2897" s="2" t="s">
        <v>7939</v>
      </c>
      <c r="B2897" s="2" t="s">
        <v>7007</v>
      </c>
      <c r="C2897" s="2" t="s">
        <v>7940</v>
      </c>
      <c r="D2897" s="2" t="s">
        <v>10055</v>
      </c>
      <c r="E2897" s="15">
        <v>0.18529999999999999</v>
      </c>
      <c r="F2897" s="15">
        <v>0.186</v>
      </c>
      <c r="G2897" s="15">
        <v>0.31929999999999997</v>
      </c>
      <c r="H2897" s="15">
        <v>4.2799999999999998E-2</v>
      </c>
      <c r="I2897" s="15">
        <v>3.6299999999999999E-2</v>
      </c>
      <c r="J2897" s="15">
        <v>1.1790633608815431</v>
      </c>
    </row>
    <row r="2898" spans="1:10" x14ac:dyDescent="0.25">
      <c r="A2898" s="2" t="s">
        <v>7941</v>
      </c>
      <c r="B2898" s="2" t="s">
        <v>7007</v>
      </c>
      <c r="C2898" s="2" t="s">
        <v>7942</v>
      </c>
      <c r="D2898" s="2" t="s">
        <v>10055</v>
      </c>
      <c r="E2898" s="15">
        <v>-0.11310000000000001</v>
      </c>
      <c r="F2898" s="15">
        <v>0.12479999999999999</v>
      </c>
      <c r="G2898" s="15">
        <v>0.3649</v>
      </c>
      <c r="H2898" s="15">
        <v>8.5500000000000007E-2</v>
      </c>
      <c r="I2898" s="15">
        <v>3.9899999999999998E-2</v>
      </c>
      <c r="J2898" s="15">
        <v>2.1428571428571428</v>
      </c>
    </row>
    <row r="2899" spans="1:10" x14ac:dyDescent="0.25">
      <c r="A2899" s="2" t="s">
        <v>7943</v>
      </c>
      <c r="B2899" s="2" t="s">
        <v>7007</v>
      </c>
      <c r="C2899" s="2" t="s">
        <v>7944</v>
      </c>
      <c r="D2899" s="2" t="s">
        <v>10055</v>
      </c>
      <c r="E2899" s="15">
        <v>-1.78E-2</v>
      </c>
      <c r="F2899" s="15">
        <v>0.15770000000000001</v>
      </c>
      <c r="G2899" s="15">
        <v>0.91</v>
      </c>
      <c r="H2899" s="15">
        <v>5.1799999999999999E-2</v>
      </c>
      <c r="I2899" s="15">
        <v>3.7400000000000003E-2</v>
      </c>
      <c r="J2899" s="15">
        <v>1.385026737967914</v>
      </c>
    </row>
    <row r="2900" spans="1:10" x14ac:dyDescent="0.25">
      <c r="A2900" s="2" t="s">
        <v>7945</v>
      </c>
      <c r="B2900" s="2" t="s">
        <v>7007</v>
      </c>
      <c r="C2900" s="2" t="s">
        <v>7946</v>
      </c>
      <c r="D2900" s="2" t="s">
        <v>10055</v>
      </c>
      <c r="E2900" s="15">
        <v>0.1217</v>
      </c>
      <c r="F2900" s="15">
        <v>0.1482</v>
      </c>
      <c r="G2900" s="15">
        <v>0.41160000000000002</v>
      </c>
      <c r="H2900" s="15">
        <v>7.5300000000000006E-2</v>
      </c>
      <c r="I2900" s="15">
        <v>4.7300000000000002E-2</v>
      </c>
      <c r="J2900" s="15">
        <v>1.591966173361522</v>
      </c>
    </row>
    <row r="2901" spans="1:10" x14ac:dyDescent="0.25">
      <c r="A2901" s="2" t="s">
        <v>7947</v>
      </c>
      <c r="B2901" s="2" t="s">
        <v>7007</v>
      </c>
      <c r="C2901" s="2" t="s">
        <v>7948</v>
      </c>
      <c r="D2901" s="2" t="s">
        <v>10055</v>
      </c>
      <c r="E2901" s="15"/>
      <c r="F2901" s="15"/>
      <c r="G2901" s="15"/>
      <c r="H2901" s="15">
        <v>-4.5199999999999997E-2</v>
      </c>
      <c r="I2901" s="15">
        <v>3.6499999999999998E-2</v>
      </c>
      <c r="J2901" s="15">
        <v>-1.2383561643835621</v>
      </c>
    </row>
    <row r="2902" spans="1:10" x14ac:dyDescent="0.25">
      <c r="A2902" s="2" t="s">
        <v>7949</v>
      </c>
      <c r="B2902" s="2" t="s">
        <v>7007</v>
      </c>
      <c r="C2902" s="2" t="s">
        <v>7950</v>
      </c>
      <c r="D2902" s="2" t="s">
        <v>10055</v>
      </c>
      <c r="E2902" s="15"/>
      <c r="F2902" s="15"/>
      <c r="G2902" s="15"/>
      <c r="H2902" s="15">
        <v>-3.1899999999999998E-2</v>
      </c>
      <c r="I2902" s="15">
        <v>4.4200000000000003E-2</v>
      </c>
      <c r="J2902" s="15">
        <v>-0.72171945701357454</v>
      </c>
    </row>
    <row r="2903" spans="1:10" x14ac:dyDescent="0.25">
      <c r="A2903" s="2" t="s">
        <v>7951</v>
      </c>
      <c r="B2903" s="2" t="s">
        <v>7007</v>
      </c>
      <c r="C2903" s="2" t="s">
        <v>7952</v>
      </c>
      <c r="D2903" s="2" t="s">
        <v>10055</v>
      </c>
      <c r="E2903" s="15">
        <v>-9.7600000000000006E-2</v>
      </c>
      <c r="F2903" s="15">
        <v>0.1273</v>
      </c>
      <c r="G2903" s="15">
        <v>0.44330000000000003</v>
      </c>
      <c r="H2903" s="15">
        <v>7.2999999999999995E-2</v>
      </c>
      <c r="I2903" s="15">
        <v>4.07E-2</v>
      </c>
      <c r="J2903" s="15">
        <v>1.793611793611793</v>
      </c>
    </row>
    <row r="2904" spans="1:10" x14ac:dyDescent="0.25">
      <c r="A2904" s="2" t="s">
        <v>7953</v>
      </c>
      <c r="B2904" s="2" t="s">
        <v>7007</v>
      </c>
      <c r="C2904" s="2" t="s">
        <v>7954</v>
      </c>
      <c r="D2904" s="2" t="s">
        <v>10055</v>
      </c>
      <c r="E2904" s="15">
        <v>-0.2409</v>
      </c>
      <c r="F2904" s="15">
        <v>0.27310000000000001</v>
      </c>
      <c r="G2904" s="15">
        <v>0.37790000000000001</v>
      </c>
      <c r="H2904" s="15">
        <v>2.8400000000000002E-2</v>
      </c>
      <c r="I2904" s="15">
        <v>3.9800000000000002E-2</v>
      </c>
      <c r="J2904" s="15">
        <v>0.71356783919597988</v>
      </c>
    </row>
    <row r="2905" spans="1:10" x14ac:dyDescent="0.25">
      <c r="A2905" s="2" t="s">
        <v>7955</v>
      </c>
      <c r="B2905" s="2" t="s">
        <v>7007</v>
      </c>
      <c r="C2905" s="2" t="s">
        <v>7956</v>
      </c>
      <c r="D2905" s="2" t="s">
        <v>10055</v>
      </c>
      <c r="E2905" s="15">
        <v>-0.33150000000000002</v>
      </c>
      <c r="F2905" s="15">
        <v>0.22589999999999999</v>
      </c>
      <c r="G2905" s="15">
        <v>0.14230000000000001</v>
      </c>
      <c r="H2905" s="15">
        <v>3.9899999999999998E-2</v>
      </c>
      <c r="I2905" s="15">
        <v>4.2500000000000003E-2</v>
      </c>
      <c r="J2905" s="15">
        <v>0.93882352941176461</v>
      </c>
    </row>
    <row r="2906" spans="1:10" x14ac:dyDescent="0.25">
      <c r="A2906" s="2" t="s">
        <v>7957</v>
      </c>
      <c r="B2906" s="2" t="s">
        <v>7007</v>
      </c>
      <c r="C2906" s="2" t="s">
        <v>7958</v>
      </c>
      <c r="D2906" s="2" t="s">
        <v>10055</v>
      </c>
      <c r="E2906" s="15">
        <v>8.5000000000000006E-2</v>
      </c>
      <c r="F2906" s="15">
        <v>0.14860000000000001</v>
      </c>
      <c r="G2906" s="15">
        <v>0.56759999999999999</v>
      </c>
      <c r="H2906" s="15">
        <v>7.0900000000000005E-2</v>
      </c>
      <c r="I2906" s="15">
        <v>4.0500000000000001E-2</v>
      </c>
      <c r="J2906" s="15">
        <v>1.7506172839506171</v>
      </c>
    </row>
    <row r="2907" spans="1:10" x14ac:dyDescent="0.25">
      <c r="A2907" s="2" t="s">
        <v>7959</v>
      </c>
      <c r="B2907" s="2" t="s">
        <v>7007</v>
      </c>
      <c r="C2907" s="2" t="s">
        <v>7960</v>
      </c>
      <c r="D2907" s="2" t="s">
        <v>10055</v>
      </c>
      <c r="E2907" s="15">
        <v>-0.3044</v>
      </c>
      <c r="F2907" s="15">
        <v>0.51949999999999996</v>
      </c>
      <c r="G2907" s="15">
        <v>0.55789999999999995</v>
      </c>
      <c r="H2907" s="15">
        <v>0.02</v>
      </c>
      <c r="I2907" s="15">
        <v>4.3900000000000002E-2</v>
      </c>
      <c r="J2907" s="15">
        <v>0.45558086560364458</v>
      </c>
    </row>
    <row r="2908" spans="1:10" x14ac:dyDescent="0.25">
      <c r="A2908" s="2" t="s">
        <v>7961</v>
      </c>
      <c r="B2908" s="2" t="s">
        <v>7007</v>
      </c>
      <c r="C2908" s="2" t="s">
        <v>7962</v>
      </c>
      <c r="D2908" s="2" t="s">
        <v>10055</v>
      </c>
      <c r="E2908" s="15">
        <v>-4.9000000000000002E-2</v>
      </c>
      <c r="F2908" s="15">
        <v>0.1285</v>
      </c>
      <c r="G2908" s="15">
        <v>0.70289999999999997</v>
      </c>
      <c r="H2908" s="15">
        <v>6.3799999999999996E-2</v>
      </c>
      <c r="I2908" s="15">
        <v>4.1799999999999997E-2</v>
      </c>
      <c r="J2908" s="15">
        <v>1.5263157894736841</v>
      </c>
    </row>
    <row r="2909" spans="1:10" x14ac:dyDescent="0.25">
      <c r="A2909" s="2" t="s">
        <v>7963</v>
      </c>
      <c r="B2909" s="2" t="s">
        <v>7007</v>
      </c>
      <c r="C2909" s="2" t="s">
        <v>7964</v>
      </c>
      <c r="D2909" s="2" t="s">
        <v>10055</v>
      </c>
      <c r="E2909" s="15"/>
      <c r="F2909" s="15"/>
      <c r="G2909" s="15"/>
      <c r="H2909" s="15">
        <v>-2.7799999999999998E-2</v>
      </c>
      <c r="I2909" s="15">
        <v>4.36E-2</v>
      </c>
      <c r="J2909" s="15">
        <v>-0.63761467889908252</v>
      </c>
    </row>
    <row r="2910" spans="1:10" x14ac:dyDescent="0.25">
      <c r="A2910" s="2" t="s">
        <v>7965</v>
      </c>
      <c r="B2910" s="2" t="s">
        <v>7007</v>
      </c>
      <c r="C2910" s="2" t="s">
        <v>7966</v>
      </c>
      <c r="D2910" s="2" t="s">
        <v>10055</v>
      </c>
      <c r="E2910" s="15">
        <v>-5.6800000000000003E-2</v>
      </c>
      <c r="F2910" s="15">
        <v>0.13800000000000001</v>
      </c>
      <c r="G2910" s="15">
        <v>0.6804</v>
      </c>
      <c r="H2910" s="15">
        <v>5.4800000000000001E-2</v>
      </c>
      <c r="I2910" s="15">
        <v>4.3799999999999999E-2</v>
      </c>
      <c r="J2910" s="15">
        <v>1.251141552511416</v>
      </c>
    </row>
    <row r="2911" spans="1:10" x14ac:dyDescent="0.25">
      <c r="A2911" s="2" t="s">
        <v>7967</v>
      </c>
      <c r="B2911" s="2" t="s">
        <v>7007</v>
      </c>
      <c r="C2911" s="2" t="s">
        <v>7968</v>
      </c>
      <c r="D2911" s="2" t="s">
        <v>10055</v>
      </c>
      <c r="E2911" s="15"/>
      <c r="F2911" s="15"/>
      <c r="G2911" s="15"/>
      <c r="H2911" s="15">
        <v>-7.4000000000000003E-3</v>
      </c>
      <c r="I2911" s="15">
        <v>3.8600000000000002E-2</v>
      </c>
      <c r="J2911" s="15">
        <v>-0.19170984455958551</v>
      </c>
    </row>
    <row r="2912" spans="1:10" x14ac:dyDescent="0.25">
      <c r="A2912" s="2" t="s">
        <v>7969</v>
      </c>
      <c r="B2912" s="2" t="s">
        <v>7007</v>
      </c>
      <c r="C2912" s="2" t="s">
        <v>7970</v>
      </c>
      <c r="D2912" s="2" t="s">
        <v>10055</v>
      </c>
      <c r="E2912" s="15">
        <v>7.9399999999999998E-2</v>
      </c>
      <c r="F2912" s="15">
        <v>0.1109</v>
      </c>
      <c r="G2912" s="15">
        <v>0.47399999999999998</v>
      </c>
      <c r="H2912" s="15">
        <v>0.12690000000000001</v>
      </c>
      <c r="I2912" s="15">
        <v>4.2900000000000001E-2</v>
      </c>
      <c r="J2912" s="15">
        <v>2.9580419580419579</v>
      </c>
    </row>
    <row r="2913" spans="1:10" x14ac:dyDescent="0.25">
      <c r="A2913" s="2" t="s">
        <v>7971</v>
      </c>
      <c r="B2913" s="2" t="s">
        <v>7007</v>
      </c>
      <c r="C2913" s="2" t="s">
        <v>7972</v>
      </c>
      <c r="D2913" s="2" t="s">
        <v>10055</v>
      </c>
      <c r="E2913" s="15">
        <v>-7.8600000000000003E-2</v>
      </c>
      <c r="F2913" s="15">
        <v>0.2893</v>
      </c>
      <c r="G2913" s="15">
        <v>0.78569999999999995</v>
      </c>
      <c r="H2913" s="15">
        <v>1.7100000000000001E-2</v>
      </c>
      <c r="I2913" s="15">
        <v>3.9199999999999999E-2</v>
      </c>
      <c r="J2913" s="15">
        <v>0.43622448979591838</v>
      </c>
    </row>
    <row r="2914" spans="1:10" x14ac:dyDescent="0.25">
      <c r="A2914" s="2" t="s">
        <v>7973</v>
      </c>
      <c r="B2914" s="2" t="s">
        <v>7007</v>
      </c>
      <c r="C2914" s="2" t="s">
        <v>7974</v>
      </c>
      <c r="D2914" s="2" t="s">
        <v>10055</v>
      </c>
      <c r="E2914" s="15"/>
      <c r="F2914" s="15"/>
      <c r="G2914" s="15"/>
      <c r="H2914" s="15"/>
      <c r="I2914" s="15"/>
      <c r="J2914" s="15"/>
    </row>
    <row r="2915" spans="1:10" x14ac:dyDescent="0.25">
      <c r="A2915" s="2" t="s">
        <v>7975</v>
      </c>
      <c r="B2915" s="2" t="s">
        <v>7007</v>
      </c>
      <c r="C2915" s="2" t="s">
        <v>7976</v>
      </c>
      <c r="D2915" s="2" t="s">
        <v>10055</v>
      </c>
      <c r="E2915" s="15">
        <v>-0.25240000000000001</v>
      </c>
      <c r="F2915" s="15">
        <v>0.2472</v>
      </c>
      <c r="G2915" s="15">
        <v>0.30730000000000002</v>
      </c>
      <c r="H2915" s="15">
        <v>3.4200000000000001E-2</v>
      </c>
      <c r="I2915" s="15">
        <v>4.3400000000000001E-2</v>
      </c>
      <c r="J2915" s="15">
        <v>0.78801843317972353</v>
      </c>
    </row>
    <row r="2916" spans="1:10" x14ac:dyDescent="0.25">
      <c r="A2916" s="2" t="s">
        <v>7977</v>
      </c>
      <c r="B2916" s="2" t="s">
        <v>7007</v>
      </c>
      <c r="C2916" s="2" t="s">
        <v>7978</v>
      </c>
      <c r="D2916" s="2" t="s">
        <v>10055</v>
      </c>
      <c r="E2916" s="15">
        <v>-0.21379999999999999</v>
      </c>
      <c r="F2916" s="15">
        <v>0.35139999999999999</v>
      </c>
      <c r="G2916" s="15">
        <v>0.54279999999999995</v>
      </c>
      <c r="H2916" s="15">
        <v>2.0799999999999999E-2</v>
      </c>
      <c r="I2916" s="15">
        <v>4.0899999999999999E-2</v>
      </c>
      <c r="J2916" s="15">
        <v>0.50855745721271395</v>
      </c>
    </row>
    <row r="2917" spans="1:10" x14ac:dyDescent="0.25">
      <c r="A2917" s="2" t="s">
        <v>7979</v>
      </c>
      <c r="B2917" s="2" t="s">
        <v>7007</v>
      </c>
      <c r="C2917" s="2" t="s">
        <v>7980</v>
      </c>
      <c r="D2917" s="2" t="s">
        <v>10055</v>
      </c>
      <c r="E2917" s="15">
        <v>0.13450000000000001</v>
      </c>
      <c r="F2917" s="15">
        <v>0.13780000000000001</v>
      </c>
      <c r="G2917" s="15">
        <v>0.32919999999999999</v>
      </c>
      <c r="H2917" s="15">
        <v>6.59E-2</v>
      </c>
      <c r="I2917" s="15">
        <v>4.4299999999999999E-2</v>
      </c>
      <c r="J2917" s="15">
        <v>1.4875846501128669</v>
      </c>
    </row>
    <row r="2918" spans="1:10" x14ac:dyDescent="0.25">
      <c r="A2918" s="2" t="s">
        <v>7981</v>
      </c>
      <c r="B2918" s="2" t="s">
        <v>7007</v>
      </c>
      <c r="C2918" s="2" t="s">
        <v>7982</v>
      </c>
      <c r="D2918" s="2" t="s">
        <v>10055</v>
      </c>
      <c r="E2918" s="15"/>
      <c r="F2918" s="15"/>
      <c r="G2918" s="15"/>
      <c r="H2918" s="15"/>
      <c r="I2918" s="15"/>
      <c r="J2918" s="15"/>
    </row>
    <row r="2919" spans="1:10" x14ac:dyDescent="0.25">
      <c r="A2919" s="2" t="s">
        <v>7983</v>
      </c>
      <c r="B2919" s="2" t="s">
        <v>7007</v>
      </c>
      <c r="C2919" s="2" t="s">
        <v>7984</v>
      </c>
      <c r="D2919" s="2" t="s">
        <v>10055</v>
      </c>
      <c r="E2919" s="15"/>
      <c r="F2919" s="15"/>
      <c r="G2919" s="15"/>
      <c r="H2919" s="15">
        <v>-8.5000000000000006E-3</v>
      </c>
      <c r="I2919" s="15">
        <v>3.9100000000000003E-2</v>
      </c>
      <c r="J2919" s="15">
        <v>-0.21739130434782611</v>
      </c>
    </row>
    <row r="2920" spans="1:10" x14ac:dyDescent="0.25">
      <c r="A2920" s="2" t="s">
        <v>7985</v>
      </c>
      <c r="B2920" s="2" t="s">
        <v>7007</v>
      </c>
      <c r="C2920" s="2" t="s">
        <v>7986</v>
      </c>
      <c r="D2920" s="2" t="s">
        <v>10055</v>
      </c>
      <c r="E2920" s="15"/>
      <c r="F2920" s="15"/>
      <c r="G2920" s="15"/>
      <c r="H2920" s="15"/>
      <c r="I2920" s="15"/>
      <c r="J2920" s="15"/>
    </row>
    <row r="2921" spans="1:10" x14ac:dyDescent="0.25">
      <c r="A2921" s="2" t="s">
        <v>7987</v>
      </c>
      <c r="B2921" s="2" t="s">
        <v>7007</v>
      </c>
      <c r="C2921" s="2" t="s">
        <v>7988</v>
      </c>
      <c r="D2921" s="2" t="s">
        <v>10055</v>
      </c>
      <c r="E2921" s="15">
        <v>-0.18779999999999999</v>
      </c>
      <c r="F2921" s="15">
        <v>0.15590000000000001</v>
      </c>
      <c r="G2921" s="15">
        <v>0.2283</v>
      </c>
      <c r="H2921" s="15">
        <v>5.4899999999999997E-2</v>
      </c>
      <c r="I2921" s="15">
        <v>4.0599999999999997E-2</v>
      </c>
      <c r="J2921" s="15">
        <v>1.3522167487684731</v>
      </c>
    </row>
    <row r="2922" spans="1:10" x14ac:dyDescent="0.25">
      <c r="A2922" s="2" t="s">
        <v>7989</v>
      </c>
      <c r="B2922" s="2" t="s">
        <v>7007</v>
      </c>
      <c r="C2922" s="2" t="s">
        <v>7990</v>
      </c>
      <c r="D2922" s="2" t="s">
        <v>10055</v>
      </c>
      <c r="E2922" s="15">
        <v>-1.7999999999999999E-2</v>
      </c>
      <c r="F2922" s="15">
        <v>0.14080000000000001</v>
      </c>
      <c r="G2922" s="15">
        <v>0.89829999999999999</v>
      </c>
      <c r="H2922" s="15">
        <v>6.7699999999999996E-2</v>
      </c>
      <c r="I2922" s="15">
        <v>4.2799999999999998E-2</v>
      </c>
      <c r="J2922" s="15">
        <v>1.581775700934579</v>
      </c>
    </row>
    <row r="2923" spans="1:10" x14ac:dyDescent="0.25">
      <c r="A2923" s="2" t="s">
        <v>7991</v>
      </c>
      <c r="B2923" s="2" t="s">
        <v>7007</v>
      </c>
      <c r="C2923" s="2" t="s">
        <v>7992</v>
      </c>
      <c r="D2923" s="2" t="s">
        <v>10055</v>
      </c>
      <c r="E2923" s="15"/>
      <c r="F2923" s="15"/>
      <c r="G2923" s="15"/>
      <c r="H2923" s="15"/>
      <c r="I2923" s="15"/>
      <c r="J2923" s="15"/>
    </row>
    <row r="2924" spans="1:10" x14ac:dyDescent="0.25">
      <c r="A2924" s="2" t="s">
        <v>7993</v>
      </c>
      <c r="B2924" s="2" t="s">
        <v>7007</v>
      </c>
      <c r="C2924" s="2" t="s">
        <v>7994</v>
      </c>
      <c r="D2924" s="2" t="s">
        <v>10055</v>
      </c>
      <c r="E2924" s="15">
        <v>7.7899999999999997E-2</v>
      </c>
      <c r="F2924" s="15">
        <v>0.19700000000000001</v>
      </c>
      <c r="G2924" s="15">
        <v>0.69259999999999999</v>
      </c>
      <c r="H2924" s="15">
        <v>3.3399999999999999E-2</v>
      </c>
      <c r="I2924" s="15">
        <v>4.5199999999999997E-2</v>
      </c>
      <c r="J2924" s="15">
        <v>0.73893805309734517</v>
      </c>
    </row>
    <row r="2925" spans="1:10" x14ac:dyDescent="0.25">
      <c r="A2925" s="2" t="s">
        <v>7995</v>
      </c>
      <c r="B2925" s="2" t="s">
        <v>7007</v>
      </c>
      <c r="C2925" s="2" t="s">
        <v>7996</v>
      </c>
      <c r="D2925" s="2" t="s">
        <v>10055</v>
      </c>
      <c r="E2925" s="15">
        <v>-0.1759</v>
      </c>
      <c r="F2925" s="15">
        <v>0.14319999999999999</v>
      </c>
      <c r="G2925" s="15">
        <v>0.21909999999999999</v>
      </c>
      <c r="H2925" s="15">
        <v>8.2100000000000006E-2</v>
      </c>
      <c r="I2925" s="15">
        <v>4.19E-2</v>
      </c>
      <c r="J2925" s="15">
        <v>1.9594272076372321</v>
      </c>
    </row>
    <row r="2926" spans="1:10" x14ac:dyDescent="0.25">
      <c r="A2926" s="2" t="s">
        <v>7997</v>
      </c>
      <c r="B2926" s="2" t="s">
        <v>7007</v>
      </c>
      <c r="C2926" s="2" t="s">
        <v>7998</v>
      </c>
      <c r="D2926" s="2" t="s">
        <v>10055</v>
      </c>
      <c r="E2926" s="15">
        <v>0.1661</v>
      </c>
      <c r="F2926" s="15">
        <v>0.16420000000000001</v>
      </c>
      <c r="G2926" s="15">
        <v>0.31169999999999998</v>
      </c>
      <c r="H2926" s="15">
        <v>5.3199999999999997E-2</v>
      </c>
      <c r="I2926" s="15">
        <v>4.1599999999999998E-2</v>
      </c>
      <c r="J2926" s="15">
        <v>1.278846153846154</v>
      </c>
    </row>
    <row r="2927" spans="1:10" x14ac:dyDescent="0.25">
      <c r="A2927" s="2" t="s">
        <v>7999</v>
      </c>
      <c r="B2927" s="2" t="s">
        <v>7007</v>
      </c>
      <c r="C2927" s="2" t="s">
        <v>8000</v>
      </c>
      <c r="D2927" s="2" t="s">
        <v>10055</v>
      </c>
      <c r="E2927" s="15"/>
      <c r="F2927" s="15"/>
      <c r="G2927" s="15"/>
      <c r="H2927" s="15"/>
      <c r="I2927" s="15"/>
      <c r="J2927" s="15"/>
    </row>
    <row r="2928" spans="1:10" x14ac:dyDescent="0.25">
      <c r="A2928" s="2" t="s">
        <v>8001</v>
      </c>
      <c r="B2928" s="2" t="s">
        <v>7007</v>
      </c>
      <c r="C2928" s="2" t="s">
        <v>8002</v>
      </c>
      <c r="D2928" s="2" t="s">
        <v>10055</v>
      </c>
      <c r="E2928" s="15">
        <v>0.1605</v>
      </c>
      <c r="F2928" s="15">
        <v>0.19020000000000001</v>
      </c>
      <c r="G2928" s="15">
        <v>0.39860000000000001</v>
      </c>
      <c r="H2928" s="15">
        <v>4.6399999999999997E-2</v>
      </c>
      <c r="I2928" s="15">
        <v>4.4499999999999998E-2</v>
      </c>
      <c r="J2928" s="15">
        <v>1.0426966292134829</v>
      </c>
    </row>
    <row r="2929" spans="1:10" x14ac:dyDescent="0.25">
      <c r="A2929" s="2" t="s">
        <v>8003</v>
      </c>
      <c r="B2929" s="2" t="s">
        <v>7007</v>
      </c>
      <c r="C2929" s="2" t="s">
        <v>8004</v>
      </c>
      <c r="D2929" s="2" t="s">
        <v>10055</v>
      </c>
      <c r="E2929" s="15">
        <v>-0.1003</v>
      </c>
      <c r="F2929" s="15">
        <v>0.2545</v>
      </c>
      <c r="G2929" s="15">
        <v>0.69340000000000002</v>
      </c>
      <c r="H2929" s="15">
        <v>2.3699999999999999E-2</v>
      </c>
      <c r="I2929" s="15">
        <v>4.07E-2</v>
      </c>
      <c r="J2929" s="15">
        <v>0.5823095823095823</v>
      </c>
    </row>
    <row r="2930" spans="1:10" x14ac:dyDescent="0.25">
      <c r="A2930" s="2" t="s">
        <v>8005</v>
      </c>
      <c r="B2930" s="2" t="s">
        <v>7007</v>
      </c>
      <c r="C2930" s="2" t="s">
        <v>8006</v>
      </c>
      <c r="D2930" s="2" t="s">
        <v>10055</v>
      </c>
      <c r="E2930" s="15">
        <v>-0.20039999999999999</v>
      </c>
      <c r="F2930" s="15">
        <v>0.1925</v>
      </c>
      <c r="G2930" s="15">
        <v>0.2979</v>
      </c>
      <c r="H2930" s="15">
        <v>4.0300000000000002E-2</v>
      </c>
      <c r="I2930" s="15">
        <v>4.4499999999999998E-2</v>
      </c>
      <c r="J2930" s="15">
        <v>0.90561797752809003</v>
      </c>
    </row>
    <row r="2931" spans="1:10" x14ac:dyDescent="0.25">
      <c r="A2931" s="2" t="s">
        <v>8007</v>
      </c>
      <c r="B2931" s="2" t="s">
        <v>7007</v>
      </c>
      <c r="C2931" s="2" t="s">
        <v>8008</v>
      </c>
      <c r="D2931" s="2" t="s">
        <v>10055</v>
      </c>
      <c r="E2931" s="15">
        <v>-0.1356</v>
      </c>
      <c r="F2931" s="15">
        <v>0.13039999999999999</v>
      </c>
      <c r="G2931" s="15">
        <v>0.29849999999999999</v>
      </c>
      <c r="H2931" s="15">
        <v>8.0399999999999999E-2</v>
      </c>
      <c r="I2931" s="15">
        <v>4.2799999999999998E-2</v>
      </c>
      <c r="J2931" s="15">
        <v>1.8785046728971959</v>
      </c>
    </row>
    <row r="2932" spans="1:10" x14ac:dyDescent="0.25">
      <c r="A2932" s="2" t="s">
        <v>8009</v>
      </c>
      <c r="B2932" s="2" t="s">
        <v>7007</v>
      </c>
      <c r="C2932" s="2" t="s">
        <v>8010</v>
      </c>
      <c r="D2932" s="2" t="s">
        <v>10055</v>
      </c>
      <c r="E2932" s="15"/>
      <c r="F2932" s="15"/>
      <c r="G2932" s="15"/>
      <c r="H2932" s="15">
        <v>-3.9E-2</v>
      </c>
      <c r="I2932" s="15">
        <v>4.0500000000000001E-2</v>
      </c>
      <c r="J2932" s="15">
        <v>-0.96296296296296291</v>
      </c>
    </row>
    <row r="2933" spans="1:10" x14ac:dyDescent="0.25">
      <c r="A2933" s="2" t="s">
        <v>8011</v>
      </c>
      <c r="B2933" s="2" t="s">
        <v>7007</v>
      </c>
      <c r="C2933" s="2" t="s">
        <v>8012</v>
      </c>
      <c r="D2933" s="2" t="s">
        <v>10055</v>
      </c>
      <c r="E2933" s="15">
        <v>0.29699999999999999</v>
      </c>
      <c r="F2933" s="15">
        <v>0.31359999999999999</v>
      </c>
      <c r="G2933" s="15">
        <v>0.34370000000000001</v>
      </c>
      <c r="H2933" s="15">
        <v>2.5999999999999999E-2</v>
      </c>
      <c r="I2933" s="15">
        <v>0.04</v>
      </c>
      <c r="J2933" s="15">
        <v>0.64999999999999991</v>
      </c>
    </row>
    <row r="2934" spans="1:10" x14ac:dyDescent="0.25">
      <c r="A2934" s="2" t="s">
        <v>8013</v>
      </c>
      <c r="B2934" s="2" t="s">
        <v>7007</v>
      </c>
      <c r="C2934" s="2" t="s">
        <v>8014</v>
      </c>
      <c r="D2934" s="2" t="s">
        <v>10055</v>
      </c>
      <c r="E2934" s="15"/>
      <c r="F2934" s="15"/>
      <c r="G2934" s="15"/>
      <c r="H2934" s="15">
        <v>-1.9699999999999999E-2</v>
      </c>
      <c r="I2934" s="15">
        <v>3.8300000000000001E-2</v>
      </c>
      <c r="J2934" s="15">
        <v>-0.5143603133159268</v>
      </c>
    </row>
    <row r="2935" spans="1:10" x14ac:dyDescent="0.25">
      <c r="A2935" s="2" t="s">
        <v>8015</v>
      </c>
      <c r="B2935" s="2" t="s">
        <v>7007</v>
      </c>
      <c r="C2935" s="2" t="s">
        <v>8016</v>
      </c>
      <c r="D2935" s="2" t="s">
        <v>10055</v>
      </c>
      <c r="E2935" s="15">
        <v>-0.32150000000000001</v>
      </c>
      <c r="F2935" s="15">
        <v>0.31209999999999999</v>
      </c>
      <c r="G2935" s="15">
        <v>0.30299999999999999</v>
      </c>
      <c r="H2935" s="15">
        <v>2.6100000000000002E-2</v>
      </c>
      <c r="I2935" s="15">
        <v>3.9399999999999998E-2</v>
      </c>
      <c r="J2935" s="15">
        <v>0.6624365482233503</v>
      </c>
    </row>
    <row r="2936" spans="1:10" x14ac:dyDescent="0.25">
      <c r="A2936" s="2" t="s">
        <v>8017</v>
      </c>
      <c r="B2936" s="2" t="s">
        <v>7007</v>
      </c>
      <c r="C2936" s="2" t="s">
        <v>8018</v>
      </c>
      <c r="D2936" s="2" t="s">
        <v>10055</v>
      </c>
      <c r="E2936" s="15">
        <v>-0.1113</v>
      </c>
      <c r="F2936" s="15">
        <v>0.16669999999999999</v>
      </c>
      <c r="G2936" s="15">
        <v>0.50429999999999997</v>
      </c>
      <c r="H2936" s="15">
        <v>5.3600000000000002E-2</v>
      </c>
      <c r="I2936" s="15">
        <v>0.04</v>
      </c>
      <c r="J2936" s="15">
        <v>1.34</v>
      </c>
    </row>
    <row r="2937" spans="1:10" x14ac:dyDescent="0.25">
      <c r="A2937" s="2" t="s">
        <v>8019</v>
      </c>
      <c r="B2937" s="2" t="s">
        <v>7007</v>
      </c>
      <c r="C2937" s="2" t="s">
        <v>8020</v>
      </c>
      <c r="D2937" s="2" t="s">
        <v>10055</v>
      </c>
      <c r="E2937" s="15">
        <v>0.21740000000000001</v>
      </c>
      <c r="F2937" s="15">
        <v>0.19159999999999999</v>
      </c>
      <c r="G2937" s="15">
        <v>0.25640000000000002</v>
      </c>
      <c r="H2937" s="15">
        <v>4.8899999999999999E-2</v>
      </c>
      <c r="I2937" s="15">
        <v>4.3900000000000002E-2</v>
      </c>
      <c r="J2937" s="15">
        <v>1.113895216400911</v>
      </c>
    </row>
    <row r="2938" spans="1:10" x14ac:dyDescent="0.25">
      <c r="A2938" s="2" t="s">
        <v>8021</v>
      </c>
      <c r="B2938" s="2" t="s">
        <v>7007</v>
      </c>
      <c r="C2938" s="2" t="s">
        <v>8022</v>
      </c>
      <c r="D2938" s="2" t="s">
        <v>10055</v>
      </c>
      <c r="E2938" s="15">
        <v>-6.6500000000000004E-2</v>
      </c>
      <c r="F2938" s="15">
        <v>0.21210000000000001</v>
      </c>
      <c r="G2938" s="15">
        <v>0.75370000000000004</v>
      </c>
      <c r="H2938" s="15">
        <v>2.93E-2</v>
      </c>
      <c r="I2938" s="15">
        <v>3.9899999999999998E-2</v>
      </c>
      <c r="J2938" s="15">
        <v>0.73433583959899751</v>
      </c>
    </row>
    <row r="2939" spans="1:10" x14ac:dyDescent="0.25">
      <c r="A2939" s="2" t="s">
        <v>8023</v>
      </c>
      <c r="B2939" s="2" t="s">
        <v>7007</v>
      </c>
      <c r="C2939" s="2" t="s">
        <v>8024</v>
      </c>
      <c r="D2939" s="2" t="s">
        <v>10055</v>
      </c>
      <c r="E2939" s="15">
        <v>-0.1106</v>
      </c>
      <c r="F2939" s="15">
        <v>0.18129999999999999</v>
      </c>
      <c r="G2939" s="15">
        <v>0.54190000000000005</v>
      </c>
      <c r="H2939" s="15">
        <v>4.5499999999999999E-2</v>
      </c>
      <c r="I2939" s="15">
        <v>4.4200000000000003E-2</v>
      </c>
      <c r="J2939" s="15">
        <v>1.029411764705882</v>
      </c>
    </row>
    <row r="2940" spans="1:10" x14ac:dyDescent="0.25">
      <c r="A2940" s="2" t="s">
        <v>8025</v>
      </c>
      <c r="B2940" s="2" t="s">
        <v>7007</v>
      </c>
      <c r="C2940" s="2" t="s">
        <v>8026</v>
      </c>
      <c r="D2940" s="2" t="s">
        <v>10055</v>
      </c>
      <c r="E2940" s="15"/>
      <c r="F2940" s="15"/>
      <c r="G2940" s="15"/>
      <c r="H2940" s="15">
        <v>-1.61E-2</v>
      </c>
      <c r="I2940" s="15">
        <v>3.95E-2</v>
      </c>
      <c r="J2940" s="15">
        <v>-0.40759493670886082</v>
      </c>
    </row>
    <row r="2941" spans="1:10" x14ac:dyDescent="0.25">
      <c r="A2941" s="2" t="s">
        <v>8027</v>
      </c>
      <c r="B2941" s="2" t="s">
        <v>7007</v>
      </c>
      <c r="C2941" s="2" t="s">
        <v>8028</v>
      </c>
      <c r="D2941" s="2" t="s">
        <v>10055</v>
      </c>
      <c r="E2941" s="15">
        <v>3.49E-2</v>
      </c>
      <c r="F2941" s="15">
        <v>0.18690000000000001</v>
      </c>
      <c r="G2941" s="15">
        <v>0.85189999999999999</v>
      </c>
      <c r="H2941" s="15">
        <v>3.7600000000000001E-2</v>
      </c>
      <c r="I2941" s="15">
        <v>4.4699999999999997E-2</v>
      </c>
      <c r="J2941" s="15">
        <v>0.84116331096196872</v>
      </c>
    </row>
    <row r="2942" spans="1:10" x14ac:dyDescent="0.25">
      <c r="A2942" s="2" t="s">
        <v>8029</v>
      </c>
      <c r="B2942" s="2" t="s">
        <v>7007</v>
      </c>
      <c r="C2942" s="2" t="s">
        <v>8030</v>
      </c>
      <c r="D2942" s="2" t="s">
        <v>10055</v>
      </c>
      <c r="E2942" s="15"/>
      <c r="F2942" s="15"/>
      <c r="G2942" s="15"/>
      <c r="H2942" s="15">
        <v>-4.0500000000000001E-2</v>
      </c>
      <c r="I2942" s="15">
        <v>3.5700000000000003E-2</v>
      </c>
      <c r="J2942" s="15">
        <v>-1.134453781512605</v>
      </c>
    </row>
    <row r="2943" spans="1:10" x14ac:dyDescent="0.25">
      <c r="A2943" s="2" t="s">
        <v>8031</v>
      </c>
      <c r="B2943" s="2" t="s">
        <v>7007</v>
      </c>
      <c r="C2943" s="2" t="s">
        <v>8032</v>
      </c>
      <c r="D2943" s="2" t="s">
        <v>10055</v>
      </c>
      <c r="E2943" s="15"/>
      <c r="F2943" s="15"/>
      <c r="G2943" s="15"/>
      <c r="H2943" s="15">
        <v>-4.2200000000000001E-2</v>
      </c>
      <c r="I2943" s="15">
        <v>4.65E-2</v>
      </c>
      <c r="J2943" s="15">
        <v>-0.90752688172043017</v>
      </c>
    </row>
    <row r="2944" spans="1:10" x14ac:dyDescent="0.25">
      <c r="A2944" s="2" t="s">
        <v>8033</v>
      </c>
      <c r="B2944" s="2" t="s">
        <v>7007</v>
      </c>
      <c r="C2944" s="2" t="s">
        <v>8034</v>
      </c>
      <c r="D2944" s="2" t="s">
        <v>10055</v>
      </c>
      <c r="E2944" s="15"/>
      <c r="F2944" s="15"/>
      <c r="G2944" s="15"/>
      <c r="H2944" s="15"/>
      <c r="I2944" s="15"/>
      <c r="J2944" s="15"/>
    </row>
    <row r="2945" spans="1:10" x14ac:dyDescent="0.25">
      <c r="A2945" s="2" t="s">
        <v>8035</v>
      </c>
      <c r="B2945" s="2" t="s">
        <v>7007</v>
      </c>
      <c r="C2945" s="2" t="s">
        <v>8036</v>
      </c>
      <c r="D2945" s="2" t="s">
        <v>10055</v>
      </c>
      <c r="E2945" s="15"/>
      <c r="F2945" s="15"/>
      <c r="G2945" s="15"/>
      <c r="H2945" s="15"/>
      <c r="I2945" s="15"/>
      <c r="J2945" s="15"/>
    </row>
    <row r="2946" spans="1:10" x14ac:dyDescent="0.25">
      <c r="A2946" s="2" t="s">
        <v>8037</v>
      </c>
      <c r="B2946" s="2" t="s">
        <v>7007</v>
      </c>
      <c r="C2946" s="2" t="s">
        <v>8038</v>
      </c>
      <c r="D2946" s="2" t="s">
        <v>10055</v>
      </c>
      <c r="E2946" s="15">
        <v>0.12659999999999999</v>
      </c>
      <c r="F2946" s="15">
        <v>0.15840000000000001</v>
      </c>
      <c r="G2946" s="15">
        <v>0.42430000000000001</v>
      </c>
      <c r="H2946" s="15">
        <v>6.54E-2</v>
      </c>
      <c r="I2946" s="15">
        <v>4.0300000000000002E-2</v>
      </c>
      <c r="J2946" s="15">
        <v>1.6228287841191069</v>
      </c>
    </row>
    <row r="2947" spans="1:10" x14ac:dyDescent="0.25">
      <c r="A2947" s="2" t="s">
        <v>8039</v>
      </c>
      <c r="B2947" s="2" t="s">
        <v>7007</v>
      </c>
      <c r="C2947" s="2" t="s">
        <v>8040</v>
      </c>
      <c r="D2947" s="2" t="s">
        <v>10055</v>
      </c>
      <c r="E2947" s="15">
        <v>-0.26190000000000002</v>
      </c>
      <c r="F2947" s="15">
        <v>0.15540000000000001</v>
      </c>
      <c r="G2947" s="15">
        <v>9.1899999999999996E-2</v>
      </c>
      <c r="H2947" s="15">
        <v>6.9699999999999998E-2</v>
      </c>
      <c r="I2947" s="15">
        <v>4.3999999999999997E-2</v>
      </c>
      <c r="J2947" s="15">
        <v>1.584090909090909</v>
      </c>
    </row>
    <row r="2948" spans="1:10" x14ac:dyDescent="0.25">
      <c r="A2948" s="2" t="s">
        <v>8041</v>
      </c>
      <c r="B2948" s="2" t="s">
        <v>7007</v>
      </c>
      <c r="C2948" s="2" t="s">
        <v>8042</v>
      </c>
      <c r="D2948" s="2" t="s">
        <v>10055</v>
      </c>
      <c r="E2948" s="15">
        <v>-0.1343</v>
      </c>
      <c r="F2948" s="15">
        <v>0.1217</v>
      </c>
      <c r="G2948" s="15">
        <v>0.27</v>
      </c>
      <c r="H2948" s="15">
        <v>9.0999999999999998E-2</v>
      </c>
      <c r="I2948" s="15">
        <v>4.4299999999999999E-2</v>
      </c>
      <c r="J2948" s="15">
        <v>2.0541760722347631</v>
      </c>
    </row>
    <row r="2949" spans="1:10" x14ac:dyDescent="0.25">
      <c r="A2949" s="2" t="s">
        <v>8043</v>
      </c>
      <c r="B2949" s="2" t="s">
        <v>7007</v>
      </c>
      <c r="C2949" s="2" t="s">
        <v>8044</v>
      </c>
      <c r="D2949" s="2" t="s">
        <v>10055</v>
      </c>
      <c r="E2949" s="15"/>
      <c r="F2949" s="15"/>
      <c r="G2949" s="15"/>
      <c r="H2949" s="15">
        <v>-1.7000000000000001E-2</v>
      </c>
      <c r="I2949" s="15">
        <v>3.8699999999999998E-2</v>
      </c>
      <c r="J2949" s="15">
        <v>-0.43927648578811368</v>
      </c>
    </row>
    <row r="2950" spans="1:10" x14ac:dyDescent="0.25">
      <c r="A2950" s="2" t="s">
        <v>8045</v>
      </c>
      <c r="B2950" s="2" t="s">
        <v>7007</v>
      </c>
      <c r="C2950" s="2" t="s">
        <v>8046</v>
      </c>
      <c r="D2950" s="2" t="s">
        <v>10055</v>
      </c>
      <c r="E2950" s="15"/>
      <c r="F2950" s="15"/>
      <c r="G2950" s="15"/>
      <c r="H2950" s="15"/>
      <c r="I2950" s="15"/>
      <c r="J2950" s="15"/>
    </row>
    <row r="2951" spans="1:10" x14ac:dyDescent="0.25">
      <c r="A2951" s="2" t="s">
        <v>8047</v>
      </c>
      <c r="B2951" s="2" t="s">
        <v>7007</v>
      </c>
      <c r="C2951" s="2" t="s">
        <v>8048</v>
      </c>
      <c r="D2951" s="2" t="s">
        <v>10055</v>
      </c>
      <c r="E2951" s="15">
        <v>0.14910000000000001</v>
      </c>
      <c r="F2951" s="15">
        <v>0.1159</v>
      </c>
      <c r="G2951" s="15">
        <v>0.19850000000000001</v>
      </c>
      <c r="H2951" s="15">
        <v>0.1057</v>
      </c>
      <c r="I2951" s="15">
        <v>4.1000000000000002E-2</v>
      </c>
      <c r="J2951" s="15">
        <v>2.5780487804878049</v>
      </c>
    </row>
    <row r="2952" spans="1:10" x14ac:dyDescent="0.25">
      <c r="A2952" s="2" t="s">
        <v>8049</v>
      </c>
      <c r="B2952" s="2" t="s">
        <v>7007</v>
      </c>
      <c r="C2952" s="2" t="s">
        <v>8050</v>
      </c>
      <c r="D2952" s="2" t="s">
        <v>10055</v>
      </c>
      <c r="E2952" s="15">
        <v>-1.06E-2</v>
      </c>
      <c r="F2952" s="15">
        <v>0.12479999999999999</v>
      </c>
      <c r="G2952" s="15">
        <v>0.9325</v>
      </c>
      <c r="H2952" s="15">
        <v>8.0100000000000005E-2</v>
      </c>
      <c r="I2952" s="15">
        <v>4.4600000000000001E-2</v>
      </c>
      <c r="J2952" s="15">
        <v>1.7959641255605381</v>
      </c>
    </row>
    <row r="2953" spans="1:10" x14ac:dyDescent="0.25">
      <c r="A2953" s="2" t="s">
        <v>8051</v>
      </c>
      <c r="B2953" s="2" t="s">
        <v>7007</v>
      </c>
      <c r="C2953" s="2" t="s">
        <v>8052</v>
      </c>
      <c r="D2953" s="2" t="s">
        <v>10055</v>
      </c>
      <c r="E2953" s="15">
        <v>9.5000000000000001E-2</v>
      </c>
      <c r="F2953" s="15">
        <v>0.1449</v>
      </c>
      <c r="G2953" s="15">
        <v>0.51200000000000001</v>
      </c>
      <c r="H2953" s="15">
        <v>6.8000000000000005E-2</v>
      </c>
      <c r="I2953" s="15">
        <v>3.7900000000000003E-2</v>
      </c>
      <c r="J2953" s="15">
        <v>1.794195250659631</v>
      </c>
    </row>
    <row r="2954" spans="1:10" x14ac:dyDescent="0.25">
      <c r="A2954" s="2" t="s">
        <v>8053</v>
      </c>
      <c r="B2954" s="2" t="s">
        <v>7007</v>
      </c>
      <c r="C2954" s="2" t="s">
        <v>8054</v>
      </c>
      <c r="D2954" s="2" t="s">
        <v>10055</v>
      </c>
      <c r="E2954" s="15">
        <v>-0.17799999999999999</v>
      </c>
      <c r="F2954" s="15">
        <v>0.1615</v>
      </c>
      <c r="G2954" s="15">
        <v>0.27039999999999997</v>
      </c>
      <c r="H2954" s="15">
        <v>6.2399999999999997E-2</v>
      </c>
      <c r="I2954" s="15">
        <v>4.4600000000000001E-2</v>
      </c>
      <c r="J2954" s="15">
        <v>1.399103139013453</v>
      </c>
    </row>
    <row r="2955" spans="1:10" x14ac:dyDescent="0.25">
      <c r="A2955" s="2" t="s">
        <v>8055</v>
      </c>
      <c r="B2955" s="2" t="s">
        <v>7007</v>
      </c>
      <c r="C2955" s="2" t="s">
        <v>8056</v>
      </c>
      <c r="D2955" s="2" t="s">
        <v>10055</v>
      </c>
      <c r="E2955" s="15">
        <v>7.8100000000000003E-2</v>
      </c>
      <c r="F2955" s="15">
        <v>0.18429999999999999</v>
      </c>
      <c r="G2955" s="15">
        <v>0.67159999999999997</v>
      </c>
      <c r="H2955" s="15">
        <v>3.9399999999999998E-2</v>
      </c>
      <c r="I2955" s="15">
        <v>4.3099999999999999E-2</v>
      </c>
      <c r="J2955" s="15">
        <v>0.91415313225058004</v>
      </c>
    </row>
    <row r="2956" spans="1:10" x14ac:dyDescent="0.25">
      <c r="A2956" s="2" t="s">
        <v>8057</v>
      </c>
      <c r="B2956" s="2" t="s">
        <v>7007</v>
      </c>
      <c r="C2956" s="2" t="s">
        <v>8058</v>
      </c>
      <c r="D2956" s="2" t="s">
        <v>10055</v>
      </c>
      <c r="E2956" s="15"/>
      <c r="F2956" s="15"/>
      <c r="G2956" s="15"/>
      <c r="H2956" s="15"/>
      <c r="I2956" s="15"/>
      <c r="J2956" s="15"/>
    </row>
    <row r="2957" spans="1:10" x14ac:dyDescent="0.25">
      <c r="A2957" s="2" t="s">
        <v>8059</v>
      </c>
      <c r="B2957" s="2" t="s">
        <v>7007</v>
      </c>
      <c r="C2957" s="2" t="s">
        <v>8060</v>
      </c>
      <c r="D2957" s="2" t="s">
        <v>10055</v>
      </c>
      <c r="E2957" s="15">
        <v>-1.83E-2</v>
      </c>
      <c r="F2957" s="15">
        <v>0.192</v>
      </c>
      <c r="G2957" s="15">
        <v>0.92390000000000005</v>
      </c>
      <c r="H2957" s="15">
        <v>3.3399999999999999E-2</v>
      </c>
      <c r="I2957" s="15">
        <v>3.7999999999999999E-2</v>
      </c>
      <c r="J2957" s="15">
        <v>0.87894736842105259</v>
      </c>
    </row>
    <row r="2958" spans="1:10" x14ac:dyDescent="0.25">
      <c r="A2958" s="2" t="s">
        <v>8061</v>
      </c>
      <c r="B2958" s="2" t="s">
        <v>7007</v>
      </c>
      <c r="C2958" s="2" t="s">
        <v>8062</v>
      </c>
      <c r="D2958" s="2" t="s">
        <v>10055</v>
      </c>
      <c r="E2958" s="15">
        <v>-0.15060000000000001</v>
      </c>
      <c r="F2958" s="15">
        <v>0.1159</v>
      </c>
      <c r="G2958" s="15">
        <v>0.19359999999999999</v>
      </c>
      <c r="H2958" s="15">
        <v>8.7800000000000003E-2</v>
      </c>
      <c r="I2958" s="15">
        <v>4.1500000000000002E-2</v>
      </c>
      <c r="J2958" s="15">
        <v>2.1156626506024101</v>
      </c>
    </row>
    <row r="2959" spans="1:10" x14ac:dyDescent="0.25">
      <c r="A2959" s="2" t="s">
        <v>8063</v>
      </c>
      <c r="B2959" s="2" t="s">
        <v>7007</v>
      </c>
      <c r="C2959" s="2" t="s">
        <v>8064</v>
      </c>
      <c r="D2959" s="2" t="s">
        <v>10055</v>
      </c>
      <c r="E2959" s="15"/>
      <c r="F2959" s="15"/>
      <c r="G2959" s="15"/>
      <c r="H2959" s="15">
        <v>-1.0200000000000001E-2</v>
      </c>
      <c r="I2959" s="15">
        <v>3.6700000000000003E-2</v>
      </c>
      <c r="J2959" s="15">
        <v>-0.27792915531335149</v>
      </c>
    </row>
    <row r="2960" spans="1:10" x14ac:dyDescent="0.25">
      <c r="A2960" s="2" t="s">
        <v>8065</v>
      </c>
      <c r="B2960" s="2" t="s">
        <v>7007</v>
      </c>
      <c r="C2960" s="2" t="s">
        <v>8066</v>
      </c>
      <c r="D2960" s="2" t="s">
        <v>10055</v>
      </c>
      <c r="E2960" s="15">
        <v>7.4999999999999997E-3</v>
      </c>
      <c r="F2960" s="15">
        <v>0.1694</v>
      </c>
      <c r="G2960" s="15">
        <v>0.96489999999999998</v>
      </c>
      <c r="H2960" s="15">
        <v>4.2900000000000001E-2</v>
      </c>
      <c r="I2960" s="15">
        <v>3.9100000000000003E-2</v>
      </c>
      <c r="J2960" s="15">
        <v>1.0971867007672631</v>
      </c>
    </row>
    <row r="2961" spans="1:10" x14ac:dyDescent="0.25">
      <c r="A2961" s="2" t="s">
        <v>8067</v>
      </c>
      <c r="B2961" s="2" t="s">
        <v>7007</v>
      </c>
      <c r="C2961" s="2" t="s">
        <v>8068</v>
      </c>
      <c r="D2961" s="2" t="s">
        <v>10055</v>
      </c>
      <c r="E2961" s="15">
        <v>0.2147</v>
      </c>
      <c r="F2961" s="15">
        <v>0.27579999999999999</v>
      </c>
      <c r="G2961" s="15">
        <v>0.43619999999999998</v>
      </c>
      <c r="H2961" s="15">
        <v>2.7199999999999998E-2</v>
      </c>
      <c r="I2961" s="15">
        <v>4.0099999999999997E-2</v>
      </c>
      <c r="J2961" s="15">
        <v>0.67830423940149631</v>
      </c>
    </row>
    <row r="2962" spans="1:10" x14ac:dyDescent="0.25">
      <c r="A2962" s="2" t="s">
        <v>8069</v>
      </c>
      <c r="B2962" s="2" t="s">
        <v>7007</v>
      </c>
      <c r="C2962" s="2" t="s">
        <v>8070</v>
      </c>
      <c r="D2962" s="2" t="s">
        <v>10055</v>
      </c>
      <c r="E2962" s="15">
        <v>-0.2843</v>
      </c>
      <c r="F2962" s="15">
        <v>0.42159999999999997</v>
      </c>
      <c r="G2962" s="15">
        <v>0.50009999999999999</v>
      </c>
      <c r="H2962" s="15">
        <v>1.9E-2</v>
      </c>
      <c r="I2962" s="15">
        <v>4.1599999999999998E-2</v>
      </c>
      <c r="J2962" s="15">
        <v>0.45673076923076922</v>
      </c>
    </row>
    <row r="2963" spans="1:10" x14ac:dyDescent="0.25">
      <c r="A2963" s="2" t="s">
        <v>8071</v>
      </c>
      <c r="B2963" s="2" t="s">
        <v>7007</v>
      </c>
      <c r="C2963" s="2" t="s">
        <v>8072</v>
      </c>
      <c r="D2963" s="2" t="s">
        <v>10055</v>
      </c>
      <c r="E2963" s="15"/>
      <c r="F2963" s="15"/>
      <c r="G2963" s="15"/>
      <c r="H2963" s="15">
        <v>-3.6299999999999999E-2</v>
      </c>
      <c r="I2963" s="15">
        <v>3.7900000000000003E-2</v>
      </c>
      <c r="J2963" s="15">
        <v>-0.95778364116094972</v>
      </c>
    </row>
    <row r="2964" spans="1:10" x14ac:dyDescent="0.25">
      <c r="A2964" s="2" t="s">
        <v>8073</v>
      </c>
      <c r="B2964" s="2" t="s">
        <v>7007</v>
      </c>
      <c r="C2964" s="2" t="s">
        <v>8074</v>
      </c>
      <c r="D2964" s="2" t="s">
        <v>10055</v>
      </c>
      <c r="E2964" s="15">
        <v>-4.8399999999999999E-2</v>
      </c>
      <c r="F2964" s="15">
        <v>0.2056</v>
      </c>
      <c r="G2964" s="15">
        <v>0.81379999999999997</v>
      </c>
      <c r="H2964" s="15">
        <v>3.1600000000000003E-2</v>
      </c>
      <c r="I2964" s="15">
        <v>4.24E-2</v>
      </c>
      <c r="J2964" s="15">
        <v>0.74528301886792458</v>
      </c>
    </row>
    <row r="2965" spans="1:10" x14ac:dyDescent="0.25">
      <c r="A2965" s="2" t="s">
        <v>8075</v>
      </c>
      <c r="B2965" s="2" t="s">
        <v>7007</v>
      </c>
      <c r="C2965" s="2" t="s">
        <v>8076</v>
      </c>
      <c r="D2965" s="2" t="s">
        <v>10055</v>
      </c>
      <c r="E2965" s="15"/>
      <c r="F2965" s="15"/>
      <c r="G2965" s="15"/>
      <c r="H2965" s="15">
        <v>-4.1999999999999997E-3</v>
      </c>
      <c r="I2965" s="15">
        <v>4.2099999999999999E-2</v>
      </c>
      <c r="J2965" s="15">
        <v>-9.9762470308788598E-2</v>
      </c>
    </row>
    <row r="2966" spans="1:10" x14ac:dyDescent="0.25">
      <c r="A2966" s="2" t="s">
        <v>8077</v>
      </c>
      <c r="B2966" s="2" t="s">
        <v>7007</v>
      </c>
      <c r="C2966" s="2" t="s">
        <v>8078</v>
      </c>
      <c r="D2966" s="2" t="s">
        <v>10055</v>
      </c>
      <c r="E2966" s="15">
        <v>-6.0000000000000001E-3</v>
      </c>
      <c r="F2966" s="15">
        <v>0.123</v>
      </c>
      <c r="G2966" s="15">
        <v>0.96120000000000005</v>
      </c>
      <c r="H2966" s="15">
        <v>8.7400000000000005E-2</v>
      </c>
      <c r="I2966" s="15">
        <v>4.2299999999999997E-2</v>
      </c>
      <c r="J2966" s="15">
        <v>2.0661938534278961</v>
      </c>
    </row>
    <row r="2967" spans="1:10" x14ac:dyDescent="0.25">
      <c r="A2967" s="2" t="s">
        <v>8079</v>
      </c>
      <c r="B2967" s="2" t="s">
        <v>7007</v>
      </c>
      <c r="C2967" s="2" t="s">
        <v>8080</v>
      </c>
      <c r="D2967" s="2" t="s">
        <v>10055</v>
      </c>
      <c r="E2967" s="15">
        <v>2.8E-3</v>
      </c>
      <c r="F2967" s="15">
        <v>0.16719999999999999</v>
      </c>
      <c r="G2967" s="15">
        <v>0.98670000000000002</v>
      </c>
      <c r="H2967" s="15">
        <v>4.3200000000000002E-2</v>
      </c>
      <c r="I2967" s="15">
        <v>4.2200000000000001E-2</v>
      </c>
      <c r="J2967" s="15">
        <v>1.0236966824644551</v>
      </c>
    </row>
    <row r="2968" spans="1:10" x14ac:dyDescent="0.25">
      <c r="A2968" s="2" t="s">
        <v>8081</v>
      </c>
      <c r="B2968" s="2" t="s">
        <v>7007</v>
      </c>
      <c r="C2968" s="2" t="s">
        <v>8082</v>
      </c>
      <c r="D2968" s="2" t="s">
        <v>10055</v>
      </c>
      <c r="E2968" s="15">
        <v>-6.0900000000000003E-2</v>
      </c>
      <c r="F2968" s="15">
        <v>0.20039999999999999</v>
      </c>
      <c r="G2968" s="15">
        <v>0.76129999999999998</v>
      </c>
      <c r="H2968" s="15">
        <v>3.9899999999999998E-2</v>
      </c>
      <c r="I2968" s="15">
        <v>4.2500000000000003E-2</v>
      </c>
      <c r="J2968" s="15">
        <v>0.93882352941176461</v>
      </c>
    </row>
    <row r="2969" spans="1:10" x14ac:dyDescent="0.25">
      <c r="A2969" s="2" t="s">
        <v>8083</v>
      </c>
      <c r="B2969" s="2" t="s">
        <v>7007</v>
      </c>
      <c r="C2969" s="2" t="s">
        <v>8084</v>
      </c>
      <c r="D2969" s="2" t="s">
        <v>10055</v>
      </c>
      <c r="E2969" s="15"/>
      <c r="F2969" s="15"/>
      <c r="G2969" s="15"/>
      <c r="H2969" s="15">
        <v>-8.2000000000000007E-3</v>
      </c>
      <c r="I2969" s="15">
        <v>4.2900000000000001E-2</v>
      </c>
      <c r="J2969" s="15">
        <v>-0.19114219114219119</v>
      </c>
    </row>
    <row r="2970" spans="1:10" x14ac:dyDescent="0.25">
      <c r="A2970" s="2" t="s">
        <v>8085</v>
      </c>
      <c r="B2970" s="2" t="s">
        <v>7007</v>
      </c>
      <c r="C2970" s="2" t="s">
        <v>8086</v>
      </c>
      <c r="D2970" s="2" t="s">
        <v>10055</v>
      </c>
      <c r="E2970" s="15">
        <v>-0.26319999999999999</v>
      </c>
      <c r="F2970" s="15">
        <v>0.33710000000000001</v>
      </c>
      <c r="G2970" s="15">
        <v>0.435</v>
      </c>
      <c r="H2970" s="15">
        <v>2.3699999999999999E-2</v>
      </c>
      <c r="I2970" s="15">
        <v>4.0800000000000003E-2</v>
      </c>
      <c r="J2970" s="15">
        <v>0.58088235294117641</v>
      </c>
    </row>
    <row r="2971" spans="1:10" x14ac:dyDescent="0.25">
      <c r="A2971" s="2" t="s">
        <v>8087</v>
      </c>
      <c r="B2971" s="2" t="s">
        <v>7007</v>
      </c>
      <c r="C2971" s="2" t="s">
        <v>8088</v>
      </c>
      <c r="D2971" s="2" t="s">
        <v>10055</v>
      </c>
      <c r="E2971" s="15">
        <v>2.3900000000000001E-2</v>
      </c>
      <c r="F2971" s="15">
        <v>0.1084</v>
      </c>
      <c r="G2971" s="15">
        <v>0.8256</v>
      </c>
      <c r="H2971" s="15">
        <v>0.1013</v>
      </c>
      <c r="I2971" s="15">
        <v>5.3600000000000002E-2</v>
      </c>
      <c r="J2971" s="15">
        <v>1.889925373134328</v>
      </c>
    </row>
    <row r="2972" spans="1:10" x14ac:dyDescent="0.25">
      <c r="A2972" s="2" t="s">
        <v>8089</v>
      </c>
      <c r="B2972" s="2" t="s">
        <v>7007</v>
      </c>
      <c r="C2972" s="2" t="s">
        <v>8090</v>
      </c>
      <c r="D2972" s="2" t="s">
        <v>10055</v>
      </c>
      <c r="E2972" s="15">
        <v>-0.2029</v>
      </c>
      <c r="F2972" s="15">
        <v>0.35520000000000002</v>
      </c>
      <c r="G2972" s="15">
        <v>0.56789999999999996</v>
      </c>
      <c r="H2972" s="15">
        <v>1.8599999999999998E-2</v>
      </c>
      <c r="I2972" s="15">
        <v>3.7999999999999999E-2</v>
      </c>
      <c r="J2972" s="15">
        <v>0.48947368421052628</v>
      </c>
    </row>
    <row r="2973" spans="1:10" x14ac:dyDescent="0.25">
      <c r="A2973" s="2" t="s">
        <v>8091</v>
      </c>
      <c r="B2973" s="2" t="s">
        <v>7007</v>
      </c>
      <c r="C2973" s="2" t="s">
        <v>8092</v>
      </c>
      <c r="D2973" s="2" t="s">
        <v>10055</v>
      </c>
      <c r="E2973" s="15">
        <v>3.15E-2</v>
      </c>
      <c r="F2973" s="15">
        <v>0.16439999999999999</v>
      </c>
      <c r="G2973" s="15">
        <v>0.84799999999999998</v>
      </c>
      <c r="H2973" s="15">
        <v>4.6199999999999998E-2</v>
      </c>
      <c r="I2973" s="15">
        <v>4.1500000000000002E-2</v>
      </c>
      <c r="J2973" s="15">
        <v>1.1132530120481929</v>
      </c>
    </row>
    <row r="2974" spans="1:10" x14ac:dyDescent="0.25">
      <c r="A2974" s="2" t="s">
        <v>8093</v>
      </c>
      <c r="B2974" s="2" t="s">
        <v>7007</v>
      </c>
      <c r="C2974" s="2" t="s">
        <v>8094</v>
      </c>
      <c r="D2974" s="2" t="s">
        <v>10055</v>
      </c>
      <c r="E2974" s="15"/>
      <c r="F2974" s="15"/>
      <c r="G2974" s="15"/>
      <c r="H2974" s="15">
        <v>-2.8299999999999999E-2</v>
      </c>
      <c r="I2974" s="15">
        <v>4.4200000000000003E-2</v>
      </c>
      <c r="J2974" s="15">
        <v>-0.64027149321266963</v>
      </c>
    </row>
    <row r="2975" spans="1:10" x14ac:dyDescent="0.25">
      <c r="A2975" s="2" t="s">
        <v>8095</v>
      </c>
      <c r="B2975" s="2" t="s">
        <v>7007</v>
      </c>
      <c r="C2975" s="2" t="s">
        <v>8096</v>
      </c>
      <c r="D2975" s="2" t="s">
        <v>10055</v>
      </c>
      <c r="E2975" s="15">
        <v>-2.8000000000000001E-2</v>
      </c>
      <c r="F2975" s="15">
        <v>0.19320000000000001</v>
      </c>
      <c r="G2975" s="15">
        <v>0.88460000000000005</v>
      </c>
      <c r="H2975" s="15">
        <v>3.8399999999999997E-2</v>
      </c>
      <c r="I2975" s="15">
        <v>4.3799999999999999E-2</v>
      </c>
      <c r="J2975" s="15">
        <v>0.87671232876712324</v>
      </c>
    </row>
    <row r="2976" spans="1:10" x14ac:dyDescent="0.25">
      <c r="A2976" s="2" t="s">
        <v>8097</v>
      </c>
      <c r="B2976" s="2" t="s">
        <v>7007</v>
      </c>
      <c r="C2976" s="2" t="s">
        <v>8098</v>
      </c>
      <c r="D2976" s="2" t="s">
        <v>10055</v>
      </c>
      <c r="E2976" s="15">
        <v>0.249</v>
      </c>
      <c r="F2976" s="15">
        <v>0.20749999999999999</v>
      </c>
      <c r="G2976" s="15">
        <v>0.23</v>
      </c>
      <c r="H2976" s="15">
        <v>4.02E-2</v>
      </c>
      <c r="I2976" s="15">
        <v>4.1099999999999998E-2</v>
      </c>
      <c r="J2976" s="15">
        <v>0.97810218978102192</v>
      </c>
    </row>
    <row r="2977" spans="1:10" x14ac:dyDescent="0.25">
      <c r="A2977" s="2" t="s">
        <v>8099</v>
      </c>
      <c r="B2977" s="2" t="s">
        <v>7007</v>
      </c>
      <c r="C2977" s="2" t="s">
        <v>8100</v>
      </c>
      <c r="D2977" s="2" t="s">
        <v>10055</v>
      </c>
      <c r="E2977" s="15">
        <v>-8.48E-2</v>
      </c>
      <c r="F2977" s="15">
        <v>0.1744</v>
      </c>
      <c r="G2977" s="15">
        <v>0.62690000000000001</v>
      </c>
      <c r="H2977" s="15">
        <v>4.24E-2</v>
      </c>
      <c r="I2977" s="15">
        <v>4.0500000000000001E-2</v>
      </c>
      <c r="J2977" s="15">
        <v>1.0469135802469141</v>
      </c>
    </row>
    <row r="2978" spans="1:10" x14ac:dyDescent="0.25">
      <c r="A2978" s="2" t="s">
        <v>8101</v>
      </c>
      <c r="B2978" s="2" t="s">
        <v>7007</v>
      </c>
      <c r="C2978" s="2" t="s">
        <v>8102</v>
      </c>
      <c r="D2978" s="2" t="s">
        <v>10055</v>
      </c>
      <c r="E2978" s="15">
        <v>7.6999999999999999E-2</v>
      </c>
      <c r="F2978" s="15">
        <v>0.2082</v>
      </c>
      <c r="G2978" s="15">
        <v>0.71140000000000003</v>
      </c>
      <c r="H2978" s="15">
        <v>3.8100000000000002E-2</v>
      </c>
      <c r="I2978" s="15">
        <v>4.9700000000000001E-2</v>
      </c>
      <c r="J2978" s="15">
        <v>0.7665995975855131</v>
      </c>
    </row>
    <row r="2979" spans="1:10" x14ac:dyDescent="0.25">
      <c r="A2979" s="2" t="s">
        <v>8103</v>
      </c>
      <c r="B2979" s="2" t="s">
        <v>7007</v>
      </c>
      <c r="C2979" s="2" t="s">
        <v>8104</v>
      </c>
      <c r="D2979" s="2" t="s">
        <v>10055</v>
      </c>
      <c r="E2979" s="15"/>
      <c r="F2979" s="15"/>
      <c r="G2979" s="15"/>
      <c r="H2979" s="15">
        <v>-9.4999999999999998E-3</v>
      </c>
      <c r="I2979" s="15">
        <v>4.1700000000000001E-2</v>
      </c>
      <c r="J2979" s="15">
        <v>-0.22781774580335731</v>
      </c>
    </row>
    <row r="2980" spans="1:10" x14ac:dyDescent="0.25">
      <c r="A2980" s="2" t="s">
        <v>8105</v>
      </c>
      <c r="B2980" s="2" t="s">
        <v>7007</v>
      </c>
      <c r="C2980" s="2" t="s">
        <v>8106</v>
      </c>
      <c r="D2980" s="2" t="s">
        <v>10055</v>
      </c>
      <c r="E2980" s="15"/>
      <c r="F2980" s="15"/>
      <c r="G2980" s="15"/>
      <c r="H2980" s="15">
        <v>-3.3999999999999998E-3</v>
      </c>
      <c r="I2980" s="15">
        <v>4.5400000000000003E-2</v>
      </c>
      <c r="J2980" s="15">
        <v>-7.4889867841409677E-2</v>
      </c>
    </row>
    <row r="2981" spans="1:10" x14ac:dyDescent="0.25">
      <c r="A2981" s="2" t="s">
        <v>8107</v>
      </c>
      <c r="B2981" s="2" t="s">
        <v>7007</v>
      </c>
      <c r="C2981" s="2" t="s">
        <v>8108</v>
      </c>
      <c r="D2981" s="2" t="s">
        <v>10055</v>
      </c>
      <c r="E2981" s="15">
        <v>8.3299999999999999E-2</v>
      </c>
      <c r="F2981" s="15">
        <v>0.1527</v>
      </c>
      <c r="G2981" s="15">
        <v>0.58509999999999995</v>
      </c>
      <c r="H2981" s="15">
        <v>4.9799999999999997E-2</v>
      </c>
      <c r="I2981" s="15">
        <v>4.07E-2</v>
      </c>
      <c r="J2981" s="15">
        <v>1.223587223587224</v>
      </c>
    </row>
    <row r="2982" spans="1:10" x14ac:dyDescent="0.25">
      <c r="A2982" s="2" t="s">
        <v>8109</v>
      </c>
      <c r="B2982" s="2" t="s">
        <v>7007</v>
      </c>
      <c r="C2982" s="2" t="s">
        <v>8110</v>
      </c>
      <c r="D2982" s="2" t="s">
        <v>10055</v>
      </c>
      <c r="E2982" s="15">
        <v>-0.1193</v>
      </c>
      <c r="F2982" s="15">
        <v>0.12670000000000001</v>
      </c>
      <c r="G2982" s="15">
        <v>0.34620000000000001</v>
      </c>
      <c r="H2982" s="15">
        <v>8.1900000000000001E-2</v>
      </c>
      <c r="I2982" s="15">
        <v>4.5199999999999997E-2</v>
      </c>
      <c r="J2982" s="15">
        <v>1.8119469026548669</v>
      </c>
    </row>
    <row r="2983" spans="1:10" x14ac:dyDescent="0.25">
      <c r="A2983" s="2" t="s">
        <v>8111</v>
      </c>
      <c r="B2983" s="2" t="s">
        <v>7007</v>
      </c>
      <c r="C2983" s="2" t="s">
        <v>8112</v>
      </c>
      <c r="D2983" s="2" t="s">
        <v>10055</v>
      </c>
      <c r="E2983" s="15">
        <v>0.19309999999999999</v>
      </c>
      <c r="F2983" s="15">
        <v>0.20369999999999999</v>
      </c>
      <c r="G2983" s="15">
        <v>0.34329999999999999</v>
      </c>
      <c r="H2983" s="15">
        <v>4.2799999999999998E-2</v>
      </c>
      <c r="I2983" s="15">
        <v>3.9E-2</v>
      </c>
      <c r="J2983" s="15">
        <v>1.0974358974358971</v>
      </c>
    </row>
    <row r="2984" spans="1:10" x14ac:dyDescent="0.25">
      <c r="A2984" s="2" t="s">
        <v>8113</v>
      </c>
      <c r="B2984" s="2" t="s">
        <v>7007</v>
      </c>
      <c r="C2984" s="2" t="s">
        <v>8114</v>
      </c>
      <c r="D2984" s="2" t="s">
        <v>10055</v>
      </c>
      <c r="E2984" s="15">
        <v>0.2802</v>
      </c>
      <c r="F2984" s="15">
        <v>0.16039999999999999</v>
      </c>
      <c r="G2984" s="15">
        <v>8.0699999999999994E-2</v>
      </c>
      <c r="H2984" s="15">
        <v>5.6399999999999999E-2</v>
      </c>
      <c r="I2984" s="15">
        <v>3.9899999999999998E-2</v>
      </c>
      <c r="J2984" s="15">
        <v>1.4135338345864661</v>
      </c>
    </row>
    <row r="2985" spans="1:10" x14ac:dyDescent="0.25">
      <c r="A2985" s="2" t="s">
        <v>8115</v>
      </c>
      <c r="B2985" s="2" t="s">
        <v>7007</v>
      </c>
      <c r="C2985" s="2" t="s">
        <v>8116</v>
      </c>
      <c r="D2985" s="2" t="s">
        <v>10055</v>
      </c>
      <c r="E2985" s="15">
        <v>9.9000000000000008E-3</v>
      </c>
      <c r="F2985" s="15">
        <v>9.9199999999999997E-2</v>
      </c>
      <c r="G2985" s="15">
        <v>0.9204</v>
      </c>
      <c r="H2985" s="15">
        <v>0.1079</v>
      </c>
      <c r="I2985" s="15">
        <v>4.2099999999999999E-2</v>
      </c>
      <c r="J2985" s="15">
        <v>2.5629453681710208</v>
      </c>
    </row>
    <row r="2986" spans="1:10" x14ac:dyDescent="0.25">
      <c r="A2986" s="2" t="s">
        <v>8117</v>
      </c>
      <c r="B2986" s="2" t="s">
        <v>7007</v>
      </c>
      <c r="C2986" s="2" t="s">
        <v>8118</v>
      </c>
      <c r="D2986" s="2" t="s">
        <v>10055</v>
      </c>
      <c r="E2986" s="15">
        <v>9.0800000000000006E-2</v>
      </c>
      <c r="F2986" s="15">
        <v>0.218</v>
      </c>
      <c r="G2986" s="15">
        <v>0.67710000000000004</v>
      </c>
      <c r="H2986" s="15">
        <v>4.2000000000000003E-2</v>
      </c>
      <c r="I2986" s="15">
        <v>4.1099999999999998E-2</v>
      </c>
      <c r="J2986" s="15">
        <v>1.021897810218978</v>
      </c>
    </row>
    <row r="2987" spans="1:10" x14ac:dyDescent="0.25">
      <c r="A2987" s="2" t="s">
        <v>8119</v>
      </c>
      <c r="B2987" s="2" t="s">
        <v>7007</v>
      </c>
      <c r="C2987" s="2" t="s">
        <v>8120</v>
      </c>
      <c r="D2987" s="2" t="s">
        <v>10055</v>
      </c>
      <c r="E2987" s="15">
        <v>0.1308</v>
      </c>
      <c r="F2987" s="15">
        <v>0.2969</v>
      </c>
      <c r="G2987" s="15">
        <v>0.65939999999999999</v>
      </c>
      <c r="H2987" s="15">
        <v>2.24E-2</v>
      </c>
      <c r="I2987" s="15">
        <v>4.48E-2</v>
      </c>
      <c r="J2987" s="15">
        <v>0.5</v>
      </c>
    </row>
    <row r="2988" spans="1:10" x14ac:dyDescent="0.25">
      <c r="A2988" s="2" t="s">
        <v>8121</v>
      </c>
      <c r="B2988" s="2" t="s">
        <v>7007</v>
      </c>
      <c r="C2988" s="2" t="s">
        <v>8122</v>
      </c>
      <c r="D2988" s="2" t="s">
        <v>10055</v>
      </c>
      <c r="E2988" s="15">
        <v>-0.1212</v>
      </c>
      <c r="F2988" s="15">
        <v>0.14610000000000001</v>
      </c>
      <c r="G2988" s="15">
        <v>0.40710000000000002</v>
      </c>
      <c r="H2988" s="15">
        <v>5.6899999999999999E-2</v>
      </c>
      <c r="I2988" s="15">
        <v>4.1300000000000003E-2</v>
      </c>
      <c r="J2988" s="15">
        <v>1.3777239709443101</v>
      </c>
    </row>
    <row r="2989" spans="1:10" x14ac:dyDescent="0.25">
      <c r="A2989" s="2" t="s">
        <v>8123</v>
      </c>
      <c r="B2989" s="2" t="s">
        <v>7007</v>
      </c>
      <c r="C2989" s="2" t="s">
        <v>8124</v>
      </c>
      <c r="D2989" s="2" t="s">
        <v>10055</v>
      </c>
      <c r="E2989" s="15">
        <v>-0.1338</v>
      </c>
      <c r="F2989" s="15">
        <v>0.10929999999999999</v>
      </c>
      <c r="G2989" s="15">
        <v>0.221</v>
      </c>
      <c r="H2989" s="15">
        <v>0.1026</v>
      </c>
      <c r="I2989" s="15">
        <v>4.3499999999999997E-2</v>
      </c>
      <c r="J2989" s="15">
        <v>2.3586206896551731</v>
      </c>
    </row>
    <row r="2990" spans="1:10" x14ac:dyDescent="0.25">
      <c r="A2990" s="2" t="s">
        <v>8125</v>
      </c>
      <c r="B2990" s="2" t="s">
        <v>7007</v>
      </c>
      <c r="C2990" s="2" t="s">
        <v>8126</v>
      </c>
      <c r="D2990" s="2" t="s">
        <v>10055</v>
      </c>
      <c r="E2990" s="15"/>
      <c r="F2990" s="15"/>
      <c r="G2990" s="15"/>
      <c r="H2990" s="15">
        <v>-1.6299999999999999E-2</v>
      </c>
      <c r="I2990" s="15">
        <v>4.0800000000000003E-2</v>
      </c>
      <c r="J2990" s="15">
        <v>-0.39950980392156848</v>
      </c>
    </row>
    <row r="2991" spans="1:10" x14ac:dyDescent="0.25">
      <c r="A2991" s="2" t="s">
        <v>8127</v>
      </c>
      <c r="B2991" s="2" t="s">
        <v>7007</v>
      </c>
      <c r="C2991" s="2" t="s">
        <v>8128</v>
      </c>
      <c r="D2991" s="2" t="s">
        <v>10055</v>
      </c>
      <c r="E2991" s="15"/>
      <c r="F2991" s="15"/>
      <c r="G2991" s="15"/>
      <c r="H2991" s="15">
        <v>-1.55E-2</v>
      </c>
      <c r="I2991" s="15">
        <v>4.1700000000000001E-2</v>
      </c>
      <c r="J2991" s="15">
        <v>-0.37170263788968821</v>
      </c>
    </row>
    <row r="2992" spans="1:10" x14ac:dyDescent="0.25">
      <c r="A2992" s="2" t="s">
        <v>8129</v>
      </c>
      <c r="B2992" s="2" t="s">
        <v>7007</v>
      </c>
      <c r="C2992" s="2" t="s">
        <v>8130</v>
      </c>
      <c r="D2992" s="2" t="s">
        <v>10055</v>
      </c>
      <c r="E2992" s="15">
        <v>-0.13109999999999999</v>
      </c>
      <c r="F2992" s="15">
        <v>0.1799</v>
      </c>
      <c r="G2992" s="15">
        <v>0.4662</v>
      </c>
      <c r="H2992" s="15">
        <v>4.9299999999999997E-2</v>
      </c>
      <c r="I2992" s="15">
        <v>4.4499999999999998E-2</v>
      </c>
      <c r="J2992" s="15">
        <v>1.1078651685393259</v>
      </c>
    </row>
    <row r="2993" spans="1:10" x14ac:dyDescent="0.25">
      <c r="A2993" s="2" t="s">
        <v>8131</v>
      </c>
      <c r="B2993" s="2" t="s">
        <v>7007</v>
      </c>
      <c r="C2993" s="2" t="s">
        <v>8132</v>
      </c>
      <c r="D2993" s="2" t="s">
        <v>10055</v>
      </c>
      <c r="E2993" s="15">
        <v>3.3999999999999998E-3</v>
      </c>
      <c r="F2993" s="15">
        <v>0.104</v>
      </c>
      <c r="G2993" s="15">
        <v>0.97389999999999999</v>
      </c>
      <c r="H2993" s="15">
        <v>0.1265</v>
      </c>
      <c r="I2993" s="15">
        <v>4.1700000000000001E-2</v>
      </c>
      <c r="J2993" s="15">
        <v>3.0335731414868099</v>
      </c>
    </row>
    <row r="2994" spans="1:10" x14ac:dyDescent="0.25">
      <c r="A2994" s="2" t="s">
        <v>8133</v>
      </c>
      <c r="B2994" s="2" t="s">
        <v>7007</v>
      </c>
      <c r="C2994" s="2" t="s">
        <v>8134</v>
      </c>
      <c r="D2994" s="2" t="s">
        <v>10055</v>
      </c>
      <c r="E2994" s="15"/>
      <c r="F2994" s="15"/>
      <c r="G2994" s="15"/>
      <c r="H2994" s="15">
        <v>-1.6999999999999999E-3</v>
      </c>
      <c r="I2994" s="15">
        <v>4.07E-2</v>
      </c>
      <c r="J2994" s="15">
        <v>-4.1769041769041768E-2</v>
      </c>
    </row>
    <row r="2995" spans="1:10" x14ac:dyDescent="0.25">
      <c r="A2995" s="2" t="s">
        <v>8135</v>
      </c>
      <c r="B2995" s="2" t="s">
        <v>7007</v>
      </c>
      <c r="C2995" s="2" t="s">
        <v>8136</v>
      </c>
      <c r="D2995" s="2" t="s">
        <v>10055</v>
      </c>
      <c r="E2995" s="15"/>
      <c r="F2995" s="15"/>
      <c r="G2995" s="15"/>
      <c r="H2995" s="15"/>
      <c r="I2995" s="15"/>
      <c r="J2995" s="15"/>
    </row>
    <row r="2996" spans="1:10" x14ac:dyDescent="0.25">
      <c r="A2996" s="2" t="s">
        <v>8137</v>
      </c>
      <c r="B2996" s="2" t="s">
        <v>7007</v>
      </c>
      <c r="C2996" s="2" t="s">
        <v>8138</v>
      </c>
      <c r="D2996" s="2" t="s">
        <v>10055</v>
      </c>
      <c r="E2996" s="15">
        <v>6.5299999999999997E-2</v>
      </c>
      <c r="F2996" s="15">
        <v>0.11219999999999999</v>
      </c>
      <c r="G2996" s="15">
        <v>0.56069999999999998</v>
      </c>
      <c r="H2996" s="15">
        <v>0.1008</v>
      </c>
      <c r="I2996" s="15">
        <v>3.9100000000000003E-2</v>
      </c>
      <c r="J2996" s="15">
        <v>2.578005115089514</v>
      </c>
    </row>
    <row r="2997" spans="1:10" x14ac:dyDescent="0.25">
      <c r="A2997" s="2" t="s">
        <v>8139</v>
      </c>
      <c r="B2997" s="2" t="s">
        <v>7007</v>
      </c>
      <c r="C2997" s="2" t="s">
        <v>8140</v>
      </c>
      <c r="D2997" s="2" t="s">
        <v>10055</v>
      </c>
      <c r="E2997" s="15"/>
      <c r="F2997" s="15"/>
      <c r="G2997" s="15"/>
      <c r="H2997" s="15">
        <v>-2.0799999999999999E-2</v>
      </c>
      <c r="I2997" s="15">
        <v>3.7999999999999999E-2</v>
      </c>
      <c r="J2997" s="15">
        <v>-0.54736842105263162</v>
      </c>
    </row>
    <row r="2998" spans="1:10" x14ac:dyDescent="0.25">
      <c r="A2998" s="2" t="s">
        <v>8141</v>
      </c>
      <c r="B2998" s="2" t="s">
        <v>7007</v>
      </c>
      <c r="C2998" s="2" t="s">
        <v>8142</v>
      </c>
      <c r="D2998" s="2" t="s">
        <v>10055</v>
      </c>
      <c r="E2998" s="15"/>
      <c r="F2998" s="15"/>
      <c r="G2998" s="15"/>
      <c r="H2998" s="15">
        <v>-3.3500000000000002E-2</v>
      </c>
      <c r="I2998" s="15">
        <v>3.95E-2</v>
      </c>
      <c r="J2998" s="15">
        <v>-0.84810126582278489</v>
      </c>
    </row>
    <row r="2999" spans="1:10" x14ac:dyDescent="0.25">
      <c r="A2999" s="2" t="s">
        <v>8143</v>
      </c>
      <c r="B2999" s="2" t="s">
        <v>7007</v>
      </c>
      <c r="C2999" s="2" t="s">
        <v>8144</v>
      </c>
      <c r="D2999" s="2" t="s">
        <v>10055</v>
      </c>
      <c r="E2999" s="15"/>
      <c r="F2999" s="15"/>
      <c r="G2999" s="15"/>
      <c r="H2999" s="15">
        <v>-2.35E-2</v>
      </c>
      <c r="I2999" s="15">
        <v>4.0599999999999997E-2</v>
      </c>
      <c r="J2999" s="15">
        <v>-0.5788177339901478</v>
      </c>
    </row>
    <row r="3000" spans="1:10" x14ac:dyDescent="0.25">
      <c r="A3000" s="2" t="s">
        <v>8145</v>
      </c>
      <c r="B3000" s="2" t="s">
        <v>7007</v>
      </c>
      <c r="C3000" s="2" t="s">
        <v>8146</v>
      </c>
      <c r="D3000" s="2" t="s">
        <v>10055</v>
      </c>
      <c r="E3000" s="15"/>
      <c r="F3000" s="15"/>
      <c r="G3000" s="15"/>
      <c r="H3000" s="15">
        <v>-0.04</v>
      </c>
      <c r="I3000" s="15">
        <v>4.0800000000000003E-2</v>
      </c>
      <c r="J3000" s="15">
        <v>-0.98039215686274506</v>
      </c>
    </row>
    <row r="3001" spans="1:10" x14ac:dyDescent="0.25">
      <c r="A3001" s="2" t="s">
        <v>8147</v>
      </c>
      <c r="B3001" s="2" t="s">
        <v>7007</v>
      </c>
      <c r="C3001" s="2" t="s">
        <v>8148</v>
      </c>
      <c r="D3001" s="2" t="s">
        <v>10055</v>
      </c>
      <c r="E3001" s="15"/>
      <c r="F3001" s="15"/>
      <c r="G3001" s="15"/>
      <c r="H3001" s="15">
        <v>-3.0000000000000001E-3</v>
      </c>
      <c r="I3001" s="15">
        <v>4.07E-2</v>
      </c>
      <c r="J3001" s="15">
        <v>-7.3710073710073709E-2</v>
      </c>
    </row>
    <row r="3002" spans="1:10" x14ac:dyDescent="0.25">
      <c r="A3002" s="2" t="s">
        <v>8149</v>
      </c>
      <c r="B3002" s="2" t="s">
        <v>7007</v>
      </c>
      <c r="C3002" s="2" t="s">
        <v>8150</v>
      </c>
      <c r="D3002" s="2" t="s">
        <v>10055</v>
      </c>
      <c r="E3002" s="15"/>
      <c r="F3002" s="15"/>
      <c r="G3002" s="15"/>
      <c r="H3002" s="15">
        <v>-5.7200000000000001E-2</v>
      </c>
      <c r="I3002" s="15">
        <v>4.1500000000000002E-2</v>
      </c>
      <c r="J3002" s="15">
        <v>-1.3783132530120481</v>
      </c>
    </row>
    <row r="3003" spans="1:10" x14ac:dyDescent="0.25">
      <c r="A3003" s="2" t="s">
        <v>8151</v>
      </c>
      <c r="B3003" s="2" t="s">
        <v>7007</v>
      </c>
      <c r="C3003" s="2" t="s">
        <v>8152</v>
      </c>
      <c r="D3003" s="2" t="s">
        <v>10055</v>
      </c>
      <c r="E3003" s="15">
        <v>-0.25800000000000001</v>
      </c>
      <c r="F3003" s="15">
        <v>0.35099999999999998</v>
      </c>
      <c r="G3003" s="15">
        <v>0.46239999999999998</v>
      </c>
      <c r="H3003" s="15">
        <v>2.2200000000000001E-2</v>
      </c>
      <c r="I3003" s="15">
        <v>3.8199999999999998E-2</v>
      </c>
      <c r="J3003" s="15">
        <v>0.5811518324607331</v>
      </c>
    </row>
    <row r="3004" spans="1:10" x14ac:dyDescent="0.25">
      <c r="A3004" s="2" t="s">
        <v>8153</v>
      </c>
      <c r="B3004" s="2" t="s">
        <v>7007</v>
      </c>
      <c r="C3004" s="2" t="s">
        <v>8154</v>
      </c>
      <c r="D3004" s="2" t="s">
        <v>10055</v>
      </c>
      <c r="E3004" s="15">
        <v>0.26800000000000002</v>
      </c>
      <c r="F3004" s="15">
        <v>0.26129999999999998</v>
      </c>
      <c r="G3004" s="15">
        <v>0.30509999999999998</v>
      </c>
      <c r="H3004" s="15">
        <v>3.4299999999999997E-2</v>
      </c>
      <c r="I3004" s="15">
        <v>4.6800000000000001E-2</v>
      </c>
      <c r="J3004" s="15">
        <v>0.73290598290598286</v>
      </c>
    </row>
    <row r="3005" spans="1:10" x14ac:dyDescent="0.25">
      <c r="A3005" s="2" t="s">
        <v>8155</v>
      </c>
      <c r="B3005" s="2" t="s">
        <v>7007</v>
      </c>
      <c r="C3005" s="2" t="s">
        <v>8156</v>
      </c>
      <c r="D3005" s="2" t="s">
        <v>10055</v>
      </c>
      <c r="E3005" s="15"/>
      <c r="F3005" s="15"/>
      <c r="G3005" s="15"/>
      <c r="H3005" s="15">
        <v>-4.53E-2</v>
      </c>
      <c r="I3005" s="15">
        <v>3.9399999999999998E-2</v>
      </c>
      <c r="J3005" s="15">
        <v>-1.149746192893401</v>
      </c>
    </row>
    <row r="3006" spans="1:10" x14ac:dyDescent="0.25">
      <c r="A3006" s="2" t="s">
        <v>8157</v>
      </c>
      <c r="B3006" s="2" t="s">
        <v>7007</v>
      </c>
      <c r="C3006" s="2" t="s">
        <v>8158</v>
      </c>
      <c r="D3006" s="2" t="s">
        <v>10055</v>
      </c>
      <c r="E3006" s="15">
        <v>-0.1822</v>
      </c>
      <c r="F3006" s="15">
        <v>0.20280000000000001</v>
      </c>
      <c r="G3006" s="15">
        <v>0.36899999999999999</v>
      </c>
      <c r="H3006" s="15">
        <v>4.2599999999999999E-2</v>
      </c>
      <c r="I3006" s="15">
        <v>4.1000000000000002E-2</v>
      </c>
      <c r="J3006" s="15">
        <v>1.039024390243902</v>
      </c>
    </row>
    <row r="3007" spans="1:10" x14ac:dyDescent="0.25">
      <c r="A3007" s="2" t="s">
        <v>8159</v>
      </c>
      <c r="B3007" s="2" t="s">
        <v>7007</v>
      </c>
      <c r="C3007" s="2" t="s">
        <v>8160</v>
      </c>
      <c r="D3007" s="2" t="s">
        <v>10055</v>
      </c>
      <c r="E3007" s="15"/>
      <c r="F3007" s="15"/>
      <c r="G3007" s="15"/>
      <c r="H3007" s="15">
        <v>-6.2E-2</v>
      </c>
      <c r="I3007" s="15">
        <v>4.2299999999999997E-2</v>
      </c>
      <c r="J3007" s="15">
        <v>-1.465721040189125</v>
      </c>
    </row>
    <row r="3008" spans="1:10" x14ac:dyDescent="0.25">
      <c r="A3008" s="2" t="s">
        <v>8161</v>
      </c>
      <c r="B3008" s="2" t="s">
        <v>7007</v>
      </c>
      <c r="C3008" s="2" t="s">
        <v>8162</v>
      </c>
      <c r="D3008" s="2" t="s">
        <v>10055</v>
      </c>
      <c r="E3008" s="15">
        <v>-0.13819999999999999</v>
      </c>
      <c r="F3008" s="15">
        <v>0.1613</v>
      </c>
      <c r="G3008" s="15">
        <v>0.3916</v>
      </c>
      <c r="H3008" s="15">
        <v>5.1700000000000003E-2</v>
      </c>
      <c r="I3008" s="15">
        <v>4.1099999999999998E-2</v>
      </c>
      <c r="J3008" s="15">
        <v>1.257907542579076</v>
      </c>
    </row>
    <row r="3009" spans="1:10" x14ac:dyDescent="0.25">
      <c r="A3009" s="2" t="s">
        <v>8163</v>
      </c>
      <c r="B3009" s="2" t="s">
        <v>7007</v>
      </c>
      <c r="C3009" s="2" t="s">
        <v>8164</v>
      </c>
      <c r="D3009" s="2" t="s">
        <v>10055</v>
      </c>
      <c r="E3009" s="15">
        <v>0.25469999999999998</v>
      </c>
      <c r="F3009" s="15">
        <v>0.24160000000000001</v>
      </c>
      <c r="G3009" s="15">
        <v>0.2918</v>
      </c>
      <c r="H3009" s="15">
        <v>3.61E-2</v>
      </c>
      <c r="I3009" s="15">
        <v>3.9199999999999999E-2</v>
      </c>
      <c r="J3009" s="15">
        <v>0.92091836734693877</v>
      </c>
    </row>
    <row r="3010" spans="1:10" x14ac:dyDescent="0.25">
      <c r="A3010" s="2" t="s">
        <v>8165</v>
      </c>
      <c r="B3010" s="2" t="s">
        <v>7007</v>
      </c>
      <c r="C3010" s="2" t="s">
        <v>8166</v>
      </c>
      <c r="D3010" s="2" t="s">
        <v>10055</v>
      </c>
      <c r="E3010" s="15"/>
      <c r="F3010" s="15"/>
      <c r="G3010" s="15"/>
      <c r="H3010" s="15">
        <v>-2.9899999999999999E-2</v>
      </c>
      <c r="I3010" s="15">
        <v>4.0599999999999997E-2</v>
      </c>
      <c r="J3010" s="15">
        <v>-0.73645320197044339</v>
      </c>
    </row>
    <row r="3011" spans="1:10" x14ac:dyDescent="0.25">
      <c r="A3011" s="2" t="s">
        <v>8167</v>
      </c>
      <c r="B3011" s="2" t="s">
        <v>7007</v>
      </c>
      <c r="C3011" s="2" t="s">
        <v>8168</v>
      </c>
      <c r="D3011" s="2" t="s">
        <v>10055</v>
      </c>
      <c r="E3011" s="15"/>
      <c r="F3011" s="15"/>
      <c r="G3011" s="15"/>
      <c r="H3011" s="15">
        <v>-2.2200000000000001E-2</v>
      </c>
      <c r="I3011" s="15">
        <v>3.9E-2</v>
      </c>
      <c r="J3011" s="15">
        <v>-0.56923076923076921</v>
      </c>
    </row>
    <row r="3012" spans="1:10" x14ac:dyDescent="0.25">
      <c r="A3012" s="2" t="s">
        <v>8169</v>
      </c>
      <c r="B3012" s="2" t="s">
        <v>7007</v>
      </c>
      <c r="C3012" s="2" t="s">
        <v>8170</v>
      </c>
      <c r="D3012" s="2" t="s">
        <v>10055</v>
      </c>
      <c r="E3012" s="15">
        <v>9.1499999999999998E-2</v>
      </c>
      <c r="F3012" s="15">
        <v>0.309</v>
      </c>
      <c r="G3012" s="15">
        <v>0.7671</v>
      </c>
      <c r="H3012" s="15">
        <v>1.5100000000000001E-2</v>
      </c>
      <c r="I3012" s="15">
        <v>3.8899999999999997E-2</v>
      </c>
      <c r="J3012" s="15">
        <v>0.38817480719794351</v>
      </c>
    </row>
    <row r="3013" spans="1:10" x14ac:dyDescent="0.25">
      <c r="A3013" s="2" t="s">
        <v>8171</v>
      </c>
      <c r="B3013" s="2" t="s">
        <v>7007</v>
      </c>
      <c r="C3013" s="2" t="s">
        <v>8172</v>
      </c>
      <c r="D3013" s="2" t="s">
        <v>10055</v>
      </c>
      <c r="E3013" s="15"/>
      <c r="F3013" s="15"/>
      <c r="G3013" s="15"/>
      <c r="H3013" s="15"/>
      <c r="I3013" s="15"/>
      <c r="J3013" s="15"/>
    </row>
    <row r="3014" spans="1:10" x14ac:dyDescent="0.25">
      <c r="A3014" s="2" t="s">
        <v>8173</v>
      </c>
      <c r="B3014" s="2" t="s">
        <v>7007</v>
      </c>
      <c r="C3014" s="2" t="s">
        <v>8174</v>
      </c>
      <c r="D3014" s="2" t="s">
        <v>10055</v>
      </c>
      <c r="E3014" s="15">
        <v>-0.15590000000000001</v>
      </c>
      <c r="F3014" s="15">
        <v>0.1777</v>
      </c>
      <c r="G3014" s="15">
        <v>0.38040000000000002</v>
      </c>
      <c r="H3014" s="15">
        <v>5.04E-2</v>
      </c>
      <c r="I3014" s="15">
        <v>4.3700000000000003E-2</v>
      </c>
      <c r="J3014" s="15">
        <v>1.1533180778032039</v>
      </c>
    </row>
    <row r="3015" spans="1:10" x14ac:dyDescent="0.25">
      <c r="A3015" s="2" t="s">
        <v>8175</v>
      </c>
      <c r="B3015" s="2" t="s">
        <v>7007</v>
      </c>
      <c r="C3015" s="2" t="s">
        <v>8176</v>
      </c>
      <c r="D3015" s="2" t="s">
        <v>10055</v>
      </c>
      <c r="E3015" s="15">
        <v>2.2499999999999999E-2</v>
      </c>
      <c r="F3015" s="15">
        <v>0.27200000000000002</v>
      </c>
      <c r="G3015" s="15">
        <v>0.93410000000000004</v>
      </c>
      <c r="H3015" s="15">
        <v>1.7399999999999999E-2</v>
      </c>
      <c r="I3015" s="15">
        <v>4.0099999999999997E-2</v>
      </c>
      <c r="J3015" s="15">
        <v>0.43391521197007482</v>
      </c>
    </row>
    <row r="3016" spans="1:10" x14ac:dyDescent="0.25">
      <c r="A3016" s="2" t="s">
        <v>8177</v>
      </c>
      <c r="B3016" s="2" t="s">
        <v>7007</v>
      </c>
      <c r="C3016" s="2" t="s">
        <v>8178</v>
      </c>
      <c r="D3016" s="2" t="s">
        <v>10055</v>
      </c>
      <c r="E3016" s="15"/>
      <c r="F3016" s="15"/>
      <c r="G3016" s="15"/>
      <c r="H3016" s="15"/>
      <c r="I3016" s="15"/>
      <c r="J3016" s="15"/>
    </row>
    <row r="3017" spans="1:10" x14ac:dyDescent="0.25">
      <c r="A3017" s="2" t="s">
        <v>8179</v>
      </c>
      <c r="B3017" s="2" t="s">
        <v>7007</v>
      </c>
      <c r="C3017" s="2" t="s">
        <v>8180</v>
      </c>
      <c r="D3017" s="2" t="s">
        <v>10055</v>
      </c>
      <c r="E3017" s="15"/>
      <c r="F3017" s="15"/>
      <c r="G3017" s="15"/>
      <c r="H3017" s="15">
        <v>-2.3099999999999999E-2</v>
      </c>
      <c r="I3017" s="15">
        <v>4.1399999999999999E-2</v>
      </c>
      <c r="J3017" s="15">
        <v>-0.55797101449275366</v>
      </c>
    </row>
    <row r="3018" spans="1:10" x14ac:dyDescent="0.25">
      <c r="A3018" s="2" t="s">
        <v>8181</v>
      </c>
      <c r="B3018" s="2" t="s">
        <v>7007</v>
      </c>
      <c r="C3018" s="2" t="s">
        <v>8182</v>
      </c>
      <c r="D3018" s="2" t="s">
        <v>10055</v>
      </c>
      <c r="E3018" s="15">
        <v>2.4899999999999999E-2</v>
      </c>
      <c r="F3018" s="15">
        <v>0.1096</v>
      </c>
      <c r="G3018" s="15">
        <v>0.82</v>
      </c>
      <c r="H3018" s="15">
        <v>0.1067</v>
      </c>
      <c r="I3018" s="15">
        <v>4.0899999999999999E-2</v>
      </c>
      <c r="J3018" s="15">
        <v>2.60880195599022</v>
      </c>
    </row>
    <row r="3019" spans="1:10" x14ac:dyDescent="0.25">
      <c r="A3019" s="2" t="s">
        <v>8183</v>
      </c>
      <c r="B3019" s="2" t="s">
        <v>7007</v>
      </c>
      <c r="C3019" s="2" t="s">
        <v>8184</v>
      </c>
      <c r="D3019" s="2" t="s">
        <v>10055</v>
      </c>
      <c r="E3019" s="15"/>
      <c r="F3019" s="15"/>
      <c r="G3019" s="15"/>
      <c r="H3019" s="15">
        <v>-1.8200000000000001E-2</v>
      </c>
      <c r="I3019" s="15">
        <v>4.07E-2</v>
      </c>
      <c r="J3019" s="15">
        <v>-0.44717444717444721</v>
      </c>
    </row>
    <row r="3020" spans="1:10" x14ac:dyDescent="0.25">
      <c r="A3020" s="2" t="s">
        <v>8185</v>
      </c>
      <c r="B3020" s="2" t="s">
        <v>7007</v>
      </c>
      <c r="C3020" s="2" t="s">
        <v>8186</v>
      </c>
      <c r="D3020" s="2" t="s">
        <v>10055</v>
      </c>
      <c r="E3020" s="15"/>
      <c r="F3020" s="15"/>
      <c r="G3020" s="15"/>
      <c r="H3020" s="15">
        <v>-6.1000000000000004E-3</v>
      </c>
      <c r="I3020" s="15">
        <v>3.9800000000000002E-2</v>
      </c>
      <c r="J3020" s="15">
        <v>-0.15326633165829151</v>
      </c>
    </row>
    <row r="3021" spans="1:10" x14ac:dyDescent="0.25">
      <c r="A3021" s="2" t="s">
        <v>8187</v>
      </c>
      <c r="B3021" s="2" t="s">
        <v>7007</v>
      </c>
      <c r="C3021" s="2" t="s">
        <v>8188</v>
      </c>
      <c r="D3021" s="2" t="s">
        <v>10055</v>
      </c>
      <c r="E3021" s="15">
        <v>-8.7900000000000006E-2</v>
      </c>
      <c r="F3021" s="15">
        <v>0.13100000000000001</v>
      </c>
      <c r="G3021" s="15">
        <v>0.50219999999999998</v>
      </c>
      <c r="H3021" s="15">
        <v>7.3700000000000002E-2</v>
      </c>
      <c r="I3021" s="15">
        <v>4.2099999999999999E-2</v>
      </c>
      <c r="J3021" s="15">
        <v>1.750593824228029</v>
      </c>
    </row>
    <row r="3022" spans="1:10" x14ac:dyDescent="0.25">
      <c r="A3022" s="2" t="s">
        <v>8189</v>
      </c>
      <c r="B3022" s="2" t="s">
        <v>7007</v>
      </c>
      <c r="C3022" s="2" t="s">
        <v>8190</v>
      </c>
      <c r="D3022" s="2" t="s">
        <v>10055</v>
      </c>
      <c r="E3022" s="15"/>
      <c r="F3022" s="15"/>
      <c r="G3022" s="15"/>
      <c r="H3022" s="15"/>
      <c r="I3022" s="15"/>
      <c r="J3022" s="15"/>
    </row>
    <row r="3023" spans="1:10" x14ac:dyDescent="0.25">
      <c r="A3023" s="2" t="s">
        <v>8191</v>
      </c>
      <c r="B3023" s="2" t="s">
        <v>7007</v>
      </c>
      <c r="C3023" s="2" t="s">
        <v>8192</v>
      </c>
      <c r="D3023" s="2" t="s">
        <v>10055</v>
      </c>
      <c r="E3023" s="15">
        <v>-3.7999999999999999E-2</v>
      </c>
      <c r="F3023" s="15">
        <v>0.15290000000000001</v>
      </c>
      <c r="G3023" s="15">
        <v>0.80369999999999997</v>
      </c>
      <c r="H3023" s="15">
        <v>5.6300000000000003E-2</v>
      </c>
      <c r="I3023" s="15">
        <v>3.8100000000000002E-2</v>
      </c>
      <c r="J3023" s="15">
        <v>1.4776902887139109</v>
      </c>
    </row>
    <row r="3024" spans="1:10" x14ac:dyDescent="0.25">
      <c r="A3024" s="2" t="s">
        <v>8193</v>
      </c>
      <c r="B3024" s="2" t="s">
        <v>7007</v>
      </c>
      <c r="C3024" s="2" t="s">
        <v>8194</v>
      </c>
      <c r="D3024" s="2" t="s">
        <v>10055</v>
      </c>
      <c r="E3024" s="15">
        <v>0.34970000000000001</v>
      </c>
      <c r="F3024" s="15">
        <v>0.2631</v>
      </c>
      <c r="G3024" s="15">
        <v>0.1837</v>
      </c>
      <c r="H3024" s="15">
        <v>4.4400000000000002E-2</v>
      </c>
      <c r="I3024" s="15">
        <v>4.2799999999999998E-2</v>
      </c>
      <c r="J3024" s="15">
        <v>1.037383177570093</v>
      </c>
    </row>
    <row r="3025" spans="1:10" x14ac:dyDescent="0.25">
      <c r="A3025" s="2" t="s">
        <v>8195</v>
      </c>
      <c r="B3025" s="2" t="s">
        <v>7007</v>
      </c>
      <c r="C3025" s="2" t="s">
        <v>8196</v>
      </c>
      <c r="D3025" s="2" t="s">
        <v>10055</v>
      </c>
      <c r="E3025" s="15">
        <v>-0.1053</v>
      </c>
      <c r="F3025" s="15">
        <v>0.15620000000000001</v>
      </c>
      <c r="G3025" s="15">
        <v>0.50009999999999999</v>
      </c>
      <c r="H3025" s="15">
        <v>5.1999999999999998E-2</v>
      </c>
      <c r="I3025" s="15">
        <v>5.6599999999999998E-2</v>
      </c>
      <c r="J3025" s="15">
        <v>0.91872791519434627</v>
      </c>
    </row>
    <row r="3026" spans="1:10" x14ac:dyDescent="0.25">
      <c r="A3026" s="2" t="s">
        <v>8197</v>
      </c>
      <c r="B3026" s="2" t="s">
        <v>7007</v>
      </c>
      <c r="C3026" s="2" t="s">
        <v>8198</v>
      </c>
      <c r="D3026" s="2" t="s">
        <v>10055</v>
      </c>
      <c r="E3026" s="15"/>
      <c r="F3026" s="15"/>
      <c r="G3026" s="15"/>
      <c r="H3026" s="15">
        <v>-4.1000000000000003E-3</v>
      </c>
      <c r="I3026" s="15">
        <v>4.1099999999999998E-2</v>
      </c>
      <c r="J3026" s="15">
        <v>-9.9756690997566927E-2</v>
      </c>
    </row>
    <row r="3027" spans="1:10" x14ac:dyDescent="0.25">
      <c r="A3027" s="2" t="s">
        <v>8199</v>
      </c>
      <c r="B3027" s="2" t="s">
        <v>7007</v>
      </c>
      <c r="C3027" s="2" t="s">
        <v>8200</v>
      </c>
      <c r="D3027" s="2" t="s">
        <v>10055</v>
      </c>
      <c r="E3027" s="15"/>
      <c r="F3027" s="15"/>
      <c r="G3027" s="15"/>
      <c r="H3027" s="15"/>
      <c r="I3027" s="15"/>
      <c r="J3027" s="15"/>
    </row>
    <row r="3028" spans="1:10" x14ac:dyDescent="0.25">
      <c r="A3028" s="2" t="s">
        <v>8201</v>
      </c>
      <c r="B3028" s="2" t="s">
        <v>7007</v>
      </c>
      <c r="C3028" s="2" t="s">
        <v>8202</v>
      </c>
      <c r="D3028" s="2" t="s">
        <v>10055</v>
      </c>
      <c r="E3028" s="15"/>
      <c r="F3028" s="15"/>
      <c r="G3028" s="15"/>
      <c r="H3028" s="15">
        <v>-5.1999999999999998E-3</v>
      </c>
      <c r="I3028" s="15">
        <v>4.41E-2</v>
      </c>
      <c r="J3028" s="15">
        <v>-0.1179138321995465</v>
      </c>
    </row>
    <row r="3029" spans="1:10" x14ac:dyDescent="0.25">
      <c r="A3029" s="2" t="s">
        <v>8203</v>
      </c>
      <c r="B3029" s="2" t="s">
        <v>7007</v>
      </c>
      <c r="C3029" s="2" t="s">
        <v>8204</v>
      </c>
      <c r="D3029" s="2" t="s">
        <v>10055</v>
      </c>
      <c r="E3029" s="15">
        <v>-0.18659999999999999</v>
      </c>
      <c r="F3029" s="15">
        <v>0.22570000000000001</v>
      </c>
      <c r="G3029" s="15">
        <v>0.4083</v>
      </c>
      <c r="H3029" s="15">
        <v>3.4500000000000003E-2</v>
      </c>
      <c r="I3029" s="15">
        <v>4.4999999999999998E-2</v>
      </c>
      <c r="J3029" s="15">
        <v>0.76666666666666672</v>
      </c>
    </row>
    <row r="3030" spans="1:10" x14ac:dyDescent="0.25">
      <c r="A3030" s="2" t="s">
        <v>8205</v>
      </c>
      <c r="B3030" s="2" t="s">
        <v>7007</v>
      </c>
      <c r="C3030" s="2" t="s">
        <v>8206</v>
      </c>
      <c r="D3030" s="2" t="s">
        <v>10055</v>
      </c>
      <c r="E3030" s="15">
        <v>5.0000000000000001E-4</v>
      </c>
      <c r="F3030" s="15">
        <v>0.14699999999999999</v>
      </c>
      <c r="G3030" s="15">
        <v>0.99709999999999999</v>
      </c>
      <c r="H3030" s="15">
        <v>5.9400000000000001E-2</v>
      </c>
      <c r="I3030" s="15">
        <v>4.0500000000000001E-2</v>
      </c>
      <c r="J3030" s="15">
        <v>1.466666666666667</v>
      </c>
    </row>
    <row r="3031" spans="1:10" x14ac:dyDescent="0.25">
      <c r="A3031" s="2" t="s">
        <v>8207</v>
      </c>
      <c r="B3031" s="2" t="s">
        <v>7007</v>
      </c>
      <c r="C3031" s="2" t="s">
        <v>8208</v>
      </c>
      <c r="D3031" s="2" t="s">
        <v>10055</v>
      </c>
      <c r="E3031" s="15"/>
      <c r="F3031" s="15"/>
      <c r="G3031" s="15"/>
      <c r="H3031" s="15">
        <v>-4.0399999999999998E-2</v>
      </c>
      <c r="I3031" s="15">
        <v>3.9800000000000002E-2</v>
      </c>
      <c r="J3031" s="15">
        <v>-1.0150753768844221</v>
      </c>
    </row>
    <row r="3032" spans="1:10" x14ac:dyDescent="0.25">
      <c r="A3032" s="2" t="s">
        <v>8209</v>
      </c>
      <c r="B3032" s="2" t="s">
        <v>7007</v>
      </c>
      <c r="C3032" s="2" t="s">
        <v>8210</v>
      </c>
      <c r="D3032" s="2" t="s">
        <v>10055</v>
      </c>
      <c r="E3032" s="15">
        <v>9.0300000000000005E-2</v>
      </c>
      <c r="F3032" s="15">
        <v>0.1091</v>
      </c>
      <c r="G3032" s="15">
        <v>0.40799999999999997</v>
      </c>
      <c r="H3032" s="15">
        <v>0.1062</v>
      </c>
      <c r="I3032" s="15">
        <v>4.0599999999999997E-2</v>
      </c>
      <c r="J3032" s="15">
        <v>2.6157635467980298</v>
      </c>
    </row>
    <row r="3033" spans="1:10" x14ac:dyDescent="0.25">
      <c r="A3033" s="2" t="s">
        <v>8211</v>
      </c>
      <c r="B3033" s="2" t="s">
        <v>7007</v>
      </c>
      <c r="C3033" s="2" t="s">
        <v>8212</v>
      </c>
      <c r="D3033" s="2" t="s">
        <v>10055</v>
      </c>
      <c r="E3033" s="15"/>
      <c r="F3033" s="15"/>
      <c r="G3033" s="15"/>
      <c r="H3033" s="15">
        <v>-3.7199999999999997E-2</v>
      </c>
      <c r="I3033" s="15">
        <v>4.4900000000000002E-2</v>
      </c>
      <c r="J3033" s="15">
        <v>-0.82850779510022265</v>
      </c>
    </row>
    <row r="3034" spans="1:10" x14ac:dyDescent="0.25">
      <c r="A3034" s="2" t="s">
        <v>8213</v>
      </c>
      <c r="B3034" s="2" t="s">
        <v>7007</v>
      </c>
      <c r="C3034" s="2" t="s">
        <v>8214</v>
      </c>
      <c r="D3034" s="2" t="s">
        <v>10055</v>
      </c>
      <c r="E3034" s="15">
        <v>-0.28860000000000002</v>
      </c>
      <c r="F3034" s="15">
        <v>0.17349999999999999</v>
      </c>
      <c r="G3034" s="15">
        <v>9.64E-2</v>
      </c>
      <c r="H3034" s="15">
        <v>6.5799999999999997E-2</v>
      </c>
      <c r="I3034" s="15">
        <v>4.6600000000000003E-2</v>
      </c>
      <c r="J3034" s="15">
        <v>1.4120171673819739</v>
      </c>
    </row>
    <row r="3035" spans="1:10" x14ac:dyDescent="0.25">
      <c r="A3035" s="2" t="s">
        <v>8215</v>
      </c>
      <c r="B3035" s="2" t="s">
        <v>7007</v>
      </c>
      <c r="C3035" s="2" t="s">
        <v>8216</v>
      </c>
      <c r="D3035" s="2" t="s">
        <v>10055</v>
      </c>
      <c r="E3035" s="15">
        <v>-3.5999999999999997E-2</v>
      </c>
      <c r="F3035" s="15">
        <v>0.1111</v>
      </c>
      <c r="G3035" s="15">
        <v>0.74590000000000001</v>
      </c>
      <c r="H3035" s="15">
        <v>8.9399999999999993E-2</v>
      </c>
      <c r="I3035" s="15">
        <v>4.2299999999999997E-2</v>
      </c>
      <c r="J3035" s="15">
        <v>2.1134751773049651</v>
      </c>
    </row>
    <row r="3036" spans="1:10" x14ac:dyDescent="0.25">
      <c r="A3036" s="2" t="s">
        <v>8217</v>
      </c>
      <c r="B3036" s="2" t="s">
        <v>7007</v>
      </c>
      <c r="C3036" s="2" t="s">
        <v>8218</v>
      </c>
      <c r="D3036" s="2" t="s">
        <v>10055</v>
      </c>
      <c r="E3036" s="15">
        <v>0.12479999999999999</v>
      </c>
      <c r="F3036" s="15">
        <v>0.13289999999999999</v>
      </c>
      <c r="G3036" s="15">
        <v>0.34760000000000002</v>
      </c>
      <c r="H3036" s="15">
        <v>6.54E-2</v>
      </c>
      <c r="I3036" s="15">
        <v>3.8100000000000002E-2</v>
      </c>
      <c r="J3036" s="15">
        <v>1.716535433070866</v>
      </c>
    </row>
    <row r="3037" spans="1:10" x14ac:dyDescent="0.25">
      <c r="A3037" s="2" t="s">
        <v>8219</v>
      </c>
      <c r="B3037" s="2" t="s">
        <v>7007</v>
      </c>
      <c r="C3037" s="2" t="s">
        <v>8220</v>
      </c>
      <c r="D3037" s="2" t="s">
        <v>10055</v>
      </c>
      <c r="E3037" s="15">
        <v>0.1638</v>
      </c>
      <c r="F3037" s="15">
        <v>0.1661</v>
      </c>
      <c r="G3037" s="15">
        <v>0.32390000000000002</v>
      </c>
      <c r="H3037" s="15">
        <v>5.74E-2</v>
      </c>
      <c r="I3037" s="15">
        <v>4.3700000000000003E-2</v>
      </c>
      <c r="J3037" s="15">
        <v>1.3135011441647599</v>
      </c>
    </row>
    <row r="3038" spans="1:10" x14ac:dyDescent="0.25">
      <c r="A3038" s="2" t="s">
        <v>8221</v>
      </c>
      <c r="B3038" s="2" t="s">
        <v>7007</v>
      </c>
      <c r="C3038" s="2" t="s">
        <v>8222</v>
      </c>
      <c r="D3038" s="2" t="s">
        <v>10055</v>
      </c>
      <c r="E3038" s="15">
        <v>0.1046</v>
      </c>
      <c r="F3038" s="15">
        <v>9.8900000000000002E-2</v>
      </c>
      <c r="G3038" s="15">
        <v>0.28989999999999999</v>
      </c>
      <c r="H3038" s="15">
        <v>0.1149</v>
      </c>
      <c r="I3038" s="15">
        <v>3.9800000000000002E-2</v>
      </c>
      <c r="J3038" s="15">
        <v>2.886934673366834</v>
      </c>
    </row>
    <row r="3039" spans="1:10" x14ac:dyDescent="0.25">
      <c r="A3039" s="2" t="s">
        <v>8223</v>
      </c>
      <c r="B3039" s="2" t="s">
        <v>7007</v>
      </c>
      <c r="C3039" s="2" t="s">
        <v>8224</v>
      </c>
      <c r="D3039" s="2" t="s">
        <v>10055</v>
      </c>
      <c r="E3039" s="15"/>
      <c r="F3039" s="15"/>
      <c r="G3039" s="15"/>
      <c r="H3039" s="15"/>
      <c r="I3039" s="15"/>
      <c r="J3039" s="15"/>
    </row>
    <row r="3040" spans="1:10" x14ac:dyDescent="0.25">
      <c r="A3040" s="2" t="s">
        <v>8225</v>
      </c>
      <c r="B3040" s="2" t="s">
        <v>7007</v>
      </c>
      <c r="C3040" s="2" t="s">
        <v>8226</v>
      </c>
      <c r="D3040" s="2" t="s">
        <v>10055</v>
      </c>
      <c r="E3040" s="15">
        <v>7.6899999999999996E-2</v>
      </c>
      <c r="F3040" s="15">
        <v>9.2399999999999996E-2</v>
      </c>
      <c r="G3040" s="15">
        <v>0.40539999999999998</v>
      </c>
      <c r="H3040" s="15">
        <v>0.13869999999999999</v>
      </c>
      <c r="I3040" s="15">
        <v>4.3099999999999999E-2</v>
      </c>
      <c r="J3040" s="15">
        <v>3.2180974477958229</v>
      </c>
    </row>
    <row r="3041" spans="1:10" x14ac:dyDescent="0.25">
      <c r="A3041" s="2" t="s">
        <v>8227</v>
      </c>
      <c r="B3041" s="2" t="s">
        <v>7007</v>
      </c>
      <c r="C3041" s="2" t="s">
        <v>8228</v>
      </c>
      <c r="D3041" s="2" t="s">
        <v>10055</v>
      </c>
      <c r="E3041" s="15">
        <v>0.34970000000000001</v>
      </c>
      <c r="F3041" s="15">
        <v>0.50690000000000002</v>
      </c>
      <c r="G3041" s="15">
        <v>0.49020000000000002</v>
      </c>
      <c r="H3041" s="15">
        <v>1.7399999999999999E-2</v>
      </c>
      <c r="I3041" s="15">
        <v>3.9399999999999998E-2</v>
      </c>
      <c r="J3041" s="15">
        <v>0.44162436548223349</v>
      </c>
    </row>
    <row r="3042" spans="1:10" x14ac:dyDescent="0.25">
      <c r="A3042" s="2" t="s">
        <v>8229</v>
      </c>
      <c r="B3042" s="2" t="s">
        <v>7007</v>
      </c>
      <c r="C3042" s="2" t="s">
        <v>8230</v>
      </c>
      <c r="D3042" s="2" t="s">
        <v>10055</v>
      </c>
      <c r="E3042" s="15">
        <v>-4.9099999999999998E-2</v>
      </c>
      <c r="F3042" s="15">
        <v>0.13980000000000001</v>
      </c>
      <c r="G3042" s="15">
        <v>0.72570000000000001</v>
      </c>
      <c r="H3042" s="15">
        <v>6.6000000000000003E-2</v>
      </c>
      <c r="I3042" s="15">
        <v>4.1700000000000001E-2</v>
      </c>
      <c r="J3042" s="15">
        <v>1.58273381294964</v>
      </c>
    </row>
    <row r="3043" spans="1:10" x14ac:dyDescent="0.25">
      <c r="A3043" s="2" t="s">
        <v>8231</v>
      </c>
      <c r="B3043" s="2" t="s">
        <v>7007</v>
      </c>
      <c r="C3043" s="2" t="s">
        <v>8232</v>
      </c>
      <c r="D3043" s="2" t="s">
        <v>10055</v>
      </c>
      <c r="E3043" s="15">
        <v>0.1162</v>
      </c>
      <c r="F3043" s="15">
        <v>9.5399999999999999E-2</v>
      </c>
      <c r="G3043" s="15">
        <v>0.22289999999999999</v>
      </c>
      <c r="H3043" s="15">
        <v>0.14369999999999999</v>
      </c>
      <c r="I3043" s="15">
        <v>4.6800000000000001E-2</v>
      </c>
      <c r="J3043" s="15">
        <v>3.0705128205128198</v>
      </c>
    </row>
    <row r="3044" spans="1:10" x14ac:dyDescent="0.25">
      <c r="A3044" s="2" t="s">
        <v>8233</v>
      </c>
      <c r="B3044" s="2" t="s">
        <v>7007</v>
      </c>
      <c r="C3044" s="2" t="s">
        <v>8234</v>
      </c>
      <c r="D3044" s="2" t="s">
        <v>10055</v>
      </c>
      <c r="E3044" s="15">
        <v>-6.1199999999999997E-2</v>
      </c>
      <c r="F3044" s="15">
        <v>9.8199999999999996E-2</v>
      </c>
      <c r="G3044" s="15">
        <v>0.53300000000000003</v>
      </c>
      <c r="H3044" s="15">
        <v>0.1547</v>
      </c>
      <c r="I3044" s="15">
        <v>4.5400000000000003E-2</v>
      </c>
      <c r="J3044" s="15">
        <v>3.4074889867841409</v>
      </c>
    </row>
    <row r="3045" spans="1:10" x14ac:dyDescent="0.25">
      <c r="A3045" s="2" t="s">
        <v>8235</v>
      </c>
      <c r="B3045" s="2" t="s">
        <v>7007</v>
      </c>
      <c r="C3045" s="2" t="s">
        <v>8236</v>
      </c>
      <c r="D3045" s="2" t="s">
        <v>10055</v>
      </c>
      <c r="E3045" s="15">
        <v>0.14549999999999999</v>
      </c>
      <c r="F3045" s="15">
        <v>0.16170000000000001</v>
      </c>
      <c r="G3045" s="15">
        <v>0.36820000000000003</v>
      </c>
      <c r="H3045" s="15">
        <v>7.51E-2</v>
      </c>
      <c r="I3045" s="15">
        <v>5.4800000000000001E-2</v>
      </c>
      <c r="J3045" s="15">
        <v>1.37043795620438</v>
      </c>
    </row>
    <row r="3046" spans="1:10" x14ac:dyDescent="0.25">
      <c r="A3046" s="2" t="s">
        <v>8237</v>
      </c>
      <c r="B3046" s="2" t="s">
        <v>7007</v>
      </c>
      <c r="C3046" s="2" t="s">
        <v>8238</v>
      </c>
      <c r="D3046" s="2" t="s">
        <v>10055</v>
      </c>
      <c r="E3046" s="15">
        <v>-0.13270000000000001</v>
      </c>
      <c r="F3046" s="15">
        <v>9.2299999999999993E-2</v>
      </c>
      <c r="G3046" s="15">
        <v>0.1507</v>
      </c>
      <c r="H3046" s="15">
        <v>0.14649999999999999</v>
      </c>
      <c r="I3046" s="15">
        <v>4.3400000000000001E-2</v>
      </c>
      <c r="J3046" s="15">
        <v>3.375576036866359</v>
      </c>
    </row>
    <row r="3047" spans="1:10" x14ac:dyDescent="0.25">
      <c r="A3047" s="2" t="s">
        <v>8239</v>
      </c>
      <c r="B3047" s="2" t="s">
        <v>7007</v>
      </c>
      <c r="C3047" s="2" t="s">
        <v>8240</v>
      </c>
      <c r="D3047" s="2" t="s">
        <v>10055</v>
      </c>
      <c r="E3047" s="15">
        <v>0.2361</v>
      </c>
      <c r="F3047" s="15">
        <v>0.11550000000000001</v>
      </c>
      <c r="G3047" s="15">
        <v>4.0899999999999999E-2</v>
      </c>
      <c r="H3047" s="15">
        <v>8.2900000000000001E-2</v>
      </c>
      <c r="I3047" s="15">
        <v>4.1799999999999997E-2</v>
      </c>
      <c r="J3047" s="15">
        <v>1.983253588516747</v>
      </c>
    </row>
    <row r="3048" spans="1:10" x14ac:dyDescent="0.25">
      <c r="A3048" s="2" t="s">
        <v>8241</v>
      </c>
      <c r="B3048" s="2" t="s">
        <v>7007</v>
      </c>
      <c r="C3048" s="2" t="s">
        <v>8242</v>
      </c>
      <c r="D3048" s="2" t="s">
        <v>10055</v>
      </c>
      <c r="E3048" s="15">
        <v>-0.14649999999999999</v>
      </c>
      <c r="F3048" s="15">
        <v>0.23089999999999999</v>
      </c>
      <c r="G3048" s="15">
        <v>0.52580000000000005</v>
      </c>
      <c r="H3048" s="15">
        <v>3.4700000000000002E-2</v>
      </c>
      <c r="I3048" s="15">
        <v>4.6100000000000002E-2</v>
      </c>
      <c r="J3048" s="15">
        <v>0.75271149674620386</v>
      </c>
    </row>
    <row r="3049" spans="1:10" x14ac:dyDescent="0.25">
      <c r="A3049" s="2" t="s">
        <v>8243</v>
      </c>
      <c r="B3049" s="2" t="s">
        <v>7007</v>
      </c>
      <c r="C3049" s="2" t="s">
        <v>8244</v>
      </c>
      <c r="D3049" s="2" t="s">
        <v>10055</v>
      </c>
      <c r="E3049" s="15">
        <v>-4.3200000000000002E-2</v>
      </c>
      <c r="F3049" s="15">
        <v>0.1173</v>
      </c>
      <c r="G3049" s="15">
        <v>0.71279999999999999</v>
      </c>
      <c r="H3049" s="15">
        <v>9.8400000000000001E-2</v>
      </c>
      <c r="I3049" s="15">
        <v>4.5199999999999997E-2</v>
      </c>
      <c r="J3049" s="15">
        <v>2.1769911504424782</v>
      </c>
    </row>
    <row r="3050" spans="1:10" x14ac:dyDescent="0.25">
      <c r="A3050" s="2" t="s">
        <v>8245</v>
      </c>
      <c r="B3050" s="2" t="s">
        <v>7007</v>
      </c>
      <c r="C3050" s="2" t="s">
        <v>8246</v>
      </c>
      <c r="D3050" s="2" t="s">
        <v>10055</v>
      </c>
      <c r="E3050" s="15">
        <v>-0.1946</v>
      </c>
      <c r="F3050" s="15">
        <v>0.1757</v>
      </c>
      <c r="G3050" s="15">
        <v>0.26800000000000002</v>
      </c>
      <c r="H3050" s="15">
        <v>5.4800000000000001E-2</v>
      </c>
      <c r="I3050" s="15">
        <v>4.6699999999999998E-2</v>
      </c>
      <c r="J3050" s="15">
        <v>1.1734475374732329</v>
      </c>
    </row>
    <row r="3051" spans="1:10" x14ac:dyDescent="0.25">
      <c r="A3051" s="2" t="s">
        <v>8247</v>
      </c>
      <c r="B3051" s="2" t="s">
        <v>7007</v>
      </c>
      <c r="C3051" s="2" t="s">
        <v>8248</v>
      </c>
      <c r="D3051" s="2" t="s">
        <v>10055</v>
      </c>
      <c r="E3051" s="15">
        <v>-5.5999999999999999E-3</v>
      </c>
      <c r="F3051" s="15">
        <v>0.1142</v>
      </c>
      <c r="G3051" s="15">
        <v>0.96079999999999999</v>
      </c>
      <c r="H3051" s="15">
        <v>8.8499999999999995E-2</v>
      </c>
      <c r="I3051" s="15">
        <v>4.1399999999999999E-2</v>
      </c>
      <c r="J3051" s="15">
        <v>2.13768115942029</v>
      </c>
    </row>
    <row r="3052" spans="1:10" x14ac:dyDescent="0.25">
      <c r="A3052" s="2" t="s">
        <v>8249</v>
      </c>
      <c r="B3052" s="2" t="s">
        <v>7007</v>
      </c>
      <c r="C3052" s="2" t="s">
        <v>8250</v>
      </c>
      <c r="D3052" s="2" t="s">
        <v>10055</v>
      </c>
      <c r="E3052" s="15">
        <v>7.0900000000000005E-2</v>
      </c>
      <c r="F3052" s="15">
        <v>0.53600000000000003</v>
      </c>
      <c r="G3052" s="15">
        <v>0.89480000000000004</v>
      </c>
      <c r="H3052" s="15">
        <v>1.0999999999999999E-2</v>
      </c>
      <c r="I3052" s="15">
        <v>4.3999999999999997E-2</v>
      </c>
      <c r="J3052" s="15">
        <v>0.25</v>
      </c>
    </row>
    <row r="3053" spans="1:10" x14ac:dyDescent="0.25">
      <c r="A3053" s="2" t="s">
        <v>8251</v>
      </c>
      <c r="B3053" s="2" t="s">
        <v>7007</v>
      </c>
      <c r="C3053" s="2" t="s">
        <v>8252</v>
      </c>
      <c r="D3053" s="2" t="s">
        <v>10055</v>
      </c>
      <c r="E3053" s="15">
        <v>-3.3999999999999998E-3</v>
      </c>
      <c r="F3053" s="15">
        <v>0.1361</v>
      </c>
      <c r="G3053" s="15">
        <v>0.97989999999999999</v>
      </c>
      <c r="H3053" s="15">
        <v>6.6400000000000001E-2</v>
      </c>
      <c r="I3053" s="15">
        <v>4.41E-2</v>
      </c>
      <c r="J3053" s="15">
        <v>1.5056689342403631</v>
      </c>
    </row>
    <row r="3054" spans="1:10" x14ac:dyDescent="0.25">
      <c r="A3054" s="2" t="s">
        <v>8253</v>
      </c>
      <c r="B3054" s="2" t="s">
        <v>7007</v>
      </c>
      <c r="C3054" s="2" t="s">
        <v>8254</v>
      </c>
      <c r="D3054" s="2" t="s">
        <v>10055</v>
      </c>
      <c r="E3054" s="15">
        <v>-3.5900000000000001E-2</v>
      </c>
      <c r="F3054" s="15">
        <v>0.11169999999999999</v>
      </c>
      <c r="G3054" s="15">
        <v>0.74760000000000004</v>
      </c>
      <c r="H3054" s="15">
        <v>9.3899999999999997E-2</v>
      </c>
      <c r="I3054" s="15">
        <v>4.4699999999999997E-2</v>
      </c>
      <c r="J3054" s="15">
        <v>2.1006711409395979</v>
      </c>
    </row>
    <row r="3055" spans="1:10" x14ac:dyDescent="0.25">
      <c r="A3055" s="2" t="s">
        <v>8255</v>
      </c>
      <c r="B3055" s="2" t="s">
        <v>7007</v>
      </c>
      <c r="C3055" s="2" t="s">
        <v>8256</v>
      </c>
      <c r="D3055" s="2" t="s">
        <v>10055</v>
      </c>
      <c r="E3055" s="15">
        <v>0.25090000000000001</v>
      </c>
      <c r="F3055" s="15">
        <v>0.2848</v>
      </c>
      <c r="G3055" s="15">
        <v>0.37830000000000003</v>
      </c>
      <c r="H3055" s="15">
        <v>2.7E-2</v>
      </c>
      <c r="I3055" s="15">
        <v>4.0899999999999999E-2</v>
      </c>
      <c r="J3055" s="15">
        <v>0.66014669926650371</v>
      </c>
    </row>
    <row r="3056" spans="1:10" x14ac:dyDescent="0.25">
      <c r="A3056" s="2" t="s">
        <v>8257</v>
      </c>
      <c r="B3056" s="2" t="s">
        <v>7007</v>
      </c>
      <c r="C3056" s="2" t="s">
        <v>8258</v>
      </c>
      <c r="D3056" s="2" t="s">
        <v>10055</v>
      </c>
      <c r="E3056" s="15">
        <v>4.6600000000000003E-2</v>
      </c>
      <c r="F3056" s="15">
        <v>0.2233</v>
      </c>
      <c r="G3056" s="15">
        <v>0.83489999999999998</v>
      </c>
      <c r="H3056" s="15">
        <v>3.0599999999999999E-2</v>
      </c>
      <c r="I3056" s="15">
        <v>4.2299999999999997E-2</v>
      </c>
      <c r="J3056" s="15">
        <v>0.72340425531914898</v>
      </c>
    </row>
    <row r="3057" spans="1:10" x14ac:dyDescent="0.25">
      <c r="A3057" s="2" t="s">
        <v>8259</v>
      </c>
      <c r="B3057" s="2" t="s">
        <v>7007</v>
      </c>
      <c r="C3057" s="2" t="s">
        <v>8260</v>
      </c>
      <c r="D3057" s="2" t="s">
        <v>10055</v>
      </c>
      <c r="E3057" s="15"/>
      <c r="F3057" s="15"/>
      <c r="G3057" s="15"/>
      <c r="H3057" s="15"/>
      <c r="I3057" s="15"/>
      <c r="J3057" s="15"/>
    </row>
    <row r="3058" spans="1:10" x14ac:dyDescent="0.25">
      <c r="A3058" s="2" t="s">
        <v>8261</v>
      </c>
      <c r="B3058" s="2" t="s">
        <v>7007</v>
      </c>
      <c r="C3058" s="2" t="s">
        <v>8262</v>
      </c>
      <c r="D3058" s="2" t="s">
        <v>10055</v>
      </c>
      <c r="E3058" s="15">
        <v>-5.0900000000000001E-2</v>
      </c>
      <c r="F3058" s="15">
        <v>0.15559999999999999</v>
      </c>
      <c r="G3058" s="15">
        <v>0.74350000000000005</v>
      </c>
      <c r="H3058" s="15">
        <v>5.4800000000000001E-2</v>
      </c>
      <c r="I3058" s="15">
        <v>3.9600000000000003E-2</v>
      </c>
      <c r="J3058" s="15">
        <v>1.3838383838383841</v>
      </c>
    </row>
    <row r="3059" spans="1:10" x14ac:dyDescent="0.25">
      <c r="A3059" s="2" t="s">
        <v>8263</v>
      </c>
      <c r="B3059" s="2" t="s">
        <v>7007</v>
      </c>
      <c r="C3059" s="2" t="s">
        <v>8264</v>
      </c>
      <c r="D3059" s="2" t="s">
        <v>10055</v>
      </c>
      <c r="E3059" s="15">
        <v>4.6399999999999997E-2</v>
      </c>
      <c r="F3059" s="15">
        <v>0.12280000000000001</v>
      </c>
      <c r="G3059" s="15">
        <v>0.70569999999999999</v>
      </c>
      <c r="H3059" s="15">
        <v>0.10349999999999999</v>
      </c>
      <c r="I3059" s="15">
        <v>4.41E-2</v>
      </c>
      <c r="J3059" s="15">
        <v>2.3469387755102038</v>
      </c>
    </row>
    <row r="3060" spans="1:10" x14ac:dyDescent="0.25">
      <c r="A3060" s="2" t="s">
        <v>8265</v>
      </c>
      <c r="B3060" s="2" t="s">
        <v>7007</v>
      </c>
      <c r="C3060" s="2" t="s">
        <v>8266</v>
      </c>
      <c r="D3060" s="2" t="s">
        <v>10055</v>
      </c>
      <c r="E3060" s="15"/>
      <c r="F3060" s="15"/>
      <c r="G3060" s="15"/>
      <c r="H3060" s="15"/>
      <c r="I3060" s="15"/>
      <c r="J3060" s="15"/>
    </row>
    <row r="3061" spans="1:10" x14ac:dyDescent="0.25">
      <c r="A3061" s="2" t="s">
        <v>8267</v>
      </c>
      <c r="B3061" s="2" t="s">
        <v>7007</v>
      </c>
      <c r="C3061" s="2" t="s">
        <v>8268</v>
      </c>
      <c r="D3061" s="2" t="s">
        <v>10055</v>
      </c>
      <c r="E3061" s="15">
        <v>0.12690000000000001</v>
      </c>
      <c r="F3061" s="15">
        <v>0.19359999999999999</v>
      </c>
      <c r="G3061" s="15">
        <v>0.51219999999999999</v>
      </c>
      <c r="H3061" s="15">
        <v>4.5400000000000003E-2</v>
      </c>
      <c r="I3061" s="15">
        <v>3.6600000000000001E-2</v>
      </c>
      <c r="J3061" s="15">
        <v>1.240437158469945</v>
      </c>
    </row>
    <row r="3062" spans="1:10" x14ac:dyDescent="0.25">
      <c r="A3062" s="2" t="s">
        <v>8269</v>
      </c>
      <c r="B3062" s="2" t="s">
        <v>7007</v>
      </c>
      <c r="C3062" s="2" t="s">
        <v>8270</v>
      </c>
      <c r="D3062" s="2" t="s">
        <v>10055</v>
      </c>
      <c r="E3062" s="15">
        <v>-8.8099999999999998E-2</v>
      </c>
      <c r="F3062" s="15">
        <v>0.14069999999999999</v>
      </c>
      <c r="G3062" s="15">
        <v>0.53100000000000003</v>
      </c>
      <c r="H3062" s="15">
        <v>6.13E-2</v>
      </c>
      <c r="I3062" s="15">
        <v>4.0300000000000002E-2</v>
      </c>
      <c r="J3062" s="15">
        <v>1.5210918114143921</v>
      </c>
    </row>
    <row r="3063" spans="1:10" x14ac:dyDescent="0.25">
      <c r="A3063" s="2" t="s">
        <v>8271</v>
      </c>
      <c r="B3063" s="2" t="s">
        <v>7007</v>
      </c>
      <c r="C3063" s="2" t="s">
        <v>8272</v>
      </c>
      <c r="D3063" s="2" t="s">
        <v>10055</v>
      </c>
      <c r="E3063" s="15"/>
      <c r="F3063" s="15"/>
      <c r="G3063" s="15"/>
      <c r="H3063" s="15">
        <v>-1.46E-2</v>
      </c>
      <c r="I3063" s="15">
        <v>4.4699999999999997E-2</v>
      </c>
      <c r="J3063" s="15">
        <v>-0.32662192393736023</v>
      </c>
    </row>
    <row r="3064" spans="1:10" x14ac:dyDescent="0.25">
      <c r="A3064" s="2" t="s">
        <v>8273</v>
      </c>
      <c r="B3064" s="2" t="s">
        <v>7007</v>
      </c>
      <c r="C3064" s="2" t="s">
        <v>8274</v>
      </c>
      <c r="D3064" s="2" t="s">
        <v>10055</v>
      </c>
      <c r="E3064" s="15"/>
      <c r="F3064" s="15"/>
      <c r="G3064" s="15"/>
      <c r="H3064" s="15">
        <v>-4.0000000000000001E-3</v>
      </c>
      <c r="I3064" s="15">
        <v>3.9E-2</v>
      </c>
      <c r="J3064" s="15">
        <v>-0.1025641025641026</v>
      </c>
    </row>
    <row r="3065" spans="1:10" x14ac:dyDescent="0.25">
      <c r="A3065" s="2" t="s">
        <v>8275</v>
      </c>
      <c r="B3065" s="2" t="s">
        <v>7007</v>
      </c>
      <c r="C3065" s="2" t="s">
        <v>8276</v>
      </c>
      <c r="D3065" s="2" t="s">
        <v>10055</v>
      </c>
      <c r="E3065" s="15">
        <v>8.0100000000000005E-2</v>
      </c>
      <c r="F3065" s="15">
        <v>9.8199999999999996E-2</v>
      </c>
      <c r="G3065" s="15">
        <v>0.41460000000000002</v>
      </c>
      <c r="H3065" s="15">
        <v>0.12690000000000001</v>
      </c>
      <c r="I3065" s="15">
        <v>4.3900000000000002E-2</v>
      </c>
      <c r="J3065" s="15">
        <v>2.8906605922551249</v>
      </c>
    </row>
    <row r="3066" spans="1:10" x14ac:dyDescent="0.25">
      <c r="A3066" s="2" t="s">
        <v>8277</v>
      </c>
      <c r="B3066" s="2" t="s">
        <v>7007</v>
      </c>
      <c r="C3066" s="2" t="s">
        <v>8278</v>
      </c>
      <c r="D3066" s="2" t="s">
        <v>10055</v>
      </c>
      <c r="E3066" s="15">
        <v>-0.10680000000000001</v>
      </c>
      <c r="F3066" s="15">
        <v>0.22020000000000001</v>
      </c>
      <c r="G3066" s="15">
        <v>0.62780000000000002</v>
      </c>
      <c r="H3066" s="15">
        <v>3.4299999999999997E-2</v>
      </c>
      <c r="I3066" s="15">
        <v>4.1099999999999998E-2</v>
      </c>
      <c r="J3066" s="15">
        <v>0.83454987834549876</v>
      </c>
    </row>
    <row r="3067" spans="1:10" x14ac:dyDescent="0.25">
      <c r="A3067" s="2" t="s">
        <v>8279</v>
      </c>
      <c r="B3067" s="2" t="s">
        <v>7007</v>
      </c>
      <c r="C3067" s="2" t="s">
        <v>8280</v>
      </c>
      <c r="D3067" s="2" t="s">
        <v>10055</v>
      </c>
      <c r="E3067" s="15">
        <v>-0.2104</v>
      </c>
      <c r="F3067" s="15">
        <v>0.1804</v>
      </c>
      <c r="G3067" s="15">
        <v>0.2437</v>
      </c>
      <c r="H3067" s="15">
        <v>4.7199999999999999E-2</v>
      </c>
      <c r="I3067" s="15">
        <v>4.4200000000000003E-2</v>
      </c>
      <c r="J3067" s="15">
        <v>1.067873303167421</v>
      </c>
    </row>
    <row r="3068" spans="1:10" x14ac:dyDescent="0.25">
      <c r="A3068" s="2" t="s">
        <v>8281</v>
      </c>
      <c r="B3068" s="2" t="s">
        <v>7007</v>
      </c>
      <c r="C3068" s="2" t="s">
        <v>8282</v>
      </c>
      <c r="D3068" s="2" t="s">
        <v>10055</v>
      </c>
      <c r="E3068" s="15"/>
      <c r="F3068" s="15"/>
      <c r="G3068" s="15"/>
      <c r="H3068" s="15">
        <v>-1.0999999999999999E-2</v>
      </c>
      <c r="I3068" s="15">
        <v>4.2500000000000003E-2</v>
      </c>
      <c r="J3068" s="15">
        <v>-0.25882352941176467</v>
      </c>
    </row>
    <row r="3069" spans="1:10" x14ac:dyDescent="0.25">
      <c r="A3069" s="2" t="s">
        <v>8283</v>
      </c>
      <c r="B3069" s="2" t="s">
        <v>7007</v>
      </c>
      <c r="C3069" s="2" t="s">
        <v>8284</v>
      </c>
      <c r="D3069" s="2" t="s">
        <v>10055</v>
      </c>
      <c r="E3069" s="15">
        <v>2.2800000000000001E-2</v>
      </c>
      <c r="F3069" s="15">
        <v>0.1426</v>
      </c>
      <c r="G3069" s="15">
        <v>0.87319999999999998</v>
      </c>
      <c r="H3069" s="15">
        <v>5.7599999999999998E-2</v>
      </c>
      <c r="I3069" s="15">
        <v>4.19E-2</v>
      </c>
      <c r="J3069" s="15">
        <v>1.3747016706443911</v>
      </c>
    </row>
    <row r="3070" spans="1:10" x14ac:dyDescent="0.25">
      <c r="A3070" s="2" t="s">
        <v>8285</v>
      </c>
      <c r="B3070" s="2" t="s">
        <v>7007</v>
      </c>
      <c r="C3070" s="2" t="s">
        <v>8286</v>
      </c>
      <c r="D3070" s="2" t="s">
        <v>10055</v>
      </c>
      <c r="E3070" s="15">
        <v>-5.5199999999999999E-2</v>
      </c>
      <c r="F3070" s="15">
        <v>0.18679999999999999</v>
      </c>
      <c r="G3070" s="15">
        <v>0.76739999999999997</v>
      </c>
      <c r="H3070" s="15">
        <v>3.0499999999999999E-2</v>
      </c>
      <c r="I3070" s="15">
        <v>3.8300000000000001E-2</v>
      </c>
      <c r="J3070" s="15">
        <v>0.79634464751958223</v>
      </c>
    </row>
    <row r="3071" spans="1:10" x14ac:dyDescent="0.25">
      <c r="A3071" s="2" t="s">
        <v>8287</v>
      </c>
      <c r="B3071" s="2" t="s">
        <v>7007</v>
      </c>
      <c r="C3071" s="2" t="s">
        <v>8288</v>
      </c>
      <c r="D3071" s="2" t="s">
        <v>10055</v>
      </c>
      <c r="E3071" s="15">
        <v>7.5600000000000001E-2</v>
      </c>
      <c r="F3071" s="15">
        <v>0.13</v>
      </c>
      <c r="G3071" s="15">
        <v>0.56110000000000004</v>
      </c>
      <c r="H3071" s="15">
        <v>7.6700000000000004E-2</v>
      </c>
      <c r="I3071" s="15">
        <v>5.0299999999999997E-2</v>
      </c>
      <c r="J3071" s="15">
        <v>1.524850894632207</v>
      </c>
    </row>
    <row r="3072" spans="1:10" x14ac:dyDescent="0.25">
      <c r="A3072" s="2" t="s">
        <v>8289</v>
      </c>
      <c r="B3072" s="2" t="s">
        <v>7007</v>
      </c>
      <c r="C3072" s="2" t="s">
        <v>8290</v>
      </c>
      <c r="D3072" s="2" t="s">
        <v>10055</v>
      </c>
      <c r="E3072" s="15">
        <v>0.2205</v>
      </c>
      <c r="F3072" s="15">
        <v>0.1115</v>
      </c>
      <c r="G3072" s="15">
        <v>4.8000000000000001E-2</v>
      </c>
      <c r="H3072" s="15">
        <v>0.1085</v>
      </c>
      <c r="I3072" s="15">
        <v>4.2299999999999997E-2</v>
      </c>
      <c r="J3072" s="15">
        <v>2.56501182033097</v>
      </c>
    </row>
    <row r="3073" spans="1:10" x14ac:dyDescent="0.25">
      <c r="A3073" s="2" t="s">
        <v>8291</v>
      </c>
      <c r="B3073" s="2" t="s">
        <v>7007</v>
      </c>
      <c r="C3073" s="2" t="s">
        <v>8292</v>
      </c>
      <c r="D3073" s="2" t="s">
        <v>10055</v>
      </c>
      <c r="E3073" s="15">
        <v>5.1000000000000004E-3</v>
      </c>
      <c r="F3073" s="15">
        <v>8.6499999999999994E-2</v>
      </c>
      <c r="G3073" s="15">
        <v>0.95330000000000004</v>
      </c>
      <c r="H3073" s="15">
        <v>0.16850000000000001</v>
      </c>
      <c r="I3073" s="15">
        <v>4.3900000000000002E-2</v>
      </c>
      <c r="J3073" s="15">
        <v>3.8382687927107062</v>
      </c>
    </row>
    <row r="3074" spans="1:10" x14ac:dyDescent="0.25">
      <c r="A3074" s="2" t="s">
        <v>8293</v>
      </c>
      <c r="B3074" s="2" t="s">
        <v>7007</v>
      </c>
      <c r="C3074" s="2" t="s">
        <v>8294</v>
      </c>
      <c r="D3074" s="2" t="s">
        <v>10055</v>
      </c>
      <c r="E3074" s="15">
        <v>-0.2046</v>
      </c>
      <c r="F3074" s="15">
        <v>0.16420000000000001</v>
      </c>
      <c r="G3074" s="15">
        <v>0.21279999999999999</v>
      </c>
      <c r="H3074" s="15">
        <v>5.0900000000000001E-2</v>
      </c>
      <c r="I3074" s="15">
        <v>3.9699999999999999E-2</v>
      </c>
      <c r="J3074" s="15">
        <v>1.282115869017632</v>
      </c>
    </row>
    <row r="3075" spans="1:10" x14ac:dyDescent="0.25">
      <c r="A3075" s="2" t="s">
        <v>8295</v>
      </c>
      <c r="B3075" s="2" t="s">
        <v>7007</v>
      </c>
      <c r="C3075" s="2" t="s">
        <v>8296</v>
      </c>
      <c r="D3075" s="2" t="s">
        <v>10055</v>
      </c>
      <c r="E3075" s="15">
        <v>-8.2600000000000007E-2</v>
      </c>
      <c r="F3075" s="15">
        <v>9.6500000000000002E-2</v>
      </c>
      <c r="G3075" s="15">
        <v>0.39169999999999999</v>
      </c>
      <c r="H3075" s="15">
        <v>0.14749999999999999</v>
      </c>
      <c r="I3075" s="15">
        <v>4.5499999999999999E-2</v>
      </c>
      <c r="J3075" s="15">
        <v>3.2417582417582418</v>
      </c>
    </row>
    <row r="3076" spans="1:10" x14ac:dyDescent="0.25">
      <c r="A3076" s="2" t="s">
        <v>8297</v>
      </c>
      <c r="B3076" s="2" t="s">
        <v>7007</v>
      </c>
      <c r="C3076" s="2" t="s">
        <v>8298</v>
      </c>
      <c r="D3076" s="2" t="s">
        <v>10055</v>
      </c>
      <c r="E3076" s="15"/>
      <c r="F3076" s="15"/>
      <c r="G3076" s="15"/>
      <c r="H3076" s="15">
        <v>-3.7400000000000003E-2</v>
      </c>
      <c r="I3076" s="15">
        <v>4.3999999999999997E-2</v>
      </c>
      <c r="J3076" s="15">
        <v>-0.85000000000000009</v>
      </c>
    </row>
    <row r="3077" spans="1:10" x14ac:dyDescent="0.25">
      <c r="A3077" s="2" t="s">
        <v>8299</v>
      </c>
      <c r="B3077" s="2" t="s">
        <v>7007</v>
      </c>
      <c r="C3077" s="2" t="s">
        <v>8300</v>
      </c>
      <c r="D3077" s="2" t="s">
        <v>10055</v>
      </c>
      <c r="E3077" s="15">
        <v>0.1555</v>
      </c>
      <c r="F3077" s="15">
        <v>0.22259999999999999</v>
      </c>
      <c r="G3077" s="15">
        <v>0.48470000000000002</v>
      </c>
      <c r="H3077" s="15">
        <v>3.0300000000000001E-2</v>
      </c>
      <c r="I3077" s="15">
        <v>4.0300000000000002E-2</v>
      </c>
      <c r="J3077" s="15">
        <v>0.75186104218362282</v>
      </c>
    </row>
    <row r="3078" spans="1:10" x14ac:dyDescent="0.25">
      <c r="A3078" s="2" t="s">
        <v>8301</v>
      </c>
      <c r="B3078" s="2" t="s">
        <v>7007</v>
      </c>
      <c r="C3078" s="2" t="s">
        <v>8302</v>
      </c>
      <c r="D3078" s="2" t="s">
        <v>10055</v>
      </c>
      <c r="E3078" s="15"/>
      <c r="F3078" s="15"/>
      <c r="G3078" s="15"/>
      <c r="H3078" s="15"/>
      <c r="I3078" s="15"/>
      <c r="J3078" s="15"/>
    </row>
    <row r="3079" spans="1:10" x14ac:dyDescent="0.25">
      <c r="A3079" s="2" t="s">
        <v>8303</v>
      </c>
      <c r="B3079" s="2" t="s">
        <v>7007</v>
      </c>
      <c r="C3079" s="2" t="s">
        <v>8304</v>
      </c>
      <c r="D3079" s="2" t="s">
        <v>10055</v>
      </c>
      <c r="E3079" s="15">
        <v>4.2799999999999998E-2</v>
      </c>
      <c r="F3079" s="15">
        <v>0.115</v>
      </c>
      <c r="G3079" s="15">
        <v>0.70989999999999998</v>
      </c>
      <c r="H3079" s="15">
        <v>8.77E-2</v>
      </c>
      <c r="I3079" s="15">
        <v>4.2900000000000001E-2</v>
      </c>
      <c r="J3079" s="15">
        <v>2.044289044289044</v>
      </c>
    </row>
    <row r="3080" spans="1:10" x14ac:dyDescent="0.25">
      <c r="A3080" s="2" t="s">
        <v>8305</v>
      </c>
      <c r="B3080" s="2" t="s">
        <v>7007</v>
      </c>
      <c r="C3080" s="2" t="s">
        <v>8306</v>
      </c>
      <c r="D3080" s="2" t="s">
        <v>10055</v>
      </c>
      <c r="E3080" s="15">
        <v>-0.46739999999999998</v>
      </c>
      <c r="F3080" s="15">
        <v>0.72499999999999998</v>
      </c>
      <c r="G3080" s="15">
        <v>0.51910000000000001</v>
      </c>
      <c r="H3080" s="15">
        <v>1.5599999999999999E-2</v>
      </c>
      <c r="I3080" s="15">
        <v>3.8800000000000001E-2</v>
      </c>
      <c r="J3080" s="15">
        <v>0.40206185567010311</v>
      </c>
    </row>
    <row r="3081" spans="1:10" x14ac:dyDescent="0.25">
      <c r="A3081" s="2" t="s">
        <v>8307</v>
      </c>
      <c r="B3081" s="2" t="s">
        <v>7007</v>
      </c>
      <c r="C3081" s="2" t="s">
        <v>8308</v>
      </c>
      <c r="D3081" s="2" t="s">
        <v>10055</v>
      </c>
      <c r="E3081" s="15">
        <v>4.24E-2</v>
      </c>
      <c r="F3081" s="15">
        <v>0.1094</v>
      </c>
      <c r="G3081" s="15">
        <v>0.69799999999999995</v>
      </c>
      <c r="H3081" s="15">
        <v>0.10100000000000001</v>
      </c>
      <c r="I3081" s="15">
        <v>4.41E-2</v>
      </c>
      <c r="J3081" s="15">
        <v>2.2902494331065761</v>
      </c>
    </row>
    <row r="3082" spans="1:10" x14ac:dyDescent="0.25">
      <c r="A3082" s="2" t="s">
        <v>8309</v>
      </c>
      <c r="B3082" s="2" t="s">
        <v>7007</v>
      </c>
      <c r="C3082" s="2" t="s">
        <v>8310</v>
      </c>
      <c r="D3082" s="2" t="s">
        <v>10055</v>
      </c>
      <c r="E3082" s="15"/>
      <c r="F3082" s="15"/>
      <c r="G3082" s="15"/>
      <c r="H3082" s="15">
        <v>-5.9999999999999995E-4</v>
      </c>
      <c r="I3082" s="15">
        <v>4.6899999999999997E-2</v>
      </c>
      <c r="J3082" s="15">
        <v>-1.279317697228145E-2</v>
      </c>
    </row>
    <row r="3083" spans="1:10" x14ac:dyDescent="0.25">
      <c r="A3083" s="2" t="s">
        <v>8311</v>
      </c>
      <c r="B3083" s="2" t="s">
        <v>7007</v>
      </c>
      <c r="C3083" s="2" t="s">
        <v>8312</v>
      </c>
      <c r="D3083" s="2" t="s">
        <v>10055</v>
      </c>
      <c r="E3083" s="15">
        <v>3.1099999999999999E-2</v>
      </c>
      <c r="F3083" s="15">
        <v>0.1101</v>
      </c>
      <c r="G3083" s="15">
        <v>0.77749999999999997</v>
      </c>
      <c r="H3083" s="15">
        <v>9.2799999999999994E-2</v>
      </c>
      <c r="I3083" s="15">
        <v>4.5999999999999999E-2</v>
      </c>
      <c r="J3083" s="15">
        <v>2.017391304347826</v>
      </c>
    </row>
    <row r="3084" spans="1:10" x14ac:dyDescent="0.25">
      <c r="A3084" s="2" t="s">
        <v>8313</v>
      </c>
      <c r="B3084" s="2" t="s">
        <v>7007</v>
      </c>
      <c r="C3084" s="2" t="s">
        <v>8314</v>
      </c>
      <c r="D3084" s="2" t="s">
        <v>10055</v>
      </c>
      <c r="E3084" s="15">
        <v>0.1123</v>
      </c>
      <c r="F3084" s="15">
        <v>0.1077</v>
      </c>
      <c r="G3084" s="15">
        <v>0.29680000000000001</v>
      </c>
      <c r="H3084" s="15">
        <v>0.1207</v>
      </c>
      <c r="I3084" s="15">
        <v>4.41E-2</v>
      </c>
      <c r="J3084" s="15">
        <v>2.7369614512471649</v>
      </c>
    </row>
    <row r="3085" spans="1:10" x14ac:dyDescent="0.25">
      <c r="A3085" s="2" t="s">
        <v>8315</v>
      </c>
      <c r="B3085" s="2" t="s">
        <v>7007</v>
      </c>
      <c r="C3085" s="2" t="s">
        <v>8316</v>
      </c>
      <c r="D3085" s="2" t="s">
        <v>10055</v>
      </c>
      <c r="E3085" s="15">
        <v>3.2399999999999998E-2</v>
      </c>
      <c r="F3085" s="15">
        <v>8.2500000000000004E-2</v>
      </c>
      <c r="G3085" s="15">
        <v>0.69499999999999995</v>
      </c>
      <c r="H3085" s="15">
        <v>0.224</v>
      </c>
      <c r="I3085" s="15">
        <v>4.3299999999999998E-2</v>
      </c>
      <c r="J3085" s="15">
        <v>5.1732101616628174</v>
      </c>
    </row>
    <row r="3086" spans="1:10" x14ac:dyDescent="0.25">
      <c r="A3086" s="2" t="s">
        <v>8317</v>
      </c>
      <c r="B3086" s="2" t="s">
        <v>7007</v>
      </c>
      <c r="C3086" s="2" t="s">
        <v>8318</v>
      </c>
      <c r="D3086" s="2" t="s">
        <v>10055</v>
      </c>
      <c r="E3086" s="15">
        <v>6.1499999999999999E-2</v>
      </c>
      <c r="F3086" s="15">
        <v>0.1958</v>
      </c>
      <c r="G3086" s="15">
        <v>0.75339999999999996</v>
      </c>
      <c r="H3086" s="15">
        <v>3.5099999999999999E-2</v>
      </c>
      <c r="I3086" s="15">
        <v>4.1000000000000002E-2</v>
      </c>
      <c r="J3086" s="15">
        <v>0.85609756097560974</v>
      </c>
    </row>
    <row r="3087" spans="1:10" x14ac:dyDescent="0.25">
      <c r="A3087" s="2" t="s">
        <v>8319</v>
      </c>
      <c r="B3087" s="2" t="s">
        <v>7007</v>
      </c>
      <c r="C3087" s="2" t="s">
        <v>8320</v>
      </c>
      <c r="D3087" s="2" t="s">
        <v>10055</v>
      </c>
      <c r="E3087" s="15">
        <v>-0.1525</v>
      </c>
      <c r="F3087" s="15">
        <v>0.11609999999999999</v>
      </c>
      <c r="G3087" s="15">
        <v>0.189</v>
      </c>
      <c r="H3087" s="15">
        <v>8.4000000000000005E-2</v>
      </c>
      <c r="I3087" s="15">
        <v>4.2299999999999997E-2</v>
      </c>
      <c r="J3087" s="15">
        <v>1.9858156028368801</v>
      </c>
    </row>
    <row r="3088" spans="1:10" x14ac:dyDescent="0.25">
      <c r="A3088" s="2" t="s">
        <v>8321</v>
      </c>
      <c r="B3088" s="2" t="s">
        <v>7007</v>
      </c>
      <c r="C3088" s="2" t="s">
        <v>8322</v>
      </c>
      <c r="D3088" s="2" t="s">
        <v>10055</v>
      </c>
      <c r="E3088" s="15">
        <v>7.4499999999999997E-2</v>
      </c>
      <c r="F3088" s="15">
        <v>0.1376</v>
      </c>
      <c r="G3088" s="15">
        <v>0.58840000000000003</v>
      </c>
      <c r="H3088" s="15">
        <v>6.3E-2</v>
      </c>
      <c r="I3088" s="15">
        <v>4.36E-2</v>
      </c>
      <c r="J3088" s="15">
        <v>1.4449541284403671</v>
      </c>
    </row>
    <row r="3089" spans="1:10" x14ac:dyDescent="0.25">
      <c r="A3089" s="2" t="s">
        <v>8323</v>
      </c>
      <c r="B3089" s="2" t="s">
        <v>7007</v>
      </c>
      <c r="C3089" s="2" t="s">
        <v>8324</v>
      </c>
      <c r="D3089" s="2" t="s">
        <v>10055</v>
      </c>
      <c r="E3089" s="15">
        <v>-1.2E-2</v>
      </c>
      <c r="F3089" s="15">
        <v>8.9399999999999993E-2</v>
      </c>
      <c r="G3089" s="15">
        <v>0.89339999999999997</v>
      </c>
      <c r="H3089" s="15">
        <v>0.1517</v>
      </c>
      <c r="I3089" s="15">
        <v>4.4999999999999998E-2</v>
      </c>
      <c r="J3089" s="15">
        <v>3.3711111111111109</v>
      </c>
    </row>
    <row r="3090" spans="1:10" x14ac:dyDescent="0.25">
      <c r="A3090" s="2" t="s">
        <v>8325</v>
      </c>
      <c r="B3090" s="2" t="s">
        <v>7007</v>
      </c>
      <c r="C3090" s="2" t="s">
        <v>8326</v>
      </c>
      <c r="D3090" s="2" t="s">
        <v>10055</v>
      </c>
      <c r="E3090" s="15"/>
      <c r="F3090" s="15"/>
      <c r="G3090" s="15"/>
      <c r="H3090" s="15">
        <v>-5.1999999999999998E-3</v>
      </c>
      <c r="I3090" s="15">
        <v>4.0500000000000001E-2</v>
      </c>
      <c r="J3090" s="15">
        <v>-0.12839506172839499</v>
      </c>
    </row>
    <row r="3091" spans="1:10" x14ac:dyDescent="0.25">
      <c r="A3091" s="2" t="s">
        <v>8327</v>
      </c>
      <c r="B3091" s="2" t="s">
        <v>7007</v>
      </c>
      <c r="C3091" s="2" t="s">
        <v>8328</v>
      </c>
      <c r="D3091" s="2" t="s">
        <v>10055</v>
      </c>
      <c r="E3091" s="15">
        <v>-5.7000000000000002E-3</v>
      </c>
      <c r="F3091" s="15">
        <v>0.1053</v>
      </c>
      <c r="G3091" s="15">
        <v>0.95699999999999996</v>
      </c>
      <c r="H3091" s="15">
        <v>7.4800000000000005E-2</v>
      </c>
      <c r="I3091" s="15">
        <v>4.2599999999999999E-2</v>
      </c>
      <c r="J3091" s="15">
        <v>1.755868544600939</v>
      </c>
    </row>
    <row r="3092" spans="1:10" x14ac:dyDescent="0.25">
      <c r="A3092" s="2" t="s">
        <v>8329</v>
      </c>
      <c r="B3092" s="2" t="s">
        <v>7007</v>
      </c>
      <c r="C3092" s="2" t="s">
        <v>8330</v>
      </c>
      <c r="D3092" s="2" t="s">
        <v>10055</v>
      </c>
      <c r="E3092" s="15"/>
      <c r="F3092" s="15"/>
      <c r="G3092" s="15"/>
      <c r="H3092" s="15">
        <v>-4.4999999999999997E-3</v>
      </c>
      <c r="I3092" s="15">
        <v>4.4999999999999998E-2</v>
      </c>
      <c r="J3092" s="15">
        <v>-9.9999999999999992E-2</v>
      </c>
    </row>
    <row r="3093" spans="1:10" x14ac:dyDescent="0.25">
      <c r="A3093" s="2" t="s">
        <v>8331</v>
      </c>
      <c r="B3093" s="2" t="s">
        <v>7007</v>
      </c>
      <c r="C3093" s="2" t="s">
        <v>8332</v>
      </c>
      <c r="D3093" s="2" t="s">
        <v>10055</v>
      </c>
      <c r="E3093" s="15">
        <v>0.124</v>
      </c>
      <c r="F3093" s="15">
        <v>0.1125</v>
      </c>
      <c r="G3093" s="15">
        <v>0.27050000000000002</v>
      </c>
      <c r="H3093" s="15">
        <v>8.2199999999999995E-2</v>
      </c>
      <c r="I3093" s="15">
        <v>4.2200000000000001E-2</v>
      </c>
      <c r="J3093" s="15">
        <v>1.9478672985781991</v>
      </c>
    </row>
    <row r="3094" spans="1:10" x14ac:dyDescent="0.25">
      <c r="A3094" s="2" t="s">
        <v>8333</v>
      </c>
      <c r="B3094" s="2" t="s">
        <v>7007</v>
      </c>
      <c r="C3094" s="2" t="s">
        <v>8334</v>
      </c>
      <c r="D3094" s="2" t="s">
        <v>10055</v>
      </c>
      <c r="E3094" s="15">
        <v>-7.6700000000000004E-2</v>
      </c>
      <c r="F3094" s="15">
        <v>0.15049999999999999</v>
      </c>
      <c r="G3094" s="15">
        <v>0.61040000000000005</v>
      </c>
      <c r="H3094" s="15">
        <v>5.2299999999999999E-2</v>
      </c>
      <c r="I3094" s="15">
        <v>4.2099999999999999E-2</v>
      </c>
      <c r="J3094" s="15">
        <v>1.2422802850356289</v>
      </c>
    </row>
    <row r="3095" spans="1:10" x14ac:dyDescent="0.25">
      <c r="A3095" s="2" t="s">
        <v>8335</v>
      </c>
      <c r="B3095" s="2" t="s">
        <v>7007</v>
      </c>
      <c r="C3095" s="2" t="s">
        <v>8336</v>
      </c>
      <c r="D3095" s="2" t="s">
        <v>10055</v>
      </c>
      <c r="E3095" s="15">
        <v>-0.55079999999999996</v>
      </c>
      <c r="F3095" s="15">
        <v>1.2524999999999999</v>
      </c>
      <c r="G3095" s="15">
        <v>0.66010000000000002</v>
      </c>
      <c r="H3095" s="15">
        <v>1.21E-2</v>
      </c>
      <c r="I3095" s="15">
        <v>4.0899999999999999E-2</v>
      </c>
      <c r="J3095" s="15">
        <v>0.29584352078239612</v>
      </c>
    </row>
    <row r="3096" spans="1:10" x14ac:dyDescent="0.25">
      <c r="A3096" s="2" t="s">
        <v>8337</v>
      </c>
      <c r="B3096" s="2" t="s">
        <v>7007</v>
      </c>
      <c r="C3096" s="2" t="s">
        <v>8338</v>
      </c>
      <c r="D3096" s="2" t="s">
        <v>10055</v>
      </c>
      <c r="E3096" s="15">
        <v>4.4499999999999998E-2</v>
      </c>
      <c r="F3096" s="15">
        <v>0.1166</v>
      </c>
      <c r="G3096" s="15">
        <v>0.70250000000000001</v>
      </c>
      <c r="H3096" s="15">
        <v>7.7799999999999994E-2</v>
      </c>
      <c r="I3096" s="15">
        <v>4.3499999999999997E-2</v>
      </c>
      <c r="J3096" s="15">
        <v>1.788505747126437</v>
      </c>
    </row>
    <row r="3097" spans="1:10" x14ac:dyDescent="0.25">
      <c r="A3097" s="2" t="s">
        <v>8339</v>
      </c>
      <c r="B3097" s="2" t="s">
        <v>7007</v>
      </c>
      <c r="C3097" s="2" t="s">
        <v>8340</v>
      </c>
      <c r="D3097" s="2" t="s">
        <v>10055</v>
      </c>
      <c r="E3097" s="15">
        <v>0.15579999999999999</v>
      </c>
      <c r="F3097" s="15">
        <v>0.1472</v>
      </c>
      <c r="G3097" s="15">
        <v>0.2898</v>
      </c>
      <c r="H3097" s="15">
        <v>7.6200000000000004E-2</v>
      </c>
      <c r="I3097" s="15">
        <v>4.1700000000000001E-2</v>
      </c>
      <c r="J3097" s="15">
        <v>1.8273381294964031</v>
      </c>
    </row>
    <row r="3098" spans="1:10" x14ac:dyDescent="0.25">
      <c r="A3098" s="2" t="s">
        <v>8341</v>
      </c>
      <c r="B3098" s="2" t="s">
        <v>7007</v>
      </c>
      <c r="C3098" s="2" t="s">
        <v>8342</v>
      </c>
      <c r="D3098" s="2" t="s">
        <v>10055</v>
      </c>
      <c r="E3098" s="15">
        <v>6.2399999999999997E-2</v>
      </c>
      <c r="F3098" s="15">
        <v>0.129</v>
      </c>
      <c r="G3098" s="15">
        <v>0.62870000000000004</v>
      </c>
      <c r="H3098" s="15">
        <v>8.5900000000000004E-2</v>
      </c>
      <c r="I3098" s="15">
        <v>3.9399999999999998E-2</v>
      </c>
      <c r="J3098" s="15">
        <v>2.1802030456852788</v>
      </c>
    </row>
    <row r="3099" spans="1:10" x14ac:dyDescent="0.25">
      <c r="A3099" s="2" t="s">
        <v>8343</v>
      </c>
      <c r="B3099" s="2" t="s">
        <v>7007</v>
      </c>
      <c r="C3099" s="2" t="s">
        <v>8344</v>
      </c>
      <c r="D3099" s="2" t="s">
        <v>10055</v>
      </c>
      <c r="E3099" s="15"/>
      <c r="F3099" s="15"/>
      <c r="G3099" s="15"/>
      <c r="H3099" s="15">
        <v>-3.6900000000000002E-2</v>
      </c>
      <c r="I3099" s="15">
        <v>3.5000000000000003E-2</v>
      </c>
      <c r="J3099" s="15">
        <v>-1.054285714285714</v>
      </c>
    </row>
    <row r="3100" spans="1:10" x14ac:dyDescent="0.25">
      <c r="A3100" s="2" t="s">
        <v>8345</v>
      </c>
      <c r="B3100" s="2" t="s">
        <v>7007</v>
      </c>
      <c r="C3100" s="2" t="s">
        <v>8346</v>
      </c>
      <c r="D3100" s="2" t="s">
        <v>10055</v>
      </c>
      <c r="E3100" s="15"/>
      <c r="F3100" s="15"/>
      <c r="G3100" s="15"/>
      <c r="H3100" s="15">
        <v>-2.92E-2</v>
      </c>
      <c r="I3100" s="15">
        <v>4.41E-2</v>
      </c>
      <c r="J3100" s="15">
        <v>-0.66213151927437641</v>
      </c>
    </row>
    <row r="3101" spans="1:10" x14ac:dyDescent="0.25">
      <c r="A3101" s="2" t="s">
        <v>8347</v>
      </c>
      <c r="B3101" s="2" t="s">
        <v>7007</v>
      </c>
      <c r="C3101" s="2" t="s">
        <v>8348</v>
      </c>
      <c r="D3101" s="2" t="s">
        <v>10055</v>
      </c>
      <c r="E3101" s="15">
        <v>6.4399999999999999E-2</v>
      </c>
      <c r="F3101" s="15">
        <v>0.1648</v>
      </c>
      <c r="G3101" s="15">
        <v>0.69599999999999995</v>
      </c>
      <c r="H3101" s="15">
        <v>4.9000000000000002E-2</v>
      </c>
      <c r="I3101" s="15">
        <v>4.36E-2</v>
      </c>
      <c r="J3101" s="15">
        <v>1.1238532110091739</v>
      </c>
    </row>
    <row r="3102" spans="1:10" x14ac:dyDescent="0.25">
      <c r="A3102" s="2" t="s">
        <v>8349</v>
      </c>
      <c r="B3102" s="2" t="s">
        <v>7007</v>
      </c>
      <c r="C3102" s="2" t="s">
        <v>8350</v>
      </c>
      <c r="D3102" s="2" t="s">
        <v>10055</v>
      </c>
      <c r="E3102" s="15"/>
      <c r="F3102" s="15"/>
      <c r="G3102" s="15"/>
      <c r="H3102" s="15"/>
      <c r="I3102" s="15"/>
      <c r="J3102" s="15"/>
    </row>
    <row r="3103" spans="1:10" x14ac:dyDescent="0.25">
      <c r="A3103" s="2" t="s">
        <v>8351</v>
      </c>
      <c r="B3103" s="2" t="s">
        <v>7007</v>
      </c>
      <c r="C3103" s="2" t="s">
        <v>8352</v>
      </c>
      <c r="D3103" s="2" t="s">
        <v>10055</v>
      </c>
      <c r="E3103" s="15"/>
      <c r="F3103" s="15"/>
      <c r="G3103" s="15"/>
      <c r="H3103" s="15">
        <v>-1.9900000000000001E-2</v>
      </c>
      <c r="I3103" s="15">
        <v>4.07E-2</v>
      </c>
      <c r="J3103" s="15">
        <v>-0.48894348894348899</v>
      </c>
    </row>
    <row r="3104" spans="1:10" x14ac:dyDescent="0.25">
      <c r="A3104" s="2" t="s">
        <v>8353</v>
      </c>
      <c r="B3104" s="2" t="s">
        <v>7007</v>
      </c>
      <c r="C3104" s="2" t="s">
        <v>8354</v>
      </c>
      <c r="D3104" s="2" t="s">
        <v>10055</v>
      </c>
      <c r="E3104" s="15">
        <v>0.14000000000000001</v>
      </c>
      <c r="F3104" s="15">
        <v>0.1444</v>
      </c>
      <c r="G3104" s="15">
        <v>0.3322</v>
      </c>
      <c r="H3104" s="15">
        <v>6.6900000000000001E-2</v>
      </c>
      <c r="I3104" s="15">
        <v>4.3299999999999998E-2</v>
      </c>
      <c r="J3104" s="15">
        <v>1.5450346420323331</v>
      </c>
    </row>
    <row r="3105" spans="1:10" x14ac:dyDescent="0.25">
      <c r="A3105" s="2" t="s">
        <v>8355</v>
      </c>
      <c r="B3105" s="2" t="s">
        <v>7007</v>
      </c>
      <c r="C3105" s="2" t="s">
        <v>8356</v>
      </c>
      <c r="D3105" s="2" t="s">
        <v>10055</v>
      </c>
      <c r="E3105" s="15">
        <v>0.18990000000000001</v>
      </c>
      <c r="F3105" s="15">
        <v>0.20349999999999999</v>
      </c>
      <c r="G3105" s="15">
        <v>0.35060000000000002</v>
      </c>
      <c r="H3105" s="15">
        <v>3.8699999999999998E-2</v>
      </c>
      <c r="I3105" s="15">
        <v>4.4400000000000002E-2</v>
      </c>
      <c r="J3105" s="15">
        <v>0.87162162162162149</v>
      </c>
    </row>
    <row r="3106" spans="1:10" x14ac:dyDescent="0.25">
      <c r="A3106" s="2" t="s">
        <v>8357</v>
      </c>
      <c r="B3106" s="2" t="s">
        <v>7007</v>
      </c>
      <c r="C3106" s="2" t="s">
        <v>8358</v>
      </c>
      <c r="D3106" s="2" t="s">
        <v>10055</v>
      </c>
      <c r="E3106" s="15">
        <v>0.1376</v>
      </c>
      <c r="F3106" s="15">
        <v>0.1119</v>
      </c>
      <c r="G3106" s="15">
        <v>0.21870000000000001</v>
      </c>
      <c r="H3106" s="15">
        <v>7.85E-2</v>
      </c>
      <c r="I3106" s="15">
        <v>4.2200000000000001E-2</v>
      </c>
      <c r="J3106" s="15">
        <v>1.860189573459716</v>
      </c>
    </row>
    <row r="3107" spans="1:10" x14ac:dyDescent="0.25">
      <c r="A3107" s="2" t="s">
        <v>8359</v>
      </c>
      <c r="B3107" s="2" t="s">
        <v>7007</v>
      </c>
      <c r="C3107" s="2" t="s">
        <v>8360</v>
      </c>
      <c r="D3107" s="2" t="s">
        <v>10055</v>
      </c>
      <c r="E3107" s="15"/>
      <c r="F3107" s="15"/>
      <c r="G3107" s="15"/>
      <c r="H3107" s="15">
        <v>-5.0799999999999998E-2</v>
      </c>
      <c r="I3107" s="15">
        <v>3.9899999999999998E-2</v>
      </c>
      <c r="J3107" s="15">
        <v>-1.2731829573934841</v>
      </c>
    </row>
    <row r="3108" spans="1:10" x14ac:dyDescent="0.25">
      <c r="A3108" s="2" t="s">
        <v>8361</v>
      </c>
      <c r="B3108" s="2" t="s">
        <v>7007</v>
      </c>
      <c r="C3108" s="2" t="s">
        <v>8362</v>
      </c>
      <c r="D3108" s="2" t="s">
        <v>10055</v>
      </c>
      <c r="E3108" s="15">
        <v>4.0500000000000001E-2</v>
      </c>
      <c r="F3108" s="15">
        <v>0.1678</v>
      </c>
      <c r="G3108" s="15">
        <v>0.80910000000000004</v>
      </c>
      <c r="H3108" s="15">
        <v>4.6600000000000003E-2</v>
      </c>
      <c r="I3108" s="15">
        <v>4.1099999999999998E-2</v>
      </c>
      <c r="J3108" s="15">
        <v>1.1338199513381999</v>
      </c>
    </row>
    <row r="3109" spans="1:10" x14ac:dyDescent="0.25">
      <c r="A3109" s="2" t="s">
        <v>8363</v>
      </c>
      <c r="B3109" s="2" t="s">
        <v>7007</v>
      </c>
      <c r="C3109" s="2" t="s">
        <v>8364</v>
      </c>
      <c r="D3109" s="2" t="s">
        <v>10055</v>
      </c>
      <c r="E3109" s="15"/>
      <c r="F3109" s="15"/>
      <c r="G3109" s="15"/>
      <c r="H3109" s="15">
        <v>-8.5099999999999995E-2</v>
      </c>
      <c r="I3109" s="15">
        <v>3.5400000000000001E-2</v>
      </c>
      <c r="J3109" s="15">
        <v>-2.4039548022598871</v>
      </c>
    </row>
    <row r="3110" spans="1:10" x14ac:dyDescent="0.25">
      <c r="A3110" s="2" t="s">
        <v>8365</v>
      </c>
      <c r="B3110" s="2" t="s">
        <v>7007</v>
      </c>
      <c r="C3110" s="2" t="s">
        <v>8366</v>
      </c>
      <c r="D3110" s="2" t="s">
        <v>10055</v>
      </c>
      <c r="E3110" s="15"/>
      <c r="F3110" s="15"/>
      <c r="G3110" s="15"/>
      <c r="H3110" s="15">
        <v>-5.0900000000000001E-2</v>
      </c>
      <c r="I3110" s="15">
        <v>3.9199999999999999E-2</v>
      </c>
      <c r="J3110" s="15">
        <v>-1.2984693877551019</v>
      </c>
    </row>
    <row r="3111" spans="1:10" x14ac:dyDescent="0.25">
      <c r="A3111" s="2" t="s">
        <v>8367</v>
      </c>
      <c r="B3111" s="2" t="s">
        <v>7007</v>
      </c>
      <c r="C3111" s="2" t="s">
        <v>8368</v>
      </c>
      <c r="D3111" s="2" t="s">
        <v>10055</v>
      </c>
      <c r="E3111" s="15">
        <v>-0.2485</v>
      </c>
      <c r="F3111" s="15">
        <v>0.19470000000000001</v>
      </c>
      <c r="G3111" s="15">
        <v>0.20169999999999999</v>
      </c>
      <c r="H3111" s="15">
        <v>4.7300000000000002E-2</v>
      </c>
      <c r="I3111" s="15">
        <v>4.0099999999999997E-2</v>
      </c>
      <c r="J3111" s="15">
        <v>1.1795511221945141</v>
      </c>
    </row>
    <row r="3112" spans="1:10" x14ac:dyDescent="0.25">
      <c r="A3112" s="2" t="s">
        <v>8369</v>
      </c>
      <c r="B3112" s="2" t="s">
        <v>7007</v>
      </c>
      <c r="C3112" s="2" t="s">
        <v>8370</v>
      </c>
      <c r="D3112" s="2" t="s">
        <v>10055</v>
      </c>
      <c r="E3112" s="15"/>
      <c r="F3112" s="15"/>
      <c r="G3112" s="15"/>
      <c r="H3112" s="15">
        <v>-5.1000000000000004E-3</v>
      </c>
      <c r="I3112" s="15">
        <v>3.5799999999999998E-2</v>
      </c>
      <c r="J3112" s="15">
        <v>-0.14245810055865921</v>
      </c>
    </row>
    <row r="3113" spans="1:10" x14ac:dyDescent="0.25">
      <c r="A3113" s="2" t="s">
        <v>8371</v>
      </c>
      <c r="B3113" s="2" t="s">
        <v>7007</v>
      </c>
      <c r="C3113" s="2" t="s">
        <v>8372</v>
      </c>
      <c r="D3113" s="2" t="s">
        <v>10055</v>
      </c>
      <c r="E3113" s="15">
        <v>-0.16639999999999999</v>
      </c>
      <c r="F3113" s="15">
        <v>0.49380000000000002</v>
      </c>
      <c r="G3113" s="15">
        <v>0.73609999999999998</v>
      </c>
      <c r="H3113" s="15">
        <v>2.1899999999999999E-2</v>
      </c>
      <c r="I3113" s="15">
        <v>4.7E-2</v>
      </c>
      <c r="J3113" s="15">
        <v>0.46595744680851059</v>
      </c>
    </row>
    <row r="3114" spans="1:10" x14ac:dyDescent="0.25">
      <c r="A3114" s="2" t="s">
        <v>8373</v>
      </c>
      <c r="B3114" s="2" t="s">
        <v>7007</v>
      </c>
      <c r="C3114" s="2" t="s">
        <v>8374</v>
      </c>
      <c r="D3114" s="2" t="s">
        <v>10055</v>
      </c>
      <c r="E3114" s="15"/>
      <c r="F3114" s="15"/>
      <c r="G3114" s="15"/>
      <c r="H3114" s="15"/>
      <c r="I3114" s="15"/>
      <c r="J3114" s="15"/>
    </row>
    <row r="3115" spans="1:10" x14ac:dyDescent="0.25">
      <c r="A3115" s="2" t="s">
        <v>8375</v>
      </c>
      <c r="B3115" s="2" t="s">
        <v>7007</v>
      </c>
      <c r="C3115" s="2" t="s">
        <v>8376</v>
      </c>
      <c r="D3115" s="2" t="s">
        <v>10055</v>
      </c>
      <c r="E3115" s="15">
        <v>0.24429999999999999</v>
      </c>
      <c r="F3115" s="15">
        <v>0.7913</v>
      </c>
      <c r="G3115" s="15">
        <v>0.75760000000000005</v>
      </c>
      <c r="H3115" s="15">
        <v>1.1299999999999999E-2</v>
      </c>
      <c r="I3115" s="15">
        <v>3.4799999999999998E-2</v>
      </c>
      <c r="J3115" s="15">
        <v>0.32471264367816088</v>
      </c>
    </row>
    <row r="3116" spans="1:10" x14ac:dyDescent="0.25">
      <c r="A3116" s="2" t="s">
        <v>8377</v>
      </c>
      <c r="B3116" s="2" t="s">
        <v>7007</v>
      </c>
      <c r="C3116" s="2" t="s">
        <v>8378</v>
      </c>
      <c r="D3116" s="2" t="s">
        <v>10055</v>
      </c>
      <c r="E3116" s="15"/>
      <c r="F3116" s="15"/>
      <c r="G3116" s="15"/>
      <c r="H3116" s="15">
        <v>-2.9499999999999998E-2</v>
      </c>
      <c r="I3116" s="15">
        <v>4.2599999999999999E-2</v>
      </c>
      <c r="J3116" s="15">
        <v>-0.69248826291079812</v>
      </c>
    </row>
    <row r="3117" spans="1:10" x14ac:dyDescent="0.25">
      <c r="A3117" s="2" t="s">
        <v>8379</v>
      </c>
      <c r="B3117" s="2" t="s">
        <v>7007</v>
      </c>
      <c r="C3117" s="2" t="s">
        <v>8380</v>
      </c>
      <c r="D3117" s="2" t="s">
        <v>10055</v>
      </c>
      <c r="E3117" s="15">
        <v>3.9100000000000003E-2</v>
      </c>
      <c r="F3117" s="15">
        <v>0.1333</v>
      </c>
      <c r="G3117" s="15">
        <v>0.76919999999999999</v>
      </c>
      <c r="H3117" s="15">
        <v>6.8699999999999997E-2</v>
      </c>
      <c r="I3117" s="15">
        <v>4.2799999999999998E-2</v>
      </c>
      <c r="J3117" s="15">
        <v>1.6051401869158879</v>
      </c>
    </row>
    <row r="3118" spans="1:10" x14ac:dyDescent="0.25">
      <c r="A3118" s="2" t="s">
        <v>8381</v>
      </c>
      <c r="B3118" s="2" t="s">
        <v>7007</v>
      </c>
      <c r="C3118" s="2" t="s">
        <v>8382</v>
      </c>
      <c r="D3118" s="2" t="s">
        <v>10055</v>
      </c>
      <c r="E3118" s="15"/>
      <c r="F3118" s="15"/>
      <c r="G3118" s="15"/>
      <c r="H3118" s="15">
        <v>-6.7699999999999996E-2</v>
      </c>
      <c r="I3118" s="15">
        <v>3.9600000000000003E-2</v>
      </c>
      <c r="J3118" s="15">
        <v>-1.7095959595959589</v>
      </c>
    </row>
    <row r="3119" spans="1:10" x14ac:dyDescent="0.25">
      <c r="A3119" s="2" t="s">
        <v>8383</v>
      </c>
      <c r="B3119" s="2" t="s">
        <v>7007</v>
      </c>
      <c r="C3119" s="2" t="s">
        <v>8384</v>
      </c>
      <c r="D3119" s="2" t="s">
        <v>10055</v>
      </c>
      <c r="E3119" s="15"/>
      <c r="F3119" s="15"/>
      <c r="G3119" s="15"/>
      <c r="H3119" s="15">
        <v>-4.4000000000000003E-3</v>
      </c>
      <c r="I3119" s="15">
        <v>4.2299999999999997E-2</v>
      </c>
      <c r="J3119" s="15">
        <v>-0.1040189125295508</v>
      </c>
    </row>
    <row r="3120" spans="1:10" x14ac:dyDescent="0.25">
      <c r="A3120" s="2" t="s">
        <v>8385</v>
      </c>
      <c r="B3120" s="2" t="s">
        <v>7007</v>
      </c>
      <c r="C3120" s="2" t="s">
        <v>8386</v>
      </c>
      <c r="D3120" s="2" t="s">
        <v>10055</v>
      </c>
      <c r="E3120" s="15"/>
      <c r="F3120" s="15"/>
      <c r="G3120" s="15"/>
      <c r="H3120" s="15"/>
      <c r="I3120" s="15"/>
      <c r="J3120" s="15"/>
    </row>
    <row r="3121" spans="1:10" x14ac:dyDescent="0.25">
      <c r="A3121" s="2" t="s">
        <v>8387</v>
      </c>
      <c r="B3121" s="2" t="s">
        <v>7007</v>
      </c>
      <c r="C3121" s="2" t="s">
        <v>8388</v>
      </c>
      <c r="D3121" s="2" t="s">
        <v>10055</v>
      </c>
      <c r="E3121" s="15"/>
      <c r="F3121" s="15"/>
      <c r="G3121" s="15"/>
      <c r="H3121" s="15">
        <v>-3.5000000000000001E-3</v>
      </c>
      <c r="I3121" s="15">
        <v>4.3700000000000003E-2</v>
      </c>
      <c r="J3121" s="15">
        <v>-8.0091533180778024E-2</v>
      </c>
    </row>
    <row r="3122" spans="1:10" x14ac:dyDescent="0.25">
      <c r="A3122" s="2" t="s">
        <v>8389</v>
      </c>
      <c r="B3122" s="2" t="s">
        <v>7007</v>
      </c>
      <c r="C3122" s="2" t="s">
        <v>8390</v>
      </c>
      <c r="D3122" s="2" t="s">
        <v>10055</v>
      </c>
      <c r="E3122" s="15"/>
      <c r="F3122" s="15"/>
      <c r="G3122" s="15"/>
      <c r="H3122" s="15">
        <v>-5.0599999999999999E-2</v>
      </c>
      <c r="I3122" s="15">
        <v>4.3400000000000001E-2</v>
      </c>
      <c r="J3122" s="15">
        <v>-1.1658986175115209</v>
      </c>
    </row>
    <row r="3123" spans="1:10" x14ac:dyDescent="0.25">
      <c r="A3123" s="2" t="s">
        <v>8391</v>
      </c>
      <c r="B3123" s="2" t="s">
        <v>7007</v>
      </c>
      <c r="C3123" s="2" t="s">
        <v>8392</v>
      </c>
      <c r="D3123" s="2" t="s">
        <v>10055</v>
      </c>
      <c r="E3123" s="15">
        <v>-1.66E-2</v>
      </c>
      <c r="F3123" s="15">
        <v>0.17380000000000001</v>
      </c>
      <c r="G3123" s="15">
        <v>0.92400000000000004</v>
      </c>
      <c r="H3123" s="15">
        <v>4.5499999999999999E-2</v>
      </c>
      <c r="I3123" s="15">
        <v>4.1200000000000001E-2</v>
      </c>
      <c r="J3123" s="15">
        <v>1.104368932038835</v>
      </c>
    </row>
    <row r="3124" spans="1:10" x14ac:dyDescent="0.25">
      <c r="A3124" s="2" t="s">
        <v>8393</v>
      </c>
      <c r="B3124" s="2" t="s">
        <v>7007</v>
      </c>
      <c r="C3124" s="2" t="s">
        <v>8394</v>
      </c>
      <c r="D3124" s="2" t="s">
        <v>10055</v>
      </c>
      <c r="E3124" s="15">
        <v>-0.14349999999999999</v>
      </c>
      <c r="F3124" s="15">
        <v>0.1196</v>
      </c>
      <c r="G3124" s="15">
        <v>0.2303</v>
      </c>
      <c r="H3124" s="15">
        <v>9.8599999999999993E-2</v>
      </c>
      <c r="I3124" s="15">
        <v>4.6399999999999997E-2</v>
      </c>
      <c r="J3124" s="15">
        <v>2.125</v>
      </c>
    </row>
    <row r="3125" spans="1:10" x14ac:dyDescent="0.25">
      <c r="A3125" s="2" t="s">
        <v>8395</v>
      </c>
      <c r="B3125" s="2" t="s">
        <v>7007</v>
      </c>
      <c r="C3125" s="2" t="s">
        <v>8396</v>
      </c>
      <c r="D3125" s="2" t="s">
        <v>10055</v>
      </c>
      <c r="E3125" s="15">
        <v>-5.0099999999999999E-2</v>
      </c>
      <c r="F3125" s="15">
        <v>0.18940000000000001</v>
      </c>
      <c r="G3125" s="15">
        <v>0.79139999999999999</v>
      </c>
      <c r="H3125" s="15">
        <v>3.8300000000000001E-2</v>
      </c>
      <c r="I3125" s="15">
        <v>4.2700000000000002E-2</v>
      </c>
      <c r="J3125" s="15">
        <v>0.89695550351288056</v>
      </c>
    </row>
    <row r="3126" spans="1:10" x14ac:dyDescent="0.25">
      <c r="A3126" s="2" t="s">
        <v>8397</v>
      </c>
      <c r="B3126" s="2" t="s">
        <v>7007</v>
      </c>
      <c r="C3126" s="2" t="s">
        <v>8398</v>
      </c>
      <c r="D3126" s="2" t="s">
        <v>10055</v>
      </c>
      <c r="E3126" s="15"/>
      <c r="F3126" s="15"/>
      <c r="G3126" s="15"/>
      <c r="H3126" s="15">
        <v>-1.9199999999999998E-2</v>
      </c>
      <c r="I3126" s="15">
        <v>3.9300000000000002E-2</v>
      </c>
      <c r="J3126" s="15">
        <v>-0.48854961832061061</v>
      </c>
    </row>
    <row r="3127" spans="1:10" x14ac:dyDescent="0.25">
      <c r="A3127" s="2" t="s">
        <v>8399</v>
      </c>
      <c r="B3127" s="2" t="s">
        <v>7007</v>
      </c>
      <c r="C3127" s="2" t="s">
        <v>8400</v>
      </c>
      <c r="D3127" s="2" t="s">
        <v>10055</v>
      </c>
      <c r="E3127" s="15"/>
      <c r="F3127" s="15"/>
      <c r="G3127" s="15"/>
      <c r="H3127" s="15"/>
      <c r="I3127" s="15"/>
      <c r="J3127" s="15"/>
    </row>
    <row r="3128" spans="1:10" x14ac:dyDescent="0.25">
      <c r="A3128" s="2" t="s">
        <v>8401</v>
      </c>
      <c r="B3128" s="2" t="s">
        <v>7007</v>
      </c>
      <c r="C3128" s="2" t="s">
        <v>8402</v>
      </c>
      <c r="D3128" s="2" t="s">
        <v>10055</v>
      </c>
      <c r="E3128" s="15"/>
      <c r="F3128" s="15"/>
      <c r="G3128" s="15"/>
      <c r="H3128" s="15">
        <v>-4.0000000000000002E-4</v>
      </c>
      <c r="I3128" s="15">
        <v>3.5200000000000002E-2</v>
      </c>
      <c r="J3128" s="15">
        <v>-1.136363636363636E-2</v>
      </c>
    </row>
    <row r="3129" spans="1:10" x14ac:dyDescent="0.25">
      <c r="A3129" s="2" t="s">
        <v>8403</v>
      </c>
      <c r="B3129" s="2" t="s">
        <v>7007</v>
      </c>
      <c r="C3129" s="2" t="s">
        <v>8404</v>
      </c>
      <c r="D3129" s="2" t="s">
        <v>10055</v>
      </c>
      <c r="E3129" s="15"/>
      <c r="F3129" s="15"/>
      <c r="G3129" s="15"/>
      <c r="H3129" s="15">
        <v>-1.7000000000000001E-2</v>
      </c>
      <c r="I3129" s="15">
        <v>4.0300000000000002E-2</v>
      </c>
      <c r="J3129" s="15">
        <v>-0.42183622828784118</v>
      </c>
    </row>
    <row r="3130" spans="1:10" x14ac:dyDescent="0.25">
      <c r="A3130" s="2" t="s">
        <v>8405</v>
      </c>
      <c r="B3130" s="2" t="s">
        <v>7007</v>
      </c>
      <c r="C3130" s="2" t="s">
        <v>8406</v>
      </c>
      <c r="D3130" s="2" t="s">
        <v>10055</v>
      </c>
      <c r="E3130" s="15">
        <v>-0.1086</v>
      </c>
      <c r="F3130" s="15">
        <v>0.26269999999999999</v>
      </c>
      <c r="G3130" s="15">
        <v>0.6794</v>
      </c>
      <c r="H3130" s="15">
        <v>2.2100000000000002E-2</v>
      </c>
      <c r="I3130" s="15">
        <v>4.1099999999999998E-2</v>
      </c>
      <c r="J3130" s="15">
        <v>0.53771289537712907</v>
      </c>
    </row>
    <row r="3131" spans="1:10" x14ac:dyDescent="0.25">
      <c r="A3131" s="2" t="s">
        <v>8407</v>
      </c>
      <c r="B3131" s="2" t="s">
        <v>7007</v>
      </c>
      <c r="C3131" s="2" t="s">
        <v>8408</v>
      </c>
      <c r="D3131" s="2" t="s">
        <v>10055</v>
      </c>
      <c r="E3131" s="15">
        <v>9.1000000000000004E-3</v>
      </c>
      <c r="F3131" s="15">
        <v>0.1158</v>
      </c>
      <c r="G3131" s="15">
        <v>0.9375</v>
      </c>
      <c r="H3131" s="15">
        <v>8.3799999999999999E-2</v>
      </c>
      <c r="I3131" s="15">
        <v>4.5600000000000002E-2</v>
      </c>
      <c r="J3131" s="15">
        <v>1.8377192982456141</v>
      </c>
    </row>
    <row r="3132" spans="1:10" x14ac:dyDescent="0.25">
      <c r="A3132" s="2" t="s">
        <v>8409</v>
      </c>
      <c r="B3132" s="2" t="s">
        <v>7007</v>
      </c>
      <c r="C3132" s="2" t="s">
        <v>8410</v>
      </c>
      <c r="D3132" s="2" t="s">
        <v>10055</v>
      </c>
      <c r="E3132" s="15"/>
      <c r="F3132" s="15"/>
      <c r="G3132" s="15"/>
      <c r="H3132" s="15"/>
      <c r="I3132" s="15"/>
      <c r="J3132" s="15"/>
    </row>
    <row r="3133" spans="1:10" x14ac:dyDescent="0.25">
      <c r="A3133" s="2" t="s">
        <v>8411</v>
      </c>
      <c r="B3133" s="2" t="s">
        <v>7007</v>
      </c>
      <c r="C3133" s="2" t="s">
        <v>8412</v>
      </c>
      <c r="D3133" s="2" t="s">
        <v>10055</v>
      </c>
      <c r="E3133" s="15">
        <v>3.5200000000000002E-2</v>
      </c>
      <c r="F3133" s="15">
        <v>0.114</v>
      </c>
      <c r="G3133" s="15">
        <v>0.75770000000000004</v>
      </c>
      <c r="H3133" s="15">
        <v>9.6500000000000002E-2</v>
      </c>
      <c r="I3133" s="15">
        <v>4.7500000000000001E-2</v>
      </c>
      <c r="J3133" s="15">
        <v>2.0315789473684212</v>
      </c>
    </row>
    <row r="3134" spans="1:10" x14ac:dyDescent="0.25">
      <c r="A3134" s="2" t="s">
        <v>8413</v>
      </c>
      <c r="B3134" s="2" t="s">
        <v>7007</v>
      </c>
      <c r="C3134" s="2" t="s">
        <v>8414</v>
      </c>
      <c r="D3134" s="2" t="s">
        <v>10055</v>
      </c>
      <c r="E3134" s="15">
        <v>1.38E-2</v>
      </c>
      <c r="F3134" s="15">
        <v>0.1527</v>
      </c>
      <c r="G3134" s="15">
        <v>0.92779999999999996</v>
      </c>
      <c r="H3134" s="15">
        <v>6.0499999999999998E-2</v>
      </c>
      <c r="I3134" s="15">
        <v>4.0500000000000001E-2</v>
      </c>
      <c r="J3134" s="15">
        <v>1.4938271604938269</v>
      </c>
    </row>
    <row r="3135" spans="1:10" x14ac:dyDescent="0.25">
      <c r="A3135" s="2" t="s">
        <v>8415</v>
      </c>
      <c r="B3135" s="2" t="s">
        <v>7007</v>
      </c>
      <c r="C3135" s="2" t="s">
        <v>8416</v>
      </c>
      <c r="D3135" s="2" t="s">
        <v>10055</v>
      </c>
      <c r="E3135" s="15">
        <v>-7.6300000000000007E-2</v>
      </c>
      <c r="F3135" s="15">
        <v>0.16339999999999999</v>
      </c>
      <c r="G3135" s="15">
        <v>0.64070000000000005</v>
      </c>
      <c r="H3135" s="15">
        <v>4.5400000000000003E-2</v>
      </c>
      <c r="I3135" s="15">
        <v>4.6399999999999997E-2</v>
      </c>
      <c r="J3135" s="15">
        <v>0.97844827586206906</v>
      </c>
    </row>
    <row r="3136" spans="1:10" x14ac:dyDescent="0.25">
      <c r="A3136" s="2" t="s">
        <v>8417</v>
      </c>
      <c r="B3136" s="2" t="s">
        <v>7007</v>
      </c>
      <c r="C3136" s="2" t="s">
        <v>8418</v>
      </c>
      <c r="D3136" s="2" t="s">
        <v>10055</v>
      </c>
      <c r="E3136" s="15"/>
      <c r="F3136" s="15"/>
      <c r="G3136" s="15"/>
      <c r="H3136" s="15">
        <v>-1.21E-2</v>
      </c>
      <c r="I3136" s="15">
        <v>3.8899999999999997E-2</v>
      </c>
      <c r="J3136" s="15">
        <v>-0.3110539845758355</v>
      </c>
    </row>
    <row r="3137" spans="1:10" x14ac:dyDescent="0.25">
      <c r="A3137" s="2" t="s">
        <v>8419</v>
      </c>
      <c r="B3137" s="2" t="s">
        <v>7007</v>
      </c>
      <c r="C3137" s="2" t="s">
        <v>8420</v>
      </c>
      <c r="D3137" s="2" t="s">
        <v>10055</v>
      </c>
      <c r="E3137" s="15">
        <v>7.1999999999999995E-2</v>
      </c>
      <c r="F3137" s="15">
        <v>9.9000000000000005E-2</v>
      </c>
      <c r="G3137" s="15">
        <v>0.46739999999999998</v>
      </c>
      <c r="H3137" s="15">
        <v>0.1187</v>
      </c>
      <c r="I3137" s="15">
        <v>4.0800000000000003E-2</v>
      </c>
      <c r="J3137" s="15">
        <v>2.909313725490196</v>
      </c>
    </row>
    <row r="3138" spans="1:10" x14ac:dyDescent="0.25">
      <c r="A3138" s="2" t="s">
        <v>8421</v>
      </c>
      <c r="B3138" s="2" t="s">
        <v>7007</v>
      </c>
      <c r="C3138" s="2" t="s">
        <v>8422</v>
      </c>
      <c r="D3138" s="2" t="s">
        <v>10055</v>
      </c>
      <c r="E3138" s="15">
        <v>-7.1199999999999999E-2</v>
      </c>
      <c r="F3138" s="15">
        <v>0.157</v>
      </c>
      <c r="G3138" s="15">
        <v>0.65010000000000001</v>
      </c>
      <c r="H3138" s="15">
        <v>5.0900000000000001E-2</v>
      </c>
      <c r="I3138" s="15">
        <v>4.36E-2</v>
      </c>
      <c r="J3138" s="15">
        <v>1.167431192660551</v>
      </c>
    </row>
    <row r="3139" spans="1:10" x14ac:dyDescent="0.25">
      <c r="A3139" s="2" t="s">
        <v>8423</v>
      </c>
      <c r="B3139" s="2" t="s">
        <v>7007</v>
      </c>
      <c r="C3139" s="2" t="s">
        <v>8424</v>
      </c>
      <c r="D3139" s="2" t="s">
        <v>10055</v>
      </c>
      <c r="E3139" s="15"/>
      <c r="F3139" s="15"/>
      <c r="G3139" s="15"/>
      <c r="H3139" s="15">
        <v>-4.5900000000000003E-2</v>
      </c>
      <c r="I3139" s="15">
        <v>4.3900000000000002E-2</v>
      </c>
      <c r="J3139" s="15">
        <v>-1.045558086560364</v>
      </c>
    </row>
    <row r="3140" spans="1:10" x14ac:dyDescent="0.25">
      <c r="A3140" s="2" t="s">
        <v>8425</v>
      </c>
      <c r="B3140" s="2" t="s">
        <v>7007</v>
      </c>
      <c r="C3140" s="2" t="s">
        <v>8426</v>
      </c>
      <c r="D3140" s="2" t="s">
        <v>10055</v>
      </c>
      <c r="E3140" s="15"/>
      <c r="F3140" s="15"/>
      <c r="G3140" s="15"/>
      <c r="H3140" s="15"/>
      <c r="I3140" s="15"/>
      <c r="J3140" s="15"/>
    </row>
    <row r="3141" spans="1:10" x14ac:dyDescent="0.25">
      <c r="A3141" s="2" t="s">
        <v>8427</v>
      </c>
      <c r="B3141" s="2" t="s">
        <v>7007</v>
      </c>
      <c r="C3141" s="2" t="s">
        <v>8428</v>
      </c>
      <c r="D3141" s="2" t="s">
        <v>10055</v>
      </c>
      <c r="E3141" s="15">
        <v>-3.5000000000000003E-2</v>
      </c>
      <c r="F3141" s="15">
        <v>0.27310000000000001</v>
      </c>
      <c r="G3141" s="15">
        <v>0.89810000000000001</v>
      </c>
      <c r="H3141" s="15">
        <v>1.8100000000000002E-2</v>
      </c>
      <c r="I3141" s="15">
        <v>4.4299999999999999E-2</v>
      </c>
      <c r="J3141" s="15">
        <v>0.4085778781038375</v>
      </c>
    </row>
    <row r="3142" spans="1:10" x14ac:dyDescent="0.25">
      <c r="A3142" s="2" t="s">
        <v>8429</v>
      </c>
      <c r="B3142" s="2" t="s">
        <v>7007</v>
      </c>
      <c r="C3142" s="2" t="s">
        <v>8430</v>
      </c>
      <c r="D3142" s="2" t="s">
        <v>10055</v>
      </c>
      <c r="E3142" s="15">
        <v>-8.2100000000000006E-2</v>
      </c>
      <c r="F3142" s="15">
        <v>0.23810000000000001</v>
      </c>
      <c r="G3142" s="15">
        <v>0.73009999999999997</v>
      </c>
      <c r="H3142" s="15">
        <v>2.53E-2</v>
      </c>
      <c r="I3142" s="15">
        <v>4.2200000000000001E-2</v>
      </c>
      <c r="J3142" s="15">
        <v>0.59952606635071082</v>
      </c>
    </row>
    <row r="3143" spans="1:10" x14ac:dyDescent="0.25">
      <c r="A3143" s="2" t="s">
        <v>8431</v>
      </c>
      <c r="B3143" s="2" t="s">
        <v>7007</v>
      </c>
      <c r="C3143" s="2" t="s">
        <v>8432</v>
      </c>
      <c r="D3143" s="2" t="s">
        <v>10055</v>
      </c>
      <c r="E3143" s="15">
        <v>-0.23799999999999999</v>
      </c>
      <c r="F3143" s="15">
        <v>0.15190000000000001</v>
      </c>
      <c r="G3143" s="15">
        <v>0.1172</v>
      </c>
      <c r="H3143" s="15">
        <v>7.46E-2</v>
      </c>
      <c r="I3143" s="15">
        <v>3.85E-2</v>
      </c>
      <c r="J3143" s="15">
        <v>1.9376623376623381</v>
      </c>
    </row>
    <row r="3144" spans="1:10" x14ac:dyDescent="0.25">
      <c r="A3144" s="2" t="s">
        <v>8433</v>
      </c>
      <c r="B3144" s="2" t="s">
        <v>7007</v>
      </c>
      <c r="C3144" s="2" t="s">
        <v>8434</v>
      </c>
      <c r="D3144" s="2" t="s">
        <v>10055</v>
      </c>
      <c r="E3144" s="15">
        <v>5.7299999999999997E-2</v>
      </c>
      <c r="F3144" s="15">
        <v>0.13969999999999999</v>
      </c>
      <c r="G3144" s="15">
        <v>0.68149999999999999</v>
      </c>
      <c r="H3144" s="15">
        <v>6.7900000000000002E-2</v>
      </c>
      <c r="I3144" s="15">
        <v>4.1399999999999999E-2</v>
      </c>
      <c r="J3144" s="15">
        <v>1.6400966183574881</v>
      </c>
    </row>
    <row r="3145" spans="1:10" x14ac:dyDescent="0.25">
      <c r="A3145" s="2" t="s">
        <v>8435</v>
      </c>
      <c r="B3145" s="2" t="s">
        <v>7007</v>
      </c>
      <c r="C3145" s="2" t="s">
        <v>8436</v>
      </c>
      <c r="D3145" s="2" t="s">
        <v>10055</v>
      </c>
      <c r="E3145" s="15">
        <v>-1.38E-2</v>
      </c>
      <c r="F3145" s="15">
        <v>0.12280000000000001</v>
      </c>
      <c r="G3145" s="15">
        <v>0.91059999999999997</v>
      </c>
      <c r="H3145" s="15">
        <v>7.1099999999999997E-2</v>
      </c>
      <c r="I3145" s="15">
        <v>4.2500000000000003E-2</v>
      </c>
      <c r="J3145" s="15">
        <v>1.6729411764705879</v>
      </c>
    </row>
    <row r="3146" spans="1:10" x14ac:dyDescent="0.25">
      <c r="A3146" s="2" t="s">
        <v>8437</v>
      </c>
      <c r="B3146" s="2" t="s">
        <v>7007</v>
      </c>
      <c r="C3146" s="2" t="s">
        <v>8438</v>
      </c>
      <c r="D3146" s="2" t="s">
        <v>10055</v>
      </c>
      <c r="E3146" s="15">
        <v>4.1799999999999997E-2</v>
      </c>
      <c r="F3146" s="15">
        <v>0.1255</v>
      </c>
      <c r="G3146" s="15">
        <v>0.73939999999999995</v>
      </c>
      <c r="H3146" s="15">
        <v>0.1009</v>
      </c>
      <c r="I3146" s="15">
        <v>4.3400000000000001E-2</v>
      </c>
      <c r="J3146" s="15">
        <v>2.3248847926267282</v>
      </c>
    </row>
    <row r="3147" spans="1:10" x14ac:dyDescent="0.25">
      <c r="A3147" s="2" t="s">
        <v>8439</v>
      </c>
      <c r="B3147" s="2" t="s">
        <v>7007</v>
      </c>
      <c r="C3147" s="2" t="s">
        <v>8440</v>
      </c>
      <c r="D3147" s="2" t="s">
        <v>10055</v>
      </c>
      <c r="E3147" s="15"/>
      <c r="F3147" s="15"/>
      <c r="G3147" s="15"/>
      <c r="H3147" s="15"/>
      <c r="I3147" s="15"/>
      <c r="J3147" s="15"/>
    </row>
    <row r="3148" spans="1:10" x14ac:dyDescent="0.25">
      <c r="A3148" s="2" t="s">
        <v>8441</v>
      </c>
      <c r="B3148" s="2" t="s">
        <v>7007</v>
      </c>
      <c r="C3148" s="2" t="s">
        <v>8442</v>
      </c>
      <c r="D3148" s="2" t="s">
        <v>10055</v>
      </c>
      <c r="E3148" s="15">
        <v>-0.15490000000000001</v>
      </c>
      <c r="F3148" s="15">
        <v>0.16039999999999999</v>
      </c>
      <c r="G3148" s="15">
        <v>0.33429999999999999</v>
      </c>
      <c r="H3148" s="15">
        <v>6.1600000000000002E-2</v>
      </c>
      <c r="I3148" s="15">
        <v>4.2000000000000003E-2</v>
      </c>
      <c r="J3148" s="15">
        <v>1.466666666666667</v>
      </c>
    </row>
    <row r="3149" spans="1:10" x14ac:dyDescent="0.25">
      <c r="A3149" s="2" t="s">
        <v>8443</v>
      </c>
      <c r="B3149" s="2" t="s">
        <v>7007</v>
      </c>
      <c r="C3149" s="2" t="s">
        <v>8444</v>
      </c>
      <c r="D3149" s="2" t="s">
        <v>10055</v>
      </c>
      <c r="E3149" s="15">
        <v>0.2122</v>
      </c>
      <c r="F3149" s="15">
        <v>0.2263</v>
      </c>
      <c r="G3149" s="15">
        <v>0.3483</v>
      </c>
      <c r="H3149" s="15">
        <v>3.2800000000000003E-2</v>
      </c>
      <c r="I3149" s="15">
        <v>4.02E-2</v>
      </c>
      <c r="J3149" s="15">
        <v>0.81592039800995031</v>
      </c>
    </row>
    <row r="3150" spans="1:10" x14ac:dyDescent="0.25">
      <c r="A3150" s="2" t="s">
        <v>8445</v>
      </c>
      <c r="B3150" s="2" t="s">
        <v>7007</v>
      </c>
      <c r="C3150" s="2" t="s">
        <v>8446</v>
      </c>
      <c r="D3150" s="2" t="s">
        <v>10055</v>
      </c>
      <c r="E3150" s="15">
        <v>-3.1099999999999999E-2</v>
      </c>
      <c r="F3150" s="15">
        <v>0.21790000000000001</v>
      </c>
      <c r="G3150" s="15">
        <v>0.88639999999999997</v>
      </c>
      <c r="H3150" s="15">
        <v>2.6499999999999999E-2</v>
      </c>
      <c r="I3150" s="15">
        <v>4.1500000000000002E-2</v>
      </c>
      <c r="J3150" s="15">
        <v>0.63855421686746983</v>
      </c>
    </row>
    <row r="3151" spans="1:10" x14ac:dyDescent="0.25">
      <c r="A3151" s="2" t="s">
        <v>8447</v>
      </c>
      <c r="B3151" s="2" t="s">
        <v>7007</v>
      </c>
      <c r="C3151" s="2" t="s">
        <v>8448</v>
      </c>
      <c r="D3151" s="2" t="s">
        <v>10055</v>
      </c>
      <c r="E3151" s="15"/>
      <c r="F3151" s="15"/>
      <c r="G3151" s="15"/>
      <c r="H3151" s="15"/>
      <c r="I3151" s="15"/>
      <c r="J3151" s="15"/>
    </row>
    <row r="3152" spans="1:10" x14ac:dyDescent="0.25">
      <c r="A3152" s="2" t="s">
        <v>8449</v>
      </c>
      <c r="B3152" s="2" t="s">
        <v>7007</v>
      </c>
      <c r="C3152" s="2" t="s">
        <v>8450</v>
      </c>
      <c r="D3152" s="2" t="s">
        <v>10055</v>
      </c>
      <c r="E3152" s="15">
        <v>-0.1019</v>
      </c>
      <c r="F3152" s="15">
        <v>0.11600000000000001</v>
      </c>
      <c r="G3152" s="15">
        <v>0.37990000000000002</v>
      </c>
      <c r="H3152" s="15">
        <v>9.7799999999999998E-2</v>
      </c>
      <c r="I3152" s="15">
        <v>4.53E-2</v>
      </c>
      <c r="J3152" s="15">
        <v>2.1589403973509929</v>
      </c>
    </row>
    <row r="3153" spans="1:10" x14ac:dyDescent="0.25">
      <c r="A3153" s="2" t="s">
        <v>8451</v>
      </c>
      <c r="B3153" s="2" t="s">
        <v>7007</v>
      </c>
      <c r="C3153" s="2" t="s">
        <v>8452</v>
      </c>
      <c r="D3153" s="2" t="s">
        <v>10055</v>
      </c>
      <c r="E3153" s="15"/>
      <c r="F3153" s="15"/>
      <c r="G3153" s="15"/>
      <c r="H3153" s="15">
        <v>-2.9499999999999998E-2</v>
      </c>
      <c r="I3153" s="15">
        <v>3.78E-2</v>
      </c>
      <c r="J3153" s="15">
        <v>-0.78042328042328035</v>
      </c>
    </row>
    <row r="3154" spans="1:10" x14ac:dyDescent="0.25">
      <c r="A3154" s="2" t="s">
        <v>8453</v>
      </c>
      <c r="B3154" s="2" t="s">
        <v>7007</v>
      </c>
      <c r="C3154" s="2" t="s">
        <v>8454</v>
      </c>
      <c r="D3154" s="2" t="s">
        <v>10055</v>
      </c>
      <c r="E3154" s="15">
        <v>-5.2400000000000002E-2</v>
      </c>
      <c r="F3154" s="15">
        <v>0.25829999999999997</v>
      </c>
      <c r="G3154" s="15">
        <v>0.83909999999999996</v>
      </c>
      <c r="H3154" s="15">
        <v>2.0299999999999999E-2</v>
      </c>
      <c r="I3154" s="15">
        <v>4.0500000000000001E-2</v>
      </c>
      <c r="J3154" s="15">
        <v>0.50123456790123455</v>
      </c>
    </row>
    <row r="3155" spans="1:10" x14ac:dyDescent="0.25">
      <c r="A3155" s="2" t="s">
        <v>8455</v>
      </c>
      <c r="B3155" s="2" t="s">
        <v>7007</v>
      </c>
      <c r="C3155" s="2" t="s">
        <v>8456</v>
      </c>
      <c r="D3155" s="2" t="s">
        <v>10055</v>
      </c>
      <c r="E3155" s="15">
        <v>0.1298</v>
      </c>
      <c r="F3155" s="15">
        <v>0.13250000000000001</v>
      </c>
      <c r="G3155" s="15">
        <v>0.32719999999999999</v>
      </c>
      <c r="H3155" s="15">
        <v>7.2999999999999995E-2</v>
      </c>
      <c r="I3155" s="15">
        <v>4.6300000000000001E-2</v>
      </c>
      <c r="J3155" s="15">
        <v>1.5766738660907129</v>
      </c>
    </row>
    <row r="3156" spans="1:10" x14ac:dyDescent="0.25">
      <c r="A3156" s="2" t="s">
        <v>8457</v>
      </c>
      <c r="B3156" s="2" t="s">
        <v>7007</v>
      </c>
      <c r="C3156" s="2" t="s">
        <v>8458</v>
      </c>
      <c r="D3156" s="2" t="s">
        <v>10055</v>
      </c>
      <c r="E3156" s="15">
        <v>-8.3599999999999994E-2</v>
      </c>
      <c r="F3156" s="15">
        <v>0.16980000000000001</v>
      </c>
      <c r="G3156" s="15">
        <v>0.62239999999999995</v>
      </c>
      <c r="H3156" s="15">
        <v>3.6700000000000003E-2</v>
      </c>
      <c r="I3156" s="15">
        <v>4.0800000000000003E-2</v>
      </c>
      <c r="J3156" s="15">
        <v>0.89950980392156865</v>
      </c>
    </row>
    <row r="3157" spans="1:10" x14ac:dyDescent="0.25">
      <c r="A3157" s="2" t="s">
        <v>8459</v>
      </c>
      <c r="B3157" s="2" t="s">
        <v>7007</v>
      </c>
      <c r="C3157" s="2" t="s">
        <v>8460</v>
      </c>
      <c r="D3157" s="2" t="s">
        <v>10055</v>
      </c>
      <c r="E3157" s="15">
        <v>-5.6300000000000003E-2</v>
      </c>
      <c r="F3157" s="15">
        <v>0.13930000000000001</v>
      </c>
      <c r="G3157" s="15">
        <v>0.68630000000000002</v>
      </c>
      <c r="H3157" s="15">
        <v>5.7299999999999997E-2</v>
      </c>
      <c r="I3157" s="15">
        <v>3.95E-2</v>
      </c>
      <c r="J3157" s="15">
        <v>1.450632911392405</v>
      </c>
    </row>
    <row r="3158" spans="1:10" x14ac:dyDescent="0.25">
      <c r="A3158" s="2" t="s">
        <v>8461</v>
      </c>
      <c r="B3158" s="2" t="s">
        <v>7007</v>
      </c>
      <c r="C3158" s="2" t="s">
        <v>8462</v>
      </c>
      <c r="D3158" s="2" t="s">
        <v>10055</v>
      </c>
      <c r="E3158" s="15">
        <v>4.5600000000000002E-2</v>
      </c>
      <c r="F3158" s="15">
        <v>0.1273</v>
      </c>
      <c r="G3158" s="15">
        <v>0.72030000000000005</v>
      </c>
      <c r="H3158" s="15">
        <v>6.0299999999999999E-2</v>
      </c>
      <c r="I3158" s="15">
        <v>4.1000000000000002E-2</v>
      </c>
      <c r="J3158" s="15">
        <v>1.4707317073170729</v>
      </c>
    </row>
    <row r="3159" spans="1:10" x14ac:dyDescent="0.25">
      <c r="A3159" s="2" t="s">
        <v>8463</v>
      </c>
      <c r="B3159" s="2" t="s">
        <v>7007</v>
      </c>
      <c r="C3159" s="2" t="s">
        <v>8464</v>
      </c>
      <c r="D3159" s="2" t="s">
        <v>10055</v>
      </c>
      <c r="E3159" s="15">
        <v>-2.7099999999999999E-2</v>
      </c>
      <c r="F3159" s="15">
        <v>0.1585</v>
      </c>
      <c r="G3159" s="15">
        <v>0.86419999999999997</v>
      </c>
      <c r="H3159" s="15">
        <v>6.2399999999999997E-2</v>
      </c>
      <c r="I3159" s="15">
        <v>4.2700000000000002E-2</v>
      </c>
      <c r="J3159" s="15">
        <v>1.4613583138173301</v>
      </c>
    </row>
    <row r="3160" spans="1:10" x14ac:dyDescent="0.25">
      <c r="A3160" s="2" t="s">
        <v>8465</v>
      </c>
      <c r="B3160" s="2" t="s">
        <v>7007</v>
      </c>
      <c r="C3160" s="2" t="s">
        <v>8466</v>
      </c>
      <c r="D3160" s="2" t="s">
        <v>10055</v>
      </c>
      <c r="E3160" s="15">
        <v>9.1499999999999998E-2</v>
      </c>
      <c r="F3160" s="15">
        <v>9.2499999999999999E-2</v>
      </c>
      <c r="G3160" s="15">
        <v>0.32219999999999999</v>
      </c>
      <c r="H3160" s="15">
        <v>0.11310000000000001</v>
      </c>
      <c r="I3160" s="15">
        <v>4.1799999999999997E-2</v>
      </c>
      <c r="J3160" s="15">
        <v>2.7057416267942589</v>
      </c>
    </row>
    <row r="3161" spans="1:10" x14ac:dyDescent="0.25">
      <c r="A3161" s="2" t="s">
        <v>8467</v>
      </c>
      <c r="B3161" s="2" t="s">
        <v>7007</v>
      </c>
      <c r="C3161" s="2" t="s">
        <v>8468</v>
      </c>
      <c r="D3161" s="2" t="s">
        <v>10055</v>
      </c>
      <c r="E3161" s="15">
        <v>-8.3599999999999994E-2</v>
      </c>
      <c r="F3161" s="15">
        <v>0.34549999999999997</v>
      </c>
      <c r="G3161" s="15">
        <v>0.80869999999999997</v>
      </c>
      <c r="H3161" s="15">
        <v>1.5299999999999999E-2</v>
      </c>
      <c r="I3161" s="15">
        <v>4.3200000000000002E-2</v>
      </c>
      <c r="J3161" s="15">
        <v>0.35416666666666657</v>
      </c>
    </row>
    <row r="3162" spans="1:10" x14ac:dyDescent="0.25">
      <c r="A3162" s="2" t="s">
        <v>8469</v>
      </c>
      <c r="B3162" s="2" t="s">
        <v>7007</v>
      </c>
      <c r="C3162" s="2" t="s">
        <v>8470</v>
      </c>
      <c r="D3162" s="2" t="s">
        <v>10055</v>
      </c>
      <c r="E3162" s="15">
        <v>3.04E-2</v>
      </c>
      <c r="F3162" s="15">
        <v>0.1123</v>
      </c>
      <c r="G3162" s="15">
        <v>0.78680000000000005</v>
      </c>
      <c r="H3162" s="15">
        <v>0.1066</v>
      </c>
      <c r="I3162" s="15">
        <v>4.36E-2</v>
      </c>
      <c r="J3162" s="15">
        <v>2.4449541284403669</v>
      </c>
    </row>
    <row r="3163" spans="1:10" x14ac:dyDescent="0.25">
      <c r="A3163" s="2" t="s">
        <v>8471</v>
      </c>
      <c r="B3163" s="2" t="s">
        <v>7007</v>
      </c>
      <c r="C3163" s="2" t="s">
        <v>8472</v>
      </c>
      <c r="D3163" s="2" t="s">
        <v>10055</v>
      </c>
      <c r="E3163" s="15"/>
      <c r="F3163" s="15"/>
      <c r="G3163" s="15"/>
      <c r="H3163" s="15"/>
      <c r="I3163" s="15"/>
      <c r="J3163" s="15"/>
    </row>
    <row r="3164" spans="1:10" x14ac:dyDescent="0.25">
      <c r="A3164" s="2" t="s">
        <v>8473</v>
      </c>
      <c r="B3164" s="2" t="s">
        <v>7007</v>
      </c>
      <c r="C3164" s="2" t="s">
        <v>8474</v>
      </c>
      <c r="D3164" s="2" t="s">
        <v>10055</v>
      </c>
      <c r="E3164" s="15">
        <v>-1.6E-2</v>
      </c>
      <c r="F3164" s="15">
        <v>0.19500000000000001</v>
      </c>
      <c r="G3164" s="15">
        <v>0.93469999999999998</v>
      </c>
      <c r="H3164" s="15">
        <v>3.3000000000000002E-2</v>
      </c>
      <c r="I3164" s="15">
        <v>4.6199999999999998E-2</v>
      </c>
      <c r="J3164" s="15">
        <v>0.7142857142857143</v>
      </c>
    </row>
    <row r="3165" spans="1:10" x14ac:dyDescent="0.25">
      <c r="A3165" s="2" t="s">
        <v>8475</v>
      </c>
      <c r="B3165" s="2" t="s">
        <v>7007</v>
      </c>
      <c r="C3165" s="2" t="s">
        <v>8476</v>
      </c>
      <c r="D3165" s="2" t="s">
        <v>10055</v>
      </c>
      <c r="E3165" s="15"/>
      <c r="F3165" s="15"/>
      <c r="G3165" s="15"/>
      <c r="H3165" s="15">
        <v>-5.2900000000000003E-2</v>
      </c>
      <c r="I3165" s="15">
        <v>4.2200000000000001E-2</v>
      </c>
      <c r="J3165" s="15">
        <v>-1.2535545023696679</v>
      </c>
    </row>
    <row r="3166" spans="1:10" x14ac:dyDescent="0.25">
      <c r="A3166" s="2" t="s">
        <v>8477</v>
      </c>
      <c r="B3166" s="2" t="s">
        <v>7007</v>
      </c>
      <c r="C3166" s="2" t="s">
        <v>8478</v>
      </c>
      <c r="D3166" s="2" t="s">
        <v>10055</v>
      </c>
      <c r="E3166" s="15">
        <v>-0.23719999999999999</v>
      </c>
      <c r="F3166" s="15">
        <v>0.1797</v>
      </c>
      <c r="G3166" s="15">
        <v>0.18690000000000001</v>
      </c>
      <c r="H3166" s="15">
        <v>4.8899999999999999E-2</v>
      </c>
      <c r="I3166" s="15">
        <v>3.7999999999999999E-2</v>
      </c>
      <c r="J3166" s="15">
        <v>1.286842105263158</v>
      </c>
    </row>
    <row r="3167" spans="1:10" x14ac:dyDescent="0.25">
      <c r="A3167" s="2" t="s">
        <v>8479</v>
      </c>
      <c r="B3167" s="2" t="s">
        <v>7007</v>
      </c>
      <c r="C3167" s="2" t="s">
        <v>8480</v>
      </c>
      <c r="D3167" s="2" t="s">
        <v>10055</v>
      </c>
      <c r="E3167" s="15">
        <v>0.214</v>
      </c>
      <c r="F3167" s="15">
        <v>0.26140000000000002</v>
      </c>
      <c r="G3167" s="15">
        <v>0.41310000000000002</v>
      </c>
      <c r="H3167" s="15">
        <v>3.09E-2</v>
      </c>
      <c r="I3167" s="15">
        <v>4.5199999999999997E-2</v>
      </c>
      <c r="J3167" s="15">
        <v>0.6836283185840708</v>
      </c>
    </row>
    <row r="3168" spans="1:10" x14ac:dyDescent="0.25">
      <c r="A3168" s="2" t="s">
        <v>8481</v>
      </c>
      <c r="B3168" s="2" t="s">
        <v>7007</v>
      </c>
      <c r="C3168" s="2" t="s">
        <v>8482</v>
      </c>
      <c r="D3168" s="2" t="s">
        <v>10055</v>
      </c>
      <c r="E3168" s="15">
        <v>0.18820000000000001</v>
      </c>
      <c r="F3168" s="15">
        <v>0.2331</v>
      </c>
      <c r="G3168" s="15">
        <v>0.4194</v>
      </c>
      <c r="H3168" s="15">
        <v>3.8199999999999998E-2</v>
      </c>
      <c r="I3168" s="15">
        <v>4.1500000000000002E-2</v>
      </c>
      <c r="J3168" s="15">
        <v>0.92048192771084325</v>
      </c>
    </row>
    <row r="3169" spans="1:10" x14ac:dyDescent="0.25">
      <c r="A3169" s="2" t="s">
        <v>8483</v>
      </c>
      <c r="B3169" s="2" t="s">
        <v>7007</v>
      </c>
      <c r="C3169" s="2" t="s">
        <v>8484</v>
      </c>
      <c r="D3169" s="2" t="s">
        <v>10055</v>
      </c>
      <c r="E3169" s="15">
        <v>4.7100000000000003E-2</v>
      </c>
      <c r="F3169" s="15">
        <v>0.1729</v>
      </c>
      <c r="G3169" s="15">
        <v>0.78520000000000001</v>
      </c>
      <c r="H3169" s="15">
        <v>4.36E-2</v>
      </c>
      <c r="I3169" s="15">
        <v>4.19E-2</v>
      </c>
      <c r="J3169" s="15">
        <v>1.040572792362769</v>
      </c>
    </row>
    <row r="3170" spans="1:10" x14ac:dyDescent="0.25">
      <c r="A3170" s="2" t="s">
        <v>8485</v>
      </c>
      <c r="B3170" s="2" t="s">
        <v>7007</v>
      </c>
      <c r="C3170" s="2" t="s">
        <v>8486</v>
      </c>
      <c r="D3170" s="2" t="s">
        <v>10055</v>
      </c>
      <c r="E3170" s="15">
        <v>-0.2631</v>
      </c>
      <c r="F3170" s="15">
        <v>0.1789</v>
      </c>
      <c r="G3170" s="15">
        <v>0.14130000000000001</v>
      </c>
      <c r="H3170" s="15">
        <v>5.11E-2</v>
      </c>
      <c r="I3170" s="15">
        <v>0.04</v>
      </c>
      <c r="J3170" s="15">
        <v>1.2775000000000001</v>
      </c>
    </row>
    <row r="3171" spans="1:10" x14ac:dyDescent="0.25">
      <c r="A3171" s="2" t="s">
        <v>8487</v>
      </c>
      <c r="B3171" s="2" t="s">
        <v>7007</v>
      </c>
      <c r="C3171" s="2" t="s">
        <v>8488</v>
      </c>
      <c r="D3171" s="2" t="s">
        <v>10055</v>
      </c>
      <c r="E3171" s="15">
        <v>-7.3700000000000002E-2</v>
      </c>
      <c r="F3171" s="15">
        <v>0.1857</v>
      </c>
      <c r="G3171" s="15">
        <v>0.69130000000000003</v>
      </c>
      <c r="H3171" s="15">
        <v>3.8300000000000001E-2</v>
      </c>
      <c r="I3171" s="15">
        <v>3.8899999999999997E-2</v>
      </c>
      <c r="J3171" s="15">
        <v>0.98457583547557848</v>
      </c>
    </row>
    <row r="3172" spans="1:10" x14ac:dyDescent="0.25">
      <c r="A3172" s="2" t="s">
        <v>8489</v>
      </c>
      <c r="B3172" s="2" t="s">
        <v>7007</v>
      </c>
      <c r="C3172" s="2" t="s">
        <v>8490</v>
      </c>
      <c r="D3172" s="2" t="s">
        <v>10055</v>
      </c>
      <c r="E3172" s="15">
        <v>-0.22520000000000001</v>
      </c>
      <c r="F3172" s="15">
        <v>0.16550000000000001</v>
      </c>
      <c r="G3172" s="15">
        <v>0.17369999999999999</v>
      </c>
      <c r="H3172" s="15">
        <v>5.5199999999999999E-2</v>
      </c>
      <c r="I3172" s="15">
        <v>4.0599999999999997E-2</v>
      </c>
      <c r="J3172" s="15">
        <v>1.3596059113300489</v>
      </c>
    </row>
    <row r="3173" spans="1:10" x14ac:dyDescent="0.25">
      <c r="A3173" s="2" t="s">
        <v>8491</v>
      </c>
      <c r="B3173" s="2" t="s">
        <v>7007</v>
      </c>
      <c r="C3173" s="2" t="s">
        <v>8492</v>
      </c>
      <c r="D3173" s="2" t="s">
        <v>10055</v>
      </c>
      <c r="E3173" s="15">
        <v>-8.48E-2</v>
      </c>
      <c r="F3173" s="15">
        <v>9.3299999999999994E-2</v>
      </c>
      <c r="G3173" s="15">
        <v>0.3634</v>
      </c>
      <c r="H3173" s="15">
        <v>0.1666</v>
      </c>
      <c r="I3173" s="15">
        <v>4.7600000000000003E-2</v>
      </c>
      <c r="J3173" s="15">
        <v>3.5</v>
      </c>
    </row>
    <row r="3174" spans="1:10" x14ac:dyDescent="0.25">
      <c r="A3174" s="2" t="s">
        <v>8493</v>
      </c>
      <c r="B3174" s="2" t="s">
        <v>7007</v>
      </c>
      <c r="C3174" s="2" t="s">
        <v>8494</v>
      </c>
      <c r="D3174" s="2" t="s">
        <v>10055</v>
      </c>
      <c r="E3174" s="15">
        <v>4.5400000000000003E-2</v>
      </c>
      <c r="F3174" s="15">
        <v>0.1181</v>
      </c>
      <c r="G3174" s="15">
        <v>0.7006</v>
      </c>
      <c r="H3174" s="15">
        <v>8.9700000000000002E-2</v>
      </c>
      <c r="I3174" s="15">
        <v>4.4699999999999997E-2</v>
      </c>
      <c r="J3174" s="15">
        <v>2.0067114093959728</v>
      </c>
    </row>
    <row r="3175" spans="1:10" x14ac:dyDescent="0.25">
      <c r="A3175" s="2" t="s">
        <v>8495</v>
      </c>
      <c r="B3175" s="2" t="s">
        <v>7007</v>
      </c>
      <c r="C3175" s="2" t="s">
        <v>8496</v>
      </c>
      <c r="D3175" s="2" t="s">
        <v>10055</v>
      </c>
      <c r="E3175" s="15"/>
      <c r="F3175" s="15"/>
      <c r="G3175" s="15"/>
      <c r="H3175" s="15">
        <v>-5.28E-2</v>
      </c>
      <c r="I3175" s="15">
        <v>4.2900000000000001E-2</v>
      </c>
      <c r="J3175" s="15">
        <v>-1.2307692307692311</v>
      </c>
    </row>
    <row r="3176" spans="1:10" x14ac:dyDescent="0.25">
      <c r="A3176" s="2" t="s">
        <v>8497</v>
      </c>
      <c r="B3176" s="2" t="s">
        <v>7007</v>
      </c>
      <c r="C3176" s="2" t="s">
        <v>8498</v>
      </c>
      <c r="D3176" s="2" t="s">
        <v>10055</v>
      </c>
      <c r="E3176" s="15">
        <v>-1.9699999999999999E-2</v>
      </c>
      <c r="F3176" s="15">
        <v>0.1084</v>
      </c>
      <c r="G3176" s="15">
        <v>0.85609999999999997</v>
      </c>
      <c r="H3176" s="15">
        <v>0.1137</v>
      </c>
      <c r="I3176" s="15">
        <v>4.82E-2</v>
      </c>
      <c r="J3176" s="15">
        <v>2.3589211618257262</v>
      </c>
    </row>
    <row r="3177" spans="1:10" x14ac:dyDescent="0.25">
      <c r="A3177" s="2" t="s">
        <v>8499</v>
      </c>
      <c r="B3177" s="2" t="s">
        <v>7007</v>
      </c>
      <c r="C3177" s="2" t="s">
        <v>8500</v>
      </c>
      <c r="D3177" s="2" t="s">
        <v>10055</v>
      </c>
      <c r="E3177" s="15">
        <v>8.2000000000000007E-3</v>
      </c>
      <c r="F3177" s="15">
        <v>0.20130000000000001</v>
      </c>
      <c r="G3177" s="15">
        <v>0.96750000000000003</v>
      </c>
      <c r="H3177" s="15">
        <v>2.9899999999999999E-2</v>
      </c>
      <c r="I3177" s="15">
        <v>4.1399999999999999E-2</v>
      </c>
      <c r="J3177" s="15">
        <v>0.72222222222222221</v>
      </c>
    </row>
    <row r="3178" spans="1:10" x14ac:dyDescent="0.25">
      <c r="A3178" s="2" t="s">
        <v>8501</v>
      </c>
      <c r="B3178" s="2" t="s">
        <v>7007</v>
      </c>
      <c r="C3178" s="2" t="s">
        <v>8502</v>
      </c>
      <c r="D3178" s="2" t="s">
        <v>10055</v>
      </c>
      <c r="E3178" s="15">
        <v>-7.7600000000000002E-2</v>
      </c>
      <c r="F3178" s="15">
        <v>0.22239999999999999</v>
      </c>
      <c r="G3178" s="15">
        <v>0.72719999999999996</v>
      </c>
      <c r="H3178" s="15">
        <v>2.6800000000000001E-2</v>
      </c>
      <c r="I3178" s="15">
        <v>4.1700000000000001E-2</v>
      </c>
      <c r="J3178" s="15">
        <v>0.64268585131894485</v>
      </c>
    </row>
    <row r="3179" spans="1:10" x14ac:dyDescent="0.25">
      <c r="A3179" s="2" t="s">
        <v>8503</v>
      </c>
      <c r="B3179" s="2" t="s">
        <v>7007</v>
      </c>
      <c r="C3179" s="2" t="s">
        <v>8504</v>
      </c>
      <c r="D3179" s="2" t="s">
        <v>10055</v>
      </c>
      <c r="E3179" s="15"/>
      <c r="F3179" s="15"/>
      <c r="G3179" s="15"/>
      <c r="H3179" s="15">
        <v>-8.9999999999999998E-4</v>
      </c>
      <c r="I3179" s="15">
        <v>3.8199999999999998E-2</v>
      </c>
      <c r="J3179" s="15">
        <v>-2.356020942408377E-2</v>
      </c>
    </row>
    <row r="3180" spans="1:10" x14ac:dyDescent="0.25">
      <c r="A3180" s="2" t="s">
        <v>8505</v>
      </c>
      <c r="B3180" s="2" t="s">
        <v>7007</v>
      </c>
      <c r="C3180" s="2" t="s">
        <v>8506</v>
      </c>
      <c r="D3180" s="2" t="s">
        <v>10055</v>
      </c>
      <c r="E3180" s="15">
        <v>1.34E-2</v>
      </c>
      <c r="F3180" s="15">
        <v>0.14699999999999999</v>
      </c>
      <c r="G3180" s="15">
        <v>0.92730000000000001</v>
      </c>
      <c r="H3180" s="15">
        <v>4.6899999999999997E-2</v>
      </c>
      <c r="I3180" s="15">
        <v>4.2599999999999999E-2</v>
      </c>
      <c r="J3180" s="15">
        <v>1.10093896713615</v>
      </c>
    </row>
    <row r="3181" spans="1:10" x14ac:dyDescent="0.25">
      <c r="A3181" s="2" t="s">
        <v>8507</v>
      </c>
      <c r="B3181" s="2" t="s">
        <v>7007</v>
      </c>
      <c r="C3181" s="2" t="s">
        <v>8508</v>
      </c>
      <c r="D3181" s="2" t="s">
        <v>10055</v>
      </c>
      <c r="E3181" s="15">
        <v>0.17710000000000001</v>
      </c>
      <c r="F3181" s="15">
        <v>0.1283</v>
      </c>
      <c r="G3181" s="15">
        <v>0.16719999999999999</v>
      </c>
      <c r="H3181" s="15">
        <v>8.6199999999999999E-2</v>
      </c>
      <c r="I3181" s="15">
        <v>4.4999999999999998E-2</v>
      </c>
      <c r="J3181" s="15">
        <v>1.9155555555555559</v>
      </c>
    </row>
    <row r="3182" spans="1:10" x14ac:dyDescent="0.25">
      <c r="A3182" s="2" t="s">
        <v>8509</v>
      </c>
      <c r="B3182" s="2" t="s">
        <v>7007</v>
      </c>
      <c r="C3182" s="2" t="s">
        <v>8510</v>
      </c>
      <c r="D3182" s="2" t="s">
        <v>10055</v>
      </c>
      <c r="E3182" s="15">
        <v>-9.1499999999999998E-2</v>
      </c>
      <c r="F3182" s="15">
        <v>8.9099999999999999E-2</v>
      </c>
      <c r="G3182" s="15">
        <v>0.3044</v>
      </c>
      <c r="H3182" s="15">
        <v>0.16259999999999999</v>
      </c>
      <c r="I3182" s="15">
        <v>4.4600000000000001E-2</v>
      </c>
      <c r="J3182" s="15">
        <v>3.645739910313901</v>
      </c>
    </row>
    <row r="3183" spans="1:10" x14ac:dyDescent="0.25">
      <c r="A3183" s="2" t="s">
        <v>8511</v>
      </c>
      <c r="B3183" s="2" t="s">
        <v>7007</v>
      </c>
      <c r="C3183" s="2" t="s">
        <v>8512</v>
      </c>
      <c r="D3183" s="2" t="s">
        <v>10055</v>
      </c>
      <c r="E3183" s="15">
        <v>-1.9400000000000001E-2</v>
      </c>
      <c r="F3183" s="15">
        <v>9.4200000000000006E-2</v>
      </c>
      <c r="G3183" s="15">
        <v>0.83720000000000006</v>
      </c>
      <c r="H3183" s="15">
        <v>0.13439999999999999</v>
      </c>
      <c r="I3183" s="15">
        <v>4.3099999999999999E-2</v>
      </c>
      <c r="J3183" s="15">
        <v>3.118329466357308</v>
      </c>
    </row>
    <row r="3184" spans="1:10" x14ac:dyDescent="0.25">
      <c r="A3184" s="2" t="s">
        <v>8513</v>
      </c>
      <c r="B3184" s="2" t="s">
        <v>7007</v>
      </c>
      <c r="C3184" s="2" t="s">
        <v>8514</v>
      </c>
      <c r="D3184" s="2" t="s">
        <v>10055</v>
      </c>
      <c r="E3184" s="15">
        <v>-0.23880000000000001</v>
      </c>
      <c r="F3184" s="15">
        <v>0.12809999999999999</v>
      </c>
      <c r="G3184" s="15">
        <v>6.2300000000000001E-2</v>
      </c>
      <c r="H3184" s="15">
        <v>8.7300000000000003E-2</v>
      </c>
      <c r="I3184" s="15">
        <v>3.9899999999999998E-2</v>
      </c>
      <c r="J3184" s="15">
        <v>2.1879699248120299</v>
      </c>
    </row>
    <row r="3185" spans="1:10" x14ac:dyDescent="0.25">
      <c r="A3185" s="2" t="s">
        <v>8515</v>
      </c>
      <c r="B3185" s="2" t="s">
        <v>7007</v>
      </c>
      <c r="C3185" s="2" t="s">
        <v>8516</v>
      </c>
      <c r="D3185" s="2" t="s">
        <v>10055</v>
      </c>
      <c r="E3185" s="15"/>
      <c r="F3185" s="15"/>
      <c r="G3185" s="15"/>
      <c r="H3185" s="15">
        <v>-2.18E-2</v>
      </c>
      <c r="I3185" s="15">
        <v>4.0599999999999997E-2</v>
      </c>
      <c r="J3185" s="15">
        <v>-0.53694581280788178</v>
      </c>
    </row>
    <row r="3186" spans="1:10" x14ac:dyDescent="0.25">
      <c r="A3186" s="2" t="s">
        <v>8517</v>
      </c>
      <c r="B3186" s="2" t="s">
        <v>7007</v>
      </c>
      <c r="C3186" s="2" t="s">
        <v>8518</v>
      </c>
      <c r="D3186" s="2" t="s">
        <v>10055</v>
      </c>
      <c r="E3186" s="15">
        <v>-1.5800000000000002E-2</v>
      </c>
      <c r="F3186" s="15">
        <v>0.104</v>
      </c>
      <c r="G3186" s="15">
        <v>0.879</v>
      </c>
      <c r="H3186" s="15">
        <v>0.14710000000000001</v>
      </c>
      <c r="I3186" s="15">
        <v>3.9600000000000003E-2</v>
      </c>
      <c r="J3186" s="15">
        <v>3.714646464646465</v>
      </c>
    </row>
    <row r="3187" spans="1:10" x14ac:dyDescent="0.25">
      <c r="A3187" s="2" t="s">
        <v>8519</v>
      </c>
      <c r="B3187" s="2" t="s">
        <v>7007</v>
      </c>
      <c r="C3187" s="2" t="s">
        <v>8520</v>
      </c>
      <c r="D3187" s="2" t="s">
        <v>10055</v>
      </c>
      <c r="E3187" s="15"/>
      <c r="F3187" s="15"/>
      <c r="G3187" s="15"/>
      <c r="H3187" s="15">
        <v>-1.7100000000000001E-2</v>
      </c>
      <c r="I3187" s="15">
        <v>3.9199999999999999E-2</v>
      </c>
      <c r="J3187" s="15">
        <v>-0.43622448979591838</v>
      </c>
    </row>
    <row r="3188" spans="1:10" x14ac:dyDescent="0.25">
      <c r="A3188" s="2" t="s">
        <v>8521</v>
      </c>
      <c r="B3188" s="2" t="s">
        <v>7007</v>
      </c>
      <c r="C3188" s="2" t="s">
        <v>8522</v>
      </c>
      <c r="D3188" s="2" t="s">
        <v>10055</v>
      </c>
      <c r="E3188" s="15"/>
      <c r="F3188" s="15"/>
      <c r="G3188" s="15"/>
      <c r="H3188" s="15"/>
      <c r="I3188" s="15"/>
      <c r="J3188" s="15"/>
    </row>
    <row r="3189" spans="1:10" x14ac:dyDescent="0.25">
      <c r="A3189" s="2" t="s">
        <v>8523</v>
      </c>
      <c r="B3189" s="2" t="s">
        <v>7007</v>
      </c>
      <c r="C3189" s="2" t="s">
        <v>8524</v>
      </c>
      <c r="D3189" s="2" t="s">
        <v>10055</v>
      </c>
      <c r="E3189" s="15">
        <v>1.6799999999999999E-2</v>
      </c>
      <c r="F3189" s="15">
        <v>0.13500000000000001</v>
      </c>
      <c r="G3189" s="15">
        <v>0.90100000000000002</v>
      </c>
      <c r="H3189" s="15">
        <v>7.2499999999999995E-2</v>
      </c>
      <c r="I3189" s="15">
        <v>4.2799999999999998E-2</v>
      </c>
      <c r="J3189" s="15">
        <v>1.69392523364486</v>
      </c>
    </row>
    <row r="3190" spans="1:10" x14ac:dyDescent="0.25">
      <c r="A3190" s="2" t="s">
        <v>8525</v>
      </c>
      <c r="B3190" s="2" t="s">
        <v>7007</v>
      </c>
      <c r="C3190" s="2" t="s">
        <v>8526</v>
      </c>
      <c r="D3190" s="2" t="s">
        <v>10055</v>
      </c>
      <c r="E3190" s="15">
        <v>-7.0599999999999996E-2</v>
      </c>
      <c r="F3190" s="15">
        <v>0.1074</v>
      </c>
      <c r="G3190" s="15">
        <v>0.51090000000000002</v>
      </c>
      <c r="H3190" s="15">
        <v>9.4E-2</v>
      </c>
      <c r="I3190" s="15">
        <v>4.2900000000000001E-2</v>
      </c>
      <c r="J3190" s="15">
        <v>2.1911421911421911</v>
      </c>
    </row>
    <row r="3191" spans="1:10" x14ac:dyDescent="0.25">
      <c r="A3191" s="2" t="s">
        <v>8527</v>
      </c>
      <c r="B3191" s="2" t="s">
        <v>7007</v>
      </c>
      <c r="C3191" s="2" t="s">
        <v>8528</v>
      </c>
      <c r="D3191" s="2" t="s">
        <v>10055</v>
      </c>
      <c r="E3191" s="15">
        <v>0.1179</v>
      </c>
      <c r="F3191" s="15">
        <v>0.1933</v>
      </c>
      <c r="G3191" s="15">
        <v>0.54190000000000005</v>
      </c>
      <c r="H3191" s="15">
        <v>4.5100000000000001E-2</v>
      </c>
      <c r="I3191" s="15">
        <v>4.8599999999999997E-2</v>
      </c>
      <c r="J3191" s="15">
        <v>0.92798353909465026</v>
      </c>
    </row>
    <row r="3192" spans="1:10" x14ac:dyDescent="0.25">
      <c r="A3192" s="2" t="s">
        <v>8529</v>
      </c>
      <c r="B3192" s="2" t="s">
        <v>7007</v>
      </c>
      <c r="C3192" s="2" t="s">
        <v>8530</v>
      </c>
      <c r="D3192" s="2" t="s">
        <v>10055</v>
      </c>
      <c r="E3192" s="15">
        <v>1.95E-2</v>
      </c>
      <c r="F3192" s="15">
        <v>8.1500000000000003E-2</v>
      </c>
      <c r="G3192" s="15">
        <v>0.81130000000000002</v>
      </c>
      <c r="H3192" s="15">
        <v>0.15129999999999999</v>
      </c>
      <c r="I3192" s="15">
        <v>4.87E-2</v>
      </c>
      <c r="J3192" s="15">
        <v>3.106776180698152</v>
      </c>
    </row>
    <row r="3193" spans="1:10" x14ac:dyDescent="0.25">
      <c r="A3193" s="2" t="s">
        <v>8531</v>
      </c>
      <c r="B3193" s="2" t="s">
        <v>7007</v>
      </c>
      <c r="C3193" s="2" t="s">
        <v>8532</v>
      </c>
      <c r="D3193" s="2" t="s">
        <v>10055</v>
      </c>
      <c r="E3193" s="15">
        <v>-2.69E-2</v>
      </c>
      <c r="F3193" s="15">
        <v>0.1439</v>
      </c>
      <c r="G3193" s="15">
        <v>0.85189999999999999</v>
      </c>
      <c r="H3193" s="15">
        <v>5.8500000000000003E-2</v>
      </c>
      <c r="I3193" s="15">
        <v>3.6200000000000003E-2</v>
      </c>
      <c r="J3193" s="15">
        <v>1.6160220994475141</v>
      </c>
    </row>
    <row r="3194" spans="1:10" x14ac:dyDescent="0.25">
      <c r="A3194" s="2" t="s">
        <v>8533</v>
      </c>
      <c r="B3194" s="2" t="s">
        <v>7007</v>
      </c>
      <c r="C3194" s="2" t="s">
        <v>8534</v>
      </c>
      <c r="D3194" s="2" t="s">
        <v>10055</v>
      </c>
      <c r="E3194" s="15"/>
      <c r="F3194" s="15"/>
      <c r="G3194" s="15"/>
      <c r="H3194" s="15">
        <v>-9.4999999999999998E-3</v>
      </c>
      <c r="I3194" s="15">
        <v>4.2000000000000003E-2</v>
      </c>
      <c r="J3194" s="15">
        <v>-0.22619047619047619</v>
      </c>
    </row>
    <row r="3195" spans="1:10" x14ac:dyDescent="0.25">
      <c r="A3195" s="2" t="s">
        <v>8535</v>
      </c>
      <c r="B3195" s="2" t="s">
        <v>7007</v>
      </c>
      <c r="C3195" s="2" t="s">
        <v>8536</v>
      </c>
      <c r="D3195" s="2" t="s">
        <v>10055</v>
      </c>
      <c r="E3195" s="15">
        <v>5.0500000000000003E-2</v>
      </c>
      <c r="F3195" s="15">
        <v>0.16120000000000001</v>
      </c>
      <c r="G3195" s="15">
        <v>0.754</v>
      </c>
      <c r="H3195" s="15">
        <v>5.1299999999999998E-2</v>
      </c>
      <c r="I3195" s="15">
        <v>4.87E-2</v>
      </c>
      <c r="J3195" s="15">
        <v>1.053388090349076</v>
      </c>
    </row>
    <row r="3196" spans="1:10" x14ac:dyDescent="0.25">
      <c r="A3196" s="2" t="s">
        <v>8537</v>
      </c>
      <c r="B3196" s="2" t="s">
        <v>7007</v>
      </c>
      <c r="C3196" s="2" t="s">
        <v>8538</v>
      </c>
      <c r="D3196" s="2" t="s">
        <v>10055</v>
      </c>
      <c r="E3196" s="15">
        <v>-8.3400000000000002E-2</v>
      </c>
      <c r="F3196" s="15">
        <v>0.1108</v>
      </c>
      <c r="G3196" s="15">
        <v>0.45119999999999999</v>
      </c>
      <c r="H3196" s="15">
        <v>0.1186</v>
      </c>
      <c r="I3196" s="15">
        <v>4.5600000000000002E-2</v>
      </c>
      <c r="J3196" s="15">
        <v>2.6008771929824559</v>
      </c>
    </row>
    <row r="3197" spans="1:10" x14ac:dyDescent="0.25">
      <c r="A3197" s="2" t="s">
        <v>8539</v>
      </c>
      <c r="B3197" s="2" t="s">
        <v>7007</v>
      </c>
      <c r="C3197" s="2" t="s">
        <v>8540</v>
      </c>
      <c r="D3197" s="2" t="s">
        <v>10055</v>
      </c>
      <c r="E3197" s="15">
        <v>-0.14130000000000001</v>
      </c>
      <c r="F3197" s="15">
        <v>0.24779999999999999</v>
      </c>
      <c r="G3197" s="15">
        <v>0.56859999999999999</v>
      </c>
      <c r="H3197" s="15">
        <v>2.5000000000000001E-2</v>
      </c>
      <c r="I3197" s="15">
        <v>4.2299999999999997E-2</v>
      </c>
      <c r="J3197" s="15">
        <v>0.59101654846335705</v>
      </c>
    </row>
    <row r="3198" spans="1:10" x14ac:dyDescent="0.25">
      <c r="A3198" s="2" t="s">
        <v>8541</v>
      </c>
      <c r="B3198" s="2" t="s">
        <v>7007</v>
      </c>
      <c r="C3198" s="2" t="s">
        <v>8542</v>
      </c>
      <c r="D3198" s="2" t="s">
        <v>10055</v>
      </c>
      <c r="E3198" s="15">
        <v>2.4E-2</v>
      </c>
      <c r="F3198" s="15">
        <v>0.11119999999999999</v>
      </c>
      <c r="G3198" s="15">
        <v>0.82930000000000004</v>
      </c>
      <c r="H3198" s="15">
        <v>8.3599999999999994E-2</v>
      </c>
      <c r="I3198" s="15">
        <v>4.53E-2</v>
      </c>
      <c r="J3198" s="15">
        <v>1.8454746136865341</v>
      </c>
    </row>
    <row r="3199" spans="1:10" x14ac:dyDescent="0.25">
      <c r="A3199" s="2" t="s">
        <v>8543</v>
      </c>
      <c r="B3199" s="2" t="s">
        <v>7007</v>
      </c>
      <c r="C3199" s="2" t="s">
        <v>8544</v>
      </c>
      <c r="D3199" s="2" t="s">
        <v>10055</v>
      </c>
      <c r="E3199" s="15"/>
      <c r="F3199" s="15"/>
      <c r="G3199" s="15"/>
      <c r="H3199" s="15"/>
      <c r="I3199" s="15"/>
      <c r="J3199" s="15"/>
    </row>
    <row r="3200" spans="1:10" x14ac:dyDescent="0.25">
      <c r="A3200" s="2" t="s">
        <v>8545</v>
      </c>
      <c r="B3200" s="2" t="s">
        <v>7007</v>
      </c>
      <c r="C3200" s="2" t="s">
        <v>8546</v>
      </c>
      <c r="D3200" s="2" t="s">
        <v>10055</v>
      </c>
      <c r="E3200" s="15">
        <v>-0.20250000000000001</v>
      </c>
      <c r="F3200" s="15">
        <v>0.15709999999999999</v>
      </c>
      <c r="G3200" s="15">
        <v>0.1973</v>
      </c>
      <c r="H3200" s="15">
        <v>6.4500000000000002E-2</v>
      </c>
      <c r="I3200" s="15">
        <v>4.1099999999999998E-2</v>
      </c>
      <c r="J3200" s="15">
        <v>1.5693430656934311</v>
      </c>
    </row>
    <row r="3201" spans="1:10" x14ac:dyDescent="0.25">
      <c r="A3201" s="2" t="s">
        <v>8547</v>
      </c>
      <c r="B3201" s="2" t="s">
        <v>7007</v>
      </c>
      <c r="C3201" s="2" t="s">
        <v>8548</v>
      </c>
      <c r="D3201" s="2" t="s">
        <v>10055</v>
      </c>
      <c r="E3201" s="15">
        <v>-0.15920000000000001</v>
      </c>
      <c r="F3201" s="15">
        <v>0.21260000000000001</v>
      </c>
      <c r="G3201" s="15">
        <v>0.4541</v>
      </c>
      <c r="H3201" s="15">
        <v>2.9100000000000001E-2</v>
      </c>
      <c r="I3201" s="15">
        <v>4.1500000000000002E-2</v>
      </c>
      <c r="J3201" s="15">
        <v>0.70120481927710843</v>
      </c>
    </row>
    <row r="3202" spans="1:10" x14ac:dyDescent="0.25">
      <c r="A3202" s="2" t="s">
        <v>8549</v>
      </c>
      <c r="B3202" s="2" t="s">
        <v>7007</v>
      </c>
      <c r="C3202" s="2" t="s">
        <v>8550</v>
      </c>
      <c r="D3202" s="2" t="s">
        <v>10055</v>
      </c>
      <c r="E3202" s="15">
        <v>1.3599999999999999E-2</v>
      </c>
      <c r="F3202" s="15">
        <v>0.20180000000000001</v>
      </c>
      <c r="G3202" s="15">
        <v>0.94610000000000005</v>
      </c>
      <c r="H3202" s="15">
        <v>3.1199999999999999E-2</v>
      </c>
      <c r="I3202" s="15">
        <v>4.99E-2</v>
      </c>
      <c r="J3202" s="15">
        <v>0.62525050100200397</v>
      </c>
    </row>
    <row r="3203" spans="1:10" x14ac:dyDescent="0.25">
      <c r="A3203" s="2" t="s">
        <v>8551</v>
      </c>
      <c r="B3203" s="2" t="s">
        <v>7007</v>
      </c>
      <c r="C3203" s="2" t="s">
        <v>8552</v>
      </c>
      <c r="D3203" s="2" t="s">
        <v>10055</v>
      </c>
      <c r="E3203" s="15">
        <v>-0.41849999999999998</v>
      </c>
      <c r="F3203" s="15">
        <v>0.42449999999999999</v>
      </c>
      <c r="G3203" s="15">
        <v>0.32419999999999999</v>
      </c>
      <c r="H3203" s="15">
        <v>2.5899999999999999E-2</v>
      </c>
      <c r="I3203" s="15">
        <v>4.2799999999999998E-2</v>
      </c>
      <c r="J3203" s="15">
        <v>0.60514018691588789</v>
      </c>
    </row>
    <row r="3204" spans="1:10" x14ac:dyDescent="0.25">
      <c r="A3204" s="2" t="s">
        <v>8553</v>
      </c>
      <c r="B3204" s="2" t="s">
        <v>7007</v>
      </c>
      <c r="C3204" s="2" t="s">
        <v>8554</v>
      </c>
      <c r="D3204" s="2" t="s">
        <v>10055</v>
      </c>
      <c r="E3204" s="15">
        <v>-0.37719999999999998</v>
      </c>
      <c r="F3204" s="15">
        <v>0.29480000000000001</v>
      </c>
      <c r="G3204" s="15">
        <v>0.20069999999999999</v>
      </c>
      <c r="H3204" s="15">
        <v>3.2000000000000001E-2</v>
      </c>
      <c r="I3204" s="15">
        <v>4.02E-2</v>
      </c>
      <c r="J3204" s="15">
        <v>0.79601990049751248</v>
      </c>
    </row>
    <row r="3205" spans="1:10" x14ac:dyDescent="0.25">
      <c r="A3205" s="2" t="s">
        <v>8555</v>
      </c>
      <c r="B3205" s="2" t="s">
        <v>7007</v>
      </c>
      <c r="C3205" s="2" t="s">
        <v>8556</v>
      </c>
      <c r="D3205" s="2" t="s">
        <v>10055</v>
      </c>
      <c r="E3205" s="15">
        <v>0.3992</v>
      </c>
      <c r="F3205" s="15">
        <v>0.26369999999999999</v>
      </c>
      <c r="G3205" s="15">
        <v>0.13009999999999999</v>
      </c>
      <c r="H3205" s="15">
        <v>3.8899999999999997E-2</v>
      </c>
      <c r="I3205" s="15">
        <v>4.1200000000000001E-2</v>
      </c>
      <c r="J3205" s="15">
        <v>0.94417475728155331</v>
      </c>
    </row>
    <row r="3206" spans="1:10" x14ac:dyDescent="0.25">
      <c r="A3206" s="2" t="s">
        <v>8557</v>
      </c>
      <c r="B3206" s="2" t="s">
        <v>7007</v>
      </c>
      <c r="C3206" s="2" t="s">
        <v>8558</v>
      </c>
      <c r="D3206" s="2" t="s">
        <v>10055</v>
      </c>
      <c r="E3206" s="15"/>
      <c r="F3206" s="15"/>
      <c r="G3206" s="15"/>
      <c r="H3206" s="15">
        <v>-2.0999999999999999E-3</v>
      </c>
      <c r="I3206" s="15">
        <v>3.9600000000000003E-2</v>
      </c>
      <c r="J3206" s="15">
        <v>-5.3030303030303018E-2</v>
      </c>
    </row>
    <row r="3207" spans="1:10" x14ac:dyDescent="0.25">
      <c r="A3207" s="2" t="s">
        <v>8559</v>
      </c>
      <c r="B3207" s="2" t="s">
        <v>7007</v>
      </c>
      <c r="C3207" s="2" t="s">
        <v>8560</v>
      </c>
      <c r="D3207" s="2" t="s">
        <v>10055</v>
      </c>
      <c r="E3207" s="15">
        <v>0.24709999999999999</v>
      </c>
      <c r="F3207" s="15">
        <v>0.17499999999999999</v>
      </c>
      <c r="G3207" s="15">
        <v>0.15790000000000001</v>
      </c>
      <c r="H3207" s="15">
        <v>5.5800000000000002E-2</v>
      </c>
      <c r="I3207" s="15">
        <v>4.2099999999999999E-2</v>
      </c>
      <c r="J3207" s="15">
        <v>1.3254156769596199</v>
      </c>
    </row>
    <row r="3208" spans="1:10" x14ac:dyDescent="0.25">
      <c r="A3208" s="2" t="s">
        <v>8561</v>
      </c>
      <c r="B3208" s="2" t="s">
        <v>7007</v>
      </c>
      <c r="C3208" s="2" t="s">
        <v>8562</v>
      </c>
      <c r="D3208" s="2" t="s">
        <v>10055</v>
      </c>
      <c r="E3208" s="15">
        <v>-7.22E-2</v>
      </c>
      <c r="F3208" s="15">
        <v>0.12379999999999999</v>
      </c>
      <c r="G3208" s="15">
        <v>0.55940000000000001</v>
      </c>
      <c r="H3208" s="15">
        <v>9.1399999999999995E-2</v>
      </c>
      <c r="I3208" s="15">
        <v>4.4499999999999998E-2</v>
      </c>
      <c r="J3208" s="15">
        <v>2.053932584269663</v>
      </c>
    </row>
    <row r="3209" spans="1:10" x14ac:dyDescent="0.25">
      <c r="A3209" s="2" t="s">
        <v>8563</v>
      </c>
      <c r="B3209" s="2" t="s">
        <v>7007</v>
      </c>
      <c r="C3209" s="2" t="s">
        <v>8564</v>
      </c>
      <c r="D3209" s="2" t="s">
        <v>10055</v>
      </c>
      <c r="E3209" s="15">
        <v>0.18</v>
      </c>
      <c r="F3209" s="15">
        <v>0.44950000000000001</v>
      </c>
      <c r="G3209" s="15">
        <v>0.68879999999999997</v>
      </c>
      <c r="H3209" s="15">
        <v>1.2999999999999999E-2</v>
      </c>
      <c r="I3209" s="15">
        <v>3.7699999999999997E-2</v>
      </c>
      <c r="J3209" s="15">
        <v>0.34482758620689657</v>
      </c>
    </row>
    <row r="3210" spans="1:10" x14ac:dyDescent="0.25">
      <c r="A3210" s="2" t="s">
        <v>8565</v>
      </c>
      <c r="B3210" s="2" t="s">
        <v>7007</v>
      </c>
      <c r="C3210" s="2" t="s">
        <v>8566</v>
      </c>
      <c r="D3210" s="2" t="s">
        <v>10055</v>
      </c>
      <c r="E3210" s="15">
        <v>0.1079</v>
      </c>
      <c r="F3210" s="15">
        <v>0.1376</v>
      </c>
      <c r="G3210" s="15">
        <v>0.43290000000000001</v>
      </c>
      <c r="H3210" s="15">
        <v>0.105</v>
      </c>
      <c r="I3210" s="15">
        <v>7.4300000000000005E-2</v>
      </c>
      <c r="J3210" s="15">
        <v>1.4131897711978469</v>
      </c>
    </row>
    <row r="3211" spans="1:10" x14ac:dyDescent="0.25">
      <c r="A3211" s="2" t="s">
        <v>8567</v>
      </c>
      <c r="B3211" s="2" t="s">
        <v>7007</v>
      </c>
      <c r="C3211" s="2" t="s">
        <v>8568</v>
      </c>
      <c r="D3211" s="2" t="s">
        <v>10055</v>
      </c>
      <c r="E3211" s="15">
        <v>-3.4700000000000002E-2</v>
      </c>
      <c r="F3211" s="15">
        <v>0.25290000000000001</v>
      </c>
      <c r="G3211" s="15">
        <v>0.89080000000000004</v>
      </c>
      <c r="H3211" s="15">
        <v>1.9699999999999999E-2</v>
      </c>
      <c r="I3211" s="15">
        <v>4.0099999999999997E-2</v>
      </c>
      <c r="J3211" s="15">
        <v>0.49127182044887779</v>
      </c>
    </row>
    <row r="3212" spans="1:10" x14ac:dyDescent="0.25">
      <c r="A3212" s="2" t="s">
        <v>8569</v>
      </c>
      <c r="B3212" s="2" t="s">
        <v>7007</v>
      </c>
      <c r="C3212" s="2" t="s">
        <v>8570</v>
      </c>
      <c r="D3212" s="2" t="s">
        <v>10055</v>
      </c>
      <c r="E3212" s="15">
        <v>-6.5000000000000002E-2</v>
      </c>
      <c r="F3212" s="15">
        <v>0.187</v>
      </c>
      <c r="G3212" s="15">
        <v>0.72819999999999996</v>
      </c>
      <c r="H3212" s="15">
        <v>3.7199999999999997E-2</v>
      </c>
      <c r="I3212" s="15">
        <v>4.24E-2</v>
      </c>
      <c r="J3212" s="15">
        <v>0.87735849056603765</v>
      </c>
    </row>
    <row r="3213" spans="1:10" x14ac:dyDescent="0.25">
      <c r="A3213" s="2" t="s">
        <v>8571</v>
      </c>
      <c r="B3213" s="2" t="s">
        <v>7007</v>
      </c>
      <c r="C3213" s="2" t="s">
        <v>8572</v>
      </c>
      <c r="D3213" s="2" t="s">
        <v>10055</v>
      </c>
      <c r="E3213" s="15">
        <v>4.3499999999999997E-2</v>
      </c>
      <c r="F3213" s="15">
        <v>0.12039999999999999</v>
      </c>
      <c r="G3213" s="15">
        <v>0.71779999999999999</v>
      </c>
      <c r="H3213" s="15">
        <v>9.1899999999999996E-2</v>
      </c>
      <c r="I3213" s="15">
        <v>3.9800000000000002E-2</v>
      </c>
      <c r="J3213" s="15">
        <v>2.3090452261306531</v>
      </c>
    </row>
    <row r="3214" spans="1:10" x14ac:dyDescent="0.25">
      <c r="A3214" s="2" t="s">
        <v>8573</v>
      </c>
      <c r="B3214" s="2" t="s">
        <v>7007</v>
      </c>
      <c r="C3214" s="2" t="s">
        <v>8574</v>
      </c>
      <c r="D3214" s="2" t="s">
        <v>10055</v>
      </c>
      <c r="E3214" s="15"/>
      <c r="F3214" s="15"/>
      <c r="G3214" s="15"/>
      <c r="H3214" s="15"/>
      <c r="I3214" s="15"/>
      <c r="J3214" s="15"/>
    </row>
    <row r="3215" spans="1:10" x14ac:dyDescent="0.25">
      <c r="A3215" s="2" t="s">
        <v>8575</v>
      </c>
      <c r="B3215" s="2" t="s">
        <v>7007</v>
      </c>
      <c r="C3215" s="2" t="s">
        <v>8576</v>
      </c>
      <c r="D3215" s="2" t="s">
        <v>10055</v>
      </c>
      <c r="E3215" s="15">
        <v>-3.44E-2</v>
      </c>
      <c r="F3215" s="15">
        <v>0.13600000000000001</v>
      </c>
      <c r="G3215" s="15">
        <v>0.80020000000000002</v>
      </c>
      <c r="H3215" s="15">
        <v>6.59E-2</v>
      </c>
      <c r="I3215" s="15">
        <v>4.1399999999999999E-2</v>
      </c>
      <c r="J3215" s="15">
        <v>1.591787439613527</v>
      </c>
    </row>
    <row r="3216" spans="1:10" x14ac:dyDescent="0.25">
      <c r="A3216" s="2" t="s">
        <v>8577</v>
      </c>
      <c r="B3216" s="2" t="s">
        <v>7007</v>
      </c>
      <c r="C3216" s="2" t="s">
        <v>8578</v>
      </c>
      <c r="D3216" s="2" t="s">
        <v>10055</v>
      </c>
      <c r="E3216" s="15">
        <v>3.7900000000000003E-2</v>
      </c>
      <c r="F3216" s="15">
        <v>0.12839999999999999</v>
      </c>
      <c r="G3216" s="15">
        <v>0.76819999999999999</v>
      </c>
      <c r="H3216" s="15">
        <v>7.2900000000000006E-2</v>
      </c>
      <c r="I3216" s="15">
        <v>4.2599999999999999E-2</v>
      </c>
      <c r="J3216" s="15">
        <v>1.711267605633803</v>
      </c>
    </row>
    <row r="3217" spans="1:10" x14ac:dyDescent="0.25">
      <c r="A3217" s="2" t="s">
        <v>8579</v>
      </c>
      <c r="B3217" s="2" t="s">
        <v>7007</v>
      </c>
      <c r="C3217" s="2" t="s">
        <v>8580</v>
      </c>
      <c r="D3217" s="2" t="s">
        <v>10055</v>
      </c>
      <c r="E3217" s="15"/>
      <c r="F3217" s="15"/>
      <c r="G3217" s="15"/>
      <c r="H3217" s="15">
        <v>-3.5700000000000003E-2</v>
      </c>
      <c r="I3217" s="15">
        <v>4.3999999999999997E-2</v>
      </c>
      <c r="J3217" s="15">
        <v>-0.81136363636363651</v>
      </c>
    </row>
    <row r="3218" spans="1:10" x14ac:dyDescent="0.25">
      <c r="A3218" s="2" t="s">
        <v>8581</v>
      </c>
      <c r="B3218" s="2" t="s">
        <v>7007</v>
      </c>
      <c r="C3218" s="2" t="s">
        <v>8582</v>
      </c>
      <c r="D3218" s="2" t="s">
        <v>10055</v>
      </c>
      <c r="E3218" s="15">
        <v>-4.9700000000000001E-2</v>
      </c>
      <c r="F3218" s="15">
        <v>0.1273</v>
      </c>
      <c r="G3218" s="15">
        <v>0.69620000000000004</v>
      </c>
      <c r="H3218" s="15">
        <v>7.6399999999999996E-2</v>
      </c>
      <c r="I3218" s="15">
        <v>4.7300000000000002E-2</v>
      </c>
      <c r="J3218" s="15">
        <v>1.61522198731501</v>
      </c>
    </row>
    <row r="3219" spans="1:10" x14ac:dyDescent="0.25">
      <c r="A3219" s="2" t="s">
        <v>8583</v>
      </c>
      <c r="B3219" s="2" t="s">
        <v>7007</v>
      </c>
      <c r="C3219" s="2" t="s">
        <v>8584</v>
      </c>
      <c r="D3219" s="2" t="s">
        <v>10055</v>
      </c>
      <c r="E3219" s="15">
        <v>2.3599999999999999E-2</v>
      </c>
      <c r="F3219" s="15">
        <v>0.17699999999999999</v>
      </c>
      <c r="G3219" s="15">
        <v>0.89390000000000003</v>
      </c>
      <c r="H3219" s="15">
        <v>3.9899999999999998E-2</v>
      </c>
      <c r="I3219" s="15">
        <v>3.7199999999999997E-2</v>
      </c>
      <c r="J3219" s="15">
        <v>1.07258064516129</v>
      </c>
    </row>
    <row r="3220" spans="1:10" x14ac:dyDescent="0.25">
      <c r="A3220" s="2" t="s">
        <v>8585</v>
      </c>
      <c r="B3220" s="2" t="s">
        <v>7007</v>
      </c>
      <c r="C3220" s="2" t="s">
        <v>8586</v>
      </c>
      <c r="D3220" s="2" t="s">
        <v>10055</v>
      </c>
      <c r="E3220" s="15">
        <v>5.8099999999999999E-2</v>
      </c>
      <c r="F3220" s="15">
        <v>0.17879999999999999</v>
      </c>
      <c r="G3220" s="15">
        <v>0.74539999999999995</v>
      </c>
      <c r="H3220" s="15">
        <v>3.6700000000000003E-2</v>
      </c>
      <c r="I3220" s="15">
        <v>4.9599999999999998E-2</v>
      </c>
      <c r="J3220" s="15">
        <v>0.73991935483870974</v>
      </c>
    </row>
    <row r="3221" spans="1:10" x14ac:dyDescent="0.25">
      <c r="A3221" s="2" t="s">
        <v>8587</v>
      </c>
      <c r="B3221" s="2" t="s">
        <v>7007</v>
      </c>
      <c r="C3221" s="2" t="s">
        <v>8588</v>
      </c>
      <c r="D3221" s="2" t="s">
        <v>10055</v>
      </c>
      <c r="E3221" s="15">
        <v>0.17249999999999999</v>
      </c>
      <c r="F3221" s="15">
        <v>0.3569</v>
      </c>
      <c r="G3221" s="15">
        <v>0.62880000000000003</v>
      </c>
      <c r="H3221" s="15">
        <v>1.84E-2</v>
      </c>
      <c r="I3221" s="15">
        <v>4.2299999999999997E-2</v>
      </c>
      <c r="J3221" s="15">
        <v>0.43498817966903081</v>
      </c>
    </row>
    <row r="3222" spans="1:10" x14ac:dyDescent="0.25">
      <c r="A3222" s="2" t="s">
        <v>8589</v>
      </c>
      <c r="B3222" s="2" t="s">
        <v>7007</v>
      </c>
      <c r="C3222" s="2" t="s">
        <v>8590</v>
      </c>
      <c r="D3222" s="2" t="s">
        <v>10055</v>
      </c>
      <c r="E3222" s="15">
        <v>-7.3000000000000001E-3</v>
      </c>
      <c r="F3222" s="15">
        <v>0.12540000000000001</v>
      </c>
      <c r="G3222" s="15">
        <v>0.95350000000000001</v>
      </c>
      <c r="H3222" s="15">
        <v>8.3000000000000004E-2</v>
      </c>
      <c r="I3222" s="15">
        <v>4.4200000000000003E-2</v>
      </c>
      <c r="J3222" s="15">
        <v>1.877828054298643</v>
      </c>
    </row>
    <row r="3223" spans="1:10" x14ac:dyDescent="0.25">
      <c r="A3223" s="2" t="s">
        <v>8591</v>
      </c>
      <c r="B3223" s="2" t="s">
        <v>7007</v>
      </c>
      <c r="C3223" s="2" t="s">
        <v>8592</v>
      </c>
      <c r="D3223" s="2" t="s">
        <v>10055</v>
      </c>
      <c r="E3223" s="15"/>
      <c r="F3223" s="15"/>
      <c r="G3223" s="15"/>
      <c r="H3223" s="15">
        <v>-8.5000000000000006E-3</v>
      </c>
      <c r="I3223" s="15">
        <v>3.8399999999999997E-2</v>
      </c>
      <c r="J3223" s="15">
        <v>-0.22135416666666671</v>
      </c>
    </row>
    <row r="3224" spans="1:10" x14ac:dyDescent="0.25">
      <c r="A3224" s="2" t="s">
        <v>8593</v>
      </c>
      <c r="B3224" s="2" t="s">
        <v>7007</v>
      </c>
      <c r="C3224" s="2" t="s">
        <v>8594</v>
      </c>
      <c r="D3224" s="2" t="s">
        <v>10055</v>
      </c>
      <c r="E3224" s="15"/>
      <c r="F3224" s="15"/>
      <c r="G3224" s="15"/>
      <c r="H3224" s="15">
        <v>-7.0900000000000005E-2</v>
      </c>
      <c r="I3224" s="15">
        <v>3.9100000000000003E-2</v>
      </c>
      <c r="J3224" s="15">
        <v>-1.8132992327365729</v>
      </c>
    </row>
    <row r="3225" spans="1:10" x14ac:dyDescent="0.25">
      <c r="A3225" s="2" t="s">
        <v>8595</v>
      </c>
      <c r="B3225" s="2" t="s">
        <v>7007</v>
      </c>
      <c r="C3225" s="2" t="s">
        <v>8596</v>
      </c>
      <c r="D3225" s="2" t="s">
        <v>10055</v>
      </c>
      <c r="E3225" s="15">
        <v>8.5800000000000001E-2</v>
      </c>
      <c r="F3225" s="15">
        <v>0.23949999999999999</v>
      </c>
      <c r="G3225" s="15">
        <v>0.72</v>
      </c>
      <c r="H3225" s="15">
        <v>2.1899999999999999E-2</v>
      </c>
      <c r="I3225" s="15">
        <v>4.1399999999999999E-2</v>
      </c>
      <c r="J3225" s="15">
        <v>0.52898550724637683</v>
      </c>
    </row>
    <row r="3226" spans="1:10" x14ac:dyDescent="0.25">
      <c r="A3226" s="2" t="s">
        <v>8597</v>
      </c>
      <c r="B3226" s="2" t="s">
        <v>7007</v>
      </c>
      <c r="C3226" s="2" t="s">
        <v>8598</v>
      </c>
      <c r="D3226" s="2" t="s">
        <v>10055</v>
      </c>
      <c r="E3226" s="15"/>
      <c r="F3226" s="15"/>
      <c r="G3226" s="15"/>
      <c r="H3226" s="15">
        <v>-2.8199999999999999E-2</v>
      </c>
      <c r="I3226" s="15">
        <v>4.3700000000000003E-2</v>
      </c>
      <c r="J3226" s="15">
        <v>-0.64530892448512578</v>
      </c>
    </row>
    <row r="3227" spans="1:10" x14ac:dyDescent="0.25">
      <c r="A3227" s="2" t="s">
        <v>8599</v>
      </c>
      <c r="B3227" s="2" t="s">
        <v>7007</v>
      </c>
      <c r="C3227" s="2" t="s">
        <v>8600</v>
      </c>
      <c r="D3227" s="2" t="s">
        <v>10055</v>
      </c>
      <c r="E3227" s="15">
        <v>-9.7100000000000006E-2</v>
      </c>
      <c r="F3227" s="15">
        <v>0.1258</v>
      </c>
      <c r="G3227" s="15">
        <v>0.43990000000000001</v>
      </c>
      <c r="H3227" s="15">
        <v>8.5000000000000006E-2</v>
      </c>
      <c r="I3227" s="15">
        <v>4.2200000000000001E-2</v>
      </c>
      <c r="J3227" s="15">
        <v>2.014218009478673</v>
      </c>
    </row>
    <row r="3228" spans="1:10" x14ac:dyDescent="0.25">
      <c r="A3228" s="2" t="s">
        <v>8601</v>
      </c>
      <c r="B3228" s="2" t="s">
        <v>7007</v>
      </c>
      <c r="C3228" s="2" t="s">
        <v>8602</v>
      </c>
      <c r="D3228" s="2" t="s">
        <v>10055</v>
      </c>
      <c r="E3228" s="15">
        <v>-5.6099999999999997E-2</v>
      </c>
      <c r="F3228" s="15">
        <v>0.15429999999999999</v>
      </c>
      <c r="G3228" s="15">
        <v>0.71609999999999996</v>
      </c>
      <c r="H3228" s="15">
        <v>5.4600000000000003E-2</v>
      </c>
      <c r="I3228" s="15">
        <v>3.9899999999999998E-2</v>
      </c>
      <c r="J3228" s="15">
        <v>1.368421052631579</v>
      </c>
    </row>
    <row r="3229" spans="1:10" x14ac:dyDescent="0.25">
      <c r="A3229" s="2" t="s">
        <v>8603</v>
      </c>
      <c r="B3229" s="2" t="s">
        <v>7007</v>
      </c>
      <c r="C3229" s="2" t="s">
        <v>8604</v>
      </c>
      <c r="D3229" s="2" t="s">
        <v>10055</v>
      </c>
      <c r="E3229" s="15">
        <v>8.14E-2</v>
      </c>
      <c r="F3229" s="15">
        <v>0.12640000000000001</v>
      </c>
      <c r="G3229" s="15">
        <v>0.51970000000000005</v>
      </c>
      <c r="H3229" s="15">
        <v>8.2400000000000001E-2</v>
      </c>
      <c r="I3229" s="15">
        <v>4.1500000000000002E-2</v>
      </c>
      <c r="J3229" s="15">
        <v>1.985542168674699</v>
      </c>
    </row>
    <row r="3230" spans="1:10" x14ac:dyDescent="0.25">
      <c r="A3230" s="2" t="s">
        <v>8605</v>
      </c>
      <c r="B3230" s="2" t="s">
        <v>7007</v>
      </c>
      <c r="C3230" s="2" t="s">
        <v>8606</v>
      </c>
      <c r="D3230" s="2" t="s">
        <v>10055</v>
      </c>
      <c r="E3230" s="15">
        <v>0.222</v>
      </c>
      <c r="F3230" s="15">
        <v>0.16059999999999999</v>
      </c>
      <c r="G3230" s="15">
        <v>0.16689999999999999</v>
      </c>
      <c r="H3230" s="15">
        <v>6.3100000000000003E-2</v>
      </c>
      <c r="I3230" s="15">
        <v>3.9E-2</v>
      </c>
      <c r="J3230" s="15">
        <v>1.617948717948718</v>
      </c>
    </row>
    <row r="3231" spans="1:10" x14ac:dyDescent="0.25">
      <c r="A3231" s="2" t="s">
        <v>8607</v>
      </c>
      <c r="B3231" s="2" t="s">
        <v>7007</v>
      </c>
      <c r="C3231" s="2" t="s">
        <v>8608</v>
      </c>
      <c r="D3231" s="2" t="s">
        <v>10055</v>
      </c>
      <c r="E3231" s="15">
        <v>-0.1066</v>
      </c>
      <c r="F3231" s="15">
        <v>0.17299999999999999</v>
      </c>
      <c r="G3231" s="15">
        <v>0.53769999999999996</v>
      </c>
      <c r="H3231" s="15">
        <v>4.5400000000000003E-2</v>
      </c>
      <c r="I3231" s="15">
        <v>4.4200000000000003E-2</v>
      </c>
      <c r="J3231" s="15">
        <v>1.027149321266968</v>
      </c>
    </row>
    <row r="3232" spans="1:10" x14ac:dyDescent="0.25">
      <c r="A3232" s="2" t="s">
        <v>8609</v>
      </c>
      <c r="B3232" s="2" t="s">
        <v>7007</v>
      </c>
      <c r="C3232" s="2" t="s">
        <v>8610</v>
      </c>
      <c r="D3232" s="2" t="s">
        <v>10055</v>
      </c>
      <c r="E3232" s="15"/>
      <c r="F3232" s="15"/>
      <c r="G3232" s="15"/>
      <c r="H3232" s="15"/>
      <c r="I3232" s="15"/>
      <c r="J3232" s="15"/>
    </row>
    <row r="3233" spans="1:10" x14ac:dyDescent="0.25">
      <c r="A3233" s="2" t="s">
        <v>8611</v>
      </c>
      <c r="B3233" s="2" t="s">
        <v>7007</v>
      </c>
      <c r="C3233" s="2" t="s">
        <v>8612</v>
      </c>
      <c r="D3233" s="2" t="s">
        <v>10055</v>
      </c>
      <c r="E3233" s="15"/>
      <c r="F3233" s="15"/>
      <c r="G3233" s="15"/>
      <c r="H3233" s="15">
        <v>-2.8E-3</v>
      </c>
      <c r="I3233" s="15">
        <v>4.0099999999999997E-2</v>
      </c>
      <c r="J3233" s="15">
        <v>-6.9825436408977565E-2</v>
      </c>
    </row>
    <row r="3234" spans="1:10" x14ac:dyDescent="0.25">
      <c r="A3234" s="2" t="s">
        <v>8613</v>
      </c>
      <c r="B3234" s="2" t="s">
        <v>7007</v>
      </c>
      <c r="C3234" s="2" t="s">
        <v>8614</v>
      </c>
      <c r="D3234" s="2" t="s">
        <v>10055</v>
      </c>
      <c r="E3234" s="15">
        <v>9.7000000000000003E-3</v>
      </c>
      <c r="F3234" s="15">
        <v>0.17799999999999999</v>
      </c>
      <c r="G3234" s="15">
        <v>0.95650000000000002</v>
      </c>
      <c r="H3234" s="15">
        <v>3.1600000000000003E-2</v>
      </c>
      <c r="I3234" s="15">
        <v>4.2999999999999997E-2</v>
      </c>
      <c r="J3234" s="15">
        <v>0.73488372093023269</v>
      </c>
    </row>
    <row r="3235" spans="1:10" x14ac:dyDescent="0.25">
      <c r="A3235" s="2" t="s">
        <v>8615</v>
      </c>
      <c r="B3235" s="2" t="s">
        <v>7007</v>
      </c>
      <c r="C3235" s="2" t="s">
        <v>8616</v>
      </c>
      <c r="D3235" s="2" t="s">
        <v>10055</v>
      </c>
      <c r="E3235" s="15">
        <v>-8.6999999999999994E-3</v>
      </c>
      <c r="F3235" s="15">
        <v>0.1129</v>
      </c>
      <c r="G3235" s="15">
        <v>0.9385</v>
      </c>
      <c r="H3235" s="15">
        <v>9.1700000000000004E-2</v>
      </c>
      <c r="I3235" s="15">
        <v>4.7399999999999998E-2</v>
      </c>
      <c r="J3235" s="15">
        <v>1.9345991561181439</v>
      </c>
    </row>
    <row r="3236" spans="1:10" x14ac:dyDescent="0.25">
      <c r="A3236" s="2" t="s">
        <v>8617</v>
      </c>
      <c r="B3236" s="2" t="s">
        <v>7007</v>
      </c>
      <c r="C3236" s="2" t="s">
        <v>8618</v>
      </c>
      <c r="D3236" s="2" t="s">
        <v>10055</v>
      </c>
      <c r="E3236" s="15"/>
      <c r="F3236" s="15"/>
      <c r="G3236" s="15"/>
      <c r="H3236" s="15">
        <v>-4.07E-2</v>
      </c>
      <c r="I3236" s="15">
        <v>3.8199999999999998E-2</v>
      </c>
      <c r="J3236" s="15">
        <v>-1.0654450261780111</v>
      </c>
    </row>
    <row r="3237" spans="1:10" x14ac:dyDescent="0.25">
      <c r="A3237" s="2" t="s">
        <v>8619</v>
      </c>
      <c r="B3237" s="2" t="s">
        <v>7007</v>
      </c>
      <c r="C3237" s="2" t="s">
        <v>8620</v>
      </c>
      <c r="D3237" s="2" t="s">
        <v>10055</v>
      </c>
      <c r="E3237" s="15">
        <v>7.22E-2</v>
      </c>
      <c r="F3237" s="15">
        <v>0.15870000000000001</v>
      </c>
      <c r="G3237" s="15">
        <v>0.64900000000000002</v>
      </c>
      <c r="H3237" s="15">
        <v>4.7899999999999998E-2</v>
      </c>
      <c r="I3237" s="15">
        <v>4.4600000000000001E-2</v>
      </c>
      <c r="J3237" s="15">
        <v>1.073991031390134</v>
      </c>
    </row>
    <row r="3238" spans="1:10" x14ac:dyDescent="0.25">
      <c r="A3238" s="2" t="s">
        <v>8621</v>
      </c>
      <c r="B3238" s="2" t="s">
        <v>7007</v>
      </c>
      <c r="C3238" s="2" t="s">
        <v>8622</v>
      </c>
      <c r="D3238" s="2" t="s">
        <v>10055</v>
      </c>
      <c r="E3238" s="15">
        <v>-0.41249999999999998</v>
      </c>
      <c r="F3238" s="15">
        <v>0.37430000000000002</v>
      </c>
      <c r="G3238" s="15">
        <v>0.27050000000000002</v>
      </c>
      <c r="H3238" s="15">
        <v>2.9899999999999999E-2</v>
      </c>
      <c r="I3238" s="15">
        <v>4.2599999999999999E-2</v>
      </c>
      <c r="J3238" s="15">
        <v>0.7018779342723005</v>
      </c>
    </row>
    <row r="3239" spans="1:10" x14ac:dyDescent="0.25">
      <c r="A3239" s="2" t="s">
        <v>8623</v>
      </c>
      <c r="B3239" s="2" t="s">
        <v>7007</v>
      </c>
      <c r="C3239" s="2" t="s">
        <v>8624</v>
      </c>
      <c r="D3239" s="2" t="s">
        <v>10055</v>
      </c>
      <c r="E3239" s="15">
        <v>7.3499999999999996E-2</v>
      </c>
      <c r="F3239" s="15">
        <v>0.1066</v>
      </c>
      <c r="G3239" s="15">
        <v>0.49070000000000003</v>
      </c>
      <c r="H3239" s="15">
        <v>0.1138</v>
      </c>
      <c r="I3239" s="15">
        <v>4.6899999999999997E-2</v>
      </c>
      <c r="J3239" s="15">
        <v>2.4264392324093822</v>
      </c>
    </row>
    <row r="3240" spans="1:10" x14ac:dyDescent="0.25">
      <c r="A3240" s="2" t="s">
        <v>8625</v>
      </c>
      <c r="B3240" s="2" t="s">
        <v>7007</v>
      </c>
      <c r="C3240" s="2" t="s">
        <v>8626</v>
      </c>
      <c r="D3240" s="2" t="s">
        <v>10055</v>
      </c>
      <c r="E3240" s="15">
        <v>7.3300000000000004E-2</v>
      </c>
      <c r="F3240" s="15">
        <v>0.18540000000000001</v>
      </c>
      <c r="G3240" s="15">
        <v>0.6925</v>
      </c>
      <c r="H3240" s="15">
        <v>3.8800000000000001E-2</v>
      </c>
      <c r="I3240" s="15">
        <v>4.2500000000000003E-2</v>
      </c>
      <c r="J3240" s="15">
        <v>0.91294117647058814</v>
      </c>
    </row>
    <row r="3241" spans="1:10" x14ac:dyDescent="0.25">
      <c r="A3241" s="2" t="s">
        <v>8627</v>
      </c>
      <c r="B3241" s="2" t="s">
        <v>7007</v>
      </c>
      <c r="C3241" s="2" t="s">
        <v>8628</v>
      </c>
      <c r="D3241" s="2" t="s">
        <v>10055</v>
      </c>
      <c r="E3241" s="15">
        <v>0.1273</v>
      </c>
      <c r="F3241" s="15">
        <v>0.17430000000000001</v>
      </c>
      <c r="G3241" s="15">
        <v>0.46510000000000001</v>
      </c>
      <c r="H3241" s="15">
        <v>4.6300000000000001E-2</v>
      </c>
      <c r="I3241" s="15">
        <v>4.5100000000000001E-2</v>
      </c>
      <c r="J3241" s="15">
        <v>1.026607538802661</v>
      </c>
    </row>
    <row r="3242" spans="1:10" x14ac:dyDescent="0.25">
      <c r="A3242" s="2" t="s">
        <v>8629</v>
      </c>
      <c r="B3242" s="2" t="s">
        <v>7007</v>
      </c>
      <c r="C3242" s="2" t="s">
        <v>8630</v>
      </c>
      <c r="D3242" s="2" t="s">
        <v>10055</v>
      </c>
      <c r="E3242" s="15">
        <v>8.0500000000000002E-2</v>
      </c>
      <c r="F3242" s="15">
        <v>0.2039</v>
      </c>
      <c r="G3242" s="15">
        <v>0.69299999999999995</v>
      </c>
      <c r="H3242" s="15">
        <v>3.6299999999999999E-2</v>
      </c>
      <c r="I3242" s="15">
        <v>4.4400000000000002E-2</v>
      </c>
      <c r="J3242" s="15">
        <v>0.81756756756756754</v>
      </c>
    </row>
    <row r="3243" spans="1:10" x14ac:dyDescent="0.25">
      <c r="A3243" s="2" t="s">
        <v>8631</v>
      </c>
      <c r="B3243" s="2" t="s">
        <v>7007</v>
      </c>
      <c r="C3243" s="2" t="s">
        <v>8632</v>
      </c>
      <c r="D3243" s="2" t="s">
        <v>10055</v>
      </c>
      <c r="E3243" s="15"/>
      <c r="F3243" s="15"/>
      <c r="G3243" s="15"/>
      <c r="H3243" s="15">
        <v>-3.2599999999999997E-2</v>
      </c>
      <c r="I3243" s="15">
        <v>4.1500000000000002E-2</v>
      </c>
      <c r="J3243" s="15">
        <v>-0.78554216867469873</v>
      </c>
    </row>
    <row r="3244" spans="1:10" x14ac:dyDescent="0.25">
      <c r="A3244" s="2" t="s">
        <v>8633</v>
      </c>
      <c r="B3244" s="2" t="s">
        <v>7007</v>
      </c>
      <c r="C3244" s="2" t="s">
        <v>8634</v>
      </c>
      <c r="D3244" s="2" t="s">
        <v>10055</v>
      </c>
      <c r="E3244" s="15">
        <v>8.8999999999999999E-3</v>
      </c>
      <c r="F3244" s="15">
        <v>9.9400000000000002E-2</v>
      </c>
      <c r="G3244" s="15">
        <v>0.9284</v>
      </c>
      <c r="H3244" s="15">
        <v>0.12989999999999999</v>
      </c>
      <c r="I3244" s="15">
        <v>4.6399999999999997E-2</v>
      </c>
      <c r="J3244" s="15">
        <v>2.7995689655172411</v>
      </c>
    </row>
    <row r="3245" spans="1:10" x14ac:dyDescent="0.25">
      <c r="A3245" s="2" t="s">
        <v>8635</v>
      </c>
      <c r="B3245" s="2" t="s">
        <v>7007</v>
      </c>
      <c r="C3245" s="2" t="s">
        <v>8636</v>
      </c>
      <c r="D3245" s="2" t="s">
        <v>10055</v>
      </c>
      <c r="E3245" s="15">
        <v>-8.3099999999999993E-2</v>
      </c>
      <c r="F3245" s="15">
        <v>0.23899999999999999</v>
      </c>
      <c r="G3245" s="15">
        <v>0.72799999999999998</v>
      </c>
      <c r="H3245" s="15">
        <v>2.41E-2</v>
      </c>
      <c r="I3245" s="15">
        <v>4.1799999999999997E-2</v>
      </c>
      <c r="J3245" s="15">
        <v>0.57655502392344504</v>
      </c>
    </row>
    <row r="3246" spans="1:10" x14ac:dyDescent="0.25">
      <c r="A3246" s="2" t="s">
        <v>8637</v>
      </c>
      <c r="B3246" s="2" t="s">
        <v>7007</v>
      </c>
      <c r="C3246" s="2" t="s">
        <v>8638</v>
      </c>
      <c r="D3246" s="2" t="s">
        <v>10055</v>
      </c>
      <c r="E3246" s="15">
        <v>0.22070000000000001</v>
      </c>
      <c r="F3246" s="15">
        <v>0.19889999999999999</v>
      </c>
      <c r="G3246" s="15">
        <v>0.26719999999999999</v>
      </c>
      <c r="H3246" s="15">
        <v>4.7399999999999998E-2</v>
      </c>
      <c r="I3246" s="15">
        <v>3.8800000000000001E-2</v>
      </c>
      <c r="J3246" s="15">
        <v>1.2216494845360819</v>
      </c>
    </row>
    <row r="3247" spans="1:10" x14ac:dyDescent="0.25">
      <c r="A3247" s="2" t="s">
        <v>8639</v>
      </c>
      <c r="B3247" s="2" t="s">
        <v>7007</v>
      </c>
      <c r="C3247" s="2" t="s">
        <v>8640</v>
      </c>
      <c r="D3247" s="2" t="s">
        <v>10055</v>
      </c>
      <c r="E3247" s="15">
        <v>-2.1700000000000001E-2</v>
      </c>
      <c r="F3247" s="15">
        <v>0.11070000000000001</v>
      </c>
      <c r="G3247" s="15">
        <v>0.84489999999999998</v>
      </c>
      <c r="H3247" s="15">
        <v>9.01E-2</v>
      </c>
      <c r="I3247" s="15">
        <v>4.24E-2</v>
      </c>
      <c r="J3247" s="15">
        <v>2.125</v>
      </c>
    </row>
    <row r="3248" spans="1:10" x14ac:dyDescent="0.25">
      <c r="A3248" s="2" t="s">
        <v>8641</v>
      </c>
      <c r="B3248" s="2" t="s">
        <v>7007</v>
      </c>
      <c r="C3248" s="2" t="s">
        <v>8642</v>
      </c>
      <c r="D3248" s="2" t="s">
        <v>10055</v>
      </c>
      <c r="E3248" s="15">
        <v>-0.38650000000000001</v>
      </c>
      <c r="F3248" s="15">
        <v>0.45660000000000001</v>
      </c>
      <c r="G3248" s="15">
        <v>0.39729999999999999</v>
      </c>
      <c r="H3248" s="15">
        <v>2.0299999999999999E-2</v>
      </c>
      <c r="I3248" s="15">
        <v>3.8699999999999998E-2</v>
      </c>
      <c r="J3248" s="15">
        <v>0.52454780361757103</v>
      </c>
    </row>
    <row r="3249" spans="1:10" x14ac:dyDescent="0.25">
      <c r="A3249" s="2" t="s">
        <v>8643</v>
      </c>
      <c r="B3249" s="2" t="s">
        <v>7007</v>
      </c>
      <c r="C3249" s="2" t="s">
        <v>8644</v>
      </c>
      <c r="D3249" s="2" t="s">
        <v>10055</v>
      </c>
      <c r="E3249" s="15">
        <v>-0.1852</v>
      </c>
      <c r="F3249" s="15">
        <v>0.16639999999999999</v>
      </c>
      <c r="G3249" s="15">
        <v>0.26579999999999998</v>
      </c>
      <c r="H3249" s="15">
        <v>5.8400000000000001E-2</v>
      </c>
      <c r="I3249" s="15">
        <v>4.4600000000000001E-2</v>
      </c>
      <c r="J3249" s="15">
        <v>1.309417040358744</v>
      </c>
    </row>
    <row r="3250" spans="1:10" x14ac:dyDescent="0.25">
      <c r="A3250" s="2" t="s">
        <v>8645</v>
      </c>
      <c r="B3250" s="2" t="s">
        <v>7007</v>
      </c>
      <c r="C3250" s="2" t="s">
        <v>8646</v>
      </c>
      <c r="D3250" s="2" t="s">
        <v>10055</v>
      </c>
      <c r="E3250" s="15"/>
      <c r="F3250" s="15"/>
      <c r="G3250" s="15"/>
      <c r="H3250" s="15">
        <v>-1.6899999999999998E-2</v>
      </c>
      <c r="I3250" s="15">
        <v>4.3700000000000003E-2</v>
      </c>
      <c r="J3250" s="15">
        <v>-0.38672768878718528</v>
      </c>
    </row>
    <row r="3251" spans="1:10" x14ac:dyDescent="0.25">
      <c r="A3251" s="2" t="s">
        <v>8647</v>
      </c>
      <c r="B3251" s="2" t="s">
        <v>7007</v>
      </c>
      <c r="C3251" s="2" t="s">
        <v>8648</v>
      </c>
      <c r="D3251" s="2" t="s">
        <v>10055</v>
      </c>
      <c r="E3251" s="15"/>
      <c r="F3251" s="15"/>
      <c r="G3251" s="15"/>
      <c r="H3251" s="15">
        <v>-8.3000000000000001E-3</v>
      </c>
      <c r="I3251" s="15">
        <v>4.1399999999999999E-2</v>
      </c>
      <c r="J3251" s="15">
        <v>-0.20048309178743959</v>
      </c>
    </row>
    <row r="3252" spans="1:10" x14ac:dyDescent="0.25">
      <c r="A3252" s="2" t="s">
        <v>8649</v>
      </c>
      <c r="B3252" s="2" t="s">
        <v>7007</v>
      </c>
      <c r="C3252" s="2" t="s">
        <v>8650</v>
      </c>
      <c r="D3252" s="2" t="s">
        <v>10055</v>
      </c>
      <c r="E3252" s="15"/>
      <c r="F3252" s="15"/>
      <c r="G3252" s="15"/>
      <c r="H3252" s="15"/>
      <c r="I3252" s="15"/>
      <c r="J3252" s="15"/>
    </row>
    <row r="3253" spans="1:10" x14ac:dyDescent="0.25">
      <c r="A3253" s="2" t="s">
        <v>8651</v>
      </c>
      <c r="B3253" s="2" t="s">
        <v>7007</v>
      </c>
      <c r="C3253" s="2" t="s">
        <v>8652</v>
      </c>
      <c r="D3253" s="2" t="s">
        <v>10055</v>
      </c>
      <c r="E3253" s="15"/>
      <c r="F3253" s="15"/>
      <c r="G3253" s="15"/>
      <c r="H3253" s="15">
        <v>-2.8199999999999999E-2</v>
      </c>
      <c r="I3253" s="15">
        <v>4.0599999999999997E-2</v>
      </c>
      <c r="J3253" s="15">
        <v>-0.69458128078817738</v>
      </c>
    </row>
    <row r="3254" spans="1:10" x14ac:dyDescent="0.25">
      <c r="A3254" s="2" t="s">
        <v>8653</v>
      </c>
      <c r="B3254" s="2" t="s">
        <v>7007</v>
      </c>
      <c r="C3254" s="2" t="s">
        <v>8654</v>
      </c>
      <c r="D3254" s="2" t="s">
        <v>10055</v>
      </c>
      <c r="E3254" s="15">
        <v>0.25140000000000001</v>
      </c>
      <c r="F3254" s="15">
        <v>0.43</v>
      </c>
      <c r="G3254" s="15">
        <v>0.55869999999999997</v>
      </c>
      <c r="H3254" s="15">
        <v>2.0500000000000001E-2</v>
      </c>
      <c r="I3254" s="15">
        <v>4.0800000000000003E-2</v>
      </c>
      <c r="J3254" s="15">
        <v>0.50245098039215685</v>
      </c>
    </row>
    <row r="3255" spans="1:10" x14ac:dyDescent="0.25">
      <c r="A3255" s="2" t="s">
        <v>8655</v>
      </c>
      <c r="B3255" s="2" t="s">
        <v>7007</v>
      </c>
      <c r="C3255" s="2" t="s">
        <v>8656</v>
      </c>
      <c r="D3255" s="2" t="s">
        <v>10055</v>
      </c>
      <c r="E3255" s="15">
        <v>6.7400000000000002E-2</v>
      </c>
      <c r="F3255" s="15">
        <v>0.1135</v>
      </c>
      <c r="G3255" s="15">
        <v>0.55279999999999996</v>
      </c>
      <c r="H3255" s="15">
        <v>8.0199999999999994E-2</v>
      </c>
      <c r="I3255" s="15">
        <v>4.2299999999999997E-2</v>
      </c>
      <c r="J3255" s="15">
        <v>1.895981087470449</v>
      </c>
    </row>
    <row r="3256" spans="1:10" x14ac:dyDescent="0.25">
      <c r="A3256" s="2" t="s">
        <v>8657</v>
      </c>
      <c r="B3256" s="2" t="s">
        <v>7007</v>
      </c>
      <c r="C3256" s="2" t="s">
        <v>8658</v>
      </c>
      <c r="D3256" s="2" t="s">
        <v>10055</v>
      </c>
      <c r="E3256" s="15">
        <v>0.40229999999999999</v>
      </c>
      <c r="F3256" s="15">
        <v>0.97240000000000004</v>
      </c>
      <c r="G3256" s="15">
        <v>0.67910000000000004</v>
      </c>
      <c r="H3256" s="15">
        <v>1.5299999999999999E-2</v>
      </c>
      <c r="I3256" s="15">
        <v>4.5900000000000003E-2</v>
      </c>
      <c r="J3256" s="15">
        <v>0.33333333333333331</v>
      </c>
    </row>
    <row r="3257" spans="1:10" x14ac:dyDescent="0.25">
      <c r="A3257" s="2" t="s">
        <v>8659</v>
      </c>
      <c r="B3257" s="2" t="s">
        <v>7007</v>
      </c>
      <c r="C3257" s="2" t="s">
        <v>8660</v>
      </c>
      <c r="D3257" s="2" t="s">
        <v>10055</v>
      </c>
      <c r="E3257" s="15">
        <v>-2.2100000000000002E-2</v>
      </c>
      <c r="F3257" s="15">
        <v>0.19980000000000001</v>
      </c>
      <c r="G3257" s="15">
        <v>0.91210000000000002</v>
      </c>
      <c r="H3257" s="15">
        <v>2.9399999999999999E-2</v>
      </c>
      <c r="I3257" s="15">
        <v>4.2700000000000002E-2</v>
      </c>
      <c r="J3257" s="15">
        <v>0.68852459016393441</v>
      </c>
    </row>
    <row r="3258" spans="1:10" x14ac:dyDescent="0.25">
      <c r="A3258" s="2" t="s">
        <v>8661</v>
      </c>
      <c r="B3258" s="2" t="s">
        <v>7007</v>
      </c>
      <c r="C3258" s="2" t="s">
        <v>8662</v>
      </c>
      <c r="D3258" s="2" t="s">
        <v>10055</v>
      </c>
      <c r="E3258" s="15"/>
      <c r="F3258" s="15"/>
      <c r="G3258" s="15"/>
      <c r="H3258" s="15">
        <v>-2.07E-2</v>
      </c>
      <c r="I3258" s="15">
        <v>3.9100000000000003E-2</v>
      </c>
      <c r="J3258" s="15">
        <v>-0.52941176470588236</v>
      </c>
    </row>
    <row r="3259" spans="1:10" x14ac:dyDescent="0.25">
      <c r="A3259" s="2" t="s">
        <v>8663</v>
      </c>
      <c r="B3259" s="2" t="s">
        <v>7007</v>
      </c>
      <c r="C3259" s="2" t="s">
        <v>8664</v>
      </c>
      <c r="D3259" s="2" t="s">
        <v>10055</v>
      </c>
      <c r="E3259" s="15"/>
      <c r="F3259" s="15"/>
      <c r="G3259" s="15"/>
      <c r="H3259" s="15">
        <v>-4.5600000000000002E-2</v>
      </c>
      <c r="I3259" s="15">
        <v>3.7499999999999999E-2</v>
      </c>
      <c r="J3259" s="15">
        <v>-1.216</v>
      </c>
    </row>
    <row r="3260" spans="1:10" x14ac:dyDescent="0.25">
      <c r="A3260" s="2" t="s">
        <v>8665</v>
      </c>
      <c r="B3260" s="2" t="s">
        <v>7007</v>
      </c>
      <c r="C3260" s="2" t="s">
        <v>8666</v>
      </c>
      <c r="D3260" s="2" t="s">
        <v>10055</v>
      </c>
      <c r="E3260" s="15">
        <v>7.0199999999999999E-2</v>
      </c>
      <c r="F3260" s="15">
        <v>0.155</v>
      </c>
      <c r="G3260" s="15">
        <v>0.65049999999999997</v>
      </c>
      <c r="H3260" s="15">
        <v>5.5800000000000002E-2</v>
      </c>
      <c r="I3260" s="15">
        <v>4.2799999999999998E-2</v>
      </c>
      <c r="J3260" s="15">
        <v>1.303738317757009</v>
      </c>
    </row>
    <row r="3261" spans="1:10" x14ac:dyDescent="0.25">
      <c r="A3261" s="2" t="s">
        <v>8667</v>
      </c>
      <c r="B3261" s="2" t="s">
        <v>7007</v>
      </c>
      <c r="C3261" s="2" t="s">
        <v>8668</v>
      </c>
      <c r="D3261" s="2" t="s">
        <v>10055</v>
      </c>
      <c r="E3261" s="15">
        <v>8.5699999999999998E-2</v>
      </c>
      <c r="F3261" s="15">
        <v>0.30109999999999998</v>
      </c>
      <c r="G3261" s="15">
        <v>0.77590000000000003</v>
      </c>
      <c r="H3261" s="15">
        <v>1.7399999999999999E-2</v>
      </c>
      <c r="I3261" s="15">
        <v>4.1200000000000001E-2</v>
      </c>
      <c r="J3261" s="15">
        <v>0.42233009708737862</v>
      </c>
    </row>
    <row r="3262" spans="1:10" x14ac:dyDescent="0.25">
      <c r="A3262" s="2" t="s">
        <v>8669</v>
      </c>
      <c r="B3262" s="2" t="s">
        <v>7007</v>
      </c>
      <c r="C3262" s="2" t="s">
        <v>8670</v>
      </c>
      <c r="D3262" s="2" t="s">
        <v>10055</v>
      </c>
      <c r="E3262" s="15">
        <v>0.12759999999999999</v>
      </c>
      <c r="F3262" s="15">
        <v>0.17150000000000001</v>
      </c>
      <c r="G3262" s="15">
        <v>0.45700000000000002</v>
      </c>
      <c r="H3262" s="15">
        <v>5.2699999999999997E-2</v>
      </c>
      <c r="I3262" s="15">
        <v>4.3700000000000003E-2</v>
      </c>
      <c r="J3262" s="15">
        <v>1.2059496567505721</v>
      </c>
    </row>
    <row r="3263" spans="1:10" x14ac:dyDescent="0.25">
      <c r="A3263" s="2" t="s">
        <v>8671</v>
      </c>
      <c r="B3263" s="2" t="s">
        <v>7007</v>
      </c>
      <c r="C3263" s="2" t="s">
        <v>8672</v>
      </c>
      <c r="D3263" s="2" t="s">
        <v>10055</v>
      </c>
      <c r="E3263" s="15">
        <v>-0.12509999999999999</v>
      </c>
      <c r="F3263" s="15">
        <v>0.14330000000000001</v>
      </c>
      <c r="G3263" s="15">
        <v>0.38250000000000001</v>
      </c>
      <c r="H3263" s="15">
        <v>6.93E-2</v>
      </c>
      <c r="I3263" s="15">
        <v>4.6699999999999998E-2</v>
      </c>
      <c r="J3263" s="15">
        <v>1.483940042826553</v>
      </c>
    </row>
    <row r="3264" spans="1:10" x14ac:dyDescent="0.25">
      <c r="A3264" s="2" t="s">
        <v>8673</v>
      </c>
      <c r="B3264" s="2" t="s">
        <v>7007</v>
      </c>
      <c r="C3264" s="2" t="s">
        <v>8674</v>
      </c>
      <c r="D3264" s="2" t="s">
        <v>10055</v>
      </c>
      <c r="E3264" s="15">
        <v>-0.28470000000000001</v>
      </c>
      <c r="F3264" s="15">
        <v>0.1789</v>
      </c>
      <c r="G3264" s="15">
        <v>0.1116</v>
      </c>
      <c r="H3264" s="15">
        <v>5.1400000000000001E-2</v>
      </c>
      <c r="I3264" s="15">
        <v>4.2200000000000001E-2</v>
      </c>
      <c r="J3264" s="15">
        <v>1.218009478672986</v>
      </c>
    </row>
    <row r="3265" spans="1:10" x14ac:dyDescent="0.25">
      <c r="A3265" s="2" t="s">
        <v>8675</v>
      </c>
      <c r="B3265" s="2" t="s">
        <v>7007</v>
      </c>
      <c r="C3265" s="2" t="s">
        <v>8676</v>
      </c>
      <c r="D3265" s="2" t="s">
        <v>10055</v>
      </c>
      <c r="E3265" s="15">
        <v>4.6100000000000002E-2</v>
      </c>
      <c r="F3265" s="15">
        <v>0.18920000000000001</v>
      </c>
      <c r="G3265" s="15">
        <v>0.80740000000000001</v>
      </c>
      <c r="H3265" s="15">
        <v>0.04</v>
      </c>
      <c r="I3265" s="15">
        <v>4.07E-2</v>
      </c>
      <c r="J3265" s="15">
        <v>0.98280098280098283</v>
      </c>
    </row>
    <row r="3266" spans="1:10" x14ac:dyDescent="0.25">
      <c r="A3266" s="2" t="s">
        <v>8677</v>
      </c>
      <c r="B3266" s="2" t="s">
        <v>7007</v>
      </c>
      <c r="C3266" s="2" t="s">
        <v>8678</v>
      </c>
      <c r="D3266" s="2" t="s">
        <v>10055</v>
      </c>
      <c r="E3266" s="15">
        <v>-9.9900000000000003E-2</v>
      </c>
      <c r="F3266" s="15">
        <v>0.41460000000000002</v>
      </c>
      <c r="G3266" s="15">
        <v>0.80969999999999998</v>
      </c>
      <c r="H3266" s="15">
        <v>1.4999999999999999E-2</v>
      </c>
      <c r="I3266" s="15">
        <v>4.36E-2</v>
      </c>
      <c r="J3266" s="15">
        <v>0.34403669724770641</v>
      </c>
    </row>
    <row r="3267" spans="1:10" x14ac:dyDescent="0.25">
      <c r="A3267" s="2" t="s">
        <v>8679</v>
      </c>
      <c r="B3267" s="2" t="s">
        <v>7007</v>
      </c>
      <c r="C3267" s="2" t="s">
        <v>8680</v>
      </c>
      <c r="D3267" s="2" t="s">
        <v>10055</v>
      </c>
      <c r="E3267" s="15">
        <v>8.5699999999999998E-2</v>
      </c>
      <c r="F3267" s="15">
        <v>0.20979999999999999</v>
      </c>
      <c r="G3267" s="15">
        <v>0.68310000000000004</v>
      </c>
      <c r="H3267" s="15">
        <v>3.0700000000000002E-2</v>
      </c>
      <c r="I3267" s="15">
        <v>3.9100000000000003E-2</v>
      </c>
      <c r="J3267" s="15">
        <v>0.78516624040920713</v>
      </c>
    </row>
    <row r="3268" spans="1:10" x14ac:dyDescent="0.25">
      <c r="A3268" s="2" t="s">
        <v>8681</v>
      </c>
      <c r="B3268" s="2" t="s">
        <v>7007</v>
      </c>
      <c r="C3268" s="2" t="s">
        <v>8682</v>
      </c>
      <c r="D3268" s="2" t="s">
        <v>10055</v>
      </c>
      <c r="E3268" s="15">
        <v>3.5499999999999997E-2</v>
      </c>
      <c r="F3268" s="15">
        <v>0.32990000000000003</v>
      </c>
      <c r="G3268" s="15">
        <v>0.9143</v>
      </c>
      <c r="H3268" s="15">
        <v>1.2800000000000001E-2</v>
      </c>
      <c r="I3268" s="15">
        <v>3.78E-2</v>
      </c>
      <c r="J3268" s="15">
        <v>0.33862433862433872</v>
      </c>
    </row>
    <row r="3269" spans="1:10" x14ac:dyDescent="0.25">
      <c r="A3269" s="2" t="s">
        <v>8683</v>
      </c>
      <c r="B3269" s="2" t="s">
        <v>7007</v>
      </c>
      <c r="C3269" s="2" t="s">
        <v>8684</v>
      </c>
      <c r="D3269" s="2" t="s">
        <v>10055</v>
      </c>
      <c r="E3269" s="15">
        <v>2.2200000000000001E-2</v>
      </c>
      <c r="F3269" s="15">
        <v>0.1736</v>
      </c>
      <c r="G3269" s="15">
        <v>0.89839999999999998</v>
      </c>
      <c r="H3269" s="15">
        <v>4.2500000000000003E-2</v>
      </c>
      <c r="I3269" s="15">
        <v>4.0399999999999998E-2</v>
      </c>
      <c r="J3269" s="15">
        <v>1.051980198019802</v>
      </c>
    </row>
    <row r="3270" spans="1:10" x14ac:dyDescent="0.25">
      <c r="A3270" s="2" t="s">
        <v>8685</v>
      </c>
      <c r="B3270" s="2" t="s">
        <v>7007</v>
      </c>
      <c r="C3270" s="2" t="s">
        <v>8686</v>
      </c>
      <c r="D3270" s="2" t="s">
        <v>10055</v>
      </c>
      <c r="E3270" s="15">
        <v>-1.1999999999999999E-3</v>
      </c>
      <c r="F3270" s="15">
        <v>0.27060000000000001</v>
      </c>
      <c r="G3270" s="15">
        <v>0.99660000000000004</v>
      </c>
      <c r="H3270" s="15">
        <v>2.24E-2</v>
      </c>
      <c r="I3270" s="15">
        <v>4.2700000000000002E-2</v>
      </c>
      <c r="J3270" s="15">
        <v>0.52459016393442626</v>
      </c>
    </row>
    <row r="3271" spans="1:10" x14ac:dyDescent="0.25">
      <c r="A3271" s="2" t="s">
        <v>8687</v>
      </c>
      <c r="B3271" s="2" t="s">
        <v>7007</v>
      </c>
      <c r="C3271" s="2" t="s">
        <v>8688</v>
      </c>
      <c r="D3271" s="2" t="s">
        <v>10055</v>
      </c>
      <c r="E3271" s="15">
        <v>-8.72E-2</v>
      </c>
      <c r="F3271" s="15">
        <v>0.14530000000000001</v>
      </c>
      <c r="G3271" s="15">
        <v>0.54830000000000001</v>
      </c>
      <c r="H3271" s="15">
        <v>7.0400000000000004E-2</v>
      </c>
      <c r="I3271" s="15">
        <v>4.0099999999999997E-2</v>
      </c>
      <c r="J3271" s="15">
        <v>1.7556109725685789</v>
      </c>
    </row>
    <row r="3272" spans="1:10" x14ac:dyDescent="0.25">
      <c r="A3272" s="2" t="s">
        <v>8689</v>
      </c>
      <c r="B3272" s="2" t="s">
        <v>7007</v>
      </c>
      <c r="C3272" s="2" t="s">
        <v>8690</v>
      </c>
      <c r="D3272" s="2" t="s">
        <v>10055</v>
      </c>
      <c r="E3272" s="15"/>
      <c r="F3272" s="15"/>
      <c r="G3272" s="15"/>
      <c r="H3272" s="15">
        <v>-2.47E-2</v>
      </c>
      <c r="I3272" s="15">
        <v>4.3499999999999997E-2</v>
      </c>
      <c r="J3272" s="15">
        <v>-0.56781609195402305</v>
      </c>
    </row>
    <row r="3273" spans="1:10" x14ac:dyDescent="0.25">
      <c r="A3273" s="2" t="s">
        <v>8691</v>
      </c>
      <c r="B3273" s="2" t="s">
        <v>7007</v>
      </c>
      <c r="C3273" s="2" t="s">
        <v>8692</v>
      </c>
      <c r="D3273" s="2" t="s">
        <v>10055</v>
      </c>
      <c r="E3273" s="15"/>
      <c r="F3273" s="15"/>
      <c r="G3273" s="15"/>
      <c r="H3273" s="15">
        <v>-2.7900000000000001E-2</v>
      </c>
      <c r="I3273" s="15">
        <v>4.0300000000000002E-2</v>
      </c>
      <c r="J3273" s="15">
        <v>-0.69230769230769229</v>
      </c>
    </row>
    <row r="3274" spans="1:10" x14ac:dyDescent="0.25">
      <c r="A3274" s="2" t="s">
        <v>8693</v>
      </c>
      <c r="B3274" s="2" t="s">
        <v>7007</v>
      </c>
      <c r="C3274" s="2" t="s">
        <v>8694</v>
      </c>
      <c r="D3274" s="2" t="s">
        <v>10055</v>
      </c>
      <c r="E3274" s="15">
        <v>0.108</v>
      </c>
      <c r="F3274" s="15">
        <v>0.1186</v>
      </c>
      <c r="G3274" s="15">
        <v>0.36270000000000002</v>
      </c>
      <c r="H3274" s="15">
        <v>9.7000000000000003E-2</v>
      </c>
      <c r="I3274" s="15">
        <v>4.4400000000000002E-2</v>
      </c>
      <c r="J3274" s="15">
        <v>2.1846846846846848</v>
      </c>
    </row>
    <row r="3275" spans="1:10" x14ac:dyDescent="0.25">
      <c r="A3275" s="2" t="s">
        <v>8695</v>
      </c>
      <c r="B3275" s="2" t="s">
        <v>7007</v>
      </c>
      <c r="C3275" s="2" t="s">
        <v>8696</v>
      </c>
      <c r="D3275" s="2" t="s">
        <v>10055</v>
      </c>
      <c r="E3275" s="15">
        <v>4.58E-2</v>
      </c>
      <c r="F3275" s="15">
        <v>0.15490000000000001</v>
      </c>
      <c r="G3275" s="15">
        <v>0.76739999999999997</v>
      </c>
      <c r="H3275" s="15">
        <v>4.87E-2</v>
      </c>
      <c r="I3275" s="15">
        <v>4.3400000000000001E-2</v>
      </c>
      <c r="J3275" s="15">
        <v>1.1221198156682031</v>
      </c>
    </row>
    <row r="3276" spans="1:10" x14ac:dyDescent="0.25">
      <c r="A3276" s="2" t="s">
        <v>8697</v>
      </c>
      <c r="B3276" s="2" t="s">
        <v>7007</v>
      </c>
      <c r="C3276" s="2" t="s">
        <v>8698</v>
      </c>
      <c r="D3276" s="2" t="s">
        <v>10055</v>
      </c>
      <c r="E3276" s="15">
        <v>-9.3899999999999997E-2</v>
      </c>
      <c r="F3276" s="15">
        <v>0.12139999999999999</v>
      </c>
      <c r="G3276" s="15">
        <v>0.439</v>
      </c>
      <c r="H3276" s="15">
        <v>6.8099999999999994E-2</v>
      </c>
      <c r="I3276" s="15">
        <v>4.3499999999999997E-2</v>
      </c>
      <c r="J3276" s="15">
        <v>1.5655172413793099</v>
      </c>
    </row>
    <row r="3277" spans="1:10" x14ac:dyDescent="0.25">
      <c r="A3277" s="2" t="s">
        <v>8699</v>
      </c>
      <c r="B3277" s="2" t="s">
        <v>7007</v>
      </c>
      <c r="C3277" s="2" t="s">
        <v>8700</v>
      </c>
      <c r="D3277" s="2" t="s">
        <v>10055</v>
      </c>
      <c r="E3277" s="15">
        <v>-1.1000000000000001E-3</v>
      </c>
      <c r="F3277" s="15">
        <v>0.11310000000000001</v>
      </c>
      <c r="G3277" s="15">
        <v>0.99239999999999995</v>
      </c>
      <c r="H3277" s="15">
        <v>9.5100000000000004E-2</v>
      </c>
      <c r="I3277" s="15">
        <v>4.6199999999999998E-2</v>
      </c>
      <c r="J3277" s="15">
        <v>2.058441558441559</v>
      </c>
    </row>
    <row r="3278" spans="1:10" x14ac:dyDescent="0.25">
      <c r="A3278" s="2" t="s">
        <v>8701</v>
      </c>
      <c r="B3278" s="2" t="s">
        <v>7007</v>
      </c>
      <c r="C3278" s="2" t="s">
        <v>8702</v>
      </c>
      <c r="D3278" s="2" t="s">
        <v>10055</v>
      </c>
      <c r="E3278" s="15">
        <v>9.3600000000000003E-2</v>
      </c>
      <c r="F3278" s="15">
        <v>0.16650000000000001</v>
      </c>
      <c r="G3278" s="15">
        <v>0.57420000000000004</v>
      </c>
      <c r="H3278" s="15">
        <v>4.3799999999999999E-2</v>
      </c>
      <c r="I3278" s="15">
        <v>3.85E-2</v>
      </c>
      <c r="J3278" s="15">
        <v>1.137662337662338</v>
      </c>
    </row>
    <row r="3279" spans="1:10" x14ac:dyDescent="0.25">
      <c r="A3279" s="2" t="s">
        <v>8703</v>
      </c>
      <c r="B3279" s="2" t="s">
        <v>7007</v>
      </c>
      <c r="C3279" s="2" t="s">
        <v>8704</v>
      </c>
      <c r="D3279" s="2" t="s">
        <v>10055</v>
      </c>
      <c r="E3279" s="15">
        <v>-0.1411</v>
      </c>
      <c r="F3279" s="15">
        <v>0.13300000000000001</v>
      </c>
      <c r="G3279" s="15">
        <v>0.28899999999999998</v>
      </c>
      <c r="H3279" s="15">
        <v>6.3899999999999998E-2</v>
      </c>
      <c r="I3279" s="15">
        <v>4.6399999999999997E-2</v>
      </c>
      <c r="J3279" s="15">
        <v>1.3771551724137929</v>
      </c>
    </row>
    <row r="3280" spans="1:10" x14ac:dyDescent="0.25">
      <c r="A3280" s="2" t="s">
        <v>8705</v>
      </c>
      <c r="B3280" s="2" t="s">
        <v>7007</v>
      </c>
      <c r="C3280" s="2" t="s">
        <v>8706</v>
      </c>
      <c r="D3280" s="2" t="s">
        <v>10055</v>
      </c>
      <c r="E3280" s="15"/>
      <c r="F3280" s="15"/>
      <c r="G3280" s="15"/>
      <c r="H3280" s="15">
        <v>-2.75E-2</v>
      </c>
      <c r="I3280" s="15">
        <v>4.0899999999999999E-2</v>
      </c>
      <c r="J3280" s="15">
        <v>-0.67237163814180934</v>
      </c>
    </row>
    <row r="3281" spans="1:10" x14ac:dyDescent="0.25">
      <c r="A3281" s="2" t="s">
        <v>8707</v>
      </c>
      <c r="B3281" s="2" t="s">
        <v>7007</v>
      </c>
      <c r="C3281" s="2" t="s">
        <v>8708</v>
      </c>
      <c r="D3281" s="2" t="s">
        <v>10055</v>
      </c>
      <c r="E3281" s="15">
        <v>0.154</v>
      </c>
      <c r="F3281" s="15">
        <v>0.10100000000000001</v>
      </c>
      <c r="G3281" s="15">
        <v>0.1273</v>
      </c>
      <c r="H3281" s="15">
        <v>0.1234</v>
      </c>
      <c r="I3281" s="15">
        <v>4.0099999999999997E-2</v>
      </c>
      <c r="J3281" s="15">
        <v>3.0773067331670818</v>
      </c>
    </row>
    <row r="3282" spans="1:10" x14ac:dyDescent="0.25">
      <c r="A3282" s="2" t="s">
        <v>8709</v>
      </c>
      <c r="B3282" s="2" t="s">
        <v>7007</v>
      </c>
      <c r="C3282" s="2" t="s">
        <v>8710</v>
      </c>
      <c r="D3282" s="2" t="s">
        <v>10055</v>
      </c>
      <c r="E3282" s="15"/>
      <c r="F3282" s="15"/>
      <c r="G3282" s="15"/>
      <c r="H3282" s="15"/>
      <c r="I3282" s="15"/>
      <c r="J3282" s="15"/>
    </row>
    <row r="3283" spans="1:10" x14ac:dyDescent="0.25">
      <c r="A3283" s="2" t="s">
        <v>8711</v>
      </c>
      <c r="B3283" s="2" t="s">
        <v>7007</v>
      </c>
      <c r="C3283" s="2" t="s">
        <v>8712</v>
      </c>
      <c r="D3283" s="2" t="s">
        <v>10055</v>
      </c>
      <c r="E3283" s="15">
        <v>-3.0000000000000001E-3</v>
      </c>
      <c r="F3283" s="15">
        <v>0.1389</v>
      </c>
      <c r="G3283" s="15">
        <v>0.98260000000000003</v>
      </c>
      <c r="H3283" s="15">
        <v>6.2300000000000001E-2</v>
      </c>
      <c r="I3283" s="15">
        <v>4.19E-2</v>
      </c>
      <c r="J3283" s="15">
        <v>1.4868735083532221</v>
      </c>
    </row>
    <row r="3284" spans="1:10" x14ac:dyDescent="0.25">
      <c r="A3284" s="2" t="s">
        <v>8713</v>
      </c>
      <c r="B3284" s="2" t="s">
        <v>7007</v>
      </c>
      <c r="C3284" s="2" t="s">
        <v>8714</v>
      </c>
      <c r="D3284" s="2" t="s">
        <v>10055</v>
      </c>
      <c r="E3284" s="15">
        <v>1.11E-2</v>
      </c>
      <c r="F3284" s="15">
        <v>0.16389999999999999</v>
      </c>
      <c r="G3284" s="15">
        <v>0.94620000000000004</v>
      </c>
      <c r="H3284" s="15">
        <v>4.5100000000000001E-2</v>
      </c>
      <c r="I3284" s="15">
        <v>3.9100000000000003E-2</v>
      </c>
      <c r="J3284" s="15">
        <v>1.1534526854219951</v>
      </c>
    </row>
    <row r="3285" spans="1:10" x14ac:dyDescent="0.25">
      <c r="A3285" s="2" t="s">
        <v>8715</v>
      </c>
      <c r="B3285" s="2" t="s">
        <v>7007</v>
      </c>
      <c r="C3285" s="2" t="s">
        <v>8716</v>
      </c>
      <c r="D3285" s="2" t="s">
        <v>10055</v>
      </c>
      <c r="E3285" s="15"/>
      <c r="F3285" s="15"/>
      <c r="G3285" s="15"/>
      <c r="H3285" s="15"/>
      <c r="I3285" s="15"/>
      <c r="J3285" s="15"/>
    </row>
    <row r="3286" spans="1:10" x14ac:dyDescent="0.25">
      <c r="A3286" s="2" t="s">
        <v>8717</v>
      </c>
      <c r="B3286" s="2" t="s">
        <v>7007</v>
      </c>
      <c r="C3286" s="2" t="s">
        <v>8718</v>
      </c>
      <c r="D3286" s="2" t="s">
        <v>10055</v>
      </c>
      <c r="E3286" s="15">
        <v>-1.5900000000000001E-2</v>
      </c>
      <c r="F3286" s="15">
        <v>9.6199999999999994E-2</v>
      </c>
      <c r="G3286" s="15">
        <v>0.86860000000000004</v>
      </c>
      <c r="H3286" s="15">
        <v>0.13969999999999999</v>
      </c>
      <c r="I3286" s="15">
        <v>4.2299999999999997E-2</v>
      </c>
      <c r="J3286" s="15">
        <v>3.3026004728132392</v>
      </c>
    </row>
    <row r="3287" spans="1:10" x14ac:dyDescent="0.25">
      <c r="A3287" s="2" t="s">
        <v>8719</v>
      </c>
      <c r="B3287" s="2" t="s">
        <v>7007</v>
      </c>
      <c r="C3287" s="2" t="s">
        <v>8720</v>
      </c>
      <c r="D3287" s="2" t="s">
        <v>10055</v>
      </c>
      <c r="E3287" s="15">
        <v>-3.3700000000000001E-2</v>
      </c>
      <c r="F3287" s="15">
        <v>8.9599999999999999E-2</v>
      </c>
      <c r="G3287" s="15">
        <v>0.70660000000000001</v>
      </c>
      <c r="H3287" s="15">
        <v>0.13239999999999999</v>
      </c>
      <c r="I3287" s="15">
        <v>4.0399999999999998E-2</v>
      </c>
      <c r="J3287" s="15">
        <v>3.277227722772277</v>
      </c>
    </row>
    <row r="3288" spans="1:10" x14ac:dyDescent="0.25">
      <c r="A3288" s="2" t="s">
        <v>8721</v>
      </c>
      <c r="B3288" s="2" t="s">
        <v>7007</v>
      </c>
      <c r="C3288" s="2" t="s">
        <v>8722</v>
      </c>
      <c r="D3288" s="2" t="s">
        <v>10055</v>
      </c>
      <c r="E3288" s="15">
        <v>-0.2762</v>
      </c>
      <c r="F3288" s="15">
        <v>0.1988</v>
      </c>
      <c r="G3288" s="15">
        <v>0.1646</v>
      </c>
      <c r="H3288" s="15">
        <v>4.7800000000000002E-2</v>
      </c>
      <c r="I3288" s="15">
        <v>4.2599999999999999E-2</v>
      </c>
      <c r="J3288" s="15">
        <v>1.1220657276995309</v>
      </c>
    </row>
    <row r="3289" spans="1:10" x14ac:dyDescent="0.25">
      <c r="A3289" s="2" t="s">
        <v>8723</v>
      </c>
      <c r="B3289" s="2" t="s">
        <v>7007</v>
      </c>
      <c r="C3289" s="2" t="s">
        <v>8724</v>
      </c>
      <c r="D3289" s="2" t="s">
        <v>10055</v>
      </c>
      <c r="E3289" s="15">
        <v>4.3799999999999999E-2</v>
      </c>
      <c r="F3289" s="15">
        <v>0.1368</v>
      </c>
      <c r="G3289" s="15">
        <v>0.74870000000000003</v>
      </c>
      <c r="H3289" s="15">
        <v>6.0400000000000002E-2</v>
      </c>
      <c r="I3289" s="15">
        <v>4.7899999999999998E-2</v>
      </c>
      <c r="J3289" s="15">
        <v>1.2609603340292279</v>
      </c>
    </row>
    <row r="3290" spans="1:10" x14ac:dyDescent="0.25">
      <c r="A3290" s="2" t="s">
        <v>8725</v>
      </c>
      <c r="B3290" s="2" t="s">
        <v>7007</v>
      </c>
      <c r="C3290" s="2" t="s">
        <v>8726</v>
      </c>
      <c r="D3290" s="2" t="s">
        <v>10055</v>
      </c>
      <c r="E3290" s="15">
        <v>-9.3100000000000002E-2</v>
      </c>
      <c r="F3290" s="15">
        <v>0.14599999999999999</v>
      </c>
      <c r="G3290" s="15">
        <v>0.52370000000000005</v>
      </c>
      <c r="H3290" s="15">
        <v>6.7599999999999993E-2</v>
      </c>
      <c r="I3290" s="15">
        <v>4.6600000000000003E-2</v>
      </c>
      <c r="J3290" s="15">
        <v>1.4506437768240339</v>
      </c>
    </row>
    <row r="3291" spans="1:10" x14ac:dyDescent="0.25">
      <c r="A3291" s="2" t="s">
        <v>8727</v>
      </c>
      <c r="B3291" s="2" t="s">
        <v>7007</v>
      </c>
      <c r="C3291" s="2" t="s">
        <v>8728</v>
      </c>
      <c r="D3291" s="2" t="s">
        <v>10055</v>
      </c>
      <c r="E3291" s="15"/>
      <c r="F3291" s="15"/>
      <c r="G3291" s="15"/>
      <c r="H3291" s="15">
        <v>-4.7999999999999996E-3</v>
      </c>
      <c r="I3291" s="15">
        <v>4.3799999999999999E-2</v>
      </c>
      <c r="J3291" s="15">
        <v>-0.1095890410958904</v>
      </c>
    </row>
    <row r="3292" spans="1:10" x14ac:dyDescent="0.25">
      <c r="A3292" s="2" t="s">
        <v>8729</v>
      </c>
      <c r="B3292" s="2" t="s">
        <v>7007</v>
      </c>
      <c r="C3292" s="2" t="s">
        <v>8730</v>
      </c>
      <c r="D3292" s="2" t="s">
        <v>10055</v>
      </c>
      <c r="E3292" s="15">
        <v>-0.26629999999999998</v>
      </c>
      <c r="F3292" s="15">
        <v>0.22359999999999999</v>
      </c>
      <c r="G3292" s="15">
        <v>0.2336</v>
      </c>
      <c r="H3292" s="15">
        <v>4.3700000000000003E-2</v>
      </c>
      <c r="I3292" s="15">
        <v>4.6600000000000003E-2</v>
      </c>
      <c r="J3292" s="15">
        <v>0.9377682403433476</v>
      </c>
    </row>
    <row r="3293" spans="1:10" x14ac:dyDescent="0.25">
      <c r="A3293" s="2" t="s">
        <v>8731</v>
      </c>
      <c r="B3293" s="2" t="s">
        <v>7007</v>
      </c>
      <c r="C3293" s="2" t="s">
        <v>8732</v>
      </c>
      <c r="D3293" s="2" t="s">
        <v>10055</v>
      </c>
      <c r="E3293" s="15">
        <v>-0.13900000000000001</v>
      </c>
      <c r="F3293" s="15">
        <v>0.19889999999999999</v>
      </c>
      <c r="G3293" s="15">
        <v>0.4844</v>
      </c>
      <c r="H3293" s="15">
        <v>4.1799999999999997E-2</v>
      </c>
      <c r="I3293" s="15">
        <v>4.4499999999999998E-2</v>
      </c>
      <c r="J3293" s="15">
        <v>0.93932584269662922</v>
      </c>
    </row>
    <row r="3294" spans="1:10" x14ac:dyDescent="0.25">
      <c r="A3294" s="2" t="s">
        <v>8733</v>
      </c>
      <c r="B3294" s="2" t="s">
        <v>7007</v>
      </c>
      <c r="C3294" s="2" t="s">
        <v>8734</v>
      </c>
      <c r="D3294" s="2" t="s">
        <v>10055</v>
      </c>
      <c r="E3294" s="15"/>
      <c r="F3294" s="15"/>
      <c r="G3294" s="15"/>
      <c r="H3294" s="15">
        <v>-2.3800000000000002E-2</v>
      </c>
      <c r="I3294" s="15">
        <v>4.5400000000000003E-2</v>
      </c>
      <c r="J3294" s="15">
        <v>-0.52422907488986781</v>
      </c>
    </row>
    <row r="3295" spans="1:10" x14ac:dyDescent="0.25">
      <c r="A3295" s="2" t="s">
        <v>8735</v>
      </c>
      <c r="B3295" s="2" t="s">
        <v>7007</v>
      </c>
      <c r="C3295" s="2" t="s">
        <v>8736</v>
      </c>
      <c r="D3295" s="2" t="s">
        <v>10055</v>
      </c>
      <c r="E3295" s="15"/>
      <c r="F3295" s="15"/>
      <c r="G3295" s="15"/>
      <c r="H3295" s="15">
        <v>-5.5800000000000002E-2</v>
      </c>
      <c r="I3295" s="15">
        <v>4.0500000000000001E-2</v>
      </c>
      <c r="J3295" s="15">
        <v>-1.377777777777778</v>
      </c>
    </row>
    <row r="3296" spans="1:10" x14ac:dyDescent="0.25">
      <c r="A3296" s="2" t="s">
        <v>8737</v>
      </c>
      <c r="B3296" s="2" t="s">
        <v>7007</v>
      </c>
      <c r="C3296" s="2" t="s">
        <v>8738</v>
      </c>
      <c r="D3296" s="2" t="s">
        <v>10055</v>
      </c>
      <c r="E3296" s="15"/>
      <c r="F3296" s="15"/>
      <c r="G3296" s="15"/>
      <c r="H3296" s="15"/>
      <c r="I3296" s="15"/>
      <c r="J3296" s="15"/>
    </row>
    <row r="3297" spans="1:10" x14ac:dyDescent="0.25">
      <c r="A3297" s="2" t="s">
        <v>8739</v>
      </c>
      <c r="B3297" s="2" t="s">
        <v>7007</v>
      </c>
      <c r="C3297" s="2" t="s">
        <v>8740</v>
      </c>
      <c r="D3297" s="2" t="s">
        <v>10055</v>
      </c>
      <c r="E3297" s="15"/>
      <c r="F3297" s="15"/>
      <c r="G3297" s="15"/>
      <c r="H3297" s="15"/>
      <c r="I3297" s="15"/>
      <c r="J3297" s="15"/>
    </row>
    <row r="3298" spans="1:10" x14ac:dyDescent="0.25">
      <c r="A3298" s="2" t="s">
        <v>8741</v>
      </c>
      <c r="B3298" s="2" t="s">
        <v>7007</v>
      </c>
      <c r="C3298" s="2" t="s">
        <v>8742</v>
      </c>
      <c r="D3298" s="2" t="s">
        <v>10055</v>
      </c>
      <c r="E3298" s="15">
        <v>0.13930000000000001</v>
      </c>
      <c r="F3298" s="15">
        <v>0.1235</v>
      </c>
      <c r="G3298" s="15">
        <v>0.2596</v>
      </c>
      <c r="H3298" s="15">
        <v>7.9299999999999995E-2</v>
      </c>
      <c r="I3298" s="15">
        <v>4.2900000000000001E-2</v>
      </c>
      <c r="J3298" s="15">
        <v>1.848484848484848</v>
      </c>
    </row>
    <row r="3299" spans="1:10" x14ac:dyDescent="0.25">
      <c r="A3299" s="2" t="s">
        <v>8743</v>
      </c>
      <c r="B3299" s="2" t="s">
        <v>7007</v>
      </c>
      <c r="C3299" s="2" t="s">
        <v>8744</v>
      </c>
      <c r="D3299" s="2" t="s">
        <v>10055</v>
      </c>
      <c r="E3299" s="15">
        <v>4.7399999999999998E-2</v>
      </c>
      <c r="F3299" s="15">
        <v>0.2092</v>
      </c>
      <c r="G3299" s="15">
        <v>0.82069999999999999</v>
      </c>
      <c r="H3299" s="15">
        <v>2.8299999999999999E-2</v>
      </c>
      <c r="I3299" s="15">
        <v>4.2200000000000001E-2</v>
      </c>
      <c r="J3299" s="15">
        <v>0.67061611374407581</v>
      </c>
    </row>
    <row r="3300" spans="1:10" x14ac:dyDescent="0.25">
      <c r="A3300" s="2" t="s">
        <v>8745</v>
      </c>
      <c r="B3300" s="2" t="s">
        <v>7007</v>
      </c>
      <c r="C3300" s="2" t="s">
        <v>8746</v>
      </c>
      <c r="D3300" s="2" t="s">
        <v>10055</v>
      </c>
      <c r="E3300" s="15">
        <v>0.1668</v>
      </c>
      <c r="F3300" s="15">
        <v>0.1852</v>
      </c>
      <c r="G3300" s="15">
        <v>0.36770000000000003</v>
      </c>
      <c r="H3300" s="15">
        <v>4.6100000000000002E-2</v>
      </c>
      <c r="I3300" s="15">
        <v>4.1000000000000002E-2</v>
      </c>
      <c r="J3300" s="15">
        <v>1.1243902439024389</v>
      </c>
    </row>
    <row r="3301" spans="1:10" x14ac:dyDescent="0.25">
      <c r="A3301" s="2" t="s">
        <v>8747</v>
      </c>
      <c r="B3301" s="2" t="s">
        <v>7007</v>
      </c>
      <c r="C3301" s="2" t="s">
        <v>8748</v>
      </c>
      <c r="D3301" s="2" t="s">
        <v>10055</v>
      </c>
      <c r="E3301" s="15">
        <v>-8.3000000000000001E-3</v>
      </c>
      <c r="F3301" s="15">
        <v>0.25590000000000002</v>
      </c>
      <c r="G3301" s="15">
        <v>0.97419999999999995</v>
      </c>
      <c r="H3301" s="15">
        <v>2.1899999999999999E-2</v>
      </c>
      <c r="I3301" s="15">
        <v>3.9899999999999998E-2</v>
      </c>
      <c r="J3301" s="15">
        <v>0.54887218045112784</v>
      </c>
    </row>
    <row r="3302" spans="1:10" x14ac:dyDescent="0.25">
      <c r="A3302" s="2" t="s">
        <v>8749</v>
      </c>
      <c r="B3302" s="2" t="s">
        <v>7007</v>
      </c>
      <c r="C3302" s="2" t="s">
        <v>8750</v>
      </c>
      <c r="D3302" s="2" t="s">
        <v>10055</v>
      </c>
      <c r="E3302" s="15"/>
      <c r="F3302" s="15"/>
      <c r="G3302" s="15"/>
      <c r="H3302" s="15">
        <v>-6.1899999999999997E-2</v>
      </c>
      <c r="I3302" s="15">
        <v>3.9100000000000003E-2</v>
      </c>
      <c r="J3302" s="15">
        <v>-1.5831202046035799</v>
      </c>
    </row>
    <row r="3303" spans="1:10" x14ac:dyDescent="0.25">
      <c r="A3303" s="2" t="s">
        <v>8751</v>
      </c>
      <c r="B3303" s="2" t="s">
        <v>7007</v>
      </c>
      <c r="C3303" s="2" t="s">
        <v>8752</v>
      </c>
      <c r="D3303" s="2" t="s">
        <v>10055</v>
      </c>
      <c r="E3303" s="15">
        <v>-0.1643</v>
      </c>
      <c r="F3303" s="15">
        <v>0.22259999999999999</v>
      </c>
      <c r="G3303" s="15">
        <v>0.46029999999999999</v>
      </c>
      <c r="H3303" s="15">
        <v>3.4500000000000003E-2</v>
      </c>
      <c r="I3303" s="15">
        <v>3.8699999999999998E-2</v>
      </c>
      <c r="J3303" s="15">
        <v>0.8914728682170544</v>
      </c>
    </row>
    <row r="3304" spans="1:10" x14ac:dyDescent="0.25">
      <c r="A3304" s="2" t="s">
        <v>8753</v>
      </c>
      <c r="B3304" s="2" t="s">
        <v>7007</v>
      </c>
      <c r="C3304" s="2" t="s">
        <v>8754</v>
      </c>
      <c r="D3304" s="2" t="s">
        <v>10055</v>
      </c>
      <c r="E3304" s="15">
        <v>8.0299999999999996E-2</v>
      </c>
      <c r="F3304" s="15">
        <v>0.18079999999999999</v>
      </c>
      <c r="G3304" s="15">
        <v>0.65690000000000004</v>
      </c>
      <c r="H3304" s="15">
        <v>4.8000000000000001E-2</v>
      </c>
      <c r="I3304" s="15">
        <v>4.1300000000000003E-2</v>
      </c>
      <c r="J3304" s="15">
        <v>1.1622276029055689</v>
      </c>
    </row>
    <row r="3305" spans="1:10" x14ac:dyDescent="0.25">
      <c r="A3305" s="2" t="s">
        <v>8755</v>
      </c>
      <c r="B3305" s="2" t="s">
        <v>7007</v>
      </c>
      <c r="C3305" s="2" t="s">
        <v>8756</v>
      </c>
      <c r="D3305" s="2" t="s">
        <v>10055</v>
      </c>
      <c r="E3305" s="15">
        <v>-0.1111</v>
      </c>
      <c r="F3305" s="15">
        <v>0.20030000000000001</v>
      </c>
      <c r="G3305" s="15">
        <v>0.57930000000000004</v>
      </c>
      <c r="H3305" s="15">
        <v>3.9699999999999999E-2</v>
      </c>
      <c r="I3305" s="15">
        <v>4.3499999999999997E-2</v>
      </c>
      <c r="J3305" s="15">
        <v>0.91264367816091962</v>
      </c>
    </row>
    <row r="3306" spans="1:10" x14ac:dyDescent="0.25">
      <c r="A3306" s="2" t="s">
        <v>8757</v>
      </c>
      <c r="B3306" s="2" t="s">
        <v>7007</v>
      </c>
      <c r="C3306" s="2" t="s">
        <v>8758</v>
      </c>
      <c r="D3306" s="2" t="s">
        <v>10055</v>
      </c>
      <c r="E3306" s="15"/>
      <c r="F3306" s="15"/>
      <c r="G3306" s="15"/>
      <c r="H3306" s="15"/>
      <c r="I3306" s="15"/>
      <c r="J3306" s="15"/>
    </row>
    <row r="3307" spans="1:10" x14ac:dyDescent="0.25">
      <c r="A3307" s="2" t="s">
        <v>8759</v>
      </c>
      <c r="B3307" s="2" t="s">
        <v>7007</v>
      </c>
      <c r="C3307" s="2" t="s">
        <v>8760</v>
      </c>
      <c r="D3307" s="2" t="s">
        <v>10055</v>
      </c>
      <c r="E3307" s="15"/>
      <c r="F3307" s="15"/>
      <c r="G3307" s="15"/>
      <c r="H3307" s="15"/>
      <c r="I3307" s="15"/>
      <c r="J3307" s="15"/>
    </row>
    <row r="3308" spans="1:10" x14ac:dyDescent="0.25">
      <c r="A3308" s="2" t="s">
        <v>8761</v>
      </c>
      <c r="B3308" s="2" t="s">
        <v>7007</v>
      </c>
      <c r="C3308" s="2" t="s">
        <v>8762</v>
      </c>
      <c r="D3308" s="2" t="s">
        <v>10055</v>
      </c>
      <c r="E3308" s="15">
        <v>3.73E-2</v>
      </c>
      <c r="F3308" s="15">
        <v>0.1181</v>
      </c>
      <c r="G3308" s="15">
        <v>0.752</v>
      </c>
      <c r="H3308" s="15">
        <v>9.7000000000000003E-2</v>
      </c>
      <c r="I3308" s="15">
        <v>4.1799999999999997E-2</v>
      </c>
      <c r="J3308" s="15">
        <v>2.3205741626794261</v>
      </c>
    </row>
    <row r="3309" spans="1:10" x14ac:dyDescent="0.25">
      <c r="A3309" s="2" t="s">
        <v>8763</v>
      </c>
      <c r="B3309" s="2" t="s">
        <v>7007</v>
      </c>
      <c r="C3309" s="2" t="s">
        <v>8764</v>
      </c>
      <c r="D3309" s="2" t="s">
        <v>10055</v>
      </c>
      <c r="E3309" s="15">
        <v>0.12479999999999999</v>
      </c>
      <c r="F3309" s="15">
        <v>0.35589999999999999</v>
      </c>
      <c r="G3309" s="15">
        <v>0.72570000000000001</v>
      </c>
      <c r="H3309" s="15">
        <v>2.1100000000000001E-2</v>
      </c>
      <c r="I3309" s="15">
        <v>4.1599999999999998E-2</v>
      </c>
      <c r="J3309" s="15">
        <v>0.50721153846153855</v>
      </c>
    </row>
    <row r="3310" spans="1:10" x14ac:dyDescent="0.25">
      <c r="A3310" s="2" t="s">
        <v>8765</v>
      </c>
      <c r="B3310" s="2" t="s">
        <v>7007</v>
      </c>
      <c r="C3310" s="2" t="s">
        <v>8766</v>
      </c>
      <c r="D3310" s="2" t="s">
        <v>10055</v>
      </c>
      <c r="E3310" s="15"/>
      <c r="F3310" s="15"/>
      <c r="G3310" s="15"/>
      <c r="H3310" s="15">
        <v>-3.5999999999999997E-2</v>
      </c>
      <c r="I3310" s="15">
        <v>3.9300000000000002E-2</v>
      </c>
      <c r="J3310" s="15">
        <v>-0.9160305343511449</v>
      </c>
    </row>
    <row r="3311" spans="1:10" x14ac:dyDescent="0.25">
      <c r="A3311" s="2" t="s">
        <v>8767</v>
      </c>
      <c r="B3311" s="2" t="s">
        <v>7007</v>
      </c>
      <c r="C3311" s="2" t="s">
        <v>8768</v>
      </c>
      <c r="D3311" s="2" t="s">
        <v>10055</v>
      </c>
      <c r="E3311" s="15"/>
      <c r="F3311" s="15"/>
      <c r="G3311" s="15"/>
      <c r="H3311" s="15">
        <v>-1.12E-2</v>
      </c>
      <c r="I3311" s="15">
        <v>4.07E-2</v>
      </c>
      <c r="J3311" s="15">
        <v>-0.27518427518427518</v>
      </c>
    </row>
    <row r="3312" spans="1:10" x14ac:dyDescent="0.25">
      <c r="A3312" s="2" t="s">
        <v>8769</v>
      </c>
      <c r="B3312" s="2" t="s">
        <v>7007</v>
      </c>
      <c r="C3312" s="2" t="s">
        <v>8770</v>
      </c>
      <c r="D3312" s="2" t="s">
        <v>10055</v>
      </c>
      <c r="E3312" s="15"/>
      <c r="F3312" s="15"/>
      <c r="G3312" s="15"/>
      <c r="H3312" s="15">
        <v>-1.23E-2</v>
      </c>
      <c r="I3312" s="15">
        <v>3.9E-2</v>
      </c>
      <c r="J3312" s="15">
        <v>-0.31538461538461537</v>
      </c>
    </row>
    <row r="3313" spans="1:10" x14ac:dyDescent="0.25">
      <c r="A3313" s="2" t="s">
        <v>8771</v>
      </c>
      <c r="B3313" s="2" t="s">
        <v>7007</v>
      </c>
      <c r="C3313" s="2" t="s">
        <v>8772</v>
      </c>
      <c r="D3313" s="2" t="s">
        <v>10055</v>
      </c>
      <c r="E3313" s="15">
        <v>0.19539999999999999</v>
      </c>
      <c r="F3313" s="15">
        <v>0.16220000000000001</v>
      </c>
      <c r="G3313" s="15">
        <v>0.22850000000000001</v>
      </c>
      <c r="H3313" s="15">
        <v>6.3600000000000004E-2</v>
      </c>
      <c r="I3313" s="15">
        <v>3.85E-2</v>
      </c>
      <c r="J3313" s="15">
        <v>1.6519480519480521</v>
      </c>
    </row>
    <row r="3314" spans="1:10" x14ac:dyDescent="0.25">
      <c r="A3314" s="2" t="s">
        <v>8773</v>
      </c>
      <c r="B3314" s="2" t="s">
        <v>7007</v>
      </c>
      <c r="C3314" s="2" t="s">
        <v>8774</v>
      </c>
      <c r="D3314" s="2" t="s">
        <v>10055</v>
      </c>
      <c r="E3314" s="15"/>
      <c r="F3314" s="15"/>
      <c r="G3314" s="15"/>
      <c r="H3314" s="15">
        <v>-1.2800000000000001E-2</v>
      </c>
      <c r="I3314" s="15">
        <v>4.07E-2</v>
      </c>
      <c r="J3314" s="15">
        <v>-0.31449631449631449</v>
      </c>
    </row>
    <row r="3315" spans="1:10" x14ac:dyDescent="0.25">
      <c r="A3315" s="2" t="s">
        <v>8775</v>
      </c>
      <c r="B3315" s="2" t="s">
        <v>7007</v>
      </c>
      <c r="C3315" s="2" t="s">
        <v>8776</v>
      </c>
      <c r="D3315" s="2" t="s">
        <v>10055</v>
      </c>
      <c r="E3315" s="15">
        <v>0.15759999999999999</v>
      </c>
      <c r="F3315" s="15">
        <v>0.1159</v>
      </c>
      <c r="G3315" s="15">
        <v>0.1739</v>
      </c>
      <c r="H3315" s="15">
        <v>9.2299999999999993E-2</v>
      </c>
      <c r="I3315" s="15">
        <v>4.4400000000000002E-2</v>
      </c>
      <c r="J3315" s="15">
        <v>2.0788288288288288</v>
      </c>
    </row>
    <row r="3316" spans="1:10" x14ac:dyDescent="0.25">
      <c r="A3316" s="2" t="s">
        <v>8777</v>
      </c>
      <c r="B3316" s="2" t="s">
        <v>7007</v>
      </c>
      <c r="C3316" s="2" t="s">
        <v>8778</v>
      </c>
      <c r="D3316" s="2" t="s">
        <v>10055</v>
      </c>
      <c r="E3316" s="15">
        <v>0.13780000000000001</v>
      </c>
      <c r="F3316" s="15">
        <v>9.98E-2</v>
      </c>
      <c r="G3316" s="15">
        <v>0.16739999999999999</v>
      </c>
      <c r="H3316" s="15">
        <v>0.1273</v>
      </c>
      <c r="I3316" s="15">
        <v>4.1000000000000002E-2</v>
      </c>
      <c r="J3316" s="15">
        <v>3.104878048780487</v>
      </c>
    </row>
    <row r="3317" spans="1:10" x14ac:dyDescent="0.25">
      <c r="A3317" s="2" t="s">
        <v>8779</v>
      </c>
      <c r="B3317" s="2" t="s">
        <v>7007</v>
      </c>
      <c r="C3317" s="2" t="s">
        <v>8780</v>
      </c>
      <c r="D3317" s="2" t="s">
        <v>10055</v>
      </c>
      <c r="E3317" s="15"/>
      <c r="F3317" s="15"/>
      <c r="G3317" s="15"/>
      <c r="H3317" s="15"/>
      <c r="I3317" s="15"/>
      <c r="J3317" s="15"/>
    </row>
    <row r="3318" spans="1:10" x14ac:dyDescent="0.25">
      <c r="A3318" s="2" t="s">
        <v>8781</v>
      </c>
      <c r="B3318" s="2" t="s">
        <v>7007</v>
      </c>
      <c r="C3318" s="2" t="s">
        <v>8782</v>
      </c>
      <c r="D3318" s="2" t="s">
        <v>10055</v>
      </c>
      <c r="E3318" s="15">
        <v>-0.1045</v>
      </c>
      <c r="F3318" s="15">
        <v>0.18479999999999999</v>
      </c>
      <c r="G3318" s="15">
        <v>0.57189999999999996</v>
      </c>
      <c r="H3318" s="15">
        <v>3.5900000000000001E-2</v>
      </c>
      <c r="I3318" s="15">
        <v>4.3400000000000001E-2</v>
      </c>
      <c r="J3318" s="15">
        <v>0.82718894009216593</v>
      </c>
    </row>
    <row r="3319" spans="1:10" x14ac:dyDescent="0.25">
      <c r="A3319" s="2" t="s">
        <v>8783</v>
      </c>
      <c r="B3319" s="2" t="s">
        <v>7007</v>
      </c>
      <c r="C3319" s="2" t="s">
        <v>8784</v>
      </c>
      <c r="D3319" s="2" t="s">
        <v>10055</v>
      </c>
      <c r="E3319" s="15"/>
      <c r="F3319" s="15"/>
      <c r="G3319" s="15"/>
      <c r="H3319" s="15">
        <v>-4.2099999999999999E-2</v>
      </c>
      <c r="I3319" s="15">
        <v>4.1700000000000001E-2</v>
      </c>
      <c r="J3319" s="15">
        <v>-1.0095923261390889</v>
      </c>
    </row>
    <row r="3320" spans="1:10" x14ac:dyDescent="0.25">
      <c r="A3320" s="2" t="s">
        <v>8785</v>
      </c>
      <c r="B3320" s="2" t="s">
        <v>7007</v>
      </c>
      <c r="C3320" s="2" t="s">
        <v>8786</v>
      </c>
      <c r="D3320" s="2" t="s">
        <v>10055</v>
      </c>
      <c r="E3320" s="15"/>
      <c r="F3320" s="15"/>
      <c r="G3320" s="15"/>
      <c r="H3320" s="15">
        <v>-3.2800000000000003E-2</v>
      </c>
      <c r="I3320" s="15">
        <v>4.3099999999999999E-2</v>
      </c>
      <c r="J3320" s="15">
        <v>-0.76102088167053372</v>
      </c>
    </row>
    <row r="3321" spans="1:10" x14ac:dyDescent="0.25">
      <c r="A3321" s="2" t="s">
        <v>8787</v>
      </c>
      <c r="B3321" s="2" t="s">
        <v>7007</v>
      </c>
      <c r="C3321" s="2" t="s">
        <v>8788</v>
      </c>
      <c r="D3321" s="2" t="s">
        <v>10055</v>
      </c>
      <c r="E3321" s="15">
        <v>-1.26E-2</v>
      </c>
      <c r="F3321" s="15">
        <v>9.8100000000000007E-2</v>
      </c>
      <c r="G3321" s="15">
        <v>0.89770000000000005</v>
      </c>
      <c r="H3321" s="15">
        <v>0.1129</v>
      </c>
      <c r="I3321" s="15">
        <v>4.5600000000000002E-2</v>
      </c>
      <c r="J3321" s="15">
        <v>2.4758771929824559</v>
      </c>
    </row>
    <row r="3322" spans="1:10" x14ac:dyDescent="0.25">
      <c r="A3322" s="2" t="s">
        <v>8789</v>
      </c>
      <c r="B3322" s="2" t="s">
        <v>7007</v>
      </c>
      <c r="C3322" s="2" t="s">
        <v>8790</v>
      </c>
      <c r="D3322" s="2" t="s">
        <v>10055</v>
      </c>
      <c r="E3322" s="15"/>
      <c r="F3322" s="15"/>
      <c r="G3322" s="15"/>
      <c r="H3322" s="15"/>
      <c r="I3322" s="15"/>
      <c r="J3322" s="15"/>
    </row>
    <row r="3323" spans="1:10" x14ac:dyDescent="0.25">
      <c r="A3323" s="2" t="s">
        <v>8791</v>
      </c>
      <c r="B3323" s="2" t="s">
        <v>7007</v>
      </c>
      <c r="C3323" s="2" t="s">
        <v>8792</v>
      </c>
      <c r="D3323" s="2" t="s">
        <v>10055</v>
      </c>
      <c r="E3323" s="15"/>
      <c r="F3323" s="15"/>
      <c r="G3323" s="15"/>
      <c r="H3323" s="15">
        <v>-5.0299999999999997E-2</v>
      </c>
      <c r="I3323" s="15">
        <v>3.61E-2</v>
      </c>
      <c r="J3323" s="15">
        <v>-1.3933518005540171</v>
      </c>
    </row>
    <row r="3324" spans="1:10" x14ac:dyDescent="0.25">
      <c r="A3324" s="2" t="s">
        <v>8793</v>
      </c>
      <c r="B3324" s="2" t="s">
        <v>7007</v>
      </c>
      <c r="C3324" s="2" t="s">
        <v>8794</v>
      </c>
      <c r="D3324" s="2" t="s">
        <v>10055</v>
      </c>
      <c r="E3324" s="15"/>
      <c r="F3324" s="15"/>
      <c r="G3324" s="15"/>
      <c r="H3324" s="15">
        <v>-6.9999999999999999E-4</v>
      </c>
      <c r="I3324" s="15">
        <v>3.6400000000000002E-2</v>
      </c>
      <c r="J3324" s="15">
        <v>-1.9230769230769228E-2</v>
      </c>
    </row>
    <row r="3325" spans="1:10" x14ac:dyDescent="0.25">
      <c r="A3325" s="2" t="s">
        <v>8795</v>
      </c>
      <c r="B3325" s="2" t="s">
        <v>7007</v>
      </c>
      <c r="C3325" s="2" t="s">
        <v>8796</v>
      </c>
      <c r="D3325" s="2" t="s">
        <v>10055</v>
      </c>
      <c r="E3325" s="15"/>
      <c r="F3325" s="15"/>
      <c r="G3325" s="15"/>
      <c r="H3325" s="15">
        <v>-3.0599999999999999E-2</v>
      </c>
      <c r="I3325" s="15">
        <v>3.7400000000000003E-2</v>
      </c>
      <c r="J3325" s="15">
        <v>-0.81818181818181812</v>
      </c>
    </row>
    <row r="3326" spans="1:10" x14ac:dyDescent="0.25">
      <c r="A3326" s="2" t="s">
        <v>8797</v>
      </c>
      <c r="B3326" s="2" t="s">
        <v>7007</v>
      </c>
      <c r="C3326" s="2" t="s">
        <v>8798</v>
      </c>
      <c r="D3326" s="2" t="s">
        <v>10055</v>
      </c>
      <c r="E3326" s="15"/>
      <c r="F3326" s="15"/>
      <c r="G3326" s="15"/>
      <c r="H3326" s="15">
        <v>-4.4900000000000002E-2</v>
      </c>
      <c r="I3326" s="15">
        <v>3.9E-2</v>
      </c>
      <c r="J3326" s="15">
        <v>-1.151282051282051</v>
      </c>
    </row>
    <row r="3327" spans="1:10" x14ac:dyDescent="0.25">
      <c r="A3327" s="2" t="s">
        <v>8799</v>
      </c>
      <c r="B3327" s="2" t="s">
        <v>7007</v>
      </c>
      <c r="C3327" s="2" t="s">
        <v>8800</v>
      </c>
      <c r="D3327" s="2" t="s">
        <v>10055</v>
      </c>
      <c r="E3327" s="15">
        <v>6.0499999999999998E-2</v>
      </c>
      <c r="F3327" s="15">
        <v>0.1431</v>
      </c>
      <c r="G3327" s="15">
        <v>0.67230000000000001</v>
      </c>
      <c r="H3327" s="15">
        <v>6.08E-2</v>
      </c>
      <c r="I3327" s="15">
        <v>4.2700000000000002E-2</v>
      </c>
      <c r="J3327" s="15">
        <v>1.4238875878220141</v>
      </c>
    </row>
    <row r="3328" spans="1:10" x14ac:dyDescent="0.25">
      <c r="A3328" s="2" t="s">
        <v>8801</v>
      </c>
      <c r="B3328" s="2" t="s">
        <v>7007</v>
      </c>
      <c r="C3328" s="2" t="s">
        <v>8802</v>
      </c>
      <c r="D3328" s="2" t="s">
        <v>10055</v>
      </c>
      <c r="E3328" s="15"/>
      <c r="F3328" s="15"/>
      <c r="G3328" s="15"/>
      <c r="H3328" s="15"/>
      <c r="I3328" s="15"/>
      <c r="J3328" s="15"/>
    </row>
    <row r="3329" spans="1:10" x14ac:dyDescent="0.25">
      <c r="A3329" s="2" t="s">
        <v>8803</v>
      </c>
      <c r="B3329" s="2" t="s">
        <v>7007</v>
      </c>
      <c r="C3329" s="2" t="s">
        <v>8804</v>
      </c>
      <c r="D3329" s="2" t="s">
        <v>10055</v>
      </c>
      <c r="E3329" s="15">
        <v>-4.9399999999999999E-2</v>
      </c>
      <c r="F3329" s="15">
        <v>0.3851</v>
      </c>
      <c r="G3329" s="15">
        <v>0.89790000000000003</v>
      </c>
      <c r="H3329" s="15">
        <v>1.14E-2</v>
      </c>
      <c r="I3329" s="15">
        <v>3.78E-2</v>
      </c>
      <c r="J3329" s="15">
        <v>0.30158730158730163</v>
      </c>
    </row>
    <row r="3330" spans="1:10" x14ac:dyDescent="0.25">
      <c r="A3330" s="2" t="s">
        <v>8805</v>
      </c>
      <c r="B3330" s="2" t="s">
        <v>7007</v>
      </c>
      <c r="C3330" s="2" t="s">
        <v>8806</v>
      </c>
      <c r="D3330" s="2" t="s">
        <v>10055</v>
      </c>
      <c r="E3330" s="15">
        <v>0.1095</v>
      </c>
      <c r="F3330" s="15">
        <v>0.2404</v>
      </c>
      <c r="G3330" s="15">
        <v>0.64890000000000003</v>
      </c>
      <c r="H3330" s="15">
        <v>2.86E-2</v>
      </c>
      <c r="I3330" s="15">
        <v>4.07E-2</v>
      </c>
      <c r="J3330" s="15">
        <v>0.70270270270270274</v>
      </c>
    </row>
    <row r="3331" spans="1:10" x14ac:dyDescent="0.25">
      <c r="A3331" s="2" t="s">
        <v>8807</v>
      </c>
      <c r="B3331" s="2" t="s">
        <v>7007</v>
      </c>
      <c r="C3331" s="2" t="s">
        <v>8808</v>
      </c>
      <c r="D3331" s="2" t="s">
        <v>10055</v>
      </c>
      <c r="E3331" s="15">
        <v>0.2646</v>
      </c>
      <c r="F3331" s="15">
        <v>0.2031</v>
      </c>
      <c r="G3331" s="15">
        <v>0.1928</v>
      </c>
      <c r="H3331" s="15">
        <v>5.04E-2</v>
      </c>
      <c r="I3331" s="15">
        <v>4.1799999999999997E-2</v>
      </c>
      <c r="J3331" s="15">
        <v>1.205741626794258</v>
      </c>
    </row>
    <row r="3332" spans="1:10" x14ac:dyDescent="0.25">
      <c r="A3332" s="2" t="s">
        <v>8809</v>
      </c>
      <c r="B3332" s="2" t="s">
        <v>7007</v>
      </c>
      <c r="C3332" s="2" t="s">
        <v>8810</v>
      </c>
      <c r="D3332" s="2" t="s">
        <v>10055</v>
      </c>
      <c r="E3332" s="15">
        <v>0.32869999999999999</v>
      </c>
      <c r="F3332" s="15">
        <v>0.19009999999999999</v>
      </c>
      <c r="G3332" s="15">
        <v>8.3799999999999999E-2</v>
      </c>
      <c r="H3332" s="15">
        <v>5.3400000000000003E-2</v>
      </c>
      <c r="I3332" s="15">
        <v>3.4599999999999999E-2</v>
      </c>
      <c r="J3332" s="15">
        <v>1.543352601156069</v>
      </c>
    </row>
    <row r="3333" spans="1:10" x14ac:dyDescent="0.25">
      <c r="A3333" s="2" t="s">
        <v>8811</v>
      </c>
      <c r="B3333" s="2" t="s">
        <v>7007</v>
      </c>
      <c r="C3333" s="2" t="s">
        <v>8812</v>
      </c>
      <c r="D3333" s="2" t="s">
        <v>10055</v>
      </c>
      <c r="E3333" s="15">
        <v>-4.2299999999999997E-2</v>
      </c>
      <c r="F3333" s="15">
        <v>0.1323</v>
      </c>
      <c r="G3333" s="15">
        <v>0.74909999999999999</v>
      </c>
      <c r="H3333" s="15">
        <v>7.3800000000000004E-2</v>
      </c>
      <c r="I3333" s="15">
        <v>3.8199999999999998E-2</v>
      </c>
      <c r="J3333" s="15">
        <v>1.9319371727748691</v>
      </c>
    </row>
    <row r="3334" spans="1:10" x14ac:dyDescent="0.25">
      <c r="A3334" s="2" t="s">
        <v>8813</v>
      </c>
      <c r="B3334" s="2" t="s">
        <v>7007</v>
      </c>
      <c r="C3334" s="2" t="s">
        <v>8814</v>
      </c>
      <c r="D3334" s="2" t="s">
        <v>10055</v>
      </c>
      <c r="E3334" s="15"/>
      <c r="F3334" s="15"/>
      <c r="G3334" s="15"/>
      <c r="H3334" s="15">
        <v>-2.7400000000000001E-2</v>
      </c>
      <c r="I3334" s="15">
        <v>4.7500000000000001E-2</v>
      </c>
      <c r="J3334" s="15">
        <v>-0.57684210526315793</v>
      </c>
    </row>
    <row r="3335" spans="1:10" x14ac:dyDescent="0.25">
      <c r="A3335" s="2" t="s">
        <v>8815</v>
      </c>
      <c r="B3335" s="2" t="s">
        <v>7007</v>
      </c>
      <c r="C3335" s="2" t="s">
        <v>8816</v>
      </c>
      <c r="D3335" s="2" t="s">
        <v>10055</v>
      </c>
      <c r="E3335" s="15">
        <v>-0.19270000000000001</v>
      </c>
      <c r="F3335" s="15">
        <v>0.1585</v>
      </c>
      <c r="G3335" s="15">
        <v>0.22420000000000001</v>
      </c>
      <c r="H3335" s="15">
        <v>5.5E-2</v>
      </c>
      <c r="I3335" s="15">
        <v>4.2200000000000001E-2</v>
      </c>
      <c r="J3335" s="15">
        <v>1.3033175355450239</v>
      </c>
    </row>
    <row r="3336" spans="1:10" x14ac:dyDescent="0.25">
      <c r="A3336" s="2" t="s">
        <v>8817</v>
      </c>
      <c r="B3336" s="2" t="s">
        <v>7007</v>
      </c>
      <c r="C3336" s="2" t="s">
        <v>8818</v>
      </c>
      <c r="D3336" s="2" t="s">
        <v>10055</v>
      </c>
      <c r="E3336" s="15"/>
      <c r="F3336" s="15"/>
      <c r="G3336" s="15"/>
      <c r="H3336" s="15">
        <v>-3.04E-2</v>
      </c>
      <c r="I3336" s="15">
        <v>3.8699999999999998E-2</v>
      </c>
      <c r="J3336" s="15">
        <v>-0.78552971576227393</v>
      </c>
    </row>
    <row r="3337" spans="1:10" x14ac:dyDescent="0.25">
      <c r="A3337" s="2" t="s">
        <v>8819</v>
      </c>
      <c r="B3337" s="2" t="s">
        <v>7007</v>
      </c>
      <c r="C3337" s="2" t="s">
        <v>8820</v>
      </c>
      <c r="D3337" s="2" t="s">
        <v>10055</v>
      </c>
      <c r="E3337" s="15">
        <v>-1.78E-2</v>
      </c>
      <c r="F3337" s="15">
        <v>0.12180000000000001</v>
      </c>
      <c r="G3337" s="15">
        <v>0.88390000000000002</v>
      </c>
      <c r="H3337" s="15">
        <v>8.7499999999999994E-2</v>
      </c>
      <c r="I3337" s="15">
        <v>3.8399999999999997E-2</v>
      </c>
      <c r="J3337" s="15">
        <v>2.278645833333333</v>
      </c>
    </row>
    <row r="3338" spans="1:10" x14ac:dyDescent="0.25">
      <c r="A3338" s="2" t="s">
        <v>8821</v>
      </c>
      <c r="B3338" s="2" t="s">
        <v>7007</v>
      </c>
      <c r="C3338" s="2" t="s">
        <v>8822</v>
      </c>
      <c r="D3338" s="2" t="s">
        <v>10055</v>
      </c>
      <c r="E3338" s="15">
        <v>0.16250000000000001</v>
      </c>
      <c r="F3338" s="15">
        <v>2.1579000000000002</v>
      </c>
      <c r="G3338" s="15">
        <v>0.94</v>
      </c>
      <c r="H3338" s="15">
        <v>1.6199999999999999E-2</v>
      </c>
      <c r="I3338" s="15">
        <v>4.4699999999999997E-2</v>
      </c>
      <c r="J3338" s="15">
        <v>0.36241610738255042</v>
      </c>
    </row>
    <row r="3339" spans="1:10" x14ac:dyDescent="0.25">
      <c r="A3339" s="2" t="s">
        <v>8823</v>
      </c>
      <c r="B3339" s="2" t="s">
        <v>7007</v>
      </c>
      <c r="C3339" s="2" t="s">
        <v>8824</v>
      </c>
      <c r="D3339" s="2" t="s">
        <v>10055</v>
      </c>
      <c r="E3339" s="15"/>
      <c r="F3339" s="15"/>
      <c r="G3339" s="15"/>
      <c r="H3339" s="15">
        <v>-2.0000000000000001E-4</v>
      </c>
      <c r="I3339" s="15">
        <v>4.1700000000000001E-2</v>
      </c>
      <c r="J3339" s="15">
        <v>-4.796163069544365E-3</v>
      </c>
    </row>
    <row r="3340" spans="1:10" x14ac:dyDescent="0.25">
      <c r="A3340" s="2" t="s">
        <v>8825</v>
      </c>
      <c r="B3340" s="2" t="s">
        <v>7007</v>
      </c>
      <c r="C3340" s="2" t="s">
        <v>8826</v>
      </c>
      <c r="D3340" s="2" t="s">
        <v>10055</v>
      </c>
      <c r="E3340" s="15">
        <v>1.23E-2</v>
      </c>
      <c r="F3340" s="15">
        <v>0.1225</v>
      </c>
      <c r="G3340" s="15">
        <v>0.92010000000000003</v>
      </c>
      <c r="H3340" s="15">
        <v>8.0100000000000005E-2</v>
      </c>
      <c r="I3340" s="15">
        <v>3.8399999999999997E-2</v>
      </c>
      <c r="J3340" s="15">
        <v>2.0859375</v>
      </c>
    </row>
    <row r="3341" spans="1:10" x14ac:dyDescent="0.25">
      <c r="A3341" s="2" t="s">
        <v>8827</v>
      </c>
      <c r="B3341" s="2" t="s">
        <v>7007</v>
      </c>
      <c r="C3341" s="2" t="s">
        <v>8828</v>
      </c>
      <c r="D3341" s="2" t="s">
        <v>10055</v>
      </c>
      <c r="E3341" s="15">
        <v>-0.1346</v>
      </c>
      <c r="F3341" s="15">
        <v>0.11749999999999999</v>
      </c>
      <c r="G3341" s="15">
        <v>0.252</v>
      </c>
      <c r="H3341" s="15">
        <v>7.1999999999999995E-2</v>
      </c>
      <c r="I3341" s="15">
        <v>4.0099999999999997E-2</v>
      </c>
      <c r="J3341" s="15">
        <v>1.795511221945137</v>
      </c>
    </row>
    <row r="3342" spans="1:10" x14ac:dyDescent="0.25">
      <c r="A3342" s="2" t="s">
        <v>8829</v>
      </c>
      <c r="B3342" s="2" t="s">
        <v>7007</v>
      </c>
      <c r="C3342" s="2" t="s">
        <v>8830</v>
      </c>
      <c r="D3342" s="2" t="s">
        <v>10055</v>
      </c>
      <c r="E3342" s="15">
        <v>-4.8500000000000001E-2</v>
      </c>
      <c r="F3342" s="15">
        <v>9.0399999999999994E-2</v>
      </c>
      <c r="G3342" s="15">
        <v>0.5917</v>
      </c>
      <c r="H3342" s="15">
        <v>0.15579999999999999</v>
      </c>
      <c r="I3342" s="15">
        <v>5.0700000000000002E-2</v>
      </c>
      <c r="J3342" s="15">
        <v>3.0729783037475338</v>
      </c>
    </row>
    <row r="3343" spans="1:10" x14ac:dyDescent="0.25">
      <c r="A3343" s="2" t="s">
        <v>8831</v>
      </c>
      <c r="B3343" s="2" t="s">
        <v>7007</v>
      </c>
      <c r="C3343" s="2" t="s">
        <v>8832</v>
      </c>
      <c r="D3343" s="2" t="s">
        <v>10055</v>
      </c>
      <c r="E3343" s="15">
        <v>-0.1454</v>
      </c>
      <c r="F3343" s="15">
        <v>0.1191</v>
      </c>
      <c r="G3343" s="15">
        <v>0.22209999999999999</v>
      </c>
      <c r="H3343" s="15">
        <v>8.6699999999999999E-2</v>
      </c>
      <c r="I3343" s="15">
        <v>4.3099999999999999E-2</v>
      </c>
      <c r="J3343" s="15">
        <v>2.011600928074246</v>
      </c>
    </row>
    <row r="3344" spans="1:10" x14ac:dyDescent="0.25">
      <c r="A3344" s="2" t="s">
        <v>8833</v>
      </c>
      <c r="B3344" s="2" t="s">
        <v>7007</v>
      </c>
      <c r="C3344" s="2" t="s">
        <v>8834</v>
      </c>
      <c r="D3344" s="2" t="s">
        <v>10055</v>
      </c>
      <c r="E3344" s="15">
        <v>-4.5600000000000002E-2</v>
      </c>
      <c r="F3344" s="15">
        <v>0.1638</v>
      </c>
      <c r="G3344" s="15">
        <v>0.78049999999999997</v>
      </c>
      <c r="H3344" s="15">
        <v>4.9200000000000001E-2</v>
      </c>
      <c r="I3344" s="15">
        <v>4.8000000000000001E-2</v>
      </c>
      <c r="J3344" s="15">
        <v>1.0249999999999999</v>
      </c>
    </row>
    <row r="3345" spans="1:10" x14ac:dyDescent="0.25">
      <c r="A3345" s="2" t="s">
        <v>8835</v>
      </c>
      <c r="B3345" s="2" t="s">
        <v>7007</v>
      </c>
      <c r="C3345" s="2" t="s">
        <v>8836</v>
      </c>
      <c r="D3345" s="2" t="s">
        <v>10055</v>
      </c>
      <c r="E3345" s="15">
        <v>-9.7000000000000003E-3</v>
      </c>
      <c r="F3345" s="15">
        <v>0.1361</v>
      </c>
      <c r="G3345" s="15">
        <v>0.94320000000000004</v>
      </c>
      <c r="H3345" s="15">
        <v>5.8900000000000001E-2</v>
      </c>
      <c r="I3345" s="15">
        <v>4.1799999999999997E-2</v>
      </c>
      <c r="J3345" s="15">
        <v>1.4090909090909089</v>
      </c>
    </row>
    <row r="3346" spans="1:10" x14ac:dyDescent="0.25">
      <c r="A3346" s="2" t="s">
        <v>8837</v>
      </c>
      <c r="B3346" s="2" t="s">
        <v>7007</v>
      </c>
      <c r="C3346" s="2" t="s">
        <v>8838</v>
      </c>
      <c r="D3346" s="2" t="s">
        <v>10055</v>
      </c>
      <c r="E3346" s="15">
        <v>9.8400000000000001E-2</v>
      </c>
      <c r="F3346" s="15">
        <v>0.1326</v>
      </c>
      <c r="G3346" s="15">
        <v>0.45800000000000002</v>
      </c>
      <c r="H3346" s="15">
        <v>8.4000000000000005E-2</v>
      </c>
      <c r="I3346" s="15">
        <v>4.5199999999999997E-2</v>
      </c>
      <c r="J3346" s="15">
        <v>1.8584070796460179</v>
      </c>
    </row>
    <row r="3347" spans="1:10" x14ac:dyDescent="0.25">
      <c r="A3347" s="2" t="s">
        <v>8839</v>
      </c>
      <c r="B3347" s="2" t="s">
        <v>7007</v>
      </c>
      <c r="C3347" s="2" t="s">
        <v>8840</v>
      </c>
      <c r="D3347" s="2" t="s">
        <v>10055</v>
      </c>
      <c r="E3347" s="15">
        <v>0.15870000000000001</v>
      </c>
      <c r="F3347" s="15">
        <v>0.28720000000000001</v>
      </c>
      <c r="G3347" s="15">
        <v>0.5806</v>
      </c>
      <c r="H3347" s="15">
        <v>2.01E-2</v>
      </c>
      <c r="I3347" s="15">
        <v>4.5199999999999997E-2</v>
      </c>
      <c r="J3347" s="15">
        <v>0.44469026548672569</v>
      </c>
    </row>
    <row r="3348" spans="1:10" x14ac:dyDescent="0.25">
      <c r="A3348" s="2" t="s">
        <v>8841</v>
      </c>
      <c r="B3348" s="2" t="s">
        <v>7007</v>
      </c>
      <c r="C3348" s="2" t="s">
        <v>8842</v>
      </c>
      <c r="D3348" s="2" t="s">
        <v>10055</v>
      </c>
      <c r="E3348" s="15">
        <v>8.6400000000000005E-2</v>
      </c>
      <c r="F3348" s="15">
        <v>0.1142</v>
      </c>
      <c r="G3348" s="15">
        <v>0.44929999999999998</v>
      </c>
      <c r="H3348" s="15">
        <v>0.1043</v>
      </c>
      <c r="I3348" s="15">
        <v>4.6899999999999997E-2</v>
      </c>
      <c r="J3348" s="15">
        <v>2.2238805970149258</v>
      </c>
    </row>
    <row r="3349" spans="1:10" x14ac:dyDescent="0.25">
      <c r="A3349" s="2" t="s">
        <v>8843</v>
      </c>
      <c r="B3349" s="2" t="s">
        <v>7007</v>
      </c>
      <c r="C3349" s="2" t="s">
        <v>8844</v>
      </c>
      <c r="D3349" s="2" t="s">
        <v>10055</v>
      </c>
      <c r="E3349" s="15">
        <v>0.1668</v>
      </c>
      <c r="F3349" s="15">
        <v>0.2545</v>
      </c>
      <c r="G3349" s="15">
        <v>0.51229999999999998</v>
      </c>
      <c r="H3349" s="15">
        <v>2.8899999999999999E-2</v>
      </c>
      <c r="I3349" s="15">
        <v>4.0599999999999997E-2</v>
      </c>
      <c r="J3349" s="15">
        <v>0.71182266009852213</v>
      </c>
    </row>
    <row r="3350" spans="1:10" x14ac:dyDescent="0.25">
      <c r="A3350" s="2" t="s">
        <v>8845</v>
      </c>
      <c r="B3350" s="2" t="s">
        <v>7007</v>
      </c>
      <c r="C3350" s="2" t="s">
        <v>8846</v>
      </c>
      <c r="D3350" s="2" t="s">
        <v>10055</v>
      </c>
      <c r="E3350" s="15">
        <v>-2.9499999999999998E-2</v>
      </c>
      <c r="F3350" s="15">
        <v>0.12470000000000001</v>
      </c>
      <c r="G3350" s="15">
        <v>0.81279999999999997</v>
      </c>
      <c r="H3350" s="15">
        <v>9.1399999999999995E-2</v>
      </c>
      <c r="I3350" s="15">
        <v>4.2599999999999999E-2</v>
      </c>
      <c r="J3350" s="15">
        <v>2.145539906103286</v>
      </c>
    </row>
    <row r="3351" spans="1:10" x14ac:dyDescent="0.25">
      <c r="A3351" s="2" t="s">
        <v>8847</v>
      </c>
      <c r="B3351" s="2" t="s">
        <v>7007</v>
      </c>
      <c r="C3351" s="2" t="s">
        <v>8848</v>
      </c>
      <c r="D3351" s="2" t="s">
        <v>10055</v>
      </c>
      <c r="E3351" s="15">
        <v>-0.26629999999999998</v>
      </c>
      <c r="F3351" s="15">
        <v>0.2006</v>
      </c>
      <c r="G3351" s="15">
        <v>0.1845</v>
      </c>
      <c r="H3351" s="15">
        <v>4.7600000000000003E-2</v>
      </c>
      <c r="I3351" s="15">
        <v>4.6699999999999998E-2</v>
      </c>
      <c r="J3351" s="15">
        <v>1.019271948608137</v>
      </c>
    </row>
    <row r="3352" spans="1:10" x14ac:dyDescent="0.25">
      <c r="A3352" s="2" t="s">
        <v>8849</v>
      </c>
      <c r="B3352" s="2" t="s">
        <v>7007</v>
      </c>
      <c r="C3352" s="2" t="s">
        <v>8850</v>
      </c>
      <c r="D3352" s="2" t="s">
        <v>10055</v>
      </c>
      <c r="E3352" s="15">
        <v>0.23949999999999999</v>
      </c>
      <c r="F3352" s="15">
        <v>0.1323</v>
      </c>
      <c r="G3352" s="15">
        <v>7.0199999999999999E-2</v>
      </c>
      <c r="H3352" s="15">
        <v>8.0399999999999999E-2</v>
      </c>
      <c r="I3352" s="15">
        <v>4.3400000000000001E-2</v>
      </c>
      <c r="J3352" s="15">
        <v>1.852534562211982</v>
      </c>
    </row>
    <row r="3353" spans="1:10" x14ac:dyDescent="0.25">
      <c r="A3353" s="2" t="s">
        <v>8851</v>
      </c>
      <c r="B3353" s="2" t="s">
        <v>7007</v>
      </c>
      <c r="C3353" s="2" t="s">
        <v>8852</v>
      </c>
      <c r="D3353" s="2" t="s">
        <v>10055</v>
      </c>
      <c r="E3353" s="15">
        <v>1.37E-2</v>
      </c>
      <c r="F3353" s="15">
        <v>0.1167</v>
      </c>
      <c r="G3353" s="15">
        <v>0.90649999999999997</v>
      </c>
      <c r="H3353" s="15">
        <v>8.9599999999999999E-2</v>
      </c>
      <c r="I3353" s="15">
        <v>3.8300000000000001E-2</v>
      </c>
      <c r="J3353" s="15">
        <v>2.3394255874673631</v>
      </c>
    </row>
    <row r="3354" spans="1:10" x14ac:dyDescent="0.25">
      <c r="A3354" s="2" t="s">
        <v>8853</v>
      </c>
      <c r="B3354" s="2" t="s">
        <v>7007</v>
      </c>
      <c r="C3354" s="2" t="s">
        <v>8854</v>
      </c>
      <c r="D3354" s="2" t="s">
        <v>10055</v>
      </c>
      <c r="E3354" s="15">
        <v>0.13400000000000001</v>
      </c>
      <c r="F3354" s="15">
        <v>0.1116</v>
      </c>
      <c r="G3354" s="15">
        <v>0.22969999999999999</v>
      </c>
      <c r="H3354" s="15">
        <v>0.12820000000000001</v>
      </c>
      <c r="I3354" s="15">
        <v>4.3700000000000003E-2</v>
      </c>
      <c r="J3354" s="15">
        <v>2.9336384439359269</v>
      </c>
    </row>
    <row r="3355" spans="1:10" x14ac:dyDescent="0.25">
      <c r="A3355" s="2" t="s">
        <v>8855</v>
      </c>
      <c r="B3355" s="2" t="s">
        <v>7007</v>
      </c>
      <c r="C3355" s="2" t="s">
        <v>8856</v>
      </c>
      <c r="D3355" s="2" t="s">
        <v>10055</v>
      </c>
      <c r="E3355" s="15">
        <v>-0.1138</v>
      </c>
      <c r="F3355" s="15">
        <v>0.1426</v>
      </c>
      <c r="G3355" s="15">
        <v>0.4249</v>
      </c>
      <c r="H3355" s="15">
        <v>8.3000000000000004E-2</v>
      </c>
      <c r="I3355" s="15">
        <v>4.1200000000000001E-2</v>
      </c>
      <c r="J3355" s="15">
        <v>2.0145631067961172</v>
      </c>
    </row>
    <row r="3356" spans="1:10" x14ac:dyDescent="0.25">
      <c r="A3356" s="2" t="s">
        <v>8857</v>
      </c>
      <c r="B3356" s="2" t="s">
        <v>7007</v>
      </c>
      <c r="C3356" s="2" t="s">
        <v>8858</v>
      </c>
      <c r="D3356" s="2" t="s">
        <v>10055</v>
      </c>
      <c r="E3356" s="15"/>
      <c r="F3356" s="15"/>
      <c r="G3356" s="15"/>
      <c r="H3356" s="15">
        <v>-1.6299999999999999E-2</v>
      </c>
      <c r="I3356" s="15">
        <v>4.0300000000000002E-2</v>
      </c>
      <c r="J3356" s="15">
        <v>-0.40446650124069472</v>
      </c>
    </row>
    <row r="3357" spans="1:10" x14ac:dyDescent="0.25">
      <c r="A3357" s="2" t="s">
        <v>8859</v>
      </c>
      <c r="B3357" s="2" t="s">
        <v>7007</v>
      </c>
      <c r="C3357" s="2" t="s">
        <v>8860</v>
      </c>
      <c r="D3357" s="2" t="s">
        <v>10055</v>
      </c>
      <c r="E3357" s="15">
        <v>0.1424</v>
      </c>
      <c r="F3357" s="15">
        <v>9.4399999999999998E-2</v>
      </c>
      <c r="G3357" s="15">
        <v>0.13170000000000001</v>
      </c>
      <c r="H3357" s="15">
        <v>0.1759</v>
      </c>
      <c r="I3357" s="15">
        <v>4.1000000000000002E-2</v>
      </c>
      <c r="J3357" s="15">
        <v>4.2902439024390242</v>
      </c>
    </row>
    <row r="3358" spans="1:10" x14ac:dyDescent="0.25">
      <c r="A3358" s="2" t="s">
        <v>8861</v>
      </c>
      <c r="B3358" s="2" t="s">
        <v>7007</v>
      </c>
      <c r="C3358" s="2" t="s">
        <v>8862</v>
      </c>
      <c r="D3358" s="2" t="s">
        <v>10055</v>
      </c>
      <c r="E3358" s="15">
        <v>0.1176</v>
      </c>
      <c r="F3358" s="15">
        <v>0.14380000000000001</v>
      </c>
      <c r="G3358" s="15">
        <v>0.4133</v>
      </c>
      <c r="H3358" s="15">
        <v>6.3799999999999996E-2</v>
      </c>
      <c r="I3358" s="15">
        <v>4.2799999999999998E-2</v>
      </c>
      <c r="J3358" s="15">
        <v>1.490654205607477</v>
      </c>
    </row>
    <row r="3359" spans="1:10" x14ac:dyDescent="0.25">
      <c r="A3359" s="2" t="s">
        <v>8863</v>
      </c>
      <c r="B3359" s="2" t="s">
        <v>7007</v>
      </c>
      <c r="C3359" s="2" t="s">
        <v>8864</v>
      </c>
      <c r="D3359" s="2" t="s">
        <v>10055</v>
      </c>
      <c r="E3359" s="15">
        <v>-0.4209</v>
      </c>
      <c r="F3359" s="15">
        <v>0.42830000000000001</v>
      </c>
      <c r="G3359" s="15">
        <v>0.32579999999999998</v>
      </c>
      <c r="H3359" s="15">
        <v>2.8799999999999999E-2</v>
      </c>
      <c r="I3359" s="15">
        <v>4.2700000000000002E-2</v>
      </c>
      <c r="J3359" s="15">
        <v>0.67447306791569084</v>
      </c>
    </row>
    <row r="3360" spans="1:10" x14ac:dyDescent="0.25">
      <c r="A3360" s="2" t="s">
        <v>8865</v>
      </c>
      <c r="B3360" s="2" t="s">
        <v>7007</v>
      </c>
      <c r="C3360" s="2" t="s">
        <v>8866</v>
      </c>
      <c r="D3360" s="2" t="s">
        <v>10055</v>
      </c>
      <c r="E3360" s="15"/>
      <c r="F3360" s="15"/>
      <c r="G3360" s="15"/>
      <c r="H3360" s="15">
        <v>-5.5599999999999997E-2</v>
      </c>
      <c r="I3360" s="15">
        <v>4.1500000000000002E-2</v>
      </c>
      <c r="J3360" s="15">
        <v>-1.3397590361445779</v>
      </c>
    </row>
    <row r="3361" spans="1:10" x14ac:dyDescent="0.25">
      <c r="A3361" s="2" t="s">
        <v>8867</v>
      </c>
      <c r="B3361" s="2" t="s">
        <v>7007</v>
      </c>
      <c r="C3361" s="2" t="s">
        <v>8868</v>
      </c>
      <c r="D3361" s="2" t="s">
        <v>10055</v>
      </c>
      <c r="E3361" s="15">
        <v>2.9000000000000001E-2</v>
      </c>
      <c r="F3361" s="15">
        <v>9.5699999999999993E-2</v>
      </c>
      <c r="G3361" s="15">
        <v>0.7621</v>
      </c>
      <c r="H3361" s="15">
        <v>0.15840000000000001</v>
      </c>
      <c r="I3361" s="15">
        <v>4.6800000000000001E-2</v>
      </c>
      <c r="J3361" s="15">
        <v>3.384615384615385</v>
      </c>
    </row>
    <row r="3362" spans="1:10" x14ac:dyDescent="0.25">
      <c r="A3362" s="2" t="s">
        <v>8869</v>
      </c>
      <c r="B3362" s="2" t="s">
        <v>7007</v>
      </c>
      <c r="C3362" s="2" t="s">
        <v>8870</v>
      </c>
      <c r="D3362" s="2" t="s">
        <v>10055</v>
      </c>
      <c r="E3362" s="15">
        <v>0.1545</v>
      </c>
      <c r="F3362" s="15">
        <v>0.1013</v>
      </c>
      <c r="G3362" s="15">
        <v>0.1273</v>
      </c>
      <c r="H3362" s="15">
        <v>0.12759999999999999</v>
      </c>
      <c r="I3362" s="15">
        <v>4.6600000000000003E-2</v>
      </c>
      <c r="J3362" s="15">
        <v>2.7381974248927041</v>
      </c>
    </row>
    <row r="3363" spans="1:10" x14ac:dyDescent="0.25">
      <c r="A3363" s="2" t="s">
        <v>8871</v>
      </c>
      <c r="B3363" s="2" t="s">
        <v>7007</v>
      </c>
      <c r="C3363" s="2" t="s">
        <v>8872</v>
      </c>
      <c r="D3363" s="2" t="s">
        <v>10055</v>
      </c>
      <c r="E3363" s="15">
        <v>0.26939999999999997</v>
      </c>
      <c r="F3363" s="15">
        <v>0.12640000000000001</v>
      </c>
      <c r="G3363" s="15">
        <v>3.3099999999999997E-2</v>
      </c>
      <c r="H3363" s="15">
        <v>8.9300000000000004E-2</v>
      </c>
      <c r="I3363" s="15">
        <v>4.0599999999999997E-2</v>
      </c>
      <c r="J3363" s="15">
        <v>2.1995073891625618</v>
      </c>
    </row>
    <row r="3364" spans="1:10" x14ac:dyDescent="0.25">
      <c r="A3364" s="2" t="s">
        <v>8873</v>
      </c>
      <c r="B3364" s="2" t="s">
        <v>7007</v>
      </c>
      <c r="C3364" s="2" t="s">
        <v>8874</v>
      </c>
      <c r="D3364" s="2" t="s">
        <v>10055</v>
      </c>
      <c r="E3364" s="15">
        <v>0.15720000000000001</v>
      </c>
      <c r="F3364" s="15">
        <v>0.1018</v>
      </c>
      <c r="G3364" s="15">
        <v>0.1225</v>
      </c>
      <c r="H3364" s="15">
        <v>0.1177</v>
      </c>
      <c r="I3364" s="15">
        <v>4.4200000000000003E-2</v>
      </c>
      <c r="J3364" s="15">
        <v>2.6628959276018098</v>
      </c>
    </row>
    <row r="3365" spans="1:10" x14ac:dyDescent="0.25">
      <c r="A3365" s="2" t="s">
        <v>8875</v>
      </c>
      <c r="B3365" s="2" t="s">
        <v>7007</v>
      </c>
      <c r="C3365" s="2" t="s">
        <v>8876</v>
      </c>
      <c r="D3365" s="2" t="s">
        <v>10055</v>
      </c>
      <c r="E3365" s="15">
        <v>-8.6499999999999994E-2</v>
      </c>
      <c r="F3365" s="15">
        <v>0.1444</v>
      </c>
      <c r="G3365" s="15">
        <v>0.54930000000000001</v>
      </c>
      <c r="H3365" s="15">
        <v>7.5300000000000006E-2</v>
      </c>
      <c r="I3365" s="15">
        <v>3.9800000000000002E-2</v>
      </c>
      <c r="J3365" s="15">
        <v>1.891959798994975</v>
      </c>
    </row>
    <row r="3366" spans="1:10" x14ac:dyDescent="0.25">
      <c r="A3366" s="2" t="s">
        <v>8877</v>
      </c>
      <c r="B3366" s="2" t="s">
        <v>7007</v>
      </c>
      <c r="C3366" s="2" t="s">
        <v>8878</v>
      </c>
      <c r="D3366" s="2" t="s">
        <v>10055</v>
      </c>
      <c r="E3366" s="15">
        <v>-6.9800000000000001E-2</v>
      </c>
      <c r="F3366" s="15">
        <v>9.1200000000000003E-2</v>
      </c>
      <c r="G3366" s="15">
        <v>0.44450000000000001</v>
      </c>
      <c r="H3366" s="15">
        <v>0.13689999999999999</v>
      </c>
      <c r="I3366" s="15">
        <v>4.6199999999999998E-2</v>
      </c>
      <c r="J3366" s="15">
        <v>2.9632034632034632</v>
      </c>
    </row>
    <row r="3367" spans="1:10" x14ac:dyDescent="0.25">
      <c r="A3367" s="2" t="s">
        <v>8879</v>
      </c>
      <c r="B3367" s="2" t="s">
        <v>7007</v>
      </c>
      <c r="C3367" s="2" t="s">
        <v>8880</v>
      </c>
      <c r="D3367" s="2" t="s">
        <v>10055</v>
      </c>
      <c r="E3367" s="15"/>
      <c r="F3367" s="15"/>
      <c r="G3367" s="15"/>
      <c r="H3367" s="15"/>
      <c r="I3367" s="15"/>
      <c r="J3367" s="15"/>
    </row>
    <row r="3368" spans="1:10" x14ac:dyDescent="0.25">
      <c r="A3368" s="2" t="s">
        <v>8881</v>
      </c>
      <c r="B3368" s="2" t="s">
        <v>7007</v>
      </c>
      <c r="C3368" s="2" t="s">
        <v>8882</v>
      </c>
      <c r="D3368" s="2" t="s">
        <v>10055</v>
      </c>
      <c r="E3368" s="15"/>
      <c r="F3368" s="15"/>
      <c r="G3368" s="15"/>
      <c r="H3368" s="15">
        <v>-2.1899999999999999E-2</v>
      </c>
      <c r="I3368" s="15">
        <v>3.7600000000000001E-2</v>
      </c>
      <c r="J3368" s="15">
        <v>-0.58244680851063824</v>
      </c>
    </row>
    <row r="3369" spans="1:10" x14ac:dyDescent="0.25">
      <c r="A3369" s="2" t="s">
        <v>8883</v>
      </c>
      <c r="B3369" s="2" t="s">
        <v>7007</v>
      </c>
      <c r="C3369" s="2" t="s">
        <v>8884</v>
      </c>
      <c r="D3369" s="2" t="s">
        <v>10055</v>
      </c>
      <c r="E3369" s="15">
        <v>0.20569999999999999</v>
      </c>
      <c r="F3369" s="15">
        <v>0.1641</v>
      </c>
      <c r="G3369" s="15">
        <v>0.21</v>
      </c>
      <c r="H3369" s="15">
        <v>6.4600000000000005E-2</v>
      </c>
      <c r="I3369" s="15">
        <v>4.5499999999999999E-2</v>
      </c>
      <c r="J3369" s="15">
        <v>1.4197802197802201</v>
      </c>
    </row>
    <row r="3370" spans="1:10" x14ac:dyDescent="0.25">
      <c r="A3370" s="2" t="s">
        <v>8885</v>
      </c>
      <c r="B3370" s="2" t="s">
        <v>7007</v>
      </c>
      <c r="C3370" s="2" t="s">
        <v>8886</v>
      </c>
      <c r="D3370" s="2" t="s">
        <v>10055</v>
      </c>
      <c r="E3370" s="15">
        <v>-3.0499999999999999E-2</v>
      </c>
      <c r="F3370" s="15">
        <v>0.16520000000000001</v>
      </c>
      <c r="G3370" s="15">
        <v>0.85370000000000001</v>
      </c>
      <c r="H3370" s="15">
        <v>4.6300000000000001E-2</v>
      </c>
      <c r="I3370" s="15">
        <v>4.1500000000000002E-2</v>
      </c>
      <c r="J3370" s="15">
        <v>1.1156626506024101</v>
      </c>
    </row>
    <row r="3371" spans="1:10" x14ac:dyDescent="0.25">
      <c r="A3371" s="2" t="s">
        <v>8887</v>
      </c>
      <c r="B3371" s="2" t="s">
        <v>7007</v>
      </c>
      <c r="C3371" s="2" t="s">
        <v>8888</v>
      </c>
      <c r="D3371" s="2" t="s">
        <v>10055</v>
      </c>
      <c r="E3371" s="15">
        <v>6.9999999999999999E-4</v>
      </c>
      <c r="F3371" s="15">
        <v>0.17460000000000001</v>
      </c>
      <c r="G3371" s="15">
        <v>0.99680000000000002</v>
      </c>
      <c r="H3371" s="15">
        <v>4.24E-2</v>
      </c>
      <c r="I3371" s="15">
        <v>3.9300000000000002E-2</v>
      </c>
      <c r="J3371" s="15">
        <v>1.078880407124682</v>
      </c>
    </row>
    <row r="3372" spans="1:10" x14ac:dyDescent="0.25">
      <c r="A3372" s="2" t="s">
        <v>8889</v>
      </c>
      <c r="B3372" s="2" t="s">
        <v>7007</v>
      </c>
      <c r="C3372" s="2" t="s">
        <v>8890</v>
      </c>
      <c r="D3372" s="2" t="s">
        <v>10055</v>
      </c>
      <c r="E3372" s="15">
        <v>-3.8800000000000001E-2</v>
      </c>
      <c r="F3372" s="15">
        <v>0.1085</v>
      </c>
      <c r="G3372" s="15">
        <v>0.72060000000000002</v>
      </c>
      <c r="H3372" s="15">
        <v>9.3700000000000006E-2</v>
      </c>
      <c r="I3372" s="15">
        <v>4.53E-2</v>
      </c>
      <c r="J3372" s="15">
        <v>2.0684326710816778</v>
      </c>
    </row>
    <row r="3373" spans="1:10" x14ac:dyDescent="0.25">
      <c r="A3373" s="2" t="s">
        <v>8891</v>
      </c>
      <c r="B3373" s="2" t="s">
        <v>7007</v>
      </c>
      <c r="C3373" s="2" t="s">
        <v>8892</v>
      </c>
      <c r="D3373" s="2" t="s">
        <v>10055</v>
      </c>
      <c r="E3373" s="15">
        <v>-9.7000000000000003E-2</v>
      </c>
      <c r="F3373" s="15">
        <v>0.13980000000000001</v>
      </c>
      <c r="G3373" s="15">
        <v>0.48759999999999998</v>
      </c>
      <c r="H3373" s="15">
        <v>6.3700000000000007E-2</v>
      </c>
      <c r="I3373" s="15">
        <v>4.2200000000000001E-2</v>
      </c>
      <c r="J3373" s="15">
        <v>1.5094786729857821</v>
      </c>
    </row>
    <row r="3374" spans="1:10" x14ac:dyDescent="0.25">
      <c r="A3374" s="2" t="s">
        <v>8893</v>
      </c>
      <c r="B3374" s="2" t="s">
        <v>7007</v>
      </c>
      <c r="C3374" s="2" t="s">
        <v>8894</v>
      </c>
      <c r="D3374" s="2" t="s">
        <v>10055</v>
      </c>
      <c r="E3374" s="15">
        <v>-1.41E-2</v>
      </c>
      <c r="F3374" s="15">
        <v>0.10050000000000001</v>
      </c>
      <c r="G3374" s="15">
        <v>0.8881</v>
      </c>
      <c r="H3374" s="15">
        <v>0.11559999999999999</v>
      </c>
      <c r="I3374" s="15">
        <v>4.3900000000000002E-2</v>
      </c>
      <c r="J3374" s="15">
        <v>2.6332574031890661</v>
      </c>
    </row>
    <row r="3375" spans="1:10" x14ac:dyDescent="0.25">
      <c r="A3375" s="2" t="s">
        <v>8895</v>
      </c>
      <c r="B3375" s="2" t="s">
        <v>7007</v>
      </c>
      <c r="C3375" s="2" t="s">
        <v>8896</v>
      </c>
      <c r="D3375" s="2" t="s">
        <v>10055</v>
      </c>
      <c r="E3375" s="15">
        <v>1.5299999999999999E-2</v>
      </c>
      <c r="F3375" s="15">
        <v>0.18529999999999999</v>
      </c>
      <c r="G3375" s="15">
        <v>0.93430000000000002</v>
      </c>
      <c r="H3375" s="15">
        <v>4.5400000000000003E-2</v>
      </c>
      <c r="I3375" s="15">
        <v>3.8100000000000002E-2</v>
      </c>
      <c r="J3375" s="15">
        <v>1.1916010498687659</v>
      </c>
    </row>
    <row r="3376" spans="1:10" x14ac:dyDescent="0.25">
      <c r="A3376" s="2" t="s">
        <v>8897</v>
      </c>
      <c r="B3376" s="2" t="s">
        <v>7007</v>
      </c>
      <c r="C3376" s="2" t="s">
        <v>8898</v>
      </c>
      <c r="D3376" s="2" t="s">
        <v>10055</v>
      </c>
      <c r="E3376" s="15">
        <v>0.15409999999999999</v>
      </c>
      <c r="F3376" s="15">
        <v>0.1898</v>
      </c>
      <c r="G3376" s="15">
        <v>0.4168</v>
      </c>
      <c r="H3376" s="15">
        <v>3.6600000000000001E-2</v>
      </c>
      <c r="I3376" s="15">
        <v>4.1300000000000003E-2</v>
      </c>
      <c r="J3376" s="15">
        <v>0.88619854721549629</v>
      </c>
    </row>
    <row r="3377" spans="1:10" x14ac:dyDescent="0.25">
      <c r="A3377" s="2" t="s">
        <v>8899</v>
      </c>
      <c r="B3377" s="2" t="s">
        <v>7007</v>
      </c>
      <c r="C3377" s="2" t="s">
        <v>8900</v>
      </c>
      <c r="D3377" s="2" t="s">
        <v>10055</v>
      </c>
      <c r="E3377" s="15">
        <v>0.20669999999999999</v>
      </c>
      <c r="F3377" s="15">
        <v>0.1721</v>
      </c>
      <c r="G3377" s="15">
        <v>0.2298</v>
      </c>
      <c r="H3377" s="15">
        <v>5.1400000000000001E-2</v>
      </c>
      <c r="I3377" s="15">
        <v>3.7999999999999999E-2</v>
      </c>
      <c r="J3377" s="15">
        <v>1.352631578947368</v>
      </c>
    </row>
    <row r="3378" spans="1:10" x14ac:dyDescent="0.25">
      <c r="A3378" s="2" t="s">
        <v>8901</v>
      </c>
      <c r="B3378" s="2" t="s">
        <v>7007</v>
      </c>
      <c r="C3378" s="2" t="s">
        <v>8902</v>
      </c>
      <c r="D3378" s="2" t="s">
        <v>10055</v>
      </c>
      <c r="E3378" s="15">
        <v>0.1216</v>
      </c>
      <c r="F3378" s="15">
        <v>0.15359999999999999</v>
      </c>
      <c r="G3378" s="15">
        <v>0.4284</v>
      </c>
      <c r="H3378" s="15">
        <v>4.7199999999999999E-2</v>
      </c>
      <c r="I3378" s="15">
        <v>0.04</v>
      </c>
      <c r="J3378" s="15">
        <v>1.18</v>
      </c>
    </row>
    <row r="3379" spans="1:10" x14ac:dyDescent="0.25">
      <c r="A3379" s="2" t="s">
        <v>8903</v>
      </c>
      <c r="B3379" s="2" t="s">
        <v>7007</v>
      </c>
      <c r="C3379" s="2" t="s">
        <v>8904</v>
      </c>
      <c r="D3379" s="2" t="s">
        <v>10055</v>
      </c>
      <c r="E3379" s="15"/>
      <c r="F3379" s="15"/>
      <c r="G3379" s="15"/>
      <c r="H3379" s="15">
        <v>-6.2600000000000003E-2</v>
      </c>
      <c r="I3379" s="15">
        <v>4.1200000000000001E-2</v>
      </c>
      <c r="J3379" s="15">
        <v>-1.5194174757281551</v>
      </c>
    </row>
    <row r="3380" spans="1:10" x14ac:dyDescent="0.25">
      <c r="A3380" s="2" t="s">
        <v>8905</v>
      </c>
      <c r="B3380" s="2" t="s">
        <v>7007</v>
      </c>
      <c r="C3380" s="2" t="s">
        <v>8906</v>
      </c>
      <c r="D3380" s="2" t="s">
        <v>10055</v>
      </c>
      <c r="E3380" s="15">
        <v>2.7099999999999999E-2</v>
      </c>
      <c r="F3380" s="15">
        <v>0.13819999999999999</v>
      </c>
      <c r="G3380" s="15">
        <v>0.84430000000000005</v>
      </c>
      <c r="H3380" s="15">
        <v>6.4799999999999996E-2</v>
      </c>
      <c r="I3380" s="15">
        <v>3.9199999999999999E-2</v>
      </c>
      <c r="J3380" s="15">
        <v>1.653061224489796</v>
      </c>
    </row>
    <row r="3381" spans="1:10" x14ac:dyDescent="0.25">
      <c r="A3381" s="2" t="s">
        <v>8907</v>
      </c>
      <c r="B3381" s="2" t="s">
        <v>7007</v>
      </c>
      <c r="C3381" s="2" t="s">
        <v>8908</v>
      </c>
      <c r="D3381" s="2" t="s">
        <v>10055</v>
      </c>
      <c r="E3381" s="15">
        <v>-5.7299999999999997E-2</v>
      </c>
      <c r="F3381" s="15">
        <v>7.9600000000000004E-2</v>
      </c>
      <c r="G3381" s="15">
        <v>0.47139999999999999</v>
      </c>
      <c r="H3381" s="15">
        <v>0.224</v>
      </c>
      <c r="I3381" s="15">
        <v>4.58E-2</v>
      </c>
      <c r="J3381" s="15">
        <v>4.890829694323144</v>
      </c>
    </row>
    <row r="3382" spans="1:10" x14ac:dyDescent="0.25">
      <c r="A3382" s="2" t="s">
        <v>8909</v>
      </c>
      <c r="B3382" s="2" t="s">
        <v>7007</v>
      </c>
      <c r="C3382" s="2" t="s">
        <v>8910</v>
      </c>
      <c r="D3382" s="2" t="s">
        <v>10055</v>
      </c>
      <c r="E3382" s="15"/>
      <c r="F3382" s="15"/>
      <c r="G3382" s="15"/>
      <c r="H3382" s="15">
        <v>-5.6899999999999999E-2</v>
      </c>
      <c r="I3382" s="15">
        <v>3.8100000000000002E-2</v>
      </c>
      <c r="J3382" s="15">
        <v>-1.4934383202099739</v>
      </c>
    </row>
    <row r="3383" spans="1:10" x14ac:dyDescent="0.25">
      <c r="A3383" s="2" t="s">
        <v>8911</v>
      </c>
      <c r="B3383" s="2" t="s">
        <v>7007</v>
      </c>
      <c r="C3383" s="2" t="s">
        <v>8912</v>
      </c>
      <c r="D3383" s="2" t="s">
        <v>10055</v>
      </c>
      <c r="E3383" s="15">
        <v>-0.14599999999999999</v>
      </c>
      <c r="F3383" s="15">
        <v>0.12189999999999999</v>
      </c>
      <c r="G3383" s="15">
        <v>0.23080000000000001</v>
      </c>
      <c r="H3383" s="15">
        <v>0.1066</v>
      </c>
      <c r="I3383" s="15">
        <v>4.3900000000000002E-2</v>
      </c>
      <c r="J3383" s="15">
        <v>2.428246013667426</v>
      </c>
    </row>
    <row r="3384" spans="1:10" x14ac:dyDescent="0.25">
      <c r="A3384" s="2" t="s">
        <v>8913</v>
      </c>
      <c r="B3384" s="2" t="s">
        <v>7007</v>
      </c>
      <c r="C3384" s="2" t="s">
        <v>8914</v>
      </c>
      <c r="D3384" s="2" t="s">
        <v>10055</v>
      </c>
      <c r="E3384" s="15">
        <v>-0.3543</v>
      </c>
      <c r="F3384" s="15">
        <v>0.34060000000000001</v>
      </c>
      <c r="G3384" s="15">
        <v>0.29830000000000001</v>
      </c>
      <c r="H3384" s="15">
        <v>3.0200000000000001E-2</v>
      </c>
      <c r="I3384" s="15">
        <v>4.4499999999999998E-2</v>
      </c>
      <c r="J3384" s="15">
        <v>0.67865168539325849</v>
      </c>
    </row>
    <row r="3385" spans="1:10" x14ac:dyDescent="0.25">
      <c r="A3385" s="2" t="s">
        <v>8915</v>
      </c>
      <c r="B3385" s="2" t="s">
        <v>7007</v>
      </c>
      <c r="C3385" s="2" t="s">
        <v>8916</v>
      </c>
      <c r="D3385" s="2" t="s">
        <v>10055</v>
      </c>
      <c r="E3385" s="15">
        <v>5.6599999999999998E-2</v>
      </c>
      <c r="F3385" s="15">
        <v>9.9199999999999997E-2</v>
      </c>
      <c r="G3385" s="15">
        <v>0.56810000000000005</v>
      </c>
      <c r="H3385" s="15">
        <v>0.1222</v>
      </c>
      <c r="I3385" s="15">
        <v>4.7100000000000003E-2</v>
      </c>
      <c r="J3385" s="15">
        <v>2.5944798301486198</v>
      </c>
    </row>
    <row r="3386" spans="1:10" x14ac:dyDescent="0.25">
      <c r="A3386" s="2" t="s">
        <v>8917</v>
      </c>
      <c r="B3386" s="2" t="s">
        <v>7007</v>
      </c>
      <c r="C3386" s="2" t="s">
        <v>8918</v>
      </c>
      <c r="D3386" s="2" t="s">
        <v>10055</v>
      </c>
      <c r="E3386" s="15">
        <v>0.19620000000000001</v>
      </c>
      <c r="F3386" s="15">
        <v>0.11409999999999999</v>
      </c>
      <c r="G3386" s="15">
        <v>8.5400000000000004E-2</v>
      </c>
      <c r="H3386" s="15">
        <v>8.6499999999999994E-2</v>
      </c>
      <c r="I3386" s="15">
        <v>4.6399999999999997E-2</v>
      </c>
      <c r="J3386" s="15">
        <v>1.864224137931034</v>
      </c>
    </row>
    <row r="3387" spans="1:10" x14ac:dyDescent="0.25">
      <c r="A3387" s="2" t="s">
        <v>8919</v>
      </c>
      <c r="B3387" s="2" t="s">
        <v>7007</v>
      </c>
      <c r="C3387" s="2" t="s">
        <v>8920</v>
      </c>
      <c r="D3387" s="2" t="s">
        <v>10055</v>
      </c>
      <c r="E3387" s="15">
        <v>-2.6800000000000001E-2</v>
      </c>
      <c r="F3387" s="15">
        <v>0.156</v>
      </c>
      <c r="G3387" s="15">
        <v>0.86370000000000002</v>
      </c>
      <c r="H3387" s="15">
        <v>5.5599999999999997E-2</v>
      </c>
      <c r="I3387" s="15">
        <v>4.5999999999999999E-2</v>
      </c>
      <c r="J3387" s="15">
        <v>1.2086956521739129</v>
      </c>
    </row>
    <row r="3388" spans="1:10" x14ac:dyDescent="0.25">
      <c r="A3388" s="2" t="s">
        <v>8921</v>
      </c>
      <c r="B3388" s="2" t="s">
        <v>7007</v>
      </c>
      <c r="C3388" s="2" t="s">
        <v>8922</v>
      </c>
      <c r="D3388" s="2" t="s">
        <v>10055</v>
      </c>
      <c r="E3388" s="15">
        <v>-8.1000000000000003E-2</v>
      </c>
      <c r="F3388" s="15">
        <v>9.64E-2</v>
      </c>
      <c r="G3388" s="15">
        <v>0.40079999999999999</v>
      </c>
      <c r="H3388" s="15">
        <v>0.1341</v>
      </c>
      <c r="I3388" s="15">
        <v>4.58E-2</v>
      </c>
      <c r="J3388" s="15">
        <v>2.927947598253275</v>
      </c>
    </row>
    <row r="3389" spans="1:10" x14ac:dyDescent="0.25">
      <c r="A3389" s="2" t="s">
        <v>8923</v>
      </c>
      <c r="B3389" s="2" t="s">
        <v>7007</v>
      </c>
      <c r="C3389" s="2" t="s">
        <v>8924</v>
      </c>
      <c r="D3389" s="2" t="s">
        <v>10055</v>
      </c>
      <c r="E3389" s="15">
        <v>9.7799999999999998E-2</v>
      </c>
      <c r="F3389" s="15">
        <v>0.12</v>
      </c>
      <c r="G3389" s="15">
        <v>0.41489999999999999</v>
      </c>
      <c r="H3389" s="15">
        <v>8.0500000000000002E-2</v>
      </c>
      <c r="I3389" s="15">
        <v>4.4900000000000002E-2</v>
      </c>
      <c r="J3389" s="15">
        <v>1.792873051224944</v>
      </c>
    </row>
    <row r="3390" spans="1:10" x14ac:dyDescent="0.25">
      <c r="A3390" s="2" t="s">
        <v>8925</v>
      </c>
      <c r="B3390" s="2" t="s">
        <v>7007</v>
      </c>
      <c r="C3390" s="2" t="s">
        <v>8926</v>
      </c>
      <c r="D3390" s="2" t="s">
        <v>10055</v>
      </c>
      <c r="E3390" s="15">
        <v>2.9999999999999997E-4</v>
      </c>
      <c r="F3390" s="15">
        <v>0.14630000000000001</v>
      </c>
      <c r="G3390" s="15">
        <v>0.99819999999999998</v>
      </c>
      <c r="H3390" s="15">
        <v>5.5500000000000001E-2</v>
      </c>
      <c r="I3390" s="15">
        <v>4.1399999999999999E-2</v>
      </c>
      <c r="J3390" s="15">
        <v>1.3405797101449271</v>
      </c>
    </row>
    <row r="3391" spans="1:10" x14ac:dyDescent="0.25">
      <c r="A3391" s="2" t="s">
        <v>8927</v>
      </c>
      <c r="B3391" s="2" t="s">
        <v>7007</v>
      </c>
      <c r="C3391" s="2" t="s">
        <v>8928</v>
      </c>
      <c r="D3391" s="2" t="s">
        <v>10055</v>
      </c>
      <c r="E3391" s="15">
        <v>0.15090000000000001</v>
      </c>
      <c r="F3391" s="15">
        <v>8.1199999999999994E-2</v>
      </c>
      <c r="G3391" s="15">
        <v>6.3299999999999995E-2</v>
      </c>
      <c r="H3391" s="15">
        <v>0.19339999999999999</v>
      </c>
      <c r="I3391" s="15">
        <v>4.7300000000000002E-2</v>
      </c>
      <c r="J3391" s="15">
        <v>4.088794926004228</v>
      </c>
    </row>
    <row r="3392" spans="1:10" x14ac:dyDescent="0.25">
      <c r="A3392" s="2" t="s">
        <v>8929</v>
      </c>
      <c r="B3392" s="2" t="s">
        <v>7007</v>
      </c>
      <c r="C3392" s="2" t="s">
        <v>8930</v>
      </c>
      <c r="D3392" s="2" t="s">
        <v>10055</v>
      </c>
      <c r="E3392" s="15">
        <v>-0.19270000000000001</v>
      </c>
      <c r="F3392" s="15">
        <v>0.1328</v>
      </c>
      <c r="G3392" s="15">
        <v>0.1469</v>
      </c>
      <c r="H3392" s="15">
        <v>7.4899999999999994E-2</v>
      </c>
      <c r="I3392" s="15">
        <v>4.0399999999999998E-2</v>
      </c>
      <c r="J3392" s="15">
        <v>1.8539603960396041</v>
      </c>
    </row>
    <row r="3393" spans="1:10" x14ac:dyDescent="0.25">
      <c r="A3393" s="2" t="s">
        <v>8931</v>
      </c>
      <c r="B3393" s="2" t="s">
        <v>7007</v>
      </c>
      <c r="C3393" s="2" t="s">
        <v>8932</v>
      </c>
      <c r="D3393" s="2" t="s">
        <v>10055</v>
      </c>
      <c r="E3393" s="15">
        <v>1.95E-2</v>
      </c>
      <c r="F3393" s="15">
        <v>0.1648</v>
      </c>
      <c r="G3393" s="15">
        <v>0.90569999999999995</v>
      </c>
      <c r="H3393" s="15">
        <v>4.3900000000000002E-2</v>
      </c>
      <c r="I3393" s="15">
        <v>4.7899999999999998E-2</v>
      </c>
      <c r="J3393" s="15">
        <v>0.91649269311064729</v>
      </c>
    </row>
    <row r="3394" spans="1:10" x14ac:dyDescent="0.25">
      <c r="A3394" s="2" t="s">
        <v>8933</v>
      </c>
      <c r="B3394" s="2" t="s">
        <v>7007</v>
      </c>
      <c r="C3394" s="2" t="s">
        <v>8934</v>
      </c>
      <c r="D3394" s="2" t="s">
        <v>10055</v>
      </c>
      <c r="E3394" s="15">
        <v>-1.6799999999999999E-2</v>
      </c>
      <c r="F3394" s="15">
        <v>0.1905</v>
      </c>
      <c r="G3394" s="15">
        <v>0.92979999999999996</v>
      </c>
      <c r="H3394" s="15">
        <v>2.98E-2</v>
      </c>
      <c r="I3394" s="15">
        <v>4.3200000000000002E-2</v>
      </c>
      <c r="J3394" s="15">
        <v>0.68981481481481477</v>
      </c>
    </row>
    <row r="3395" spans="1:10" x14ac:dyDescent="0.25">
      <c r="A3395" s="2" t="s">
        <v>8935</v>
      </c>
      <c r="B3395" s="2" t="s">
        <v>7007</v>
      </c>
      <c r="C3395" s="2" t="s">
        <v>8936</v>
      </c>
      <c r="D3395" s="2" t="s">
        <v>10055</v>
      </c>
      <c r="E3395" s="15">
        <v>0.1285</v>
      </c>
      <c r="F3395" s="15">
        <v>0.1769</v>
      </c>
      <c r="G3395" s="15">
        <v>0.46779999999999999</v>
      </c>
      <c r="H3395" s="15">
        <v>4.5499999999999999E-2</v>
      </c>
      <c r="I3395" s="15">
        <v>4.4600000000000001E-2</v>
      </c>
      <c r="J3395" s="15">
        <v>1.0201793721973089</v>
      </c>
    </row>
    <row r="3396" spans="1:10" x14ac:dyDescent="0.25">
      <c r="A3396" s="2" t="s">
        <v>8937</v>
      </c>
      <c r="B3396" s="2" t="s">
        <v>7007</v>
      </c>
      <c r="C3396" s="2" t="s">
        <v>8938</v>
      </c>
      <c r="D3396" s="2" t="s">
        <v>10055</v>
      </c>
      <c r="E3396" s="15"/>
      <c r="F3396" s="15"/>
      <c r="G3396" s="15"/>
      <c r="H3396" s="15">
        <v>-6.8500000000000005E-2</v>
      </c>
      <c r="I3396" s="15">
        <v>3.5000000000000003E-2</v>
      </c>
      <c r="J3396" s="15">
        <v>-1.9571428571428571</v>
      </c>
    </row>
    <row r="3397" spans="1:10" x14ac:dyDescent="0.25">
      <c r="A3397" s="2" t="s">
        <v>8939</v>
      </c>
      <c r="B3397" s="2" t="s">
        <v>7007</v>
      </c>
      <c r="C3397" s="2" t="s">
        <v>8940</v>
      </c>
      <c r="D3397" s="2" t="s">
        <v>10055</v>
      </c>
      <c r="E3397" s="15">
        <v>0.1179</v>
      </c>
      <c r="F3397" s="15">
        <v>0.1588</v>
      </c>
      <c r="G3397" s="15">
        <v>0.45789999999999997</v>
      </c>
      <c r="H3397" s="15">
        <v>4.7300000000000002E-2</v>
      </c>
      <c r="I3397" s="15">
        <v>3.8600000000000002E-2</v>
      </c>
      <c r="J3397" s="15">
        <v>1.2253886010362689</v>
      </c>
    </row>
    <row r="3398" spans="1:10" x14ac:dyDescent="0.25">
      <c r="A3398" s="2" t="s">
        <v>8941</v>
      </c>
      <c r="B3398" s="2" t="s">
        <v>7007</v>
      </c>
      <c r="C3398" s="2" t="s">
        <v>8942</v>
      </c>
      <c r="D3398" s="2" t="s">
        <v>10055</v>
      </c>
      <c r="E3398" s="15"/>
      <c r="F3398" s="15"/>
      <c r="G3398" s="15"/>
      <c r="H3398" s="15"/>
      <c r="I3398" s="15"/>
      <c r="J3398" s="15"/>
    </row>
    <row r="3399" spans="1:10" x14ac:dyDescent="0.25">
      <c r="A3399" s="2" t="s">
        <v>8943</v>
      </c>
      <c r="B3399" s="2" t="s">
        <v>7007</v>
      </c>
      <c r="C3399" s="2" t="s">
        <v>8944</v>
      </c>
      <c r="D3399" s="2" t="s">
        <v>10055</v>
      </c>
      <c r="E3399" s="15">
        <v>-2.5999999999999999E-2</v>
      </c>
      <c r="F3399" s="15">
        <v>0.16239999999999999</v>
      </c>
      <c r="G3399" s="15">
        <v>0.87280000000000002</v>
      </c>
      <c r="H3399" s="15">
        <v>4.6800000000000001E-2</v>
      </c>
      <c r="I3399" s="15">
        <v>4.2700000000000002E-2</v>
      </c>
      <c r="J3399" s="15">
        <v>1.096018735362998</v>
      </c>
    </row>
    <row r="3400" spans="1:10" x14ac:dyDescent="0.25">
      <c r="A3400" s="2" t="s">
        <v>8945</v>
      </c>
      <c r="B3400" s="2" t="s">
        <v>7007</v>
      </c>
      <c r="C3400" s="2" t="s">
        <v>8946</v>
      </c>
      <c r="D3400" s="2" t="s">
        <v>10055</v>
      </c>
      <c r="E3400" s="15">
        <v>-7.4300000000000005E-2</v>
      </c>
      <c r="F3400" s="15">
        <v>0.1047</v>
      </c>
      <c r="G3400" s="15">
        <v>0.47799999999999998</v>
      </c>
      <c r="H3400" s="15">
        <v>9.6199999999999994E-2</v>
      </c>
      <c r="I3400" s="15">
        <v>4.2799999999999998E-2</v>
      </c>
      <c r="J3400" s="15">
        <v>2.2476635514018688</v>
      </c>
    </row>
    <row r="3401" spans="1:10" x14ac:dyDescent="0.25">
      <c r="A3401" s="2" t="s">
        <v>8947</v>
      </c>
      <c r="B3401" s="2" t="s">
        <v>7007</v>
      </c>
      <c r="C3401" s="2" t="s">
        <v>8948</v>
      </c>
      <c r="D3401" s="2" t="s">
        <v>10055</v>
      </c>
      <c r="E3401" s="15">
        <v>-7.1900000000000006E-2</v>
      </c>
      <c r="F3401" s="15">
        <v>0.122</v>
      </c>
      <c r="G3401" s="15">
        <v>0.5554</v>
      </c>
      <c r="H3401" s="15">
        <v>9.2899999999999996E-2</v>
      </c>
      <c r="I3401" s="15">
        <v>4.1200000000000001E-2</v>
      </c>
      <c r="J3401" s="15">
        <v>2.2548543689320391</v>
      </c>
    </row>
    <row r="3402" spans="1:10" x14ac:dyDescent="0.25">
      <c r="A3402" s="2" t="s">
        <v>8949</v>
      </c>
      <c r="B3402" s="2" t="s">
        <v>7007</v>
      </c>
      <c r="C3402" s="2" t="s">
        <v>8950</v>
      </c>
      <c r="D3402" s="2" t="s">
        <v>10055</v>
      </c>
      <c r="E3402" s="15">
        <v>0.1714</v>
      </c>
      <c r="F3402" s="15">
        <v>0.15759999999999999</v>
      </c>
      <c r="G3402" s="15">
        <v>0.27679999999999999</v>
      </c>
      <c r="H3402" s="15">
        <v>6.2600000000000003E-2</v>
      </c>
      <c r="I3402" s="15">
        <v>4.1500000000000002E-2</v>
      </c>
      <c r="J3402" s="15">
        <v>1.508433734939759</v>
      </c>
    </row>
    <row r="3403" spans="1:10" x14ac:dyDescent="0.25">
      <c r="A3403" s="2" t="s">
        <v>8951</v>
      </c>
      <c r="B3403" s="2" t="s">
        <v>7007</v>
      </c>
      <c r="C3403" s="2" t="s">
        <v>8952</v>
      </c>
      <c r="D3403" s="2" t="s">
        <v>10055</v>
      </c>
      <c r="E3403" s="15">
        <v>-0.1255</v>
      </c>
      <c r="F3403" s="15">
        <v>0.1043</v>
      </c>
      <c r="G3403" s="15">
        <v>0.22900000000000001</v>
      </c>
      <c r="H3403" s="15">
        <v>0.1043</v>
      </c>
      <c r="I3403" s="15">
        <v>4.19E-2</v>
      </c>
      <c r="J3403" s="15">
        <v>2.489260143198091</v>
      </c>
    </row>
    <row r="3404" spans="1:10" x14ac:dyDescent="0.25">
      <c r="A3404" s="2" t="s">
        <v>8953</v>
      </c>
      <c r="B3404" s="2" t="s">
        <v>7007</v>
      </c>
      <c r="C3404" s="2" t="s">
        <v>8954</v>
      </c>
      <c r="D3404" s="2" t="s">
        <v>10055</v>
      </c>
      <c r="E3404" s="15"/>
      <c r="F3404" s="15"/>
      <c r="G3404" s="15"/>
      <c r="H3404" s="15">
        <v>-2.7099999999999999E-2</v>
      </c>
      <c r="I3404" s="15">
        <v>3.9E-2</v>
      </c>
      <c r="J3404" s="15">
        <v>-0.69487179487179485</v>
      </c>
    </row>
    <row r="3405" spans="1:10" x14ac:dyDescent="0.25">
      <c r="A3405" s="2" t="s">
        <v>8955</v>
      </c>
      <c r="B3405" s="2" t="s">
        <v>7007</v>
      </c>
      <c r="C3405" s="2" t="s">
        <v>8956</v>
      </c>
      <c r="D3405" s="2" t="s">
        <v>10055</v>
      </c>
      <c r="E3405" s="15">
        <v>0.26800000000000002</v>
      </c>
      <c r="F3405" s="15">
        <v>0.13339999999999999</v>
      </c>
      <c r="G3405" s="15">
        <v>4.4499999999999998E-2</v>
      </c>
      <c r="H3405" s="15">
        <v>9.6500000000000002E-2</v>
      </c>
      <c r="I3405" s="15">
        <v>4.2000000000000003E-2</v>
      </c>
      <c r="J3405" s="15">
        <v>2.297619047619047</v>
      </c>
    </row>
    <row r="3406" spans="1:10" x14ac:dyDescent="0.25">
      <c r="A3406" s="2" t="s">
        <v>8957</v>
      </c>
      <c r="B3406" s="2" t="s">
        <v>7007</v>
      </c>
      <c r="C3406" s="2" t="s">
        <v>8958</v>
      </c>
      <c r="D3406" s="2" t="s">
        <v>10055</v>
      </c>
      <c r="E3406" s="15">
        <v>0.11559999999999999</v>
      </c>
      <c r="F3406" s="15">
        <v>0.1416</v>
      </c>
      <c r="G3406" s="15">
        <v>0.41389999999999999</v>
      </c>
      <c r="H3406" s="15">
        <v>7.46E-2</v>
      </c>
      <c r="I3406" s="15">
        <v>4.0599999999999997E-2</v>
      </c>
      <c r="J3406" s="15">
        <v>1.8374384236453201</v>
      </c>
    </row>
    <row r="3407" spans="1:10" x14ac:dyDescent="0.25">
      <c r="A3407" s="2" t="s">
        <v>8959</v>
      </c>
      <c r="B3407" s="2" t="s">
        <v>7007</v>
      </c>
      <c r="C3407" s="2" t="s">
        <v>8960</v>
      </c>
      <c r="D3407" s="2" t="s">
        <v>10055</v>
      </c>
      <c r="E3407" s="15">
        <v>-0.2152</v>
      </c>
      <c r="F3407" s="15">
        <v>0.1152</v>
      </c>
      <c r="G3407" s="15">
        <v>6.1800000000000001E-2</v>
      </c>
      <c r="H3407" s="15">
        <v>0.1061</v>
      </c>
      <c r="I3407" s="15">
        <v>4.1799999999999997E-2</v>
      </c>
      <c r="J3407" s="15">
        <v>2.5382775119617231</v>
      </c>
    </row>
    <row r="3408" spans="1:10" x14ac:dyDescent="0.25">
      <c r="A3408" s="2" t="s">
        <v>8961</v>
      </c>
      <c r="B3408" s="2" t="s">
        <v>7007</v>
      </c>
      <c r="C3408" s="2" t="s">
        <v>8962</v>
      </c>
      <c r="D3408" s="2" t="s">
        <v>10055</v>
      </c>
      <c r="E3408" s="15">
        <v>9.0399999999999994E-2</v>
      </c>
      <c r="F3408" s="15">
        <v>0.22070000000000001</v>
      </c>
      <c r="G3408" s="15">
        <v>0.68220000000000003</v>
      </c>
      <c r="H3408" s="15">
        <v>3.1600000000000003E-2</v>
      </c>
      <c r="I3408" s="15">
        <v>4.1099999999999998E-2</v>
      </c>
      <c r="J3408" s="15">
        <v>0.76885644768856465</v>
      </c>
    </row>
    <row r="3409" spans="1:10" x14ac:dyDescent="0.25">
      <c r="A3409" s="2" t="s">
        <v>8963</v>
      </c>
      <c r="B3409" s="2" t="s">
        <v>7007</v>
      </c>
      <c r="C3409" s="2" t="s">
        <v>8964</v>
      </c>
      <c r="D3409" s="2" t="s">
        <v>10055</v>
      </c>
      <c r="E3409" s="15">
        <v>3.95E-2</v>
      </c>
      <c r="F3409" s="15">
        <v>0.10639999999999999</v>
      </c>
      <c r="G3409" s="15">
        <v>0.7107</v>
      </c>
      <c r="H3409" s="15">
        <v>0.1022</v>
      </c>
      <c r="I3409" s="15">
        <v>4.3999999999999997E-2</v>
      </c>
      <c r="J3409" s="15">
        <v>2.3227272727272732</v>
      </c>
    </row>
    <row r="3410" spans="1:10" x14ac:dyDescent="0.25">
      <c r="A3410" s="2" t="s">
        <v>8965</v>
      </c>
      <c r="B3410" s="2" t="s">
        <v>7007</v>
      </c>
      <c r="C3410" s="2" t="s">
        <v>8966</v>
      </c>
      <c r="D3410" s="2" t="s">
        <v>10055</v>
      </c>
      <c r="E3410" s="15">
        <v>5.8999999999999997E-2</v>
      </c>
      <c r="F3410" s="15">
        <v>0.14399999999999999</v>
      </c>
      <c r="G3410" s="15">
        <v>0.68210000000000004</v>
      </c>
      <c r="H3410" s="15">
        <v>6.1499999999999999E-2</v>
      </c>
      <c r="I3410" s="15">
        <v>4.8500000000000001E-2</v>
      </c>
      <c r="J3410" s="15">
        <v>1.268041237113402</v>
      </c>
    </row>
    <row r="3411" spans="1:10" x14ac:dyDescent="0.25">
      <c r="A3411" s="2" t="s">
        <v>8967</v>
      </c>
      <c r="B3411" s="2" t="s">
        <v>7007</v>
      </c>
      <c r="C3411" s="2" t="s">
        <v>8968</v>
      </c>
      <c r="D3411" s="2" t="s">
        <v>10055</v>
      </c>
      <c r="E3411" s="15">
        <v>-0.16189999999999999</v>
      </c>
      <c r="F3411" s="15">
        <v>0.50360000000000005</v>
      </c>
      <c r="G3411" s="15">
        <v>0.74780000000000002</v>
      </c>
      <c r="H3411" s="15">
        <v>1.23E-2</v>
      </c>
      <c r="I3411" s="15">
        <v>3.6999999999999998E-2</v>
      </c>
      <c r="J3411" s="15">
        <v>0.33243243243243248</v>
      </c>
    </row>
    <row r="3412" spans="1:10" x14ac:dyDescent="0.25">
      <c r="A3412" s="2" t="s">
        <v>8969</v>
      </c>
      <c r="B3412" s="2" t="s">
        <v>7007</v>
      </c>
      <c r="C3412" s="2" t="s">
        <v>8970</v>
      </c>
      <c r="D3412" s="2" t="s">
        <v>10055</v>
      </c>
      <c r="E3412" s="15">
        <v>-0.21010000000000001</v>
      </c>
      <c r="F3412" s="15">
        <v>0.19009999999999999</v>
      </c>
      <c r="G3412" s="15">
        <v>0.26919999999999999</v>
      </c>
      <c r="H3412" s="15">
        <v>5.2499999999999998E-2</v>
      </c>
      <c r="I3412" s="15">
        <v>4.8800000000000003E-2</v>
      </c>
      <c r="J3412" s="15">
        <v>1.075819672131147</v>
      </c>
    </row>
    <row r="3413" spans="1:10" x14ac:dyDescent="0.25">
      <c r="A3413" s="2" t="s">
        <v>8971</v>
      </c>
      <c r="B3413" s="2" t="s">
        <v>7007</v>
      </c>
      <c r="C3413" s="2" t="s">
        <v>8972</v>
      </c>
      <c r="D3413" s="2" t="s">
        <v>10055</v>
      </c>
      <c r="E3413" s="15">
        <v>2.47E-2</v>
      </c>
      <c r="F3413" s="15">
        <v>9.5399999999999999E-2</v>
      </c>
      <c r="G3413" s="15">
        <v>0.79549999999999998</v>
      </c>
      <c r="H3413" s="15">
        <v>0.1588</v>
      </c>
      <c r="I3413" s="15">
        <v>3.9300000000000002E-2</v>
      </c>
      <c r="J3413" s="15">
        <v>4.0407124681933837</v>
      </c>
    </row>
    <row r="3414" spans="1:10" x14ac:dyDescent="0.25">
      <c r="A3414" s="2" t="s">
        <v>8973</v>
      </c>
      <c r="B3414" s="2" t="s">
        <v>7007</v>
      </c>
      <c r="C3414" s="2" t="s">
        <v>8974</v>
      </c>
      <c r="D3414" s="2" t="s">
        <v>10055</v>
      </c>
      <c r="E3414" s="15">
        <v>-0.21329999999999999</v>
      </c>
      <c r="F3414" s="15">
        <v>0.13900000000000001</v>
      </c>
      <c r="G3414" s="15">
        <v>0.12470000000000001</v>
      </c>
      <c r="H3414" s="15">
        <v>7.1499999999999994E-2</v>
      </c>
      <c r="I3414" s="15">
        <v>4.2999999999999997E-2</v>
      </c>
      <c r="J3414" s="15">
        <v>1.6627906976744189</v>
      </c>
    </row>
    <row r="3415" spans="1:10" x14ac:dyDescent="0.25">
      <c r="A3415" s="2" t="s">
        <v>8975</v>
      </c>
      <c r="B3415" s="2" t="s">
        <v>7007</v>
      </c>
      <c r="C3415" s="2" t="s">
        <v>8976</v>
      </c>
      <c r="D3415" s="2" t="s">
        <v>10055</v>
      </c>
      <c r="E3415" s="15">
        <v>0.1565</v>
      </c>
      <c r="F3415" s="15">
        <v>0.28639999999999999</v>
      </c>
      <c r="G3415" s="15">
        <v>0.5847</v>
      </c>
      <c r="H3415" s="15">
        <v>2.3300000000000001E-2</v>
      </c>
      <c r="I3415" s="15">
        <v>4.2799999999999998E-2</v>
      </c>
      <c r="J3415" s="15">
        <v>0.54439252336448607</v>
      </c>
    </row>
    <row r="3416" spans="1:10" x14ac:dyDescent="0.25">
      <c r="A3416" s="2" t="s">
        <v>8977</v>
      </c>
      <c r="B3416" s="2" t="s">
        <v>7007</v>
      </c>
      <c r="C3416" s="2" t="s">
        <v>8978</v>
      </c>
      <c r="D3416" s="2" t="s">
        <v>10055</v>
      </c>
      <c r="E3416" s="15">
        <v>-3.56E-2</v>
      </c>
      <c r="F3416" s="15">
        <v>0.1159</v>
      </c>
      <c r="G3416" s="15">
        <v>0.75890000000000002</v>
      </c>
      <c r="H3416" s="15">
        <v>0.1191</v>
      </c>
      <c r="I3416" s="15">
        <v>4.6699999999999998E-2</v>
      </c>
      <c r="J3416" s="15">
        <v>2.5503211991434691</v>
      </c>
    </row>
    <row r="3417" spans="1:10" x14ac:dyDescent="0.25">
      <c r="A3417" s="2" t="s">
        <v>8979</v>
      </c>
      <c r="B3417" s="2" t="s">
        <v>7007</v>
      </c>
      <c r="C3417" s="2" t="s">
        <v>8980</v>
      </c>
      <c r="D3417" s="2" t="s">
        <v>10055</v>
      </c>
      <c r="E3417" s="15">
        <v>-0.26669999999999999</v>
      </c>
      <c r="F3417" s="15">
        <v>0.47489999999999999</v>
      </c>
      <c r="G3417" s="15">
        <v>0.57430000000000003</v>
      </c>
      <c r="H3417" s="15">
        <v>1.8800000000000001E-2</v>
      </c>
      <c r="I3417" s="15">
        <v>4.3499999999999997E-2</v>
      </c>
      <c r="J3417" s="15">
        <v>0.43218390804597712</v>
      </c>
    </row>
    <row r="3418" spans="1:10" x14ac:dyDescent="0.25">
      <c r="A3418" s="2" t="s">
        <v>8981</v>
      </c>
      <c r="B3418" s="2" t="s">
        <v>7007</v>
      </c>
      <c r="C3418" s="2" t="s">
        <v>8982</v>
      </c>
      <c r="D3418" s="2" t="s">
        <v>10055</v>
      </c>
      <c r="E3418" s="15">
        <v>2.58E-2</v>
      </c>
      <c r="F3418" s="15">
        <v>0.1477</v>
      </c>
      <c r="G3418" s="15">
        <v>0.86099999999999999</v>
      </c>
      <c r="H3418" s="15">
        <v>6.2899999999999998E-2</v>
      </c>
      <c r="I3418" s="15">
        <v>4.19E-2</v>
      </c>
      <c r="J3418" s="15">
        <v>1.5011933174224339</v>
      </c>
    </row>
    <row r="3419" spans="1:10" x14ac:dyDescent="0.25">
      <c r="A3419" s="2" t="s">
        <v>8983</v>
      </c>
      <c r="B3419" s="2" t="s">
        <v>7007</v>
      </c>
      <c r="C3419" s="2" t="s">
        <v>8984</v>
      </c>
      <c r="D3419" s="2" t="s">
        <v>10055</v>
      </c>
      <c r="E3419" s="15">
        <v>-0.10050000000000001</v>
      </c>
      <c r="F3419" s="15">
        <v>0.23849999999999999</v>
      </c>
      <c r="G3419" s="15">
        <v>0.6734</v>
      </c>
      <c r="H3419" s="15">
        <v>2.8299999999999999E-2</v>
      </c>
      <c r="I3419" s="15">
        <v>4.2900000000000001E-2</v>
      </c>
      <c r="J3419" s="15">
        <v>0.65967365967365965</v>
      </c>
    </row>
    <row r="3420" spans="1:10" x14ac:dyDescent="0.25">
      <c r="A3420" s="2" t="s">
        <v>8985</v>
      </c>
      <c r="B3420" s="2" t="s">
        <v>7007</v>
      </c>
      <c r="C3420" s="2" t="s">
        <v>8986</v>
      </c>
      <c r="D3420" s="2" t="s">
        <v>10055</v>
      </c>
      <c r="E3420" s="15">
        <v>-2.06E-2</v>
      </c>
      <c r="F3420" s="15">
        <v>9.8900000000000002E-2</v>
      </c>
      <c r="G3420" s="15">
        <v>0.83530000000000004</v>
      </c>
      <c r="H3420" s="15">
        <v>0.12230000000000001</v>
      </c>
      <c r="I3420" s="15">
        <v>4.2500000000000003E-2</v>
      </c>
      <c r="J3420" s="15">
        <v>2.8776470588235288</v>
      </c>
    </row>
    <row r="3421" spans="1:10" x14ac:dyDescent="0.25">
      <c r="A3421" s="2" t="s">
        <v>8987</v>
      </c>
      <c r="B3421" s="2" t="s">
        <v>7007</v>
      </c>
      <c r="C3421" s="2" t="s">
        <v>8988</v>
      </c>
      <c r="D3421" s="2" t="s">
        <v>10055</v>
      </c>
      <c r="E3421" s="15">
        <v>-0.2757</v>
      </c>
      <c r="F3421" s="15">
        <v>0.183</v>
      </c>
      <c r="G3421" s="15">
        <v>0.13200000000000001</v>
      </c>
      <c r="H3421" s="15">
        <v>5.6399999999999999E-2</v>
      </c>
      <c r="I3421" s="15">
        <v>4.8099999999999997E-2</v>
      </c>
      <c r="J3421" s="15">
        <v>1.1725571725571731</v>
      </c>
    </row>
    <row r="3422" spans="1:10" x14ac:dyDescent="0.25">
      <c r="A3422" s="2" t="s">
        <v>8989</v>
      </c>
      <c r="B3422" s="2" t="s">
        <v>7007</v>
      </c>
      <c r="C3422" s="2" t="s">
        <v>8990</v>
      </c>
      <c r="D3422" s="2" t="s">
        <v>10055</v>
      </c>
      <c r="E3422" s="15">
        <v>-0.26419999999999999</v>
      </c>
      <c r="F3422" s="15">
        <v>0.12139999999999999</v>
      </c>
      <c r="G3422" s="15">
        <v>2.9600000000000001E-2</v>
      </c>
      <c r="H3422" s="15">
        <v>0.1012</v>
      </c>
      <c r="I3422" s="15">
        <v>4.19E-2</v>
      </c>
      <c r="J3422" s="15">
        <v>2.4152744630071599</v>
      </c>
    </row>
    <row r="3423" spans="1:10" x14ac:dyDescent="0.25">
      <c r="A3423" s="2" t="s">
        <v>8991</v>
      </c>
      <c r="B3423" s="2" t="s">
        <v>7007</v>
      </c>
      <c r="C3423" s="2" t="s">
        <v>8992</v>
      </c>
      <c r="D3423" s="2" t="s">
        <v>10055</v>
      </c>
      <c r="E3423" s="15">
        <v>0.28689999999999999</v>
      </c>
      <c r="F3423" s="15">
        <v>0.2296</v>
      </c>
      <c r="G3423" s="15">
        <v>0.2114</v>
      </c>
      <c r="H3423" s="15">
        <v>4.2000000000000003E-2</v>
      </c>
      <c r="I3423" s="15">
        <v>4.3799999999999999E-2</v>
      </c>
      <c r="J3423" s="15">
        <v>0.95890410958904115</v>
      </c>
    </row>
    <row r="3424" spans="1:10" x14ac:dyDescent="0.25">
      <c r="A3424" s="2" t="s">
        <v>8993</v>
      </c>
      <c r="B3424" s="2" t="s">
        <v>7007</v>
      </c>
      <c r="C3424" s="2" t="s">
        <v>8994</v>
      </c>
      <c r="D3424" s="2" t="s">
        <v>10055</v>
      </c>
      <c r="E3424" s="15">
        <v>-0.21879999999999999</v>
      </c>
      <c r="F3424" s="15">
        <v>0.2109</v>
      </c>
      <c r="G3424" s="15">
        <v>0.29959999999999998</v>
      </c>
      <c r="H3424" s="15">
        <v>4.8000000000000001E-2</v>
      </c>
      <c r="I3424" s="15">
        <v>4.65E-2</v>
      </c>
      <c r="J3424" s="15">
        <v>1.032258064516129</v>
      </c>
    </row>
    <row r="3425" spans="1:10" x14ac:dyDescent="0.25">
      <c r="A3425" s="2" t="s">
        <v>8995</v>
      </c>
      <c r="B3425" s="2" t="s">
        <v>7007</v>
      </c>
      <c r="C3425" s="2" t="s">
        <v>8996</v>
      </c>
      <c r="D3425" s="2" t="s">
        <v>10055</v>
      </c>
      <c r="E3425" s="15">
        <v>8.3699999999999997E-2</v>
      </c>
      <c r="F3425" s="15">
        <v>0.11269999999999999</v>
      </c>
      <c r="G3425" s="15">
        <v>0.45760000000000001</v>
      </c>
      <c r="H3425" s="15">
        <v>9.2899999999999996E-2</v>
      </c>
      <c r="I3425" s="15">
        <v>4.2299999999999997E-2</v>
      </c>
      <c r="J3425" s="15">
        <v>2.1962174940898351</v>
      </c>
    </row>
    <row r="3426" spans="1:10" x14ac:dyDescent="0.25">
      <c r="A3426" s="2" t="s">
        <v>8997</v>
      </c>
      <c r="B3426" s="2" t="s">
        <v>7007</v>
      </c>
      <c r="C3426" s="2" t="s">
        <v>8998</v>
      </c>
      <c r="D3426" s="2" t="s">
        <v>10055</v>
      </c>
      <c r="E3426" s="15"/>
      <c r="F3426" s="15"/>
      <c r="G3426" s="15"/>
      <c r="H3426" s="15">
        <v>-2.5399999999999999E-2</v>
      </c>
      <c r="I3426" s="15">
        <v>3.9199999999999999E-2</v>
      </c>
      <c r="J3426" s="15">
        <v>-0.64795918367346939</v>
      </c>
    </row>
    <row r="3427" spans="1:10" x14ac:dyDescent="0.25">
      <c r="A3427" s="2" t="s">
        <v>8999</v>
      </c>
      <c r="B3427" s="2" t="s">
        <v>7007</v>
      </c>
      <c r="C3427" s="2" t="s">
        <v>9000</v>
      </c>
      <c r="D3427" s="2" t="s">
        <v>10055</v>
      </c>
      <c r="E3427" s="15">
        <v>2.4199999999999999E-2</v>
      </c>
      <c r="F3427" s="15">
        <v>0.12429999999999999</v>
      </c>
      <c r="G3427" s="15">
        <v>0.84570000000000001</v>
      </c>
      <c r="H3427" s="15">
        <v>7.3400000000000007E-2</v>
      </c>
      <c r="I3427" s="15">
        <v>4.2000000000000003E-2</v>
      </c>
      <c r="J3427" s="15">
        <v>1.7476190476190481</v>
      </c>
    </row>
    <row r="3428" spans="1:10" x14ac:dyDescent="0.25">
      <c r="A3428" s="2" t="s">
        <v>9001</v>
      </c>
      <c r="B3428" s="2" t="s">
        <v>7007</v>
      </c>
      <c r="C3428" s="2" t="s">
        <v>9002</v>
      </c>
      <c r="D3428" s="2" t="s">
        <v>10055</v>
      </c>
      <c r="E3428" s="15"/>
      <c r="F3428" s="15"/>
      <c r="G3428" s="15"/>
      <c r="H3428" s="15">
        <v>-1.23E-2</v>
      </c>
      <c r="I3428" s="15">
        <v>3.8300000000000001E-2</v>
      </c>
      <c r="J3428" s="15">
        <v>-0.32114882506527409</v>
      </c>
    </row>
    <row r="3429" spans="1:10" x14ac:dyDescent="0.25">
      <c r="A3429" s="2" t="s">
        <v>9003</v>
      </c>
      <c r="B3429" s="2" t="s">
        <v>7007</v>
      </c>
      <c r="C3429" s="2" t="s">
        <v>9004</v>
      </c>
      <c r="D3429" s="2" t="s">
        <v>10055</v>
      </c>
      <c r="E3429" s="15"/>
      <c r="F3429" s="15"/>
      <c r="G3429" s="15"/>
      <c r="H3429" s="15"/>
      <c r="I3429" s="15"/>
      <c r="J3429" s="15"/>
    </row>
    <row r="3430" spans="1:10" x14ac:dyDescent="0.25">
      <c r="A3430" s="2" t="s">
        <v>9005</v>
      </c>
      <c r="B3430" s="2" t="s">
        <v>7007</v>
      </c>
      <c r="C3430" s="2" t="s">
        <v>9006</v>
      </c>
      <c r="D3430" s="2" t="s">
        <v>10055</v>
      </c>
      <c r="E3430" s="15"/>
      <c r="F3430" s="15"/>
      <c r="G3430" s="15"/>
      <c r="H3430" s="15">
        <v>-6.8999999999999999E-3</v>
      </c>
      <c r="I3430" s="15">
        <v>3.85E-2</v>
      </c>
      <c r="J3430" s="15">
        <v>-0.1792207792207792</v>
      </c>
    </row>
    <row r="3431" spans="1:10" x14ac:dyDescent="0.25">
      <c r="A3431" s="2" t="s">
        <v>9007</v>
      </c>
      <c r="B3431" s="2" t="s">
        <v>7007</v>
      </c>
      <c r="C3431" s="2" t="s">
        <v>9008</v>
      </c>
      <c r="D3431" s="2" t="s">
        <v>10055</v>
      </c>
      <c r="E3431" s="15">
        <v>7.8100000000000003E-2</v>
      </c>
      <c r="F3431" s="15">
        <v>8.4400000000000003E-2</v>
      </c>
      <c r="G3431" s="15">
        <v>0.35499999999999998</v>
      </c>
      <c r="H3431" s="15">
        <v>0.15679999999999999</v>
      </c>
      <c r="I3431" s="15">
        <v>5.4399999999999997E-2</v>
      </c>
      <c r="J3431" s="15">
        <v>2.882352941176471</v>
      </c>
    </row>
    <row r="3432" spans="1:10" x14ac:dyDescent="0.25">
      <c r="A3432" s="2" t="s">
        <v>9009</v>
      </c>
      <c r="B3432" s="2" t="s">
        <v>7007</v>
      </c>
      <c r="C3432" s="2" t="s">
        <v>9010</v>
      </c>
      <c r="D3432" s="2" t="s">
        <v>10055</v>
      </c>
      <c r="E3432" s="15">
        <v>-1.6199999999999999E-2</v>
      </c>
      <c r="F3432" s="15">
        <v>0.1893</v>
      </c>
      <c r="G3432" s="15">
        <v>0.93200000000000005</v>
      </c>
      <c r="H3432" s="15">
        <v>3.3399999999999999E-2</v>
      </c>
      <c r="I3432" s="15">
        <v>4.9700000000000001E-2</v>
      </c>
      <c r="J3432" s="15">
        <v>0.67203219315895368</v>
      </c>
    </row>
    <row r="3433" spans="1:10" x14ac:dyDescent="0.25">
      <c r="A3433" s="2" t="s">
        <v>9011</v>
      </c>
      <c r="B3433" s="2" t="s">
        <v>7007</v>
      </c>
      <c r="C3433" s="2" t="s">
        <v>9012</v>
      </c>
      <c r="D3433" s="2" t="s">
        <v>10055</v>
      </c>
      <c r="E3433" s="15">
        <v>0.1002</v>
      </c>
      <c r="F3433" s="15">
        <v>0.2293</v>
      </c>
      <c r="G3433" s="15">
        <v>0.66220000000000001</v>
      </c>
      <c r="H3433" s="15">
        <v>3.2099999999999997E-2</v>
      </c>
      <c r="I3433" s="15">
        <v>4.1500000000000002E-2</v>
      </c>
      <c r="J3433" s="15">
        <v>0.77349397590361435</v>
      </c>
    </row>
    <row r="3434" spans="1:10" x14ac:dyDescent="0.25">
      <c r="A3434" s="2" t="s">
        <v>9013</v>
      </c>
      <c r="B3434" s="2" t="s">
        <v>7007</v>
      </c>
      <c r="C3434" s="2" t="s">
        <v>9014</v>
      </c>
      <c r="D3434" s="2" t="s">
        <v>10055</v>
      </c>
      <c r="E3434" s="15"/>
      <c r="F3434" s="15"/>
      <c r="G3434" s="15"/>
      <c r="H3434" s="15">
        <v>-1.78E-2</v>
      </c>
      <c r="I3434" s="15">
        <v>3.8600000000000002E-2</v>
      </c>
      <c r="J3434" s="15">
        <v>-0.46113989637305702</v>
      </c>
    </row>
    <row r="3435" spans="1:10" x14ac:dyDescent="0.25">
      <c r="A3435" s="2" t="s">
        <v>9015</v>
      </c>
      <c r="B3435" s="2" t="s">
        <v>7007</v>
      </c>
      <c r="C3435" s="2" t="s">
        <v>9016</v>
      </c>
      <c r="D3435" s="2" t="s">
        <v>10055</v>
      </c>
      <c r="E3435" s="15">
        <v>0.1057</v>
      </c>
      <c r="F3435" s="15">
        <v>0.26250000000000001</v>
      </c>
      <c r="G3435" s="15">
        <v>0.68710000000000004</v>
      </c>
      <c r="H3435" s="15">
        <v>2.7900000000000001E-2</v>
      </c>
      <c r="I3435" s="15">
        <v>4.2900000000000001E-2</v>
      </c>
      <c r="J3435" s="15">
        <v>0.65034965034965042</v>
      </c>
    </row>
    <row r="3436" spans="1:10" x14ac:dyDescent="0.25">
      <c r="A3436" s="2" t="s">
        <v>9017</v>
      </c>
      <c r="B3436" s="2" t="s">
        <v>7007</v>
      </c>
      <c r="C3436" s="2" t="s">
        <v>9018</v>
      </c>
      <c r="D3436" s="2" t="s">
        <v>10055</v>
      </c>
      <c r="E3436" s="15"/>
      <c r="F3436" s="15"/>
      <c r="G3436" s="15"/>
      <c r="H3436" s="15"/>
      <c r="I3436" s="15"/>
      <c r="J3436" s="15"/>
    </row>
    <row r="3437" spans="1:10" x14ac:dyDescent="0.25">
      <c r="A3437" s="2" t="s">
        <v>9019</v>
      </c>
      <c r="B3437" s="2" t="s">
        <v>7007</v>
      </c>
      <c r="C3437" s="2" t="s">
        <v>9020</v>
      </c>
      <c r="D3437" s="2" t="s">
        <v>10055</v>
      </c>
      <c r="E3437" s="15">
        <v>9.1600000000000001E-2</v>
      </c>
      <c r="F3437" s="15">
        <v>0.1666</v>
      </c>
      <c r="G3437" s="15">
        <v>0.58250000000000002</v>
      </c>
      <c r="H3437" s="15">
        <v>5.0299999999999997E-2</v>
      </c>
      <c r="I3437" s="15">
        <v>4.5400000000000003E-2</v>
      </c>
      <c r="J3437" s="15">
        <v>1.107929515418502</v>
      </c>
    </row>
    <row r="3438" spans="1:10" x14ac:dyDescent="0.25">
      <c r="A3438" s="2" t="s">
        <v>9021</v>
      </c>
      <c r="B3438" s="2" t="s">
        <v>7007</v>
      </c>
      <c r="C3438" s="2" t="s">
        <v>9022</v>
      </c>
      <c r="D3438" s="2" t="s">
        <v>10055</v>
      </c>
      <c r="E3438" s="15"/>
      <c r="F3438" s="15"/>
      <c r="G3438" s="15"/>
      <c r="H3438" s="15"/>
      <c r="I3438" s="15"/>
      <c r="J3438" s="15"/>
    </row>
    <row r="3439" spans="1:10" x14ac:dyDescent="0.25">
      <c r="A3439" s="2" t="s">
        <v>9023</v>
      </c>
      <c r="B3439" s="2" t="s">
        <v>7007</v>
      </c>
      <c r="C3439" s="2" t="s">
        <v>9024</v>
      </c>
      <c r="D3439" s="2" t="s">
        <v>10055</v>
      </c>
      <c r="E3439" s="15">
        <v>-6.1600000000000002E-2</v>
      </c>
      <c r="F3439" s="15">
        <v>0.1351</v>
      </c>
      <c r="G3439" s="15">
        <v>0.64829999999999999</v>
      </c>
      <c r="H3439" s="15">
        <v>6.5500000000000003E-2</v>
      </c>
      <c r="I3439" s="15">
        <v>4.2599999999999999E-2</v>
      </c>
      <c r="J3439" s="15">
        <v>1.537558685446009</v>
      </c>
    </row>
    <row r="3440" spans="1:10" x14ac:dyDescent="0.25">
      <c r="A3440" s="2" t="s">
        <v>9025</v>
      </c>
      <c r="B3440" s="2" t="s">
        <v>7007</v>
      </c>
      <c r="C3440" s="2" t="s">
        <v>9026</v>
      </c>
      <c r="D3440" s="2" t="s">
        <v>10055</v>
      </c>
      <c r="E3440" s="15">
        <v>8.0399999999999999E-2</v>
      </c>
      <c r="F3440" s="15">
        <v>0.3291</v>
      </c>
      <c r="G3440" s="15">
        <v>0.80710000000000004</v>
      </c>
      <c r="H3440" s="15">
        <v>1.8200000000000001E-2</v>
      </c>
      <c r="I3440" s="15">
        <v>4.3799999999999999E-2</v>
      </c>
      <c r="J3440" s="15">
        <v>0.41552511415525117</v>
      </c>
    </row>
    <row r="3441" spans="1:10" x14ac:dyDescent="0.25">
      <c r="A3441" s="2" t="s">
        <v>9027</v>
      </c>
      <c r="B3441" s="2" t="s">
        <v>7007</v>
      </c>
      <c r="C3441" s="2" t="s">
        <v>9028</v>
      </c>
      <c r="D3441" s="2" t="s">
        <v>10055</v>
      </c>
      <c r="E3441" s="15">
        <v>8.4699999999999998E-2</v>
      </c>
      <c r="F3441" s="15">
        <v>8.6300000000000002E-2</v>
      </c>
      <c r="G3441" s="15">
        <v>0.32640000000000002</v>
      </c>
      <c r="H3441" s="15">
        <v>0.17560000000000001</v>
      </c>
      <c r="I3441" s="15">
        <v>4.4699999999999997E-2</v>
      </c>
      <c r="J3441" s="15">
        <v>3.9284116331096199</v>
      </c>
    </row>
    <row r="3442" spans="1:10" x14ac:dyDescent="0.25">
      <c r="A3442" s="2" t="s">
        <v>9029</v>
      </c>
      <c r="B3442" s="2" t="s">
        <v>7007</v>
      </c>
      <c r="C3442" s="2" t="s">
        <v>9030</v>
      </c>
      <c r="D3442" s="2" t="s">
        <v>10055</v>
      </c>
      <c r="E3442" s="15">
        <v>0.1109</v>
      </c>
      <c r="F3442" s="15">
        <v>0.32019999999999998</v>
      </c>
      <c r="G3442" s="15">
        <v>0.72899999999999998</v>
      </c>
      <c r="H3442" s="15">
        <v>1.8100000000000002E-2</v>
      </c>
      <c r="I3442" s="15">
        <v>4.0300000000000002E-2</v>
      </c>
      <c r="J3442" s="15">
        <v>0.4491315136476427</v>
      </c>
    </row>
    <row r="3443" spans="1:10" x14ac:dyDescent="0.25">
      <c r="A3443" s="2" t="s">
        <v>9031</v>
      </c>
      <c r="B3443" s="2" t="s">
        <v>7007</v>
      </c>
      <c r="C3443" s="2" t="s">
        <v>9032</v>
      </c>
      <c r="D3443" s="2" t="s">
        <v>10055</v>
      </c>
      <c r="E3443" s="15"/>
      <c r="F3443" s="15"/>
      <c r="G3443" s="15"/>
      <c r="H3443" s="15">
        <v>-2.1999999999999999E-2</v>
      </c>
      <c r="I3443" s="15">
        <v>4.4499999999999998E-2</v>
      </c>
      <c r="J3443" s="15">
        <v>-0.4943820224719101</v>
      </c>
    </row>
    <row r="3444" spans="1:10" x14ac:dyDescent="0.25">
      <c r="A3444" s="2" t="s">
        <v>9033</v>
      </c>
      <c r="B3444" s="2" t="s">
        <v>7007</v>
      </c>
      <c r="C3444" s="2" t="s">
        <v>9034</v>
      </c>
      <c r="D3444" s="2" t="s">
        <v>10055</v>
      </c>
      <c r="E3444" s="15">
        <v>7.7600000000000002E-2</v>
      </c>
      <c r="F3444" s="15">
        <v>0.1283</v>
      </c>
      <c r="G3444" s="15">
        <v>0.5454</v>
      </c>
      <c r="H3444" s="15">
        <v>9.5000000000000001E-2</v>
      </c>
      <c r="I3444" s="15">
        <v>4.65E-2</v>
      </c>
      <c r="J3444" s="15">
        <v>2.043010752688172</v>
      </c>
    </row>
    <row r="3445" spans="1:10" x14ac:dyDescent="0.25">
      <c r="A3445" s="2" t="s">
        <v>9035</v>
      </c>
      <c r="B3445" s="2" t="s">
        <v>7007</v>
      </c>
      <c r="C3445" s="2" t="s">
        <v>9036</v>
      </c>
      <c r="D3445" s="2" t="s">
        <v>10055</v>
      </c>
      <c r="E3445" s="15">
        <v>-4.5199999999999997E-2</v>
      </c>
      <c r="F3445" s="15">
        <v>0.1128</v>
      </c>
      <c r="G3445" s="15">
        <v>0.68840000000000001</v>
      </c>
      <c r="H3445" s="15">
        <v>0.1038</v>
      </c>
      <c r="I3445" s="15">
        <v>3.9699999999999999E-2</v>
      </c>
      <c r="J3445" s="15">
        <v>2.6146095717884128</v>
      </c>
    </row>
    <row r="3446" spans="1:10" x14ac:dyDescent="0.25">
      <c r="A3446" s="2" t="s">
        <v>9037</v>
      </c>
      <c r="B3446" s="2" t="s">
        <v>7007</v>
      </c>
      <c r="C3446" s="2" t="s">
        <v>9038</v>
      </c>
      <c r="D3446" s="2" t="s">
        <v>10055</v>
      </c>
      <c r="E3446" s="15">
        <v>8.6400000000000005E-2</v>
      </c>
      <c r="F3446" s="15">
        <v>0.21579999999999999</v>
      </c>
      <c r="G3446" s="15">
        <v>0.68879999999999997</v>
      </c>
      <c r="H3446" s="15">
        <v>3.5799999999999998E-2</v>
      </c>
      <c r="I3446" s="15">
        <v>4.1599999999999998E-2</v>
      </c>
      <c r="J3446" s="15">
        <v>0.86057692307692313</v>
      </c>
    </row>
    <row r="3447" spans="1:10" x14ac:dyDescent="0.25">
      <c r="A3447" s="2" t="s">
        <v>9039</v>
      </c>
      <c r="B3447" s="2" t="s">
        <v>7007</v>
      </c>
      <c r="C3447" s="2" t="s">
        <v>9040</v>
      </c>
      <c r="D3447" s="2" t="s">
        <v>10055</v>
      </c>
      <c r="E3447" s="15">
        <v>0.15210000000000001</v>
      </c>
      <c r="F3447" s="15">
        <v>0.1439</v>
      </c>
      <c r="G3447" s="15">
        <v>0.29060000000000002</v>
      </c>
      <c r="H3447" s="15">
        <v>5.8400000000000001E-2</v>
      </c>
      <c r="I3447" s="15">
        <v>4.4200000000000003E-2</v>
      </c>
      <c r="J3447" s="15">
        <v>1.321266968325792</v>
      </c>
    </row>
    <row r="3448" spans="1:10" x14ac:dyDescent="0.25">
      <c r="A3448" s="2" t="s">
        <v>9041</v>
      </c>
      <c r="B3448" s="2" t="s">
        <v>7007</v>
      </c>
      <c r="C3448" s="2" t="s">
        <v>9042</v>
      </c>
      <c r="D3448" s="2" t="s">
        <v>10055</v>
      </c>
      <c r="E3448" s="15">
        <v>6.8699999999999997E-2</v>
      </c>
      <c r="F3448" s="15">
        <v>0.30659999999999998</v>
      </c>
      <c r="G3448" s="15">
        <v>0.82269999999999999</v>
      </c>
      <c r="H3448" s="15">
        <v>2.4899999999999999E-2</v>
      </c>
      <c r="I3448" s="15">
        <v>4.3700000000000003E-2</v>
      </c>
      <c r="J3448" s="15">
        <v>0.56979405034324937</v>
      </c>
    </row>
    <row r="3449" spans="1:10" x14ac:dyDescent="0.25">
      <c r="A3449" s="2" t="s">
        <v>9043</v>
      </c>
      <c r="B3449" s="2" t="s">
        <v>7007</v>
      </c>
      <c r="C3449" s="2" t="s">
        <v>9044</v>
      </c>
      <c r="D3449" s="2" t="s">
        <v>10055</v>
      </c>
      <c r="E3449" s="15">
        <v>-8.1000000000000003E-2</v>
      </c>
      <c r="F3449" s="15">
        <v>8.5300000000000001E-2</v>
      </c>
      <c r="G3449" s="15">
        <v>0.34260000000000002</v>
      </c>
      <c r="H3449" s="15">
        <v>0.18090000000000001</v>
      </c>
      <c r="I3449" s="15">
        <v>4.6800000000000001E-2</v>
      </c>
      <c r="J3449" s="15">
        <v>3.865384615384615</v>
      </c>
    </row>
    <row r="3450" spans="1:10" x14ac:dyDescent="0.25">
      <c r="A3450" s="2" t="s">
        <v>9045</v>
      </c>
      <c r="B3450" s="2" t="s">
        <v>7007</v>
      </c>
      <c r="C3450" s="2" t="s">
        <v>9046</v>
      </c>
      <c r="D3450" s="2" t="s">
        <v>10055</v>
      </c>
      <c r="E3450" s="15">
        <v>-0.14169999999999999</v>
      </c>
      <c r="F3450" s="15">
        <v>0.1913</v>
      </c>
      <c r="G3450" s="15">
        <v>0.45879999999999999</v>
      </c>
      <c r="H3450" s="15">
        <v>4.02E-2</v>
      </c>
      <c r="I3450" s="15">
        <v>4.2799999999999998E-2</v>
      </c>
      <c r="J3450" s="15">
        <v>0.93925233644859818</v>
      </c>
    </row>
    <row r="3451" spans="1:10" x14ac:dyDescent="0.25">
      <c r="A3451" s="2" t="s">
        <v>9047</v>
      </c>
      <c r="B3451" s="2" t="s">
        <v>7007</v>
      </c>
      <c r="C3451" s="2" t="s">
        <v>9048</v>
      </c>
      <c r="D3451" s="2" t="s">
        <v>10055</v>
      </c>
      <c r="E3451" s="15">
        <v>-2.3099999999999999E-2</v>
      </c>
      <c r="F3451" s="15">
        <v>0.18090000000000001</v>
      </c>
      <c r="G3451" s="15">
        <v>0.89839999999999998</v>
      </c>
      <c r="H3451" s="15">
        <v>4.2599999999999999E-2</v>
      </c>
      <c r="I3451" s="15">
        <v>4.24E-2</v>
      </c>
      <c r="J3451" s="15">
        <v>1.004716981132076</v>
      </c>
    </row>
    <row r="3452" spans="1:10" x14ac:dyDescent="0.25">
      <c r="A3452" s="2" t="s">
        <v>9049</v>
      </c>
      <c r="B3452" s="2" t="s">
        <v>7007</v>
      </c>
      <c r="C3452" s="2" t="s">
        <v>9050</v>
      </c>
      <c r="D3452" s="2" t="s">
        <v>10055</v>
      </c>
      <c r="E3452" s="15">
        <v>0.13919999999999999</v>
      </c>
      <c r="F3452" s="15">
        <v>0.23619999999999999</v>
      </c>
      <c r="G3452" s="15">
        <v>0.55569999999999997</v>
      </c>
      <c r="H3452" s="15">
        <v>2.6200000000000001E-2</v>
      </c>
      <c r="I3452" s="15">
        <v>4.1200000000000001E-2</v>
      </c>
      <c r="J3452" s="15">
        <v>0.63592233009708743</v>
      </c>
    </row>
    <row r="3453" spans="1:10" x14ac:dyDescent="0.25">
      <c r="A3453" s="2" t="s">
        <v>9051</v>
      </c>
      <c r="B3453" s="2" t="s">
        <v>7007</v>
      </c>
      <c r="C3453" s="2" t="s">
        <v>9052</v>
      </c>
      <c r="D3453" s="2" t="s">
        <v>10055</v>
      </c>
      <c r="E3453" s="15">
        <v>-0.26850000000000002</v>
      </c>
      <c r="F3453" s="15">
        <v>0.26850000000000002</v>
      </c>
      <c r="G3453" s="15">
        <v>0.31730000000000003</v>
      </c>
      <c r="H3453" s="15">
        <v>3.1600000000000003E-2</v>
      </c>
      <c r="I3453" s="15">
        <v>3.9399999999999998E-2</v>
      </c>
      <c r="J3453" s="15">
        <v>0.80203045685279206</v>
      </c>
    </row>
    <row r="3454" spans="1:10" x14ac:dyDescent="0.25">
      <c r="A3454" s="2" t="s">
        <v>9053</v>
      </c>
      <c r="B3454" s="2" t="s">
        <v>7007</v>
      </c>
      <c r="C3454" s="2" t="s">
        <v>9054</v>
      </c>
      <c r="D3454" s="2" t="s">
        <v>10055</v>
      </c>
      <c r="E3454" s="15">
        <v>7.9299999999999995E-2</v>
      </c>
      <c r="F3454" s="15">
        <v>0.1192</v>
      </c>
      <c r="G3454" s="15">
        <v>0.50590000000000002</v>
      </c>
      <c r="H3454" s="15">
        <v>7.51E-2</v>
      </c>
      <c r="I3454" s="15">
        <v>4.6699999999999998E-2</v>
      </c>
      <c r="J3454" s="15">
        <v>1.60813704496788</v>
      </c>
    </row>
    <row r="3455" spans="1:10" x14ac:dyDescent="0.25">
      <c r="A3455" s="2" t="s">
        <v>9055</v>
      </c>
      <c r="B3455" s="2" t="s">
        <v>7007</v>
      </c>
      <c r="C3455" s="2" t="s">
        <v>9056</v>
      </c>
      <c r="D3455" s="2" t="s">
        <v>10055</v>
      </c>
      <c r="E3455" s="15">
        <v>-9.5500000000000002E-2</v>
      </c>
      <c r="F3455" s="15">
        <v>0.25769999999999998</v>
      </c>
      <c r="G3455" s="15">
        <v>0.71099999999999997</v>
      </c>
      <c r="H3455" s="15">
        <v>2.5700000000000001E-2</v>
      </c>
      <c r="I3455" s="15">
        <v>4.4299999999999999E-2</v>
      </c>
      <c r="J3455" s="15">
        <v>0.58013544018058694</v>
      </c>
    </row>
    <row r="3456" spans="1:10" x14ac:dyDescent="0.25">
      <c r="A3456" s="2" t="s">
        <v>9057</v>
      </c>
      <c r="B3456" s="2" t="s">
        <v>7007</v>
      </c>
      <c r="C3456" s="2" t="s">
        <v>9058</v>
      </c>
      <c r="D3456" s="2" t="s">
        <v>10055</v>
      </c>
      <c r="E3456" s="15">
        <v>-0.1004</v>
      </c>
      <c r="F3456" s="15">
        <v>0.25940000000000002</v>
      </c>
      <c r="G3456" s="15">
        <v>0.6986</v>
      </c>
      <c r="H3456" s="15">
        <v>2.63E-2</v>
      </c>
      <c r="I3456" s="15">
        <v>4.1599999999999998E-2</v>
      </c>
      <c r="J3456" s="15">
        <v>0.63221153846153855</v>
      </c>
    </row>
    <row r="3457" spans="1:10" x14ac:dyDescent="0.25">
      <c r="A3457" s="2" t="s">
        <v>9059</v>
      </c>
      <c r="B3457" s="2" t="s">
        <v>7007</v>
      </c>
      <c r="C3457" s="2" t="s">
        <v>9060</v>
      </c>
      <c r="D3457" s="2" t="s">
        <v>10055</v>
      </c>
      <c r="E3457" s="15">
        <v>-6.3E-2</v>
      </c>
      <c r="F3457" s="15">
        <v>0.1646</v>
      </c>
      <c r="G3457" s="15">
        <v>0.70189999999999997</v>
      </c>
      <c r="H3457" s="15">
        <v>3.9399999999999998E-2</v>
      </c>
      <c r="I3457" s="15">
        <v>4.2900000000000001E-2</v>
      </c>
      <c r="J3457" s="15">
        <v>0.91841491841491829</v>
      </c>
    </row>
    <row r="3458" spans="1:10" x14ac:dyDescent="0.25">
      <c r="A3458" s="2" t="s">
        <v>9061</v>
      </c>
      <c r="B3458" s="2" t="s">
        <v>7007</v>
      </c>
      <c r="C3458" s="2" t="s">
        <v>9062</v>
      </c>
      <c r="D3458" s="2" t="s">
        <v>10055</v>
      </c>
      <c r="E3458" s="15">
        <v>-0.42620000000000002</v>
      </c>
      <c r="F3458" s="15">
        <v>0.44019999999999998</v>
      </c>
      <c r="G3458" s="15">
        <v>0.33289999999999997</v>
      </c>
      <c r="H3458" s="15">
        <v>2.8000000000000001E-2</v>
      </c>
      <c r="I3458" s="15">
        <v>4.4200000000000003E-2</v>
      </c>
      <c r="J3458" s="15">
        <v>0.63348416289592757</v>
      </c>
    </row>
    <row r="3459" spans="1:10" x14ac:dyDescent="0.25">
      <c r="A3459" s="2" t="s">
        <v>9063</v>
      </c>
      <c r="B3459" s="2" t="s">
        <v>7007</v>
      </c>
      <c r="C3459" s="2" t="s">
        <v>9064</v>
      </c>
      <c r="D3459" s="2" t="s">
        <v>10055</v>
      </c>
      <c r="E3459" s="15">
        <v>-0.115</v>
      </c>
      <c r="F3459" s="15">
        <v>0.19259999999999999</v>
      </c>
      <c r="G3459" s="15">
        <v>0.55059999999999998</v>
      </c>
      <c r="H3459" s="15">
        <v>3.9300000000000002E-2</v>
      </c>
      <c r="I3459" s="15">
        <v>3.9600000000000003E-2</v>
      </c>
      <c r="J3459" s="15">
        <v>0.99242424242424243</v>
      </c>
    </row>
    <row r="3460" spans="1:10" x14ac:dyDescent="0.25">
      <c r="A3460" s="2" t="s">
        <v>9065</v>
      </c>
      <c r="B3460" s="2" t="s">
        <v>7007</v>
      </c>
      <c r="C3460" s="2" t="s">
        <v>9066</v>
      </c>
      <c r="D3460" s="2" t="s">
        <v>10055</v>
      </c>
      <c r="E3460" s="15"/>
      <c r="F3460" s="15"/>
      <c r="G3460" s="15"/>
      <c r="H3460" s="15">
        <v>-3.6700000000000003E-2</v>
      </c>
      <c r="I3460" s="15">
        <v>4.3799999999999999E-2</v>
      </c>
      <c r="J3460" s="15">
        <v>-0.83789954337899553</v>
      </c>
    </row>
    <row r="3461" spans="1:10" x14ac:dyDescent="0.25">
      <c r="A3461" s="2" t="s">
        <v>9067</v>
      </c>
      <c r="B3461" s="2" t="s">
        <v>7007</v>
      </c>
      <c r="C3461" s="2" t="s">
        <v>9068</v>
      </c>
      <c r="D3461" s="2" t="s">
        <v>10055</v>
      </c>
      <c r="E3461" s="15">
        <v>-5.6000000000000001E-2</v>
      </c>
      <c r="F3461" s="15">
        <v>0.15060000000000001</v>
      </c>
      <c r="G3461" s="15">
        <v>0.71</v>
      </c>
      <c r="H3461" s="15">
        <v>6.6900000000000001E-2</v>
      </c>
      <c r="I3461" s="15">
        <v>4.2500000000000003E-2</v>
      </c>
      <c r="J3461" s="15">
        <v>1.574117647058823</v>
      </c>
    </row>
    <row r="3462" spans="1:10" x14ac:dyDescent="0.25">
      <c r="A3462" s="2" t="s">
        <v>9069</v>
      </c>
      <c r="B3462" s="2" t="s">
        <v>7007</v>
      </c>
      <c r="C3462" s="2" t="s">
        <v>9070</v>
      </c>
      <c r="D3462" s="2" t="s">
        <v>10055</v>
      </c>
      <c r="E3462" s="15"/>
      <c r="F3462" s="15"/>
      <c r="G3462" s="15"/>
      <c r="H3462" s="15">
        <v>-1.61E-2</v>
      </c>
      <c r="I3462" s="15">
        <v>4.1300000000000003E-2</v>
      </c>
      <c r="J3462" s="15">
        <v>-0.38983050847457618</v>
      </c>
    </row>
    <row r="3463" spans="1:10" x14ac:dyDescent="0.25">
      <c r="A3463" s="2" t="s">
        <v>9071</v>
      </c>
      <c r="B3463" s="2" t="s">
        <v>7007</v>
      </c>
      <c r="C3463" s="2" t="s">
        <v>9072</v>
      </c>
      <c r="D3463" s="2" t="s">
        <v>10055</v>
      </c>
      <c r="E3463" s="15">
        <v>0.1007</v>
      </c>
      <c r="F3463" s="15">
        <v>0.34939999999999999</v>
      </c>
      <c r="G3463" s="15">
        <v>0.7732</v>
      </c>
      <c r="H3463" s="15">
        <v>1.8200000000000001E-2</v>
      </c>
      <c r="I3463" s="15">
        <v>3.9300000000000002E-2</v>
      </c>
      <c r="J3463" s="15">
        <v>0.46310432569974558</v>
      </c>
    </row>
    <row r="3464" spans="1:10" x14ac:dyDescent="0.25">
      <c r="A3464" s="2" t="s">
        <v>9073</v>
      </c>
      <c r="B3464" s="2" t="s">
        <v>7007</v>
      </c>
      <c r="C3464" s="2" t="s">
        <v>9074</v>
      </c>
      <c r="D3464" s="2" t="s">
        <v>10055</v>
      </c>
      <c r="E3464" s="15">
        <v>0.16769999999999999</v>
      </c>
      <c r="F3464" s="15">
        <v>0.11119999999999999</v>
      </c>
      <c r="G3464" s="15">
        <v>0.13150000000000001</v>
      </c>
      <c r="H3464" s="15">
        <v>0.11260000000000001</v>
      </c>
      <c r="I3464" s="15">
        <v>4.1399999999999999E-2</v>
      </c>
      <c r="J3464" s="15">
        <v>2.7198067632850238</v>
      </c>
    </row>
    <row r="3465" spans="1:10" x14ac:dyDescent="0.25">
      <c r="A3465" s="2" t="s">
        <v>9075</v>
      </c>
      <c r="B3465" s="2" t="s">
        <v>7007</v>
      </c>
      <c r="C3465" s="2" t="s">
        <v>9076</v>
      </c>
      <c r="D3465" s="2" t="s">
        <v>10055</v>
      </c>
      <c r="E3465" s="15">
        <v>8.0600000000000005E-2</v>
      </c>
      <c r="F3465" s="15">
        <v>0.12330000000000001</v>
      </c>
      <c r="G3465" s="15">
        <v>0.51329999999999998</v>
      </c>
      <c r="H3465" s="15">
        <v>8.5800000000000001E-2</v>
      </c>
      <c r="I3465" s="15">
        <v>4.0399999999999998E-2</v>
      </c>
      <c r="J3465" s="15">
        <v>2.1237623762376239</v>
      </c>
    </row>
    <row r="3466" spans="1:10" x14ac:dyDescent="0.25">
      <c r="A3466" s="2" t="s">
        <v>9077</v>
      </c>
      <c r="B3466" s="2" t="s">
        <v>7007</v>
      </c>
      <c r="C3466" s="2" t="s">
        <v>9078</v>
      </c>
      <c r="D3466" s="2" t="s">
        <v>10055</v>
      </c>
      <c r="E3466" s="15">
        <v>5.3600000000000002E-2</v>
      </c>
      <c r="F3466" s="15">
        <v>0.25140000000000001</v>
      </c>
      <c r="G3466" s="15">
        <v>0.83120000000000005</v>
      </c>
      <c r="H3466" s="15">
        <v>1.89E-2</v>
      </c>
      <c r="I3466" s="15">
        <v>3.9E-2</v>
      </c>
      <c r="J3466" s="15">
        <v>0.48461538461538461</v>
      </c>
    </row>
    <row r="3467" spans="1:10" x14ac:dyDescent="0.25">
      <c r="A3467" s="2" t="s">
        <v>9079</v>
      </c>
      <c r="B3467" s="2" t="s">
        <v>7007</v>
      </c>
      <c r="C3467" s="2" t="s">
        <v>9080</v>
      </c>
      <c r="D3467" s="2" t="s">
        <v>10055</v>
      </c>
      <c r="E3467" s="15">
        <v>0.1419</v>
      </c>
      <c r="F3467" s="15">
        <v>0.11990000000000001</v>
      </c>
      <c r="G3467" s="15">
        <v>0.23649999999999999</v>
      </c>
      <c r="H3467" s="15">
        <v>7.9699999999999993E-2</v>
      </c>
      <c r="I3467" s="15">
        <v>4.8599999999999997E-2</v>
      </c>
      <c r="J3467" s="15">
        <v>1.6399176954732511</v>
      </c>
    </row>
    <row r="3468" spans="1:10" x14ac:dyDescent="0.25">
      <c r="A3468" s="2" t="s">
        <v>9081</v>
      </c>
      <c r="B3468" s="2" t="s">
        <v>7007</v>
      </c>
      <c r="C3468" s="2" t="s">
        <v>9082</v>
      </c>
      <c r="D3468" s="2" t="s">
        <v>10055</v>
      </c>
      <c r="E3468" s="15">
        <v>0.38490000000000002</v>
      </c>
      <c r="F3468" s="15">
        <v>0.5958</v>
      </c>
      <c r="G3468" s="15">
        <v>0.51819999999999999</v>
      </c>
      <c r="H3468" s="15">
        <v>1.5800000000000002E-2</v>
      </c>
      <c r="I3468" s="15">
        <v>3.9800000000000002E-2</v>
      </c>
      <c r="J3468" s="15">
        <v>0.39698492462311558</v>
      </c>
    </row>
    <row r="3469" spans="1:10" x14ac:dyDescent="0.25">
      <c r="A3469" s="2" t="s">
        <v>9083</v>
      </c>
      <c r="B3469" s="2" t="s">
        <v>7007</v>
      </c>
      <c r="C3469" s="2" t="s">
        <v>9084</v>
      </c>
      <c r="D3469" s="2" t="s">
        <v>10055</v>
      </c>
      <c r="E3469" s="15"/>
      <c r="F3469" s="15"/>
      <c r="G3469" s="15"/>
      <c r="H3469" s="15">
        <v>-5.9999999999999995E-4</v>
      </c>
      <c r="I3469" s="15">
        <v>4.6600000000000003E-2</v>
      </c>
      <c r="J3469" s="15">
        <v>-1.287553648068669E-2</v>
      </c>
    </row>
    <row r="3470" spans="1:10" x14ac:dyDescent="0.25">
      <c r="A3470" s="2" t="s">
        <v>9085</v>
      </c>
      <c r="B3470" s="2" t="s">
        <v>7007</v>
      </c>
      <c r="C3470" s="2" t="s">
        <v>9086</v>
      </c>
      <c r="D3470" s="2" t="s">
        <v>10055</v>
      </c>
      <c r="E3470" s="15">
        <v>0.1431</v>
      </c>
      <c r="F3470" s="15">
        <v>0.1014</v>
      </c>
      <c r="G3470" s="15">
        <v>0.15809999999999999</v>
      </c>
      <c r="H3470" s="15">
        <v>0.1208</v>
      </c>
      <c r="I3470" s="15">
        <v>4.3700000000000003E-2</v>
      </c>
      <c r="J3470" s="15">
        <v>2.764302059496567</v>
      </c>
    </row>
    <row r="3471" spans="1:10" x14ac:dyDescent="0.25">
      <c r="A3471" s="2" t="s">
        <v>9087</v>
      </c>
      <c r="B3471" s="2" t="s">
        <v>7007</v>
      </c>
      <c r="C3471" s="2" t="s">
        <v>9088</v>
      </c>
      <c r="D3471" s="2" t="s">
        <v>10055</v>
      </c>
      <c r="E3471" s="15"/>
      <c r="F3471" s="15"/>
      <c r="G3471" s="15"/>
      <c r="H3471" s="15">
        <v>-3.7699999999999997E-2</v>
      </c>
      <c r="I3471" s="15">
        <v>4.0099999999999997E-2</v>
      </c>
      <c r="J3471" s="15">
        <v>-0.94014962593516216</v>
      </c>
    </row>
    <row r="3472" spans="1:10" x14ac:dyDescent="0.25">
      <c r="A3472" s="2" t="s">
        <v>9089</v>
      </c>
      <c r="B3472" s="2" t="s">
        <v>7007</v>
      </c>
      <c r="C3472" s="2" t="s">
        <v>9090</v>
      </c>
      <c r="D3472" s="2" t="s">
        <v>10055</v>
      </c>
      <c r="E3472" s="15">
        <v>-0.13159999999999999</v>
      </c>
      <c r="F3472" s="15">
        <v>0.19850000000000001</v>
      </c>
      <c r="G3472" s="15">
        <v>0.50749999999999995</v>
      </c>
      <c r="H3472" s="15">
        <v>4.7500000000000001E-2</v>
      </c>
      <c r="I3472" s="15">
        <v>4.36E-2</v>
      </c>
      <c r="J3472" s="15">
        <v>1.0894495412844041</v>
      </c>
    </row>
    <row r="3473" spans="1:10" x14ac:dyDescent="0.25">
      <c r="A3473" s="2" t="s">
        <v>9091</v>
      </c>
      <c r="B3473" s="2" t="s">
        <v>7007</v>
      </c>
      <c r="C3473" s="2" t="s">
        <v>9092</v>
      </c>
      <c r="D3473" s="2" t="s">
        <v>10055</v>
      </c>
      <c r="E3473" s="15"/>
      <c r="F3473" s="15"/>
      <c r="G3473" s="15"/>
      <c r="H3473" s="15"/>
      <c r="I3473" s="15"/>
      <c r="J3473" s="15"/>
    </row>
    <row r="3474" spans="1:10" x14ac:dyDescent="0.25">
      <c r="A3474" s="2" t="s">
        <v>9093</v>
      </c>
      <c r="B3474" s="2" t="s">
        <v>7007</v>
      </c>
      <c r="C3474" s="2" t="s">
        <v>9094</v>
      </c>
      <c r="D3474" s="2" t="s">
        <v>10055</v>
      </c>
      <c r="E3474" s="15">
        <v>-0.14050000000000001</v>
      </c>
      <c r="F3474" s="15">
        <v>0.21590000000000001</v>
      </c>
      <c r="G3474" s="15">
        <v>0.51500000000000001</v>
      </c>
      <c r="H3474" s="15">
        <v>3.9899999999999998E-2</v>
      </c>
      <c r="I3474" s="15">
        <v>4.4299999999999999E-2</v>
      </c>
      <c r="J3474" s="15">
        <v>0.90067720090293446</v>
      </c>
    </row>
    <row r="3475" spans="1:10" x14ac:dyDescent="0.25">
      <c r="A3475" s="2" t="s">
        <v>9095</v>
      </c>
      <c r="B3475" s="2" t="s">
        <v>7007</v>
      </c>
      <c r="C3475" s="2" t="s">
        <v>9096</v>
      </c>
      <c r="D3475" s="2" t="s">
        <v>10055</v>
      </c>
      <c r="E3475" s="15">
        <v>0.19370000000000001</v>
      </c>
      <c r="F3475" s="15">
        <v>0.1111</v>
      </c>
      <c r="G3475" s="15">
        <v>8.14E-2</v>
      </c>
      <c r="H3475" s="15">
        <v>0.13139999999999999</v>
      </c>
      <c r="I3475" s="15">
        <v>4.5900000000000003E-2</v>
      </c>
      <c r="J3475" s="15">
        <v>2.8627450980392148</v>
      </c>
    </row>
    <row r="3476" spans="1:10" x14ac:dyDescent="0.25">
      <c r="A3476" s="2" t="s">
        <v>9097</v>
      </c>
      <c r="B3476" s="2" t="s">
        <v>7007</v>
      </c>
      <c r="C3476" s="2" t="s">
        <v>9098</v>
      </c>
      <c r="D3476" s="2" t="s">
        <v>10055</v>
      </c>
      <c r="E3476" s="15">
        <v>0.1396</v>
      </c>
      <c r="F3476" s="15">
        <v>7.8799999999999995E-2</v>
      </c>
      <c r="G3476" s="15">
        <v>7.6499999999999999E-2</v>
      </c>
      <c r="H3476" s="15">
        <v>0.1895</v>
      </c>
      <c r="I3476" s="15">
        <v>4.9200000000000001E-2</v>
      </c>
      <c r="J3476" s="15">
        <v>3.851626016260163</v>
      </c>
    </row>
    <row r="3477" spans="1:10" x14ac:dyDescent="0.25">
      <c r="A3477" s="2" t="s">
        <v>9099</v>
      </c>
      <c r="B3477" s="2" t="s">
        <v>7007</v>
      </c>
      <c r="C3477" s="2" t="s">
        <v>9100</v>
      </c>
      <c r="D3477" s="2" t="s">
        <v>10055</v>
      </c>
      <c r="E3477" s="15">
        <v>5.67E-2</v>
      </c>
      <c r="F3477" s="15">
        <v>0.10299999999999999</v>
      </c>
      <c r="G3477" s="15">
        <v>0.58199999999999996</v>
      </c>
      <c r="H3477" s="15">
        <v>0.1129</v>
      </c>
      <c r="I3477" s="15">
        <v>4.2799999999999998E-2</v>
      </c>
      <c r="J3477" s="15">
        <v>2.6378504672897201</v>
      </c>
    </row>
    <row r="3478" spans="1:10" x14ac:dyDescent="0.25">
      <c r="A3478" s="2" t="s">
        <v>9101</v>
      </c>
      <c r="B3478" s="2" t="s">
        <v>7007</v>
      </c>
      <c r="C3478" s="2" t="s">
        <v>9102</v>
      </c>
      <c r="D3478" s="2" t="s">
        <v>10055</v>
      </c>
      <c r="E3478" s="15">
        <v>0.38700000000000001</v>
      </c>
      <c r="F3478" s="15">
        <v>0.5101</v>
      </c>
      <c r="G3478" s="15">
        <v>0.4481</v>
      </c>
      <c r="H3478" s="15">
        <v>2.2200000000000001E-2</v>
      </c>
      <c r="I3478" s="15">
        <v>4.5199999999999997E-2</v>
      </c>
      <c r="J3478" s="15">
        <v>0.49115044247787609</v>
      </c>
    </row>
    <row r="3479" spans="1:10" x14ac:dyDescent="0.25">
      <c r="A3479" s="2" t="s">
        <v>9103</v>
      </c>
      <c r="B3479" s="2" t="s">
        <v>7007</v>
      </c>
      <c r="C3479" s="2" t="s">
        <v>9104</v>
      </c>
      <c r="D3479" s="2" t="s">
        <v>10055</v>
      </c>
      <c r="E3479" s="15"/>
      <c r="F3479" s="15"/>
      <c r="G3479" s="15"/>
      <c r="H3479" s="15">
        <v>-3.9300000000000002E-2</v>
      </c>
      <c r="I3479" s="15">
        <v>4.2599999999999999E-2</v>
      </c>
      <c r="J3479" s="15">
        <v>-0.92253521126760574</v>
      </c>
    </row>
    <row r="3480" spans="1:10" x14ac:dyDescent="0.25">
      <c r="A3480" s="2" t="s">
        <v>9105</v>
      </c>
      <c r="B3480" s="2" t="s">
        <v>7007</v>
      </c>
      <c r="C3480" s="2" t="s">
        <v>9106</v>
      </c>
      <c r="D3480" s="2" t="s">
        <v>10055</v>
      </c>
      <c r="E3480" s="15">
        <v>-7.4800000000000005E-2</v>
      </c>
      <c r="F3480" s="15">
        <v>6.7199999999999996E-2</v>
      </c>
      <c r="G3480" s="15">
        <v>0.26500000000000001</v>
      </c>
      <c r="H3480" s="15">
        <v>0.2387</v>
      </c>
      <c r="I3480" s="15">
        <v>4.87E-2</v>
      </c>
      <c r="J3480" s="15">
        <v>4.9014373716632447</v>
      </c>
    </row>
    <row r="3481" spans="1:10" x14ac:dyDescent="0.25">
      <c r="A3481" s="2" t="s">
        <v>9107</v>
      </c>
      <c r="B3481" s="2" t="s">
        <v>7007</v>
      </c>
      <c r="C3481" s="2" t="s">
        <v>9108</v>
      </c>
      <c r="D3481" s="2" t="s">
        <v>10055</v>
      </c>
      <c r="E3481" s="15">
        <v>-0.1905</v>
      </c>
      <c r="F3481" s="15">
        <v>0.25850000000000001</v>
      </c>
      <c r="G3481" s="15">
        <v>0.4612</v>
      </c>
      <c r="H3481" s="15">
        <v>2.8299999999999999E-2</v>
      </c>
      <c r="I3481" s="15">
        <v>4.07E-2</v>
      </c>
      <c r="J3481" s="15">
        <v>0.69533169533169525</v>
      </c>
    </row>
    <row r="3482" spans="1:10" x14ac:dyDescent="0.25">
      <c r="A3482" s="2" t="s">
        <v>9109</v>
      </c>
      <c r="B3482" s="2" t="s">
        <v>7007</v>
      </c>
      <c r="C3482" s="2" t="s">
        <v>9110</v>
      </c>
      <c r="D3482" s="2" t="s">
        <v>10055</v>
      </c>
      <c r="E3482" s="15">
        <v>5.4300000000000001E-2</v>
      </c>
      <c r="F3482" s="15">
        <v>0.1176</v>
      </c>
      <c r="G3482" s="15">
        <v>0.64419999999999999</v>
      </c>
      <c r="H3482" s="15">
        <v>8.6699999999999999E-2</v>
      </c>
      <c r="I3482" s="15">
        <v>4.36E-2</v>
      </c>
      <c r="J3482" s="15">
        <v>1.988532110091743</v>
      </c>
    </row>
    <row r="3483" spans="1:10" x14ac:dyDescent="0.25">
      <c r="A3483" s="2" t="s">
        <v>9111</v>
      </c>
      <c r="B3483" s="2" t="s">
        <v>7007</v>
      </c>
      <c r="C3483" s="2" t="s">
        <v>9112</v>
      </c>
      <c r="D3483" s="2" t="s">
        <v>10055</v>
      </c>
      <c r="E3483" s="15">
        <v>-9.5899999999999999E-2</v>
      </c>
      <c r="F3483" s="15">
        <v>0.1565</v>
      </c>
      <c r="G3483" s="15">
        <v>0.53990000000000005</v>
      </c>
      <c r="H3483" s="15">
        <v>6.4000000000000001E-2</v>
      </c>
      <c r="I3483" s="15">
        <v>4.0399999999999998E-2</v>
      </c>
      <c r="J3483" s="15">
        <v>1.584158415841584</v>
      </c>
    </row>
    <row r="3484" spans="1:10" x14ac:dyDescent="0.25">
      <c r="A3484" s="2" t="s">
        <v>9113</v>
      </c>
      <c r="B3484" s="2" t="s">
        <v>7007</v>
      </c>
      <c r="C3484" s="2" t="s">
        <v>9114</v>
      </c>
      <c r="D3484" s="2" t="s">
        <v>10055</v>
      </c>
      <c r="E3484" s="15"/>
      <c r="F3484" s="15"/>
      <c r="G3484" s="15"/>
      <c r="H3484" s="15">
        <v>-1.66E-2</v>
      </c>
      <c r="I3484" s="15">
        <v>4.24E-2</v>
      </c>
      <c r="J3484" s="15">
        <v>-0.39150943396226418</v>
      </c>
    </row>
    <row r="3485" spans="1:10" x14ac:dyDescent="0.25">
      <c r="A3485" s="2" t="s">
        <v>9115</v>
      </c>
      <c r="B3485" s="2" t="s">
        <v>7007</v>
      </c>
      <c r="C3485" s="2" t="s">
        <v>9116</v>
      </c>
      <c r="D3485" s="2" t="s">
        <v>10055</v>
      </c>
      <c r="E3485" s="15">
        <v>-6.6600000000000006E-2</v>
      </c>
      <c r="F3485" s="15">
        <v>0.3105</v>
      </c>
      <c r="G3485" s="15">
        <v>0.83020000000000005</v>
      </c>
      <c r="H3485" s="15">
        <v>1.5699999999999999E-2</v>
      </c>
      <c r="I3485" s="15">
        <v>4.0399999999999998E-2</v>
      </c>
      <c r="J3485" s="15">
        <v>0.38861386138613863</v>
      </c>
    </row>
    <row r="3486" spans="1:10" x14ac:dyDescent="0.25">
      <c r="A3486" s="2" t="s">
        <v>9117</v>
      </c>
      <c r="B3486" s="2" t="s">
        <v>7007</v>
      </c>
      <c r="C3486" s="2" t="s">
        <v>9118</v>
      </c>
      <c r="D3486" s="2" t="s">
        <v>10055</v>
      </c>
      <c r="E3486" s="15">
        <v>6.59E-2</v>
      </c>
      <c r="F3486" s="15">
        <v>9.6000000000000002E-2</v>
      </c>
      <c r="G3486" s="15">
        <v>0.49230000000000002</v>
      </c>
      <c r="H3486" s="15">
        <v>0.12509999999999999</v>
      </c>
      <c r="I3486" s="15">
        <v>4.2200000000000001E-2</v>
      </c>
      <c r="J3486" s="15">
        <v>2.9644549763033168</v>
      </c>
    </row>
    <row r="3487" spans="1:10" x14ac:dyDescent="0.25">
      <c r="A3487" s="2" t="s">
        <v>9119</v>
      </c>
      <c r="B3487" s="2" t="s">
        <v>7007</v>
      </c>
      <c r="C3487" s="2" t="s">
        <v>9120</v>
      </c>
      <c r="D3487" s="2" t="s">
        <v>10055</v>
      </c>
      <c r="E3487" s="15"/>
      <c r="F3487" s="15"/>
      <c r="G3487" s="15"/>
      <c r="H3487" s="15">
        <v>-9.4999999999999998E-3</v>
      </c>
      <c r="I3487" s="15">
        <v>3.5299999999999998E-2</v>
      </c>
      <c r="J3487" s="15">
        <v>-0.26912181303116151</v>
      </c>
    </row>
    <row r="3488" spans="1:10" x14ac:dyDescent="0.25">
      <c r="A3488" s="2" t="s">
        <v>9121</v>
      </c>
      <c r="B3488" s="2" t="s">
        <v>7007</v>
      </c>
      <c r="C3488" s="2" t="s">
        <v>9122</v>
      </c>
      <c r="D3488" s="2" t="s">
        <v>10055</v>
      </c>
      <c r="E3488" s="15"/>
      <c r="F3488" s="15"/>
      <c r="G3488" s="15"/>
      <c r="H3488" s="15">
        <v>-3.5999999999999997E-2</v>
      </c>
      <c r="I3488" s="15">
        <v>3.8100000000000002E-2</v>
      </c>
      <c r="J3488" s="15">
        <v>-0.9448818897637794</v>
      </c>
    </row>
    <row r="3489" spans="1:10" x14ac:dyDescent="0.25">
      <c r="A3489" s="2" t="s">
        <v>9123</v>
      </c>
      <c r="B3489" s="2" t="s">
        <v>7007</v>
      </c>
      <c r="C3489" s="2" t="s">
        <v>9124</v>
      </c>
      <c r="D3489" s="2" t="s">
        <v>10055</v>
      </c>
      <c r="E3489" s="15">
        <v>-8.8400000000000006E-2</v>
      </c>
      <c r="F3489" s="15">
        <v>9.3700000000000006E-2</v>
      </c>
      <c r="G3489" s="15">
        <v>0.34539999999999998</v>
      </c>
      <c r="H3489" s="15">
        <v>0.1226</v>
      </c>
      <c r="I3489" s="15">
        <v>4.7199999999999999E-2</v>
      </c>
      <c r="J3489" s="15">
        <v>2.597457627118644</v>
      </c>
    </row>
    <row r="3490" spans="1:10" x14ac:dyDescent="0.25">
      <c r="A3490" s="2" t="s">
        <v>9125</v>
      </c>
      <c r="B3490" s="2" t="s">
        <v>7007</v>
      </c>
      <c r="C3490" s="2" t="s">
        <v>9126</v>
      </c>
      <c r="D3490" s="2" t="s">
        <v>10055</v>
      </c>
      <c r="E3490" s="15">
        <v>0.1956</v>
      </c>
      <c r="F3490" s="15">
        <v>8.43E-2</v>
      </c>
      <c r="G3490" s="15">
        <v>2.0299999999999999E-2</v>
      </c>
      <c r="H3490" s="15">
        <v>0.1996</v>
      </c>
      <c r="I3490" s="15">
        <v>5.3199999999999997E-2</v>
      </c>
      <c r="J3490" s="15">
        <v>3.75187969924812</v>
      </c>
    </row>
    <row r="3491" spans="1:10" x14ac:dyDescent="0.25">
      <c r="A3491" s="2" t="s">
        <v>9127</v>
      </c>
      <c r="B3491" s="2" t="s">
        <v>7007</v>
      </c>
      <c r="C3491" s="2" t="s">
        <v>9128</v>
      </c>
      <c r="D3491" s="2" t="s">
        <v>10055</v>
      </c>
      <c r="E3491" s="15"/>
      <c r="F3491" s="15"/>
      <c r="G3491" s="15"/>
      <c r="H3491" s="15">
        <v>-1.8800000000000001E-2</v>
      </c>
      <c r="I3491" s="15">
        <v>3.7600000000000001E-2</v>
      </c>
      <c r="J3491" s="15">
        <v>-0.5</v>
      </c>
    </row>
    <row r="3492" spans="1:10" x14ac:dyDescent="0.25">
      <c r="A3492" s="2" t="s">
        <v>9129</v>
      </c>
      <c r="B3492" s="2" t="s">
        <v>7007</v>
      </c>
      <c r="C3492" s="2" t="s">
        <v>9130</v>
      </c>
      <c r="D3492" s="2" t="s">
        <v>10055</v>
      </c>
      <c r="E3492" s="15"/>
      <c r="F3492" s="15"/>
      <c r="G3492" s="15"/>
      <c r="H3492" s="15"/>
      <c r="I3492" s="15"/>
      <c r="J3492" s="15"/>
    </row>
    <row r="3493" spans="1:10" x14ac:dyDescent="0.25">
      <c r="A3493" s="2" t="s">
        <v>9131</v>
      </c>
      <c r="B3493" s="2" t="s">
        <v>7007</v>
      </c>
      <c r="C3493" s="2" t="s">
        <v>9132</v>
      </c>
      <c r="D3493" s="2" t="s">
        <v>10055</v>
      </c>
      <c r="E3493" s="15">
        <v>1.4800000000000001E-2</v>
      </c>
      <c r="F3493" s="15">
        <v>0.125</v>
      </c>
      <c r="G3493" s="15">
        <v>0.90539999999999998</v>
      </c>
      <c r="H3493" s="15">
        <v>9.4100000000000003E-2</v>
      </c>
      <c r="I3493" s="15">
        <v>4.2799999999999998E-2</v>
      </c>
      <c r="J3493" s="15">
        <v>2.198598130841122</v>
      </c>
    </row>
    <row r="3494" spans="1:10" x14ac:dyDescent="0.25">
      <c r="A3494" s="2" t="s">
        <v>9133</v>
      </c>
      <c r="B3494" s="2" t="s">
        <v>7007</v>
      </c>
      <c r="C3494" s="2" t="s">
        <v>9134</v>
      </c>
      <c r="D3494" s="2" t="s">
        <v>10055</v>
      </c>
      <c r="E3494" s="15">
        <v>-9.5699999999999993E-2</v>
      </c>
      <c r="F3494" s="15">
        <v>9.98E-2</v>
      </c>
      <c r="G3494" s="15">
        <v>0.33789999999999998</v>
      </c>
      <c r="H3494" s="15">
        <v>0.13930000000000001</v>
      </c>
      <c r="I3494" s="15">
        <v>4.4200000000000003E-2</v>
      </c>
      <c r="J3494" s="15">
        <v>3.1515837104072402</v>
      </c>
    </row>
    <row r="3495" spans="1:10" x14ac:dyDescent="0.25">
      <c r="A3495" s="2" t="s">
        <v>9135</v>
      </c>
      <c r="B3495" s="2" t="s">
        <v>7007</v>
      </c>
      <c r="C3495" s="2" t="s">
        <v>9136</v>
      </c>
      <c r="D3495" s="2" t="s">
        <v>10055</v>
      </c>
      <c r="E3495" s="15"/>
      <c r="F3495" s="15"/>
      <c r="G3495" s="15"/>
      <c r="H3495" s="15">
        <v>-4.1000000000000003E-3</v>
      </c>
      <c r="I3495" s="15">
        <v>4.0300000000000002E-2</v>
      </c>
      <c r="J3495" s="15">
        <v>-0.1017369727047146</v>
      </c>
    </row>
    <row r="3496" spans="1:10" x14ac:dyDescent="0.25">
      <c r="A3496" s="2" t="s">
        <v>9137</v>
      </c>
      <c r="B3496" s="2" t="s">
        <v>7007</v>
      </c>
      <c r="C3496" s="2" t="s">
        <v>9138</v>
      </c>
      <c r="D3496" s="2" t="s">
        <v>10055</v>
      </c>
      <c r="E3496" s="15">
        <v>-0.1421</v>
      </c>
      <c r="F3496" s="15">
        <v>0.12659999999999999</v>
      </c>
      <c r="G3496" s="15">
        <v>0.26169999999999999</v>
      </c>
      <c r="H3496" s="15">
        <v>9.2700000000000005E-2</v>
      </c>
      <c r="I3496" s="15">
        <v>4.2099999999999999E-2</v>
      </c>
      <c r="J3496" s="15">
        <v>2.2019002375296912</v>
      </c>
    </row>
    <row r="3497" spans="1:10" x14ac:dyDescent="0.25">
      <c r="A3497" s="2" t="s">
        <v>9139</v>
      </c>
      <c r="B3497" s="2" t="s">
        <v>7007</v>
      </c>
      <c r="C3497" s="2" t="s">
        <v>9140</v>
      </c>
      <c r="D3497" s="2" t="s">
        <v>10055</v>
      </c>
      <c r="E3497" s="15">
        <v>-0.2046</v>
      </c>
      <c r="F3497" s="15">
        <v>0.16980000000000001</v>
      </c>
      <c r="G3497" s="15">
        <v>0.2283</v>
      </c>
      <c r="H3497" s="15">
        <v>5.6399999999999999E-2</v>
      </c>
      <c r="I3497" s="15">
        <v>4.1599999999999998E-2</v>
      </c>
      <c r="J3497" s="15">
        <v>1.3557692307692311</v>
      </c>
    </row>
    <row r="3498" spans="1:10" x14ac:dyDescent="0.25">
      <c r="A3498" s="2" t="s">
        <v>9141</v>
      </c>
      <c r="B3498" s="2" t="s">
        <v>7007</v>
      </c>
      <c r="C3498" s="2" t="s">
        <v>9142</v>
      </c>
      <c r="D3498" s="2" t="s">
        <v>10055</v>
      </c>
      <c r="E3498" s="15">
        <v>-7.1599999999999997E-2</v>
      </c>
      <c r="F3498" s="15">
        <v>0.11260000000000001</v>
      </c>
      <c r="G3498" s="15">
        <v>0.52490000000000003</v>
      </c>
      <c r="H3498" s="15">
        <v>0.12520000000000001</v>
      </c>
      <c r="I3498" s="15">
        <v>4.9599999999999998E-2</v>
      </c>
      <c r="J3498" s="15">
        <v>2.524193548387097</v>
      </c>
    </row>
    <row r="3499" spans="1:10" x14ac:dyDescent="0.25">
      <c r="A3499" s="2" t="s">
        <v>9143</v>
      </c>
      <c r="B3499" s="2" t="s">
        <v>7007</v>
      </c>
      <c r="C3499" s="2" t="s">
        <v>9144</v>
      </c>
      <c r="D3499" s="2" t="s">
        <v>10055</v>
      </c>
      <c r="E3499" s="15">
        <v>-0.13</v>
      </c>
      <c r="F3499" s="15">
        <v>0.17330000000000001</v>
      </c>
      <c r="G3499" s="15">
        <v>0.45300000000000001</v>
      </c>
      <c r="H3499" s="15">
        <v>4.8000000000000001E-2</v>
      </c>
      <c r="I3499" s="15">
        <v>4.4699999999999997E-2</v>
      </c>
      <c r="J3499" s="15">
        <v>1.0738255033557049</v>
      </c>
    </row>
    <row r="3500" spans="1:10" x14ac:dyDescent="0.25">
      <c r="A3500" s="2" t="s">
        <v>9145</v>
      </c>
      <c r="B3500" s="2" t="s">
        <v>7007</v>
      </c>
      <c r="C3500" s="2" t="s">
        <v>9146</v>
      </c>
      <c r="D3500" s="2" t="s">
        <v>10055</v>
      </c>
      <c r="E3500" s="15"/>
      <c r="F3500" s="15"/>
      <c r="G3500" s="15"/>
      <c r="H3500" s="15">
        <v>-9.1000000000000004E-3</v>
      </c>
      <c r="I3500" s="15">
        <v>4.1700000000000001E-2</v>
      </c>
      <c r="J3500" s="15">
        <v>-0.21822541966426859</v>
      </c>
    </row>
    <row r="3501" spans="1:10" x14ac:dyDescent="0.25">
      <c r="A3501" s="2" t="s">
        <v>9147</v>
      </c>
      <c r="B3501" s="2" t="s">
        <v>7007</v>
      </c>
      <c r="C3501" s="2" t="s">
        <v>9148</v>
      </c>
      <c r="D3501" s="2" t="s">
        <v>10055</v>
      </c>
      <c r="E3501" s="15">
        <v>-5.8500000000000003E-2</v>
      </c>
      <c r="F3501" s="15">
        <v>0.1434</v>
      </c>
      <c r="G3501" s="15">
        <v>0.68359999999999999</v>
      </c>
      <c r="H3501" s="15">
        <v>6.9000000000000006E-2</v>
      </c>
      <c r="I3501" s="15">
        <v>4.2900000000000001E-2</v>
      </c>
      <c r="J3501" s="15">
        <v>1.608391608391609</v>
      </c>
    </row>
    <row r="3502" spans="1:10" x14ac:dyDescent="0.25">
      <c r="A3502" s="2" t="s">
        <v>9149</v>
      </c>
      <c r="B3502" s="2" t="s">
        <v>7007</v>
      </c>
      <c r="C3502" s="2" t="s">
        <v>9150</v>
      </c>
      <c r="D3502" s="2" t="s">
        <v>10055</v>
      </c>
      <c r="E3502" s="15">
        <v>-0.28310000000000002</v>
      </c>
      <c r="F3502" s="15">
        <v>0.1011</v>
      </c>
      <c r="G3502" s="15">
        <v>5.1000000000000004E-3</v>
      </c>
      <c r="H3502" s="15">
        <v>0.13439999999999999</v>
      </c>
      <c r="I3502" s="15">
        <v>4.6800000000000001E-2</v>
      </c>
      <c r="J3502" s="15">
        <v>2.8717948717948709</v>
      </c>
    </row>
    <row r="3503" spans="1:10" x14ac:dyDescent="0.25">
      <c r="A3503" s="2" t="s">
        <v>9151</v>
      </c>
      <c r="B3503" s="2" t="s">
        <v>7007</v>
      </c>
      <c r="C3503" s="2" t="s">
        <v>9152</v>
      </c>
      <c r="D3503" s="2" t="s">
        <v>10055</v>
      </c>
      <c r="E3503" s="15">
        <v>-0.15290000000000001</v>
      </c>
      <c r="F3503" s="15">
        <v>0.28129999999999999</v>
      </c>
      <c r="G3503" s="15">
        <v>0.58689999999999998</v>
      </c>
      <c r="H3503" s="15">
        <v>2.1899999999999999E-2</v>
      </c>
      <c r="I3503" s="15">
        <v>4.1300000000000003E-2</v>
      </c>
      <c r="J3503" s="15">
        <v>0.53026634382566584</v>
      </c>
    </row>
    <row r="3504" spans="1:10" x14ac:dyDescent="0.25">
      <c r="A3504" s="2" t="s">
        <v>9153</v>
      </c>
      <c r="B3504" s="2" t="s">
        <v>7007</v>
      </c>
      <c r="C3504" s="2" t="s">
        <v>9154</v>
      </c>
      <c r="D3504" s="2" t="s">
        <v>10055</v>
      </c>
      <c r="E3504" s="15">
        <v>-0.14899999999999999</v>
      </c>
      <c r="F3504" s="15">
        <v>0.11840000000000001</v>
      </c>
      <c r="G3504" s="15">
        <v>0.20810000000000001</v>
      </c>
      <c r="H3504" s="15">
        <v>9.35E-2</v>
      </c>
      <c r="I3504" s="15">
        <v>4.2200000000000001E-2</v>
      </c>
      <c r="J3504" s="15">
        <v>2.21563981042654</v>
      </c>
    </row>
    <row r="3505" spans="1:10" x14ac:dyDescent="0.25">
      <c r="A3505" s="2" t="s">
        <v>9155</v>
      </c>
      <c r="B3505" s="2" t="s">
        <v>7007</v>
      </c>
      <c r="C3505" s="2" t="s">
        <v>9156</v>
      </c>
      <c r="D3505" s="2" t="s">
        <v>10055</v>
      </c>
      <c r="E3505" s="15"/>
      <c r="F3505" s="15"/>
      <c r="G3505" s="15"/>
      <c r="H3505" s="15">
        <v>-2.7199999999999998E-2</v>
      </c>
      <c r="I3505" s="15">
        <v>4.3900000000000002E-2</v>
      </c>
      <c r="J3505" s="15">
        <v>-0.61958997722095666</v>
      </c>
    </row>
    <row r="3506" spans="1:10" x14ac:dyDescent="0.25">
      <c r="A3506" s="2" t="s">
        <v>9157</v>
      </c>
      <c r="B3506" s="2" t="s">
        <v>7007</v>
      </c>
      <c r="C3506" s="2" t="s">
        <v>9158</v>
      </c>
      <c r="D3506" s="2" t="s">
        <v>10055</v>
      </c>
      <c r="E3506" s="15">
        <v>0.1033</v>
      </c>
      <c r="F3506" s="15">
        <v>0.1187</v>
      </c>
      <c r="G3506" s="15">
        <v>0.3841</v>
      </c>
      <c r="H3506" s="15">
        <v>0.1009</v>
      </c>
      <c r="I3506" s="15">
        <v>4.2999999999999997E-2</v>
      </c>
      <c r="J3506" s="15">
        <v>2.3465116279069771</v>
      </c>
    </row>
    <row r="3507" spans="1:10" x14ac:dyDescent="0.25">
      <c r="A3507" s="2" t="s">
        <v>9159</v>
      </c>
      <c r="B3507" s="2" t="s">
        <v>7007</v>
      </c>
      <c r="C3507" s="2" t="s">
        <v>9160</v>
      </c>
      <c r="D3507" s="2" t="s">
        <v>10055</v>
      </c>
      <c r="E3507" s="15">
        <v>0.37819999999999998</v>
      </c>
      <c r="F3507" s="15">
        <v>0.19389999999999999</v>
      </c>
      <c r="G3507" s="15">
        <v>5.1200000000000002E-2</v>
      </c>
      <c r="H3507" s="15">
        <v>5.8400000000000001E-2</v>
      </c>
      <c r="I3507" s="15">
        <v>4.2999999999999997E-2</v>
      </c>
      <c r="J3507" s="15">
        <v>1.3581395348837211</v>
      </c>
    </row>
    <row r="3508" spans="1:10" x14ac:dyDescent="0.25">
      <c r="A3508" s="2" t="s">
        <v>9161</v>
      </c>
      <c r="B3508" s="2" t="s">
        <v>7007</v>
      </c>
      <c r="C3508" s="2" t="s">
        <v>9162</v>
      </c>
      <c r="D3508" s="2" t="s">
        <v>10055</v>
      </c>
      <c r="E3508" s="15"/>
      <c r="F3508" s="15"/>
      <c r="G3508" s="15"/>
      <c r="H3508" s="15">
        <v>-7.9799999999999996E-2</v>
      </c>
      <c r="I3508" s="15">
        <v>3.9600000000000003E-2</v>
      </c>
      <c r="J3508" s="15">
        <v>-2.0151515151515151</v>
      </c>
    </row>
    <row r="3509" spans="1:10" x14ac:dyDescent="0.25">
      <c r="A3509" s="2" t="s">
        <v>9163</v>
      </c>
      <c r="B3509" s="2" t="s">
        <v>7007</v>
      </c>
      <c r="C3509" s="2" t="s">
        <v>9164</v>
      </c>
      <c r="D3509" s="2" t="s">
        <v>10055</v>
      </c>
      <c r="E3509" s="15">
        <v>4.9299999999999997E-2</v>
      </c>
      <c r="F3509" s="15">
        <v>0.14960000000000001</v>
      </c>
      <c r="G3509" s="15">
        <v>0.74139999999999995</v>
      </c>
      <c r="H3509" s="15">
        <v>5.3199999999999997E-2</v>
      </c>
      <c r="I3509" s="15">
        <v>3.8800000000000001E-2</v>
      </c>
      <c r="J3509" s="15">
        <v>1.371134020618556</v>
      </c>
    </row>
    <row r="3510" spans="1:10" x14ac:dyDescent="0.25">
      <c r="A3510" s="2" t="s">
        <v>9165</v>
      </c>
      <c r="B3510" s="2" t="s">
        <v>7007</v>
      </c>
      <c r="C3510" s="2" t="s">
        <v>9166</v>
      </c>
      <c r="D3510" s="2" t="s">
        <v>10055</v>
      </c>
      <c r="E3510" s="15">
        <v>-0.24510000000000001</v>
      </c>
      <c r="F3510" s="15">
        <v>0.1149</v>
      </c>
      <c r="G3510" s="15">
        <v>3.3000000000000002E-2</v>
      </c>
      <c r="H3510" s="15">
        <v>8.9099999999999999E-2</v>
      </c>
      <c r="I3510" s="15">
        <v>4.4600000000000001E-2</v>
      </c>
      <c r="J3510" s="15">
        <v>1.9977578475336319</v>
      </c>
    </row>
    <row r="3511" spans="1:10" x14ac:dyDescent="0.25">
      <c r="A3511" s="2" t="s">
        <v>9167</v>
      </c>
      <c r="B3511" s="2" t="s">
        <v>7007</v>
      </c>
      <c r="C3511" s="2" t="s">
        <v>9168</v>
      </c>
      <c r="D3511" s="2" t="s">
        <v>10055</v>
      </c>
      <c r="E3511" s="15">
        <v>-0.1065</v>
      </c>
      <c r="F3511" s="15">
        <v>0.1205</v>
      </c>
      <c r="G3511" s="15">
        <v>0.37669999999999998</v>
      </c>
      <c r="H3511" s="15">
        <v>8.0100000000000005E-2</v>
      </c>
      <c r="I3511" s="15">
        <v>4.41E-2</v>
      </c>
      <c r="J3511" s="15">
        <v>1.8163265306122449</v>
      </c>
    </row>
    <row r="3512" spans="1:10" x14ac:dyDescent="0.25">
      <c r="A3512" s="2" t="s">
        <v>9169</v>
      </c>
      <c r="B3512" s="2" t="s">
        <v>7007</v>
      </c>
      <c r="C3512" s="2" t="s">
        <v>9170</v>
      </c>
      <c r="D3512" s="2" t="s">
        <v>10055</v>
      </c>
      <c r="E3512" s="15">
        <v>0.10929999999999999</v>
      </c>
      <c r="F3512" s="15">
        <v>0.15390000000000001</v>
      </c>
      <c r="G3512" s="15">
        <v>0.4778</v>
      </c>
      <c r="H3512" s="15">
        <v>6.0600000000000001E-2</v>
      </c>
      <c r="I3512" s="15">
        <v>4.0599999999999997E-2</v>
      </c>
      <c r="J3512" s="15">
        <v>1.4926108374384239</v>
      </c>
    </row>
    <row r="3513" spans="1:10" x14ac:dyDescent="0.25">
      <c r="A3513" s="2" t="s">
        <v>9171</v>
      </c>
      <c r="B3513" s="2" t="s">
        <v>7007</v>
      </c>
      <c r="C3513" s="2" t="s">
        <v>9172</v>
      </c>
      <c r="D3513" s="2" t="s">
        <v>10055</v>
      </c>
      <c r="E3513" s="15">
        <v>-0.1074</v>
      </c>
      <c r="F3513" s="15">
        <v>9.8500000000000004E-2</v>
      </c>
      <c r="G3513" s="15">
        <v>0.2757</v>
      </c>
      <c r="H3513" s="15">
        <v>0.13439999999999999</v>
      </c>
      <c r="I3513" s="15">
        <v>4.7100000000000003E-2</v>
      </c>
      <c r="J3513" s="15">
        <v>2.8535031847133761</v>
      </c>
    </row>
    <row r="3514" spans="1:10" x14ac:dyDescent="0.25">
      <c r="A3514" s="2" t="s">
        <v>9173</v>
      </c>
      <c r="B3514" s="2" t="s">
        <v>7007</v>
      </c>
      <c r="C3514" s="2" t="s">
        <v>9174</v>
      </c>
      <c r="D3514" s="2" t="s">
        <v>10055</v>
      </c>
      <c r="E3514" s="15">
        <v>0.16700000000000001</v>
      </c>
      <c r="F3514" s="15">
        <v>0.16850000000000001</v>
      </c>
      <c r="G3514" s="15">
        <v>0.32150000000000001</v>
      </c>
      <c r="H3514" s="15">
        <v>4.9000000000000002E-2</v>
      </c>
      <c r="I3514" s="15">
        <v>4.3999999999999997E-2</v>
      </c>
      <c r="J3514" s="15">
        <v>1.113636363636364</v>
      </c>
    </row>
    <row r="3515" spans="1:10" x14ac:dyDescent="0.25">
      <c r="A3515" s="2" t="s">
        <v>9175</v>
      </c>
      <c r="B3515" s="2" t="s">
        <v>7007</v>
      </c>
      <c r="C3515" s="2" t="s">
        <v>9176</v>
      </c>
      <c r="D3515" s="2" t="s">
        <v>10055</v>
      </c>
      <c r="E3515" s="15">
        <v>0.12839999999999999</v>
      </c>
      <c r="F3515" s="15">
        <v>0.15160000000000001</v>
      </c>
      <c r="G3515" s="15">
        <v>0.39700000000000002</v>
      </c>
      <c r="H3515" s="15">
        <v>5.8500000000000003E-2</v>
      </c>
      <c r="I3515" s="15">
        <v>4.1000000000000002E-2</v>
      </c>
      <c r="J3515" s="15">
        <v>1.4268292682926831</v>
      </c>
    </row>
    <row r="3516" spans="1:10" x14ac:dyDescent="0.25">
      <c r="A3516" s="2" t="s">
        <v>9177</v>
      </c>
      <c r="B3516" s="2" t="s">
        <v>7007</v>
      </c>
      <c r="C3516" s="2" t="s">
        <v>9178</v>
      </c>
      <c r="D3516" s="2" t="s">
        <v>10055</v>
      </c>
      <c r="E3516" s="15">
        <v>-3.5999999999999997E-2</v>
      </c>
      <c r="F3516" s="15">
        <v>9.4600000000000004E-2</v>
      </c>
      <c r="G3516" s="15">
        <v>0.70340000000000003</v>
      </c>
      <c r="H3516" s="15">
        <v>0.1154</v>
      </c>
      <c r="I3516" s="15">
        <v>4.4600000000000001E-2</v>
      </c>
      <c r="J3516" s="15">
        <v>2.5874439461883409</v>
      </c>
    </row>
    <row r="3517" spans="1:10" x14ac:dyDescent="0.25">
      <c r="A3517" s="2" t="s">
        <v>9179</v>
      </c>
      <c r="B3517" s="2" t="s">
        <v>7007</v>
      </c>
      <c r="C3517" s="2" t="s">
        <v>9180</v>
      </c>
      <c r="D3517" s="2" t="s">
        <v>10055</v>
      </c>
      <c r="E3517" s="15"/>
      <c r="F3517" s="15"/>
      <c r="G3517" s="15"/>
      <c r="H3517" s="15"/>
      <c r="I3517" s="15"/>
      <c r="J3517" s="15"/>
    </row>
    <row r="3518" spans="1:10" x14ac:dyDescent="0.25">
      <c r="A3518" s="2" t="s">
        <v>9181</v>
      </c>
      <c r="B3518" s="2" t="s">
        <v>7007</v>
      </c>
      <c r="C3518" s="2" t="s">
        <v>9182</v>
      </c>
      <c r="D3518" s="2" t="s">
        <v>10055</v>
      </c>
      <c r="E3518" s="15">
        <v>5.57E-2</v>
      </c>
      <c r="F3518" s="15">
        <v>0.11509999999999999</v>
      </c>
      <c r="G3518" s="15">
        <v>0.62829999999999997</v>
      </c>
      <c r="H3518" s="15">
        <v>0.1024</v>
      </c>
      <c r="I3518" s="15">
        <v>5.9200000000000003E-2</v>
      </c>
      <c r="J3518" s="15">
        <v>1.72972972972973</v>
      </c>
    </row>
    <row r="3519" spans="1:10" x14ac:dyDescent="0.25">
      <c r="A3519" s="2" t="s">
        <v>9183</v>
      </c>
      <c r="B3519" s="2" t="s">
        <v>7007</v>
      </c>
      <c r="C3519" s="2" t="s">
        <v>9184</v>
      </c>
      <c r="D3519" s="2" t="s">
        <v>10055</v>
      </c>
      <c r="E3519" s="15">
        <v>-4.2099999999999999E-2</v>
      </c>
      <c r="F3519" s="15">
        <v>0.1186</v>
      </c>
      <c r="G3519" s="15">
        <v>0.72289999999999999</v>
      </c>
      <c r="H3519" s="15">
        <v>9.3700000000000006E-2</v>
      </c>
      <c r="I3519" s="15">
        <v>4.2500000000000003E-2</v>
      </c>
      <c r="J3519" s="15">
        <v>2.2047058823529411</v>
      </c>
    </row>
    <row r="3520" spans="1:10" x14ac:dyDescent="0.25">
      <c r="A3520" s="2" t="s">
        <v>9185</v>
      </c>
      <c r="B3520" s="2" t="s">
        <v>7007</v>
      </c>
      <c r="C3520" s="2" t="s">
        <v>9186</v>
      </c>
      <c r="D3520" s="2" t="s">
        <v>10055</v>
      </c>
      <c r="E3520" s="15">
        <v>-0.14940000000000001</v>
      </c>
      <c r="F3520" s="15">
        <v>8.6699999999999999E-2</v>
      </c>
      <c r="G3520" s="15">
        <v>8.5000000000000006E-2</v>
      </c>
      <c r="H3520" s="15">
        <v>0.16919999999999999</v>
      </c>
      <c r="I3520" s="15">
        <v>4.5199999999999997E-2</v>
      </c>
      <c r="J3520" s="15">
        <v>3.7433628318584069</v>
      </c>
    </row>
    <row r="3521" spans="1:10" x14ac:dyDescent="0.25">
      <c r="A3521" s="2" t="s">
        <v>9187</v>
      </c>
      <c r="B3521" s="2" t="s">
        <v>7007</v>
      </c>
      <c r="C3521" s="2" t="s">
        <v>9188</v>
      </c>
      <c r="D3521" s="2" t="s">
        <v>10055</v>
      </c>
      <c r="E3521" s="15">
        <v>1.9E-2</v>
      </c>
      <c r="F3521" s="15">
        <v>0.1235</v>
      </c>
      <c r="G3521" s="15">
        <v>0.87739999999999996</v>
      </c>
      <c r="H3521" s="15">
        <v>9.1999999999999998E-2</v>
      </c>
      <c r="I3521" s="15">
        <v>4.0599999999999997E-2</v>
      </c>
      <c r="J3521" s="15">
        <v>2.2660098522167491</v>
      </c>
    </row>
    <row r="3522" spans="1:10" x14ac:dyDescent="0.25">
      <c r="A3522" s="2" t="s">
        <v>9189</v>
      </c>
      <c r="B3522" s="2" t="s">
        <v>7007</v>
      </c>
      <c r="C3522" s="2" t="s">
        <v>9190</v>
      </c>
      <c r="D3522" s="2" t="s">
        <v>10055</v>
      </c>
      <c r="E3522" s="15">
        <v>5.2499999999999998E-2</v>
      </c>
      <c r="F3522" s="15">
        <v>8.5400000000000004E-2</v>
      </c>
      <c r="G3522" s="15">
        <v>0.53869999999999996</v>
      </c>
      <c r="H3522" s="15">
        <v>0.1666</v>
      </c>
      <c r="I3522" s="15">
        <v>5.4399999999999997E-2</v>
      </c>
      <c r="J3522" s="15">
        <v>3.0625</v>
      </c>
    </row>
    <row r="3523" spans="1:10" x14ac:dyDescent="0.25">
      <c r="A3523" s="2" t="s">
        <v>9191</v>
      </c>
      <c r="B3523" s="2" t="s">
        <v>7007</v>
      </c>
      <c r="C3523" s="2" t="s">
        <v>9192</v>
      </c>
      <c r="D3523" s="2" t="s">
        <v>10055</v>
      </c>
      <c r="E3523" s="15">
        <v>9.5000000000000001E-2</v>
      </c>
      <c r="F3523" s="15">
        <v>0.10979999999999999</v>
      </c>
      <c r="G3523" s="15">
        <v>0.38700000000000001</v>
      </c>
      <c r="H3523" s="15">
        <v>0.1066</v>
      </c>
      <c r="I3523" s="15">
        <v>4.0300000000000002E-2</v>
      </c>
      <c r="J3523" s="15">
        <v>2.645161290322581</v>
      </c>
    </row>
    <row r="3524" spans="1:10" x14ac:dyDescent="0.25">
      <c r="A3524" s="2" t="s">
        <v>9193</v>
      </c>
      <c r="B3524" s="2" t="s">
        <v>7007</v>
      </c>
      <c r="C3524" s="2" t="s">
        <v>9194</v>
      </c>
      <c r="D3524" s="2" t="s">
        <v>10055</v>
      </c>
      <c r="E3524" s="15">
        <v>0.05</v>
      </c>
      <c r="F3524" s="15">
        <v>0.12839999999999999</v>
      </c>
      <c r="G3524" s="15">
        <v>0.69669999999999999</v>
      </c>
      <c r="H3524" s="15">
        <v>7.2400000000000006E-2</v>
      </c>
      <c r="I3524" s="15">
        <v>4.1000000000000002E-2</v>
      </c>
      <c r="J3524" s="15">
        <v>1.7658536585365849</v>
      </c>
    </row>
    <row r="3525" spans="1:10" x14ac:dyDescent="0.25">
      <c r="A3525" s="2" t="s">
        <v>9195</v>
      </c>
      <c r="B3525" s="2" t="s">
        <v>7007</v>
      </c>
      <c r="C3525" s="2" t="s">
        <v>9196</v>
      </c>
      <c r="D3525" s="2" t="s">
        <v>10055</v>
      </c>
      <c r="E3525" s="15">
        <v>-3.9399999999999998E-2</v>
      </c>
      <c r="F3525" s="15">
        <v>0.1409</v>
      </c>
      <c r="G3525" s="15">
        <v>0.77980000000000005</v>
      </c>
      <c r="H3525" s="15">
        <v>5.6500000000000002E-2</v>
      </c>
      <c r="I3525" s="15">
        <v>4.4200000000000003E-2</v>
      </c>
      <c r="J3525" s="15">
        <v>1.278280542986425</v>
      </c>
    </row>
    <row r="3526" spans="1:10" x14ac:dyDescent="0.25">
      <c r="A3526" s="2" t="s">
        <v>9197</v>
      </c>
      <c r="B3526" s="2" t="s">
        <v>7007</v>
      </c>
      <c r="C3526" s="2" t="s">
        <v>9198</v>
      </c>
      <c r="D3526" s="2" t="s">
        <v>10055</v>
      </c>
      <c r="E3526" s="15">
        <v>-5.2600000000000001E-2</v>
      </c>
      <c r="F3526" s="15">
        <v>0.1313</v>
      </c>
      <c r="G3526" s="15">
        <v>0.68869999999999998</v>
      </c>
      <c r="H3526" s="15">
        <v>8.5199999999999998E-2</v>
      </c>
      <c r="I3526" s="15">
        <v>4.5699999999999998E-2</v>
      </c>
      <c r="J3526" s="15">
        <v>1.8643326039387309</v>
      </c>
    </row>
    <row r="3527" spans="1:10" x14ac:dyDescent="0.25">
      <c r="A3527" s="2" t="s">
        <v>9199</v>
      </c>
      <c r="B3527" s="2" t="s">
        <v>7007</v>
      </c>
      <c r="C3527" s="2" t="s">
        <v>9200</v>
      </c>
      <c r="D3527" s="2" t="s">
        <v>10055</v>
      </c>
      <c r="E3527" s="15">
        <v>-0.13589999999999999</v>
      </c>
      <c r="F3527" s="15">
        <v>0.35610000000000003</v>
      </c>
      <c r="G3527" s="15">
        <v>0.7026</v>
      </c>
      <c r="H3527" s="15">
        <v>1.46E-2</v>
      </c>
      <c r="I3527" s="15">
        <v>4.2099999999999999E-2</v>
      </c>
      <c r="J3527" s="15">
        <v>0.34679334916864613</v>
      </c>
    </row>
    <row r="3528" spans="1:10" x14ac:dyDescent="0.25">
      <c r="A3528" s="2" t="s">
        <v>9201</v>
      </c>
      <c r="B3528" s="2" t="s">
        <v>7007</v>
      </c>
      <c r="C3528" s="2" t="s">
        <v>9202</v>
      </c>
      <c r="D3528" s="2" t="s">
        <v>10055</v>
      </c>
      <c r="E3528" s="15">
        <v>-0.19389999999999999</v>
      </c>
      <c r="F3528" s="15">
        <v>0.23630000000000001</v>
      </c>
      <c r="G3528" s="15">
        <v>0.41199999999999998</v>
      </c>
      <c r="H3528" s="15">
        <v>3.0499999999999999E-2</v>
      </c>
      <c r="I3528" s="15">
        <v>3.8899999999999997E-2</v>
      </c>
      <c r="J3528" s="15">
        <v>0.78406169665809777</v>
      </c>
    </row>
    <row r="3529" spans="1:10" x14ac:dyDescent="0.25">
      <c r="A3529" s="2" t="s">
        <v>9203</v>
      </c>
      <c r="B3529" s="2" t="s">
        <v>7007</v>
      </c>
      <c r="C3529" s="2" t="s">
        <v>9204</v>
      </c>
      <c r="D3529" s="2" t="s">
        <v>10055</v>
      </c>
      <c r="E3529" s="15">
        <v>6.6600000000000006E-2</v>
      </c>
      <c r="F3529" s="15">
        <v>0.1167</v>
      </c>
      <c r="G3529" s="15">
        <v>0.56830000000000003</v>
      </c>
      <c r="H3529" s="15">
        <v>0.1192</v>
      </c>
      <c r="I3529" s="15">
        <v>4.6399999999999997E-2</v>
      </c>
      <c r="J3529" s="15">
        <v>2.568965517241379</v>
      </c>
    </row>
    <row r="3530" spans="1:10" x14ac:dyDescent="0.25">
      <c r="A3530" s="2" t="s">
        <v>9205</v>
      </c>
      <c r="B3530" s="2" t="s">
        <v>7007</v>
      </c>
      <c r="C3530" s="2" t="s">
        <v>9206</v>
      </c>
      <c r="D3530" s="2" t="s">
        <v>10055</v>
      </c>
      <c r="E3530" s="15">
        <v>7.4899999999999994E-2</v>
      </c>
      <c r="F3530" s="15">
        <v>0.13239999999999999</v>
      </c>
      <c r="G3530" s="15">
        <v>0.5716</v>
      </c>
      <c r="H3530" s="15">
        <v>9.1399999999999995E-2</v>
      </c>
      <c r="I3530" s="15">
        <v>4.8399999999999999E-2</v>
      </c>
      <c r="J3530" s="15">
        <v>1.888429752066116</v>
      </c>
    </row>
    <row r="3531" spans="1:10" x14ac:dyDescent="0.25">
      <c r="A3531" s="2" t="s">
        <v>9207</v>
      </c>
      <c r="B3531" s="2" t="s">
        <v>7007</v>
      </c>
      <c r="C3531" s="2" t="s">
        <v>9208</v>
      </c>
      <c r="D3531" s="2" t="s">
        <v>10055</v>
      </c>
      <c r="E3531" s="15"/>
      <c r="F3531" s="15"/>
      <c r="G3531" s="15"/>
      <c r="H3531" s="15">
        <v>-2.4400000000000002E-2</v>
      </c>
      <c r="I3531" s="15">
        <v>3.9300000000000002E-2</v>
      </c>
      <c r="J3531" s="15">
        <v>-0.62086513994910941</v>
      </c>
    </row>
    <row r="3532" spans="1:10" x14ac:dyDescent="0.25">
      <c r="A3532" s="2" t="s">
        <v>9209</v>
      </c>
      <c r="B3532" s="2" t="s">
        <v>7007</v>
      </c>
      <c r="C3532" s="2" t="s">
        <v>9210</v>
      </c>
      <c r="D3532" s="2" t="s">
        <v>10055</v>
      </c>
      <c r="E3532" s="15">
        <v>4.2599999999999999E-2</v>
      </c>
      <c r="F3532" s="15">
        <v>8.8200000000000001E-2</v>
      </c>
      <c r="G3532" s="15">
        <v>0.62890000000000001</v>
      </c>
      <c r="H3532" s="15">
        <v>0.15659999999999999</v>
      </c>
      <c r="I3532" s="15">
        <v>4.19E-2</v>
      </c>
      <c r="J3532" s="15">
        <v>3.7374701670644388</v>
      </c>
    </row>
    <row r="3533" spans="1:10" x14ac:dyDescent="0.25">
      <c r="A3533" s="2" t="s">
        <v>9211</v>
      </c>
      <c r="B3533" s="2" t="s">
        <v>7007</v>
      </c>
      <c r="C3533" s="2" t="s">
        <v>9212</v>
      </c>
      <c r="D3533" s="2" t="s">
        <v>10055</v>
      </c>
      <c r="E3533" s="15">
        <v>3.6499999999999998E-2</v>
      </c>
      <c r="F3533" s="15">
        <v>9.5100000000000004E-2</v>
      </c>
      <c r="G3533" s="15">
        <v>0.70099999999999996</v>
      </c>
      <c r="H3533" s="15">
        <v>0.14050000000000001</v>
      </c>
      <c r="I3533" s="15">
        <v>4.2200000000000001E-2</v>
      </c>
      <c r="J3533" s="15">
        <v>3.3293838862559242</v>
      </c>
    </row>
    <row r="3534" spans="1:10" x14ac:dyDescent="0.25">
      <c r="A3534" s="2" t="s">
        <v>9213</v>
      </c>
      <c r="B3534" s="2" t="s">
        <v>7007</v>
      </c>
      <c r="C3534" s="2" t="s">
        <v>9214</v>
      </c>
      <c r="D3534" s="2" t="s">
        <v>10055</v>
      </c>
      <c r="E3534" s="15">
        <v>8.5500000000000007E-2</v>
      </c>
      <c r="F3534" s="15">
        <v>0.2152</v>
      </c>
      <c r="G3534" s="15">
        <v>0.69120000000000004</v>
      </c>
      <c r="H3534" s="15">
        <v>2.8799999999999999E-2</v>
      </c>
      <c r="I3534" s="15">
        <v>4.1799999999999997E-2</v>
      </c>
      <c r="J3534" s="15">
        <v>0.68899521531100483</v>
      </c>
    </row>
    <row r="3535" spans="1:10" x14ac:dyDescent="0.25">
      <c r="A3535" s="2" t="s">
        <v>9215</v>
      </c>
      <c r="B3535" s="2" t="s">
        <v>7007</v>
      </c>
      <c r="C3535" s="2" t="s">
        <v>9216</v>
      </c>
      <c r="D3535" s="2" t="s">
        <v>10055</v>
      </c>
      <c r="E3535" s="15">
        <v>0.17849999999999999</v>
      </c>
      <c r="F3535" s="15">
        <v>0.1144</v>
      </c>
      <c r="G3535" s="15">
        <v>0.1187</v>
      </c>
      <c r="H3535" s="15">
        <v>9.8900000000000002E-2</v>
      </c>
      <c r="I3535" s="15">
        <v>4.3400000000000001E-2</v>
      </c>
      <c r="J3535" s="15">
        <v>2.278801843317972</v>
      </c>
    </row>
    <row r="3536" spans="1:10" x14ac:dyDescent="0.25">
      <c r="A3536" s="2" t="s">
        <v>9217</v>
      </c>
      <c r="B3536" s="2" t="s">
        <v>7007</v>
      </c>
      <c r="C3536" s="2" t="s">
        <v>9218</v>
      </c>
      <c r="D3536" s="2" t="s">
        <v>10055</v>
      </c>
      <c r="E3536" s="15">
        <v>4.6899999999999997E-2</v>
      </c>
      <c r="F3536" s="15">
        <v>0.12959999999999999</v>
      </c>
      <c r="G3536" s="15">
        <v>0.71750000000000003</v>
      </c>
      <c r="H3536" s="15">
        <v>6.8500000000000005E-2</v>
      </c>
      <c r="I3536" s="15">
        <v>4.7699999999999999E-2</v>
      </c>
      <c r="J3536" s="15">
        <v>1.4360587002096441</v>
      </c>
    </row>
    <row r="3537" spans="1:10" x14ac:dyDescent="0.25">
      <c r="A3537" s="2" t="s">
        <v>9219</v>
      </c>
      <c r="B3537" s="2" t="s">
        <v>7007</v>
      </c>
      <c r="C3537" s="2" t="s">
        <v>9220</v>
      </c>
      <c r="D3537" s="2" t="s">
        <v>10055</v>
      </c>
      <c r="E3537" s="15">
        <v>-0.1104</v>
      </c>
      <c r="F3537" s="15">
        <v>0.1162</v>
      </c>
      <c r="G3537" s="15">
        <v>0.34200000000000003</v>
      </c>
      <c r="H3537" s="15">
        <v>9.8799999999999999E-2</v>
      </c>
      <c r="I3537" s="15">
        <v>5.1900000000000002E-2</v>
      </c>
      <c r="J3537" s="15">
        <v>1.9036608863198461</v>
      </c>
    </row>
    <row r="3538" spans="1:10" x14ac:dyDescent="0.25">
      <c r="A3538" s="2" t="s">
        <v>9221</v>
      </c>
      <c r="B3538" s="2" t="s">
        <v>7007</v>
      </c>
      <c r="C3538" s="2" t="s">
        <v>9222</v>
      </c>
      <c r="D3538" s="2" t="s">
        <v>10055</v>
      </c>
      <c r="E3538" s="15"/>
      <c r="F3538" s="15"/>
      <c r="G3538" s="15"/>
      <c r="H3538" s="15">
        <v>-2.0999999999999999E-3</v>
      </c>
      <c r="I3538" s="15">
        <v>3.6600000000000001E-2</v>
      </c>
      <c r="J3538" s="15">
        <v>-5.7377049180327863E-2</v>
      </c>
    </row>
    <row r="3539" spans="1:10" x14ac:dyDescent="0.25">
      <c r="A3539" s="2" t="s">
        <v>9223</v>
      </c>
      <c r="B3539" s="2" t="s">
        <v>7007</v>
      </c>
      <c r="C3539" s="2" t="s">
        <v>9224</v>
      </c>
      <c r="D3539" s="2" t="s">
        <v>10055</v>
      </c>
      <c r="E3539" s="15">
        <v>-0.23469999999999999</v>
      </c>
      <c r="F3539" s="15">
        <v>0.13400000000000001</v>
      </c>
      <c r="G3539" s="15">
        <v>7.9899999999999999E-2</v>
      </c>
      <c r="H3539" s="15">
        <v>7.9100000000000004E-2</v>
      </c>
      <c r="I3539" s="15">
        <v>4.0899999999999999E-2</v>
      </c>
      <c r="J3539" s="15">
        <v>1.9339853300733501</v>
      </c>
    </row>
    <row r="3540" spans="1:10" x14ac:dyDescent="0.25">
      <c r="A3540" s="2" t="s">
        <v>9225</v>
      </c>
      <c r="B3540" s="2" t="s">
        <v>7007</v>
      </c>
      <c r="C3540" s="2" t="s">
        <v>9226</v>
      </c>
      <c r="D3540" s="2" t="s">
        <v>10055</v>
      </c>
      <c r="E3540" s="15">
        <v>0.13850000000000001</v>
      </c>
      <c r="F3540" s="15">
        <v>0.1108</v>
      </c>
      <c r="G3540" s="15">
        <v>0.2112</v>
      </c>
      <c r="H3540" s="15">
        <v>0.1154</v>
      </c>
      <c r="I3540" s="15">
        <v>3.9199999999999999E-2</v>
      </c>
      <c r="J3540" s="15">
        <v>2.943877551020408</v>
      </c>
    </row>
    <row r="3541" spans="1:10" x14ac:dyDescent="0.25">
      <c r="A3541" s="2" t="s">
        <v>9227</v>
      </c>
      <c r="B3541" s="2" t="s">
        <v>7007</v>
      </c>
      <c r="C3541" s="2" t="s">
        <v>9228</v>
      </c>
      <c r="D3541" s="2" t="s">
        <v>10055</v>
      </c>
      <c r="E3541" s="15"/>
      <c r="F3541" s="15"/>
      <c r="G3541" s="15"/>
      <c r="H3541" s="15"/>
      <c r="I3541" s="15"/>
      <c r="J3541" s="15"/>
    </row>
    <row r="3542" spans="1:10" x14ac:dyDescent="0.25">
      <c r="A3542" s="2" t="s">
        <v>9229</v>
      </c>
      <c r="B3542" s="2" t="s">
        <v>7007</v>
      </c>
      <c r="C3542" s="2" t="s">
        <v>9230</v>
      </c>
      <c r="D3542" s="2" t="s">
        <v>10055</v>
      </c>
      <c r="E3542" s="15">
        <v>0.14169999999999999</v>
      </c>
      <c r="F3542" s="15">
        <v>8.9899999999999994E-2</v>
      </c>
      <c r="G3542" s="15">
        <v>0.1149</v>
      </c>
      <c r="H3542" s="15">
        <v>0.16789999999999999</v>
      </c>
      <c r="I3542" s="15">
        <v>4.4600000000000001E-2</v>
      </c>
      <c r="J3542" s="15">
        <v>3.7645739910313898</v>
      </c>
    </row>
    <row r="3543" spans="1:10" x14ac:dyDescent="0.25">
      <c r="A3543" s="2" t="s">
        <v>9231</v>
      </c>
      <c r="B3543" s="2" t="s">
        <v>7007</v>
      </c>
      <c r="C3543" s="2" t="s">
        <v>9232</v>
      </c>
      <c r="D3543" s="2" t="s">
        <v>10055</v>
      </c>
      <c r="E3543" s="15">
        <v>0.1076</v>
      </c>
      <c r="F3543" s="15">
        <v>0.16700000000000001</v>
      </c>
      <c r="G3543" s="15">
        <v>0.51939999999999997</v>
      </c>
      <c r="H3543" s="15">
        <v>5.74E-2</v>
      </c>
      <c r="I3543" s="15">
        <v>4.2299999999999997E-2</v>
      </c>
      <c r="J3543" s="15">
        <v>1.356973995271868</v>
      </c>
    </row>
    <row r="3544" spans="1:10" x14ac:dyDescent="0.25">
      <c r="A3544" s="2" t="s">
        <v>9233</v>
      </c>
      <c r="B3544" s="2" t="s">
        <v>7007</v>
      </c>
      <c r="C3544" s="2" t="s">
        <v>9234</v>
      </c>
      <c r="D3544" s="2" t="s">
        <v>10055</v>
      </c>
      <c r="E3544" s="15">
        <v>2.9899999999999999E-2</v>
      </c>
      <c r="F3544" s="15">
        <v>0.10630000000000001</v>
      </c>
      <c r="G3544" s="15">
        <v>0.77849999999999997</v>
      </c>
      <c r="H3544" s="15">
        <v>0.1014</v>
      </c>
      <c r="I3544" s="15">
        <v>4.3200000000000002E-2</v>
      </c>
      <c r="J3544" s="15">
        <v>2.3472222222222219</v>
      </c>
    </row>
    <row r="3545" spans="1:10" x14ac:dyDescent="0.25">
      <c r="A3545" s="2" t="s">
        <v>9235</v>
      </c>
      <c r="B3545" s="2" t="s">
        <v>7007</v>
      </c>
      <c r="C3545" s="2" t="s">
        <v>9236</v>
      </c>
      <c r="D3545" s="2" t="s">
        <v>10055</v>
      </c>
      <c r="E3545" s="15">
        <v>-0.20469999999999999</v>
      </c>
      <c r="F3545" s="15">
        <v>0.12540000000000001</v>
      </c>
      <c r="G3545" s="15">
        <v>0.1027</v>
      </c>
      <c r="H3545" s="15">
        <v>9.4700000000000006E-2</v>
      </c>
      <c r="I3545" s="15">
        <v>4.3200000000000002E-2</v>
      </c>
      <c r="J3545" s="15">
        <v>2.1921296296296302</v>
      </c>
    </row>
    <row r="3546" spans="1:10" x14ac:dyDescent="0.25">
      <c r="A3546" s="2" t="s">
        <v>9237</v>
      </c>
      <c r="B3546" s="2" t="s">
        <v>7007</v>
      </c>
      <c r="C3546" s="2" t="s">
        <v>9238</v>
      </c>
      <c r="D3546" s="2" t="s">
        <v>10055</v>
      </c>
      <c r="E3546" s="15"/>
      <c r="F3546" s="15"/>
      <c r="G3546" s="15"/>
      <c r="H3546" s="15">
        <v>-5.3E-3</v>
      </c>
      <c r="I3546" s="15">
        <v>4.1599999999999998E-2</v>
      </c>
      <c r="J3546" s="15">
        <v>-0.1274038461538462</v>
      </c>
    </row>
    <row r="3547" spans="1:10" x14ac:dyDescent="0.25">
      <c r="A3547" s="2" t="s">
        <v>9239</v>
      </c>
      <c r="B3547" s="2" t="s">
        <v>7007</v>
      </c>
      <c r="C3547" s="2" t="s">
        <v>9240</v>
      </c>
      <c r="D3547" s="2" t="s">
        <v>10055</v>
      </c>
      <c r="E3547" s="15">
        <v>1.09E-2</v>
      </c>
      <c r="F3547" s="15">
        <v>0.12959999999999999</v>
      </c>
      <c r="G3547" s="15">
        <v>0.93320000000000003</v>
      </c>
      <c r="H3547" s="15">
        <v>7.7600000000000002E-2</v>
      </c>
      <c r="I3547" s="15">
        <v>4.2900000000000001E-2</v>
      </c>
      <c r="J3547" s="15">
        <v>1.8088578088578089</v>
      </c>
    </row>
    <row r="3548" spans="1:10" x14ac:dyDescent="0.25">
      <c r="A3548" s="2" t="s">
        <v>9241</v>
      </c>
      <c r="B3548" s="2" t="s">
        <v>7007</v>
      </c>
      <c r="C3548" s="2" t="s">
        <v>9242</v>
      </c>
      <c r="D3548" s="2" t="s">
        <v>10055</v>
      </c>
      <c r="E3548" s="15">
        <v>-0.156</v>
      </c>
      <c r="F3548" s="15">
        <v>8.8999999999999996E-2</v>
      </c>
      <c r="G3548" s="15">
        <v>7.9699999999999993E-2</v>
      </c>
      <c r="H3548" s="15">
        <v>0.1532</v>
      </c>
      <c r="I3548" s="15">
        <v>0.05</v>
      </c>
      <c r="J3548" s="15">
        <v>3.0640000000000001</v>
      </c>
    </row>
    <row r="3549" spans="1:10" x14ac:dyDescent="0.25">
      <c r="A3549" s="2" t="s">
        <v>9243</v>
      </c>
      <c r="B3549" s="2" t="s">
        <v>7007</v>
      </c>
      <c r="C3549" s="2" t="s">
        <v>9244</v>
      </c>
      <c r="D3549" s="2" t="s">
        <v>10055</v>
      </c>
      <c r="E3549" s="15">
        <v>-6.9099999999999995E-2</v>
      </c>
      <c r="F3549" s="15">
        <v>0.1426</v>
      </c>
      <c r="G3549" s="15">
        <v>0.62819999999999998</v>
      </c>
      <c r="H3549" s="15">
        <v>6.1699999999999998E-2</v>
      </c>
      <c r="I3549" s="15">
        <v>3.9E-2</v>
      </c>
      <c r="J3549" s="15">
        <v>1.582051282051282</v>
      </c>
    </row>
    <row r="3550" spans="1:10" x14ac:dyDescent="0.25">
      <c r="A3550" s="2" t="s">
        <v>9245</v>
      </c>
      <c r="B3550" s="2" t="s">
        <v>7007</v>
      </c>
      <c r="C3550" s="2" t="s">
        <v>9246</v>
      </c>
      <c r="D3550" s="2" t="s">
        <v>10055</v>
      </c>
      <c r="E3550" s="15">
        <v>-0.17710000000000001</v>
      </c>
      <c r="F3550" s="15">
        <v>0.1754</v>
      </c>
      <c r="G3550" s="15">
        <v>0.31259999999999999</v>
      </c>
      <c r="H3550" s="15">
        <v>4.6199999999999998E-2</v>
      </c>
      <c r="I3550" s="15">
        <v>4.5100000000000001E-2</v>
      </c>
      <c r="J3550" s="15">
        <v>1.024390243902439</v>
      </c>
    </row>
    <row r="3551" spans="1:10" x14ac:dyDescent="0.25">
      <c r="A3551" s="2" t="s">
        <v>9247</v>
      </c>
      <c r="B3551" s="2" t="s">
        <v>7007</v>
      </c>
      <c r="C3551" s="2" t="s">
        <v>9248</v>
      </c>
      <c r="D3551" s="2" t="s">
        <v>10055</v>
      </c>
      <c r="E3551" s="15">
        <v>3.15E-2</v>
      </c>
      <c r="F3551" s="15">
        <v>0.1091</v>
      </c>
      <c r="G3551" s="15">
        <v>0.77290000000000003</v>
      </c>
      <c r="H3551" s="15">
        <v>9.8900000000000002E-2</v>
      </c>
      <c r="I3551" s="15">
        <v>4.48E-2</v>
      </c>
      <c r="J3551" s="15">
        <v>2.207589285714286</v>
      </c>
    </row>
    <row r="3552" spans="1:10" x14ac:dyDescent="0.25">
      <c r="A3552" s="2" t="s">
        <v>9249</v>
      </c>
      <c r="B3552" s="2" t="s">
        <v>7007</v>
      </c>
      <c r="C3552" s="2" t="s">
        <v>9250</v>
      </c>
      <c r="D3552" s="2" t="s">
        <v>10055</v>
      </c>
      <c r="E3552" s="15">
        <v>-0.14729999999999999</v>
      </c>
      <c r="F3552" s="15">
        <v>0.1215</v>
      </c>
      <c r="G3552" s="15">
        <v>0.22559999999999999</v>
      </c>
      <c r="H3552" s="15">
        <v>0.1056</v>
      </c>
      <c r="I3552" s="15">
        <v>4.6699999999999998E-2</v>
      </c>
      <c r="J3552" s="15">
        <v>2.261241970021413</v>
      </c>
    </row>
    <row r="3553" spans="1:10" x14ac:dyDescent="0.25">
      <c r="A3553" s="2" t="s">
        <v>9251</v>
      </c>
      <c r="B3553" s="2" t="s">
        <v>7007</v>
      </c>
      <c r="C3553" s="2" t="s">
        <v>9252</v>
      </c>
      <c r="D3553" s="2" t="s">
        <v>10055</v>
      </c>
      <c r="E3553" s="15">
        <v>0.1095</v>
      </c>
      <c r="F3553" s="15">
        <v>0.21829999999999999</v>
      </c>
      <c r="G3553" s="15">
        <v>0.6159</v>
      </c>
      <c r="H3553" s="15">
        <v>4.0500000000000001E-2</v>
      </c>
      <c r="I3553" s="15">
        <v>4.6199999999999998E-2</v>
      </c>
      <c r="J3553" s="15">
        <v>0.87662337662337664</v>
      </c>
    </row>
    <row r="3554" spans="1:10" x14ac:dyDescent="0.25">
      <c r="A3554" s="2" t="s">
        <v>9253</v>
      </c>
      <c r="B3554" s="2" t="s">
        <v>7007</v>
      </c>
      <c r="C3554" s="2" t="s">
        <v>9254</v>
      </c>
      <c r="D3554" s="2" t="s">
        <v>10055</v>
      </c>
      <c r="E3554" s="15">
        <v>0.25590000000000002</v>
      </c>
      <c r="F3554" s="15">
        <v>0.11990000000000001</v>
      </c>
      <c r="G3554" s="15">
        <v>3.2800000000000003E-2</v>
      </c>
      <c r="H3554" s="15">
        <v>0.10290000000000001</v>
      </c>
      <c r="I3554" s="15">
        <v>4.5100000000000001E-2</v>
      </c>
      <c r="J3554" s="15">
        <v>2.2815964523281602</v>
      </c>
    </row>
    <row r="3555" spans="1:10" x14ac:dyDescent="0.25">
      <c r="A3555" s="2" t="s">
        <v>9255</v>
      </c>
      <c r="B3555" s="2" t="s">
        <v>7007</v>
      </c>
      <c r="C3555" s="2" t="s">
        <v>9256</v>
      </c>
      <c r="D3555" s="2" t="s">
        <v>10055</v>
      </c>
      <c r="E3555" s="15">
        <v>-0.46679999999999999</v>
      </c>
      <c r="F3555" s="15">
        <v>0.52480000000000004</v>
      </c>
      <c r="G3555" s="15">
        <v>0.37380000000000002</v>
      </c>
      <c r="H3555" s="15">
        <v>4.4999999999999998E-2</v>
      </c>
      <c r="I3555" s="15">
        <v>4.9399999999999999E-2</v>
      </c>
      <c r="J3555" s="15">
        <v>0.91093117408906876</v>
      </c>
    </row>
    <row r="3556" spans="1:10" x14ac:dyDescent="0.25">
      <c r="A3556" s="2" t="s">
        <v>9257</v>
      </c>
      <c r="B3556" s="2" t="s">
        <v>7007</v>
      </c>
      <c r="C3556" s="2" t="s">
        <v>9258</v>
      </c>
      <c r="D3556" s="2" t="s">
        <v>10055</v>
      </c>
      <c r="E3556" s="15">
        <v>-0.2011</v>
      </c>
      <c r="F3556" s="15">
        <v>0.32719999999999999</v>
      </c>
      <c r="G3556" s="15">
        <v>0.53879999999999995</v>
      </c>
      <c r="H3556" s="15">
        <v>2.2800000000000001E-2</v>
      </c>
      <c r="I3556" s="15">
        <v>4.1700000000000001E-2</v>
      </c>
      <c r="J3556" s="15">
        <v>0.5467625899280576</v>
      </c>
    </row>
    <row r="3557" spans="1:10" x14ac:dyDescent="0.25">
      <c r="A3557" s="2" t="s">
        <v>9259</v>
      </c>
      <c r="B3557" s="2" t="s">
        <v>7007</v>
      </c>
      <c r="C3557" s="2" t="s">
        <v>9260</v>
      </c>
      <c r="D3557" s="2" t="s">
        <v>10055</v>
      </c>
      <c r="E3557" s="15">
        <v>0.2742</v>
      </c>
      <c r="F3557" s="15">
        <v>0.2238</v>
      </c>
      <c r="G3557" s="15">
        <v>0.22059999999999999</v>
      </c>
      <c r="H3557" s="15">
        <v>5.0999999999999997E-2</v>
      </c>
      <c r="I3557" s="15">
        <v>4.9299999999999997E-2</v>
      </c>
      <c r="J3557" s="15">
        <v>1.0344827586206899</v>
      </c>
    </row>
    <row r="3558" spans="1:10" x14ac:dyDescent="0.25">
      <c r="A3558" s="2" t="s">
        <v>9261</v>
      </c>
      <c r="B3558" s="2" t="s">
        <v>7007</v>
      </c>
      <c r="C3558" s="2" t="s">
        <v>9262</v>
      </c>
      <c r="D3558" s="2" t="s">
        <v>10055</v>
      </c>
      <c r="E3558" s="15">
        <v>-4.8300000000000003E-2</v>
      </c>
      <c r="F3558" s="15">
        <v>0.11310000000000001</v>
      </c>
      <c r="G3558" s="15">
        <v>0.66910000000000003</v>
      </c>
      <c r="H3558" s="15">
        <v>9.0700000000000003E-2</v>
      </c>
      <c r="I3558" s="15">
        <v>4.9099999999999998E-2</v>
      </c>
      <c r="J3558" s="15">
        <v>1.84725050916497</v>
      </c>
    </row>
    <row r="3559" spans="1:10" x14ac:dyDescent="0.25">
      <c r="A3559" s="2" t="s">
        <v>9263</v>
      </c>
      <c r="B3559" s="2" t="s">
        <v>7007</v>
      </c>
      <c r="C3559" s="2" t="s">
        <v>9264</v>
      </c>
      <c r="D3559" s="2" t="s">
        <v>10055</v>
      </c>
      <c r="E3559" s="15"/>
      <c r="F3559" s="15"/>
      <c r="G3559" s="15"/>
      <c r="H3559" s="15"/>
      <c r="I3559" s="15"/>
      <c r="J3559" s="15"/>
    </row>
    <row r="3560" spans="1:10" x14ac:dyDescent="0.25">
      <c r="A3560" s="2" t="s">
        <v>9265</v>
      </c>
      <c r="B3560" s="2" t="s">
        <v>7007</v>
      </c>
      <c r="C3560" s="2" t="s">
        <v>9266</v>
      </c>
      <c r="D3560" s="2" t="s">
        <v>10055</v>
      </c>
      <c r="E3560" s="15">
        <v>-1.6899999999999998E-2</v>
      </c>
      <c r="F3560" s="15">
        <v>0.127</v>
      </c>
      <c r="G3560" s="15">
        <v>0.89419999999999999</v>
      </c>
      <c r="H3560" s="15">
        <v>7.9100000000000004E-2</v>
      </c>
      <c r="I3560" s="15">
        <v>4.58E-2</v>
      </c>
      <c r="J3560" s="15">
        <v>1.7270742358078599</v>
      </c>
    </row>
    <row r="3561" spans="1:10" x14ac:dyDescent="0.25">
      <c r="A3561" s="2" t="s">
        <v>9267</v>
      </c>
      <c r="B3561" s="2" t="s">
        <v>7007</v>
      </c>
      <c r="C3561" s="2" t="s">
        <v>9268</v>
      </c>
      <c r="D3561" s="2" t="s">
        <v>10055</v>
      </c>
      <c r="E3561" s="15"/>
      <c r="F3561" s="15"/>
      <c r="G3561" s="15"/>
      <c r="H3561" s="15">
        <v>-1.38E-2</v>
      </c>
      <c r="I3561" s="15">
        <v>4.0800000000000003E-2</v>
      </c>
      <c r="J3561" s="15">
        <v>-0.33823529411764702</v>
      </c>
    </row>
    <row r="3562" spans="1:10" x14ac:dyDescent="0.25">
      <c r="A3562" s="2" t="s">
        <v>9269</v>
      </c>
      <c r="B3562" s="2" t="s">
        <v>7007</v>
      </c>
      <c r="C3562" s="2" t="s">
        <v>9270</v>
      </c>
      <c r="D3562" s="2" t="s">
        <v>10055</v>
      </c>
      <c r="E3562" s="15"/>
      <c r="F3562" s="15"/>
      <c r="G3562" s="15"/>
      <c r="H3562" s="15">
        <v>-7.1999999999999998E-3</v>
      </c>
      <c r="I3562" s="15">
        <v>0.04</v>
      </c>
      <c r="J3562" s="15">
        <v>-0.18</v>
      </c>
    </row>
    <row r="3563" spans="1:10" x14ac:dyDescent="0.25">
      <c r="A3563" s="2" t="s">
        <v>9271</v>
      </c>
      <c r="B3563" s="2" t="s">
        <v>7007</v>
      </c>
      <c r="C3563" s="2" t="s">
        <v>9272</v>
      </c>
      <c r="D3563" s="2" t="s">
        <v>10055</v>
      </c>
      <c r="E3563" s="15">
        <v>0.1593</v>
      </c>
      <c r="F3563" s="15">
        <v>0.1176</v>
      </c>
      <c r="G3563" s="15">
        <v>0.17549999999999999</v>
      </c>
      <c r="H3563" s="15">
        <v>0.1191</v>
      </c>
      <c r="I3563" s="15">
        <v>4.0300000000000002E-2</v>
      </c>
      <c r="J3563" s="15">
        <v>2.9553349875930519</v>
      </c>
    </row>
    <row r="3564" spans="1:10" x14ac:dyDescent="0.25">
      <c r="A3564" s="2" t="s">
        <v>9273</v>
      </c>
      <c r="B3564" s="2" t="s">
        <v>7007</v>
      </c>
      <c r="C3564" s="2" t="s">
        <v>9274</v>
      </c>
      <c r="D3564" s="2" t="s">
        <v>10055</v>
      </c>
      <c r="E3564" s="15">
        <v>-0.50419999999999998</v>
      </c>
      <c r="F3564" s="15">
        <v>1.7016</v>
      </c>
      <c r="G3564" s="15">
        <v>0.76700000000000002</v>
      </c>
      <c r="H3564" s="15">
        <v>1.2E-2</v>
      </c>
      <c r="I3564" s="15">
        <v>4.3799999999999999E-2</v>
      </c>
      <c r="J3564" s="15">
        <v>0.27397260273972612</v>
      </c>
    </row>
    <row r="3565" spans="1:10" x14ac:dyDescent="0.25">
      <c r="A3565" s="2" t="s">
        <v>9275</v>
      </c>
      <c r="B3565" s="2" t="s">
        <v>7007</v>
      </c>
      <c r="C3565" s="2" t="s">
        <v>9276</v>
      </c>
      <c r="D3565" s="2" t="s">
        <v>10055</v>
      </c>
      <c r="E3565" s="15">
        <v>1.1599999999999999E-2</v>
      </c>
      <c r="F3565" s="15">
        <v>0.14610000000000001</v>
      </c>
      <c r="G3565" s="15">
        <v>0.93659999999999999</v>
      </c>
      <c r="H3565" s="15">
        <v>5.9499999999999997E-2</v>
      </c>
      <c r="I3565" s="15">
        <v>4.1500000000000002E-2</v>
      </c>
      <c r="J3565" s="15">
        <v>1.433734939759036</v>
      </c>
    </row>
    <row r="3566" spans="1:10" x14ac:dyDescent="0.25">
      <c r="A3566" s="2" t="s">
        <v>9277</v>
      </c>
      <c r="B3566" s="2" t="s">
        <v>7007</v>
      </c>
      <c r="C3566" s="2" t="s">
        <v>9278</v>
      </c>
      <c r="D3566" s="2" t="s">
        <v>10055</v>
      </c>
      <c r="E3566" s="15">
        <v>0.12670000000000001</v>
      </c>
      <c r="F3566" s="15">
        <v>0.28770000000000001</v>
      </c>
      <c r="G3566" s="15">
        <v>0.65949999999999998</v>
      </c>
      <c r="H3566" s="15">
        <v>2.0199999999999999E-2</v>
      </c>
      <c r="I3566" s="15">
        <v>3.5799999999999998E-2</v>
      </c>
      <c r="J3566" s="15">
        <v>0.56424581005586594</v>
      </c>
    </row>
    <row r="3567" spans="1:10" x14ac:dyDescent="0.25">
      <c r="A3567" s="2" t="s">
        <v>9279</v>
      </c>
      <c r="B3567" s="2" t="s">
        <v>7007</v>
      </c>
      <c r="C3567" s="2" t="s">
        <v>9280</v>
      </c>
      <c r="D3567" s="2" t="s">
        <v>10055</v>
      </c>
      <c r="E3567" s="15">
        <v>0.12889999999999999</v>
      </c>
      <c r="F3567" s="15">
        <v>0.10780000000000001</v>
      </c>
      <c r="G3567" s="15">
        <v>0.23180000000000001</v>
      </c>
      <c r="H3567" s="15">
        <v>0.1002</v>
      </c>
      <c r="I3567" s="15">
        <v>4.4499999999999998E-2</v>
      </c>
      <c r="J3567" s="15">
        <v>2.2516853932584269</v>
      </c>
    </row>
    <row r="3568" spans="1:10" x14ac:dyDescent="0.25">
      <c r="A3568" s="2" t="s">
        <v>9281</v>
      </c>
      <c r="B3568" s="2" t="s">
        <v>7007</v>
      </c>
      <c r="C3568" s="2" t="s">
        <v>9282</v>
      </c>
      <c r="D3568" s="2" t="s">
        <v>10055</v>
      </c>
      <c r="E3568" s="15">
        <v>-0.1285</v>
      </c>
      <c r="F3568" s="15">
        <v>0.1105</v>
      </c>
      <c r="G3568" s="15">
        <v>0.24510000000000001</v>
      </c>
      <c r="H3568" s="15">
        <v>7.7799999999999994E-2</v>
      </c>
      <c r="I3568" s="15">
        <v>4.19E-2</v>
      </c>
      <c r="J3568" s="15">
        <v>1.856801909307876</v>
      </c>
    </row>
    <row r="3569" spans="1:10" x14ac:dyDescent="0.25">
      <c r="A3569" s="2" t="s">
        <v>9283</v>
      </c>
      <c r="B3569" s="2" t="s">
        <v>7007</v>
      </c>
      <c r="C3569" s="2" t="s">
        <v>9284</v>
      </c>
      <c r="D3569" s="2" t="s">
        <v>10055</v>
      </c>
      <c r="E3569" s="15">
        <v>5.7999999999999996E-3</v>
      </c>
      <c r="F3569" s="15">
        <v>0.27950000000000003</v>
      </c>
      <c r="G3569" s="15">
        <v>0.98360000000000003</v>
      </c>
      <c r="H3569" s="15">
        <v>1.6E-2</v>
      </c>
      <c r="I3569" s="15">
        <v>4.1500000000000002E-2</v>
      </c>
      <c r="J3569" s="15">
        <v>0.38554216867469882</v>
      </c>
    </row>
    <row r="3570" spans="1:10" x14ac:dyDescent="0.25">
      <c r="A3570" s="2" t="s">
        <v>9285</v>
      </c>
      <c r="B3570" s="2" t="s">
        <v>7007</v>
      </c>
      <c r="C3570" s="2" t="s">
        <v>9286</v>
      </c>
      <c r="D3570" s="2" t="s">
        <v>10055</v>
      </c>
      <c r="E3570" s="15">
        <v>-0.1265</v>
      </c>
      <c r="F3570" s="15">
        <v>0.1288</v>
      </c>
      <c r="G3570" s="15">
        <v>0.32579999999999998</v>
      </c>
      <c r="H3570" s="15">
        <v>7.7600000000000002E-2</v>
      </c>
      <c r="I3570" s="15">
        <v>4.3499999999999997E-2</v>
      </c>
      <c r="J3570" s="15">
        <v>1.783908045977012</v>
      </c>
    </row>
    <row r="3571" spans="1:10" x14ac:dyDescent="0.25">
      <c r="A3571" s="2" t="s">
        <v>9287</v>
      </c>
      <c r="B3571" s="2" t="s">
        <v>7007</v>
      </c>
      <c r="C3571" s="2" t="s">
        <v>9288</v>
      </c>
      <c r="D3571" s="2" t="s">
        <v>10055</v>
      </c>
      <c r="E3571" s="15">
        <v>-0.105</v>
      </c>
      <c r="F3571" s="15">
        <v>9.3299999999999994E-2</v>
      </c>
      <c r="G3571" s="15">
        <v>0.26</v>
      </c>
      <c r="H3571" s="15">
        <v>0.15390000000000001</v>
      </c>
      <c r="I3571" s="15">
        <v>4.0599999999999997E-2</v>
      </c>
      <c r="J3571" s="15">
        <v>3.7906403940886699</v>
      </c>
    </row>
    <row r="3572" spans="1:10" x14ac:dyDescent="0.25">
      <c r="A3572" s="2" t="s">
        <v>9289</v>
      </c>
      <c r="B3572" s="2" t="s">
        <v>7007</v>
      </c>
      <c r="C3572" s="2" t="s">
        <v>9290</v>
      </c>
      <c r="D3572" s="2" t="s">
        <v>10055</v>
      </c>
      <c r="E3572" s="15">
        <v>4.3999999999999997E-2</v>
      </c>
      <c r="F3572" s="15">
        <v>0.13320000000000001</v>
      </c>
      <c r="G3572" s="15">
        <v>0.74129999999999996</v>
      </c>
      <c r="H3572" s="15">
        <v>7.6100000000000001E-2</v>
      </c>
      <c r="I3572" s="15">
        <v>5.3600000000000002E-2</v>
      </c>
      <c r="J3572" s="15">
        <v>1.419776119402985</v>
      </c>
    </row>
    <row r="3573" spans="1:10" x14ac:dyDescent="0.25">
      <c r="A3573" s="2" t="s">
        <v>9291</v>
      </c>
      <c r="B3573" s="2" t="s">
        <v>7007</v>
      </c>
      <c r="C3573" s="2" t="s">
        <v>9292</v>
      </c>
      <c r="D3573" s="2" t="s">
        <v>10055</v>
      </c>
      <c r="E3573" s="15">
        <v>8.1100000000000005E-2</v>
      </c>
      <c r="F3573" s="15">
        <v>0.1278</v>
      </c>
      <c r="G3573" s="15">
        <v>0.52600000000000002</v>
      </c>
      <c r="H3573" s="15">
        <v>7.2300000000000003E-2</v>
      </c>
      <c r="I3573" s="15">
        <v>4.48E-2</v>
      </c>
      <c r="J3573" s="15">
        <v>1.613839285714286</v>
      </c>
    </row>
    <row r="3574" spans="1:10" x14ac:dyDescent="0.25">
      <c r="A3574" s="2" t="s">
        <v>9293</v>
      </c>
      <c r="B3574" s="2" t="s">
        <v>7007</v>
      </c>
      <c r="C3574" s="2" t="s">
        <v>9294</v>
      </c>
      <c r="D3574" s="2" t="s">
        <v>10055</v>
      </c>
      <c r="E3574" s="15">
        <v>0.40510000000000002</v>
      </c>
      <c r="F3574" s="15">
        <v>0.83579999999999999</v>
      </c>
      <c r="G3574" s="15">
        <v>0.62790000000000001</v>
      </c>
      <c r="H3574" s="15">
        <v>1.0999999999999999E-2</v>
      </c>
      <c r="I3574" s="15">
        <v>3.6900000000000002E-2</v>
      </c>
      <c r="J3574" s="15">
        <v>0.29810298102981031</v>
      </c>
    </row>
    <row r="3575" spans="1:10" x14ac:dyDescent="0.25">
      <c r="A3575" s="2" t="s">
        <v>9295</v>
      </c>
      <c r="B3575" s="2" t="s">
        <v>7007</v>
      </c>
      <c r="C3575" s="2" t="s">
        <v>9296</v>
      </c>
      <c r="D3575" s="2" t="s">
        <v>10055</v>
      </c>
      <c r="E3575" s="15">
        <v>-0.51270000000000004</v>
      </c>
      <c r="F3575" s="15">
        <v>0.29459999999999997</v>
      </c>
      <c r="G3575" s="15">
        <v>8.1799999999999998E-2</v>
      </c>
      <c r="H3575" s="15">
        <v>4.2000000000000003E-2</v>
      </c>
      <c r="I3575" s="15">
        <v>3.8399999999999997E-2</v>
      </c>
      <c r="J3575" s="15">
        <v>1.09375</v>
      </c>
    </row>
    <row r="3576" spans="1:10" x14ac:dyDescent="0.25">
      <c r="A3576" s="2" t="s">
        <v>9297</v>
      </c>
      <c r="B3576" s="2" t="s">
        <v>7007</v>
      </c>
      <c r="C3576" s="2" t="s">
        <v>9298</v>
      </c>
      <c r="D3576" s="2" t="s">
        <v>10055</v>
      </c>
      <c r="E3576" s="15">
        <v>-0.1439</v>
      </c>
      <c r="F3576" s="15">
        <v>0.18410000000000001</v>
      </c>
      <c r="G3576" s="15">
        <v>0.43440000000000001</v>
      </c>
      <c r="H3576" s="15">
        <v>4.1799999999999997E-2</v>
      </c>
      <c r="I3576" s="15">
        <v>4.5400000000000003E-2</v>
      </c>
      <c r="J3576" s="15">
        <v>0.9207048458149778</v>
      </c>
    </row>
    <row r="3577" spans="1:10" x14ac:dyDescent="0.25">
      <c r="A3577" s="2" t="s">
        <v>9299</v>
      </c>
      <c r="B3577" s="2" t="s">
        <v>7007</v>
      </c>
      <c r="C3577" s="2" t="s">
        <v>9300</v>
      </c>
      <c r="D3577" s="2" t="s">
        <v>10055</v>
      </c>
      <c r="E3577" s="15"/>
      <c r="F3577" s="15"/>
      <c r="G3577" s="15"/>
      <c r="H3577" s="15"/>
      <c r="I3577" s="15"/>
      <c r="J3577" s="15"/>
    </row>
    <row r="3578" spans="1:10" x14ac:dyDescent="0.25">
      <c r="A3578" s="2" t="s">
        <v>9301</v>
      </c>
      <c r="B3578" s="2" t="s">
        <v>7007</v>
      </c>
      <c r="C3578" s="2" t="s">
        <v>9302</v>
      </c>
      <c r="D3578" s="2" t="s">
        <v>10055</v>
      </c>
      <c r="E3578" s="15">
        <v>7.9699999999999993E-2</v>
      </c>
      <c r="F3578" s="15">
        <v>0.18079999999999999</v>
      </c>
      <c r="G3578" s="15">
        <v>0.65959999999999996</v>
      </c>
      <c r="H3578" s="15">
        <v>4.0500000000000001E-2</v>
      </c>
      <c r="I3578" s="15">
        <v>4.3099999999999999E-2</v>
      </c>
      <c r="J3578" s="15">
        <v>0.9396751740139212</v>
      </c>
    </row>
    <row r="3579" spans="1:10" x14ac:dyDescent="0.25">
      <c r="A3579" s="2" t="s">
        <v>9303</v>
      </c>
      <c r="B3579" s="2" t="s">
        <v>7007</v>
      </c>
      <c r="C3579" s="2" t="s">
        <v>9304</v>
      </c>
      <c r="D3579" s="2" t="s">
        <v>10055</v>
      </c>
      <c r="E3579" s="15">
        <v>2.0299999999999999E-2</v>
      </c>
      <c r="F3579" s="15">
        <v>0.1013</v>
      </c>
      <c r="G3579" s="15">
        <v>0.84099999999999997</v>
      </c>
      <c r="H3579" s="15">
        <v>0.1192</v>
      </c>
      <c r="I3579" s="15">
        <v>4.0800000000000003E-2</v>
      </c>
      <c r="J3579" s="15">
        <v>2.9215686274509798</v>
      </c>
    </row>
    <row r="3580" spans="1:10" x14ac:dyDescent="0.25">
      <c r="A3580" s="2" t="s">
        <v>9305</v>
      </c>
      <c r="B3580" s="2" t="s">
        <v>7007</v>
      </c>
      <c r="C3580" s="2" t="s">
        <v>9306</v>
      </c>
      <c r="D3580" s="2" t="s">
        <v>10055</v>
      </c>
      <c r="E3580" s="15">
        <v>6.1199999999999997E-2</v>
      </c>
      <c r="F3580" s="15">
        <v>0.15479999999999999</v>
      </c>
      <c r="G3580" s="15">
        <v>0.6925</v>
      </c>
      <c r="H3580" s="15">
        <v>5.8200000000000002E-2</v>
      </c>
      <c r="I3580" s="15">
        <v>4.4200000000000003E-2</v>
      </c>
      <c r="J3580" s="15">
        <v>1.316742081447964</v>
      </c>
    </row>
    <row r="3581" spans="1:10" x14ac:dyDescent="0.25">
      <c r="A3581" s="2" t="s">
        <v>9307</v>
      </c>
      <c r="B3581" s="2" t="s">
        <v>7007</v>
      </c>
      <c r="C3581" s="2" t="s">
        <v>9308</v>
      </c>
      <c r="D3581" s="2" t="s">
        <v>10055</v>
      </c>
      <c r="E3581" s="15"/>
      <c r="F3581" s="15"/>
      <c r="G3581" s="15"/>
      <c r="H3581" s="15">
        <v>-0.1188</v>
      </c>
      <c r="I3581" s="15">
        <v>3.7900000000000003E-2</v>
      </c>
      <c r="J3581" s="15">
        <v>-3.1345646437994721</v>
      </c>
    </row>
    <row r="3582" spans="1:10" x14ac:dyDescent="0.25">
      <c r="A3582" s="2" t="s">
        <v>9309</v>
      </c>
      <c r="B3582" s="2" t="s">
        <v>7007</v>
      </c>
      <c r="C3582" s="2" t="s">
        <v>9310</v>
      </c>
      <c r="D3582" s="2" t="s">
        <v>10055</v>
      </c>
      <c r="E3582" s="15">
        <v>-8.6099999999999996E-2</v>
      </c>
      <c r="F3582" s="15">
        <v>9.9699999999999997E-2</v>
      </c>
      <c r="G3582" s="15">
        <v>0.38819999999999999</v>
      </c>
      <c r="H3582" s="15">
        <v>0.1111</v>
      </c>
      <c r="I3582" s="15">
        <v>4.6399999999999997E-2</v>
      </c>
      <c r="J3582" s="15">
        <v>2.3943965517241379</v>
      </c>
    </row>
    <row r="3583" spans="1:10" x14ac:dyDescent="0.25">
      <c r="A3583" s="2" t="s">
        <v>9311</v>
      </c>
      <c r="B3583" s="2" t="s">
        <v>7007</v>
      </c>
      <c r="C3583" s="2" t="s">
        <v>9312</v>
      </c>
      <c r="D3583" s="2" t="s">
        <v>10055</v>
      </c>
      <c r="E3583" s="15">
        <v>0.1535</v>
      </c>
      <c r="F3583" s="15">
        <v>0.11210000000000001</v>
      </c>
      <c r="G3583" s="15">
        <v>0.1711</v>
      </c>
      <c r="H3583" s="15">
        <v>0.15310000000000001</v>
      </c>
      <c r="I3583" s="15">
        <v>4.4400000000000002E-2</v>
      </c>
      <c r="J3583" s="15">
        <v>3.448198198198198</v>
      </c>
    </row>
    <row r="3584" spans="1:10" x14ac:dyDescent="0.25">
      <c r="A3584" s="2" t="s">
        <v>9313</v>
      </c>
      <c r="B3584" s="2" t="s">
        <v>7007</v>
      </c>
      <c r="C3584" s="2" t="s">
        <v>9314</v>
      </c>
      <c r="D3584" s="2" t="s">
        <v>10055</v>
      </c>
      <c r="E3584" s="15">
        <v>-6.8099999999999994E-2</v>
      </c>
      <c r="F3584" s="15">
        <v>0.192</v>
      </c>
      <c r="G3584" s="15">
        <v>0.72289999999999999</v>
      </c>
      <c r="H3584" s="15">
        <v>3.56E-2</v>
      </c>
      <c r="I3584" s="15">
        <v>5.3400000000000003E-2</v>
      </c>
      <c r="J3584" s="15">
        <v>0.66666666666666663</v>
      </c>
    </row>
    <row r="3585" spans="1:10" x14ac:dyDescent="0.25">
      <c r="A3585" s="2" t="s">
        <v>9315</v>
      </c>
      <c r="B3585" s="2" t="s">
        <v>7007</v>
      </c>
      <c r="C3585" s="2" t="s">
        <v>9316</v>
      </c>
      <c r="D3585" s="2" t="s">
        <v>10055</v>
      </c>
      <c r="E3585" s="15"/>
      <c r="F3585" s="15"/>
      <c r="G3585" s="15"/>
      <c r="H3585" s="15">
        <v>-2.6599999999999999E-2</v>
      </c>
      <c r="I3585" s="15">
        <v>4.5100000000000001E-2</v>
      </c>
      <c r="J3585" s="15">
        <v>-0.58980044345897997</v>
      </c>
    </row>
    <row r="3586" spans="1:10" x14ac:dyDescent="0.25">
      <c r="A3586" s="2" t="s">
        <v>9317</v>
      </c>
      <c r="B3586" s="2" t="s">
        <v>7007</v>
      </c>
      <c r="C3586" s="2" t="s">
        <v>9318</v>
      </c>
      <c r="D3586" s="2" t="s">
        <v>10055</v>
      </c>
      <c r="E3586" s="15">
        <v>0.16339999999999999</v>
      </c>
      <c r="F3586" s="15">
        <v>0.16750000000000001</v>
      </c>
      <c r="G3586" s="15">
        <v>0.32950000000000002</v>
      </c>
      <c r="H3586" s="15">
        <v>5.45E-2</v>
      </c>
      <c r="I3586" s="15">
        <v>4.3900000000000002E-2</v>
      </c>
      <c r="J3586" s="15">
        <v>1.2414578587699321</v>
      </c>
    </row>
    <row r="3587" spans="1:10" x14ac:dyDescent="0.25">
      <c r="A3587" s="2" t="s">
        <v>9319</v>
      </c>
      <c r="B3587" s="2" t="s">
        <v>7007</v>
      </c>
      <c r="C3587" s="2" t="s">
        <v>9320</v>
      </c>
      <c r="D3587" s="2" t="s">
        <v>10055</v>
      </c>
      <c r="E3587" s="15">
        <v>1.1999999999999999E-3</v>
      </c>
      <c r="F3587" s="15">
        <v>0.13830000000000001</v>
      </c>
      <c r="G3587" s="15">
        <v>0.99329999999999996</v>
      </c>
      <c r="H3587" s="15">
        <v>7.0599999999999996E-2</v>
      </c>
      <c r="I3587" s="15">
        <v>4.3999999999999997E-2</v>
      </c>
      <c r="J3587" s="15">
        <v>1.6045454545454541</v>
      </c>
    </row>
    <row r="3588" spans="1:10" x14ac:dyDescent="0.25">
      <c r="A3588" s="2" t="s">
        <v>9321</v>
      </c>
      <c r="B3588" s="2" t="s">
        <v>7007</v>
      </c>
      <c r="C3588" s="2" t="s">
        <v>9322</v>
      </c>
      <c r="D3588" s="2" t="s">
        <v>10055</v>
      </c>
      <c r="E3588" s="15">
        <v>-0.21479999999999999</v>
      </c>
      <c r="F3588" s="15">
        <v>0.19950000000000001</v>
      </c>
      <c r="G3588" s="15">
        <v>0.28160000000000002</v>
      </c>
      <c r="H3588" s="15">
        <v>3.9600000000000003E-2</v>
      </c>
      <c r="I3588" s="15">
        <v>0.04</v>
      </c>
      <c r="J3588" s="15">
        <v>0.9900000000000001</v>
      </c>
    </row>
    <row r="3589" spans="1:10" x14ac:dyDescent="0.25">
      <c r="A3589" s="2" t="s">
        <v>9323</v>
      </c>
      <c r="B3589" s="2" t="s">
        <v>7007</v>
      </c>
      <c r="C3589" s="2" t="s">
        <v>9324</v>
      </c>
      <c r="D3589" s="2" t="s">
        <v>10055</v>
      </c>
      <c r="E3589" s="15">
        <v>0.21929999999999999</v>
      </c>
      <c r="F3589" s="15">
        <v>0.1109</v>
      </c>
      <c r="G3589" s="15">
        <v>4.8000000000000001E-2</v>
      </c>
      <c r="H3589" s="15">
        <v>0.11310000000000001</v>
      </c>
      <c r="I3589" s="15">
        <v>4.3200000000000002E-2</v>
      </c>
      <c r="J3589" s="15">
        <v>2.6180555555555549</v>
      </c>
    </row>
    <row r="3590" spans="1:10" x14ac:dyDescent="0.25">
      <c r="A3590" s="2" t="s">
        <v>9325</v>
      </c>
      <c r="B3590" s="2" t="s">
        <v>7007</v>
      </c>
      <c r="C3590" s="2" t="s">
        <v>9326</v>
      </c>
      <c r="D3590" s="2" t="s">
        <v>10055</v>
      </c>
      <c r="E3590" s="15">
        <v>0.1673</v>
      </c>
      <c r="F3590" s="15">
        <v>0.2702</v>
      </c>
      <c r="G3590" s="15">
        <v>0.53569999999999995</v>
      </c>
      <c r="H3590" s="15">
        <v>2.75E-2</v>
      </c>
      <c r="I3590" s="15">
        <v>3.9600000000000003E-2</v>
      </c>
      <c r="J3590" s="15">
        <v>0.69444444444444442</v>
      </c>
    </row>
    <row r="3591" spans="1:10" x14ac:dyDescent="0.25">
      <c r="A3591" s="2" t="s">
        <v>9327</v>
      </c>
      <c r="B3591" s="2" t="s">
        <v>7007</v>
      </c>
      <c r="C3591" s="2" t="s">
        <v>9328</v>
      </c>
      <c r="D3591" s="2" t="s">
        <v>10055</v>
      </c>
      <c r="E3591" s="15"/>
      <c r="F3591" s="15"/>
      <c r="G3591" s="15"/>
      <c r="H3591" s="15">
        <v>-2.01E-2</v>
      </c>
      <c r="I3591" s="15">
        <v>3.8600000000000002E-2</v>
      </c>
      <c r="J3591" s="15">
        <v>-0.52072538860103623</v>
      </c>
    </row>
    <row r="3592" spans="1:10" x14ac:dyDescent="0.25">
      <c r="A3592" s="2" t="s">
        <v>9329</v>
      </c>
      <c r="B3592" s="2" t="s">
        <v>7007</v>
      </c>
      <c r="C3592" s="2" t="s">
        <v>9330</v>
      </c>
      <c r="D3592" s="2" t="s">
        <v>10055</v>
      </c>
      <c r="E3592" s="15">
        <v>-3.0599999999999999E-2</v>
      </c>
      <c r="F3592" s="15">
        <v>0.1321</v>
      </c>
      <c r="G3592" s="15">
        <v>0.81669999999999998</v>
      </c>
      <c r="H3592" s="15">
        <v>6.9000000000000006E-2</v>
      </c>
      <c r="I3592" s="15">
        <v>5.0700000000000002E-2</v>
      </c>
      <c r="J3592" s="15">
        <v>1.36094674556213</v>
      </c>
    </row>
    <row r="3593" spans="1:10" x14ac:dyDescent="0.25">
      <c r="A3593" s="2" t="s">
        <v>9331</v>
      </c>
      <c r="B3593" s="2" t="s">
        <v>7007</v>
      </c>
      <c r="C3593" s="2" t="s">
        <v>9332</v>
      </c>
      <c r="D3593" s="2" t="s">
        <v>10055</v>
      </c>
      <c r="E3593" s="15">
        <v>5.0299999999999997E-2</v>
      </c>
      <c r="F3593" s="15">
        <v>0.1095</v>
      </c>
      <c r="G3593" s="15">
        <v>0.64559999999999995</v>
      </c>
      <c r="H3593" s="15">
        <v>0.09</v>
      </c>
      <c r="I3593" s="15">
        <v>4.1300000000000003E-2</v>
      </c>
      <c r="J3593" s="15">
        <v>2.179176755447942</v>
      </c>
    </row>
    <row r="3594" spans="1:10" x14ac:dyDescent="0.25">
      <c r="A3594" s="2" t="s">
        <v>9333</v>
      </c>
      <c r="B3594" s="2" t="s">
        <v>7007</v>
      </c>
      <c r="C3594" s="2" t="s">
        <v>9334</v>
      </c>
      <c r="D3594" s="2" t="s">
        <v>10055</v>
      </c>
      <c r="E3594" s="15">
        <v>0.18920000000000001</v>
      </c>
      <c r="F3594" s="15">
        <v>0.27860000000000001</v>
      </c>
      <c r="G3594" s="15">
        <v>0.49709999999999999</v>
      </c>
      <c r="H3594" s="15">
        <v>3.78E-2</v>
      </c>
      <c r="I3594" s="15">
        <v>4.7500000000000001E-2</v>
      </c>
      <c r="J3594" s="15">
        <v>0.79578947368421049</v>
      </c>
    </row>
    <row r="3595" spans="1:10" x14ac:dyDescent="0.25">
      <c r="A3595" s="2" t="s">
        <v>9335</v>
      </c>
      <c r="B3595" s="2" t="s">
        <v>7007</v>
      </c>
      <c r="C3595" s="2" t="s">
        <v>9336</v>
      </c>
      <c r="D3595" s="2" t="s">
        <v>10055</v>
      </c>
      <c r="E3595" s="15">
        <v>-0.33229999999999998</v>
      </c>
      <c r="F3595" s="15">
        <v>0.14149999999999999</v>
      </c>
      <c r="G3595" s="15">
        <v>1.89E-2</v>
      </c>
      <c r="H3595" s="15">
        <v>8.3500000000000005E-2</v>
      </c>
      <c r="I3595" s="15">
        <v>4.2700000000000002E-2</v>
      </c>
      <c r="J3595" s="15">
        <v>1.955503512880562</v>
      </c>
    </row>
    <row r="3596" spans="1:10" x14ac:dyDescent="0.25">
      <c r="A3596" s="2" t="s">
        <v>9337</v>
      </c>
      <c r="B3596" s="2" t="s">
        <v>7007</v>
      </c>
      <c r="C3596" s="2" t="s">
        <v>9338</v>
      </c>
      <c r="D3596" s="2" t="s">
        <v>10055</v>
      </c>
      <c r="E3596" s="15">
        <v>-8.2299999999999998E-2</v>
      </c>
      <c r="F3596" s="15">
        <v>0.13289999999999999</v>
      </c>
      <c r="G3596" s="15">
        <v>0.53590000000000004</v>
      </c>
      <c r="H3596" s="15">
        <v>6.9699999999999998E-2</v>
      </c>
      <c r="I3596" s="15">
        <v>4.2099999999999999E-2</v>
      </c>
      <c r="J3596" s="15">
        <v>1.6555819477434679</v>
      </c>
    </row>
    <row r="3597" spans="1:10" x14ac:dyDescent="0.25">
      <c r="A3597" s="2" t="s">
        <v>9339</v>
      </c>
      <c r="B3597" s="2" t="s">
        <v>7007</v>
      </c>
      <c r="C3597" s="2" t="s">
        <v>9340</v>
      </c>
      <c r="D3597" s="2" t="s">
        <v>10055</v>
      </c>
      <c r="E3597" s="15">
        <v>-0.1203</v>
      </c>
      <c r="F3597" s="15">
        <v>0.109</v>
      </c>
      <c r="G3597" s="15">
        <v>0.2697</v>
      </c>
      <c r="H3597" s="15">
        <v>9.4500000000000001E-2</v>
      </c>
      <c r="I3597" s="15">
        <v>4.2700000000000002E-2</v>
      </c>
      <c r="J3597" s="15">
        <v>2.2131147540983611</v>
      </c>
    </row>
    <row r="3598" spans="1:10" x14ac:dyDescent="0.25">
      <c r="A3598" s="2" t="s">
        <v>9341</v>
      </c>
      <c r="B3598" s="2" t="s">
        <v>7007</v>
      </c>
      <c r="C3598" s="2" t="s">
        <v>9342</v>
      </c>
      <c r="D3598" s="2" t="s">
        <v>10055</v>
      </c>
      <c r="E3598" s="15">
        <v>-0.2954</v>
      </c>
      <c r="F3598" s="15">
        <v>0.22239999999999999</v>
      </c>
      <c r="G3598" s="15">
        <v>0.184</v>
      </c>
      <c r="H3598" s="15">
        <v>3.5000000000000003E-2</v>
      </c>
      <c r="I3598" s="15">
        <v>3.8199999999999998E-2</v>
      </c>
      <c r="J3598" s="15">
        <v>0.91623036649214673</v>
      </c>
    </row>
    <row r="3599" spans="1:10" x14ac:dyDescent="0.25">
      <c r="A3599" s="2" t="s">
        <v>9343</v>
      </c>
      <c r="B3599" s="2" t="s">
        <v>7007</v>
      </c>
      <c r="C3599" s="2" t="s">
        <v>9344</v>
      </c>
      <c r="D3599" s="2" t="s">
        <v>10055</v>
      </c>
      <c r="E3599" s="15"/>
      <c r="F3599" s="15"/>
      <c r="G3599" s="15"/>
      <c r="H3599" s="15"/>
      <c r="I3599" s="15"/>
      <c r="J3599" s="15"/>
    </row>
    <row r="3600" spans="1:10" x14ac:dyDescent="0.25">
      <c r="A3600" s="2" t="s">
        <v>9345</v>
      </c>
      <c r="B3600" s="2" t="s">
        <v>7007</v>
      </c>
      <c r="C3600" s="2" t="s">
        <v>9346</v>
      </c>
      <c r="D3600" s="2" t="s">
        <v>10055</v>
      </c>
      <c r="E3600" s="15">
        <v>-0.12909999999999999</v>
      </c>
      <c r="F3600" s="15">
        <v>0.25719999999999998</v>
      </c>
      <c r="G3600" s="15">
        <v>0.61570000000000003</v>
      </c>
      <c r="H3600" s="15">
        <v>2.52E-2</v>
      </c>
      <c r="I3600" s="15">
        <v>4.3700000000000003E-2</v>
      </c>
      <c r="J3600" s="15">
        <v>0.57665903890160175</v>
      </c>
    </row>
    <row r="3601" spans="1:10" x14ac:dyDescent="0.25">
      <c r="A3601" s="2" t="s">
        <v>9347</v>
      </c>
      <c r="B3601" s="2" t="s">
        <v>7007</v>
      </c>
      <c r="C3601" s="2" t="s">
        <v>9348</v>
      </c>
      <c r="D3601" s="2" t="s">
        <v>10055</v>
      </c>
      <c r="E3601" s="15">
        <v>0.1129</v>
      </c>
      <c r="F3601" s="15">
        <v>0.14990000000000001</v>
      </c>
      <c r="G3601" s="15">
        <v>0.45140000000000002</v>
      </c>
      <c r="H3601" s="15">
        <v>5.8299999999999998E-2</v>
      </c>
      <c r="I3601" s="15">
        <v>4.02E-2</v>
      </c>
      <c r="J3601" s="15">
        <v>1.450248756218905</v>
      </c>
    </row>
    <row r="3602" spans="1:10" x14ac:dyDescent="0.25">
      <c r="A3602" s="2" t="s">
        <v>9349</v>
      </c>
      <c r="B3602" s="2" t="s">
        <v>7007</v>
      </c>
      <c r="C3602" s="2" t="s">
        <v>9350</v>
      </c>
      <c r="D3602" s="2" t="s">
        <v>10055</v>
      </c>
      <c r="E3602" s="15">
        <v>-0.10879999999999999</v>
      </c>
      <c r="F3602" s="15">
        <v>9.9500000000000005E-2</v>
      </c>
      <c r="G3602" s="15">
        <v>0.27450000000000002</v>
      </c>
      <c r="H3602" s="15">
        <v>0.1424</v>
      </c>
      <c r="I3602" s="15">
        <v>4.5100000000000001E-2</v>
      </c>
      <c r="J3602" s="15">
        <v>3.1574279379157431</v>
      </c>
    </row>
    <row r="3603" spans="1:10" x14ac:dyDescent="0.25">
      <c r="A3603" s="2" t="s">
        <v>9351</v>
      </c>
      <c r="B3603" s="2" t="s">
        <v>7007</v>
      </c>
      <c r="C3603" s="2" t="s">
        <v>9352</v>
      </c>
      <c r="D3603" s="2" t="s">
        <v>10055</v>
      </c>
      <c r="E3603" s="15">
        <v>0.61</v>
      </c>
      <c r="F3603" s="15">
        <v>0.6331</v>
      </c>
      <c r="G3603" s="15">
        <v>0.33529999999999999</v>
      </c>
      <c r="H3603" s="15">
        <v>2.1899999999999999E-2</v>
      </c>
      <c r="I3603" s="15">
        <v>3.8600000000000002E-2</v>
      </c>
      <c r="J3603" s="15">
        <v>0.56735751295336778</v>
      </c>
    </row>
    <row r="3604" spans="1:10" x14ac:dyDescent="0.25">
      <c r="A3604" s="2" t="s">
        <v>9353</v>
      </c>
      <c r="B3604" s="2" t="s">
        <v>7007</v>
      </c>
      <c r="C3604" s="2" t="s">
        <v>9354</v>
      </c>
      <c r="D3604" s="2" t="s">
        <v>10055</v>
      </c>
      <c r="E3604" s="15"/>
      <c r="F3604" s="15"/>
      <c r="G3604" s="15"/>
      <c r="H3604" s="15">
        <v>-7.4999999999999997E-3</v>
      </c>
      <c r="I3604" s="15">
        <v>4.3099999999999999E-2</v>
      </c>
      <c r="J3604" s="15">
        <v>-0.1740139211136891</v>
      </c>
    </row>
    <row r="3605" spans="1:10" x14ac:dyDescent="0.25">
      <c r="A3605" s="2" t="s">
        <v>9355</v>
      </c>
      <c r="B3605" s="2" t="s">
        <v>7007</v>
      </c>
      <c r="C3605" s="2" t="s">
        <v>9356</v>
      </c>
      <c r="D3605" s="2" t="s">
        <v>10055</v>
      </c>
      <c r="E3605" s="15">
        <v>0.29110000000000003</v>
      </c>
      <c r="F3605" s="15">
        <v>0.59699999999999998</v>
      </c>
      <c r="G3605" s="15">
        <v>0.62580000000000002</v>
      </c>
      <c r="H3605" s="15">
        <v>1.37E-2</v>
      </c>
      <c r="I3605" s="15">
        <v>4.2599999999999999E-2</v>
      </c>
      <c r="J3605" s="15">
        <v>0.32159624413145538</v>
      </c>
    </row>
    <row r="3606" spans="1:10" x14ac:dyDescent="0.25">
      <c r="A3606" s="2" t="s">
        <v>9357</v>
      </c>
      <c r="B3606" s="2" t="s">
        <v>7007</v>
      </c>
      <c r="C3606" s="2" t="s">
        <v>9358</v>
      </c>
      <c r="D3606" s="2" t="s">
        <v>10055</v>
      </c>
      <c r="E3606" s="15">
        <v>-0.188</v>
      </c>
      <c r="F3606" s="15">
        <v>0.1308</v>
      </c>
      <c r="G3606" s="15">
        <v>0.15079999999999999</v>
      </c>
      <c r="H3606" s="15">
        <v>7.3999999999999996E-2</v>
      </c>
      <c r="I3606" s="15">
        <v>0.04</v>
      </c>
      <c r="J3606" s="15">
        <v>1.85</v>
      </c>
    </row>
    <row r="3607" spans="1:10" x14ac:dyDescent="0.25">
      <c r="A3607" s="2" t="s">
        <v>9359</v>
      </c>
      <c r="B3607" s="2" t="s">
        <v>7007</v>
      </c>
      <c r="C3607" s="2" t="s">
        <v>9360</v>
      </c>
      <c r="D3607" s="2" t="s">
        <v>10055</v>
      </c>
      <c r="E3607" s="15"/>
      <c r="F3607" s="15"/>
      <c r="G3607" s="15"/>
      <c r="H3607" s="15"/>
      <c r="I3607" s="15"/>
      <c r="J3607" s="15"/>
    </row>
    <row r="3608" spans="1:10" x14ac:dyDescent="0.25">
      <c r="A3608" s="2" t="s">
        <v>9361</v>
      </c>
      <c r="B3608" s="2" t="s">
        <v>7007</v>
      </c>
      <c r="C3608" s="2" t="s">
        <v>9362</v>
      </c>
      <c r="D3608" s="2" t="s">
        <v>10055</v>
      </c>
      <c r="E3608" s="15">
        <v>-4.9000000000000002E-2</v>
      </c>
      <c r="F3608" s="15">
        <v>0.34889999999999999</v>
      </c>
      <c r="G3608" s="15">
        <v>0.88819999999999999</v>
      </c>
      <c r="H3608" s="15">
        <v>1.3299999999999999E-2</v>
      </c>
      <c r="I3608" s="15">
        <v>4.0599999999999997E-2</v>
      </c>
      <c r="J3608" s="15">
        <v>0.32758620689655171</v>
      </c>
    </row>
    <row r="3609" spans="1:10" x14ac:dyDescent="0.25">
      <c r="A3609" s="2" t="s">
        <v>9363</v>
      </c>
      <c r="B3609" s="2" t="s">
        <v>7007</v>
      </c>
      <c r="C3609" s="2" t="s">
        <v>9364</v>
      </c>
      <c r="D3609" s="2" t="s">
        <v>10055</v>
      </c>
      <c r="E3609" s="15"/>
      <c r="F3609" s="15"/>
      <c r="G3609" s="15"/>
      <c r="H3609" s="15">
        <v>-1.44E-2</v>
      </c>
      <c r="I3609" s="15">
        <v>4.2700000000000002E-2</v>
      </c>
      <c r="J3609" s="15">
        <v>-0.33723653395784542</v>
      </c>
    </row>
    <row r="3610" spans="1:10" x14ac:dyDescent="0.25">
      <c r="A3610" s="2" t="s">
        <v>9365</v>
      </c>
      <c r="B3610" s="2" t="s">
        <v>7007</v>
      </c>
      <c r="C3610" s="2" t="s">
        <v>9366</v>
      </c>
      <c r="D3610" s="2" t="s">
        <v>10055</v>
      </c>
      <c r="E3610" s="15">
        <v>5.0099999999999999E-2</v>
      </c>
      <c r="F3610" s="15">
        <v>0.27789999999999998</v>
      </c>
      <c r="G3610" s="15">
        <v>0.85709999999999997</v>
      </c>
      <c r="H3610" s="15">
        <v>1.8700000000000001E-2</v>
      </c>
      <c r="I3610" s="15">
        <v>3.85E-2</v>
      </c>
      <c r="J3610" s="15">
        <v>0.48571428571428582</v>
      </c>
    </row>
    <row r="3611" spans="1:10" x14ac:dyDescent="0.25">
      <c r="A3611" s="2" t="s">
        <v>9367</v>
      </c>
      <c r="B3611" s="2" t="s">
        <v>7007</v>
      </c>
      <c r="C3611" s="2" t="s">
        <v>9368</v>
      </c>
      <c r="D3611" s="2" t="s">
        <v>10055</v>
      </c>
      <c r="E3611" s="15">
        <v>0.1229</v>
      </c>
      <c r="F3611" s="15">
        <v>0.188</v>
      </c>
      <c r="G3611" s="15">
        <v>0.51319999999999999</v>
      </c>
      <c r="H3611" s="15">
        <v>4.3499999999999997E-2</v>
      </c>
      <c r="I3611" s="15">
        <v>4.2799999999999998E-2</v>
      </c>
      <c r="J3611" s="15">
        <v>1.016355140186916</v>
      </c>
    </row>
    <row r="3612" spans="1:10" x14ac:dyDescent="0.25">
      <c r="A3612" s="2" t="s">
        <v>9369</v>
      </c>
      <c r="B3612" s="2" t="s">
        <v>7007</v>
      </c>
      <c r="C3612" s="2" t="s">
        <v>9370</v>
      </c>
      <c r="D3612" s="2" t="s">
        <v>10055</v>
      </c>
      <c r="E3612" s="15"/>
      <c r="F3612" s="15"/>
      <c r="G3612" s="15"/>
      <c r="H3612" s="15"/>
      <c r="I3612" s="15"/>
      <c r="J3612" s="15"/>
    </row>
    <row r="3613" spans="1:10" x14ac:dyDescent="0.25">
      <c r="A3613" s="2" t="s">
        <v>9371</v>
      </c>
      <c r="B3613" s="2" t="s">
        <v>7007</v>
      </c>
      <c r="C3613" s="2" t="s">
        <v>9372</v>
      </c>
      <c r="D3613" s="2" t="s">
        <v>10055</v>
      </c>
      <c r="E3613" s="15"/>
      <c r="F3613" s="15"/>
      <c r="G3613" s="15"/>
      <c r="H3613" s="15"/>
      <c r="I3613" s="15"/>
      <c r="J3613" s="15"/>
    </row>
    <row r="3614" spans="1:10" x14ac:dyDescent="0.25">
      <c r="A3614" s="2" t="s">
        <v>9373</v>
      </c>
      <c r="B3614" s="2" t="s">
        <v>7007</v>
      </c>
      <c r="C3614" s="2" t="s">
        <v>9374</v>
      </c>
      <c r="D3614" s="2" t="s">
        <v>10055</v>
      </c>
      <c r="E3614" s="15">
        <v>0.26050000000000001</v>
      </c>
      <c r="F3614" s="15">
        <v>0.47589999999999999</v>
      </c>
      <c r="G3614" s="15">
        <v>0.58420000000000005</v>
      </c>
      <c r="H3614" s="15">
        <v>1.5900000000000001E-2</v>
      </c>
      <c r="I3614" s="15">
        <v>3.9199999999999999E-2</v>
      </c>
      <c r="J3614" s="15">
        <v>0.40561224489795922</v>
      </c>
    </row>
    <row r="3615" spans="1:10" x14ac:dyDescent="0.25">
      <c r="A3615" s="2" t="s">
        <v>9375</v>
      </c>
      <c r="B3615" s="2" t="s">
        <v>7007</v>
      </c>
      <c r="C3615" s="2" t="s">
        <v>9376</v>
      </c>
      <c r="D3615" s="2" t="s">
        <v>10055</v>
      </c>
      <c r="E3615" s="15">
        <v>-8.9800000000000005E-2</v>
      </c>
      <c r="F3615" s="15">
        <v>0.2883</v>
      </c>
      <c r="G3615" s="15">
        <v>0.75549999999999995</v>
      </c>
      <c r="H3615" s="15">
        <v>1.8800000000000001E-2</v>
      </c>
      <c r="I3615" s="15">
        <v>3.8899999999999997E-2</v>
      </c>
      <c r="J3615" s="15">
        <v>0.48329048843187672</v>
      </c>
    </row>
    <row r="3616" spans="1:10" x14ac:dyDescent="0.25">
      <c r="A3616" s="2" t="s">
        <v>9377</v>
      </c>
      <c r="B3616" s="2" t="s">
        <v>7007</v>
      </c>
      <c r="C3616" s="2" t="s">
        <v>9378</v>
      </c>
      <c r="D3616" s="2" t="s">
        <v>10055</v>
      </c>
      <c r="E3616" s="15">
        <v>5.6099999999999997E-2</v>
      </c>
      <c r="F3616" s="15">
        <v>0.12740000000000001</v>
      </c>
      <c r="G3616" s="15">
        <v>0.65969999999999995</v>
      </c>
      <c r="H3616" s="15">
        <v>8.3500000000000005E-2</v>
      </c>
      <c r="I3616" s="15">
        <v>4.4999999999999998E-2</v>
      </c>
      <c r="J3616" s="15">
        <v>1.8555555555555561</v>
      </c>
    </row>
    <row r="3617" spans="1:10" x14ac:dyDescent="0.25">
      <c r="A3617" s="2" t="s">
        <v>9379</v>
      </c>
      <c r="B3617" s="2" t="s">
        <v>7007</v>
      </c>
      <c r="C3617" s="2" t="s">
        <v>9380</v>
      </c>
      <c r="D3617" s="2" t="s">
        <v>10055</v>
      </c>
      <c r="E3617" s="15">
        <v>6.0999999999999999E-2</v>
      </c>
      <c r="F3617" s="15">
        <v>0.25440000000000002</v>
      </c>
      <c r="G3617" s="15">
        <v>0.8105</v>
      </c>
      <c r="H3617" s="15">
        <v>2.0799999999999999E-2</v>
      </c>
      <c r="I3617" s="15">
        <v>3.6700000000000003E-2</v>
      </c>
      <c r="J3617" s="15">
        <v>0.56675749318801083</v>
      </c>
    </row>
    <row r="3618" spans="1:10" x14ac:dyDescent="0.25">
      <c r="A3618" s="2" t="s">
        <v>9381</v>
      </c>
      <c r="B3618" s="2" t="s">
        <v>7007</v>
      </c>
      <c r="C3618" s="2" t="s">
        <v>9382</v>
      </c>
      <c r="D3618" s="2" t="s">
        <v>10055</v>
      </c>
      <c r="E3618" s="15">
        <v>-0.1832</v>
      </c>
      <c r="F3618" s="15">
        <v>0.1484</v>
      </c>
      <c r="G3618" s="15">
        <v>0.217</v>
      </c>
      <c r="H3618" s="15">
        <v>6.1199999999999997E-2</v>
      </c>
      <c r="I3618" s="15">
        <v>3.9100000000000003E-2</v>
      </c>
      <c r="J3618" s="15">
        <v>1.5652173913043479</v>
      </c>
    </row>
    <row r="3619" spans="1:10" x14ac:dyDescent="0.25">
      <c r="A3619" s="2" t="s">
        <v>9383</v>
      </c>
      <c r="B3619" s="2" t="s">
        <v>7007</v>
      </c>
      <c r="C3619" s="2" t="s">
        <v>9384</v>
      </c>
      <c r="D3619" s="2" t="s">
        <v>10055</v>
      </c>
      <c r="E3619" s="15">
        <v>0.28000000000000003</v>
      </c>
      <c r="F3619" s="15">
        <v>0.37269999999999998</v>
      </c>
      <c r="G3619" s="15">
        <v>0.45250000000000001</v>
      </c>
      <c r="H3619" s="15">
        <v>2.1600000000000001E-2</v>
      </c>
      <c r="I3619" s="15">
        <v>3.9600000000000003E-2</v>
      </c>
      <c r="J3619" s="15">
        <v>0.54545454545454541</v>
      </c>
    </row>
    <row r="3620" spans="1:10" x14ac:dyDescent="0.25">
      <c r="A3620" s="2" t="s">
        <v>9385</v>
      </c>
      <c r="B3620" s="2" t="s">
        <v>7007</v>
      </c>
      <c r="C3620" s="2" t="s">
        <v>9386</v>
      </c>
      <c r="D3620" s="2" t="s">
        <v>10055</v>
      </c>
      <c r="E3620" s="15">
        <v>7.0999999999999994E-2</v>
      </c>
      <c r="F3620" s="15">
        <v>0.156</v>
      </c>
      <c r="G3620" s="15">
        <v>0.64910000000000001</v>
      </c>
      <c r="H3620" s="15">
        <v>5.2999999999999999E-2</v>
      </c>
      <c r="I3620" s="15">
        <v>4.1000000000000002E-2</v>
      </c>
      <c r="J3620" s="15">
        <v>1.2926829268292681</v>
      </c>
    </row>
    <row r="3621" spans="1:10" x14ac:dyDescent="0.25">
      <c r="A3621" s="2" t="s">
        <v>9387</v>
      </c>
      <c r="B3621" s="2" t="s">
        <v>7007</v>
      </c>
      <c r="C3621" s="2" t="s">
        <v>9388</v>
      </c>
      <c r="D3621" s="2" t="s">
        <v>10055</v>
      </c>
      <c r="E3621" s="15">
        <v>7.5999999999999998E-2</v>
      </c>
      <c r="F3621" s="15">
        <v>0.1077</v>
      </c>
      <c r="G3621" s="15">
        <v>0.48070000000000002</v>
      </c>
      <c r="H3621" s="15">
        <v>9.5399999999999999E-2</v>
      </c>
      <c r="I3621" s="15">
        <v>4.0599999999999997E-2</v>
      </c>
      <c r="J3621" s="15">
        <v>2.3497536945812811</v>
      </c>
    </row>
    <row r="3622" spans="1:10" x14ac:dyDescent="0.25">
      <c r="A3622" s="2" t="s">
        <v>9389</v>
      </c>
      <c r="B3622" s="2" t="s">
        <v>7007</v>
      </c>
      <c r="C3622" s="2" t="s">
        <v>9390</v>
      </c>
      <c r="D3622" s="2" t="s">
        <v>10055</v>
      </c>
      <c r="E3622" s="15"/>
      <c r="F3622" s="15"/>
      <c r="G3622" s="15"/>
      <c r="H3622" s="15">
        <v>-3.1E-2</v>
      </c>
      <c r="I3622" s="15">
        <v>4.2999999999999997E-2</v>
      </c>
      <c r="J3622" s="15">
        <v>-0.72093023255813959</v>
      </c>
    </row>
    <row r="3623" spans="1:10" x14ac:dyDescent="0.25">
      <c r="A3623" s="2" t="s">
        <v>9391</v>
      </c>
      <c r="B3623" s="2" t="s">
        <v>7007</v>
      </c>
      <c r="C3623" s="2" t="s">
        <v>9392</v>
      </c>
      <c r="D3623" s="2" t="s">
        <v>10055</v>
      </c>
      <c r="E3623" s="15"/>
      <c r="F3623" s="15"/>
      <c r="G3623" s="15"/>
      <c r="H3623" s="15">
        <v>-4.0899999999999999E-2</v>
      </c>
      <c r="I3623" s="15">
        <v>3.7900000000000003E-2</v>
      </c>
      <c r="J3623" s="15">
        <v>-1.079155672823219</v>
      </c>
    </row>
    <row r="3624" spans="1:10" x14ac:dyDescent="0.25">
      <c r="A3624" s="2" t="s">
        <v>9393</v>
      </c>
      <c r="B3624" s="2" t="s">
        <v>7007</v>
      </c>
      <c r="C3624" s="2" t="s">
        <v>9394</v>
      </c>
      <c r="D3624" s="2" t="s">
        <v>10055</v>
      </c>
      <c r="E3624" s="15"/>
      <c r="F3624" s="15"/>
      <c r="G3624" s="15"/>
      <c r="H3624" s="15">
        <v>-1.17E-2</v>
      </c>
      <c r="I3624" s="15">
        <v>4.0500000000000001E-2</v>
      </c>
      <c r="J3624" s="15">
        <v>-0.28888888888888892</v>
      </c>
    </row>
    <row r="3625" spans="1:10" x14ac:dyDescent="0.25">
      <c r="A3625" s="2" t="s">
        <v>9395</v>
      </c>
      <c r="B3625" s="2" t="s">
        <v>7007</v>
      </c>
      <c r="C3625" s="2" t="s">
        <v>9396</v>
      </c>
      <c r="D3625" s="2" t="s">
        <v>10055</v>
      </c>
      <c r="E3625" s="15"/>
      <c r="F3625" s="15"/>
      <c r="G3625" s="15"/>
      <c r="H3625" s="15">
        <v>-3.8699999999999998E-2</v>
      </c>
      <c r="I3625" s="15">
        <v>3.85E-2</v>
      </c>
      <c r="J3625" s="15">
        <v>-1.005194805194805</v>
      </c>
    </row>
    <row r="3626" spans="1:10" x14ac:dyDescent="0.25">
      <c r="A3626" s="2" t="s">
        <v>9397</v>
      </c>
      <c r="B3626" s="2" t="s">
        <v>7007</v>
      </c>
      <c r="C3626" s="2" t="s">
        <v>9398</v>
      </c>
      <c r="D3626" s="2" t="s">
        <v>10055</v>
      </c>
      <c r="E3626" s="15">
        <v>8.0799999999999997E-2</v>
      </c>
      <c r="F3626" s="15">
        <v>0.18379999999999999</v>
      </c>
      <c r="G3626" s="15">
        <v>0.6603</v>
      </c>
      <c r="H3626" s="15">
        <v>4.0500000000000001E-2</v>
      </c>
      <c r="I3626" s="15">
        <v>3.8300000000000001E-2</v>
      </c>
      <c r="J3626" s="15">
        <v>1.0574412532637081</v>
      </c>
    </row>
    <row r="3627" spans="1:10" x14ac:dyDescent="0.25">
      <c r="A3627" s="2" t="s">
        <v>9399</v>
      </c>
      <c r="B3627" s="2" t="s">
        <v>7007</v>
      </c>
      <c r="C3627" s="2" t="s">
        <v>9400</v>
      </c>
      <c r="D3627" s="2" t="s">
        <v>10055</v>
      </c>
      <c r="E3627" s="15">
        <v>0.22450000000000001</v>
      </c>
      <c r="F3627" s="15">
        <v>0.12770000000000001</v>
      </c>
      <c r="G3627" s="15">
        <v>7.8799999999999995E-2</v>
      </c>
      <c r="H3627" s="15">
        <v>9.11E-2</v>
      </c>
      <c r="I3627" s="15">
        <v>4.1200000000000001E-2</v>
      </c>
      <c r="J3627" s="15">
        <v>2.2111650485436889</v>
      </c>
    </row>
    <row r="3628" spans="1:10" x14ac:dyDescent="0.25">
      <c r="A3628" s="2" t="s">
        <v>9401</v>
      </c>
      <c r="B3628" s="2" t="s">
        <v>7007</v>
      </c>
      <c r="C3628" s="2" t="s">
        <v>9402</v>
      </c>
      <c r="D3628" s="2" t="s">
        <v>10055</v>
      </c>
      <c r="E3628" s="15">
        <v>6.4399999999999999E-2</v>
      </c>
      <c r="F3628" s="15">
        <v>9.1999999999999998E-2</v>
      </c>
      <c r="G3628" s="15">
        <v>0.48409999999999997</v>
      </c>
      <c r="H3628" s="15">
        <v>0.1401</v>
      </c>
      <c r="I3628" s="15">
        <v>4.3200000000000002E-2</v>
      </c>
      <c r="J3628" s="15">
        <v>3.2430555555555549</v>
      </c>
    </row>
    <row r="3629" spans="1:10" x14ac:dyDescent="0.25">
      <c r="A3629" s="2" t="s">
        <v>9403</v>
      </c>
      <c r="B3629" s="2" t="s">
        <v>7007</v>
      </c>
      <c r="C3629" s="2" t="s">
        <v>9404</v>
      </c>
      <c r="D3629" s="2" t="s">
        <v>10055</v>
      </c>
      <c r="E3629" s="15"/>
      <c r="F3629" s="15"/>
      <c r="G3629" s="15"/>
      <c r="H3629" s="15">
        <v>-6.5299999999999997E-2</v>
      </c>
      <c r="I3629" s="15">
        <v>3.9399999999999998E-2</v>
      </c>
      <c r="J3629" s="15">
        <v>-1.65736040609137</v>
      </c>
    </row>
    <row r="3630" spans="1:10" x14ac:dyDescent="0.25">
      <c r="A3630" s="2" t="s">
        <v>9405</v>
      </c>
      <c r="B3630" s="2" t="s">
        <v>7007</v>
      </c>
      <c r="C3630" s="2" t="s">
        <v>9406</v>
      </c>
      <c r="D3630" s="2" t="s">
        <v>10055</v>
      </c>
      <c r="E3630" s="15">
        <v>-0.17580000000000001</v>
      </c>
      <c r="F3630" s="15">
        <v>0.15049999999999999</v>
      </c>
      <c r="G3630" s="15">
        <v>0.2429</v>
      </c>
      <c r="H3630" s="15">
        <v>6.8000000000000005E-2</v>
      </c>
      <c r="I3630" s="15">
        <v>4.2799999999999998E-2</v>
      </c>
      <c r="J3630" s="15">
        <v>1.5887850467289719</v>
      </c>
    </row>
    <row r="3631" spans="1:10" x14ac:dyDescent="0.25">
      <c r="A3631" s="2" t="s">
        <v>9407</v>
      </c>
      <c r="B3631" s="2" t="s">
        <v>7007</v>
      </c>
      <c r="C3631" s="2" t="s">
        <v>9408</v>
      </c>
      <c r="D3631" s="2" t="s">
        <v>10055</v>
      </c>
      <c r="E3631" s="15">
        <v>-0.29409999999999997</v>
      </c>
      <c r="F3631" s="15">
        <v>0.1552</v>
      </c>
      <c r="G3631" s="15">
        <v>5.8099999999999999E-2</v>
      </c>
      <c r="H3631" s="15">
        <v>7.2999999999999995E-2</v>
      </c>
      <c r="I3631" s="15">
        <v>4.2999999999999997E-2</v>
      </c>
      <c r="J3631" s="15">
        <v>1.6976744186046511</v>
      </c>
    </row>
    <row r="3632" spans="1:10" x14ac:dyDescent="0.25">
      <c r="A3632" s="2" t="s">
        <v>9409</v>
      </c>
      <c r="B3632" s="2" t="s">
        <v>7007</v>
      </c>
      <c r="C3632" s="2" t="s">
        <v>9410</v>
      </c>
      <c r="D3632" s="2" t="s">
        <v>10055</v>
      </c>
      <c r="E3632" s="15"/>
      <c r="F3632" s="15"/>
      <c r="G3632" s="15"/>
      <c r="H3632" s="15"/>
      <c r="I3632" s="15"/>
      <c r="J3632" s="15"/>
    </row>
    <row r="3633" spans="1:10" x14ac:dyDescent="0.25">
      <c r="A3633" s="2" t="s">
        <v>9411</v>
      </c>
      <c r="B3633" s="2" t="s">
        <v>7007</v>
      </c>
      <c r="C3633" s="2" t="s">
        <v>9412</v>
      </c>
      <c r="D3633" s="2" t="s">
        <v>10055</v>
      </c>
      <c r="E3633" s="15"/>
      <c r="F3633" s="15"/>
      <c r="G3633" s="15"/>
      <c r="H3633" s="15">
        <v>-2.3199999999999998E-2</v>
      </c>
      <c r="I3633" s="15">
        <v>4.3299999999999998E-2</v>
      </c>
      <c r="J3633" s="15">
        <v>-0.53579676674364896</v>
      </c>
    </row>
    <row r="3634" spans="1:10" x14ac:dyDescent="0.25">
      <c r="A3634" s="2" t="s">
        <v>9413</v>
      </c>
      <c r="B3634" s="2" t="s">
        <v>7007</v>
      </c>
      <c r="C3634" s="2" t="s">
        <v>9414</v>
      </c>
      <c r="D3634" s="2" t="s">
        <v>10055</v>
      </c>
      <c r="E3634" s="15"/>
      <c r="F3634" s="15"/>
      <c r="G3634" s="15"/>
      <c r="H3634" s="15">
        <v>-1.78E-2</v>
      </c>
      <c r="I3634" s="15">
        <v>4.1300000000000003E-2</v>
      </c>
      <c r="J3634" s="15">
        <v>-0.43099273607748179</v>
      </c>
    </row>
    <row r="3635" spans="1:10" x14ac:dyDescent="0.25">
      <c r="A3635" s="2" t="s">
        <v>9415</v>
      </c>
      <c r="B3635" s="2" t="s">
        <v>7007</v>
      </c>
      <c r="C3635" s="2" t="s">
        <v>9416</v>
      </c>
      <c r="D3635" s="2" t="s">
        <v>10055</v>
      </c>
      <c r="E3635" s="15">
        <v>0.2074</v>
      </c>
      <c r="F3635" s="15">
        <v>0.11899999999999999</v>
      </c>
      <c r="G3635" s="15">
        <v>8.14E-2</v>
      </c>
      <c r="H3635" s="15">
        <v>0.1056</v>
      </c>
      <c r="I3635" s="15">
        <v>4.2200000000000001E-2</v>
      </c>
      <c r="J3635" s="15">
        <v>2.502369668246446</v>
      </c>
    </row>
    <row r="3636" spans="1:10" x14ac:dyDescent="0.25">
      <c r="A3636" s="2" t="s">
        <v>9417</v>
      </c>
      <c r="B3636" s="2" t="s">
        <v>7007</v>
      </c>
      <c r="C3636" s="2" t="s">
        <v>9418</v>
      </c>
      <c r="D3636" s="2" t="s">
        <v>10055</v>
      </c>
      <c r="E3636" s="15">
        <v>-0.1038</v>
      </c>
      <c r="F3636" s="15">
        <v>0.18149999999999999</v>
      </c>
      <c r="G3636" s="15">
        <v>0.5675</v>
      </c>
      <c r="H3636" s="15">
        <v>4.1200000000000001E-2</v>
      </c>
      <c r="I3636" s="15">
        <v>3.8199999999999998E-2</v>
      </c>
      <c r="J3636" s="15">
        <v>1.0785340314136129</v>
      </c>
    </row>
    <row r="3637" spans="1:10" x14ac:dyDescent="0.25">
      <c r="A3637" s="2" t="s">
        <v>9419</v>
      </c>
      <c r="B3637" s="2" t="s">
        <v>7007</v>
      </c>
      <c r="C3637" s="2" t="s">
        <v>9420</v>
      </c>
      <c r="D3637" s="2" t="s">
        <v>10055</v>
      </c>
      <c r="E3637" s="15"/>
      <c r="F3637" s="15"/>
      <c r="G3637" s="15"/>
      <c r="H3637" s="15">
        <v>-4.19E-2</v>
      </c>
      <c r="I3637" s="15">
        <v>4.02E-2</v>
      </c>
      <c r="J3637" s="15">
        <v>-1.04228855721393</v>
      </c>
    </row>
    <row r="3638" spans="1:10" x14ac:dyDescent="0.25">
      <c r="A3638" s="2" t="s">
        <v>9421</v>
      </c>
      <c r="B3638" s="2" t="s">
        <v>7007</v>
      </c>
      <c r="C3638" s="2" t="s">
        <v>9422</v>
      </c>
      <c r="D3638" s="2" t="s">
        <v>10055</v>
      </c>
      <c r="E3638" s="15"/>
      <c r="F3638" s="15"/>
      <c r="G3638" s="15"/>
      <c r="H3638" s="15">
        <v>-1.9300000000000001E-2</v>
      </c>
      <c r="I3638" s="15">
        <v>3.7999999999999999E-2</v>
      </c>
      <c r="J3638" s="15">
        <v>-0.50789473684210529</v>
      </c>
    </row>
    <row r="3639" spans="1:10" x14ac:dyDescent="0.25">
      <c r="A3639" s="2" t="s">
        <v>9423</v>
      </c>
      <c r="B3639" s="2" t="s">
        <v>7007</v>
      </c>
      <c r="C3639" s="2" t="s">
        <v>9424</v>
      </c>
      <c r="D3639" s="2" t="s">
        <v>10055</v>
      </c>
      <c r="E3639" s="15"/>
      <c r="F3639" s="15"/>
      <c r="G3639" s="15"/>
      <c r="H3639" s="15">
        <v>-4.1000000000000003E-3</v>
      </c>
      <c r="I3639" s="15">
        <v>3.9699999999999999E-2</v>
      </c>
      <c r="J3639" s="15">
        <v>-0.1032745591939547</v>
      </c>
    </row>
    <row r="3640" spans="1:10" x14ac:dyDescent="0.25">
      <c r="A3640" s="2" t="s">
        <v>9425</v>
      </c>
      <c r="B3640" s="2" t="s">
        <v>7007</v>
      </c>
      <c r="C3640" s="2" t="s">
        <v>9426</v>
      </c>
      <c r="D3640" s="2" t="s">
        <v>10055</v>
      </c>
      <c r="E3640" s="15">
        <v>-0.1085</v>
      </c>
      <c r="F3640" s="15">
        <v>0.1237</v>
      </c>
      <c r="G3640" s="15">
        <v>0.38030000000000003</v>
      </c>
      <c r="H3640" s="15">
        <v>8.7300000000000003E-2</v>
      </c>
      <c r="I3640" s="15">
        <v>5.1499999999999997E-2</v>
      </c>
      <c r="J3640" s="15">
        <v>1.6951456310679609</v>
      </c>
    </row>
    <row r="3641" spans="1:10" x14ac:dyDescent="0.25">
      <c r="A3641" s="2" t="s">
        <v>9427</v>
      </c>
      <c r="B3641" s="2" t="s">
        <v>7007</v>
      </c>
      <c r="C3641" s="2" t="s">
        <v>9428</v>
      </c>
      <c r="D3641" s="2" t="s">
        <v>10055</v>
      </c>
      <c r="E3641" s="15"/>
      <c r="F3641" s="15"/>
      <c r="G3641" s="15"/>
      <c r="H3641" s="15">
        <v>-5.7500000000000002E-2</v>
      </c>
      <c r="I3641" s="15">
        <v>3.8199999999999998E-2</v>
      </c>
      <c r="J3641" s="15">
        <v>-1.505235602094241</v>
      </c>
    </row>
    <row r="3642" spans="1:10" x14ac:dyDescent="0.25">
      <c r="A3642" s="2" t="s">
        <v>9429</v>
      </c>
      <c r="B3642" s="2" t="s">
        <v>7007</v>
      </c>
      <c r="C3642" s="2" t="s">
        <v>9430</v>
      </c>
      <c r="D3642" s="2" t="s">
        <v>10055</v>
      </c>
      <c r="E3642" s="15"/>
      <c r="F3642" s="15"/>
      <c r="G3642" s="15"/>
      <c r="H3642" s="15">
        <v>-7.4999999999999997E-3</v>
      </c>
      <c r="I3642" s="15">
        <v>4.2000000000000003E-2</v>
      </c>
      <c r="J3642" s="15">
        <v>-0.17857142857142849</v>
      </c>
    </row>
    <row r="3643" spans="1:10" x14ac:dyDescent="0.25">
      <c r="A3643" s="2" t="s">
        <v>9431</v>
      </c>
      <c r="B3643" s="2" t="s">
        <v>7007</v>
      </c>
      <c r="C3643" s="2" t="s">
        <v>9432</v>
      </c>
      <c r="D3643" s="2" t="s">
        <v>10055</v>
      </c>
      <c r="E3643" s="15"/>
      <c r="F3643" s="15"/>
      <c r="G3643" s="15"/>
      <c r="H3643" s="15">
        <v>-7.4000000000000003E-3</v>
      </c>
      <c r="I3643" s="15">
        <v>4.1200000000000001E-2</v>
      </c>
      <c r="J3643" s="15">
        <v>-0.1796116504854369</v>
      </c>
    </row>
    <row r="3644" spans="1:10" x14ac:dyDescent="0.25">
      <c r="A3644" s="2" t="s">
        <v>9433</v>
      </c>
      <c r="B3644" s="2" t="s">
        <v>7007</v>
      </c>
      <c r="C3644" s="2" t="s">
        <v>9434</v>
      </c>
      <c r="D3644" s="2" t="s">
        <v>10055</v>
      </c>
      <c r="E3644" s="15"/>
      <c r="F3644" s="15"/>
      <c r="G3644" s="15"/>
      <c r="H3644" s="15"/>
      <c r="I3644" s="15"/>
      <c r="J3644" s="15"/>
    </row>
    <row r="3645" spans="1:10" x14ac:dyDescent="0.25">
      <c r="A3645" s="2" t="s">
        <v>9435</v>
      </c>
      <c r="B3645" s="2" t="s">
        <v>7007</v>
      </c>
      <c r="C3645" s="2" t="s">
        <v>9436</v>
      </c>
      <c r="D3645" s="2" t="s">
        <v>10055</v>
      </c>
      <c r="E3645" s="15">
        <v>0.10349999999999999</v>
      </c>
      <c r="F3645" s="15">
        <v>0.30499999999999999</v>
      </c>
      <c r="G3645" s="15">
        <v>0.73429999999999995</v>
      </c>
      <c r="H3645" s="15">
        <v>2.4299999999999999E-2</v>
      </c>
      <c r="I3645" s="15">
        <v>4.7199999999999999E-2</v>
      </c>
      <c r="J3645" s="15">
        <v>0.51483050847457623</v>
      </c>
    </row>
    <row r="3646" spans="1:10" x14ac:dyDescent="0.25">
      <c r="A3646" s="2" t="s">
        <v>9437</v>
      </c>
      <c r="B3646" s="2" t="s">
        <v>7007</v>
      </c>
      <c r="C3646" s="2" t="s">
        <v>9438</v>
      </c>
      <c r="D3646" s="2" t="s">
        <v>10055</v>
      </c>
      <c r="E3646" s="15">
        <v>-9.9099999999999994E-2</v>
      </c>
      <c r="F3646" s="15">
        <v>0.29870000000000002</v>
      </c>
      <c r="G3646" s="15">
        <v>0.74009999999999998</v>
      </c>
      <c r="H3646" s="15">
        <v>1.72E-2</v>
      </c>
      <c r="I3646" s="15">
        <v>4.2500000000000003E-2</v>
      </c>
      <c r="J3646" s="15">
        <v>0.40470588235294108</v>
      </c>
    </row>
    <row r="3647" spans="1:10" x14ac:dyDescent="0.25">
      <c r="A3647" s="2" t="s">
        <v>9439</v>
      </c>
      <c r="B3647" s="2" t="s">
        <v>7007</v>
      </c>
      <c r="C3647" s="2" t="s">
        <v>9440</v>
      </c>
      <c r="D3647" s="2" t="s">
        <v>10055</v>
      </c>
      <c r="E3647" s="15">
        <v>-0.10050000000000001</v>
      </c>
      <c r="F3647" s="15">
        <v>0.1371</v>
      </c>
      <c r="G3647" s="15">
        <v>0.46339999999999998</v>
      </c>
      <c r="H3647" s="15">
        <v>5.7299999999999997E-2</v>
      </c>
      <c r="I3647" s="15">
        <v>4.0300000000000002E-2</v>
      </c>
      <c r="J3647" s="15">
        <v>1.421836228287841</v>
      </c>
    </row>
    <row r="3648" spans="1:10" x14ac:dyDescent="0.25">
      <c r="A3648" s="2" t="s">
        <v>9441</v>
      </c>
      <c r="B3648" s="2" t="s">
        <v>7007</v>
      </c>
      <c r="C3648" s="2" t="s">
        <v>9442</v>
      </c>
      <c r="D3648" s="2" t="s">
        <v>10055</v>
      </c>
      <c r="E3648" s="15"/>
      <c r="F3648" s="15"/>
      <c r="G3648" s="15"/>
      <c r="H3648" s="15"/>
      <c r="I3648" s="15"/>
      <c r="J3648" s="15"/>
    </row>
    <row r="3649" spans="1:10" x14ac:dyDescent="0.25">
      <c r="A3649" s="2" t="s">
        <v>9443</v>
      </c>
      <c r="B3649" s="2" t="s">
        <v>7007</v>
      </c>
      <c r="C3649" s="2" t="s">
        <v>9444</v>
      </c>
      <c r="D3649" s="2" t="s">
        <v>10055</v>
      </c>
      <c r="E3649" s="15"/>
      <c r="F3649" s="15"/>
      <c r="G3649" s="15"/>
      <c r="H3649" s="15">
        <v>-4.7699999999999999E-2</v>
      </c>
      <c r="I3649" s="15">
        <v>4.0599999999999997E-2</v>
      </c>
      <c r="J3649" s="15">
        <v>-1.174876847290641</v>
      </c>
    </row>
    <row r="3650" spans="1:10" x14ac:dyDescent="0.25">
      <c r="A3650" s="2" t="s">
        <v>9445</v>
      </c>
      <c r="B3650" s="2" t="s">
        <v>7007</v>
      </c>
      <c r="C3650" s="2" t="s">
        <v>9446</v>
      </c>
      <c r="D3650" s="2" t="s">
        <v>10055</v>
      </c>
      <c r="E3650" s="15">
        <v>0.1298</v>
      </c>
      <c r="F3650" s="15">
        <v>0.16880000000000001</v>
      </c>
      <c r="G3650" s="15">
        <v>0.44190000000000002</v>
      </c>
      <c r="H3650" s="15">
        <v>4.6199999999999998E-2</v>
      </c>
      <c r="I3650" s="15">
        <v>4.0399999999999998E-2</v>
      </c>
      <c r="J3650" s="15">
        <v>1.143564356435643</v>
      </c>
    </row>
    <row r="3651" spans="1:10" x14ac:dyDescent="0.25">
      <c r="A3651" s="2" t="s">
        <v>9447</v>
      </c>
      <c r="B3651" s="2" t="s">
        <v>7007</v>
      </c>
      <c r="C3651" s="2" t="s">
        <v>9448</v>
      </c>
      <c r="D3651" s="2" t="s">
        <v>10055</v>
      </c>
      <c r="E3651" s="15">
        <v>-1.8800000000000001E-2</v>
      </c>
      <c r="F3651" s="15">
        <v>0.1817</v>
      </c>
      <c r="G3651" s="15">
        <v>0.91769999999999996</v>
      </c>
      <c r="H3651" s="15">
        <v>4.3900000000000002E-2</v>
      </c>
      <c r="I3651" s="15">
        <v>3.7699999999999997E-2</v>
      </c>
      <c r="J3651" s="15">
        <v>1.164456233421751</v>
      </c>
    </row>
    <row r="3652" spans="1:10" x14ac:dyDescent="0.25">
      <c r="A3652" s="2" t="s">
        <v>9449</v>
      </c>
      <c r="B3652" s="2" t="s">
        <v>7007</v>
      </c>
      <c r="C3652" s="2" t="s">
        <v>9450</v>
      </c>
      <c r="D3652" s="2" t="s">
        <v>10055</v>
      </c>
      <c r="E3652" s="15">
        <v>-6.3899999999999998E-2</v>
      </c>
      <c r="F3652" s="15">
        <v>0.1159</v>
      </c>
      <c r="G3652" s="15">
        <v>0.58140000000000003</v>
      </c>
      <c r="H3652" s="15">
        <v>8.5900000000000004E-2</v>
      </c>
      <c r="I3652" s="15">
        <v>3.9699999999999999E-2</v>
      </c>
      <c r="J3652" s="15">
        <v>2.163727959697733</v>
      </c>
    </row>
    <row r="3653" spans="1:10" x14ac:dyDescent="0.25">
      <c r="A3653" s="2" t="s">
        <v>9451</v>
      </c>
      <c r="B3653" s="2" t="s">
        <v>7007</v>
      </c>
      <c r="C3653" s="2" t="s">
        <v>9452</v>
      </c>
      <c r="D3653" s="2" t="s">
        <v>10055</v>
      </c>
      <c r="E3653" s="15">
        <v>0.1036</v>
      </c>
      <c r="F3653" s="15">
        <v>0.1759</v>
      </c>
      <c r="G3653" s="15">
        <v>0.55600000000000005</v>
      </c>
      <c r="H3653" s="15">
        <v>3.9699999999999999E-2</v>
      </c>
      <c r="I3653" s="15">
        <v>3.8800000000000001E-2</v>
      </c>
      <c r="J3653" s="15">
        <v>1.0231958762886599</v>
      </c>
    </row>
    <row r="3654" spans="1:10" x14ac:dyDescent="0.25">
      <c r="A3654" s="2" t="s">
        <v>9453</v>
      </c>
      <c r="B3654" s="2" t="s">
        <v>7007</v>
      </c>
      <c r="C3654" s="2" t="s">
        <v>9454</v>
      </c>
      <c r="D3654" s="2" t="s">
        <v>10055</v>
      </c>
      <c r="E3654" s="15">
        <v>-9.01E-2</v>
      </c>
      <c r="F3654" s="15">
        <v>0.28970000000000001</v>
      </c>
      <c r="G3654" s="15">
        <v>0.75580000000000003</v>
      </c>
      <c r="H3654" s="15">
        <v>1.9199999999999998E-2</v>
      </c>
      <c r="I3654" s="15">
        <v>4.2599999999999999E-2</v>
      </c>
      <c r="J3654" s="15">
        <v>0.45070422535211258</v>
      </c>
    </row>
    <row r="3655" spans="1:10" x14ac:dyDescent="0.25">
      <c r="A3655" s="2" t="s">
        <v>9455</v>
      </c>
      <c r="B3655" s="2" t="s">
        <v>7007</v>
      </c>
      <c r="C3655" s="2" t="s">
        <v>9456</v>
      </c>
      <c r="D3655" s="2" t="s">
        <v>10055</v>
      </c>
      <c r="E3655" s="15">
        <v>-8.9300000000000004E-2</v>
      </c>
      <c r="F3655" s="15">
        <v>0.29730000000000001</v>
      </c>
      <c r="G3655" s="15">
        <v>0.76400000000000001</v>
      </c>
      <c r="H3655" s="15">
        <v>2.0299999999999999E-2</v>
      </c>
      <c r="I3655" s="15">
        <v>4.2999999999999997E-2</v>
      </c>
      <c r="J3655" s="15">
        <v>0.47209302325581398</v>
      </c>
    </row>
    <row r="3656" spans="1:10" x14ac:dyDescent="0.25">
      <c r="A3656" s="2" t="s">
        <v>9457</v>
      </c>
      <c r="B3656" s="2" t="s">
        <v>7007</v>
      </c>
      <c r="C3656" s="2" t="s">
        <v>9458</v>
      </c>
      <c r="D3656" s="2" t="s">
        <v>10055</v>
      </c>
      <c r="E3656" s="15">
        <v>9.35E-2</v>
      </c>
      <c r="F3656" s="15">
        <v>0.2873</v>
      </c>
      <c r="G3656" s="15">
        <v>0.74480000000000002</v>
      </c>
      <c r="H3656" s="15">
        <v>1.9400000000000001E-2</v>
      </c>
      <c r="I3656" s="15">
        <v>4.2700000000000002E-2</v>
      </c>
      <c r="J3656" s="15">
        <v>0.45433255269320838</v>
      </c>
    </row>
    <row r="3657" spans="1:10" x14ac:dyDescent="0.25">
      <c r="A3657" s="2" t="s">
        <v>9459</v>
      </c>
      <c r="B3657" s="2" t="s">
        <v>7007</v>
      </c>
      <c r="C3657" s="2" t="s">
        <v>9460</v>
      </c>
      <c r="D3657" s="2" t="s">
        <v>10055</v>
      </c>
      <c r="E3657" s="15">
        <v>-0.10929999999999999</v>
      </c>
      <c r="F3657" s="15">
        <v>0.19639999999999999</v>
      </c>
      <c r="G3657" s="15">
        <v>0.57789999999999997</v>
      </c>
      <c r="H3657" s="15">
        <v>3.73E-2</v>
      </c>
      <c r="I3657" s="15">
        <v>4.3900000000000002E-2</v>
      </c>
      <c r="J3657" s="15">
        <v>0.84965831435079719</v>
      </c>
    </row>
    <row r="3658" spans="1:10" x14ac:dyDescent="0.25">
      <c r="A3658" s="2" t="s">
        <v>9461</v>
      </c>
      <c r="B3658" s="2" t="s">
        <v>7007</v>
      </c>
      <c r="C3658" s="2" t="s">
        <v>9462</v>
      </c>
      <c r="D3658" s="2" t="s">
        <v>10055</v>
      </c>
      <c r="E3658" s="15"/>
      <c r="F3658" s="15"/>
      <c r="G3658" s="15"/>
      <c r="H3658" s="15"/>
      <c r="I3658" s="15"/>
      <c r="J3658" s="15"/>
    </row>
    <row r="3659" spans="1:10" x14ac:dyDescent="0.25">
      <c r="A3659" s="2" t="s">
        <v>9463</v>
      </c>
      <c r="B3659" s="2" t="s">
        <v>7007</v>
      </c>
      <c r="C3659" s="2" t="s">
        <v>9464</v>
      </c>
      <c r="D3659" s="2" t="s">
        <v>10055</v>
      </c>
      <c r="E3659" s="15"/>
      <c r="F3659" s="15"/>
      <c r="G3659" s="15"/>
      <c r="H3659" s="15"/>
      <c r="I3659" s="15"/>
      <c r="J3659" s="15"/>
    </row>
    <row r="3660" spans="1:10" x14ac:dyDescent="0.25">
      <c r="A3660" s="2" t="s">
        <v>9465</v>
      </c>
      <c r="B3660" s="2" t="s">
        <v>7007</v>
      </c>
      <c r="C3660" s="2" t="s">
        <v>9466</v>
      </c>
      <c r="D3660" s="2" t="s">
        <v>10055</v>
      </c>
      <c r="E3660" s="15">
        <v>1.8800000000000001E-2</v>
      </c>
      <c r="F3660" s="15">
        <v>0.10349999999999999</v>
      </c>
      <c r="G3660" s="15">
        <v>0.85599999999999998</v>
      </c>
      <c r="H3660" s="15">
        <v>0.10970000000000001</v>
      </c>
      <c r="I3660" s="15">
        <v>3.9199999999999999E-2</v>
      </c>
      <c r="J3660" s="15">
        <v>2.7984693877551021</v>
      </c>
    </row>
    <row r="3661" spans="1:10" x14ac:dyDescent="0.25">
      <c r="A3661" s="2" t="s">
        <v>9467</v>
      </c>
      <c r="B3661" s="2" t="s">
        <v>7007</v>
      </c>
      <c r="C3661" s="2" t="s">
        <v>9468</v>
      </c>
      <c r="D3661" s="2" t="s">
        <v>10055</v>
      </c>
      <c r="E3661" s="15"/>
      <c r="F3661" s="15"/>
      <c r="G3661" s="15"/>
      <c r="H3661" s="15">
        <v>-1.1999999999999999E-3</v>
      </c>
      <c r="I3661" s="15">
        <v>4.2999999999999997E-2</v>
      </c>
      <c r="J3661" s="15">
        <v>-2.790697674418605E-2</v>
      </c>
    </row>
    <row r="3662" spans="1:10" x14ac:dyDescent="0.25">
      <c r="A3662" s="2" t="s">
        <v>9469</v>
      </c>
      <c r="B3662" s="2" t="s">
        <v>7007</v>
      </c>
      <c r="C3662" s="2" t="s">
        <v>9470</v>
      </c>
      <c r="D3662" s="2" t="s">
        <v>10055</v>
      </c>
      <c r="E3662" s="15">
        <v>-7.4800000000000005E-2</v>
      </c>
      <c r="F3662" s="15">
        <v>0.12280000000000001</v>
      </c>
      <c r="G3662" s="15">
        <v>0.54220000000000002</v>
      </c>
      <c r="H3662" s="15">
        <v>8.2600000000000007E-2</v>
      </c>
      <c r="I3662" s="15">
        <v>4.3499999999999997E-2</v>
      </c>
      <c r="J3662" s="15">
        <v>1.8988505747126441</v>
      </c>
    </row>
    <row r="3663" spans="1:10" x14ac:dyDescent="0.25">
      <c r="A3663" s="2" t="s">
        <v>9471</v>
      </c>
      <c r="B3663" s="2" t="s">
        <v>7007</v>
      </c>
      <c r="C3663" s="2" t="s">
        <v>9472</v>
      </c>
      <c r="D3663" s="2" t="s">
        <v>10055</v>
      </c>
      <c r="E3663" s="15">
        <v>0.14119999999999999</v>
      </c>
      <c r="F3663" s="15">
        <v>0.1981</v>
      </c>
      <c r="G3663" s="15">
        <v>0.47589999999999999</v>
      </c>
      <c r="H3663" s="15">
        <v>3.4700000000000002E-2</v>
      </c>
      <c r="I3663" s="15">
        <v>3.6200000000000003E-2</v>
      </c>
      <c r="J3663" s="15">
        <v>0.95856353591160215</v>
      </c>
    </row>
    <row r="3664" spans="1:10" x14ac:dyDescent="0.25">
      <c r="A3664" s="2" t="s">
        <v>9473</v>
      </c>
      <c r="B3664" s="2" t="s">
        <v>7007</v>
      </c>
      <c r="C3664" s="2" t="s">
        <v>9474</v>
      </c>
      <c r="D3664" s="2" t="s">
        <v>10055</v>
      </c>
      <c r="E3664" s="15"/>
      <c r="F3664" s="15"/>
      <c r="G3664" s="15"/>
      <c r="H3664" s="15">
        <v>-2.1299999999999999E-2</v>
      </c>
      <c r="I3664" s="15">
        <v>4.1000000000000002E-2</v>
      </c>
      <c r="J3664" s="15">
        <v>-0.51951219512195124</v>
      </c>
    </row>
    <row r="3665" spans="1:10" x14ac:dyDescent="0.25">
      <c r="A3665" s="2" t="s">
        <v>9475</v>
      </c>
      <c r="B3665" s="2" t="s">
        <v>7007</v>
      </c>
      <c r="C3665" s="2" t="s">
        <v>9476</v>
      </c>
      <c r="D3665" s="2" t="s">
        <v>10055</v>
      </c>
      <c r="E3665" s="15"/>
      <c r="F3665" s="15"/>
      <c r="G3665" s="15"/>
      <c r="H3665" s="15">
        <v>-5.6899999999999999E-2</v>
      </c>
      <c r="I3665" s="15">
        <v>4.07E-2</v>
      </c>
      <c r="J3665" s="15">
        <v>-1.3980343980343981</v>
      </c>
    </row>
    <row r="3666" spans="1:10" x14ac:dyDescent="0.25">
      <c r="A3666" s="2" t="s">
        <v>9477</v>
      </c>
      <c r="B3666" s="2" t="s">
        <v>7007</v>
      </c>
      <c r="C3666" s="2" t="s">
        <v>9478</v>
      </c>
      <c r="D3666" s="2" t="s">
        <v>10055</v>
      </c>
      <c r="E3666" s="15"/>
      <c r="F3666" s="15"/>
      <c r="G3666" s="15"/>
      <c r="H3666" s="15">
        <v>-7.9000000000000008E-3</v>
      </c>
      <c r="I3666" s="15">
        <v>4.1799999999999997E-2</v>
      </c>
      <c r="J3666" s="15">
        <v>-0.1889952153110048</v>
      </c>
    </row>
    <row r="3667" spans="1:10" x14ac:dyDescent="0.25">
      <c r="A3667" s="2" t="s">
        <v>9479</v>
      </c>
      <c r="B3667" s="2" t="s">
        <v>7007</v>
      </c>
      <c r="C3667" s="2" t="s">
        <v>9480</v>
      </c>
      <c r="D3667" s="2" t="s">
        <v>10055</v>
      </c>
      <c r="E3667" s="15">
        <v>-4.0800000000000003E-2</v>
      </c>
      <c r="F3667" s="15">
        <v>0.18090000000000001</v>
      </c>
      <c r="G3667" s="15">
        <v>0.82150000000000001</v>
      </c>
      <c r="H3667" s="15">
        <v>4.36E-2</v>
      </c>
      <c r="I3667" s="15">
        <v>4.1200000000000001E-2</v>
      </c>
      <c r="J3667" s="15">
        <v>1.058252427184466</v>
      </c>
    </row>
    <row r="3668" spans="1:10" x14ac:dyDescent="0.25">
      <c r="A3668" s="2" t="s">
        <v>9481</v>
      </c>
      <c r="B3668" s="2" t="s">
        <v>7007</v>
      </c>
      <c r="C3668" s="2" t="s">
        <v>9482</v>
      </c>
      <c r="D3668" s="2" t="s">
        <v>10055</v>
      </c>
      <c r="E3668" s="15"/>
      <c r="F3668" s="15"/>
      <c r="G3668" s="15"/>
      <c r="H3668" s="15">
        <v>-0.05</v>
      </c>
      <c r="I3668" s="15">
        <v>3.8300000000000001E-2</v>
      </c>
      <c r="J3668" s="15">
        <v>-1.3054830287206269</v>
      </c>
    </row>
    <row r="3669" spans="1:10" x14ac:dyDescent="0.25">
      <c r="A3669" s="2" t="s">
        <v>9483</v>
      </c>
      <c r="B3669" s="2" t="s">
        <v>7007</v>
      </c>
      <c r="C3669" s="2" t="s">
        <v>9484</v>
      </c>
      <c r="D3669" s="2" t="s">
        <v>10055</v>
      </c>
      <c r="E3669" s="15"/>
      <c r="F3669" s="15"/>
      <c r="G3669" s="15"/>
      <c r="H3669" s="15">
        <v>-4.99E-2</v>
      </c>
      <c r="I3669" s="15">
        <v>3.7999999999999999E-2</v>
      </c>
      <c r="J3669" s="15">
        <v>-1.3131578947368421</v>
      </c>
    </row>
    <row r="3670" spans="1:10" x14ac:dyDescent="0.25">
      <c r="A3670" s="2" t="s">
        <v>9485</v>
      </c>
      <c r="B3670" s="2" t="s">
        <v>7007</v>
      </c>
      <c r="C3670" s="2" t="s">
        <v>9486</v>
      </c>
      <c r="D3670" s="2" t="s">
        <v>10055</v>
      </c>
      <c r="E3670" s="15"/>
      <c r="F3670" s="15"/>
      <c r="G3670" s="15"/>
      <c r="H3670" s="15">
        <v>-3.9600000000000003E-2</v>
      </c>
      <c r="I3670" s="15">
        <v>4.1399999999999999E-2</v>
      </c>
      <c r="J3670" s="15">
        <v>-0.95652173913043492</v>
      </c>
    </row>
    <row r="3671" spans="1:10" x14ac:dyDescent="0.25">
      <c r="A3671" s="2" t="s">
        <v>9487</v>
      </c>
      <c r="B3671" s="2" t="s">
        <v>7007</v>
      </c>
      <c r="C3671" s="2" t="s">
        <v>9488</v>
      </c>
      <c r="D3671" s="2" t="s">
        <v>10055</v>
      </c>
      <c r="E3671" s="15"/>
      <c r="F3671" s="15"/>
      <c r="G3671" s="15"/>
      <c r="H3671" s="15">
        <v>-1.47E-2</v>
      </c>
      <c r="I3671" s="15">
        <v>3.6900000000000002E-2</v>
      </c>
      <c r="J3671" s="15">
        <v>-0.39837398373983729</v>
      </c>
    </row>
    <row r="3672" spans="1:10" x14ac:dyDescent="0.25">
      <c r="A3672" s="2" t="s">
        <v>9489</v>
      </c>
      <c r="B3672" s="2" t="s">
        <v>7007</v>
      </c>
      <c r="C3672" s="2" t="s">
        <v>9490</v>
      </c>
      <c r="D3672" s="2" t="s">
        <v>10055</v>
      </c>
      <c r="E3672" s="15"/>
      <c r="F3672" s="15"/>
      <c r="G3672" s="15"/>
      <c r="H3672" s="15"/>
      <c r="I3672" s="15"/>
      <c r="J3672" s="15"/>
    </row>
    <row r="3673" spans="1:10" x14ac:dyDescent="0.25">
      <c r="A3673" s="2" t="s">
        <v>9491</v>
      </c>
      <c r="B3673" s="2" t="s">
        <v>7007</v>
      </c>
      <c r="C3673" s="2" t="s">
        <v>9492</v>
      </c>
      <c r="D3673" s="2" t="s">
        <v>10055</v>
      </c>
      <c r="E3673" s="15">
        <v>-0.1003</v>
      </c>
      <c r="F3673" s="15">
        <v>0.11899999999999999</v>
      </c>
      <c r="G3673" s="15">
        <v>0.39960000000000001</v>
      </c>
      <c r="H3673" s="15">
        <v>9.6000000000000002E-2</v>
      </c>
      <c r="I3673" s="15">
        <v>4.0300000000000002E-2</v>
      </c>
      <c r="J3673" s="15">
        <v>2.3821339950372211</v>
      </c>
    </row>
    <row r="3674" spans="1:10" x14ac:dyDescent="0.25">
      <c r="A3674" s="2" t="s">
        <v>9493</v>
      </c>
      <c r="B3674" s="2" t="s">
        <v>7007</v>
      </c>
      <c r="C3674" s="2" t="s">
        <v>9494</v>
      </c>
      <c r="D3674" s="2" t="s">
        <v>10055</v>
      </c>
      <c r="E3674" s="15"/>
      <c r="F3674" s="15"/>
      <c r="G3674" s="15"/>
      <c r="H3674" s="15"/>
      <c r="I3674" s="15"/>
      <c r="J3674" s="15"/>
    </row>
    <row r="3675" spans="1:10" x14ac:dyDescent="0.25">
      <c r="A3675" s="2" t="s">
        <v>9495</v>
      </c>
      <c r="B3675" s="2" t="s">
        <v>7007</v>
      </c>
      <c r="C3675" s="2" t="s">
        <v>9496</v>
      </c>
      <c r="D3675" s="2" t="s">
        <v>10055</v>
      </c>
      <c r="E3675" s="15"/>
      <c r="F3675" s="15"/>
      <c r="G3675" s="15"/>
      <c r="H3675" s="15"/>
      <c r="I3675" s="15"/>
      <c r="J3675" s="15"/>
    </row>
    <row r="3676" spans="1:10" x14ac:dyDescent="0.25">
      <c r="A3676" s="2" t="s">
        <v>9497</v>
      </c>
      <c r="B3676" s="2" t="s">
        <v>7007</v>
      </c>
      <c r="C3676" s="2" t="s">
        <v>9498</v>
      </c>
      <c r="D3676" s="2" t="s">
        <v>10055</v>
      </c>
      <c r="E3676" s="15">
        <v>0.1434</v>
      </c>
      <c r="F3676" s="15">
        <v>0.2432</v>
      </c>
      <c r="G3676" s="15">
        <v>0.55549999999999999</v>
      </c>
      <c r="H3676" s="15">
        <v>2.8199999999999999E-2</v>
      </c>
      <c r="I3676" s="15">
        <v>4.4699999999999997E-2</v>
      </c>
      <c r="J3676" s="15">
        <v>0.63087248322147649</v>
      </c>
    </row>
    <row r="3677" spans="1:10" x14ac:dyDescent="0.25">
      <c r="A3677" s="2" t="s">
        <v>9499</v>
      </c>
      <c r="B3677" s="2" t="s">
        <v>7007</v>
      </c>
      <c r="C3677" s="2" t="s">
        <v>9500</v>
      </c>
      <c r="D3677" s="2" t="s">
        <v>10055</v>
      </c>
      <c r="E3677" s="15"/>
      <c r="F3677" s="15"/>
      <c r="G3677" s="15"/>
      <c r="H3677" s="15">
        <v>-2.3999999999999998E-3</v>
      </c>
      <c r="I3677" s="15">
        <v>4.6899999999999997E-2</v>
      </c>
      <c r="J3677" s="15">
        <v>-5.1172707889125799E-2</v>
      </c>
    </row>
    <row r="3678" spans="1:10" x14ac:dyDescent="0.25">
      <c r="A3678" s="2" t="s">
        <v>9501</v>
      </c>
      <c r="B3678" s="2" t="s">
        <v>7007</v>
      </c>
      <c r="C3678" s="2" t="s">
        <v>9502</v>
      </c>
      <c r="D3678" s="2" t="s">
        <v>10055</v>
      </c>
      <c r="E3678" s="15">
        <v>6.8500000000000005E-2</v>
      </c>
      <c r="F3678" s="15">
        <v>0.12640000000000001</v>
      </c>
      <c r="G3678" s="15">
        <v>0.5877</v>
      </c>
      <c r="H3678" s="15">
        <v>8.3000000000000004E-2</v>
      </c>
      <c r="I3678" s="15">
        <v>4.4400000000000002E-2</v>
      </c>
      <c r="J3678" s="15">
        <v>1.8693693693693689</v>
      </c>
    </row>
    <row r="3679" spans="1:10" x14ac:dyDescent="0.25">
      <c r="A3679" s="2" t="s">
        <v>9503</v>
      </c>
      <c r="B3679" s="2" t="s">
        <v>7007</v>
      </c>
      <c r="C3679" s="2" t="s">
        <v>9504</v>
      </c>
      <c r="D3679" s="2" t="s">
        <v>10055</v>
      </c>
      <c r="E3679" s="15"/>
      <c r="F3679" s="15"/>
      <c r="G3679" s="15"/>
      <c r="H3679" s="15">
        <v>-1.8800000000000001E-2</v>
      </c>
      <c r="I3679" s="15">
        <v>4.3799999999999999E-2</v>
      </c>
      <c r="J3679" s="15">
        <v>-0.42922374429223747</v>
      </c>
    </row>
    <row r="3680" spans="1:10" x14ac:dyDescent="0.25">
      <c r="A3680" s="2" t="s">
        <v>9505</v>
      </c>
      <c r="B3680" s="2" t="s">
        <v>7007</v>
      </c>
      <c r="C3680" s="2" t="s">
        <v>9506</v>
      </c>
      <c r="D3680" s="2" t="s">
        <v>10055</v>
      </c>
      <c r="E3680" s="15"/>
      <c r="F3680" s="15"/>
      <c r="G3680" s="15"/>
      <c r="H3680" s="15">
        <v>-4.0300000000000002E-2</v>
      </c>
      <c r="I3680" s="15">
        <v>3.8199999999999998E-2</v>
      </c>
      <c r="J3680" s="15">
        <v>-1.054973821989529</v>
      </c>
    </row>
    <row r="3681" spans="1:10" x14ac:dyDescent="0.25">
      <c r="A3681" s="2" t="s">
        <v>9507</v>
      </c>
      <c r="B3681" s="2" t="s">
        <v>7007</v>
      </c>
      <c r="C3681" s="2" t="s">
        <v>9508</v>
      </c>
      <c r="D3681" s="2" t="s">
        <v>10055</v>
      </c>
      <c r="E3681" s="15"/>
      <c r="F3681" s="15"/>
      <c r="G3681" s="15"/>
      <c r="H3681" s="15">
        <v>-3.0099999999999998E-2</v>
      </c>
      <c r="I3681" s="15">
        <v>3.8800000000000001E-2</v>
      </c>
      <c r="J3681" s="15">
        <v>-0.77577319587628857</v>
      </c>
    </row>
    <row r="3682" spans="1:10" x14ac:dyDescent="0.25">
      <c r="A3682" s="2" t="s">
        <v>9509</v>
      </c>
      <c r="B3682" s="2" t="s">
        <v>7007</v>
      </c>
      <c r="C3682" s="2" t="s">
        <v>9510</v>
      </c>
      <c r="D3682" s="2" t="s">
        <v>10055</v>
      </c>
      <c r="E3682" s="15">
        <v>0.44569999999999999</v>
      </c>
      <c r="F3682" s="15">
        <v>0.79890000000000005</v>
      </c>
      <c r="G3682" s="15">
        <v>0.57689999999999997</v>
      </c>
      <c r="H3682" s="15">
        <v>1.54E-2</v>
      </c>
      <c r="I3682" s="15">
        <v>0.04</v>
      </c>
      <c r="J3682" s="15">
        <v>0.38500000000000001</v>
      </c>
    </row>
    <row r="3683" spans="1:10" x14ac:dyDescent="0.25">
      <c r="A3683" s="2" t="s">
        <v>9511</v>
      </c>
      <c r="B3683" s="2" t="s">
        <v>7007</v>
      </c>
      <c r="C3683" s="2" t="s">
        <v>9512</v>
      </c>
      <c r="D3683" s="2" t="s">
        <v>10055</v>
      </c>
      <c r="E3683" s="15">
        <v>0.1605</v>
      </c>
      <c r="F3683" s="15">
        <v>0.156</v>
      </c>
      <c r="G3683" s="15">
        <v>0.30349999999999999</v>
      </c>
      <c r="H3683" s="15">
        <v>6.2199999999999998E-2</v>
      </c>
      <c r="I3683" s="15">
        <v>3.9699999999999999E-2</v>
      </c>
      <c r="J3683" s="15">
        <v>1.5667506297229219</v>
      </c>
    </row>
    <row r="3684" spans="1:10" x14ac:dyDescent="0.25">
      <c r="A3684" s="2" t="s">
        <v>9513</v>
      </c>
      <c r="B3684" s="2" t="s">
        <v>7007</v>
      </c>
      <c r="C3684" s="2" t="s">
        <v>9514</v>
      </c>
      <c r="D3684" s="2" t="s">
        <v>10055</v>
      </c>
      <c r="E3684" s="15"/>
      <c r="F3684" s="15"/>
      <c r="G3684" s="15"/>
      <c r="H3684" s="15">
        <v>-1.15E-2</v>
      </c>
      <c r="I3684" s="15">
        <v>4.1700000000000001E-2</v>
      </c>
      <c r="J3684" s="15">
        <v>-0.27577937649880102</v>
      </c>
    </row>
    <row r="3685" spans="1:10" x14ac:dyDescent="0.25">
      <c r="A3685" s="2" t="s">
        <v>9515</v>
      </c>
      <c r="B3685" s="2" t="s">
        <v>7007</v>
      </c>
      <c r="C3685" s="2" t="s">
        <v>9516</v>
      </c>
      <c r="D3685" s="2" t="s">
        <v>10055</v>
      </c>
      <c r="E3685" s="15"/>
      <c r="F3685" s="15"/>
      <c r="G3685" s="15"/>
      <c r="H3685" s="15"/>
      <c r="I3685" s="15"/>
      <c r="J3685" s="15"/>
    </row>
    <row r="3686" spans="1:10" x14ac:dyDescent="0.25">
      <c r="A3686" s="2" t="s">
        <v>9517</v>
      </c>
      <c r="B3686" s="2" t="s">
        <v>7007</v>
      </c>
      <c r="C3686" s="2" t="s">
        <v>9518</v>
      </c>
      <c r="D3686" s="2" t="s">
        <v>10055</v>
      </c>
      <c r="E3686" s="15">
        <v>0.1913</v>
      </c>
      <c r="F3686" s="15">
        <v>0.33040000000000003</v>
      </c>
      <c r="G3686" s="15">
        <v>0.56269999999999998</v>
      </c>
      <c r="H3686" s="15">
        <v>1.77E-2</v>
      </c>
      <c r="I3686" s="15">
        <v>3.9699999999999999E-2</v>
      </c>
      <c r="J3686" s="15">
        <v>0.44584382871536532</v>
      </c>
    </row>
    <row r="3687" spans="1:10" x14ac:dyDescent="0.25">
      <c r="A3687" s="2" t="s">
        <v>9519</v>
      </c>
      <c r="B3687" s="2" t="s">
        <v>7007</v>
      </c>
      <c r="C3687" s="2" t="s">
        <v>9520</v>
      </c>
      <c r="D3687" s="2" t="s">
        <v>10055</v>
      </c>
      <c r="E3687" s="15">
        <v>5.7999999999999996E-3</v>
      </c>
      <c r="F3687" s="15">
        <v>0.15079999999999999</v>
      </c>
      <c r="G3687" s="15">
        <v>0.96940000000000004</v>
      </c>
      <c r="H3687" s="15">
        <v>6.0900000000000003E-2</v>
      </c>
      <c r="I3687" s="15">
        <v>4.3400000000000001E-2</v>
      </c>
      <c r="J3687" s="15">
        <v>1.403225806451613</v>
      </c>
    </row>
    <row r="3688" spans="1:10" x14ac:dyDescent="0.25">
      <c r="A3688" s="2" t="s">
        <v>9521</v>
      </c>
      <c r="B3688" s="2" t="s">
        <v>7007</v>
      </c>
      <c r="C3688" s="2" t="s">
        <v>9522</v>
      </c>
      <c r="D3688" s="2" t="s">
        <v>10055</v>
      </c>
      <c r="E3688" s="15"/>
      <c r="F3688" s="15"/>
      <c r="G3688" s="15"/>
      <c r="H3688" s="15"/>
      <c r="I3688" s="15"/>
      <c r="J3688" s="15"/>
    </row>
    <row r="3689" spans="1:10" x14ac:dyDescent="0.25">
      <c r="A3689" s="2" t="s">
        <v>9523</v>
      </c>
      <c r="B3689" s="2" t="s">
        <v>7007</v>
      </c>
      <c r="C3689" s="2" t="s">
        <v>9524</v>
      </c>
      <c r="D3689" s="2" t="s">
        <v>10055</v>
      </c>
      <c r="E3689" s="15"/>
      <c r="F3689" s="15"/>
      <c r="G3689" s="15"/>
      <c r="H3689" s="15"/>
      <c r="I3689" s="15"/>
      <c r="J3689" s="15"/>
    </row>
    <row r="3690" spans="1:10" x14ac:dyDescent="0.25">
      <c r="A3690" s="2" t="s">
        <v>9525</v>
      </c>
      <c r="B3690" s="2" t="s">
        <v>7007</v>
      </c>
      <c r="C3690" s="2" t="s">
        <v>9526</v>
      </c>
      <c r="D3690" s="2" t="s">
        <v>10055</v>
      </c>
      <c r="E3690" s="15">
        <v>-0.11119999999999999</v>
      </c>
      <c r="F3690" s="15">
        <v>0.42559999999999998</v>
      </c>
      <c r="G3690" s="15">
        <v>0.79390000000000005</v>
      </c>
      <c r="H3690" s="15">
        <v>1.0699999999999999E-2</v>
      </c>
      <c r="I3690" s="15">
        <v>4.02E-2</v>
      </c>
      <c r="J3690" s="15">
        <v>0.26616915422885568</v>
      </c>
    </row>
    <row r="3691" spans="1:10" x14ac:dyDescent="0.25">
      <c r="A3691" s="2" t="s">
        <v>9527</v>
      </c>
      <c r="B3691" s="2" t="s">
        <v>7007</v>
      </c>
      <c r="C3691" s="2" t="s">
        <v>9528</v>
      </c>
      <c r="D3691" s="2" t="s">
        <v>10055</v>
      </c>
      <c r="E3691" s="15"/>
      <c r="F3691" s="15"/>
      <c r="G3691" s="15"/>
      <c r="H3691" s="15">
        <v>-7.7999999999999996E-3</v>
      </c>
      <c r="I3691" s="15">
        <v>4.48E-2</v>
      </c>
      <c r="J3691" s="15">
        <v>-0.17410714285714279</v>
      </c>
    </row>
    <row r="3692" spans="1:10" x14ac:dyDescent="0.25">
      <c r="A3692" s="2" t="s">
        <v>9529</v>
      </c>
      <c r="B3692" s="2" t="s">
        <v>7007</v>
      </c>
      <c r="C3692" s="2" t="s">
        <v>9530</v>
      </c>
      <c r="D3692" s="2" t="s">
        <v>10055</v>
      </c>
      <c r="E3692" s="15">
        <v>8.0299999999999996E-2</v>
      </c>
      <c r="F3692" s="15">
        <v>0.15970000000000001</v>
      </c>
      <c r="G3692" s="15">
        <v>0.61519999999999997</v>
      </c>
      <c r="H3692" s="15">
        <v>5.5300000000000002E-2</v>
      </c>
      <c r="I3692" s="15">
        <v>4.07E-2</v>
      </c>
      <c r="J3692" s="15">
        <v>1.3587223587223589</v>
      </c>
    </row>
    <row r="3693" spans="1:10" x14ac:dyDescent="0.25">
      <c r="A3693" s="2" t="s">
        <v>9531</v>
      </c>
      <c r="B3693" s="2" t="s">
        <v>7007</v>
      </c>
      <c r="C3693" s="2" t="s">
        <v>9532</v>
      </c>
      <c r="D3693" s="2" t="s">
        <v>10055</v>
      </c>
      <c r="E3693" s="15">
        <v>0.1004</v>
      </c>
      <c r="F3693" s="15">
        <v>0.2291</v>
      </c>
      <c r="G3693" s="15">
        <v>0.66120000000000001</v>
      </c>
      <c r="H3693" s="15">
        <v>2.7099999999999999E-2</v>
      </c>
      <c r="I3693" s="15">
        <v>4.36E-2</v>
      </c>
      <c r="J3693" s="15">
        <v>0.62155963302752293</v>
      </c>
    </row>
    <row r="3694" spans="1:10" x14ac:dyDescent="0.25">
      <c r="A3694" s="2" t="s">
        <v>9533</v>
      </c>
      <c r="B3694" s="2" t="s">
        <v>7007</v>
      </c>
      <c r="C3694" s="2" t="s">
        <v>9534</v>
      </c>
      <c r="D3694" s="2" t="s">
        <v>10055</v>
      </c>
      <c r="E3694" s="15"/>
      <c r="F3694" s="15"/>
      <c r="G3694" s="15"/>
      <c r="H3694" s="15">
        <v>-7.51E-2</v>
      </c>
      <c r="I3694" s="15">
        <v>3.73E-2</v>
      </c>
      <c r="J3694" s="15">
        <v>-2.0134048257372661</v>
      </c>
    </row>
    <row r="3695" spans="1:10" x14ac:dyDescent="0.25">
      <c r="A3695" s="2" t="s">
        <v>9535</v>
      </c>
      <c r="B3695" s="2" t="s">
        <v>7007</v>
      </c>
      <c r="C3695" s="2" t="s">
        <v>9536</v>
      </c>
      <c r="D3695" s="2" t="s">
        <v>10055</v>
      </c>
      <c r="E3695" s="15">
        <v>-7.7999999999999996E-3</v>
      </c>
      <c r="F3695" s="15">
        <v>0.15809999999999999</v>
      </c>
      <c r="G3695" s="15">
        <v>0.96089999999999998</v>
      </c>
      <c r="H3695" s="15">
        <v>5.16E-2</v>
      </c>
      <c r="I3695" s="15">
        <v>3.8399999999999997E-2</v>
      </c>
      <c r="J3695" s="15">
        <v>1.34375</v>
      </c>
    </row>
    <row r="3696" spans="1:10" x14ac:dyDescent="0.25">
      <c r="A3696" s="2" t="s">
        <v>9537</v>
      </c>
      <c r="B3696" s="2" t="s">
        <v>7007</v>
      </c>
      <c r="C3696" s="2" t="s">
        <v>9538</v>
      </c>
      <c r="D3696" s="2" t="s">
        <v>10055</v>
      </c>
      <c r="E3696" s="15"/>
      <c r="F3696" s="15"/>
      <c r="G3696" s="15"/>
      <c r="H3696" s="15">
        <v>-2.7799999999999998E-2</v>
      </c>
      <c r="I3696" s="15">
        <v>4.4999999999999998E-2</v>
      </c>
      <c r="J3696" s="15">
        <v>-0.61777777777777776</v>
      </c>
    </row>
    <row r="3697" spans="1:10" x14ac:dyDescent="0.25">
      <c r="A3697" s="2" t="s">
        <v>9539</v>
      </c>
      <c r="B3697" s="2" t="s">
        <v>7007</v>
      </c>
      <c r="C3697" s="2" t="s">
        <v>9540</v>
      </c>
      <c r="D3697" s="2" t="s">
        <v>10055</v>
      </c>
      <c r="E3697" s="15"/>
      <c r="F3697" s="15"/>
      <c r="G3697" s="15"/>
      <c r="H3697" s="15">
        <v>-1.9300000000000001E-2</v>
      </c>
      <c r="I3697" s="15">
        <v>3.9300000000000002E-2</v>
      </c>
      <c r="J3697" s="15">
        <v>-0.4910941475826972</v>
      </c>
    </row>
    <row r="3698" spans="1:10" x14ac:dyDescent="0.25">
      <c r="A3698" s="2" t="s">
        <v>9541</v>
      </c>
      <c r="B3698" s="2" t="s">
        <v>7007</v>
      </c>
      <c r="C3698" s="2" t="s">
        <v>9542</v>
      </c>
      <c r="D3698" s="2" t="s">
        <v>10055</v>
      </c>
      <c r="E3698" s="15"/>
      <c r="F3698" s="15"/>
      <c r="G3698" s="15"/>
      <c r="H3698" s="15">
        <v>-5.5300000000000002E-2</v>
      </c>
      <c r="I3698" s="15">
        <v>4.5199999999999997E-2</v>
      </c>
      <c r="J3698" s="15">
        <v>-1.2234513274336281</v>
      </c>
    </row>
    <row r="3699" spans="1:10" x14ac:dyDescent="0.25">
      <c r="A3699" s="2" t="s">
        <v>9543</v>
      </c>
      <c r="B3699" s="2" t="s">
        <v>7007</v>
      </c>
      <c r="C3699" s="2" t="s">
        <v>9544</v>
      </c>
      <c r="D3699" s="2" t="s">
        <v>10055</v>
      </c>
      <c r="E3699" s="15"/>
      <c r="F3699" s="15"/>
      <c r="G3699" s="15"/>
      <c r="H3699" s="15">
        <v>-2.3E-3</v>
      </c>
      <c r="I3699" s="15">
        <v>3.73E-2</v>
      </c>
      <c r="J3699" s="15">
        <v>-6.1662198391420911E-2</v>
      </c>
    </row>
    <row r="3700" spans="1:10" x14ac:dyDescent="0.25">
      <c r="A3700" s="2" t="s">
        <v>9545</v>
      </c>
      <c r="B3700" s="2" t="s">
        <v>7007</v>
      </c>
      <c r="C3700" s="2" t="s">
        <v>9546</v>
      </c>
      <c r="D3700" s="2" t="s">
        <v>10055</v>
      </c>
      <c r="E3700" s="15">
        <v>0.1197</v>
      </c>
      <c r="F3700" s="15">
        <v>0.1545</v>
      </c>
      <c r="G3700" s="15">
        <v>0.43830000000000002</v>
      </c>
      <c r="H3700" s="15">
        <v>5.7799999999999997E-2</v>
      </c>
      <c r="I3700" s="15">
        <v>4.0399999999999998E-2</v>
      </c>
      <c r="J3700" s="15">
        <v>1.4306930693069311</v>
      </c>
    </row>
    <row r="3701" spans="1:10" x14ac:dyDescent="0.25">
      <c r="A3701" s="2" t="s">
        <v>9547</v>
      </c>
      <c r="B3701" s="2" t="s">
        <v>7007</v>
      </c>
      <c r="C3701" s="2" t="s">
        <v>9548</v>
      </c>
      <c r="D3701" s="2" t="s">
        <v>10055</v>
      </c>
      <c r="E3701" s="15">
        <v>9.4700000000000006E-2</v>
      </c>
      <c r="F3701" s="15">
        <v>0.13120000000000001</v>
      </c>
      <c r="G3701" s="15">
        <v>0.47020000000000001</v>
      </c>
      <c r="H3701" s="15">
        <v>6.3700000000000007E-2</v>
      </c>
      <c r="I3701" s="15">
        <v>3.8800000000000001E-2</v>
      </c>
      <c r="J3701" s="15">
        <v>1.641752577319588</v>
      </c>
    </row>
    <row r="3702" spans="1:10" x14ac:dyDescent="0.25">
      <c r="A3702" s="2" t="s">
        <v>9549</v>
      </c>
      <c r="B3702" s="2" t="s">
        <v>7007</v>
      </c>
      <c r="C3702" s="2" t="s">
        <v>9550</v>
      </c>
      <c r="D3702" s="2" t="s">
        <v>10055</v>
      </c>
      <c r="E3702" s="15"/>
      <c r="F3702" s="15"/>
      <c r="G3702" s="15"/>
      <c r="H3702" s="15">
        <v>-7.4999999999999997E-3</v>
      </c>
      <c r="I3702" s="15">
        <v>3.6700000000000003E-2</v>
      </c>
      <c r="J3702" s="15">
        <v>-0.2043596730245231</v>
      </c>
    </row>
    <row r="3703" spans="1:10" x14ac:dyDescent="0.25">
      <c r="A3703" s="2" t="s">
        <v>9551</v>
      </c>
      <c r="B3703" s="2" t="s">
        <v>7007</v>
      </c>
      <c r="C3703" s="2" t="s">
        <v>9552</v>
      </c>
      <c r="D3703" s="2" t="s">
        <v>10055</v>
      </c>
      <c r="E3703" s="15"/>
      <c r="F3703" s="15"/>
      <c r="G3703" s="15"/>
      <c r="H3703" s="15">
        <v>-1.5100000000000001E-2</v>
      </c>
      <c r="I3703" s="15">
        <v>4.2200000000000001E-2</v>
      </c>
      <c r="J3703" s="15">
        <v>-0.35781990521327012</v>
      </c>
    </row>
    <row r="3704" spans="1:10" x14ac:dyDescent="0.25">
      <c r="A3704" s="2" t="s">
        <v>9553</v>
      </c>
      <c r="B3704" s="2" t="s">
        <v>7007</v>
      </c>
      <c r="C3704" s="2" t="s">
        <v>9554</v>
      </c>
      <c r="D3704" s="2" t="s">
        <v>10055</v>
      </c>
      <c r="E3704" s="15">
        <v>0.20449999999999999</v>
      </c>
      <c r="F3704" s="15">
        <v>0.58109999999999995</v>
      </c>
      <c r="G3704" s="15">
        <v>0.72489999999999999</v>
      </c>
      <c r="H3704" s="15">
        <v>1.52E-2</v>
      </c>
      <c r="I3704" s="15">
        <v>4.6600000000000003E-2</v>
      </c>
      <c r="J3704" s="15">
        <v>0.3261802575107296</v>
      </c>
    </row>
    <row r="3705" spans="1:10" x14ac:dyDescent="0.25">
      <c r="A3705" s="2" t="s">
        <v>9555</v>
      </c>
      <c r="B3705" s="2" t="s">
        <v>7007</v>
      </c>
      <c r="C3705" s="2" t="s">
        <v>9556</v>
      </c>
      <c r="D3705" s="2" t="s">
        <v>10055</v>
      </c>
      <c r="E3705" s="15"/>
      <c r="F3705" s="15"/>
      <c r="G3705" s="15"/>
      <c r="H3705" s="15">
        <v>-5.4399999999999997E-2</v>
      </c>
      <c r="I3705" s="15">
        <v>3.32E-2</v>
      </c>
      <c r="J3705" s="15">
        <v>-1.63855421686747</v>
      </c>
    </row>
    <row r="3706" spans="1:10" x14ac:dyDescent="0.25">
      <c r="A3706" s="2" t="s">
        <v>9557</v>
      </c>
      <c r="B3706" s="2" t="s">
        <v>7007</v>
      </c>
      <c r="C3706" s="2" t="s">
        <v>9558</v>
      </c>
      <c r="D3706" s="2" t="s">
        <v>10055</v>
      </c>
      <c r="E3706" s="15"/>
      <c r="F3706" s="15"/>
      <c r="G3706" s="15"/>
      <c r="H3706" s="15">
        <v>-1.0800000000000001E-2</v>
      </c>
      <c r="I3706" s="15">
        <v>4.02E-2</v>
      </c>
      <c r="J3706" s="15">
        <v>-0.26865671641791039</v>
      </c>
    </row>
    <row r="3707" spans="1:10" x14ac:dyDescent="0.25">
      <c r="A3707" s="2" t="s">
        <v>9559</v>
      </c>
      <c r="B3707" s="2" t="s">
        <v>7007</v>
      </c>
      <c r="C3707" s="2" t="s">
        <v>9560</v>
      </c>
      <c r="D3707" s="2" t="s">
        <v>10055</v>
      </c>
      <c r="E3707" s="15"/>
      <c r="F3707" s="15"/>
      <c r="G3707" s="15"/>
      <c r="H3707" s="15">
        <v>-1.0200000000000001E-2</v>
      </c>
      <c r="I3707" s="15">
        <v>4.1399999999999999E-2</v>
      </c>
      <c r="J3707" s="15">
        <v>-0.24637681159420291</v>
      </c>
    </row>
    <row r="3708" spans="1:10" x14ac:dyDescent="0.25">
      <c r="A3708" s="2" t="s">
        <v>9561</v>
      </c>
      <c r="B3708" s="2" t="s">
        <v>7007</v>
      </c>
      <c r="C3708" s="2" t="s">
        <v>9562</v>
      </c>
      <c r="D3708" s="2" t="s">
        <v>10055</v>
      </c>
      <c r="E3708" s="15"/>
      <c r="F3708" s="15"/>
      <c r="G3708" s="15"/>
      <c r="H3708" s="15"/>
      <c r="I3708" s="15"/>
      <c r="J3708" s="15"/>
    </row>
    <row r="3709" spans="1:10" x14ac:dyDescent="0.25">
      <c r="A3709" s="2" t="s">
        <v>9563</v>
      </c>
      <c r="B3709" s="2" t="s">
        <v>7007</v>
      </c>
      <c r="C3709" s="2" t="s">
        <v>9564</v>
      </c>
      <c r="D3709" s="2" t="s">
        <v>10055</v>
      </c>
      <c r="E3709" s="15">
        <v>0.45669999999999999</v>
      </c>
      <c r="F3709" s="15">
        <v>0.75680000000000003</v>
      </c>
      <c r="G3709" s="15">
        <v>0.54620000000000002</v>
      </c>
      <c r="H3709" s="15">
        <v>1.3899999999999999E-2</v>
      </c>
      <c r="I3709" s="15">
        <v>3.7900000000000003E-2</v>
      </c>
      <c r="J3709" s="15">
        <v>0.36675461741424797</v>
      </c>
    </row>
    <row r="3710" spans="1:10" x14ac:dyDescent="0.25">
      <c r="A3710" s="2" t="s">
        <v>9565</v>
      </c>
      <c r="B3710" s="2" t="s">
        <v>7007</v>
      </c>
      <c r="C3710" s="2" t="s">
        <v>9566</v>
      </c>
      <c r="D3710" s="2" t="s">
        <v>10055</v>
      </c>
      <c r="E3710" s="15">
        <v>-0.33300000000000002</v>
      </c>
      <c r="F3710" s="15">
        <v>0.25309999999999999</v>
      </c>
      <c r="G3710" s="15">
        <v>0.1883</v>
      </c>
      <c r="H3710" s="15">
        <v>3.8199999999999998E-2</v>
      </c>
      <c r="I3710" s="15">
        <v>3.7900000000000003E-2</v>
      </c>
      <c r="J3710" s="15">
        <v>1.0079155672823219</v>
      </c>
    </row>
    <row r="3711" spans="1:10" x14ac:dyDescent="0.25">
      <c r="A3711" s="2" t="s">
        <v>9567</v>
      </c>
      <c r="B3711" s="2" t="s">
        <v>7007</v>
      </c>
      <c r="C3711" s="2" t="s">
        <v>9568</v>
      </c>
      <c r="D3711" s="2" t="s">
        <v>10055</v>
      </c>
      <c r="E3711" s="15"/>
      <c r="F3711" s="15"/>
      <c r="G3711" s="15"/>
      <c r="H3711" s="15">
        <v>-3.4500000000000003E-2</v>
      </c>
      <c r="I3711" s="15">
        <v>4.58E-2</v>
      </c>
      <c r="J3711" s="15">
        <v>-0.75327510917030571</v>
      </c>
    </row>
    <row r="3712" spans="1:10" x14ac:dyDescent="0.25">
      <c r="A3712" s="2" t="s">
        <v>9569</v>
      </c>
      <c r="B3712" s="2" t="s">
        <v>7007</v>
      </c>
      <c r="C3712" s="2" t="s">
        <v>9570</v>
      </c>
      <c r="D3712" s="2" t="s">
        <v>10055</v>
      </c>
      <c r="E3712" s="15">
        <v>-5.4300000000000001E-2</v>
      </c>
      <c r="F3712" s="15">
        <v>0.13700000000000001</v>
      </c>
      <c r="G3712" s="15">
        <v>0.69159999999999999</v>
      </c>
      <c r="H3712" s="15">
        <v>5.1799999999999999E-2</v>
      </c>
      <c r="I3712" s="15">
        <v>4.2200000000000001E-2</v>
      </c>
      <c r="J3712" s="15">
        <v>1.2274881516587679</v>
      </c>
    </row>
    <row r="3713" spans="1:10" x14ac:dyDescent="0.25">
      <c r="A3713" s="2" t="s">
        <v>9571</v>
      </c>
      <c r="B3713" s="2" t="s">
        <v>7007</v>
      </c>
      <c r="C3713" s="2" t="s">
        <v>9572</v>
      </c>
      <c r="D3713" s="2" t="s">
        <v>10055</v>
      </c>
      <c r="E3713" s="15"/>
      <c r="F3713" s="15"/>
      <c r="G3713" s="15"/>
      <c r="H3713" s="15">
        <v>-4.6800000000000001E-2</v>
      </c>
      <c r="I3713" s="15">
        <v>3.7499999999999999E-2</v>
      </c>
      <c r="J3713" s="15">
        <v>-1.248</v>
      </c>
    </row>
    <row r="3714" spans="1:10" x14ac:dyDescent="0.25">
      <c r="A3714" s="2" t="s">
        <v>9573</v>
      </c>
      <c r="B3714" s="2" t="s">
        <v>7007</v>
      </c>
      <c r="C3714" s="2" t="s">
        <v>9574</v>
      </c>
      <c r="D3714" s="2" t="s">
        <v>10055</v>
      </c>
      <c r="E3714" s="15">
        <v>-0.10489999999999999</v>
      </c>
      <c r="F3714" s="15">
        <v>0.17680000000000001</v>
      </c>
      <c r="G3714" s="15">
        <v>0.55300000000000005</v>
      </c>
      <c r="H3714" s="15">
        <v>4.2500000000000003E-2</v>
      </c>
      <c r="I3714" s="15">
        <v>4.2299999999999997E-2</v>
      </c>
      <c r="J3714" s="15">
        <v>1.0047281323877071</v>
      </c>
    </row>
    <row r="3715" spans="1:10" x14ac:dyDescent="0.25">
      <c r="A3715" s="2" t="s">
        <v>9575</v>
      </c>
      <c r="B3715" s="2" t="s">
        <v>7007</v>
      </c>
      <c r="C3715" s="2" t="s">
        <v>9576</v>
      </c>
      <c r="D3715" s="2" t="s">
        <v>10055</v>
      </c>
      <c r="E3715" s="15">
        <v>5.1200000000000002E-2</v>
      </c>
      <c r="F3715" s="15">
        <v>0.1512</v>
      </c>
      <c r="G3715" s="15">
        <v>0.7349</v>
      </c>
      <c r="H3715" s="15">
        <v>5.4600000000000003E-2</v>
      </c>
      <c r="I3715" s="15">
        <v>3.78E-2</v>
      </c>
      <c r="J3715" s="15">
        <v>1.444444444444444</v>
      </c>
    </row>
    <row r="3716" spans="1:10" x14ac:dyDescent="0.25">
      <c r="A3716" s="2" t="s">
        <v>9577</v>
      </c>
      <c r="B3716" s="2" t="s">
        <v>7007</v>
      </c>
      <c r="C3716" s="2" t="s">
        <v>9578</v>
      </c>
      <c r="D3716" s="2" t="s">
        <v>10055</v>
      </c>
      <c r="E3716" s="15"/>
      <c r="F3716" s="15"/>
      <c r="G3716" s="15"/>
      <c r="H3716" s="15">
        <v>-3.4799999999999998E-2</v>
      </c>
      <c r="I3716" s="15">
        <v>3.9300000000000002E-2</v>
      </c>
      <c r="J3716" s="15">
        <v>-0.88549618320610679</v>
      </c>
    </row>
    <row r="3717" spans="1:10" x14ac:dyDescent="0.25">
      <c r="A3717" s="2" t="s">
        <v>9579</v>
      </c>
      <c r="B3717" s="2" t="s">
        <v>7007</v>
      </c>
      <c r="C3717" s="2" t="s">
        <v>9580</v>
      </c>
      <c r="D3717" s="2" t="s">
        <v>10055</v>
      </c>
      <c r="E3717" s="15"/>
      <c r="F3717" s="15"/>
      <c r="G3717" s="15"/>
      <c r="H3717" s="15">
        <v>-6.8199999999999997E-2</v>
      </c>
      <c r="I3717" s="15">
        <v>4.1700000000000001E-2</v>
      </c>
      <c r="J3717" s="15">
        <v>-1.6354916067146279</v>
      </c>
    </row>
    <row r="3718" spans="1:10" x14ac:dyDescent="0.25">
      <c r="A3718" s="2" t="s">
        <v>9581</v>
      </c>
      <c r="B3718" s="2" t="s">
        <v>7007</v>
      </c>
      <c r="C3718" s="2" t="s">
        <v>9582</v>
      </c>
      <c r="D3718" s="2" t="s">
        <v>10055</v>
      </c>
      <c r="E3718" s="15">
        <v>8.1699999999999995E-2</v>
      </c>
      <c r="F3718" s="15">
        <v>0.19800000000000001</v>
      </c>
      <c r="G3718" s="15">
        <v>0.67989999999999995</v>
      </c>
      <c r="H3718" s="15">
        <v>3.8199999999999998E-2</v>
      </c>
      <c r="I3718" s="15">
        <v>4.0599999999999997E-2</v>
      </c>
      <c r="J3718" s="15">
        <v>0.94088669950738912</v>
      </c>
    </row>
    <row r="3719" spans="1:10" x14ac:dyDescent="0.25">
      <c r="A3719" s="2" t="s">
        <v>9583</v>
      </c>
      <c r="B3719" s="2" t="s">
        <v>7007</v>
      </c>
      <c r="C3719" s="2" t="s">
        <v>9584</v>
      </c>
      <c r="D3719" s="2" t="s">
        <v>10055</v>
      </c>
      <c r="E3719" s="15">
        <v>-0.34210000000000002</v>
      </c>
      <c r="F3719" s="15">
        <v>0.31280000000000002</v>
      </c>
      <c r="G3719" s="15">
        <v>0.2742</v>
      </c>
      <c r="H3719" s="15">
        <v>3.1800000000000002E-2</v>
      </c>
      <c r="I3719" s="15">
        <v>4.3999999999999997E-2</v>
      </c>
      <c r="J3719" s="15">
        <v>0.72272727272727277</v>
      </c>
    </row>
    <row r="3720" spans="1:10" x14ac:dyDescent="0.25">
      <c r="A3720" s="2" t="s">
        <v>9585</v>
      </c>
      <c r="B3720" s="2" t="s">
        <v>7007</v>
      </c>
      <c r="C3720" s="2" t="s">
        <v>9586</v>
      </c>
      <c r="D3720" s="2" t="s">
        <v>10055</v>
      </c>
      <c r="E3720" s="15"/>
      <c r="F3720" s="15"/>
      <c r="G3720" s="15"/>
      <c r="H3720" s="15">
        <v>-3.7000000000000002E-3</v>
      </c>
      <c r="I3720" s="15">
        <v>4.3200000000000002E-2</v>
      </c>
      <c r="J3720" s="15">
        <v>-8.5648148148148154E-2</v>
      </c>
    </row>
    <row r="3721" spans="1:10" x14ac:dyDescent="0.25">
      <c r="A3721" s="2" t="s">
        <v>9587</v>
      </c>
      <c r="B3721" s="2" t="s">
        <v>7007</v>
      </c>
      <c r="C3721" s="2" t="s">
        <v>9588</v>
      </c>
      <c r="D3721" s="2" t="s">
        <v>10055</v>
      </c>
      <c r="E3721" s="15"/>
      <c r="F3721" s="15"/>
      <c r="G3721" s="15"/>
      <c r="H3721" s="15">
        <v>-3.3300000000000003E-2</v>
      </c>
      <c r="I3721" s="15">
        <v>3.9899999999999998E-2</v>
      </c>
      <c r="J3721" s="15">
        <v>-0.83458646616541365</v>
      </c>
    </row>
    <row r="3722" spans="1:10" x14ac:dyDescent="0.25">
      <c r="A3722" s="2" t="s">
        <v>9589</v>
      </c>
      <c r="B3722" s="2" t="s">
        <v>7007</v>
      </c>
      <c r="C3722" s="2" t="s">
        <v>9590</v>
      </c>
      <c r="D3722" s="2" t="s">
        <v>10055</v>
      </c>
      <c r="E3722" s="15">
        <v>9.6199999999999994E-2</v>
      </c>
      <c r="F3722" s="15">
        <v>0.1956</v>
      </c>
      <c r="G3722" s="15">
        <v>0.62270000000000003</v>
      </c>
      <c r="H3722" s="15">
        <v>3.9199999999999999E-2</v>
      </c>
      <c r="I3722" s="15">
        <v>4.2999999999999997E-2</v>
      </c>
      <c r="J3722" s="15">
        <v>0.91162790697674423</v>
      </c>
    </row>
    <row r="3723" spans="1:10" x14ac:dyDescent="0.25">
      <c r="A3723" s="2" t="s">
        <v>9591</v>
      </c>
      <c r="B3723" s="2" t="s">
        <v>7007</v>
      </c>
      <c r="C3723" s="2" t="s">
        <v>9592</v>
      </c>
      <c r="D3723" s="2" t="s">
        <v>10055</v>
      </c>
      <c r="E3723" s="15"/>
      <c r="F3723" s="15"/>
      <c r="G3723" s="15"/>
      <c r="H3723" s="15">
        <v>-9.1999999999999998E-3</v>
      </c>
      <c r="I3723" s="15">
        <v>3.7400000000000003E-2</v>
      </c>
      <c r="J3723" s="15">
        <v>-0.24598930481283421</v>
      </c>
    </row>
    <row r="3724" spans="1:10" x14ac:dyDescent="0.25">
      <c r="A3724" s="2" t="s">
        <v>9593</v>
      </c>
      <c r="B3724" s="2" t="s">
        <v>7007</v>
      </c>
      <c r="C3724" s="2" t="s">
        <v>9594</v>
      </c>
      <c r="D3724" s="2" t="s">
        <v>10055</v>
      </c>
      <c r="E3724" s="15"/>
      <c r="F3724" s="15"/>
      <c r="G3724" s="15"/>
      <c r="H3724" s="15"/>
      <c r="I3724" s="15"/>
      <c r="J3724" s="15"/>
    </row>
    <row r="3725" spans="1:10" x14ac:dyDescent="0.25">
      <c r="A3725" s="2" t="s">
        <v>9595</v>
      </c>
      <c r="B3725" s="2" t="s">
        <v>7007</v>
      </c>
      <c r="C3725" s="2" t="s">
        <v>9596</v>
      </c>
      <c r="D3725" s="2" t="s">
        <v>10055</v>
      </c>
      <c r="E3725" s="15">
        <v>7.8600000000000003E-2</v>
      </c>
      <c r="F3725" s="15">
        <v>0.69299999999999995</v>
      </c>
      <c r="G3725" s="15">
        <v>0.90969999999999995</v>
      </c>
      <c r="H3725" s="15">
        <v>9.9000000000000008E-3</v>
      </c>
      <c r="I3725" s="15">
        <v>4.36E-2</v>
      </c>
      <c r="J3725" s="15">
        <v>0.22706422018348629</v>
      </c>
    </row>
    <row r="3726" spans="1:10" x14ac:dyDescent="0.25">
      <c r="A3726" s="2" t="s">
        <v>9597</v>
      </c>
      <c r="B3726" s="2" t="s">
        <v>7007</v>
      </c>
      <c r="C3726" s="2" t="s">
        <v>9598</v>
      </c>
      <c r="D3726" s="2" t="s">
        <v>10055</v>
      </c>
      <c r="E3726" s="15">
        <v>0.31440000000000001</v>
      </c>
      <c r="F3726" s="15">
        <v>0.2009</v>
      </c>
      <c r="G3726" s="15">
        <v>0.11749999999999999</v>
      </c>
      <c r="H3726" s="15">
        <v>4.8300000000000003E-2</v>
      </c>
      <c r="I3726" s="15">
        <v>3.9600000000000003E-2</v>
      </c>
      <c r="J3726" s="15">
        <v>1.2196969696969699</v>
      </c>
    </row>
    <row r="3727" spans="1:10" x14ac:dyDescent="0.25">
      <c r="A3727" s="2" t="s">
        <v>9599</v>
      </c>
      <c r="B3727" s="2" t="s">
        <v>7007</v>
      </c>
      <c r="C3727" s="2" t="s">
        <v>9600</v>
      </c>
      <c r="D3727" s="2" t="s">
        <v>10055</v>
      </c>
      <c r="E3727" s="15"/>
      <c r="F3727" s="15"/>
      <c r="G3727" s="15"/>
      <c r="H3727" s="15">
        <v>-1.24E-2</v>
      </c>
      <c r="I3727" s="15">
        <v>3.9800000000000002E-2</v>
      </c>
      <c r="J3727" s="15">
        <v>-0.31155778894472358</v>
      </c>
    </row>
    <row r="3728" spans="1:10" x14ac:dyDescent="0.25">
      <c r="A3728" s="2" t="s">
        <v>9601</v>
      </c>
      <c r="B3728" s="2" t="s">
        <v>7007</v>
      </c>
      <c r="C3728" s="2" t="s">
        <v>9602</v>
      </c>
      <c r="D3728" s="2" t="s">
        <v>10055</v>
      </c>
      <c r="E3728" s="15">
        <v>0.34789999999999999</v>
      </c>
      <c r="F3728" s="15">
        <v>0.37130000000000002</v>
      </c>
      <c r="G3728" s="15">
        <v>0.3488</v>
      </c>
      <c r="H3728" s="15">
        <v>2.6499999999999999E-2</v>
      </c>
      <c r="I3728" s="15">
        <v>3.8699999999999998E-2</v>
      </c>
      <c r="J3728" s="15">
        <v>0.68475452196382425</v>
      </c>
    </row>
    <row r="3729" spans="1:10" x14ac:dyDescent="0.25">
      <c r="A3729" s="2" t="s">
        <v>9603</v>
      </c>
      <c r="B3729" s="2" t="s">
        <v>7007</v>
      </c>
      <c r="C3729" s="2" t="s">
        <v>9604</v>
      </c>
      <c r="D3729" s="2" t="s">
        <v>10055</v>
      </c>
      <c r="E3729" s="15"/>
      <c r="F3729" s="15"/>
      <c r="G3729" s="15"/>
      <c r="H3729" s="15"/>
      <c r="I3729" s="15"/>
      <c r="J3729" s="15"/>
    </row>
    <row r="3730" spans="1:10" x14ac:dyDescent="0.25">
      <c r="A3730" s="2" t="s">
        <v>9605</v>
      </c>
      <c r="B3730" s="2" t="s">
        <v>7007</v>
      </c>
      <c r="C3730" s="2" t="s">
        <v>9606</v>
      </c>
      <c r="D3730" s="2" t="s">
        <v>10055</v>
      </c>
      <c r="E3730" s="15">
        <v>0.20030000000000001</v>
      </c>
      <c r="F3730" s="15">
        <v>0.89090000000000003</v>
      </c>
      <c r="G3730" s="15">
        <v>0.82210000000000005</v>
      </c>
      <c r="H3730" s="15">
        <v>1.0699999999999999E-2</v>
      </c>
      <c r="I3730" s="15">
        <v>3.85E-2</v>
      </c>
      <c r="J3730" s="15">
        <v>0.2779220779220779</v>
      </c>
    </row>
    <row r="3731" spans="1:10" x14ac:dyDescent="0.25">
      <c r="A3731" s="2" t="s">
        <v>9607</v>
      </c>
      <c r="B3731" s="2" t="s">
        <v>7007</v>
      </c>
      <c r="C3731" s="2" t="s">
        <v>9608</v>
      </c>
      <c r="D3731" s="2" t="s">
        <v>10055</v>
      </c>
      <c r="E3731" s="15">
        <v>-2.4899999999999999E-2</v>
      </c>
      <c r="F3731" s="15">
        <v>0.1946</v>
      </c>
      <c r="G3731" s="15">
        <v>0.89829999999999999</v>
      </c>
      <c r="H3731" s="15">
        <v>0.04</v>
      </c>
      <c r="I3731" s="15">
        <v>4.5900000000000003E-2</v>
      </c>
      <c r="J3731" s="15">
        <v>0.87145969498910669</v>
      </c>
    </row>
    <row r="3732" spans="1:10" x14ac:dyDescent="0.25">
      <c r="A3732" s="2" t="s">
        <v>9609</v>
      </c>
      <c r="B3732" s="2" t="s">
        <v>7007</v>
      </c>
      <c r="C3732" s="2" t="s">
        <v>9610</v>
      </c>
      <c r="D3732" s="2" t="s">
        <v>10055</v>
      </c>
      <c r="E3732" s="15"/>
      <c r="F3732" s="15"/>
      <c r="G3732" s="15"/>
      <c r="H3732" s="15">
        <v>-1.5100000000000001E-2</v>
      </c>
      <c r="I3732" s="15">
        <v>4.3099999999999999E-2</v>
      </c>
      <c r="J3732" s="15">
        <v>-0.35034802784222741</v>
      </c>
    </row>
    <row r="3733" spans="1:10" x14ac:dyDescent="0.25">
      <c r="A3733" s="2" t="s">
        <v>9611</v>
      </c>
      <c r="B3733" s="2" t="s">
        <v>7007</v>
      </c>
      <c r="C3733" s="2" t="s">
        <v>9612</v>
      </c>
      <c r="D3733" s="2" t="s">
        <v>10055</v>
      </c>
      <c r="E3733" s="15"/>
      <c r="F3733" s="15"/>
      <c r="G3733" s="15"/>
      <c r="H3733" s="15"/>
      <c r="I3733" s="15"/>
      <c r="J3733" s="15"/>
    </row>
    <row r="3734" spans="1:10" x14ac:dyDescent="0.25">
      <c r="A3734" s="2" t="s">
        <v>9613</v>
      </c>
      <c r="B3734" s="2" t="s">
        <v>7007</v>
      </c>
      <c r="C3734" s="2" t="s">
        <v>9614</v>
      </c>
      <c r="D3734" s="2" t="s">
        <v>10055</v>
      </c>
      <c r="E3734" s="15">
        <v>0.26910000000000001</v>
      </c>
      <c r="F3734" s="15">
        <v>0.20100000000000001</v>
      </c>
      <c r="G3734" s="15">
        <v>0.18079999999999999</v>
      </c>
      <c r="H3734" s="15">
        <v>4.9399999999999999E-2</v>
      </c>
      <c r="I3734" s="15">
        <v>4.2599999999999999E-2</v>
      </c>
      <c r="J3734" s="15">
        <v>1.15962441314554</v>
      </c>
    </row>
    <row r="3735" spans="1:10" x14ac:dyDescent="0.25">
      <c r="A3735" s="2" t="s">
        <v>9615</v>
      </c>
      <c r="B3735" s="2" t="s">
        <v>7007</v>
      </c>
      <c r="C3735" s="2" t="s">
        <v>9616</v>
      </c>
      <c r="D3735" s="2" t="s">
        <v>10055</v>
      </c>
      <c r="E3735" s="15"/>
      <c r="F3735" s="15"/>
      <c r="G3735" s="15"/>
      <c r="H3735" s="15">
        <v>-5.0099999999999999E-2</v>
      </c>
      <c r="I3735" s="15">
        <v>3.78E-2</v>
      </c>
      <c r="J3735" s="15">
        <v>-1.3253968253968249</v>
      </c>
    </row>
    <row r="3736" spans="1:10" x14ac:dyDescent="0.25">
      <c r="A3736" s="2" t="s">
        <v>9617</v>
      </c>
      <c r="B3736" s="2" t="s">
        <v>7007</v>
      </c>
      <c r="C3736" s="2" t="s">
        <v>9618</v>
      </c>
      <c r="D3736" s="2" t="s">
        <v>10055</v>
      </c>
      <c r="E3736" s="15"/>
      <c r="F3736" s="15"/>
      <c r="G3736" s="15"/>
      <c r="H3736" s="15"/>
      <c r="I3736" s="15"/>
      <c r="J3736" s="15"/>
    </row>
    <row r="3737" spans="1:10" x14ac:dyDescent="0.25">
      <c r="A3737" s="2" t="s">
        <v>9619</v>
      </c>
      <c r="B3737" s="2" t="s">
        <v>7007</v>
      </c>
      <c r="C3737" s="2" t="s">
        <v>9620</v>
      </c>
      <c r="D3737" s="2" t="s">
        <v>10055</v>
      </c>
      <c r="E3737" s="15"/>
      <c r="F3737" s="15"/>
      <c r="G3737" s="15"/>
      <c r="H3737" s="15">
        <v>-6.4999999999999997E-3</v>
      </c>
      <c r="I3737" s="15">
        <v>4.24E-2</v>
      </c>
      <c r="J3737" s="15">
        <v>-0.1533018867924528</v>
      </c>
    </row>
    <row r="3738" spans="1:10" x14ac:dyDescent="0.25">
      <c r="A3738" s="2" t="s">
        <v>9621</v>
      </c>
      <c r="B3738" s="2" t="s">
        <v>7007</v>
      </c>
      <c r="C3738" s="2" t="s">
        <v>9622</v>
      </c>
      <c r="D3738" s="2" t="s">
        <v>10055</v>
      </c>
      <c r="E3738" s="15"/>
      <c r="F3738" s="15"/>
      <c r="G3738" s="15"/>
      <c r="H3738" s="15">
        <v>-7.4200000000000002E-2</v>
      </c>
      <c r="I3738" s="15">
        <v>3.95E-2</v>
      </c>
      <c r="J3738" s="15">
        <v>-1.8784810126582281</v>
      </c>
    </row>
    <row r="3739" spans="1:10" x14ac:dyDescent="0.25">
      <c r="A3739" s="2" t="s">
        <v>9623</v>
      </c>
      <c r="B3739" s="2" t="s">
        <v>7007</v>
      </c>
      <c r="C3739" s="2" t="s">
        <v>9624</v>
      </c>
      <c r="D3739" s="2" t="s">
        <v>10055</v>
      </c>
      <c r="E3739" s="15"/>
      <c r="F3739" s="15"/>
      <c r="G3739" s="15"/>
      <c r="H3739" s="15">
        <v>-3.3500000000000002E-2</v>
      </c>
      <c r="I3739" s="15">
        <v>4.0399999999999998E-2</v>
      </c>
      <c r="J3739" s="15">
        <v>-0.82920792079207928</v>
      </c>
    </row>
    <row r="3740" spans="1:10" x14ac:dyDescent="0.25">
      <c r="A3740" s="2" t="s">
        <v>9625</v>
      </c>
      <c r="B3740" s="2" t="s">
        <v>7007</v>
      </c>
      <c r="C3740" s="2" t="s">
        <v>9626</v>
      </c>
      <c r="D3740" s="2" t="s">
        <v>10055</v>
      </c>
      <c r="E3740" s="15"/>
      <c r="F3740" s="15"/>
      <c r="G3740" s="15"/>
      <c r="H3740" s="15"/>
      <c r="I3740" s="15"/>
      <c r="J3740" s="15"/>
    </row>
    <row r="3741" spans="1:10" x14ac:dyDescent="0.25">
      <c r="A3741" s="2" t="s">
        <v>9627</v>
      </c>
      <c r="B3741" s="2" t="s">
        <v>7007</v>
      </c>
      <c r="C3741" s="2" t="s">
        <v>9628</v>
      </c>
      <c r="D3741" s="2" t="s">
        <v>10055</v>
      </c>
      <c r="E3741" s="15"/>
      <c r="F3741" s="15"/>
      <c r="G3741" s="15"/>
      <c r="H3741" s="15">
        <v>-4.9599999999999998E-2</v>
      </c>
      <c r="I3741" s="15">
        <v>3.6900000000000002E-2</v>
      </c>
      <c r="J3741" s="15">
        <v>-1.3441734417344171</v>
      </c>
    </row>
    <row r="3742" spans="1:10" x14ac:dyDescent="0.25">
      <c r="A3742" s="2" t="s">
        <v>9629</v>
      </c>
      <c r="B3742" s="2" t="s">
        <v>7007</v>
      </c>
      <c r="C3742" s="2" t="s">
        <v>9630</v>
      </c>
      <c r="D3742" s="2" t="s">
        <v>10055</v>
      </c>
      <c r="E3742" s="15">
        <v>-4.48E-2</v>
      </c>
      <c r="F3742" s="15">
        <v>0.1512</v>
      </c>
      <c r="G3742" s="15">
        <v>0.7671</v>
      </c>
      <c r="H3742" s="15">
        <v>4.4600000000000001E-2</v>
      </c>
      <c r="I3742" s="15">
        <v>3.7999999999999999E-2</v>
      </c>
      <c r="J3742" s="15">
        <v>1.1736842105263161</v>
      </c>
    </row>
    <row r="3743" spans="1:10" x14ac:dyDescent="0.25">
      <c r="A3743" s="2" t="s">
        <v>9631</v>
      </c>
      <c r="B3743" s="2" t="s">
        <v>7007</v>
      </c>
      <c r="C3743" s="2" t="s">
        <v>9632</v>
      </c>
      <c r="D3743" s="2" t="s">
        <v>10055</v>
      </c>
      <c r="E3743" s="15"/>
      <c r="F3743" s="15"/>
      <c r="G3743" s="15"/>
      <c r="H3743" s="15">
        <v>-2.3300000000000001E-2</v>
      </c>
      <c r="I3743" s="15">
        <v>4.1799999999999997E-2</v>
      </c>
      <c r="J3743" s="15">
        <v>-0.55741626794258381</v>
      </c>
    </row>
    <row r="3744" spans="1:10" x14ac:dyDescent="0.25">
      <c r="A3744" s="2" t="s">
        <v>9633</v>
      </c>
      <c r="B3744" s="2" t="s">
        <v>7007</v>
      </c>
      <c r="C3744" s="2" t="s">
        <v>9634</v>
      </c>
      <c r="D3744" s="2" t="s">
        <v>10055</v>
      </c>
      <c r="E3744" s="15"/>
      <c r="F3744" s="15"/>
      <c r="G3744" s="15"/>
      <c r="H3744" s="15">
        <v>-8.8000000000000005E-3</v>
      </c>
      <c r="I3744" s="15">
        <v>4.02E-2</v>
      </c>
      <c r="J3744" s="15">
        <v>-0.2189054726368159</v>
      </c>
    </row>
    <row r="3745" spans="1:10" x14ac:dyDescent="0.25">
      <c r="A3745" s="2" t="s">
        <v>9635</v>
      </c>
      <c r="B3745" s="2" t="s">
        <v>7007</v>
      </c>
      <c r="C3745" s="2" t="s">
        <v>9636</v>
      </c>
      <c r="D3745" s="2" t="s">
        <v>10055</v>
      </c>
      <c r="E3745" s="15"/>
      <c r="F3745" s="15"/>
      <c r="G3745" s="15"/>
      <c r="H3745" s="15">
        <v>-2.2000000000000001E-3</v>
      </c>
      <c r="I3745" s="15">
        <v>4.07E-2</v>
      </c>
      <c r="J3745" s="15">
        <v>-5.4054054054054057E-2</v>
      </c>
    </row>
    <row r="3746" spans="1:10" x14ac:dyDescent="0.25">
      <c r="A3746" s="2" t="s">
        <v>9637</v>
      </c>
      <c r="B3746" s="2" t="s">
        <v>7007</v>
      </c>
      <c r="C3746" s="2" t="s">
        <v>9638</v>
      </c>
      <c r="D3746" s="2" t="s">
        <v>10055</v>
      </c>
      <c r="E3746" s="15"/>
      <c r="F3746" s="15"/>
      <c r="G3746" s="15"/>
      <c r="H3746" s="15">
        <v>-8.3599999999999994E-2</v>
      </c>
      <c r="I3746" s="15">
        <v>3.9100000000000003E-2</v>
      </c>
      <c r="J3746" s="15">
        <v>-2.1381074168797949</v>
      </c>
    </row>
    <row r="3747" spans="1:10" x14ac:dyDescent="0.25">
      <c r="A3747" s="2" t="s">
        <v>9639</v>
      </c>
      <c r="B3747" s="2" t="s">
        <v>7007</v>
      </c>
      <c r="C3747" s="2" t="s">
        <v>9640</v>
      </c>
      <c r="D3747" s="2" t="s">
        <v>10055</v>
      </c>
      <c r="E3747" s="15"/>
      <c r="F3747" s="15"/>
      <c r="G3747" s="15"/>
      <c r="H3747" s="15">
        <v>-3.0599999999999999E-2</v>
      </c>
      <c r="I3747" s="15">
        <v>4.2900000000000001E-2</v>
      </c>
      <c r="J3747" s="15">
        <v>-0.71328671328671323</v>
      </c>
    </row>
    <row r="3748" spans="1:10" x14ac:dyDescent="0.25">
      <c r="A3748" s="2" t="s">
        <v>9641</v>
      </c>
      <c r="B3748" s="2" t="s">
        <v>7007</v>
      </c>
      <c r="C3748" s="2" t="s">
        <v>9642</v>
      </c>
      <c r="D3748" s="2" t="s">
        <v>10055</v>
      </c>
      <c r="E3748" s="15">
        <v>-6.7799999999999999E-2</v>
      </c>
      <c r="F3748" s="15">
        <v>0.26669999999999999</v>
      </c>
      <c r="G3748" s="15">
        <v>0.79920000000000002</v>
      </c>
      <c r="H3748" s="15">
        <v>2.4199999999999999E-2</v>
      </c>
      <c r="I3748" s="15">
        <v>4.5999999999999999E-2</v>
      </c>
      <c r="J3748" s="15">
        <v>0.52608695652173909</v>
      </c>
    </row>
    <row r="3749" spans="1:10" x14ac:dyDescent="0.25">
      <c r="A3749" s="2" t="s">
        <v>9643</v>
      </c>
      <c r="B3749" s="2" t="s">
        <v>7007</v>
      </c>
      <c r="C3749" s="2" t="s">
        <v>9644</v>
      </c>
      <c r="D3749" s="2" t="s">
        <v>10055</v>
      </c>
      <c r="E3749" s="15">
        <v>0.28129999999999999</v>
      </c>
      <c r="F3749" s="15">
        <v>0.48139999999999999</v>
      </c>
      <c r="G3749" s="15">
        <v>0.55900000000000005</v>
      </c>
      <c r="H3749" s="15">
        <v>1.9800000000000002E-2</v>
      </c>
      <c r="I3749" s="15">
        <v>4.2099999999999999E-2</v>
      </c>
      <c r="J3749" s="15">
        <v>0.47030878859857489</v>
      </c>
    </row>
    <row r="3750" spans="1:10" x14ac:dyDescent="0.25">
      <c r="A3750" s="2" t="s">
        <v>9645</v>
      </c>
      <c r="B3750" s="2" t="s">
        <v>7007</v>
      </c>
      <c r="C3750" s="2" t="s">
        <v>9646</v>
      </c>
      <c r="D3750" s="2" t="s">
        <v>10055</v>
      </c>
      <c r="E3750" s="15"/>
      <c r="F3750" s="15"/>
      <c r="G3750" s="15"/>
      <c r="H3750" s="15">
        <v>-3.7000000000000002E-3</v>
      </c>
      <c r="I3750" s="15">
        <v>4.5400000000000003E-2</v>
      </c>
      <c r="J3750" s="15">
        <v>-8.1497797356828189E-2</v>
      </c>
    </row>
    <row r="3751" spans="1:10" x14ac:dyDescent="0.25">
      <c r="A3751" s="2" t="s">
        <v>9647</v>
      </c>
      <c r="B3751" s="2" t="s">
        <v>7007</v>
      </c>
      <c r="C3751" s="2" t="s">
        <v>9648</v>
      </c>
      <c r="D3751" s="2" t="s">
        <v>10055</v>
      </c>
      <c r="E3751" s="15">
        <v>0.2324</v>
      </c>
      <c r="F3751" s="15">
        <v>0.83650000000000002</v>
      </c>
      <c r="G3751" s="15">
        <v>0.78120000000000001</v>
      </c>
      <c r="H3751" s="15">
        <v>1.2500000000000001E-2</v>
      </c>
      <c r="I3751" s="15">
        <v>4.58E-2</v>
      </c>
      <c r="J3751" s="15">
        <v>0.27292576419213982</v>
      </c>
    </row>
    <row r="3752" spans="1:10" x14ac:dyDescent="0.25">
      <c r="A3752" s="2" t="s">
        <v>9649</v>
      </c>
      <c r="B3752" s="2" t="s">
        <v>7007</v>
      </c>
      <c r="C3752" s="2" t="s">
        <v>9650</v>
      </c>
      <c r="D3752" s="2" t="s">
        <v>10055</v>
      </c>
      <c r="E3752" s="15">
        <v>0.32800000000000001</v>
      </c>
      <c r="F3752" s="15">
        <v>0.53339999999999999</v>
      </c>
      <c r="G3752" s="15">
        <v>0.53859999999999997</v>
      </c>
      <c r="H3752" s="15">
        <v>2.0199999999999999E-2</v>
      </c>
      <c r="I3752" s="15">
        <v>4.58E-2</v>
      </c>
      <c r="J3752" s="15">
        <v>0.44104803493449779</v>
      </c>
    </row>
    <row r="3753" spans="1:10" x14ac:dyDescent="0.25">
      <c r="A3753" s="2" t="s">
        <v>9651</v>
      </c>
      <c r="B3753" s="2" t="s">
        <v>7007</v>
      </c>
      <c r="C3753" s="2" t="s">
        <v>9652</v>
      </c>
      <c r="D3753" s="2" t="s">
        <v>10055</v>
      </c>
      <c r="E3753" s="15"/>
      <c r="F3753" s="15"/>
      <c r="G3753" s="15"/>
      <c r="H3753" s="15"/>
      <c r="I3753" s="15"/>
      <c r="J3753" s="15"/>
    </row>
    <row r="3754" spans="1:10" x14ac:dyDescent="0.25">
      <c r="A3754" s="2" t="s">
        <v>9653</v>
      </c>
      <c r="B3754" s="2" t="s">
        <v>7007</v>
      </c>
      <c r="C3754" s="2" t="s">
        <v>9654</v>
      </c>
      <c r="D3754" s="2" t="s">
        <v>10055</v>
      </c>
      <c r="E3754" s="15"/>
      <c r="F3754" s="15"/>
      <c r="G3754" s="15"/>
      <c r="H3754" s="15"/>
      <c r="I3754" s="15"/>
      <c r="J3754" s="15"/>
    </row>
    <row r="3755" spans="1:10" x14ac:dyDescent="0.25">
      <c r="A3755" s="2" t="s">
        <v>9655</v>
      </c>
      <c r="B3755" s="2" t="s">
        <v>7007</v>
      </c>
      <c r="C3755" s="2" t="s">
        <v>9656</v>
      </c>
      <c r="D3755" s="2" t="s">
        <v>10055</v>
      </c>
      <c r="E3755" s="15"/>
      <c r="F3755" s="15"/>
      <c r="G3755" s="15"/>
      <c r="H3755" s="15"/>
      <c r="I3755" s="15"/>
      <c r="J3755" s="15"/>
    </row>
    <row r="3756" spans="1:10" x14ac:dyDescent="0.25">
      <c r="A3756" s="2" t="s">
        <v>9657</v>
      </c>
      <c r="B3756" s="2" t="s">
        <v>7007</v>
      </c>
      <c r="C3756" s="2" t="s">
        <v>9658</v>
      </c>
      <c r="D3756" s="2" t="s">
        <v>10055</v>
      </c>
      <c r="E3756" s="15">
        <v>0.1128</v>
      </c>
      <c r="F3756" s="15">
        <v>0.184</v>
      </c>
      <c r="G3756" s="15">
        <v>0.53990000000000005</v>
      </c>
      <c r="H3756" s="15">
        <v>4.48E-2</v>
      </c>
      <c r="I3756" s="15">
        <v>4.1099999999999998E-2</v>
      </c>
      <c r="J3756" s="15">
        <v>1.0900243309002431</v>
      </c>
    </row>
    <row r="3757" spans="1:10" x14ac:dyDescent="0.25">
      <c r="A3757" s="2" t="s">
        <v>9659</v>
      </c>
      <c r="B3757" s="2" t="s">
        <v>7007</v>
      </c>
      <c r="C3757" s="2" t="s">
        <v>9660</v>
      </c>
      <c r="D3757" s="2" t="s">
        <v>10055</v>
      </c>
      <c r="E3757" s="15">
        <v>0.44390000000000002</v>
      </c>
      <c r="F3757" s="15">
        <v>0.91139999999999999</v>
      </c>
      <c r="G3757" s="15">
        <v>0.62619999999999998</v>
      </c>
      <c r="H3757" s="15">
        <v>1.32E-2</v>
      </c>
      <c r="I3757" s="15">
        <v>4.2099999999999999E-2</v>
      </c>
      <c r="J3757" s="15">
        <v>0.31353919239904993</v>
      </c>
    </row>
    <row r="3758" spans="1:10" x14ac:dyDescent="0.25">
      <c r="A3758" s="2" t="s">
        <v>9661</v>
      </c>
      <c r="B3758" s="2" t="s">
        <v>7007</v>
      </c>
      <c r="C3758" s="2" t="s">
        <v>9662</v>
      </c>
      <c r="D3758" s="2" t="s">
        <v>10055</v>
      </c>
      <c r="E3758" s="15">
        <v>-0.1021</v>
      </c>
      <c r="F3758" s="15">
        <v>0.1762</v>
      </c>
      <c r="G3758" s="15">
        <v>0.56230000000000002</v>
      </c>
      <c r="H3758" s="15">
        <v>4.3200000000000002E-2</v>
      </c>
      <c r="I3758" s="15">
        <v>4.3200000000000002E-2</v>
      </c>
      <c r="J3758" s="15">
        <v>1</v>
      </c>
    </row>
    <row r="3759" spans="1:10" x14ac:dyDescent="0.25">
      <c r="A3759" s="2" t="s">
        <v>9663</v>
      </c>
      <c r="B3759" s="2" t="s">
        <v>7007</v>
      </c>
      <c r="C3759" s="2" t="s">
        <v>9664</v>
      </c>
      <c r="D3759" s="2" t="s">
        <v>10055</v>
      </c>
      <c r="E3759" s="15"/>
      <c r="F3759" s="15"/>
      <c r="G3759" s="15"/>
      <c r="H3759" s="15"/>
      <c r="I3759" s="15"/>
      <c r="J3759" s="15"/>
    </row>
    <row r="3760" spans="1:10" x14ac:dyDescent="0.25">
      <c r="A3760" s="2" t="s">
        <v>9665</v>
      </c>
      <c r="B3760" s="2" t="s">
        <v>7007</v>
      </c>
      <c r="C3760" s="2" t="s">
        <v>9666</v>
      </c>
      <c r="D3760" s="2" t="s">
        <v>10055</v>
      </c>
      <c r="E3760" s="15"/>
      <c r="F3760" s="15"/>
      <c r="G3760" s="15"/>
      <c r="H3760" s="15">
        <v>-4.9399999999999999E-2</v>
      </c>
      <c r="I3760" s="15">
        <v>4.2099999999999999E-2</v>
      </c>
      <c r="J3760" s="15">
        <v>-1.173396674584323</v>
      </c>
    </row>
    <row r="3761" spans="1:10" x14ac:dyDescent="0.25">
      <c r="A3761" s="2" t="s">
        <v>9667</v>
      </c>
      <c r="B3761" s="2" t="s">
        <v>7007</v>
      </c>
      <c r="C3761" s="2" t="s">
        <v>9668</v>
      </c>
      <c r="D3761" s="2" t="s">
        <v>10055</v>
      </c>
      <c r="E3761" s="15">
        <v>6.0400000000000002E-2</v>
      </c>
      <c r="F3761" s="15">
        <v>0.33889999999999998</v>
      </c>
      <c r="G3761" s="15">
        <v>0.85850000000000004</v>
      </c>
      <c r="H3761" s="15">
        <v>1.41E-2</v>
      </c>
      <c r="I3761" s="15">
        <v>4.0500000000000001E-2</v>
      </c>
      <c r="J3761" s="15">
        <v>0.34814814814814821</v>
      </c>
    </row>
    <row r="3762" spans="1:10" x14ac:dyDescent="0.25">
      <c r="A3762" s="2" t="s">
        <v>9669</v>
      </c>
      <c r="B3762" s="2" t="s">
        <v>7007</v>
      </c>
      <c r="C3762" s="2" t="s">
        <v>9670</v>
      </c>
      <c r="D3762" s="2" t="s">
        <v>10055</v>
      </c>
      <c r="E3762" s="15"/>
      <c r="F3762" s="15"/>
      <c r="G3762" s="15"/>
      <c r="H3762" s="15">
        <v>-1.6999999999999999E-3</v>
      </c>
      <c r="I3762" s="15">
        <v>3.9699999999999999E-2</v>
      </c>
      <c r="J3762" s="15">
        <v>-4.2821158690176317E-2</v>
      </c>
    </row>
    <row r="3763" spans="1:10" x14ac:dyDescent="0.25">
      <c r="A3763" s="2" t="s">
        <v>9671</v>
      </c>
      <c r="B3763" s="2" t="s">
        <v>7007</v>
      </c>
      <c r="C3763" s="2" t="s">
        <v>9672</v>
      </c>
      <c r="D3763" s="2" t="s">
        <v>10055</v>
      </c>
      <c r="E3763" s="15">
        <v>2.2000000000000001E-3</v>
      </c>
      <c r="F3763" s="15">
        <v>0.1797</v>
      </c>
      <c r="G3763" s="15">
        <v>0.99039999999999995</v>
      </c>
      <c r="H3763" s="15">
        <v>3.78E-2</v>
      </c>
      <c r="I3763" s="15">
        <v>4.5199999999999997E-2</v>
      </c>
      <c r="J3763" s="15">
        <v>0.83628318584070804</v>
      </c>
    </row>
    <row r="3764" spans="1:10" x14ac:dyDescent="0.25">
      <c r="A3764" s="2" t="s">
        <v>9673</v>
      </c>
      <c r="B3764" s="2" t="s">
        <v>7007</v>
      </c>
      <c r="C3764" s="2" t="s">
        <v>9674</v>
      </c>
      <c r="D3764" s="2" t="s">
        <v>10055</v>
      </c>
      <c r="E3764" s="15"/>
      <c r="F3764" s="15"/>
      <c r="G3764" s="15"/>
      <c r="H3764" s="15">
        <v>-3.6700000000000003E-2</v>
      </c>
      <c r="I3764" s="15">
        <v>3.8199999999999998E-2</v>
      </c>
      <c r="J3764" s="15">
        <v>-0.96073298429319387</v>
      </c>
    </row>
    <row r="3765" spans="1:10" x14ac:dyDescent="0.25">
      <c r="A3765" s="2" t="s">
        <v>9675</v>
      </c>
      <c r="B3765" s="2" t="s">
        <v>7007</v>
      </c>
      <c r="C3765" s="2" t="s">
        <v>9676</v>
      </c>
      <c r="D3765" s="2" t="s">
        <v>10055</v>
      </c>
      <c r="E3765" s="15">
        <v>0.29339999999999999</v>
      </c>
      <c r="F3765" s="15">
        <v>0.33689999999999998</v>
      </c>
      <c r="G3765" s="15">
        <v>0.38379999999999997</v>
      </c>
      <c r="H3765" s="15">
        <v>2.46E-2</v>
      </c>
      <c r="I3765" s="15">
        <v>4.0500000000000001E-2</v>
      </c>
      <c r="J3765" s="15">
        <v>0.6074074074074074</v>
      </c>
    </row>
    <row r="3766" spans="1:10" x14ac:dyDescent="0.25">
      <c r="A3766" s="2" t="s">
        <v>9677</v>
      </c>
      <c r="B3766" s="2" t="s">
        <v>7007</v>
      </c>
      <c r="C3766" s="2" t="s">
        <v>9678</v>
      </c>
      <c r="D3766" s="2" t="s">
        <v>10055</v>
      </c>
      <c r="E3766" s="15">
        <v>-3.4700000000000002E-2</v>
      </c>
      <c r="F3766" s="15">
        <v>0.1</v>
      </c>
      <c r="G3766" s="15">
        <v>0.7288</v>
      </c>
      <c r="H3766" s="15">
        <v>0.1142</v>
      </c>
      <c r="I3766" s="15">
        <v>4.9000000000000002E-2</v>
      </c>
      <c r="J3766" s="15">
        <v>2.3306122448979592</v>
      </c>
    </row>
    <row r="3767" spans="1:10" x14ac:dyDescent="0.25">
      <c r="A3767" s="2" t="s">
        <v>9679</v>
      </c>
      <c r="B3767" s="2" t="s">
        <v>7007</v>
      </c>
      <c r="C3767" s="2" t="s">
        <v>9680</v>
      </c>
      <c r="D3767" s="2" t="s">
        <v>10055</v>
      </c>
      <c r="E3767" s="15"/>
      <c r="F3767" s="15"/>
      <c r="G3767" s="15"/>
      <c r="H3767" s="15">
        <v>-5.5599999999999997E-2</v>
      </c>
      <c r="I3767" s="15">
        <v>4.0500000000000001E-2</v>
      </c>
      <c r="J3767" s="15">
        <v>-1.3728395061728389</v>
      </c>
    </row>
    <row r="3768" spans="1:10" x14ac:dyDescent="0.25">
      <c r="A3768" s="2" t="s">
        <v>9681</v>
      </c>
      <c r="B3768" s="2" t="s">
        <v>7007</v>
      </c>
      <c r="C3768" s="2" t="s">
        <v>9682</v>
      </c>
      <c r="D3768" s="2" t="s">
        <v>10055</v>
      </c>
      <c r="E3768" s="15"/>
      <c r="F3768" s="15"/>
      <c r="G3768" s="15"/>
      <c r="H3768" s="15">
        <v>-2.5000000000000001E-2</v>
      </c>
      <c r="I3768" s="15">
        <v>3.85E-2</v>
      </c>
      <c r="J3768" s="15">
        <v>-0.64935064935064934</v>
      </c>
    </row>
    <row r="3769" spans="1:10" x14ac:dyDescent="0.25">
      <c r="A3769" s="2" t="s">
        <v>9683</v>
      </c>
      <c r="B3769" s="2" t="s">
        <v>7007</v>
      </c>
      <c r="C3769" s="2" t="s">
        <v>9684</v>
      </c>
      <c r="D3769" s="2" t="s">
        <v>10055</v>
      </c>
      <c r="E3769" s="15">
        <v>-7.6200000000000004E-2</v>
      </c>
      <c r="F3769" s="15">
        <v>0.12189999999999999</v>
      </c>
      <c r="G3769" s="15">
        <v>0.53190000000000004</v>
      </c>
      <c r="H3769" s="15">
        <v>9.4799999999999995E-2</v>
      </c>
      <c r="I3769" s="15">
        <v>4.3200000000000002E-2</v>
      </c>
      <c r="J3769" s="15">
        <v>2.1944444444444442</v>
      </c>
    </row>
    <row r="3770" spans="1:10" x14ac:dyDescent="0.25">
      <c r="A3770" s="2" t="s">
        <v>9685</v>
      </c>
      <c r="B3770" s="2" t="s">
        <v>7007</v>
      </c>
      <c r="C3770" s="2" t="s">
        <v>9686</v>
      </c>
      <c r="D3770" s="2" t="s">
        <v>10055</v>
      </c>
      <c r="E3770" s="15">
        <v>-0.1046</v>
      </c>
      <c r="F3770" s="15">
        <v>0.15559999999999999</v>
      </c>
      <c r="G3770" s="15">
        <v>0.50149999999999995</v>
      </c>
      <c r="H3770" s="15">
        <v>5.7500000000000002E-2</v>
      </c>
      <c r="I3770" s="15">
        <v>4.0899999999999999E-2</v>
      </c>
      <c r="J3770" s="15">
        <v>1.4058679706601469</v>
      </c>
    </row>
    <row r="3771" spans="1:10" x14ac:dyDescent="0.25">
      <c r="A3771" s="2" t="s">
        <v>9687</v>
      </c>
      <c r="B3771" s="2" t="s">
        <v>7007</v>
      </c>
      <c r="C3771" s="2" t="s">
        <v>9688</v>
      </c>
      <c r="D3771" s="2" t="s">
        <v>10055</v>
      </c>
      <c r="E3771" s="15">
        <v>3.9100000000000003E-2</v>
      </c>
      <c r="F3771" s="15">
        <v>0.11219999999999999</v>
      </c>
      <c r="G3771" s="15">
        <v>0.72770000000000001</v>
      </c>
      <c r="H3771" s="15">
        <v>0.1086</v>
      </c>
      <c r="I3771" s="15">
        <v>4.24E-2</v>
      </c>
      <c r="J3771" s="15">
        <v>2.5613207547169812</v>
      </c>
    </row>
    <row r="3772" spans="1:10" x14ac:dyDescent="0.25">
      <c r="A3772" s="2" t="s">
        <v>9689</v>
      </c>
      <c r="B3772" s="2" t="s">
        <v>7007</v>
      </c>
      <c r="C3772" s="2" t="s">
        <v>9690</v>
      </c>
      <c r="D3772" s="2" t="s">
        <v>10055</v>
      </c>
      <c r="E3772" s="15">
        <v>-0.35870000000000002</v>
      </c>
      <c r="F3772" s="15">
        <v>0.42109999999999997</v>
      </c>
      <c r="G3772" s="15">
        <v>0.39429999999999998</v>
      </c>
      <c r="H3772" s="15">
        <v>2.6100000000000002E-2</v>
      </c>
      <c r="I3772" s="15">
        <v>4.2599999999999999E-2</v>
      </c>
      <c r="J3772" s="15">
        <v>0.61267605633802824</v>
      </c>
    </row>
    <row r="3773" spans="1:10" x14ac:dyDescent="0.25">
      <c r="A3773" s="2" t="s">
        <v>9691</v>
      </c>
      <c r="B3773" s="2" t="s">
        <v>7007</v>
      </c>
      <c r="C3773" s="2" t="s">
        <v>9692</v>
      </c>
      <c r="D3773" s="2" t="s">
        <v>10055</v>
      </c>
      <c r="E3773" s="15"/>
      <c r="F3773" s="15"/>
      <c r="G3773" s="15"/>
      <c r="H3773" s="15">
        <v>-5.1200000000000002E-2</v>
      </c>
      <c r="I3773" s="15">
        <v>3.61E-2</v>
      </c>
      <c r="J3773" s="15">
        <v>-1.4182825484764541</v>
      </c>
    </row>
    <row r="3774" spans="1:10" x14ac:dyDescent="0.25">
      <c r="A3774" s="2" t="s">
        <v>9693</v>
      </c>
      <c r="B3774" s="2" t="s">
        <v>7007</v>
      </c>
      <c r="C3774" s="2" t="s">
        <v>9694</v>
      </c>
      <c r="D3774" s="2" t="s">
        <v>10055</v>
      </c>
      <c r="E3774" s="15"/>
      <c r="F3774" s="15"/>
      <c r="G3774" s="15"/>
      <c r="H3774" s="15">
        <v>-1.2999999999999999E-2</v>
      </c>
      <c r="I3774" s="15">
        <v>4.2200000000000001E-2</v>
      </c>
      <c r="J3774" s="15">
        <v>-0.30805687203791471</v>
      </c>
    </row>
    <row r="3775" spans="1:10" x14ac:dyDescent="0.25">
      <c r="A3775" s="2" t="s">
        <v>9695</v>
      </c>
      <c r="B3775" s="2" t="s">
        <v>7007</v>
      </c>
      <c r="C3775" s="2" t="s">
        <v>9696</v>
      </c>
      <c r="D3775" s="2" t="s">
        <v>10055</v>
      </c>
      <c r="E3775" s="15">
        <v>-6.13E-2</v>
      </c>
      <c r="F3775" s="15">
        <v>9.2899999999999996E-2</v>
      </c>
      <c r="G3775" s="15">
        <v>0.50929999999999997</v>
      </c>
      <c r="H3775" s="15">
        <v>0.13270000000000001</v>
      </c>
      <c r="I3775" s="15">
        <v>4.3400000000000001E-2</v>
      </c>
      <c r="J3775" s="15">
        <v>3.0576036866359448</v>
      </c>
    </row>
    <row r="3776" spans="1:10" x14ac:dyDescent="0.25">
      <c r="A3776" s="2" t="s">
        <v>9697</v>
      </c>
      <c r="B3776" s="2" t="s">
        <v>7007</v>
      </c>
      <c r="C3776" s="2" t="s">
        <v>9698</v>
      </c>
      <c r="D3776" s="2" t="s">
        <v>10055</v>
      </c>
      <c r="E3776" s="15">
        <v>0.1018</v>
      </c>
      <c r="F3776" s="15">
        <v>0.15490000000000001</v>
      </c>
      <c r="G3776" s="15">
        <v>0.51119999999999999</v>
      </c>
      <c r="H3776" s="15">
        <v>4.36E-2</v>
      </c>
      <c r="I3776" s="15">
        <v>4.0500000000000001E-2</v>
      </c>
      <c r="J3776" s="15">
        <v>1.0765432098765431</v>
      </c>
    </row>
    <row r="3777" spans="1:10" x14ac:dyDescent="0.25">
      <c r="A3777" s="2" t="s">
        <v>9699</v>
      </c>
      <c r="B3777" s="2" t="s">
        <v>7007</v>
      </c>
      <c r="C3777" s="2" t="s">
        <v>9700</v>
      </c>
      <c r="D3777" s="2" t="s">
        <v>10055</v>
      </c>
      <c r="E3777" s="15">
        <v>-0.28189999999999998</v>
      </c>
      <c r="F3777" s="15">
        <v>0.1671</v>
      </c>
      <c r="G3777" s="15">
        <v>9.1700000000000004E-2</v>
      </c>
      <c r="H3777" s="15">
        <v>6.1199999999999997E-2</v>
      </c>
      <c r="I3777" s="15">
        <v>4.3900000000000002E-2</v>
      </c>
      <c r="J3777" s="15">
        <v>1.394077448747153</v>
      </c>
    </row>
    <row r="3778" spans="1:10" x14ac:dyDescent="0.25">
      <c r="A3778" s="2" t="s">
        <v>9701</v>
      </c>
      <c r="B3778" s="2" t="s">
        <v>7007</v>
      </c>
      <c r="C3778" s="2" t="s">
        <v>9702</v>
      </c>
      <c r="D3778" s="2" t="s">
        <v>10055</v>
      </c>
      <c r="E3778" s="15">
        <v>0.1492</v>
      </c>
      <c r="F3778" s="15">
        <v>0.18820000000000001</v>
      </c>
      <c r="G3778" s="15">
        <v>0.42770000000000002</v>
      </c>
      <c r="H3778" s="15">
        <v>4.3099999999999999E-2</v>
      </c>
      <c r="I3778" s="15">
        <v>4.1500000000000002E-2</v>
      </c>
      <c r="J3778" s="15">
        <v>1.03855421686747</v>
      </c>
    </row>
    <row r="3779" spans="1:10" x14ac:dyDescent="0.25">
      <c r="A3779" s="2" t="s">
        <v>9703</v>
      </c>
      <c r="B3779" s="2" t="s">
        <v>7007</v>
      </c>
      <c r="C3779" s="2" t="s">
        <v>9704</v>
      </c>
      <c r="D3779" s="2" t="s">
        <v>10055</v>
      </c>
      <c r="E3779" s="15"/>
      <c r="F3779" s="15"/>
      <c r="G3779" s="15"/>
      <c r="H3779" s="15"/>
      <c r="I3779" s="15"/>
      <c r="J3779" s="15"/>
    </row>
    <row r="3780" spans="1:10" x14ac:dyDescent="0.25">
      <c r="A3780" s="2" t="s">
        <v>9705</v>
      </c>
      <c r="B3780" s="2" t="s">
        <v>7007</v>
      </c>
      <c r="C3780" s="2" t="s">
        <v>9706</v>
      </c>
      <c r="D3780" s="2" t="s">
        <v>10055</v>
      </c>
      <c r="E3780" s="15">
        <v>0.15329999999999999</v>
      </c>
      <c r="F3780" s="15">
        <v>0.15329999999999999</v>
      </c>
      <c r="G3780" s="15">
        <v>0.31730000000000003</v>
      </c>
      <c r="H3780" s="15">
        <v>6.3100000000000003E-2</v>
      </c>
      <c r="I3780" s="15">
        <v>4.36E-2</v>
      </c>
      <c r="J3780" s="15">
        <v>1.4472477064220179</v>
      </c>
    </row>
    <row r="3781" spans="1:10" x14ac:dyDescent="0.25">
      <c r="A3781" s="2" t="s">
        <v>9707</v>
      </c>
      <c r="B3781" s="2" t="s">
        <v>7007</v>
      </c>
      <c r="C3781" s="2" t="s">
        <v>9708</v>
      </c>
      <c r="D3781" s="2" t="s">
        <v>10055</v>
      </c>
      <c r="E3781" s="15">
        <v>-0.13400000000000001</v>
      </c>
      <c r="F3781" s="15">
        <v>0.12470000000000001</v>
      </c>
      <c r="G3781" s="15">
        <v>0.28249999999999997</v>
      </c>
      <c r="H3781" s="15">
        <v>0.1053</v>
      </c>
      <c r="I3781" s="15">
        <v>4.6399999999999997E-2</v>
      </c>
      <c r="J3781" s="15">
        <v>2.2693965517241379</v>
      </c>
    </row>
    <row r="3782" spans="1:10" x14ac:dyDescent="0.25">
      <c r="A3782" s="2" t="s">
        <v>9709</v>
      </c>
      <c r="B3782" s="2" t="s">
        <v>7007</v>
      </c>
      <c r="C3782" s="2" t="s">
        <v>9710</v>
      </c>
      <c r="D3782" s="2" t="s">
        <v>10055</v>
      </c>
      <c r="E3782" s="15"/>
      <c r="F3782" s="15"/>
      <c r="G3782" s="15"/>
      <c r="H3782" s="15">
        <v>-2.3E-3</v>
      </c>
      <c r="I3782" s="15">
        <v>4.1599999999999998E-2</v>
      </c>
      <c r="J3782" s="15">
        <v>-5.5288461538461543E-2</v>
      </c>
    </row>
    <row r="3783" spans="1:10" x14ac:dyDescent="0.25">
      <c r="A3783" s="2" t="s">
        <v>9711</v>
      </c>
      <c r="B3783" s="2" t="s">
        <v>7007</v>
      </c>
      <c r="C3783" s="2" t="s">
        <v>9712</v>
      </c>
      <c r="D3783" s="2" t="s">
        <v>10055</v>
      </c>
      <c r="E3783" s="15"/>
      <c r="F3783" s="15"/>
      <c r="G3783" s="15"/>
      <c r="H3783" s="15">
        <v>-2.47E-2</v>
      </c>
      <c r="I3783" s="15">
        <v>3.6700000000000003E-2</v>
      </c>
      <c r="J3783" s="15">
        <v>-0.67302452316076289</v>
      </c>
    </row>
    <row r="3784" spans="1:10" x14ac:dyDescent="0.25">
      <c r="A3784" s="2" t="s">
        <v>9713</v>
      </c>
      <c r="B3784" s="2" t="s">
        <v>7007</v>
      </c>
      <c r="C3784" s="2" t="s">
        <v>9714</v>
      </c>
      <c r="D3784" s="2" t="s">
        <v>10055</v>
      </c>
      <c r="E3784" s="15">
        <v>4.1500000000000002E-2</v>
      </c>
      <c r="F3784" s="15">
        <v>0.14699999999999999</v>
      </c>
      <c r="G3784" s="15">
        <v>0.77739999999999998</v>
      </c>
      <c r="H3784" s="15">
        <v>7.1599999999999997E-2</v>
      </c>
      <c r="I3784" s="15">
        <v>4.3400000000000001E-2</v>
      </c>
      <c r="J3784" s="15">
        <v>1.649769585253456</v>
      </c>
    </row>
    <row r="3785" spans="1:10" x14ac:dyDescent="0.25">
      <c r="A3785" s="2" t="s">
        <v>9715</v>
      </c>
      <c r="B3785" s="2" t="s">
        <v>7007</v>
      </c>
      <c r="C3785" s="2" t="s">
        <v>9716</v>
      </c>
      <c r="D3785" s="2" t="s">
        <v>10055</v>
      </c>
      <c r="E3785" s="15">
        <v>-0.11749999999999999</v>
      </c>
      <c r="F3785" s="15">
        <v>0.10680000000000001</v>
      </c>
      <c r="G3785" s="15">
        <v>0.27160000000000001</v>
      </c>
      <c r="H3785" s="15">
        <v>0.12280000000000001</v>
      </c>
      <c r="I3785" s="15">
        <v>4.2099999999999999E-2</v>
      </c>
      <c r="J3785" s="15">
        <v>2.9168646080760099</v>
      </c>
    </row>
    <row r="3786" spans="1:10" x14ac:dyDescent="0.25">
      <c r="A3786" s="2" t="s">
        <v>9717</v>
      </c>
      <c r="B3786" s="2" t="s">
        <v>7007</v>
      </c>
      <c r="C3786" s="2" t="s">
        <v>9718</v>
      </c>
      <c r="D3786" s="2" t="s">
        <v>10055</v>
      </c>
      <c r="E3786" s="15">
        <v>-0.14860000000000001</v>
      </c>
      <c r="F3786" s="15">
        <v>0.48099999999999998</v>
      </c>
      <c r="G3786" s="15">
        <v>0.75739999999999996</v>
      </c>
      <c r="H3786" s="15">
        <v>2.1899999999999999E-2</v>
      </c>
      <c r="I3786" s="15">
        <v>4.8399999999999999E-2</v>
      </c>
      <c r="J3786" s="15">
        <v>0.4524793388429752</v>
      </c>
    </row>
    <row r="3787" spans="1:10" x14ac:dyDescent="0.25">
      <c r="A3787" s="2" t="s">
        <v>9719</v>
      </c>
      <c r="B3787" s="2" t="s">
        <v>7007</v>
      </c>
      <c r="C3787" s="2" t="s">
        <v>9720</v>
      </c>
      <c r="D3787" s="2" t="s">
        <v>10055</v>
      </c>
      <c r="E3787" s="15">
        <v>0.17249999999999999</v>
      </c>
      <c r="F3787" s="15">
        <v>0.32069999999999999</v>
      </c>
      <c r="G3787" s="15">
        <v>0.59060000000000001</v>
      </c>
      <c r="H3787" s="15">
        <v>2.29E-2</v>
      </c>
      <c r="I3787" s="15">
        <v>4.3200000000000002E-2</v>
      </c>
      <c r="J3787" s="15">
        <v>0.53009259259259256</v>
      </c>
    </row>
    <row r="3788" spans="1:10" x14ac:dyDescent="0.25">
      <c r="A3788" s="2" t="s">
        <v>9721</v>
      </c>
      <c r="B3788" s="2" t="s">
        <v>7007</v>
      </c>
      <c r="C3788" s="2" t="s">
        <v>9722</v>
      </c>
      <c r="D3788" s="2" t="s">
        <v>10055</v>
      </c>
      <c r="E3788" s="15">
        <v>0.14050000000000001</v>
      </c>
      <c r="F3788" s="15">
        <v>0.20880000000000001</v>
      </c>
      <c r="G3788" s="15">
        <v>0.50109999999999999</v>
      </c>
      <c r="H3788" s="15">
        <v>3.73E-2</v>
      </c>
      <c r="I3788" s="15">
        <v>4.2000000000000003E-2</v>
      </c>
      <c r="J3788" s="15">
        <v>0.88809523809523805</v>
      </c>
    </row>
    <row r="3789" spans="1:10" x14ac:dyDescent="0.25">
      <c r="A3789" s="2" t="s">
        <v>9723</v>
      </c>
      <c r="B3789" s="2" t="s">
        <v>7007</v>
      </c>
      <c r="C3789" s="2" t="s">
        <v>9724</v>
      </c>
      <c r="D3789" s="2" t="s">
        <v>10055</v>
      </c>
      <c r="E3789" s="15">
        <v>-0.1196</v>
      </c>
      <c r="F3789" s="15">
        <v>0.21560000000000001</v>
      </c>
      <c r="G3789" s="15">
        <v>0.57920000000000005</v>
      </c>
      <c r="H3789" s="15">
        <v>4.0800000000000003E-2</v>
      </c>
      <c r="I3789" s="15">
        <v>4.7800000000000002E-2</v>
      </c>
      <c r="J3789" s="15">
        <v>0.85355648535564854</v>
      </c>
    </row>
    <row r="3790" spans="1:10" x14ac:dyDescent="0.25">
      <c r="A3790" s="2" t="s">
        <v>9725</v>
      </c>
      <c r="B3790" s="2" t="s">
        <v>7007</v>
      </c>
      <c r="C3790" s="2" t="s">
        <v>9726</v>
      </c>
      <c r="D3790" s="2" t="s">
        <v>10055</v>
      </c>
      <c r="E3790" s="15">
        <v>-0.35820000000000002</v>
      </c>
      <c r="F3790" s="15">
        <v>0.42470000000000002</v>
      </c>
      <c r="G3790" s="15">
        <v>0.39900000000000002</v>
      </c>
      <c r="H3790" s="15">
        <v>2.24E-2</v>
      </c>
      <c r="I3790" s="15">
        <v>3.95E-2</v>
      </c>
      <c r="J3790" s="15">
        <v>0.56708860759493673</v>
      </c>
    </row>
    <row r="3791" spans="1:10" x14ac:dyDescent="0.25">
      <c r="A3791" s="2" t="s">
        <v>9727</v>
      </c>
      <c r="B3791" s="2" t="s">
        <v>7007</v>
      </c>
      <c r="C3791" s="2" t="s">
        <v>9728</v>
      </c>
      <c r="D3791" s="2" t="s">
        <v>10055</v>
      </c>
      <c r="E3791" s="15">
        <v>2.0500000000000001E-2</v>
      </c>
      <c r="F3791" s="15">
        <v>0.20050000000000001</v>
      </c>
      <c r="G3791" s="15">
        <v>0.91839999999999999</v>
      </c>
      <c r="H3791" s="15">
        <v>2.76E-2</v>
      </c>
      <c r="I3791" s="15">
        <v>4.1300000000000003E-2</v>
      </c>
      <c r="J3791" s="15">
        <v>0.66828087167070216</v>
      </c>
    </row>
    <row r="3792" spans="1:10" x14ac:dyDescent="0.25">
      <c r="A3792" s="2" t="s">
        <v>9729</v>
      </c>
      <c r="B3792" s="2" t="s">
        <v>7007</v>
      </c>
      <c r="C3792" s="2" t="s">
        <v>9730</v>
      </c>
      <c r="D3792" s="2" t="s">
        <v>10055</v>
      </c>
      <c r="E3792" s="15">
        <v>-0.1074</v>
      </c>
      <c r="F3792" s="15">
        <v>0.247</v>
      </c>
      <c r="G3792" s="15">
        <v>0.66349999999999998</v>
      </c>
      <c r="H3792" s="15">
        <v>2.4799999999999999E-2</v>
      </c>
      <c r="I3792" s="15">
        <v>4.3499999999999997E-2</v>
      </c>
      <c r="J3792" s="15">
        <v>0.57011494252873562</v>
      </c>
    </row>
    <row r="3793" spans="1:10" x14ac:dyDescent="0.25">
      <c r="A3793" s="2" t="s">
        <v>9731</v>
      </c>
      <c r="B3793" s="2" t="s">
        <v>7007</v>
      </c>
      <c r="C3793" s="2" t="s">
        <v>9732</v>
      </c>
      <c r="D3793" s="2" t="s">
        <v>10055</v>
      </c>
      <c r="E3793" s="15"/>
      <c r="F3793" s="15"/>
      <c r="G3793" s="15"/>
      <c r="H3793" s="15"/>
      <c r="I3793" s="15"/>
      <c r="J3793" s="15"/>
    </row>
    <row r="3794" spans="1:10" x14ac:dyDescent="0.25">
      <c r="A3794" s="2" t="s">
        <v>9733</v>
      </c>
      <c r="B3794" s="2" t="s">
        <v>7007</v>
      </c>
      <c r="C3794" s="2" t="s">
        <v>9734</v>
      </c>
      <c r="D3794" s="2" t="s">
        <v>10055</v>
      </c>
      <c r="E3794" s="15"/>
      <c r="F3794" s="15"/>
      <c r="G3794" s="15"/>
      <c r="H3794" s="15">
        <v>-3.9E-2</v>
      </c>
      <c r="I3794" s="15">
        <v>4.1399999999999999E-2</v>
      </c>
      <c r="J3794" s="15">
        <v>-0.94202898550724634</v>
      </c>
    </row>
    <row r="3795" spans="1:10" x14ac:dyDescent="0.25">
      <c r="A3795" s="2" t="s">
        <v>9735</v>
      </c>
      <c r="B3795" s="2" t="s">
        <v>7007</v>
      </c>
      <c r="C3795" s="2" t="s">
        <v>9736</v>
      </c>
      <c r="D3795" s="2" t="s">
        <v>10055</v>
      </c>
      <c r="E3795" s="15">
        <v>0.39679999999999999</v>
      </c>
      <c r="F3795" s="15">
        <v>0.32850000000000001</v>
      </c>
      <c r="G3795" s="15">
        <v>0.2271</v>
      </c>
      <c r="H3795" s="15">
        <v>3.2099999999999997E-2</v>
      </c>
      <c r="I3795" s="15">
        <v>4.5999999999999999E-2</v>
      </c>
      <c r="J3795" s="15">
        <v>0.69782608695652171</v>
      </c>
    </row>
    <row r="3796" spans="1:10" x14ac:dyDescent="0.25">
      <c r="A3796" s="2" t="s">
        <v>9737</v>
      </c>
      <c r="B3796" s="2" t="s">
        <v>7007</v>
      </c>
      <c r="C3796" s="2" t="s">
        <v>9738</v>
      </c>
      <c r="D3796" s="2" t="s">
        <v>10055</v>
      </c>
      <c r="E3796" s="15">
        <v>0.34899999999999998</v>
      </c>
      <c r="F3796" s="15">
        <v>0.15609999999999999</v>
      </c>
      <c r="G3796" s="15">
        <v>2.53E-2</v>
      </c>
      <c r="H3796" s="15">
        <v>7.6200000000000004E-2</v>
      </c>
      <c r="I3796" s="15">
        <v>4.5199999999999997E-2</v>
      </c>
      <c r="J3796" s="15">
        <v>1.6858407079646021</v>
      </c>
    </row>
    <row r="3797" spans="1:10" x14ac:dyDescent="0.25">
      <c r="A3797" s="2" t="s">
        <v>9739</v>
      </c>
      <c r="B3797" s="2" t="s">
        <v>7007</v>
      </c>
      <c r="C3797" s="2" t="s">
        <v>9740</v>
      </c>
      <c r="D3797" s="2" t="s">
        <v>10055</v>
      </c>
      <c r="E3797" s="15"/>
      <c r="F3797" s="15"/>
      <c r="G3797" s="15"/>
      <c r="H3797" s="15">
        <v>-6.3E-3</v>
      </c>
      <c r="I3797" s="15">
        <v>4.2799999999999998E-2</v>
      </c>
      <c r="J3797" s="15">
        <v>-0.14719626168224301</v>
      </c>
    </row>
    <row r="3798" spans="1:10" x14ac:dyDescent="0.25">
      <c r="A3798" s="2" t="s">
        <v>9741</v>
      </c>
      <c r="B3798" s="2" t="s">
        <v>7007</v>
      </c>
      <c r="C3798" s="2" t="s">
        <v>9742</v>
      </c>
      <c r="D3798" s="2" t="s">
        <v>10055</v>
      </c>
      <c r="E3798" s="15">
        <v>5.1400000000000001E-2</v>
      </c>
      <c r="F3798" s="15">
        <v>0.1641</v>
      </c>
      <c r="G3798" s="15">
        <v>0.754</v>
      </c>
      <c r="H3798" s="15">
        <v>4.5400000000000003E-2</v>
      </c>
      <c r="I3798" s="15">
        <v>4.7100000000000003E-2</v>
      </c>
      <c r="J3798" s="15">
        <v>0.96390658174097665</v>
      </c>
    </row>
    <row r="3799" spans="1:10" x14ac:dyDescent="0.25">
      <c r="A3799" s="2" t="s">
        <v>9743</v>
      </c>
      <c r="B3799" s="2" t="s">
        <v>7007</v>
      </c>
      <c r="C3799" s="2" t="s">
        <v>9744</v>
      </c>
      <c r="D3799" s="2" t="s">
        <v>10055</v>
      </c>
      <c r="E3799" s="15">
        <v>4.7899999999999998E-2</v>
      </c>
      <c r="F3799" s="15">
        <v>0.16819999999999999</v>
      </c>
      <c r="G3799" s="15">
        <v>0.77549999999999997</v>
      </c>
      <c r="H3799" s="15">
        <v>3.9899999999999998E-2</v>
      </c>
      <c r="I3799" s="15">
        <v>4.2999999999999997E-2</v>
      </c>
      <c r="J3799" s="15">
        <v>0.9279069767441861</v>
      </c>
    </row>
    <row r="3800" spans="1:10" x14ac:dyDescent="0.25">
      <c r="A3800" s="2" t="s">
        <v>9745</v>
      </c>
      <c r="B3800" s="2" t="s">
        <v>7007</v>
      </c>
      <c r="C3800" s="2" t="s">
        <v>9746</v>
      </c>
      <c r="D3800" s="2" t="s">
        <v>10055</v>
      </c>
      <c r="E3800" s="15">
        <v>-0.1321</v>
      </c>
      <c r="F3800" s="15">
        <v>0.18509999999999999</v>
      </c>
      <c r="G3800" s="15">
        <v>0.47539999999999999</v>
      </c>
      <c r="H3800" s="15">
        <v>4.9099999999999998E-2</v>
      </c>
      <c r="I3800" s="15">
        <v>4.36E-2</v>
      </c>
      <c r="J3800" s="15">
        <v>1.1261467889908261</v>
      </c>
    </row>
    <row r="3801" spans="1:10" x14ac:dyDescent="0.25">
      <c r="A3801" s="2" t="s">
        <v>9747</v>
      </c>
      <c r="B3801" s="2" t="s">
        <v>7007</v>
      </c>
      <c r="C3801" s="2" t="s">
        <v>9748</v>
      </c>
      <c r="D3801" s="2" t="s">
        <v>10055</v>
      </c>
      <c r="E3801" s="15">
        <v>4.1399999999999999E-2</v>
      </c>
      <c r="F3801" s="15">
        <v>0.11020000000000001</v>
      </c>
      <c r="G3801" s="15">
        <v>0.70720000000000005</v>
      </c>
      <c r="H3801" s="15">
        <v>0.1172</v>
      </c>
      <c r="I3801" s="15">
        <v>3.8100000000000002E-2</v>
      </c>
      <c r="J3801" s="15">
        <v>3.076115485564304</v>
      </c>
    </row>
    <row r="3802" spans="1:10" x14ac:dyDescent="0.25">
      <c r="A3802" s="2" t="s">
        <v>9749</v>
      </c>
      <c r="B3802" s="2" t="s">
        <v>7007</v>
      </c>
      <c r="C3802" s="2" t="s">
        <v>9750</v>
      </c>
      <c r="D3802" s="2" t="s">
        <v>10055</v>
      </c>
      <c r="E3802" s="15"/>
      <c r="F3802" s="15"/>
      <c r="G3802" s="15"/>
      <c r="H3802" s="15">
        <v>-2.0500000000000001E-2</v>
      </c>
      <c r="I3802" s="15">
        <v>4.53E-2</v>
      </c>
      <c r="J3802" s="15">
        <v>-0.4525386313465784</v>
      </c>
    </row>
    <row r="3803" spans="1:10" x14ac:dyDescent="0.25">
      <c r="A3803" s="2" t="s">
        <v>9751</v>
      </c>
      <c r="B3803" s="2" t="s">
        <v>7007</v>
      </c>
      <c r="C3803" s="2" t="s">
        <v>9752</v>
      </c>
      <c r="D3803" s="2" t="s">
        <v>10055</v>
      </c>
      <c r="E3803" s="15">
        <v>2.4199999999999999E-2</v>
      </c>
      <c r="F3803" s="15">
        <v>9.6799999999999997E-2</v>
      </c>
      <c r="G3803" s="15">
        <v>0.8024</v>
      </c>
      <c r="H3803" s="15">
        <v>0.1444</v>
      </c>
      <c r="I3803" s="15">
        <v>4.41E-2</v>
      </c>
      <c r="J3803" s="15">
        <v>3.2743764172335599</v>
      </c>
    </row>
    <row r="3804" spans="1:10" x14ac:dyDescent="0.25">
      <c r="A3804" s="2" t="s">
        <v>9753</v>
      </c>
      <c r="B3804" s="2" t="s">
        <v>7007</v>
      </c>
      <c r="C3804" s="2" t="s">
        <v>9754</v>
      </c>
      <c r="D3804" s="2" t="s">
        <v>10055</v>
      </c>
      <c r="E3804" s="15"/>
      <c r="F3804" s="15"/>
      <c r="G3804" s="15"/>
      <c r="H3804" s="15"/>
      <c r="I3804" s="15"/>
      <c r="J3804" s="15"/>
    </row>
    <row r="3805" spans="1:10" x14ac:dyDescent="0.25">
      <c r="A3805" s="2" t="s">
        <v>9755</v>
      </c>
      <c r="B3805" s="2" t="s">
        <v>7007</v>
      </c>
      <c r="C3805" s="2" t="s">
        <v>9756</v>
      </c>
      <c r="D3805" s="2" t="s">
        <v>10055</v>
      </c>
      <c r="E3805" s="15">
        <v>-2.7699999999999999E-2</v>
      </c>
      <c r="F3805" s="15">
        <v>0.1263</v>
      </c>
      <c r="G3805" s="15">
        <v>0.82640000000000002</v>
      </c>
      <c r="H3805" s="15">
        <v>6.4299999999999996E-2</v>
      </c>
      <c r="I3805" s="15">
        <v>4.3900000000000002E-2</v>
      </c>
      <c r="J3805" s="15">
        <v>1.4646924829157171</v>
      </c>
    </row>
    <row r="3806" spans="1:10" x14ac:dyDescent="0.25">
      <c r="A3806" s="2" t="s">
        <v>9757</v>
      </c>
      <c r="B3806" s="2" t="s">
        <v>7007</v>
      </c>
      <c r="C3806" s="2" t="s">
        <v>9758</v>
      </c>
      <c r="D3806" s="2" t="s">
        <v>10055</v>
      </c>
      <c r="E3806" s="15">
        <v>0.27439999999999998</v>
      </c>
      <c r="F3806" s="15">
        <v>0.20330000000000001</v>
      </c>
      <c r="G3806" s="15">
        <v>0.1772</v>
      </c>
      <c r="H3806" s="15">
        <v>4.19E-2</v>
      </c>
      <c r="I3806" s="15">
        <v>4.5900000000000003E-2</v>
      </c>
      <c r="J3806" s="15">
        <v>0.91285403050108926</v>
      </c>
    </row>
    <row r="3807" spans="1:10" x14ac:dyDescent="0.25">
      <c r="A3807" s="2" t="s">
        <v>9759</v>
      </c>
      <c r="B3807" s="2" t="s">
        <v>7007</v>
      </c>
      <c r="C3807" s="2" t="s">
        <v>9760</v>
      </c>
      <c r="D3807" s="2" t="s">
        <v>10055</v>
      </c>
      <c r="E3807" s="15"/>
      <c r="F3807" s="15"/>
      <c r="G3807" s="15"/>
      <c r="H3807" s="15">
        <v>-2.7000000000000001E-3</v>
      </c>
      <c r="I3807" s="15">
        <v>3.8199999999999998E-2</v>
      </c>
      <c r="J3807" s="15">
        <v>-7.0680628272251314E-2</v>
      </c>
    </row>
    <row r="3808" spans="1:10" x14ac:dyDescent="0.25">
      <c r="A3808" s="2" t="s">
        <v>9761</v>
      </c>
      <c r="B3808" s="2" t="s">
        <v>7007</v>
      </c>
      <c r="C3808" s="2" t="s">
        <v>9762</v>
      </c>
      <c r="D3808" s="2" t="s">
        <v>10055</v>
      </c>
      <c r="E3808" s="15">
        <v>0.25</v>
      </c>
      <c r="F3808" s="15">
        <v>0.2445</v>
      </c>
      <c r="G3808" s="15">
        <v>0.30659999999999998</v>
      </c>
      <c r="H3808" s="15">
        <v>3.2300000000000002E-2</v>
      </c>
      <c r="I3808" s="15">
        <v>4.2000000000000003E-2</v>
      </c>
      <c r="J3808" s="15">
        <v>0.76904761904761909</v>
      </c>
    </row>
    <row r="3809" spans="1:10" x14ac:dyDescent="0.25">
      <c r="A3809" s="2" t="s">
        <v>9763</v>
      </c>
      <c r="B3809" s="2" t="s">
        <v>7007</v>
      </c>
      <c r="C3809" s="2" t="s">
        <v>9764</v>
      </c>
      <c r="D3809" s="2" t="s">
        <v>10055</v>
      </c>
      <c r="E3809" s="15">
        <v>-0.186</v>
      </c>
      <c r="F3809" s="15">
        <v>0.21210000000000001</v>
      </c>
      <c r="G3809" s="15">
        <v>0.38069999999999998</v>
      </c>
      <c r="H3809" s="15">
        <v>3.7100000000000001E-2</v>
      </c>
      <c r="I3809" s="15">
        <v>4.2200000000000001E-2</v>
      </c>
      <c r="J3809" s="15">
        <v>0.87914691943127965</v>
      </c>
    </row>
    <row r="3810" spans="1:10" x14ac:dyDescent="0.25">
      <c r="A3810" s="2" t="s">
        <v>9765</v>
      </c>
      <c r="B3810" s="2" t="s">
        <v>7007</v>
      </c>
      <c r="C3810" s="2" t="s">
        <v>9766</v>
      </c>
      <c r="D3810" s="2" t="s">
        <v>10055</v>
      </c>
      <c r="E3810" s="15"/>
      <c r="F3810" s="15"/>
      <c r="G3810" s="15"/>
      <c r="H3810" s="15"/>
      <c r="I3810" s="15"/>
      <c r="J3810" s="15"/>
    </row>
    <row r="3811" spans="1:10" x14ac:dyDescent="0.25">
      <c r="A3811" s="2" t="s">
        <v>9767</v>
      </c>
      <c r="B3811" s="2" t="s">
        <v>7007</v>
      </c>
      <c r="C3811" s="2" t="s">
        <v>9768</v>
      </c>
      <c r="D3811" s="2" t="s">
        <v>10055</v>
      </c>
      <c r="E3811" s="15"/>
      <c r="F3811" s="15"/>
      <c r="G3811" s="15"/>
      <c r="H3811" s="15">
        <v>-2.2700000000000001E-2</v>
      </c>
      <c r="I3811" s="15">
        <v>3.95E-2</v>
      </c>
      <c r="J3811" s="15">
        <v>-0.57468354430379753</v>
      </c>
    </row>
    <row r="3812" spans="1:10" x14ac:dyDescent="0.25">
      <c r="A3812" s="2" t="s">
        <v>9769</v>
      </c>
      <c r="B3812" s="2" t="s">
        <v>7007</v>
      </c>
      <c r="C3812" s="2" t="s">
        <v>9770</v>
      </c>
      <c r="D3812" s="2" t="s">
        <v>10055</v>
      </c>
      <c r="E3812" s="15"/>
      <c r="F3812" s="15"/>
      <c r="G3812" s="15"/>
      <c r="H3812" s="15">
        <v>-5.2299999999999999E-2</v>
      </c>
      <c r="I3812" s="15">
        <v>4.6300000000000001E-2</v>
      </c>
      <c r="J3812" s="15">
        <v>-1.129589632829374</v>
      </c>
    </row>
    <row r="3813" spans="1:10" x14ac:dyDescent="0.25">
      <c r="A3813" s="2" t="s">
        <v>9771</v>
      </c>
      <c r="B3813" s="2" t="s">
        <v>7007</v>
      </c>
      <c r="C3813" s="2" t="s">
        <v>9772</v>
      </c>
      <c r="D3813" s="2" t="s">
        <v>10055</v>
      </c>
      <c r="E3813" s="15">
        <v>0.30730000000000002</v>
      </c>
      <c r="F3813" s="15">
        <v>0.2848</v>
      </c>
      <c r="G3813" s="15">
        <v>0.28050000000000003</v>
      </c>
      <c r="H3813" s="15">
        <v>3.44E-2</v>
      </c>
      <c r="I3813" s="15">
        <v>4.3900000000000002E-2</v>
      </c>
      <c r="J3813" s="15">
        <v>0.78359908883826879</v>
      </c>
    </row>
    <row r="3814" spans="1:10" x14ac:dyDescent="0.25">
      <c r="A3814" s="2" t="s">
        <v>9773</v>
      </c>
      <c r="B3814" s="2" t="s">
        <v>7007</v>
      </c>
      <c r="C3814" s="2" t="s">
        <v>9774</v>
      </c>
      <c r="D3814" s="2" t="s">
        <v>10055</v>
      </c>
      <c r="E3814" s="15">
        <v>-0.21429999999999999</v>
      </c>
      <c r="F3814" s="15">
        <v>0.18459999999999999</v>
      </c>
      <c r="G3814" s="15">
        <v>0.2455</v>
      </c>
      <c r="H3814" s="15">
        <v>4.4499999999999998E-2</v>
      </c>
      <c r="I3814" s="15">
        <v>4.1399999999999999E-2</v>
      </c>
      <c r="J3814" s="15">
        <v>1.07487922705314</v>
      </c>
    </row>
    <row r="3815" spans="1:10" x14ac:dyDescent="0.25">
      <c r="A3815" s="2" t="s">
        <v>9775</v>
      </c>
      <c r="B3815" s="2" t="s">
        <v>7007</v>
      </c>
      <c r="C3815" s="2" t="s">
        <v>9776</v>
      </c>
      <c r="D3815" s="2" t="s">
        <v>10055</v>
      </c>
      <c r="E3815" s="15">
        <v>6.1000000000000004E-3</v>
      </c>
      <c r="F3815" s="15">
        <v>0.23669999999999999</v>
      </c>
      <c r="G3815" s="15">
        <v>0.97960000000000003</v>
      </c>
      <c r="H3815" s="15">
        <v>2.6599999999999999E-2</v>
      </c>
      <c r="I3815" s="15">
        <v>4.19E-2</v>
      </c>
      <c r="J3815" s="15">
        <v>0.6348448687350835</v>
      </c>
    </row>
    <row r="3816" spans="1:10" x14ac:dyDescent="0.25">
      <c r="A3816" s="2" t="s">
        <v>9777</v>
      </c>
      <c r="B3816" s="2" t="s">
        <v>7007</v>
      </c>
      <c r="C3816" s="2" t="s">
        <v>9778</v>
      </c>
      <c r="D3816" s="2" t="s">
        <v>10055</v>
      </c>
      <c r="E3816" s="15"/>
      <c r="F3816" s="15"/>
      <c r="G3816" s="15"/>
      <c r="H3816" s="15">
        <v>-4.9000000000000002E-2</v>
      </c>
      <c r="I3816" s="15">
        <v>4.3099999999999999E-2</v>
      </c>
      <c r="J3816" s="15">
        <v>-1.1368909512761021</v>
      </c>
    </row>
    <row r="3817" spans="1:10" x14ac:dyDescent="0.25">
      <c r="A3817" s="2" t="s">
        <v>9779</v>
      </c>
      <c r="B3817" s="2" t="s">
        <v>7007</v>
      </c>
      <c r="C3817" s="2" t="s">
        <v>9780</v>
      </c>
      <c r="D3817" s="2" t="s">
        <v>10055</v>
      </c>
      <c r="E3817" s="15"/>
      <c r="F3817" s="15"/>
      <c r="G3817" s="15"/>
      <c r="H3817" s="15">
        <v>-1.15E-2</v>
      </c>
      <c r="I3817" s="15">
        <v>4.1500000000000002E-2</v>
      </c>
      <c r="J3817" s="15">
        <v>-0.27710843373493982</v>
      </c>
    </row>
    <row r="3818" spans="1:10" x14ac:dyDescent="0.25">
      <c r="A3818" s="2" t="s">
        <v>9781</v>
      </c>
      <c r="B3818" s="2" t="s">
        <v>7007</v>
      </c>
      <c r="C3818" s="2" t="s">
        <v>9782</v>
      </c>
      <c r="D3818" s="2" t="s">
        <v>10055</v>
      </c>
      <c r="E3818" s="15">
        <v>-0.28889999999999999</v>
      </c>
      <c r="F3818" s="15">
        <v>0.28010000000000002</v>
      </c>
      <c r="G3818" s="15">
        <v>0.3024</v>
      </c>
      <c r="H3818" s="15">
        <v>3.27E-2</v>
      </c>
      <c r="I3818" s="15">
        <v>4.19E-2</v>
      </c>
      <c r="J3818" s="15">
        <v>0.78042959427207637</v>
      </c>
    </row>
    <row r="3819" spans="1:10" x14ac:dyDescent="0.25">
      <c r="A3819" s="2" t="s">
        <v>9783</v>
      </c>
      <c r="B3819" s="2" t="s">
        <v>7007</v>
      </c>
      <c r="C3819" s="2" t="s">
        <v>9784</v>
      </c>
      <c r="D3819" s="2" t="s">
        <v>10055</v>
      </c>
      <c r="E3819" s="15">
        <v>-0.5262</v>
      </c>
      <c r="F3819" s="15">
        <v>0.77100000000000002</v>
      </c>
      <c r="G3819" s="15">
        <v>0.49490000000000001</v>
      </c>
      <c r="H3819" s="15">
        <v>1.67E-2</v>
      </c>
      <c r="I3819" s="15">
        <v>4.0599999999999997E-2</v>
      </c>
      <c r="J3819" s="15">
        <v>0.41133004926108369</v>
      </c>
    </row>
    <row r="3820" spans="1:10" x14ac:dyDescent="0.25">
      <c r="A3820" s="2" t="s">
        <v>9785</v>
      </c>
      <c r="B3820" s="2" t="s">
        <v>7007</v>
      </c>
      <c r="C3820" s="2" t="s">
        <v>9786</v>
      </c>
      <c r="D3820" s="2" t="s">
        <v>10055</v>
      </c>
      <c r="E3820" s="15"/>
      <c r="F3820" s="15"/>
      <c r="G3820" s="15"/>
      <c r="H3820" s="15"/>
      <c r="I3820" s="15"/>
      <c r="J3820" s="15"/>
    </row>
    <row r="3821" spans="1:10" x14ac:dyDescent="0.25">
      <c r="A3821" s="2" t="s">
        <v>9787</v>
      </c>
      <c r="B3821" s="2" t="s">
        <v>7007</v>
      </c>
      <c r="C3821" s="2" t="s">
        <v>9788</v>
      </c>
      <c r="D3821" s="2" t="s">
        <v>10055</v>
      </c>
      <c r="E3821" s="15"/>
      <c r="F3821" s="15"/>
      <c r="G3821" s="15"/>
      <c r="H3821" s="15">
        <v>-3.5200000000000002E-2</v>
      </c>
      <c r="I3821" s="15">
        <v>3.9E-2</v>
      </c>
      <c r="J3821" s="15">
        <v>-0.90256410256410258</v>
      </c>
    </row>
    <row r="3822" spans="1:10" x14ac:dyDescent="0.25">
      <c r="A3822" s="2" t="s">
        <v>9789</v>
      </c>
      <c r="B3822" s="2" t="s">
        <v>7007</v>
      </c>
      <c r="C3822" s="2" t="s">
        <v>9790</v>
      </c>
      <c r="D3822" s="2" t="s">
        <v>10055</v>
      </c>
      <c r="E3822" s="15">
        <v>0.13</v>
      </c>
      <c r="F3822" s="15">
        <v>0.39560000000000001</v>
      </c>
      <c r="G3822" s="15">
        <v>0.74239999999999995</v>
      </c>
      <c r="H3822" s="15">
        <v>1.52E-2</v>
      </c>
      <c r="I3822" s="15">
        <v>4.1099999999999998E-2</v>
      </c>
      <c r="J3822" s="15">
        <v>0.36982968369829688</v>
      </c>
    </row>
    <row r="3823" spans="1:10" x14ac:dyDescent="0.25">
      <c r="A3823" s="2" t="s">
        <v>9791</v>
      </c>
      <c r="B3823" s="2" t="s">
        <v>7007</v>
      </c>
      <c r="C3823" s="2" t="s">
        <v>9792</v>
      </c>
      <c r="D3823" s="2" t="s">
        <v>10055</v>
      </c>
      <c r="E3823" s="15"/>
      <c r="F3823" s="15"/>
      <c r="G3823" s="15"/>
      <c r="H3823" s="15">
        <v>-1.6199999999999999E-2</v>
      </c>
      <c r="I3823" s="15">
        <v>4.0599999999999997E-2</v>
      </c>
      <c r="J3823" s="15">
        <v>-0.39901477832512322</v>
      </c>
    </row>
    <row r="3824" spans="1:10" x14ac:dyDescent="0.25">
      <c r="A3824" s="2" t="s">
        <v>9793</v>
      </c>
      <c r="B3824" s="2" t="s">
        <v>7007</v>
      </c>
      <c r="C3824" s="2" t="s">
        <v>9794</v>
      </c>
      <c r="D3824" s="2" t="s">
        <v>10055</v>
      </c>
      <c r="E3824" s="15"/>
      <c r="F3824" s="15"/>
      <c r="G3824" s="15"/>
      <c r="H3824" s="15">
        <v>-1.03E-2</v>
      </c>
      <c r="I3824" s="15">
        <v>4.24E-2</v>
      </c>
      <c r="J3824" s="15">
        <v>-0.24292452830188679</v>
      </c>
    </row>
    <row r="3825" spans="1:10" x14ac:dyDescent="0.25">
      <c r="A3825" s="2" t="s">
        <v>9795</v>
      </c>
      <c r="B3825" s="2" t="s">
        <v>7007</v>
      </c>
      <c r="C3825" s="2" t="s">
        <v>9796</v>
      </c>
      <c r="D3825" s="2" t="s">
        <v>10055</v>
      </c>
      <c r="E3825" s="15"/>
      <c r="F3825" s="15"/>
      <c r="G3825" s="15"/>
      <c r="H3825" s="15">
        <v>-6.8400000000000002E-2</v>
      </c>
      <c r="I3825" s="15">
        <v>3.9699999999999999E-2</v>
      </c>
      <c r="J3825" s="15">
        <v>-1.722921914357683</v>
      </c>
    </row>
    <row r="3826" spans="1:10" x14ac:dyDescent="0.25">
      <c r="A3826" s="2" t="s">
        <v>9797</v>
      </c>
      <c r="B3826" s="2" t="s">
        <v>7007</v>
      </c>
      <c r="C3826" s="2" t="s">
        <v>9798</v>
      </c>
      <c r="D3826" s="2" t="s">
        <v>10055</v>
      </c>
      <c r="E3826" s="15"/>
      <c r="F3826" s="15"/>
      <c r="G3826" s="15"/>
      <c r="H3826" s="15">
        <v>-3.5999999999999997E-2</v>
      </c>
      <c r="I3826" s="15">
        <v>4.1799999999999997E-2</v>
      </c>
      <c r="J3826" s="15">
        <v>-0.86124401913875603</v>
      </c>
    </row>
    <row r="3827" spans="1:10" x14ac:dyDescent="0.25">
      <c r="A3827" s="2" t="s">
        <v>9799</v>
      </c>
      <c r="B3827" s="2" t="s">
        <v>7007</v>
      </c>
      <c r="C3827" s="2" t="s">
        <v>9800</v>
      </c>
      <c r="D3827" s="2" t="s">
        <v>10055</v>
      </c>
      <c r="E3827" s="15">
        <v>-1.32E-2</v>
      </c>
      <c r="F3827" s="15">
        <v>0.1138</v>
      </c>
      <c r="G3827" s="15">
        <v>0.90739999999999998</v>
      </c>
      <c r="H3827" s="15">
        <v>0.1</v>
      </c>
      <c r="I3827" s="15">
        <v>4.2900000000000001E-2</v>
      </c>
      <c r="J3827" s="15">
        <v>2.3310023310023311</v>
      </c>
    </row>
    <row r="3828" spans="1:10" x14ac:dyDescent="0.25">
      <c r="A3828" s="2" t="s">
        <v>9801</v>
      </c>
      <c r="B3828" s="2" t="s">
        <v>7007</v>
      </c>
      <c r="C3828" s="2" t="s">
        <v>9802</v>
      </c>
      <c r="D3828" s="2" t="s">
        <v>10055</v>
      </c>
      <c r="E3828" s="15">
        <v>-1.4E-3</v>
      </c>
      <c r="F3828" s="15">
        <v>0.15240000000000001</v>
      </c>
      <c r="G3828" s="15">
        <v>0.99260000000000004</v>
      </c>
      <c r="H3828" s="15">
        <v>0.06</v>
      </c>
      <c r="I3828" s="15">
        <v>4.24E-2</v>
      </c>
      <c r="J3828" s="15">
        <v>1.415094339622641</v>
      </c>
    </row>
    <row r="3829" spans="1:10" x14ac:dyDescent="0.25">
      <c r="A3829" s="2" t="s">
        <v>9803</v>
      </c>
      <c r="B3829" s="2" t="s">
        <v>7007</v>
      </c>
      <c r="C3829" s="2" t="s">
        <v>9804</v>
      </c>
      <c r="D3829" s="2" t="s">
        <v>10055</v>
      </c>
      <c r="E3829" s="15"/>
      <c r="F3829" s="15"/>
      <c r="G3829" s="15"/>
      <c r="H3829" s="15">
        <v>-3.0700000000000002E-2</v>
      </c>
      <c r="I3829" s="15">
        <v>4.1200000000000001E-2</v>
      </c>
      <c r="J3829" s="15">
        <v>-0.74514563106796117</v>
      </c>
    </row>
    <row r="3830" spans="1:10" x14ac:dyDescent="0.25">
      <c r="A3830" s="2" t="s">
        <v>9805</v>
      </c>
      <c r="B3830" s="2" t="s">
        <v>7007</v>
      </c>
      <c r="C3830" s="2" t="s">
        <v>9806</v>
      </c>
      <c r="D3830" s="2" t="s">
        <v>10055</v>
      </c>
      <c r="E3830" s="15">
        <v>0.15390000000000001</v>
      </c>
      <c r="F3830" s="15">
        <v>0.36420000000000002</v>
      </c>
      <c r="G3830" s="15">
        <v>0.67269999999999996</v>
      </c>
      <c r="H3830" s="15">
        <v>1.44E-2</v>
      </c>
      <c r="I3830" s="15">
        <v>3.8300000000000001E-2</v>
      </c>
      <c r="J3830" s="15">
        <v>0.37597911227154052</v>
      </c>
    </row>
    <row r="3831" spans="1:10" x14ac:dyDescent="0.25">
      <c r="A3831" s="2" t="s">
        <v>9807</v>
      </c>
      <c r="B3831" s="2" t="s">
        <v>7007</v>
      </c>
      <c r="C3831" s="2" t="s">
        <v>9808</v>
      </c>
      <c r="D3831" s="2" t="s">
        <v>10055</v>
      </c>
      <c r="E3831" s="15"/>
      <c r="F3831" s="15"/>
      <c r="G3831" s="15"/>
      <c r="H3831" s="15">
        <v>-2.9700000000000001E-2</v>
      </c>
      <c r="I3831" s="15">
        <v>3.6200000000000003E-2</v>
      </c>
      <c r="J3831" s="15">
        <v>-0.8204419889502762</v>
      </c>
    </row>
    <row r="3832" spans="1:10" x14ac:dyDescent="0.25">
      <c r="A3832" s="2" t="s">
        <v>9809</v>
      </c>
      <c r="B3832" s="2" t="s">
        <v>7007</v>
      </c>
      <c r="C3832" s="2" t="s">
        <v>9810</v>
      </c>
      <c r="D3832" s="2" t="s">
        <v>10055</v>
      </c>
      <c r="E3832" s="15">
        <v>0.1431</v>
      </c>
      <c r="F3832" s="15">
        <v>0.154</v>
      </c>
      <c r="G3832" s="15">
        <v>0.35299999999999998</v>
      </c>
      <c r="H3832" s="15">
        <v>5.8200000000000002E-2</v>
      </c>
      <c r="I3832" s="15">
        <v>3.9100000000000003E-2</v>
      </c>
      <c r="J3832" s="15">
        <v>1.48849104859335</v>
      </c>
    </row>
    <row r="3833" spans="1:10" x14ac:dyDescent="0.25">
      <c r="A3833" s="2" t="s">
        <v>9811</v>
      </c>
      <c r="B3833" s="2" t="s">
        <v>7007</v>
      </c>
      <c r="C3833" s="2" t="s">
        <v>9812</v>
      </c>
      <c r="D3833" s="2" t="s">
        <v>10055</v>
      </c>
      <c r="E3833" s="15">
        <v>0.20549999999999999</v>
      </c>
      <c r="F3833" s="15">
        <v>0.5141</v>
      </c>
      <c r="G3833" s="15">
        <v>0.68940000000000001</v>
      </c>
      <c r="H3833" s="15">
        <v>1.5800000000000002E-2</v>
      </c>
      <c r="I3833" s="15">
        <v>4.5699999999999998E-2</v>
      </c>
      <c r="J3833" s="15">
        <v>0.34573304157549239</v>
      </c>
    </row>
    <row r="3834" spans="1:10" x14ac:dyDescent="0.25">
      <c r="A3834" s="2" t="s">
        <v>9813</v>
      </c>
      <c r="B3834" s="2" t="s">
        <v>7007</v>
      </c>
      <c r="C3834" s="2" t="s">
        <v>9814</v>
      </c>
      <c r="D3834" s="2" t="s">
        <v>10055</v>
      </c>
      <c r="E3834" s="15">
        <v>-9.2100000000000001E-2</v>
      </c>
      <c r="F3834" s="15">
        <v>0.1363</v>
      </c>
      <c r="G3834" s="15">
        <v>0.49909999999999999</v>
      </c>
      <c r="H3834" s="15">
        <v>6.4600000000000005E-2</v>
      </c>
      <c r="I3834" s="15">
        <v>4.4400000000000002E-2</v>
      </c>
      <c r="J3834" s="15">
        <v>1.454954954954955</v>
      </c>
    </row>
    <row r="3835" spans="1:10" x14ac:dyDescent="0.25">
      <c r="A3835" s="2" t="s">
        <v>9815</v>
      </c>
      <c r="B3835" s="2" t="s">
        <v>7007</v>
      </c>
      <c r="C3835" s="2" t="s">
        <v>9816</v>
      </c>
      <c r="D3835" s="2" t="s">
        <v>10055</v>
      </c>
      <c r="E3835" s="15"/>
      <c r="F3835" s="15"/>
      <c r="G3835" s="15"/>
      <c r="H3835" s="15">
        <v>-7.3000000000000001E-3</v>
      </c>
      <c r="I3835" s="15">
        <v>4.2099999999999999E-2</v>
      </c>
      <c r="J3835" s="15">
        <v>-0.17339667458432301</v>
      </c>
    </row>
    <row r="3836" spans="1:10" x14ac:dyDescent="0.25">
      <c r="A3836" s="2" t="s">
        <v>9817</v>
      </c>
      <c r="B3836" s="2" t="s">
        <v>7007</v>
      </c>
      <c r="C3836" s="2" t="s">
        <v>9818</v>
      </c>
      <c r="D3836" s="2" t="s">
        <v>10055</v>
      </c>
      <c r="E3836" s="15"/>
      <c r="F3836" s="15"/>
      <c r="G3836" s="15"/>
      <c r="H3836" s="15">
        <v>-3.2000000000000002E-3</v>
      </c>
      <c r="I3836" s="15">
        <v>3.9199999999999999E-2</v>
      </c>
      <c r="J3836" s="15">
        <v>-8.1632653061224497E-2</v>
      </c>
    </row>
    <row r="3837" spans="1:10" x14ac:dyDescent="0.25">
      <c r="A3837" s="2" t="s">
        <v>9819</v>
      </c>
      <c r="B3837" s="2" t="s">
        <v>7007</v>
      </c>
      <c r="C3837" s="2" t="s">
        <v>9820</v>
      </c>
      <c r="D3837" s="2" t="s">
        <v>10055</v>
      </c>
      <c r="E3837" s="15"/>
      <c r="F3837" s="15"/>
      <c r="G3837" s="15"/>
      <c r="H3837" s="15">
        <v>-2.3800000000000002E-2</v>
      </c>
      <c r="I3837" s="15">
        <v>4.6699999999999998E-2</v>
      </c>
      <c r="J3837" s="15">
        <v>-0.5096359743040686</v>
      </c>
    </row>
    <row r="3838" spans="1:10" x14ac:dyDescent="0.25">
      <c r="A3838" s="2" t="s">
        <v>9821</v>
      </c>
      <c r="B3838" s="2" t="s">
        <v>7007</v>
      </c>
      <c r="C3838" s="2" t="s">
        <v>9822</v>
      </c>
      <c r="D3838" s="2" t="s">
        <v>10055</v>
      </c>
      <c r="E3838" s="15"/>
      <c r="F3838" s="15"/>
      <c r="G3838" s="15"/>
      <c r="H3838" s="15">
        <v>-1.21E-2</v>
      </c>
      <c r="I3838" s="15">
        <v>3.9899999999999998E-2</v>
      </c>
      <c r="J3838" s="15">
        <v>-0.3032581453634085</v>
      </c>
    </row>
    <row r="3839" spans="1:10" x14ac:dyDescent="0.25">
      <c r="A3839" s="2" t="s">
        <v>9823</v>
      </c>
      <c r="B3839" s="2" t="s">
        <v>7007</v>
      </c>
      <c r="C3839" s="2" t="s">
        <v>9824</v>
      </c>
      <c r="D3839" s="2" t="s">
        <v>10055</v>
      </c>
      <c r="E3839" s="15"/>
      <c r="F3839" s="15"/>
      <c r="G3839" s="15"/>
      <c r="H3839" s="15"/>
      <c r="I3839" s="15"/>
      <c r="J3839" s="15"/>
    </row>
    <row r="3840" spans="1:10" x14ac:dyDescent="0.25">
      <c r="A3840" s="2" t="s">
        <v>9825</v>
      </c>
      <c r="B3840" s="2" t="s">
        <v>7007</v>
      </c>
      <c r="C3840" s="2" t="s">
        <v>9826</v>
      </c>
      <c r="D3840" s="2" t="s">
        <v>10055</v>
      </c>
      <c r="E3840" s="15"/>
      <c r="F3840" s="15"/>
      <c r="G3840" s="15"/>
      <c r="H3840" s="15">
        <v>-2.3E-2</v>
      </c>
      <c r="I3840" s="15">
        <v>3.9699999999999999E-2</v>
      </c>
      <c r="J3840" s="15">
        <v>-0.57934508816120911</v>
      </c>
    </row>
    <row r="3841" spans="1:10" x14ac:dyDescent="0.25">
      <c r="A3841" s="2" t="s">
        <v>9827</v>
      </c>
      <c r="B3841" s="2" t="s">
        <v>7007</v>
      </c>
      <c r="C3841" s="2" t="s">
        <v>9828</v>
      </c>
      <c r="D3841" s="2" t="s">
        <v>10055</v>
      </c>
      <c r="E3841" s="15"/>
      <c r="F3841" s="15"/>
      <c r="G3841" s="15"/>
      <c r="H3841" s="15">
        <v>-3.4500000000000003E-2</v>
      </c>
      <c r="I3841" s="15">
        <v>3.8199999999999998E-2</v>
      </c>
      <c r="J3841" s="15">
        <v>-0.90314136125654465</v>
      </c>
    </row>
    <row r="3842" spans="1:10" x14ac:dyDescent="0.25">
      <c r="A3842" s="2" t="s">
        <v>9829</v>
      </c>
      <c r="B3842" s="2" t="s">
        <v>7007</v>
      </c>
      <c r="C3842" s="2" t="s">
        <v>9830</v>
      </c>
      <c r="D3842" s="2" t="s">
        <v>10055</v>
      </c>
      <c r="E3842" s="15">
        <v>6.0299999999999999E-2</v>
      </c>
      <c r="F3842" s="15">
        <v>0.18840000000000001</v>
      </c>
      <c r="G3842" s="15">
        <v>0.74880000000000002</v>
      </c>
      <c r="H3842" s="15">
        <v>4.4900000000000002E-2</v>
      </c>
      <c r="I3842" s="15">
        <v>4.3900000000000002E-2</v>
      </c>
      <c r="J3842" s="15">
        <v>1.022779043280182</v>
      </c>
    </row>
    <row r="3843" spans="1:10" x14ac:dyDescent="0.25">
      <c r="A3843" s="2" t="s">
        <v>9831</v>
      </c>
      <c r="B3843" s="2" t="s">
        <v>7007</v>
      </c>
      <c r="C3843" s="2" t="s">
        <v>9832</v>
      </c>
      <c r="D3843" s="2" t="s">
        <v>10055</v>
      </c>
      <c r="E3843" s="15"/>
      <c r="F3843" s="15"/>
      <c r="G3843" s="15"/>
      <c r="H3843" s="15">
        <v>-6.1600000000000002E-2</v>
      </c>
      <c r="I3843" s="15">
        <v>4.4600000000000001E-2</v>
      </c>
      <c r="J3843" s="15">
        <v>-1.381165919282511</v>
      </c>
    </row>
    <row r="3844" spans="1:10" x14ac:dyDescent="0.25">
      <c r="A3844" s="2" t="s">
        <v>9833</v>
      </c>
      <c r="B3844" s="2" t="s">
        <v>7007</v>
      </c>
      <c r="C3844" s="2" t="s">
        <v>9834</v>
      </c>
      <c r="D3844" s="2" t="s">
        <v>10055</v>
      </c>
      <c r="E3844" s="15"/>
      <c r="F3844" s="15"/>
      <c r="G3844" s="15"/>
      <c r="H3844" s="15">
        <v>-1.7299999999999999E-2</v>
      </c>
      <c r="I3844" s="15">
        <v>4.0800000000000003E-2</v>
      </c>
      <c r="J3844" s="15">
        <v>-0.42401960784313719</v>
      </c>
    </row>
    <row r="3845" spans="1:10" x14ac:dyDescent="0.25">
      <c r="A3845" s="2" t="s">
        <v>9835</v>
      </c>
      <c r="B3845" s="2" t="s">
        <v>7007</v>
      </c>
      <c r="C3845" s="2" t="s">
        <v>9836</v>
      </c>
      <c r="D3845" s="2" t="s">
        <v>10055</v>
      </c>
      <c r="E3845" s="15"/>
      <c r="F3845" s="15"/>
      <c r="G3845" s="15"/>
      <c r="H3845" s="15">
        <v>-4.4000000000000003E-3</v>
      </c>
      <c r="I3845" s="15">
        <v>4.0399999999999998E-2</v>
      </c>
      <c r="J3845" s="15">
        <v>-0.1089108910891089</v>
      </c>
    </row>
    <row r="3846" spans="1:10" x14ac:dyDescent="0.25">
      <c r="A3846" s="2" t="s">
        <v>9837</v>
      </c>
      <c r="B3846" s="2" t="s">
        <v>7007</v>
      </c>
      <c r="C3846" s="2" t="s">
        <v>9838</v>
      </c>
      <c r="D3846" s="2" t="s">
        <v>10055</v>
      </c>
      <c r="E3846" s="15"/>
      <c r="F3846" s="15"/>
      <c r="G3846" s="15"/>
      <c r="H3846" s="15">
        <v>-3.6799999999999999E-2</v>
      </c>
      <c r="I3846" s="15">
        <v>4.0800000000000003E-2</v>
      </c>
      <c r="J3846" s="15">
        <v>-0.90196078431372539</v>
      </c>
    </row>
    <row r="3847" spans="1:10" x14ac:dyDescent="0.25">
      <c r="A3847" s="2" t="s">
        <v>9839</v>
      </c>
      <c r="B3847" s="2" t="s">
        <v>7007</v>
      </c>
      <c r="C3847" s="2" t="s">
        <v>9840</v>
      </c>
      <c r="D3847" s="2" t="s">
        <v>10055</v>
      </c>
      <c r="E3847" s="15"/>
      <c r="F3847" s="15"/>
      <c r="G3847" s="15"/>
      <c r="H3847" s="15">
        <v>-1.49E-2</v>
      </c>
      <c r="I3847" s="15">
        <v>4.82E-2</v>
      </c>
      <c r="J3847" s="15">
        <v>-0.3091286307053942</v>
      </c>
    </row>
    <row r="3848" spans="1:10" x14ac:dyDescent="0.25">
      <c r="A3848" s="2" t="s">
        <v>9841</v>
      </c>
      <c r="B3848" s="2" t="s">
        <v>7007</v>
      </c>
      <c r="C3848" s="2" t="s">
        <v>9842</v>
      </c>
      <c r="D3848" s="2" t="s">
        <v>10055</v>
      </c>
      <c r="E3848" s="15"/>
      <c r="F3848" s="15"/>
      <c r="G3848" s="15"/>
      <c r="H3848" s="15">
        <v>-5.3199999999999997E-2</v>
      </c>
      <c r="I3848" s="15">
        <v>4.5699999999999998E-2</v>
      </c>
      <c r="J3848" s="15">
        <v>-1.1641137855579871</v>
      </c>
    </row>
    <row r="3849" spans="1:10" x14ac:dyDescent="0.25">
      <c r="A3849" s="2" t="s">
        <v>9843</v>
      </c>
      <c r="B3849" s="2" t="s">
        <v>7007</v>
      </c>
      <c r="C3849" s="2" t="s">
        <v>9844</v>
      </c>
      <c r="D3849" s="2" t="s">
        <v>10055</v>
      </c>
      <c r="E3849" s="15">
        <v>-3.5000000000000001E-3</v>
      </c>
      <c r="F3849" s="15">
        <v>0.12429999999999999</v>
      </c>
      <c r="G3849" s="15">
        <v>0.97740000000000005</v>
      </c>
      <c r="H3849" s="15">
        <v>7.7399999999999997E-2</v>
      </c>
      <c r="I3849" s="15">
        <v>4.5199999999999997E-2</v>
      </c>
      <c r="J3849" s="15">
        <v>1.712389380530974</v>
      </c>
    </row>
    <row r="3850" spans="1:10" x14ac:dyDescent="0.25">
      <c r="A3850" s="2" t="s">
        <v>9845</v>
      </c>
      <c r="B3850" s="2" t="s">
        <v>7007</v>
      </c>
      <c r="C3850" s="2" t="s">
        <v>9846</v>
      </c>
      <c r="D3850" s="2" t="s">
        <v>10055</v>
      </c>
      <c r="E3850" s="15"/>
      <c r="F3850" s="15"/>
      <c r="G3850" s="15"/>
      <c r="H3850" s="15">
        <v>-1.5299999999999999E-2</v>
      </c>
      <c r="I3850" s="15">
        <v>4.3400000000000001E-2</v>
      </c>
      <c r="J3850" s="15">
        <v>-0.35253456221198148</v>
      </c>
    </row>
    <row r="3851" spans="1:10" x14ac:dyDescent="0.25">
      <c r="A3851" s="2" t="s">
        <v>9847</v>
      </c>
      <c r="B3851" s="2" t="s">
        <v>7007</v>
      </c>
      <c r="C3851" s="2" t="s">
        <v>9848</v>
      </c>
      <c r="D3851" s="2" t="s">
        <v>10055</v>
      </c>
      <c r="E3851" s="15"/>
      <c r="F3851" s="15"/>
      <c r="G3851" s="15"/>
      <c r="H3851" s="15">
        <v>-1.4E-2</v>
      </c>
      <c r="I3851" s="15">
        <v>3.8600000000000002E-2</v>
      </c>
      <c r="J3851" s="15">
        <v>-0.36269430051813473</v>
      </c>
    </row>
    <row r="3852" spans="1:10" x14ac:dyDescent="0.25">
      <c r="A3852" s="2" t="s">
        <v>9849</v>
      </c>
      <c r="B3852" s="2" t="s">
        <v>7007</v>
      </c>
      <c r="C3852" s="2" t="s">
        <v>9850</v>
      </c>
      <c r="D3852" s="2" t="s">
        <v>10055</v>
      </c>
      <c r="E3852" s="15"/>
      <c r="F3852" s="15"/>
      <c r="G3852" s="15"/>
      <c r="H3852" s="15"/>
      <c r="I3852" s="15"/>
      <c r="J3852" s="15"/>
    </row>
    <row r="3853" spans="1:10" x14ac:dyDescent="0.25">
      <c r="A3853" s="2" t="s">
        <v>9851</v>
      </c>
      <c r="B3853" s="2" t="s">
        <v>7007</v>
      </c>
      <c r="C3853" s="2" t="s">
        <v>9852</v>
      </c>
      <c r="D3853" s="2" t="s">
        <v>10055</v>
      </c>
      <c r="E3853" s="15"/>
      <c r="F3853" s="15"/>
      <c r="G3853" s="15"/>
      <c r="H3853" s="15">
        <v>-1.83E-2</v>
      </c>
      <c r="I3853" s="15">
        <v>4.2200000000000001E-2</v>
      </c>
      <c r="J3853" s="15">
        <v>-0.43364928909952599</v>
      </c>
    </row>
    <row r="3854" spans="1:10" x14ac:dyDescent="0.25">
      <c r="A3854" s="2" t="s">
        <v>9853</v>
      </c>
      <c r="B3854" s="2" t="s">
        <v>7007</v>
      </c>
      <c r="C3854" s="2" t="s">
        <v>9854</v>
      </c>
      <c r="D3854" s="2" t="s">
        <v>10055</v>
      </c>
      <c r="E3854" s="15"/>
      <c r="F3854" s="15"/>
      <c r="G3854" s="15"/>
      <c r="H3854" s="15">
        <v>-7.1000000000000004E-3</v>
      </c>
      <c r="I3854" s="15">
        <v>0.04</v>
      </c>
      <c r="J3854" s="15">
        <v>-0.17749999999999999</v>
      </c>
    </row>
    <row r="3855" spans="1:10" x14ac:dyDescent="0.25">
      <c r="A3855" s="2" t="s">
        <v>9855</v>
      </c>
      <c r="B3855" s="2" t="s">
        <v>7007</v>
      </c>
      <c r="C3855" s="2" t="s">
        <v>9856</v>
      </c>
      <c r="D3855" s="2" t="s">
        <v>10055</v>
      </c>
      <c r="E3855" s="15">
        <v>-2.6700000000000002E-2</v>
      </c>
      <c r="F3855" s="15">
        <v>0.1338</v>
      </c>
      <c r="G3855" s="15">
        <v>0.84209999999999996</v>
      </c>
      <c r="H3855" s="15">
        <v>6.54E-2</v>
      </c>
      <c r="I3855" s="15">
        <v>4.1200000000000001E-2</v>
      </c>
      <c r="J3855" s="15">
        <v>1.587378640776699</v>
      </c>
    </row>
    <row r="3856" spans="1:10" x14ac:dyDescent="0.25">
      <c r="A3856" s="2" t="s">
        <v>9857</v>
      </c>
      <c r="B3856" s="2" t="s">
        <v>7007</v>
      </c>
      <c r="C3856" s="2" t="s">
        <v>9858</v>
      </c>
      <c r="D3856" s="2" t="s">
        <v>10055</v>
      </c>
      <c r="E3856" s="15"/>
      <c r="F3856" s="15"/>
      <c r="G3856" s="15"/>
      <c r="H3856" s="15">
        <v>-4.1300000000000003E-2</v>
      </c>
      <c r="I3856" s="15">
        <v>4.0500000000000001E-2</v>
      </c>
      <c r="J3856" s="15">
        <v>-1.019753086419753</v>
      </c>
    </row>
    <row r="3857" spans="1:10" x14ac:dyDescent="0.25">
      <c r="A3857" s="2" t="s">
        <v>9859</v>
      </c>
      <c r="B3857" s="2" t="s">
        <v>7007</v>
      </c>
      <c r="C3857" s="2" t="s">
        <v>9860</v>
      </c>
      <c r="D3857" s="2" t="s">
        <v>10055</v>
      </c>
      <c r="E3857" s="15">
        <v>-0.28689999999999999</v>
      </c>
      <c r="F3857" s="15">
        <v>0.28860000000000002</v>
      </c>
      <c r="G3857" s="15">
        <v>0.32019999999999998</v>
      </c>
      <c r="H3857" s="15">
        <v>2.9399999999999999E-2</v>
      </c>
      <c r="I3857" s="15">
        <v>3.8100000000000002E-2</v>
      </c>
      <c r="J3857" s="15">
        <v>0.77165354330708658</v>
      </c>
    </row>
    <row r="3858" spans="1:10" x14ac:dyDescent="0.25">
      <c r="A3858" s="2" t="s">
        <v>9861</v>
      </c>
      <c r="B3858" s="2" t="s">
        <v>7007</v>
      </c>
      <c r="C3858" s="2" t="s">
        <v>9862</v>
      </c>
      <c r="D3858" s="2" t="s">
        <v>10055</v>
      </c>
      <c r="E3858" s="15"/>
      <c r="F3858" s="15"/>
      <c r="G3858" s="15"/>
      <c r="H3858" s="15">
        <v>-5.3E-3</v>
      </c>
      <c r="I3858" s="15">
        <v>3.7900000000000003E-2</v>
      </c>
      <c r="J3858" s="15">
        <v>-0.13984168865435359</v>
      </c>
    </row>
    <row r="3859" spans="1:10" x14ac:dyDescent="0.25">
      <c r="A3859" s="2" t="s">
        <v>9863</v>
      </c>
      <c r="B3859" s="2" t="s">
        <v>7007</v>
      </c>
      <c r="C3859" s="2" t="s">
        <v>9864</v>
      </c>
      <c r="D3859" s="2" t="s">
        <v>10055</v>
      </c>
      <c r="E3859" s="15">
        <v>-0.27310000000000001</v>
      </c>
      <c r="F3859" s="15">
        <v>0.36130000000000001</v>
      </c>
      <c r="G3859" s="15">
        <v>0.44969999999999999</v>
      </c>
      <c r="H3859" s="15">
        <v>2.5100000000000001E-2</v>
      </c>
      <c r="I3859" s="15">
        <v>4.1799999999999997E-2</v>
      </c>
      <c r="J3859" s="15">
        <v>0.60047846889952161</v>
      </c>
    </row>
    <row r="3860" spans="1:10" x14ac:dyDescent="0.25">
      <c r="A3860" s="2" t="s">
        <v>9865</v>
      </c>
      <c r="B3860" s="2" t="s">
        <v>7007</v>
      </c>
      <c r="C3860" s="2" t="s">
        <v>9866</v>
      </c>
      <c r="D3860" s="2" t="s">
        <v>10055</v>
      </c>
      <c r="E3860" s="15"/>
      <c r="F3860" s="15"/>
      <c r="G3860" s="15"/>
      <c r="H3860" s="15">
        <v>-2.1499999999999998E-2</v>
      </c>
      <c r="I3860" s="15">
        <v>4.1000000000000002E-2</v>
      </c>
      <c r="J3860" s="15">
        <v>-0.52439024390243894</v>
      </c>
    </row>
    <row r="3861" spans="1:10" x14ac:dyDescent="0.25">
      <c r="A3861" s="2" t="s">
        <v>9867</v>
      </c>
      <c r="B3861" s="2" t="s">
        <v>7007</v>
      </c>
      <c r="C3861" s="2" t="s">
        <v>9868</v>
      </c>
      <c r="D3861" s="2" t="s">
        <v>10055</v>
      </c>
      <c r="E3861" s="15"/>
      <c r="F3861" s="15"/>
      <c r="G3861" s="15"/>
      <c r="H3861" s="15">
        <v>-2.3E-3</v>
      </c>
      <c r="I3861" s="15">
        <v>3.6200000000000003E-2</v>
      </c>
      <c r="J3861" s="15">
        <v>-6.3535911602209935E-2</v>
      </c>
    </row>
    <row r="3862" spans="1:10" x14ac:dyDescent="0.25">
      <c r="A3862" s="2" t="s">
        <v>9869</v>
      </c>
      <c r="B3862" s="2" t="s">
        <v>7007</v>
      </c>
      <c r="C3862" s="2" t="s">
        <v>9870</v>
      </c>
      <c r="D3862" s="2" t="s">
        <v>10055</v>
      </c>
      <c r="E3862" s="15">
        <v>-0.1704</v>
      </c>
      <c r="F3862" s="15">
        <v>0.1903</v>
      </c>
      <c r="G3862" s="15">
        <v>0.37059999999999998</v>
      </c>
      <c r="H3862" s="15">
        <v>5.5100000000000003E-2</v>
      </c>
      <c r="I3862" s="15">
        <v>4.1500000000000002E-2</v>
      </c>
      <c r="J3862" s="15">
        <v>1.3277108433734941</v>
      </c>
    </row>
    <row r="3863" spans="1:10" x14ac:dyDescent="0.25">
      <c r="A3863" s="2" t="s">
        <v>9871</v>
      </c>
      <c r="B3863" s="2" t="s">
        <v>7007</v>
      </c>
      <c r="C3863" s="2" t="s">
        <v>9872</v>
      </c>
      <c r="D3863" s="2" t="s">
        <v>10055</v>
      </c>
      <c r="E3863" s="15">
        <v>0.28460000000000002</v>
      </c>
      <c r="F3863" s="15">
        <v>0.35659999999999997</v>
      </c>
      <c r="G3863" s="15">
        <v>0.42470000000000002</v>
      </c>
      <c r="H3863" s="15">
        <v>2.4E-2</v>
      </c>
      <c r="I3863" s="15">
        <v>4.2000000000000003E-2</v>
      </c>
      <c r="J3863" s="15">
        <v>0.5714285714285714</v>
      </c>
    </row>
    <row r="3864" spans="1:10" x14ac:dyDescent="0.25">
      <c r="A3864" s="2" t="s">
        <v>9873</v>
      </c>
      <c r="B3864" s="2" t="s">
        <v>7007</v>
      </c>
      <c r="C3864" s="2" t="s">
        <v>9874</v>
      </c>
      <c r="D3864" s="2" t="s">
        <v>10055</v>
      </c>
      <c r="E3864" s="15"/>
      <c r="F3864" s="15"/>
      <c r="G3864" s="15"/>
      <c r="H3864" s="15">
        <v>-2.9899999999999999E-2</v>
      </c>
      <c r="I3864" s="15">
        <v>3.9899999999999998E-2</v>
      </c>
      <c r="J3864" s="15">
        <v>-0.74937343358395991</v>
      </c>
    </row>
    <row r="3865" spans="1:10" x14ac:dyDescent="0.25">
      <c r="A3865" s="2" t="s">
        <v>9875</v>
      </c>
      <c r="B3865" s="2" t="s">
        <v>7007</v>
      </c>
      <c r="C3865" s="2" t="s">
        <v>9876</v>
      </c>
      <c r="D3865" s="2" t="s">
        <v>10055</v>
      </c>
      <c r="E3865" s="15">
        <v>0.2135</v>
      </c>
      <c r="F3865" s="15">
        <v>0.2175</v>
      </c>
      <c r="G3865" s="15">
        <v>0.32629999999999998</v>
      </c>
      <c r="H3865" s="15">
        <v>3.5999999999999997E-2</v>
      </c>
      <c r="I3865" s="15">
        <v>3.8600000000000002E-2</v>
      </c>
      <c r="J3865" s="15">
        <v>0.932642487046632</v>
      </c>
    </row>
    <row r="3866" spans="1:10" x14ac:dyDescent="0.25">
      <c r="A3866" s="2" t="s">
        <v>9877</v>
      </c>
      <c r="B3866" s="2" t="s">
        <v>7007</v>
      </c>
      <c r="C3866" s="2" t="s">
        <v>9878</v>
      </c>
      <c r="D3866" s="2" t="s">
        <v>10055</v>
      </c>
      <c r="E3866" s="15">
        <v>-7.46E-2</v>
      </c>
      <c r="F3866" s="15">
        <v>0.23730000000000001</v>
      </c>
      <c r="G3866" s="15">
        <v>0.75309999999999999</v>
      </c>
      <c r="H3866" s="15">
        <v>2.2200000000000001E-2</v>
      </c>
      <c r="I3866" s="15">
        <v>3.9600000000000003E-2</v>
      </c>
      <c r="J3866" s="15">
        <v>0.56060606060606055</v>
      </c>
    </row>
    <row r="3867" spans="1:10" x14ac:dyDescent="0.25">
      <c r="A3867" s="2" t="s">
        <v>9879</v>
      </c>
      <c r="B3867" s="2" t="s">
        <v>7007</v>
      </c>
      <c r="C3867" s="2" t="s">
        <v>9880</v>
      </c>
      <c r="D3867" s="2" t="s">
        <v>10055</v>
      </c>
      <c r="E3867" s="15"/>
      <c r="F3867" s="15"/>
      <c r="G3867" s="15"/>
      <c r="H3867" s="15">
        <v>-3.39E-2</v>
      </c>
      <c r="I3867" s="15">
        <v>4.1799999999999997E-2</v>
      </c>
      <c r="J3867" s="15">
        <v>-0.81100478468899528</v>
      </c>
    </row>
    <row r="3868" spans="1:10" x14ac:dyDescent="0.25">
      <c r="A3868" s="2" t="s">
        <v>9881</v>
      </c>
      <c r="B3868" s="2" t="s">
        <v>7007</v>
      </c>
      <c r="C3868" s="2" t="s">
        <v>9882</v>
      </c>
      <c r="D3868" s="2" t="s">
        <v>10055</v>
      </c>
      <c r="E3868" s="15">
        <v>3.6200000000000003E-2</v>
      </c>
      <c r="F3868" s="15">
        <v>0.1221</v>
      </c>
      <c r="G3868" s="15">
        <v>0.76680000000000004</v>
      </c>
      <c r="H3868" s="15">
        <v>7.6999999999999999E-2</v>
      </c>
      <c r="I3868" s="15">
        <v>3.7199999999999997E-2</v>
      </c>
      <c r="J3868" s="15">
        <v>2.06989247311828</v>
      </c>
    </row>
    <row r="3869" spans="1:10" x14ac:dyDescent="0.25">
      <c r="A3869" s="2" t="s">
        <v>9883</v>
      </c>
      <c r="B3869" s="2" t="s">
        <v>7007</v>
      </c>
      <c r="C3869" s="2" t="s">
        <v>9884</v>
      </c>
      <c r="D3869" s="2" t="s">
        <v>10055</v>
      </c>
      <c r="E3869" s="15"/>
      <c r="F3869" s="15"/>
      <c r="G3869" s="15"/>
      <c r="H3869" s="15">
        <v>-5.1799999999999999E-2</v>
      </c>
      <c r="I3869" s="15">
        <v>3.8399999999999997E-2</v>
      </c>
      <c r="J3869" s="15">
        <v>-1.348958333333333</v>
      </c>
    </row>
    <row r="3870" spans="1:10" x14ac:dyDescent="0.25">
      <c r="A3870" s="2" t="s">
        <v>9885</v>
      </c>
      <c r="B3870" s="2" t="s">
        <v>7007</v>
      </c>
      <c r="C3870" s="2" t="s">
        <v>9886</v>
      </c>
      <c r="D3870" s="2" t="s">
        <v>10055</v>
      </c>
      <c r="E3870" s="15">
        <v>-0.2016</v>
      </c>
      <c r="F3870" s="15">
        <v>0.21160000000000001</v>
      </c>
      <c r="G3870" s="15">
        <v>0.3407</v>
      </c>
      <c r="H3870" s="15">
        <v>3.9300000000000002E-2</v>
      </c>
      <c r="I3870" s="15">
        <v>4.1099999999999998E-2</v>
      </c>
      <c r="J3870" s="15">
        <v>0.95620437956204385</v>
      </c>
    </row>
    <row r="3871" spans="1:10" x14ac:dyDescent="0.25">
      <c r="A3871" s="2" t="s">
        <v>9887</v>
      </c>
      <c r="B3871" s="2" t="s">
        <v>7007</v>
      </c>
      <c r="C3871" s="2" t="s">
        <v>9888</v>
      </c>
      <c r="D3871" s="2" t="s">
        <v>10055</v>
      </c>
      <c r="E3871" s="15">
        <v>0.34949999999999998</v>
      </c>
      <c r="F3871" s="15">
        <v>0.2412</v>
      </c>
      <c r="G3871" s="15">
        <v>0.14729999999999999</v>
      </c>
      <c r="H3871" s="15">
        <v>0.04</v>
      </c>
      <c r="I3871" s="15">
        <v>4.2700000000000002E-2</v>
      </c>
      <c r="J3871" s="15">
        <v>0.93676814988290391</v>
      </c>
    </row>
    <row r="3872" spans="1:10" x14ac:dyDescent="0.25">
      <c r="A3872" s="2" t="s">
        <v>9889</v>
      </c>
      <c r="B3872" s="2" t="s">
        <v>7007</v>
      </c>
      <c r="C3872" s="2" t="s">
        <v>9890</v>
      </c>
      <c r="D3872" s="2" t="s">
        <v>10055</v>
      </c>
      <c r="E3872" s="15">
        <v>-7.0400000000000004E-2</v>
      </c>
      <c r="F3872" s="15">
        <v>0.18509999999999999</v>
      </c>
      <c r="G3872" s="15">
        <v>0.70350000000000001</v>
      </c>
      <c r="H3872" s="15">
        <v>3.0300000000000001E-2</v>
      </c>
      <c r="I3872" s="15">
        <v>4.1700000000000001E-2</v>
      </c>
      <c r="J3872" s="15">
        <v>0.72661870503597126</v>
      </c>
    </row>
    <row r="3873" spans="1:10" x14ac:dyDescent="0.25">
      <c r="A3873" s="2" t="s">
        <v>9891</v>
      </c>
      <c r="B3873" s="2" t="s">
        <v>7007</v>
      </c>
      <c r="C3873" s="2" t="s">
        <v>9892</v>
      </c>
      <c r="D3873" s="2" t="s">
        <v>10055</v>
      </c>
      <c r="E3873" s="15"/>
      <c r="F3873" s="15"/>
      <c r="G3873" s="15"/>
      <c r="H3873" s="15">
        <v>-6.9099999999999995E-2</v>
      </c>
      <c r="I3873" s="15">
        <v>4.0500000000000001E-2</v>
      </c>
      <c r="J3873" s="15">
        <v>-1.706172839506173</v>
      </c>
    </row>
    <row r="3874" spans="1:10" x14ac:dyDescent="0.25">
      <c r="A3874" s="2" t="s">
        <v>9893</v>
      </c>
      <c r="B3874" s="2" t="s">
        <v>7007</v>
      </c>
      <c r="C3874" s="2" t="s">
        <v>9894</v>
      </c>
      <c r="D3874" s="2" t="s">
        <v>10055</v>
      </c>
      <c r="E3874" s="15"/>
      <c r="F3874" s="15"/>
      <c r="G3874" s="15"/>
      <c r="H3874" s="15"/>
      <c r="I3874" s="15"/>
      <c r="J3874" s="15"/>
    </row>
    <row r="3875" spans="1:10" x14ac:dyDescent="0.25">
      <c r="A3875" s="2" t="s">
        <v>9895</v>
      </c>
      <c r="B3875" s="2" t="s">
        <v>7007</v>
      </c>
      <c r="C3875" s="2" t="s">
        <v>9896</v>
      </c>
      <c r="D3875" s="2" t="s">
        <v>10055</v>
      </c>
      <c r="E3875" s="15">
        <v>-0.3039</v>
      </c>
      <c r="F3875" s="15">
        <v>0.32</v>
      </c>
      <c r="G3875" s="15">
        <v>0.34229999999999999</v>
      </c>
      <c r="H3875" s="15">
        <v>2.8899999999999999E-2</v>
      </c>
      <c r="I3875" s="15">
        <v>4.1700000000000001E-2</v>
      </c>
      <c r="J3875" s="15">
        <v>0.69304556354916058</v>
      </c>
    </row>
    <row r="3876" spans="1:10" x14ac:dyDescent="0.25">
      <c r="A3876" s="2" t="s">
        <v>9897</v>
      </c>
      <c r="B3876" s="2" t="s">
        <v>7007</v>
      </c>
      <c r="C3876" s="2" t="s">
        <v>9898</v>
      </c>
      <c r="D3876" s="2" t="s">
        <v>10055</v>
      </c>
      <c r="E3876" s="15">
        <v>5.45E-2</v>
      </c>
      <c r="F3876" s="15">
        <v>0.15010000000000001</v>
      </c>
      <c r="G3876" s="15">
        <v>0.71660000000000001</v>
      </c>
      <c r="H3876" s="15">
        <v>0.05</v>
      </c>
      <c r="I3876" s="15">
        <v>4.1399999999999999E-2</v>
      </c>
      <c r="J3876" s="15">
        <v>1.2077294685990341</v>
      </c>
    </row>
    <row r="3877" spans="1:10" x14ac:dyDescent="0.25">
      <c r="A3877" s="2" t="s">
        <v>9899</v>
      </c>
      <c r="B3877" s="2" t="s">
        <v>7007</v>
      </c>
      <c r="C3877" s="2" t="s">
        <v>9900</v>
      </c>
      <c r="D3877" s="2" t="s">
        <v>10055</v>
      </c>
      <c r="E3877" s="15"/>
      <c r="F3877" s="15"/>
      <c r="G3877" s="15"/>
      <c r="H3877" s="15">
        <v>-3.3700000000000001E-2</v>
      </c>
      <c r="I3877" s="15">
        <v>3.5200000000000002E-2</v>
      </c>
      <c r="J3877" s="15">
        <v>-0.95738636363636365</v>
      </c>
    </row>
    <row r="3878" spans="1:10" x14ac:dyDescent="0.25">
      <c r="A3878" s="2" t="s">
        <v>9901</v>
      </c>
      <c r="B3878" s="2" t="s">
        <v>7007</v>
      </c>
      <c r="C3878" s="2" t="s">
        <v>9902</v>
      </c>
      <c r="D3878" s="2" t="s">
        <v>10055</v>
      </c>
      <c r="E3878" s="15"/>
      <c r="F3878" s="15"/>
      <c r="G3878" s="15"/>
      <c r="H3878" s="15"/>
      <c r="I3878" s="15"/>
      <c r="J3878" s="15"/>
    </row>
    <row r="3879" spans="1:10" x14ac:dyDescent="0.25">
      <c r="A3879" s="2" t="s">
        <v>9903</v>
      </c>
      <c r="B3879" s="2" t="s">
        <v>7007</v>
      </c>
      <c r="C3879" s="2" t="s">
        <v>9904</v>
      </c>
      <c r="D3879" s="2" t="s">
        <v>10055</v>
      </c>
      <c r="E3879" s="15">
        <v>-6.13E-2</v>
      </c>
      <c r="F3879" s="15">
        <v>0.32740000000000002</v>
      </c>
      <c r="G3879" s="15">
        <v>0.85140000000000005</v>
      </c>
      <c r="H3879" s="15">
        <v>1.2699999999999999E-2</v>
      </c>
      <c r="I3879" s="15">
        <v>3.85E-2</v>
      </c>
      <c r="J3879" s="15">
        <v>0.32987012987012992</v>
      </c>
    </row>
    <row r="3880" spans="1:10" x14ac:dyDescent="0.25">
      <c r="A3880" s="2" t="s">
        <v>9905</v>
      </c>
      <c r="B3880" s="2" t="s">
        <v>7007</v>
      </c>
      <c r="C3880" s="2" t="s">
        <v>9906</v>
      </c>
      <c r="D3880" s="2" t="s">
        <v>10055</v>
      </c>
      <c r="E3880" s="15">
        <v>2.46E-2</v>
      </c>
      <c r="F3880" s="15">
        <v>0.17280000000000001</v>
      </c>
      <c r="G3880" s="15">
        <v>0.88660000000000005</v>
      </c>
      <c r="H3880" s="15">
        <v>4.6399999999999997E-2</v>
      </c>
      <c r="I3880" s="15">
        <v>4.1399999999999999E-2</v>
      </c>
      <c r="J3880" s="15">
        <v>1.120772946859903</v>
      </c>
    </row>
    <row r="3881" spans="1:10" x14ac:dyDescent="0.25">
      <c r="A3881" s="2" t="s">
        <v>9907</v>
      </c>
      <c r="B3881" s="2" t="s">
        <v>7007</v>
      </c>
      <c r="C3881" s="2" t="s">
        <v>9908</v>
      </c>
      <c r="D3881" s="2" t="s">
        <v>10055</v>
      </c>
      <c r="E3881" s="15"/>
      <c r="F3881" s="15"/>
      <c r="G3881" s="15"/>
      <c r="H3881" s="15">
        <v>-3.3999999999999998E-3</v>
      </c>
      <c r="I3881" s="15">
        <v>4.1099999999999998E-2</v>
      </c>
      <c r="J3881" s="15">
        <v>-8.2725060827250604E-2</v>
      </c>
    </row>
    <row r="3882" spans="1:10" x14ac:dyDescent="0.25">
      <c r="A3882" s="2" t="s">
        <v>9909</v>
      </c>
      <c r="B3882" s="2" t="s">
        <v>7007</v>
      </c>
      <c r="C3882" s="2" t="s">
        <v>9910</v>
      </c>
      <c r="D3882" s="2" t="s">
        <v>10055</v>
      </c>
      <c r="E3882" s="15">
        <v>-0.4284</v>
      </c>
      <c r="F3882" s="15">
        <v>2.1435</v>
      </c>
      <c r="G3882" s="15">
        <v>0.84160000000000001</v>
      </c>
      <c r="H3882" s="15">
        <v>1.21E-2</v>
      </c>
      <c r="I3882" s="15">
        <v>4.02E-2</v>
      </c>
      <c r="J3882" s="15">
        <v>0.30099502487562191</v>
      </c>
    </row>
    <row r="3883" spans="1:10" x14ac:dyDescent="0.25">
      <c r="A3883" s="2" t="s">
        <v>9911</v>
      </c>
      <c r="B3883" s="2" t="s">
        <v>7007</v>
      </c>
      <c r="C3883" s="2" t="s">
        <v>9912</v>
      </c>
      <c r="D3883" s="2" t="s">
        <v>10055</v>
      </c>
      <c r="E3883" s="15"/>
      <c r="F3883" s="15"/>
      <c r="G3883" s="15"/>
      <c r="H3883" s="15">
        <v>-7.7999999999999996E-3</v>
      </c>
      <c r="I3883" s="15">
        <v>3.6999999999999998E-2</v>
      </c>
      <c r="J3883" s="15">
        <v>-0.21081081081081079</v>
      </c>
    </row>
    <row r="3884" spans="1:10" x14ac:dyDescent="0.25">
      <c r="A3884" s="2" t="s">
        <v>9913</v>
      </c>
      <c r="B3884" s="2" t="s">
        <v>7007</v>
      </c>
      <c r="C3884" s="2" t="s">
        <v>9914</v>
      </c>
      <c r="D3884" s="2" t="s">
        <v>10055</v>
      </c>
      <c r="E3884" s="15">
        <v>0.18809999999999999</v>
      </c>
      <c r="F3884" s="15">
        <v>0.1134</v>
      </c>
      <c r="G3884" s="15">
        <v>9.7199999999999995E-2</v>
      </c>
      <c r="H3884" s="15">
        <v>0.11119999999999999</v>
      </c>
      <c r="I3884" s="15">
        <v>5.0700000000000002E-2</v>
      </c>
      <c r="J3884" s="15">
        <v>2.193293885601578</v>
      </c>
    </row>
    <row r="3885" spans="1:10" x14ac:dyDescent="0.25">
      <c r="A3885" s="2" t="s">
        <v>9915</v>
      </c>
      <c r="B3885" s="2" t="s">
        <v>7007</v>
      </c>
      <c r="C3885" s="2" t="s">
        <v>9916</v>
      </c>
      <c r="D3885" s="2" t="s">
        <v>10055</v>
      </c>
      <c r="E3885" s="15">
        <v>-4.8899999999999999E-2</v>
      </c>
      <c r="F3885" s="15">
        <v>0.13250000000000001</v>
      </c>
      <c r="G3885" s="15">
        <v>0.71220000000000006</v>
      </c>
      <c r="H3885" s="15">
        <v>6.3299999999999995E-2</v>
      </c>
      <c r="I3885" s="15">
        <v>4.5999999999999999E-2</v>
      </c>
      <c r="J3885" s="15">
        <v>1.3760869565217391</v>
      </c>
    </row>
    <row r="3886" spans="1:10" x14ac:dyDescent="0.25">
      <c r="A3886" s="2" t="s">
        <v>9917</v>
      </c>
      <c r="B3886" s="2" t="s">
        <v>7007</v>
      </c>
      <c r="C3886" s="2" t="s">
        <v>9918</v>
      </c>
      <c r="D3886" s="2" t="s">
        <v>10055</v>
      </c>
      <c r="E3886" s="15">
        <v>-6.8599999999999994E-2</v>
      </c>
      <c r="F3886" s="15">
        <v>0.1168</v>
      </c>
      <c r="G3886" s="15">
        <v>0.55700000000000005</v>
      </c>
      <c r="H3886" s="15">
        <v>8.0199999999999994E-2</v>
      </c>
      <c r="I3886" s="15">
        <v>4.53E-2</v>
      </c>
      <c r="J3886" s="15">
        <v>1.7704194260485651</v>
      </c>
    </row>
    <row r="3887" spans="1:10" x14ac:dyDescent="0.25">
      <c r="A3887" s="2" t="s">
        <v>9919</v>
      </c>
      <c r="B3887" s="2" t="s">
        <v>7007</v>
      </c>
      <c r="C3887" s="2" t="s">
        <v>9920</v>
      </c>
      <c r="D3887" s="2" t="s">
        <v>10055</v>
      </c>
      <c r="E3887" s="15">
        <v>-4.7100000000000003E-2</v>
      </c>
      <c r="F3887" s="15">
        <v>0.1578</v>
      </c>
      <c r="G3887" s="15">
        <v>0.76539999999999997</v>
      </c>
      <c r="H3887" s="15">
        <v>4.7500000000000001E-2</v>
      </c>
      <c r="I3887" s="15">
        <v>3.9100000000000003E-2</v>
      </c>
      <c r="J3887" s="15">
        <v>1.214833759590793</v>
      </c>
    </row>
    <row r="3888" spans="1:10" x14ac:dyDescent="0.25">
      <c r="A3888" s="2" t="s">
        <v>9921</v>
      </c>
      <c r="B3888" s="2" t="s">
        <v>7007</v>
      </c>
      <c r="C3888" s="2" t="s">
        <v>9922</v>
      </c>
      <c r="D3888" s="2" t="s">
        <v>10055</v>
      </c>
      <c r="E3888" s="15">
        <v>-5.4999999999999997E-3</v>
      </c>
      <c r="F3888" s="15">
        <v>0.18640000000000001</v>
      </c>
      <c r="G3888" s="15">
        <v>0.97640000000000005</v>
      </c>
      <c r="H3888" s="15">
        <v>3.7199999999999997E-2</v>
      </c>
      <c r="I3888" s="15">
        <v>4.0099999999999997E-2</v>
      </c>
      <c r="J3888" s="15">
        <v>0.92768079800498748</v>
      </c>
    </row>
    <row r="3889" spans="1:10" x14ac:dyDescent="0.25">
      <c r="A3889" s="2" t="s">
        <v>9923</v>
      </c>
      <c r="B3889" s="2" t="s">
        <v>7007</v>
      </c>
      <c r="C3889" s="2" t="s">
        <v>9924</v>
      </c>
      <c r="D3889" s="2" t="s">
        <v>10055</v>
      </c>
      <c r="E3889" s="15">
        <v>-2.5399999999999999E-2</v>
      </c>
      <c r="F3889" s="15">
        <v>0.1686</v>
      </c>
      <c r="G3889" s="15">
        <v>0.88019999999999998</v>
      </c>
      <c r="H3889" s="15">
        <v>2.9700000000000001E-2</v>
      </c>
      <c r="I3889" s="15">
        <v>4.2599999999999999E-2</v>
      </c>
      <c r="J3889" s="15">
        <v>0.69718309859154937</v>
      </c>
    </row>
    <row r="3890" spans="1:10" x14ac:dyDescent="0.25">
      <c r="A3890" s="2" t="s">
        <v>9925</v>
      </c>
      <c r="B3890" s="2" t="s">
        <v>7007</v>
      </c>
      <c r="C3890" s="2" t="s">
        <v>9926</v>
      </c>
      <c r="D3890" s="2" t="s">
        <v>10055</v>
      </c>
      <c r="E3890" s="15">
        <v>-0.12620000000000001</v>
      </c>
      <c r="F3890" s="15">
        <v>0.1431</v>
      </c>
      <c r="G3890" s="15">
        <v>0.37790000000000001</v>
      </c>
      <c r="H3890" s="15">
        <v>6.2100000000000002E-2</v>
      </c>
      <c r="I3890" s="15">
        <v>3.9199999999999999E-2</v>
      </c>
      <c r="J3890" s="15">
        <v>1.5841836734693879</v>
      </c>
    </row>
    <row r="3891" spans="1:10" x14ac:dyDescent="0.25">
      <c r="A3891" s="2" t="s">
        <v>9927</v>
      </c>
      <c r="B3891" s="2" t="s">
        <v>7007</v>
      </c>
      <c r="C3891" s="2" t="s">
        <v>9928</v>
      </c>
      <c r="D3891" s="2" t="s">
        <v>10055</v>
      </c>
      <c r="E3891" s="15"/>
      <c r="F3891" s="15"/>
      <c r="G3891" s="15"/>
      <c r="H3891" s="15">
        <v>-3.1899999999999998E-2</v>
      </c>
      <c r="I3891" s="15">
        <v>3.6999999999999998E-2</v>
      </c>
      <c r="J3891" s="15">
        <v>-0.86216216216216213</v>
      </c>
    </row>
    <row r="3892" spans="1:10" x14ac:dyDescent="0.25">
      <c r="A3892" s="2" t="s">
        <v>9929</v>
      </c>
      <c r="B3892" s="2" t="s">
        <v>7007</v>
      </c>
      <c r="C3892" s="2" t="s">
        <v>9930</v>
      </c>
      <c r="D3892" s="2" t="s">
        <v>10055</v>
      </c>
      <c r="E3892" s="15"/>
      <c r="F3892" s="15"/>
      <c r="G3892" s="15"/>
      <c r="H3892" s="15">
        <v>-1.32E-2</v>
      </c>
      <c r="I3892" s="15">
        <v>3.9100000000000003E-2</v>
      </c>
      <c r="J3892" s="15">
        <v>-0.33759590792838873</v>
      </c>
    </row>
    <row r="3893" spans="1:10" x14ac:dyDescent="0.25">
      <c r="A3893" s="2" t="s">
        <v>9931</v>
      </c>
      <c r="B3893" s="2" t="s">
        <v>7007</v>
      </c>
      <c r="C3893" s="2" t="s">
        <v>9932</v>
      </c>
      <c r="D3893" s="2" t="s">
        <v>10055</v>
      </c>
      <c r="E3893" s="15"/>
      <c r="F3893" s="15"/>
      <c r="G3893" s="15"/>
      <c r="H3893" s="15">
        <v>-5.1000000000000004E-3</v>
      </c>
      <c r="I3893" s="15">
        <v>4.02E-2</v>
      </c>
      <c r="J3893" s="15">
        <v>-0.12686567164179111</v>
      </c>
    </row>
    <row r="3894" spans="1:10" x14ac:dyDescent="0.25">
      <c r="A3894" s="2" t="s">
        <v>9933</v>
      </c>
      <c r="B3894" s="2" t="s">
        <v>7007</v>
      </c>
      <c r="C3894" s="2" t="s">
        <v>9934</v>
      </c>
      <c r="D3894" s="2" t="s">
        <v>10055</v>
      </c>
      <c r="E3894" s="15">
        <v>0.15659999999999999</v>
      </c>
      <c r="F3894" s="15">
        <v>0.35580000000000001</v>
      </c>
      <c r="G3894" s="15">
        <v>0.65990000000000004</v>
      </c>
      <c r="H3894" s="15">
        <v>2.0400000000000001E-2</v>
      </c>
      <c r="I3894" s="15">
        <v>4.3099999999999999E-2</v>
      </c>
      <c r="J3894" s="15">
        <v>0.47331786542923437</v>
      </c>
    </row>
    <row r="3895" spans="1:10" x14ac:dyDescent="0.25">
      <c r="A3895" s="2" t="s">
        <v>9935</v>
      </c>
      <c r="B3895" s="2" t="s">
        <v>7007</v>
      </c>
      <c r="C3895" s="2" t="s">
        <v>9936</v>
      </c>
      <c r="D3895" s="2" t="s">
        <v>10055</v>
      </c>
      <c r="E3895" s="15">
        <v>-0.1734</v>
      </c>
      <c r="F3895" s="15">
        <v>0.14230000000000001</v>
      </c>
      <c r="G3895" s="15">
        <v>0.22320000000000001</v>
      </c>
      <c r="H3895" s="15">
        <v>6.3100000000000003E-2</v>
      </c>
      <c r="I3895" s="15">
        <v>4.3900000000000002E-2</v>
      </c>
      <c r="J3895" s="15">
        <v>1.4373576309794991</v>
      </c>
    </row>
    <row r="3896" spans="1:10" x14ac:dyDescent="0.25">
      <c r="A3896" s="2" t="s">
        <v>9937</v>
      </c>
      <c r="B3896" s="2" t="s">
        <v>7007</v>
      </c>
      <c r="C3896" s="2" t="s">
        <v>9938</v>
      </c>
      <c r="D3896" s="2" t="s">
        <v>10055</v>
      </c>
      <c r="E3896" s="15"/>
      <c r="F3896" s="15"/>
      <c r="G3896" s="15"/>
      <c r="H3896" s="15">
        <v>-8.6999999999999994E-3</v>
      </c>
      <c r="I3896" s="15">
        <v>0.04</v>
      </c>
      <c r="J3896" s="15">
        <v>-0.2175</v>
      </c>
    </row>
    <row r="3897" spans="1:10" x14ac:dyDescent="0.25">
      <c r="A3897" s="2" t="s">
        <v>9939</v>
      </c>
      <c r="B3897" s="2" t="s">
        <v>7007</v>
      </c>
      <c r="C3897" s="2" t="s">
        <v>9940</v>
      </c>
      <c r="D3897" s="2" t="s">
        <v>10055</v>
      </c>
      <c r="E3897" s="15">
        <v>-0.50890000000000002</v>
      </c>
      <c r="F3897" s="15">
        <v>1.0304</v>
      </c>
      <c r="G3897" s="15">
        <v>0.62139999999999995</v>
      </c>
      <c r="H3897" s="15">
        <v>1.54E-2</v>
      </c>
      <c r="I3897" s="15">
        <v>4.2299999999999997E-2</v>
      </c>
      <c r="J3897" s="15">
        <v>0.36406619385342792</v>
      </c>
    </row>
    <row r="3898" spans="1:10" x14ac:dyDescent="0.25">
      <c r="A3898" s="2" t="s">
        <v>9941</v>
      </c>
      <c r="B3898" s="2" t="s">
        <v>7007</v>
      </c>
      <c r="C3898" s="2" t="s">
        <v>9942</v>
      </c>
      <c r="D3898" s="2" t="s">
        <v>10055</v>
      </c>
      <c r="E3898" s="15">
        <v>0.1958</v>
      </c>
      <c r="F3898" s="15">
        <v>0.1363</v>
      </c>
      <c r="G3898" s="15">
        <v>0.15090000000000001</v>
      </c>
      <c r="H3898" s="15">
        <v>6.3299999999999995E-2</v>
      </c>
      <c r="I3898" s="15">
        <v>4.2000000000000003E-2</v>
      </c>
      <c r="J3898" s="15">
        <v>1.5071428571428569</v>
      </c>
    </row>
    <row r="3899" spans="1:10" x14ac:dyDescent="0.25">
      <c r="A3899" s="2" t="s">
        <v>9943</v>
      </c>
      <c r="B3899" s="2" t="s">
        <v>7007</v>
      </c>
      <c r="C3899" s="2" t="s">
        <v>9944</v>
      </c>
      <c r="D3899" s="2" t="s">
        <v>10055</v>
      </c>
      <c r="E3899" s="15">
        <v>0.1168</v>
      </c>
      <c r="F3899" s="15">
        <v>0.12640000000000001</v>
      </c>
      <c r="G3899" s="15">
        <v>0.35539999999999999</v>
      </c>
      <c r="H3899" s="15">
        <v>8.5300000000000001E-2</v>
      </c>
      <c r="I3899" s="15">
        <v>4.2500000000000003E-2</v>
      </c>
      <c r="J3899" s="15">
        <v>2.007058823529412</v>
      </c>
    </row>
    <row r="3900" spans="1:10" x14ac:dyDescent="0.25">
      <c r="A3900" s="2" t="s">
        <v>9945</v>
      </c>
      <c r="B3900" s="2" t="s">
        <v>7007</v>
      </c>
      <c r="C3900" s="2" t="s">
        <v>9946</v>
      </c>
      <c r="D3900" s="2" t="s">
        <v>10055</v>
      </c>
      <c r="E3900" s="15">
        <v>0.3725</v>
      </c>
      <c r="F3900" s="15">
        <v>0.61270000000000002</v>
      </c>
      <c r="G3900" s="15">
        <v>0.54320000000000002</v>
      </c>
      <c r="H3900" s="15">
        <v>1.6500000000000001E-2</v>
      </c>
      <c r="I3900" s="15">
        <v>4.0099999999999997E-2</v>
      </c>
      <c r="J3900" s="15">
        <v>0.41147132169576067</v>
      </c>
    </row>
    <row r="3901" spans="1:10" x14ac:dyDescent="0.25">
      <c r="A3901" s="2" t="s">
        <v>9947</v>
      </c>
      <c r="B3901" s="2" t="s">
        <v>7007</v>
      </c>
      <c r="C3901" s="2" t="s">
        <v>9948</v>
      </c>
      <c r="D3901" s="2" t="s">
        <v>10055</v>
      </c>
      <c r="E3901" s="15"/>
      <c r="F3901" s="15"/>
      <c r="G3901" s="15"/>
      <c r="H3901" s="15">
        <v>-1.78E-2</v>
      </c>
      <c r="I3901" s="15">
        <v>3.6600000000000001E-2</v>
      </c>
      <c r="J3901" s="15">
        <v>-0.48633879781420758</v>
      </c>
    </row>
    <row r="3902" spans="1:10" x14ac:dyDescent="0.25">
      <c r="A3902" s="2" t="s">
        <v>9949</v>
      </c>
      <c r="B3902" s="2" t="s">
        <v>7007</v>
      </c>
      <c r="C3902" s="2" t="s">
        <v>9950</v>
      </c>
      <c r="D3902" s="2" t="s">
        <v>10055</v>
      </c>
      <c r="E3902" s="15"/>
      <c r="F3902" s="15"/>
      <c r="G3902" s="15"/>
      <c r="H3902" s="15">
        <v>-1.52E-2</v>
      </c>
      <c r="I3902" s="15">
        <v>3.6200000000000003E-2</v>
      </c>
      <c r="J3902" s="15">
        <v>-0.41988950276243092</v>
      </c>
    </row>
    <row r="3903" spans="1:10" x14ac:dyDescent="0.25">
      <c r="A3903" s="2" t="s">
        <v>9951</v>
      </c>
      <c r="B3903" s="2" t="s">
        <v>7007</v>
      </c>
      <c r="C3903" s="2" t="s">
        <v>9952</v>
      </c>
      <c r="D3903" s="2" t="s">
        <v>10055</v>
      </c>
      <c r="E3903" s="15"/>
      <c r="F3903" s="15"/>
      <c r="G3903" s="15"/>
      <c r="H3903" s="15">
        <v>-6.7299999999999999E-2</v>
      </c>
      <c r="I3903" s="15">
        <v>4.1700000000000001E-2</v>
      </c>
      <c r="J3903" s="15">
        <v>-1.6139088729016791</v>
      </c>
    </row>
    <row r="3904" spans="1:10" x14ac:dyDescent="0.25">
      <c r="A3904" s="2" t="s">
        <v>9953</v>
      </c>
      <c r="B3904" s="2" t="s">
        <v>7007</v>
      </c>
      <c r="C3904" s="2" t="s">
        <v>9954</v>
      </c>
      <c r="D3904" s="2" t="s">
        <v>10055</v>
      </c>
      <c r="E3904" s="15"/>
      <c r="F3904" s="15"/>
      <c r="G3904" s="15"/>
      <c r="H3904" s="15">
        <v>-3.0099999999999998E-2</v>
      </c>
      <c r="I3904" s="15">
        <v>4.3299999999999998E-2</v>
      </c>
      <c r="J3904" s="15">
        <v>-0.69515011547344108</v>
      </c>
    </row>
    <row r="3905" spans="1:10" x14ac:dyDescent="0.25">
      <c r="A3905" s="2" t="s">
        <v>9955</v>
      </c>
      <c r="B3905" s="2" t="s">
        <v>7007</v>
      </c>
      <c r="C3905" s="2" t="s">
        <v>9956</v>
      </c>
      <c r="D3905" s="2" t="s">
        <v>10055</v>
      </c>
      <c r="E3905" s="15">
        <v>-1.9800000000000002E-2</v>
      </c>
      <c r="F3905" s="15">
        <v>0.1046</v>
      </c>
      <c r="G3905" s="15">
        <v>0.84960000000000002</v>
      </c>
      <c r="H3905" s="15">
        <v>0.10680000000000001</v>
      </c>
      <c r="I3905" s="15">
        <v>4.1500000000000002E-2</v>
      </c>
      <c r="J3905" s="15">
        <v>2.573493975903614</v>
      </c>
    </row>
    <row r="3906" spans="1:10" x14ac:dyDescent="0.25">
      <c r="A3906" s="2" t="s">
        <v>9957</v>
      </c>
      <c r="B3906" s="2" t="s">
        <v>7007</v>
      </c>
      <c r="C3906" s="2" t="s">
        <v>9958</v>
      </c>
      <c r="D3906" s="2" t="s">
        <v>10055</v>
      </c>
      <c r="E3906" s="15">
        <v>-0.11990000000000001</v>
      </c>
      <c r="F3906" s="15">
        <v>0.1303</v>
      </c>
      <c r="G3906" s="15">
        <v>0.35770000000000002</v>
      </c>
      <c r="H3906" s="15">
        <v>6.9800000000000001E-2</v>
      </c>
      <c r="I3906" s="15">
        <v>4.2099999999999999E-2</v>
      </c>
      <c r="J3906" s="15">
        <v>1.6579572446555819</v>
      </c>
    </row>
    <row r="3907" spans="1:10" x14ac:dyDescent="0.25">
      <c r="A3907" s="2" t="s">
        <v>9959</v>
      </c>
      <c r="B3907" s="2" t="s">
        <v>7007</v>
      </c>
      <c r="C3907" s="2" t="s">
        <v>9960</v>
      </c>
      <c r="D3907" s="2" t="s">
        <v>10055</v>
      </c>
      <c r="E3907" s="15"/>
      <c r="F3907" s="15"/>
      <c r="G3907" s="15"/>
      <c r="H3907" s="15">
        <v>-8.3000000000000001E-3</v>
      </c>
      <c r="I3907" s="15">
        <v>3.6900000000000002E-2</v>
      </c>
      <c r="J3907" s="15">
        <v>-0.2249322493224932</v>
      </c>
    </row>
    <row r="3908" spans="1:10" x14ac:dyDescent="0.25">
      <c r="A3908" s="2" t="s">
        <v>9961</v>
      </c>
      <c r="B3908" s="2" t="s">
        <v>7007</v>
      </c>
      <c r="C3908" s="2" t="s">
        <v>9962</v>
      </c>
      <c r="D3908" s="2" t="s">
        <v>10055</v>
      </c>
      <c r="E3908" s="15">
        <v>0.1081</v>
      </c>
      <c r="F3908" s="15">
        <v>0.19700000000000001</v>
      </c>
      <c r="G3908" s="15">
        <v>0.58309999999999995</v>
      </c>
      <c r="H3908" s="15">
        <v>3.2300000000000002E-2</v>
      </c>
      <c r="I3908" s="15">
        <v>3.8199999999999998E-2</v>
      </c>
      <c r="J3908" s="15">
        <v>0.84554973821989543</v>
      </c>
    </row>
    <row r="3909" spans="1:10" x14ac:dyDescent="0.25">
      <c r="A3909" s="2" t="s">
        <v>9963</v>
      </c>
      <c r="B3909" s="2" t="s">
        <v>7007</v>
      </c>
      <c r="C3909" s="2" t="s">
        <v>9964</v>
      </c>
      <c r="D3909" s="2" t="s">
        <v>10055</v>
      </c>
      <c r="E3909" s="15">
        <v>-0.13789999999999999</v>
      </c>
      <c r="F3909" s="15">
        <v>0.16170000000000001</v>
      </c>
      <c r="G3909" s="15">
        <v>0.39369999999999999</v>
      </c>
      <c r="H3909" s="15">
        <v>6.0699999999999997E-2</v>
      </c>
      <c r="I3909" s="15">
        <v>4.0800000000000003E-2</v>
      </c>
      <c r="J3909" s="15">
        <v>1.487745098039216</v>
      </c>
    </row>
    <row r="3910" spans="1:10" x14ac:dyDescent="0.25">
      <c r="A3910" s="2" t="s">
        <v>9965</v>
      </c>
      <c r="B3910" s="2" t="s">
        <v>7007</v>
      </c>
      <c r="C3910" s="2" t="s">
        <v>9966</v>
      </c>
      <c r="D3910" s="2" t="s">
        <v>10055</v>
      </c>
      <c r="E3910" s="15"/>
      <c r="F3910" s="15"/>
      <c r="G3910" s="15"/>
      <c r="H3910" s="15">
        <v>-8.1293999999999998E-5</v>
      </c>
      <c r="I3910" s="15">
        <v>4.1799999999999997E-2</v>
      </c>
      <c r="J3910" s="15">
        <v>-1.944832535885167E-3</v>
      </c>
    </row>
    <row r="3911" spans="1:10" x14ac:dyDescent="0.25">
      <c r="A3911" s="2" t="s">
        <v>9967</v>
      </c>
      <c r="B3911" s="2" t="s">
        <v>7007</v>
      </c>
      <c r="C3911" s="2" t="s">
        <v>9968</v>
      </c>
      <c r="D3911" s="2" t="s">
        <v>10055</v>
      </c>
      <c r="E3911" s="15">
        <v>-0.318</v>
      </c>
      <c r="F3911" s="15">
        <v>0.5484</v>
      </c>
      <c r="G3911" s="15">
        <v>0.56200000000000006</v>
      </c>
      <c r="H3911" s="15">
        <v>1.7600000000000001E-2</v>
      </c>
      <c r="I3911" s="15">
        <v>4.4400000000000002E-2</v>
      </c>
      <c r="J3911" s="15">
        <v>0.3963963963963964</v>
      </c>
    </row>
    <row r="3912" spans="1:10" x14ac:dyDescent="0.25">
      <c r="A3912" s="2" t="s">
        <v>9969</v>
      </c>
      <c r="B3912" s="2" t="s">
        <v>7007</v>
      </c>
      <c r="C3912" s="2" t="s">
        <v>9970</v>
      </c>
      <c r="D3912" s="2" t="s">
        <v>10055</v>
      </c>
      <c r="E3912" s="15">
        <v>-0.26790000000000003</v>
      </c>
      <c r="F3912" s="15">
        <v>0.29959999999999998</v>
      </c>
      <c r="G3912" s="15">
        <v>0.37119999999999997</v>
      </c>
      <c r="H3912" s="15">
        <v>2.4899999999999999E-2</v>
      </c>
      <c r="I3912" s="15">
        <v>4.2000000000000003E-2</v>
      </c>
      <c r="J3912" s="15">
        <v>0.59285714285714275</v>
      </c>
    </row>
    <row r="3913" spans="1:10" x14ac:dyDescent="0.25">
      <c r="A3913" s="2" t="s">
        <v>9971</v>
      </c>
      <c r="B3913" s="2" t="s">
        <v>7007</v>
      </c>
      <c r="C3913" s="2" t="s">
        <v>9972</v>
      </c>
      <c r="D3913" s="2" t="s">
        <v>10055</v>
      </c>
      <c r="E3913" s="15"/>
      <c r="F3913" s="15"/>
      <c r="G3913" s="15"/>
      <c r="H3913" s="15">
        <v>-1.6899999999999998E-2</v>
      </c>
      <c r="I3913" s="15">
        <v>4.3200000000000002E-2</v>
      </c>
      <c r="J3913" s="15">
        <v>-0.39120370370370372</v>
      </c>
    </row>
    <row r="3914" spans="1:10" x14ac:dyDescent="0.25">
      <c r="A3914" s="2" t="s">
        <v>9973</v>
      </c>
      <c r="B3914" s="2" t="s">
        <v>7007</v>
      </c>
      <c r="C3914" s="2" t="s">
        <v>9974</v>
      </c>
      <c r="D3914" s="2" t="s">
        <v>10055</v>
      </c>
      <c r="E3914" s="15">
        <v>-0.33700000000000002</v>
      </c>
      <c r="F3914" s="15">
        <v>0.77700000000000002</v>
      </c>
      <c r="G3914" s="15">
        <v>0.66449999999999998</v>
      </c>
      <c r="H3914" s="15">
        <v>1.23E-2</v>
      </c>
      <c r="I3914" s="15">
        <v>4.0300000000000002E-2</v>
      </c>
      <c r="J3914" s="15">
        <v>0.30521091811414391</v>
      </c>
    </row>
    <row r="3915" spans="1:10" x14ac:dyDescent="0.25">
      <c r="A3915" s="2" t="s">
        <v>9975</v>
      </c>
      <c r="B3915" s="2" t="s">
        <v>7007</v>
      </c>
      <c r="C3915" s="2" t="s">
        <v>9976</v>
      </c>
      <c r="D3915" s="2" t="s">
        <v>10055</v>
      </c>
      <c r="E3915" s="15"/>
      <c r="F3915" s="15"/>
      <c r="G3915" s="15"/>
      <c r="H3915" s="15">
        <v>-5.7000000000000002E-2</v>
      </c>
      <c r="I3915" s="15">
        <v>3.6499999999999998E-2</v>
      </c>
      <c r="J3915" s="15">
        <v>-1.561643835616439</v>
      </c>
    </row>
    <row r="3916" spans="1:10" x14ac:dyDescent="0.25">
      <c r="A3916" s="2" t="s">
        <v>9977</v>
      </c>
      <c r="B3916" s="2" t="s">
        <v>9978</v>
      </c>
      <c r="C3916" s="2" t="s">
        <v>9979</v>
      </c>
      <c r="D3916" s="2" t="s">
        <v>10055</v>
      </c>
      <c r="E3916" s="15">
        <v>3.3399999999999999E-2</v>
      </c>
      <c r="F3916" s="15">
        <v>0.1216</v>
      </c>
      <c r="G3916" s="15">
        <v>0.78359999999999996</v>
      </c>
      <c r="H3916" s="15">
        <v>9.4600000000000004E-2</v>
      </c>
      <c r="I3916" s="15">
        <v>4.1200000000000001E-2</v>
      </c>
      <c r="J3916" s="15">
        <v>2.296116504854369</v>
      </c>
    </row>
    <row r="3917" spans="1:10" x14ac:dyDescent="0.25">
      <c r="A3917" s="2" t="s">
        <v>9980</v>
      </c>
      <c r="B3917" s="2" t="s">
        <v>9978</v>
      </c>
      <c r="C3917" s="2" t="s">
        <v>9981</v>
      </c>
      <c r="D3917" s="2" t="s">
        <v>10055</v>
      </c>
      <c r="E3917" s="15">
        <v>2.24E-2</v>
      </c>
      <c r="F3917" s="15">
        <v>6.4799999999999996E-2</v>
      </c>
      <c r="G3917" s="15">
        <v>0.72989999999999999</v>
      </c>
      <c r="H3917" s="15">
        <v>0.31359999999999999</v>
      </c>
      <c r="I3917" s="15">
        <v>4.9000000000000002E-2</v>
      </c>
      <c r="J3917" s="15">
        <v>6.3999999999999986</v>
      </c>
    </row>
    <row r="3918" spans="1:10" x14ac:dyDescent="0.25">
      <c r="A3918" s="2" t="s">
        <v>9982</v>
      </c>
      <c r="B3918" s="2" t="s">
        <v>9978</v>
      </c>
      <c r="C3918" s="2" t="s">
        <v>9983</v>
      </c>
      <c r="D3918" s="2" t="s">
        <v>10055</v>
      </c>
      <c r="E3918" s="15">
        <v>-9.9400000000000002E-2</v>
      </c>
      <c r="F3918" s="15">
        <v>5.9900000000000002E-2</v>
      </c>
      <c r="G3918" s="15">
        <v>9.7100000000000006E-2</v>
      </c>
      <c r="H3918" s="15">
        <v>0.32450000000000001</v>
      </c>
      <c r="I3918" s="15">
        <v>6.54E-2</v>
      </c>
      <c r="J3918" s="15">
        <v>4.9617737003058107</v>
      </c>
    </row>
    <row r="3919" spans="1:10" x14ac:dyDescent="0.25">
      <c r="A3919" s="2" t="s">
        <v>9984</v>
      </c>
      <c r="B3919" s="2" t="s">
        <v>9978</v>
      </c>
      <c r="C3919" s="2" t="s">
        <v>9985</v>
      </c>
      <c r="D3919" s="2" t="s">
        <v>10055</v>
      </c>
      <c r="E3919" s="15">
        <v>-6.5699999999999995E-2</v>
      </c>
      <c r="F3919" s="15">
        <v>7.8299999999999995E-2</v>
      </c>
      <c r="G3919" s="15">
        <v>0.40129999999999999</v>
      </c>
      <c r="H3919" s="15">
        <v>0.20480000000000001</v>
      </c>
      <c r="I3919" s="15">
        <v>4.4600000000000001E-2</v>
      </c>
      <c r="J3919" s="15">
        <v>4.5919282511210762</v>
      </c>
    </row>
    <row r="3920" spans="1:10" x14ac:dyDescent="0.25">
      <c r="A3920" s="2" t="s">
        <v>9986</v>
      </c>
      <c r="B3920" s="2" t="s">
        <v>9978</v>
      </c>
      <c r="C3920" s="2" t="s">
        <v>9987</v>
      </c>
      <c r="D3920" s="2" t="s">
        <v>10055</v>
      </c>
      <c r="E3920" s="15">
        <v>3.3300000000000003E-2</v>
      </c>
      <c r="F3920" s="15">
        <v>0.1206</v>
      </c>
      <c r="G3920" s="15">
        <v>0.78220000000000001</v>
      </c>
      <c r="H3920" s="15">
        <v>8.9099999999999999E-2</v>
      </c>
      <c r="I3920" s="15">
        <v>4.3099999999999999E-2</v>
      </c>
      <c r="J3920" s="15">
        <v>2.0672853828306259</v>
      </c>
    </row>
    <row r="3921" spans="1:10" x14ac:dyDescent="0.25">
      <c r="A3921" s="2" t="s">
        <v>9988</v>
      </c>
      <c r="B3921" s="2" t="s">
        <v>9978</v>
      </c>
      <c r="C3921" s="2" t="s">
        <v>9989</v>
      </c>
      <c r="D3921" s="2" t="s">
        <v>10055</v>
      </c>
      <c r="E3921" s="15">
        <v>-2.6800000000000001E-2</v>
      </c>
      <c r="F3921" s="15">
        <v>6.9699999999999998E-2</v>
      </c>
      <c r="G3921" s="15">
        <v>0.70040000000000002</v>
      </c>
      <c r="H3921" s="15">
        <v>0.29580000000000001</v>
      </c>
      <c r="I3921" s="15">
        <v>4.7199999999999999E-2</v>
      </c>
      <c r="J3921" s="15">
        <v>6.2669491525423728</v>
      </c>
    </row>
    <row r="3922" spans="1:10" x14ac:dyDescent="0.25">
      <c r="A3922" s="2" t="s">
        <v>9990</v>
      </c>
      <c r="B3922" s="2" t="s">
        <v>9991</v>
      </c>
      <c r="C3922" s="2" t="s">
        <v>9992</v>
      </c>
      <c r="D3922" s="2" t="s">
        <v>10056</v>
      </c>
      <c r="E3922" s="15">
        <v>0.1072</v>
      </c>
      <c r="F3922" s="15">
        <v>9.3799999999999994E-2</v>
      </c>
      <c r="G3922" s="15">
        <v>0.253</v>
      </c>
      <c r="H3922" s="15">
        <v>0.16919999999999999</v>
      </c>
      <c r="I3922" s="15">
        <v>4.99E-2</v>
      </c>
      <c r="J3922" s="15">
        <v>3.3907815631262519</v>
      </c>
    </row>
    <row r="3923" spans="1:10" x14ac:dyDescent="0.25">
      <c r="A3923" s="2" t="s">
        <v>9993</v>
      </c>
      <c r="B3923" s="2" t="s">
        <v>9994</v>
      </c>
      <c r="C3923" s="2" t="s">
        <v>9995</v>
      </c>
      <c r="D3923" s="2" t="s">
        <v>10056</v>
      </c>
      <c r="E3923" s="15">
        <v>4.7999999999999996E-3</v>
      </c>
      <c r="F3923" s="15">
        <v>6.4100000000000004E-2</v>
      </c>
      <c r="G3923" s="15">
        <v>0.94059999999999999</v>
      </c>
      <c r="H3923" s="15">
        <v>0.29580000000000001</v>
      </c>
      <c r="I3923" s="15">
        <v>4.8399999999999999E-2</v>
      </c>
      <c r="J3923" s="15">
        <v>6.1115702479338836</v>
      </c>
    </row>
    <row r="3924" spans="1:10" x14ac:dyDescent="0.25">
      <c r="A3924" s="2" t="s">
        <v>9996</v>
      </c>
      <c r="B3924" s="2" t="s">
        <v>9997</v>
      </c>
      <c r="C3924" s="2" t="s">
        <v>9998</v>
      </c>
      <c r="D3924" s="2" t="s">
        <v>10056</v>
      </c>
      <c r="E3924" s="15">
        <v>-3.0000000000000001E-3</v>
      </c>
      <c r="F3924" s="15">
        <v>9.4899999999999998E-2</v>
      </c>
      <c r="G3924" s="15">
        <v>0.97460000000000002</v>
      </c>
      <c r="H3924" s="15">
        <v>0.15310000000000001</v>
      </c>
      <c r="I3924" s="15">
        <v>4.4499999999999998E-2</v>
      </c>
      <c r="J3924" s="15">
        <v>3.440449438202247</v>
      </c>
    </row>
    <row r="3925" spans="1:10" x14ac:dyDescent="0.25">
      <c r="A3925" s="2" t="s">
        <v>9999</v>
      </c>
      <c r="B3925" s="2" t="s">
        <v>10000</v>
      </c>
      <c r="C3925" s="2" t="s">
        <v>10001</v>
      </c>
      <c r="D3925" s="2" t="s">
        <v>10056</v>
      </c>
      <c r="E3925" s="15">
        <v>-9.2200000000000004E-2</v>
      </c>
      <c r="F3925" s="15">
        <v>0.11940000000000001</v>
      </c>
      <c r="G3925" s="15">
        <v>0.44009999999999999</v>
      </c>
      <c r="H3925" s="15">
        <v>7.5899999999999995E-2</v>
      </c>
      <c r="I3925" s="15">
        <v>4.48E-2</v>
      </c>
      <c r="J3925" s="15">
        <v>1.6941964285714279</v>
      </c>
    </row>
    <row r="3926" spans="1:10" x14ac:dyDescent="0.25">
      <c r="A3926" s="2" t="s">
        <v>10002</v>
      </c>
      <c r="B3926" s="2" t="s">
        <v>10003</v>
      </c>
      <c r="C3926" s="2" t="s">
        <v>10004</v>
      </c>
      <c r="D3926" s="2" t="s">
        <v>10056</v>
      </c>
      <c r="E3926" s="15">
        <v>-3.0200000000000001E-2</v>
      </c>
      <c r="F3926" s="15">
        <v>9.6500000000000002E-2</v>
      </c>
      <c r="G3926" s="15">
        <v>0.754</v>
      </c>
      <c r="H3926" s="15">
        <v>0.12529999999999999</v>
      </c>
      <c r="I3926" s="15">
        <v>4.5999999999999999E-2</v>
      </c>
      <c r="J3926" s="15">
        <v>2.723913043478261</v>
      </c>
    </row>
    <row r="3927" spans="1:10" x14ac:dyDescent="0.25">
      <c r="A3927" s="2" t="s">
        <v>10005</v>
      </c>
      <c r="B3927" s="2" t="s">
        <v>10006</v>
      </c>
      <c r="C3927" s="2" t="s">
        <v>10007</v>
      </c>
      <c r="D3927" s="2" t="s">
        <v>10056</v>
      </c>
      <c r="E3927" s="15">
        <v>5.96E-2</v>
      </c>
      <c r="F3927" s="15">
        <v>7.1099999999999997E-2</v>
      </c>
      <c r="G3927" s="15">
        <v>0.40200000000000002</v>
      </c>
      <c r="H3927" s="15">
        <v>0.26290000000000002</v>
      </c>
      <c r="I3927" s="15">
        <v>4.8800000000000003E-2</v>
      </c>
      <c r="J3927" s="15">
        <v>5.3872950819672134</v>
      </c>
    </row>
    <row r="3928" spans="1:10" x14ac:dyDescent="0.25">
      <c r="A3928" s="2" t="s">
        <v>10008</v>
      </c>
      <c r="B3928" s="2" t="s">
        <v>10009</v>
      </c>
      <c r="C3928" s="2" t="s">
        <v>10010</v>
      </c>
      <c r="D3928" s="2" t="s">
        <v>10056</v>
      </c>
      <c r="E3928" s="15">
        <v>8.5699999999999998E-2</v>
      </c>
      <c r="F3928" s="15">
        <v>8.8099999999999998E-2</v>
      </c>
      <c r="G3928" s="15">
        <v>0.3306</v>
      </c>
      <c r="H3928" s="15">
        <v>0.214</v>
      </c>
      <c r="I3928" s="15">
        <v>5.1799999999999999E-2</v>
      </c>
      <c r="J3928" s="15">
        <v>4.1312741312741306</v>
      </c>
    </row>
    <row r="3929" spans="1:10" x14ac:dyDescent="0.25">
      <c r="A3929" s="2" t="s">
        <v>10011</v>
      </c>
      <c r="B3929" s="2" t="s">
        <v>10012</v>
      </c>
      <c r="C3929" s="2" t="s">
        <v>10013</v>
      </c>
      <c r="D3929" s="2" t="s">
        <v>10056</v>
      </c>
      <c r="E3929" s="15">
        <v>0.1711</v>
      </c>
      <c r="F3929" s="15">
        <v>8.0100000000000005E-2</v>
      </c>
      <c r="G3929" s="15">
        <v>3.2599999999999997E-2</v>
      </c>
      <c r="H3929" s="15">
        <v>0.2127</v>
      </c>
      <c r="I3929" s="15">
        <v>5.0200000000000002E-2</v>
      </c>
      <c r="J3929" s="15">
        <v>4.2370517928286846</v>
      </c>
    </row>
    <row r="3930" spans="1:10" x14ac:dyDescent="0.25">
      <c r="A3930" s="2" t="s">
        <v>10014</v>
      </c>
      <c r="B3930" s="2" t="s">
        <v>10015</v>
      </c>
      <c r="C3930" s="2" t="s">
        <v>10016</v>
      </c>
      <c r="D3930" s="2" t="s">
        <v>10056</v>
      </c>
      <c r="E3930" s="15">
        <v>6.0299999999999999E-2</v>
      </c>
      <c r="F3930" s="15">
        <v>8.1000000000000003E-2</v>
      </c>
      <c r="G3930" s="15">
        <v>0.45650000000000002</v>
      </c>
      <c r="H3930" s="15">
        <v>0.25190000000000001</v>
      </c>
      <c r="I3930" s="15">
        <v>4.7300000000000002E-2</v>
      </c>
      <c r="J3930" s="15">
        <v>5.3255813953488369</v>
      </c>
    </row>
    <row r="3931" spans="1:10" x14ac:dyDescent="0.25">
      <c r="A3931" s="2" t="s">
        <v>10017</v>
      </c>
      <c r="B3931" s="2" t="s">
        <v>10018</v>
      </c>
      <c r="C3931" s="2" t="s">
        <v>10019</v>
      </c>
      <c r="D3931" s="2" t="s">
        <v>10056</v>
      </c>
      <c r="E3931" s="15">
        <v>0.1022</v>
      </c>
      <c r="F3931" s="15">
        <v>8.0100000000000005E-2</v>
      </c>
      <c r="G3931" s="15">
        <v>0.20200000000000001</v>
      </c>
      <c r="H3931" s="15">
        <v>0.26219999999999999</v>
      </c>
      <c r="I3931" s="15">
        <v>4.99E-2</v>
      </c>
      <c r="J3931" s="15">
        <v>5.2545090180360718</v>
      </c>
    </row>
    <row r="3932" spans="1:10" x14ac:dyDescent="0.25">
      <c r="A3932" s="2" t="s">
        <v>10020</v>
      </c>
      <c r="B3932" s="2" t="s">
        <v>10021</v>
      </c>
      <c r="C3932" s="2" t="s">
        <v>10022</v>
      </c>
      <c r="D3932" s="2" t="s">
        <v>10056</v>
      </c>
      <c r="E3932" s="15">
        <v>-0.25640000000000002</v>
      </c>
      <c r="F3932" s="15">
        <v>0.1862</v>
      </c>
      <c r="G3932" s="15">
        <v>0.16850000000000001</v>
      </c>
      <c r="H3932" s="15">
        <v>4.2900000000000001E-2</v>
      </c>
      <c r="I3932" s="15">
        <v>3.7999999999999999E-2</v>
      </c>
      <c r="J3932" s="15">
        <v>1.1289473684210529</v>
      </c>
    </row>
    <row r="3933" spans="1:10" x14ac:dyDescent="0.25">
      <c r="A3933" s="2" t="s">
        <v>10023</v>
      </c>
      <c r="B3933" s="2" t="s">
        <v>10024</v>
      </c>
      <c r="C3933" s="2" t="s">
        <v>10025</v>
      </c>
      <c r="D3933" s="2" t="s">
        <v>10056</v>
      </c>
      <c r="E3933" s="15"/>
      <c r="F3933" s="15"/>
      <c r="G3933" s="15"/>
      <c r="H3933" s="15">
        <v>-1.5E-3</v>
      </c>
      <c r="I3933" s="15">
        <v>4.24E-2</v>
      </c>
      <c r="J3933" s="15">
        <v>-3.5377358490566037E-2</v>
      </c>
    </row>
    <row r="3934" spans="1:10" x14ac:dyDescent="0.25">
      <c r="A3934" s="2" t="s">
        <v>10026</v>
      </c>
      <c r="B3934" s="2" t="s">
        <v>10027</v>
      </c>
      <c r="C3934" s="2" t="s">
        <v>10028</v>
      </c>
      <c r="D3934" s="2" t="s">
        <v>10056</v>
      </c>
      <c r="E3934" s="15">
        <v>-0.14899999999999999</v>
      </c>
      <c r="F3934" s="15">
        <v>8.2900000000000001E-2</v>
      </c>
      <c r="G3934" s="15">
        <v>7.22E-2</v>
      </c>
      <c r="H3934" s="15">
        <v>0.16600000000000001</v>
      </c>
      <c r="I3934" s="15">
        <v>4.4900000000000002E-2</v>
      </c>
      <c r="J3934" s="15">
        <v>3.6971046770601341</v>
      </c>
    </row>
    <row r="3935" spans="1:10" x14ac:dyDescent="0.25">
      <c r="A3935" s="2" t="s">
        <v>10029</v>
      </c>
      <c r="B3935" s="2" t="s">
        <v>10030</v>
      </c>
      <c r="C3935" s="2" t="s">
        <v>10031</v>
      </c>
      <c r="D3935" s="2" t="s">
        <v>10056</v>
      </c>
      <c r="E3935" s="15">
        <v>-3.2399999999999998E-2</v>
      </c>
      <c r="F3935" s="15">
        <v>7.7200000000000005E-2</v>
      </c>
      <c r="G3935" s="15">
        <v>0.67459999999999998</v>
      </c>
      <c r="H3935" s="15">
        <v>0.24709999999999999</v>
      </c>
      <c r="I3935" s="15">
        <v>5.2299999999999999E-2</v>
      </c>
      <c r="J3935" s="15">
        <v>4.724665391969407</v>
      </c>
    </row>
    <row r="3936" spans="1:10" x14ac:dyDescent="0.25">
      <c r="A3936" s="2" t="s">
        <v>10032</v>
      </c>
      <c r="B3936" s="2" t="s">
        <v>10033</v>
      </c>
      <c r="C3936" s="2" t="s">
        <v>10034</v>
      </c>
      <c r="D3936" s="2" t="s">
        <v>10056</v>
      </c>
      <c r="E3936" s="15">
        <v>-0.1726</v>
      </c>
      <c r="F3936" s="15">
        <v>0.10970000000000001</v>
      </c>
      <c r="G3936" s="15">
        <v>0.11559999999999999</v>
      </c>
      <c r="H3936" s="15">
        <v>0.10780000000000001</v>
      </c>
      <c r="I3936" s="15">
        <v>4.5900000000000003E-2</v>
      </c>
      <c r="J3936" s="15">
        <v>2.3485838779956421</v>
      </c>
    </row>
    <row r="3937" spans="1:10" x14ac:dyDescent="0.25">
      <c r="A3937" s="2" t="s">
        <v>10035</v>
      </c>
      <c r="B3937" s="2" t="s">
        <v>10036</v>
      </c>
      <c r="C3937" s="2" t="s">
        <v>10037</v>
      </c>
      <c r="D3937" s="2" t="s">
        <v>10056</v>
      </c>
      <c r="E3937" s="15">
        <v>-0.38329999999999997</v>
      </c>
      <c r="F3937" s="15">
        <v>4.2873000000000001</v>
      </c>
      <c r="G3937" s="15">
        <v>0.92879999999999996</v>
      </c>
      <c r="H3937" s="15">
        <v>1.38E-2</v>
      </c>
      <c r="I3937" s="15">
        <v>4.1799999999999997E-2</v>
      </c>
      <c r="J3937" s="15">
        <v>0.33014354066985652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2D3B4-F449-4979-B3B7-8617C2F540DA}">
  <dimension ref="A1:I3937"/>
  <sheetViews>
    <sheetView workbookViewId="0"/>
  </sheetViews>
  <sheetFormatPr defaultColWidth="9" defaultRowHeight="14.25" x14ac:dyDescent="0.2"/>
  <cols>
    <col min="1" max="2" width="11" style="2" customWidth="1"/>
    <col min="3" max="3" width="62" style="2" bestFit="1" customWidth="1"/>
    <col min="4" max="4" width="33.85546875" style="2" bestFit="1" customWidth="1"/>
    <col min="5" max="5" width="14.42578125" style="15" bestFit="1" customWidth="1"/>
    <col min="6" max="6" width="10.7109375" style="15" bestFit="1" customWidth="1"/>
    <col min="7" max="7" width="8.5703125" style="15" bestFit="1" customWidth="1"/>
    <col min="8" max="8" width="9" style="15" bestFit="1" customWidth="1"/>
    <col min="9" max="9" width="14.140625" style="15" bestFit="1" customWidth="1"/>
    <col min="10" max="16384" width="9" style="2"/>
  </cols>
  <sheetData>
    <row r="1" spans="1:9" s="8" customFormat="1" x14ac:dyDescent="0.2">
      <c r="A1" s="1" t="s">
        <v>12330</v>
      </c>
    </row>
    <row r="2" spans="1:9" s="8" customFormat="1" ht="16.5" x14ac:dyDescent="0.3">
      <c r="A2" s="10" t="s">
        <v>10038</v>
      </c>
      <c r="B2" s="10" t="s">
        <v>0</v>
      </c>
      <c r="C2" s="10" t="s">
        <v>1</v>
      </c>
      <c r="D2" s="10" t="s">
        <v>10039</v>
      </c>
      <c r="E2" s="10" t="s">
        <v>12315</v>
      </c>
      <c r="F2" s="10" t="s">
        <v>10058</v>
      </c>
      <c r="G2" s="10" t="s">
        <v>12316</v>
      </c>
      <c r="H2" s="10" t="s">
        <v>10057</v>
      </c>
      <c r="I2" s="10" t="s">
        <v>12317</v>
      </c>
    </row>
    <row r="3" spans="1:9" x14ac:dyDescent="0.2">
      <c r="A3" s="2" t="s">
        <v>5</v>
      </c>
      <c r="B3" s="2" t="s">
        <v>6</v>
      </c>
      <c r="C3" s="2" t="s">
        <v>7</v>
      </c>
      <c r="D3" s="2" t="s">
        <v>10040</v>
      </c>
      <c r="E3" s="15">
        <v>-5.1999999999999998E-3</v>
      </c>
      <c r="F3" s="15">
        <v>8.14E-2</v>
      </c>
      <c r="G3" s="15">
        <v>7.4899999999999994E-2</v>
      </c>
      <c r="H3" s="15">
        <v>8.77E-2</v>
      </c>
      <c r="I3" s="15">
        <v>0.20168975069744299</v>
      </c>
    </row>
    <row r="4" spans="1:9" x14ac:dyDescent="0.2">
      <c r="A4" s="2" t="s">
        <v>8</v>
      </c>
      <c r="B4" s="2" t="s">
        <v>9</v>
      </c>
      <c r="C4" s="2" t="s">
        <v>10</v>
      </c>
      <c r="D4" s="2" t="s">
        <v>10040</v>
      </c>
      <c r="E4" s="15">
        <v>-1.6000000000000001E-3</v>
      </c>
      <c r="F4" s="15">
        <v>8.1799999999999998E-2</v>
      </c>
      <c r="G4" s="15">
        <v>7.9399999999999998E-2</v>
      </c>
      <c r="H4" s="15">
        <v>8.7800000000000003E-2</v>
      </c>
      <c r="I4" s="15">
        <v>0.19918429136716589</v>
      </c>
    </row>
    <row r="5" spans="1:9" x14ac:dyDescent="0.2">
      <c r="A5" s="2" t="s">
        <v>11</v>
      </c>
      <c r="B5" s="2" t="s">
        <v>12</v>
      </c>
      <c r="C5" s="2" t="s">
        <v>13</v>
      </c>
      <c r="D5" s="2" t="s">
        <v>10040</v>
      </c>
      <c r="E5" s="15">
        <v>4.7E-2</v>
      </c>
      <c r="F5" s="15">
        <v>6.88E-2</v>
      </c>
      <c r="G5" s="15">
        <v>8.2500000000000004E-2</v>
      </c>
      <c r="H5" s="15">
        <v>6.9500000000000006E-2</v>
      </c>
      <c r="I5" s="15">
        <v>0.32809622957808771</v>
      </c>
    </row>
    <row r="6" spans="1:9" x14ac:dyDescent="0.2">
      <c r="A6" s="2" t="s">
        <v>14</v>
      </c>
      <c r="B6" s="2" t="s">
        <v>15</v>
      </c>
      <c r="C6" s="2" t="s">
        <v>16</v>
      </c>
      <c r="D6" s="2" t="s">
        <v>10040</v>
      </c>
      <c r="E6" s="15">
        <v>4.6899999999999997E-2</v>
      </c>
      <c r="F6" s="15">
        <v>6.8699999999999997E-2</v>
      </c>
      <c r="G6" s="15">
        <v>8.2000000000000003E-2</v>
      </c>
      <c r="H6" s="15">
        <v>6.9699999999999998E-2</v>
      </c>
      <c r="I6" s="15">
        <v>0.33025841261703198</v>
      </c>
    </row>
    <row r="7" spans="1:9" x14ac:dyDescent="0.2">
      <c r="A7" s="2" t="s">
        <v>17</v>
      </c>
      <c r="B7" s="2" t="s">
        <v>18</v>
      </c>
      <c r="C7" s="2" t="s">
        <v>19</v>
      </c>
      <c r="D7" s="2" t="s">
        <v>10040</v>
      </c>
      <c r="E7" s="15">
        <v>-8.9999999999999998E-4</v>
      </c>
      <c r="F7" s="15">
        <v>7.8899999999999998E-2</v>
      </c>
      <c r="G7" s="15">
        <v>0.1008</v>
      </c>
      <c r="H7" s="15">
        <v>9.64E-2</v>
      </c>
      <c r="I7" s="15">
        <v>0.16645460323654521</v>
      </c>
    </row>
    <row r="8" spans="1:9" x14ac:dyDescent="0.2">
      <c r="A8" s="2" t="s">
        <v>20</v>
      </c>
      <c r="B8" s="2" t="s">
        <v>21</v>
      </c>
      <c r="C8" s="2" t="s">
        <v>22</v>
      </c>
      <c r="D8" s="2" t="s">
        <v>10040</v>
      </c>
      <c r="E8" s="15">
        <v>-4.0000000000000001E-3</v>
      </c>
      <c r="F8" s="15">
        <v>7.9899999999999999E-2</v>
      </c>
      <c r="G8" s="15">
        <v>0.11219999999999999</v>
      </c>
      <c r="H8" s="15">
        <v>9.6799999999999997E-2</v>
      </c>
      <c r="I8" s="15">
        <v>0.13486004395554699</v>
      </c>
    </row>
    <row r="9" spans="1:9" x14ac:dyDescent="0.2">
      <c r="A9" s="2" t="s">
        <v>23</v>
      </c>
      <c r="B9" s="2" t="s">
        <v>24</v>
      </c>
      <c r="C9" s="2" t="s">
        <v>25</v>
      </c>
      <c r="D9" s="2" t="s">
        <v>10040</v>
      </c>
      <c r="E9" s="15">
        <v>-6.3899999999999998E-2</v>
      </c>
      <c r="F9" s="15">
        <v>6.0400000000000002E-2</v>
      </c>
      <c r="G9" s="15">
        <v>0.10199999999999999</v>
      </c>
      <c r="H9" s="15">
        <v>7.5899999999999995E-2</v>
      </c>
      <c r="I9" s="15">
        <v>2.4840000270439332E-2</v>
      </c>
    </row>
    <row r="10" spans="1:9" x14ac:dyDescent="0.2">
      <c r="A10" s="2" t="s">
        <v>26</v>
      </c>
      <c r="B10" s="2" t="s">
        <v>27</v>
      </c>
      <c r="C10" s="2" t="s">
        <v>28</v>
      </c>
      <c r="D10" s="2" t="s">
        <v>10040</v>
      </c>
      <c r="E10" s="15">
        <v>-6.3100000000000003E-2</v>
      </c>
      <c r="F10" s="15">
        <v>6.1199999999999997E-2</v>
      </c>
      <c r="G10" s="15">
        <v>0.1023</v>
      </c>
      <c r="H10" s="15">
        <v>7.6300000000000007E-2</v>
      </c>
      <c r="I10" s="15">
        <v>2.5737228642750399E-2</v>
      </c>
    </row>
    <row r="11" spans="1:9" x14ac:dyDescent="0.2">
      <c r="A11" s="2" t="s">
        <v>29</v>
      </c>
      <c r="B11" s="2" t="s">
        <v>30</v>
      </c>
      <c r="C11" s="2" t="s">
        <v>31</v>
      </c>
      <c r="D11" s="2" t="s">
        <v>10040</v>
      </c>
      <c r="E11" s="15">
        <v>-4.99E-2</v>
      </c>
      <c r="F11" s="15">
        <v>7.0400000000000004E-2</v>
      </c>
      <c r="G11" s="15">
        <v>0.1353</v>
      </c>
      <c r="H11" s="15">
        <v>9.1700000000000004E-2</v>
      </c>
      <c r="I11" s="15">
        <v>3.1860365147602911E-2</v>
      </c>
    </row>
    <row r="12" spans="1:9" x14ac:dyDescent="0.2">
      <c r="A12" s="2" t="s">
        <v>32</v>
      </c>
      <c r="B12" s="2" t="s">
        <v>33</v>
      </c>
      <c r="C12" s="2" t="s">
        <v>34</v>
      </c>
      <c r="D12" s="2" t="s">
        <v>10040</v>
      </c>
      <c r="E12" s="15">
        <v>-5.0500000000000003E-2</v>
      </c>
      <c r="F12" s="15">
        <v>7.1599999999999997E-2</v>
      </c>
      <c r="G12" s="15">
        <v>0.13600000000000001</v>
      </c>
      <c r="H12" s="15">
        <v>9.3100000000000002E-2</v>
      </c>
      <c r="I12" s="15">
        <v>3.2583671158008483E-2</v>
      </c>
    </row>
    <row r="13" spans="1:9" x14ac:dyDescent="0.2">
      <c r="A13" s="2" t="s">
        <v>35</v>
      </c>
      <c r="B13" s="2" t="s">
        <v>36</v>
      </c>
      <c r="C13" s="2" t="s">
        <v>37</v>
      </c>
      <c r="D13" s="2" t="s">
        <v>10040</v>
      </c>
      <c r="E13" s="15">
        <v>5.8000000000000003E-2</v>
      </c>
      <c r="F13" s="15">
        <v>6.7500000000000004E-2</v>
      </c>
      <c r="G13" s="15">
        <v>4.8800000000000003E-2</v>
      </c>
      <c r="H13" s="15">
        <v>7.1400000000000005E-2</v>
      </c>
      <c r="I13" s="15">
        <v>0.45482474587744021</v>
      </c>
    </row>
    <row r="14" spans="1:9" x14ac:dyDescent="0.2">
      <c r="A14" s="2" t="s">
        <v>38</v>
      </c>
      <c r="B14" s="2" t="s">
        <v>39</v>
      </c>
      <c r="C14" s="2" t="s">
        <v>40</v>
      </c>
      <c r="D14" s="2" t="s">
        <v>10040</v>
      </c>
      <c r="E14" s="15">
        <v>9.7000000000000003E-2</v>
      </c>
      <c r="F14" s="15">
        <v>6.3E-2</v>
      </c>
      <c r="G14" s="15">
        <v>8.4500000000000006E-2</v>
      </c>
      <c r="H14" s="15">
        <v>7.0499999999999993E-2</v>
      </c>
      <c r="I14" s="15">
        <v>0.43802288115517812</v>
      </c>
    </row>
    <row r="15" spans="1:9" x14ac:dyDescent="0.2">
      <c r="A15" s="2" t="s">
        <v>41</v>
      </c>
      <c r="B15" s="2" t="s">
        <v>42</v>
      </c>
      <c r="C15" s="2" t="s">
        <v>43</v>
      </c>
      <c r="D15" s="2" t="s">
        <v>10040</v>
      </c>
      <c r="E15" s="15">
        <v>0.12379999999999999</v>
      </c>
      <c r="F15" s="15">
        <v>5.2999999999999999E-2</v>
      </c>
      <c r="G15" s="15">
        <v>-5.0999999999999997E-2</v>
      </c>
      <c r="H15" s="15">
        <v>5.9400000000000001E-2</v>
      </c>
      <c r="I15" s="15">
        <v>5.6766485173420827E-3</v>
      </c>
    </row>
    <row r="16" spans="1:9" x14ac:dyDescent="0.2">
      <c r="A16" s="2" t="s">
        <v>44</v>
      </c>
      <c r="B16" s="2" t="s">
        <v>45</v>
      </c>
      <c r="C16" s="2" t="s">
        <v>46</v>
      </c>
      <c r="D16" s="2" t="s">
        <v>10040</v>
      </c>
      <c r="E16" s="15">
        <v>9.7299999999999998E-2</v>
      </c>
      <c r="F16" s="15">
        <v>5.1299999999999998E-2</v>
      </c>
      <c r="G16" s="15">
        <v>-4.5699999999999998E-2</v>
      </c>
      <c r="H16" s="15">
        <v>6.2100000000000002E-2</v>
      </c>
      <c r="I16" s="15">
        <v>2.411010093963635E-2</v>
      </c>
    </row>
    <row r="17" spans="1:9" x14ac:dyDescent="0.2">
      <c r="A17" s="2" t="s">
        <v>47</v>
      </c>
      <c r="B17" s="2" t="s">
        <v>48</v>
      </c>
      <c r="C17" s="2" t="s">
        <v>49</v>
      </c>
      <c r="D17" s="2" t="s">
        <v>10040</v>
      </c>
      <c r="E17" s="15">
        <v>-3.6999999999999998E-2</v>
      </c>
      <c r="F17" s="15">
        <v>6.6000000000000003E-2</v>
      </c>
      <c r="G17" s="15">
        <v>0.128</v>
      </c>
      <c r="H17" s="15">
        <v>8.5199999999999998E-2</v>
      </c>
      <c r="I17" s="15">
        <v>4.0625500027718232E-2</v>
      </c>
    </row>
    <row r="18" spans="1:9" x14ac:dyDescent="0.2">
      <c r="A18" s="2" t="s">
        <v>50</v>
      </c>
      <c r="B18" s="2" t="s">
        <v>51</v>
      </c>
      <c r="C18" s="2" t="s">
        <v>52</v>
      </c>
      <c r="D18" s="2" t="s">
        <v>10040</v>
      </c>
      <c r="E18" s="15">
        <v>-2.8999999999999998E-3</v>
      </c>
      <c r="F18" s="15">
        <v>6.3500000000000001E-2</v>
      </c>
      <c r="G18" s="15">
        <v>0.10150000000000001</v>
      </c>
      <c r="H18" s="15">
        <v>7.8200000000000006E-2</v>
      </c>
      <c r="I18" s="15">
        <v>0.1182808130038048</v>
      </c>
    </row>
    <row r="19" spans="1:9" x14ac:dyDescent="0.2">
      <c r="A19" s="2" t="s">
        <v>53</v>
      </c>
      <c r="B19" s="2" t="s">
        <v>54</v>
      </c>
      <c r="C19" s="2" t="s">
        <v>55</v>
      </c>
      <c r="D19" s="2" t="s">
        <v>10040</v>
      </c>
      <c r="E19" s="15">
        <v>6.5299999999999997E-2</v>
      </c>
      <c r="F19" s="15">
        <v>6.2100000000000002E-2</v>
      </c>
      <c r="G19" s="15">
        <v>-7.4999999999999997E-3</v>
      </c>
      <c r="H19" s="15">
        <v>7.2800000000000004E-2</v>
      </c>
      <c r="I19" s="15">
        <v>0.19234973452300469</v>
      </c>
    </row>
    <row r="20" spans="1:9" x14ac:dyDescent="0.2">
      <c r="A20" s="2" t="s">
        <v>56</v>
      </c>
      <c r="B20" s="2" t="s">
        <v>57</v>
      </c>
      <c r="C20" s="2" t="s">
        <v>58</v>
      </c>
      <c r="D20" s="2" t="s">
        <v>10040</v>
      </c>
      <c r="E20" s="15">
        <v>1.5599999999999999E-2</v>
      </c>
      <c r="F20" s="15">
        <v>6.7799999999999999E-2</v>
      </c>
      <c r="G20" s="15">
        <v>6.7000000000000004E-2</v>
      </c>
      <c r="H20" s="15">
        <v>6.3E-2</v>
      </c>
      <c r="I20" s="15">
        <v>0.24254657337323909</v>
      </c>
    </row>
    <row r="21" spans="1:9" x14ac:dyDescent="0.2">
      <c r="A21" s="2" t="s">
        <v>59</v>
      </c>
      <c r="B21" s="2" t="s">
        <v>60</v>
      </c>
      <c r="C21" s="2" t="s">
        <v>61</v>
      </c>
      <c r="D21" s="2" t="s">
        <v>10040</v>
      </c>
      <c r="E21" s="15">
        <v>0.23089999999999999</v>
      </c>
      <c r="F21" s="15">
        <v>0.1</v>
      </c>
      <c r="G21" s="15">
        <v>6.0499999999999998E-2</v>
      </c>
      <c r="H21" s="15">
        <v>8.7800000000000003E-2</v>
      </c>
      <c r="I21" s="15">
        <v>4.4599563219300829E-2</v>
      </c>
    </row>
    <row r="22" spans="1:9" x14ac:dyDescent="0.2">
      <c r="A22" s="2" t="s">
        <v>62</v>
      </c>
      <c r="B22" s="2" t="s">
        <v>63</v>
      </c>
      <c r="C22" s="2" t="s">
        <v>64</v>
      </c>
      <c r="D22" s="2" t="s">
        <v>10040</v>
      </c>
      <c r="E22" s="15">
        <v>0.13120000000000001</v>
      </c>
      <c r="F22" s="15">
        <v>7.4399999999999994E-2</v>
      </c>
      <c r="G22" s="15">
        <v>5.1200000000000002E-2</v>
      </c>
      <c r="H22" s="15">
        <v>0.1198</v>
      </c>
      <c r="I22" s="15">
        <v>0.26445178153222909</v>
      </c>
    </row>
    <row r="23" spans="1:9" x14ac:dyDescent="0.2">
      <c r="A23" s="2" t="s">
        <v>65</v>
      </c>
      <c r="B23" s="2" t="s">
        <v>66</v>
      </c>
      <c r="C23" s="2" t="s">
        <v>67</v>
      </c>
      <c r="D23" s="2" t="s">
        <v>10040</v>
      </c>
      <c r="E23" s="15">
        <v>7.5800000000000006E-2</v>
      </c>
      <c r="F23" s="15">
        <v>8.77E-2</v>
      </c>
      <c r="G23" s="15">
        <v>0.16470000000000001</v>
      </c>
      <c r="H23" s="15">
        <v>8.43E-2</v>
      </c>
      <c r="I23" s="15">
        <v>0.18534951438676431</v>
      </c>
    </row>
    <row r="24" spans="1:9" x14ac:dyDescent="0.2">
      <c r="A24" s="2" t="s">
        <v>68</v>
      </c>
      <c r="B24" s="2" t="s">
        <v>69</v>
      </c>
      <c r="C24" s="2" t="s">
        <v>70</v>
      </c>
      <c r="D24" s="2" t="s">
        <v>10040</v>
      </c>
      <c r="E24" s="15">
        <v>-4.48E-2</v>
      </c>
      <c r="F24" s="15">
        <v>9.7900000000000001E-2</v>
      </c>
      <c r="G24" s="15">
        <v>0.14940000000000001</v>
      </c>
      <c r="H24" s="15">
        <v>0.1066</v>
      </c>
      <c r="I24" s="15">
        <v>5.1352712297714397E-2</v>
      </c>
    </row>
    <row r="25" spans="1:9" x14ac:dyDescent="0.2">
      <c r="A25" s="2" t="s">
        <v>71</v>
      </c>
      <c r="B25" s="2" t="s">
        <v>72</v>
      </c>
      <c r="C25" s="2" t="s">
        <v>73</v>
      </c>
      <c r="D25" s="2" t="s">
        <v>10040</v>
      </c>
      <c r="E25" s="15">
        <v>3.78E-2</v>
      </c>
      <c r="F25" s="15">
        <v>8.2500000000000004E-2</v>
      </c>
      <c r="G25" s="15">
        <v>-2.3199999999999998E-2</v>
      </c>
      <c r="H25" s="15">
        <v>8.5900000000000004E-2</v>
      </c>
      <c r="I25" s="15">
        <v>0.26575113638850067</v>
      </c>
    </row>
    <row r="26" spans="1:9" x14ac:dyDescent="0.2">
      <c r="A26" s="2" t="s">
        <v>74</v>
      </c>
      <c r="B26" s="2" t="s">
        <v>75</v>
      </c>
      <c r="C26" s="2" t="s">
        <v>76</v>
      </c>
      <c r="D26" s="2" t="s">
        <v>10040</v>
      </c>
      <c r="E26" s="15">
        <v>4.3999999999999997E-2</v>
      </c>
      <c r="F26" s="15">
        <v>7.6700000000000004E-2</v>
      </c>
      <c r="G26" s="15">
        <v>3.0200000000000001E-2</v>
      </c>
      <c r="H26" s="15">
        <v>7.6799999999999993E-2</v>
      </c>
      <c r="I26" s="15">
        <v>0.43699232425317758</v>
      </c>
    </row>
    <row r="27" spans="1:9" x14ac:dyDescent="0.2">
      <c r="A27" s="2" t="s">
        <v>77</v>
      </c>
      <c r="B27" s="2" t="s">
        <v>78</v>
      </c>
      <c r="C27" s="2" t="s">
        <v>79</v>
      </c>
      <c r="D27" s="2" t="s">
        <v>10040</v>
      </c>
      <c r="E27" s="15">
        <v>-1.1900000000000001E-2</v>
      </c>
      <c r="F27" s="15">
        <v>6.0400000000000002E-2</v>
      </c>
      <c r="G27" s="15">
        <v>6.1699999999999998E-2</v>
      </c>
      <c r="H27" s="15">
        <v>6.6199999999999995E-2</v>
      </c>
      <c r="I27" s="15">
        <v>0.1680998350198005</v>
      </c>
    </row>
    <row r="28" spans="1:9" x14ac:dyDescent="0.2">
      <c r="A28" s="2" t="s">
        <v>80</v>
      </c>
      <c r="B28" s="2" t="s">
        <v>81</v>
      </c>
      <c r="C28" s="2" t="s">
        <v>82</v>
      </c>
      <c r="D28" s="2" t="s">
        <v>10040</v>
      </c>
      <c r="E28" s="15">
        <v>2.3599999999999999E-2</v>
      </c>
      <c r="F28" s="15">
        <v>8.0500000000000002E-2</v>
      </c>
      <c r="G28" s="15">
        <v>-4.1700000000000001E-2</v>
      </c>
      <c r="H28" s="15">
        <v>0.10390000000000001</v>
      </c>
      <c r="I28" s="15">
        <v>0.28551416021424081</v>
      </c>
    </row>
    <row r="29" spans="1:9" x14ac:dyDescent="0.2">
      <c r="A29" s="2" t="s">
        <v>83</v>
      </c>
      <c r="B29" s="2" t="s">
        <v>84</v>
      </c>
      <c r="C29" s="2" t="s">
        <v>85</v>
      </c>
      <c r="D29" s="2" t="s">
        <v>10040</v>
      </c>
      <c r="E29" s="15">
        <v>7.0900000000000005E-2</v>
      </c>
      <c r="F29" s="15">
        <v>7.4200000000000002E-2</v>
      </c>
      <c r="G29" s="15">
        <v>0.1171</v>
      </c>
      <c r="H29" s="15">
        <v>0.1036</v>
      </c>
      <c r="I29" s="15">
        <v>0.33970234511791292</v>
      </c>
    </row>
    <row r="30" spans="1:9" x14ac:dyDescent="0.2">
      <c r="A30" s="2" t="s">
        <v>86</v>
      </c>
      <c r="B30" s="2" t="s">
        <v>87</v>
      </c>
      <c r="C30" s="2" t="s">
        <v>88</v>
      </c>
      <c r="D30" s="2" t="s">
        <v>10040</v>
      </c>
      <c r="E30" s="15">
        <v>5.5199999999999999E-2</v>
      </c>
      <c r="F30" s="15">
        <v>6.5699999999999995E-2</v>
      </c>
      <c r="G30" s="15">
        <v>-4.65E-2</v>
      </c>
      <c r="H30" s="15">
        <v>7.4700000000000003E-2</v>
      </c>
      <c r="I30" s="15">
        <v>0.1131066949219194</v>
      </c>
    </row>
    <row r="31" spans="1:9" x14ac:dyDescent="0.2">
      <c r="A31" s="2" t="s">
        <v>89</v>
      </c>
      <c r="B31" s="2" t="s">
        <v>90</v>
      </c>
      <c r="C31" s="2" t="s">
        <v>91</v>
      </c>
      <c r="D31" s="2" t="s">
        <v>10040</v>
      </c>
      <c r="E31" s="15">
        <v>8.8400000000000006E-2</v>
      </c>
      <c r="F31" s="15">
        <v>6.6500000000000004E-2</v>
      </c>
      <c r="G31" s="15">
        <v>-1.21E-2</v>
      </c>
      <c r="H31" s="15">
        <v>7.51E-2</v>
      </c>
      <c r="I31" s="15">
        <v>0.11761838952530421</v>
      </c>
    </row>
    <row r="32" spans="1:9" x14ac:dyDescent="0.2">
      <c r="A32" s="2" t="s">
        <v>92</v>
      </c>
      <c r="B32" s="2" t="s">
        <v>93</v>
      </c>
      <c r="C32" s="2" t="s">
        <v>94</v>
      </c>
      <c r="D32" s="2" t="s">
        <v>10040</v>
      </c>
      <c r="E32" s="15">
        <v>0.13250000000000001</v>
      </c>
      <c r="F32" s="15">
        <v>0.13139999999999999</v>
      </c>
      <c r="G32" s="15">
        <v>0.31219999999999998</v>
      </c>
      <c r="H32" s="15">
        <v>0.1115</v>
      </c>
      <c r="I32" s="15">
        <v>6.7946472907827016E-2</v>
      </c>
    </row>
    <row r="33" spans="1:9" x14ac:dyDescent="0.2">
      <c r="A33" s="2" t="s">
        <v>95</v>
      </c>
      <c r="B33" s="2" t="s">
        <v>96</v>
      </c>
      <c r="C33" s="2" t="s">
        <v>97</v>
      </c>
      <c r="D33" s="2" t="s">
        <v>10040</v>
      </c>
      <c r="E33" s="15">
        <v>5.5800000000000002E-2</v>
      </c>
      <c r="F33" s="15">
        <v>8.4099999999999994E-2</v>
      </c>
      <c r="G33" s="15">
        <v>0.24959999999999999</v>
      </c>
      <c r="H33" s="15">
        <v>0.11600000000000001</v>
      </c>
      <c r="I33" s="15">
        <v>6.2426916660609823E-2</v>
      </c>
    </row>
    <row r="34" spans="1:9" x14ac:dyDescent="0.2">
      <c r="A34" s="2" t="s">
        <v>98</v>
      </c>
      <c r="B34" s="2" t="s">
        <v>99</v>
      </c>
      <c r="C34" s="2" t="s">
        <v>100</v>
      </c>
      <c r="D34" s="2" t="s">
        <v>10040</v>
      </c>
      <c r="E34" s="15">
        <v>7.5300000000000006E-2</v>
      </c>
      <c r="F34" s="15">
        <v>0.1172</v>
      </c>
      <c r="G34" s="15">
        <v>9.4700000000000006E-2</v>
      </c>
      <c r="H34" s="15">
        <v>0.1024</v>
      </c>
      <c r="I34" s="15">
        <v>0.43137290929118199</v>
      </c>
    </row>
    <row r="35" spans="1:9" x14ac:dyDescent="0.2">
      <c r="A35" s="2" t="s">
        <v>101</v>
      </c>
      <c r="B35" s="2" t="s">
        <v>102</v>
      </c>
      <c r="C35" s="2" t="s">
        <v>103</v>
      </c>
      <c r="D35" s="2" t="s">
        <v>10040</v>
      </c>
      <c r="E35" s="15">
        <v>2.7000000000000001E-3</v>
      </c>
      <c r="F35" s="15">
        <v>9.2700000000000005E-2</v>
      </c>
      <c r="G35" s="15">
        <v>0.1229</v>
      </c>
      <c r="H35" s="15">
        <v>7.6700000000000004E-2</v>
      </c>
      <c r="I35" s="15">
        <v>8.5935295798461167E-2</v>
      </c>
    </row>
    <row r="36" spans="1:9" x14ac:dyDescent="0.2">
      <c r="A36" s="2" t="s">
        <v>104</v>
      </c>
      <c r="B36" s="2" t="s">
        <v>105</v>
      </c>
      <c r="C36" s="2" t="s">
        <v>106</v>
      </c>
      <c r="D36" s="2" t="s">
        <v>10040</v>
      </c>
      <c r="E36" s="15">
        <v>1.0500000000000001E-2</v>
      </c>
      <c r="F36" s="15">
        <v>9.4E-2</v>
      </c>
      <c r="G36" s="15">
        <v>0.1991</v>
      </c>
      <c r="H36" s="15">
        <v>0.1588</v>
      </c>
      <c r="I36" s="15">
        <v>0.13413981966506969</v>
      </c>
    </row>
    <row r="37" spans="1:9" x14ac:dyDescent="0.2">
      <c r="A37" s="2" t="s">
        <v>107</v>
      </c>
      <c r="B37" s="2" t="s">
        <v>108</v>
      </c>
      <c r="C37" s="2" t="s">
        <v>109</v>
      </c>
      <c r="D37" s="2" t="s">
        <v>10040</v>
      </c>
      <c r="E37" s="15">
        <v>0.14080000000000001</v>
      </c>
      <c r="F37" s="15">
        <v>0.14230000000000001</v>
      </c>
      <c r="G37" s="15">
        <v>0.1288</v>
      </c>
      <c r="H37" s="15">
        <v>0.31469999999999998</v>
      </c>
      <c r="I37" s="15">
        <v>0.48539464087194162</v>
      </c>
    </row>
    <row r="38" spans="1:9" x14ac:dyDescent="0.2">
      <c r="A38" s="2" t="s">
        <v>110</v>
      </c>
      <c r="B38" s="2" t="s">
        <v>111</v>
      </c>
      <c r="C38" s="2" t="s">
        <v>112</v>
      </c>
      <c r="D38" s="2" t="s">
        <v>10040</v>
      </c>
      <c r="G38" s="15">
        <v>0.2316</v>
      </c>
      <c r="H38" s="15">
        <v>0.22500000000000001</v>
      </c>
    </row>
    <row r="39" spans="1:9" x14ac:dyDescent="0.2">
      <c r="A39" s="2" t="s">
        <v>113</v>
      </c>
      <c r="B39" s="2" t="s">
        <v>114</v>
      </c>
      <c r="C39" s="2" t="s">
        <v>115</v>
      </c>
      <c r="D39" s="2" t="s">
        <v>10040</v>
      </c>
      <c r="E39" s="15">
        <v>2.9899999999999999E-2</v>
      </c>
      <c r="F39" s="15">
        <v>0.15260000000000001</v>
      </c>
      <c r="G39" s="15">
        <v>0.18429999999999999</v>
      </c>
      <c r="H39" s="15">
        <v>0.2268</v>
      </c>
      <c r="I39" s="15">
        <v>0.25574044077882868</v>
      </c>
    </row>
    <row r="40" spans="1:9" x14ac:dyDescent="0.2">
      <c r="A40" s="2" t="s">
        <v>116</v>
      </c>
      <c r="B40" s="2" t="s">
        <v>117</v>
      </c>
      <c r="C40" s="2" t="s">
        <v>118</v>
      </c>
      <c r="D40" s="2" t="s">
        <v>10040</v>
      </c>
      <c r="E40" s="15">
        <v>4.0599999999999997E-2</v>
      </c>
      <c r="F40" s="15">
        <v>7.8200000000000006E-2</v>
      </c>
      <c r="G40" s="15">
        <v>-0.13869999999999999</v>
      </c>
      <c r="H40" s="15">
        <v>0.1075</v>
      </c>
      <c r="I40" s="15">
        <v>6.6758738665921122E-2</v>
      </c>
    </row>
    <row r="41" spans="1:9" x14ac:dyDescent="0.2">
      <c r="A41" s="2" t="s">
        <v>119</v>
      </c>
      <c r="B41" s="2" t="s">
        <v>120</v>
      </c>
      <c r="C41" s="2" t="s">
        <v>121</v>
      </c>
      <c r="D41" s="2" t="s">
        <v>10040</v>
      </c>
      <c r="E41" s="15">
        <v>-6.5699999999999995E-2</v>
      </c>
      <c r="F41" s="15">
        <v>7.9799999999999996E-2</v>
      </c>
      <c r="G41" s="15">
        <v>-0.1502</v>
      </c>
      <c r="H41" s="15">
        <v>0.14119999999999999</v>
      </c>
      <c r="I41" s="15">
        <v>0.28582794499109021</v>
      </c>
    </row>
    <row r="42" spans="1:9" x14ac:dyDescent="0.2">
      <c r="A42" s="2" t="s">
        <v>122</v>
      </c>
      <c r="B42" s="2" t="s">
        <v>123</v>
      </c>
      <c r="C42" s="2" t="s">
        <v>124</v>
      </c>
      <c r="D42" s="2" t="s">
        <v>10040</v>
      </c>
      <c r="E42" s="15">
        <v>-1.2500000000000001E-2</v>
      </c>
      <c r="F42" s="15">
        <v>7.9000000000000001E-2</v>
      </c>
      <c r="G42" s="15">
        <v>6.9500000000000006E-2</v>
      </c>
      <c r="H42" s="15">
        <v>0.1012</v>
      </c>
      <c r="I42" s="15">
        <v>0.2292881242002632</v>
      </c>
    </row>
    <row r="43" spans="1:9" x14ac:dyDescent="0.2">
      <c r="A43" s="2" t="s">
        <v>125</v>
      </c>
      <c r="B43" s="2" t="s">
        <v>126</v>
      </c>
      <c r="C43" s="2" t="s">
        <v>127</v>
      </c>
      <c r="D43" s="2" t="s">
        <v>10040</v>
      </c>
      <c r="E43" s="15">
        <v>-0.04</v>
      </c>
      <c r="F43" s="15">
        <v>7.2300000000000003E-2</v>
      </c>
      <c r="G43" s="15">
        <v>7.0400000000000004E-2</v>
      </c>
      <c r="H43" s="15">
        <v>9.2299999999999993E-2</v>
      </c>
      <c r="I43" s="15">
        <v>0.1443038482016929</v>
      </c>
    </row>
    <row r="44" spans="1:9" x14ac:dyDescent="0.2">
      <c r="A44" s="2" t="s">
        <v>128</v>
      </c>
      <c r="B44" s="2" t="s">
        <v>129</v>
      </c>
      <c r="C44" s="2" t="s">
        <v>130</v>
      </c>
      <c r="D44" s="2" t="s">
        <v>10040</v>
      </c>
      <c r="E44" s="15">
        <v>-2.3699999999999999E-2</v>
      </c>
      <c r="F44" s="15">
        <v>0.1242</v>
      </c>
      <c r="G44" s="15">
        <v>-5.9400000000000001E-2</v>
      </c>
      <c r="H44" s="15">
        <v>8.09E-2</v>
      </c>
      <c r="I44" s="15">
        <v>0.35284315620927698</v>
      </c>
    </row>
    <row r="45" spans="1:9" x14ac:dyDescent="0.2">
      <c r="A45" s="2" t="s">
        <v>131</v>
      </c>
      <c r="B45" s="2" t="s">
        <v>132</v>
      </c>
      <c r="C45" s="2" t="s">
        <v>133</v>
      </c>
      <c r="D45" s="2" t="s">
        <v>10040</v>
      </c>
      <c r="E45" s="15">
        <v>8.2299999999999998E-2</v>
      </c>
      <c r="F45" s="15">
        <v>0.13070000000000001</v>
      </c>
      <c r="G45" s="15">
        <v>0.11169999999999999</v>
      </c>
      <c r="H45" s="15">
        <v>0.1114</v>
      </c>
      <c r="I45" s="15">
        <v>0.40581765695547972</v>
      </c>
    </row>
    <row r="46" spans="1:9" x14ac:dyDescent="0.2">
      <c r="A46" s="2" t="s">
        <v>134</v>
      </c>
      <c r="B46" s="2" t="s">
        <v>135</v>
      </c>
      <c r="C46" s="2" t="s">
        <v>136</v>
      </c>
      <c r="D46" s="2" t="s">
        <v>10040</v>
      </c>
      <c r="E46" s="15">
        <v>9.4399999999999998E-2</v>
      </c>
      <c r="F46" s="15">
        <v>0.1082</v>
      </c>
    </row>
    <row r="47" spans="1:9" x14ac:dyDescent="0.2">
      <c r="A47" s="2" t="s">
        <v>137</v>
      </c>
      <c r="B47" s="2" t="s">
        <v>138</v>
      </c>
      <c r="C47" s="2" t="s">
        <v>139</v>
      </c>
      <c r="D47" s="2" t="s">
        <v>10040</v>
      </c>
      <c r="E47" s="15">
        <v>5.5E-2</v>
      </c>
      <c r="F47" s="15">
        <v>7.0699999999999999E-2</v>
      </c>
      <c r="G47" s="15">
        <v>-3.9199999999999999E-2</v>
      </c>
      <c r="H47" s="15">
        <v>9.2700000000000005E-2</v>
      </c>
      <c r="I47" s="15">
        <v>0.18185684513858519</v>
      </c>
    </row>
    <row r="48" spans="1:9" x14ac:dyDescent="0.2">
      <c r="A48" s="2" t="s">
        <v>140</v>
      </c>
      <c r="B48" s="2" t="s">
        <v>141</v>
      </c>
      <c r="C48" s="2" t="s">
        <v>142</v>
      </c>
      <c r="D48" s="2" t="s">
        <v>10040</v>
      </c>
      <c r="E48" s="15">
        <v>3.2399999999999998E-2</v>
      </c>
      <c r="F48" s="15">
        <v>0.1076</v>
      </c>
      <c r="G48" s="15">
        <v>4.9399999999999999E-2</v>
      </c>
      <c r="H48" s="15">
        <v>7.9399999999999998E-2</v>
      </c>
      <c r="I48" s="15">
        <v>0.42803408901441659</v>
      </c>
    </row>
    <row r="49" spans="1:9" x14ac:dyDescent="0.2">
      <c r="A49" s="2" t="s">
        <v>143</v>
      </c>
      <c r="B49" s="2" t="s">
        <v>144</v>
      </c>
      <c r="C49" s="2" t="s">
        <v>145</v>
      </c>
      <c r="D49" s="2" t="s">
        <v>10040</v>
      </c>
      <c r="E49" s="15">
        <v>9.9599999999999994E-2</v>
      </c>
      <c r="F49" s="15">
        <v>0.24329999999999999</v>
      </c>
      <c r="G49" s="15">
        <v>-1.6899999999999998E-2</v>
      </c>
      <c r="H49" s="15">
        <v>8.6999999999999994E-2</v>
      </c>
      <c r="I49" s="15">
        <v>0.1232906687971982</v>
      </c>
    </row>
    <row r="50" spans="1:9" x14ac:dyDescent="0.2">
      <c r="A50" s="2" t="s">
        <v>146</v>
      </c>
      <c r="B50" s="2" t="s">
        <v>147</v>
      </c>
      <c r="C50" s="2" t="s">
        <v>148</v>
      </c>
      <c r="D50" s="2" t="s">
        <v>10040</v>
      </c>
      <c r="E50" s="15">
        <v>6.1699999999999998E-2</v>
      </c>
      <c r="F50" s="15">
        <v>7.9000000000000001E-2</v>
      </c>
      <c r="G50" s="15">
        <v>9.5000000000000001E-2</v>
      </c>
      <c r="H50" s="15">
        <v>0.1221</v>
      </c>
      <c r="I50" s="15">
        <v>0.39862411329281727</v>
      </c>
    </row>
    <row r="51" spans="1:9" x14ac:dyDescent="0.2">
      <c r="A51" s="2" t="s">
        <v>149</v>
      </c>
      <c r="B51" s="2" t="s">
        <v>150</v>
      </c>
      <c r="C51" s="2" t="s">
        <v>151</v>
      </c>
      <c r="D51" s="2" t="s">
        <v>10040</v>
      </c>
      <c r="E51" s="15">
        <v>-0.12909999999999999</v>
      </c>
      <c r="F51" s="15">
        <v>8.0399999999999999E-2</v>
      </c>
      <c r="G51" s="15">
        <v>8.6900000000000005E-2</v>
      </c>
      <c r="H51" s="15">
        <v>8.8400000000000006E-2</v>
      </c>
      <c r="I51" s="15">
        <v>1.475735756091338E-2</v>
      </c>
    </row>
    <row r="52" spans="1:9" x14ac:dyDescent="0.2">
      <c r="A52" s="2" t="s">
        <v>152</v>
      </c>
      <c r="B52" s="2" t="s">
        <v>153</v>
      </c>
      <c r="C52" s="2" t="s">
        <v>154</v>
      </c>
      <c r="D52" s="2" t="s">
        <v>10040</v>
      </c>
      <c r="E52" s="15">
        <v>-0.1211</v>
      </c>
      <c r="F52" s="15">
        <v>0.1086</v>
      </c>
    </row>
    <row r="53" spans="1:9" x14ac:dyDescent="0.2">
      <c r="A53" s="2" t="s">
        <v>155</v>
      </c>
      <c r="B53" s="2" t="s">
        <v>156</v>
      </c>
      <c r="C53" s="2" t="s">
        <v>157</v>
      </c>
      <c r="D53" s="2" t="s">
        <v>10040</v>
      </c>
      <c r="E53" s="15">
        <v>-3.56E-2</v>
      </c>
      <c r="F53" s="15">
        <v>9.0200000000000002E-2</v>
      </c>
      <c r="G53" s="15">
        <v>2.06E-2</v>
      </c>
      <c r="H53" s="15">
        <v>0.1197</v>
      </c>
      <c r="I53" s="15">
        <v>0.33527075752443591</v>
      </c>
    </row>
    <row r="54" spans="1:9" x14ac:dyDescent="0.2">
      <c r="A54" s="2" t="s">
        <v>158</v>
      </c>
      <c r="B54" s="2" t="s">
        <v>159</v>
      </c>
      <c r="C54" s="2" t="s">
        <v>160</v>
      </c>
      <c r="D54" s="2" t="s">
        <v>10040</v>
      </c>
      <c r="E54" s="15">
        <v>0.1163</v>
      </c>
      <c r="F54" s="15">
        <v>9.6100000000000005E-2</v>
      </c>
      <c r="G54" s="15">
        <v>2.5399999999999999E-2</v>
      </c>
      <c r="H54" s="15">
        <v>8.5599999999999996E-2</v>
      </c>
      <c r="I54" s="15">
        <v>0.17800494103200429</v>
      </c>
    </row>
    <row r="55" spans="1:9" x14ac:dyDescent="0.2">
      <c r="A55" s="2" t="s">
        <v>161</v>
      </c>
      <c r="B55" s="2" t="s">
        <v>162</v>
      </c>
      <c r="C55" s="2" t="s">
        <v>163</v>
      </c>
      <c r="D55" s="2" t="s">
        <v>10040</v>
      </c>
      <c r="E55" s="15">
        <v>0.20180000000000001</v>
      </c>
      <c r="F55" s="15">
        <v>0.1147</v>
      </c>
      <c r="G55" s="15">
        <v>-2.29E-2</v>
      </c>
      <c r="H55" s="15">
        <v>9.3700000000000006E-2</v>
      </c>
      <c r="I55" s="15">
        <v>1.6636733198718581E-2</v>
      </c>
    </row>
    <row r="56" spans="1:9" x14ac:dyDescent="0.2">
      <c r="A56" s="2" t="s">
        <v>164</v>
      </c>
      <c r="B56" s="2" t="s">
        <v>165</v>
      </c>
      <c r="C56" s="2" t="s">
        <v>166</v>
      </c>
      <c r="D56" s="2" t="s">
        <v>10040</v>
      </c>
      <c r="E56" s="15">
        <v>0.20860000000000001</v>
      </c>
      <c r="F56" s="15">
        <v>0.1104</v>
      </c>
      <c r="G56" s="15">
        <v>-8.5000000000000006E-3</v>
      </c>
      <c r="H56" s="15">
        <v>9.8799999999999999E-2</v>
      </c>
      <c r="I56" s="15">
        <v>2.621326172206449E-2</v>
      </c>
    </row>
    <row r="57" spans="1:9" x14ac:dyDescent="0.2">
      <c r="A57" s="2" t="s">
        <v>167</v>
      </c>
      <c r="B57" s="2" t="s">
        <v>168</v>
      </c>
      <c r="C57" s="2" t="s">
        <v>169</v>
      </c>
      <c r="D57" s="2" t="s">
        <v>10040</v>
      </c>
      <c r="E57" s="15">
        <v>2.76E-2</v>
      </c>
      <c r="F57" s="15">
        <v>9.1600000000000001E-2</v>
      </c>
      <c r="G57" s="15">
        <v>5.8599999999999999E-2</v>
      </c>
      <c r="H57" s="15">
        <v>8.2500000000000004E-2</v>
      </c>
      <c r="I57" s="15">
        <v>0.37621225586881379</v>
      </c>
    </row>
    <row r="58" spans="1:9" x14ac:dyDescent="0.2">
      <c r="A58" s="2" t="s">
        <v>170</v>
      </c>
      <c r="B58" s="2" t="s">
        <v>171</v>
      </c>
      <c r="C58" s="2" t="s">
        <v>172</v>
      </c>
      <c r="D58" s="2" t="s">
        <v>10040</v>
      </c>
      <c r="E58" s="15">
        <v>-2.64E-2</v>
      </c>
      <c r="F58" s="15">
        <v>8.3900000000000002E-2</v>
      </c>
      <c r="G58" s="15">
        <v>-8.6699999999999999E-2</v>
      </c>
      <c r="H58" s="15">
        <v>0.1016</v>
      </c>
      <c r="I58" s="15">
        <v>0.29885615668047671</v>
      </c>
    </row>
    <row r="59" spans="1:9" x14ac:dyDescent="0.2">
      <c r="A59" s="2" t="s">
        <v>173</v>
      </c>
      <c r="B59" s="2" t="s">
        <v>174</v>
      </c>
      <c r="C59" s="2" t="s">
        <v>175</v>
      </c>
      <c r="D59" s="2" t="s">
        <v>10040</v>
      </c>
      <c r="E59" s="15">
        <v>2.64E-2</v>
      </c>
      <c r="F59" s="15">
        <v>8.2699999999999996E-2</v>
      </c>
      <c r="G59" s="15">
        <v>-5.4300000000000001E-2</v>
      </c>
      <c r="H59" s="15">
        <v>8.6400000000000005E-2</v>
      </c>
      <c r="I59" s="15">
        <v>0.2103618577658618</v>
      </c>
    </row>
    <row r="60" spans="1:9" x14ac:dyDescent="0.2">
      <c r="A60" s="2" t="s">
        <v>176</v>
      </c>
      <c r="B60" s="2" t="s">
        <v>177</v>
      </c>
      <c r="C60" s="2" t="s">
        <v>178</v>
      </c>
      <c r="D60" s="2" t="s">
        <v>10040</v>
      </c>
      <c r="E60" s="15">
        <v>-8.8200000000000001E-2</v>
      </c>
      <c r="F60" s="15">
        <v>0.1469</v>
      </c>
      <c r="G60" s="15">
        <v>-4.6699999999999998E-2</v>
      </c>
      <c r="H60" s="15">
        <v>0.1283</v>
      </c>
      <c r="I60" s="15">
        <v>0.38432658060788999</v>
      </c>
    </row>
    <row r="61" spans="1:9" x14ac:dyDescent="0.2">
      <c r="A61" s="2" t="s">
        <v>179</v>
      </c>
      <c r="B61" s="2" t="s">
        <v>180</v>
      </c>
      <c r="C61" s="2" t="s">
        <v>181</v>
      </c>
      <c r="D61" s="2" t="s">
        <v>10040</v>
      </c>
      <c r="E61" s="15">
        <v>-0.17660000000000001</v>
      </c>
      <c r="F61" s="15">
        <v>0.1094</v>
      </c>
      <c r="G61" s="15">
        <v>-9.2999999999999999E-2</v>
      </c>
      <c r="H61" s="15">
        <v>0.11260000000000001</v>
      </c>
      <c r="I61" s="15">
        <v>0.25234750167847081</v>
      </c>
    </row>
    <row r="62" spans="1:9" x14ac:dyDescent="0.2">
      <c r="A62" s="2" t="s">
        <v>182</v>
      </c>
      <c r="B62" s="2" t="s">
        <v>183</v>
      </c>
      <c r="C62" s="2" t="s">
        <v>184</v>
      </c>
      <c r="D62" s="2" t="s">
        <v>10040</v>
      </c>
      <c r="E62" s="15">
        <v>-2.69E-2</v>
      </c>
      <c r="F62" s="15">
        <v>8.9899999999999994E-2</v>
      </c>
      <c r="G62" s="15">
        <v>-0.1022</v>
      </c>
      <c r="H62" s="15">
        <v>0.1578</v>
      </c>
      <c r="I62" s="15">
        <v>0.33164584755001691</v>
      </c>
    </row>
    <row r="63" spans="1:9" x14ac:dyDescent="0.2">
      <c r="A63" s="2" t="s">
        <v>185</v>
      </c>
      <c r="B63" s="2" t="s">
        <v>186</v>
      </c>
      <c r="C63" s="2" t="s">
        <v>187</v>
      </c>
      <c r="D63" s="2" t="s">
        <v>10040</v>
      </c>
      <c r="E63" s="15">
        <v>0.1883</v>
      </c>
      <c r="F63" s="15">
        <v>0.44450000000000001</v>
      </c>
      <c r="G63" s="15">
        <v>-7.5200000000000003E-2</v>
      </c>
      <c r="H63" s="15">
        <v>0.1143</v>
      </c>
      <c r="I63" s="15">
        <v>2.951922620212357E-2</v>
      </c>
    </row>
    <row r="64" spans="1:9" x14ac:dyDescent="0.2">
      <c r="A64" s="2" t="s">
        <v>188</v>
      </c>
      <c r="B64" s="2" t="s">
        <v>189</v>
      </c>
      <c r="C64" s="2" t="s">
        <v>190</v>
      </c>
      <c r="D64" s="2" t="s">
        <v>10040</v>
      </c>
      <c r="E64" s="15">
        <v>-0.2666</v>
      </c>
      <c r="F64" s="15">
        <v>0.19600000000000001</v>
      </c>
      <c r="G64" s="15">
        <v>-0.30830000000000002</v>
      </c>
      <c r="H64" s="15">
        <v>0.21099999999999999</v>
      </c>
      <c r="I64" s="15">
        <v>0.42465492221845919</v>
      </c>
    </row>
    <row r="65" spans="1:9" x14ac:dyDescent="0.2">
      <c r="A65" s="2" t="s">
        <v>191</v>
      </c>
      <c r="B65" s="2" t="s">
        <v>192</v>
      </c>
      <c r="C65" s="2" t="s">
        <v>193</v>
      </c>
      <c r="D65" s="2" t="s">
        <v>10040</v>
      </c>
      <c r="E65" s="15">
        <v>-0.13239999999999999</v>
      </c>
      <c r="F65" s="15">
        <v>0.1187</v>
      </c>
      <c r="G65" s="15">
        <v>-0.13250000000000001</v>
      </c>
      <c r="H65" s="15">
        <v>8.3099999999999993E-2</v>
      </c>
      <c r="I65" s="15">
        <v>0.49961210977806542</v>
      </c>
    </row>
    <row r="66" spans="1:9" x14ac:dyDescent="0.2">
      <c r="A66" s="2" t="s">
        <v>194</v>
      </c>
      <c r="B66" s="2" t="s">
        <v>195</v>
      </c>
      <c r="C66" s="2" t="s">
        <v>196</v>
      </c>
      <c r="D66" s="2" t="s">
        <v>10040</v>
      </c>
      <c r="E66" s="15">
        <v>-0.26550000000000001</v>
      </c>
      <c r="F66" s="15">
        <v>0.15870000000000001</v>
      </c>
      <c r="G66" s="15">
        <v>-5.1400000000000001E-2</v>
      </c>
      <c r="H66" s="15">
        <v>0.11890000000000001</v>
      </c>
      <c r="I66" s="15">
        <v>5.5172904368282753E-2</v>
      </c>
    </row>
    <row r="67" spans="1:9" x14ac:dyDescent="0.2">
      <c r="A67" s="2" t="s">
        <v>197</v>
      </c>
      <c r="B67" s="2" t="s">
        <v>198</v>
      </c>
      <c r="C67" s="2" t="s">
        <v>199</v>
      </c>
      <c r="D67" s="2" t="s">
        <v>10040</v>
      </c>
      <c r="E67" s="15">
        <v>-0.35670000000000002</v>
      </c>
      <c r="F67" s="15">
        <v>0.1885</v>
      </c>
      <c r="G67" s="15">
        <v>-1.72E-2</v>
      </c>
      <c r="H67" s="15">
        <v>0.1143</v>
      </c>
      <c r="I67" s="15">
        <v>7.25412533602571E-3</v>
      </c>
    </row>
    <row r="68" spans="1:9" x14ac:dyDescent="0.2">
      <c r="A68" s="2" t="s">
        <v>200</v>
      </c>
      <c r="B68" s="2" t="s">
        <v>201</v>
      </c>
      <c r="C68" s="2" t="s">
        <v>202</v>
      </c>
      <c r="D68" s="2" t="s">
        <v>10040</v>
      </c>
      <c r="E68" s="15">
        <v>-0.2424</v>
      </c>
      <c r="F68" s="15">
        <v>0.11070000000000001</v>
      </c>
      <c r="G68" s="15">
        <v>-7.1999999999999998E-3</v>
      </c>
      <c r="H68" s="15">
        <v>9.6500000000000002E-2</v>
      </c>
      <c r="I68" s="15">
        <v>1.5840875074706561E-2</v>
      </c>
    </row>
    <row r="69" spans="1:9" x14ac:dyDescent="0.2">
      <c r="A69" s="2" t="s">
        <v>203</v>
      </c>
      <c r="B69" s="2" t="s">
        <v>204</v>
      </c>
      <c r="C69" s="2" t="s">
        <v>205</v>
      </c>
      <c r="D69" s="2" t="s">
        <v>10040</v>
      </c>
      <c r="E69" s="15">
        <v>-4.8599999999999997E-2</v>
      </c>
      <c r="F69" s="15">
        <v>9.9099999999999994E-2</v>
      </c>
      <c r="G69" s="15">
        <v>4.9500000000000002E-2</v>
      </c>
      <c r="H69" s="15">
        <v>0.109</v>
      </c>
      <c r="I69" s="15">
        <v>0.2117884815425968</v>
      </c>
    </row>
    <row r="70" spans="1:9" x14ac:dyDescent="0.2">
      <c r="A70" s="2" t="s">
        <v>206</v>
      </c>
      <c r="B70" s="2" t="s">
        <v>207</v>
      </c>
      <c r="C70" s="2" t="s">
        <v>208</v>
      </c>
      <c r="D70" s="2" t="s">
        <v>10040</v>
      </c>
      <c r="E70" s="15">
        <v>2.3800000000000002E-2</v>
      </c>
      <c r="F70" s="15">
        <v>9.6699999999999994E-2</v>
      </c>
      <c r="G70" s="15">
        <v>0.25590000000000002</v>
      </c>
      <c r="H70" s="15">
        <v>0.16969999999999999</v>
      </c>
      <c r="I70" s="15">
        <v>9.5635893821902754E-2</v>
      </c>
    </row>
    <row r="71" spans="1:9" x14ac:dyDescent="0.2">
      <c r="A71" s="2" t="s">
        <v>209</v>
      </c>
      <c r="B71" s="2" t="s">
        <v>210</v>
      </c>
      <c r="C71" s="2" t="s">
        <v>211</v>
      </c>
      <c r="D71" s="2" t="s">
        <v>10040</v>
      </c>
      <c r="E71" s="15">
        <v>-4.87E-2</v>
      </c>
      <c r="F71" s="15">
        <v>0.10440000000000001</v>
      </c>
      <c r="G71" s="15">
        <v>0.20369999999999999</v>
      </c>
      <c r="H71" s="15">
        <v>0.1454</v>
      </c>
      <c r="I71" s="15">
        <v>5.5511603210770318E-2</v>
      </c>
    </row>
    <row r="72" spans="1:9" x14ac:dyDescent="0.2">
      <c r="A72" s="2" t="s">
        <v>212</v>
      </c>
      <c r="B72" s="2" t="s">
        <v>213</v>
      </c>
      <c r="C72" s="2" t="s">
        <v>214</v>
      </c>
      <c r="D72" s="2" t="s">
        <v>10040</v>
      </c>
      <c r="E72" s="15">
        <v>-5.8000000000000003E-2</v>
      </c>
      <c r="F72" s="15">
        <v>8.7499999999999994E-2</v>
      </c>
      <c r="G72" s="15">
        <v>8.8400000000000006E-2</v>
      </c>
      <c r="H72" s="15">
        <v>0.1331</v>
      </c>
      <c r="I72" s="15">
        <v>0.1553935306083335</v>
      </c>
    </row>
    <row r="73" spans="1:9" x14ac:dyDescent="0.2">
      <c r="A73" s="2" t="s">
        <v>215</v>
      </c>
      <c r="B73" s="2" t="s">
        <v>216</v>
      </c>
      <c r="C73" s="2" t="s">
        <v>217</v>
      </c>
      <c r="D73" s="2" t="s">
        <v>10040</v>
      </c>
      <c r="E73" s="15">
        <v>6.5600000000000006E-2</v>
      </c>
      <c r="F73" s="15">
        <v>9.0899999999999995E-2</v>
      </c>
      <c r="G73" s="15">
        <v>2.5000000000000001E-2</v>
      </c>
      <c r="H73" s="15">
        <v>0.1089</v>
      </c>
      <c r="I73" s="15">
        <v>0.37326368512001479</v>
      </c>
    </row>
    <row r="74" spans="1:9" x14ac:dyDescent="0.2">
      <c r="A74" s="2" t="s">
        <v>218</v>
      </c>
      <c r="B74" s="2" t="s">
        <v>219</v>
      </c>
      <c r="C74" s="2" t="s">
        <v>220</v>
      </c>
      <c r="D74" s="2" t="s">
        <v>10040</v>
      </c>
      <c r="E74" s="15">
        <v>8.0199999999999994E-2</v>
      </c>
      <c r="F74" s="15">
        <v>5.7000000000000002E-2</v>
      </c>
      <c r="G74" s="15">
        <v>-1.5299999999999999E-2</v>
      </c>
      <c r="H74" s="15">
        <v>6.6699999999999995E-2</v>
      </c>
      <c r="I74" s="15">
        <v>0.1027082521861615</v>
      </c>
    </row>
    <row r="75" spans="1:9" x14ac:dyDescent="0.2">
      <c r="A75" s="2" t="s">
        <v>221</v>
      </c>
      <c r="B75" s="2" t="s">
        <v>222</v>
      </c>
      <c r="C75" s="2" t="s">
        <v>223</v>
      </c>
      <c r="D75" s="2" t="s">
        <v>10040</v>
      </c>
      <c r="E75" s="15">
        <v>0.114</v>
      </c>
      <c r="F75" s="15">
        <v>5.7099999999999998E-2</v>
      </c>
      <c r="G75" s="15">
        <v>2.2000000000000001E-3</v>
      </c>
      <c r="H75" s="15">
        <v>6.6799999999999998E-2</v>
      </c>
      <c r="I75" s="15">
        <v>6.8025386005775956E-2</v>
      </c>
    </row>
    <row r="76" spans="1:9" x14ac:dyDescent="0.2">
      <c r="A76" s="2" t="s">
        <v>224</v>
      </c>
      <c r="B76" s="2" t="s">
        <v>225</v>
      </c>
      <c r="C76" s="2" t="s">
        <v>226</v>
      </c>
      <c r="D76" s="2" t="s">
        <v>10040</v>
      </c>
      <c r="E76" s="15">
        <v>-3.56E-2</v>
      </c>
      <c r="F76" s="15">
        <v>0.1062</v>
      </c>
      <c r="G76" s="15">
        <v>0.18970000000000001</v>
      </c>
      <c r="H76" s="15">
        <v>0.26519999999999999</v>
      </c>
      <c r="I76" s="15">
        <v>0.2033073378603448</v>
      </c>
    </row>
    <row r="77" spans="1:9" x14ac:dyDescent="0.2">
      <c r="A77" s="2" t="s">
        <v>227</v>
      </c>
      <c r="B77" s="2" t="s">
        <v>228</v>
      </c>
      <c r="C77" s="2" t="s">
        <v>229</v>
      </c>
      <c r="D77" s="2" t="s">
        <v>10040</v>
      </c>
      <c r="E77" s="15">
        <v>-9.2999999999999999E-2</v>
      </c>
      <c r="F77" s="15">
        <v>0.27939999999999998</v>
      </c>
      <c r="G77" s="15">
        <v>0.23139999999999999</v>
      </c>
      <c r="H77" s="15">
        <v>0.27829999999999999</v>
      </c>
      <c r="I77" s="15">
        <v>0.1291864040105275</v>
      </c>
    </row>
    <row r="78" spans="1:9" x14ac:dyDescent="0.2">
      <c r="A78" s="2" t="s">
        <v>230</v>
      </c>
      <c r="B78" s="2" t="s">
        <v>231</v>
      </c>
      <c r="C78" s="2" t="s">
        <v>232</v>
      </c>
      <c r="D78" s="2" t="s">
        <v>10040</v>
      </c>
      <c r="E78" s="15">
        <v>0.25800000000000001</v>
      </c>
      <c r="F78" s="15">
        <v>0.1229</v>
      </c>
      <c r="G78" s="15">
        <v>5.6300000000000003E-2</v>
      </c>
      <c r="H78" s="15">
        <v>0.1326</v>
      </c>
      <c r="I78" s="15">
        <v>8.7026519683939055E-2</v>
      </c>
    </row>
    <row r="79" spans="1:9" x14ac:dyDescent="0.2">
      <c r="A79" s="2" t="s">
        <v>233</v>
      </c>
      <c r="B79" s="2" t="s">
        <v>234</v>
      </c>
      <c r="C79" s="2" t="s">
        <v>235</v>
      </c>
      <c r="D79" s="2" t="s">
        <v>10040</v>
      </c>
      <c r="E79" s="15">
        <v>0.1845</v>
      </c>
      <c r="F79" s="15">
        <v>0.13950000000000001</v>
      </c>
      <c r="G79" s="15">
        <v>0.15840000000000001</v>
      </c>
      <c r="H79" s="15">
        <v>0.1004</v>
      </c>
      <c r="I79" s="15">
        <v>0.41917603208157178</v>
      </c>
    </row>
    <row r="80" spans="1:9" x14ac:dyDescent="0.2">
      <c r="A80" s="2" t="s">
        <v>236</v>
      </c>
      <c r="B80" s="2" t="s">
        <v>237</v>
      </c>
      <c r="C80" s="2" t="s">
        <v>238</v>
      </c>
      <c r="D80" s="2" t="s">
        <v>10040</v>
      </c>
      <c r="E80" s="15">
        <v>-1.3899999999999999E-2</v>
      </c>
      <c r="F80" s="15">
        <v>5.8999999999999997E-2</v>
      </c>
      <c r="G80" s="15">
        <v>-8.3000000000000004E-2</v>
      </c>
      <c r="H80" s="15">
        <v>7.6200000000000004E-2</v>
      </c>
      <c r="I80" s="15">
        <v>0.2085353589898449</v>
      </c>
    </row>
    <row r="81" spans="1:9" x14ac:dyDescent="0.2">
      <c r="A81" s="2" t="s">
        <v>239</v>
      </c>
      <c r="B81" s="2" t="s">
        <v>240</v>
      </c>
      <c r="C81" s="2" t="s">
        <v>241</v>
      </c>
      <c r="D81" s="2" t="s">
        <v>10040</v>
      </c>
      <c r="E81" s="15">
        <v>-8.1699999999999995E-2</v>
      </c>
      <c r="F81" s="15">
        <v>6.6699999999999995E-2</v>
      </c>
      <c r="G81" s="15">
        <v>-4.0099999999999997E-2</v>
      </c>
      <c r="H81" s="15">
        <v>6.6699999999999995E-2</v>
      </c>
      <c r="I81" s="15">
        <v>0.2925029195604309</v>
      </c>
    </row>
    <row r="82" spans="1:9" x14ac:dyDescent="0.2">
      <c r="A82" s="2" t="s">
        <v>242</v>
      </c>
      <c r="B82" s="2" t="s">
        <v>243</v>
      </c>
      <c r="C82" s="2" t="s">
        <v>244</v>
      </c>
      <c r="D82" s="2" t="s">
        <v>10040</v>
      </c>
      <c r="E82" s="15">
        <v>8.1100000000000005E-2</v>
      </c>
      <c r="F82" s="15">
        <v>8.3099999999999993E-2</v>
      </c>
      <c r="G82" s="15">
        <v>-5.0000000000000001E-4</v>
      </c>
      <c r="H82" s="15">
        <v>0.17860000000000001</v>
      </c>
      <c r="I82" s="15">
        <v>0.32861606417780992</v>
      </c>
    </row>
    <row r="83" spans="1:9" x14ac:dyDescent="0.2">
      <c r="A83" s="2" t="s">
        <v>245</v>
      </c>
      <c r="B83" s="2" t="s">
        <v>246</v>
      </c>
      <c r="C83" s="2" t="s">
        <v>247</v>
      </c>
      <c r="D83" s="2" t="s">
        <v>10040</v>
      </c>
      <c r="E83" s="15">
        <v>2.98E-2</v>
      </c>
      <c r="F83" s="15">
        <v>9.8100000000000007E-2</v>
      </c>
      <c r="G83" s="15">
        <v>-6.0000000000000001E-3</v>
      </c>
      <c r="H83" s="15">
        <v>0.1048</v>
      </c>
      <c r="I83" s="15">
        <v>0.37610879052520729</v>
      </c>
    </row>
    <row r="84" spans="1:9" x14ac:dyDescent="0.2">
      <c r="A84" s="2" t="s">
        <v>248</v>
      </c>
      <c r="B84" s="2" t="s">
        <v>249</v>
      </c>
      <c r="C84" s="2" t="s">
        <v>250</v>
      </c>
      <c r="D84" s="2" t="s">
        <v>10040</v>
      </c>
      <c r="E84" s="15">
        <v>-3.4000000000000002E-2</v>
      </c>
      <c r="F84" s="15">
        <v>0.10009999999999999</v>
      </c>
      <c r="G84" s="15">
        <v>8.7900000000000006E-2</v>
      </c>
      <c r="H84" s="15">
        <v>8.4500000000000006E-2</v>
      </c>
      <c r="I84" s="15">
        <v>0.1158587966585102</v>
      </c>
    </row>
    <row r="85" spans="1:9" x14ac:dyDescent="0.2">
      <c r="A85" s="2" t="s">
        <v>251</v>
      </c>
      <c r="B85" s="2" t="s">
        <v>252</v>
      </c>
      <c r="C85" s="2" t="s">
        <v>253</v>
      </c>
      <c r="D85" s="2" t="s">
        <v>10040</v>
      </c>
      <c r="E85" s="15">
        <v>7.3400000000000007E-2</v>
      </c>
      <c r="F85" s="15">
        <v>9.7100000000000006E-2</v>
      </c>
      <c r="G85" s="15">
        <v>5.0599999999999999E-2</v>
      </c>
      <c r="H85" s="15">
        <v>9.7600000000000006E-2</v>
      </c>
      <c r="I85" s="15">
        <v>0.41968000934208072</v>
      </c>
    </row>
    <row r="86" spans="1:9" x14ac:dyDescent="0.2">
      <c r="A86" s="2" t="s">
        <v>254</v>
      </c>
      <c r="B86" s="2" t="s">
        <v>255</v>
      </c>
      <c r="C86" s="2" t="s">
        <v>256</v>
      </c>
      <c r="D86" s="2" t="s">
        <v>10040</v>
      </c>
      <c r="E86" s="15">
        <v>-0.13289999999999999</v>
      </c>
      <c r="F86" s="15">
        <v>9.6100000000000005E-2</v>
      </c>
      <c r="G86" s="15">
        <v>8.4400000000000003E-2</v>
      </c>
      <c r="H86" s="15">
        <v>7.3599999999999999E-2</v>
      </c>
      <c r="I86" s="15">
        <v>7.7806253372340586E-3</v>
      </c>
    </row>
    <row r="87" spans="1:9" x14ac:dyDescent="0.2">
      <c r="A87" s="2" t="s">
        <v>257</v>
      </c>
      <c r="B87" s="2" t="s">
        <v>258</v>
      </c>
      <c r="C87" s="2" t="s">
        <v>259</v>
      </c>
      <c r="D87" s="2" t="s">
        <v>10040</v>
      </c>
      <c r="E87" s="15">
        <v>-0.20749999999999999</v>
      </c>
      <c r="F87" s="15">
        <v>0.12470000000000001</v>
      </c>
      <c r="G87" s="15">
        <v>0.10630000000000001</v>
      </c>
      <c r="H87" s="15">
        <v>7.6100000000000001E-2</v>
      </c>
      <c r="I87" s="15">
        <v>4.6517150937875132E-4</v>
      </c>
    </row>
    <row r="88" spans="1:9" x14ac:dyDescent="0.2">
      <c r="A88" s="2" t="s">
        <v>260</v>
      </c>
      <c r="B88" s="2" t="s">
        <v>261</v>
      </c>
      <c r="C88" s="2" t="s">
        <v>262</v>
      </c>
      <c r="D88" s="2" t="s">
        <v>10040</v>
      </c>
      <c r="E88" s="15">
        <v>-8.5599999999999996E-2</v>
      </c>
      <c r="F88" s="15">
        <v>8.1600000000000006E-2</v>
      </c>
      <c r="G88" s="15">
        <v>9.69E-2</v>
      </c>
      <c r="H88" s="15">
        <v>6.8199999999999997E-2</v>
      </c>
      <c r="I88" s="15">
        <v>1.1662105725775401E-2</v>
      </c>
    </row>
    <row r="89" spans="1:9" x14ac:dyDescent="0.2">
      <c r="A89" s="2" t="s">
        <v>263</v>
      </c>
      <c r="B89" s="2" t="s">
        <v>264</v>
      </c>
      <c r="C89" s="2" t="s">
        <v>265</v>
      </c>
      <c r="D89" s="2" t="s">
        <v>10040</v>
      </c>
      <c r="E89" s="15">
        <v>-7.2599999999999998E-2</v>
      </c>
      <c r="F89" s="15">
        <v>8.1500000000000003E-2</v>
      </c>
      <c r="G89" s="15">
        <v>6.13E-2</v>
      </c>
      <c r="H89" s="15">
        <v>6.5100000000000005E-2</v>
      </c>
      <c r="I89" s="15">
        <v>4.3841388421003907E-2</v>
      </c>
    </row>
    <row r="90" spans="1:9" x14ac:dyDescent="0.2">
      <c r="A90" s="2" t="s">
        <v>266</v>
      </c>
      <c r="B90" s="2" t="s">
        <v>267</v>
      </c>
      <c r="C90" s="2" t="s">
        <v>268</v>
      </c>
      <c r="D90" s="2" t="s">
        <v>10040</v>
      </c>
      <c r="E90" s="15">
        <v>6.0000000000000001E-3</v>
      </c>
      <c r="F90" s="15">
        <v>9.2899999999999996E-2</v>
      </c>
      <c r="G90" s="15">
        <v>4.3799999999999999E-2</v>
      </c>
      <c r="H90" s="15">
        <v>8.5199999999999998E-2</v>
      </c>
      <c r="I90" s="15">
        <v>0.35019691766621908</v>
      </c>
    </row>
    <row r="91" spans="1:9" x14ac:dyDescent="0.2">
      <c r="A91" s="2" t="s">
        <v>269</v>
      </c>
      <c r="B91" s="2" t="s">
        <v>270</v>
      </c>
      <c r="C91" s="2" t="s">
        <v>271</v>
      </c>
      <c r="D91" s="2" t="s">
        <v>10040</v>
      </c>
      <c r="E91" s="15">
        <v>-3.0499999999999999E-2</v>
      </c>
      <c r="F91" s="15">
        <v>8.6699999999999999E-2</v>
      </c>
      <c r="G91" s="15">
        <v>4.8000000000000001E-2</v>
      </c>
      <c r="H91" s="15">
        <v>9.3700000000000006E-2</v>
      </c>
      <c r="I91" s="15">
        <v>0.22941771954885601</v>
      </c>
    </row>
    <row r="92" spans="1:9" x14ac:dyDescent="0.2">
      <c r="A92" s="2" t="s">
        <v>272</v>
      </c>
      <c r="B92" s="2" t="s">
        <v>273</v>
      </c>
      <c r="C92" s="2" t="s">
        <v>274</v>
      </c>
      <c r="D92" s="2" t="s">
        <v>10040</v>
      </c>
      <c r="E92" s="15">
        <v>5.6099999999999997E-2</v>
      </c>
      <c r="F92" s="15">
        <v>8.0399999999999999E-2</v>
      </c>
      <c r="G92" s="15">
        <v>0.13320000000000001</v>
      </c>
      <c r="H92" s="15">
        <v>7.3300000000000004E-2</v>
      </c>
      <c r="I92" s="15">
        <v>0.18313934988226091</v>
      </c>
    </row>
    <row r="93" spans="1:9" x14ac:dyDescent="0.2">
      <c r="A93" s="2" t="s">
        <v>275</v>
      </c>
      <c r="B93" s="2" t="s">
        <v>276</v>
      </c>
      <c r="C93" s="2" t="s">
        <v>277</v>
      </c>
      <c r="D93" s="2" t="s">
        <v>10040</v>
      </c>
      <c r="E93" s="15">
        <v>2.07E-2</v>
      </c>
      <c r="F93" s="15">
        <v>8.4900000000000003E-2</v>
      </c>
      <c r="G93" s="15">
        <v>4.1000000000000003E-3</v>
      </c>
      <c r="H93" s="15">
        <v>7.1300000000000002E-2</v>
      </c>
      <c r="I93" s="15">
        <v>0.42249604236190369</v>
      </c>
    </row>
    <row r="94" spans="1:9" x14ac:dyDescent="0.2">
      <c r="A94" s="2" t="s">
        <v>278</v>
      </c>
      <c r="B94" s="2" t="s">
        <v>279</v>
      </c>
      <c r="C94" s="2" t="s">
        <v>280</v>
      </c>
      <c r="D94" s="2" t="s">
        <v>10040</v>
      </c>
      <c r="E94" s="15">
        <v>0.14119999999999999</v>
      </c>
      <c r="F94" s="15">
        <v>8.2100000000000006E-2</v>
      </c>
      <c r="G94" s="15">
        <v>0.1084</v>
      </c>
      <c r="H94" s="15">
        <v>7.6799999999999993E-2</v>
      </c>
      <c r="I94" s="15">
        <v>0.35672386964720881</v>
      </c>
    </row>
    <row r="95" spans="1:9" x14ac:dyDescent="0.2">
      <c r="A95" s="2" t="s">
        <v>281</v>
      </c>
      <c r="B95" s="2" t="s">
        <v>282</v>
      </c>
      <c r="C95" s="2" t="s">
        <v>283</v>
      </c>
      <c r="D95" s="2" t="s">
        <v>10040</v>
      </c>
      <c r="E95" s="15">
        <v>3.4799999999999998E-2</v>
      </c>
      <c r="F95" s="15">
        <v>8.2600000000000007E-2</v>
      </c>
      <c r="G95" s="15">
        <v>9.2999999999999999E-2</v>
      </c>
      <c r="H95" s="15">
        <v>9.8500000000000004E-2</v>
      </c>
      <c r="I95" s="15">
        <v>0.29414668651723969</v>
      </c>
    </row>
    <row r="96" spans="1:9" x14ac:dyDescent="0.2">
      <c r="A96" s="2" t="s">
        <v>284</v>
      </c>
      <c r="B96" s="2" t="s">
        <v>285</v>
      </c>
      <c r="C96" s="2" t="s">
        <v>286</v>
      </c>
      <c r="D96" s="2" t="s">
        <v>10040</v>
      </c>
      <c r="E96" s="15">
        <v>-2.76E-2</v>
      </c>
      <c r="F96" s="15">
        <v>6.5799999999999997E-2</v>
      </c>
      <c r="G96" s="15">
        <v>-7.4300000000000005E-2</v>
      </c>
      <c r="H96" s="15">
        <v>9.2799999999999994E-2</v>
      </c>
      <c r="I96" s="15">
        <v>0.32330955716776721</v>
      </c>
    </row>
    <row r="97" spans="1:9" x14ac:dyDescent="0.2">
      <c r="A97" s="2" t="s">
        <v>287</v>
      </c>
      <c r="B97" s="2" t="s">
        <v>288</v>
      </c>
      <c r="C97" s="2" t="s">
        <v>289</v>
      </c>
      <c r="D97" s="2" t="s">
        <v>10040</v>
      </c>
      <c r="E97" s="15">
        <v>-2.69E-2</v>
      </c>
      <c r="F97" s="15">
        <v>6.4299999999999996E-2</v>
      </c>
      <c r="G97" s="15">
        <v>-0.12529999999999999</v>
      </c>
      <c r="H97" s="15">
        <v>9.0800000000000006E-2</v>
      </c>
      <c r="I97" s="15">
        <v>0.16276380496476839</v>
      </c>
    </row>
    <row r="98" spans="1:9" x14ac:dyDescent="0.2">
      <c r="A98" s="2" t="s">
        <v>290</v>
      </c>
      <c r="B98" s="2" t="s">
        <v>291</v>
      </c>
      <c r="C98" s="2" t="s">
        <v>292</v>
      </c>
      <c r="D98" s="2" t="s">
        <v>10040</v>
      </c>
      <c r="E98" s="15">
        <v>6.4699999999999994E-2</v>
      </c>
      <c r="F98" s="15">
        <v>7.3499999999999996E-2</v>
      </c>
      <c r="G98" s="15">
        <v>-0.10539999999999999</v>
      </c>
      <c r="H98" s="15">
        <v>9.1399999999999995E-2</v>
      </c>
      <c r="I98" s="15">
        <v>4.9940565796815342E-2</v>
      </c>
    </row>
    <row r="99" spans="1:9" x14ac:dyDescent="0.2">
      <c r="A99" s="2" t="s">
        <v>293</v>
      </c>
      <c r="B99" s="2" t="s">
        <v>294</v>
      </c>
      <c r="C99" s="2" t="s">
        <v>295</v>
      </c>
      <c r="D99" s="2" t="s">
        <v>10040</v>
      </c>
      <c r="E99" s="15">
        <v>7.4300000000000005E-2</v>
      </c>
      <c r="F99" s="15">
        <v>7.1300000000000002E-2</v>
      </c>
      <c r="G99" s="15">
        <v>-0.1416</v>
      </c>
      <c r="H99" s="15">
        <v>0.1095</v>
      </c>
      <c r="I99" s="15">
        <v>3.2571548677052933E-2</v>
      </c>
    </row>
    <row r="100" spans="1:9" x14ac:dyDescent="0.2">
      <c r="A100" s="2" t="s">
        <v>296</v>
      </c>
      <c r="B100" s="2" t="s">
        <v>297</v>
      </c>
      <c r="C100" s="2" t="s">
        <v>298</v>
      </c>
      <c r="D100" s="2" t="s">
        <v>10040</v>
      </c>
      <c r="E100" s="15">
        <v>1.9800000000000002E-2</v>
      </c>
      <c r="F100" s="15">
        <v>0.12620000000000001</v>
      </c>
      <c r="G100" s="15">
        <v>-2.58E-2</v>
      </c>
      <c r="H100" s="15">
        <v>9.9500000000000005E-2</v>
      </c>
      <c r="I100" s="15">
        <v>0.34255596175054248</v>
      </c>
    </row>
    <row r="101" spans="1:9" x14ac:dyDescent="0.2">
      <c r="A101" s="2" t="s">
        <v>299</v>
      </c>
      <c r="B101" s="2" t="s">
        <v>300</v>
      </c>
      <c r="C101" s="2" t="s">
        <v>301</v>
      </c>
      <c r="D101" s="2" t="s">
        <v>10040</v>
      </c>
      <c r="E101" s="15">
        <v>0.1348</v>
      </c>
      <c r="F101" s="15">
        <v>0.1052</v>
      </c>
      <c r="G101" s="15">
        <v>9.1000000000000004E-3</v>
      </c>
      <c r="H101" s="15">
        <v>0.1125</v>
      </c>
      <c r="I101" s="15">
        <v>0.1514287913515068</v>
      </c>
    </row>
    <row r="102" spans="1:9" x14ac:dyDescent="0.2">
      <c r="A102" s="2" t="s">
        <v>302</v>
      </c>
      <c r="B102" s="2" t="s">
        <v>303</v>
      </c>
      <c r="C102" s="2" t="s">
        <v>304</v>
      </c>
      <c r="D102" s="2" t="s">
        <v>10040</v>
      </c>
      <c r="E102" s="15">
        <v>-1.9800000000000002E-2</v>
      </c>
      <c r="F102" s="15">
        <v>8.4699999999999998E-2</v>
      </c>
      <c r="G102" s="15">
        <v>3.4599999999999999E-2</v>
      </c>
      <c r="H102" s="15">
        <v>9.0499999999999997E-2</v>
      </c>
      <c r="I102" s="15">
        <v>0.29423052385352633</v>
      </c>
    </row>
    <row r="103" spans="1:9" x14ac:dyDescent="0.2">
      <c r="A103" s="2" t="s">
        <v>305</v>
      </c>
      <c r="B103" s="2" t="s">
        <v>306</v>
      </c>
      <c r="C103" s="2" t="s">
        <v>307</v>
      </c>
      <c r="D103" s="2" t="s">
        <v>10040</v>
      </c>
      <c r="E103" s="15">
        <v>7.2499999999999995E-2</v>
      </c>
      <c r="F103" s="15">
        <v>7.7100000000000002E-2</v>
      </c>
      <c r="G103" s="15">
        <v>5.3400000000000003E-2</v>
      </c>
      <c r="H103" s="15">
        <v>8.3400000000000002E-2</v>
      </c>
      <c r="I103" s="15">
        <v>0.41907996696348532</v>
      </c>
    </row>
    <row r="104" spans="1:9" x14ac:dyDescent="0.2">
      <c r="A104" s="2" t="s">
        <v>308</v>
      </c>
      <c r="B104" s="2" t="s">
        <v>309</v>
      </c>
      <c r="C104" s="2" t="s">
        <v>310</v>
      </c>
      <c r="D104" s="2" t="s">
        <v>10040</v>
      </c>
      <c r="E104" s="15">
        <v>2.92E-2</v>
      </c>
      <c r="F104" s="15">
        <v>7.3999999999999996E-2</v>
      </c>
      <c r="G104" s="15">
        <v>6.3799999999999996E-2</v>
      </c>
      <c r="H104" s="15">
        <v>0.1016</v>
      </c>
      <c r="I104" s="15">
        <v>0.3809790924249441</v>
      </c>
    </row>
    <row r="105" spans="1:9" x14ac:dyDescent="0.2">
      <c r="A105" s="2" t="s">
        <v>311</v>
      </c>
      <c r="B105" s="2" t="s">
        <v>312</v>
      </c>
      <c r="C105" s="2" t="s">
        <v>313</v>
      </c>
      <c r="D105" s="2" t="s">
        <v>10040</v>
      </c>
      <c r="E105" s="15">
        <v>7.8899999999999998E-2</v>
      </c>
      <c r="F105" s="15">
        <v>7.5499999999999998E-2</v>
      </c>
      <c r="G105" s="15">
        <v>-3.5499999999999997E-2</v>
      </c>
      <c r="H105" s="15">
        <v>0.1056</v>
      </c>
      <c r="I105" s="15">
        <v>0.16005677414468081</v>
      </c>
    </row>
    <row r="106" spans="1:9" x14ac:dyDescent="0.2">
      <c r="A106" s="2" t="s">
        <v>314</v>
      </c>
      <c r="B106" s="2" t="s">
        <v>315</v>
      </c>
      <c r="C106" s="2" t="s">
        <v>316</v>
      </c>
      <c r="D106" s="2" t="s">
        <v>10040</v>
      </c>
      <c r="E106" s="15">
        <v>0.1787</v>
      </c>
      <c r="F106" s="15">
        <v>8.6999999999999994E-2</v>
      </c>
      <c r="G106" s="15">
        <v>0.10440000000000001</v>
      </c>
      <c r="H106" s="15">
        <v>0.14660000000000001</v>
      </c>
      <c r="I106" s="15">
        <v>0.31495471613798037</v>
      </c>
    </row>
    <row r="107" spans="1:9" x14ac:dyDescent="0.2">
      <c r="A107" s="2" t="s">
        <v>317</v>
      </c>
      <c r="B107" s="2" t="s">
        <v>318</v>
      </c>
      <c r="C107" s="2" t="s">
        <v>319</v>
      </c>
      <c r="D107" s="2" t="s">
        <v>10040</v>
      </c>
      <c r="E107" s="15">
        <v>2.01E-2</v>
      </c>
      <c r="F107" s="15">
        <v>7.8600000000000003E-2</v>
      </c>
      <c r="G107" s="15">
        <v>4.4699999999999997E-2</v>
      </c>
      <c r="H107" s="15">
        <v>0.1072</v>
      </c>
      <c r="I107" s="15">
        <v>0.41950366156693453</v>
      </c>
    </row>
    <row r="108" spans="1:9" x14ac:dyDescent="0.2">
      <c r="A108" s="2" t="s">
        <v>320</v>
      </c>
      <c r="B108" s="2" t="s">
        <v>321</v>
      </c>
      <c r="C108" s="2" t="s">
        <v>322</v>
      </c>
      <c r="D108" s="2" t="s">
        <v>10040</v>
      </c>
      <c r="E108" s="15">
        <v>-2.0500000000000001E-2</v>
      </c>
      <c r="F108" s="15">
        <v>0.1105</v>
      </c>
      <c r="G108" s="15">
        <v>0.12180000000000001</v>
      </c>
      <c r="H108" s="15">
        <v>0.13420000000000001</v>
      </c>
      <c r="I108" s="15">
        <v>0.1619482977179236</v>
      </c>
    </row>
    <row r="109" spans="1:9" x14ac:dyDescent="0.2">
      <c r="A109" s="2" t="s">
        <v>323</v>
      </c>
      <c r="B109" s="2" t="s">
        <v>324</v>
      </c>
      <c r="C109" s="2" t="s">
        <v>325</v>
      </c>
      <c r="D109" s="2" t="s">
        <v>10040</v>
      </c>
      <c r="E109" s="15">
        <v>-2.53E-2</v>
      </c>
      <c r="F109" s="15">
        <v>0.1139</v>
      </c>
      <c r="G109" s="15">
        <v>9.4700000000000006E-2</v>
      </c>
      <c r="H109" s="15">
        <v>0.1197</v>
      </c>
      <c r="I109" s="15">
        <v>0.18466839129699009</v>
      </c>
    </row>
    <row r="110" spans="1:9" x14ac:dyDescent="0.2">
      <c r="A110" s="2" t="s">
        <v>326</v>
      </c>
      <c r="B110" s="2" t="s">
        <v>327</v>
      </c>
      <c r="C110" s="2" t="s">
        <v>328</v>
      </c>
      <c r="D110" s="2" t="s">
        <v>10040</v>
      </c>
      <c r="E110" s="15">
        <v>3.9699999999999999E-2</v>
      </c>
      <c r="F110" s="15">
        <v>0.15509999999999999</v>
      </c>
      <c r="G110" s="15">
        <v>-0.18609999999999999</v>
      </c>
      <c r="H110" s="15">
        <v>0.11269999999999999</v>
      </c>
      <c r="I110" s="15">
        <v>3.2257506157227063E-2</v>
      </c>
    </row>
    <row r="111" spans="1:9" x14ac:dyDescent="0.2">
      <c r="A111" s="2" t="s">
        <v>329</v>
      </c>
      <c r="B111" s="2" t="s">
        <v>330</v>
      </c>
      <c r="C111" s="2" t="s">
        <v>331</v>
      </c>
      <c r="D111" s="2" t="s">
        <v>10040</v>
      </c>
      <c r="E111" s="15">
        <v>-5.2699999999999997E-2</v>
      </c>
      <c r="F111" s="15">
        <v>0.1051</v>
      </c>
      <c r="G111" s="15">
        <v>-5.1999999999999998E-3</v>
      </c>
      <c r="H111" s="15">
        <v>9.1300000000000006E-2</v>
      </c>
      <c r="I111" s="15">
        <v>0.32257888059361572</v>
      </c>
    </row>
    <row r="112" spans="1:9" x14ac:dyDescent="0.2">
      <c r="A112" s="2" t="s">
        <v>332</v>
      </c>
      <c r="B112" s="2" t="s">
        <v>333</v>
      </c>
      <c r="C112" s="2" t="s">
        <v>334</v>
      </c>
      <c r="D112" s="2" t="s">
        <v>10040</v>
      </c>
      <c r="E112" s="15">
        <v>-7.7600000000000002E-2</v>
      </c>
      <c r="F112" s="15">
        <v>9.5500000000000002E-2</v>
      </c>
      <c r="G112" s="15">
        <v>-1.7899999999999999E-2</v>
      </c>
      <c r="H112" s="15">
        <v>0.1027</v>
      </c>
      <c r="I112" s="15">
        <v>0.30489863453659077</v>
      </c>
    </row>
    <row r="113" spans="1:9" x14ac:dyDescent="0.2">
      <c r="A113" s="2" t="s">
        <v>335</v>
      </c>
      <c r="B113" s="2" t="s">
        <v>336</v>
      </c>
      <c r="C113" s="2" t="s">
        <v>337</v>
      </c>
      <c r="D113" s="2" t="s">
        <v>10040</v>
      </c>
      <c r="E113" s="15">
        <v>6.1800000000000001E-2</v>
      </c>
      <c r="F113" s="15">
        <v>8.5000000000000006E-2</v>
      </c>
      <c r="G113" s="15">
        <v>-9.4100000000000003E-2</v>
      </c>
      <c r="H113" s="15">
        <v>8.1500000000000003E-2</v>
      </c>
      <c r="I113" s="15">
        <v>4.9108681958732317E-2</v>
      </c>
    </row>
    <row r="114" spans="1:9" x14ac:dyDescent="0.2">
      <c r="A114" s="2" t="s">
        <v>338</v>
      </c>
      <c r="B114" s="2" t="s">
        <v>339</v>
      </c>
      <c r="C114" s="2" t="s">
        <v>340</v>
      </c>
      <c r="D114" s="2" t="s">
        <v>10040</v>
      </c>
      <c r="E114" s="15">
        <v>0.21310000000000001</v>
      </c>
      <c r="F114" s="15">
        <v>7.5200000000000003E-2</v>
      </c>
      <c r="G114" s="15">
        <v>2.5600000000000001E-2</v>
      </c>
      <c r="H114" s="15">
        <v>9.8299999999999998E-2</v>
      </c>
      <c r="I114" s="15">
        <v>4.1907101373153108E-2</v>
      </c>
    </row>
    <row r="115" spans="1:9" x14ac:dyDescent="0.2">
      <c r="A115" s="2" t="s">
        <v>341</v>
      </c>
      <c r="B115" s="2" t="s">
        <v>342</v>
      </c>
      <c r="C115" s="2" t="s">
        <v>343</v>
      </c>
      <c r="D115" s="2" t="s">
        <v>10040</v>
      </c>
      <c r="E115" s="15">
        <v>0.183</v>
      </c>
      <c r="F115" s="15">
        <v>0.1031</v>
      </c>
      <c r="G115" s="15">
        <v>7.0499999999999993E-2</v>
      </c>
      <c r="H115" s="15">
        <v>8.8700000000000001E-2</v>
      </c>
      <c r="I115" s="15">
        <v>0.12804158388356129</v>
      </c>
    </row>
    <row r="116" spans="1:9" x14ac:dyDescent="0.2">
      <c r="A116" s="2" t="s">
        <v>344</v>
      </c>
      <c r="B116" s="2" t="s">
        <v>345</v>
      </c>
      <c r="C116" s="2" t="s">
        <v>346</v>
      </c>
      <c r="D116" s="2" t="s">
        <v>10040</v>
      </c>
      <c r="E116" s="15">
        <v>0.1158</v>
      </c>
      <c r="F116" s="15">
        <v>0.1026</v>
      </c>
      <c r="G116" s="15">
        <v>-3.0300000000000001E-2</v>
      </c>
      <c r="H116" s="15">
        <v>7.5800000000000006E-2</v>
      </c>
      <c r="I116" s="15">
        <v>5.1105902128523381E-2</v>
      </c>
    </row>
    <row r="117" spans="1:9" x14ac:dyDescent="0.2">
      <c r="A117" s="2" t="s">
        <v>347</v>
      </c>
      <c r="B117" s="2" t="s">
        <v>348</v>
      </c>
      <c r="C117" s="2" t="s">
        <v>349</v>
      </c>
      <c r="D117" s="2" t="s">
        <v>10040</v>
      </c>
      <c r="E117" s="15">
        <v>3.2099999999999997E-2</v>
      </c>
      <c r="F117" s="15">
        <v>8.2100000000000006E-2</v>
      </c>
      <c r="G117" s="15">
        <v>-6.54E-2</v>
      </c>
      <c r="H117" s="15">
        <v>9.8699999999999996E-2</v>
      </c>
      <c r="I117" s="15">
        <v>0.1844632887934419</v>
      </c>
    </row>
    <row r="118" spans="1:9" x14ac:dyDescent="0.2">
      <c r="A118" s="2" t="s">
        <v>350</v>
      </c>
      <c r="B118" s="2" t="s">
        <v>351</v>
      </c>
      <c r="C118" s="2" t="s">
        <v>352</v>
      </c>
      <c r="D118" s="2" t="s">
        <v>10040</v>
      </c>
      <c r="E118" s="15">
        <v>1.1599999999999999E-2</v>
      </c>
      <c r="F118" s="15">
        <v>9.4399999999999998E-2</v>
      </c>
      <c r="G118" s="15">
        <v>-2.6599999999999999E-2</v>
      </c>
      <c r="H118" s="15">
        <v>8.4500000000000006E-2</v>
      </c>
      <c r="I118" s="15">
        <v>0.3500396691844459</v>
      </c>
    </row>
    <row r="119" spans="1:9" x14ac:dyDescent="0.2">
      <c r="A119" s="2" t="s">
        <v>353</v>
      </c>
      <c r="B119" s="2" t="s">
        <v>354</v>
      </c>
      <c r="C119" s="2" t="s">
        <v>355</v>
      </c>
      <c r="D119" s="2" t="s">
        <v>10040</v>
      </c>
      <c r="E119" s="15">
        <v>4.2200000000000001E-2</v>
      </c>
      <c r="F119" s="15">
        <v>7.9100000000000004E-2</v>
      </c>
      <c r="G119" s="15">
        <v>8.6199999999999999E-2</v>
      </c>
      <c r="H119" s="15">
        <v>0.1008</v>
      </c>
      <c r="I119" s="15">
        <v>0.34857103558755442</v>
      </c>
    </row>
    <row r="120" spans="1:9" x14ac:dyDescent="0.2">
      <c r="A120" s="2" t="s">
        <v>356</v>
      </c>
      <c r="B120" s="2" t="s">
        <v>357</v>
      </c>
      <c r="C120" s="2" t="s">
        <v>358</v>
      </c>
      <c r="D120" s="2" t="s">
        <v>10040</v>
      </c>
      <c r="E120" s="15">
        <v>6.1899999999999997E-2</v>
      </c>
      <c r="F120" s="15">
        <v>7.9299999999999995E-2</v>
      </c>
      <c r="G120" s="15">
        <v>0.15340000000000001</v>
      </c>
      <c r="H120" s="15">
        <v>7.9299999999999995E-2</v>
      </c>
      <c r="I120" s="15">
        <v>0.1652136966475734</v>
      </c>
    </row>
    <row r="121" spans="1:9" x14ac:dyDescent="0.2">
      <c r="A121" s="2" t="s">
        <v>359</v>
      </c>
      <c r="B121" s="2" t="s">
        <v>360</v>
      </c>
      <c r="C121" s="2" t="s">
        <v>361</v>
      </c>
      <c r="D121" s="2" t="s">
        <v>10040</v>
      </c>
      <c r="E121" s="15">
        <v>0.1128</v>
      </c>
      <c r="F121" s="15">
        <v>8.1900000000000001E-2</v>
      </c>
      <c r="G121" s="15">
        <v>5.1200000000000002E-2</v>
      </c>
      <c r="H121" s="15">
        <v>8.9200000000000002E-2</v>
      </c>
      <c r="I121" s="15">
        <v>0.27403043968255991</v>
      </c>
    </row>
    <row r="122" spans="1:9" x14ac:dyDescent="0.2">
      <c r="A122" s="2" t="s">
        <v>362</v>
      </c>
      <c r="B122" s="2" t="s">
        <v>363</v>
      </c>
      <c r="C122" s="2" t="s">
        <v>364</v>
      </c>
      <c r="D122" s="2" t="s">
        <v>10040</v>
      </c>
      <c r="E122" s="15">
        <v>-4.6199999999999998E-2</v>
      </c>
      <c r="F122" s="15">
        <v>9.0300000000000005E-2</v>
      </c>
      <c r="G122" s="15">
        <v>-1.4E-3</v>
      </c>
      <c r="H122" s="15">
        <v>7.4899999999999994E-2</v>
      </c>
      <c r="I122" s="15">
        <v>0.30824150023900959</v>
      </c>
    </row>
    <row r="123" spans="1:9" x14ac:dyDescent="0.2">
      <c r="A123" s="2" t="s">
        <v>365</v>
      </c>
      <c r="B123" s="2" t="s">
        <v>366</v>
      </c>
      <c r="C123" s="2" t="s">
        <v>367</v>
      </c>
      <c r="D123" s="2" t="s">
        <v>10040</v>
      </c>
      <c r="E123" s="15">
        <v>7.7799999999999994E-2</v>
      </c>
      <c r="F123" s="15">
        <v>8.1500000000000003E-2</v>
      </c>
      <c r="G123" s="15">
        <v>-6.5699999999999995E-2</v>
      </c>
      <c r="H123" s="15">
        <v>7.7100000000000002E-2</v>
      </c>
      <c r="I123" s="15">
        <v>5.2123141877406041E-2</v>
      </c>
    </row>
    <row r="124" spans="1:9" x14ac:dyDescent="0.2">
      <c r="A124" s="2" t="s">
        <v>368</v>
      </c>
      <c r="B124" s="2" t="s">
        <v>369</v>
      </c>
      <c r="C124" s="2" t="s">
        <v>370</v>
      </c>
      <c r="D124" s="2" t="s">
        <v>10040</v>
      </c>
      <c r="E124" s="15">
        <v>6.7000000000000002E-3</v>
      </c>
      <c r="F124" s="15">
        <v>7.0800000000000002E-2</v>
      </c>
      <c r="G124" s="15">
        <v>6.4600000000000005E-2</v>
      </c>
      <c r="H124" s="15">
        <v>7.51E-2</v>
      </c>
      <c r="I124" s="15">
        <v>0.25172796737289421</v>
      </c>
    </row>
    <row r="125" spans="1:9" x14ac:dyDescent="0.2">
      <c r="A125" s="2" t="s">
        <v>371</v>
      </c>
      <c r="B125" s="2" t="s">
        <v>372</v>
      </c>
      <c r="C125" s="2" t="s">
        <v>373</v>
      </c>
      <c r="D125" s="2" t="s">
        <v>10040</v>
      </c>
      <c r="E125" s="15">
        <v>1.54E-2</v>
      </c>
      <c r="F125" s="15">
        <v>6.3700000000000007E-2</v>
      </c>
      <c r="G125" s="15">
        <v>7.5999999999999998E-2</v>
      </c>
      <c r="H125" s="15">
        <v>6.5799999999999997E-2</v>
      </c>
      <c r="I125" s="15">
        <v>0.21862562016660689</v>
      </c>
    </row>
    <row r="126" spans="1:9" x14ac:dyDescent="0.2">
      <c r="A126" s="2" t="s">
        <v>374</v>
      </c>
      <c r="B126" s="2" t="s">
        <v>375</v>
      </c>
      <c r="C126" s="2" t="s">
        <v>376</v>
      </c>
      <c r="D126" s="2" t="s">
        <v>10040</v>
      </c>
      <c r="E126" s="15">
        <v>3.7900000000000003E-2</v>
      </c>
      <c r="F126" s="15">
        <v>7.0400000000000004E-2</v>
      </c>
      <c r="G126" s="15">
        <v>9.9500000000000005E-2</v>
      </c>
      <c r="H126" s="15">
        <v>7.0900000000000005E-2</v>
      </c>
      <c r="I126" s="15">
        <v>0.2252983572018972</v>
      </c>
    </row>
    <row r="127" spans="1:9" x14ac:dyDescent="0.2">
      <c r="A127" s="2" t="s">
        <v>377</v>
      </c>
      <c r="B127" s="2" t="s">
        <v>378</v>
      </c>
      <c r="C127" s="2" t="s">
        <v>379</v>
      </c>
      <c r="D127" s="2" t="s">
        <v>10040</v>
      </c>
      <c r="E127" s="15">
        <v>3.7600000000000001E-2</v>
      </c>
      <c r="F127" s="15">
        <v>6.2399999999999997E-2</v>
      </c>
      <c r="G127" s="15">
        <v>0.1076</v>
      </c>
      <c r="H127" s="15">
        <v>7.1499999999999994E-2</v>
      </c>
      <c r="I127" s="15">
        <v>0.19587747530587649</v>
      </c>
    </row>
    <row r="128" spans="1:9" x14ac:dyDescent="0.2">
      <c r="A128" s="2" t="s">
        <v>380</v>
      </c>
      <c r="B128" s="2" t="s">
        <v>381</v>
      </c>
      <c r="C128" s="2" t="s">
        <v>382</v>
      </c>
      <c r="D128" s="2" t="s">
        <v>10040</v>
      </c>
      <c r="E128" s="15">
        <v>-3.6900000000000002E-2</v>
      </c>
      <c r="F128" s="15">
        <v>7.3099999999999998E-2</v>
      </c>
      <c r="G128" s="15">
        <v>8.7099999999999997E-2</v>
      </c>
      <c r="H128" s="15">
        <v>7.2599999999999998E-2</v>
      </c>
      <c r="I128" s="15">
        <v>6.1456102786588432E-2</v>
      </c>
    </row>
    <row r="129" spans="1:9" x14ac:dyDescent="0.2">
      <c r="A129" s="2" t="s">
        <v>383</v>
      </c>
      <c r="B129" s="2" t="s">
        <v>384</v>
      </c>
      <c r="C129" s="2" t="s">
        <v>385</v>
      </c>
      <c r="D129" s="2" t="s">
        <v>10040</v>
      </c>
      <c r="E129" s="15">
        <v>-2.9499999999999998E-2</v>
      </c>
      <c r="F129" s="15">
        <v>7.0599999999999996E-2</v>
      </c>
      <c r="G129" s="15">
        <v>0.1181</v>
      </c>
      <c r="H129" s="15">
        <v>6.5199999999999994E-2</v>
      </c>
      <c r="I129" s="15">
        <v>2.2767580368436811E-2</v>
      </c>
    </row>
    <row r="130" spans="1:9" x14ac:dyDescent="0.2">
      <c r="A130" s="2" t="s">
        <v>386</v>
      </c>
      <c r="B130" s="2" t="s">
        <v>387</v>
      </c>
      <c r="C130" s="2" t="s">
        <v>388</v>
      </c>
      <c r="D130" s="2" t="s">
        <v>10040</v>
      </c>
      <c r="E130" s="15">
        <v>-9.2999999999999992E-3</v>
      </c>
      <c r="F130" s="15">
        <v>7.3300000000000004E-2</v>
      </c>
      <c r="G130" s="15">
        <v>-1.23E-2</v>
      </c>
      <c r="H130" s="15">
        <v>0.11849999999999999</v>
      </c>
      <c r="I130" s="15">
        <v>0.49070673733096981</v>
      </c>
    </row>
    <row r="131" spans="1:9" x14ac:dyDescent="0.2">
      <c r="A131" s="2" t="s">
        <v>389</v>
      </c>
      <c r="B131" s="2" t="s">
        <v>390</v>
      </c>
      <c r="C131" s="2" t="s">
        <v>391</v>
      </c>
      <c r="D131" s="2" t="s">
        <v>10040</v>
      </c>
      <c r="E131" s="15">
        <v>2.5899999999999999E-2</v>
      </c>
      <c r="F131" s="15">
        <v>6.8500000000000005E-2</v>
      </c>
      <c r="G131" s="15">
        <v>-5.9200000000000003E-2</v>
      </c>
      <c r="H131" s="15">
        <v>9.4799999999999995E-2</v>
      </c>
      <c r="I131" s="15">
        <v>0.20898235218457159</v>
      </c>
    </row>
    <row r="132" spans="1:9" x14ac:dyDescent="0.2">
      <c r="A132" s="2" t="s">
        <v>392</v>
      </c>
      <c r="B132" s="2" t="s">
        <v>393</v>
      </c>
      <c r="C132" s="2" t="s">
        <v>394</v>
      </c>
      <c r="D132" s="2" t="s">
        <v>10040</v>
      </c>
      <c r="E132" s="15">
        <v>5.7700000000000001E-2</v>
      </c>
      <c r="F132" s="15">
        <v>6.3799999999999996E-2</v>
      </c>
      <c r="G132" s="15">
        <v>3.9800000000000002E-2</v>
      </c>
      <c r="H132" s="15">
        <v>7.4800000000000005E-2</v>
      </c>
      <c r="I132" s="15">
        <v>0.41543654931813212</v>
      </c>
    </row>
    <row r="133" spans="1:9" x14ac:dyDescent="0.2">
      <c r="A133" s="2" t="s">
        <v>395</v>
      </c>
      <c r="B133" s="2" t="s">
        <v>396</v>
      </c>
      <c r="C133" s="2" t="s">
        <v>397</v>
      </c>
      <c r="D133" s="2" t="s">
        <v>10040</v>
      </c>
      <c r="E133" s="15">
        <v>4.0599999999999997E-2</v>
      </c>
      <c r="F133" s="15">
        <v>6.6400000000000001E-2</v>
      </c>
      <c r="G133" s="15">
        <v>0.08</v>
      </c>
      <c r="H133" s="15">
        <v>7.7299999999999994E-2</v>
      </c>
      <c r="I133" s="15">
        <v>0.32301448465513583</v>
      </c>
    </row>
    <row r="134" spans="1:9" x14ac:dyDescent="0.2">
      <c r="A134" s="2" t="s">
        <v>398</v>
      </c>
      <c r="B134" s="2" t="s">
        <v>399</v>
      </c>
      <c r="C134" s="2" t="s">
        <v>400</v>
      </c>
      <c r="D134" s="2" t="s">
        <v>10040</v>
      </c>
      <c r="E134" s="15">
        <v>7.7399999999999997E-2</v>
      </c>
      <c r="F134" s="15">
        <v>6.4399999999999999E-2</v>
      </c>
      <c r="G134" s="15">
        <v>0.159</v>
      </c>
      <c r="H134" s="15">
        <v>9.2200000000000004E-2</v>
      </c>
      <c r="I134" s="15">
        <v>0.21019815514377929</v>
      </c>
    </row>
    <row r="135" spans="1:9" x14ac:dyDescent="0.2">
      <c r="A135" s="2" t="s">
        <v>401</v>
      </c>
      <c r="B135" s="2" t="s">
        <v>402</v>
      </c>
      <c r="C135" s="2" t="s">
        <v>403</v>
      </c>
      <c r="D135" s="2" t="s">
        <v>10040</v>
      </c>
      <c r="E135" s="15">
        <v>0.18690000000000001</v>
      </c>
      <c r="F135" s="15">
        <v>0.1084</v>
      </c>
      <c r="G135" s="15">
        <v>0.23860000000000001</v>
      </c>
      <c r="H135" s="15">
        <v>0.1113</v>
      </c>
      <c r="I135" s="15">
        <v>0.33390547868235998</v>
      </c>
    </row>
    <row r="136" spans="1:9" x14ac:dyDescent="0.2">
      <c r="A136" s="2" t="s">
        <v>404</v>
      </c>
      <c r="B136" s="2" t="s">
        <v>405</v>
      </c>
      <c r="C136" s="2" t="s">
        <v>406</v>
      </c>
      <c r="D136" s="2" t="s">
        <v>10040</v>
      </c>
      <c r="E136" s="15">
        <v>5.1900000000000002E-2</v>
      </c>
      <c r="F136" s="15">
        <v>6.0600000000000001E-2</v>
      </c>
      <c r="G136" s="15">
        <v>9.1000000000000004E-3</v>
      </c>
      <c r="H136" s="15">
        <v>8.1799999999999998E-2</v>
      </c>
      <c r="I136" s="15">
        <v>0.3176420508273613</v>
      </c>
    </row>
    <row r="137" spans="1:9" x14ac:dyDescent="0.2">
      <c r="A137" s="2" t="s">
        <v>407</v>
      </c>
      <c r="B137" s="2" t="s">
        <v>408</v>
      </c>
      <c r="C137" s="2" t="s">
        <v>409</v>
      </c>
      <c r="D137" s="2" t="s">
        <v>10040</v>
      </c>
      <c r="E137" s="15">
        <v>4.2000000000000003E-2</v>
      </c>
      <c r="F137" s="15">
        <v>5.5899999999999998E-2</v>
      </c>
      <c r="G137" s="15">
        <v>3.6499999999999998E-2</v>
      </c>
      <c r="H137" s="15">
        <v>7.4800000000000005E-2</v>
      </c>
      <c r="I137" s="15">
        <v>0.47379578982311482</v>
      </c>
    </row>
    <row r="138" spans="1:9" x14ac:dyDescent="0.2">
      <c r="A138" s="2" t="s">
        <v>410</v>
      </c>
      <c r="B138" s="2" t="s">
        <v>411</v>
      </c>
      <c r="C138" s="2" t="s">
        <v>412</v>
      </c>
      <c r="D138" s="2" t="s">
        <v>10040</v>
      </c>
      <c r="E138" s="15">
        <v>-7.6799999999999993E-2</v>
      </c>
      <c r="F138" s="15">
        <v>6.7199999999999996E-2</v>
      </c>
      <c r="G138" s="15">
        <v>-2.0899999999999998E-2</v>
      </c>
      <c r="H138" s="15">
        <v>6.5500000000000003E-2</v>
      </c>
      <c r="I138" s="15">
        <v>0.23304592003837399</v>
      </c>
    </row>
    <row r="139" spans="1:9" x14ac:dyDescent="0.2">
      <c r="A139" s="2" t="s">
        <v>413</v>
      </c>
      <c r="B139" s="2" t="s">
        <v>414</v>
      </c>
      <c r="C139" s="2" t="s">
        <v>415</v>
      </c>
      <c r="D139" s="2" t="s">
        <v>10040</v>
      </c>
      <c r="E139" s="15">
        <v>-3.8800000000000001E-2</v>
      </c>
      <c r="F139" s="15">
        <v>6.7199999999999996E-2</v>
      </c>
      <c r="G139" s="15">
        <v>4.4900000000000002E-2</v>
      </c>
      <c r="H139" s="15">
        <v>6.1100000000000002E-2</v>
      </c>
      <c r="I139" s="15">
        <v>0.12132714478803459</v>
      </c>
    </row>
    <row r="140" spans="1:9" x14ac:dyDescent="0.2">
      <c r="A140" s="2" t="s">
        <v>416</v>
      </c>
      <c r="B140" s="2" t="s">
        <v>417</v>
      </c>
      <c r="C140" s="2" t="s">
        <v>418</v>
      </c>
      <c r="D140" s="2" t="s">
        <v>10040</v>
      </c>
      <c r="E140" s="15">
        <v>-8.9999999999999998E-4</v>
      </c>
      <c r="F140" s="15">
        <v>7.1499999999999994E-2</v>
      </c>
      <c r="G140" s="15">
        <v>4.87E-2</v>
      </c>
      <c r="H140" s="15">
        <v>6.1199999999999997E-2</v>
      </c>
      <c r="I140" s="15">
        <v>0.24556026045868309</v>
      </c>
    </row>
    <row r="141" spans="1:9" x14ac:dyDescent="0.2">
      <c r="A141" s="2" t="s">
        <v>419</v>
      </c>
      <c r="B141" s="2" t="s">
        <v>420</v>
      </c>
      <c r="C141" s="2" t="s">
        <v>421</v>
      </c>
      <c r="D141" s="2" t="s">
        <v>10040</v>
      </c>
      <c r="E141" s="15">
        <v>-4.6800000000000001E-2</v>
      </c>
      <c r="F141" s="15">
        <v>6.2700000000000006E-2</v>
      </c>
      <c r="G141" s="15">
        <v>-4.2000000000000003E-2</v>
      </c>
      <c r="H141" s="15">
        <v>6.3700000000000007E-2</v>
      </c>
      <c r="I141" s="15">
        <v>0.47445118567182343</v>
      </c>
    </row>
    <row r="142" spans="1:9" x14ac:dyDescent="0.2">
      <c r="A142" s="2" t="s">
        <v>422</v>
      </c>
      <c r="B142" s="2" t="s">
        <v>423</v>
      </c>
      <c r="C142" s="2" t="s">
        <v>424</v>
      </c>
      <c r="D142" s="2" t="s">
        <v>10040</v>
      </c>
      <c r="E142" s="15">
        <v>-3.95E-2</v>
      </c>
      <c r="F142" s="15">
        <v>7.8600000000000003E-2</v>
      </c>
      <c r="G142" s="15">
        <v>-6.0900000000000003E-2</v>
      </c>
      <c r="H142" s="15">
        <v>6.4000000000000001E-2</v>
      </c>
      <c r="I142" s="15">
        <v>0.38898935506665422</v>
      </c>
    </row>
    <row r="143" spans="1:9" x14ac:dyDescent="0.2">
      <c r="A143" s="2" t="s">
        <v>425</v>
      </c>
      <c r="B143" s="2" t="s">
        <v>426</v>
      </c>
      <c r="C143" s="2" t="s">
        <v>427</v>
      </c>
      <c r="D143" s="2" t="s">
        <v>10040</v>
      </c>
      <c r="E143" s="15">
        <v>-5.4000000000000003E-3</v>
      </c>
      <c r="F143" s="15">
        <v>6.4799999999999996E-2</v>
      </c>
      <c r="G143" s="15">
        <v>2.9600000000000001E-2</v>
      </c>
      <c r="H143" s="15">
        <v>6.9099999999999995E-2</v>
      </c>
      <c r="I143" s="15">
        <v>0.33439523388815168</v>
      </c>
    </row>
    <row r="144" spans="1:9" x14ac:dyDescent="0.2">
      <c r="A144" s="2" t="s">
        <v>428</v>
      </c>
      <c r="B144" s="2" t="s">
        <v>429</v>
      </c>
      <c r="C144" s="2" t="s">
        <v>430</v>
      </c>
      <c r="D144" s="2" t="s">
        <v>10040</v>
      </c>
      <c r="E144" s="15">
        <v>-4.5999999999999999E-3</v>
      </c>
      <c r="F144" s="15">
        <v>6.9099999999999995E-2</v>
      </c>
      <c r="G144" s="15">
        <v>-5.1900000000000002E-2</v>
      </c>
      <c r="H144" s="15">
        <v>7.4800000000000005E-2</v>
      </c>
      <c r="I144" s="15">
        <v>0.29473268555183979</v>
      </c>
    </row>
    <row r="145" spans="1:9" x14ac:dyDescent="0.2">
      <c r="A145" s="2" t="s">
        <v>431</v>
      </c>
      <c r="B145" s="2" t="s">
        <v>432</v>
      </c>
      <c r="C145" s="2" t="s">
        <v>433</v>
      </c>
      <c r="D145" s="2" t="s">
        <v>10040</v>
      </c>
      <c r="E145" s="15">
        <v>2.5100000000000001E-2</v>
      </c>
      <c r="F145" s="15">
        <v>6.8000000000000005E-2</v>
      </c>
      <c r="G145" s="15">
        <v>-2.5999999999999999E-3</v>
      </c>
      <c r="H145" s="15">
        <v>8.1000000000000003E-2</v>
      </c>
      <c r="I145" s="15">
        <v>0.38213495580118678</v>
      </c>
    </row>
    <row r="146" spans="1:9" x14ac:dyDescent="0.2">
      <c r="A146" s="2" t="s">
        <v>434</v>
      </c>
      <c r="B146" s="2" t="s">
        <v>435</v>
      </c>
      <c r="C146" s="2" t="s">
        <v>436</v>
      </c>
      <c r="D146" s="2" t="s">
        <v>10040</v>
      </c>
      <c r="E146" s="15">
        <v>1.84E-2</v>
      </c>
      <c r="F146" s="15">
        <v>5.91E-2</v>
      </c>
      <c r="G146" s="15">
        <v>6.7900000000000002E-2</v>
      </c>
      <c r="H146" s="15">
        <v>7.2099999999999997E-2</v>
      </c>
      <c r="I146" s="15">
        <v>0.27472765152808382</v>
      </c>
    </row>
    <row r="147" spans="1:9" x14ac:dyDescent="0.2">
      <c r="A147" s="2" t="s">
        <v>437</v>
      </c>
      <c r="B147" s="2" t="s">
        <v>438</v>
      </c>
      <c r="C147" s="2" t="s">
        <v>439</v>
      </c>
      <c r="D147" s="2" t="s">
        <v>10040</v>
      </c>
      <c r="E147" s="15">
        <v>4.3999999999999997E-2</v>
      </c>
      <c r="F147" s="15">
        <v>0.1055</v>
      </c>
      <c r="G147" s="15">
        <v>9.2700000000000005E-2</v>
      </c>
      <c r="H147" s="15">
        <v>0.1953</v>
      </c>
      <c r="I147" s="15">
        <v>0.4075204805814473</v>
      </c>
    </row>
    <row r="148" spans="1:9" x14ac:dyDescent="0.2">
      <c r="A148" s="2" t="s">
        <v>440</v>
      </c>
      <c r="B148" s="2" t="s">
        <v>441</v>
      </c>
      <c r="C148" s="2" t="s">
        <v>442</v>
      </c>
      <c r="D148" s="2" t="s">
        <v>10040</v>
      </c>
      <c r="E148" s="15">
        <v>-1.8100000000000002E-2</v>
      </c>
      <c r="F148" s="15">
        <v>5.9200000000000003E-2</v>
      </c>
      <c r="G148" s="15">
        <v>2.6599999999999999E-2</v>
      </c>
      <c r="H148" s="15">
        <v>7.3499999999999996E-2</v>
      </c>
      <c r="I148" s="15">
        <v>0.29629184185461299</v>
      </c>
    </row>
    <row r="149" spans="1:9" x14ac:dyDescent="0.2">
      <c r="A149" s="2" t="s">
        <v>443</v>
      </c>
      <c r="B149" s="2" t="s">
        <v>444</v>
      </c>
      <c r="C149" s="2" t="s">
        <v>445</v>
      </c>
      <c r="D149" s="2" t="s">
        <v>10040</v>
      </c>
      <c r="E149" s="15">
        <v>0.1265</v>
      </c>
      <c r="F149" s="15">
        <v>6.54E-2</v>
      </c>
      <c r="G149" s="15">
        <v>5.2900000000000003E-2</v>
      </c>
      <c r="H149" s="15">
        <v>6.6199999999999995E-2</v>
      </c>
      <c r="I149" s="15">
        <v>0.1680998350198005</v>
      </c>
    </row>
    <row r="150" spans="1:9" x14ac:dyDescent="0.2">
      <c r="A150" s="2" t="s">
        <v>446</v>
      </c>
      <c r="B150" s="2" t="s">
        <v>447</v>
      </c>
      <c r="C150" s="2" t="s">
        <v>448</v>
      </c>
      <c r="D150" s="2" t="s">
        <v>10040</v>
      </c>
      <c r="E150" s="15">
        <v>0.1166</v>
      </c>
      <c r="F150" s="15">
        <v>6.7500000000000004E-2</v>
      </c>
      <c r="G150" s="15">
        <v>4.02E-2</v>
      </c>
      <c r="H150" s="15">
        <v>8.8499999999999995E-2</v>
      </c>
      <c r="I150" s="15">
        <v>0.22163222135688071</v>
      </c>
    </row>
    <row r="151" spans="1:9" x14ac:dyDescent="0.2">
      <c r="A151" s="2" t="s">
        <v>449</v>
      </c>
      <c r="B151" s="2" t="s">
        <v>450</v>
      </c>
      <c r="C151" s="2" t="s">
        <v>451</v>
      </c>
      <c r="D151" s="2" t="s">
        <v>10040</v>
      </c>
      <c r="E151" s="15">
        <v>4.9500000000000002E-2</v>
      </c>
      <c r="F151" s="15">
        <v>5.96E-2</v>
      </c>
      <c r="G151" s="15">
        <v>2.1700000000000001E-2</v>
      </c>
      <c r="H151" s="15">
        <v>6.6500000000000004E-2</v>
      </c>
      <c r="I151" s="15">
        <v>0.35875551815122009</v>
      </c>
    </row>
    <row r="152" spans="1:9" x14ac:dyDescent="0.2">
      <c r="A152" s="2" t="s">
        <v>452</v>
      </c>
      <c r="B152" s="2" t="s">
        <v>453</v>
      </c>
      <c r="C152" s="2" t="s">
        <v>454</v>
      </c>
      <c r="D152" s="2" t="s">
        <v>10040</v>
      </c>
      <c r="E152" s="15">
        <v>5.5599999999999997E-2</v>
      </c>
      <c r="F152" s="15">
        <v>6.0499999999999998E-2</v>
      </c>
      <c r="G152" s="15">
        <v>2.3E-3</v>
      </c>
      <c r="H152" s="15">
        <v>6.5299999999999997E-2</v>
      </c>
      <c r="I152" s="15">
        <v>0.24128324773005549</v>
      </c>
    </row>
    <row r="153" spans="1:9" x14ac:dyDescent="0.2">
      <c r="A153" s="2" t="s">
        <v>455</v>
      </c>
      <c r="B153" s="2" t="s">
        <v>456</v>
      </c>
      <c r="C153" s="2" t="s">
        <v>457</v>
      </c>
      <c r="D153" s="2" t="s">
        <v>10040</v>
      </c>
      <c r="E153" s="15">
        <v>4.2700000000000002E-2</v>
      </c>
      <c r="F153" s="15">
        <v>5.9900000000000002E-2</v>
      </c>
      <c r="G153" s="15">
        <v>1.55E-2</v>
      </c>
      <c r="H153" s="15">
        <v>8.6499999999999994E-2</v>
      </c>
      <c r="I153" s="15">
        <v>0.38958320248562911</v>
      </c>
    </row>
    <row r="154" spans="1:9" x14ac:dyDescent="0.2">
      <c r="A154" s="2" t="s">
        <v>458</v>
      </c>
      <c r="B154" s="2" t="s">
        <v>459</v>
      </c>
      <c r="C154" s="2" t="s">
        <v>460</v>
      </c>
      <c r="D154" s="2" t="s">
        <v>10040</v>
      </c>
      <c r="E154" s="15">
        <v>6.9800000000000001E-2</v>
      </c>
      <c r="F154" s="15">
        <v>5.9299999999999999E-2</v>
      </c>
      <c r="G154" s="15">
        <v>1.0500000000000001E-2</v>
      </c>
      <c r="H154" s="15">
        <v>6.08E-2</v>
      </c>
      <c r="I154" s="15">
        <v>0.2025439860214093</v>
      </c>
    </row>
    <row r="155" spans="1:9" x14ac:dyDescent="0.2">
      <c r="A155" s="2" t="s">
        <v>461</v>
      </c>
      <c r="B155" s="2" t="s">
        <v>462</v>
      </c>
      <c r="C155" s="2" t="s">
        <v>463</v>
      </c>
      <c r="D155" s="2" t="s">
        <v>10040</v>
      </c>
      <c r="E155" s="15">
        <v>-6.8599999999999994E-2</v>
      </c>
      <c r="F155" s="15">
        <v>6.2600000000000003E-2</v>
      </c>
      <c r="G155" s="15">
        <v>2.2800000000000001E-2</v>
      </c>
      <c r="H155" s="15">
        <v>7.22E-2</v>
      </c>
      <c r="I155" s="15">
        <v>0.1318518076983792</v>
      </c>
    </row>
    <row r="156" spans="1:9" x14ac:dyDescent="0.2">
      <c r="A156" s="2" t="s">
        <v>464</v>
      </c>
      <c r="B156" s="2" t="s">
        <v>465</v>
      </c>
      <c r="C156" s="2" t="s">
        <v>466</v>
      </c>
      <c r="D156" s="2" t="s">
        <v>10040</v>
      </c>
      <c r="E156" s="15">
        <v>0.14000000000000001</v>
      </c>
      <c r="F156" s="15">
        <v>6.1899999999999997E-2</v>
      </c>
      <c r="G156" s="15">
        <v>6.54E-2</v>
      </c>
      <c r="H156" s="15">
        <v>6.5199999999999994E-2</v>
      </c>
      <c r="I156" s="15">
        <v>0.16193147372189801</v>
      </c>
    </row>
    <row r="157" spans="1:9" x14ac:dyDescent="0.2">
      <c r="A157" s="2" t="s">
        <v>467</v>
      </c>
      <c r="B157" s="2" t="s">
        <v>468</v>
      </c>
      <c r="C157" s="2" t="s">
        <v>469</v>
      </c>
      <c r="D157" s="2" t="s">
        <v>10040</v>
      </c>
      <c r="E157" s="15">
        <v>6.2100000000000002E-2</v>
      </c>
      <c r="F157" s="15">
        <v>6.7100000000000007E-2</v>
      </c>
      <c r="G157" s="15">
        <v>6.4199999999999993E-2</v>
      </c>
      <c r="H157" s="15">
        <v>6.4399999999999999E-2</v>
      </c>
      <c r="I157" s="15">
        <v>0.48874437099104701</v>
      </c>
    </row>
    <row r="158" spans="1:9" x14ac:dyDescent="0.2">
      <c r="A158" s="2" t="s">
        <v>470</v>
      </c>
      <c r="B158" s="2" t="s">
        <v>471</v>
      </c>
      <c r="C158" s="2" t="s">
        <v>472</v>
      </c>
      <c r="D158" s="2" t="s">
        <v>10040</v>
      </c>
      <c r="E158" s="15">
        <v>-0.13189999999999999</v>
      </c>
      <c r="F158" s="15">
        <v>6.83E-2</v>
      </c>
      <c r="G158" s="15">
        <v>5.5599999999999997E-2</v>
      </c>
      <c r="H158" s="15">
        <v>7.1499999999999994E-2</v>
      </c>
      <c r="I158" s="15">
        <v>1.0362239988707309E-2</v>
      </c>
    </row>
    <row r="159" spans="1:9" x14ac:dyDescent="0.2">
      <c r="A159" s="2" t="s">
        <v>473</v>
      </c>
      <c r="B159" s="2" t="s">
        <v>474</v>
      </c>
      <c r="C159" s="2" t="s">
        <v>475</v>
      </c>
      <c r="D159" s="2" t="s">
        <v>10040</v>
      </c>
      <c r="E159" s="15">
        <v>8.7800000000000003E-2</v>
      </c>
      <c r="F159" s="15">
        <v>7.2300000000000003E-2</v>
      </c>
      <c r="G159" s="15">
        <v>5.4199999999999998E-2</v>
      </c>
      <c r="H159" s="15">
        <v>5.9400000000000001E-2</v>
      </c>
      <c r="I159" s="15">
        <v>0.31699073908645797</v>
      </c>
    </row>
    <row r="160" spans="1:9" x14ac:dyDescent="0.2">
      <c r="A160" s="2" t="s">
        <v>476</v>
      </c>
      <c r="B160" s="2" t="s">
        <v>477</v>
      </c>
      <c r="C160" s="2" t="s">
        <v>478</v>
      </c>
      <c r="D160" s="2" t="s">
        <v>10040</v>
      </c>
      <c r="E160" s="15">
        <v>-4.9599999999999998E-2</v>
      </c>
      <c r="F160" s="15">
        <v>7.3800000000000004E-2</v>
      </c>
      <c r="G160" s="15">
        <v>0.1024</v>
      </c>
      <c r="H160" s="15">
        <v>7.4999999999999997E-2</v>
      </c>
      <c r="I160" s="15">
        <v>3.4641908491536477E-2</v>
      </c>
    </row>
    <row r="161" spans="1:9" x14ac:dyDescent="0.2">
      <c r="A161" s="2" t="s">
        <v>479</v>
      </c>
      <c r="B161" s="2" t="s">
        <v>480</v>
      </c>
      <c r="C161" s="2" t="s">
        <v>481</v>
      </c>
      <c r="D161" s="2" t="s">
        <v>10040</v>
      </c>
      <c r="E161" s="15">
        <v>-4.7500000000000001E-2</v>
      </c>
      <c r="F161" s="15">
        <v>6.7500000000000004E-2</v>
      </c>
      <c r="G161" s="15">
        <v>-2.2700000000000001E-2</v>
      </c>
      <c r="H161" s="15">
        <v>5.91E-2</v>
      </c>
      <c r="I161" s="15">
        <v>0.36287431678838877</v>
      </c>
    </row>
    <row r="162" spans="1:9" x14ac:dyDescent="0.2">
      <c r="A162" s="2" t="s">
        <v>482</v>
      </c>
      <c r="B162" s="2" t="s">
        <v>483</v>
      </c>
      <c r="C162" s="2" t="s">
        <v>484</v>
      </c>
      <c r="D162" s="2" t="s">
        <v>10040</v>
      </c>
      <c r="E162" s="15">
        <v>4.5999999999999999E-3</v>
      </c>
      <c r="F162" s="15">
        <v>7.2300000000000003E-2</v>
      </c>
      <c r="G162" s="15">
        <v>4.1700000000000001E-2</v>
      </c>
      <c r="H162" s="15">
        <v>5.8400000000000001E-2</v>
      </c>
      <c r="I162" s="15">
        <v>0.29518615669906467</v>
      </c>
    </row>
    <row r="163" spans="1:9" x14ac:dyDescent="0.2">
      <c r="A163" s="2" t="s">
        <v>485</v>
      </c>
      <c r="B163" s="2" t="s">
        <v>486</v>
      </c>
      <c r="C163" s="2" t="s">
        <v>487</v>
      </c>
      <c r="D163" s="2" t="s">
        <v>10040</v>
      </c>
      <c r="E163" s="15">
        <v>-2.92E-2</v>
      </c>
      <c r="F163" s="15">
        <v>7.3499999999999996E-2</v>
      </c>
      <c r="G163" s="15">
        <v>-1.6899999999999998E-2</v>
      </c>
      <c r="H163" s="15">
        <v>6.5299999999999997E-2</v>
      </c>
      <c r="I163" s="15">
        <v>0.43619559689335058</v>
      </c>
    </row>
    <row r="164" spans="1:9" x14ac:dyDescent="0.2">
      <c r="A164" s="2" t="s">
        <v>488</v>
      </c>
      <c r="B164" s="2" t="s">
        <v>489</v>
      </c>
      <c r="C164" s="2" t="s">
        <v>490</v>
      </c>
      <c r="D164" s="2" t="s">
        <v>10040</v>
      </c>
      <c r="E164" s="15">
        <v>-0.1822</v>
      </c>
      <c r="F164" s="15">
        <v>6.93E-2</v>
      </c>
      <c r="G164" s="15">
        <v>-6.5699999999999995E-2</v>
      </c>
      <c r="H164" s="15">
        <v>7.3599999999999999E-2</v>
      </c>
      <c r="I164" s="15">
        <v>8.9222830108962564E-2</v>
      </c>
    </row>
    <row r="165" spans="1:9" x14ac:dyDescent="0.2">
      <c r="A165" s="2" t="s">
        <v>491</v>
      </c>
      <c r="B165" s="2" t="s">
        <v>492</v>
      </c>
      <c r="C165" s="2" t="s">
        <v>493</v>
      </c>
      <c r="D165" s="2" t="s">
        <v>10040</v>
      </c>
      <c r="E165" s="15">
        <v>-5.3100000000000001E-2</v>
      </c>
      <c r="F165" s="15">
        <v>8.3000000000000004E-2</v>
      </c>
      <c r="G165" s="15">
        <v>1.8700000000000001E-2</v>
      </c>
      <c r="H165" s="15">
        <v>7.3099999999999998E-2</v>
      </c>
      <c r="I165" s="15">
        <v>0.19227539067072019</v>
      </c>
    </row>
    <row r="166" spans="1:9" x14ac:dyDescent="0.2">
      <c r="A166" s="2" t="s">
        <v>494</v>
      </c>
      <c r="B166" s="2" t="s">
        <v>495</v>
      </c>
      <c r="C166" s="2" t="s">
        <v>496</v>
      </c>
      <c r="D166" s="2" t="s">
        <v>10040</v>
      </c>
      <c r="E166" s="15">
        <v>-0.16009999999999999</v>
      </c>
      <c r="F166" s="15">
        <v>7.2599999999999998E-2</v>
      </c>
      <c r="G166" s="15">
        <v>-6.8000000000000005E-2</v>
      </c>
      <c r="H166" s="15">
        <v>7.5200000000000003E-2</v>
      </c>
      <c r="I166" s="15">
        <v>0.1427479477221176</v>
      </c>
    </row>
    <row r="167" spans="1:9" x14ac:dyDescent="0.2">
      <c r="A167" s="2" t="s">
        <v>497</v>
      </c>
      <c r="B167" s="2" t="s">
        <v>498</v>
      </c>
      <c r="C167" s="2" t="s">
        <v>499</v>
      </c>
      <c r="D167" s="2" t="s">
        <v>10040</v>
      </c>
      <c r="E167" s="15">
        <v>-1.4E-3</v>
      </c>
      <c r="F167" s="15">
        <v>6.9800000000000001E-2</v>
      </c>
      <c r="G167" s="15">
        <v>0.24210000000000001</v>
      </c>
      <c r="H167" s="15">
        <v>9.9900000000000003E-2</v>
      </c>
      <c r="I167" s="15">
        <v>1.1448539530349289E-2</v>
      </c>
    </row>
    <row r="168" spans="1:9" x14ac:dyDescent="0.2">
      <c r="A168" s="2" t="s">
        <v>500</v>
      </c>
      <c r="B168" s="2" t="s">
        <v>501</v>
      </c>
      <c r="C168" s="2" t="s">
        <v>502</v>
      </c>
      <c r="D168" s="2" t="s">
        <v>10040</v>
      </c>
      <c r="E168" s="15">
        <v>-6.4999999999999997E-3</v>
      </c>
      <c r="F168" s="15">
        <v>6.5299999999999997E-2</v>
      </c>
      <c r="G168" s="15">
        <v>0.22339999999999999</v>
      </c>
      <c r="H168" s="15">
        <v>0.11119999999999999</v>
      </c>
      <c r="I168" s="15">
        <v>2.5022322257831419E-2</v>
      </c>
    </row>
    <row r="169" spans="1:9" x14ac:dyDescent="0.2">
      <c r="A169" s="2" t="s">
        <v>503</v>
      </c>
      <c r="B169" s="2" t="s">
        <v>504</v>
      </c>
      <c r="C169" s="2" t="s">
        <v>505</v>
      </c>
      <c r="D169" s="2" t="s">
        <v>10040</v>
      </c>
      <c r="E169" s="15">
        <v>-1.54E-2</v>
      </c>
      <c r="F169" s="15">
        <v>6.3100000000000003E-2</v>
      </c>
      <c r="G169" s="15">
        <v>0.22409999999999999</v>
      </c>
      <c r="H169" s="15">
        <v>0.1013</v>
      </c>
      <c r="I169" s="15">
        <v>1.2924879658191739E-2</v>
      </c>
    </row>
    <row r="170" spans="1:9" x14ac:dyDescent="0.2">
      <c r="A170" s="2" t="s">
        <v>506</v>
      </c>
      <c r="B170" s="2" t="s">
        <v>507</v>
      </c>
      <c r="C170" s="2" t="s">
        <v>508</v>
      </c>
      <c r="D170" s="2" t="s">
        <v>10040</v>
      </c>
      <c r="E170" s="15">
        <v>8.5599999999999996E-2</v>
      </c>
      <c r="F170" s="15">
        <v>5.5899999999999998E-2</v>
      </c>
      <c r="G170" s="15">
        <v>7.9899999999999999E-2</v>
      </c>
      <c r="H170" s="15">
        <v>6.4399999999999999E-2</v>
      </c>
      <c r="I170" s="15">
        <v>0.46886631939387052</v>
      </c>
    </row>
    <row r="171" spans="1:9" x14ac:dyDescent="0.2">
      <c r="A171" s="2" t="s">
        <v>509</v>
      </c>
      <c r="B171" s="2" t="s">
        <v>510</v>
      </c>
      <c r="C171" s="2" t="s">
        <v>511</v>
      </c>
      <c r="D171" s="2" t="s">
        <v>10040</v>
      </c>
      <c r="E171" s="15">
        <v>9.7199999999999995E-2</v>
      </c>
      <c r="F171" s="15">
        <v>7.17E-2</v>
      </c>
      <c r="G171" s="15">
        <v>0.27029999999999998</v>
      </c>
      <c r="H171" s="15">
        <v>0.1225</v>
      </c>
      <c r="I171" s="15">
        <v>8.9024307066287112E-2</v>
      </c>
    </row>
    <row r="172" spans="1:9" x14ac:dyDescent="0.2">
      <c r="A172" s="2" t="s">
        <v>512</v>
      </c>
      <c r="B172" s="2" t="s">
        <v>513</v>
      </c>
      <c r="C172" s="2" t="s">
        <v>514</v>
      </c>
      <c r="D172" s="2" t="s">
        <v>10040</v>
      </c>
      <c r="E172" s="15">
        <v>-1.9699999999999999E-2</v>
      </c>
      <c r="F172" s="15">
        <v>6.7799999999999999E-2</v>
      </c>
      <c r="G172" s="15">
        <v>0.21079999999999999</v>
      </c>
      <c r="H172" s="15">
        <v>7.9200000000000007E-2</v>
      </c>
      <c r="I172" s="15">
        <v>4.2003588836540366E-3</v>
      </c>
    </row>
    <row r="173" spans="1:9" x14ac:dyDescent="0.2">
      <c r="A173" s="2" t="s">
        <v>515</v>
      </c>
      <c r="B173" s="2" t="s">
        <v>516</v>
      </c>
      <c r="C173" s="2" t="s">
        <v>517</v>
      </c>
      <c r="D173" s="2" t="s">
        <v>10040</v>
      </c>
      <c r="E173" s="15">
        <v>-2.3400000000000001E-2</v>
      </c>
      <c r="F173" s="15">
        <v>6.2799999999999995E-2</v>
      </c>
      <c r="G173" s="15">
        <v>0.19620000000000001</v>
      </c>
      <c r="H173" s="15">
        <v>8.7599999999999997E-2</v>
      </c>
      <c r="I173" s="15">
        <v>1.018083558797396E-2</v>
      </c>
    </row>
    <row r="174" spans="1:9" x14ac:dyDescent="0.2">
      <c r="A174" s="2" t="s">
        <v>518</v>
      </c>
      <c r="B174" s="2" t="s">
        <v>519</v>
      </c>
      <c r="C174" s="2" t="s">
        <v>520</v>
      </c>
      <c r="D174" s="2" t="s">
        <v>10040</v>
      </c>
      <c r="E174" s="15">
        <v>1.78E-2</v>
      </c>
      <c r="F174" s="15">
        <v>0.1045</v>
      </c>
      <c r="G174" s="15">
        <v>0.1051</v>
      </c>
      <c r="H174" s="15">
        <v>8.9599999999999999E-2</v>
      </c>
      <c r="I174" s="15">
        <v>0.1954312805281623</v>
      </c>
    </row>
    <row r="175" spans="1:9" x14ac:dyDescent="0.2">
      <c r="A175" s="2" t="s">
        <v>521</v>
      </c>
      <c r="B175" s="2" t="s">
        <v>522</v>
      </c>
      <c r="C175" s="2" t="s">
        <v>523</v>
      </c>
      <c r="D175" s="2" t="s">
        <v>10040</v>
      </c>
      <c r="E175" s="15">
        <v>1.6500000000000001E-2</v>
      </c>
      <c r="F175" s="15">
        <v>7.0699999999999999E-2</v>
      </c>
      <c r="G175" s="15">
        <v>0.1163</v>
      </c>
      <c r="H175" s="15">
        <v>7.7899999999999997E-2</v>
      </c>
      <c r="I175" s="15">
        <v>0.12808459985995879</v>
      </c>
    </row>
    <row r="176" spans="1:9" x14ac:dyDescent="0.2">
      <c r="A176" s="2" t="s">
        <v>524</v>
      </c>
      <c r="B176" s="2" t="s">
        <v>525</v>
      </c>
      <c r="C176" s="2" t="s">
        <v>526</v>
      </c>
      <c r="D176" s="2" t="s">
        <v>10040</v>
      </c>
      <c r="E176" s="15">
        <v>-3.5400000000000001E-2</v>
      </c>
      <c r="F176" s="15">
        <v>5.7200000000000001E-2</v>
      </c>
      <c r="G176" s="15">
        <v>1E-3</v>
      </c>
      <c r="H176" s="15">
        <v>8.6199999999999999E-2</v>
      </c>
      <c r="I176" s="15">
        <v>0.35122291947523587</v>
      </c>
    </row>
    <row r="177" spans="1:9" x14ac:dyDescent="0.2">
      <c r="A177" s="2" t="s">
        <v>527</v>
      </c>
      <c r="B177" s="2" t="s">
        <v>528</v>
      </c>
      <c r="C177" s="2" t="s">
        <v>529</v>
      </c>
      <c r="D177" s="2" t="s">
        <v>10040</v>
      </c>
      <c r="E177" s="15">
        <v>-4.9599999999999998E-2</v>
      </c>
      <c r="F177" s="15">
        <v>5.96E-2</v>
      </c>
      <c r="G177" s="15">
        <v>-2.1600000000000001E-2</v>
      </c>
      <c r="H177" s="15">
        <v>6.2100000000000002E-2</v>
      </c>
      <c r="I177" s="15">
        <v>0.35129327312352587</v>
      </c>
    </row>
    <row r="178" spans="1:9" x14ac:dyDescent="0.2">
      <c r="A178" s="2" t="s">
        <v>530</v>
      </c>
      <c r="B178" s="2" t="s">
        <v>531</v>
      </c>
      <c r="C178" s="2" t="s">
        <v>532</v>
      </c>
      <c r="D178" s="2" t="s">
        <v>10040</v>
      </c>
      <c r="E178" s="15">
        <v>-0.1709</v>
      </c>
      <c r="F178" s="15">
        <v>0.1951</v>
      </c>
      <c r="G178" s="15">
        <v>1.38E-2</v>
      </c>
      <c r="H178" s="15">
        <v>0.2853</v>
      </c>
    </row>
    <row r="179" spans="1:9" x14ac:dyDescent="0.2">
      <c r="A179" s="2" t="s">
        <v>533</v>
      </c>
      <c r="B179" s="2" t="s">
        <v>534</v>
      </c>
      <c r="C179" s="2" t="s">
        <v>535</v>
      </c>
      <c r="D179" s="2" t="s">
        <v>10040</v>
      </c>
      <c r="E179" s="15">
        <v>-3.3E-3</v>
      </c>
      <c r="F179" s="15">
        <v>4.7699999999999999E-2</v>
      </c>
      <c r="G179" s="15">
        <v>0.1014</v>
      </c>
      <c r="H179" s="15">
        <v>6.1800000000000001E-2</v>
      </c>
      <c r="I179" s="15">
        <v>6.9397032078527959E-2</v>
      </c>
    </row>
    <row r="180" spans="1:9" x14ac:dyDescent="0.2">
      <c r="A180" s="2" t="s">
        <v>536</v>
      </c>
      <c r="B180" s="2" t="s">
        <v>537</v>
      </c>
      <c r="C180" s="2" t="s">
        <v>538</v>
      </c>
      <c r="D180" s="2" t="s">
        <v>10040</v>
      </c>
      <c r="E180" s="15">
        <v>8.1799999999999998E-2</v>
      </c>
      <c r="F180" s="15">
        <v>7.2599999999999998E-2</v>
      </c>
      <c r="G180" s="15">
        <v>3.2500000000000001E-2</v>
      </c>
      <c r="H180" s="15">
        <v>7.0199999999999999E-2</v>
      </c>
      <c r="I180" s="15">
        <v>0.27274160839656841</v>
      </c>
    </row>
    <row r="181" spans="1:9" x14ac:dyDescent="0.2">
      <c r="A181" s="2" t="s">
        <v>539</v>
      </c>
      <c r="B181" s="2" t="s">
        <v>540</v>
      </c>
      <c r="C181" s="2" t="s">
        <v>541</v>
      </c>
      <c r="D181" s="2" t="s">
        <v>10040</v>
      </c>
      <c r="E181" s="15">
        <v>-9.2600000000000002E-2</v>
      </c>
      <c r="F181" s="15">
        <v>7.4899999999999994E-2</v>
      </c>
      <c r="G181" s="15">
        <v>-6.7999999999999996E-3</v>
      </c>
      <c r="H181" s="15">
        <v>8.3500000000000005E-2</v>
      </c>
      <c r="I181" s="15">
        <v>0.18490916745520361</v>
      </c>
    </row>
    <row r="182" spans="1:9" x14ac:dyDescent="0.2">
      <c r="A182" s="2" t="s">
        <v>542</v>
      </c>
      <c r="B182" s="2" t="s">
        <v>543</v>
      </c>
      <c r="C182" s="2" t="s">
        <v>544</v>
      </c>
      <c r="D182" s="2" t="s">
        <v>10040</v>
      </c>
    </row>
    <row r="183" spans="1:9" x14ac:dyDescent="0.2">
      <c r="A183" s="2" t="s">
        <v>545</v>
      </c>
      <c r="B183" s="2" t="s">
        <v>546</v>
      </c>
      <c r="C183" s="2" t="s">
        <v>547</v>
      </c>
      <c r="D183" s="2" t="s">
        <v>10040</v>
      </c>
      <c r="E183" s="15">
        <v>5.9400000000000001E-2</v>
      </c>
      <c r="F183" s="15">
        <v>9.5000000000000001E-2</v>
      </c>
      <c r="G183" s="15">
        <v>0.1074</v>
      </c>
      <c r="H183" s="15">
        <v>7.2800000000000004E-2</v>
      </c>
      <c r="I183" s="15">
        <v>0.29195688137469789</v>
      </c>
    </row>
    <row r="184" spans="1:9" x14ac:dyDescent="0.2">
      <c r="A184" s="2" t="s">
        <v>548</v>
      </c>
      <c r="B184" s="2" t="s">
        <v>549</v>
      </c>
      <c r="C184" s="2" t="s">
        <v>550</v>
      </c>
      <c r="D184" s="2" t="s">
        <v>10040</v>
      </c>
      <c r="E184" s="15">
        <v>-1.61E-2</v>
      </c>
      <c r="F184" s="15">
        <v>5.62E-2</v>
      </c>
      <c r="G184" s="15">
        <v>4.6600000000000003E-2</v>
      </c>
      <c r="H184" s="15">
        <v>7.4899999999999994E-2</v>
      </c>
      <c r="I184" s="15">
        <v>0.22170843281675989</v>
      </c>
    </row>
    <row r="185" spans="1:9" x14ac:dyDescent="0.2">
      <c r="A185" s="2" t="s">
        <v>551</v>
      </c>
      <c r="B185" s="2" t="s">
        <v>552</v>
      </c>
      <c r="C185" s="2" t="s">
        <v>553</v>
      </c>
      <c r="D185" s="2" t="s">
        <v>10040</v>
      </c>
      <c r="E185" s="15">
        <v>-6.4699999999999994E-2</v>
      </c>
      <c r="F185" s="15">
        <v>8.3400000000000002E-2</v>
      </c>
      <c r="G185" s="15">
        <v>0.1966</v>
      </c>
      <c r="H185" s="15">
        <v>9.9099999999999994E-2</v>
      </c>
      <c r="I185" s="15">
        <v>8.6006978492989133E-3</v>
      </c>
    </row>
    <row r="186" spans="1:9" x14ac:dyDescent="0.2">
      <c r="A186" s="2" t="s">
        <v>554</v>
      </c>
      <c r="B186" s="2" t="s">
        <v>555</v>
      </c>
      <c r="C186" s="2" t="s">
        <v>556</v>
      </c>
      <c r="D186" s="2" t="s">
        <v>10040</v>
      </c>
      <c r="E186" s="15">
        <v>1.95E-2</v>
      </c>
      <c r="F186" s="15">
        <v>6.2799999999999995E-2</v>
      </c>
      <c r="G186" s="15">
        <v>4.1300000000000003E-2</v>
      </c>
      <c r="H186" s="15">
        <v>9.2700000000000005E-2</v>
      </c>
      <c r="I186" s="15">
        <v>0.41529464550266648</v>
      </c>
    </row>
    <row r="187" spans="1:9" x14ac:dyDescent="0.2">
      <c r="A187" s="2" t="s">
        <v>557</v>
      </c>
      <c r="B187" s="2" t="s">
        <v>558</v>
      </c>
      <c r="C187" s="2" t="s">
        <v>559</v>
      </c>
      <c r="D187" s="2" t="s">
        <v>10040</v>
      </c>
      <c r="E187" s="15">
        <v>5.1999999999999998E-2</v>
      </c>
      <c r="F187" s="15">
        <v>6.2E-2</v>
      </c>
      <c r="G187" s="15">
        <v>-7.6E-3</v>
      </c>
      <c r="H187" s="15">
        <v>9.5500000000000002E-2</v>
      </c>
      <c r="I187" s="15">
        <v>0.28405543414438761</v>
      </c>
    </row>
    <row r="188" spans="1:9" x14ac:dyDescent="0.2">
      <c r="A188" s="2" t="s">
        <v>560</v>
      </c>
      <c r="B188" s="2" t="s">
        <v>561</v>
      </c>
      <c r="C188" s="2" t="s">
        <v>562</v>
      </c>
      <c r="D188" s="2" t="s">
        <v>10040</v>
      </c>
      <c r="E188" s="15">
        <v>-8.2000000000000007E-3</v>
      </c>
      <c r="F188" s="15">
        <v>7.8100000000000003E-2</v>
      </c>
      <c r="G188" s="15">
        <v>0.14449999999999999</v>
      </c>
      <c r="H188" s="15">
        <v>7.9200000000000007E-2</v>
      </c>
      <c r="I188" s="15">
        <v>4.5781746316458843E-2</v>
      </c>
    </row>
    <row r="189" spans="1:9" x14ac:dyDescent="0.2">
      <c r="A189" s="2" t="s">
        <v>563</v>
      </c>
      <c r="B189" s="2" t="s">
        <v>564</v>
      </c>
      <c r="C189" s="2" t="s">
        <v>565</v>
      </c>
      <c r="D189" s="2" t="s">
        <v>10040</v>
      </c>
      <c r="E189" s="15">
        <v>-5.2299999999999999E-2</v>
      </c>
      <c r="F189" s="15">
        <v>7.7899999999999997E-2</v>
      </c>
      <c r="G189" s="15">
        <v>0.1216</v>
      </c>
      <c r="H189" s="15">
        <v>8.09E-2</v>
      </c>
      <c r="I189" s="15">
        <v>2.65296156790065E-2</v>
      </c>
    </row>
    <row r="190" spans="1:9" x14ac:dyDescent="0.2">
      <c r="A190" s="2" t="s">
        <v>566</v>
      </c>
      <c r="B190" s="2" t="s">
        <v>567</v>
      </c>
      <c r="C190" s="2" t="s">
        <v>568</v>
      </c>
      <c r="D190" s="2" t="s">
        <v>10040</v>
      </c>
      <c r="E190" s="15">
        <v>-5.4899999999999997E-2</v>
      </c>
      <c r="F190" s="15">
        <v>0.1211</v>
      </c>
      <c r="G190" s="15">
        <v>9.7299999999999998E-2</v>
      </c>
      <c r="H190" s="15">
        <v>0.13300000000000001</v>
      </c>
      <c r="I190" s="15">
        <v>0.1494052778313186</v>
      </c>
    </row>
    <row r="191" spans="1:9" x14ac:dyDescent="0.2">
      <c r="A191" s="2" t="s">
        <v>569</v>
      </c>
      <c r="B191" s="2" t="s">
        <v>570</v>
      </c>
      <c r="C191" s="2" t="s">
        <v>571</v>
      </c>
      <c r="D191" s="2" t="s">
        <v>10040</v>
      </c>
      <c r="E191" s="15">
        <v>8.1500000000000003E-2</v>
      </c>
      <c r="F191" s="15">
        <v>7.22E-2</v>
      </c>
      <c r="G191" s="15">
        <v>0.20380000000000001</v>
      </c>
      <c r="H191" s="15">
        <v>9.6100000000000005E-2</v>
      </c>
      <c r="I191" s="15">
        <v>0.1200136355187448</v>
      </c>
    </row>
    <row r="192" spans="1:9" x14ac:dyDescent="0.2">
      <c r="A192" s="2" t="s">
        <v>572</v>
      </c>
      <c r="B192" s="2" t="s">
        <v>573</v>
      </c>
      <c r="C192" s="2" t="s">
        <v>574</v>
      </c>
      <c r="D192" s="2" t="s">
        <v>10040</v>
      </c>
      <c r="E192" s="15">
        <v>-8.77E-2</v>
      </c>
      <c r="F192" s="15">
        <v>5.7599999999999998E-2</v>
      </c>
      <c r="G192" s="15">
        <v>9.5200000000000007E-2</v>
      </c>
      <c r="H192" s="15">
        <v>6.7299999999999999E-2</v>
      </c>
      <c r="I192" s="15">
        <v>7.9519275941716382E-3</v>
      </c>
    </row>
    <row r="193" spans="1:9" x14ac:dyDescent="0.2">
      <c r="A193" s="2" t="s">
        <v>575</v>
      </c>
      <c r="B193" s="2" t="s">
        <v>576</v>
      </c>
      <c r="C193" s="2" t="s">
        <v>577</v>
      </c>
      <c r="D193" s="2" t="s">
        <v>10040</v>
      </c>
      <c r="E193" s="15">
        <v>2.4899999999999999E-2</v>
      </c>
      <c r="F193" s="15">
        <v>7.1400000000000005E-2</v>
      </c>
      <c r="G193" s="15">
        <v>0.1484</v>
      </c>
      <c r="H193" s="15">
        <v>8.09E-2</v>
      </c>
      <c r="I193" s="15">
        <v>8.6434296704907182E-2</v>
      </c>
    </row>
    <row r="194" spans="1:9" x14ac:dyDescent="0.2">
      <c r="A194" s="2" t="s">
        <v>578</v>
      </c>
      <c r="B194" s="2" t="s">
        <v>579</v>
      </c>
      <c r="C194" s="2" t="s">
        <v>580</v>
      </c>
      <c r="D194" s="2" t="s">
        <v>10040</v>
      </c>
      <c r="E194" s="15">
        <v>-6.4699999999999994E-2</v>
      </c>
      <c r="F194" s="15">
        <v>0.1017</v>
      </c>
      <c r="G194" s="15">
        <v>0.14180000000000001</v>
      </c>
      <c r="H194" s="15">
        <v>8.4699999999999998E-2</v>
      </c>
      <c r="I194" s="15">
        <v>1.6380355490816349E-2</v>
      </c>
    </row>
    <row r="195" spans="1:9" x14ac:dyDescent="0.2">
      <c r="A195" s="2" t="s">
        <v>581</v>
      </c>
      <c r="B195" s="2" t="s">
        <v>582</v>
      </c>
      <c r="C195" s="2" t="s">
        <v>583</v>
      </c>
      <c r="D195" s="2" t="s">
        <v>10040</v>
      </c>
      <c r="E195" s="15">
        <v>2E-3</v>
      </c>
      <c r="F195" s="15">
        <v>5.96E-2</v>
      </c>
      <c r="G195" s="15">
        <v>4.4400000000000002E-2</v>
      </c>
      <c r="H195" s="15">
        <v>6.3799999999999996E-2</v>
      </c>
      <c r="I195" s="15">
        <v>0.28481115343917912</v>
      </c>
    </row>
    <row r="196" spans="1:9" x14ac:dyDescent="0.2">
      <c r="A196" s="2" t="s">
        <v>584</v>
      </c>
      <c r="B196" s="2" t="s">
        <v>585</v>
      </c>
      <c r="C196" s="2" t="s">
        <v>586</v>
      </c>
      <c r="D196" s="2" t="s">
        <v>10040</v>
      </c>
      <c r="E196" s="15">
        <v>1.6400000000000001E-2</v>
      </c>
      <c r="F196" s="15">
        <v>7.0999999999999994E-2</v>
      </c>
      <c r="G196" s="15">
        <v>8.1100000000000005E-2</v>
      </c>
      <c r="H196" s="15">
        <v>7.2700000000000001E-2</v>
      </c>
      <c r="I196" s="15">
        <v>0.22211302989425399</v>
      </c>
    </row>
    <row r="197" spans="1:9" x14ac:dyDescent="0.2">
      <c r="A197" s="2" t="s">
        <v>587</v>
      </c>
      <c r="B197" s="2" t="s">
        <v>588</v>
      </c>
      <c r="C197" s="2" t="s">
        <v>589</v>
      </c>
      <c r="D197" s="2" t="s">
        <v>10040</v>
      </c>
      <c r="E197" s="15">
        <v>0.1007</v>
      </c>
      <c r="F197" s="15">
        <v>6.5299999999999997E-2</v>
      </c>
      <c r="G197" s="15">
        <v>5.6399999999999999E-2</v>
      </c>
      <c r="H197" s="15">
        <v>6.9599999999999995E-2</v>
      </c>
      <c r="I197" s="15">
        <v>0.28889276536064418</v>
      </c>
    </row>
    <row r="198" spans="1:9" x14ac:dyDescent="0.2">
      <c r="A198" s="2" t="s">
        <v>590</v>
      </c>
      <c r="B198" s="2" t="s">
        <v>591</v>
      </c>
      <c r="C198" s="2" t="s">
        <v>592</v>
      </c>
      <c r="D198" s="2" t="s">
        <v>10040</v>
      </c>
      <c r="E198" s="15">
        <v>0.10489999999999999</v>
      </c>
      <c r="F198" s="15">
        <v>5.6800000000000003E-2</v>
      </c>
      <c r="G198" s="15">
        <v>-2.4299999999999999E-2</v>
      </c>
      <c r="H198" s="15">
        <v>5.9200000000000003E-2</v>
      </c>
      <c r="I198" s="15">
        <v>3.3028900808960489E-2</v>
      </c>
    </row>
    <row r="199" spans="1:9" x14ac:dyDescent="0.2">
      <c r="A199" s="2" t="s">
        <v>593</v>
      </c>
      <c r="B199" s="2" t="s">
        <v>594</v>
      </c>
      <c r="C199" s="2" t="s">
        <v>595</v>
      </c>
      <c r="D199" s="2" t="s">
        <v>10040</v>
      </c>
      <c r="E199" s="15">
        <v>-4.1000000000000003E-3</v>
      </c>
      <c r="F199" s="15">
        <v>5.8299999999999998E-2</v>
      </c>
      <c r="G199" s="15">
        <v>0.1072</v>
      </c>
      <c r="H199" s="15">
        <v>6.93E-2</v>
      </c>
      <c r="I199" s="15">
        <v>7.9911314289929425E-2</v>
      </c>
    </row>
    <row r="200" spans="1:9" x14ac:dyDescent="0.2">
      <c r="A200" s="2" t="s">
        <v>596</v>
      </c>
      <c r="B200" s="2" t="s">
        <v>597</v>
      </c>
      <c r="C200" s="2" t="s">
        <v>598</v>
      </c>
      <c r="D200" s="2" t="s">
        <v>10040</v>
      </c>
      <c r="E200" s="15">
        <v>3.6299999999999999E-2</v>
      </c>
      <c r="F200" s="15">
        <v>5.6599999999999998E-2</v>
      </c>
      <c r="G200" s="15">
        <v>8.8300000000000003E-2</v>
      </c>
      <c r="H200" s="15">
        <v>7.0999999999999994E-2</v>
      </c>
      <c r="I200" s="15">
        <v>0.25959661332586448</v>
      </c>
    </row>
    <row r="201" spans="1:9" x14ac:dyDescent="0.2">
      <c r="A201" s="2" t="s">
        <v>599</v>
      </c>
      <c r="B201" s="2" t="s">
        <v>600</v>
      </c>
      <c r="C201" s="2" t="s">
        <v>601</v>
      </c>
      <c r="D201" s="2" t="s">
        <v>10040</v>
      </c>
      <c r="E201" s="15">
        <v>0.14199999999999999</v>
      </c>
      <c r="F201" s="15">
        <v>6.5299999999999997E-2</v>
      </c>
      <c r="G201" s="15">
        <v>5.9999999999999995E-4</v>
      </c>
      <c r="H201" s="15">
        <v>7.5800000000000006E-2</v>
      </c>
      <c r="I201" s="15">
        <v>4.5823825908373292E-2</v>
      </c>
    </row>
    <row r="202" spans="1:9" x14ac:dyDescent="0.2">
      <c r="A202" s="2" t="s">
        <v>602</v>
      </c>
      <c r="B202" s="2" t="s">
        <v>603</v>
      </c>
      <c r="C202" s="2" t="s">
        <v>604</v>
      </c>
      <c r="D202" s="2" t="s">
        <v>10040</v>
      </c>
      <c r="E202" s="15">
        <v>0.1537</v>
      </c>
      <c r="F202" s="15">
        <v>7.0000000000000007E-2</v>
      </c>
      <c r="G202" s="15">
        <v>0.1484</v>
      </c>
      <c r="H202" s="15">
        <v>7.1900000000000006E-2</v>
      </c>
      <c r="I202" s="15">
        <v>0.47470144766229672</v>
      </c>
    </row>
    <row r="203" spans="1:9" x14ac:dyDescent="0.2">
      <c r="A203" s="2" t="s">
        <v>605</v>
      </c>
      <c r="B203" s="2" t="s">
        <v>606</v>
      </c>
      <c r="C203" s="2" t="s">
        <v>607</v>
      </c>
      <c r="D203" s="2" t="s">
        <v>10040</v>
      </c>
      <c r="E203" s="15">
        <v>1.9E-2</v>
      </c>
      <c r="F203" s="15">
        <v>8.4199999999999997E-2</v>
      </c>
      <c r="G203" s="15">
        <v>4.3799999999999999E-2</v>
      </c>
      <c r="H203" s="15">
        <v>0.1082</v>
      </c>
      <c r="I203" s="15">
        <v>0.41571578380219321</v>
      </c>
    </row>
    <row r="204" spans="1:9" x14ac:dyDescent="0.2">
      <c r="A204" s="2" t="s">
        <v>608</v>
      </c>
      <c r="B204" s="2" t="s">
        <v>609</v>
      </c>
      <c r="C204" s="2" t="s">
        <v>610</v>
      </c>
      <c r="D204" s="2" t="s">
        <v>10040</v>
      </c>
      <c r="E204" s="15">
        <v>2.6700000000000002E-2</v>
      </c>
      <c r="F204" s="15">
        <v>5.0700000000000002E-2</v>
      </c>
      <c r="G204" s="15">
        <v>-1.61E-2</v>
      </c>
      <c r="H204" s="15">
        <v>6.5299999999999997E-2</v>
      </c>
      <c r="I204" s="15">
        <v>0.2837447433565603</v>
      </c>
    </row>
    <row r="205" spans="1:9" x14ac:dyDescent="0.2">
      <c r="A205" s="2" t="s">
        <v>611</v>
      </c>
      <c r="B205" s="2" t="s">
        <v>612</v>
      </c>
      <c r="C205" s="2" t="s">
        <v>613</v>
      </c>
      <c r="D205" s="2" t="s">
        <v>10040</v>
      </c>
      <c r="E205" s="15">
        <v>-9.0499999999999997E-2</v>
      </c>
      <c r="F205" s="15">
        <v>0.14449999999999999</v>
      </c>
      <c r="G205" s="15">
        <v>-0.1326</v>
      </c>
      <c r="H205" s="15">
        <v>0.12839999999999999</v>
      </c>
      <c r="I205" s="15">
        <v>0.38270926691574231</v>
      </c>
    </row>
    <row r="206" spans="1:9" x14ac:dyDescent="0.2">
      <c r="A206" s="2" t="s">
        <v>614</v>
      </c>
      <c r="B206" s="2" t="s">
        <v>615</v>
      </c>
      <c r="C206" s="2" t="s">
        <v>616</v>
      </c>
      <c r="D206" s="2" t="s">
        <v>10040</v>
      </c>
      <c r="E206" s="15">
        <v>8.9300000000000004E-2</v>
      </c>
      <c r="F206" s="15">
        <v>6.9599999999999995E-2</v>
      </c>
      <c r="G206" s="15">
        <v>5.04E-2</v>
      </c>
      <c r="H206" s="15">
        <v>8.4599999999999995E-2</v>
      </c>
      <c r="I206" s="15">
        <v>0.34043825425177249</v>
      </c>
    </row>
    <row r="207" spans="1:9" x14ac:dyDescent="0.2">
      <c r="A207" s="2" t="s">
        <v>617</v>
      </c>
      <c r="B207" s="2" t="s">
        <v>618</v>
      </c>
      <c r="C207" s="2" t="s">
        <v>619</v>
      </c>
      <c r="D207" s="2" t="s">
        <v>10040</v>
      </c>
      <c r="E207" s="15">
        <v>9.6000000000000002E-2</v>
      </c>
      <c r="F207" s="15">
        <v>8.8800000000000004E-2</v>
      </c>
      <c r="G207" s="15">
        <v>-2.8899999999999999E-2</v>
      </c>
      <c r="H207" s="15">
        <v>0.109</v>
      </c>
      <c r="I207" s="15">
        <v>0.1483984597174863</v>
      </c>
    </row>
    <row r="208" spans="1:9" x14ac:dyDescent="0.2">
      <c r="A208" s="2" t="s">
        <v>620</v>
      </c>
      <c r="B208" s="2" t="s">
        <v>621</v>
      </c>
      <c r="C208" s="2" t="s">
        <v>622</v>
      </c>
      <c r="D208" s="2" t="s">
        <v>10040</v>
      </c>
      <c r="E208" s="15">
        <v>9.2799999999999994E-2</v>
      </c>
      <c r="F208" s="15">
        <v>7.9000000000000001E-2</v>
      </c>
      <c r="G208" s="15">
        <v>0.21659999999999999</v>
      </c>
      <c r="H208" s="15">
        <v>0.1077</v>
      </c>
      <c r="I208" s="15">
        <v>0.14127471723460749</v>
      </c>
    </row>
    <row r="209" spans="1:9" x14ac:dyDescent="0.2">
      <c r="A209" s="2" t="s">
        <v>623</v>
      </c>
      <c r="B209" s="2" t="s">
        <v>624</v>
      </c>
      <c r="C209" s="2" t="s">
        <v>625</v>
      </c>
      <c r="D209" s="2" t="s">
        <v>10040</v>
      </c>
      <c r="E209" s="15">
        <v>-8.8800000000000004E-2</v>
      </c>
      <c r="F209" s="15">
        <v>5.4100000000000002E-2</v>
      </c>
      <c r="G209" s="15">
        <v>7.5300000000000006E-2</v>
      </c>
      <c r="H209" s="15">
        <v>7.1900000000000006E-2</v>
      </c>
      <c r="I209" s="15">
        <v>1.9702012812499191E-2</v>
      </c>
    </row>
    <row r="210" spans="1:9" x14ac:dyDescent="0.2">
      <c r="A210" s="2" t="s">
        <v>626</v>
      </c>
      <c r="B210" s="2" t="s">
        <v>627</v>
      </c>
      <c r="C210" s="2" t="s">
        <v>628</v>
      </c>
      <c r="D210" s="2" t="s">
        <v>10040</v>
      </c>
      <c r="E210" s="15">
        <v>1.5299999999999999E-2</v>
      </c>
      <c r="F210" s="15">
        <v>7.3099999999999998E-2</v>
      </c>
      <c r="G210" s="15">
        <v>7.9100000000000004E-2</v>
      </c>
      <c r="H210" s="15">
        <v>7.6799999999999993E-2</v>
      </c>
      <c r="I210" s="15">
        <v>0.233166594852876</v>
      </c>
    </row>
    <row r="211" spans="1:9" x14ac:dyDescent="0.2">
      <c r="A211" s="2" t="s">
        <v>629</v>
      </c>
      <c r="B211" s="2" t="s">
        <v>630</v>
      </c>
      <c r="C211" s="2" t="s">
        <v>631</v>
      </c>
      <c r="D211" s="2" t="s">
        <v>10040</v>
      </c>
      <c r="E211" s="15">
        <v>-6.0100000000000001E-2</v>
      </c>
      <c r="F211" s="15">
        <v>9.1200000000000003E-2</v>
      </c>
      <c r="G211" s="15">
        <v>2.58E-2</v>
      </c>
      <c r="H211" s="15">
        <v>9.0700000000000003E-2</v>
      </c>
      <c r="I211" s="15">
        <v>0.20289341177323431</v>
      </c>
    </row>
    <row r="212" spans="1:9" x14ac:dyDescent="0.2">
      <c r="A212" s="2" t="s">
        <v>632</v>
      </c>
      <c r="B212" s="2" t="s">
        <v>633</v>
      </c>
      <c r="C212" s="2" t="s">
        <v>634</v>
      </c>
      <c r="D212" s="2" t="s">
        <v>10040</v>
      </c>
      <c r="E212" s="15">
        <v>3.0599999999999999E-2</v>
      </c>
      <c r="F212" s="15">
        <v>6.1800000000000001E-2</v>
      </c>
      <c r="G212" s="15">
        <v>5.1999999999999998E-2</v>
      </c>
      <c r="H212" s="15">
        <v>6.2300000000000001E-2</v>
      </c>
      <c r="I212" s="15">
        <v>0.38418548196983537</v>
      </c>
    </row>
    <row r="213" spans="1:9" x14ac:dyDescent="0.2">
      <c r="A213" s="2" t="s">
        <v>635</v>
      </c>
      <c r="B213" s="2" t="s">
        <v>636</v>
      </c>
      <c r="C213" s="2" t="s">
        <v>637</v>
      </c>
      <c r="D213" s="2" t="s">
        <v>10040</v>
      </c>
      <c r="E213" s="15">
        <v>2.9000000000000001E-2</v>
      </c>
      <c r="F213" s="15">
        <v>7.3999999999999996E-2</v>
      </c>
      <c r="G213" s="15">
        <v>3.9100000000000003E-2</v>
      </c>
      <c r="H213" s="15">
        <v>6.9400000000000003E-2</v>
      </c>
      <c r="I213" s="15">
        <v>0.45102506821256932</v>
      </c>
    </row>
    <row r="214" spans="1:9" x14ac:dyDescent="0.2">
      <c r="A214" s="2" t="s">
        <v>638</v>
      </c>
      <c r="B214" s="2" t="s">
        <v>639</v>
      </c>
      <c r="C214" s="2" t="s">
        <v>640</v>
      </c>
      <c r="D214" s="2" t="s">
        <v>10040</v>
      </c>
      <c r="E214" s="15">
        <v>8.43E-2</v>
      </c>
      <c r="F214" s="15">
        <v>6.8099999999999994E-2</v>
      </c>
      <c r="G214" s="15">
        <v>4.9599999999999998E-2</v>
      </c>
      <c r="H214" s="15">
        <v>6.6100000000000006E-2</v>
      </c>
      <c r="I214" s="15">
        <v>0.32365990025534791</v>
      </c>
    </row>
    <row r="215" spans="1:9" x14ac:dyDescent="0.2">
      <c r="A215" s="2" t="s">
        <v>641</v>
      </c>
      <c r="B215" s="2" t="s">
        <v>642</v>
      </c>
      <c r="C215" s="2" t="s">
        <v>643</v>
      </c>
      <c r="D215" s="2" t="s">
        <v>10040</v>
      </c>
      <c r="E215" s="15">
        <v>8.8700000000000001E-2</v>
      </c>
      <c r="F215" s="15">
        <v>5.3199999999999997E-2</v>
      </c>
      <c r="G215" s="15">
        <v>-9.9000000000000008E-3</v>
      </c>
      <c r="H215" s="15">
        <v>6.5799999999999997E-2</v>
      </c>
      <c r="I215" s="15">
        <v>9.8986738212658021E-2</v>
      </c>
    </row>
    <row r="216" spans="1:9" x14ac:dyDescent="0.2">
      <c r="A216" s="2" t="s">
        <v>644</v>
      </c>
      <c r="B216" s="2" t="s">
        <v>645</v>
      </c>
      <c r="C216" s="2" t="s">
        <v>646</v>
      </c>
      <c r="D216" s="2" t="s">
        <v>10040</v>
      </c>
      <c r="E216" s="15">
        <v>-4.5499999999999999E-2</v>
      </c>
      <c r="F216" s="15">
        <v>6.0699999999999997E-2</v>
      </c>
      <c r="G216" s="15">
        <v>0.1133</v>
      </c>
      <c r="H216" s="15">
        <v>6.6000000000000003E-2</v>
      </c>
      <c r="I216" s="15">
        <v>1.756402668743896E-2</v>
      </c>
    </row>
    <row r="217" spans="1:9" x14ac:dyDescent="0.2">
      <c r="A217" s="2" t="s">
        <v>647</v>
      </c>
      <c r="B217" s="2" t="s">
        <v>648</v>
      </c>
      <c r="C217" s="2" t="s">
        <v>649</v>
      </c>
      <c r="D217" s="2" t="s">
        <v>10040</v>
      </c>
      <c r="E217" s="15">
        <v>1.37E-2</v>
      </c>
      <c r="F217" s="15">
        <v>5.8599999999999999E-2</v>
      </c>
      <c r="G217" s="15">
        <v>0.121</v>
      </c>
      <c r="H217" s="15">
        <v>7.6399999999999996E-2</v>
      </c>
      <c r="I217" s="15">
        <v>0.1025320326329755</v>
      </c>
    </row>
    <row r="218" spans="1:9" x14ac:dyDescent="0.2">
      <c r="A218" s="2" t="s">
        <v>650</v>
      </c>
      <c r="B218" s="2" t="s">
        <v>651</v>
      </c>
      <c r="C218" s="2" t="s">
        <v>652</v>
      </c>
      <c r="D218" s="2" t="s">
        <v>10040</v>
      </c>
      <c r="E218" s="15">
        <v>9.0200000000000002E-2</v>
      </c>
      <c r="F218" s="15">
        <v>6.3700000000000007E-2</v>
      </c>
      <c r="G218" s="15">
        <v>4.4699999999999997E-2</v>
      </c>
      <c r="H218" s="15">
        <v>7.4499999999999997E-2</v>
      </c>
      <c r="I218" s="15">
        <v>0.29030644753328572</v>
      </c>
    </row>
    <row r="219" spans="1:9" x14ac:dyDescent="0.2">
      <c r="A219" s="2" t="s">
        <v>653</v>
      </c>
      <c r="B219" s="2" t="s">
        <v>654</v>
      </c>
      <c r="C219" s="2" t="s">
        <v>655</v>
      </c>
      <c r="D219" s="2" t="s">
        <v>10040</v>
      </c>
      <c r="E219" s="15">
        <v>0.11360000000000001</v>
      </c>
      <c r="F219" s="15">
        <v>7.7100000000000002E-2</v>
      </c>
      <c r="G219" s="15">
        <v>0.16669999999999999</v>
      </c>
      <c r="H219" s="15">
        <v>8.72E-2</v>
      </c>
      <c r="I219" s="15">
        <v>0.29403231386994599</v>
      </c>
    </row>
    <row r="220" spans="1:9" x14ac:dyDescent="0.2">
      <c r="A220" s="2" t="s">
        <v>656</v>
      </c>
      <c r="B220" s="2" t="s">
        <v>657</v>
      </c>
      <c r="C220" s="2" t="s">
        <v>658</v>
      </c>
      <c r="D220" s="2" t="s">
        <v>10040</v>
      </c>
      <c r="E220" s="15">
        <v>5.8400000000000001E-2</v>
      </c>
      <c r="F220" s="15">
        <v>6.6900000000000001E-2</v>
      </c>
      <c r="G220" s="15">
        <v>-8.6999999999999994E-3</v>
      </c>
      <c r="H220" s="15">
        <v>7.51E-2</v>
      </c>
      <c r="I220" s="15">
        <v>0.2198510258109875</v>
      </c>
    </row>
    <row r="221" spans="1:9" x14ac:dyDescent="0.2">
      <c r="A221" s="2" t="s">
        <v>659</v>
      </c>
      <c r="B221" s="2" t="s">
        <v>660</v>
      </c>
      <c r="C221" s="2" t="s">
        <v>661</v>
      </c>
      <c r="D221" s="2" t="s">
        <v>10040</v>
      </c>
      <c r="E221" s="15">
        <v>2.9100000000000001E-2</v>
      </c>
      <c r="F221" s="15">
        <v>5.2499999999999998E-2</v>
      </c>
      <c r="G221" s="15">
        <v>-1.9900000000000001E-2</v>
      </c>
      <c r="H221" s="15">
        <v>6.7699999999999996E-2</v>
      </c>
      <c r="I221" s="15">
        <v>0.26139577723967872</v>
      </c>
    </row>
    <row r="222" spans="1:9" x14ac:dyDescent="0.2">
      <c r="A222" s="2" t="s">
        <v>662</v>
      </c>
      <c r="B222" s="2" t="s">
        <v>663</v>
      </c>
      <c r="C222" s="2" t="s">
        <v>664</v>
      </c>
      <c r="D222" s="2" t="s">
        <v>10040</v>
      </c>
      <c r="E222" s="15">
        <v>-0.1643</v>
      </c>
      <c r="F222" s="15">
        <v>0.1321</v>
      </c>
      <c r="G222" s="15">
        <v>-0.25090000000000001</v>
      </c>
      <c r="H222" s="15">
        <v>0.31330000000000002</v>
      </c>
      <c r="I222" s="15">
        <v>0.39334376282818839</v>
      </c>
    </row>
    <row r="223" spans="1:9" x14ac:dyDescent="0.2">
      <c r="A223" s="2" t="s">
        <v>665</v>
      </c>
      <c r="B223" s="2" t="s">
        <v>666</v>
      </c>
      <c r="C223" s="2" t="s">
        <v>667</v>
      </c>
      <c r="D223" s="2" t="s">
        <v>10040</v>
      </c>
      <c r="E223" s="15">
        <v>-2.2499999999999999E-2</v>
      </c>
      <c r="F223" s="15">
        <v>7.4499999999999997E-2</v>
      </c>
      <c r="G223" s="15">
        <v>9.3299999999999994E-2</v>
      </c>
      <c r="H223" s="15">
        <v>8.3699999999999997E-2</v>
      </c>
      <c r="I223" s="15">
        <v>0.1087878229956946</v>
      </c>
    </row>
    <row r="224" spans="1:9" x14ac:dyDescent="0.2">
      <c r="A224" s="2" t="s">
        <v>668</v>
      </c>
      <c r="B224" s="2" t="s">
        <v>669</v>
      </c>
      <c r="C224" s="2" t="s">
        <v>670</v>
      </c>
      <c r="D224" s="2" t="s">
        <v>10040</v>
      </c>
      <c r="E224" s="15">
        <v>2.8799999999999999E-2</v>
      </c>
      <c r="F224" s="15">
        <v>9.9500000000000005E-2</v>
      </c>
      <c r="G224" s="15">
        <v>-4.82E-2</v>
      </c>
      <c r="H224" s="15">
        <v>0.15290000000000001</v>
      </c>
      <c r="I224" s="15">
        <v>0.31619122498199398</v>
      </c>
    </row>
    <row r="225" spans="1:9" x14ac:dyDescent="0.2">
      <c r="A225" s="2" t="s">
        <v>671</v>
      </c>
      <c r="B225" s="2" t="s">
        <v>672</v>
      </c>
      <c r="C225" s="2" t="s">
        <v>673</v>
      </c>
      <c r="D225" s="2" t="s">
        <v>10040</v>
      </c>
      <c r="E225" s="15">
        <v>8.6599999999999996E-2</v>
      </c>
      <c r="F225" s="15">
        <v>6.9800000000000001E-2</v>
      </c>
      <c r="G225" s="15">
        <v>0.14360000000000001</v>
      </c>
      <c r="H225" s="15">
        <v>7.0800000000000002E-2</v>
      </c>
      <c r="I225" s="15">
        <v>0.24100701852297199</v>
      </c>
    </row>
    <row r="226" spans="1:9" x14ac:dyDescent="0.2">
      <c r="A226" s="2" t="s">
        <v>674</v>
      </c>
      <c r="B226" s="2" t="s">
        <v>675</v>
      </c>
      <c r="C226" s="2" t="s">
        <v>676</v>
      </c>
      <c r="D226" s="2" t="s">
        <v>10040</v>
      </c>
      <c r="E226" s="15">
        <v>0.13109999999999999</v>
      </c>
      <c r="F226" s="15">
        <v>7.8399999999999997E-2</v>
      </c>
      <c r="G226" s="15">
        <v>0.187</v>
      </c>
      <c r="H226" s="15">
        <v>9.1700000000000004E-2</v>
      </c>
      <c r="I226" s="15">
        <v>0.28978923694793918</v>
      </c>
    </row>
    <row r="227" spans="1:9" x14ac:dyDescent="0.2">
      <c r="A227" s="2" t="s">
        <v>677</v>
      </c>
      <c r="B227" s="2" t="s">
        <v>678</v>
      </c>
      <c r="C227" s="2" t="s">
        <v>679</v>
      </c>
      <c r="D227" s="2" t="s">
        <v>10040</v>
      </c>
      <c r="E227" s="15">
        <v>0.1404</v>
      </c>
      <c r="F227" s="15">
        <v>8.5599999999999996E-2</v>
      </c>
      <c r="G227" s="15">
        <v>9.7100000000000006E-2</v>
      </c>
      <c r="H227" s="15">
        <v>0.10440000000000001</v>
      </c>
      <c r="I227" s="15">
        <v>0.35174623476579348</v>
      </c>
    </row>
    <row r="228" spans="1:9" x14ac:dyDescent="0.2">
      <c r="A228" s="2" t="s">
        <v>680</v>
      </c>
      <c r="B228" s="2" t="s">
        <v>681</v>
      </c>
      <c r="C228" s="2" t="s">
        <v>682</v>
      </c>
      <c r="D228" s="2" t="s">
        <v>10040</v>
      </c>
      <c r="E228" s="15">
        <v>7.1400000000000005E-2</v>
      </c>
      <c r="F228" s="15">
        <v>7.2999999999999995E-2</v>
      </c>
      <c r="G228" s="15">
        <v>0.1045</v>
      </c>
      <c r="H228" s="15">
        <v>9.5899999999999999E-2</v>
      </c>
      <c r="I228" s="15">
        <v>0.37557469793542952</v>
      </c>
    </row>
    <row r="229" spans="1:9" x14ac:dyDescent="0.2">
      <c r="A229" s="2" t="s">
        <v>683</v>
      </c>
      <c r="B229" s="2" t="s">
        <v>684</v>
      </c>
      <c r="C229" s="2" t="s">
        <v>685</v>
      </c>
      <c r="D229" s="2" t="s">
        <v>10040</v>
      </c>
      <c r="E229" s="15">
        <v>0.21299999999999999</v>
      </c>
      <c r="F229" s="15">
        <v>0.1052</v>
      </c>
      <c r="G229" s="15">
        <v>7.6399999999999996E-2</v>
      </c>
      <c r="H229" s="15">
        <v>0.15279999999999999</v>
      </c>
      <c r="I229" s="15">
        <v>0.20047812386501271</v>
      </c>
    </row>
    <row r="230" spans="1:9" x14ac:dyDescent="0.2">
      <c r="A230" s="2" t="s">
        <v>686</v>
      </c>
      <c r="B230" s="2" t="s">
        <v>687</v>
      </c>
      <c r="C230" s="2" t="s">
        <v>688</v>
      </c>
      <c r="D230" s="2" t="s">
        <v>10040</v>
      </c>
      <c r="E230" s="15">
        <v>0.1066</v>
      </c>
      <c r="F230" s="15">
        <v>0.10299999999999999</v>
      </c>
      <c r="G230" s="15">
        <v>-8.8300000000000003E-2</v>
      </c>
      <c r="H230" s="15">
        <v>0.1009</v>
      </c>
      <c r="I230" s="15">
        <v>4.5548387477678663E-2</v>
      </c>
    </row>
    <row r="231" spans="1:9" x14ac:dyDescent="0.2">
      <c r="A231" s="2" t="s">
        <v>689</v>
      </c>
      <c r="B231" s="2" t="s">
        <v>690</v>
      </c>
      <c r="C231" s="2" t="s">
        <v>691</v>
      </c>
      <c r="D231" s="2" t="s">
        <v>10040</v>
      </c>
      <c r="E231" s="15">
        <v>0.13700000000000001</v>
      </c>
      <c r="F231" s="15">
        <v>0.12620000000000001</v>
      </c>
      <c r="G231" s="15">
        <v>-6.0900000000000003E-2</v>
      </c>
      <c r="H231" s="15">
        <v>0.1159</v>
      </c>
      <c r="I231" s="15">
        <v>5.9748826910307813E-2</v>
      </c>
    </row>
    <row r="232" spans="1:9" x14ac:dyDescent="0.2">
      <c r="A232" s="2" t="s">
        <v>692</v>
      </c>
      <c r="B232" s="2" t="s">
        <v>693</v>
      </c>
      <c r="C232" s="2" t="s">
        <v>694</v>
      </c>
      <c r="D232" s="2" t="s">
        <v>10040</v>
      </c>
      <c r="E232" s="15">
        <v>1.24E-2</v>
      </c>
      <c r="F232" s="15">
        <v>8.3000000000000004E-2</v>
      </c>
      <c r="G232" s="15">
        <v>0.12139999999999999</v>
      </c>
      <c r="H232" s="15">
        <v>0.1173</v>
      </c>
      <c r="I232" s="15">
        <v>0.19432520239437701</v>
      </c>
    </row>
    <row r="233" spans="1:9" x14ac:dyDescent="0.2">
      <c r="A233" s="2" t="s">
        <v>695</v>
      </c>
      <c r="B233" s="2" t="s">
        <v>696</v>
      </c>
      <c r="C233" s="2" t="s">
        <v>697</v>
      </c>
      <c r="D233" s="2" t="s">
        <v>10040</v>
      </c>
      <c r="E233" s="15">
        <v>0.1278</v>
      </c>
      <c r="F233" s="15">
        <v>7.7200000000000005E-2</v>
      </c>
      <c r="G233" s="15">
        <v>0.18709999999999999</v>
      </c>
      <c r="H233" s="15">
        <v>9.2700000000000005E-2</v>
      </c>
      <c r="I233" s="15">
        <v>0.2838988837728067</v>
      </c>
    </row>
    <row r="234" spans="1:9" x14ac:dyDescent="0.2">
      <c r="A234" s="2" t="s">
        <v>698</v>
      </c>
      <c r="B234" s="2" t="s">
        <v>699</v>
      </c>
      <c r="C234" s="2" t="s">
        <v>700</v>
      </c>
      <c r="D234" s="2" t="s">
        <v>10040</v>
      </c>
      <c r="E234" s="15">
        <v>0.111</v>
      </c>
      <c r="F234" s="15">
        <v>7.3400000000000007E-2</v>
      </c>
      <c r="G234" s="15">
        <v>0.15190000000000001</v>
      </c>
      <c r="H234" s="15">
        <v>8.5300000000000001E-2</v>
      </c>
      <c r="I234" s="15">
        <v>0.33224191700284861</v>
      </c>
    </row>
    <row r="235" spans="1:9" x14ac:dyDescent="0.2">
      <c r="A235" s="2" t="s">
        <v>701</v>
      </c>
      <c r="B235" s="2" t="s">
        <v>702</v>
      </c>
      <c r="C235" s="2" t="s">
        <v>703</v>
      </c>
      <c r="D235" s="2" t="s">
        <v>10040</v>
      </c>
      <c r="E235" s="15">
        <v>0.12479999999999999</v>
      </c>
      <c r="F235" s="15">
        <v>6.9800000000000001E-2</v>
      </c>
      <c r="G235" s="15">
        <v>0.1704</v>
      </c>
      <c r="H235" s="15">
        <v>7.6300000000000007E-2</v>
      </c>
      <c r="I235" s="15">
        <v>0.2985910552425034</v>
      </c>
    </row>
    <row r="236" spans="1:9" x14ac:dyDescent="0.2">
      <c r="A236" s="2" t="s">
        <v>704</v>
      </c>
      <c r="B236" s="2" t="s">
        <v>705</v>
      </c>
      <c r="C236" s="2" t="s">
        <v>706</v>
      </c>
      <c r="D236" s="2" t="s">
        <v>10040</v>
      </c>
      <c r="E236" s="15">
        <v>0.10929999999999999</v>
      </c>
      <c r="F236" s="15">
        <v>8.0100000000000005E-2</v>
      </c>
      <c r="G236" s="15">
        <v>0.19439999999999999</v>
      </c>
      <c r="H236" s="15">
        <v>8.77E-2</v>
      </c>
      <c r="I236" s="15">
        <v>0.1894826685498108</v>
      </c>
    </row>
    <row r="237" spans="1:9" x14ac:dyDescent="0.2">
      <c r="A237" s="2" t="s">
        <v>707</v>
      </c>
      <c r="B237" s="2" t="s">
        <v>708</v>
      </c>
      <c r="C237" s="2" t="s">
        <v>709</v>
      </c>
      <c r="D237" s="2" t="s">
        <v>10040</v>
      </c>
      <c r="E237" s="15">
        <v>4.2799999999999998E-2</v>
      </c>
      <c r="F237" s="15">
        <v>7.8600000000000003E-2</v>
      </c>
      <c r="G237" s="15">
        <v>0.13669999999999999</v>
      </c>
      <c r="H237" s="15">
        <v>9.3399999999999997E-2</v>
      </c>
      <c r="I237" s="15">
        <v>0.17921029175738151</v>
      </c>
    </row>
    <row r="238" spans="1:9" x14ac:dyDescent="0.2">
      <c r="A238" s="2" t="s">
        <v>710</v>
      </c>
      <c r="B238" s="2" t="s">
        <v>711</v>
      </c>
      <c r="C238" s="2" t="s">
        <v>712</v>
      </c>
      <c r="D238" s="2" t="s">
        <v>10040</v>
      </c>
      <c r="E238" s="15">
        <v>0.1968</v>
      </c>
      <c r="F238" s="15">
        <v>7.7100000000000002E-2</v>
      </c>
      <c r="G238" s="15">
        <v>0.15509999999999999</v>
      </c>
      <c r="H238" s="15">
        <v>8.9499999999999996E-2</v>
      </c>
      <c r="I238" s="15">
        <v>0.33779268912209193</v>
      </c>
    </row>
    <row r="239" spans="1:9" x14ac:dyDescent="0.2">
      <c r="A239" s="2" t="s">
        <v>713</v>
      </c>
      <c r="B239" s="2" t="s">
        <v>714</v>
      </c>
      <c r="C239" s="2" t="s">
        <v>715</v>
      </c>
      <c r="D239" s="2" t="s">
        <v>10040</v>
      </c>
      <c r="E239" s="15">
        <v>2.92E-2</v>
      </c>
      <c r="F239" s="15">
        <v>8.6699999999999999E-2</v>
      </c>
      <c r="G239" s="15">
        <v>2.8500000000000001E-2</v>
      </c>
      <c r="H239" s="15">
        <v>0.1225</v>
      </c>
      <c r="I239" s="15">
        <v>0.49791276552853669</v>
      </c>
    </row>
    <row r="240" spans="1:9" x14ac:dyDescent="0.2">
      <c r="A240" s="2" t="s">
        <v>716</v>
      </c>
      <c r="B240" s="2" t="s">
        <v>717</v>
      </c>
      <c r="C240" s="2" t="s">
        <v>718</v>
      </c>
      <c r="D240" s="2" t="s">
        <v>10040</v>
      </c>
      <c r="E240" s="15">
        <v>4.0800000000000003E-2</v>
      </c>
      <c r="F240" s="15">
        <v>9.5100000000000004E-2</v>
      </c>
      <c r="G240" s="15">
        <v>-7.4399999999999994E-2</v>
      </c>
      <c r="H240" s="15">
        <v>0.1024</v>
      </c>
      <c r="I240" s="15">
        <v>0.1563062312924583</v>
      </c>
    </row>
    <row r="241" spans="1:9" x14ac:dyDescent="0.2">
      <c r="A241" s="2" t="s">
        <v>719</v>
      </c>
      <c r="B241" s="2" t="s">
        <v>720</v>
      </c>
      <c r="C241" s="2" t="s">
        <v>721</v>
      </c>
      <c r="D241" s="2" t="s">
        <v>10040</v>
      </c>
      <c r="E241" s="15">
        <v>6.4299999999999996E-2</v>
      </c>
      <c r="F241" s="15">
        <v>7.6700000000000004E-2</v>
      </c>
      <c r="G241" s="15">
        <v>-1.24E-2</v>
      </c>
      <c r="H241" s="15">
        <v>9.5100000000000004E-2</v>
      </c>
      <c r="I241" s="15">
        <v>0.23623093946777479</v>
      </c>
    </row>
    <row r="242" spans="1:9" x14ac:dyDescent="0.2">
      <c r="A242" s="2" t="s">
        <v>722</v>
      </c>
      <c r="B242" s="2" t="s">
        <v>723</v>
      </c>
      <c r="C242" s="2" t="s">
        <v>724</v>
      </c>
      <c r="D242" s="2" t="s">
        <v>10040</v>
      </c>
      <c r="E242" s="15">
        <v>-1.5599999999999999E-2</v>
      </c>
      <c r="F242" s="15">
        <v>7.9500000000000001E-2</v>
      </c>
      <c r="G242" s="15">
        <v>0.14349999999999999</v>
      </c>
      <c r="H242" s="15">
        <v>0.1474</v>
      </c>
      <c r="I242" s="15">
        <v>0.15027937258622251</v>
      </c>
    </row>
    <row r="243" spans="1:9" x14ac:dyDescent="0.2">
      <c r="A243" s="2" t="s">
        <v>725</v>
      </c>
      <c r="B243" s="2" t="s">
        <v>726</v>
      </c>
      <c r="C243" s="2" t="s">
        <v>727</v>
      </c>
      <c r="D243" s="2" t="s">
        <v>10040</v>
      </c>
      <c r="E243" s="15">
        <v>0.12379999999999999</v>
      </c>
      <c r="F243" s="15">
        <v>8.2799999999999999E-2</v>
      </c>
      <c r="G243" s="15">
        <v>0.2329</v>
      </c>
      <c r="H243" s="15">
        <v>8.4500000000000006E-2</v>
      </c>
      <c r="I243" s="15">
        <v>0.1298299289086281</v>
      </c>
    </row>
    <row r="244" spans="1:9" x14ac:dyDescent="0.2">
      <c r="A244" s="2" t="s">
        <v>728</v>
      </c>
      <c r="B244" s="2" t="s">
        <v>729</v>
      </c>
      <c r="C244" s="2" t="s">
        <v>730</v>
      </c>
      <c r="D244" s="2" t="s">
        <v>10040</v>
      </c>
      <c r="E244" s="15">
        <v>9.8199999999999996E-2</v>
      </c>
      <c r="F244" s="15">
        <v>7.17E-2</v>
      </c>
      <c r="G244" s="15">
        <v>0.17249999999999999</v>
      </c>
      <c r="H244" s="15">
        <v>8.2699999999999996E-2</v>
      </c>
      <c r="I244" s="15">
        <v>0.20833178867610741</v>
      </c>
    </row>
    <row r="245" spans="1:9" x14ac:dyDescent="0.2">
      <c r="A245" s="2" t="s">
        <v>731</v>
      </c>
      <c r="B245" s="2" t="s">
        <v>732</v>
      </c>
      <c r="C245" s="2" t="s">
        <v>733</v>
      </c>
      <c r="D245" s="2" t="s">
        <v>10040</v>
      </c>
      <c r="E245" s="15">
        <v>3.27E-2</v>
      </c>
      <c r="F245" s="15">
        <v>8.3500000000000005E-2</v>
      </c>
      <c r="G245" s="15">
        <v>1.35E-2</v>
      </c>
      <c r="H245" s="15">
        <v>7.7600000000000002E-2</v>
      </c>
      <c r="I245" s="15">
        <v>0.41405520278465108</v>
      </c>
    </row>
    <row r="246" spans="1:9" x14ac:dyDescent="0.2">
      <c r="A246" s="2" t="s">
        <v>734</v>
      </c>
      <c r="B246" s="2" t="s">
        <v>735</v>
      </c>
      <c r="C246" s="2" t="s">
        <v>736</v>
      </c>
      <c r="D246" s="2" t="s">
        <v>10040</v>
      </c>
      <c r="E246" s="15">
        <v>3.4700000000000002E-2</v>
      </c>
      <c r="F246" s="15">
        <v>8.4400000000000003E-2</v>
      </c>
      <c r="G246" s="15">
        <v>8.6800000000000002E-2</v>
      </c>
      <c r="H246" s="15">
        <v>7.6799999999999993E-2</v>
      </c>
      <c r="I246" s="15">
        <v>0.27673170926714641</v>
      </c>
    </row>
    <row r="247" spans="1:9" x14ac:dyDescent="0.2">
      <c r="A247" s="2" t="s">
        <v>737</v>
      </c>
      <c r="B247" s="2" t="s">
        <v>738</v>
      </c>
      <c r="C247" s="2" t="s">
        <v>739</v>
      </c>
      <c r="D247" s="2" t="s">
        <v>10040</v>
      </c>
      <c r="E247" s="15">
        <v>0.1404</v>
      </c>
      <c r="F247" s="15">
        <v>6.4000000000000001E-2</v>
      </c>
      <c r="G247" s="15">
        <v>-0.1154</v>
      </c>
      <c r="H247" s="15">
        <v>7.8299999999999995E-2</v>
      </c>
      <c r="I247" s="15">
        <v>2.4611184688225081E-3</v>
      </c>
    </row>
    <row r="248" spans="1:9" x14ac:dyDescent="0.2">
      <c r="A248" s="2" t="s">
        <v>740</v>
      </c>
      <c r="B248" s="2" t="s">
        <v>741</v>
      </c>
      <c r="C248" s="2" t="s">
        <v>742</v>
      </c>
      <c r="D248" s="2" t="s">
        <v>10040</v>
      </c>
      <c r="E248" s="15">
        <v>0.1206</v>
      </c>
      <c r="F248" s="15">
        <v>6.6100000000000006E-2</v>
      </c>
      <c r="G248" s="15">
        <v>5.28E-2</v>
      </c>
      <c r="H248" s="15">
        <v>7.6300000000000007E-2</v>
      </c>
      <c r="I248" s="15">
        <v>0.214038171940857</v>
      </c>
    </row>
    <row r="249" spans="1:9" x14ac:dyDescent="0.2">
      <c r="A249" s="2" t="s">
        <v>743</v>
      </c>
      <c r="B249" s="2" t="s">
        <v>744</v>
      </c>
      <c r="C249" s="2" t="s">
        <v>745</v>
      </c>
      <c r="D249" s="2" t="s">
        <v>10040</v>
      </c>
      <c r="E249" s="15">
        <v>0.1111</v>
      </c>
      <c r="F249" s="15">
        <v>0.10489999999999999</v>
      </c>
      <c r="G249" s="15">
        <v>7.1999999999999995E-2</v>
      </c>
      <c r="H249" s="15">
        <v>0.12970000000000001</v>
      </c>
      <c r="I249" s="15">
        <v>0.38910600388713579</v>
      </c>
    </row>
    <row r="250" spans="1:9" x14ac:dyDescent="0.2">
      <c r="A250" s="2" t="s">
        <v>746</v>
      </c>
      <c r="B250" s="2" t="s">
        <v>747</v>
      </c>
      <c r="C250" s="2" t="s">
        <v>748</v>
      </c>
      <c r="D250" s="2" t="s">
        <v>10040</v>
      </c>
      <c r="E250" s="15">
        <v>0.183</v>
      </c>
      <c r="F250" s="15">
        <v>8.1000000000000003E-2</v>
      </c>
      <c r="G250" s="15">
        <v>2.1700000000000001E-2</v>
      </c>
      <c r="H250" s="15">
        <v>9.8500000000000004E-2</v>
      </c>
      <c r="I250" s="15">
        <v>7.4298799727005066E-2</v>
      </c>
    </row>
    <row r="251" spans="1:9" x14ac:dyDescent="0.2">
      <c r="A251" s="2" t="s">
        <v>749</v>
      </c>
      <c r="B251" s="2" t="s">
        <v>750</v>
      </c>
      <c r="C251" s="2" t="s">
        <v>751</v>
      </c>
      <c r="D251" s="2" t="s">
        <v>10040</v>
      </c>
      <c r="E251" s="15">
        <v>0.18029999999999999</v>
      </c>
      <c r="F251" s="15">
        <v>8.1000000000000003E-2</v>
      </c>
      <c r="G251" s="15">
        <v>1.6799999999999999E-2</v>
      </c>
      <c r="H251" s="15">
        <v>7.3200000000000001E-2</v>
      </c>
      <c r="I251" s="15">
        <v>2.3532223292585652E-2</v>
      </c>
    </row>
    <row r="252" spans="1:9" x14ac:dyDescent="0.2">
      <c r="A252" s="2" t="s">
        <v>752</v>
      </c>
      <c r="B252" s="2" t="s">
        <v>753</v>
      </c>
      <c r="C252" s="2" t="s">
        <v>754</v>
      </c>
      <c r="D252" s="2" t="s">
        <v>10040</v>
      </c>
      <c r="E252" s="15">
        <v>3.0200000000000001E-2</v>
      </c>
      <c r="F252" s="15">
        <v>7.9200000000000007E-2</v>
      </c>
      <c r="G252" s="15">
        <v>8.8999999999999996E-2</v>
      </c>
      <c r="H252" s="15">
        <v>7.7700000000000005E-2</v>
      </c>
      <c r="I252" s="15">
        <v>0.25348324418786078</v>
      </c>
    </row>
    <row r="253" spans="1:9" x14ac:dyDescent="0.2">
      <c r="A253" s="2" t="s">
        <v>755</v>
      </c>
      <c r="B253" s="2" t="s">
        <v>756</v>
      </c>
      <c r="C253" s="2" t="s">
        <v>757</v>
      </c>
      <c r="D253" s="2" t="s">
        <v>10040</v>
      </c>
      <c r="E253" s="15">
        <v>0.1181</v>
      </c>
      <c r="F253" s="15">
        <v>0.1</v>
      </c>
      <c r="G253" s="15">
        <v>3.2099999999999997E-2</v>
      </c>
      <c r="H253" s="15">
        <v>0.16250000000000001</v>
      </c>
      <c r="I253" s="15">
        <v>0.30720747006503352</v>
      </c>
    </row>
    <row r="254" spans="1:9" x14ac:dyDescent="0.2">
      <c r="A254" s="2" t="s">
        <v>758</v>
      </c>
      <c r="B254" s="2" t="s">
        <v>759</v>
      </c>
      <c r="C254" s="2" t="s">
        <v>760</v>
      </c>
      <c r="D254" s="2" t="s">
        <v>10040</v>
      </c>
      <c r="E254" s="15">
        <v>9.9599999999999994E-2</v>
      </c>
      <c r="F254" s="15">
        <v>7.8700000000000006E-2</v>
      </c>
      <c r="G254" s="15">
        <v>9.5500000000000002E-2</v>
      </c>
      <c r="H254" s="15">
        <v>8.7099999999999997E-2</v>
      </c>
      <c r="I254" s="15">
        <v>0.48304440646180652</v>
      </c>
    </row>
    <row r="255" spans="1:9" x14ac:dyDescent="0.2">
      <c r="A255" s="2" t="s">
        <v>761</v>
      </c>
      <c r="B255" s="2" t="s">
        <v>762</v>
      </c>
      <c r="C255" s="2" t="s">
        <v>763</v>
      </c>
      <c r="D255" s="2" t="s">
        <v>10040</v>
      </c>
      <c r="E255" s="15">
        <v>0.10920000000000001</v>
      </c>
      <c r="F255" s="15">
        <v>7.5399999999999995E-2</v>
      </c>
      <c r="G255" s="15">
        <v>-0.10680000000000001</v>
      </c>
      <c r="H255" s="15">
        <v>9.6000000000000002E-2</v>
      </c>
      <c r="I255" s="15">
        <v>2.3555879060552391E-2</v>
      </c>
    </row>
    <row r="256" spans="1:9" x14ac:dyDescent="0.2">
      <c r="A256" s="2" t="s">
        <v>764</v>
      </c>
      <c r="B256" s="2" t="s">
        <v>765</v>
      </c>
      <c r="C256" s="2" t="s">
        <v>766</v>
      </c>
      <c r="D256" s="2" t="s">
        <v>10040</v>
      </c>
      <c r="E256" s="15">
        <v>0.1646</v>
      </c>
      <c r="F256" s="15">
        <v>9.2700000000000005E-2</v>
      </c>
      <c r="G256" s="15">
        <v>2.7199999999999998E-2</v>
      </c>
      <c r="H256" s="15">
        <v>7.8299999999999995E-2</v>
      </c>
      <c r="I256" s="15">
        <v>6.0612008270356621E-2</v>
      </c>
    </row>
    <row r="257" spans="1:9" x14ac:dyDescent="0.2">
      <c r="A257" s="2" t="s">
        <v>767</v>
      </c>
      <c r="B257" s="2" t="s">
        <v>768</v>
      </c>
      <c r="C257" s="2" t="s">
        <v>769</v>
      </c>
      <c r="D257" s="2" t="s">
        <v>10040</v>
      </c>
      <c r="E257" s="15">
        <v>0.14149999999999999</v>
      </c>
      <c r="F257" s="15">
        <v>6.8599999999999994E-2</v>
      </c>
      <c r="G257" s="15">
        <v>-8.8900000000000007E-2</v>
      </c>
      <c r="H257" s="15">
        <v>8.14E-2</v>
      </c>
      <c r="I257" s="15">
        <v>6.4336868336451244E-3</v>
      </c>
    </row>
    <row r="258" spans="1:9" x14ac:dyDescent="0.2">
      <c r="A258" s="2" t="s">
        <v>770</v>
      </c>
      <c r="B258" s="2" t="s">
        <v>771</v>
      </c>
      <c r="C258" s="2" t="s">
        <v>772</v>
      </c>
      <c r="D258" s="2" t="s">
        <v>10040</v>
      </c>
      <c r="E258" s="15">
        <v>0.1045</v>
      </c>
      <c r="F258" s="15">
        <v>7.0199999999999999E-2</v>
      </c>
      <c r="G258" s="15">
        <v>6.1000000000000004E-3</v>
      </c>
      <c r="H258" s="15">
        <v>7.2400000000000006E-2</v>
      </c>
      <c r="I258" s="15">
        <v>0.1191711985823149</v>
      </c>
    </row>
    <row r="259" spans="1:9" x14ac:dyDescent="0.2">
      <c r="A259" s="2" t="s">
        <v>773</v>
      </c>
      <c r="B259" s="2" t="s">
        <v>774</v>
      </c>
      <c r="C259" s="2" t="s">
        <v>775</v>
      </c>
      <c r="D259" s="2" t="s">
        <v>10040</v>
      </c>
      <c r="E259" s="15">
        <v>0.1966</v>
      </c>
      <c r="F259" s="15">
        <v>9.6100000000000005E-2</v>
      </c>
      <c r="G259" s="15">
        <v>5.5E-2</v>
      </c>
      <c r="H259" s="15">
        <v>7.4800000000000005E-2</v>
      </c>
      <c r="I259" s="15">
        <v>4.930980280448545E-2</v>
      </c>
    </row>
    <row r="260" spans="1:9" x14ac:dyDescent="0.2">
      <c r="A260" s="2" t="s">
        <v>776</v>
      </c>
      <c r="B260" s="2" t="s">
        <v>777</v>
      </c>
      <c r="C260" s="2" t="s">
        <v>778</v>
      </c>
      <c r="D260" s="2" t="s">
        <v>10040</v>
      </c>
      <c r="E260" s="15">
        <v>0.12920000000000001</v>
      </c>
      <c r="F260" s="15">
        <v>6.8400000000000002E-2</v>
      </c>
      <c r="G260" s="15">
        <v>7.3000000000000001E-3</v>
      </c>
      <c r="H260" s="15">
        <v>7.0800000000000002E-2</v>
      </c>
      <c r="I260" s="15">
        <v>6.9085722640113187E-2</v>
      </c>
    </row>
    <row r="261" spans="1:9" x14ac:dyDescent="0.2">
      <c r="A261" s="2" t="s">
        <v>779</v>
      </c>
      <c r="B261" s="2" t="s">
        <v>780</v>
      </c>
      <c r="C261" s="2" t="s">
        <v>781</v>
      </c>
      <c r="D261" s="2" t="s">
        <v>10040</v>
      </c>
      <c r="E261" s="15">
        <v>-2.5600000000000001E-2</v>
      </c>
      <c r="F261" s="15">
        <v>7.9899999999999999E-2</v>
      </c>
      <c r="G261" s="15">
        <v>-2.9700000000000001E-2</v>
      </c>
      <c r="H261" s="15">
        <v>8.6300000000000002E-2</v>
      </c>
      <c r="I261" s="15">
        <v>0.48362976068159641</v>
      </c>
    </row>
    <row r="262" spans="1:9" x14ac:dyDescent="0.2">
      <c r="A262" s="2" t="s">
        <v>782</v>
      </c>
      <c r="B262" s="2" t="s">
        <v>783</v>
      </c>
      <c r="C262" s="2" t="s">
        <v>784</v>
      </c>
      <c r="D262" s="2" t="s">
        <v>10040</v>
      </c>
      <c r="E262" s="15">
        <v>0.13350000000000001</v>
      </c>
      <c r="F262" s="15">
        <v>8.43E-2</v>
      </c>
      <c r="G262" s="15">
        <v>6.7999999999999996E-3</v>
      </c>
      <c r="H262" s="15">
        <v>6.83E-2</v>
      </c>
      <c r="I262" s="15">
        <v>5.304767697483153E-2</v>
      </c>
    </row>
    <row r="263" spans="1:9" x14ac:dyDescent="0.2">
      <c r="A263" s="2" t="s">
        <v>785</v>
      </c>
      <c r="B263" s="2" t="s">
        <v>786</v>
      </c>
      <c r="C263" s="2" t="s">
        <v>787</v>
      </c>
      <c r="D263" s="2" t="s">
        <v>10040</v>
      </c>
      <c r="E263" s="15">
        <v>0.1123</v>
      </c>
      <c r="F263" s="15">
        <v>0.11020000000000001</v>
      </c>
      <c r="G263" s="15">
        <v>-4.0500000000000001E-2</v>
      </c>
      <c r="H263" s="15">
        <v>0.13139999999999999</v>
      </c>
      <c r="I263" s="15">
        <v>0.13922844058304559</v>
      </c>
    </row>
    <row r="264" spans="1:9" x14ac:dyDescent="0.2">
      <c r="A264" s="2" t="s">
        <v>788</v>
      </c>
      <c r="B264" s="2" t="s">
        <v>789</v>
      </c>
      <c r="C264" s="2" t="s">
        <v>790</v>
      </c>
      <c r="D264" s="2" t="s">
        <v>10040</v>
      </c>
      <c r="E264" s="15">
        <v>0.1216</v>
      </c>
      <c r="F264" s="15">
        <v>6.9000000000000006E-2</v>
      </c>
      <c r="G264" s="15">
        <v>-1.9800000000000002E-2</v>
      </c>
      <c r="H264" s="15">
        <v>7.1499999999999994E-2</v>
      </c>
      <c r="I264" s="15">
        <v>4.2836158394477727E-2</v>
      </c>
    </row>
    <row r="265" spans="1:9" x14ac:dyDescent="0.2">
      <c r="A265" s="2" t="s">
        <v>791</v>
      </c>
      <c r="B265" s="2" t="s">
        <v>792</v>
      </c>
      <c r="C265" s="2" t="s">
        <v>793</v>
      </c>
      <c r="D265" s="2" t="s">
        <v>10040</v>
      </c>
      <c r="E265" s="15">
        <v>0.17730000000000001</v>
      </c>
      <c r="F265" s="15">
        <v>7.8E-2</v>
      </c>
      <c r="G265" s="15">
        <v>4.1000000000000002E-2</v>
      </c>
      <c r="H265" s="15">
        <v>7.3499999999999996E-2</v>
      </c>
      <c r="I265" s="15">
        <v>4.8366884399349212E-2</v>
      </c>
    </row>
    <row r="266" spans="1:9" x14ac:dyDescent="0.2">
      <c r="A266" s="2" t="s">
        <v>794</v>
      </c>
      <c r="B266" s="2" t="s">
        <v>795</v>
      </c>
      <c r="C266" s="2" t="s">
        <v>796</v>
      </c>
      <c r="D266" s="2" t="s">
        <v>10040</v>
      </c>
      <c r="E266" s="15">
        <v>0.13930000000000001</v>
      </c>
      <c r="F266" s="15">
        <v>7.0099999999999996E-2</v>
      </c>
      <c r="G266" s="15">
        <v>1.7100000000000001E-2</v>
      </c>
      <c r="H266" s="15">
        <v>6.7900000000000002E-2</v>
      </c>
      <c r="I266" s="15">
        <v>5.6572526256089807E-2</v>
      </c>
    </row>
    <row r="267" spans="1:9" x14ac:dyDescent="0.2">
      <c r="A267" s="2" t="s">
        <v>797</v>
      </c>
      <c r="B267" s="2" t="s">
        <v>798</v>
      </c>
      <c r="C267" s="2" t="s">
        <v>799</v>
      </c>
      <c r="D267" s="2" t="s">
        <v>10040</v>
      </c>
      <c r="E267" s="15">
        <v>5.3699999999999998E-2</v>
      </c>
      <c r="F267" s="15">
        <v>6.8500000000000005E-2</v>
      </c>
      <c r="G267" s="15">
        <v>9.2999999999999992E-3</v>
      </c>
      <c r="H267" s="15">
        <v>8.0699999999999994E-2</v>
      </c>
      <c r="I267" s="15">
        <v>0.31042407759782031</v>
      </c>
    </row>
    <row r="268" spans="1:9" x14ac:dyDescent="0.2">
      <c r="A268" s="2" t="s">
        <v>800</v>
      </c>
      <c r="B268" s="2" t="s">
        <v>801</v>
      </c>
      <c r="C268" s="2" t="s">
        <v>802</v>
      </c>
      <c r="D268" s="2" t="s">
        <v>10040</v>
      </c>
      <c r="E268" s="15">
        <v>6.9699999999999998E-2</v>
      </c>
      <c r="F268" s="15">
        <v>7.7600000000000002E-2</v>
      </c>
      <c r="G268" s="15">
        <v>3.6600000000000001E-2</v>
      </c>
      <c r="H268" s="15">
        <v>7.8700000000000006E-2</v>
      </c>
      <c r="I268" s="15">
        <v>0.35464575019586481</v>
      </c>
    </row>
    <row r="269" spans="1:9" x14ac:dyDescent="0.2">
      <c r="A269" s="2" t="s">
        <v>803</v>
      </c>
      <c r="B269" s="2" t="s">
        <v>804</v>
      </c>
      <c r="C269" s="2" t="s">
        <v>805</v>
      </c>
      <c r="D269" s="2" t="s">
        <v>10040</v>
      </c>
      <c r="E269" s="15">
        <v>9.2299999999999993E-2</v>
      </c>
      <c r="F269" s="15">
        <v>6.7400000000000002E-2</v>
      </c>
      <c r="G269" s="15">
        <v>-7.7600000000000002E-2</v>
      </c>
      <c r="H269" s="15">
        <v>9.1899999999999996E-2</v>
      </c>
      <c r="I269" s="15">
        <v>4.7083695093336278E-2</v>
      </c>
    </row>
    <row r="270" spans="1:9" x14ac:dyDescent="0.2">
      <c r="A270" s="2" t="s">
        <v>806</v>
      </c>
      <c r="B270" s="2" t="s">
        <v>807</v>
      </c>
      <c r="C270" s="2" t="s">
        <v>808</v>
      </c>
      <c r="D270" s="2" t="s">
        <v>10040</v>
      </c>
      <c r="E270" s="15">
        <v>0.1159</v>
      </c>
      <c r="F270" s="15">
        <v>6.8099999999999994E-2</v>
      </c>
      <c r="G270" s="15">
        <v>0.11509999999999999</v>
      </c>
      <c r="H270" s="15">
        <v>7.0800000000000002E-2</v>
      </c>
      <c r="I270" s="15">
        <v>0.4960165179064015</v>
      </c>
    </row>
    <row r="271" spans="1:9" x14ac:dyDescent="0.2">
      <c r="A271" s="2" t="s">
        <v>809</v>
      </c>
      <c r="B271" s="2" t="s">
        <v>810</v>
      </c>
      <c r="C271" s="2" t="s">
        <v>811</v>
      </c>
      <c r="D271" s="2" t="s">
        <v>10040</v>
      </c>
      <c r="E271" s="15">
        <v>0.13039999999999999</v>
      </c>
      <c r="F271" s="15">
        <v>7.3800000000000004E-2</v>
      </c>
      <c r="G271" s="15">
        <v>2.2499999999999999E-2</v>
      </c>
      <c r="H271" s="15">
        <v>9.0399999999999994E-2</v>
      </c>
      <c r="I271" s="15">
        <v>0.14403768288938951</v>
      </c>
    </row>
    <row r="272" spans="1:9" x14ac:dyDescent="0.2">
      <c r="A272" s="2" t="s">
        <v>812</v>
      </c>
      <c r="B272" s="2" t="s">
        <v>813</v>
      </c>
      <c r="C272" s="2" t="s">
        <v>814</v>
      </c>
      <c r="D272" s="2" t="s">
        <v>10040</v>
      </c>
      <c r="E272" s="15">
        <v>0.1666</v>
      </c>
      <c r="F272" s="15">
        <v>7.9899999999999999E-2</v>
      </c>
      <c r="G272" s="15">
        <v>0.25009999999999999</v>
      </c>
      <c r="H272" s="15">
        <v>9.2999999999999999E-2</v>
      </c>
      <c r="I272" s="15">
        <v>0.21106961860369219</v>
      </c>
    </row>
    <row r="273" spans="1:9" x14ac:dyDescent="0.2">
      <c r="A273" s="2" t="s">
        <v>815</v>
      </c>
      <c r="B273" s="2" t="s">
        <v>816</v>
      </c>
      <c r="C273" s="2" t="s">
        <v>817</v>
      </c>
      <c r="D273" s="2" t="s">
        <v>10040</v>
      </c>
      <c r="E273" s="15">
        <v>0.1038</v>
      </c>
      <c r="F273" s="15">
        <v>6.8099999999999994E-2</v>
      </c>
      <c r="G273" s="15">
        <v>8.2299999999999998E-2</v>
      </c>
      <c r="H273" s="15">
        <v>6.9699999999999998E-2</v>
      </c>
      <c r="I273" s="15">
        <v>0.39207825179658812</v>
      </c>
    </row>
    <row r="274" spans="1:9" x14ac:dyDescent="0.2">
      <c r="A274" s="2" t="s">
        <v>818</v>
      </c>
      <c r="B274" s="2" t="s">
        <v>819</v>
      </c>
      <c r="C274" s="2" t="s">
        <v>820</v>
      </c>
      <c r="D274" s="2" t="s">
        <v>10040</v>
      </c>
      <c r="E274" s="15">
        <v>6.08E-2</v>
      </c>
      <c r="F274" s="15">
        <v>7.2999999999999995E-2</v>
      </c>
      <c r="G274" s="15">
        <v>0.10580000000000001</v>
      </c>
      <c r="H274" s="15">
        <v>9.8500000000000004E-2</v>
      </c>
      <c r="I274" s="15">
        <v>0.33604467086231649</v>
      </c>
    </row>
    <row r="275" spans="1:9" x14ac:dyDescent="0.2">
      <c r="A275" s="2" t="s">
        <v>821</v>
      </c>
      <c r="B275" s="2" t="s">
        <v>822</v>
      </c>
      <c r="C275" s="2" t="s">
        <v>823</v>
      </c>
      <c r="D275" s="2" t="s">
        <v>10040</v>
      </c>
      <c r="E275" s="15">
        <v>0.1103</v>
      </c>
      <c r="F275" s="15">
        <v>8.8200000000000001E-2</v>
      </c>
      <c r="G275" s="15">
        <v>-2.0999999999999999E-3</v>
      </c>
      <c r="H275" s="15">
        <v>0.113</v>
      </c>
      <c r="I275" s="15">
        <v>0.18286102064882931</v>
      </c>
    </row>
    <row r="276" spans="1:9" x14ac:dyDescent="0.2">
      <c r="A276" s="2" t="s">
        <v>824</v>
      </c>
      <c r="B276" s="2" t="s">
        <v>825</v>
      </c>
      <c r="C276" s="2" t="s">
        <v>826</v>
      </c>
      <c r="D276" s="2" t="s">
        <v>10040</v>
      </c>
      <c r="E276" s="15">
        <v>0.16059999999999999</v>
      </c>
      <c r="F276" s="15">
        <v>8.3699999999999997E-2</v>
      </c>
      <c r="G276" s="15">
        <v>4.1300000000000003E-2</v>
      </c>
      <c r="H276" s="15">
        <v>8.4000000000000005E-2</v>
      </c>
      <c r="I276" s="15">
        <v>0.1026384584185409</v>
      </c>
    </row>
    <row r="277" spans="1:9" x14ac:dyDescent="0.2">
      <c r="A277" s="2" t="s">
        <v>827</v>
      </c>
      <c r="B277" s="2" t="s">
        <v>828</v>
      </c>
      <c r="C277" s="2" t="s">
        <v>829</v>
      </c>
      <c r="D277" s="2" t="s">
        <v>10040</v>
      </c>
      <c r="E277" s="15">
        <v>6.2100000000000002E-2</v>
      </c>
      <c r="F277" s="15">
        <v>8.6800000000000002E-2</v>
      </c>
      <c r="G277" s="15">
        <v>-3.8399999999999997E-2</v>
      </c>
      <c r="H277" s="15">
        <v>0.10829999999999999</v>
      </c>
      <c r="I277" s="15">
        <v>0.19542845895565281</v>
      </c>
    </row>
    <row r="278" spans="1:9" x14ac:dyDescent="0.2">
      <c r="A278" s="2" t="s">
        <v>830</v>
      </c>
      <c r="B278" s="2" t="s">
        <v>831</v>
      </c>
      <c r="C278" s="2" t="s">
        <v>832</v>
      </c>
      <c r="D278" s="2" t="s">
        <v>10040</v>
      </c>
      <c r="E278" s="15">
        <v>5.9200000000000003E-2</v>
      </c>
      <c r="F278" s="15">
        <v>7.6200000000000004E-2</v>
      </c>
      <c r="G278" s="15">
        <v>0.10979999999999999</v>
      </c>
      <c r="H278" s="15">
        <v>8.0799999999999997E-2</v>
      </c>
      <c r="I278" s="15">
        <v>0.2894164682022965</v>
      </c>
    </row>
    <row r="279" spans="1:9" x14ac:dyDescent="0.2">
      <c r="A279" s="2" t="s">
        <v>833</v>
      </c>
      <c r="B279" s="2" t="s">
        <v>834</v>
      </c>
      <c r="C279" s="2" t="s">
        <v>835</v>
      </c>
      <c r="D279" s="2" t="s">
        <v>10040</v>
      </c>
      <c r="E279" s="15">
        <v>0.1017</v>
      </c>
      <c r="F279" s="15">
        <v>6.2399999999999997E-2</v>
      </c>
      <c r="G279" s="15">
        <v>1.8100000000000002E-2</v>
      </c>
      <c r="H279" s="15">
        <v>8.2100000000000006E-2</v>
      </c>
      <c r="I279" s="15">
        <v>0.1778324358849061</v>
      </c>
    </row>
    <row r="280" spans="1:9" x14ac:dyDescent="0.2">
      <c r="A280" s="2" t="s">
        <v>836</v>
      </c>
      <c r="B280" s="2" t="s">
        <v>837</v>
      </c>
      <c r="C280" s="2" t="s">
        <v>838</v>
      </c>
      <c r="D280" s="2" t="s">
        <v>10040</v>
      </c>
      <c r="E280" s="15">
        <v>5.4000000000000003E-3</v>
      </c>
      <c r="F280" s="15">
        <v>6.9800000000000001E-2</v>
      </c>
      <c r="G280" s="15">
        <v>1.41E-2</v>
      </c>
      <c r="H280" s="15">
        <v>7.3200000000000001E-2</v>
      </c>
      <c r="I280" s="15">
        <v>0.45820653242175391</v>
      </c>
    </row>
    <row r="281" spans="1:9" x14ac:dyDescent="0.2">
      <c r="A281" s="2" t="s">
        <v>839</v>
      </c>
      <c r="B281" s="2" t="s">
        <v>840</v>
      </c>
      <c r="C281" s="2" t="s">
        <v>841</v>
      </c>
      <c r="D281" s="2" t="s">
        <v>10040</v>
      </c>
      <c r="E281" s="15">
        <v>6.8099999999999994E-2</v>
      </c>
      <c r="F281" s="15">
        <v>7.7499999999999999E-2</v>
      </c>
      <c r="G281" s="15">
        <v>8.0699999999999994E-2</v>
      </c>
      <c r="H281" s="15">
        <v>8.1199999999999994E-2</v>
      </c>
      <c r="I281" s="15">
        <v>0.44527084338721068</v>
      </c>
    </row>
    <row r="282" spans="1:9" x14ac:dyDescent="0.2">
      <c r="A282" s="2" t="s">
        <v>842</v>
      </c>
      <c r="B282" s="2" t="s">
        <v>843</v>
      </c>
      <c r="C282" s="2" t="s">
        <v>844</v>
      </c>
      <c r="D282" s="2" t="s">
        <v>10040</v>
      </c>
      <c r="E282" s="15">
        <v>4.0099999999999997E-2</v>
      </c>
      <c r="F282" s="15">
        <v>6.8900000000000003E-2</v>
      </c>
      <c r="G282" s="15">
        <v>3.4799999999999998E-2</v>
      </c>
      <c r="H282" s="15">
        <v>6.8500000000000005E-2</v>
      </c>
      <c r="I282" s="15">
        <v>0.47301194937875801</v>
      </c>
    </row>
    <row r="283" spans="1:9" x14ac:dyDescent="0.2">
      <c r="A283" s="2" t="s">
        <v>845</v>
      </c>
      <c r="B283" s="2" t="s">
        <v>846</v>
      </c>
      <c r="C283" s="2" t="s">
        <v>847</v>
      </c>
      <c r="D283" s="2" t="s">
        <v>10040</v>
      </c>
      <c r="E283" s="15">
        <v>-1.06E-2</v>
      </c>
      <c r="F283" s="15">
        <v>8.3400000000000002E-2</v>
      </c>
      <c r="G283" s="15">
        <v>0.1045</v>
      </c>
      <c r="H283" s="15">
        <v>0.14499999999999999</v>
      </c>
      <c r="I283" s="15">
        <v>0.2267870829180807</v>
      </c>
    </row>
    <row r="284" spans="1:9" x14ac:dyDescent="0.2">
      <c r="A284" s="2" t="s">
        <v>848</v>
      </c>
      <c r="B284" s="2" t="s">
        <v>849</v>
      </c>
      <c r="C284" s="2" t="s">
        <v>850</v>
      </c>
      <c r="D284" s="2" t="s">
        <v>10040</v>
      </c>
      <c r="E284" s="15">
        <v>2.2100000000000002E-2</v>
      </c>
      <c r="F284" s="15">
        <v>8.5800000000000001E-2</v>
      </c>
      <c r="G284" s="15">
        <v>7.4499999999999997E-2</v>
      </c>
      <c r="H284" s="15">
        <v>8.2799999999999999E-2</v>
      </c>
      <c r="I284" s="15">
        <v>0.28540546243919229</v>
      </c>
    </row>
    <row r="285" spans="1:9" x14ac:dyDescent="0.2">
      <c r="A285" s="2" t="s">
        <v>851</v>
      </c>
      <c r="B285" s="2" t="s">
        <v>852</v>
      </c>
      <c r="C285" s="2" t="s">
        <v>853</v>
      </c>
      <c r="D285" s="2" t="s">
        <v>10040</v>
      </c>
      <c r="E285" s="15">
        <v>-7.1900000000000006E-2</v>
      </c>
      <c r="F285" s="15">
        <v>8.4900000000000003E-2</v>
      </c>
      <c r="G285" s="15">
        <v>5.2900000000000003E-2</v>
      </c>
      <c r="H285" s="15">
        <v>0.1004</v>
      </c>
      <c r="I285" s="15">
        <v>0.13523705344815129</v>
      </c>
    </row>
    <row r="286" spans="1:9" x14ac:dyDescent="0.2">
      <c r="A286" s="2" t="s">
        <v>854</v>
      </c>
      <c r="B286" s="2" t="s">
        <v>855</v>
      </c>
      <c r="C286" s="2" t="s">
        <v>856</v>
      </c>
      <c r="D286" s="2" t="s">
        <v>10040</v>
      </c>
      <c r="E286" s="15">
        <v>7.1099999999999997E-2</v>
      </c>
      <c r="F286" s="15">
        <v>6.8199999999999997E-2</v>
      </c>
      <c r="G286" s="15">
        <v>2.1399999999999999E-2</v>
      </c>
      <c r="H286" s="15">
        <v>7.3099999999999998E-2</v>
      </c>
      <c r="I286" s="15">
        <v>0.27018861977613579</v>
      </c>
    </row>
    <row r="287" spans="1:9" x14ac:dyDescent="0.2">
      <c r="A287" s="2" t="s">
        <v>857</v>
      </c>
      <c r="B287" s="2" t="s">
        <v>858</v>
      </c>
      <c r="C287" s="2" t="s">
        <v>859</v>
      </c>
      <c r="D287" s="2" t="s">
        <v>10040</v>
      </c>
      <c r="E287" s="15">
        <v>0.11310000000000001</v>
      </c>
      <c r="F287" s="15">
        <v>6.8400000000000002E-2</v>
      </c>
      <c r="G287" s="15">
        <v>0.1084</v>
      </c>
      <c r="H287" s="15">
        <v>7.3099999999999998E-2</v>
      </c>
      <c r="I287" s="15">
        <v>0.47716479101475923</v>
      </c>
    </row>
    <row r="288" spans="1:9" x14ac:dyDescent="0.2">
      <c r="A288" s="2" t="s">
        <v>860</v>
      </c>
      <c r="B288" s="2" t="s">
        <v>861</v>
      </c>
      <c r="C288" s="2" t="s">
        <v>862</v>
      </c>
      <c r="D288" s="2" t="s">
        <v>10040</v>
      </c>
      <c r="E288" s="15">
        <v>9.7500000000000003E-2</v>
      </c>
      <c r="F288" s="15">
        <v>6.4899999999999999E-2</v>
      </c>
      <c r="G288" s="15">
        <v>6.8000000000000005E-2</v>
      </c>
      <c r="H288" s="15">
        <v>7.0099999999999996E-2</v>
      </c>
      <c r="I288" s="15">
        <v>0.35271408711515212</v>
      </c>
    </row>
    <row r="289" spans="1:9" x14ac:dyDescent="0.2">
      <c r="A289" s="2" t="s">
        <v>863</v>
      </c>
      <c r="B289" s="2" t="s">
        <v>864</v>
      </c>
      <c r="C289" s="2" t="s">
        <v>865</v>
      </c>
      <c r="D289" s="2" t="s">
        <v>10040</v>
      </c>
      <c r="E289" s="15">
        <v>1.55E-2</v>
      </c>
      <c r="F289" s="15">
        <v>7.6700000000000004E-2</v>
      </c>
      <c r="G289" s="15">
        <v>8.8700000000000001E-2</v>
      </c>
      <c r="H289" s="15">
        <v>0.1087</v>
      </c>
      <c r="I289" s="15">
        <v>0.2690773116086741</v>
      </c>
    </row>
    <row r="290" spans="1:9" x14ac:dyDescent="0.2">
      <c r="A290" s="2" t="s">
        <v>866</v>
      </c>
      <c r="B290" s="2" t="s">
        <v>867</v>
      </c>
      <c r="C290" s="2" t="s">
        <v>868</v>
      </c>
      <c r="D290" s="2" t="s">
        <v>10040</v>
      </c>
      <c r="E290" s="15">
        <v>0.1249</v>
      </c>
      <c r="F290" s="15">
        <v>7.3999999999999996E-2</v>
      </c>
      <c r="G290" s="15">
        <v>9.2999999999999992E-3</v>
      </c>
      <c r="H290" s="15">
        <v>8.9800000000000005E-2</v>
      </c>
      <c r="I290" s="15">
        <v>0.12659854885644881</v>
      </c>
    </row>
    <row r="291" spans="1:9" x14ac:dyDescent="0.2">
      <c r="A291" s="2" t="s">
        <v>869</v>
      </c>
      <c r="B291" s="2" t="s">
        <v>870</v>
      </c>
      <c r="C291" s="2" t="s">
        <v>871</v>
      </c>
      <c r="D291" s="2" t="s">
        <v>10040</v>
      </c>
      <c r="E291" s="15">
        <v>4.9700000000000001E-2</v>
      </c>
      <c r="F291" s="15">
        <v>6.2899999999999998E-2</v>
      </c>
      <c r="G291" s="15">
        <v>-1.9800000000000002E-2</v>
      </c>
      <c r="H291" s="15">
        <v>7.5499999999999998E-2</v>
      </c>
      <c r="I291" s="15">
        <v>0.21096509159934659</v>
      </c>
    </row>
    <row r="292" spans="1:9" x14ac:dyDescent="0.2">
      <c r="A292" s="2" t="s">
        <v>872</v>
      </c>
      <c r="B292" s="2" t="s">
        <v>873</v>
      </c>
      <c r="C292" s="2" t="s">
        <v>874</v>
      </c>
      <c r="D292" s="2" t="s">
        <v>10040</v>
      </c>
      <c r="E292" s="15">
        <v>3.5499999999999997E-2</v>
      </c>
      <c r="F292" s="15">
        <v>6.9000000000000006E-2</v>
      </c>
      <c r="G292" s="15">
        <v>2.2800000000000001E-2</v>
      </c>
      <c r="H292" s="15">
        <v>6.4699999999999994E-2</v>
      </c>
      <c r="I292" s="15">
        <v>0.43447552970391262</v>
      </c>
    </row>
    <row r="293" spans="1:9" x14ac:dyDescent="0.2">
      <c r="A293" s="2" t="s">
        <v>875</v>
      </c>
      <c r="B293" s="2" t="s">
        <v>876</v>
      </c>
      <c r="C293" s="2" t="s">
        <v>877</v>
      </c>
      <c r="D293" s="2" t="s">
        <v>10040</v>
      </c>
      <c r="E293" s="15">
        <v>-3.6600000000000001E-2</v>
      </c>
      <c r="F293" s="15">
        <v>0.1082</v>
      </c>
      <c r="G293" s="15">
        <v>0.2092</v>
      </c>
      <c r="H293" s="15">
        <v>9.5200000000000007E-2</v>
      </c>
      <c r="I293" s="15">
        <v>9.7409034722358637E-3</v>
      </c>
    </row>
    <row r="294" spans="1:9" x14ac:dyDescent="0.2">
      <c r="A294" s="2" t="s">
        <v>878</v>
      </c>
      <c r="B294" s="2" t="s">
        <v>879</v>
      </c>
      <c r="C294" s="2" t="s">
        <v>880</v>
      </c>
      <c r="D294" s="2" t="s">
        <v>10040</v>
      </c>
      <c r="E294" s="15">
        <v>-2.3999999999999998E-3</v>
      </c>
      <c r="F294" s="15">
        <v>6.8599999999999994E-2</v>
      </c>
      <c r="G294" s="15">
        <v>0.13089999999999999</v>
      </c>
      <c r="H294" s="15">
        <v>7.4700000000000003E-2</v>
      </c>
      <c r="I294" s="15">
        <v>6.2519338879419767E-2</v>
      </c>
    </row>
    <row r="295" spans="1:9" x14ac:dyDescent="0.2">
      <c r="A295" s="2" t="s">
        <v>881</v>
      </c>
      <c r="B295" s="2" t="s">
        <v>882</v>
      </c>
      <c r="C295" s="2" t="s">
        <v>883</v>
      </c>
      <c r="D295" s="2" t="s">
        <v>10040</v>
      </c>
      <c r="E295" s="15">
        <v>7.0699999999999999E-2</v>
      </c>
      <c r="F295" s="15">
        <v>7.1900000000000006E-2</v>
      </c>
      <c r="G295" s="15">
        <v>9.5299999999999996E-2</v>
      </c>
      <c r="H295" s="15">
        <v>6.4899999999999999E-2</v>
      </c>
      <c r="I295" s="15">
        <v>0.37720105380766478</v>
      </c>
    </row>
    <row r="296" spans="1:9" x14ac:dyDescent="0.2">
      <c r="A296" s="2" t="s">
        <v>884</v>
      </c>
      <c r="B296" s="2" t="s">
        <v>885</v>
      </c>
      <c r="C296" s="2" t="s">
        <v>886</v>
      </c>
      <c r="D296" s="2" t="s">
        <v>10040</v>
      </c>
      <c r="E296" s="15">
        <v>6.3399999999999998E-2</v>
      </c>
      <c r="F296" s="15">
        <v>6.2700000000000006E-2</v>
      </c>
      <c r="G296" s="15">
        <v>0.1143</v>
      </c>
      <c r="H296" s="15">
        <v>6.25E-2</v>
      </c>
      <c r="I296" s="15">
        <v>0.24621656689212121</v>
      </c>
    </row>
    <row r="297" spans="1:9" x14ac:dyDescent="0.2">
      <c r="A297" s="2" t="s">
        <v>887</v>
      </c>
      <c r="B297" s="2" t="s">
        <v>888</v>
      </c>
      <c r="C297" s="2" t="s">
        <v>889</v>
      </c>
      <c r="D297" s="2" t="s">
        <v>10040</v>
      </c>
      <c r="E297" s="15">
        <v>6.3899999999999998E-2</v>
      </c>
      <c r="F297" s="15">
        <v>8.0299999999999996E-2</v>
      </c>
      <c r="G297" s="15">
        <v>5.4600000000000003E-2</v>
      </c>
      <c r="H297" s="15">
        <v>8.7400000000000005E-2</v>
      </c>
      <c r="I297" s="15">
        <v>0.46229716439461882</v>
      </c>
    </row>
    <row r="298" spans="1:9" x14ac:dyDescent="0.2">
      <c r="A298" s="2" t="s">
        <v>890</v>
      </c>
      <c r="B298" s="2" t="s">
        <v>891</v>
      </c>
      <c r="C298" s="2" t="s">
        <v>892</v>
      </c>
      <c r="D298" s="2" t="s">
        <v>10040</v>
      </c>
      <c r="E298" s="15">
        <v>0.1094</v>
      </c>
      <c r="F298" s="15">
        <v>6.2100000000000002E-2</v>
      </c>
      <c r="G298" s="15">
        <v>9.2999999999999992E-3</v>
      </c>
      <c r="H298" s="15">
        <v>9.0800000000000006E-2</v>
      </c>
      <c r="I298" s="15">
        <v>0.15721128643219129</v>
      </c>
    </row>
    <row r="299" spans="1:9" x14ac:dyDescent="0.2">
      <c r="A299" s="2" t="s">
        <v>893</v>
      </c>
      <c r="B299" s="2" t="s">
        <v>894</v>
      </c>
      <c r="C299" s="2" t="s">
        <v>895</v>
      </c>
      <c r="D299" s="2" t="s">
        <v>10040</v>
      </c>
      <c r="E299" s="15">
        <v>2.1499999999999998E-2</v>
      </c>
      <c r="F299" s="15">
        <v>7.5800000000000006E-2</v>
      </c>
      <c r="G299" s="15">
        <v>9.3600000000000003E-2</v>
      </c>
      <c r="H299" s="15">
        <v>7.5300000000000006E-2</v>
      </c>
      <c r="I299" s="15">
        <v>0.20298514489837741</v>
      </c>
    </row>
    <row r="300" spans="1:9" x14ac:dyDescent="0.2">
      <c r="A300" s="2" t="s">
        <v>896</v>
      </c>
      <c r="B300" s="2" t="s">
        <v>897</v>
      </c>
      <c r="C300" s="2" t="s">
        <v>898</v>
      </c>
      <c r="D300" s="2" t="s">
        <v>10040</v>
      </c>
      <c r="E300" s="15">
        <v>6.7000000000000004E-2</v>
      </c>
      <c r="F300" s="15">
        <v>8.0799999999999997E-2</v>
      </c>
      <c r="G300" s="15">
        <v>8.0100000000000005E-2</v>
      </c>
      <c r="H300" s="15">
        <v>6.7100000000000007E-2</v>
      </c>
      <c r="I300" s="15">
        <v>0.43458656571373322</v>
      </c>
    </row>
    <row r="301" spans="1:9" x14ac:dyDescent="0.2">
      <c r="A301" s="2" t="s">
        <v>899</v>
      </c>
      <c r="B301" s="2" t="s">
        <v>900</v>
      </c>
      <c r="C301" s="2" t="s">
        <v>901</v>
      </c>
      <c r="D301" s="2" t="s">
        <v>10040</v>
      </c>
      <c r="E301" s="15">
        <v>0.1153</v>
      </c>
      <c r="F301" s="15">
        <v>6.83E-2</v>
      </c>
      <c r="G301" s="15">
        <v>3.9699999999999999E-2</v>
      </c>
      <c r="H301" s="15">
        <v>9.5100000000000004E-2</v>
      </c>
      <c r="I301" s="15">
        <v>0.23674590030346049</v>
      </c>
    </row>
    <row r="302" spans="1:9" x14ac:dyDescent="0.2">
      <c r="A302" s="2" t="s">
        <v>902</v>
      </c>
      <c r="B302" s="2" t="s">
        <v>903</v>
      </c>
      <c r="C302" s="2" t="s">
        <v>904</v>
      </c>
      <c r="D302" s="2" t="s">
        <v>10040</v>
      </c>
      <c r="E302" s="15">
        <v>7.5300000000000006E-2</v>
      </c>
      <c r="F302" s="15">
        <v>7.0900000000000005E-2</v>
      </c>
      <c r="G302" s="15">
        <v>4.7800000000000002E-2</v>
      </c>
      <c r="H302" s="15">
        <v>6.6900000000000001E-2</v>
      </c>
      <c r="I302" s="15">
        <v>0.36229065125536569</v>
      </c>
    </row>
    <row r="303" spans="1:9" x14ac:dyDescent="0.2">
      <c r="A303" s="2" t="s">
        <v>905</v>
      </c>
      <c r="B303" s="2" t="s">
        <v>906</v>
      </c>
      <c r="C303" s="2" t="s">
        <v>907</v>
      </c>
      <c r="D303" s="2" t="s">
        <v>10040</v>
      </c>
      <c r="E303" s="15">
        <v>8.9200000000000002E-2</v>
      </c>
      <c r="F303" s="15">
        <v>6.0299999999999999E-2</v>
      </c>
      <c r="G303" s="15">
        <v>9.1600000000000001E-2</v>
      </c>
      <c r="H303" s="15">
        <v>6.3799999999999996E-2</v>
      </c>
      <c r="I303" s="15">
        <v>0.48714431126765811</v>
      </c>
    </row>
    <row r="304" spans="1:9" x14ac:dyDescent="0.2">
      <c r="A304" s="2" t="s">
        <v>908</v>
      </c>
      <c r="B304" s="2" t="s">
        <v>909</v>
      </c>
      <c r="C304" s="2" t="s">
        <v>910</v>
      </c>
      <c r="D304" s="2" t="s">
        <v>10040</v>
      </c>
      <c r="E304" s="15">
        <v>-3.8600000000000002E-2</v>
      </c>
      <c r="F304" s="15">
        <v>7.6399999999999996E-2</v>
      </c>
      <c r="G304" s="15">
        <v>5.1499999999999997E-2</v>
      </c>
      <c r="H304" s="15">
        <v>7.46E-2</v>
      </c>
      <c r="I304" s="15">
        <v>0.14492489845330711</v>
      </c>
    </row>
    <row r="305" spans="1:9" x14ac:dyDescent="0.2">
      <c r="A305" s="2" t="s">
        <v>911</v>
      </c>
      <c r="B305" s="2" t="s">
        <v>912</v>
      </c>
      <c r="C305" s="2" t="s">
        <v>913</v>
      </c>
      <c r="D305" s="2" t="s">
        <v>10040</v>
      </c>
      <c r="E305" s="15">
        <v>2.7300000000000001E-2</v>
      </c>
      <c r="F305" s="15">
        <v>7.7600000000000002E-2</v>
      </c>
      <c r="G305" s="15">
        <v>8.2299999999999998E-2</v>
      </c>
      <c r="H305" s="15">
        <v>7.3499999999999996E-2</v>
      </c>
      <c r="I305" s="15">
        <v>0.26331813021374278</v>
      </c>
    </row>
    <row r="306" spans="1:9" x14ac:dyDescent="0.2">
      <c r="A306" s="2" t="s">
        <v>914</v>
      </c>
      <c r="B306" s="2" t="s">
        <v>915</v>
      </c>
      <c r="C306" s="2" t="s">
        <v>916</v>
      </c>
      <c r="D306" s="2" t="s">
        <v>10040</v>
      </c>
      <c r="E306" s="15">
        <v>3.5000000000000003E-2</v>
      </c>
      <c r="F306" s="15">
        <v>6.8699999999999997E-2</v>
      </c>
      <c r="G306" s="15">
        <v>-8.2600000000000007E-2</v>
      </c>
      <c r="H306" s="15">
        <v>7.9799999999999996E-2</v>
      </c>
      <c r="I306" s="15">
        <v>9.5416145562026794E-2</v>
      </c>
    </row>
    <row r="307" spans="1:9" x14ac:dyDescent="0.2">
      <c r="A307" s="2" t="s">
        <v>917</v>
      </c>
      <c r="B307" s="2" t="s">
        <v>918</v>
      </c>
      <c r="C307" s="2" t="s">
        <v>919</v>
      </c>
      <c r="D307" s="2" t="s">
        <v>10040</v>
      </c>
      <c r="E307" s="15">
        <v>6.5600000000000006E-2</v>
      </c>
      <c r="F307" s="15">
        <v>8.4199999999999997E-2</v>
      </c>
      <c r="G307" s="15">
        <v>0.1082</v>
      </c>
      <c r="H307" s="15">
        <v>8.4099999999999994E-2</v>
      </c>
      <c r="I307" s="15">
        <v>0.32749388066092078</v>
      </c>
    </row>
    <row r="308" spans="1:9" x14ac:dyDescent="0.2">
      <c r="A308" s="2" t="s">
        <v>920</v>
      </c>
      <c r="B308" s="2" t="s">
        <v>921</v>
      </c>
      <c r="C308" s="2" t="s">
        <v>922</v>
      </c>
      <c r="D308" s="2" t="s">
        <v>10040</v>
      </c>
      <c r="E308" s="15">
        <v>2.8E-3</v>
      </c>
      <c r="F308" s="15">
        <v>7.7499999999999999E-2</v>
      </c>
      <c r="G308" s="15">
        <v>3.6999999999999998E-2</v>
      </c>
      <c r="H308" s="15">
        <v>7.3300000000000004E-2</v>
      </c>
      <c r="I308" s="15">
        <v>0.3471550906263961</v>
      </c>
    </row>
    <row r="309" spans="1:9" x14ac:dyDescent="0.2">
      <c r="A309" s="2" t="s">
        <v>923</v>
      </c>
      <c r="B309" s="2" t="s">
        <v>924</v>
      </c>
      <c r="C309" s="2" t="s">
        <v>925</v>
      </c>
      <c r="D309" s="2" t="s">
        <v>10040</v>
      </c>
      <c r="E309" s="15">
        <v>7.1800000000000003E-2</v>
      </c>
      <c r="F309" s="15">
        <v>6.5799999999999997E-2</v>
      </c>
      <c r="G309" s="15">
        <v>1.18E-2</v>
      </c>
      <c r="H309" s="15">
        <v>7.8200000000000006E-2</v>
      </c>
      <c r="I309" s="15">
        <v>0.25255035991751951</v>
      </c>
    </row>
    <row r="310" spans="1:9" x14ac:dyDescent="0.2">
      <c r="A310" s="2" t="s">
        <v>926</v>
      </c>
      <c r="B310" s="2" t="s">
        <v>927</v>
      </c>
      <c r="C310" s="2" t="s">
        <v>928</v>
      </c>
      <c r="D310" s="2" t="s">
        <v>10040</v>
      </c>
      <c r="E310" s="15">
        <v>0.12429999999999999</v>
      </c>
      <c r="F310" s="15">
        <v>7.8399999999999997E-2</v>
      </c>
      <c r="G310" s="15">
        <v>0.17549999999999999</v>
      </c>
      <c r="H310" s="15">
        <v>8.1100000000000005E-2</v>
      </c>
      <c r="I310" s="15">
        <v>0.28830710466909559</v>
      </c>
    </row>
    <row r="311" spans="1:9" x14ac:dyDescent="0.2">
      <c r="A311" s="2" t="s">
        <v>929</v>
      </c>
      <c r="B311" s="2" t="s">
        <v>930</v>
      </c>
      <c r="C311" s="2" t="s">
        <v>931</v>
      </c>
      <c r="D311" s="2" t="s">
        <v>10040</v>
      </c>
      <c r="E311" s="15">
        <v>4.7E-2</v>
      </c>
      <c r="F311" s="15">
        <v>6.54E-2</v>
      </c>
      <c r="G311" s="15">
        <v>0.1091</v>
      </c>
      <c r="H311" s="15">
        <v>6.1600000000000002E-2</v>
      </c>
      <c r="I311" s="15">
        <v>0.19961676298872291</v>
      </c>
    </row>
    <row r="312" spans="1:9" x14ac:dyDescent="0.2">
      <c r="A312" s="2" t="s">
        <v>932</v>
      </c>
      <c r="B312" s="2" t="s">
        <v>933</v>
      </c>
      <c r="C312" s="2" t="s">
        <v>934</v>
      </c>
      <c r="D312" s="2" t="s">
        <v>10040</v>
      </c>
      <c r="E312" s="15">
        <v>-1.2999999999999999E-3</v>
      </c>
      <c r="F312" s="15">
        <v>6.0100000000000001E-2</v>
      </c>
      <c r="G312" s="15">
        <v>-4.7999999999999996E-3</v>
      </c>
      <c r="H312" s="15">
        <v>8.8200000000000001E-2</v>
      </c>
      <c r="I312" s="15">
        <v>0.48552442910812982</v>
      </c>
    </row>
    <row r="313" spans="1:9" x14ac:dyDescent="0.2">
      <c r="A313" s="2" t="s">
        <v>935</v>
      </c>
      <c r="B313" s="2" t="s">
        <v>936</v>
      </c>
      <c r="C313" s="2" t="s">
        <v>937</v>
      </c>
      <c r="D313" s="2" t="s">
        <v>10040</v>
      </c>
      <c r="E313" s="15">
        <v>0.11360000000000001</v>
      </c>
      <c r="F313" s="15">
        <v>8.6800000000000002E-2</v>
      </c>
      <c r="G313" s="15">
        <v>3.0099999999999998E-2</v>
      </c>
      <c r="H313" s="15">
        <v>7.9299999999999995E-2</v>
      </c>
      <c r="I313" s="15">
        <v>0.17885339743601739</v>
      </c>
    </row>
    <row r="314" spans="1:9" x14ac:dyDescent="0.2">
      <c r="A314" s="2" t="s">
        <v>938</v>
      </c>
      <c r="B314" s="2" t="s">
        <v>939</v>
      </c>
      <c r="C314" s="2" t="s">
        <v>940</v>
      </c>
      <c r="D314" s="2" t="s">
        <v>10040</v>
      </c>
      <c r="E314" s="15">
        <v>3.7000000000000002E-3</v>
      </c>
      <c r="F314" s="15">
        <v>8.7900000000000006E-2</v>
      </c>
      <c r="G314" s="15">
        <v>-4.7399999999999998E-2</v>
      </c>
      <c r="H314" s="15">
        <v>7.6799999999999993E-2</v>
      </c>
      <c r="I314" s="15">
        <v>0.28328942553255038</v>
      </c>
    </row>
    <row r="315" spans="1:9" x14ac:dyDescent="0.2">
      <c r="A315" s="2" t="s">
        <v>941</v>
      </c>
      <c r="B315" s="2" t="s">
        <v>942</v>
      </c>
      <c r="C315" s="2" t="s">
        <v>943</v>
      </c>
      <c r="D315" s="2" t="s">
        <v>10040</v>
      </c>
      <c r="E315" s="15">
        <v>8.9399999999999993E-2</v>
      </c>
      <c r="F315" s="15">
        <v>6.1100000000000002E-2</v>
      </c>
      <c r="G315" s="15">
        <v>-4.6199999999999998E-2</v>
      </c>
      <c r="H315" s="15">
        <v>6.2700000000000006E-2</v>
      </c>
      <c r="I315" s="15">
        <v>3.1723384291482581E-2</v>
      </c>
    </row>
    <row r="316" spans="1:9" x14ac:dyDescent="0.2">
      <c r="A316" s="2" t="s">
        <v>944</v>
      </c>
      <c r="B316" s="2" t="s">
        <v>945</v>
      </c>
      <c r="C316" s="2" t="s">
        <v>946</v>
      </c>
      <c r="D316" s="2" t="s">
        <v>10040</v>
      </c>
      <c r="E316" s="15">
        <v>4.1500000000000002E-2</v>
      </c>
      <c r="F316" s="15">
        <v>6.4299999999999996E-2</v>
      </c>
      <c r="G316" s="15">
        <v>-4.5999999999999999E-3</v>
      </c>
      <c r="H316" s="15">
        <v>5.74E-2</v>
      </c>
      <c r="I316" s="15">
        <v>0.25135913945041122</v>
      </c>
    </row>
    <row r="317" spans="1:9" x14ac:dyDescent="0.2">
      <c r="A317" s="2" t="s">
        <v>947</v>
      </c>
      <c r="B317" s="2" t="s">
        <v>948</v>
      </c>
      <c r="C317" s="2" t="s">
        <v>949</v>
      </c>
      <c r="D317" s="2" t="s">
        <v>10040</v>
      </c>
      <c r="E317" s="15">
        <v>-2.3E-3</v>
      </c>
      <c r="F317" s="15">
        <v>9.1800000000000007E-2</v>
      </c>
      <c r="G317" s="15">
        <v>4.1000000000000003E-3</v>
      </c>
      <c r="H317" s="15">
        <v>9.2899999999999996E-2</v>
      </c>
      <c r="I317" s="15">
        <v>0.47566256947136892</v>
      </c>
    </row>
    <row r="318" spans="1:9" x14ac:dyDescent="0.2">
      <c r="A318" s="2" t="s">
        <v>950</v>
      </c>
      <c r="B318" s="2" t="s">
        <v>951</v>
      </c>
      <c r="C318" s="2" t="s">
        <v>952</v>
      </c>
      <c r="D318" s="2" t="s">
        <v>10040</v>
      </c>
      <c r="E318" s="15">
        <v>3.8199999999999998E-2</v>
      </c>
      <c r="F318" s="15">
        <v>8.0699999999999994E-2</v>
      </c>
      <c r="G318" s="15">
        <v>9.64E-2</v>
      </c>
      <c r="H318" s="15">
        <v>7.1400000000000005E-2</v>
      </c>
      <c r="I318" s="15">
        <v>0.24345143497019681</v>
      </c>
    </row>
    <row r="319" spans="1:9" x14ac:dyDescent="0.2">
      <c r="A319" s="2" t="s">
        <v>953</v>
      </c>
      <c r="B319" s="2" t="s">
        <v>954</v>
      </c>
      <c r="C319" s="2" t="s">
        <v>955</v>
      </c>
      <c r="D319" s="2" t="s">
        <v>10040</v>
      </c>
      <c r="E319" s="15">
        <v>0.12570000000000001</v>
      </c>
      <c r="F319" s="15">
        <v>8.1900000000000001E-2</v>
      </c>
      <c r="G319" s="15">
        <v>2.76E-2</v>
      </c>
      <c r="H319" s="15">
        <v>6.7100000000000007E-2</v>
      </c>
      <c r="I319" s="15">
        <v>0.11329326660795461</v>
      </c>
    </row>
    <row r="320" spans="1:9" x14ac:dyDescent="0.2">
      <c r="A320" s="2" t="s">
        <v>956</v>
      </c>
      <c r="B320" s="2" t="s">
        <v>957</v>
      </c>
      <c r="C320" s="2" t="s">
        <v>958</v>
      </c>
      <c r="D320" s="2" t="s">
        <v>10040</v>
      </c>
      <c r="E320" s="15">
        <v>7.1599999999999997E-2</v>
      </c>
      <c r="F320" s="15">
        <v>6.3100000000000003E-2</v>
      </c>
      <c r="G320" s="15">
        <v>0.1449</v>
      </c>
      <c r="H320" s="15">
        <v>7.0400000000000004E-2</v>
      </c>
      <c r="I320" s="15">
        <v>0.18106224731399839</v>
      </c>
    </row>
    <row r="321" spans="1:9" x14ac:dyDescent="0.2">
      <c r="A321" s="2" t="s">
        <v>959</v>
      </c>
      <c r="B321" s="2" t="s">
        <v>960</v>
      </c>
      <c r="C321" s="2" t="s">
        <v>961</v>
      </c>
      <c r="D321" s="2" t="s">
        <v>10040</v>
      </c>
      <c r="E321" s="15">
        <v>0.1163</v>
      </c>
      <c r="F321" s="15">
        <v>8.48E-2</v>
      </c>
      <c r="G321" s="15">
        <v>5.4800000000000001E-2</v>
      </c>
      <c r="H321" s="15">
        <v>7.6100000000000001E-2</v>
      </c>
      <c r="I321" s="15">
        <v>0.23924909755770449</v>
      </c>
    </row>
    <row r="322" spans="1:9" x14ac:dyDescent="0.2">
      <c r="A322" s="2" t="s">
        <v>962</v>
      </c>
      <c r="B322" s="2" t="s">
        <v>963</v>
      </c>
      <c r="C322" s="2" t="s">
        <v>964</v>
      </c>
      <c r="D322" s="2" t="s">
        <v>10040</v>
      </c>
      <c r="E322" s="15">
        <v>0.19850000000000001</v>
      </c>
      <c r="F322" s="15">
        <v>7.0800000000000002E-2</v>
      </c>
      <c r="G322" s="15">
        <v>0.1089</v>
      </c>
      <c r="H322" s="15">
        <v>8.7400000000000005E-2</v>
      </c>
      <c r="I322" s="15">
        <v>0.17458659549775679</v>
      </c>
    </row>
    <row r="323" spans="1:9" x14ac:dyDescent="0.2">
      <c r="A323" s="2" t="s">
        <v>965</v>
      </c>
      <c r="B323" s="2" t="s">
        <v>966</v>
      </c>
      <c r="C323" s="2" t="s">
        <v>967</v>
      </c>
      <c r="D323" s="2" t="s">
        <v>10040</v>
      </c>
      <c r="E323" s="15">
        <v>4.3299999999999998E-2</v>
      </c>
      <c r="F323" s="15">
        <v>6.7799999999999999E-2</v>
      </c>
      <c r="G323" s="15">
        <v>4.1500000000000002E-2</v>
      </c>
      <c r="H323" s="15">
        <v>7.0800000000000002E-2</v>
      </c>
      <c r="I323" s="15">
        <v>0.49126669985887528</v>
      </c>
    </row>
    <row r="324" spans="1:9" x14ac:dyDescent="0.2">
      <c r="A324" s="2" t="s">
        <v>968</v>
      </c>
      <c r="B324" s="2" t="s">
        <v>969</v>
      </c>
      <c r="C324" s="2" t="s">
        <v>970</v>
      </c>
      <c r="D324" s="2" t="s">
        <v>10040</v>
      </c>
      <c r="E324" s="15">
        <v>0.1202</v>
      </c>
      <c r="F324" s="15">
        <v>7.1199999999999999E-2</v>
      </c>
      <c r="G324" s="15">
        <v>0.1598</v>
      </c>
      <c r="H324" s="15">
        <v>7.7700000000000005E-2</v>
      </c>
      <c r="I324" s="15">
        <v>0.32695224700686221</v>
      </c>
    </row>
    <row r="325" spans="1:9" x14ac:dyDescent="0.2">
      <c r="A325" s="2" t="s">
        <v>971</v>
      </c>
      <c r="B325" s="2" t="s">
        <v>972</v>
      </c>
      <c r="C325" s="2" t="s">
        <v>973</v>
      </c>
      <c r="D325" s="2" t="s">
        <v>10040</v>
      </c>
      <c r="E325" s="15">
        <v>0.20599999999999999</v>
      </c>
      <c r="F325" s="15">
        <v>7.7100000000000002E-2</v>
      </c>
      <c r="G325" s="15">
        <v>9.6199999999999994E-2</v>
      </c>
      <c r="H325" s="15">
        <v>8.1000000000000003E-2</v>
      </c>
      <c r="I325" s="15">
        <v>0.116192657681549</v>
      </c>
    </row>
    <row r="326" spans="1:9" x14ac:dyDescent="0.2">
      <c r="A326" s="2" t="s">
        <v>974</v>
      </c>
      <c r="B326" s="2" t="s">
        <v>975</v>
      </c>
      <c r="C326" s="2" t="s">
        <v>976</v>
      </c>
      <c r="D326" s="2" t="s">
        <v>10040</v>
      </c>
      <c r="E326" s="15">
        <v>0.1191</v>
      </c>
      <c r="F326" s="15">
        <v>6.0100000000000001E-2</v>
      </c>
      <c r="G326" s="15">
        <v>0.1376</v>
      </c>
      <c r="H326" s="15">
        <v>7.3700000000000002E-2</v>
      </c>
      <c r="I326" s="15">
        <v>0.41211139961342458</v>
      </c>
    </row>
    <row r="327" spans="1:9" x14ac:dyDescent="0.2">
      <c r="A327" s="2" t="s">
        <v>977</v>
      </c>
      <c r="B327" s="2" t="s">
        <v>978</v>
      </c>
      <c r="C327" s="2" t="s">
        <v>979</v>
      </c>
      <c r="D327" s="2" t="s">
        <v>10040</v>
      </c>
      <c r="E327" s="15">
        <v>9.1999999999999998E-3</v>
      </c>
      <c r="F327" s="15">
        <v>8.2400000000000001E-2</v>
      </c>
      <c r="G327" s="15">
        <v>0.1089</v>
      </c>
      <c r="H327" s="15">
        <v>8.1799999999999998E-2</v>
      </c>
      <c r="I327" s="15">
        <v>0.141179613612997</v>
      </c>
    </row>
    <row r="328" spans="1:9" x14ac:dyDescent="0.2">
      <c r="A328" s="2" t="s">
        <v>980</v>
      </c>
      <c r="B328" s="2" t="s">
        <v>981</v>
      </c>
      <c r="C328" s="2" t="s">
        <v>982</v>
      </c>
      <c r="D328" s="2" t="s">
        <v>10040</v>
      </c>
      <c r="E328" s="15">
        <v>0.1232</v>
      </c>
      <c r="F328" s="15">
        <v>7.5800000000000006E-2</v>
      </c>
      <c r="G328" s="15">
        <v>0.15379999999999999</v>
      </c>
      <c r="H328" s="15">
        <v>7.8100000000000003E-2</v>
      </c>
      <c r="I328" s="15">
        <v>0.36564570552064041</v>
      </c>
    </row>
    <row r="329" spans="1:9" x14ac:dyDescent="0.2">
      <c r="A329" s="2" t="s">
        <v>983</v>
      </c>
      <c r="B329" s="2" t="s">
        <v>984</v>
      </c>
      <c r="C329" s="2" t="s">
        <v>985</v>
      </c>
      <c r="D329" s="2" t="s">
        <v>10040</v>
      </c>
      <c r="E329" s="15">
        <v>8.4900000000000003E-2</v>
      </c>
      <c r="F329" s="15">
        <v>7.7600000000000002E-2</v>
      </c>
      <c r="G329" s="15">
        <v>8.5599999999999996E-2</v>
      </c>
      <c r="H329" s="15">
        <v>7.2900000000000006E-2</v>
      </c>
      <c r="I329" s="15">
        <v>0.49675835335054602</v>
      </c>
    </row>
    <row r="330" spans="1:9" x14ac:dyDescent="0.2">
      <c r="A330" s="2" t="s">
        <v>986</v>
      </c>
      <c r="B330" s="2" t="s">
        <v>987</v>
      </c>
      <c r="C330" s="2" t="s">
        <v>988</v>
      </c>
      <c r="D330" s="2" t="s">
        <v>10040</v>
      </c>
      <c r="E330" s="15">
        <v>3.49E-2</v>
      </c>
      <c r="F330" s="15">
        <v>8.4500000000000006E-2</v>
      </c>
      <c r="G330" s="15">
        <v>2.93E-2</v>
      </c>
      <c r="H330" s="15">
        <v>7.0000000000000007E-2</v>
      </c>
      <c r="I330" s="15">
        <v>0.47359258001686988</v>
      </c>
    </row>
    <row r="331" spans="1:9" x14ac:dyDescent="0.2">
      <c r="A331" s="2" t="s">
        <v>989</v>
      </c>
      <c r="B331" s="2" t="s">
        <v>990</v>
      </c>
      <c r="C331" s="2" t="s">
        <v>991</v>
      </c>
      <c r="D331" s="2" t="s">
        <v>10040</v>
      </c>
      <c r="E331" s="15">
        <v>2.1399999999999999E-2</v>
      </c>
      <c r="F331" s="15">
        <v>6.8599999999999994E-2</v>
      </c>
      <c r="G331" s="15">
        <v>-4.8399999999999999E-2</v>
      </c>
      <c r="H331" s="15">
        <v>8.4500000000000006E-2</v>
      </c>
      <c r="I331" s="15">
        <v>0.2299524530909284</v>
      </c>
    </row>
    <row r="332" spans="1:9" x14ac:dyDescent="0.2">
      <c r="A332" s="2" t="s">
        <v>992</v>
      </c>
      <c r="B332" s="2" t="s">
        <v>993</v>
      </c>
      <c r="C332" s="2" t="s">
        <v>994</v>
      </c>
      <c r="D332" s="2" t="s">
        <v>10040</v>
      </c>
      <c r="E332" s="15">
        <v>6.8500000000000005E-2</v>
      </c>
      <c r="F332" s="15">
        <v>6.7199999999999996E-2</v>
      </c>
      <c r="G332" s="15">
        <v>0.11020000000000001</v>
      </c>
      <c r="H332" s="15">
        <v>6.7799999999999999E-2</v>
      </c>
      <c r="I332" s="15">
        <v>0.29779585704115202</v>
      </c>
    </row>
    <row r="333" spans="1:9" x14ac:dyDescent="0.2">
      <c r="A333" s="2" t="s">
        <v>995</v>
      </c>
      <c r="B333" s="2" t="s">
        <v>996</v>
      </c>
      <c r="C333" s="2" t="s">
        <v>997</v>
      </c>
      <c r="D333" s="2" t="s">
        <v>10040</v>
      </c>
      <c r="E333" s="15">
        <v>0.1341</v>
      </c>
      <c r="F333" s="15">
        <v>7.1900000000000006E-2</v>
      </c>
      <c r="G333" s="15">
        <v>0.15709999999999999</v>
      </c>
      <c r="H333" s="15">
        <v>8.0399999999999999E-2</v>
      </c>
      <c r="I333" s="15">
        <v>0.40153944628639759</v>
      </c>
    </row>
    <row r="334" spans="1:9" x14ac:dyDescent="0.2">
      <c r="A334" s="2" t="s">
        <v>998</v>
      </c>
      <c r="B334" s="2" t="s">
        <v>999</v>
      </c>
      <c r="C334" s="2" t="s">
        <v>1000</v>
      </c>
      <c r="D334" s="2" t="s">
        <v>10040</v>
      </c>
      <c r="E334" s="15">
        <v>7.8700000000000006E-2</v>
      </c>
      <c r="F334" s="15">
        <v>9.4600000000000004E-2</v>
      </c>
      <c r="G334" s="15">
        <v>2.1100000000000001E-2</v>
      </c>
      <c r="H334" s="15">
        <v>6.3100000000000003E-2</v>
      </c>
      <c r="I334" s="15">
        <v>0.2307058992566221</v>
      </c>
    </row>
    <row r="335" spans="1:9" x14ac:dyDescent="0.2">
      <c r="A335" s="2" t="s">
        <v>1001</v>
      </c>
      <c r="B335" s="2" t="s">
        <v>1002</v>
      </c>
      <c r="C335" s="2" t="s">
        <v>1003</v>
      </c>
      <c r="D335" s="2" t="s">
        <v>10040</v>
      </c>
      <c r="E335" s="15">
        <v>6.1400000000000003E-2</v>
      </c>
      <c r="F335" s="15">
        <v>6.1899999999999997E-2</v>
      </c>
      <c r="G335" s="15">
        <v>0.10390000000000001</v>
      </c>
      <c r="H335" s="15">
        <v>9.2700000000000005E-2</v>
      </c>
      <c r="I335" s="15">
        <v>0.34039361711913391</v>
      </c>
    </row>
    <row r="336" spans="1:9" x14ac:dyDescent="0.2">
      <c r="A336" s="2" t="s">
        <v>1004</v>
      </c>
      <c r="B336" s="2" t="s">
        <v>1005</v>
      </c>
      <c r="C336" s="2" t="s">
        <v>1006</v>
      </c>
      <c r="D336" s="2" t="s">
        <v>10040</v>
      </c>
      <c r="E336" s="15">
        <v>-2.5100000000000001E-2</v>
      </c>
      <c r="F336" s="15">
        <v>6.4299999999999996E-2</v>
      </c>
      <c r="G336" s="15">
        <v>-5.3100000000000001E-2</v>
      </c>
      <c r="H336" s="15">
        <v>7.4899999999999994E-2</v>
      </c>
      <c r="I336" s="15">
        <v>0.36881665136235131</v>
      </c>
    </row>
    <row r="337" spans="1:9" x14ac:dyDescent="0.2">
      <c r="A337" s="2" t="s">
        <v>1007</v>
      </c>
      <c r="B337" s="2" t="s">
        <v>1008</v>
      </c>
      <c r="C337" s="2" t="s">
        <v>1009</v>
      </c>
      <c r="D337" s="2" t="s">
        <v>10040</v>
      </c>
      <c r="E337" s="15">
        <v>1.4500000000000001E-2</v>
      </c>
      <c r="F337" s="15">
        <v>6.4799999999999996E-2</v>
      </c>
      <c r="G337" s="15">
        <v>-0.1062</v>
      </c>
      <c r="H337" s="15">
        <v>8.9599999999999999E-2</v>
      </c>
      <c r="I337" s="15">
        <v>0.1092367901785305</v>
      </c>
    </row>
    <row r="338" spans="1:9" x14ac:dyDescent="0.2">
      <c r="A338" s="2" t="s">
        <v>1010</v>
      </c>
      <c r="B338" s="2" t="s">
        <v>1011</v>
      </c>
      <c r="C338" s="2" t="s">
        <v>1012</v>
      </c>
      <c r="D338" s="2" t="s">
        <v>10040</v>
      </c>
      <c r="E338" s="15">
        <v>2.3E-2</v>
      </c>
      <c r="F338" s="15">
        <v>6.5299999999999997E-2</v>
      </c>
      <c r="G338" s="15">
        <v>-4.2599999999999999E-2</v>
      </c>
      <c r="H338" s="15">
        <v>8.5699999999999998E-2</v>
      </c>
      <c r="I338" s="15">
        <v>0.2416630148064165</v>
      </c>
    </row>
    <row r="339" spans="1:9" x14ac:dyDescent="0.2">
      <c r="A339" s="2" t="s">
        <v>1013</v>
      </c>
      <c r="B339" s="2" t="s">
        <v>1014</v>
      </c>
      <c r="C339" s="2" t="s">
        <v>1015</v>
      </c>
      <c r="D339" s="2" t="s">
        <v>10040</v>
      </c>
      <c r="E339" s="15">
        <v>8.3099999999999993E-2</v>
      </c>
      <c r="F339" s="15">
        <v>6.1499999999999999E-2</v>
      </c>
      <c r="G339" s="15">
        <v>9.6500000000000002E-2</v>
      </c>
      <c r="H339" s="15">
        <v>6.6699999999999995E-2</v>
      </c>
      <c r="I339" s="15">
        <v>0.43160369937709131</v>
      </c>
    </row>
    <row r="340" spans="1:9" x14ac:dyDescent="0.2">
      <c r="A340" s="2" t="s">
        <v>1016</v>
      </c>
      <c r="B340" s="2" t="s">
        <v>1017</v>
      </c>
      <c r="C340" s="2" t="s">
        <v>1018</v>
      </c>
      <c r="D340" s="2" t="s">
        <v>10040</v>
      </c>
      <c r="E340" s="15">
        <v>0.1158</v>
      </c>
      <c r="F340" s="15">
        <v>6.7400000000000002E-2</v>
      </c>
      <c r="G340" s="15">
        <v>9.1200000000000003E-2</v>
      </c>
      <c r="H340" s="15">
        <v>6.2300000000000001E-2</v>
      </c>
      <c r="I340" s="15">
        <v>0.36765714253682052</v>
      </c>
    </row>
    <row r="341" spans="1:9" x14ac:dyDescent="0.2">
      <c r="A341" s="2" t="s">
        <v>1019</v>
      </c>
      <c r="B341" s="2" t="s">
        <v>1020</v>
      </c>
      <c r="C341" s="2" t="s">
        <v>1021</v>
      </c>
      <c r="D341" s="2" t="s">
        <v>10040</v>
      </c>
      <c r="E341" s="15">
        <v>-1.21E-2</v>
      </c>
      <c r="F341" s="15">
        <v>5.1499999999999997E-2</v>
      </c>
      <c r="G341" s="15">
        <v>-9.4000000000000004E-3</v>
      </c>
      <c r="H341" s="15">
        <v>5.7099999999999998E-2</v>
      </c>
      <c r="I341" s="15">
        <v>0.48372143596175532</v>
      </c>
    </row>
    <row r="342" spans="1:9" x14ac:dyDescent="0.2">
      <c r="A342" s="2" t="s">
        <v>1022</v>
      </c>
      <c r="B342" s="2" t="s">
        <v>1023</v>
      </c>
      <c r="C342" s="2" t="s">
        <v>1024</v>
      </c>
      <c r="D342" s="2" t="s">
        <v>10040</v>
      </c>
      <c r="E342" s="15">
        <v>8.9999999999999993E-3</v>
      </c>
      <c r="F342" s="15">
        <v>4.8899999999999999E-2</v>
      </c>
      <c r="G342" s="15">
        <v>0.1074</v>
      </c>
      <c r="H342" s="15">
        <v>6.0699999999999997E-2</v>
      </c>
      <c r="I342" s="15">
        <v>7.8778607121867017E-2</v>
      </c>
    </row>
    <row r="343" spans="1:9" x14ac:dyDescent="0.2">
      <c r="A343" s="2" t="s">
        <v>1025</v>
      </c>
      <c r="B343" s="2" t="s">
        <v>1026</v>
      </c>
      <c r="C343" s="2" t="s">
        <v>1027</v>
      </c>
      <c r="D343" s="2" t="s">
        <v>10040</v>
      </c>
      <c r="E343" s="15">
        <v>6.93E-2</v>
      </c>
      <c r="F343" s="15">
        <v>7.7100000000000002E-2</v>
      </c>
      <c r="G343" s="15">
        <v>0.14050000000000001</v>
      </c>
      <c r="H343" s="15">
        <v>8.2600000000000007E-2</v>
      </c>
      <c r="I343" s="15">
        <v>0.22385203377743429</v>
      </c>
    </row>
    <row r="344" spans="1:9" x14ac:dyDescent="0.2">
      <c r="A344" s="2" t="s">
        <v>1028</v>
      </c>
      <c r="B344" s="2" t="s">
        <v>1029</v>
      </c>
      <c r="C344" s="2" t="s">
        <v>1030</v>
      </c>
      <c r="D344" s="2" t="s">
        <v>10040</v>
      </c>
      <c r="E344" s="15">
        <v>2.93E-2</v>
      </c>
      <c r="F344" s="15">
        <v>5.0799999999999998E-2</v>
      </c>
      <c r="G344" s="15">
        <v>-1.4E-3</v>
      </c>
      <c r="H344" s="15">
        <v>6.8500000000000005E-2</v>
      </c>
      <c r="I344" s="15">
        <v>0.34543449052858982</v>
      </c>
    </row>
    <row r="345" spans="1:9" x14ac:dyDescent="0.2">
      <c r="A345" s="2" t="s">
        <v>1031</v>
      </c>
      <c r="B345" s="2" t="s">
        <v>1032</v>
      </c>
      <c r="C345" s="2" t="s">
        <v>1033</v>
      </c>
      <c r="D345" s="2" t="s">
        <v>10040</v>
      </c>
      <c r="E345" s="15">
        <v>1.01E-2</v>
      </c>
      <c r="F345" s="15">
        <v>4.8399999999999999E-2</v>
      </c>
      <c r="G345" s="15">
        <v>7.7200000000000005E-2</v>
      </c>
      <c r="H345" s="15">
        <v>6.1499999999999999E-2</v>
      </c>
      <c r="I345" s="15">
        <v>0.16982631665640291</v>
      </c>
    </row>
    <row r="346" spans="1:9" x14ac:dyDescent="0.2">
      <c r="A346" s="2" t="s">
        <v>1034</v>
      </c>
      <c r="B346" s="2" t="s">
        <v>1035</v>
      </c>
      <c r="C346" s="2" t="s">
        <v>1036</v>
      </c>
      <c r="D346" s="2" t="s">
        <v>10040</v>
      </c>
      <c r="E346" s="15">
        <v>7.9500000000000001E-2</v>
      </c>
      <c r="F346" s="15">
        <v>9.0700000000000003E-2</v>
      </c>
      <c r="G346" s="15">
        <v>1.52E-2</v>
      </c>
      <c r="H346" s="15">
        <v>0.10050000000000001</v>
      </c>
      <c r="I346" s="15">
        <v>0.28493507483446151</v>
      </c>
    </row>
    <row r="347" spans="1:9" x14ac:dyDescent="0.2">
      <c r="A347" s="2" t="s">
        <v>1037</v>
      </c>
      <c r="B347" s="2" t="s">
        <v>1038</v>
      </c>
      <c r="C347" s="2" t="s">
        <v>1039</v>
      </c>
      <c r="D347" s="2" t="s">
        <v>10040</v>
      </c>
      <c r="G347" s="15">
        <v>0.1389</v>
      </c>
      <c r="H347" s="15">
        <v>0.111</v>
      </c>
    </row>
    <row r="348" spans="1:9" x14ac:dyDescent="0.2">
      <c r="A348" s="2" t="s">
        <v>1040</v>
      </c>
      <c r="B348" s="2" t="s">
        <v>1041</v>
      </c>
      <c r="C348" s="2" t="s">
        <v>1042</v>
      </c>
      <c r="D348" s="2" t="s">
        <v>10040</v>
      </c>
      <c r="E348" s="15">
        <v>6.3100000000000003E-2</v>
      </c>
      <c r="F348" s="15">
        <v>7.8700000000000006E-2</v>
      </c>
      <c r="G348" s="15">
        <v>-3.61E-2</v>
      </c>
      <c r="H348" s="15">
        <v>0.1075</v>
      </c>
      <c r="I348" s="15">
        <v>0.20104284630508809</v>
      </c>
    </row>
    <row r="349" spans="1:9" x14ac:dyDescent="0.2">
      <c r="A349" s="2" t="s">
        <v>1043</v>
      </c>
      <c r="B349" s="2" t="s">
        <v>1044</v>
      </c>
      <c r="C349" s="2" t="s">
        <v>1045</v>
      </c>
      <c r="D349" s="2" t="s">
        <v>10040</v>
      </c>
      <c r="E349" s="15">
        <v>0.11310000000000001</v>
      </c>
      <c r="F349" s="15">
        <v>6.2199999999999998E-2</v>
      </c>
      <c r="G349" s="15">
        <v>7.2499999999999995E-2</v>
      </c>
      <c r="H349" s="15">
        <v>7.5600000000000001E-2</v>
      </c>
      <c r="I349" s="15">
        <v>0.31621873377302778</v>
      </c>
    </row>
    <row r="350" spans="1:9" x14ac:dyDescent="0.2">
      <c r="A350" s="2" t="s">
        <v>1046</v>
      </c>
      <c r="B350" s="2" t="s">
        <v>1047</v>
      </c>
      <c r="C350" s="2" t="s">
        <v>1048</v>
      </c>
      <c r="D350" s="2" t="s">
        <v>10040</v>
      </c>
      <c r="E350" s="15">
        <v>0.20780000000000001</v>
      </c>
      <c r="F350" s="15">
        <v>8.7999999999999995E-2</v>
      </c>
      <c r="G350" s="15">
        <v>0.1231</v>
      </c>
      <c r="H350" s="15">
        <v>0.10580000000000001</v>
      </c>
      <c r="I350" s="15">
        <v>0.2410778248192052</v>
      </c>
    </row>
    <row r="351" spans="1:9" x14ac:dyDescent="0.2">
      <c r="A351" s="2" t="s">
        <v>1049</v>
      </c>
      <c r="B351" s="2" t="s">
        <v>1050</v>
      </c>
      <c r="C351" s="2" t="s">
        <v>1051</v>
      </c>
      <c r="D351" s="2" t="s">
        <v>10040</v>
      </c>
      <c r="E351" s="15">
        <v>5.1900000000000002E-2</v>
      </c>
      <c r="F351" s="15">
        <v>7.9899999999999999E-2</v>
      </c>
      <c r="G351" s="15">
        <v>0.1203</v>
      </c>
      <c r="H351" s="15">
        <v>9.3399999999999997E-2</v>
      </c>
      <c r="I351" s="15">
        <v>0.25479506845043443</v>
      </c>
    </row>
    <row r="352" spans="1:9" x14ac:dyDescent="0.2">
      <c r="A352" s="2" t="s">
        <v>1052</v>
      </c>
      <c r="B352" s="2" t="s">
        <v>1053</v>
      </c>
      <c r="C352" s="2" t="s">
        <v>1054</v>
      </c>
      <c r="D352" s="2" t="s">
        <v>10040</v>
      </c>
      <c r="E352" s="15">
        <v>2.2000000000000001E-3</v>
      </c>
      <c r="F352" s="15">
        <v>8.9700000000000002E-2</v>
      </c>
      <c r="G352" s="15">
        <v>0.17019999999999999</v>
      </c>
      <c r="H352" s="15">
        <v>9.4200000000000006E-2</v>
      </c>
      <c r="I352" s="15">
        <v>5.3853691839820597E-2</v>
      </c>
    </row>
    <row r="353" spans="1:9" x14ac:dyDescent="0.2">
      <c r="A353" s="2" t="s">
        <v>1055</v>
      </c>
      <c r="B353" s="2" t="s">
        <v>1056</v>
      </c>
      <c r="C353" s="2" t="s">
        <v>1057</v>
      </c>
      <c r="D353" s="2" t="s">
        <v>10040</v>
      </c>
      <c r="E353" s="15">
        <v>1.3100000000000001E-2</v>
      </c>
      <c r="F353" s="15">
        <v>9.4399999999999998E-2</v>
      </c>
      <c r="G353" s="15">
        <v>8.48E-2</v>
      </c>
      <c r="H353" s="15">
        <v>8.2199999999999995E-2</v>
      </c>
      <c r="I353" s="15">
        <v>0.22303908445594431</v>
      </c>
    </row>
    <row r="354" spans="1:9" x14ac:dyDescent="0.2">
      <c r="A354" s="2" t="s">
        <v>1058</v>
      </c>
      <c r="B354" s="2" t="s">
        <v>1059</v>
      </c>
      <c r="C354" s="2" t="s">
        <v>1060</v>
      </c>
      <c r="D354" s="2" t="s">
        <v>10040</v>
      </c>
      <c r="E354" s="15">
        <v>-9.1999999999999998E-2</v>
      </c>
      <c r="F354" s="15">
        <v>8.9599999999999999E-2</v>
      </c>
      <c r="G354" s="15">
        <v>7.2099999999999997E-2</v>
      </c>
      <c r="H354" s="15">
        <v>7.1400000000000005E-2</v>
      </c>
      <c r="I354" s="15">
        <v>3.6626258655137002E-2</v>
      </c>
    </row>
    <row r="355" spans="1:9" x14ac:dyDescent="0.2">
      <c r="A355" s="2" t="s">
        <v>1061</v>
      </c>
      <c r="B355" s="2" t="s">
        <v>1062</v>
      </c>
      <c r="C355" s="2" t="s">
        <v>1063</v>
      </c>
      <c r="D355" s="2" t="s">
        <v>10040</v>
      </c>
      <c r="E355" s="15">
        <v>0.1053</v>
      </c>
      <c r="F355" s="15">
        <v>7.2599999999999998E-2</v>
      </c>
      <c r="G355" s="15">
        <v>8.2299999999999998E-2</v>
      </c>
      <c r="H355" s="15">
        <v>8.8400000000000006E-2</v>
      </c>
      <c r="I355" s="15">
        <v>0.40923474162572088</v>
      </c>
    </row>
    <row r="356" spans="1:9" x14ac:dyDescent="0.2">
      <c r="A356" s="2" t="s">
        <v>1064</v>
      </c>
      <c r="B356" s="2" t="s">
        <v>1065</v>
      </c>
      <c r="C356" s="2" t="s">
        <v>1066</v>
      </c>
      <c r="D356" s="2" t="s">
        <v>10040</v>
      </c>
      <c r="E356" s="15">
        <v>5.74E-2</v>
      </c>
      <c r="F356" s="15">
        <v>6.83E-2</v>
      </c>
      <c r="G356" s="15">
        <v>0.12770000000000001</v>
      </c>
      <c r="H356" s="15">
        <v>7.2599999999999998E-2</v>
      </c>
      <c r="I356" s="15">
        <v>0.201108966643441</v>
      </c>
    </row>
    <row r="357" spans="1:9" x14ac:dyDescent="0.2">
      <c r="A357" s="2" t="s">
        <v>1067</v>
      </c>
      <c r="B357" s="2" t="s">
        <v>1068</v>
      </c>
      <c r="C357" s="2" t="s">
        <v>1069</v>
      </c>
      <c r="D357" s="2" t="s">
        <v>10040</v>
      </c>
      <c r="E357" s="15">
        <v>0.03</v>
      </c>
      <c r="F357" s="15">
        <v>7.0900000000000005E-2</v>
      </c>
      <c r="G357" s="15">
        <v>-1.12E-2</v>
      </c>
      <c r="H357" s="15">
        <v>7.5399999999999995E-2</v>
      </c>
      <c r="I357" s="15">
        <v>0.31626678229158423</v>
      </c>
    </row>
    <row r="358" spans="1:9" x14ac:dyDescent="0.2">
      <c r="A358" s="2" t="s">
        <v>1070</v>
      </c>
      <c r="B358" s="2" t="s">
        <v>1071</v>
      </c>
      <c r="C358" s="2" t="s">
        <v>1072</v>
      </c>
      <c r="D358" s="2" t="s">
        <v>10040</v>
      </c>
      <c r="E358" s="15">
        <v>-2.5000000000000001E-3</v>
      </c>
      <c r="F358" s="15">
        <v>7.3300000000000004E-2</v>
      </c>
      <c r="G358" s="15">
        <v>2.69E-2</v>
      </c>
      <c r="H358" s="15">
        <v>0.1191</v>
      </c>
      <c r="I358" s="15">
        <v>0.41105883854974162</v>
      </c>
    </row>
    <row r="359" spans="1:9" x14ac:dyDescent="0.2">
      <c r="A359" s="2" t="s">
        <v>1073</v>
      </c>
      <c r="B359" s="2" t="s">
        <v>1074</v>
      </c>
      <c r="C359" s="2" t="s">
        <v>1075</v>
      </c>
      <c r="D359" s="2" t="s">
        <v>10040</v>
      </c>
      <c r="E359" s="15">
        <v>-1.17E-2</v>
      </c>
      <c r="F359" s="15">
        <v>7.6499999999999999E-2</v>
      </c>
      <c r="G359" s="15">
        <v>0.1211</v>
      </c>
      <c r="H359" s="15">
        <v>0.1177</v>
      </c>
      <c r="I359" s="15">
        <v>0.14313523338564621</v>
      </c>
    </row>
    <row r="360" spans="1:9" x14ac:dyDescent="0.2">
      <c r="A360" s="2" t="s">
        <v>1076</v>
      </c>
      <c r="B360" s="2" t="s">
        <v>1077</v>
      </c>
      <c r="C360" s="2" t="s">
        <v>1078</v>
      </c>
      <c r="D360" s="2" t="s">
        <v>10040</v>
      </c>
      <c r="E360" s="15">
        <v>0.1142</v>
      </c>
      <c r="F360" s="15">
        <v>7.6300000000000007E-2</v>
      </c>
      <c r="G360" s="15">
        <v>0.16919999999999999</v>
      </c>
      <c r="H360" s="15">
        <v>8.5699999999999998E-2</v>
      </c>
      <c r="I360" s="15">
        <v>0.2835684863857062</v>
      </c>
    </row>
    <row r="361" spans="1:9" x14ac:dyDescent="0.2">
      <c r="A361" s="2" t="s">
        <v>1079</v>
      </c>
      <c r="B361" s="2" t="s">
        <v>1080</v>
      </c>
      <c r="C361" s="2" t="s">
        <v>1081</v>
      </c>
      <c r="D361" s="2" t="s">
        <v>10040</v>
      </c>
      <c r="E361" s="15">
        <v>3.4000000000000002E-2</v>
      </c>
      <c r="F361" s="15">
        <v>7.0300000000000001E-2</v>
      </c>
      <c r="G361" s="15">
        <v>0.1338</v>
      </c>
      <c r="H361" s="15">
        <v>0.1143</v>
      </c>
      <c r="I361" s="15">
        <v>0.21224313792900329</v>
      </c>
    </row>
    <row r="362" spans="1:9" x14ac:dyDescent="0.2">
      <c r="A362" s="2" t="s">
        <v>1082</v>
      </c>
      <c r="B362" s="2" t="s">
        <v>1083</v>
      </c>
      <c r="C362" s="2" t="s">
        <v>1084</v>
      </c>
      <c r="D362" s="2" t="s">
        <v>10040</v>
      </c>
      <c r="E362" s="15">
        <v>-2.9289E-5</v>
      </c>
      <c r="F362" s="15">
        <v>0.1076</v>
      </c>
      <c r="G362" s="15">
        <v>0.26519999999999999</v>
      </c>
      <c r="H362" s="15">
        <v>0.1246</v>
      </c>
      <c r="I362" s="15">
        <v>2.6236587024589239E-2</v>
      </c>
    </row>
    <row r="363" spans="1:9" x14ac:dyDescent="0.2">
      <c r="A363" s="2" t="s">
        <v>1085</v>
      </c>
      <c r="B363" s="2" t="s">
        <v>1086</v>
      </c>
      <c r="C363" s="2" t="s">
        <v>1087</v>
      </c>
      <c r="D363" s="2" t="s">
        <v>10040</v>
      </c>
      <c r="E363" s="15">
        <v>7.51E-2</v>
      </c>
      <c r="F363" s="15">
        <v>8.8800000000000004E-2</v>
      </c>
      <c r="G363" s="15">
        <v>0.20119999999999999</v>
      </c>
      <c r="H363" s="15">
        <v>0.1024</v>
      </c>
      <c r="I363" s="15">
        <v>0.13830890188509551</v>
      </c>
    </row>
    <row r="364" spans="1:9" x14ac:dyDescent="0.2">
      <c r="A364" s="2" t="s">
        <v>1088</v>
      </c>
      <c r="B364" s="2" t="s">
        <v>1089</v>
      </c>
      <c r="C364" s="2" t="s">
        <v>1090</v>
      </c>
      <c r="D364" s="2" t="s">
        <v>10040</v>
      </c>
      <c r="E364" s="15">
        <v>1.84E-2</v>
      </c>
      <c r="F364" s="15">
        <v>8.3199999999999996E-2</v>
      </c>
      <c r="G364" s="15">
        <v>0.41720000000000002</v>
      </c>
      <c r="H364" s="15">
        <v>0.28599999999999998</v>
      </c>
      <c r="I364" s="15">
        <v>8.6249749886989469E-2</v>
      </c>
    </row>
    <row r="365" spans="1:9" x14ac:dyDescent="0.2">
      <c r="A365" s="2" t="s">
        <v>1091</v>
      </c>
      <c r="B365" s="2" t="s">
        <v>1092</v>
      </c>
      <c r="C365" s="2" t="s">
        <v>1093</v>
      </c>
      <c r="D365" s="2" t="s">
        <v>10040</v>
      </c>
      <c r="E365" s="15">
        <v>0.16450000000000001</v>
      </c>
      <c r="F365" s="15">
        <v>6.3899999999999998E-2</v>
      </c>
      <c r="G365" s="15">
        <v>8.9999999999999993E-3</v>
      </c>
      <c r="H365" s="15">
        <v>7.9799999999999996E-2</v>
      </c>
      <c r="I365" s="15">
        <v>3.9773654812796939E-2</v>
      </c>
    </row>
    <row r="366" spans="1:9" x14ac:dyDescent="0.2">
      <c r="A366" s="2" t="s">
        <v>1094</v>
      </c>
      <c r="B366" s="2" t="s">
        <v>1095</v>
      </c>
      <c r="C366" s="2" t="s">
        <v>1096</v>
      </c>
      <c r="D366" s="2" t="s">
        <v>10040</v>
      </c>
      <c r="E366" s="15">
        <v>1.2500000000000001E-2</v>
      </c>
      <c r="F366" s="15">
        <v>0.1052</v>
      </c>
      <c r="G366" s="15">
        <v>8.5500000000000007E-2</v>
      </c>
      <c r="H366" s="15">
        <v>0.1133</v>
      </c>
      <c r="I366" s="15">
        <v>0.27888224792136967</v>
      </c>
    </row>
    <row r="367" spans="1:9" x14ac:dyDescent="0.2">
      <c r="A367" s="2" t="s">
        <v>1097</v>
      </c>
      <c r="B367" s="2" t="s">
        <v>1098</v>
      </c>
      <c r="C367" s="2" t="s">
        <v>1099</v>
      </c>
      <c r="D367" s="2" t="s">
        <v>10040</v>
      </c>
      <c r="E367" s="15">
        <v>7.1000000000000004E-3</v>
      </c>
      <c r="F367" s="15">
        <v>0.1008</v>
      </c>
      <c r="G367" s="15">
        <v>0.1128</v>
      </c>
      <c r="H367" s="15">
        <v>9.3200000000000005E-2</v>
      </c>
      <c r="I367" s="15">
        <v>0.15698306288535591</v>
      </c>
    </row>
    <row r="368" spans="1:9" x14ac:dyDescent="0.2">
      <c r="A368" s="2" t="s">
        <v>1100</v>
      </c>
      <c r="B368" s="2" t="s">
        <v>1101</v>
      </c>
      <c r="C368" s="2" t="s">
        <v>1102</v>
      </c>
      <c r="D368" s="2" t="s">
        <v>10040</v>
      </c>
      <c r="E368" s="15">
        <v>0.11749999999999999</v>
      </c>
      <c r="F368" s="15">
        <v>6.2700000000000006E-2</v>
      </c>
      <c r="G368" s="15">
        <v>-7.4399999999999994E-2</v>
      </c>
      <c r="H368" s="15">
        <v>0.10589999999999999</v>
      </c>
      <c r="I368" s="15">
        <v>4.8539327181582007E-2</v>
      </c>
    </row>
    <row r="369" spans="1:9" x14ac:dyDescent="0.2">
      <c r="A369" s="2" t="s">
        <v>1103</v>
      </c>
      <c r="B369" s="2" t="s">
        <v>1104</v>
      </c>
      <c r="C369" s="2" t="s">
        <v>1105</v>
      </c>
      <c r="D369" s="2" t="s">
        <v>10040</v>
      </c>
      <c r="E369" s="15">
        <v>-6.1000000000000004E-3</v>
      </c>
      <c r="F369" s="15">
        <v>8.1299999999999997E-2</v>
      </c>
      <c r="G369" s="15">
        <v>0.18920000000000001</v>
      </c>
      <c r="H369" s="15">
        <v>7.3999999999999996E-2</v>
      </c>
      <c r="I369" s="15">
        <v>1.2499290674863149E-2</v>
      </c>
    </row>
    <row r="370" spans="1:9" x14ac:dyDescent="0.2">
      <c r="A370" s="2" t="s">
        <v>1106</v>
      </c>
      <c r="B370" s="2" t="s">
        <v>1107</v>
      </c>
      <c r="C370" s="2" t="s">
        <v>1108</v>
      </c>
      <c r="D370" s="2" t="s">
        <v>10040</v>
      </c>
      <c r="E370" s="15">
        <v>-2.1899999999999999E-2</v>
      </c>
      <c r="F370" s="15">
        <v>7.6799999999999993E-2</v>
      </c>
      <c r="G370" s="15">
        <v>1.7000000000000001E-2</v>
      </c>
      <c r="H370" s="15">
        <v>9.2600000000000002E-2</v>
      </c>
      <c r="I370" s="15">
        <v>0.35465112326394382</v>
      </c>
    </row>
    <row r="371" spans="1:9" x14ac:dyDescent="0.2">
      <c r="A371" s="2" t="s">
        <v>1109</v>
      </c>
      <c r="B371" s="2" t="s">
        <v>1110</v>
      </c>
      <c r="C371" s="2" t="s">
        <v>1111</v>
      </c>
      <c r="D371" s="2" t="s">
        <v>10040</v>
      </c>
      <c r="E371" s="15">
        <v>5.6099999999999997E-2</v>
      </c>
      <c r="F371" s="15">
        <v>6.5199999999999994E-2</v>
      </c>
      <c r="G371" s="15">
        <v>0.1736</v>
      </c>
      <c r="H371" s="15">
        <v>7.4099999999999999E-2</v>
      </c>
      <c r="I371" s="15">
        <v>8.2287735963703507E-2</v>
      </c>
    </row>
    <row r="372" spans="1:9" x14ac:dyDescent="0.2">
      <c r="A372" s="2" t="s">
        <v>1112</v>
      </c>
      <c r="B372" s="2" t="s">
        <v>1113</v>
      </c>
      <c r="C372" s="2" t="s">
        <v>1114</v>
      </c>
      <c r="D372" s="2" t="s">
        <v>10040</v>
      </c>
      <c r="E372" s="15">
        <v>0.11899999999999999</v>
      </c>
      <c r="F372" s="15">
        <v>7.2999999999999995E-2</v>
      </c>
      <c r="G372" s="15">
        <v>0.1719</v>
      </c>
      <c r="H372" s="15">
        <v>8.9800000000000005E-2</v>
      </c>
      <c r="I372" s="15">
        <v>0.29954164882607431</v>
      </c>
    </row>
    <row r="373" spans="1:9" x14ac:dyDescent="0.2">
      <c r="A373" s="2" t="s">
        <v>1115</v>
      </c>
      <c r="B373" s="2" t="s">
        <v>1116</v>
      </c>
      <c r="C373" s="2" t="s">
        <v>1117</v>
      </c>
      <c r="D373" s="2" t="s">
        <v>10040</v>
      </c>
      <c r="E373" s="15">
        <v>-5.8400000000000001E-2</v>
      </c>
      <c r="F373" s="15">
        <v>8.9700000000000002E-2</v>
      </c>
      <c r="G373" s="15">
        <v>7.46E-2</v>
      </c>
      <c r="H373" s="15">
        <v>8.09E-2</v>
      </c>
      <c r="I373" s="15">
        <v>7.4549809323840796E-2</v>
      </c>
    </row>
    <row r="374" spans="1:9" x14ac:dyDescent="0.2">
      <c r="A374" s="2" t="s">
        <v>1118</v>
      </c>
      <c r="B374" s="2" t="s">
        <v>1119</v>
      </c>
      <c r="C374" s="2" t="s">
        <v>1120</v>
      </c>
      <c r="D374" s="2" t="s">
        <v>10040</v>
      </c>
      <c r="E374" s="15">
        <v>7.8799999999999995E-2</v>
      </c>
      <c r="F374" s="15">
        <v>6.9199999999999998E-2</v>
      </c>
      <c r="G374" s="15">
        <v>9.3100000000000002E-2</v>
      </c>
      <c r="H374" s="15">
        <v>7.9899999999999999E-2</v>
      </c>
      <c r="I374" s="15">
        <v>0.43667886468063039</v>
      </c>
    </row>
    <row r="375" spans="1:9" x14ac:dyDescent="0.2">
      <c r="A375" s="2" t="s">
        <v>1121</v>
      </c>
      <c r="B375" s="2" t="s">
        <v>1122</v>
      </c>
      <c r="C375" s="2" t="s">
        <v>1123</v>
      </c>
      <c r="D375" s="2" t="s">
        <v>10040</v>
      </c>
      <c r="E375" s="15">
        <v>-0.13300000000000001</v>
      </c>
      <c r="F375" s="15">
        <v>8.5900000000000004E-2</v>
      </c>
      <c r="G375" s="15">
        <v>-6.8199999999999997E-2</v>
      </c>
      <c r="H375" s="15">
        <v>7.6700000000000004E-2</v>
      </c>
      <c r="I375" s="15">
        <v>0.24192105364596761</v>
      </c>
    </row>
    <row r="376" spans="1:9" x14ac:dyDescent="0.2">
      <c r="A376" s="2" t="s">
        <v>1124</v>
      </c>
      <c r="B376" s="2" t="s">
        <v>1125</v>
      </c>
      <c r="C376" s="2" t="s">
        <v>1126</v>
      </c>
      <c r="D376" s="2" t="s">
        <v>10040</v>
      </c>
      <c r="E376" s="15">
        <v>0.14630000000000001</v>
      </c>
      <c r="F376" s="15">
        <v>0.10150000000000001</v>
      </c>
      <c r="G376" s="15">
        <v>0.53669999999999995</v>
      </c>
      <c r="H376" s="15">
        <v>1.3839999999999999</v>
      </c>
      <c r="I376" s="15">
        <v>0.38904120568523493</v>
      </c>
    </row>
    <row r="377" spans="1:9" x14ac:dyDescent="0.2">
      <c r="A377" s="2" t="s">
        <v>1127</v>
      </c>
      <c r="B377" s="2" t="s">
        <v>1128</v>
      </c>
      <c r="C377" s="2" t="s">
        <v>1129</v>
      </c>
      <c r="D377" s="2" t="s">
        <v>10040</v>
      </c>
      <c r="E377" s="15">
        <v>2.2599999999999999E-2</v>
      </c>
      <c r="F377" s="15">
        <v>9.3700000000000006E-2</v>
      </c>
      <c r="G377" s="15">
        <v>7.4000000000000003E-3</v>
      </c>
      <c r="H377" s="15">
        <v>7.8200000000000006E-2</v>
      </c>
      <c r="I377" s="15">
        <v>0.43413954179483949</v>
      </c>
    </row>
    <row r="378" spans="1:9" x14ac:dyDescent="0.2">
      <c r="A378" s="2" t="s">
        <v>1130</v>
      </c>
      <c r="B378" s="2" t="s">
        <v>1131</v>
      </c>
      <c r="C378" s="2" t="s">
        <v>1132</v>
      </c>
      <c r="D378" s="2" t="s">
        <v>10040</v>
      </c>
      <c r="E378" s="15">
        <v>8.9399999999999993E-2</v>
      </c>
      <c r="F378" s="15">
        <v>6.8699999999999997E-2</v>
      </c>
      <c r="G378" s="15">
        <v>-5.3E-3</v>
      </c>
      <c r="H378" s="15">
        <v>7.9600000000000004E-2</v>
      </c>
      <c r="I378" s="15">
        <v>0.14535582649477061</v>
      </c>
    </row>
    <row r="379" spans="1:9" x14ac:dyDescent="0.2">
      <c r="A379" s="2" t="s">
        <v>1133</v>
      </c>
      <c r="B379" s="2" t="s">
        <v>1134</v>
      </c>
      <c r="C379" s="2" t="s">
        <v>1135</v>
      </c>
      <c r="D379" s="2" t="s">
        <v>10040</v>
      </c>
      <c r="E379" s="15">
        <v>-1.52E-2</v>
      </c>
      <c r="F379" s="15">
        <v>9.4399999999999998E-2</v>
      </c>
      <c r="G379" s="15">
        <v>4.5900000000000003E-2</v>
      </c>
      <c r="H379" s="15">
        <v>0.10199999999999999</v>
      </c>
      <c r="I379" s="15">
        <v>0.29419048334249293</v>
      </c>
    </row>
    <row r="380" spans="1:9" x14ac:dyDescent="0.2">
      <c r="A380" s="2" t="s">
        <v>1136</v>
      </c>
      <c r="B380" s="2" t="s">
        <v>1137</v>
      </c>
      <c r="C380" s="2" t="s">
        <v>1138</v>
      </c>
      <c r="D380" s="2" t="s">
        <v>10040</v>
      </c>
      <c r="E380" s="15">
        <v>-6.5799999999999997E-2</v>
      </c>
      <c r="F380" s="15">
        <v>0.1255</v>
      </c>
      <c r="G380" s="15">
        <v>0.10780000000000001</v>
      </c>
      <c r="H380" s="15">
        <v>0.1085</v>
      </c>
      <c r="I380" s="15">
        <v>8.2303853497570523E-2</v>
      </c>
    </row>
    <row r="381" spans="1:9" x14ac:dyDescent="0.2">
      <c r="A381" s="2" t="s">
        <v>1139</v>
      </c>
      <c r="B381" s="2" t="s">
        <v>1140</v>
      </c>
      <c r="C381" s="2" t="s">
        <v>1141</v>
      </c>
      <c r="D381" s="2" t="s">
        <v>10040</v>
      </c>
      <c r="E381" s="15">
        <v>0.1079</v>
      </c>
      <c r="F381" s="15">
        <v>8.1900000000000001E-2</v>
      </c>
      <c r="G381" s="15">
        <v>4.6399999999999997E-2</v>
      </c>
      <c r="H381" s="15">
        <v>8.9099999999999999E-2</v>
      </c>
      <c r="I381" s="15">
        <v>0.26531810598287348</v>
      </c>
    </row>
    <row r="382" spans="1:9" x14ac:dyDescent="0.2">
      <c r="A382" s="2" t="s">
        <v>1142</v>
      </c>
      <c r="B382" s="2" t="s">
        <v>1143</v>
      </c>
      <c r="C382" s="2" t="s">
        <v>1144</v>
      </c>
      <c r="D382" s="2" t="s">
        <v>10040</v>
      </c>
      <c r="E382" s="15">
        <v>8.4599999999999995E-2</v>
      </c>
      <c r="F382" s="15">
        <v>7.2499999999999995E-2</v>
      </c>
      <c r="G382" s="15">
        <v>9.9000000000000005E-2</v>
      </c>
      <c r="H382" s="15">
        <v>8.8300000000000003E-2</v>
      </c>
      <c r="I382" s="15">
        <v>0.44019685473303932</v>
      </c>
    </row>
    <row r="383" spans="1:9" x14ac:dyDescent="0.2">
      <c r="A383" s="2" t="s">
        <v>1145</v>
      </c>
      <c r="B383" s="2" t="s">
        <v>1146</v>
      </c>
      <c r="C383" s="2" t="s">
        <v>1147</v>
      </c>
      <c r="D383" s="2" t="s">
        <v>10040</v>
      </c>
      <c r="E383" s="15">
        <v>0.25869999999999999</v>
      </c>
      <c r="F383" s="15">
        <v>0.29859999999999998</v>
      </c>
      <c r="G383" s="15">
        <v>0.26369999999999999</v>
      </c>
      <c r="H383" s="15">
        <v>0.1353</v>
      </c>
      <c r="I383" s="15">
        <v>0.4863627365526314</v>
      </c>
    </row>
    <row r="384" spans="1:9" x14ac:dyDescent="0.2">
      <c r="A384" s="2" t="s">
        <v>1148</v>
      </c>
      <c r="B384" s="2" t="s">
        <v>1149</v>
      </c>
      <c r="C384" s="2" t="s">
        <v>1150</v>
      </c>
      <c r="D384" s="2" t="s">
        <v>10040</v>
      </c>
      <c r="E384" s="15">
        <v>8.6099999999999996E-2</v>
      </c>
      <c r="F384" s="15">
        <v>7.6100000000000001E-2</v>
      </c>
      <c r="G384" s="15">
        <v>0.16239999999999999</v>
      </c>
      <c r="H384" s="15">
        <v>9.4399999999999998E-2</v>
      </c>
      <c r="I384" s="15">
        <v>0.23272393525898341</v>
      </c>
    </row>
    <row r="385" spans="1:9" x14ac:dyDescent="0.2">
      <c r="A385" s="2" t="s">
        <v>1151</v>
      </c>
      <c r="B385" s="2" t="s">
        <v>1152</v>
      </c>
      <c r="C385" s="2" t="s">
        <v>1153</v>
      </c>
      <c r="D385" s="2" t="s">
        <v>10040</v>
      </c>
      <c r="E385" s="15">
        <v>-7.0099999999999996E-2</v>
      </c>
      <c r="F385" s="15">
        <v>0.10780000000000001</v>
      </c>
      <c r="G385" s="15">
        <v>0.1171</v>
      </c>
      <c r="H385" s="15">
        <v>9.6699999999999994E-2</v>
      </c>
      <c r="I385" s="15">
        <v>4.0831171479070727E-2</v>
      </c>
    </row>
    <row r="386" spans="1:9" x14ac:dyDescent="0.2">
      <c r="A386" s="2" t="s">
        <v>1154</v>
      </c>
      <c r="B386" s="2" t="s">
        <v>1155</v>
      </c>
      <c r="C386" s="2" t="s">
        <v>1156</v>
      </c>
      <c r="D386" s="2" t="s">
        <v>10040</v>
      </c>
      <c r="E386" s="15">
        <v>3.27E-2</v>
      </c>
      <c r="F386" s="15">
        <v>8.1299999999999997E-2</v>
      </c>
      <c r="G386" s="15">
        <v>1.6500000000000001E-2</v>
      </c>
      <c r="H386" s="15">
        <v>9.7100000000000006E-2</v>
      </c>
      <c r="I386" s="15">
        <v>0.44101735598641861</v>
      </c>
    </row>
    <row r="387" spans="1:9" x14ac:dyDescent="0.2">
      <c r="A387" s="2" t="s">
        <v>1157</v>
      </c>
      <c r="B387" s="2" t="s">
        <v>1158</v>
      </c>
      <c r="C387" s="2" t="s">
        <v>1159</v>
      </c>
      <c r="D387" s="2" t="s">
        <v>10040</v>
      </c>
      <c r="E387" s="15">
        <v>-6.9500000000000006E-2</v>
      </c>
      <c r="F387" s="15">
        <v>9.8199999999999996E-2</v>
      </c>
      <c r="G387" s="15">
        <v>4.3999999999999997E-2</v>
      </c>
      <c r="H387" s="15">
        <v>9.7600000000000006E-2</v>
      </c>
      <c r="I387" s="15">
        <v>0.15894370237762689</v>
      </c>
    </row>
    <row r="388" spans="1:9" x14ac:dyDescent="0.2">
      <c r="A388" s="2" t="s">
        <v>1160</v>
      </c>
      <c r="B388" s="2" t="s">
        <v>1161</v>
      </c>
      <c r="C388" s="2" t="s">
        <v>1162</v>
      </c>
      <c r="D388" s="2" t="s">
        <v>10040</v>
      </c>
      <c r="E388" s="15">
        <v>0.13539999999999999</v>
      </c>
      <c r="F388" s="15">
        <v>7.9899999999999999E-2</v>
      </c>
      <c r="G388" s="15">
        <v>7.2599999999999998E-2</v>
      </c>
      <c r="H388" s="15">
        <v>9.9400000000000002E-2</v>
      </c>
      <c r="I388" s="15">
        <v>0.27896821321245691</v>
      </c>
    </row>
    <row r="389" spans="1:9" x14ac:dyDescent="0.2">
      <c r="A389" s="2" t="s">
        <v>1163</v>
      </c>
      <c r="B389" s="2" t="s">
        <v>1164</v>
      </c>
      <c r="C389" s="2" t="s">
        <v>1165</v>
      </c>
      <c r="D389" s="2" t="s">
        <v>10040</v>
      </c>
      <c r="E389" s="15">
        <v>3.1899999999999998E-2</v>
      </c>
      <c r="F389" s="15">
        <v>7.9399999999999998E-2</v>
      </c>
      <c r="G389" s="15">
        <v>0.17879999999999999</v>
      </c>
      <c r="H389" s="15">
        <v>7.7499999999999999E-2</v>
      </c>
      <c r="I389" s="15">
        <v>5.0205610560266137E-2</v>
      </c>
    </row>
    <row r="390" spans="1:9" x14ac:dyDescent="0.2">
      <c r="A390" s="2" t="s">
        <v>1166</v>
      </c>
      <c r="B390" s="2" t="s">
        <v>1167</v>
      </c>
      <c r="C390" s="2" t="s">
        <v>1168</v>
      </c>
      <c r="D390" s="2" t="s">
        <v>10040</v>
      </c>
      <c r="E390" s="15">
        <v>5.57E-2</v>
      </c>
      <c r="F390" s="15">
        <v>7.0499999999999993E-2</v>
      </c>
      <c r="G390" s="15">
        <v>5.33E-2</v>
      </c>
      <c r="H390" s="15">
        <v>7.7399999999999997E-2</v>
      </c>
      <c r="I390" s="15">
        <v>0.48925915922279117</v>
      </c>
    </row>
    <row r="391" spans="1:9" x14ac:dyDescent="0.2">
      <c r="A391" s="2" t="s">
        <v>1169</v>
      </c>
      <c r="B391" s="2" t="s">
        <v>1170</v>
      </c>
      <c r="C391" s="2" t="s">
        <v>1171</v>
      </c>
      <c r="D391" s="2" t="s">
        <v>10040</v>
      </c>
      <c r="E391" s="15">
        <v>-4.8999999999999998E-3</v>
      </c>
      <c r="F391" s="15">
        <v>8.1000000000000003E-2</v>
      </c>
      <c r="G391" s="15">
        <v>0.12939999999999999</v>
      </c>
      <c r="H391" s="15">
        <v>0.12939999999999999</v>
      </c>
      <c r="I391" s="15">
        <v>0.1657479873882064</v>
      </c>
    </row>
    <row r="392" spans="1:9" x14ac:dyDescent="0.2">
      <c r="A392" s="2" t="s">
        <v>1172</v>
      </c>
      <c r="B392" s="2" t="s">
        <v>1173</v>
      </c>
      <c r="C392" s="2" t="s">
        <v>1174</v>
      </c>
      <c r="D392" s="2" t="s">
        <v>10040</v>
      </c>
      <c r="E392" s="15">
        <v>-8.2199999999999995E-2</v>
      </c>
      <c r="F392" s="15">
        <v>7.1900000000000006E-2</v>
      </c>
      <c r="G392" s="15">
        <v>6.4699999999999994E-2</v>
      </c>
      <c r="H392" s="15">
        <v>8.3099999999999993E-2</v>
      </c>
      <c r="I392" s="15">
        <v>5.4360345750054037E-2</v>
      </c>
    </row>
    <row r="393" spans="1:9" x14ac:dyDescent="0.2">
      <c r="A393" s="2" t="s">
        <v>1175</v>
      </c>
      <c r="B393" s="2" t="s">
        <v>1176</v>
      </c>
      <c r="C393" s="2" t="s">
        <v>1177</v>
      </c>
      <c r="D393" s="2" t="s">
        <v>10040</v>
      </c>
      <c r="E393" s="15">
        <v>1.9400000000000001E-2</v>
      </c>
      <c r="F393" s="15">
        <v>7.9500000000000001E-2</v>
      </c>
      <c r="G393" s="15">
        <v>0.1229</v>
      </c>
      <c r="H393" s="15">
        <v>8.5900000000000004E-2</v>
      </c>
      <c r="I393" s="15">
        <v>0.14222824618320851</v>
      </c>
    </row>
    <row r="394" spans="1:9" x14ac:dyDescent="0.2">
      <c r="A394" s="2" t="s">
        <v>1178</v>
      </c>
      <c r="B394" s="2" t="s">
        <v>1179</v>
      </c>
      <c r="C394" s="2" t="s">
        <v>1180</v>
      </c>
      <c r="D394" s="2" t="s">
        <v>10040</v>
      </c>
      <c r="E394" s="15">
        <v>6.6299999999999998E-2</v>
      </c>
      <c r="F394" s="15">
        <v>8.4400000000000003E-2</v>
      </c>
      <c r="G394" s="15">
        <v>0.21379999999999999</v>
      </c>
      <c r="H394" s="15">
        <v>0.1298</v>
      </c>
      <c r="I394" s="15">
        <v>0.14684786326478519</v>
      </c>
    </row>
    <row r="395" spans="1:9" x14ac:dyDescent="0.2">
      <c r="A395" s="2" t="s">
        <v>1181</v>
      </c>
      <c r="B395" s="2" t="s">
        <v>1182</v>
      </c>
      <c r="C395" s="2" t="s">
        <v>1183</v>
      </c>
      <c r="D395" s="2" t="s">
        <v>10040</v>
      </c>
      <c r="E395" s="15">
        <v>0.1021</v>
      </c>
      <c r="F395" s="15">
        <v>7.4499999999999997E-2</v>
      </c>
      <c r="G395" s="15">
        <v>4.6600000000000003E-2</v>
      </c>
      <c r="H395" s="15">
        <v>0.1037</v>
      </c>
      <c r="I395" s="15">
        <v>0.31643981764272078</v>
      </c>
    </row>
    <row r="396" spans="1:9" x14ac:dyDescent="0.2">
      <c r="A396" s="2" t="s">
        <v>1184</v>
      </c>
      <c r="B396" s="2" t="s">
        <v>1185</v>
      </c>
      <c r="C396" s="2" t="s">
        <v>1186</v>
      </c>
      <c r="D396" s="2" t="s">
        <v>10040</v>
      </c>
      <c r="E396" s="15">
        <v>2.1700000000000001E-2</v>
      </c>
      <c r="F396" s="15">
        <v>7.7100000000000002E-2</v>
      </c>
      <c r="G396" s="15">
        <v>0.23089999999999999</v>
      </c>
      <c r="H396" s="15">
        <v>8.5400000000000004E-2</v>
      </c>
      <c r="I396" s="15">
        <v>1.7820901628662272E-2</v>
      </c>
    </row>
    <row r="397" spans="1:9" x14ac:dyDescent="0.2">
      <c r="A397" s="2" t="s">
        <v>1187</v>
      </c>
      <c r="B397" s="2" t="s">
        <v>1188</v>
      </c>
      <c r="C397" s="2" t="s">
        <v>1189</v>
      </c>
      <c r="D397" s="2" t="s">
        <v>10040</v>
      </c>
      <c r="E397" s="15">
        <v>0.17080000000000001</v>
      </c>
      <c r="F397" s="15">
        <v>7.85E-2</v>
      </c>
      <c r="G397" s="15">
        <v>0.1865</v>
      </c>
      <c r="H397" s="15">
        <v>0.10390000000000001</v>
      </c>
      <c r="I397" s="15">
        <v>0.44658653332229509</v>
      </c>
    </row>
    <row r="398" spans="1:9" x14ac:dyDescent="0.2">
      <c r="A398" s="2" t="s">
        <v>1190</v>
      </c>
      <c r="B398" s="2" t="s">
        <v>1191</v>
      </c>
      <c r="C398" s="2" t="s">
        <v>1192</v>
      </c>
      <c r="D398" s="2" t="s">
        <v>10040</v>
      </c>
      <c r="E398" s="15">
        <v>0.1651</v>
      </c>
      <c r="F398" s="15">
        <v>6.5000000000000002E-2</v>
      </c>
      <c r="G398" s="15">
        <v>4.0000000000000002E-4</v>
      </c>
      <c r="H398" s="15">
        <v>7.0900000000000005E-2</v>
      </c>
      <c r="I398" s="15">
        <v>1.9276913204879748E-2</v>
      </c>
    </row>
    <row r="399" spans="1:9" x14ac:dyDescent="0.2">
      <c r="A399" s="2" t="s">
        <v>1193</v>
      </c>
      <c r="B399" s="2" t="s">
        <v>1194</v>
      </c>
      <c r="C399" s="2" t="s">
        <v>1195</v>
      </c>
      <c r="D399" s="2" t="s">
        <v>10040</v>
      </c>
      <c r="E399" s="15">
        <v>-4.5100000000000001E-2</v>
      </c>
      <c r="F399" s="15">
        <v>0.1084</v>
      </c>
      <c r="G399" s="15">
        <v>6.9599999999999995E-2</v>
      </c>
      <c r="H399" s="15">
        <v>0.1042</v>
      </c>
      <c r="I399" s="15">
        <v>0.1580041666374144</v>
      </c>
    </row>
    <row r="400" spans="1:9" x14ac:dyDescent="0.2">
      <c r="A400" s="2" t="s">
        <v>1196</v>
      </c>
      <c r="B400" s="2" t="s">
        <v>1197</v>
      </c>
      <c r="C400" s="2" t="s">
        <v>1198</v>
      </c>
      <c r="D400" s="2" t="s">
        <v>10040</v>
      </c>
      <c r="E400" s="15">
        <v>8.5199999999999998E-2</v>
      </c>
      <c r="F400" s="15">
        <v>0.1133</v>
      </c>
      <c r="G400" s="15">
        <v>0.123</v>
      </c>
      <c r="H400" s="15">
        <v>0.1048</v>
      </c>
      <c r="I400" s="15">
        <v>0.37481561311157918</v>
      </c>
    </row>
    <row r="401" spans="1:9" x14ac:dyDescent="0.2">
      <c r="A401" s="2" t="s">
        <v>1199</v>
      </c>
      <c r="B401" s="2" t="s">
        <v>1200</v>
      </c>
      <c r="C401" s="2" t="s">
        <v>1201</v>
      </c>
      <c r="D401" s="2" t="s">
        <v>10040</v>
      </c>
      <c r="E401" s="15">
        <v>-2.75E-2</v>
      </c>
      <c r="F401" s="15">
        <v>8.09E-2</v>
      </c>
      <c r="G401" s="15">
        <v>4.1799999999999997E-2</v>
      </c>
      <c r="H401" s="15">
        <v>8.0600000000000005E-2</v>
      </c>
      <c r="I401" s="15">
        <v>0.2210511543887318</v>
      </c>
    </row>
    <row r="402" spans="1:9" x14ac:dyDescent="0.2">
      <c r="A402" s="2" t="s">
        <v>1202</v>
      </c>
      <c r="B402" s="2" t="s">
        <v>1203</v>
      </c>
      <c r="C402" s="2" t="s">
        <v>1204</v>
      </c>
      <c r="D402" s="2" t="s">
        <v>10040</v>
      </c>
      <c r="E402" s="15">
        <v>-1.7000000000000001E-2</v>
      </c>
      <c r="F402" s="15">
        <v>8.5199999999999998E-2</v>
      </c>
      <c r="G402" s="15">
        <v>9.4600000000000004E-2</v>
      </c>
      <c r="H402" s="15">
        <v>6.8500000000000005E-2</v>
      </c>
      <c r="I402" s="15">
        <v>8.4375931578997657E-2</v>
      </c>
    </row>
    <row r="403" spans="1:9" x14ac:dyDescent="0.2">
      <c r="A403" s="2" t="s">
        <v>1205</v>
      </c>
      <c r="B403" s="2" t="s">
        <v>1206</v>
      </c>
      <c r="C403" s="2" t="s">
        <v>1207</v>
      </c>
      <c r="D403" s="2" t="s">
        <v>10040</v>
      </c>
      <c r="E403" s="15">
        <v>1.67E-2</v>
      </c>
      <c r="F403" s="15">
        <v>0.1283</v>
      </c>
      <c r="G403" s="15">
        <v>-6.7500000000000004E-2</v>
      </c>
      <c r="H403" s="15">
        <v>0.1163</v>
      </c>
      <c r="I403" s="15">
        <v>0.25816903958395893</v>
      </c>
    </row>
    <row r="404" spans="1:9" x14ac:dyDescent="0.2">
      <c r="A404" s="2" t="s">
        <v>1208</v>
      </c>
      <c r="B404" s="2" t="s">
        <v>1209</v>
      </c>
      <c r="C404" s="2" t="s">
        <v>1210</v>
      </c>
      <c r="D404" s="2" t="s">
        <v>10040</v>
      </c>
      <c r="E404" s="15">
        <v>-1.5299999999999999E-2</v>
      </c>
      <c r="F404" s="15">
        <v>7.5200000000000003E-2</v>
      </c>
      <c r="G404" s="15">
        <v>6.54E-2</v>
      </c>
      <c r="H404" s="15">
        <v>8.5400000000000004E-2</v>
      </c>
      <c r="I404" s="15">
        <v>0.20123615569003531</v>
      </c>
    </row>
    <row r="405" spans="1:9" x14ac:dyDescent="0.2">
      <c r="A405" s="2" t="s">
        <v>1211</v>
      </c>
      <c r="B405" s="2" t="s">
        <v>1212</v>
      </c>
      <c r="C405" s="2" t="s">
        <v>1213</v>
      </c>
      <c r="D405" s="2" t="s">
        <v>10040</v>
      </c>
      <c r="E405" s="15">
        <v>0.11169999999999999</v>
      </c>
      <c r="F405" s="15">
        <v>7.6799999999999993E-2</v>
      </c>
      <c r="G405" s="15">
        <v>0.26190000000000002</v>
      </c>
      <c r="H405" s="15">
        <v>0.10349999999999999</v>
      </c>
      <c r="I405" s="15">
        <v>9.3433324406837576E-2</v>
      </c>
    </row>
    <row r="406" spans="1:9" x14ac:dyDescent="0.2">
      <c r="A406" s="2" t="s">
        <v>1214</v>
      </c>
      <c r="B406" s="2" t="s">
        <v>1215</v>
      </c>
      <c r="C406" s="2" t="s">
        <v>1216</v>
      </c>
      <c r="D406" s="2" t="s">
        <v>10040</v>
      </c>
      <c r="E406" s="15">
        <v>-6.54E-2</v>
      </c>
      <c r="F406" s="15">
        <v>0.1153</v>
      </c>
      <c r="G406" s="15">
        <v>0.1104</v>
      </c>
      <c r="H406" s="15">
        <v>7.7399999999999997E-2</v>
      </c>
      <c r="I406" s="15">
        <v>2.4158875191289491E-2</v>
      </c>
    </row>
    <row r="407" spans="1:9" x14ac:dyDescent="0.2">
      <c r="A407" s="2" t="s">
        <v>1217</v>
      </c>
      <c r="B407" s="2" t="s">
        <v>1218</v>
      </c>
      <c r="C407" s="2" t="s">
        <v>1219</v>
      </c>
      <c r="D407" s="2" t="s">
        <v>10040</v>
      </c>
      <c r="E407" s="15">
        <v>0.13489999999999999</v>
      </c>
      <c r="F407" s="15">
        <v>7.0000000000000007E-2</v>
      </c>
      <c r="G407" s="15">
        <v>9.6100000000000005E-2</v>
      </c>
      <c r="H407" s="15">
        <v>8.7499999999999994E-2</v>
      </c>
      <c r="I407" s="15">
        <v>0.34565890742619532</v>
      </c>
    </row>
    <row r="408" spans="1:9" x14ac:dyDescent="0.2">
      <c r="A408" s="2" t="s">
        <v>1220</v>
      </c>
      <c r="B408" s="2" t="s">
        <v>1221</v>
      </c>
      <c r="C408" s="2" t="s">
        <v>1222</v>
      </c>
      <c r="D408" s="2" t="s">
        <v>10040</v>
      </c>
      <c r="E408" s="15">
        <v>5.5899999999999998E-2</v>
      </c>
      <c r="F408" s="15">
        <v>9.3399999999999997E-2</v>
      </c>
      <c r="G408" s="15">
        <v>6.9999999999999999E-4</v>
      </c>
      <c r="H408" s="15">
        <v>0.10290000000000001</v>
      </c>
      <c r="I408" s="15">
        <v>0.31323754574328672</v>
      </c>
    </row>
    <row r="409" spans="1:9" x14ac:dyDescent="0.2">
      <c r="A409" s="2" t="s">
        <v>1223</v>
      </c>
      <c r="B409" s="2" t="s">
        <v>1224</v>
      </c>
      <c r="C409" s="2" t="s">
        <v>1225</v>
      </c>
      <c r="D409" s="2" t="s">
        <v>10040</v>
      </c>
      <c r="E409" s="15">
        <v>0.1704</v>
      </c>
      <c r="F409" s="15">
        <v>9.6000000000000002E-2</v>
      </c>
    </row>
    <row r="410" spans="1:9" x14ac:dyDescent="0.2">
      <c r="A410" s="2" t="s">
        <v>1226</v>
      </c>
      <c r="B410" s="2" t="s">
        <v>1227</v>
      </c>
      <c r="C410" s="2" t="s">
        <v>1228</v>
      </c>
      <c r="D410" s="2" t="s">
        <v>10040</v>
      </c>
      <c r="E410" s="15">
        <v>0.14990000000000001</v>
      </c>
      <c r="F410" s="15">
        <v>9.7000000000000003E-2</v>
      </c>
      <c r="G410" s="15">
        <v>-2.1299999999999999E-2</v>
      </c>
      <c r="H410" s="15">
        <v>8.8599999999999998E-2</v>
      </c>
      <c r="I410" s="15">
        <v>4.7810477346054009E-2</v>
      </c>
    </row>
    <row r="411" spans="1:9" x14ac:dyDescent="0.2">
      <c r="A411" s="2" t="s">
        <v>1229</v>
      </c>
      <c r="B411" s="2" t="s">
        <v>1230</v>
      </c>
      <c r="C411" s="2" t="s">
        <v>1231</v>
      </c>
      <c r="D411" s="2" t="s">
        <v>10040</v>
      </c>
      <c r="E411" s="15">
        <v>0.111</v>
      </c>
      <c r="F411" s="15">
        <v>6.1199999999999997E-2</v>
      </c>
      <c r="G411" s="15">
        <v>-3.4799999999999998E-2</v>
      </c>
      <c r="H411" s="15">
        <v>8.1699999999999995E-2</v>
      </c>
      <c r="I411" s="15">
        <v>5.3395024604801319E-2</v>
      </c>
    </row>
    <row r="412" spans="1:9" x14ac:dyDescent="0.2">
      <c r="A412" s="2" t="s">
        <v>1232</v>
      </c>
      <c r="B412" s="2" t="s">
        <v>1233</v>
      </c>
      <c r="C412" s="2" t="s">
        <v>1234</v>
      </c>
      <c r="D412" s="2" t="s">
        <v>10040</v>
      </c>
      <c r="E412" s="15">
        <v>-0.04</v>
      </c>
      <c r="F412" s="15">
        <v>9.5699999999999993E-2</v>
      </c>
      <c r="G412" s="15">
        <v>0.14030000000000001</v>
      </c>
      <c r="H412" s="15">
        <v>0.12770000000000001</v>
      </c>
      <c r="I412" s="15">
        <v>9.5496834384320578E-2</v>
      </c>
    </row>
    <row r="413" spans="1:9" x14ac:dyDescent="0.2">
      <c r="A413" s="2" t="s">
        <v>1235</v>
      </c>
      <c r="B413" s="2" t="s">
        <v>1236</v>
      </c>
      <c r="C413" s="2" t="s">
        <v>1237</v>
      </c>
      <c r="D413" s="2" t="s">
        <v>10040</v>
      </c>
      <c r="E413" s="15">
        <v>-0.1759</v>
      </c>
      <c r="F413" s="15">
        <v>0.11700000000000001</v>
      </c>
      <c r="G413" s="15">
        <v>-4.6600000000000003E-2</v>
      </c>
      <c r="H413" s="15">
        <v>9.4500000000000001E-2</v>
      </c>
      <c r="I413" s="15">
        <v>0.1171017211782549</v>
      </c>
    </row>
    <row r="414" spans="1:9" x14ac:dyDescent="0.2">
      <c r="A414" s="2" t="s">
        <v>1238</v>
      </c>
      <c r="B414" s="2" t="s">
        <v>1239</v>
      </c>
      <c r="C414" s="2" t="s">
        <v>1240</v>
      </c>
      <c r="D414" s="2" t="s">
        <v>10040</v>
      </c>
      <c r="E414" s="15">
        <v>0.12820000000000001</v>
      </c>
      <c r="F414" s="15">
        <v>0.108</v>
      </c>
      <c r="G414" s="15">
        <v>-7.7200000000000005E-2</v>
      </c>
      <c r="H414" s="15">
        <v>8.5500000000000007E-2</v>
      </c>
      <c r="I414" s="15">
        <v>2.1614683558720569E-2</v>
      </c>
    </row>
    <row r="415" spans="1:9" x14ac:dyDescent="0.2">
      <c r="A415" s="2" t="s">
        <v>1241</v>
      </c>
      <c r="B415" s="2" t="s">
        <v>1242</v>
      </c>
      <c r="C415" s="2" t="s">
        <v>1243</v>
      </c>
      <c r="D415" s="2" t="s">
        <v>10040</v>
      </c>
      <c r="E415" s="15">
        <v>-1.5599999999999999E-2</v>
      </c>
      <c r="F415" s="15">
        <v>9.1200000000000003E-2</v>
      </c>
      <c r="G415" s="15">
        <v>4.8500000000000001E-2</v>
      </c>
      <c r="H415" s="15">
        <v>9.5000000000000001E-2</v>
      </c>
      <c r="I415" s="15">
        <v>0.27513824067786169</v>
      </c>
    </row>
    <row r="416" spans="1:9" x14ac:dyDescent="0.2">
      <c r="A416" s="2" t="s">
        <v>1244</v>
      </c>
      <c r="B416" s="2" t="s">
        <v>1245</v>
      </c>
      <c r="C416" s="2" t="s">
        <v>1246</v>
      </c>
      <c r="D416" s="2" t="s">
        <v>10040</v>
      </c>
      <c r="E416" s="15">
        <v>2.69E-2</v>
      </c>
      <c r="F416" s="15">
        <v>7.4999999999999997E-2</v>
      </c>
      <c r="G416" s="15">
        <v>1.4E-2</v>
      </c>
      <c r="H416" s="15">
        <v>0.14219999999999999</v>
      </c>
      <c r="I416" s="15">
        <v>0.46572302531828358</v>
      </c>
    </row>
    <row r="417" spans="1:9" x14ac:dyDescent="0.2">
      <c r="A417" s="2" t="s">
        <v>1247</v>
      </c>
      <c r="B417" s="2" t="s">
        <v>1248</v>
      </c>
      <c r="C417" s="2" t="s">
        <v>1249</v>
      </c>
      <c r="D417" s="2" t="s">
        <v>10040</v>
      </c>
      <c r="E417" s="15">
        <v>0.19059999999999999</v>
      </c>
      <c r="F417" s="15">
        <v>9.4500000000000001E-2</v>
      </c>
      <c r="G417" s="15">
        <v>-0.13070000000000001</v>
      </c>
      <c r="H417" s="15">
        <v>0.14410000000000001</v>
      </c>
      <c r="I417" s="15">
        <v>1.8641902608732011E-2</v>
      </c>
    </row>
    <row r="418" spans="1:9" x14ac:dyDescent="0.2">
      <c r="A418" s="2" t="s">
        <v>1250</v>
      </c>
      <c r="B418" s="2" t="s">
        <v>1251</v>
      </c>
      <c r="C418" s="2" t="s">
        <v>1252</v>
      </c>
      <c r="D418" s="2" t="s">
        <v>10040</v>
      </c>
      <c r="E418" s="15">
        <v>7.7600000000000002E-2</v>
      </c>
      <c r="F418" s="15">
        <v>6.6799999999999998E-2</v>
      </c>
      <c r="G418" s="15">
        <v>9.5600000000000004E-2</v>
      </c>
      <c r="H418" s="15">
        <v>9.11E-2</v>
      </c>
      <c r="I418" s="15">
        <v>0.42921334543939382</v>
      </c>
    </row>
    <row r="419" spans="1:9" x14ac:dyDescent="0.2">
      <c r="A419" s="2" t="s">
        <v>1253</v>
      </c>
      <c r="B419" s="2" t="s">
        <v>1254</v>
      </c>
      <c r="C419" s="2" t="s">
        <v>1255</v>
      </c>
      <c r="D419" s="2" t="s">
        <v>10040</v>
      </c>
      <c r="E419" s="15">
        <v>3.6400000000000002E-2</v>
      </c>
      <c r="F419" s="15">
        <v>9.8699999999999996E-2</v>
      </c>
      <c r="G419" s="15">
        <v>0.23449999999999999</v>
      </c>
      <c r="H419" s="15">
        <v>0.1789</v>
      </c>
      <c r="I419" s="15">
        <v>0.14360388366034851</v>
      </c>
    </row>
    <row r="420" spans="1:9" x14ac:dyDescent="0.2">
      <c r="A420" s="2" t="s">
        <v>1256</v>
      </c>
      <c r="B420" s="2" t="s">
        <v>1257</v>
      </c>
      <c r="C420" s="2" t="s">
        <v>1258</v>
      </c>
      <c r="D420" s="2" t="s">
        <v>10040</v>
      </c>
      <c r="E420" s="15">
        <v>8.2400000000000001E-2</v>
      </c>
      <c r="F420" s="15">
        <v>8.0399999999999999E-2</v>
      </c>
      <c r="G420" s="15">
        <v>0.46700000000000003</v>
      </c>
      <c r="H420" s="15">
        <v>0.2908</v>
      </c>
      <c r="I420" s="15">
        <v>9.6840929083198315E-2</v>
      </c>
    </row>
    <row r="421" spans="1:9" x14ac:dyDescent="0.2">
      <c r="A421" s="2" t="s">
        <v>1259</v>
      </c>
      <c r="B421" s="2" t="s">
        <v>1260</v>
      </c>
      <c r="C421" s="2" t="s">
        <v>1261</v>
      </c>
      <c r="D421" s="2" t="s">
        <v>10040</v>
      </c>
      <c r="E421" s="15">
        <v>0.18129999999999999</v>
      </c>
      <c r="F421" s="15">
        <v>6.7000000000000004E-2</v>
      </c>
      <c r="G421" s="15">
        <v>1.9599999999999999E-2</v>
      </c>
      <c r="H421" s="15">
        <v>7.6999999999999999E-2</v>
      </c>
      <c r="I421" s="15">
        <v>2.9904985125803519E-2</v>
      </c>
    </row>
    <row r="422" spans="1:9" x14ac:dyDescent="0.2">
      <c r="A422" s="2" t="s">
        <v>1262</v>
      </c>
      <c r="B422" s="2" t="s">
        <v>1263</v>
      </c>
      <c r="C422" s="2" t="s">
        <v>1264</v>
      </c>
      <c r="D422" s="2" t="s">
        <v>10040</v>
      </c>
      <c r="E422" s="15">
        <v>6.2100000000000002E-2</v>
      </c>
      <c r="F422" s="15">
        <v>6.5799999999999997E-2</v>
      </c>
      <c r="G422" s="15">
        <v>2.29E-2</v>
      </c>
      <c r="H422" s="15">
        <v>7.7100000000000002E-2</v>
      </c>
      <c r="I422" s="15">
        <v>0.32640249650770009</v>
      </c>
    </row>
    <row r="423" spans="1:9" x14ac:dyDescent="0.2">
      <c r="A423" s="2" t="s">
        <v>1265</v>
      </c>
      <c r="B423" s="2" t="s">
        <v>1266</v>
      </c>
      <c r="C423" s="2" t="s">
        <v>1267</v>
      </c>
      <c r="D423" s="2" t="s">
        <v>10040</v>
      </c>
      <c r="E423" s="15">
        <v>0.1008</v>
      </c>
      <c r="F423" s="15">
        <v>8.5300000000000001E-2</v>
      </c>
      <c r="G423" s="15">
        <v>9.2700000000000005E-2</v>
      </c>
      <c r="H423" s="15">
        <v>9.5699999999999993E-2</v>
      </c>
      <c r="I423" s="15">
        <v>0.47102848191460978</v>
      </c>
    </row>
    <row r="424" spans="1:9" x14ac:dyDescent="0.2">
      <c r="A424" s="2" t="s">
        <v>1268</v>
      </c>
      <c r="B424" s="2" t="s">
        <v>1269</v>
      </c>
      <c r="C424" s="2" t="s">
        <v>1270</v>
      </c>
      <c r="D424" s="2" t="s">
        <v>10040</v>
      </c>
      <c r="E424" s="15">
        <v>0.1749</v>
      </c>
      <c r="F424" s="15">
        <v>8.3799999999999999E-2</v>
      </c>
      <c r="G424" s="15">
        <v>0.23549999999999999</v>
      </c>
      <c r="H424" s="15">
        <v>0.10340000000000001</v>
      </c>
      <c r="I424" s="15">
        <v>0.30315524078088629</v>
      </c>
    </row>
    <row r="425" spans="1:9" x14ac:dyDescent="0.2">
      <c r="A425" s="2" t="s">
        <v>1271</v>
      </c>
      <c r="B425" s="2" t="s">
        <v>1272</v>
      </c>
      <c r="C425" s="2" t="s">
        <v>1273</v>
      </c>
      <c r="D425" s="2" t="s">
        <v>10040</v>
      </c>
      <c r="E425" s="15">
        <v>0.15640000000000001</v>
      </c>
      <c r="F425" s="15">
        <v>7.9899999999999999E-2</v>
      </c>
      <c r="G425" s="15">
        <v>4.07E-2</v>
      </c>
      <c r="H425" s="15">
        <v>7.6700000000000004E-2</v>
      </c>
      <c r="I425" s="15">
        <v>0.1006307916043537</v>
      </c>
    </row>
    <row r="426" spans="1:9" x14ac:dyDescent="0.2">
      <c r="A426" s="2" t="s">
        <v>1274</v>
      </c>
      <c r="B426" s="2" t="s">
        <v>1275</v>
      </c>
      <c r="C426" s="2" t="s">
        <v>1276</v>
      </c>
      <c r="D426" s="2" t="s">
        <v>10040</v>
      </c>
      <c r="E426" s="15">
        <v>0.114</v>
      </c>
      <c r="F426" s="15">
        <v>9.2999999999999999E-2</v>
      </c>
      <c r="G426" s="15">
        <v>0.1244</v>
      </c>
      <c r="H426" s="15">
        <v>0.11219999999999999</v>
      </c>
      <c r="I426" s="15">
        <v>0.46614175801163937</v>
      </c>
    </row>
    <row r="427" spans="1:9" x14ac:dyDescent="0.2">
      <c r="A427" s="2" t="s">
        <v>1277</v>
      </c>
      <c r="B427" s="2" t="s">
        <v>1278</v>
      </c>
      <c r="C427" s="2" t="s">
        <v>1279</v>
      </c>
      <c r="D427" s="2" t="s">
        <v>10040</v>
      </c>
      <c r="E427" s="15">
        <v>-0.2455</v>
      </c>
      <c r="F427" s="15">
        <v>0.14680000000000001</v>
      </c>
      <c r="G427" s="15">
        <v>-6.3399999999999998E-2</v>
      </c>
      <c r="H427" s="15">
        <v>0.12889999999999999</v>
      </c>
      <c r="I427" s="15">
        <v>9.6164084017955662E-2</v>
      </c>
    </row>
    <row r="428" spans="1:9" x14ac:dyDescent="0.2">
      <c r="A428" s="2" t="s">
        <v>1280</v>
      </c>
      <c r="B428" s="2" t="s">
        <v>1281</v>
      </c>
      <c r="C428" s="2" t="s">
        <v>1282</v>
      </c>
      <c r="D428" s="2" t="s">
        <v>10040</v>
      </c>
      <c r="E428" s="15">
        <v>-3.1600000000000003E-2</v>
      </c>
      <c r="F428" s="15">
        <v>9.5699999999999993E-2</v>
      </c>
      <c r="G428" s="15">
        <v>8.0999999999999996E-3</v>
      </c>
      <c r="H428" s="15">
        <v>0.1022</v>
      </c>
      <c r="I428" s="15">
        <v>0.36241850261245889</v>
      </c>
    </row>
    <row r="429" spans="1:9" x14ac:dyDescent="0.2">
      <c r="A429" s="2" t="s">
        <v>1283</v>
      </c>
      <c r="B429" s="2" t="s">
        <v>1284</v>
      </c>
      <c r="C429" s="2" t="s">
        <v>1285</v>
      </c>
      <c r="D429" s="2" t="s">
        <v>10040</v>
      </c>
      <c r="E429" s="15">
        <v>2.01E-2</v>
      </c>
      <c r="F429" s="15">
        <v>9.06E-2</v>
      </c>
      <c r="G429" s="15">
        <v>0.14879999999999999</v>
      </c>
      <c r="H429" s="15">
        <v>9.4E-2</v>
      </c>
      <c r="I429" s="15">
        <v>0.1115512686882898</v>
      </c>
    </row>
    <row r="430" spans="1:9" x14ac:dyDescent="0.2">
      <c r="A430" s="2" t="s">
        <v>1286</v>
      </c>
      <c r="B430" s="2" t="s">
        <v>1287</v>
      </c>
      <c r="C430" s="2" t="s">
        <v>1288</v>
      </c>
      <c r="D430" s="2" t="s">
        <v>10040</v>
      </c>
      <c r="E430" s="15">
        <v>3.9E-2</v>
      </c>
      <c r="F430" s="15">
        <v>9.01E-2</v>
      </c>
      <c r="G430" s="15">
        <v>8.2400000000000001E-2</v>
      </c>
      <c r="H430" s="15">
        <v>9.0999999999999998E-2</v>
      </c>
      <c r="I430" s="15">
        <v>0.34005348538921648</v>
      </c>
    </row>
    <row r="431" spans="1:9" x14ac:dyDescent="0.2">
      <c r="A431" s="2" t="s">
        <v>1289</v>
      </c>
      <c r="B431" s="2" t="s">
        <v>1290</v>
      </c>
      <c r="C431" s="2" t="s">
        <v>1291</v>
      </c>
      <c r="D431" s="2" t="s">
        <v>10040</v>
      </c>
      <c r="E431" s="15">
        <v>1.4E-2</v>
      </c>
      <c r="F431" s="15">
        <v>8.77E-2</v>
      </c>
      <c r="G431" s="15">
        <v>3.3000000000000002E-2</v>
      </c>
      <c r="H431" s="15">
        <v>0.1046</v>
      </c>
      <c r="I431" s="15">
        <v>0.43351430212341369</v>
      </c>
    </row>
    <row r="432" spans="1:9" x14ac:dyDescent="0.2">
      <c r="A432" s="2" t="s">
        <v>1292</v>
      </c>
      <c r="B432" s="2" t="s">
        <v>1293</v>
      </c>
      <c r="C432" s="2" t="s">
        <v>1294</v>
      </c>
      <c r="D432" s="2" t="s">
        <v>10040</v>
      </c>
      <c r="E432" s="15">
        <v>8.3599999999999994E-2</v>
      </c>
      <c r="F432" s="15">
        <v>7.7399999999999997E-2</v>
      </c>
      <c r="G432" s="15">
        <v>0.1953</v>
      </c>
      <c r="H432" s="15">
        <v>9.2600000000000002E-2</v>
      </c>
      <c r="I432" s="15">
        <v>0.1371626657216658</v>
      </c>
    </row>
    <row r="433" spans="1:9" x14ac:dyDescent="0.2">
      <c r="A433" s="2" t="s">
        <v>1295</v>
      </c>
      <c r="B433" s="2" t="s">
        <v>1296</v>
      </c>
      <c r="C433" s="2" t="s">
        <v>1297</v>
      </c>
      <c r="D433" s="2" t="s">
        <v>10040</v>
      </c>
      <c r="E433" s="15">
        <v>2.2700000000000001E-2</v>
      </c>
      <c r="F433" s="15">
        <v>7.5999999999999998E-2</v>
      </c>
      <c r="G433" s="15">
        <v>-6.7199999999999996E-2</v>
      </c>
      <c r="H433" s="15">
        <v>9.9400000000000002E-2</v>
      </c>
      <c r="I433" s="15">
        <v>0.2047257757168971</v>
      </c>
    </row>
    <row r="434" spans="1:9" x14ac:dyDescent="0.2">
      <c r="A434" s="2" t="s">
        <v>1298</v>
      </c>
      <c r="B434" s="2" t="s">
        <v>1299</v>
      </c>
      <c r="C434" s="2" t="s">
        <v>1300</v>
      </c>
      <c r="D434" s="2" t="s">
        <v>10040</v>
      </c>
      <c r="E434" s="15">
        <v>0.15920000000000001</v>
      </c>
      <c r="F434" s="15">
        <v>8.1000000000000003E-2</v>
      </c>
      <c r="G434" s="15">
        <v>0.2238</v>
      </c>
      <c r="H434" s="15">
        <v>0.1041</v>
      </c>
      <c r="I434" s="15">
        <v>0.28809461364503858</v>
      </c>
    </row>
    <row r="435" spans="1:9" x14ac:dyDescent="0.2">
      <c r="A435" s="2" t="s">
        <v>1301</v>
      </c>
      <c r="B435" s="2" t="s">
        <v>1302</v>
      </c>
      <c r="C435" s="2" t="s">
        <v>1303</v>
      </c>
      <c r="D435" s="2" t="s">
        <v>10040</v>
      </c>
      <c r="E435" s="15">
        <v>0.18140000000000001</v>
      </c>
      <c r="F435" s="15">
        <v>6.9900000000000004E-2</v>
      </c>
      <c r="G435" s="15">
        <v>4.2099999999999999E-2</v>
      </c>
      <c r="H435" s="15">
        <v>7.8200000000000006E-2</v>
      </c>
      <c r="I435" s="15">
        <v>5.3504842405632677E-2</v>
      </c>
    </row>
    <row r="436" spans="1:9" x14ac:dyDescent="0.2">
      <c r="A436" s="2" t="s">
        <v>1304</v>
      </c>
      <c r="B436" s="2" t="s">
        <v>1305</v>
      </c>
      <c r="C436" s="2" t="s">
        <v>1306</v>
      </c>
      <c r="D436" s="2" t="s">
        <v>10040</v>
      </c>
      <c r="E436" s="15">
        <v>0.1033</v>
      </c>
      <c r="F436" s="15">
        <v>7.4200000000000002E-2</v>
      </c>
      <c r="G436" s="15">
        <v>6.9500000000000006E-2</v>
      </c>
      <c r="H436" s="15">
        <v>7.7799999999999994E-2</v>
      </c>
      <c r="I436" s="15">
        <v>0.34762123088479358</v>
      </c>
    </row>
    <row r="437" spans="1:9" x14ac:dyDescent="0.2">
      <c r="A437" s="2" t="s">
        <v>1307</v>
      </c>
      <c r="B437" s="2" t="s">
        <v>1308</v>
      </c>
      <c r="C437" s="2" t="s">
        <v>1309</v>
      </c>
      <c r="D437" s="2" t="s">
        <v>10040</v>
      </c>
      <c r="E437" s="15">
        <v>-4.8000000000000001E-2</v>
      </c>
      <c r="F437" s="15">
        <v>0.1028</v>
      </c>
      <c r="G437" s="15">
        <v>2.9999999999999997E-4</v>
      </c>
      <c r="H437" s="15">
        <v>0.11210000000000001</v>
      </c>
      <c r="I437" s="15">
        <v>0.34741192666935061</v>
      </c>
    </row>
    <row r="438" spans="1:9" x14ac:dyDescent="0.2">
      <c r="A438" s="2" t="s">
        <v>1310</v>
      </c>
      <c r="B438" s="2" t="s">
        <v>1311</v>
      </c>
      <c r="C438" s="2" t="s">
        <v>1312</v>
      </c>
      <c r="D438" s="2" t="s">
        <v>10040</v>
      </c>
      <c r="G438" s="15">
        <v>0.2883</v>
      </c>
      <c r="H438" s="15">
        <v>0.13650000000000001</v>
      </c>
    </row>
    <row r="439" spans="1:9" x14ac:dyDescent="0.2">
      <c r="A439" s="2" t="s">
        <v>1313</v>
      </c>
      <c r="B439" s="2" t="s">
        <v>1314</v>
      </c>
      <c r="C439" s="2" t="s">
        <v>1315</v>
      </c>
      <c r="D439" s="2" t="s">
        <v>10040</v>
      </c>
      <c r="E439" s="15">
        <v>0.23680000000000001</v>
      </c>
      <c r="F439" s="15">
        <v>8.7300000000000003E-2</v>
      </c>
      <c r="G439" s="15">
        <v>0.16200000000000001</v>
      </c>
      <c r="H439" s="15">
        <v>7.5999999999999998E-2</v>
      </c>
      <c r="I439" s="15">
        <v>0.1959646290804565</v>
      </c>
    </row>
    <row r="440" spans="1:9" x14ac:dyDescent="0.2">
      <c r="A440" s="2" t="s">
        <v>1316</v>
      </c>
      <c r="B440" s="2" t="s">
        <v>1317</v>
      </c>
      <c r="C440" s="2" t="s">
        <v>1318</v>
      </c>
      <c r="D440" s="2" t="s">
        <v>10040</v>
      </c>
      <c r="E440" s="15">
        <v>9.8199999999999996E-2</v>
      </c>
      <c r="F440" s="15">
        <v>9.9199999999999997E-2</v>
      </c>
      <c r="G440" s="15">
        <v>2.3599999999999999E-2</v>
      </c>
      <c r="H440" s="15">
        <v>8.3599999999999994E-2</v>
      </c>
      <c r="I440" s="15">
        <v>0.21532136830609139</v>
      </c>
    </row>
    <row r="441" spans="1:9" x14ac:dyDescent="0.2">
      <c r="A441" s="2" t="s">
        <v>1319</v>
      </c>
      <c r="B441" s="2" t="s">
        <v>1320</v>
      </c>
      <c r="C441" s="2" t="s">
        <v>1321</v>
      </c>
      <c r="D441" s="2" t="s">
        <v>10040</v>
      </c>
      <c r="E441" s="15">
        <v>6.13E-2</v>
      </c>
      <c r="F441" s="15">
        <v>7.9000000000000001E-2</v>
      </c>
      <c r="G441" s="15">
        <v>-3.1300000000000001E-2</v>
      </c>
      <c r="H441" s="15">
        <v>0.1062</v>
      </c>
      <c r="I441" s="15">
        <v>0.21425920867454359</v>
      </c>
    </row>
    <row r="442" spans="1:9" x14ac:dyDescent="0.2">
      <c r="A442" s="2" t="s">
        <v>1322</v>
      </c>
      <c r="B442" s="2" t="s">
        <v>1323</v>
      </c>
      <c r="C442" s="2" t="s">
        <v>1324</v>
      </c>
      <c r="D442" s="2" t="s">
        <v>10040</v>
      </c>
      <c r="E442" s="15">
        <v>0.1067</v>
      </c>
      <c r="F442" s="15">
        <v>6.5199999999999994E-2</v>
      </c>
      <c r="G442" s="15">
        <v>0.1056</v>
      </c>
      <c r="H442" s="15">
        <v>7.9799999999999996E-2</v>
      </c>
      <c r="I442" s="15">
        <v>0.49508148669590307</v>
      </c>
    </row>
    <row r="443" spans="1:9" x14ac:dyDescent="0.2">
      <c r="A443" s="2" t="s">
        <v>1325</v>
      </c>
      <c r="B443" s="2" t="s">
        <v>1326</v>
      </c>
      <c r="C443" s="2" t="s">
        <v>1327</v>
      </c>
      <c r="D443" s="2" t="s">
        <v>10040</v>
      </c>
      <c r="E443" s="15">
        <v>0.2263</v>
      </c>
      <c r="F443" s="15">
        <v>8.6599999999999996E-2</v>
      </c>
      <c r="G443" s="15">
        <v>0.14610000000000001</v>
      </c>
      <c r="H443" s="15">
        <v>0.1094</v>
      </c>
      <c r="I443" s="15">
        <v>0.25501315185891582</v>
      </c>
    </row>
    <row r="444" spans="1:9" x14ac:dyDescent="0.2">
      <c r="A444" s="2" t="s">
        <v>1328</v>
      </c>
      <c r="B444" s="2" t="s">
        <v>1329</v>
      </c>
      <c r="C444" s="2" t="s">
        <v>1330</v>
      </c>
      <c r="D444" s="2" t="s">
        <v>10040</v>
      </c>
      <c r="E444" s="15">
        <v>2.5899999999999999E-2</v>
      </c>
      <c r="F444" s="15">
        <v>8.2400000000000001E-2</v>
      </c>
      <c r="G444" s="15">
        <v>8.3699999999999997E-2</v>
      </c>
      <c r="H444" s="15">
        <v>9.0200000000000002E-2</v>
      </c>
      <c r="I444" s="15">
        <v>0.28250176397212112</v>
      </c>
    </row>
    <row r="445" spans="1:9" x14ac:dyDescent="0.2">
      <c r="A445" s="2" t="s">
        <v>1331</v>
      </c>
      <c r="B445" s="2" t="s">
        <v>1332</v>
      </c>
      <c r="C445" s="2" t="s">
        <v>1333</v>
      </c>
      <c r="D445" s="2" t="s">
        <v>10040</v>
      </c>
      <c r="E445" s="15">
        <v>-1.89E-2</v>
      </c>
      <c r="F445" s="15">
        <v>8.7999999999999995E-2</v>
      </c>
      <c r="G445" s="15">
        <v>0.15379999999999999</v>
      </c>
      <c r="H445" s="15">
        <v>8.7300000000000003E-2</v>
      </c>
      <c r="I445" s="15">
        <v>3.8178942848809828E-2</v>
      </c>
    </row>
    <row r="446" spans="1:9" x14ac:dyDescent="0.2">
      <c r="A446" s="2" t="s">
        <v>1334</v>
      </c>
      <c r="B446" s="2" t="s">
        <v>1335</v>
      </c>
      <c r="C446" s="2" t="s">
        <v>1336</v>
      </c>
      <c r="D446" s="2" t="s">
        <v>10040</v>
      </c>
      <c r="E446" s="15">
        <v>1.6400000000000001E-2</v>
      </c>
      <c r="F446" s="15">
        <v>9.1800000000000007E-2</v>
      </c>
      <c r="G446" s="15">
        <v>0.1085</v>
      </c>
      <c r="H446" s="15">
        <v>8.09E-2</v>
      </c>
      <c r="I446" s="15">
        <v>0.16259525772229461</v>
      </c>
    </row>
    <row r="447" spans="1:9" x14ac:dyDescent="0.2">
      <c r="A447" s="2" t="s">
        <v>1337</v>
      </c>
      <c r="B447" s="2" t="s">
        <v>1338</v>
      </c>
      <c r="C447" s="2" t="s">
        <v>1339</v>
      </c>
      <c r="D447" s="2" t="s">
        <v>10040</v>
      </c>
      <c r="E447" s="15">
        <v>-8.2199999999999995E-2</v>
      </c>
      <c r="F447" s="15">
        <v>8.6099999999999996E-2</v>
      </c>
      <c r="G447" s="15">
        <v>4.2099999999999999E-2</v>
      </c>
      <c r="H447" s="15">
        <v>6.93E-2</v>
      </c>
      <c r="I447" s="15">
        <v>8.0754491198403555E-2</v>
      </c>
    </row>
    <row r="448" spans="1:9" x14ac:dyDescent="0.2">
      <c r="A448" s="2" t="s">
        <v>1340</v>
      </c>
      <c r="B448" s="2" t="s">
        <v>1341</v>
      </c>
      <c r="C448" s="2" t="s">
        <v>1342</v>
      </c>
      <c r="D448" s="2" t="s">
        <v>10040</v>
      </c>
      <c r="E448" s="15">
        <v>0.1177</v>
      </c>
      <c r="F448" s="15">
        <v>7.4399999999999994E-2</v>
      </c>
      <c r="G448" s="15">
        <v>8.4000000000000005E-2</v>
      </c>
      <c r="H448" s="15">
        <v>8.6099999999999996E-2</v>
      </c>
      <c r="I448" s="15">
        <v>0.36552852587046131</v>
      </c>
    </row>
    <row r="449" spans="1:9" x14ac:dyDescent="0.2">
      <c r="A449" s="2" t="s">
        <v>1343</v>
      </c>
      <c r="B449" s="2" t="s">
        <v>1344</v>
      </c>
      <c r="C449" s="2" t="s">
        <v>1345</v>
      </c>
      <c r="D449" s="2" t="s">
        <v>10040</v>
      </c>
      <c r="E449" s="15">
        <v>8.0999999999999996E-3</v>
      </c>
      <c r="F449" s="15">
        <v>6.6799999999999998E-2</v>
      </c>
      <c r="G449" s="15">
        <v>0.12809999999999999</v>
      </c>
      <c r="H449" s="15">
        <v>7.3400000000000007E-2</v>
      </c>
      <c r="I449" s="15">
        <v>7.7466081174301996E-2</v>
      </c>
    </row>
    <row r="450" spans="1:9" x14ac:dyDescent="0.2">
      <c r="A450" s="2" t="s">
        <v>1346</v>
      </c>
      <c r="B450" s="2" t="s">
        <v>1347</v>
      </c>
      <c r="C450" s="2" t="s">
        <v>1348</v>
      </c>
      <c r="D450" s="2" t="s">
        <v>10040</v>
      </c>
      <c r="E450" s="15">
        <v>2.7799999999999998E-2</v>
      </c>
      <c r="F450" s="15">
        <v>7.0800000000000002E-2</v>
      </c>
      <c r="G450" s="15">
        <v>-5.1000000000000004E-3</v>
      </c>
      <c r="H450" s="15">
        <v>7.5700000000000003E-2</v>
      </c>
      <c r="I450" s="15">
        <v>0.35156486100419082</v>
      </c>
    </row>
    <row r="451" spans="1:9" x14ac:dyDescent="0.2">
      <c r="A451" s="2" t="s">
        <v>1349</v>
      </c>
      <c r="B451" s="2" t="s">
        <v>1350</v>
      </c>
      <c r="C451" s="2" t="s">
        <v>1351</v>
      </c>
      <c r="D451" s="2" t="s">
        <v>10040</v>
      </c>
      <c r="E451" s="15">
        <v>-1.7500000000000002E-2</v>
      </c>
      <c r="F451" s="15">
        <v>6.7199999999999996E-2</v>
      </c>
      <c r="G451" s="15">
        <v>4.3700000000000003E-2</v>
      </c>
      <c r="H451" s="15">
        <v>0.1079</v>
      </c>
      <c r="I451" s="15">
        <v>0.30233684051196691</v>
      </c>
    </row>
    <row r="452" spans="1:9" x14ac:dyDescent="0.2">
      <c r="A452" s="2" t="s">
        <v>1352</v>
      </c>
      <c r="B452" s="2" t="s">
        <v>1353</v>
      </c>
      <c r="C452" s="2" t="s">
        <v>1354</v>
      </c>
      <c r="D452" s="2" t="s">
        <v>10040</v>
      </c>
      <c r="E452" s="15">
        <v>-9.1831999999999998E-5</v>
      </c>
      <c r="F452" s="15">
        <v>7.4300000000000005E-2</v>
      </c>
      <c r="G452" s="15">
        <v>0.11169999999999999</v>
      </c>
      <c r="H452" s="15">
        <v>0.1169</v>
      </c>
      <c r="I452" s="15">
        <v>0.18247291740953869</v>
      </c>
    </row>
    <row r="453" spans="1:9" x14ac:dyDescent="0.2">
      <c r="A453" s="2" t="s">
        <v>1355</v>
      </c>
      <c r="B453" s="2" t="s">
        <v>1356</v>
      </c>
      <c r="C453" s="2" t="s">
        <v>1357</v>
      </c>
      <c r="D453" s="2" t="s">
        <v>10040</v>
      </c>
      <c r="E453" s="15">
        <v>0.10100000000000001</v>
      </c>
      <c r="F453" s="15">
        <v>7.4300000000000005E-2</v>
      </c>
      <c r="G453" s="15">
        <v>0.14080000000000001</v>
      </c>
      <c r="H453" s="15">
        <v>8.3400000000000002E-2</v>
      </c>
      <c r="I453" s="15">
        <v>0.33572473146764209</v>
      </c>
    </row>
    <row r="454" spans="1:9" x14ac:dyDescent="0.2">
      <c r="A454" s="2" t="s">
        <v>1358</v>
      </c>
      <c r="B454" s="2" t="s">
        <v>1359</v>
      </c>
      <c r="C454" s="2" t="s">
        <v>1360</v>
      </c>
      <c r="D454" s="2" t="s">
        <v>10040</v>
      </c>
      <c r="E454" s="15">
        <v>4.36E-2</v>
      </c>
      <c r="F454" s="15">
        <v>7.6399999999999996E-2</v>
      </c>
      <c r="G454" s="15">
        <v>0.15740000000000001</v>
      </c>
      <c r="H454" s="15">
        <v>0.11210000000000001</v>
      </c>
      <c r="I454" s="15">
        <v>0.1772516104770552</v>
      </c>
    </row>
    <row r="455" spans="1:9" x14ac:dyDescent="0.2">
      <c r="A455" s="2" t="s">
        <v>1361</v>
      </c>
      <c r="B455" s="2" t="s">
        <v>1362</v>
      </c>
      <c r="C455" s="2" t="s">
        <v>1363</v>
      </c>
      <c r="D455" s="2" t="s">
        <v>10040</v>
      </c>
      <c r="E455" s="15">
        <v>-3.0999999999999999E-3</v>
      </c>
      <c r="F455" s="15">
        <v>0.1079</v>
      </c>
      <c r="G455" s="15">
        <v>0.24</v>
      </c>
      <c r="H455" s="15">
        <v>0.12570000000000001</v>
      </c>
      <c r="I455" s="15">
        <v>3.9540126199553903E-2</v>
      </c>
    </row>
    <row r="456" spans="1:9" x14ac:dyDescent="0.2">
      <c r="A456" s="2" t="s">
        <v>1364</v>
      </c>
      <c r="B456" s="2" t="s">
        <v>1365</v>
      </c>
      <c r="C456" s="2" t="s">
        <v>1366</v>
      </c>
      <c r="D456" s="2" t="s">
        <v>10040</v>
      </c>
      <c r="E456" s="15">
        <v>0.12130000000000001</v>
      </c>
      <c r="F456" s="15">
        <v>8.2500000000000004E-2</v>
      </c>
      <c r="G456" s="15">
        <v>0.27529999999999999</v>
      </c>
      <c r="H456" s="15">
        <v>0.14330000000000001</v>
      </c>
      <c r="I456" s="15">
        <v>0.15652285135058189</v>
      </c>
    </row>
    <row r="457" spans="1:9" x14ac:dyDescent="0.2">
      <c r="A457" s="2" t="s">
        <v>1367</v>
      </c>
      <c r="B457" s="2" t="s">
        <v>1368</v>
      </c>
      <c r="C457" s="2" t="s">
        <v>1369</v>
      </c>
      <c r="D457" s="2" t="s">
        <v>10040</v>
      </c>
      <c r="E457" s="15">
        <v>4.19E-2</v>
      </c>
      <c r="F457" s="15">
        <v>8.5599999999999996E-2</v>
      </c>
      <c r="G457" s="15">
        <v>0.40139999999999998</v>
      </c>
      <c r="H457" s="15">
        <v>0.26679999999999998</v>
      </c>
      <c r="I457" s="15">
        <v>9.3952852376241638E-2</v>
      </c>
    </row>
    <row r="458" spans="1:9" x14ac:dyDescent="0.2">
      <c r="A458" s="2" t="s">
        <v>1370</v>
      </c>
      <c r="B458" s="2" t="s">
        <v>1371</v>
      </c>
      <c r="C458" s="2" t="s">
        <v>1372</v>
      </c>
      <c r="D458" s="2" t="s">
        <v>10040</v>
      </c>
      <c r="E458" s="15">
        <v>0.15629999999999999</v>
      </c>
      <c r="F458" s="15">
        <v>6.3E-2</v>
      </c>
      <c r="G458" s="15">
        <v>-3.0999999999999999E-3</v>
      </c>
      <c r="H458" s="15">
        <v>8.1000000000000003E-2</v>
      </c>
      <c r="I458" s="15">
        <v>3.7685628475082597E-2</v>
      </c>
    </row>
    <row r="459" spans="1:9" x14ac:dyDescent="0.2">
      <c r="A459" s="2" t="s">
        <v>1373</v>
      </c>
      <c r="B459" s="2" t="s">
        <v>1374</v>
      </c>
      <c r="C459" s="2" t="s">
        <v>1375</v>
      </c>
      <c r="D459" s="2" t="s">
        <v>10040</v>
      </c>
      <c r="E459" s="15">
        <v>-4.1298000000000003E-5</v>
      </c>
      <c r="F459" s="15">
        <v>0.1045</v>
      </c>
      <c r="G459" s="15">
        <v>9.1999999999999998E-2</v>
      </c>
      <c r="H459" s="15">
        <v>0.11559999999999999</v>
      </c>
      <c r="I459" s="15">
        <v>0.23380955693932981</v>
      </c>
    </row>
    <row r="460" spans="1:9" x14ac:dyDescent="0.2">
      <c r="A460" s="2" t="s">
        <v>1376</v>
      </c>
      <c r="B460" s="2" t="s">
        <v>1377</v>
      </c>
      <c r="C460" s="2" t="s">
        <v>1378</v>
      </c>
      <c r="D460" s="2" t="s">
        <v>10040</v>
      </c>
      <c r="E460" s="15">
        <v>-9.9000000000000008E-3</v>
      </c>
      <c r="F460" s="15">
        <v>9.2899999999999996E-2</v>
      </c>
      <c r="G460" s="15">
        <v>8.9499999999999996E-2</v>
      </c>
      <c r="H460" s="15">
        <v>9.5899999999999999E-2</v>
      </c>
      <c r="I460" s="15">
        <v>0.17669439313631621</v>
      </c>
    </row>
    <row r="461" spans="1:9" x14ac:dyDescent="0.2">
      <c r="A461" s="2" t="s">
        <v>1379</v>
      </c>
      <c r="B461" s="2" t="s">
        <v>1380</v>
      </c>
      <c r="C461" s="2" t="s">
        <v>1381</v>
      </c>
      <c r="D461" s="2" t="s">
        <v>10040</v>
      </c>
      <c r="E461" s="15">
        <v>0.1191</v>
      </c>
      <c r="F461" s="15">
        <v>6.3399999999999998E-2</v>
      </c>
      <c r="G461" s="15">
        <v>-7.3400000000000007E-2</v>
      </c>
      <c r="H461" s="15">
        <v>0.1037</v>
      </c>
      <c r="I461" s="15">
        <v>4.509167723808926E-2</v>
      </c>
    </row>
    <row r="462" spans="1:9" x14ac:dyDescent="0.2">
      <c r="A462" s="2" t="s">
        <v>1382</v>
      </c>
      <c r="B462" s="2" t="s">
        <v>1383</v>
      </c>
      <c r="C462" s="2" t="s">
        <v>1384</v>
      </c>
      <c r="D462" s="2" t="s">
        <v>10040</v>
      </c>
      <c r="E462" s="15">
        <v>-5.5999999999999999E-3</v>
      </c>
      <c r="F462" s="15">
        <v>8.1299999999999997E-2</v>
      </c>
      <c r="G462" s="15">
        <v>0.19769999999999999</v>
      </c>
      <c r="H462" s="15">
        <v>7.3999999999999996E-2</v>
      </c>
      <c r="I462" s="15">
        <v>9.6705635432097654E-3</v>
      </c>
    </row>
    <row r="463" spans="1:9" x14ac:dyDescent="0.2">
      <c r="A463" s="2" t="s">
        <v>1385</v>
      </c>
      <c r="B463" s="2" t="s">
        <v>1386</v>
      </c>
      <c r="C463" s="2" t="s">
        <v>1387</v>
      </c>
      <c r="D463" s="2" t="s">
        <v>10040</v>
      </c>
      <c r="E463" s="15">
        <v>2.9899999999999999E-2</v>
      </c>
      <c r="F463" s="15">
        <v>8.2799999999999999E-2</v>
      </c>
      <c r="G463" s="15">
        <v>-5.3100000000000001E-2</v>
      </c>
      <c r="H463" s="15">
        <v>9.7500000000000003E-2</v>
      </c>
      <c r="I463" s="15">
        <v>0.22372057321641109</v>
      </c>
    </row>
    <row r="464" spans="1:9" x14ac:dyDescent="0.2">
      <c r="A464" s="2" t="s">
        <v>1388</v>
      </c>
      <c r="B464" s="2" t="s">
        <v>1389</v>
      </c>
      <c r="C464" s="2" t="s">
        <v>1390</v>
      </c>
      <c r="D464" s="2" t="s">
        <v>10040</v>
      </c>
      <c r="E464" s="15">
        <v>5.9299999999999999E-2</v>
      </c>
      <c r="F464" s="15">
        <v>7.3999999999999996E-2</v>
      </c>
      <c r="G464" s="15">
        <v>0.16900000000000001</v>
      </c>
      <c r="H464" s="15">
        <v>8.2799999999999999E-2</v>
      </c>
      <c r="I464" s="15">
        <v>0.1196095131782916</v>
      </c>
    </row>
    <row r="465" spans="1:9" x14ac:dyDescent="0.2">
      <c r="A465" s="2" t="s">
        <v>1391</v>
      </c>
      <c r="B465" s="2" t="s">
        <v>1392</v>
      </c>
      <c r="C465" s="2" t="s">
        <v>1393</v>
      </c>
      <c r="D465" s="2" t="s">
        <v>10040</v>
      </c>
      <c r="E465" s="15">
        <v>9.4500000000000001E-2</v>
      </c>
      <c r="F465" s="15">
        <v>7.0199999999999999E-2</v>
      </c>
      <c r="G465" s="15">
        <v>0.2331</v>
      </c>
      <c r="H465" s="15">
        <v>9.2799999999999994E-2</v>
      </c>
      <c r="I465" s="15">
        <v>9.1651125071432943E-2</v>
      </c>
    </row>
    <row r="466" spans="1:9" x14ac:dyDescent="0.2">
      <c r="A466" s="2" t="s">
        <v>1394</v>
      </c>
      <c r="B466" s="2" t="s">
        <v>1395</v>
      </c>
      <c r="C466" s="2" t="s">
        <v>1396</v>
      </c>
      <c r="D466" s="2" t="s">
        <v>10040</v>
      </c>
      <c r="E466" s="15">
        <v>-6.8699999999999997E-2</v>
      </c>
      <c r="F466" s="15">
        <v>8.5699999999999998E-2</v>
      </c>
      <c r="G466" s="15">
        <v>3.4599999999999999E-2</v>
      </c>
      <c r="H466" s="15">
        <v>8.0399999999999999E-2</v>
      </c>
      <c r="I466" s="15">
        <v>0.13010326573778061</v>
      </c>
    </row>
    <row r="467" spans="1:9" x14ac:dyDescent="0.2">
      <c r="A467" s="2" t="s">
        <v>1397</v>
      </c>
      <c r="B467" s="2" t="s">
        <v>1398</v>
      </c>
      <c r="C467" s="2" t="s">
        <v>1399</v>
      </c>
      <c r="D467" s="2" t="s">
        <v>10040</v>
      </c>
      <c r="E467" s="15">
        <v>9.1999999999999998E-2</v>
      </c>
      <c r="F467" s="15">
        <v>6.8900000000000003E-2</v>
      </c>
      <c r="G467" s="15">
        <v>0.1144</v>
      </c>
      <c r="H467" s="15">
        <v>9.0300000000000005E-2</v>
      </c>
      <c r="I467" s="15">
        <v>0.41199633878208308</v>
      </c>
    </row>
    <row r="468" spans="1:9" x14ac:dyDescent="0.2">
      <c r="A468" s="2" t="s">
        <v>1400</v>
      </c>
      <c r="B468" s="2" t="s">
        <v>1401</v>
      </c>
      <c r="C468" s="2" t="s">
        <v>1402</v>
      </c>
      <c r="D468" s="2" t="s">
        <v>10040</v>
      </c>
      <c r="E468" s="15">
        <v>-0.11550000000000001</v>
      </c>
      <c r="F468" s="15">
        <v>8.4000000000000005E-2</v>
      </c>
      <c r="G468" s="15">
        <v>-7.1199999999999999E-2</v>
      </c>
      <c r="H468" s="15">
        <v>7.7899999999999997E-2</v>
      </c>
      <c r="I468" s="15">
        <v>0.31761343338413928</v>
      </c>
    </row>
    <row r="469" spans="1:9" x14ac:dyDescent="0.2">
      <c r="A469" s="2" t="s">
        <v>1403</v>
      </c>
      <c r="B469" s="2" t="s">
        <v>1404</v>
      </c>
      <c r="C469" s="2" t="s">
        <v>1405</v>
      </c>
      <c r="D469" s="2" t="s">
        <v>10040</v>
      </c>
      <c r="E469" s="15">
        <v>2.6100000000000002E-2</v>
      </c>
      <c r="F469" s="15">
        <v>9.2200000000000004E-2</v>
      </c>
      <c r="G469" s="15">
        <v>1.3899999999999999E-2</v>
      </c>
      <c r="H469" s="15">
        <v>7.9200000000000007E-2</v>
      </c>
      <c r="I469" s="15">
        <v>0.44750952189894339</v>
      </c>
    </row>
    <row r="470" spans="1:9" x14ac:dyDescent="0.2">
      <c r="A470" s="2" t="s">
        <v>1406</v>
      </c>
      <c r="B470" s="2" t="s">
        <v>1407</v>
      </c>
      <c r="C470" s="2" t="s">
        <v>1408</v>
      </c>
      <c r="D470" s="2" t="s">
        <v>10040</v>
      </c>
      <c r="E470" s="15">
        <v>9.06E-2</v>
      </c>
      <c r="F470" s="15">
        <v>6.0900000000000003E-2</v>
      </c>
      <c r="G470" s="15">
        <v>1.3100000000000001E-2</v>
      </c>
      <c r="H470" s="15">
        <v>7.7899999999999997E-2</v>
      </c>
      <c r="I470" s="15">
        <v>0.18477758005582109</v>
      </c>
    </row>
    <row r="471" spans="1:9" x14ac:dyDescent="0.2">
      <c r="A471" s="2" t="s">
        <v>1409</v>
      </c>
      <c r="B471" s="2" t="s">
        <v>1410</v>
      </c>
      <c r="C471" s="2" t="s">
        <v>1411</v>
      </c>
      <c r="D471" s="2" t="s">
        <v>10040</v>
      </c>
      <c r="E471" s="15">
        <v>-7.1199999999999999E-2</v>
      </c>
      <c r="F471" s="15">
        <v>0.19620000000000001</v>
      </c>
      <c r="G471" s="15">
        <v>0.18099999999999999</v>
      </c>
      <c r="H471" s="15">
        <v>0.1239</v>
      </c>
      <c r="I471" s="15">
        <v>3.5034617599598077E-2</v>
      </c>
    </row>
    <row r="472" spans="1:9" x14ac:dyDescent="0.2">
      <c r="A472" s="2" t="s">
        <v>1412</v>
      </c>
      <c r="B472" s="2" t="s">
        <v>1413</v>
      </c>
      <c r="C472" s="2" t="s">
        <v>1414</v>
      </c>
      <c r="D472" s="2" t="s">
        <v>10040</v>
      </c>
      <c r="E472" s="15">
        <v>0.111</v>
      </c>
      <c r="F472" s="15">
        <v>7.9299999999999995E-2</v>
      </c>
      <c r="G472" s="15">
        <v>4.8300000000000003E-2</v>
      </c>
      <c r="H472" s="15">
        <v>8.7599999999999997E-2</v>
      </c>
      <c r="I472" s="15">
        <v>0.25758557721659819</v>
      </c>
    </row>
    <row r="473" spans="1:9" x14ac:dyDescent="0.2">
      <c r="A473" s="2" t="s">
        <v>1415</v>
      </c>
      <c r="B473" s="2" t="s">
        <v>1416</v>
      </c>
      <c r="C473" s="2" t="s">
        <v>1417</v>
      </c>
      <c r="D473" s="2" t="s">
        <v>10040</v>
      </c>
      <c r="E473" s="15">
        <v>9.8799999999999999E-2</v>
      </c>
      <c r="F473" s="15">
        <v>7.5300000000000006E-2</v>
      </c>
      <c r="G473" s="15">
        <v>0.1192</v>
      </c>
      <c r="H473" s="15">
        <v>8.9200000000000002E-2</v>
      </c>
      <c r="I473" s="15">
        <v>0.41647840643079997</v>
      </c>
    </row>
    <row r="474" spans="1:9" x14ac:dyDescent="0.2">
      <c r="A474" s="2" t="s">
        <v>1418</v>
      </c>
      <c r="B474" s="2" t="s">
        <v>1419</v>
      </c>
      <c r="C474" s="2" t="s">
        <v>1420</v>
      </c>
      <c r="D474" s="2" t="s">
        <v>10040</v>
      </c>
      <c r="E474" s="15">
        <v>0.318</v>
      </c>
      <c r="F474" s="15">
        <v>0.36430000000000001</v>
      </c>
      <c r="G474" s="15">
        <v>0.23860000000000001</v>
      </c>
      <c r="H474" s="15">
        <v>0.1217</v>
      </c>
      <c r="I474" s="15">
        <v>0.27719213551917798</v>
      </c>
    </row>
    <row r="475" spans="1:9" x14ac:dyDescent="0.2">
      <c r="A475" s="2" t="s">
        <v>1421</v>
      </c>
      <c r="B475" s="2" t="s">
        <v>1422</v>
      </c>
      <c r="C475" s="2" t="s">
        <v>1423</v>
      </c>
      <c r="D475" s="2" t="s">
        <v>10040</v>
      </c>
      <c r="E475" s="15">
        <v>7.0199999999999999E-2</v>
      </c>
      <c r="F475" s="15">
        <v>7.9000000000000001E-2</v>
      </c>
      <c r="G475" s="15">
        <v>0.16039999999999999</v>
      </c>
      <c r="H475" s="15">
        <v>9.5200000000000007E-2</v>
      </c>
      <c r="I475" s="15">
        <v>0.19738567219458511</v>
      </c>
    </row>
    <row r="476" spans="1:9" x14ac:dyDescent="0.2">
      <c r="A476" s="2" t="s">
        <v>1424</v>
      </c>
      <c r="B476" s="2" t="s">
        <v>1425</v>
      </c>
      <c r="C476" s="2" t="s">
        <v>1426</v>
      </c>
      <c r="D476" s="2" t="s">
        <v>10040</v>
      </c>
      <c r="E476" s="15">
        <v>-3.4799999999999998E-2</v>
      </c>
      <c r="F476" s="15">
        <v>0.10150000000000001</v>
      </c>
      <c r="G476" s="15">
        <v>0.1191</v>
      </c>
      <c r="H476" s="15">
        <v>9.69E-2</v>
      </c>
      <c r="I476" s="15">
        <v>7.5921547228988695E-2</v>
      </c>
    </row>
    <row r="477" spans="1:9" x14ac:dyDescent="0.2">
      <c r="A477" s="2" t="s">
        <v>1427</v>
      </c>
      <c r="B477" s="2" t="s">
        <v>1428</v>
      </c>
      <c r="C477" s="2" t="s">
        <v>1429</v>
      </c>
      <c r="D477" s="2" t="s">
        <v>10040</v>
      </c>
      <c r="E477" s="15">
        <v>5.04E-2</v>
      </c>
      <c r="F477" s="15">
        <v>8.0699999999999994E-2</v>
      </c>
      <c r="G477" s="15">
        <v>6.7299999999999999E-2</v>
      </c>
      <c r="H477" s="15">
        <v>0.1041</v>
      </c>
      <c r="I477" s="15">
        <v>0.44200064052596022</v>
      </c>
    </row>
    <row r="478" spans="1:9" x14ac:dyDescent="0.2">
      <c r="A478" s="2" t="s">
        <v>1430</v>
      </c>
      <c r="B478" s="2" t="s">
        <v>1431</v>
      </c>
      <c r="C478" s="2" t="s">
        <v>1432</v>
      </c>
      <c r="D478" s="2" t="s">
        <v>10040</v>
      </c>
      <c r="E478" s="15">
        <v>-7.5999999999999998E-2</v>
      </c>
      <c r="F478" s="15">
        <v>9.6600000000000005E-2</v>
      </c>
      <c r="G478" s="15">
        <v>4.7E-2</v>
      </c>
      <c r="H478" s="15">
        <v>9.35E-2</v>
      </c>
      <c r="I478" s="15">
        <v>0.13157775319247081</v>
      </c>
    </row>
    <row r="479" spans="1:9" x14ac:dyDescent="0.2">
      <c r="A479" s="2" t="s">
        <v>1433</v>
      </c>
      <c r="B479" s="2" t="s">
        <v>1434</v>
      </c>
      <c r="C479" s="2" t="s">
        <v>1435</v>
      </c>
      <c r="D479" s="2" t="s">
        <v>10040</v>
      </c>
      <c r="E479" s="15">
        <v>0.12790000000000001</v>
      </c>
      <c r="F479" s="15">
        <v>7.8100000000000003E-2</v>
      </c>
      <c r="G479" s="15">
        <v>6.2799999999999995E-2</v>
      </c>
      <c r="H479" s="15">
        <v>9.3200000000000005E-2</v>
      </c>
      <c r="I479" s="15">
        <v>0.26047611765774759</v>
      </c>
    </row>
    <row r="480" spans="1:9" x14ac:dyDescent="0.2">
      <c r="A480" s="2" t="s">
        <v>1436</v>
      </c>
      <c r="B480" s="2" t="s">
        <v>1437</v>
      </c>
      <c r="C480" s="2" t="s">
        <v>1438</v>
      </c>
      <c r="D480" s="2" t="s">
        <v>10040</v>
      </c>
      <c r="E480" s="15">
        <v>5.3499999999999999E-2</v>
      </c>
      <c r="F480" s="15">
        <v>7.4099999999999999E-2</v>
      </c>
      <c r="G480" s="15">
        <v>9.7699999999999995E-2</v>
      </c>
      <c r="H480" s="15">
        <v>6.9000000000000006E-2</v>
      </c>
      <c r="I480" s="15">
        <v>0.29224777379790878</v>
      </c>
    </row>
    <row r="481" spans="1:9" x14ac:dyDescent="0.2">
      <c r="A481" s="2" t="s">
        <v>1439</v>
      </c>
      <c r="B481" s="2" t="s">
        <v>1440</v>
      </c>
      <c r="C481" s="2" t="s">
        <v>1441</v>
      </c>
      <c r="D481" s="2" t="s">
        <v>10040</v>
      </c>
      <c r="E481" s="15">
        <v>4.9099999999999998E-2</v>
      </c>
      <c r="F481" s="15">
        <v>7.0300000000000001E-2</v>
      </c>
      <c r="G481" s="15">
        <v>5.5500000000000001E-2</v>
      </c>
      <c r="H481" s="15">
        <v>7.7399999999999997E-2</v>
      </c>
      <c r="I481" s="15">
        <v>0.47137889314703729</v>
      </c>
    </row>
    <row r="482" spans="1:9" x14ac:dyDescent="0.2">
      <c r="A482" s="2" t="s">
        <v>1442</v>
      </c>
      <c r="B482" s="2" t="s">
        <v>1443</v>
      </c>
      <c r="C482" s="2" t="s">
        <v>1444</v>
      </c>
      <c r="D482" s="2" t="s">
        <v>10040</v>
      </c>
      <c r="E482" s="15">
        <v>-0.15</v>
      </c>
      <c r="F482" s="15">
        <v>9.4700000000000006E-2</v>
      </c>
      <c r="G482" s="15">
        <v>2.5999999999999999E-2</v>
      </c>
      <c r="H482" s="15">
        <v>0.10630000000000001</v>
      </c>
      <c r="I482" s="15">
        <v>6.810801372754996E-2</v>
      </c>
    </row>
    <row r="483" spans="1:9" x14ac:dyDescent="0.2">
      <c r="A483" s="2" t="s">
        <v>1445</v>
      </c>
      <c r="B483" s="2" t="s">
        <v>1446</v>
      </c>
      <c r="C483" s="2" t="s">
        <v>1447</v>
      </c>
      <c r="D483" s="2" t="s">
        <v>10040</v>
      </c>
      <c r="E483" s="15">
        <v>-0.10340000000000001</v>
      </c>
      <c r="F483" s="15">
        <v>6.9400000000000003E-2</v>
      </c>
      <c r="G483" s="15">
        <v>4.53E-2</v>
      </c>
      <c r="H483" s="15">
        <v>8.2400000000000001E-2</v>
      </c>
      <c r="I483" s="15">
        <v>5.0319414370489722E-2</v>
      </c>
    </row>
    <row r="484" spans="1:9" x14ac:dyDescent="0.2">
      <c r="A484" s="2" t="s">
        <v>1448</v>
      </c>
      <c r="B484" s="2" t="s">
        <v>1449</v>
      </c>
      <c r="C484" s="2" t="s">
        <v>1450</v>
      </c>
      <c r="D484" s="2" t="s">
        <v>10040</v>
      </c>
      <c r="E484" s="15">
        <v>1.1900000000000001E-2</v>
      </c>
      <c r="F484" s="15">
        <v>7.8700000000000006E-2</v>
      </c>
      <c r="G484" s="15">
        <v>0.13220000000000001</v>
      </c>
      <c r="H484" s="15">
        <v>7.8899999999999998E-2</v>
      </c>
      <c r="I484" s="15">
        <v>9.0434128261947813E-2</v>
      </c>
    </row>
    <row r="485" spans="1:9" x14ac:dyDescent="0.2">
      <c r="A485" s="2" t="s">
        <v>1451</v>
      </c>
      <c r="B485" s="2" t="s">
        <v>1452</v>
      </c>
      <c r="C485" s="2" t="s">
        <v>1453</v>
      </c>
      <c r="D485" s="2" t="s">
        <v>10040</v>
      </c>
      <c r="E485" s="15">
        <v>4.65E-2</v>
      </c>
      <c r="F485" s="15">
        <v>8.1100000000000005E-2</v>
      </c>
      <c r="G485" s="15">
        <v>0.18</v>
      </c>
      <c r="H485" s="15">
        <v>0.1163</v>
      </c>
      <c r="I485" s="15">
        <v>0.14835291626963401</v>
      </c>
    </row>
    <row r="486" spans="1:9" x14ac:dyDescent="0.2">
      <c r="A486" s="2" t="s">
        <v>1454</v>
      </c>
      <c r="B486" s="2" t="s">
        <v>1455</v>
      </c>
      <c r="C486" s="2" t="s">
        <v>1456</v>
      </c>
      <c r="D486" s="2" t="s">
        <v>10040</v>
      </c>
      <c r="E486" s="15">
        <v>0.1091</v>
      </c>
      <c r="F486" s="15">
        <v>7.8100000000000003E-2</v>
      </c>
      <c r="G486" s="15">
        <v>7.4099999999999999E-2</v>
      </c>
      <c r="H486" s="15">
        <v>9.3899999999999997E-2</v>
      </c>
      <c r="I486" s="15">
        <v>0.37091252032244793</v>
      </c>
    </row>
    <row r="487" spans="1:9" x14ac:dyDescent="0.2">
      <c r="A487" s="2" t="s">
        <v>1457</v>
      </c>
      <c r="B487" s="2" t="s">
        <v>1458</v>
      </c>
      <c r="C487" s="2" t="s">
        <v>1459</v>
      </c>
      <c r="D487" s="2" t="s">
        <v>10040</v>
      </c>
      <c r="E487" s="15">
        <v>3.8899999999999997E-2</v>
      </c>
      <c r="F487" s="15">
        <v>8.5800000000000001E-2</v>
      </c>
      <c r="G487" s="15">
        <v>0.375</v>
      </c>
      <c r="H487" s="15">
        <v>0.19439999999999999</v>
      </c>
      <c r="I487" s="15">
        <v>4.9071876485887581E-2</v>
      </c>
    </row>
    <row r="488" spans="1:9" x14ac:dyDescent="0.2">
      <c r="A488" s="2" t="s">
        <v>1460</v>
      </c>
      <c r="B488" s="2" t="s">
        <v>1461</v>
      </c>
      <c r="C488" s="2" t="s">
        <v>1462</v>
      </c>
      <c r="D488" s="2" t="s">
        <v>10040</v>
      </c>
      <c r="E488" s="15">
        <v>0.2009</v>
      </c>
      <c r="F488" s="15">
        <v>8.5699999999999998E-2</v>
      </c>
      <c r="G488" s="15">
        <v>0.1774</v>
      </c>
      <c r="H488" s="15">
        <v>0.106</v>
      </c>
      <c r="I488" s="15">
        <v>0.42292739060135559</v>
      </c>
    </row>
    <row r="489" spans="1:9" x14ac:dyDescent="0.2">
      <c r="A489" s="2" t="s">
        <v>1463</v>
      </c>
      <c r="B489" s="2" t="s">
        <v>1464</v>
      </c>
      <c r="C489" s="2" t="s">
        <v>1465</v>
      </c>
      <c r="D489" s="2" t="s">
        <v>10040</v>
      </c>
      <c r="E489" s="15">
        <v>0.16250000000000001</v>
      </c>
      <c r="F489" s="15">
        <v>6.5600000000000006E-2</v>
      </c>
      <c r="G489" s="15">
        <v>-1.6999999999999999E-3</v>
      </c>
      <c r="H489" s="15">
        <v>7.0900000000000005E-2</v>
      </c>
      <c r="I489" s="15">
        <v>1.9742499572990398E-2</v>
      </c>
    </row>
    <row r="490" spans="1:9" x14ac:dyDescent="0.2">
      <c r="A490" s="2" t="s">
        <v>1466</v>
      </c>
      <c r="B490" s="2" t="s">
        <v>1467</v>
      </c>
      <c r="C490" s="2" t="s">
        <v>1468</v>
      </c>
      <c r="D490" s="2" t="s">
        <v>10040</v>
      </c>
      <c r="E490" s="15">
        <v>-6.7000000000000004E-2</v>
      </c>
      <c r="F490" s="15">
        <v>0.10680000000000001</v>
      </c>
      <c r="G490" s="15">
        <v>6.7900000000000002E-2</v>
      </c>
      <c r="H490" s="15">
        <v>0.1081</v>
      </c>
      <c r="I490" s="15">
        <v>0.1266256463260067</v>
      </c>
    </row>
    <row r="491" spans="1:9" x14ac:dyDescent="0.2">
      <c r="A491" s="2" t="s">
        <v>1469</v>
      </c>
      <c r="B491" s="2" t="s">
        <v>1470</v>
      </c>
      <c r="C491" s="2" t="s">
        <v>1471</v>
      </c>
      <c r="D491" s="2" t="s">
        <v>10040</v>
      </c>
      <c r="E491" s="15">
        <v>6.0600000000000001E-2</v>
      </c>
      <c r="F491" s="15">
        <v>0.1087</v>
      </c>
      <c r="G491" s="15">
        <v>8.3900000000000002E-2</v>
      </c>
      <c r="H491" s="15">
        <v>0.10440000000000001</v>
      </c>
      <c r="I491" s="15">
        <v>0.42182734787916731</v>
      </c>
    </row>
    <row r="492" spans="1:9" x14ac:dyDescent="0.2">
      <c r="A492" s="2" t="s">
        <v>1472</v>
      </c>
      <c r="B492" s="2" t="s">
        <v>1473</v>
      </c>
      <c r="C492" s="2" t="s">
        <v>1474</v>
      </c>
      <c r="D492" s="2" t="s">
        <v>10040</v>
      </c>
      <c r="E492" s="15">
        <v>-2.7699999999999999E-2</v>
      </c>
      <c r="F492" s="15">
        <v>8.2100000000000006E-2</v>
      </c>
      <c r="G492" s="15">
        <v>3.15E-2</v>
      </c>
      <c r="H492" s="15">
        <v>8.2699999999999996E-2</v>
      </c>
      <c r="I492" s="15">
        <v>0.2603477729918936</v>
      </c>
    </row>
    <row r="493" spans="1:9" x14ac:dyDescent="0.2">
      <c r="A493" s="2" t="s">
        <v>1475</v>
      </c>
      <c r="B493" s="2" t="s">
        <v>1476</v>
      </c>
      <c r="C493" s="2" t="s">
        <v>1477</v>
      </c>
      <c r="D493" s="2" t="s">
        <v>10040</v>
      </c>
      <c r="E493" s="15">
        <v>-7.3000000000000001E-3</v>
      </c>
      <c r="F493" s="15">
        <v>8.72E-2</v>
      </c>
      <c r="G493" s="15">
        <v>8.6800000000000002E-2</v>
      </c>
      <c r="H493" s="15">
        <v>6.7900000000000002E-2</v>
      </c>
      <c r="I493" s="15">
        <v>0.1216197023345353</v>
      </c>
    </row>
    <row r="494" spans="1:9" x14ac:dyDescent="0.2">
      <c r="A494" s="2" t="s">
        <v>1478</v>
      </c>
      <c r="B494" s="2" t="s">
        <v>1479</v>
      </c>
      <c r="C494" s="2" t="s">
        <v>1480</v>
      </c>
      <c r="D494" s="2" t="s">
        <v>10040</v>
      </c>
      <c r="E494" s="15">
        <v>1.0999999999999999E-2</v>
      </c>
      <c r="F494" s="15">
        <v>0.14979999999999999</v>
      </c>
      <c r="G494" s="15">
        <v>-2.46E-2</v>
      </c>
      <c r="H494" s="15">
        <v>0.1143</v>
      </c>
      <c r="I494" s="15">
        <v>0.39136066488254612</v>
      </c>
    </row>
    <row r="495" spans="1:9" x14ac:dyDescent="0.2">
      <c r="A495" s="2" t="s">
        <v>1481</v>
      </c>
      <c r="B495" s="2" t="s">
        <v>1482</v>
      </c>
      <c r="C495" s="2" t="s">
        <v>1483</v>
      </c>
      <c r="D495" s="2" t="s">
        <v>10040</v>
      </c>
      <c r="E495" s="15">
        <v>1.0699999999999999E-2</v>
      </c>
      <c r="F495" s="15">
        <v>7.4700000000000003E-2</v>
      </c>
      <c r="G495" s="15">
        <v>4.5699999999999998E-2</v>
      </c>
      <c r="H495" s="15">
        <v>8.1299999999999997E-2</v>
      </c>
      <c r="I495" s="15">
        <v>0.35328767862807869</v>
      </c>
    </row>
    <row r="496" spans="1:9" x14ac:dyDescent="0.2">
      <c r="A496" s="2" t="s">
        <v>1484</v>
      </c>
      <c r="B496" s="2" t="s">
        <v>1485</v>
      </c>
      <c r="C496" s="2" t="s">
        <v>1486</v>
      </c>
      <c r="D496" s="2" t="s">
        <v>10040</v>
      </c>
      <c r="E496" s="15">
        <v>0.10100000000000001</v>
      </c>
      <c r="F496" s="15">
        <v>7.8700000000000006E-2</v>
      </c>
      <c r="G496" s="15">
        <v>0.27260000000000001</v>
      </c>
      <c r="H496" s="15">
        <v>0.10489999999999999</v>
      </c>
      <c r="I496" s="15">
        <v>6.7807705552151071E-2</v>
      </c>
    </row>
    <row r="497" spans="1:9" x14ac:dyDescent="0.2">
      <c r="A497" s="2" t="s">
        <v>1487</v>
      </c>
      <c r="B497" s="2" t="s">
        <v>1488</v>
      </c>
      <c r="C497" s="2" t="s">
        <v>1489</v>
      </c>
      <c r="D497" s="2" t="s">
        <v>10040</v>
      </c>
      <c r="E497" s="15">
        <v>-6.2600000000000003E-2</v>
      </c>
      <c r="F497" s="15">
        <v>0.1181</v>
      </c>
      <c r="G497" s="15">
        <v>9.7199999999999995E-2</v>
      </c>
      <c r="H497" s="15">
        <v>7.5600000000000001E-2</v>
      </c>
      <c r="I497" s="15">
        <v>3.4177266122339997E-2</v>
      </c>
    </row>
    <row r="498" spans="1:9" x14ac:dyDescent="0.2">
      <c r="A498" s="2" t="s">
        <v>1490</v>
      </c>
      <c r="B498" s="2" t="s">
        <v>1491</v>
      </c>
      <c r="C498" s="2" t="s">
        <v>1492</v>
      </c>
      <c r="D498" s="2" t="s">
        <v>10040</v>
      </c>
      <c r="E498" s="15">
        <v>0.1721</v>
      </c>
      <c r="F498" s="15">
        <v>7.0300000000000001E-2</v>
      </c>
      <c r="G498" s="15">
        <v>0.14760000000000001</v>
      </c>
      <c r="H498" s="15">
        <v>9.1200000000000003E-2</v>
      </c>
      <c r="I498" s="15">
        <v>0.40485312929926009</v>
      </c>
    </row>
    <row r="499" spans="1:9" x14ac:dyDescent="0.2">
      <c r="A499" s="2" t="s">
        <v>1493</v>
      </c>
      <c r="B499" s="2" t="s">
        <v>1494</v>
      </c>
      <c r="C499" s="2" t="s">
        <v>1495</v>
      </c>
      <c r="D499" s="2" t="s">
        <v>10040</v>
      </c>
      <c r="E499" s="15">
        <v>3.5000000000000003E-2</v>
      </c>
      <c r="F499" s="15">
        <v>9.4E-2</v>
      </c>
      <c r="G499" s="15">
        <v>-3.3E-3</v>
      </c>
      <c r="H499" s="15">
        <v>0.1047</v>
      </c>
      <c r="I499" s="15">
        <v>0.36970017092272173</v>
      </c>
    </row>
    <row r="500" spans="1:9" x14ac:dyDescent="0.2">
      <c r="A500" s="2" t="s">
        <v>1496</v>
      </c>
      <c r="B500" s="2" t="s">
        <v>1497</v>
      </c>
      <c r="C500" s="2" t="s">
        <v>1498</v>
      </c>
      <c r="D500" s="2" t="s">
        <v>10040</v>
      </c>
      <c r="E500" s="15">
        <v>0.13469999999999999</v>
      </c>
      <c r="F500" s="15">
        <v>8.9599999999999999E-2</v>
      </c>
      <c r="G500" s="15">
        <v>-3.7000000000000002E-3</v>
      </c>
      <c r="H500" s="15">
        <v>8.9399999999999993E-2</v>
      </c>
      <c r="I500" s="15">
        <v>8.9678534256216011E-2</v>
      </c>
    </row>
    <row r="501" spans="1:9" x14ac:dyDescent="0.2">
      <c r="A501" s="2" t="s">
        <v>1499</v>
      </c>
      <c r="B501" s="2" t="s">
        <v>1500</v>
      </c>
      <c r="C501" s="2" t="s">
        <v>1501</v>
      </c>
      <c r="D501" s="2" t="s">
        <v>10040</v>
      </c>
      <c r="E501" s="15">
        <v>8.9399999999999993E-2</v>
      </c>
      <c r="F501" s="15">
        <v>5.8400000000000001E-2</v>
      </c>
      <c r="G501" s="15">
        <v>4.5900000000000003E-2</v>
      </c>
      <c r="H501" s="15">
        <v>8.2400000000000001E-2</v>
      </c>
      <c r="I501" s="15">
        <v>0.31575150828315368</v>
      </c>
    </row>
    <row r="502" spans="1:9" x14ac:dyDescent="0.2">
      <c r="A502" s="2" t="s">
        <v>1502</v>
      </c>
      <c r="B502" s="2" t="s">
        <v>1503</v>
      </c>
      <c r="C502" s="2" t="s">
        <v>1504</v>
      </c>
      <c r="D502" s="2" t="s">
        <v>10040</v>
      </c>
      <c r="E502" s="15">
        <v>2.9999999999999997E-4</v>
      </c>
      <c r="F502" s="15">
        <v>9.4100000000000003E-2</v>
      </c>
      <c r="G502" s="15">
        <v>0.1472</v>
      </c>
      <c r="H502" s="15">
        <v>8.6300000000000002E-2</v>
      </c>
      <c r="I502" s="15">
        <v>7.2012044848350748E-2</v>
      </c>
    </row>
    <row r="503" spans="1:9" x14ac:dyDescent="0.2">
      <c r="A503" s="2" t="s">
        <v>1505</v>
      </c>
      <c r="B503" s="2" t="s">
        <v>1506</v>
      </c>
      <c r="C503" s="2" t="s">
        <v>1507</v>
      </c>
      <c r="D503" s="2" t="s">
        <v>10040</v>
      </c>
      <c r="E503" s="15">
        <v>0.14829999999999999</v>
      </c>
      <c r="F503" s="15">
        <v>9.2899999999999996E-2</v>
      </c>
      <c r="G503" s="15">
        <v>-2.9899999999999999E-2</v>
      </c>
      <c r="H503" s="15">
        <v>0.1053</v>
      </c>
      <c r="I503" s="15">
        <v>6.920656465379027E-2</v>
      </c>
    </row>
    <row r="504" spans="1:9" x14ac:dyDescent="0.2">
      <c r="A504" s="2" t="s">
        <v>1508</v>
      </c>
      <c r="B504" s="2" t="s">
        <v>1509</v>
      </c>
      <c r="C504" s="2" t="s">
        <v>1510</v>
      </c>
      <c r="D504" s="2" t="s">
        <v>10040</v>
      </c>
      <c r="E504" s="15">
        <v>4.2000000000000003E-2</v>
      </c>
      <c r="F504" s="15">
        <v>8.9599999999999999E-2</v>
      </c>
      <c r="G504" s="15">
        <v>0.14910000000000001</v>
      </c>
      <c r="H504" s="15">
        <v>0.12280000000000001</v>
      </c>
      <c r="I504" s="15">
        <v>0.21239786068606731</v>
      </c>
    </row>
    <row r="505" spans="1:9" x14ac:dyDescent="0.2">
      <c r="A505" s="2" t="s">
        <v>1511</v>
      </c>
      <c r="B505" s="2" t="s">
        <v>1512</v>
      </c>
      <c r="C505" s="2" t="s">
        <v>1513</v>
      </c>
      <c r="D505" s="2" t="s">
        <v>10040</v>
      </c>
      <c r="E505" s="15">
        <v>0.14430000000000001</v>
      </c>
      <c r="F505" s="15">
        <v>9.8900000000000002E-2</v>
      </c>
      <c r="G505" s="15">
        <v>-4.0000000000000001E-3</v>
      </c>
      <c r="H505" s="15">
        <v>8.7599999999999997E-2</v>
      </c>
      <c r="I505" s="15">
        <v>6.8912764022824355E-2</v>
      </c>
    </row>
    <row r="506" spans="1:9" x14ac:dyDescent="0.2">
      <c r="A506" s="2" t="s">
        <v>1514</v>
      </c>
      <c r="B506" s="2" t="s">
        <v>1515</v>
      </c>
      <c r="C506" s="2" t="s">
        <v>1516</v>
      </c>
      <c r="D506" s="2" t="s">
        <v>10040</v>
      </c>
      <c r="E506" s="15">
        <v>-9.4999999999999998E-3</v>
      </c>
      <c r="F506" s="15">
        <v>0.10539999999999999</v>
      </c>
      <c r="G506" s="15">
        <v>0.28799999999999998</v>
      </c>
      <c r="H506" s="15">
        <v>0.2069</v>
      </c>
      <c r="I506" s="15">
        <v>8.5572196799705319E-2</v>
      </c>
    </row>
    <row r="507" spans="1:9" x14ac:dyDescent="0.2">
      <c r="A507" s="2" t="s">
        <v>1517</v>
      </c>
      <c r="B507" s="2" t="s">
        <v>1518</v>
      </c>
      <c r="C507" s="2" t="s">
        <v>1519</v>
      </c>
      <c r="D507" s="2" t="s">
        <v>10040</v>
      </c>
      <c r="E507" s="15">
        <v>6.7000000000000002E-3</v>
      </c>
      <c r="F507" s="15">
        <v>7.3099999999999998E-2</v>
      </c>
      <c r="G507" s="15">
        <v>-5.79E-2</v>
      </c>
      <c r="H507" s="15">
        <v>0.123</v>
      </c>
      <c r="I507" s="15">
        <v>0.31453291140905371</v>
      </c>
    </row>
    <row r="508" spans="1:9" x14ac:dyDescent="0.2">
      <c r="A508" s="2" t="s">
        <v>1520</v>
      </c>
      <c r="B508" s="2" t="s">
        <v>1521</v>
      </c>
      <c r="C508" s="2" t="s">
        <v>1522</v>
      </c>
      <c r="D508" s="2" t="s">
        <v>10040</v>
      </c>
      <c r="E508" s="15">
        <v>0.1109</v>
      </c>
      <c r="F508" s="15">
        <v>0.1618</v>
      </c>
      <c r="G508" s="15">
        <v>0.14549999999999999</v>
      </c>
      <c r="H508" s="15">
        <v>0.10680000000000001</v>
      </c>
      <c r="I508" s="15">
        <v>0.38550120465289212</v>
      </c>
    </row>
    <row r="509" spans="1:9" x14ac:dyDescent="0.2">
      <c r="A509" s="2" t="s">
        <v>1523</v>
      </c>
      <c r="B509" s="2" t="s">
        <v>1524</v>
      </c>
      <c r="C509" s="2" t="s">
        <v>1525</v>
      </c>
      <c r="D509" s="2" t="s">
        <v>10040</v>
      </c>
      <c r="E509" s="15">
        <v>-3.4099999999999998E-2</v>
      </c>
      <c r="F509" s="15">
        <v>9.4399999999999998E-2</v>
      </c>
      <c r="G509" s="15">
        <v>6.54E-2</v>
      </c>
      <c r="H509" s="15">
        <v>8.7599999999999997E-2</v>
      </c>
      <c r="I509" s="15">
        <v>0.16207108262083911</v>
      </c>
    </row>
    <row r="510" spans="1:9" x14ac:dyDescent="0.2">
      <c r="A510" s="2" t="s">
        <v>1526</v>
      </c>
      <c r="B510" s="2" t="s">
        <v>1527</v>
      </c>
      <c r="C510" s="2" t="s">
        <v>1528</v>
      </c>
      <c r="D510" s="2" t="s">
        <v>10040</v>
      </c>
      <c r="E510" s="15">
        <v>-5.5800000000000002E-2</v>
      </c>
      <c r="F510" s="15">
        <v>9.7799999999999998E-2</v>
      </c>
      <c r="G510" s="15">
        <v>0.12620000000000001</v>
      </c>
      <c r="H510" s="15">
        <v>8.0399999999999999E-2</v>
      </c>
      <c r="I510" s="15">
        <v>2.86658640528853E-2</v>
      </c>
    </row>
    <row r="511" spans="1:9" x14ac:dyDescent="0.2">
      <c r="A511" s="2" t="s">
        <v>1529</v>
      </c>
      <c r="B511" s="2" t="s">
        <v>1530</v>
      </c>
      <c r="C511" s="2" t="s">
        <v>1531</v>
      </c>
      <c r="D511" s="2" t="s">
        <v>10040</v>
      </c>
      <c r="E511" s="15">
        <v>7.6700000000000004E-2</v>
      </c>
      <c r="F511" s="15">
        <v>9.1399999999999995E-2</v>
      </c>
      <c r="G511" s="15">
        <v>-9.2999999999999992E-3</v>
      </c>
      <c r="H511" s="15">
        <v>9.5600000000000004E-2</v>
      </c>
      <c r="I511" s="15">
        <v>0.2150986540512799</v>
      </c>
    </row>
    <row r="512" spans="1:9" x14ac:dyDescent="0.2">
      <c r="A512" s="2" t="s">
        <v>1532</v>
      </c>
      <c r="B512" s="2" t="s">
        <v>1533</v>
      </c>
      <c r="C512" s="2" t="s">
        <v>1534</v>
      </c>
      <c r="D512" s="2" t="s">
        <v>10040</v>
      </c>
      <c r="E512" s="15">
        <v>0.1288</v>
      </c>
      <c r="F512" s="15">
        <v>5.9799999999999999E-2</v>
      </c>
      <c r="G512" s="15">
        <v>7.4999999999999997E-2</v>
      </c>
      <c r="H512" s="15">
        <v>7.4300000000000005E-2</v>
      </c>
      <c r="I512" s="15">
        <v>0.26211052486844799</v>
      </c>
    </row>
    <row r="513" spans="1:9" x14ac:dyDescent="0.2">
      <c r="A513" s="2" t="s">
        <v>1535</v>
      </c>
      <c r="B513" s="2" t="s">
        <v>1536</v>
      </c>
      <c r="C513" s="2" t="s">
        <v>1537</v>
      </c>
      <c r="D513" s="2" t="s">
        <v>10040</v>
      </c>
      <c r="E513" s="15">
        <v>-4.99E-2</v>
      </c>
      <c r="F513" s="15">
        <v>0.1103</v>
      </c>
      <c r="G513" s="15">
        <v>0.16270000000000001</v>
      </c>
      <c r="H513" s="15">
        <v>0.1893</v>
      </c>
      <c r="I513" s="15">
        <v>0.14221248479635451</v>
      </c>
    </row>
    <row r="514" spans="1:9" x14ac:dyDescent="0.2">
      <c r="A514" s="2" t="s">
        <v>1538</v>
      </c>
      <c r="B514" s="2" t="s">
        <v>1539</v>
      </c>
      <c r="C514" s="2" t="s">
        <v>1540</v>
      </c>
      <c r="D514" s="2" t="s">
        <v>10040</v>
      </c>
      <c r="E514" s="15">
        <v>0.20030000000000001</v>
      </c>
      <c r="F514" s="15">
        <v>0.33079999999999998</v>
      </c>
    </row>
    <row r="515" spans="1:9" x14ac:dyDescent="0.2">
      <c r="A515" s="2" t="s">
        <v>1541</v>
      </c>
      <c r="B515" s="2" t="s">
        <v>1542</v>
      </c>
      <c r="C515" s="2" t="s">
        <v>1543</v>
      </c>
      <c r="D515" s="2" t="s">
        <v>10040</v>
      </c>
      <c r="E515" s="15">
        <v>7.4200000000000002E-2</v>
      </c>
      <c r="F515" s="15">
        <v>9.7600000000000006E-2</v>
      </c>
      <c r="G515" s="15">
        <v>0.26129999999999998</v>
      </c>
      <c r="H515" s="15">
        <v>0.1399</v>
      </c>
      <c r="I515" s="15">
        <v>0.11202347660061809</v>
      </c>
    </row>
    <row r="516" spans="1:9" x14ac:dyDescent="0.2">
      <c r="A516" s="2" t="s">
        <v>1544</v>
      </c>
      <c r="B516" s="2" t="s">
        <v>1545</v>
      </c>
      <c r="C516" s="2" t="s">
        <v>1546</v>
      </c>
      <c r="D516" s="2" t="s">
        <v>10040</v>
      </c>
      <c r="E516" s="15">
        <v>9.01E-2</v>
      </c>
      <c r="F516" s="15">
        <v>6.93E-2</v>
      </c>
      <c r="G516" s="15">
        <v>8.5199999999999998E-2</v>
      </c>
      <c r="H516" s="15">
        <v>9.9500000000000005E-2</v>
      </c>
      <c r="I516" s="15">
        <v>0.48201811713402493</v>
      </c>
    </row>
    <row r="517" spans="1:9" x14ac:dyDescent="0.2">
      <c r="A517" s="2" t="s">
        <v>1547</v>
      </c>
      <c r="B517" s="2" t="s">
        <v>1548</v>
      </c>
      <c r="C517" s="2" t="s">
        <v>1549</v>
      </c>
      <c r="D517" s="2" t="s">
        <v>10040</v>
      </c>
      <c r="E517" s="15">
        <v>0.1077</v>
      </c>
      <c r="F517" s="15">
        <v>7.1999999999999995E-2</v>
      </c>
      <c r="G517" s="15">
        <v>0.2195</v>
      </c>
      <c r="H517" s="15">
        <v>0.10059999999999999</v>
      </c>
      <c r="I517" s="15">
        <v>0.15764839079403439</v>
      </c>
    </row>
    <row r="518" spans="1:9" x14ac:dyDescent="0.2">
      <c r="A518" s="2" t="s">
        <v>1550</v>
      </c>
      <c r="B518" s="2" t="s">
        <v>1551</v>
      </c>
      <c r="C518" s="2" t="s">
        <v>1552</v>
      </c>
      <c r="D518" s="2" t="s">
        <v>10040</v>
      </c>
      <c r="E518" s="15">
        <v>-1.7100000000000001E-2</v>
      </c>
      <c r="F518" s="15">
        <v>0.1125</v>
      </c>
      <c r="G518" s="15">
        <v>-3.7600000000000001E-2</v>
      </c>
      <c r="H518" s="15">
        <v>0.14580000000000001</v>
      </c>
      <c r="I518" s="15">
        <v>0.44681407545682761</v>
      </c>
    </row>
    <row r="519" spans="1:9" x14ac:dyDescent="0.2">
      <c r="A519" s="2" t="s">
        <v>1553</v>
      </c>
      <c r="B519" s="2" t="s">
        <v>1554</v>
      </c>
      <c r="C519" s="2" t="s">
        <v>1555</v>
      </c>
      <c r="D519" s="2" t="s">
        <v>10040</v>
      </c>
      <c r="E519" s="15">
        <v>0.1187</v>
      </c>
      <c r="F519" s="15">
        <v>6.5000000000000002E-2</v>
      </c>
      <c r="G519" s="15">
        <v>6.7000000000000004E-2</v>
      </c>
      <c r="H519" s="15">
        <v>8.7900000000000006E-2</v>
      </c>
      <c r="I519" s="15">
        <v>0.29732719088251103</v>
      </c>
    </row>
    <row r="520" spans="1:9" x14ac:dyDescent="0.2">
      <c r="A520" s="2" t="s">
        <v>1556</v>
      </c>
      <c r="B520" s="2" t="s">
        <v>1557</v>
      </c>
      <c r="C520" s="2" t="s">
        <v>1558</v>
      </c>
      <c r="D520" s="2" t="s">
        <v>10040</v>
      </c>
      <c r="E520" s="15">
        <v>0.1014</v>
      </c>
      <c r="F520" s="15">
        <v>8.8900000000000007E-2</v>
      </c>
      <c r="G520" s="15">
        <v>0.16950000000000001</v>
      </c>
      <c r="H520" s="15">
        <v>9.4799999999999995E-2</v>
      </c>
      <c r="I520" s="15">
        <v>0.26504749818107082</v>
      </c>
    </row>
    <row r="521" spans="1:9" x14ac:dyDescent="0.2">
      <c r="A521" s="2" t="s">
        <v>1559</v>
      </c>
      <c r="B521" s="2" t="s">
        <v>1560</v>
      </c>
      <c r="C521" s="2" t="s">
        <v>1561</v>
      </c>
      <c r="D521" s="2" t="s">
        <v>10040</v>
      </c>
      <c r="E521" s="15">
        <v>4.4499999999999998E-2</v>
      </c>
      <c r="F521" s="15">
        <v>8.1000000000000003E-2</v>
      </c>
      <c r="G521" s="15">
        <v>9.8599999999999993E-2</v>
      </c>
      <c r="H521" s="15">
        <v>7.8399999999999997E-2</v>
      </c>
      <c r="I521" s="15">
        <v>0.27509222947087392</v>
      </c>
    </row>
    <row r="522" spans="1:9" x14ac:dyDescent="0.2">
      <c r="A522" s="2" t="s">
        <v>1562</v>
      </c>
      <c r="B522" s="2" t="s">
        <v>1563</v>
      </c>
      <c r="C522" s="2" t="s">
        <v>1564</v>
      </c>
      <c r="D522" s="2" t="s">
        <v>10040</v>
      </c>
      <c r="E522" s="15">
        <v>6.2399999999999997E-2</v>
      </c>
      <c r="F522" s="15">
        <v>7.6799999999999993E-2</v>
      </c>
      <c r="G522" s="15">
        <v>3.7600000000000001E-2</v>
      </c>
      <c r="H522" s="15">
        <v>9.4600000000000004E-2</v>
      </c>
      <c r="I522" s="15">
        <v>0.40601856718922807</v>
      </c>
    </row>
    <row r="523" spans="1:9" x14ac:dyDescent="0.2">
      <c r="A523" s="2" t="s">
        <v>1565</v>
      </c>
      <c r="B523" s="2" t="s">
        <v>1566</v>
      </c>
      <c r="C523" s="2" t="s">
        <v>1567</v>
      </c>
      <c r="D523" s="2" t="s">
        <v>10040</v>
      </c>
      <c r="E523" s="15">
        <v>4.48E-2</v>
      </c>
      <c r="F523" s="15">
        <v>7.6600000000000001E-2</v>
      </c>
      <c r="G523" s="15">
        <v>-2.7000000000000001E-3</v>
      </c>
      <c r="H523" s="15">
        <v>7.9899999999999999E-2</v>
      </c>
      <c r="I523" s="15">
        <v>0.29993443474159381</v>
      </c>
    </row>
    <row r="524" spans="1:9" x14ac:dyDescent="0.2">
      <c r="A524" s="2" t="s">
        <v>1568</v>
      </c>
      <c r="B524" s="2" t="s">
        <v>1569</v>
      </c>
      <c r="C524" s="2" t="s">
        <v>1570</v>
      </c>
      <c r="D524" s="2" t="s">
        <v>10040</v>
      </c>
      <c r="E524" s="15">
        <v>0.15870000000000001</v>
      </c>
      <c r="F524" s="15">
        <v>7.7299999999999994E-2</v>
      </c>
      <c r="G524" s="15">
        <v>0.14069999999999999</v>
      </c>
      <c r="H524" s="15">
        <v>7.8E-2</v>
      </c>
      <c r="I524" s="15">
        <v>0.42191922061356091</v>
      </c>
    </row>
    <row r="525" spans="1:9" x14ac:dyDescent="0.2">
      <c r="A525" s="2" t="s">
        <v>1571</v>
      </c>
      <c r="B525" s="2" t="s">
        <v>1572</v>
      </c>
      <c r="C525" s="2" t="s">
        <v>1573</v>
      </c>
      <c r="D525" s="2" t="s">
        <v>10040</v>
      </c>
      <c r="E525" s="15">
        <v>6.4500000000000002E-2</v>
      </c>
      <c r="F525" s="15">
        <v>6.4299999999999996E-2</v>
      </c>
      <c r="G525" s="15">
        <v>0.21</v>
      </c>
      <c r="H525" s="15">
        <v>0.1023</v>
      </c>
      <c r="I525" s="15">
        <v>9.5602297067233388E-2</v>
      </c>
    </row>
    <row r="526" spans="1:9" x14ac:dyDescent="0.2">
      <c r="A526" s="2" t="s">
        <v>1574</v>
      </c>
      <c r="B526" s="2" t="s">
        <v>1575</v>
      </c>
      <c r="C526" s="2" t="s">
        <v>1576</v>
      </c>
      <c r="D526" s="2" t="s">
        <v>10040</v>
      </c>
      <c r="E526" s="15">
        <v>-2.0299999999999999E-2</v>
      </c>
      <c r="F526" s="15">
        <v>8.4599999999999995E-2</v>
      </c>
      <c r="G526" s="15">
        <v>0.1195</v>
      </c>
      <c r="H526" s="15">
        <v>0.1002</v>
      </c>
      <c r="I526" s="15">
        <v>0.10180695261083809</v>
      </c>
    </row>
    <row r="527" spans="1:9" x14ac:dyDescent="0.2">
      <c r="A527" s="2" t="s">
        <v>1577</v>
      </c>
      <c r="B527" s="2" t="s">
        <v>1578</v>
      </c>
      <c r="C527" s="2" t="s">
        <v>1579</v>
      </c>
      <c r="D527" s="2" t="s">
        <v>10040</v>
      </c>
      <c r="E527" s="15">
        <v>-0.10150000000000001</v>
      </c>
      <c r="F527" s="15">
        <v>7.4700000000000003E-2</v>
      </c>
      <c r="G527" s="15">
        <v>-4.7399999999999998E-2</v>
      </c>
      <c r="H527" s="15">
        <v>8.1500000000000003E-2</v>
      </c>
      <c r="I527" s="15">
        <v>0.28586664908689158</v>
      </c>
    </row>
    <row r="528" spans="1:9" x14ac:dyDescent="0.2">
      <c r="A528" s="2" t="s">
        <v>1580</v>
      </c>
      <c r="B528" s="2" t="s">
        <v>1581</v>
      </c>
      <c r="C528" s="2" t="s">
        <v>1582</v>
      </c>
      <c r="D528" s="2" t="s">
        <v>10040</v>
      </c>
      <c r="E528" s="15">
        <v>-7.8399999999999997E-2</v>
      </c>
      <c r="F528" s="15">
        <v>8.7999999999999995E-2</v>
      </c>
      <c r="G528" s="15">
        <v>8.4099999999999994E-2</v>
      </c>
      <c r="H528" s="15">
        <v>8.3699999999999997E-2</v>
      </c>
      <c r="I528" s="15">
        <v>4.4430538734454413E-2</v>
      </c>
    </row>
    <row r="529" spans="1:9" x14ac:dyDescent="0.2">
      <c r="A529" s="2" t="s">
        <v>1583</v>
      </c>
      <c r="B529" s="2" t="s">
        <v>1584</v>
      </c>
      <c r="C529" s="2" t="s">
        <v>1585</v>
      </c>
      <c r="D529" s="2" t="s">
        <v>10040</v>
      </c>
      <c r="E529" s="15">
        <v>-1.6999999999999999E-3</v>
      </c>
      <c r="F529" s="15">
        <v>9.7000000000000003E-2</v>
      </c>
      <c r="G529" s="15">
        <v>0.13120000000000001</v>
      </c>
      <c r="H529" s="15">
        <v>0.1336</v>
      </c>
      <c r="I529" s="15">
        <v>0.17800588869022191</v>
      </c>
    </row>
    <row r="530" spans="1:9" x14ac:dyDescent="0.2">
      <c r="A530" s="2" t="s">
        <v>1586</v>
      </c>
      <c r="B530" s="2" t="s">
        <v>1587</v>
      </c>
      <c r="C530" s="2" t="s">
        <v>1588</v>
      </c>
      <c r="D530" s="2" t="s">
        <v>10040</v>
      </c>
      <c r="E530" s="15">
        <v>0.1249</v>
      </c>
      <c r="F530" s="15">
        <v>6.4500000000000002E-2</v>
      </c>
      <c r="G530" s="15">
        <v>-3.1099999999999999E-2</v>
      </c>
      <c r="H530" s="15">
        <v>0.1109</v>
      </c>
      <c r="I530" s="15">
        <v>9.8657347439574244E-2</v>
      </c>
    </row>
    <row r="531" spans="1:9" x14ac:dyDescent="0.2">
      <c r="A531" s="2" t="s">
        <v>1589</v>
      </c>
      <c r="B531" s="2" t="s">
        <v>1590</v>
      </c>
      <c r="C531" s="2" t="s">
        <v>1591</v>
      </c>
      <c r="D531" s="2" t="s">
        <v>10040</v>
      </c>
      <c r="E531" s="15">
        <v>-5.4899999999999997E-2</v>
      </c>
      <c r="F531" s="15">
        <v>8.7999999999999995E-2</v>
      </c>
      <c r="G531" s="15">
        <v>0.1235</v>
      </c>
      <c r="H531" s="15">
        <v>8.4400000000000003E-2</v>
      </c>
      <c r="I531" s="15">
        <v>3.4632638556935311E-2</v>
      </c>
    </row>
    <row r="532" spans="1:9" x14ac:dyDescent="0.2">
      <c r="A532" s="2" t="s">
        <v>1592</v>
      </c>
      <c r="B532" s="2" t="s">
        <v>1593</v>
      </c>
      <c r="C532" s="2" t="s">
        <v>1594</v>
      </c>
      <c r="D532" s="2" t="s">
        <v>10040</v>
      </c>
      <c r="E532" s="15">
        <v>7.2099999999999997E-2</v>
      </c>
      <c r="F532" s="15">
        <v>8.7800000000000003E-2</v>
      </c>
      <c r="G532" s="15">
        <v>8.5900000000000004E-2</v>
      </c>
      <c r="H532" s="15">
        <v>0.12479999999999999</v>
      </c>
      <c r="I532" s="15">
        <v>0.46069592970447309</v>
      </c>
    </row>
    <row r="533" spans="1:9" x14ac:dyDescent="0.2">
      <c r="A533" s="2" t="s">
        <v>1595</v>
      </c>
      <c r="B533" s="2" t="s">
        <v>1596</v>
      </c>
      <c r="C533" s="2" t="s">
        <v>1597</v>
      </c>
      <c r="D533" s="2" t="s">
        <v>10040</v>
      </c>
      <c r="E533" s="15">
        <v>-9.2700000000000005E-2</v>
      </c>
      <c r="F533" s="15">
        <v>0.11600000000000001</v>
      </c>
      <c r="G533" s="15">
        <v>-4.58E-2</v>
      </c>
      <c r="H533" s="15">
        <v>0.1028</v>
      </c>
      <c r="I533" s="15">
        <v>0.34537344494377031</v>
      </c>
    </row>
    <row r="534" spans="1:9" x14ac:dyDescent="0.2">
      <c r="A534" s="2" t="s">
        <v>1598</v>
      </c>
      <c r="B534" s="2" t="s">
        <v>1599</v>
      </c>
      <c r="C534" s="2" t="s">
        <v>1600</v>
      </c>
      <c r="D534" s="2" t="s">
        <v>10040</v>
      </c>
      <c r="E534" s="15">
        <v>5.8200000000000002E-2</v>
      </c>
      <c r="F534" s="15">
        <v>8.9599999999999999E-2</v>
      </c>
      <c r="G534" s="15">
        <v>6.8999999999999999E-3</v>
      </c>
      <c r="H534" s="15">
        <v>8.3599999999999994E-2</v>
      </c>
      <c r="I534" s="15">
        <v>0.29749888444293121</v>
      </c>
    </row>
    <row r="535" spans="1:9" x14ac:dyDescent="0.2">
      <c r="A535" s="2" t="s">
        <v>1601</v>
      </c>
      <c r="B535" s="2" t="s">
        <v>1602</v>
      </c>
      <c r="C535" s="2" t="s">
        <v>1603</v>
      </c>
      <c r="D535" s="2" t="s">
        <v>10040</v>
      </c>
      <c r="E535" s="15">
        <v>5.4100000000000002E-2</v>
      </c>
      <c r="F535" s="15">
        <v>8.09E-2</v>
      </c>
      <c r="G535" s="15">
        <v>7.3099999999999998E-2</v>
      </c>
      <c r="H535" s="15">
        <v>7.5999999999999998E-2</v>
      </c>
      <c r="I535" s="15">
        <v>0.41478896964614931</v>
      </c>
    </row>
    <row r="536" spans="1:9" x14ac:dyDescent="0.2">
      <c r="A536" s="2" t="s">
        <v>1604</v>
      </c>
      <c r="B536" s="2" t="s">
        <v>1605</v>
      </c>
      <c r="C536" s="2" t="s">
        <v>1606</v>
      </c>
      <c r="D536" s="2" t="s">
        <v>10040</v>
      </c>
      <c r="E536" s="15">
        <v>0.37169999999999997</v>
      </c>
      <c r="F536" s="15">
        <v>0.31559999999999999</v>
      </c>
      <c r="G536" s="15">
        <v>0.17499999999999999</v>
      </c>
      <c r="H536" s="15">
        <v>9.6299999999999997E-2</v>
      </c>
      <c r="I536" s="15">
        <v>3.6833416593299563E-2</v>
      </c>
    </row>
    <row r="537" spans="1:9" x14ac:dyDescent="0.2">
      <c r="A537" s="2" t="s">
        <v>1607</v>
      </c>
      <c r="B537" s="2" t="s">
        <v>1608</v>
      </c>
      <c r="C537" s="2" t="s">
        <v>1609</v>
      </c>
      <c r="D537" s="2" t="s">
        <v>10040</v>
      </c>
      <c r="E537" s="15">
        <v>-4.1000000000000002E-2</v>
      </c>
      <c r="F537" s="15">
        <v>0.1038</v>
      </c>
      <c r="G537" s="15">
        <v>-9.4700000000000006E-2</v>
      </c>
      <c r="H537" s="15">
        <v>0.27760000000000001</v>
      </c>
      <c r="I537" s="15">
        <v>0.42536675310696498</v>
      </c>
    </row>
    <row r="538" spans="1:9" x14ac:dyDescent="0.2">
      <c r="A538" s="2" t="s">
        <v>1610</v>
      </c>
      <c r="B538" s="2" t="s">
        <v>1611</v>
      </c>
      <c r="C538" s="2" t="s">
        <v>1612</v>
      </c>
      <c r="D538" s="2" t="s">
        <v>10040</v>
      </c>
      <c r="E538" s="15">
        <v>2.98E-2</v>
      </c>
      <c r="F538" s="15">
        <v>9.4399999999999998E-2</v>
      </c>
      <c r="G538" s="15">
        <v>0.1021</v>
      </c>
      <c r="H538" s="15">
        <v>9.1200000000000003E-2</v>
      </c>
      <c r="I538" s="15">
        <v>0.23894808362258599</v>
      </c>
    </row>
    <row r="539" spans="1:9" x14ac:dyDescent="0.2">
      <c r="A539" s="2" t="s">
        <v>1613</v>
      </c>
      <c r="B539" s="2" t="s">
        <v>1614</v>
      </c>
      <c r="C539" s="2" t="s">
        <v>1615</v>
      </c>
      <c r="D539" s="2" t="s">
        <v>10040</v>
      </c>
      <c r="E539" s="15">
        <v>-1.46E-2</v>
      </c>
      <c r="F539" s="15">
        <v>8.0100000000000005E-2</v>
      </c>
      <c r="G539" s="15">
        <v>0.1225</v>
      </c>
      <c r="H539" s="15">
        <v>0.12520000000000001</v>
      </c>
      <c r="I539" s="15">
        <v>0.1510195291693382</v>
      </c>
    </row>
    <row r="540" spans="1:9" x14ac:dyDescent="0.2">
      <c r="A540" s="2" t="s">
        <v>1616</v>
      </c>
      <c r="B540" s="2" t="s">
        <v>1617</v>
      </c>
      <c r="C540" s="2" t="s">
        <v>1618</v>
      </c>
      <c r="D540" s="2" t="s">
        <v>10040</v>
      </c>
      <c r="E540" s="15">
        <v>-3.4500000000000003E-2</v>
      </c>
      <c r="F540" s="15">
        <v>0.13780000000000001</v>
      </c>
      <c r="G540" s="15">
        <v>0.16389999999999999</v>
      </c>
      <c r="H540" s="15">
        <v>0.12989999999999999</v>
      </c>
      <c r="I540" s="15">
        <v>0.1321459135233157</v>
      </c>
    </row>
    <row r="541" spans="1:9" x14ac:dyDescent="0.2">
      <c r="A541" s="2" t="s">
        <v>1619</v>
      </c>
      <c r="B541" s="2" t="s">
        <v>1620</v>
      </c>
      <c r="C541" s="2" t="s">
        <v>1621</v>
      </c>
      <c r="D541" s="2" t="s">
        <v>10040</v>
      </c>
      <c r="E541" s="15">
        <v>3.7000000000000002E-3</v>
      </c>
      <c r="F541" s="15">
        <v>0.1487</v>
      </c>
    </row>
    <row r="542" spans="1:9" x14ac:dyDescent="0.2">
      <c r="A542" s="2" t="s">
        <v>1622</v>
      </c>
      <c r="B542" s="2" t="s">
        <v>1623</v>
      </c>
      <c r="C542" s="2" t="s">
        <v>1624</v>
      </c>
      <c r="D542" s="2" t="s">
        <v>10040</v>
      </c>
      <c r="E542" s="15">
        <v>1.6999999999999999E-3</v>
      </c>
      <c r="F542" s="15">
        <v>8.6099999999999996E-2</v>
      </c>
      <c r="G542" s="15">
        <v>-3.6799999999999999E-2</v>
      </c>
      <c r="H542" s="15">
        <v>7.9200000000000007E-2</v>
      </c>
      <c r="I542" s="15">
        <v>0.34008857739293702</v>
      </c>
    </row>
    <row r="543" spans="1:9" x14ac:dyDescent="0.2">
      <c r="A543" s="2" t="s">
        <v>1625</v>
      </c>
      <c r="B543" s="2" t="s">
        <v>1626</v>
      </c>
      <c r="C543" s="2" t="s">
        <v>1627</v>
      </c>
      <c r="D543" s="2" t="s">
        <v>10040</v>
      </c>
      <c r="E543" s="15">
        <v>0.18820000000000001</v>
      </c>
      <c r="F543" s="15">
        <v>8.7900000000000006E-2</v>
      </c>
      <c r="G543" s="15">
        <v>5.6500000000000002E-2</v>
      </c>
      <c r="H543" s="15">
        <v>0.1182</v>
      </c>
      <c r="I543" s="15">
        <v>0.15277218611831811</v>
      </c>
    </row>
    <row r="544" spans="1:9" x14ac:dyDescent="0.2">
      <c r="A544" s="2" t="s">
        <v>1628</v>
      </c>
      <c r="B544" s="2" t="s">
        <v>1629</v>
      </c>
      <c r="C544" s="2" t="s">
        <v>1630</v>
      </c>
      <c r="D544" s="2" t="s">
        <v>10040</v>
      </c>
      <c r="E544" s="15">
        <v>0.1047</v>
      </c>
      <c r="F544" s="15">
        <v>8.8999999999999996E-2</v>
      </c>
      <c r="G544" s="15">
        <v>3.9199999999999999E-2</v>
      </c>
      <c r="H544" s="15">
        <v>0.112</v>
      </c>
      <c r="I544" s="15">
        <v>0.30363567184986062</v>
      </c>
    </row>
    <row r="545" spans="1:9" x14ac:dyDescent="0.2">
      <c r="A545" s="2" t="s">
        <v>1631</v>
      </c>
      <c r="B545" s="2" t="s">
        <v>1632</v>
      </c>
      <c r="C545" s="2" t="s">
        <v>1633</v>
      </c>
      <c r="D545" s="2" t="s">
        <v>10040</v>
      </c>
      <c r="E545" s="15">
        <v>0.10589999999999999</v>
      </c>
      <c r="F545" s="15">
        <v>6.0900000000000003E-2</v>
      </c>
      <c r="G545" s="15">
        <v>-4.8000000000000001E-2</v>
      </c>
      <c r="H545" s="15">
        <v>8.9099999999999999E-2</v>
      </c>
      <c r="I545" s="15">
        <v>5.6124313888838651E-2</v>
      </c>
    </row>
    <row r="546" spans="1:9" x14ac:dyDescent="0.2">
      <c r="A546" s="2" t="s">
        <v>1634</v>
      </c>
      <c r="B546" s="2" t="s">
        <v>1635</v>
      </c>
      <c r="C546" s="2" t="s">
        <v>1636</v>
      </c>
      <c r="D546" s="2" t="s">
        <v>10040</v>
      </c>
      <c r="E546" s="15">
        <v>0.1026</v>
      </c>
      <c r="F546" s="15">
        <v>8.3199999999999996E-2</v>
      </c>
      <c r="G546" s="15">
        <v>-7.0900000000000005E-2</v>
      </c>
      <c r="H546" s="15">
        <v>0.1067</v>
      </c>
      <c r="I546" s="15">
        <v>7.0170111730973081E-2</v>
      </c>
    </row>
    <row r="547" spans="1:9" x14ac:dyDescent="0.2">
      <c r="A547" s="2" t="s">
        <v>1637</v>
      </c>
      <c r="B547" s="2" t="s">
        <v>1638</v>
      </c>
      <c r="C547" s="2" t="s">
        <v>1639</v>
      </c>
      <c r="D547" s="2" t="s">
        <v>10040</v>
      </c>
      <c r="E547" s="15">
        <v>2.93E-2</v>
      </c>
      <c r="F547" s="15">
        <v>8.4500000000000006E-2</v>
      </c>
      <c r="G547" s="15">
        <v>0.20810000000000001</v>
      </c>
      <c r="H547" s="15">
        <v>0.1014</v>
      </c>
      <c r="I547" s="15">
        <v>5.7236992312363448E-2</v>
      </c>
    </row>
    <row r="548" spans="1:9" x14ac:dyDescent="0.2">
      <c r="A548" s="2" t="s">
        <v>1640</v>
      </c>
      <c r="B548" s="2" t="s">
        <v>1641</v>
      </c>
      <c r="C548" s="2" t="s">
        <v>1642</v>
      </c>
      <c r="D548" s="2" t="s">
        <v>10040</v>
      </c>
      <c r="E548" s="15">
        <v>9.5200000000000007E-2</v>
      </c>
      <c r="F548" s="15">
        <v>0.09</v>
      </c>
      <c r="G548" s="15">
        <v>6.8400000000000002E-2</v>
      </c>
      <c r="H548" s="15">
        <v>9.4899999999999998E-2</v>
      </c>
      <c r="I548" s="15">
        <v>0.40549437341916023</v>
      </c>
    </row>
    <row r="549" spans="1:9" x14ac:dyDescent="0.2">
      <c r="A549" s="2" t="s">
        <v>1643</v>
      </c>
      <c r="B549" s="2" t="s">
        <v>1644</v>
      </c>
      <c r="C549" s="2" t="s">
        <v>1645</v>
      </c>
      <c r="D549" s="2" t="s">
        <v>10040</v>
      </c>
      <c r="E549" s="15">
        <v>0.1782</v>
      </c>
      <c r="F549" s="15">
        <v>8.2699999999999996E-2</v>
      </c>
      <c r="G549" s="15">
        <v>-1.6999999999999999E-3</v>
      </c>
      <c r="H549" s="15">
        <v>0.1075</v>
      </c>
      <c r="I549" s="15">
        <v>6.298476469041199E-2</v>
      </c>
    </row>
    <row r="550" spans="1:9" x14ac:dyDescent="0.2">
      <c r="A550" s="2" t="s">
        <v>1646</v>
      </c>
      <c r="B550" s="2" t="s">
        <v>1647</v>
      </c>
      <c r="C550" s="2" t="s">
        <v>1648</v>
      </c>
      <c r="D550" s="2" t="s">
        <v>10040</v>
      </c>
      <c r="E550" s="15">
        <v>8.2699999999999996E-2</v>
      </c>
      <c r="F550" s="15">
        <v>9.0999999999999998E-2</v>
      </c>
      <c r="G550" s="15">
        <v>9.8900000000000002E-2</v>
      </c>
      <c r="H550" s="15">
        <v>9.8000000000000004E-2</v>
      </c>
      <c r="I550" s="15">
        <v>0.44146798328899628</v>
      </c>
    </row>
    <row r="551" spans="1:9" x14ac:dyDescent="0.2">
      <c r="A551" s="2" t="s">
        <v>1649</v>
      </c>
      <c r="B551" s="2" t="s">
        <v>1650</v>
      </c>
      <c r="C551" s="2" t="s">
        <v>1651</v>
      </c>
      <c r="D551" s="2" t="s">
        <v>10040</v>
      </c>
      <c r="E551" s="15">
        <v>0.114</v>
      </c>
      <c r="F551" s="15">
        <v>0.1011</v>
      </c>
      <c r="G551" s="15">
        <v>8.7400000000000005E-2</v>
      </c>
      <c r="H551" s="15">
        <v>8.9800000000000005E-2</v>
      </c>
      <c r="I551" s="15">
        <v>0.39813088439047151</v>
      </c>
    </row>
    <row r="552" spans="1:9" x14ac:dyDescent="0.2">
      <c r="A552" s="2" t="s">
        <v>1652</v>
      </c>
      <c r="B552" s="2" t="s">
        <v>1653</v>
      </c>
      <c r="C552" s="2" t="s">
        <v>1654</v>
      </c>
      <c r="D552" s="2" t="s">
        <v>10040</v>
      </c>
      <c r="E552" s="15">
        <v>-0.24099999999999999</v>
      </c>
      <c r="F552" s="15">
        <v>0.10879999999999999</v>
      </c>
      <c r="G552" s="15">
        <v>0.129</v>
      </c>
      <c r="H552" s="15">
        <v>0.1447</v>
      </c>
      <c r="I552" s="15">
        <v>9.274950743072715E-3</v>
      </c>
    </row>
    <row r="553" spans="1:9" x14ac:dyDescent="0.2">
      <c r="A553" s="2" t="s">
        <v>1655</v>
      </c>
      <c r="B553" s="2" t="s">
        <v>1656</v>
      </c>
      <c r="C553" s="2" t="s">
        <v>1657</v>
      </c>
      <c r="D553" s="2" t="s">
        <v>10040</v>
      </c>
      <c r="E553" s="15">
        <v>3.4799999999999998E-2</v>
      </c>
      <c r="F553" s="15">
        <v>9.4E-2</v>
      </c>
      <c r="G553" s="15">
        <v>0.60050000000000003</v>
      </c>
      <c r="H553" s="15">
        <v>0.82150000000000001</v>
      </c>
      <c r="I553" s="15">
        <v>0.24596150338216069</v>
      </c>
    </row>
    <row r="554" spans="1:9" x14ac:dyDescent="0.2">
      <c r="A554" s="2" t="s">
        <v>1658</v>
      </c>
      <c r="B554" s="2" t="s">
        <v>1659</v>
      </c>
      <c r="C554" s="2" t="s">
        <v>1660</v>
      </c>
      <c r="D554" s="2" t="s">
        <v>10040</v>
      </c>
      <c r="E554" s="15">
        <v>-3.5799999999999998E-2</v>
      </c>
      <c r="F554" s="15">
        <v>0.1187</v>
      </c>
      <c r="G554" s="15">
        <v>5.6500000000000002E-2</v>
      </c>
      <c r="H554" s="15">
        <v>8.6599999999999996E-2</v>
      </c>
      <c r="I554" s="15">
        <v>0.19268685808223629</v>
      </c>
    </row>
    <row r="555" spans="1:9" x14ac:dyDescent="0.2">
      <c r="A555" s="2" t="s">
        <v>1661</v>
      </c>
      <c r="B555" s="2" t="s">
        <v>1662</v>
      </c>
      <c r="C555" s="2" t="s">
        <v>1663</v>
      </c>
      <c r="D555" s="2" t="s">
        <v>10040</v>
      </c>
      <c r="E555" s="15">
        <v>9.2999999999999992E-3</v>
      </c>
      <c r="F555" s="15">
        <v>0.13880000000000001</v>
      </c>
      <c r="G555" s="15">
        <v>0.12280000000000001</v>
      </c>
      <c r="H555" s="15">
        <v>0.1082</v>
      </c>
      <c r="I555" s="15">
        <v>0.17816196765201819</v>
      </c>
    </row>
    <row r="556" spans="1:9" x14ac:dyDescent="0.2">
      <c r="A556" s="2" t="s">
        <v>1664</v>
      </c>
      <c r="B556" s="2" t="s">
        <v>1665</v>
      </c>
      <c r="C556" s="2" t="s">
        <v>1666</v>
      </c>
      <c r="D556" s="2" t="s">
        <v>10040</v>
      </c>
      <c r="G556" s="15">
        <v>-5.8400000000000001E-2</v>
      </c>
      <c r="H556" s="15">
        <v>0.12970000000000001</v>
      </c>
    </row>
    <row r="557" spans="1:9" x14ac:dyDescent="0.2">
      <c r="A557" s="2" t="s">
        <v>1667</v>
      </c>
      <c r="B557" s="2" t="s">
        <v>1668</v>
      </c>
      <c r="C557" s="2" t="s">
        <v>1669</v>
      </c>
      <c r="D557" s="2" t="s">
        <v>10040</v>
      </c>
      <c r="E557" s="15">
        <v>-1.1000000000000001E-3</v>
      </c>
      <c r="F557" s="15">
        <v>9.1200000000000003E-2</v>
      </c>
      <c r="G557" s="15">
        <v>-3.3500000000000002E-2</v>
      </c>
      <c r="H557" s="15">
        <v>0.109</v>
      </c>
      <c r="I557" s="15">
        <v>0.39517103950651827</v>
      </c>
    </row>
    <row r="558" spans="1:9" x14ac:dyDescent="0.2">
      <c r="A558" s="2" t="s">
        <v>1670</v>
      </c>
      <c r="B558" s="2" t="s">
        <v>1671</v>
      </c>
      <c r="C558" s="2" t="s">
        <v>1672</v>
      </c>
      <c r="D558" s="2" t="s">
        <v>10040</v>
      </c>
      <c r="E558" s="15">
        <v>-3.6499999999999998E-2</v>
      </c>
      <c r="F558" s="15">
        <v>0.1157</v>
      </c>
      <c r="G558" s="15">
        <v>-4.2700000000000002E-2</v>
      </c>
      <c r="H558" s="15">
        <v>0.1158</v>
      </c>
      <c r="I558" s="15">
        <v>0.48052254175122661</v>
      </c>
    </row>
    <row r="559" spans="1:9" x14ac:dyDescent="0.2">
      <c r="A559" s="2" t="s">
        <v>1673</v>
      </c>
      <c r="B559" s="2" t="s">
        <v>1674</v>
      </c>
      <c r="C559" s="2" t="s">
        <v>1675</v>
      </c>
      <c r="D559" s="2" t="s">
        <v>10040</v>
      </c>
      <c r="E559" s="15">
        <v>4.5999999999999999E-3</v>
      </c>
      <c r="F559" s="15">
        <v>0.1502</v>
      </c>
      <c r="G559" s="15">
        <v>0.12609999999999999</v>
      </c>
      <c r="H559" s="15">
        <v>0.14749999999999999</v>
      </c>
      <c r="I559" s="15">
        <v>0.2235957277966143</v>
      </c>
    </row>
    <row r="560" spans="1:9" x14ac:dyDescent="0.2">
      <c r="A560" s="2" t="s">
        <v>1676</v>
      </c>
      <c r="B560" s="2" t="s">
        <v>1677</v>
      </c>
      <c r="C560" s="2" t="s">
        <v>1678</v>
      </c>
      <c r="D560" s="2" t="s">
        <v>10040</v>
      </c>
      <c r="E560" s="15">
        <v>-0.1206</v>
      </c>
      <c r="F560" s="15">
        <v>0.16789999999999999</v>
      </c>
      <c r="G560" s="15">
        <v>0.121</v>
      </c>
      <c r="H560" s="15">
        <v>0.13739999999999999</v>
      </c>
      <c r="I560" s="15">
        <v>8.6911697467970755E-2</v>
      </c>
    </row>
    <row r="561" spans="1:9" x14ac:dyDescent="0.2">
      <c r="A561" s="2" t="s">
        <v>1679</v>
      </c>
      <c r="B561" s="2" t="s">
        <v>1680</v>
      </c>
      <c r="C561" s="2" t="s">
        <v>1681</v>
      </c>
      <c r="D561" s="2" t="s">
        <v>10040</v>
      </c>
      <c r="E561" s="15">
        <v>-0.1032</v>
      </c>
      <c r="F561" s="15">
        <v>9.1499999999999998E-2</v>
      </c>
      <c r="G561" s="15">
        <v>1.23E-2</v>
      </c>
      <c r="H561" s="15">
        <v>0.1026</v>
      </c>
      <c r="I561" s="15">
        <v>0.1653788296691204</v>
      </c>
    </row>
    <row r="562" spans="1:9" x14ac:dyDescent="0.2">
      <c r="A562" s="2" t="s">
        <v>1682</v>
      </c>
      <c r="B562" s="2" t="s">
        <v>1683</v>
      </c>
      <c r="C562" s="2" t="s">
        <v>1684</v>
      </c>
      <c r="D562" s="2" t="s">
        <v>10040</v>
      </c>
      <c r="E562" s="15">
        <v>-8.43E-2</v>
      </c>
      <c r="F562" s="15">
        <v>0.1215</v>
      </c>
      <c r="G562" s="15">
        <v>3.7600000000000001E-2</v>
      </c>
      <c r="H562" s="15">
        <v>9.8000000000000004E-2</v>
      </c>
      <c r="I562" s="15">
        <v>0.14394321933135801</v>
      </c>
    </row>
    <row r="563" spans="1:9" x14ac:dyDescent="0.2">
      <c r="A563" s="2" t="s">
        <v>1685</v>
      </c>
      <c r="B563" s="2" t="s">
        <v>1686</v>
      </c>
      <c r="C563" s="2" t="s">
        <v>1687</v>
      </c>
      <c r="D563" s="2" t="s">
        <v>10040</v>
      </c>
      <c r="E563" s="15">
        <v>0.32890000000000003</v>
      </c>
      <c r="F563" s="15">
        <v>0.2072</v>
      </c>
      <c r="G563" s="15">
        <v>0.24099999999999999</v>
      </c>
      <c r="H563" s="15">
        <v>0.46229999999999999</v>
      </c>
      <c r="I563" s="15">
        <v>0.42617984479868348</v>
      </c>
    </row>
    <row r="564" spans="1:9" x14ac:dyDescent="0.2">
      <c r="A564" s="2" t="s">
        <v>1688</v>
      </c>
      <c r="B564" s="2" t="s">
        <v>1689</v>
      </c>
      <c r="C564" s="2" t="s">
        <v>1690</v>
      </c>
      <c r="D564" s="2" t="s">
        <v>10040</v>
      </c>
      <c r="E564" s="15">
        <v>3.1199999999999999E-2</v>
      </c>
      <c r="F564" s="15">
        <v>8.43E-2</v>
      </c>
      <c r="G564" s="15">
        <v>-7.3099999999999998E-2</v>
      </c>
      <c r="H564" s="15">
        <v>9.9699999999999997E-2</v>
      </c>
      <c r="I564" s="15">
        <v>0.17476356337962379</v>
      </c>
    </row>
    <row r="565" spans="1:9" x14ac:dyDescent="0.2">
      <c r="A565" s="2" t="s">
        <v>1691</v>
      </c>
      <c r="B565" s="2" t="s">
        <v>1692</v>
      </c>
      <c r="C565" s="2" t="s">
        <v>1693</v>
      </c>
      <c r="D565" s="2" t="s">
        <v>10040</v>
      </c>
      <c r="E565" s="15">
        <v>-3.56E-2</v>
      </c>
      <c r="F565" s="15">
        <v>7.7399999999999997E-2</v>
      </c>
      <c r="G565" s="15">
        <v>0.1045</v>
      </c>
      <c r="H565" s="15">
        <v>7.3099999999999998E-2</v>
      </c>
      <c r="I565" s="15">
        <v>5.3580287266619189E-2</v>
      </c>
    </row>
    <row r="566" spans="1:9" x14ac:dyDescent="0.2">
      <c r="A566" s="2" t="s">
        <v>1694</v>
      </c>
      <c r="B566" s="2" t="s">
        <v>1695</v>
      </c>
      <c r="C566" s="2" t="s">
        <v>1696</v>
      </c>
      <c r="D566" s="2" t="s">
        <v>10040</v>
      </c>
      <c r="E566" s="15">
        <v>6.3899999999999998E-2</v>
      </c>
      <c r="F566" s="15">
        <v>8.0100000000000005E-2</v>
      </c>
      <c r="G566" s="15">
        <v>0.2382</v>
      </c>
      <c r="H566" s="15">
        <v>8.5400000000000004E-2</v>
      </c>
      <c r="I566" s="15">
        <v>3.2951306749113882E-2</v>
      </c>
    </row>
    <row r="567" spans="1:9" x14ac:dyDescent="0.2">
      <c r="A567" s="2" t="s">
        <v>1697</v>
      </c>
      <c r="B567" s="2" t="s">
        <v>1698</v>
      </c>
      <c r="C567" s="2" t="s">
        <v>1699</v>
      </c>
      <c r="D567" s="2" t="s">
        <v>10040</v>
      </c>
      <c r="E567" s="15">
        <v>-0.17910000000000001</v>
      </c>
      <c r="F567" s="15">
        <v>0.1424</v>
      </c>
      <c r="G567" s="15">
        <v>-5.6099999999999997E-2</v>
      </c>
      <c r="H567" s="15">
        <v>8.48E-2</v>
      </c>
      <c r="I567" s="15">
        <v>0.1152257322519331</v>
      </c>
    </row>
    <row r="568" spans="1:9" x14ac:dyDescent="0.2">
      <c r="A568" s="2" t="s">
        <v>1700</v>
      </c>
      <c r="B568" s="2" t="s">
        <v>1701</v>
      </c>
      <c r="C568" s="2" t="s">
        <v>1702</v>
      </c>
      <c r="D568" s="2" t="s">
        <v>10040</v>
      </c>
      <c r="E568" s="15">
        <v>-0.2195</v>
      </c>
      <c r="F568" s="15">
        <v>0.1134</v>
      </c>
      <c r="G568" s="15">
        <v>-3.0200000000000001E-2</v>
      </c>
      <c r="H568" s="15">
        <v>0.1089</v>
      </c>
      <c r="I568" s="15">
        <v>6.141738208098925E-2</v>
      </c>
    </row>
    <row r="569" spans="1:9" x14ac:dyDescent="0.2">
      <c r="A569" s="2" t="s">
        <v>1703</v>
      </c>
      <c r="B569" s="2" t="s">
        <v>1704</v>
      </c>
      <c r="C569" s="2" t="s">
        <v>1705</v>
      </c>
      <c r="D569" s="2" t="s">
        <v>10040</v>
      </c>
      <c r="E569" s="15">
        <v>0.15679999999999999</v>
      </c>
      <c r="F569" s="15">
        <v>9.2100000000000001E-2</v>
      </c>
      <c r="G569" s="15">
        <v>-0.1113</v>
      </c>
      <c r="H569" s="15">
        <v>0.13900000000000001</v>
      </c>
      <c r="I569" s="15">
        <v>3.848700080229403E-2</v>
      </c>
    </row>
    <row r="570" spans="1:9" x14ac:dyDescent="0.2">
      <c r="A570" s="2" t="s">
        <v>1706</v>
      </c>
      <c r="B570" s="2" t="s">
        <v>1707</v>
      </c>
      <c r="C570" s="2" t="s">
        <v>1708</v>
      </c>
      <c r="D570" s="2" t="s">
        <v>10040</v>
      </c>
      <c r="E570" s="15">
        <v>-6.0100000000000001E-2</v>
      </c>
      <c r="F570" s="15">
        <v>8.4400000000000003E-2</v>
      </c>
      <c r="G570" s="15">
        <v>-1.0500000000000001E-2</v>
      </c>
      <c r="H570" s="15">
        <v>0.16830000000000001</v>
      </c>
      <c r="I570" s="15">
        <v>0.38951921708654041</v>
      </c>
    </row>
    <row r="571" spans="1:9" x14ac:dyDescent="0.2">
      <c r="A571" s="2" t="s">
        <v>1709</v>
      </c>
      <c r="B571" s="2" t="s">
        <v>1710</v>
      </c>
      <c r="C571" s="2" t="s">
        <v>1711</v>
      </c>
      <c r="D571" s="2" t="s">
        <v>10040</v>
      </c>
      <c r="E571" s="15">
        <v>4.5999999999999999E-2</v>
      </c>
      <c r="F571" s="15">
        <v>0.1573</v>
      </c>
      <c r="G571" s="15">
        <v>0.16270000000000001</v>
      </c>
      <c r="H571" s="15">
        <v>0.10630000000000001</v>
      </c>
      <c r="I571" s="15">
        <v>0.2035653402047865</v>
      </c>
    </row>
    <row r="572" spans="1:9" x14ac:dyDescent="0.2">
      <c r="A572" s="2" t="s">
        <v>1712</v>
      </c>
      <c r="B572" s="2" t="s">
        <v>1713</v>
      </c>
      <c r="C572" s="2" t="s">
        <v>1714</v>
      </c>
      <c r="D572" s="2" t="s">
        <v>10040</v>
      </c>
      <c r="E572" s="15">
        <v>-4.4600000000000001E-2</v>
      </c>
      <c r="F572" s="15">
        <v>0.11609999999999999</v>
      </c>
      <c r="G572" s="15">
        <v>0.1157</v>
      </c>
      <c r="H572" s="15">
        <v>0.1072</v>
      </c>
      <c r="I572" s="15">
        <v>9.5442824475818977E-2</v>
      </c>
    </row>
    <row r="573" spans="1:9" x14ac:dyDescent="0.2">
      <c r="A573" s="2" t="s">
        <v>1715</v>
      </c>
      <c r="B573" s="2" t="s">
        <v>1716</v>
      </c>
      <c r="C573" s="2" t="s">
        <v>1717</v>
      </c>
      <c r="D573" s="2" t="s">
        <v>10040</v>
      </c>
      <c r="E573" s="15">
        <v>-0.16420000000000001</v>
      </c>
      <c r="F573" s="15">
        <v>9.3700000000000006E-2</v>
      </c>
      <c r="G573" s="15">
        <v>0.18390000000000001</v>
      </c>
      <c r="H573" s="15">
        <v>0.10440000000000001</v>
      </c>
      <c r="I573" s="15">
        <v>1.8005828705735119E-3</v>
      </c>
    </row>
    <row r="574" spans="1:9" x14ac:dyDescent="0.2">
      <c r="A574" s="2" t="s">
        <v>1718</v>
      </c>
      <c r="B574" s="2" t="s">
        <v>1719</v>
      </c>
      <c r="C574" s="2" t="s">
        <v>1720</v>
      </c>
      <c r="D574" s="2" t="s">
        <v>10040</v>
      </c>
      <c r="E574" s="15">
        <v>6.4500000000000002E-2</v>
      </c>
      <c r="F574" s="15">
        <v>8.6400000000000005E-2</v>
      </c>
      <c r="G574" s="15">
        <v>0.17849999999999999</v>
      </c>
      <c r="H574" s="15">
        <v>9.8599999999999993E-2</v>
      </c>
      <c r="I574" s="15">
        <v>0.14534137352857451</v>
      </c>
    </row>
    <row r="575" spans="1:9" x14ac:dyDescent="0.2">
      <c r="A575" s="2" t="s">
        <v>1721</v>
      </c>
      <c r="B575" s="2" t="s">
        <v>1722</v>
      </c>
      <c r="C575" s="2" t="s">
        <v>1723</v>
      </c>
      <c r="D575" s="2" t="s">
        <v>10040</v>
      </c>
      <c r="E575" s="15">
        <v>1.29E-2</v>
      </c>
      <c r="F575" s="15">
        <v>0.11210000000000001</v>
      </c>
      <c r="G575" s="15">
        <v>0.17399999999999999</v>
      </c>
      <c r="H575" s="15">
        <v>0.2641</v>
      </c>
      <c r="I575" s="15">
        <v>0.27888816486964929</v>
      </c>
    </row>
    <row r="576" spans="1:9" x14ac:dyDescent="0.2">
      <c r="A576" s="2" t="s">
        <v>1724</v>
      </c>
      <c r="B576" s="2" t="s">
        <v>1725</v>
      </c>
      <c r="C576" s="2" t="s">
        <v>1726</v>
      </c>
      <c r="D576" s="2" t="s">
        <v>10040</v>
      </c>
      <c r="E576" s="15">
        <v>3.3599999999999998E-2</v>
      </c>
      <c r="F576" s="15">
        <v>0.1128</v>
      </c>
      <c r="G576" s="15">
        <v>0.1983</v>
      </c>
      <c r="H576" s="15">
        <v>0.1051</v>
      </c>
      <c r="I576" s="15">
        <v>8.8281646504396363E-2</v>
      </c>
    </row>
    <row r="577" spans="1:9" x14ac:dyDescent="0.2">
      <c r="A577" s="2" t="s">
        <v>1727</v>
      </c>
      <c r="B577" s="2" t="s">
        <v>1728</v>
      </c>
      <c r="C577" s="2" t="s">
        <v>1729</v>
      </c>
      <c r="D577" s="2" t="s">
        <v>10040</v>
      </c>
      <c r="E577" s="15">
        <v>-2.0899999999999998E-2</v>
      </c>
      <c r="F577" s="15">
        <v>7.7700000000000005E-2</v>
      </c>
      <c r="G577" s="15">
        <v>-4.2999999999999997E-2</v>
      </c>
      <c r="H577" s="15">
        <v>0.13869999999999999</v>
      </c>
      <c r="I577" s="15">
        <v>0.44121232544288558</v>
      </c>
    </row>
    <row r="578" spans="1:9" x14ac:dyDescent="0.2">
      <c r="A578" s="2" t="s">
        <v>1730</v>
      </c>
      <c r="B578" s="2" t="s">
        <v>1731</v>
      </c>
      <c r="C578" s="2" t="s">
        <v>1732</v>
      </c>
      <c r="D578" s="2" t="s">
        <v>10040</v>
      </c>
      <c r="E578" s="15">
        <v>8.6300000000000002E-2</v>
      </c>
      <c r="F578" s="15">
        <v>7.2700000000000001E-2</v>
      </c>
      <c r="G578" s="15">
        <v>0.114</v>
      </c>
      <c r="H578" s="15">
        <v>9.8100000000000007E-2</v>
      </c>
      <c r="I578" s="15">
        <v>0.40347587325787232</v>
      </c>
    </row>
    <row r="579" spans="1:9" x14ac:dyDescent="0.2">
      <c r="A579" s="2" t="s">
        <v>1733</v>
      </c>
      <c r="B579" s="2" t="s">
        <v>1734</v>
      </c>
      <c r="C579" s="2" t="s">
        <v>1735</v>
      </c>
      <c r="D579" s="2" t="s">
        <v>10040</v>
      </c>
      <c r="E579" s="15">
        <v>-3.6200000000000003E-2</v>
      </c>
      <c r="F579" s="15">
        <v>8.4000000000000005E-2</v>
      </c>
      <c r="G579" s="15">
        <v>3.6299999999999999E-2</v>
      </c>
      <c r="H579" s="15">
        <v>0.1021</v>
      </c>
      <c r="I579" s="15">
        <v>0.26263381847227751</v>
      </c>
    </row>
    <row r="580" spans="1:9" x14ac:dyDescent="0.2">
      <c r="A580" s="2" t="s">
        <v>1736</v>
      </c>
      <c r="B580" s="2" t="s">
        <v>1737</v>
      </c>
      <c r="C580" s="2" t="s">
        <v>1738</v>
      </c>
      <c r="D580" s="2" t="s">
        <v>10040</v>
      </c>
      <c r="E580" s="15">
        <v>-2.5000000000000001E-3</v>
      </c>
      <c r="F580" s="15">
        <v>0.16039999999999999</v>
      </c>
      <c r="G580" s="15">
        <v>0.31690000000000002</v>
      </c>
      <c r="H580" s="15">
        <v>0.37630000000000002</v>
      </c>
      <c r="I580" s="15">
        <v>0.20051832297187019</v>
      </c>
    </row>
    <row r="581" spans="1:9" x14ac:dyDescent="0.2">
      <c r="A581" s="2" t="s">
        <v>1739</v>
      </c>
      <c r="B581" s="2" t="s">
        <v>1740</v>
      </c>
      <c r="C581" s="2" t="s">
        <v>1741</v>
      </c>
      <c r="D581" s="2" t="s">
        <v>10040</v>
      </c>
      <c r="E581" s="15">
        <v>6.1999999999999998E-3</v>
      </c>
      <c r="F581" s="15">
        <v>7.8399999999999997E-2</v>
      </c>
      <c r="G581" s="15">
        <v>2.4500000000000001E-2</v>
      </c>
      <c r="H581" s="15">
        <v>7.8899999999999998E-2</v>
      </c>
      <c r="I581" s="15">
        <v>0.42020702786055969</v>
      </c>
    </row>
    <row r="582" spans="1:9" x14ac:dyDescent="0.2">
      <c r="A582" s="2" t="s">
        <v>1742</v>
      </c>
      <c r="B582" s="2" t="s">
        <v>1743</v>
      </c>
      <c r="C582" s="2" t="s">
        <v>1744</v>
      </c>
      <c r="D582" s="2" t="s">
        <v>10040</v>
      </c>
      <c r="E582" s="15">
        <v>-9.8299999999999998E-2</v>
      </c>
      <c r="F582" s="15">
        <v>8.6499999999999994E-2</v>
      </c>
      <c r="G582" s="15">
        <v>0.11650000000000001</v>
      </c>
      <c r="H582" s="15">
        <v>0.1012</v>
      </c>
      <c r="I582" s="15">
        <v>2.6311035404517361E-2</v>
      </c>
    </row>
    <row r="583" spans="1:9" x14ac:dyDescent="0.2">
      <c r="A583" s="2" t="s">
        <v>1745</v>
      </c>
      <c r="B583" s="2" t="s">
        <v>1746</v>
      </c>
      <c r="C583" s="2" t="s">
        <v>1747</v>
      </c>
      <c r="D583" s="2" t="s">
        <v>10040</v>
      </c>
      <c r="E583" s="15">
        <v>0.1</v>
      </c>
      <c r="F583" s="15">
        <v>9.5299999999999996E-2</v>
      </c>
      <c r="G583" s="15">
        <v>0.20860000000000001</v>
      </c>
      <c r="H583" s="15">
        <v>0.15049999999999999</v>
      </c>
      <c r="I583" s="15">
        <v>0.2474331144459346</v>
      </c>
    </row>
    <row r="584" spans="1:9" x14ac:dyDescent="0.2">
      <c r="A584" s="2" t="s">
        <v>1748</v>
      </c>
      <c r="B584" s="2" t="s">
        <v>1749</v>
      </c>
      <c r="C584" s="2" t="s">
        <v>1750</v>
      </c>
      <c r="D584" s="2" t="s">
        <v>10040</v>
      </c>
      <c r="E584" s="15">
        <v>-3.2800000000000003E-2</v>
      </c>
      <c r="F584" s="15">
        <v>0.1192</v>
      </c>
      <c r="G584" s="15">
        <v>9.0200000000000002E-2</v>
      </c>
      <c r="H584" s="15">
        <v>9.7600000000000006E-2</v>
      </c>
      <c r="I584" s="15">
        <v>0.1407328497236755</v>
      </c>
    </row>
    <row r="585" spans="1:9" x14ac:dyDescent="0.2">
      <c r="A585" s="2" t="s">
        <v>1751</v>
      </c>
      <c r="B585" s="2" t="s">
        <v>1752</v>
      </c>
      <c r="C585" s="2" t="s">
        <v>1753</v>
      </c>
      <c r="D585" s="2" t="s">
        <v>10040</v>
      </c>
      <c r="E585" s="15">
        <v>6.83E-2</v>
      </c>
      <c r="F585" s="15">
        <v>7.9899999999999999E-2</v>
      </c>
      <c r="G585" s="15">
        <v>0.16209999999999999</v>
      </c>
      <c r="H585" s="15">
        <v>0.126</v>
      </c>
      <c r="I585" s="15">
        <v>0.24389576173526459</v>
      </c>
    </row>
    <row r="586" spans="1:9" x14ac:dyDescent="0.2">
      <c r="A586" s="2" t="s">
        <v>1754</v>
      </c>
      <c r="B586" s="2" t="s">
        <v>1755</v>
      </c>
      <c r="C586" s="2" t="s">
        <v>1756</v>
      </c>
      <c r="D586" s="2" t="s">
        <v>10040</v>
      </c>
      <c r="E586" s="15">
        <v>0.1181</v>
      </c>
      <c r="F586" s="15">
        <v>0.08</v>
      </c>
      <c r="G586" s="15">
        <v>0.11990000000000001</v>
      </c>
      <c r="H586" s="15">
        <v>9.0300000000000005E-2</v>
      </c>
      <c r="I586" s="15">
        <v>0.49267936860929112</v>
      </c>
    </row>
    <row r="587" spans="1:9" x14ac:dyDescent="0.2">
      <c r="A587" s="2" t="s">
        <v>1757</v>
      </c>
      <c r="B587" s="2" t="s">
        <v>1758</v>
      </c>
      <c r="C587" s="2" t="s">
        <v>1759</v>
      </c>
      <c r="D587" s="2" t="s">
        <v>10040</v>
      </c>
      <c r="E587" s="15">
        <v>0.1019</v>
      </c>
      <c r="F587" s="15">
        <v>8.5099999999999995E-2</v>
      </c>
      <c r="G587" s="15">
        <v>7.9699999999999993E-2</v>
      </c>
      <c r="H587" s="15">
        <v>8.8400000000000006E-2</v>
      </c>
      <c r="I587" s="15">
        <v>0.41536321648546792</v>
      </c>
    </row>
    <row r="588" spans="1:9" x14ac:dyDescent="0.2">
      <c r="A588" s="2" t="s">
        <v>1760</v>
      </c>
      <c r="B588" s="2" t="s">
        <v>1761</v>
      </c>
      <c r="C588" s="2" t="s">
        <v>1762</v>
      </c>
      <c r="D588" s="2" t="s">
        <v>10040</v>
      </c>
      <c r="E588" s="15">
        <v>3.3099999999999997E-2</v>
      </c>
      <c r="F588" s="15">
        <v>0.1186</v>
      </c>
    </row>
    <row r="589" spans="1:9" x14ac:dyDescent="0.2">
      <c r="A589" s="2" t="s">
        <v>1763</v>
      </c>
      <c r="B589" s="2" t="s">
        <v>1764</v>
      </c>
      <c r="C589" s="2" t="s">
        <v>1765</v>
      </c>
      <c r="D589" s="2" t="s">
        <v>10040</v>
      </c>
      <c r="E589" s="15">
        <v>0.2283</v>
      </c>
      <c r="F589" s="15">
        <v>8.4000000000000005E-2</v>
      </c>
      <c r="G589" s="15">
        <v>0.14549999999999999</v>
      </c>
      <c r="H589" s="15">
        <v>0.18049999999999999</v>
      </c>
      <c r="I589" s="15">
        <v>0.33122945379059537</v>
      </c>
    </row>
    <row r="590" spans="1:9" x14ac:dyDescent="0.2">
      <c r="A590" s="2" t="s">
        <v>1766</v>
      </c>
      <c r="B590" s="2" t="s">
        <v>1767</v>
      </c>
      <c r="C590" s="2" t="s">
        <v>1768</v>
      </c>
      <c r="D590" s="2" t="s">
        <v>10040</v>
      </c>
      <c r="E590" s="15">
        <v>-3.3599999999999998E-2</v>
      </c>
      <c r="F590" s="15">
        <v>7.5600000000000001E-2</v>
      </c>
      <c r="G590" s="15">
        <v>-9.0800000000000006E-2</v>
      </c>
      <c r="H590" s="15">
        <v>0.15609999999999999</v>
      </c>
      <c r="I590" s="15">
        <v>0.36236153727289389</v>
      </c>
    </row>
    <row r="591" spans="1:9" x14ac:dyDescent="0.2">
      <c r="A591" s="2" t="s">
        <v>1769</v>
      </c>
      <c r="B591" s="2" t="s">
        <v>1770</v>
      </c>
      <c r="C591" s="2" t="s">
        <v>1771</v>
      </c>
      <c r="D591" s="2" t="s">
        <v>10040</v>
      </c>
      <c r="E591" s="15">
        <v>0.15740000000000001</v>
      </c>
      <c r="F591" s="15">
        <v>7.6799999999999993E-2</v>
      </c>
      <c r="G591" s="15">
        <v>0.33389999999999997</v>
      </c>
      <c r="H591" s="15">
        <v>0.13109999999999999</v>
      </c>
      <c r="I591" s="15">
        <v>0.1029626319985365</v>
      </c>
    </row>
    <row r="592" spans="1:9" x14ac:dyDescent="0.2">
      <c r="A592" s="2" t="s">
        <v>1772</v>
      </c>
      <c r="B592" s="2" t="s">
        <v>1773</v>
      </c>
      <c r="C592" s="2" t="s">
        <v>1774</v>
      </c>
      <c r="D592" s="2" t="s">
        <v>10040</v>
      </c>
      <c r="E592" s="15">
        <v>-9.9099999999999994E-2</v>
      </c>
      <c r="F592" s="15">
        <v>8.8700000000000001E-2</v>
      </c>
      <c r="G592" s="15">
        <v>-4.7800000000000002E-2</v>
      </c>
      <c r="H592" s="15">
        <v>0.1158</v>
      </c>
      <c r="I592" s="15">
        <v>0.34068036571371152</v>
      </c>
    </row>
    <row r="593" spans="1:9" x14ac:dyDescent="0.2">
      <c r="A593" s="2" t="s">
        <v>1775</v>
      </c>
      <c r="B593" s="2" t="s">
        <v>1776</v>
      </c>
      <c r="C593" s="2" t="s">
        <v>1777</v>
      </c>
      <c r="D593" s="2" t="s">
        <v>10040</v>
      </c>
      <c r="E593" s="15">
        <v>0.2019</v>
      </c>
      <c r="F593" s="15">
        <v>8.9300000000000004E-2</v>
      </c>
      <c r="G593" s="15">
        <v>-5.67E-2</v>
      </c>
      <c r="H593" s="15">
        <v>0.13059999999999999</v>
      </c>
      <c r="I593" s="15">
        <v>3.0476360294805171E-2</v>
      </c>
    </row>
    <row r="594" spans="1:9" x14ac:dyDescent="0.2">
      <c r="A594" s="2" t="s">
        <v>1778</v>
      </c>
      <c r="B594" s="2" t="s">
        <v>1779</v>
      </c>
      <c r="C594" s="2" t="s">
        <v>1780</v>
      </c>
      <c r="D594" s="2" t="s">
        <v>10040</v>
      </c>
      <c r="E594" s="15">
        <v>9.3799999999999994E-2</v>
      </c>
      <c r="F594" s="15">
        <v>9.7600000000000006E-2</v>
      </c>
      <c r="G594" s="15">
        <v>0.14080000000000001</v>
      </c>
      <c r="H594" s="15">
        <v>0.1203</v>
      </c>
      <c r="I594" s="15">
        <v>0.36344355908917592</v>
      </c>
    </row>
    <row r="595" spans="1:9" x14ac:dyDescent="0.2">
      <c r="A595" s="2" t="s">
        <v>1781</v>
      </c>
      <c r="B595" s="2" t="s">
        <v>1782</v>
      </c>
      <c r="C595" s="2" t="s">
        <v>1783</v>
      </c>
      <c r="D595" s="2" t="s">
        <v>10040</v>
      </c>
      <c r="E595" s="15">
        <v>3.3799999999999997E-2</v>
      </c>
      <c r="F595" s="15">
        <v>9.3899999999999997E-2</v>
      </c>
      <c r="G595" s="15">
        <v>0.2001</v>
      </c>
      <c r="H595" s="15">
        <v>9.7900000000000001E-2</v>
      </c>
      <c r="I595" s="15">
        <v>6.3756875081150313E-2</v>
      </c>
    </row>
    <row r="596" spans="1:9" x14ac:dyDescent="0.2">
      <c r="A596" s="2" t="s">
        <v>1784</v>
      </c>
      <c r="B596" s="2" t="s">
        <v>1785</v>
      </c>
      <c r="C596" s="2" t="s">
        <v>1786</v>
      </c>
      <c r="D596" s="2" t="s">
        <v>10040</v>
      </c>
      <c r="E596" s="15">
        <v>7.5300000000000006E-2</v>
      </c>
      <c r="F596" s="15">
        <v>8.5000000000000006E-2</v>
      </c>
      <c r="G596" s="15">
        <v>5.9900000000000002E-2</v>
      </c>
      <c r="H596" s="15">
        <v>9.1899999999999996E-2</v>
      </c>
      <c r="I596" s="15">
        <v>0.44098706061620618</v>
      </c>
    </row>
    <row r="597" spans="1:9" x14ac:dyDescent="0.2">
      <c r="A597" s="2" t="s">
        <v>1787</v>
      </c>
      <c r="B597" s="2" t="s">
        <v>1788</v>
      </c>
      <c r="C597" s="2" t="s">
        <v>1789</v>
      </c>
      <c r="D597" s="2" t="s">
        <v>10040</v>
      </c>
      <c r="E597" s="15">
        <v>6.8500000000000005E-2</v>
      </c>
      <c r="F597" s="15">
        <v>7.6499999999999999E-2</v>
      </c>
      <c r="G597" s="15">
        <v>4.3099999999999999E-2</v>
      </c>
      <c r="H597" s="15">
        <v>7.4499999999999997E-2</v>
      </c>
      <c r="I597" s="15">
        <v>0.38553872835326591</v>
      </c>
    </row>
    <row r="598" spans="1:9" x14ac:dyDescent="0.2">
      <c r="A598" s="2" t="s">
        <v>1790</v>
      </c>
      <c r="B598" s="2" t="s">
        <v>1791</v>
      </c>
      <c r="C598" s="2" t="s">
        <v>1792</v>
      </c>
      <c r="D598" s="2" t="s">
        <v>10040</v>
      </c>
      <c r="E598" s="15">
        <v>0.30549999999999999</v>
      </c>
      <c r="F598" s="15">
        <v>0.2203</v>
      </c>
      <c r="G598" s="15">
        <v>0.27529999999999999</v>
      </c>
      <c r="H598" s="15">
        <v>9.1700000000000004E-2</v>
      </c>
      <c r="I598" s="15">
        <v>0.38259268296322241</v>
      </c>
    </row>
    <row r="599" spans="1:9" x14ac:dyDescent="0.2">
      <c r="A599" s="2" t="s">
        <v>1793</v>
      </c>
      <c r="B599" s="2" t="s">
        <v>1794</v>
      </c>
      <c r="C599" s="2" t="s">
        <v>1795</v>
      </c>
      <c r="D599" s="2" t="s">
        <v>10040</v>
      </c>
      <c r="E599" s="15">
        <v>6.1199999999999997E-2</v>
      </c>
      <c r="F599" s="15">
        <v>6.7100000000000007E-2</v>
      </c>
      <c r="G599" s="15">
        <v>0.152</v>
      </c>
      <c r="H599" s="15">
        <v>7.9600000000000004E-2</v>
      </c>
      <c r="I599" s="15">
        <v>0.15996312177984581</v>
      </c>
    </row>
    <row r="600" spans="1:9" x14ac:dyDescent="0.2">
      <c r="A600" s="2" t="s">
        <v>1796</v>
      </c>
      <c r="B600" s="2" t="s">
        <v>1797</v>
      </c>
      <c r="C600" s="2" t="s">
        <v>1798</v>
      </c>
      <c r="D600" s="2" t="s">
        <v>10040</v>
      </c>
      <c r="E600" s="15">
        <v>-1.6909999999999999E-5</v>
      </c>
      <c r="F600" s="15">
        <v>0.1242</v>
      </c>
      <c r="G600" s="15">
        <v>0.1231</v>
      </c>
      <c r="H600" s="15">
        <v>0.13880000000000001</v>
      </c>
      <c r="I600" s="15">
        <v>0.20298006964870219</v>
      </c>
    </row>
    <row r="601" spans="1:9" x14ac:dyDescent="0.2">
      <c r="A601" s="2" t="s">
        <v>1799</v>
      </c>
      <c r="B601" s="2" t="s">
        <v>1800</v>
      </c>
      <c r="C601" s="2" t="s">
        <v>1801</v>
      </c>
      <c r="D601" s="2" t="s">
        <v>10040</v>
      </c>
      <c r="E601" s="15">
        <v>7.7299999999999994E-2</v>
      </c>
      <c r="F601" s="15">
        <v>8.3699999999999997E-2</v>
      </c>
      <c r="G601" s="15">
        <v>-2.1399999999999999E-2</v>
      </c>
      <c r="H601" s="15">
        <v>9.4700000000000006E-2</v>
      </c>
      <c r="I601" s="15">
        <v>0.1752596055506245</v>
      </c>
    </row>
    <row r="602" spans="1:9" x14ac:dyDescent="0.2">
      <c r="A602" s="2" t="s">
        <v>1802</v>
      </c>
      <c r="B602" s="2" t="s">
        <v>1803</v>
      </c>
      <c r="C602" s="2" t="s">
        <v>1804</v>
      </c>
      <c r="D602" s="2" t="s">
        <v>10040</v>
      </c>
      <c r="E602" s="15">
        <v>-1.9699999999999999E-2</v>
      </c>
      <c r="F602" s="15">
        <v>9.8900000000000002E-2</v>
      </c>
      <c r="G602" s="15">
        <v>3.7999999999999999E-2</v>
      </c>
      <c r="H602" s="15">
        <v>8.8999999999999996E-2</v>
      </c>
      <c r="I602" s="15">
        <v>0.28707170662898052</v>
      </c>
    </row>
    <row r="603" spans="1:9" x14ac:dyDescent="0.2">
      <c r="A603" s="2" t="s">
        <v>1805</v>
      </c>
      <c r="B603" s="2" t="s">
        <v>1806</v>
      </c>
      <c r="C603" s="2" t="s">
        <v>1807</v>
      </c>
      <c r="D603" s="2" t="s">
        <v>10040</v>
      </c>
      <c r="E603" s="15">
        <v>-1.0699999999999999E-2</v>
      </c>
      <c r="F603" s="15">
        <v>9.3600000000000003E-2</v>
      </c>
      <c r="G603" s="15">
        <v>0.1011</v>
      </c>
      <c r="H603" s="15">
        <v>9.6299999999999997E-2</v>
      </c>
      <c r="I603" s="15">
        <v>0.1474168267136933</v>
      </c>
    </row>
    <row r="604" spans="1:9" x14ac:dyDescent="0.2">
      <c r="A604" s="2" t="s">
        <v>1808</v>
      </c>
      <c r="B604" s="2" t="s">
        <v>1809</v>
      </c>
      <c r="C604" s="2" t="s">
        <v>1810</v>
      </c>
      <c r="D604" s="2" t="s">
        <v>10040</v>
      </c>
      <c r="E604" s="15">
        <v>4.0000000000000002E-4</v>
      </c>
      <c r="F604" s="15">
        <v>8.6199999999999999E-2</v>
      </c>
      <c r="G604" s="15">
        <v>6.3899999999999998E-2</v>
      </c>
      <c r="H604" s="15">
        <v>8.3099999999999993E-2</v>
      </c>
      <c r="I604" s="15">
        <v>0.24856956599589861</v>
      </c>
    </row>
    <row r="605" spans="1:9" x14ac:dyDescent="0.2">
      <c r="A605" s="2" t="s">
        <v>1811</v>
      </c>
      <c r="B605" s="2" t="s">
        <v>1812</v>
      </c>
      <c r="C605" s="2" t="s">
        <v>1813</v>
      </c>
      <c r="D605" s="2" t="s">
        <v>10040</v>
      </c>
      <c r="E605" s="15">
        <v>-0.1101</v>
      </c>
      <c r="F605" s="15">
        <v>8.5300000000000001E-2</v>
      </c>
      <c r="G605" s="15">
        <v>0.1002</v>
      </c>
      <c r="H605" s="15">
        <v>7.5800000000000006E-2</v>
      </c>
      <c r="I605" s="15">
        <v>8.718252401042648E-3</v>
      </c>
    </row>
    <row r="606" spans="1:9" x14ac:dyDescent="0.2">
      <c r="A606" s="2" t="s">
        <v>1814</v>
      </c>
      <c r="B606" s="2" t="s">
        <v>1815</v>
      </c>
      <c r="C606" s="2" t="s">
        <v>1816</v>
      </c>
      <c r="D606" s="2" t="s">
        <v>10040</v>
      </c>
      <c r="E606" s="15">
        <v>-1.47E-2</v>
      </c>
      <c r="F606" s="15">
        <v>0.1027</v>
      </c>
      <c r="G606" s="15">
        <v>-2.9100000000000001E-2</v>
      </c>
      <c r="H606" s="15">
        <v>0.1183</v>
      </c>
      <c r="I606" s="15">
        <v>0.4559138165572536</v>
      </c>
    </row>
    <row r="607" spans="1:9" x14ac:dyDescent="0.2">
      <c r="A607" s="2" t="s">
        <v>1817</v>
      </c>
      <c r="B607" s="2" t="s">
        <v>1818</v>
      </c>
      <c r="C607" s="2" t="s">
        <v>1819</v>
      </c>
      <c r="D607" s="2" t="s">
        <v>10040</v>
      </c>
      <c r="E607" s="15">
        <v>-0.186</v>
      </c>
      <c r="F607" s="15">
        <v>0.1245</v>
      </c>
      <c r="G607" s="15">
        <v>0.19470000000000001</v>
      </c>
      <c r="H607" s="15">
        <v>0.115</v>
      </c>
      <c r="I607" s="15">
        <v>1.154111429595276E-3</v>
      </c>
    </row>
    <row r="608" spans="1:9" x14ac:dyDescent="0.2">
      <c r="A608" s="2" t="s">
        <v>1820</v>
      </c>
      <c r="B608" s="2" t="s">
        <v>1821</v>
      </c>
      <c r="C608" s="2" t="s">
        <v>1822</v>
      </c>
      <c r="D608" s="2" t="s">
        <v>10040</v>
      </c>
      <c r="E608" s="15">
        <v>0.30819999999999997</v>
      </c>
      <c r="F608" s="15">
        <v>0.1275</v>
      </c>
      <c r="G608" s="15">
        <v>-7.4099999999999999E-2</v>
      </c>
      <c r="H608" s="15">
        <v>9.4299999999999995E-2</v>
      </c>
      <c r="I608" s="15">
        <v>2.5445530733850518E-4</v>
      </c>
    </row>
    <row r="609" spans="1:9" x14ac:dyDescent="0.2">
      <c r="A609" s="2" t="s">
        <v>1823</v>
      </c>
      <c r="B609" s="2" t="s">
        <v>1824</v>
      </c>
      <c r="C609" s="2" t="s">
        <v>1825</v>
      </c>
      <c r="D609" s="2" t="s">
        <v>10040</v>
      </c>
      <c r="E609" s="15">
        <v>0.16089999999999999</v>
      </c>
      <c r="F609" s="15">
        <v>7.9600000000000004E-2</v>
      </c>
      <c r="G609" s="15">
        <v>8.8499999999999995E-2</v>
      </c>
      <c r="H609" s="15">
        <v>9.2700000000000005E-2</v>
      </c>
      <c r="I609" s="15">
        <v>0.24283846170734069</v>
      </c>
    </row>
    <row r="610" spans="1:9" x14ac:dyDescent="0.2">
      <c r="A610" s="2" t="s">
        <v>1826</v>
      </c>
      <c r="B610" s="2" t="s">
        <v>1827</v>
      </c>
      <c r="C610" s="2" t="s">
        <v>1828</v>
      </c>
      <c r="D610" s="2" t="s">
        <v>10040</v>
      </c>
      <c r="E610" s="15">
        <v>0.2873</v>
      </c>
      <c r="F610" s="15">
        <v>0.1444</v>
      </c>
      <c r="G610" s="15">
        <v>0.2742</v>
      </c>
      <c r="H610" s="15">
        <v>0.21299999999999999</v>
      </c>
      <c r="I610" s="15">
        <v>0.47626005830039719</v>
      </c>
    </row>
    <row r="611" spans="1:9" x14ac:dyDescent="0.2">
      <c r="A611" s="2" t="s">
        <v>1829</v>
      </c>
      <c r="B611" s="2" t="s">
        <v>1830</v>
      </c>
      <c r="C611" s="2" t="s">
        <v>1831</v>
      </c>
      <c r="D611" s="2" t="s">
        <v>10040</v>
      </c>
      <c r="E611" s="15">
        <v>2.6700000000000002E-2</v>
      </c>
      <c r="F611" s="15">
        <v>7.9600000000000004E-2</v>
      </c>
      <c r="G611" s="15">
        <v>0.1198</v>
      </c>
      <c r="H611" s="15">
        <v>0.1076</v>
      </c>
      <c r="I611" s="15">
        <v>0.21503048260718099</v>
      </c>
    </row>
    <row r="612" spans="1:9" x14ac:dyDescent="0.2">
      <c r="A612" s="2" t="s">
        <v>1832</v>
      </c>
      <c r="B612" s="2" t="s">
        <v>1833</v>
      </c>
      <c r="C612" s="2" t="s">
        <v>1834</v>
      </c>
      <c r="D612" s="2" t="s">
        <v>10040</v>
      </c>
      <c r="E612" s="15">
        <v>5.1900000000000002E-2</v>
      </c>
      <c r="F612" s="15">
        <v>8.5099999999999995E-2</v>
      </c>
      <c r="G612" s="15">
        <v>-7.7999999999999996E-3</v>
      </c>
      <c r="H612" s="15">
        <v>0.10150000000000001</v>
      </c>
      <c r="I612" s="15">
        <v>0.30134594926567698</v>
      </c>
    </row>
    <row r="613" spans="1:9" x14ac:dyDescent="0.2">
      <c r="A613" s="2" t="s">
        <v>1835</v>
      </c>
      <c r="B613" s="2" t="s">
        <v>1836</v>
      </c>
      <c r="C613" s="2" t="s">
        <v>1837</v>
      </c>
      <c r="D613" s="2" t="s">
        <v>10040</v>
      </c>
      <c r="E613" s="15">
        <v>-9.8500000000000004E-2</v>
      </c>
      <c r="F613" s="15">
        <v>7.6899999999999996E-2</v>
      </c>
      <c r="G613" s="15">
        <v>6.5500000000000003E-2</v>
      </c>
      <c r="H613" s="15">
        <v>8.5300000000000001E-2</v>
      </c>
      <c r="I613" s="15">
        <v>4.1916071625848421E-2</v>
      </c>
    </row>
    <row r="614" spans="1:9" x14ac:dyDescent="0.2">
      <c r="A614" s="2" t="s">
        <v>1838</v>
      </c>
      <c r="B614" s="2" t="s">
        <v>1839</v>
      </c>
      <c r="C614" s="2" t="s">
        <v>1840</v>
      </c>
      <c r="D614" s="2" t="s">
        <v>10040</v>
      </c>
      <c r="E614" s="15">
        <v>0.1278</v>
      </c>
      <c r="F614" s="15">
        <v>0.1239</v>
      </c>
      <c r="G614" s="15">
        <v>0.59830000000000005</v>
      </c>
      <c r="H614" s="15">
        <v>1.5025999999999999</v>
      </c>
      <c r="I614" s="15">
        <v>0.37728312614061887</v>
      </c>
    </row>
    <row r="615" spans="1:9" x14ac:dyDescent="0.2">
      <c r="A615" s="2" t="s">
        <v>1841</v>
      </c>
      <c r="B615" s="2" t="s">
        <v>1842</v>
      </c>
      <c r="C615" s="2" t="s">
        <v>1843</v>
      </c>
      <c r="D615" s="2" t="s">
        <v>10040</v>
      </c>
      <c r="G615" s="15">
        <v>3.1199999999999999E-2</v>
      </c>
      <c r="H615" s="15">
        <v>0.14510000000000001</v>
      </c>
    </row>
    <row r="616" spans="1:9" x14ac:dyDescent="0.2">
      <c r="A616" s="2" t="s">
        <v>1844</v>
      </c>
      <c r="B616" s="2" t="s">
        <v>1845</v>
      </c>
      <c r="C616" s="2" t="s">
        <v>1846</v>
      </c>
      <c r="D616" s="2" t="s">
        <v>10040</v>
      </c>
      <c r="E616" s="15">
        <v>0.19750000000000001</v>
      </c>
      <c r="F616" s="15">
        <v>9.2200000000000004E-2</v>
      </c>
      <c r="G616" s="15">
        <v>-2.0500000000000001E-2</v>
      </c>
      <c r="H616" s="15">
        <v>8.0100000000000005E-2</v>
      </c>
      <c r="I616" s="15">
        <v>1.141578308838315E-2</v>
      </c>
    </row>
    <row r="617" spans="1:9" x14ac:dyDescent="0.2">
      <c r="A617" s="2" t="s">
        <v>1847</v>
      </c>
      <c r="B617" s="2" t="s">
        <v>1848</v>
      </c>
      <c r="C617" s="2" t="s">
        <v>1849</v>
      </c>
      <c r="D617" s="2" t="s">
        <v>10040</v>
      </c>
      <c r="E617" s="15">
        <v>0.20269999999999999</v>
      </c>
      <c r="F617" s="15">
        <v>8.8300000000000003E-2</v>
      </c>
      <c r="G617" s="15">
        <v>9.4700000000000006E-2</v>
      </c>
      <c r="H617" s="15">
        <v>0.1118</v>
      </c>
      <c r="I617" s="15">
        <v>0.18173509861811041</v>
      </c>
    </row>
    <row r="618" spans="1:9" x14ac:dyDescent="0.2">
      <c r="A618" s="2" t="s">
        <v>1850</v>
      </c>
      <c r="B618" s="2" t="s">
        <v>1851</v>
      </c>
      <c r="C618" s="2" t="s">
        <v>1852</v>
      </c>
      <c r="D618" s="2" t="s">
        <v>10040</v>
      </c>
      <c r="E618" s="15">
        <v>0.15959999999999999</v>
      </c>
      <c r="F618" s="15">
        <v>7.6100000000000001E-2</v>
      </c>
      <c r="G618" s="15">
        <v>0.1651</v>
      </c>
      <c r="H618" s="15">
        <v>0.1072</v>
      </c>
      <c r="I618" s="15">
        <v>0.48172651557055413</v>
      </c>
    </row>
    <row r="619" spans="1:9" x14ac:dyDescent="0.2">
      <c r="A619" s="2" t="s">
        <v>1853</v>
      </c>
      <c r="B619" s="2" t="s">
        <v>1854</v>
      </c>
      <c r="C619" s="2" t="s">
        <v>1855</v>
      </c>
      <c r="D619" s="2" t="s">
        <v>10040</v>
      </c>
      <c r="E619" s="15">
        <v>9.1600000000000001E-2</v>
      </c>
      <c r="F619" s="15">
        <v>6.5500000000000003E-2</v>
      </c>
      <c r="G619" s="15">
        <v>-4.8800000000000003E-2</v>
      </c>
      <c r="H619" s="15">
        <v>7.4399999999999994E-2</v>
      </c>
      <c r="I619" s="15">
        <v>4.5113783882696649E-2</v>
      </c>
    </row>
    <row r="620" spans="1:9" x14ac:dyDescent="0.2">
      <c r="A620" s="2" t="s">
        <v>1856</v>
      </c>
      <c r="B620" s="2" t="s">
        <v>1857</v>
      </c>
      <c r="C620" s="2" t="s">
        <v>1858</v>
      </c>
      <c r="D620" s="2" t="s">
        <v>10040</v>
      </c>
      <c r="E620" s="15">
        <v>-3.5999999999999999E-3</v>
      </c>
      <c r="F620" s="15">
        <v>8.3500000000000005E-2</v>
      </c>
      <c r="G620" s="15">
        <v>6.5299999999999997E-2</v>
      </c>
      <c r="H620" s="15">
        <v>0.1013</v>
      </c>
      <c r="I620" s="15">
        <v>0.26592130708211997</v>
      </c>
    </row>
    <row r="621" spans="1:9" x14ac:dyDescent="0.2">
      <c r="A621" s="2" t="s">
        <v>1859</v>
      </c>
      <c r="B621" s="2" t="s">
        <v>1860</v>
      </c>
      <c r="C621" s="2" t="s">
        <v>1861</v>
      </c>
      <c r="D621" s="2" t="s">
        <v>10040</v>
      </c>
      <c r="E621" s="15">
        <v>0.13750000000000001</v>
      </c>
      <c r="F621" s="15">
        <v>0.12130000000000001</v>
      </c>
      <c r="G621" s="15">
        <v>0.1137</v>
      </c>
      <c r="H621" s="15">
        <v>0.105</v>
      </c>
      <c r="I621" s="15">
        <v>0.42015623971154142</v>
      </c>
    </row>
    <row r="622" spans="1:9" x14ac:dyDescent="0.2">
      <c r="A622" s="2" t="s">
        <v>1862</v>
      </c>
      <c r="B622" s="2" t="s">
        <v>1863</v>
      </c>
      <c r="C622" s="2" t="s">
        <v>1864</v>
      </c>
      <c r="D622" s="2" t="s">
        <v>10040</v>
      </c>
      <c r="E622" s="15">
        <v>5.4100000000000002E-2</v>
      </c>
      <c r="F622" s="15">
        <v>0.14860000000000001</v>
      </c>
      <c r="G622" s="15">
        <v>0.1181</v>
      </c>
      <c r="H622" s="15">
        <v>9.1600000000000001E-2</v>
      </c>
      <c r="I622" s="15">
        <v>0.27935462931068811</v>
      </c>
    </row>
    <row r="623" spans="1:9" x14ac:dyDescent="0.2">
      <c r="A623" s="2" t="s">
        <v>1865</v>
      </c>
      <c r="B623" s="2" t="s">
        <v>1866</v>
      </c>
      <c r="C623" s="2" t="s">
        <v>1867</v>
      </c>
      <c r="D623" s="2" t="s">
        <v>10040</v>
      </c>
      <c r="E623" s="15">
        <v>5.0799999999999998E-2</v>
      </c>
      <c r="F623" s="15">
        <v>8.2900000000000001E-2</v>
      </c>
      <c r="G623" s="15">
        <v>1.4200000000000001E-2</v>
      </c>
      <c r="H623" s="15">
        <v>7.9600000000000004E-2</v>
      </c>
      <c r="I623" s="15">
        <v>0.34615781896663828</v>
      </c>
    </row>
    <row r="624" spans="1:9" x14ac:dyDescent="0.2">
      <c r="A624" s="2" t="s">
        <v>1868</v>
      </c>
      <c r="B624" s="2" t="s">
        <v>1869</v>
      </c>
      <c r="C624" s="2" t="s">
        <v>1870</v>
      </c>
      <c r="D624" s="2" t="s">
        <v>10040</v>
      </c>
      <c r="E624" s="15">
        <v>3.2800000000000003E-2</v>
      </c>
      <c r="F624" s="15">
        <v>9.3600000000000003E-2</v>
      </c>
      <c r="G624" s="15">
        <v>7.6799999999999993E-2</v>
      </c>
      <c r="H624" s="15">
        <v>9.4299999999999995E-2</v>
      </c>
      <c r="I624" s="15">
        <v>0.342229654546789</v>
      </c>
    </row>
    <row r="625" spans="1:9" x14ac:dyDescent="0.2">
      <c r="A625" s="2" t="s">
        <v>1871</v>
      </c>
      <c r="B625" s="2" t="s">
        <v>1872</v>
      </c>
      <c r="C625" s="2" t="s">
        <v>1873</v>
      </c>
      <c r="D625" s="2" t="s">
        <v>10040</v>
      </c>
      <c r="E625" s="15">
        <v>0.1065</v>
      </c>
      <c r="F625" s="15">
        <v>8.5599999999999996E-2</v>
      </c>
      <c r="G625" s="15">
        <v>0.1198</v>
      </c>
      <c r="H625" s="15">
        <v>0.1085</v>
      </c>
      <c r="I625" s="15">
        <v>0.4551612478651812</v>
      </c>
    </row>
    <row r="626" spans="1:9" x14ac:dyDescent="0.2">
      <c r="A626" s="2" t="s">
        <v>1874</v>
      </c>
      <c r="B626" s="2" t="s">
        <v>1875</v>
      </c>
      <c r="C626" s="2" t="s">
        <v>1876</v>
      </c>
      <c r="D626" s="2" t="s">
        <v>10040</v>
      </c>
      <c r="E626" s="15">
        <v>-4.48E-2</v>
      </c>
      <c r="F626" s="15">
        <v>0.1182</v>
      </c>
      <c r="G626" s="15">
        <v>0.17349999999999999</v>
      </c>
      <c r="H626" s="15">
        <v>0.24060000000000001</v>
      </c>
      <c r="I626" s="15">
        <v>0.18952098372672441</v>
      </c>
    </row>
    <row r="627" spans="1:9" x14ac:dyDescent="0.2">
      <c r="A627" s="2" t="s">
        <v>1877</v>
      </c>
      <c r="B627" s="2" t="s">
        <v>1878</v>
      </c>
      <c r="C627" s="2" t="s">
        <v>1879</v>
      </c>
      <c r="D627" s="2" t="s">
        <v>10040</v>
      </c>
      <c r="E627" s="15">
        <v>0.1087</v>
      </c>
      <c r="F627" s="15">
        <v>9.2899999999999996E-2</v>
      </c>
      <c r="G627" s="15">
        <v>-5.6899999999999999E-2</v>
      </c>
      <c r="H627" s="15">
        <v>0.10829999999999999</v>
      </c>
      <c r="I627" s="15">
        <v>8.8009295086151226E-2</v>
      </c>
    </row>
    <row r="628" spans="1:9" x14ac:dyDescent="0.2">
      <c r="A628" s="2" t="s">
        <v>1880</v>
      </c>
      <c r="B628" s="2" t="s">
        <v>1881</v>
      </c>
      <c r="C628" s="2" t="s">
        <v>1882</v>
      </c>
      <c r="D628" s="2" t="s">
        <v>10040</v>
      </c>
      <c r="E628" s="15">
        <v>0.1454</v>
      </c>
      <c r="F628" s="15">
        <v>0.17749999999999999</v>
      </c>
      <c r="G628" s="15">
        <v>0.1211</v>
      </c>
      <c r="H628" s="15">
        <v>0.09</v>
      </c>
      <c r="I628" s="15">
        <v>0.41682004409514373</v>
      </c>
    </row>
    <row r="629" spans="1:9" x14ac:dyDescent="0.2">
      <c r="A629" s="2" t="s">
        <v>1883</v>
      </c>
      <c r="B629" s="2" t="s">
        <v>1884</v>
      </c>
      <c r="C629" s="2" t="s">
        <v>1885</v>
      </c>
      <c r="D629" s="2" t="s">
        <v>10040</v>
      </c>
      <c r="E629" s="15">
        <v>4.5100000000000001E-2</v>
      </c>
      <c r="F629" s="15">
        <v>0.12889999999999999</v>
      </c>
      <c r="G629" s="15">
        <v>0.29670000000000002</v>
      </c>
      <c r="H629" s="15">
        <v>9.9500000000000005E-2</v>
      </c>
      <c r="I629" s="15">
        <v>1.577874866464193E-2</v>
      </c>
    </row>
    <row r="630" spans="1:9" x14ac:dyDescent="0.2">
      <c r="A630" s="2" t="s">
        <v>1886</v>
      </c>
      <c r="B630" s="2" t="s">
        <v>1887</v>
      </c>
      <c r="C630" s="2" t="s">
        <v>1888</v>
      </c>
      <c r="D630" s="2" t="s">
        <v>10040</v>
      </c>
      <c r="G630" s="15">
        <v>-0.16289999999999999</v>
      </c>
      <c r="H630" s="15">
        <v>0.5716</v>
      </c>
    </row>
    <row r="631" spans="1:9" x14ac:dyDescent="0.2">
      <c r="A631" s="2" t="s">
        <v>1889</v>
      </c>
      <c r="B631" s="2" t="s">
        <v>1890</v>
      </c>
      <c r="C631" s="2" t="s">
        <v>1891</v>
      </c>
      <c r="D631" s="2" t="s">
        <v>10040</v>
      </c>
      <c r="E631" s="15">
        <v>6.7999999999999996E-3</v>
      </c>
      <c r="F631" s="15">
        <v>0.13830000000000001</v>
      </c>
      <c r="G631" s="15">
        <v>9.9199999999999997E-2</v>
      </c>
      <c r="H631" s="15">
        <v>0.1129</v>
      </c>
      <c r="I631" s="15">
        <v>0.2307041803613214</v>
      </c>
    </row>
    <row r="632" spans="1:9" x14ac:dyDescent="0.2">
      <c r="A632" s="2" t="s">
        <v>1892</v>
      </c>
      <c r="B632" s="2" t="s">
        <v>1893</v>
      </c>
      <c r="C632" s="2" t="s">
        <v>1894</v>
      </c>
      <c r="D632" s="2" t="s">
        <v>10040</v>
      </c>
      <c r="E632" s="15">
        <v>-2.1299999999999999E-2</v>
      </c>
      <c r="F632" s="15">
        <v>9.5000000000000001E-2</v>
      </c>
      <c r="G632" s="15">
        <v>-0.13339999999999999</v>
      </c>
      <c r="H632" s="15">
        <v>0.11550000000000001</v>
      </c>
      <c r="I632" s="15">
        <v>0.18838701386092849</v>
      </c>
    </row>
    <row r="633" spans="1:9" x14ac:dyDescent="0.2">
      <c r="A633" s="2" t="s">
        <v>1895</v>
      </c>
      <c r="B633" s="2" t="s">
        <v>1896</v>
      </c>
      <c r="C633" s="2" t="s">
        <v>1897</v>
      </c>
      <c r="D633" s="2" t="s">
        <v>10040</v>
      </c>
      <c r="E633" s="15">
        <v>-2.8999999999999998E-3</v>
      </c>
      <c r="F633" s="15">
        <v>0.14130000000000001</v>
      </c>
      <c r="G633" s="15">
        <v>0.36349999999999999</v>
      </c>
      <c r="H633" s="15">
        <v>0.21940000000000001</v>
      </c>
      <c r="I633" s="15">
        <v>5.4620563961084431E-2</v>
      </c>
    </row>
    <row r="634" spans="1:9" x14ac:dyDescent="0.2">
      <c r="A634" s="2" t="s">
        <v>1898</v>
      </c>
      <c r="B634" s="2" t="s">
        <v>1899</v>
      </c>
      <c r="C634" s="2" t="s">
        <v>1900</v>
      </c>
      <c r="D634" s="2" t="s">
        <v>10040</v>
      </c>
      <c r="E634" s="15">
        <v>-3.4099999999999998E-2</v>
      </c>
      <c r="F634" s="15">
        <v>0.1391</v>
      </c>
      <c r="G634" s="15">
        <v>-3.7499999999999999E-2</v>
      </c>
      <c r="H634" s="15">
        <v>0.1515</v>
      </c>
      <c r="I634" s="15">
        <v>0.49178852666812078</v>
      </c>
    </row>
    <row r="635" spans="1:9" x14ac:dyDescent="0.2">
      <c r="A635" s="2" t="s">
        <v>1901</v>
      </c>
      <c r="B635" s="2" t="s">
        <v>1902</v>
      </c>
      <c r="C635" s="2" t="s">
        <v>1903</v>
      </c>
      <c r="D635" s="2" t="s">
        <v>10040</v>
      </c>
      <c r="E635" s="15">
        <v>-5.1999999999999998E-2</v>
      </c>
      <c r="F635" s="15">
        <v>0.1089</v>
      </c>
      <c r="G635" s="15">
        <v>8.8000000000000005E-3</v>
      </c>
      <c r="H635" s="15">
        <v>0.1333</v>
      </c>
      <c r="I635" s="15">
        <v>0.34042688189275849</v>
      </c>
    </row>
    <row r="636" spans="1:9" x14ac:dyDescent="0.2">
      <c r="A636" s="2" t="s">
        <v>1904</v>
      </c>
      <c r="B636" s="2" t="s">
        <v>1905</v>
      </c>
      <c r="C636" s="2" t="s">
        <v>1906</v>
      </c>
      <c r="D636" s="2" t="s">
        <v>10040</v>
      </c>
      <c r="E636" s="15">
        <v>-0.1983</v>
      </c>
      <c r="F636" s="15">
        <v>0.11940000000000001</v>
      </c>
    </row>
    <row r="637" spans="1:9" x14ac:dyDescent="0.2">
      <c r="A637" s="2" t="s">
        <v>1907</v>
      </c>
      <c r="B637" s="2" t="s">
        <v>1908</v>
      </c>
      <c r="C637" s="2" t="s">
        <v>1909</v>
      </c>
      <c r="D637" s="2" t="s">
        <v>10040</v>
      </c>
      <c r="E637" s="15">
        <v>8.6E-3</v>
      </c>
      <c r="F637" s="15">
        <v>0.1237</v>
      </c>
      <c r="G637" s="15">
        <v>0.19650000000000001</v>
      </c>
      <c r="H637" s="15">
        <v>0.15040000000000001</v>
      </c>
      <c r="I637" s="15">
        <v>0.1281953748458847</v>
      </c>
    </row>
    <row r="638" spans="1:9" x14ac:dyDescent="0.2">
      <c r="A638" s="2" t="s">
        <v>1910</v>
      </c>
      <c r="B638" s="2" t="s">
        <v>1911</v>
      </c>
      <c r="C638" s="2" t="s">
        <v>1912</v>
      </c>
      <c r="D638" s="2" t="s">
        <v>10040</v>
      </c>
      <c r="E638" s="15">
        <v>2.0999999999999999E-3</v>
      </c>
      <c r="F638" s="15">
        <v>8.8099999999999998E-2</v>
      </c>
      <c r="G638" s="15">
        <v>-7.9600000000000004E-2</v>
      </c>
      <c r="H638" s="15">
        <v>0.10639999999999999</v>
      </c>
      <c r="I638" s="15">
        <v>0.24791454294777521</v>
      </c>
    </row>
    <row r="639" spans="1:9" x14ac:dyDescent="0.2">
      <c r="A639" s="2" t="s">
        <v>1913</v>
      </c>
      <c r="B639" s="2" t="s">
        <v>1914</v>
      </c>
      <c r="C639" s="2" t="s">
        <v>1915</v>
      </c>
      <c r="D639" s="2" t="s">
        <v>10040</v>
      </c>
      <c r="E639" s="15">
        <v>3.4200000000000001E-2</v>
      </c>
      <c r="F639" s="15">
        <v>7.4999999999999997E-2</v>
      </c>
      <c r="G639" s="15">
        <v>0.15529999999999999</v>
      </c>
      <c r="H639" s="15">
        <v>7.5399999999999995E-2</v>
      </c>
      <c r="I639" s="15">
        <v>7.9008278607713908E-2</v>
      </c>
    </row>
    <row r="640" spans="1:9" x14ac:dyDescent="0.2">
      <c r="A640" s="2" t="s">
        <v>1916</v>
      </c>
      <c r="B640" s="2" t="s">
        <v>1917</v>
      </c>
      <c r="C640" s="2" t="s">
        <v>1918</v>
      </c>
      <c r="D640" s="2" t="s">
        <v>10040</v>
      </c>
      <c r="E640" s="15">
        <v>0.12590000000000001</v>
      </c>
      <c r="F640" s="15">
        <v>8.2100000000000006E-2</v>
      </c>
      <c r="G640" s="15">
        <v>8.9899999999999994E-2</v>
      </c>
      <c r="H640" s="15">
        <v>6.6500000000000004E-2</v>
      </c>
      <c r="I640" s="15">
        <v>0.32191297500951421</v>
      </c>
    </row>
    <row r="641" spans="1:9" x14ac:dyDescent="0.2">
      <c r="A641" s="2" t="s">
        <v>1919</v>
      </c>
      <c r="B641" s="2" t="s">
        <v>1920</v>
      </c>
      <c r="C641" s="2" t="s">
        <v>1921</v>
      </c>
      <c r="D641" s="2" t="s">
        <v>10040</v>
      </c>
      <c r="E641" s="15">
        <v>-0.1028</v>
      </c>
      <c r="F641" s="15">
        <v>0.18870000000000001</v>
      </c>
      <c r="G641" s="15">
        <v>3.0000000000000001E-3</v>
      </c>
      <c r="H641" s="15">
        <v>9.7299999999999998E-2</v>
      </c>
      <c r="I641" s="15">
        <v>0.18306780635661199</v>
      </c>
    </row>
    <row r="642" spans="1:9" x14ac:dyDescent="0.2">
      <c r="A642" s="2" t="s">
        <v>1922</v>
      </c>
      <c r="B642" s="2" t="s">
        <v>1923</v>
      </c>
      <c r="C642" s="2" t="s">
        <v>1924</v>
      </c>
      <c r="D642" s="2" t="s">
        <v>10040</v>
      </c>
      <c r="E642" s="15">
        <v>-0.27160000000000001</v>
      </c>
      <c r="F642" s="15">
        <v>0.13539999999999999</v>
      </c>
      <c r="G642" s="15">
        <v>-0.1421</v>
      </c>
      <c r="H642" s="15">
        <v>0.17649999999999999</v>
      </c>
      <c r="I642" s="15">
        <v>0.24001768556948719</v>
      </c>
    </row>
    <row r="643" spans="1:9" x14ac:dyDescent="0.2">
      <c r="A643" s="2" t="s">
        <v>1925</v>
      </c>
      <c r="B643" s="2" t="s">
        <v>1926</v>
      </c>
      <c r="C643" s="2" t="s">
        <v>1927</v>
      </c>
      <c r="D643" s="2" t="s">
        <v>10040</v>
      </c>
      <c r="E643" s="15">
        <v>2.4899999999999999E-2</v>
      </c>
      <c r="F643" s="15">
        <v>8.6099999999999996E-2</v>
      </c>
      <c r="G643" s="15">
        <v>-0.1042</v>
      </c>
      <c r="H643" s="15">
        <v>0.1024</v>
      </c>
      <c r="I643" s="15">
        <v>0.1312393778561021</v>
      </c>
    </row>
    <row r="644" spans="1:9" x14ac:dyDescent="0.2">
      <c r="A644" s="2" t="s">
        <v>1928</v>
      </c>
      <c r="B644" s="2" t="s">
        <v>1929</v>
      </c>
      <c r="C644" s="2" t="s">
        <v>1930</v>
      </c>
      <c r="D644" s="2" t="s">
        <v>10040</v>
      </c>
      <c r="E644" s="15">
        <v>-0.1</v>
      </c>
      <c r="F644" s="15">
        <v>0.1221</v>
      </c>
      <c r="G644" s="15">
        <v>0.17319999999999999</v>
      </c>
      <c r="H644" s="15">
        <v>0.10879999999999999</v>
      </c>
      <c r="I644" s="15">
        <v>1.3944754143864681E-2</v>
      </c>
    </row>
    <row r="645" spans="1:9" x14ac:dyDescent="0.2">
      <c r="A645" s="2" t="s">
        <v>1931</v>
      </c>
      <c r="B645" s="2" t="s">
        <v>1932</v>
      </c>
      <c r="C645" s="2" t="s">
        <v>1933</v>
      </c>
      <c r="D645" s="2" t="s">
        <v>10040</v>
      </c>
      <c r="E645" s="15">
        <v>0.2046</v>
      </c>
      <c r="F645" s="15">
        <v>0.13420000000000001</v>
      </c>
      <c r="G645" s="15">
        <v>9.6600000000000005E-2</v>
      </c>
      <c r="H645" s="15">
        <v>0.15429999999999999</v>
      </c>
      <c r="I645" s="15">
        <v>0.28058535809348378</v>
      </c>
    </row>
    <row r="646" spans="1:9" x14ac:dyDescent="0.2">
      <c r="A646" s="2" t="s">
        <v>1934</v>
      </c>
      <c r="B646" s="2" t="s">
        <v>1935</v>
      </c>
      <c r="C646" s="2" t="s">
        <v>1936</v>
      </c>
      <c r="D646" s="2" t="s">
        <v>10040</v>
      </c>
      <c r="E646" s="15">
        <v>-0.13730000000000001</v>
      </c>
      <c r="F646" s="15">
        <v>9.5600000000000004E-2</v>
      </c>
      <c r="G646" s="15">
        <v>-4.1000000000000003E-3</v>
      </c>
      <c r="H646" s="15">
        <v>0.1174</v>
      </c>
      <c r="I646" s="15">
        <v>0.15820627389945011</v>
      </c>
    </row>
    <row r="647" spans="1:9" x14ac:dyDescent="0.2">
      <c r="A647" s="2" t="s">
        <v>1937</v>
      </c>
      <c r="B647" s="2" t="s">
        <v>1938</v>
      </c>
      <c r="C647" s="2" t="s">
        <v>1939</v>
      </c>
      <c r="D647" s="2" t="s">
        <v>10040</v>
      </c>
      <c r="E647" s="15">
        <v>-0.1749</v>
      </c>
      <c r="F647" s="15">
        <v>9.0499999999999997E-2</v>
      </c>
      <c r="G647" s="15">
        <v>0.16619999999999999</v>
      </c>
      <c r="H647" s="15">
        <v>0.1158</v>
      </c>
      <c r="I647" s="15">
        <v>4.1778487194426674E-3</v>
      </c>
    </row>
    <row r="648" spans="1:9" x14ac:dyDescent="0.2">
      <c r="A648" s="2" t="s">
        <v>1940</v>
      </c>
      <c r="B648" s="2" t="s">
        <v>1941</v>
      </c>
      <c r="C648" s="2" t="s">
        <v>1942</v>
      </c>
      <c r="D648" s="2" t="s">
        <v>10040</v>
      </c>
      <c r="E648" s="15">
        <v>-0.1115</v>
      </c>
      <c r="F648" s="15">
        <v>9.0399999999999994E-2</v>
      </c>
      <c r="G648" s="15">
        <v>7.8600000000000003E-2</v>
      </c>
      <c r="H648" s="15">
        <v>8.14E-2</v>
      </c>
      <c r="I648" s="15">
        <v>1.86414996323572E-2</v>
      </c>
    </row>
    <row r="649" spans="1:9" x14ac:dyDescent="0.2">
      <c r="A649" s="2" t="s">
        <v>1943</v>
      </c>
      <c r="B649" s="2" t="s">
        <v>1944</v>
      </c>
      <c r="C649" s="2" t="s">
        <v>1945</v>
      </c>
      <c r="D649" s="2" t="s">
        <v>10040</v>
      </c>
      <c r="E649" s="15">
        <v>0.14030000000000001</v>
      </c>
      <c r="F649" s="15">
        <v>8.9899999999999994E-2</v>
      </c>
      <c r="G649" s="15">
        <v>-5.91E-2</v>
      </c>
      <c r="H649" s="15">
        <v>0.1082</v>
      </c>
      <c r="I649" s="15">
        <v>5.2834144677781872E-2</v>
      </c>
    </row>
    <row r="650" spans="1:9" x14ac:dyDescent="0.2">
      <c r="A650" s="2" t="s">
        <v>1946</v>
      </c>
      <c r="B650" s="2" t="s">
        <v>1947</v>
      </c>
      <c r="C650" s="2" t="s">
        <v>1948</v>
      </c>
      <c r="D650" s="2" t="s">
        <v>10041</v>
      </c>
      <c r="E650" s="15">
        <v>-0.13500000000000001</v>
      </c>
      <c r="F650" s="15">
        <v>7.6799999999999993E-2</v>
      </c>
      <c r="G650" s="15">
        <v>5.3199999999999997E-2</v>
      </c>
      <c r="H650" s="15">
        <v>7.7499999999999999E-2</v>
      </c>
      <c r="I650" s="15">
        <v>1.3935001009098349E-2</v>
      </c>
    </row>
    <row r="651" spans="1:9" x14ac:dyDescent="0.2">
      <c r="A651" s="2" t="s">
        <v>1949</v>
      </c>
      <c r="B651" s="2" t="s">
        <v>1950</v>
      </c>
      <c r="C651" s="2" t="s">
        <v>1951</v>
      </c>
      <c r="D651" s="2" t="s">
        <v>10041</v>
      </c>
      <c r="E651" s="15">
        <v>-2.7799999999999998E-2</v>
      </c>
      <c r="F651" s="15">
        <v>0.08</v>
      </c>
      <c r="G651" s="15">
        <v>-6.7000000000000004E-2</v>
      </c>
      <c r="H651" s="15">
        <v>0.1062</v>
      </c>
      <c r="I651" s="15">
        <v>0.36939055534126869</v>
      </c>
    </row>
    <row r="652" spans="1:9" x14ac:dyDescent="0.2">
      <c r="A652" s="2" t="s">
        <v>1952</v>
      </c>
      <c r="B652" s="2" t="s">
        <v>1953</v>
      </c>
      <c r="C652" s="2" t="s">
        <v>1954</v>
      </c>
      <c r="D652" s="2" t="s">
        <v>10041</v>
      </c>
      <c r="E652" s="15">
        <v>-0.1875</v>
      </c>
      <c r="F652" s="15">
        <v>0.1744</v>
      </c>
      <c r="G652" s="15">
        <v>3.5099999999999999E-2</v>
      </c>
      <c r="H652" s="15">
        <v>0.1159</v>
      </c>
      <c r="I652" s="15">
        <v>4.2136979652461361E-2</v>
      </c>
    </row>
    <row r="653" spans="1:9" x14ac:dyDescent="0.2">
      <c r="A653" s="2" t="s">
        <v>1955</v>
      </c>
      <c r="B653" s="2" t="s">
        <v>1956</v>
      </c>
      <c r="C653" s="2" t="s">
        <v>1957</v>
      </c>
      <c r="D653" s="2" t="s">
        <v>10041</v>
      </c>
      <c r="E653" s="15">
        <v>-5.4699999999999999E-2</v>
      </c>
      <c r="F653" s="15">
        <v>8.1299999999999997E-2</v>
      </c>
      <c r="G653" s="15">
        <v>-3.8300000000000001E-2</v>
      </c>
      <c r="H653" s="15">
        <v>0.1002</v>
      </c>
      <c r="I653" s="15">
        <v>0.44130272079814209</v>
      </c>
    </row>
    <row r="654" spans="1:9" x14ac:dyDescent="0.2">
      <c r="A654" s="2" t="s">
        <v>1958</v>
      </c>
      <c r="B654" s="2" t="s">
        <v>1959</v>
      </c>
      <c r="C654" s="2" t="s">
        <v>1960</v>
      </c>
      <c r="D654" s="2" t="s">
        <v>10041</v>
      </c>
      <c r="E654" s="15">
        <v>5.3600000000000002E-2</v>
      </c>
      <c r="F654" s="15">
        <v>6.6900000000000001E-2</v>
      </c>
      <c r="G654" s="15">
        <v>3.49E-2</v>
      </c>
      <c r="H654" s="15">
        <v>7.9399999999999998E-2</v>
      </c>
      <c r="I654" s="15">
        <v>0.41531775213138838</v>
      </c>
    </row>
    <row r="655" spans="1:9" x14ac:dyDescent="0.2">
      <c r="A655" s="2" t="s">
        <v>1961</v>
      </c>
      <c r="B655" s="2" t="s">
        <v>1962</v>
      </c>
      <c r="C655" s="2" t="s">
        <v>1963</v>
      </c>
      <c r="D655" s="2" t="s">
        <v>10041</v>
      </c>
      <c r="E655" s="15">
        <v>6.0100000000000001E-2</v>
      </c>
      <c r="F655" s="15">
        <v>7.1300000000000002E-2</v>
      </c>
      <c r="G655" s="15">
        <v>6.0100000000000001E-2</v>
      </c>
      <c r="H655" s="15">
        <v>7.7100000000000002E-2</v>
      </c>
      <c r="I655" s="15">
        <v>0.5</v>
      </c>
    </row>
    <row r="656" spans="1:9" x14ac:dyDescent="0.2">
      <c r="A656" s="2" t="s">
        <v>1964</v>
      </c>
      <c r="B656" s="2" t="s">
        <v>1965</v>
      </c>
      <c r="C656" s="2" t="s">
        <v>1966</v>
      </c>
      <c r="D656" s="2" t="s">
        <v>10041</v>
      </c>
      <c r="E656" s="15">
        <v>1.35E-2</v>
      </c>
      <c r="F656" s="15">
        <v>7.9600000000000004E-2</v>
      </c>
      <c r="G656" s="15">
        <v>-2.2200000000000001E-2</v>
      </c>
      <c r="H656" s="15">
        <v>0.1045</v>
      </c>
      <c r="I656" s="15">
        <v>0.37651767143017068</v>
      </c>
    </row>
    <row r="657" spans="1:9" x14ac:dyDescent="0.2">
      <c r="A657" s="2" t="s">
        <v>1967</v>
      </c>
      <c r="B657" s="2" t="s">
        <v>1968</v>
      </c>
      <c r="C657" s="2" t="s">
        <v>1969</v>
      </c>
      <c r="D657" s="2" t="s">
        <v>10041</v>
      </c>
      <c r="E657" s="15">
        <v>-0.1368</v>
      </c>
      <c r="F657" s="15">
        <v>9.06E-2</v>
      </c>
      <c r="G657" s="15">
        <v>8.1900000000000001E-2</v>
      </c>
      <c r="H657" s="15">
        <v>8.5400000000000004E-2</v>
      </c>
      <c r="I657" s="15">
        <v>1.2113273506601799E-2</v>
      </c>
    </row>
    <row r="658" spans="1:9" x14ac:dyDescent="0.2">
      <c r="A658" s="2" t="s">
        <v>1970</v>
      </c>
      <c r="B658" s="2" t="s">
        <v>1971</v>
      </c>
      <c r="C658" s="2" t="s">
        <v>1972</v>
      </c>
      <c r="D658" s="2" t="s">
        <v>10041</v>
      </c>
      <c r="E658" s="15">
        <v>-8.5199999999999998E-2</v>
      </c>
      <c r="F658" s="15">
        <v>9.0499999999999997E-2</v>
      </c>
      <c r="G658" s="15">
        <v>0.09</v>
      </c>
      <c r="H658" s="15">
        <v>7.6899999999999996E-2</v>
      </c>
      <c r="I658" s="15">
        <v>2.368345753658525E-2</v>
      </c>
    </row>
    <row r="659" spans="1:9" x14ac:dyDescent="0.2">
      <c r="A659" s="2" t="s">
        <v>1973</v>
      </c>
      <c r="B659" s="2" t="s">
        <v>1974</v>
      </c>
      <c r="C659" s="2" t="s">
        <v>1975</v>
      </c>
      <c r="D659" s="2" t="s">
        <v>10041</v>
      </c>
      <c r="E659" s="15">
        <v>-0.1046</v>
      </c>
      <c r="F659" s="15">
        <v>9.1499999999999998E-2</v>
      </c>
      <c r="G659" s="15">
        <v>5.4699999999999999E-2</v>
      </c>
      <c r="H659" s="15">
        <v>7.0300000000000001E-2</v>
      </c>
      <c r="I659" s="15">
        <v>3.3869618395428881E-2</v>
      </c>
    </row>
    <row r="660" spans="1:9" x14ac:dyDescent="0.2">
      <c r="A660" s="2" t="s">
        <v>1976</v>
      </c>
      <c r="B660" s="2" t="s">
        <v>1977</v>
      </c>
      <c r="C660" s="2" t="s">
        <v>1978</v>
      </c>
      <c r="D660" s="2" t="s">
        <v>10041</v>
      </c>
      <c r="E660" s="15">
        <v>-0.04</v>
      </c>
      <c r="F660" s="15">
        <v>6.7400000000000002E-2</v>
      </c>
      <c r="G660" s="15">
        <v>-2E-3</v>
      </c>
      <c r="H660" s="15">
        <v>8.1500000000000003E-2</v>
      </c>
      <c r="I660" s="15">
        <v>0.34010694886790133</v>
      </c>
    </row>
    <row r="661" spans="1:9" x14ac:dyDescent="0.2">
      <c r="A661" s="2" t="s">
        <v>1979</v>
      </c>
      <c r="B661" s="2" t="s">
        <v>1980</v>
      </c>
      <c r="C661" s="2" t="s">
        <v>1981</v>
      </c>
      <c r="D661" s="2" t="s">
        <v>10041</v>
      </c>
      <c r="E661" s="15">
        <v>-6.0999999999999999E-2</v>
      </c>
      <c r="F661" s="15">
        <v>7.5700000000000003E-2</v>
      </c>
      <c r="G661" s="15">
        <v>0.13780000000000001</v>
      </c>
      <c r="H661" s="15">
        <v>6.6299999999999998E-2</v>
      </c>
      <c r="I661" s="15">
        <v>4.6410434590045471E-3</v>
      </c>
    </row>
    <row r="662" spans="1:9" x14ac:dyDescent="0.2">
      <c r="A662" s="2" t="s">
        <v>1982</v>
      </c>
      <c r="B662" s="2" t="s">
        <v>1983</v>
      </c>
      <c r="C662" s="2" t="s">
        <v>1984</v>
      </c>
      <c r="D662" s="2" t="s">
        <v>10041</v>
      </c>
      <c r="E662" s="15">
        <v>2.6100000000000002E-2</v>
      </c>
      <c r="F662" s="15">
        <v>7.7200000000000005E-2</v>
      </c>
      <c r="G662" s="15">
        <v>-7.2400000000000006E-2</v>
      </c>
      <c r="H662" s="15">
        <v>7.51E-2</v>
      </c>
      <c r="I662" s="15">
        <v>0.1208142722260144</v>
      </c>
    </row>
    <row r="663" spans="1:9" x14ac:dyDescent="0.2">
      <c r="A663" s="2" t="s">
        <v>1985</v>
      </c>
      <c r="B663" s="2" t="s">
        <v>1986</v>
      </c>
      <c r="C663" s="2" t="s">
        <v>1987</v>
      </c>
      <c r="D663" s="2" t="s">
        <v>10041</v>
      </c>
      <c r="E663" s="15">
        <v>-0.1174</v>
      </c>
      <c r="F663" s="15">
        <v>9.9199999999999997E-2</v>
      </c>
      <c r="G663" s="15">
        <v>7.0300000000000001E-2</v>
      </c>
      <c r="H663" s="15">
        <v>0.1227</v>
      </c>
      <c r="I663" s="15">
        <v>8.0923537358635542E-2</v>
      </c>
    </row>
    <row r="664" spans="1:9" x14ac:dyDescent="0.2">
      <c r="A664" s="2" t="s">
        <v>1988</v>
      </c>
      <c r="B664" s="2" t="s">
        <v>1989</v>
      </c>
      <c r="C664" s="2" t="s">
        <v>1990</v>
      </c>
      <c r="D664" s="2" t="s">
        <v>10041</v>
      </c>
      <c r="E664" s="15">
        <v>-0.15679999999999999</v>
      </c>
      <c r="F664" s="15">
        <v>8.1799999999999998E-2</v>
      </c>
      <c r="G664" s="15">
        <v>3.2899999999999999E-2</v>
      </c>
      <c r="H664" s="15">
        <v>9.7799999999999998E-2</v>
      </c>
      <c r="I664" s="15">
        <v>3.8455530864819093E-2</v>
      </c>
    </row>
    <row r="665" spans="1:9" x14ac:dyDescent="0.2">
      <c r="A665" s="2" t="s">
        <v>1991</v>
      </c>
      <c r="B665" s="2" t="s">
        <v>1992</v>
      </c>
      <c r="C665" s="2" t="s">
        <v>1993</v>
      </c>
      <c r="D665" s="2" t="s">
        <v>10041</v>
      </c>
      <c r="E665" s="15">
        <v>-6.25E-2</v>
      </c>
      <c r="F665" s="15">
        <v>0.1066</v>
      </c>
      <c r="G665" s="15">
        <v>0.1646</v>
      </c>
      <c r="H665" s="15">
        <v>0.1186</v>
      </c>
      <c r="I665" s="15">
        <v>3.670273390668928E-2</v>
      </c>
    </row>
    <row r="666" spans="1:9" x14ac:dyDescent="0.2">
      <c r="A666" s="2" t="s">
        <v>1994</v>
      </c>
      <c r="B666" s="2" t="s">
        <v>1995</v>
      </c>
      <c r="C666" s="2" t="s">
        <v>1996</v>
      </c>
      <c r="D666" s="2" t="s">
        <v>10041</v>
      </c>
      <c r="E666" s="15">
        <v>-5.3E-3</v>
      </c>
      <c r="F666" s="15">
        <v>7.1099999999999997E-2</v>
      </c>
      <c r="G666" s="15">
        <v>0.1198</v>
      </c>
      <c r="H666" s="15">
        <v>7.5399999999999995E-2</v>
      </c>
      <c r="I666" s="15">
        <v>7.1919518343194808E-2</v>
      </c>
    </row>
    <row r="667" spans="1:9" x14ac:dyDescent="0.2">
      <c r="A667" s="2" t="s">
        <v>1997</v>
      </c>
      <c r="B667" s="2" t="s">
        <v>1998</v>
      </c>
      <c r="C667" s="2" t="s">
        <v>1999</v>
      </c>
      <c r="D667" s="2" t="s">
        <v>10041</v>
      </c>
      <c r="E667" s="15">
        <v>-5.2999999999999999E-2</v>
      </c>
      <c r="F667" s="15">
        <v>9.1800000000000007E-2</v>
      </c>
      <c r="G667" s="15">
        <v>0.24179999999999999</v>
      </c>
      <c r="H667" s="15">
        <v>0.12859999999999999</v>
      </c>
      <c r="I667" s="15">
        <v>1.7199611245669089E-2</v>
      </c>
    </row>
    <row r="668" spans="1:9" x14ac:dyDescent="0.2">
      <c r="A668" s="2" t="s">
        <v>2000</v>
      </c>
      <c r="B668" s="2" t="s">
        <v>2001</v>
      </c>
      <c r="C668" s="2" t="s">
        <v>2002</v>
      </c>
      <c r="D668" s="2" t="s">
        <v>10041</v>
      </c>
      <c r="E668" s="15">
        <v>2.5700000000000001E-2</v>
      </c>
      <c r="F668" s="15">
        <v>7.7499999999999999E-2</v>
      </c>
      <c r="G668" s="15">
        <v>0.25540000000000002</v>
      </c>
      <c r="H668" s="15">
        <v>9.6199999999999994E-2</v>
      </c>
      <c r="I668" s="15">
        <v>1.740691901548487E-2</v>
      </c>
    </row>
    <row r="669" spans="1:9" x14ac:dyDescent="0.2">
      <c r="A669" s="2" t="s">
        <v>2003</v>
      </c>
      <c r="B669" s="2" t="s">
        <v>2004</v>
      </c>
      <c r="C669" s="2" t="s">
        <v>2005</v>
      </c>
      <c r="D669" s="2" t="s">
        <v>10041</v>
      </c>
      <c r="E669" s="15">
        <v>-2.4899999999999999E-2</v>
      </c>
      <c r="F669" s="15">
        <v>7.4899999999999994E-2</v>
      </c>
      <c r="G669" s="15">
        <v>0.24229999999999999</v>
      </c>
      <c r="H669" s="15">
        <v>0.11310000000000001</v>
      </c>
      <c r="I669" s="15">
        <v>1.571711819829074E-2</v>
      </c>
    </row>
    <row r="670" spans="1:9" x14ac:dyDescent="0.2">
      <c r="A670" s="2" t="s">
        <v>2006</v>
      </c>
      <c r="B670" s="2" t="s">
        <v>2007</v>
      </c>
      <c r="C670" s="2" t="s">
        <v>2008</v>
      </c>
      <c r="D670" s="2" t="s">
        <v>10041</v>
      </c>
      <c r="E670" s="15">
        <v>0.1095</v>
      </c>
      <c r="F670" s="15">
        <v>5.8799999999999998E-2</v>
      </c>
      <c r="G670" s="15">
        <v>-1.5699999999999999E-2</v>
      </c>
      <c r="H670" s="15">
        <v>7.5700000000000003E-2</v>
      </c>
      <c r="I670" s="15">
        <v>6.8143039875809136E-2</v>
      </c>
    </row>
    <row r="671" spans="1:9" x14ac:dyDescent="0.2">
      <c r="A671" s="2" t="s">
        <v>2009</v>
      </c>
      <c r="B671" s="2" t="s">
        <v>2010</v>
      </c>
      <c r="C671" s="2" t="s">
        <v>2011</v>
      </c>
      <c r="D671" s="2" t="s">
        <v>10041</v>
      </c>
      <c r="E671" s="15">
        <v>-0.14849999999999999</v>
      </c>
      <c r="F671" s="15">
        <v>9.8699999999999996E-2</v>
      </c>
      <c r="G671" s="15">
        <v>-3.1600000000000003E-2</v>
      </c>
      <c r="H671" s="15">
        <v>9.9099999999999994E-2</v>
      </c>
      <c r="I671" s="15">
        <v>0.14448658518830709</v>
      </c>
    </row>
    <row r="672" spans="1:9" x14ac:dyDescent="0.2">
      <c r="A672" s="2" t="s">
        <v>2012</v>
      </c>
      <c r="B672" s="2" t="s">
        <v>2013</v>
      </c>
      <c r="C672" s="2" t="s">
        <v>2014</v>
      </c>
      <c r="D672" s="2" t="s">
        <v>10041</v>
      </c>
      <c r="E672" s="15">
        <v>-6.2799999999999995E-2</v>
      </c>
      <c r="F672" s="15">
        <v>9.1300000000000006E-2</v>
      </c>
      <c r="G672" s="15">
        <v>3.8300000000000001E-2</v>
      </c>
      <c r="H672" s="15">
        <v>9.3799999999999994E-2</v>
      </c>
      <c r="I672" s="15">
        <v>0.16398926180179299</v>
      </c>
    </row>
    <row r="673" spans="1:9" x14ac:dyDescent="0.2">
      <c r="A673" s="2" t="s">
        <v>2015</v>
      </c>
      <c r="B673" s="2" t="s">
        <v>2016</v>
      </c>
      <c r="C673" s="2" t="s">
        <v>2017</v>
      </c>
      <c r="D673" s="2" t="s">
        <v>10041</v>
      </c>
      <c r="E673" s="15">
        <v>-2.06E-2</v>
      </c>
      <c r="F673" s="15">
        <v>7.1400000000000005E-2</v>
      </c>
      <c r="G673" s="15">
        <v>-8.3699999999999997E-2</v>
      </c>
      <c r="H673" s="15">
        <v>9.2499999999999999E-2</v>
      </c>
      <c r="I673" s="15">
        <v>0.26553490326798418</v>
      </c>
    </row>
    <row r="674" spans="1:9" x14ac:dyDescent="0.2">
      <c r="A674" s="2" t="s">
        <v>2018</v>
      </c>
      <c r="B674" s="2" t="s">
        <v>2019</v>
      </c>
      <c r="C674" s="2" t="s">
        <v>2020</v>
      </c>
      <c r="D674" s="2" t="s">
        <v>10041</v>
      </c>
      <c r="E674" s="15">
        <v>-0.1086</v>
      </c>
      <c r="F674" s="15">
        <v>7.8100000000000003E-2</v>
      </c>
      <c r="G674" s="15">
        <v>0.1041</v>
      </c>
      <c r="H674" s="15">
        <v>8.9200000000000002E-2</v>
      </c>
      <c r="I674" s="15">
        <v>1.6909776215512391E-2</v>
      </c>
    </row>
    <row r="675" spans="1:9" x14ac:dyDescent="0.2">
      <c r="A675" s="2" t="s">
        <v>2021</v>
      </c>
      <c r="B675" s="2" t="s">
        <v>2022</v>
      </c>
      <c r="C675" s="2" t="s">
        <v>2023</v>
      </c>
      <c r="D675" s="2" t="s">
        <v>10041</v>
      </c>
      <c r="E675" s="15">
        <v>-5.6599999999999998E-2</v>
      </c>
      <c r="F675" s="15">
        <v>8.2600000000000007E-2</v>
      </c>
      <c r="G675" s="15">
        <v>-7.1000000000000004E-3</v>
      </c>
      <c r="H675" s="15">
        <v>0.10150000000000001</v>
      </c>
      <c r="I675" s="15">
        <v>0.33162750298721172</v>
      </c>
    </row>
    <row r="676" spans="1:9" x14ac:dyDescent="0.2">
      <c r="A676" s="2" t="s">
        <v>2024</v>
      </c>
      <c r="B676" s="2" t="s">
        <v>2025</v>
      </c>
      <c r="C676" s="2" t="s">
        <v>2026</v>
      </c>
      <c r="D676" s="2" t="s">
        <v>10041</v>
      </c>
      <c r="E676" s="15">
        <v>-4.53E-2</v>
      </c>
      <c r="F676" s="15">
        <v>6.2E-2</v>
      </c>
      <c r="G676" s="15">
        <v>0.1008</v>
      </c>
      <c r="H676" s="15">
        <v>8.3199999999999996E-2</v>
      </c>
      <c r="I676" s="15">
        <v>5.600088262552852E-2</v>
      </c>
    </row>
    <row r="677" spans="1:9" x14ac:dyDescent="0.2">
      <c r="A677" s="2" t="s">
        <v>2027</v>
      </c>
      <c r="B677" s="2" t="s">
        <v>2028</v>
      </c>
      <c r="C677" s="2" t="s">
        <v>2029</v>
      </c>
      <c r="D677" s="2" t="s">
        <v>10041</v>
      </c>
      <c r="E677" s="15">
        <v>-3.5200000000000002E-2</v>
      </c>
      <c r="F677" s="15">
        <v>7.0699999999999999E-2</v>
      </c>
      <c r="G677" s="15">
        <v>9.8799999999999999E-2</v>
      </c>
      <c r="H677" s="15">
        <v>8.0399999999999999E-2</v>
      </c>
      <c r="I677" s="15">
        <v>7.0927795056769216E-2</v>
      </c>
    </row>
    <row r="678" spans="1:9" x14ac:dyDescent="0.2">
      <c r="A678" s="2" t="s">
        <v>2030</v>
      </c>
      <c r="B678" s="2" t="s">
        <v>2031</v>
      </c>
      <c r="C678" s="2" t="s">
        <v>2032</v>
      </c>
      <c r="D678" s="2" t="s">
        <v>10041</v>
      </c>
      <c r="E678" s="15">
        <v>-0.154</v>
      </c>
      <c r="F678" s="15">
        <v>7.6700000000000004E-2</v>
      </c>
      <c r="G678" s="15">
        <v>-5.5800000000000002E-2</v>
      </c>
      <c r="H678" s="15">
        <v>9.0499999999999997E-2</v>
      </c>
      <c r="I678" s="15">
        <v>0.16088245416961991</v>
      </c>
    </row>
    <row r="679" spans="1:9" x14ac:dyDescent="0.2">
      <c r="A679" s="2" t="s">
        <v>2033</v>
      </c>
      <c r="B679" s="2" t="s">
        <v>2034</v>
      </c>
      <c r="C679" s="2" t="s">
        <v>2035</v>
      </c>
      <c r="D679" s="2" t="s">
        <v>10041</v>
      </c>
      <c r="E679" s="15">
        <v>-7.2900000000000006E-2</v>
      </c>
      <c r="F679" s="15">
        <v>6.5500000000000003E-2</v>
      </c>
      <c r="G679" s="15">
        <v>1.2500000000000001E-2</v>
      </c>
      <c r="H679" s="15">
        <v>6.9400000000000003E-2</v>
      </c>
      <c r="I679" s="15">
        <v>0.1352520391396983</v>
      </c>
    </row>
    <row r="680" spans="1:9" x14ac:dyDescent="0.2">
      <c r="A680" s="2" t="s">
        <v>2036</v>
      </c>
      <c r="B680" s="2" t="s">
        <v>2037</v>
      </c>
      <c r="C680" s="2" t="s">
        <v>2038</v>
      </c>
      <c r="D680" s="2" t="s">
        <v>10041</v>
      </c>
      <c r="E680" s="15">
        <v>-0.23100000000000001</v>
      </c>
      <c r="F680" s="15">
        <v>9.6500000000000002E-2</v>
      </c>
      <c r="G680" s="15">
        <v>-0.1193</v>
      </c>
      <c r="H680" s="15">
        <v>7.5800000000000006E-2</v>
      </c>
      <c r="I680" s="15">
        <v>0.1093295279431391</v>
      </c>
    </row>
    <row r="681" spans="1:9" x14ac:dyDescent="0.2">
      <c r="A681" s="2" t="s">
        <v>2039</v>
      </c>
      <c r="B681" s="2" t="s">
        <v>2040</v>
      </c>
      <c r="C681" s="2" t="s">
        <v>2041</v>
      </c>
      <c r="D681" s="2" t="s">
        <v>10041</v>
      </c>
      <c r="E681" s="15">
        <v>-9.7900000000000001E-2</v>
      </c>
      <c r="F681" s="15">
        <v>8.4199999999999997E-2</v>
      </c>
      <c r="G681" s="15">
        <v>0.14929999999999999</v>
      </c>
      <c r="H681" s="15">
        <v>0.1694</v>
      </c>
      <c r="I681" s="15">
        <v>9.1430063830762257E-2</v>
      </c>
    </row>
    <row r="682" spans="1:9" x14ac:dyDescent="0.2">
      <c r="A682" s="2" t="s">
        <v>2042</v>
      </c>
      <c r="B682" s="2" t="s">
        <v>2043</v>
      </c>
      <c r="C682" s="2" t="s">
        <v>2044</v>
      </c>
      <c r="D682" s="2" t="s">
        <v>10041</v>
      </c>
      <c r="E682" s="15">
        <v>-1.9800000000000002E-2</v>
      </c>
      <c r="F682" s="15">
        <v>7.9699999999999993E-2</v>
      </c>
      <c r="G682" s="15">
        <v>-5.2200000000000003E-2</v>
      </c>
      <c r="H682" s="15">
        <v>9.7900000000000001E-2</v>
      </c>
      <c r="I682" s="15">
        <v>0.38253708993910851</v>
      </c>
    </row>
    <row r="683" spans="1:9" x14ac:dyDescent="0.2">
      <c r="A683" s="2" t="s">
        <v>2045</v>
      </c>
      <c r="B683" s="2" t="s">
        <v>2046</v>
      </c>
      <c r="C683" s="2" t="s">
        <v>2047</v>
      </c>
      <c r="D683" s="2" t="s">
        <v>10041</v>
      </c>
      <c r="E683" s="15">
        <v>-1.5E-3</v>
      </c>
      <c r="F683" s="15">
        <v>8.8099999999999998E-2</v>
      </c>
      <c r="G683" s="15">
        <v>-5.9799999999999999E-2</v>
      </c>
      <c r="H683" s="15">
        <v>7.7399999999999997E-2</v>
      </c>
      <c r="I683" s="15">
        <v>0.25374316283477938</v>
      </c>
    </row>
    <row r="684" spans="1:9" x14ac:dyDescent="0.2">
      <c r="A684" s="2" t="s">
        <v>2048</v>
      </c>
      <c r="B684" s="2" t="s">
        <v>2049</v>
      </c>
      <c r="C684" s="2" t="s">
        <v>2050</v>
      </c>
      <c r="D684" s="2" t="s">
        <v>10041</v>
      </c>
      <c r="E684" s="15">
        <v>-0.14660000000000001</v>
      </c>
      <c r="F684" s="15">
        <v>7.3800000000000004E-2</v>
      </c>
      <c r="G684" s="15">
        <v>1.44E-2</v>
      </c>
      <c r="H684" s="15">
        <v>8.1799999999999998E-2</v>
      </c>
      <c r="I684" s="15">
        <v>3.5433978927570317E-2</v>
      </c>
    </row>
    <row r="685" spans="1:9" x14ac:dyDescent="0.2">
      <c r="A685" s="2" t="s">
        <v>2051</v>
      </c>
      <c r="B685" s="2" t="s">
        <v>2052</v>
      </c>
      <c r="C685" s="2" t="s">
        <v>2053</v>
      </c>
      <c r="D685" s="2" t="s">
        <v>10041</v>
      </c>
      <c r="E685" s="15">
        <v>-0.11650000000000001</v>
      </c>
      <c r="F685" s="15">
        <v>0.10580000000000001</v>
      </c>
      <c r="G685" s="15">
        <v>-5.5999999999999999E-3</v>
      </c>
      <c r="H685" s="15">
        <v>0.1082</v>
      </c>
      <c r="I685" s="15">
        <v>0.172776628583173</v>
      </c>
    </row>
    <row r="686" spans="1:9" x14ac:dyDescent="0.2">
      <c r="A686" s="2" t="s">
        <v>2054</v>
      </c>
      <c r="B686" s="2" t="s">
        <v>2055</v>
      </c>
      <c r="C686" s="2" t="s">
        <v>2056</v>
      </c>
      <c r="D686" s="2" t="s">
        <v>10041</v>
      </c>
      <c r="E686" s="15">
        <v>-3.3399999999999999E-2</v>
      </c>
      <c r="F686" s="15">
        <v>0.1022</v>
      </c>
      <c r="G686" s="15">
        <v>1.61E-2</v>
      </c>
      <c r="H686" s="15">
        <v>0.1076</v>
      </c>
      <c r="I686" s="15">
        <v>0.34104008777652661</v>
      </c>
    </row>
    <row r="687" spans="1:9" x14ac:dyDescent="0.2">
      <c r="A687" s="2" t="s">
        <v>2057</v>
      </c>
      <c r="B687" s="2" t="s">
        <v>2058</v>
      </c>
      <c r="C687" s="2" t="s">
        <v>2059</v>
      </c>
      <c r="D687" s="2" t="s">
        <v>10041</v>
      </c>
      <c r="E687" s="15">
        <v>7.0000000000000001E-3</v>
      </c>
      <c r="F687" s="15">
        <v>8.0100000000000005E-2</v>
      </c>
      <c r="G687" s="15">
        <v>4.36E-2</v>
      </c>
      <c r="H687" s="15">
        <v>9.7100000000000006E-2</v>
      </c>
      <c r="I687" s="15">
        <v>0.36503138280754088</v>
      </c>
    </row>
    <row r="688" spans="1:9" x14ac:dyDescent="0.2">
      <c r="A688" s="2" t="s">
        <v>2060</v>
      </c>
      <c r="B688" s="2" t="s">
        <v>2061</v>
      </c>
      <c r="C688" s="2" t="s">
        <v>2062</v>
      </c>
      <c r="D688" s="2" t="s">
        <v>10041</v>
      </c>
      <c r="E688" s="15">
        <v>1.0200000000000001E-2</v>
      </c>
      <c r="F688" s="15">
        <v>7.1800000000000003E-2</v>
      </c>
      <c r="G688" s="15">
        <v>0.08</v>
      </c>
      <c r="H688" s="15">
        <v>8.3299999999999999E-2</v>
      </c>
      <c r="I688" s="15">
        <v>0.22000289867683251</v>
      </c>
    </row>
    <row r="689" spans="1:9" x14ac:dyDescent="0.2">
      <c r="A689" s="2" t="s">
        <v>2063</v>
      </c>
      <c r="B689" s="2" t="s">
        <v>2064</v>
      </c>
      <c r="C689" s="2" t="s">
        <v>2065</v>
      </c>
      <c r="D689" s="2" t="s">
        <v>10041</v>
      </c>
      <c r="E689" s="15">
        <v>4.1000000000000002E-2</v>
      </c>
      <c r="F689" s="15">
        <v>9.74E-2</v>
      </c>
      <c r="G689" s="15">
        <v>0.17100000000000001</v>
      </c>
      <c r="H689" s="15">
        <v>0.1195</v>
      </c>
      <c r="I689" s="15">
        <v>0.1561639110773082</v>
      </c>
    </row>
    <row r="690" spans="1:9" x14ac:dyDescent="0.2">
      <c r="A690" s="2" t="s">
        <v>2066</v>
      </c>
      <c r="B690" s="2" t="s">
        <v>2067</v>
      </c>
      <c r="C690" s="2" t="s">
        <v>2068</v>
      </c>
      <c r="D690" s="2" t="s">
        <v>10041</v>
      </c>
      <c r="E690" s="15">
        <v>8.6E-3</v>
      </c>
      <c r="F690" s="15">
        <v>7.4999999999999997E-2</v>
      </c>
      <c r="G690" s="15">
        <v>0.03</v>
      </c>
      <c r="H690" s="15">
        <v>8.6599999999999996E-2</v>
      </c>
      <c r="I690" s="15">
        <v>0.4136226010484762</v>
      </c>
    </row>
    <row r="691" spans="1:9" x14ac:dyDescent="0.2">
      <c r="A691" s="2" t="s">
        <v>2069</v>
      </c>
      <c r="B691" s="2" t="s">
        <v>2070</v>
      </c>
      <c r="C691" s="2" t="s">
        <v>2071</v>
      </c>
      <c r="D691" s="2" t="s">
        <v>10041</v>
      </c>
      <c r="E691" s="15">
        <v>-0.1971</v>
      </c>
      <c r="F691" s="15">
        <v>0.1095</v>
      </c>
      <c r="G691" s="15">
        <v>1.21E-2</v>
      </c>
      <c r="H691" s="15">
        <v>8.77E-2</v>
      </c>
      <c r="I691" s="15">
        <v>1.7930048416663649E-2</v>
      </c>
    </row>
    <row r="692" spans="1:9" x14ac:dyDescent="0.2">
      <c r="A692" s="2" t="s">
        <v>2072</v>
      </c>
      <c r="B692" s="2" t="s">
        <v>2073</v>
      </c>
      <c r="C692" s="2" t="s">
        <v>2074</v>
      </c>
      <c r="D692" s="2" t="s">
        <v>10041</v>
      </c>
      <c r="E692" s="15">
        <v>-0.1066</v>
      </c>
      <c r="F692" s="15">
        <v>8.4099999999999994E-2</v>
      </c>
      <c r="G692" s="15">
        <v>-0.1062</v>
      </c>
      <c r="H692" s="15">
        <v>8.2299999999999998E-2</v>
      </c>
      <c r="I692" s="15">
        <v>0.49830922726984822</v>
      </c>
    </row>
    <row r="693" spans="1:9" x14ac:dyDescent="0.2">
      <c r="A693" s="2" t="s">
        <v>2075</v>
      </c>
      <c r="B693" s="2" t="s">
        <v>2076</v>
      </c>
      <c r="C693" s="2" t="s">
        <v>2077</v>
      </c>
      <c r="D693" s="2" t="s">
        <v>10041</v>
      </c>
      <c r="E693" s="15">
        <v>-5.11E-2</v>
      </c>
      <c r="F693" s="15">
        <v>9.0399999999999994E-2</v>
      </c>
      <c r="G693" s="15">
        <v>3.8999999999999998E-3</v>
      </c>
      <c r="H693" s="15">
        <v>7.4800000000000005E-2</v>
      </c>
      <c r="I693" s="15">
        <v>0.2692539353059008</v>
      </c>
    </row>
    <row r="694" spans="1:9" x14ac:dyDescent="0.2">
      <c r="A694" s="2" t="s">
        <v>2078</v>
      </c>
      <c r="B694" s="2" t="s">
        <v>2079</v>
      </c>
      <c r="C694" s="2" t="s">
        <v>2080</v>
      </c>
      <c r="D694" s="2" t="s">
        <v>10041</v>
      </c>
      <c r="E694" s="15">
        <v>-8.5099999999999995E-2</v>
      </c>
      <c r="F694" s="15">
        <v>7.17E-2</v>
      </c>
      <c r="G694" s="15">
        <v>-8.14E-2</v>
      </c>
      <c r="H694" s="15">
        <v>9.3600000000000003E-2</v>
      </c>
      <c r="I694" s="15">
        <v>0.48540227611668668</v>
      </c>
    </row>
    <row r="695" spans="1:9" x14ac:dyDescent="0.2">
      <c r="A695" s="2" t="s">
        <v>2081</v>
      </c>
      <c r="B695" s="2" t="s">
        <v>2082</v>
      </c>
      <c r="C695" s="2" t="s">
        <v>2083</v>
      </c>
      <c r="D695" s="2" t="s">
        <v>10041</v>
      </c>
      <c r="E695" s="15">
        <v>-8.1100000000000005E-2</v>
      </c>
      <c r="F695" s="15">
        <v>9.4600000000000004E-2</v>
      </c>
      <c r="G695" s="15">
        <v>0.20880000000000001</v>
      </c>
      <c r="H695" s="15">
        <v>8.14E-2</v>
      </c>
      <c r="I695" s="15">
        <v>9.3946209817638256E-4</v>
      </c>
    </row>
    <row r="696" spans="1:9" x14ac:dyDescent="0.2">
      <c r="A696" s="2" t="s">
        <v>2084</v>
      </c>
      <c r="B696" s="2" t="s">
        <v>2085</v>
      </c>
      <c r="C696" s="2" t="s">
        <v>2086</v>
      </c>
      <c r="D696" s="2" t="s">
        <v>10041</v>
      </c>
      <c r="E696" s="15">
        <v>2.0899999999999998E-2</v>
      </c>
      <c r="F696" s="15">
        <v>0.08</v>
      </c>
      <c r="G696" s="15">
        <v>-4.6600000000000003E-2</v>
      </c>
      <c r="H696" s="15">
        <v>8.0100000000000005E-2</v>
      </c>
      <c r="I696" s="15">
        <v>0.22410415597955369</v>
      </c>
    </row>
    <row r="697" spans="1:9" x14ac:dyDescent="0.2">
      <c r="A697" s="2" t="s">
        <v>2087</v>
      </c>
      <c r="B697" s="2" t="s">
        <v>2088</v>
      </c>
      <c r="C697" s="2" t="s">
        <v>2089</v>
      </c>
      <c r="D697" s="2" t="s">
        <v>10041</v>
      </c>
      <c r="E697" s="15">
        <v>-5.4800000000000001E-2</v>
      </c>
      <c r="F697" s="15">
        <v>8.8200000000000001E-2</v>
      </c>
      <c r="G697" s="15">
        <v>8.48E-2</v>
      </c>
      <c r="H697" s="15">
        <v>9.5699999999999993E-2</v>
      </c>
      <c r="I697" s="15">
        <v>9.4030291558609619E-2</v>
      </c>
    </row>
    <row r="698" spans="1:9" x14ac:dyDescent="0.2">
      <c r="A698" s="2" t="s">
        <v>2090</v>
      </c>
      <c r="B698" s="2" t="s">
        <v>2091</v>
      </c>
      <c r="C698" s="2" t="s">
        <v>2092</v>
      </c>
      <c r="D698" s="2" t="s">
        <v>10041</v>
      </c>
      <c r="E698" s="15">
        <v>-0.19819999999999999</v>
      </c>
      <c r="F698" s="15">
        <v>7.3400000000000007E-2</v>
      </c>
      <c r="G698" s="15">
        <v>-9.6199999999999994E-2</v>
      </c>
      <c r="H698" s="15">
        <v>8.2600000000000007E-2</v>
      </c>
      <c r="I698" s="15">
        <v>0.13573924044369789</v>
      </c>
    </row>
    <row r="699" spans="1:9" x14ac:dyDescent="0.2">
      <c r="A699" s="2" t="s">
        <v>2093</v>
      </c>
      <c r="B699" s="2" t="s">
        <v>2094</v>
      </c>
      <c r="C699" s="2" t="s">
        <v>2095</v>
      </c>
      <c r="D699" s="2" t="s">
        <v>10041</v>
      </c>
      <c r="E699" s="15">
        <v>-0.10150000000000001</v>
      </c>
      <c r="F699" s="15">
        <v>8.8400000000000006E-2</v>
      </c>
      <c r="G699" s="15">
        <v>-2.9999999999999997E-4</v>
      </c>
      <c r="H699" s="15">
        <v>0.09</v>
      </c>
      <c r="I699" s="15">
        <v>0.15652262954861801</v>
      </c>
    </row>
    <row r="700" spans="1:9" x14ac:dyDescent="0.2">
      <c r="A700" s="2" t="s">
        <v>2096</v>
      </c>
      <c r="B700" s="2" t="s">
        <v>2097</v>
      </c>
      <c r="C700" s="2" t="s">
        <v>2098</v>
      </c>
      <c r="D700" s="2" t="s">
        <v>10041</v>
      </c>
      <c r="E700" s="15">
        <v>1.6999999999999999E-3</v>
      </c>
      <c r="F700" s="15">
        <v>7.6200000000000004E-2</v>
      </c>
      <c r="G700" s="15">
        <v>0.12529999999999999</v>
      </c>
      <c r="H700" s="15">
        <v>8.6199999999999999E-2</v>
      </c>
      <c r="I700" s="15">
        <v>9.8902603850968551E-2</v>
      </c>
    </row>
    <row r="701" spans="1:9" x14ac:dyDescent="0.2">
      <c r="A701" s="2" t="s">
        <v>2099</v>
      </c>
      <c r="B701" s="2" t="s">
        <v>2100</v>
      </c>
      <c r="C701" s="2" t="s">
        <v>2101</v>
      </c>
      <c r="D701" s="2" t="s">
        <v>10041</v>
      </c>
      <c r="E701" s="15">
        <v>2.5100000000000001E-2</v>
      </c>
      <c r="F701" s="15">
        <v>7.4899999999999994E-2</v>
      </c>
      <c r="G701" s="15">
        <v>4.4999999999999998E-2</v>
      </c>
      <c r="H701" s="15">
        <v>8.9800000000000005E-2</v>
      </c>
      <c r="I701" s="15">
        <v>0.42316712448420668</v>
      </c>
    </row>
    <row r="702" spans="1:9" x14ac:dyDescent="0.2">
      <c r="A702" s="2" t="s">
        <v>2102</v>
      </c>
      <c r="B702" s="2" t="s">
        <v>2103</v>
      </c>
      <c r="C702" s="2" t="s">
        <v>2104</v>
      </c>
      <c r="D702" s="2" t="s">
        <v>10041</v>
      </c>
      <c r="E702" s="15">
        <v>-4.5900000000000003E-2</v>
      </c>
      <c r="F702" s="15">
        <v>7.9100000000000004E-2</v>
      </c>
      <c r="G702" s="15">
        <v>0.1211</v>
      </c>
      <c r="H702" s="15">
        <v>8.77E-2</v>
      </c>
      <c r="I702" s="15">
        <v>4.7183575321629201E-2</v>
      </c>
    </row>
    <row r="703" spans="1:9" x14ac:dyDescent="0.2">
      <c r="A703" s="2" t="s">
        <v>2105</v>
      </c>
      <c r="B703" s="2" t="s">
        <v>2106</v>
      </c>
      <c r="C703" s="2" t="s">
        <v>2107</v>
      </c>
      <c r="D703" s="2" t="s">
        <v>10041</v>
      </c>
      <c r="E703" s="15">
        <v>0.14230000000000001</v>
      </c>
      <c r="F703" s="15">
        <v>8.5199999999999998E-2</v>
      </c>
      <c r="G703" s="15">
        <v>0.12690000000000001</v>
      </c>
      <c r="H703" s="15">
        <v>8.1799999999999998E-2</v>
      </c>
      <c r="I703" s="15">
        <v>0.43584793883724721</v>
      </c>
    </row>
    <row r="704" spans="1:9" x14ac:dyDescent="0.2">
      <c r="A704" s="2" t="s">
        <v>2108</v>
      </c>
      <c r="B704" s="2" t="s">
        <v>2109</v>
      </c>
      <c r="C704" s="2" t="s">
        <v>2110</v>
      </c>
      <c r="D704" s="2" t="s">
        <v>10041</v>
      </c>
      <c r="E704" s="15">
        <v>0.11269999999999999</v>
      </c>
      <c r="F704" s="15">
        <v>6.3100000000000003E-2</v>
      </c>
      <c r="G704" s="15">
        <v>-1.6999999999999999E-3</v>
      </c>
      <c r="H704" s="15">
        <v>6.8000000000000005E-2</v>
      </c>
      <c r="I704" s="15">
        <v>6.6652771646017628E-2</v>
      </c>
    </row>
    <row r="705" spans="1:9" x14ac:dyDescent="0.2">
      <c r="A705" s="2" t="s">
        <v>2111</v>
      </c>
      <c r="B705" s="2" t="s">
        <v>2112</v>
      </c>
      <c r="C705" s="2" t="s">
        <v>2113</v>
      </c>
      <c r="D705" s="2" t="s">
        <v>10041</v>
      </c>
      <c r="E705" s="15">
        <v>-0.19500000000000001</v>
      </c>
      <c r="F705" s="15">
        <v>9.9900000000000003E-2</v>
      </c>
      <c r="G705" s="15">
        <v>-0.12609999999999999</v>
      </c>
      <c r="H705" s="15">
        <v>0.10299999999999999</v>
      </c>
      <c r="I705" s="15">
        <v>0.26908421403757499</v>
      </c>
    </row>
    <row r="706" spans="1:9" x14ac:dyDescent="0.2">
      <c r="A706" s="2" t="s">
        <v>2114</v>
      </c>
      <c r="B706" s="2" t="s">
        <v>2115</v>
      </c>
      <c r="C706" s="2" t="s">
        <v>2116</v>
      </c>
      <c r="D706" s="2" t="s">
        <v>10041</v>
      </c>
      <c r="E706" s="15">
        <v>-5.0999999999999997E-2</v>
      </c>
      <c r="F706" s="15">
        <v>8.5099999999999995E-2</v>
      </c>
      <c r="G706" s="15">
        <v>1.4E-3</v>
      </c>
      <c r="H706" s="15">
        <v>7.9299999999999995E-2</v>
      </c>
      <c r="I706" s="15">
        <v>0.28211805058199679</v>
      </c>
    </row>
    <row r="707" spans="1:9" x14ac:dyDescent="0.2">
      <c r="A707" s="2" t="s">
        <v>2117</v>
      </c>
      <c r="B707" s="2" t="s">
        <v>2118</v>
      </c>
      <c r="C707" s="2" t="s">
        <v>2119</v>
      </c>
      <c r="D707" s="2" t="s">
        <v>10041</v>
      </c>
      <c r="E707" s="15">
        <v>-0.15290000000000001</v>
      </c>
      <c r="F707" s="15">
        <v>7.17E-2</v>
      </c>
      <c r="G707" s="15">
        <v>5.1200000000000002E-2</v>
      </c>
      <c r="H707" s="15">
        <v>9.0200000000000002E-2</v>
      </c>
      <c r="I707" s="15">
        <v>1.848558148209473E-2</v>
      </c>
    </row>
    <row r="708" spans="1:9" x14ac:dyDescent="0.2">
      <c r="A708" s="2" t="s">
        <v>2120</v>
      </c>
      <c r="B708" s="2" t="s">
        <v>2121</v>
      </c>
      <c r="C708" s="2" t="s">
        <v>2122</v>
      </c>
      <c r="D708" s="2" t="s">
        <v>10041</v>
      </c>
      <c r="E708" s="15">
        <v>-0.1789</v>
      </c>
      <c r="F708" s="15">
        <v>8.1199999999999994E-2</v>
      </c>
      <c r="G708" s="15">
        <v>2.86E-2</v>
      </c>
      <c r="H708" s="15">
        <v>7.0800000000000002E-2</v>
      </c>
      <c r="I708" s="15">
        <v>6.4863682794960914E-3</v>
      </c>
    </row>
    <row r="709" spans="1:9" x14ac:dyDescent="0.2">
      <c r="A709" s="2" t="s">
        <v>2123</v>
      </c>
      <c r="B709" s="2" t="s">
        <v>2124</v>
      </c>
      <c r="C709" s="2" t="s">
        <v>2125</v>
      </c>
      <c r="D709" s="2" t="s">
        <v>10041</v>
      </c>
      <c r="E709" s="15">
        <v>-3.6600000000000001E-2</v>
      </c>
      <c r="F709" s="15">
        <v>0.1246</v>
      </c>
      <c r="G709" s="15">
        <v>-4.9799999999999997E-2</v>
      </c>
      <c r="H709" s="15">
        <v>0.1065</v>
      </c>
      <c r="I709" s="15">
        <v>0.45627229143901238</v>
      </c>
    </row>
    <row r="710" spans="1:9" x14ac:dyDescent="0.2">
      <c r="A710" s="2" t="s">
        <v>2126</v>
      </c>
      <c r="B710" s="2" t="s">
        <v>2127</v>
      </c>
      <c r="C710" s="2" t="s">
        <v>2128</v>
      </c>
      <c r="D710" s="2" t="s">
        <v>10041</v>
      </c>
      <c r="E710" s="15">
        <v>-0.1144</v>
      </c>
      <c r="F710" s="15">
        <v>7.8200000000000006E-2</v>
      </c>
      <c r="G710" s="15">
        <v>-1.7999999999999999E-2</v>
      </c>
      <c r="H710" s="15">
        <v>7.7600000000000002E-2</v>
      </c>
      <c r="I710" s="15">
        <v>0.1391336925103549</v>
      </c>
    </row>
    <row r="711" spans="1:9" x14ac:dyDescent="0.2">
      <c r="A711" s="2" t="s">
        <v>2129</v>
      </c>
      <c r="B711" s="2" t="s">
        <v>2130</v>
      </c>
      <c r="C711" s="2" t="s">
        <v>2131</v>
      </c>
      <c r="D711" s="2" t="s">
        <v>10041</v>
      </c>
      <c r="E711" s="15">
        <v>-2.3699999999999999E-2</v>
      </c>
      <c r="F711" s="15">
        <v>6.7599999999999993E-2</v>
      </c>
      <c r="G711" s="15">
        <v>0.1653</v>
      </c>
      <c r="H711" s="15">
        <v>8.77E-2</v>
      </c>
      <c r="I711" s="15">
        <v>2.8164692988915829E-2</v>
      </c>
    </row>
    <row r="712" spans="1:9" x14ac:dyDescent="0.2">
      <c r="A712" s="2" t="s">
        <v>2132</v>
      </c>
      <c r="B712" s="2" t="s">
        <v>2133</v>
      </c>
      <c r="C712" s="2" t="s">
        <v>2134</v>
      </c>
      <c r="D712" s="2" t="s">
        <v>10041</v>
      </c>
      <c r="E712" s="15">
        <v>-0.23499999999999999</v>
      </c>
      <c r="F712" s="15">
        <v>0.10290000000000001</v>
      </c>
      <c r="G712" s="15">
        <v>2.9100000000000001E-2</v>
      </c>
      <c r="H712" s="15">
        <v>8.3599999999999994E-2</v>
      </c>
      <c r="I712" s="15">
        <v>2.738678003519796E-3</v>
      </c>
    </row>
    <row r="713" spans="1:9" x14ac:dyDescent="0.2">
      <c r="A713" s="2" t="s">
        <v>2135</v>
      </c>
      <c r="B713" s="2" t="s">
        <v>2136</v>
      </c>
      <c r="C713" s="2" t="s">
        <v>2137</v>
      </c>
      <c r="D713" s="2" t="s">
        <v>10041</v>
      </c>
      <c r="E713" s="15">
        <v>1.9800000000000002E-2</v>
      </c>
      <c r="F713" s="15">
        <v>7.0000000000000007E-2</v>
      </c>
      <c r="G713" s="15">
        <v>-4.3200000000000002E-2</v>
      </c>
      <c r="H713" s="15">
        <v>7.0400000000000004E-2</v>
      </c>
      <c r="I713" s="15">
        <v>0.21253017307653749</v>
      </c>
    </row>
    <row r="714" spans="1:9" x14ac:dyDescent="0.2">
      <c r="A714" s="2" t="s">
        <v>2138</v>
      </c>
      <c r="B714" s="2" t="s">
        <v>2139</v>
      </c>
      <c r="C714" s="2" t="s">
        <v>2140</v>
      </c>
      <c r="D714" s="2" t="s">
        <v>10041</v>
      </c>
      <c r="E714" s="15">
        <v>-3.8600000000000002E-2</v>
      </c>
      <c r="F714" s="15">
        <v>8.2000000000000003E-2</v>
      </c>
      <c r="G714" s="15">
        <v>-0.17150000000000001</v>
      </c>
      <c r="H714" s="15">
        <v>0.1167</v>
      </c>
      <c r="I714" s="15">
        <v>0.14357733193798339</v>
      </c>
    </row>
    <row r="715" spans="1:9" x14ac:dyDescent="0.2">
      <c r="A715" s="2" t="s">
        <v>2141</v>
      </c>
      <c r="B715" s="2" t="s">
        <v>2142</v>
      </c>
      <c r="C715" s="2" t="s">
        <v>2143</v>
      </c>
      <c r="D715" s="2" t="s">
        <v>10041</v>
      </c>
      <c r="E715" s="15">
        <v>-0.1056</v>
      </c>
      <c r="F715" s="15">
        <v>0.17829999999999999</v>
      </c>
      <c r="G715" s="15">
        <v>1.78E-2</v>
      </c>
      <c r="H715" s="15">
        <v>0.17680000000000001</v>
      </c>
      <c r="I715" s="15">
        <v>0.26220280584493932</v>
      </c>
    </row>
    <row r="716" spans="1:9" x14ac:dyDescent="0.2">
      <c r="A716" s="2" t="s">
        <v>2144</v>
      </c>
      <c r="B716" s="2" t="s">
        <v>2145</v>
      </c>
      <c r="C716" s="2" t="s">
        <v>2146</v>
      </c>
      <c r="D716" s="2" t="s">
        <v>10041</v>
      </c>
      <c r="E716" s="15">
        <v>-5.4300000000000001E-2</v>
      </c>
      <c r="F716" s="15">
        <v>8.5800000000000001E-2</v>
      </c>
      <c r="G716" s="15">
        <v>-1.04E-2</v>
      </c>
      <c r="H716" s="15">
        <v>8.1900000000000001E-2</v>
      </c>
      <c r="I716" s="15">
        <v>0.31865318781318142</v>
      </c>
    </row>
    <row r="717" spans="1:9" x14ac:dyDescent="0.2">
      <c r="A717" s="2" t="s">
        <v>2147</v>
      </c>
      <c r="B717" s="2" t="s">
        <v>2148</v>
      </c>
      <c r="C717" s="2" t="s">
        <v>2149</v>
      </c>
      <c r="D717" s="2" t="s">
        <v>10041</v>
      </c>
      <c r="E717" s="15">
        <v>-2.0799999999999999E-2</v>
      </c>
      <c r="F717" s="15">
        <v>6.9599999999999995E-2</v>
      </c>
      <c r="G717" s="15">
        <v>-0.1171</v>
      </c>
      <c r="H717" s="15">
        <v>7.9899999999999999E-2</v>
      </c>
      <c r="I717" s="15">
        <v>0.14178848157251761</v>
      </c>
    </row>
    <row r="718" spans="1:9" x14ac:dyDescent="0.2">
      <c r="A718" s="2" t="s">
        <v>2150</v>
      </c>
      <c r="B718" s="2" t="s">
        <v>2151</v>
      </c>
      <c r="C718" s="2" t="s">
        <v>2152</v>
      </c>
      <c r="D718" s="2" t="s">
        <v>10041</v>
      </c>
      <c r="E718" s="15">
        <v>-0.1024</v>
      </c>
      <c r="F718" s="15">
        <v>7.3099999999999998E-2</v>
      </c>
      <c r="G718" s="15">
        <v>8.1500000000000003E-2</v>
      </c>
      <c r="H718" s="15">
        <v>8.1900000000000001E-2</v>
      </c>
      <c r="I718" s="15">
        <v>1.960195477359879E-2</v>
      </c>
    </row>
    <row r="719" spans="1:9" x14ac:dyDescent="0.2">
      <c r="A719" s="2" t="s">
        <v>2153</v>
      </c>
      <c r="B719" s="2" t="s">
        <v>2154</v>
      </c>
      <c r="C719" s="2" t="s">
        <v>2155</v>
      </c>
      <c r="D719" s="2" t="s">
        <v>10041</v>
      </c>
      <c r="E719" s="15">
        <v>-2.4799999999999999E-2</v>
      </c>
      <c r="F719" s="15">
        <v>0.1057</v>
      </c>
      <c r="G719" s="15">
        <v>-0.10249999999999999</v>
      </c>
      <c r="H719" s="15">
        <v>0.13009999999999999</v>
      </c>
      <c r="I719" s="15">
        <v>0.29483915487250961</v>
      </c>
    </row>
    <row r="720" spans="1:9" x14ac:dyDescent="0.2">
      <c r="A720" s="2" t="s">
        <v>2156</v>
      </c>
      <c r="B720" s="2" t="s">
        <v>2157</v>
      </c>
      <c r="C720" s="2" t="s">
        <v>2158</v>
      </c>
      <c r="D720" s="2" t="s">
        <v>10041</v>
      </c>
      <c r="G720" s="15">
        <v>6.2600000000000003E-2</v>
      </c>
      <c r="H720" s="15">
        <v>0.14760000000000001</v>
      </c>
    </row>
    <row r="721" spans="1:9" x14ac:dyDescent="0.2">
      <c r="A721" s="2" t="s">
        <v>2159</v>
      </c>
      <c r="B721" s="2" t="s">
        <v>2160</v>
      </c>
      <c r="C721" s="2" t="s">
        <v>2161</v>
      </c>
      <c r="D721" s="2" t="s">
        <v>10041</v>
      </c>
      <c r="E721" s="15">
        <v>-1.3599999999999999E-2</v>
      </c>
      <c r="F721" s="15">
        <v>8.0399999999999999E-2</v>
      </c>
      <c r="G721" s="15">
        <v>-4.6100000000000002E-2</v>
      </c>
      <c r="H721" s="15">
        <v>0.1139</v>
      </c>
      <c r="I721" s="15">
        <v>0.39759901343306059</v>
      </c>
    </row>
    <row r="722" spans="1:9" x14ac:dyDescent="0.2">
      <c r="A722" s="2" t="s">
        <v>2162</v>
      </c>
      <c r="B722" s="2" t="s">
        <v>2163</v>
      </c>
      <c r="C722" s="2" t="s">
        <v>2164</v>
      </c>
      <c r="D722" s="2" t="s">
        <v>10041</v>
      </c>
      <c r="E722" s="15">
        <v>8.7999999999999995E-2</v>
      </c>
      <c r="F722" s="15">
        <v>6.4699999999999994E-2</v>
      </c>
      <c r="G722" s="15">
        <v>5.2499999999999998E-2</v>
      </c>
      <c r="H722" s="15">
        <v>7.7700000000000005E-2</v>
      </c>
      <c r="I722" s="15">
        <v>0.34074492134322032</v>
      </c>
    </row>
    <row r="723" spans="1:9" x14ac:dyDescent="0.2">
      <c r="A723" s="2" t="s">
        <v>2165</v>
      </c>
      <c r="B723" s="2" t="s">
        <v>2166</v>
      </c>
      <c r="C723" s="2" t="s">
        <v>2167</v>
      </c>
      <c r="D723" s="2" t="s">
        <v>10041</v>
      </c>
      <c r="E723" s="15">
        <v>0.14030000000000001</v>
      </c>
      <c r="F723" s="15">
        <v>8.2699999999999996E-2</v>
      </c>
      <c r="G723" s="15">
        <v>2.12E-2</v>
      </c>
      <c r="H723" s="15">
        <v>9.8900000000000002E-2</v>
      </c>
      <c r="I723" s="15">
        <v>0.14733813794358169</v>
      </c>
    </row>
    <row r="724" spans="1:9" x14ac:dyDescent="0.2">
      <c r="A724" s="2" t="s">
        <v>2168</v>
      </c>
      <c r="B724" s="2" t="s">
        <v>2169</v>
      </c>
      <c r="C724" s="2" t="s">
        <v>2170</v>
      </c>
      <c r="D724" s="2" t="s">
        <v>10041</v>
      </c>
      <c r="E724" s="15">
        <v>1.34E-2</v>
      </c>
      <c r="F724" s="15">
        <v>8.5000000000000006E-2</v>
      </c>
      <c r="G724" s="15">
        <v>2.75E-2</v>
      </c>
      <c r="H724" s="15">
        <v>0.1002</v>
      </c>
      <c r="I724" s="15">
        <v>0.44892911614876002</v>
      </c>
    </row>
    <row r="725" spans="1:9" x14ac:dyDescent="0.2">
      <c r="A725" s="2" t="s">
        <v>2171</v>
      </c>
      <c r="B725" s="2" t="s">
        <v>2172</v>
      </c>
      <c r="C725" s="2" t="s">
        <v>2173</v>
      </c>
      <c r="D725" s="2" t="s">
        <v>10041</v>
      </c>
      <c r="E725" s="15">
        <v>-8.2100000000000006E-2</v>
      </c>
      <c r="F725" s="15">
        <v>9.5200000000000007E-2</v>
      </c>
      <c r="G725" s="15">
        <v>0.1404</v>
      </c>
      <c r="H725" s="15">
        <v>8.77E-2</v>
      </c>
      <c r="I725" s="15">
        <v>1.26354075326981E-2</v>
      </c>
    </row>
    <row r="726" spans="1:9" x14ac:dyDescent="0.2">
      <c r="A726" s="2" t="s">
        <v>2174</v>
      </c>
      <c r="B726" s="2" t="s">
        <v>2175</v>
      </c>
      <c r="C726" s="2" t="s">
        <v>2176</v>
      </c>
      <c r="D726" s="2" t="s">
        <v>10041</v>
      </c>
      <c r="E726" s="15">
        <v>-4.7300000000000002E-2</v>
      </c>
      <c r="F726" s="15">
        <v>9.7100000000000006E-2</v>
      </c>
      <c r="G726" s="15">
        <v>6.9199999999999998E-2</v>
      </c>
      <c r="H726" s="15">
        <v>7.85E-2</v>
      </c>
      <c r="I726" s="15">
        <v>0.10032168686012601</v>
      </c>
    </row>
    <row r="727" spans="1:9" x14ac:dyDescent="0.2">
      <c r="A727" s="2" t="s">
        <v>2177</v>
      </c>
      <c r="B727" s="2" t="s">
        <v>2178</v>
      </c>
      <c r="C727" s="2" t="s">
        <v>2179</v>
      </c>
      <c r="D727" s="2" t="s">
        <v>10041</v>
      </c>
      <c r="E727" s="15">
        <v>-9.4799999999999995E-2</v>
      </c>
      <c r="F727" s="15">
        <v>9.1999999999999998E-2</v>
      </c>
      <c r="G727" s="15">
        <v>9.4600000000000004E-2</v>
      </c>
      <c r="H727" s="15">
        <v>7.4300000000000005E-2</v>
      </c>
      <c r="I727" s="15">
        <v>1.9413794043078979E-2</v>
      </c>
    </row>
    <row r="728" spans="1:9" x14ac:dyDescent="0.2">
      <c r="A728" s="2" t="s">
        <v>2180</v>
      </c>
      <c r="B728" s="2" t="s">
        <v>2181</v>
      </c>
      <c r="C728" s="2" t="s">
        <v>2182</v>
      </c>
      <c r="D728" s="2" t="s">
        <v>10041</v>
      </c>
      <c r="E728" s="15">
        <v>2.4299999999999999E-2</v>
      </c>
      <c r="F728" s="15">
        <v>7.2300000000000003E-2</v>
      </c>
      <c r="G728" s="15">
        <v>2.6200000000000001E-2</v>
      </c>
      <c r="H728" s="15">
        <v>8.2600000000000007E-2</v>
      </c>
      <c r="I728" s="15">
        <v>0.49202882307415091</v>
      </c>
    </row>
    <row r="729" spans="1:9" x14ac:dyDescent="0.2">
      <c r="A729" s="2" t="s">
        <v>2183</v>
      </c>
      <c r="B729" s="2" t="s">
        <v>2184</v>
      </c>
      <c r="C729" s="2" t="s">
        <v>2185</v>
      </c>
      <c r="D729" s="2" t="s">
        <v>10041</v>
      </c>
      <c r="E729" s="15">
        <v>-4.5100000000000001E-2</v>
      </c>
      <c r="F729" s="15">
        <v>7.7200000000000005E-2</v>
      </c>
      <c r="G729" s="15">
        <v>0.11509999999999999</v>
      </c>
      <c r="H729" s="15">
        <v>7.1400000000000005E-2</v>
      </c>
      <c r="I729" s="15">
        <v>2.4470840532004819E-2</v>
      </c>
    </row>
    <row r="730" spans="1:9" x14ac:dyDescent="0.2">
      <c r="A730" s="2" t="s">
        <v>2186</v>
      </c>
      <c r="B730" s="2" t="s">
        <v>2187</v>
      </c>
      <c r="C730" s="2" t="s">
        <v>2188</v>
      </c>
      <c r="D730" s="2" t="s">
        <v>10041</v>
      </c>
      <c r="E730" s="15">
        <v>3.7499999999999999E-2</v>
      </c>
      <c r="F730" s="15">
        <v>7.5999999999999998E-2</v>
      </c>
      <c r="G730" s="15">
        <v>-4.53E-2</v>
      </c>
      <c r="H730" s="15">
        <v>7.3200000000000001E-2</v>
      </c>
      <c r="I730" s="15">
        <v>0.15797641390150541</v>
      </c>
    </row>
    <row r="731" spans="1:9" x14ac:dyDescent="0.2">
      <c r="A731" s="2" t="s">
        <v>2189</v>
      </c>
      <c r="B731" s="2" t="s">
        <v>2190</v>
      </c>
      <c r="C731" s="2" t="s">
        <v>2191</v>
      </c>
      <c r="D731" s="2" t="s">
        <v>10041</v>
      </c>
      <c r="E731" s="15">
        <v>-0.1426</v>
      </c>
      <c r="F731" s="15">
        <v>0.11310000000000001</v>
      </c>
      <c r="G731" s="15">
        <v>-1.8E-3</v>
      </c>
      <c r="H731" s="15">
        <v>0.1222</v>
      </c>
      <c r="I731" s="15">
        <v>0.15137184167012141</v>
      </c>
    </row>
    <row r="732" spans="1:9" x14ac:dyDescent="0.2">
      <c r="A732" s="2" t="s">
        <v>2192</v>
      </c>
      <c r="B732" s="2" t="s">
        <v>2193</v>
      </c>
      <c r="C732" s="2" t="s">
        <v>2194</v>
      </c>
      <c r="D732" s="2" t="s">
        <v>10041</v>
      </c>
      <c r="E732" s="15">
        <v>-0.1177</v>
      </c>
      <c r="F732" s="15">
        <v>7.5700000000000003E-2</v>
      </c>
      <c r="G732" s="15">
        <v>1.9199999999999998E-2</v>
      </c>
      <c r="H732" s="15">
        <v>0.1004</v>
      </c>
      <c r="I732" s="15">
        <v>0.10453512173252059</v>
      </c>
    </row>
    <row r="733" spans="1:9" x14ac:dyDescent="0.2">
      <c r="A733" s="2" t="s">
        <v>2195</v>
      </c>
      <c r="B733" s="2" t="s">
        <v>2196</v>
      </c>
      <c r="C733" s="2" t="s">
        <v>2197</v>
      </c>
      <c r="D733" s="2" t="s">
        <v>10041</v>
      </c>
      <c r="E733" s="15">
        <v>-1.38E-2</v>
      </c>
      <c r="F733" s="15">
        <v>0.115</v>
      </c>
      <c r="G733" s="15">
        <v>0.1862</v>
      </c>
      <c r="H733" s="15">
        <v>0.1303</v>
      </c>
      <c r="I733" s="15">
        <v>7.3701771049388021E-2</v>
      </c>
    </row>
    <row r="734" spans="1:9" x14ac:dyDescent="0.2">
      <c r="A734" s="2" t="s">
        <v>2198</v>
      </c>
      <c r="B734" s="2" t="s">
        <v>2199</v>
      </c>
      <c r="C734" s="2" t="s">
        <v>2200</v>
      </c>
      <c r="D734" s="2" t="s">
        <v>10041</v>
      </c>
      <c r="E734" s="15">
        <v>-2.46E-2</v>
      </c>
      <c r="F734" s="15">
        <v>6.5500000000000003E-2</v>
      </c>
      <c r="G734" s="15">
        <v>0.14269999999999999</v>
      </c>
      <c r="H734" s="15">
        <v>9.5200000000000007E-2</v>
      </c>
      <c r="I734" s="15">
        <v>5.5907732307959958E-2</v>
      </c>
    </row>
    <row r="735" spans="1:9" x14ac:dyDescent="0.2">
      <c r="A735" s="2" t="s">
        <v>2201</v>
      </c>
      <c r="B735" s="2" t="s">
        <v>2202</v>
      </c>
      <c r="C735" s="2" t="s">
        <v>2203</v>
      </c>
      <c r="D735" s="2" t="s">
        <v>10041</v>
      </c>
      <c r="E735" s="15">
        <v>-7.0499999999999993E-2</v>
      </c>
      <c r="F735" s="15">
        <v>0.10539999999999999</v>
      </c>
      <c r="G735" s="15">
        <v>0.19289999999999999</v>
      </c>
      <c r="H735" s="15">
        <v>0.1205</v>
      </c>
      <c r="I735" s="15">
        <v>2.5303530105477479E-2</v>
      </c>
    </row>
    <row r="736" spans="1:9" x14ac:dyDescent="0.2">
      <c r="A736" s="2" t="s">
        <v>2204</v>
      </c>
      <c r="B736" s="2" t="s">
        <v>2205</v>
      </c>
      <c r="C736" s="2" t="s">
        <v>2206</v>
      </c>
      <c r="D736" s="2" t="s">
        <v>10041</v>
      </c>
      <c r="E736" s="15">
        <v>9.64E-2</v>
      </c>
      <c r="F736" s="15">
        <v>9.2100000000000001E-2</v>
      </c>
      <c r="G736" s="15">
        <v>0.26540000000000002</v>
      </c>
      <c r="H736" s="15">
        <v>0.1226</v>
      </c>
      <c r="I736" s="15">
        <v>0.1069506545926219</v>
      </c>
    </row>
    <row r="737" spans="1:9" x14ac:dyDescent="0.2">
      <c r="A737" s="2" t="s">
        <v>2207</v>
      </c>
      <c r="B737" s="2" t="s">
        <v>2208</v>
      </c>
      <c r="C737" s="2" t="s">
        <v>2209</v>
      </c>
      <c r="D737" s="2" t="s">
        <v>10041</v>
      </c>
      <c r="E737" s="15">
        <v>-4.3999999999999997E-2</v>
      </c>
      <c r="F737" s="15">
        <v>7.9200000000000007E-2</v>
      </c>
      <c r="G737" s="15">
        <v>0.30559999999999998</v>
      </c>
      <c r="H737" s="15">
        <v>0.16800000000000001</v>
      </c>
      <c r="I737" s="15">
        <v>2.5232278010018119E-2</v>
      </c>
    </row>
    <row r="738" spans="1:9" x14ac:dyDescent="0.2">
      <c r="A738" s="2" t="s">
        <v>2210</v>
      </c>
      <c r="B738" s="2" t="s">
        <v>2211</v>
      </c>
      <c r="C738" s="2" t="s">
        <v>2212</v>
      </c>
      <c r="D738" s="2" t="s">
        <v>10041</v>
      </c>
      <c r="E738" s="15">
        <v>0.12920000000000001</v>
      </c>
      <c r="F738" s="15">
        <v>6.0400000000000002E-2</v>
      </c>
      <c r="G738" s="15">
        <v>-4.3400000000000001E-2</v>
      </c>
      <c r="H738" s="15">
        <v>7.7700000000000005E-2</v>
      </c>
      <c r="I738" s="15">
        <v>2.2450429120888269E-2</v>
      </c>
    </row>
    <row r="739" spans="1:9" x14ac:dyDescent="0.2">
      <c r="A739" s="2" t="s">
        <v>2213</v>
      </c>
      <c r="B739" s="2" t="s">
        <v>2214</v>
      </c>
      <c r="C739" s="2" t="s">
        <v>2215</v>
      </c>
      <c r="D739" s="2" t="s">
        <v>10041</v>
      </c>
      <c r="E739" s="15">
        <v>-9.6100000000000005E-2</v>
      </c>
      <c r="F739" s="15">
        <v>0.1109</v>
      </c>
      <c r="G739" s="15">
        <v>1.29E-2</v>
      </c>
      <c r="H739" s="15">
        <v>0.1056</v>
      </c>
      <c r="I739" s="15">
        <v>0.17596512236589359</v>
      </c>
    </row>
    <row r="740" spans="1:9" x14ac:dyDescent="0.2">
      <c r="A740" s="2" t="s">
        <v>2216</v>
      </c>
      <c r="B740" s="2" t="s">
        <v>2217</v>
      </c>
      <c r="C740" s="2" t="s">
        <v>2218</v>
      </c>
      <c r="D740" s="2" t="s">
        <v>10041</v>
      </c>
      <c r="E740" s="15">
        <v>-6.1199999999999997E-2</v>
      </c>
      <c r="F740" s="15">
        <v>9.3299999999999994E-2</v>
      </c>
      <c r="G740" s="15">
        <v>6.6400000000000001E-2</v>
      </c>
      <c r="H740" s="15">
        <v>8.9800000000000005E-2</v>
      </c>
      <c r="I740" s="15">
        <v>0.1046549463893937</v>
      </c>
    </row>
    <row r="741" spans="1:9" x14ac:dyDescent="0.2">
      <c r="A741" s="2" t="s">
        <v>2219</v>
      </c>
      <c r="B741" s="2" t="s">
        <v>2220</v>
      </c>
      <c r="C741" s="2" t="s">
        <v>2221</v>
      </c>
      <c r="D741" s="2" t="s">
        <v>10041</v>
      </c>
      <c r="E741" s="15">
        <v>-1.2800000000000001E-2</v>
      </c>
      <c r="F741" s="15">
        <v>6.0699999999999997E-2</v>
      </c>
      <c r="G741" s="15">
        <v>-0.1336</v>
      </c>
      <c r="H741" s="15">
        <v>0.10100000000000001</v>
      </c>
      <c r="I741" s="15">
        <v>0.13505591465325351</v>
      </c>
    </row>
    <row r="742" spans="1:9" x14ac:dyDescent="0.2">
      <c r="A742" s="2" t="s">
        <v>2222</v>
      </c>
      <c r="B742" s="2" t="s">
        <v>2223</v>
      </c>
      <c r="C742" s="2" t="s">
        <v>2224</v>
      </c>
      <c r="D742" s="2" t="s">
        <v>10041</v>
      </c>
      <c r="E742" s="15">
        <v>-0.10580000000000001</v>
      </c>
      <c r="F742" s="15">
        <v>7.5200000000000003E-2</v>
      </c>
      <c r="G742" s="15">
        <v>9.0700000000000003E-2</v>
      </c>
      <c r="H742" s="15">
        <v>8.1900000000000001E-2</v>
      </c>
      <c r="I742" s="15">
        <v>1.8030029654851249E-2</v>
      </c>
    </row>
    <row r="743" spans="1:9" x14ac:dyDescent="0.2">
      <c r="A743" s="2" t="s">
        <v>2225</v>
      </c>
      <c r="B743" s="2" t="s">
        <v>2226</v>
      </c>
      <c r="C743" s="2" t="s">
        <v>2227</v>
      </c>
      <c r="D743" s="2" t="s">
        <v>10041</v>
      </c>
      <c r="E743" s="15">
        <v>-7.3300000000000004E-2</v>
      </c>
      <c r="F743" s="15">
        <v>8.3299999999999999E-2</v>
      </c>
      <c r="G743" s="15">
        <v>-3.9899999999999998E-2</v>
      </c>
      <c r="H743" s="15">
        <v>0.10100000000000001</v>
      </c>
      <c r="I743" s="15">
        <v>0.38259250913552051</v>
      </c>
    </row>
    <row r="744" spans="1:9" x14ac:dyDescent="0.2">
      <c r="A744" s="2" t="s">
        <v>2228</v>
      </c>
      <c r="B744" s="2" t="s">
        <v>2229</v>
      </c>
      <c r="C744" s="2" t="s">
        <v>2230</v>
      </c>
      <c r="D744" s="2" t="s">
        <v>10041</v>
      </c>
      <c r="E744" s="15">
        <v>-2.6700000000000002E-2</v>
      </c>
      <c r="F744" s="15">
        <v>6.4399999999999999E-2</v>
      </c>
      <c r="G744" s="15">
        <v>0.1124</v>
      </c>
      <c r="H744" s="15">
        <v>7.6899999999999996E-2</v>
      </c>
      <c r="I744" s="15">
        <v>5.3071866889608792E-2</v>
      </c>
    </row>
    <row r="745" spans="1:9" x14ac:dyDescent="0.2">
      <c r="A745" s="2" t="s">
        <v>2231</v>
      </c>
      <c r="B745" s="2" t="s">
        <v>2232</v>
      </c>
      <c r="C745" s="2" t="s">
        <v>2233</v>
      </c>
      <c r="D745" s="2" t="s">
        <v>10041</v>
      </c>
      <c r="E745" s="15">
        <v>1.0699999999999999E-2</v>
      </c>
      <c r="F745" s="15">
        <v>7.4800000000000005E-2</v>
      </c>
      <c r="G745" s="15">
        <v>0.10299999999999999</v>
      </c>
      <c r="H745" s="15">
        <v>8.5000000000000006E-2</v>
      </c>
      <c r="I745" s="15">
        <v>0.16860570380651091</v>
      </c>
    </row>
    <row r="746" spans="1:9" x14ac:dyDescent="0.2">
      <c r="A746" s="2" t="s">
        <v>2234</v>
      </c>
      <c r="B746" s="2" t="s">
        <v>2235</v>
      </c>
      <c r="C746" s="2" t="s">
        <v>2236</v>
      </c>
      <c r="D746" s="2" t="s">
        <v>10041</v>
      </c>
      <c r="E746" s="15">
        <v>-0.1434</v>
      </c>
      <c r="F746" s="15">
        <v>7.8E-2</v>
      </c>
      <c r="G746" s="15">
        <v>-3.5799999999999998E-2</v>
      </c>
      <c r="H746" s="15">
        <v>8.7599999999999997E-2</v>
      </c>
      <c r="I746" s="15">
        <v>0.13444741918669101</v>
      </c>
    </row>
    <row r="747" spans="1:9" x14ac:dyDescent="0.2">
      <c r="A747" s="2" t="s">
        <v>2237</v>
      </c>
      <c r="B747" s="2" t="s">
        <v>2238</v>
      </c>
      <c r="C747" s="2" t="s">
        <v>2239</v>
      </c>
      <c r="D747" s="2" t="s">
        <v>10041</v>
      </c>
      <c r="E747" s="15">
        <v>-3.5299999999999998E-2</v>
      </c>
      <c r="F747" s="15">
        <v>6.6900000000000001E-2</v>
      </c>
      <c r="G747" s="15">
        <v>1.26E-2</v>
      </c>
      <c r="H747" s="15">
        <v>7.1900000000000006E-2</v>
      </c>
      <c r="I747" s="15">
        <v>0.27590828713196569</v>
      </c>
    </row>
    <row r="748" spans="1:9" x14ac:dyDescent="0.2">
      <c r="A748" s="2" t="s">
        <v>2240</v>
      </c>
      <c r="B748" s="2" t="s">
        <v>2241</v>
      </c>
      <c r="C748" s="2" t="s">
        <v>2242</v>
      </c>
      <c r="D748" s="2" t="s">
        <v>10041</v>
      </c>
      <c r="E748" s="15">
        <v>-0.18490000000000001</v>
      </c>
      <c r="F748" s="15">
        <v>9.4500000000000001E-2</v>
      </c>
      <c r="G748" s="15">
        <v>-0.1094</v>
      </c>
      <c r="H748" s="15">
        <v>7.9299999999999995E-2</v>
      </c>
      <c r="I748" s="15">
        <v>0.21176505855957109</v>
      </c>
    </row>
    <row r="749" spans="1:9" x14ac:dyDescent="0.2">
      <c r="A749" s="2" t="s">
        <v>2243</v>
      </c>
      <c r="B749" s="2" t="s">
        <v>2244</v>
      </c>
      <c r="C749" s="2" t="s">
        <v>2245</v>
      </c>
      <c r="D749" s="2" t="s">
        <v>10041</v>
      </c>
      <c r="E749" s="15">
        <v>0.1043</v>
      </c>
      <c r="F749" s="15">
        <v>9.6299999999999997E-2</v>
      </c>
      <c r="G749" s="15">
        <v>0.28289999999999998</v>
      </c>
      <c r="H749" s="15">
        <v>0.36080000000000001</v>
      </c>
      <c r="I749" s="15">
        <v>0.31339510518271418</v>
      </c>
    </row>
    <row r="750" spans="1:9" x14ac:dyDescent="0.2">
      <c r="A750" s="2" t="s">
        <v>2246</v>
      </c>
      <c r="B750" s="2" t="s">
        <v>2247</v>
      </c>
      <c r="C750" s="2" t="s">
        <v>2248</v>
      </c>
      <c r="D750" s="2" t="s">
        <v>10041</v>
      </c>
      <c r="E750" s="15">
        <v>-5.5999999999999999E-3</v>
      </c>
      <c r="F750" s="15">
        <v>8.5599999999999996E-2</v>
      </c>
      <c r="G750" s="15">
        <v>-4.9599999999999998E-2</v>
      </c>
      <c r="H750" s="15">
        <v>8.9399999999999993E-2</v>
      </c>
      <c r="I750" s="15">
        <v>0.33162332038221481</v>
      </c>
    </row>
    <row r="751" spans="1:9" x14ac:dyDescent="0.2">
      <c r="A751" s="2" t="s">
        <v>2249</v>
      </c>
      <c r="B751" s="2" t="s">
        <v>2250</v>
      </c>
      <c r="C751" s="2" t="s">
        <v>2251</v>
      </c>
      <c r="D751" s="2" t="s">
        <v>10041</v>
      </c>
      <c r="E751" s="15">
        <v>-8.5900000000000004E-2</v>
      </c>
      <c r="F751" s="15">
        <v>7.2900000000000006E-2</v>
      </c>
      <c r="G751" s="15">
        <v>8.7599999999999997E-2</v>
      </c>
      <c r="H751" s="15">
        <v>8.9800000000000005E-2</v>
      </c>
      <c r="I751" s="15">
        <v>3.6132120380898587E-2</v>
      </c>
    </row>
    <row r="752" spans="1:9" x14ac:dyDescent="0.2">
      <c r="A752" s="2" t="s">
        <v>2252</v>
      </c>
      <c r="B752" s="2" t="s">
        <v>2253</v>
      </c>
      <c r="C752" s="2" t="s">
        <v>2254</v>
      </c>
      <c r="D752" s="2" t="s">
        <v>10041</v>
      </c>
      <c r="E752" s="15">
        <v>-2.06E-2</v>
      </c>
      <c r="F752" s="15">
        <v>0.30659999999999998</v>
      </c>
      <c r="G752" s="15">
        <v>-7.7000000000000002E-3</v>
      </c>
      <c r="H752" s="15">
        <v>0.14380000000000001</v>
      </c>
      <c r="I752" s="15">
        <v>0.46733190877836511</v>
      </c>
    </row>
    <row r="753" spans="1:9" x14ac:dyDescent="0.2">
      <c r="A753" s="2" t="s">
        <v>2255</v>
      </c>
      <c r="B753" s="2" t="s">
        <v>2256</v>
      </c>
      <c r="C753" s="2" t="s">
        <v>2257</v>
      </c>
      <c r="D753" s="2" t="s">
        <v>10041</v>
      </c>
      <c r="E753" s="15">
        <v>-3.0800000000000001E-2</v>
      </c>
      <c r="F753" s="15">
        <v>0.1084</v>
      </c>
      <c r="G753" s="15">
        <v>1.2500000000000001E-2</v>
      </c>
      <c r="H753" s="15">
        <v>9.9299999999999999E-2</v>
      </c>
      <c r="I753" s="15">
        <v>0.35222287221857618</v>
      </c>
    </row>
    <row r="754" spans="1:9" x14ac:dyDescent="0.2">
      <c r="A754" s="2" t="s">
        <v>2258</v>
      </c>
      <c r="B754" s="2" t="s">
        <v>2259</v>
      </c>
      <c r="C754" s="2" t="s">
        <v>2260</v>
      </c>
      <c r="D754" s="2" t="s">
        <v>10041</v>
      </c>
      <c r="E754" s="15">
        <v>5.1000000000000004E-3</v>
      </c>
      <c r="F754" s="15">
        <v>8.3500000000000005E-2</v>
      </c>
      <c r="G754" s="15">
        <v>3.3700000000000001E-2</v>
      </c>
      <c r="H754" s="15">
        <v>9.1200000000000003E-2</v>
      </c>
      <c r="I754" s="15">
        <v>0.38820191199801379</v>
      </c>
    </row>
    <row r="755" spans="1:9" x14ac:dyDescent="0.2">
      <c r="A755" s="2" t="s">
        <v>2261</v>
      </c>
      <c r="B755" s="2" t="s">
        <v>2262</v>
      </c>
      <c r="C755" s="2" t="s">
        <v>2263</v>
      </c>
      <c r="D755" s="2" t="s">
        <v>10041</v>
      </c>
      <c r="E755" s="15">
        <v>3.6799999999999999E-2</v>
      </c>
      <c r="F755" s="15">
        <v>7.4099999999999999E-2</v>
      </c>
      <c r="G755" s="15">
        <v>0.1033</v>
      </c>
      <c r="H755" s="15">
        <v>9.3799999999999994E-2</v>
      </c>
      <c r="I755" s="15">
        <v>0.25319998283871231</v>
      </c>
    </row>
    <row r="756" spans="1:9" x14ac:dyDescent="0.2">
      <c r="A756" s="2" t="s">
        <v>2264</v>
      </c>
      <c r="B756" s="2" t="s">
        <v>2265</v>
      </c>
      <c r="C756" s="2" t="s">
        <v>2266</v>
      </c>
      <c r="D756" s="2" t="s">
        <v>10041</v>
      </c>
      <c r="E756" s="15">
        <v>2.64E-2</v>
      </c>
      <c r="F756" s="15">
        <v>0.12130000000000001</v>
      </c>
      <c r="G756" s="15">
        <v>0.16819999999999999</v>
      </c>
      <c r="H756" s="15">
        <v>0.14810000000000001</v>
      </c>
      <c r="I756" s="15">
        <v>0.18556152940375631</v>
      </c>
    </row>
    <row r="757" spans="1:9" x14ac:dyDescent="0.2">
      <c r="A757" s="2" t="s">
        <v>2267</v>
      </c>
      <c r="B757" s="2" t="s">
        <v>2268</v>
      </c>
      <c r="C757" s="2" t="s">
        <v>2269</v>
      </c>
      <c r="D757" s="2" t="s">
        <v>10041</v>
      </c>
      <c r="E757" s="15">
        <v>3.2599999999999997E-2</v>
      </c>
      <c r="F757" s="15">
        <v>8.6900000000000005E-2</v>
      </c>
      <c r="G757" s="15">
        <v>0.1145</v>
      </c>
      <c r="H757" s="15">
        <v>0.1009</v>
      </c>
      <c r="I757" s="15">
        <v>0.23144192165427421</v>
      </c>
    </row>
    <row r="758" spans="1:9" x14ac:dyDescent="0.2">
      <c r="A758" s="2" t="s">
        <v>2270</v>
      </c>
      <c r="B758" s="2" t="s">
        <v>2271</v>
      </c>
      <c r="C758" s="2" t="s">
        <v>2272</v>
      </c>
      <c r="D758" s="2" t="s">
        <v>10041</v>
      </c>
      <c r="E758" s="15">
        <v>-0.14119999999999999</v>
      </c>
      <c r="F758" s="15">
        <v>0.109</v>
      </c>
      <c r="G758" s="15">
        <v>4.6800000000000001E-2</v>
      </c>
      <c r="H758" s="15">
        <v>9.5500000000000002E-2</v>
      </c>
      <c r="I758" s="15">
        <v>3.999480453887154E-2</v>
      </c>
    </row>
    <row r="759" spans="1:9" x14ac:dyDescent="0.2">
      <c r="A759" s="2" t="s">
        <v>2273</v>
      </c>
      <c r="B759" s="2" t="s">
        <v>2274</v>
      </c>
      <c r="C759" s="2" t="s">
        <v>2275</v>
      </c>
      <c r="D759" s="2" t="s">
        <v>10041</v>
      </c>
      <c r="E759" s="15">
        <v>-2.2599999999999999E-2</v>
      </c>
      <c r="F759" s="15">
        <v>8.3400000000000002E-2</v>
      </c>
      <c r="G759" s="15">
        <v>-5.0799999999999998E-2</v>
      </c>
      <c r="H759" s="15">
        <v>9.3799999999999994E-2</v>
      </c>
      <c r="I759" s="15">
        <v>0.39525305488018297</v>
      </c>
    </row>
    <row r="760" spans="1:9" x14ac:dyDescent="0.2">
      <c r="A760" s="2" t="s">
        <v>2276</v>
      </c>
      <c r="B760" s="2" t="s">
        <v>2277</v>
      </c>
      <c r="C760" s="2" t="s">
        <v>2278</v>
      </c>
      <c r="D760" s="2" t="s">
        <v>10041</v>
      </c>
      <c r="E760" s="15">
        <v>-9.0300000000000005E-2</v>
      </c>
      <c r="F760" s="15">
        <v>9.8599999999999993E-2</v>
      </c>
      <c r="G760" s="15">
        <v>3.85E-2</v>
      </c>
      <c r="H760" s="15">
        <v>8.3000000000000004E-2</v>
      </c>
      <c r="I760" s="15">
        <v>9.3889725602859131E-2</v>
      </c>
    </row>
    <row r="761" spans="1:9" x14ac:dyDescent="0.2">
      <c r="A761" s="2" t="s">
        <v>2279</v>
      </c>
      <c r="B761" s="2" t="s">
        <v>2280</v>
      </c>
      <c r="C761" s="2" t="s">
        <v>2281</v>
      </c>
      <c r="D761" s="2" t="s">
        <v>10041</v>
      </c>
      <c r="E761" s="15">
        <v>4.8999999999999998E-3</v>
      </c>
      <c r="F761" s="15">
        <v>7.6999999999999999E-2</v>
      </c>
      <c r="G761" s="15">
        <v>8.8999999999999999E-3</v>
      </c>
      <c r="H761" s="15">
        <v>9.9500000000000005E-2</v>
      </c>
      <c r="I761" s="15">
        <v>0.48508185469683751</v>
      </c>
    </row>
    <row r="762" spans="1:9" x14ac:dyDescent="0.2">
      <c r="A762" s="2" t="s">
        <v>2282</v>
      </c>
      <c r="B762" s="2" t="s">
        <v>2283</v>
      </c>
      <c r="C762" s="2" t="s">
        <v>2284</v>
      </c>
      <c r="D762" s="2" t="s">
        <v>10041</v>
      </c>
      <c r="E762" s="15">
        <v>-2.7799999999999998E-2</v>
      </c>
      <c r="F762" s="15">
        <v>8.72E-2</v>
      </c>
      <c r="G762" s="15">
        <v>0.1782</v>
      </c>
      <c r="H762" s="15">
        <v>7.8E-2</v>
      </c>
      <c r="I762" s="15">
        <v>1.1042945559751331E-2</v>
      </c>
    </row>
    <row r="763" spans="1:9" x14ac:dyDescent="0.2">
      <c r="A763" s="2" t="s">
        <v>2285</v>
      </c>
      <c r="B763" s="2" t="s">
        <v>2286</v>
      </c>
      <c r="C763" s="2" t="s">
        <v>2287</v>
      </c>
      <c r="D763" s="2" t="s">
        <v>10041</v>
      </c>
      <c r="E763" s="15">
        <v>4.7199999999999999E-2</v>
      </c>
      <c r="F763" s="15">
        <v>7.6700000000000004E-2</v>
      </c>
      <c r="G763" s="15">
        <v>1.3299999999999999E-2</v>
      </c>
      <c r="H763" s="15">
        <v>7.46E-2</v>
      </c>
      <c r="I763" s="15">
        <v>0.34481202166020009</v>
      </c>
    </row>
    <row r="764" spans="1:9" x14ac:dyDescent="0.2">
      <c r="A764" s="2" t="s">
        <v>2288</v>
      </c>
      <c r="B764" s="2" t="s">
        <v>2289</v>
      </c>
      <c r="C764" s="2" t="s">
        <v>2290</v>
      </c>
      <c r="D764" s="2" t="s">
        <v>10041</v>
      </c>
      <c r="E764" s="15">
        <v>-3.04E-2</v>
      </c>
      <c r="F764" s="15">
        <v>9.0399999999999994E-2</v>
      </c>
      <c r="G764" s="15">
        <v>0.19500000000000001</v>
      </c>
      <c r="H764" s="15">
        <v>0.1196</v>
      </c>
      <c r="I764" s="15">
        <v>3.9883872620446542E-2</v>
      </c>
    </row>
    <row r="765" spans="1:9" x14ac:dyDescent="0.2">
      <c r="A765" s="2" t="s">
        <v>2291</v>
      </c>
      <c r="B765" s="2" t="s">
        <v>2292</v>
      </c>
      <c r="C765" s="2" t="s">
        <v>2293</v>
      </c>
      <c r="D765" s="2" t="s">
        <v>10041</v>
      </c>
      <c r="E765" s="15">
        <v>-0.1852</v>
      </c>
      <c r="F765" s="15">
        <v>7.3800000000000004E-2</v>
      </c>
      <c r="G765" s="15">
        <v>-6.6500000000000004E-2</v>
      </c>
      <c r="H765" s="15">
        <v>8.5300000000000001E-2</v>
      </c>
      <c r="I765" s="15">
        <v>0.1045723386814419</v>
      </c>
    </row>
    <row r="766" spans="1:9" x14ac:dyDescent="0.2">
      <c r="A766" s="2" t="s">
        <v>2294</v>
      </c>
      <c r="B766" s="2" t="s">
        <v>2295</v>
      </c>
      <c r="C766" s="2" t="s">
        <v>2296</v>
      </c>
      <c r="D766" s="2" t="s">
        <v>10041</v>
      </c>
      <c r="E766" s="15">
        <v>-1.9800000000000002E-2</v>
      </c>
      <c r="F766" s="15">
        <v>8.6900000000000005E-2</v>
      </c>
      <c r="G766" s="15">
        <v>5.0999999999999997E-2</v>
      </c>
      <c r="H766" s="15">
        <v>8.4400000000000003E-2</v>
      </c>
      <c r="I766" s="15">
        <v>0.22718124158224931</v>
      </c>
    </row>
    <row r="767" spans="1:9" x14ac:dyDescent="0.2">
      <c r="A767" s="2" t="s">
        <v>2297</v>
      </c>
      <c r="B767" s="2" t="s">
        <v>2298</v>
      </c>
      <c r="C767" s="2" t="s">
        <v>2299</v>
      </c>
      <c r="D767" s="2" t="s">
        <v>10041</v>
      </c>
      <c r="E767" s="15">
        <v>-2.3099999999999999E-2</v>
      </c>
      <c r="F767" s="15">
        <v>7.8899999999999998E-2</v>
      </c>
      <c r="G767" s="15">
        <v>0.18479999999999999</v>
      </c>
      <c r="H767" s="15">
        <v>0.10589999999999999</v>
      </c>
      <c r="I767" s="15">
        <v>3.6728985310740633E-2</v>
      </c>
    </row>
    <row r="768" spans="1:9" x14ac:dyDescent="0.2">
      <c r="A768" s="2" t="s">
        <v>2300</v>
      </c>
      <c r="B768" s="2" t="s">
        <v>2301</v>
      </c>
      <c r="C768" s="2" t="s">
        <v>2302</v>
      </c>
      <c r="D768" s="2" t="s">
        <v>10041</v>
      </c>
      <c r="E768" s="15">
        <v>7.4999999999999997E-2</v>
      </c>
      <c r="F768" s="15">
        <v>7.7799999999999994E-2</v>
      </c>
      <c r="G768" s="15">
        <v>5.7500000000000002E-2</v>
      </c>
      <c r="H768" s="15">
        <v>0.1074</v>
      </c>
      <c r="I768" s="15">
        <v>0.44280053932635149</v>
      </c>
    </row>
    <row r="769" spans="1:9" x14ac:dyDescent="0.2">
      <c r="A769" s="2" t="s">
        <v>2303</v>
      </c>
      <c r="B769" s="2" t="s">
        <v>2304</v>
      </c>
      <c r="C769" s="2" t="s">
        <v>2305</v>
      </c>
      <c r="D769" s="2" t="s">
        <v>10041</v>
      </c>
      <c r="E769" s="15">
        <v>5.1999999999999998E-3</v>
      </c>
      <c r="F769" s="15">
        <v>7.5300000000000006E-2</v>
      </c>
      <c r="G769" s="15">
        <v>0.14419999999999999</v>
      </c>
      <c r="H769" s="15">
        <v>8.7300000000000003E-2</v>
      </c>
      <c r="I769" s="15">
        <v>8.4383746447939445E-2</v>
      </c>
    </row>
    <row r="770" spans="1:9" x14ac:dyDescent="0.2">
      <c r="A770" s="2" t="s">
        <v>2306</v>
      </c>
      <c r="B770" s="2" t="s">
        <v>2307</v>
      </c>
      <c r="C770" s="2" t="s">
        <v>2308</v>
      </c>
      <c r="D770" s="2" t="s">
        <v>10041</v>
      </c>
      <c r="E770" s="15">
        <v>0.15409999999999999</v>
      </c>
      <c r="F770" s="15">
        <v>8.6099999999999996E-2</v>
      </c>
      <c r="G770" s="15">
        <v>0.13400000000000001</v>
      </c>
      <c r="H770" s="15">
        <v>7.9399999999999998E-2</v>
      </c>
      <c r="I770" s="15">
        <v>0.41652338116069432</v>
      </c>
    </row>
    <row r="771" spans="1:9" x14ac:dyDescent="0.2">
      <c r="A771" s="2" t="s">
        <v>2309</v>
      </c>
      <c r="B771" s="2" t="s">
        <v>2310</v>
      </c>
      <c r="C771" s="2" t="s">
        <v>2311</v>
      </c>
      <c r="D771" s="2" t="s">
        <v>10041</v>
      </c>
      <c r="E771" s="15">
        <v>0.1246</v>
      </c>
      <c r="F771" s="15">
        <v>6.6100000000000006E-2</v>
      </c>
      <c r="G771" s="15">
        <v>-3.44E-2</v>
      </c>
      <c r="H771" s="15">
        <v>6.8599999999999994E-2</v>
      </c>
      <c r="I771" s="15">
        <v>1.9251630966265809E-2</v>
      </c>
    </row>
    <row r="772" spans="1:9" x14ac:dyDescent="0.2">
      <c r="A772" s="2" t="s">
        <v>2312</v>
      </c>
      <c r="B772" s="2" t="s">
        <v>2313</v>
      </c>
      <c r="C772" s="2" t="s">
        <v>2314</v>
      </c>
      <c r="D772" s="2" t="s">
        <v>10041</v>
      </c>
      <c r="E772" s="15">
        <v>-0.1416</v>
      </c>
      <c r="F772" s="15">
        <v>0.1071</v>
      </c>
      <c r="G772" s="15">
        <v>-8.9800000000000005E-2</v>
      </c>
      <c r="H772" s="15">
        <v>0.10489999999999999</v>
      </c>
      <c r="I772" s="15">
        <v>0.32566475786069338</v>
      </c>
    </row>
    <row r="773" spans="1:9" x14ac:dyDescent="0.2">
      <c r="A773" s="2" t="s">
        <v>2315</v>
      </c>
      <c r="B773" s="2" t="s">
        <v>2316</v>
      </c>
      <c r="C773" s="2" t="s">
        <v>2317</v>
      </c>
      <c r="D773" s="2" t="s">
        <v>10041</v>
      </c>
      <c r="E773" s="15">
        <v>1.15E-2</v>
      </c>
      <c r="F773" s="15">
        <v>9.3600000000000003E-2</v>
      </c>
      <c r="G773" s="15">
        <v>6.4699999999999994E-2</v>
      </c>
      <c r="H773" s="15">
        <v>9.6699999999999994E-2</v>
      </c>
      <c r="I773" s="15">
        <v>0.31122578199730261</v>
      </c>
    </row>
    <row r="774" spans="1:9" x14ac:dyDescent="0.2">
      <c r="A774" s="2" t="s">
        <v>2318</v>
      </c>
      <c r="B774" s="2" t="s">
        <v>2319</v>
      </c>
      <c r="C774" s="2" t="s">
        <v>2320</v>
      </c>
      <c r="D774" s="2" t="s">
        <v>10041</v>
      </c>
      <c r="E774" s="15">
        <v>-0.13139999999999999</v>
      </c>
      <c r="F774" s="15">
        <v>6.4799999999999996E-2</v>
      </c>
      <c r="G774" s="15">
        <v>2.92E-2</v>
      </c>
      <c r="H774" s="15">
        <v>8.4099999999999994E-2</v>
      </c>
      <c r="I774" s="15">
        <v>4.0841123910778522E-2</v>
      </c>
    </row>
    <row r="775" spans="1:9" x14ac:dyDescent="0.2">
      <c r="A775" s="2" t="s">
        <v>2321</v>
      </c>
      <c r="B775" s="2" t="s">
        <v>2322</v>
      </c>
      <c r="C775" s="2" t="s">
        <v>2323</v>
      </c>
      <c r="D775" s="2" t="s">
        <v>10041</v>
      </c>
      <c r="E775" s="15">
        <v>-0.16750000000000001</v>
      </c>
      <c r="F775" s="15">
        <v>8.1000000000000003E-2</v>
      </c>
      <c r="G775" s="15">
        <v>3.32E-2</v>
      </c>
      <c r="H775" s="15">
        <v>7.3599999999999999E-2</v>
      </c>
      <c r="I775" s="15">
        <v>1.073314118200569E-2</v>
      </c>
    </row>
    <row r="776" spans="1:9" x14ac:dyDescent="0.2">
      <c r="A776" s="2" t="s">
        <v>2324</v>
      </c>
      <c r="B776" s="2" t="s">
        <v>2325</v>
      </c>
      <c r="C776" s="2" t="s">
        <v>2326</v>
      </c>
      <c r="D776" s="2" t="s">
        <v>10041</v>
      </c>
      <c r="E776" s="15">
        <v>-5.8900000000000001E-2</v>
      </c>
      <c r="F776" s="15">
        <v>0.15679999999999999</v>
      </c>
      <c r="G776" s="15">
        <v>-0.1603</v>
      </c>
      <c r="H776" s="15">
        <v>0.1157</v>
      </c>
      <c r="I776" s="15">
        <v>0.2166746153535393</v>
      </c>
    </row>
    <row r="777" spans="1:9" x14ac:dyDescent="0.2">
      <c r="A777" s="2" t="s">
        <v>2327</v>
      </c>
      <c r="B777" s="2" t="s">
        <v>2328</v>
      </c>
      <c r="C777" s="2" t="s">
        <v>2329</v>
      </c>
      <c r="D777" s="2" t="s">
        <v>10041</v>
      </c>
      <c r="E777" s="15">
        <v>-9.1200000000000003E-2</v>
      </c>
      <c r="F777" s="15">
        <v>8.0699999999999994E-2</v>
      </c>
      <c r="G777" s="15">
        <v>7.1000000000000004E-3</v>
      </c>
      <c r="H777" s="15">
        <v>7.8899999999999998E-2</v>
      </c>
      <c r="I777" s="15">
        <v>0.1364754721673514</v>
      </c>
    </row>
    <row r="778" spans="1:9" x14ac:dyDescent="0.2">
      <c r="A778" s="2" t="s">
        <v>2330</v>
      </c>
      <c r="B778" s="2" t="s">
        <v>2331</v>
      </c>
      <c r="C778" s="2" t="s">
        <v>2332</v>
      </c>
      <c r="D778" s="2" t="s">
        <v>10041</v>
      </c>
      <c r="E778" s="15">
        <v>1.4500000000000001E-2</v>
      </c>
      <c r="F778" s="15">
        <v>7.4899999999999994E-2</v>
      </c>
      <c r="G778" s="15">
        <v>0.18559999999999999</v>
      </c>
      <c r="H778" s="15">
        <v>9.35E-2</v>
      </c>
      <c r="I778" s="15">
        <v>5.2068317620979958E-2</v>
      </c>
    </row>
    <row r="779" spans="1:9" x14ac:dyDescent="0.2">
      <c r="A779" s="2" t="s">
        <v>2333</v>
      </c>
      <c r="B779" s="2" t="s">
        <v>2334</v>
      </c>
      <c r="C779" s="2" t="s">
        <v>2335</v>
      </c>
      <c r="D779" s="2" t="s">
        <v>10041</v>
      </c>
      <c r="E779" s="15">
        <v>-0.18509999999999999</v>
      </c>
      <c r="F779" s="15">
        <v>0.1023</v>
      </c>
      <c r="G779" s="15">
        <v>5.3400000000000003E-2</v>
      </c>
      <c r="H779" s="15">
        <v>8.1699999999999995E-2</v>
      </c>
      <c r="I779" s="15">
        <v>5.1209077064135362E-3</v>
      </c>
    </row>
    <row r="780" spans="1:9" x14ac:dyDescent="0.2">
      <c r="A780" s="2" t="s">
        <v>2336</v>
      </c>
      <c r="B780" s="2" t="s">
        <v>2337</v>
      </c>
      <c r="C780" s="2" t="s">
        <v>2338</v>
      </c>
      <c r="D780" s="2" t="s">
        <v>10041</v>
      </c>
      <c r="E780" s="15">
        <v>4.4900000000000002E-2</v>
      </c>
      <c r="F780" s="15">
        <v>7.4800000000000005E-2</v>
      </c>
      <c r="G780" s="15">
        <v>-2.7E-2</v>
      </c>
      <c r="H780" s="15">
        <v>7.9500000000000001E-2</v>
      </c>
      <c r="I780" s="15">
        <v>0.2089877827866683</v>
      </c>
    </row>
    <row r="781" spans="1:9" x14ac:dyDescent="0.2">
      <c r="A781" s="2" t="s">
        <v>2339</v>
      </c>
      <c r="B781" s="2" t="s">
        <v>2340</v>
      </c>
      <c r="C781" s="2" t="s">
        <v>2341</v>
      </c>
      <c r="D781" s="2" t="s">
        <v>10041</v>
      </c>
      <c r="E781" s="15">
        <v>2.3999999999999998E-3</v>
      </c>
      <c r="F781" s="15">
        <v>8.09E-2</v>
      </c>
      <c r="G781" s="15">
        <v>-9.8799999999999999E-2</v>
      </c>
      <c r="H781" s="15">
        <v>0.1133</v>
      </c>
      <c r="I781" s="15">
        <v>0.20295073270251171</v>
      </c>
    </row>
    <row r="782" spans="1:9" x14ac:dyDescent="0.2">
      <c r="A782" s="2" t="s">
        <v>2342</v>
      </c>
      <c r="B782" s="2" t="s">
        <v>2343</v>
      </c>
      <c r="C782" s="2" t="s">
        <v>2344</v>
      </c>
      <c r="D782" s="2" t="s">
        <v>10041</v>
      </c>
      <c r="E782" s="15">
        <v>0.17119999999999999</v>
      </c>
      <c r="F782" s="15">
        <v>0.1181</v>
      </c>
    </row>
    <row r="783" spans="1:9" x14ac:dyDescent="0.2">
      <c r="A783" s="2" t="s">
        <v>2345</v>
      </c>
      <c r="B783" s="2" t="s">
        <v>2346</v>
      </c>
      <c r="C783" s="2" t="s">
        <v>2347</v>
      </c>
      <c r="D783" s="2" t="s">
        <v>10041</v>
      </c>
      <c r="E783" s="15">
        <v>8.7999999999999995E-2</v>
      </c>
      <c r="F783" s="15">
        <v>8.1199999999999994E-2</v>
      </c>
      <c r="G783" s="15">
        <v>-8.9099999999999999E-2</v>
      </c>
      <c r="H783" s="15">
        <v>7.2099999999999997E-2</v>
      </c>
      <c r="I783" s="15">
        <v>1.993448628455451E-2</v>
      </c>
    </row>
    <row r="784" spans="1:9" x14ac:dyDescent="0.2">
      <c r="A784" s="2" t="s">
        <v>2348</v>
      </c>
      <c r="B784" s="2" t="s">
        <v>2349</v>
      </c>
      <c r="C784" s="2" t="s">
        <v>2350</v>
      </c>
      <c r="D784" s="2" t="s">
        <v>10041</v>
      </c>
      <c r="E784" s="15">
        <v>-0.16189999999999999</v>
      </c>
      <c r="F784" s="15">
        <v>0.10059999999999999</v>
      </c>
      <c r="G784" s="15">
        <v>6.8199999999999997E-2</v>
      </c>
      <c r="H784" s="15">
        <v>9.8100000000000007E-2</v>
      </c>
      <c r="I784" s="15">
        <v>1.8830649065834169E-2</v>
      </c>
    </row>
    <row r="785" spans="1:9" x14ac:dyDescent="0.2">
      <c r="A785" s="2" t="s">
        <v>2351</v>
      </c>
      <c r="B785" s="2" t="s">
        <v>2352</v>
      </c>
      <c r="C785" s="2" t="s">
        <v>2353</v>
      </c>
      <c r="D785" s="2" t="s">
        <v>10041</v>
      </c>
      <c r="E785" s="15">
        <v>-0.2878</v>
      </c>
      <c r="F785" s="15">
        <v>0.11890000000000001</v>
      </c>
      <c r="G785" s="15">
        <v>-0.1532</v>
      </c>
      <c r="H785" s="15">
        <v>9.6600000000000005E-2</v>
      </c>
      <c r="I785" s="15">
        <v>0.1073822492267319</v>
      </c>
    </row>
    <row r="786" spans="1:9" x14ac:dyDescent="0.2">
      <c r="A786" s="2" t="s">
        <v>2354</v>
      </c>
      <c r="B786" s="2" t="s">
        <v>2355</v>
      </c>
      <c r="C786" s="2" t="s">
        <v>2356</v>
      </c>
      <c r="D786" s="2" t="s">
        <v>10041</v>
      </c>
      <c r="E786" s="15">
        <v>1.7100000000000001E-2</v>
      </c>
      <c r="F786" s="15">
        <v>8.3299999999999999E-2</v>
      </c>
      <c r="G786" s="15">
        <v>-9.1200000000000003E-2</v>
      </c>
      <c r="H786" s="15">
        <v>8.8200000000000001E-2</v>
      </c>
      <c r="I786" s="15">
        <v>0.13518103496368711</v>
      </c>
    </row>
    <row r="787" spans="1:9" x14ac:dyDescent="0.2">
      <c r="A787" s="2" t="s">
        <v>2357</v>
      </c>
      <c r="B787" s="2" t="s">
        <v>2358</v>
      </c>
      <c r="C787" s="2" t="s">
        <v>2359</v>
      </c>
      <c r="D787" s="2" t="s">
        <v>10041</v>
      </c>
      <c r="E787" s="15">
        <v>-0.1221</v>
      </c>
      <c r="F787" s="15">
        <v>9.06E-2</v>
      </c>
      <c r="G787" s="15">
        <v>-5.6000000000000001E-2</v>
      </c>
      <c r="H787" s="15">
        <v>9.64E-2</v>
      </c>
      <c r="I787" s="15">
        <v>0.26858844738385979</v>
      </c>
    </row>
    <row r="788" spans="1:9" x14ac:dyDescent="0.2">
      <c r="A788" s="2" t="s">
        <v>2360</v>
      </c>
      <c r="B788" s="2" t="s">
        <v>2361</v>
      </c>
      <c r="C788" s="2" t="s">
        <v>2362</v>
      </c>
      <c r="D788" s="2" t="s">
        <v>10041</v>
      </c>
      <c r="E788" s="15">
        <v>-1.7899999999999999E-2</v>
      </c>
      <c r="F788" s="15">
        <v>8.2299999999999998E-2</v>
      </c>
      <c r="G788" s="15">
        <v>5.8200000000000002E-2</v>
      </c>
      <c r="H788" s="15">
        <v>7.7100000000000002E-2</v>
      </c>
      <c r="I788" s="15">
        <v>0.1904777832734757</v>
      </c>
    </row>
    <row r="789" spans="1:9" x14ac:dyDescent="0.2">
      <c r="A789" s="2" t="s">
        <v>2363</v>
      </c>
      <c r="B789" s="2" t="s">
        <v>2364</v>
      </c>
      <c r="C789" s="2" t="s">
        <v>2365</v>
      </c>
      <c r="D789" s="2" t="s">
        <v>10041</v>
      </c>
      <c r="E789" s="15">
        <v>4.8500000000000001E-2</v>
      </c>
      <c r="F789" s="15">
        <v>6.7900000000000002E-2</v>
      </c>
      <c r="G789" s="15">
        <v>-0.14430000000000001</v>
      </c>
      <c r="H789" s="15">
        <v>0.1008</v>
      </c>
      <c r="I789" s="15">
        <v>3.9423517919259528E-2</v>
      </c>
    </row>
    <row r="790" spans="1:9" x14ac:dyDescent="0.2">
      <c r="A790" s="2" t="s">
        <v>2366</v>
      </c>
      <c r="B790" s="2" t="s">
        <v>2367</v>
      </c>
      <c r="C790" s="2" t="s">
        <v>2368</v>
      </c>
      <c r="D790" s="2" t="s">
        <v>10041</v>
      </c>
      <c r="E790" s="15">
        <v>-7.2499999999999995E-2</v>
      </c>
      <c r="F790" s="15">
        <v>7.4999999999999997E-2</v>
      </c>
      <c r="G790" s="15">
        <v>4.5400000000000003E-2</v>
      </c>
      <c r="H790" s="15">
        <v>7.6399999999999996E-2</v>
      </c>
      <c r="I790" s="15">
        <v>8.4197735766873533E-2</v>
      </c>
    </row>
    <row r="791" spans="1:9" x14ac:dyDescent="0.2">
      <c r="A791" s="2" t="s">
        <v>2369</v>
      </c>
      <c r="B791" s="2" t="s">
        <v>2370</v>
      </c>
      <c r="C791" s="2" t="s">
        <v>2371</v>
      </c>
      <c r="D791" s="2" t="s">
        <v>10041</v>
      </c>
      <c r="E791" s="15">
        <v>-6.7799999999999999E-2</v>
      </c>
      <c r="F791" s="15">
        <v>0.104</v>
      </c>
      <c r="G791" s="15">
        <v>0.19339999999999999</v>
      </c>
      <c r="H791" s="15">
        <v>0.1736</v>
      </c>
      <c r="I791" s="15">
        <v>7.5467569102108736E-2</v>
      </c>
    </row>
    <row r="792" spans="1:9" x14ac:dyDescent="0.2">
      <c r="A792" s="2" t="s">
        <v>2372</v>
      </c>
      <c r="B792" s="2" t="s">
        <v>2373</v>
      </c>
      <c r="C792" s="2" t="s">
        <v>2374</v>
      </c>
      <c r="D792" s="2" t="s">
        <v>10041</v>
      </c>
      <c r="E792" s="15">
        <v>-5.0000000000000001E-4</v>
      </c>
      <c r="F792" s="15">
        <v>7.3999999999999996E-2</v>
      </c>
      <c r="G792" s="15">
        <v>0.23799999999999999</v>
      </c>
      <c r="H792" s="15">
        <v>0.1492</v>
      </c>
      <c r="I792" s="15">
        <v>6.4916642125439641E-2</v>
      </c>
    </row>
    <row r="793" spans="1:9" x14ac:dyDescent="0.2">
      <c r="A793" s="2" t="s">
        <v>2375</v>
      </c>
      <c r="B793" s="2" t="s">
        <v>2376</v>
      </c>
      <c r="C793" s="2" t="s">
        <v>2377</v>
      </c>
      <c r="D793" s="2" t="s">
        <v>10041</v>
      </c>
      <c r="E793" s="15">
        <v>0.1032</v>
      </c>
      <c r="F793" s="15">
        <v>6.0199999999999997E-2</v>
      </c>
      <c r="G793" s="15">
        <v>-2.8199999999999999E-2</v>
      </c>
      <c r="H793" s="15">
        <v>7.6700000000000004E-2</v>
      </c>
      <c r="I793" s="15">
        <v>5.9915048293325321E-2</v>
      </c>
    </row>
    <row r="794" spans="1:9" x14ac:dyDescent="0.2">
      <c r="A794" s="2" t="s">
        <v>2378</v>
      </c>
      <c r="B794" s="2" t="s">
        <v>2379</v>
      </c>
      <c r="C794" s="2" t="s">
        <v>2380</v>
      </c>
      <c r="D794" s="2" t="s">
        <v>10041</v>
      </c>
      <c r="E794" s="15">
        <v>6.9999999999999999E-4</v>
      </c>
      <c r="F794" s="15">
        <v>7.0499999999999993E-2</v>
      </c>
      <c r="G794" s="15">
        <v>-3.5099999999999999E-2</v>
      </c>
      <c r="H794" s="15">
        <v>7.1900000000000006E-2</v>
      </c>
      <c r="I794" s="15">
        <v>0.32657287065405971</v>
      </c>
    </row>
    <row r="795" spans="1:9" x14ac:dyDescent="0.2">
      <c r="A795" s="2" t="s">
        <v>2381</v>
      </c>
      <c r="B795" s="2" t="s">
        <v>2382</v>
      </c>
      <c r="C795" s="2" t="s">
        <v>2383</v>
      </c>
      <c r="D795" s="2" t="s">
        <v>10041</v>
      </c>
      <c r="E795" s="15">
        <v>-4.3799999999999999E-2</v>
      </c>
      <c r="F795" s="15">
        <v>8.0100000000000005E-2</v>
      </c>
      <c r="G795" s="15">
        <v>3.9899999999999998E-2</v>
      </c>
      <c r="H795" s="15">
        <v>8.4099999999999994E-2</v>
      </c>
      <c r="I795" s="15">
        <v>0.2042382372102306</v>
      </c>
    </row>
    <row r="796" spans="1:9" x14ac:dyDescent="0.2">
      <c r="A796" s="2" t="s">
        <v>2384</v>
      </c>
      <c r="B796" s="2" t="s">
        <v>2385</v>
      </c>
      <c r="C796" s="2" t="s">
        <v>2386</v>
      </c>
      <c r="D796" s="2" t="s">
        <v>10041</v>
      </c>
      <c r="E796" s="15">
        <v>1.8599999999999998E-2</v>
      </c>
      <c r="F796" s="15">
        <v>8.0199999999999994E-2</v>
      </c>
      <c r="G796" s="15">
        <v>6.4299999999999996E-2</v>
      </c>
      <c r="H796" s="15">
        <v>7.7499999999999999E-2</v>
      </c>
      <c r="I796" s="15">
        <v>0.30524478583961029</v>
      </c>
    </row>
    <row r="797" spans="1:9" x14ac:dyDescent="0.2">
      <c r="A797" s="2" t="s">
        <v>2387</v>
      </c>
      <c r="B797" s="2" t="s">
        <v>2388</v>
      </c>
      <c r="C797" s="2" t="s">
        <v>2389</v>
      </c>
      <c r="D797" s="2" t="s">
        <v>10041</v>
      </c>
      <c r="E797" s="15">
        <v>3.39E-2</v>
      </c>
      <c r="F797" s="15">
        <v>7.0199999999999999E-2</v>
      </c>
      <c r="G797" s="15">
        <v>0.1056</v>
      </c>
      <c r="H797" s="15">
        <v>6.8199999999999997E-2</v>
      </c>
      <c r="I797" s="15">
        <v>0.18914299762192091</v>
      </c>
    </row>
    <row r="798" spans="1:9" x14ac:dyDescent="0.2">
      <c r="A798" s="2" t="s">
        <v>2390</v>
      </c>
      <c r="B798" s="2" t="s">
        <v>2391</v>
      </c>
      <c r="C798" s="2" t="s">
        <v>2392</v>
      </c>
      <c r="D798" s="2" t="s">
        <v>10041</v>
      </c>
      <c r="E798" s="15">
        <v>-0.13139999999999999</v>
      </c>
      <c r="F798" s="15">
        <v>0.1057</v>
      </c>
      <c r="G798" s="15">
        <v>-0.1017</v>
      </c>
      <c r="H798" s="15">
        <v>0.09</v>
      </c>
      <c r="I798" s="15">
        <v>0.38388537649484472</v>
      </c>
    </row>
    <row r="799" spans="1:9" x14ac:dyDescent="0.2">
      <c r="A799" s="2" t="s">
        <v>2393</v>
      </c>
      <c r="B799" s="2" t="s">
        <v>2394</v>
      </c>
      <c r="C799" s="2" t="s">
        <v>2395</v>
      </c>
      <c r="D799" s="2" t="s">
        <v>10041</v>
      </c>
      <c r="E799" s="15">
        <v>-0.373</v>
      </c>
      <c r="F799" s="15">
        <v>0.14480000000000001</v>
      </c>
      <c r="G799" s="15">
        <v>-0.23630000000000001</v>
      </c>
      <c r="H799" s="15">
        <v>0.16520000000000001</v>
      </c>
      <c r="I799" s="15">
        <v>0.21368155164422331</v>
      </c>
    </row>
    <row r="800" spans="1:9" x14ac:dyDescent="0.2">
      <c r="A800" s="2" t="s">
        <v>2396</v>
      </c>
      <c r="B800" s="2" t="s">
        <v>2397</v>
      </c>
      <c r="C800" s="2" t="s">
        <v>2398</v>
      </c>
      <c r="D800" s="2" t="s">
        <v>10041</v>
      </c>
      <c r="E800" s="15">
        <v>-5.1999999999999998E-2</v>
      </c>
      <c r="F800" s="15">
        <v>8.1500000000000003E-2</v>
      </c>
      <c r="G800" s="15">
        <v>-5.4800000000000001E-2</v>
      </c>
      <c r="H800" s="15">
        <v>9.3700000000000006E-2</v>
      </c>
      <c r="I800" s="15">
        <v>0.4892415231439759</v>
      </c>
    </row>
    <row r="801" spans="1:9" x14ac:dyDescent="0.2">
      <c r="A801" s="2" t="s">
        <v>2399</v>
      </c>
      <c r="B801" s="2" t="s">
        <v>2400</v>
      </c>
      <c r="C801" s="2" t="s">
        <v>2401</v>
      </c>
      <c r="D801" s="2" t="s">
        <v>10041</v>
      </c>
      <c r="E801" s="15">
        <v>-7.1900000000000006E-2</v>
      </c>
      <c r="F801" s="15">
        <v>7.4099999999999999E-2</v>
      </c>
      <c r="G801" s="15">
        <v>-1.9099999999999999E-2</v>
      </c>
      <c r="H801" s="15">
        <v>8.8499999999999995E-2</v>
      </c>
      <c r="I801" s="15">
        <v>0.29568219799696632</v>
      </c>
    </row>
    <row r="802" spans="1:9" x14ac:dyDescent="0.2">
      <c r="A802" s="2" t="s">
        <v>2402</v>
      </c>
      <c r="B802" s="2" t="s">
        <v>2403</v>
      </c>
      <c r="C802" s="2" t="s">
        <v>2404</v>
      </c>
      <c r="D802" s="2" t="s">
        <v>10041</v>
      </c>
      <c r="E802" s="15">
        <v>-4.8099999999999997E-2</v>
      </c>
      <c r="F802" s="15">
        <v>7.4099999999999999E-2</v>
      </c>
      <c r="G802" s="15">
        <v>7.9799999999999996E-2</v>
      </c>
      <c r="H802" s="15">
        <v>8.1600000000000006E-2</v>
      </c>
      <c r="I802" s="15">
        <v>8.1504621355470444E-2</v>
      </c>
    </row>
    <row r="803" spans="1:9" x14ac:dyDescent="0.2">
      <c r="A803" s="2" t="s">
        <v>2405</v>
      </c>
      <c r="B803" s="2" t="s">
        <v>2406</v>
      </c>
      <c r="C803" s="2" t="s">
        <v>2407</v>
      </c>
      <c r="D803" s="2" t="s">
        <v>10041</v>
      </c>
      <c r="E803" s="15">
        <v>-1.83E-2</v>
      </c>
      <c r="F803" s="15">
        <v>6.93E-2</v>
      </c>
      <c r="G803" s="15">
        <v>-4.8999999999999998E-3</v>
      </c>
      <c r="H803" s="15">
        <v>8.2500000000000004E-2</v>
      </c>
      <c r="I803" s="15">
        <v>0.44195580465039452</v>
      </c>
    </row>
    <row r="804" spans="1:9" x14ac:dyDescent="0.2">
      <c r="A804" s="2" t="s">
        <v>2408</v>
      </c>
      <c r="B804" s="2" t="s">
        <v>2409</v>
      </c>
      <c r="C804" s="2" t="s">
        <v>2410</v>
      </c>
      <c r="D804" s="2" t="s">
        <v>10041</v>
      </c>
      <c r="E804" s="15">
        <v>-6.1899999999999997E-2</v>
      </c>
      <c r="F804" s="15">
        <v>6.7799999999999999E-2</v>
      </c>
      <c r="G804" s="15">
        <v>0.20380000000000001</v>
      </c>
      <c r="H804" s="15">
        <v>8.4699999999999998E-2</v>
      </c>
      <c r="I804" s="15">
        <v>2.345921408625354E-3</v>
      </c>
    </row>
    <row r="805" spans="1:9" x14ac:dyDescent="0.2">
      <c r="A805" s="2" t="s">
        <v>2411</v>
      </c>
      <c r="B805" s="2" t="s">
        <v>2412</v>
      </c>
      <c r="C805" s="2" t="s">
        <v>2413</v>
      </c>
      <c r="D805" s="2" t="s">
        <v>10041</v>
      </c>
      <c r="E805" s="15">
        <v>-6.3600000000000004E-2</v>
      </c>
      <c r="F805" s="15">
        <v>8.1299999999999997E-2</v>
      </c>
      <c r="G805" s="15">
        <v>-5.2999999999999999E-2</v>
      </c>
      <c r="H805" s="15">
        <v>0.1198</v>
      </c>
      <c r="I805" s="15">
        <v>0.46735546204166761</v>
      </c>
    </row>
    <row r="806" spans="1:9" x14ac:dyDescent="0.2">
      <c r="A806" s="2" t="s">
        <v>2414</v>
      </c>
      <c r="B806" s="2" t="s">
        <v>2415</v>
      </c>
      <c r="C806" s="2" t="s">
        <v>2416</v>
      </c>
      <c r="D806" s="2" t="s">
        <v>10041</v>
      </c>
      <c r="E806" s="15">
        <v>0.1013</v>
      </c>
      <c r="F806" s="15">
        <v>8.3299999999999999E-2</v>
      </c>
      <c r="G806" s="15">
        <v>9.3899999999999997E-2</v>
      </c>
      <c r="H806" s="15">
        <v>8.6300000000000002E-2</v>
      </c>
      <c r="I806" s="15">
        <v>0.47032421528238311</v>
      </c>
    </row>
    <row r="807" spans="1:9" x14ac:dyDescent="0.2">
      <c r="A807" s="2" t="s">
        <v>2417</v>
      </c>
      <c r="B807" s="2" t="s">
        <v>2418</v>
      </c>
      <c r="C807" s="2" t="s">
        <v>2419</v>
      </c>
      <c r="D807" s="2" t="s">
        <v>10041</v>
      </c>
      <c r="E807" s="15">
        <v>9.0700000000000003E-2</v>
      </c>
      <c r="F807" s="15">
        <v>6.3299999999999995E-2</v>
      </c>
      <c r="G807" s="15">
        <v>-7.0000000000000001E-3</v>
      </c>
      <c r="H807" s="15">
        <v>7.0400000000000004E-2</v>
      </c>
      <c r="I807" s="15">
        <v>0.1064760719448591</v>
      </c>
    </row>
    <row r="808" spans="1:9" x14ac:dyDescent="0.2">
      <c r="A808" s="2" t="s">
        <v>2420</v>
      </c>
      <c r="B808" s="2" t="s">
        <v>2421</v>
      </c>
      <c r="C808" s="2" t="s">
        <v>2422</v>
      </c>
      <c r="D808" s="2" t="s">
        <v>10041</v>
      </c>
      <c r="E808" s="15">
        <v>-2.7400000000000001E-2</v>
      </c>
      <c r="F808" s="15">
        <v>7.2400000000000006E-2</v>
      </c>
      <c r="G808" s="15">
        <v>-4.7699999999999999E-2</v>
      </c>
      <c r="H808" s="15">
        <v>7.0999999999999994E-2</v>
      </c>
      <c r="I808" s="15">
        <v>0.39819803407066479</v>
      </c>
    </row>
    <row r="809" spans="1:9" x14ac:dyDescent="0.2">
      <c r="A809" s="2" t="s">
        <v>2423</v>
      </c>
      <c r="B809" s="2" t="s">
        <v>2424</v>
      </c>
      <c r="C809" s="2" t="s">
        <v>2425</v>
      </c>
      <c r="D809" s="2" t="s">
        <v>10041</v>
      </c>
      <c r="E809" s="15">
        <v>-0.153</v>
      </c>
      <c r="F809" s="15">
        <v>8.2699999999999996E-2</v>
      </c>
      <c r="G809" s="15">
        <v>-8.5900000000000004E-2</v>
      </c>
      <c r="H809" s="15">
        <v>9.7699999999999995E-2</v>
      </c>
      <c r="I809" s="15">
        <v>0.26790784327234379</v>
      </c>
    </row>
    <row r="810" spans="1:9" x14ac:dyDescent="0.2">
      <c r="A810" s="2" t="s">
        <v>2426</v>
      </c>
      <c r="B810" s="2" t="s">
        <v>2427</v>
      </c>
      <c r="C810" s="2" t="s">
        <v>2428</v>
      </c>
      <c r="D810" s="2" t="s">
        <v>10041</v>
      </c>
      <c r="E810" s="15">
        <v>0.13139999999999999</v>
      </c>
      <c r="F810" s="15">
        <v>9.2899999999999996E-2</v>
      </c>
      <c r="G810" s="15">
        <v>0.1099</v>
      </c>
      <c r="H810" s="15">
        <v>9.0700000000000003E-2</v>
      </c>
      <c r="I810" s="15">
        <v>0.41573702712260507</v>
      </c>
    </row>
    <row r="811" spans="1:9" x14ac:dyDescent="0.2">
      <c r="A811" s="2" t="s">
        <v>2429</v>
      </c>
      <c r="B811" s="2" t="s">
        <v>2430</v>
      </c>
      <c r="C811" s="2" t="s">
        <v>2431</v>
      </c>
      <c r="D811" s="2" t="s">
        <v>10041</v>
      </c>
      <c r="E811" s="15">
        <v>8.6400000000000005E-2</v>
      </c>
      <c r="F811" s="15">
        <v>8.4000000000000005E-2</v>
      </c>
      <c r="G811" s="15">
        <v>0.2366</v>
      </c>
      <c r="H811" s="15">
        <v>0.1119</v>
      </c>
      <c r="I811" s="15">
        <v>0.1068582619005</v>
      </c>
    </row>
    <row r="812" spans="1:9" x14ac:dyDescent="0.2">
      <c r="A812" s="2" t="s">
        <v>2432</v>
      </c>
      <c r="B812" s="2" t="s">
        <v>2433</v>
      </c>
      <c r="C812" s="2" t="s">
        <v>2434</v>
      </c>
      <c r="D812" s="2" t="s">
        <v>10041</v>
      </c>
      <c r="E812" s="15">
        <v>1.2E-2</v>
      </c>
      <c r="F812" s="15">
        <v>8.6699999999999999E-2</v>
      </c>
      <c r="G812" s="15">
        <v>-2.0199999999999999E-2</v>
      </c>
      <c r="H812" s="15">
        <v>8.2799999999999999E-2</v>
      </c>
      <c r="I812" s="15">
        <v>0.36493642994917652</v>
      </c>
    </row>
    <row r="813" spans="1:9" x14ac:dyDescent="0.2">
      <c r="A813" s="2" t="s">
        <v>2435</v>
      </c>
      <c r="B813" s="2" t="s">
        <v>2436</v>
      </c>
      <c r="C813" s="2" t="s">
        <v>2437</v>
      </c>
      <c r="D813" s="2" t="s">
        <v>10041</v>
      </c>
      <c r="E813" s="15">
        <v>-6.0499999999999998E-2</v>
      </c>
      <c r="F813" s="15">
        <v>8.1299999999999997E-2</v>
      </c>
      <c r="G813" s="15">
        <v>-3.09E-2</v>
      </c>
      <c r="H813" s="15">
        <v>9.7799999999999998E-2</v>
      </c>
      <c r="I813" s="15">
        <v>0.39280027698817882</v>
      </c>
    </row>
    <row r="814" spans="1:9" x14ac:dyDescent="0.2">
      <c r="A814" s="2" t="s">
        <v>2438</v>
      </c>
      <c r="B814" s="2" t="s">
        <v>2439</v>
      </c>
      <c r="C814" s="2" t="s">
        <v>2440</v>
      </c>
      <c r="D814" s="2" t="s">
        <v>10041</v>
      </c>
      <c r="E814" s="15">
        <v>5.5599999999999997E-2</v>
      </c>
      <c r="F814" s="15">
        <v>7.1199999999999999E-2</v>
      </c>
      <c r="G814" s="15">
        <v>5.33E-2</v>
      </c>
      <c r="H814" s="15">
        <v>8.2199999999999995E-2</v>
      </c>
      <c r="I814" s="15">
        <v>0.48985004619878481</v>
      </c>
    </row>
    <row r="815" spans="1:9" x14ac:dyDescent="0.2">
      <c r="A815" s="2" t="s">
        <v>2441</v>
      </c>
      <c r="B815" s="2" t="s">
        <v>2442</v>
      </c>
      <c r="C815" s="2" t="s">
        <v>2443</v>
      </c>
      <c r="D815" s="2" t="s">
        <v>10041</v>
      </c>
      <c r="E815" s="15">
        <v>0.1104</v>
      </c>
      <c r="F815" s="15">
        <v>7.5300000000000006E-2</v>
      </c>
      <c r="G815" s="15">
        <v>4.2799999999999998E-2</v>
      </c>
      <c r="H815" s="15">
        <v>7.22E-2</v>
      </c>
      <c r="I815" s="15">
        <v>0.21328281285651329</v>
      </c>
    </row>
    <row r="816" spans="1:9" x14ac:dyDescent="0.2">
      <c r="A816" s="2" t="s">
        <v>2444</v>
      </c>
      <c r="B816" s="2" t="s">
        <v>2445</v>
      </c>
      <c r="C816" s="2" t="s">
        <v>2446</v>
      </c>
      <c r="D816" s="2" t="s">
        <v>10041</v>
      </c>
      <c r="E816" s="15">
        <v>-1.6400000000000001E-2</v>
      </c>
      <c r="F816" s="15">
        <v>8.5800000000000001E-2</v>
      </c>
      <c r="G816" s="15">
        <v>-3.73E-2</v>
      </c>
      <c r="H816" s="15">
        <v>0.106</v>
      </c>
      <c r="I816" s="15">
        <v>0.42789415923138452</v>
      </c>
    </row>
    <row r="817" spans="1:9" x14ac:dyDescent="0.2">
      <c r="A817" s="2" t="s">
        <v>2447</v>
      </c>
      <c r="B817" s="2" t="s">
        <v>2448</v>
      </c>
      <c r="C817" s="2" t="s">
        <v>2449</v>
      </c>
      <c r="D817" s="2" t="s">
        <v>10041</v>
      </c>
      <c r="E817" s="15">
        <v>-0.14219999999999999</v>
      </c>
      <c r="F817" s="15">
        <v>8.6599999999999996E-2</v>
      </c>
      <c r="G817" s="15">
        <v>7.4899999999999994E-2</v>
      </c>
      <c r="H817" s="15">
        <v>8.3099999999999993E-2</v>
      </c>
      <c r="I817" s="15">
        <v>1.090008140757894E-2</v>
      </c>
    </row>
    <row r="818" spans="1:9" x14ac:dyDescent="0.2">
      <c r="A818" s="2" t="s">
        <v>2450</v>
      </c>
      <c r="B818" s="2" t="s">
        <v>2451</v>
      </c>
      <c r="C818" s="2" t="s">
        <v>2452</v>
      </c>
      <c r="D818" s="2" t="s">
        <v>10041</v>
      </c>
      <c r="E818" s="15">
        <v>-5.5899999999999998E-2</v>
      </c>
      <c r="F818" s="15">
        <v>8.9300000000000004E-2</v>
      </c>
      <c r="G818" s="15">
        <v>9.0200000000000002E-2</v>
      </c>
      <c r="H818" s="15">
        <v>7.4399999999999994E-2</v>
      </c>
      <c r="I818" s="15">
        <v>4.5016994305697423E-2</v>
      </c>
    </row>
    <row r="819" spans="1:9" x14ac:dyDescent="0.2">
      <c r="A819" s="2" t="s">
        <v>2453</v>
      </c>
      <c r="B819" s="2" t="s">
        <v>2454</v>
      </c>
      <c r="C819" s="2" t="s">
        <v>2455</v>
      </c>
      <c r="D819" s="2" t="s">
        <v>10041</v>
      </c>
      <c r="E819" s="15">
        <v>-9.9900000000000003E-2</v>
      </c>
      <c r="F819" s="15">
        <v>8.8200000000000001E-2</v>
      </c>
      <c r="G819" s="15">
        <v>3.2899999999999999E-2</v>
      </c>
      <c r="H819" s="15">
        <v>6.7299999999999999E-2</v>
      </c>
      <c r="I819" s="15">
        <v>5.7375212259454141E-2</v>
      </c>
    </row>
    <row r="820" spans="1:9" x14ac:dyDescent="0.2">
      <c r="A820" s="2" t="s">
        <v>2456</v>
      </c>
      <c r="B820" s="2" t="s">
        <v>2457</v>
      </c>
      <c r="C820" s="2" t="s">
        <v>2458</v>
      </c>
      <c r="D820" s="2" t="s">
        <v>10041</v>
      </c>
      <c r="E820" s="15">
        <v>-2.86E-2</v>
      </c>
      <c r="F820" s="15">
        <v>6.6799999999999998E-2</v>
      </c>
      <c r="G820" s="15">
        <v>2.3999999999999998E-3</v>
      </c>
      <c r="H820" s="15">
        <v>7.9399999999999998E-2</v>
      </c>
      <c r="I820" s="15">
        <v>0.3651375710687077</v>
      </c>
    </row>
    <row r="821" spans="1:9" x14ac:dyDescent="0.2">
      <c r="A821" s="2" t="s">
        <v>2459</v>
      </c>
      <c r="B821" s="2" t="s">
        <v>2460</v>
      </c>
      <c r="C821" s="2" t="s">
        <v>2461</v>
      </c>
      <c r="D821" s="2" t="s">
        <v>10041</v>
      </c>
      <c r="E821" s="15">
        <v>-9.4700000000000006E-2</v>
      </c>
      <c r="F821" s="15">
        <v>7.9500000000000001E-2</v>
      </c>
      <c r="G821" s="15">
        <v>0.1235</v>
      </c>
      <c r="H821" s="15">
        <v>6.7799999999999999E-2</v>
      </c>
      <c r="I821" s="15">
        <v>2.6091257765992488E-3</v>
      </c>
    </row>
    <row r="822" spans="1:9" x14ac:dyDescent="0.2">
      <c r="A822" s="2" t="s">
        <v>2462</v>
      </c>
      <c r="B822" s="2" t="s">
        <v>2463</v>
      </c>
      <c r="C822" s="2" t="s">
        <v>2464</v>
      </c>
      <c r="D822" s="2" t="s">
        <v>10041</v>
      </c>
      <c r="E822" s="15">
        <v>2.1600000000000001E-2</v>
      </c>
      <c r="F822" s="15">
        <v>7.6600000000000001E-2</v>
      </c>
      <c r="G822" s="15">
        <v>-6.8599999999999994E-2</v>
      </c>
      <c r="H822" s="15">
        <v>7.4899999999999994E-2</v>
      </c>
      <c r="I822" s="15">
        <v>0.1405177459218836</v>
      </c>
    </row>
    <row r="823" spans="1:9" x14ac:dyDescent="0.2">
      <c r="A823" s="2" t="s">
        <v>2465</v>
      </c>
      <c r="B823" s="2" t="s">
        <v>2466</v>
      </c>
      <c r="C823" s="2" t="s">
        <v>2467</v>
      </c>
      <c r="D823" s="2" t="s">
        <v>10041</v>
      </c>
      <c r="E823" s="15">
        <v>-0.15820000000000001</v>
      </c>
      <c r="F823" s="15">
        <v>8.7800000000000003E-2</v>
      </c>
      <c r="G823" s="15">
        <v>3.4700000000000002E-2</v>
      </c>
      <c r="H823" s="15">
        <v>0.11070000000000001</v>
      </c>
      <c r="I823" s="15">
        <v>5.4475685952334457E-2</v>
      </c>
    </row>
    <row r="824" spans="1:9" x14ac:dyDescent="0.2">
      <c r="A824" s="2" t="s">
        <v>2468</v>
      </c>
      <c r="B824" s="2" t="s">
        <v>2469</v>
      </c>
      <c r="C824" s="2" t="s">
        <v>2470</v>
      </c>
      <c r="D824" s="2" t="s">
        <v>10041</v>
      </c>
      <c r="E824" s="15">
        <v>-0.13969999999999999</v>
      </c>
      <c r="F824" s="15">
        <v>7.5700000000000003E-2</v>
      </c>
      <c r="G824" s="15">
        <v>3.1600000000000003E-2</v>
      </c>
      <c r="H824" s="15">
        <v>9.0399999999999994E-2</v>
      </c>
      <c r="I824" s="15">
        <v>4.2919524264783272E-2</v>
      </c>
    </row>
    <row r="825" spans="1:9" x14ac:dyDescent="0.2">
      <c r="A825" s="2" t="s">
        <v>2471</v>
      </c>
      <c r="B825" s="2" t="s">
        <v>2472</v>
      </c>
      <c r="C825" s="2" t="s">
        <v>2473</v>
      </c>
      <c r="D825" s="2" t="s">
        <v>10041</v>
      </c>
      <c r="E825" s="15">
        <v>-6.6100000000000006E-2</v>
      </c>
      <c r="F825" s="15">
        <v>0.1</v>
      </c>
      <c r="G825" s="15">
        <v>0.14099999999999999</v>
      </c>
      <c r="H825" s="15">
        <v>0.10290000000000001</v>
      </c>
      <c r="I825" s="15">
        <v>3.2210797161605832E-2</v>
      </c>
    </row>
    <row r="826" spans="1:9" x14ac:dyDescent="0.2">
      <c r="A826" s="2" t="s">
        <v>2474</v>
      </c>
      <c r="B826" s="2" t="s">
        <v>2475</v>
      </c>
      <c r="C826" s="2" t="s">
        <v>2476</v>
      </c>
      <c r="D826" s="2" t="s">
        <v>10041</v>
      </c>
      <c r="E826" s="15">
        <v>-3.3E-3</v>
      </c>
      <c r="F826" s="15">
        <v>7.5200000000000003E-2</v>
      </c>
      <c r="G826" s="15">
        <v>0.13619999999999999</v>
      </c>
      <c r="H826" s="15">
        <v>7.2300000000000003E-2</v>
      </c>
      <c r="I826" s="15">
        <v>4.5018061094287097E-2</v>
      </c>
    </row>
    <row r="827" spans="1:9" x14ac:dyDescent="0.2">
      <c r="A827" s="2" t="s">
        <v>2477</v>
      </c>
      <c r="B827" s="2" t="s">
        <v>2478</v>
      </c>
      <c r="C827" s="2" t="s">
        <v>2479</v>
      </c>
      <c r="D827" s="2" t="s">
        <v>10041</v>
      </c>
      <c r="E827" s="15">
        <v>-5.3999999999999999E-2</v>
      </c>
      <c r="F827" s="15">
        <v>9.11E-2</v>
      </c>
      <c r="G827" s="15">
        <v>0.2056</v>
      </c>
      <c r="H827" s="15">
        <v>0.1258</v>
      </c>
      <c r="I827" s="15">
        <v>2.9216494179035549E-2</v>
      </c>
    </row>
    <row r="828" spans="1:9" x14ac:dyDescent="0.2">
      <c r="A828" s="2" t="s">
        <v>2480</v>
      </c>
      <c r="B828" s="2" t="s">
        <v>2481</v>
      </c>
      <c r="C828" s="2" t="s">
        <v>2482</v>
      </c>
      <c r="D828" s="2" t="s">
        <v>10041</v>
      </c>
      <c r="E828" s="15">
        <v>-0.01</v>
      </c>
      <c r="F828" s="15">
        <v>7.2499999999999995E-2</v>
      </c>
      <c r="G828" s="15">
        <v>0.24679999999999999</v>
      </c>
      <c r="H828" s="15">
        <v>9.0300000000000005E-2</v>
      </c>
      <c r="I828" s="15">
        <v>6.1364631316856164E-3</v>
      </c>
    </row>
    <row r="829" spans="1:9" x14ac:dyDescent="0.2">
      <c r="A829" s="2" t="s">
        <v>2483</v>
      </c>
      <c r="B829" s="2" t="s">
        <v>2484</v>
      </c>
      <c r="C829" s="2" t="s">
        <v>2485</v>
      </c>
      <c r="D829" s="2" t="s">
        <v>10041</v>
      </c>
      <c r="E829" s="15">
        <v>-1.5E-3</v>
      </c>
      <c r="F829" s="15">
        <v>7.5600000000000001E-2</v>
      </c>
      <c r="G829" s="15">
        <v>0.25130000000000002</v>
      </c>
      <c r="H829" s="15">
        <v>0.13200000000000001</v>
      </c>
      <c r="I829" s="15">
        <v>3.7235387055722748E-2</v>
      </c>
    </row>
    <row r="830" spans="1:9" x14ac:dyDescent="0.2">
      <c r="A830" s="2" t="s">
        <v>2486</v>
      </c>
      <c r="B830" s="2" t="s">
        <v>2487</v>
      </c>
      <c r="C830" s="2" t="s">
        <v>2488</v>
      </c>
      <c r="D830" s="2" t="s">
        <v>10041</v>
      </c>
      <c r="E830" s="15">
        <v>0.10440000000000001</v>
      </c>
      <c r="F830" s="15">
        <v>5.8200000000000002E-2</v>
      </c>
      <c r="G830" s="15">
        <v>-2.7799999999999998E-2</v>
      </c>
      <c r="H830" s="15">
        <v>7.6799999999999993E-2</v>
      </c>
      <c r="I830" s="15">
        <v>5.9914957905024983E-2</v>
      </c>
    </row>
    <row r="831" spans="1:9" x14ac:dyDescent="0.2">
      <c r="A831" s="2" t="s">
        <v>2489</v>
      </c>
      <c r="B831" s="2" t="s">
        <v>2490</v>
      </c>
      <c r="C831" s="2" t="s">
        <v>2491</v>
      </c>
      <c r="D831" s="2" t="s">
        <v>10041</v>
      </c>
      <c r="E831" s="15">
        <v>-0.17080000000000001</v>
      </c>
      <c r="F831" s="15">
        <v>0.10059999999999999</v>
      </c>
      <c r="G831" s="15">
        <v>-4.7100000000000003E-2</v>
      </c>
      <c r="H831" s="15">
        <v>0.10059999999999999</v>
      </c>
      <c r="I831" s="15">
        <v>0.13327261934204071</v>
      </c>
    </row>
    <row r="832" spans="1:9" x14ac:dyDescent="0.2">
      <c r="A832" s="2" t="s">
        <v>2492</v>
      </c>
      <c r="B832" s="2" t="s">
        <v>2493</v>
      </c>
      <c r="C832" s="2" t="s">
        <v>2494</v>
      </c>
      <c r="D832" s="2" t="s">
        <v>10041</v>
      </c>
      <c r="E832" s="15">
        <v>-5.67E-2</v>
      </c>
      <c r="F832" s="15">
        <v>8.8700000000000001E-2</v>
      </c>
      <c r="G832" s="15">
        <v>1.83E-2</v>
      </c>
      <c r="H832" s="15">
        <v>9.5299999999999996E-2</v>
      </c>
      <c r="I832" s="15">
        <v>0.23719198982111889</v>
      </c>
    </row>
    <row r="833" spans="1:9" x14ac:dyDescent="0.2">
      <c r="A833" s="2" t="s">
        <v>2495</v>
      </c>
      <c r="B833" s="2" t="s">
        <v>2496</v>
      </c>
      <c r="C833" s="2" t="s">
        <v>2497</v>
      </c>
      <c r="D833" s="2" t="s">
        <v>10041</v>
      </c>
      <c r="E833" s="15">
        <v>-2.2200000000000001E-2</v>
      </c>
      <c r="F833" s="15">
        <v>7.0900000000000005E-2</v>
      </c>
      <c r="G833" s="15">
        <v>-8.3299999999999999E-2</v>
      </c>
      <c r="H833" s="15">
        <v>9.11E-2</v>
      </c>
      <c r="I833" s="15">
        <v>0.26932834961037561</v>
      </c>
    </row>
    <row r="834" spans="1:9" x14ac:dyDescent="0.2">
      <c r="A834" s="2" t="s">
        <v>2498</v>
      </c>
      <c r="B834" s="2" t="s">
        <v>2499</v>
      </c>
      <c r="C834" s="2" t="s">
        <v>2500</v>
      </c>
      <c r="D834" s="2" t="s">
        <v>10041</v>
      </c>
      <c r="E834" s="15">
        <v>-0.1235</v>
      </c>
      <c r="F834" s="15">
        <v>7.6499999999999999E-2</v>
      </c>
      <c r="G834" s="15">
        <v>0.11600000000000001</v>
      </c>
      <c r="H834" s="15">
        <v>9.0700000000000003E-2</v>
      </c>
      <c r="I834" s="15">
        <v>9.2090384332630167E-3</v>
      </c>
    </row>
    <row r="835" spans="1:9" x14ac:dyDescent="0.2">
      <c r="A835" s="2" t="s">
        <v>2501</v>
      </c>
      <c r="B835" s="2" t="s">
        <v>2502</v>
      </c>
      <c r="C835" s="2" t="s">
        <v>2503</v>
      </c>
      <c r="D835" s="2" t="s">
        <v>10041</v>
      </c>
      <c r="E835" s="15">
        <v>-1.84E-2</v>
      </c>
      <c r="F835" s="15">
        <v>8.2199999999999995E-2</v>
      </c>
      <c r="G835" s="15">
        <v>-4.5100000000000001E-2</v>
      </c>
      <c r="H835" s="15">
        <v>0.1045</v>
      </c>
      <c r="I835" s="15">
        <v>0.40849477648914539</v>
      </c>
    </row>
    <row r="836" spans="1:9" x14ac:dyDescent="0.2">
      <c r="A836" s="2" t="s">
        <v>2504</v>
      </c>
      <c r="B836" s="2" t="s">
        <v>2505</v>
      </c>
      <c r="C836" s="2" t="s">
        <v>2506</v>
      </c>
      <c r="D836" s="2" t="s">
        <v>10041</v>
      </c>
      <c r="E836" s="15">
        <v>-3.44E-2</v>
      </c>
      <c r="F836" s="15">
        <v>6.7199999999999996E-2</v>
      </c>
      <c r="G836" s="15">
        <v>9.0499999999999997E-2</v>
      </c>
      <c r="H836" s="15">
        <v>8.8999999999999996E-2</v>
      </c>
      <c r="I836" s="15">
        <v>0.10122144118725659</v>
      </c>
    </row>
    <row r="837" spans="1:9" x14ac:dyDescent="0.2">
      <c r="A837" s="2" t="s">
        <v>2507</v>
      </c>
      <c r="B837" s="2" t="s">
        <v>2508</v>
      </c>
      <c r="C837" s="2" t="s">
        <v>2509</v>
      </c>
      <c r="D837" s="2" t="s">
        <v>10041</v>
      </c>
      <c r="E837" s="15">
        <v>-6.9900000000000004E-2</v>
      </c>
      <c r="F837" s="15">
        <v>6.6600000000000006E-2</v>
      </c>
      <c r="G837" s="15">
        <v>0.13969999999999999</v>
      </c>
      <c r="H837" s="15">
        <v>8.14E-2</v>
      </c>
      <c r="I837" s="15">
        <v>1.129647414171291E-2</v>
      </c>
    </row>
    <row r="838" spans="1:9" x14ac:dyDescent="0.2">
      <c r="A838" s="2" t="s">
        <v>2510</v>
      </c>
      <c r="B838" s="2" t="s">
        <v>2511</v>
      </c>
      <c r="C838" s="2" t="s">
        <v>2512</v>
      </c>
      <c r="D838" s="2" t="s">
        <v>10041</v>
      </c>
      <c r="E838" s="15">
        <v>-0.1547</v>
      </c>
      <c r="F838" s="15">
        <v>7.7100000000000002E-2</v>
      </c>
      <c r="G838" s="15">
        <v>-7.3200000000000001E-2</v>
      </c>
      <c r="H838" s="15">
        <v>9.3299999999999994E-2</v>
      </c>
      <c r="I838" s="15">
        <v>0.21295217436395611</v>
      </c>
    </row>
    <row r="839" spans="1:9" x14ac:dyDescent="0.2">
      <c r="A839" s="2" t="s">
        <v>2513</v>
      </c>
      <c r="B839" s="2" t="s">
        <v>2514</v>
      </c>
      <c r="C839" s="2" t="s">
        <v>2515</v>
      </c>
      <c r="D839" s="2" t="s">
        <v>10041</v>
      </c>
      <c r="E839" s="15">
        <v>-7.0800000000000002E-2</v>
      </c>
      <c r="F839" s="15">
        <v>6.4299999999999996E-2</v>
      </c>
      <c r="G839" s="15">
        <v>1.1999999999999999E-3</v>
      </c>
      <c r="H839" s="15">
        <v>7.46E-2</v>
      </c>
      <c r="I839" s="15">
        <v>0.19323897423059111</v>
      </c>
    </row>
    <row r="840" spans="1:9" x14ac:dyDescent="0.2">
      <c r="A840" s="2" t="s">
        <v>2516</v>
      </c>
      <c r="B840" s="2" t="s">
        <v>2517</v>
      </c>
      <c r="C840" s="2" t="s">
        <v>2518</v>
      </c>
      <c r="D840" s="2" t="s">
        <v>10041</v>
      </c>
      <c r="E840" s="15">
        <v>-0.22109999999999999</v>
      </c>
      <c r="F840" s="15">
        <v>9.6500000000000002E-2</v>
      </c>
      <c r="G840" s="15">
        <v>-0.12570000000000001</v>
      </c>
      <c r="H840" s="15">
        <v>7.6700000000000004E-2</v>
      </c>
      <c r="I840" s="15">
        <v>0.1485708535347228</v>
      </c>
    </row>
    <row r="841" spans="1:9" x14ac:dyDescent="0.2">
      <c r="A841" s="2" t="s">
        <v>2519</v>
      </c>
      <c r="B841" s="2" t="s">
        <v>2520</v>
      </c>
      <c r="C841" s="2" t="s">
        <v>2521</v>
      </c>
      <c r="D841" s="2" t="s">
        <v>10041</v>
      </c>
      <c r="E841" s="15">
        <v>-1.7999999999999999E-2</v>
      </c>
      <c r="F841" s="15">
        <v>7.8399999999999997E-2</v>
      </c>
      <c r="G841" s="15">
        <v>-3.5400000000000001E-2</v>
      </c>
      <c r="H841" s="15">
        <v>9.7900000000000001E-2</v>
      </c>
      <c r="I841" s="15">
        <v>0.43630177372616141</v>
      </c>
    </row>
    <row r="842" spans="1:9" x14ac:dyDescent="0.2">
      <c r="A842" s="2" t="s">
        <v>2522</v>
      </c>
      <c r="B842" s="2" t="s">
        <v>2523</v>
      </c>
      <c r="C842" s="2" t="s">
        <v>2524</v>
      </c>
      <c r="D842" s="2" t="s">
        <v>10041</v>
      </c>
      <c r="E842" s="15">
        <v>4.2700000000000002E-2</v>
      </c>
      <c r="F842" s="15">
        <v>7.2800000000000004E-2</v>
      </c>
      <c r="G842" s="15">
        <v>-4.3799999999999999E-2</v>
      </c>
      <c r="H842" s="15">
        <v>7.1300000000000002E-2</v>
      </c>
      <c r="I842" s="15">
        <v>0.1392754178540167</v>
      </c>
    </row>
    <row r="843" spans="1:9" x14ac:dyDescent="0.2">
      <c r="A843" s="2" t="s">
        <v>2525</v>
      </c>
      <c r="B843" s="2" t="s">
        <v>2526</v>
      </c>
      <c r="C843" s="2" t="s">
        <v>2527</v>
      </c>
      <c r="D843" s="2" t="s">
        <v>10041</v>
      </c>
      <c r="E843" s="15">
        <v>-3.9399999999999998E-2</v>
      </c>
      <c r="F843" s="15">
        <v>0.1135</v>
      </c>
      <c r="G843" s="15">
        <v>7.8299999999999995E-2</v>
      </c>
      <c r="H843" s="15">
        <v>0.1263</v>
      </c>
      <c r="I843" s="15">
        <v>0.19761617391404671</v>
      </c>
    </row>
    <row r="844" spans="1:9" x14ac:dyDescent="0.2">
      <c r="A844" s="2" t="s">
        <v>2528</v>
      </c>
      <c r="B844" s="2" t="s">
        <v>2529</v>
      </c>
      <c r="C844" s="2" t="s">
        <v>2530</v>
      </c>
      <c r="D844" s="2" t="s">
        <v>10041</v>
      </c>
      <c r="E844" s="15">
        <v>7.0000000000000001E-3</v>
      </c>
      <c r="F844" s="15">
        <v>7.9000000000000001E-2</v>
      </c>
      <c r="G844" s="15">
        <v>5.0200000000000002E-2</v>
      </c>
      <c r="H844" s="15">
        <v>9.4299999999999995E-2</v>
      </c>
      <c r="I844" s="15">
        <v>0.33755690064405608</v>
      </c>
    </row>
    <row r="845" spans="1:9" x14ac:dyDescent="0.2">
      <c r="A845" s="2" t="s">
        <v>2531</v>
      </c>
      <c r="B845" s="2" t="s">
        <v>2532</v>
      </c>
      <c r="C845" s="2" t="s">
        <v>2533</v>
      </c>
      <c r="D845" s="2" t="s">
        <v>10041</v>
      </c>
      <c r="E845" s="15">
        <v>1.78E-2</v>
      </c>
      <c r="F845" s="15">
        <v>7.5200000000000003E-2</v>
      </c>
      <c r="G845" s="15">
        <v>0.1027</v>
      </c>
      <c r="H845" s="15">
        <v>8.6300000000000002E-2</v>
      </c>
      <c r="I845" s="15">
        <v>0.18116915511067971</v>
      </c>
    </row>
    <row r="846" spans="1:9" x14ac:dyDescent="0.2">
      <c r="A846" s="2" t="s">
        <v>2534</v>
      </c>
      <c r="B846" s="2" t="s">
        <v>2535</v>
      </c>
      <c r="C846" s="2" t="s">
        <v>2536</v>
      </c>
      <c r="D846" s="2" t="s">
        <v>10041</v>
      </c>
      <c r="E846" s="15">
        <v>4.6100000000000002E-2</v>
      </c>
      <c r="F846" s="15">
        <v>9.9500000000000005E-2</v>
      </c>
      <c r="G846" s="15">
        <v>0.16700000000000001</v>
      </c>
      <c r="H846" s="15">
        <v>0.11260000000000001</v>
      </c>
      <c r="I846" s="15">
        <v>0.16258485109436571</v>
      </c>
    </row>
    <row r="847" spans="1:9" x14ac:dyDescent="0.2">
      <c r="A847" s="2" t="s">
        <v>2537</v>
      </c>
      <c r="B847" s="2" t="s">
        <v>2538</v>
      </c>
      <c r="C847" s="2" t="s">
        <v>2539</v>
      </c>
      <c r="D847" s="2" t="s">
        <v>10041</v>
      </c>
      <c r="E847" s="15">
        <v>-9.7999999999999997E-3</v>
      </c>
      <c r="F847" s="15">
        <v>7.9699999999999993E-2</v>
      </c>
      <c r="G847" s="15">
        <v>3.0800000000000001E-2</v>
      </c>
      <c r="H847" s="15">
        <v>8.4199999999999997E-2</v>
      </c>
      <c r="I847" s="15">
        <v>0.33655507608544488</v>
      </c>
    </row>
    <row r="848" spans="1:9" x14ac:dyDescent="0.2">
      <c r="A848" s="2" t="s">
        <v>2540</v>
      </c>
      <c r="B848" s="2" t="s">
        <v>2541</v>
      </c>
      <c r="C848" s="2" t="s">
        <v>2542</v>
      </c>
      <c r="D848" s="2" t="s">
        <v>10041</v>
      </c>
      <c r="E848" s="15">
        <v>-0.1671</v>
      </c>
      <c r="F848" s="15">
        <v>0.1079</v>
      </c>
      <c r="G848" s="15">
        <v>1.7500000000000002E-2</v>
      </c>
      <c r="H848" s="15">
        <v>8.5900000000000004E-2</v>
      </c>
      <c r="I848" s="15">
        <v>2.957274589361027E-2</v>
      </c>
    </row>
    <row r="849" spans="1:9" x14ac:dyDescent="0.2">
      <c r="A849" s="2" t="s">
        <v>2543</v>
      </c>
      <c r="B849" s="2" t="s">
        <v>2544</v>
      </c>
      <c r="C849" s="2" t="s">
        <v>2545</v>
      </c>
      <c r="D849" s="2" t="s">
        <v>10041</v>
      </c>
      <c r="E849" s="15">
        <v>-9.5299999999999996E-2</v>
      </c>
      <c r="F849" s="15">
        <v>8.3299999999999999E-2</v>
      </c>
      <c r="G849" s="15">
        <v>-6.9199999999999998E-2</v>
      </c>
      <c r="H849" s="15">
        <v>8.3500000000000005E-2</v>
      </c>
      <c r="I849" s="15">
        <v>0.39207394228612819</v>
      </c>
    </row>
    <row r="850" spans="1:9" x14ac:dyDescent="0.2">
      <c r="A850" s="2" t="s">
        <v>2546</v>
      </c>
      <c r="B850" s="2" t="s">
        <v>2547</v>
      </c>
      <c r="C850" s="2" t="s">
        <v>2548</v>
      </c>
      <c r="D850" s="2" t="s">
        <v>10041</v>
      </c>
      <c r="E850" s="15">
        <v>-5.2499999999999998E-2</v>
      </c>
      <c r="F850" s="15">
        <v>9.1800000000000007E-2</v>
      </c>
      <c r="G850" s="15">
        <v>8.8999999999999999E-3</v>
      </c>
      <c r="H850" s="15">
        <v>7.4899999999999994E-2</v>
      </c>
      <c r="I850" s="15">
        <v>0.246753432077953</v>
      </c>
    </row>
    <row r="851" spans="1:9" x14ac:dyDescent="0.2">
      <c r="A851" s="2" t="s">
        <v>2549</v>
      </c>
      <c r="B851" s="2" t="s">
        <v>2550</v>
      </c>
      <c r="C851" s="2" t="s">
        <v>2551</v>
      </c>
      <c r="D851" s="2" t="s">
        <v>10041</v>
      </c>
      <c r="E851" s="15">
        <v>-8.4099999999999994E-2</v>
      </c>
      <c r="F851" s="15">
        <v>7.0800000000000002E-2</v>
      </c>
      <c r="G851" s="15">
        <v>-7.7200000000000005E-2</v>
      </c>
      <c r="H851" s="15">
        <v>8.9599999999999999E-2</v>
      </c>
      <c r="I851" s="15">
        <v>0.47172876850824857</v>
      </c>
    </row>
    <row r="852" spans="1:9" x14ac:dyDescent="0.2">
      <c r="A852" s="2" t="s">
        <v>2552</v>
      </c>
      <c r="B852" s="2" t="s">
        <v>2553</v>
      </c>
      <c r="C852" s="2" t="s">
        <v>2554</v>
      </c>
      <c r="D852" s="2" t="s">
        <v>10041</v>
      </c>
      <c r="E852" s="15">
        <v>-8.7800000000000003E-2</v>
      </c>
      <c r="F852" s="15">
        <v>9.5399999999999999E-2</v>
      </c>
      <c r="G852" s="15">
        <v>6.2600000000000003E-2</v>
      </c>
      <c r="H852" s="15">
        <v>7.17E-2</v>
      </c>
      <c r="I852" s="15">
        <v>3.472671284760085E-2</v>
      </c>
    </row>
    <row r="853" spans="1:9" x14ac:dyDescent="0.2">
      <c r="A853" s="2" t="s">
        <v>2555</v>
      </c>
      <c r="B853" s="2" t="s">
        <v>2556</v>
      </c>
      <c r="C853" s="2" t="s">
        <v>2557</v>
      </c>
      <c r="D853" s="2" t="s">
        <v>10041</v>
      </c>
      <c r="E853" s="15">
        <v>1.4E-2</v>
      </c>
      <c r="F853" s="15">
        <v>7.9600000000000004E-2</v>
      </c>
      <c r="G853" s="15">
        <v>-4.4299999999999999E-2</v>
      </c>
      <c r="H853" s="15">
        <v>8.0500000000000002E-2</v>
      </c>
      <c r="I853" s="15">
        <v>0.25727706971707881</v>
      </c>
    </row>
    <row r="854" spans="1:9" x14ac:dyDescent="0.2">
      <c r="A854" s="2" t="s">
        <v>2558</v>
      </c>
      <c r="B854" s="2" t="s">
        <v>2559</v>
      </c>
      <c r="C854" s="2" t="s">
        <v>2560</v>
      </c>
      <c r="D854" s="2" t="s">
        <v>10041</v>
      </c>
      <c r="E854" s="15">
        <v>-0.2006</v>
      </c>
      <c r="F854" s="15">
        <v>0.1076</v>
      </c>
      <c r="G854" s="15">
        <v>5.6000000000000001E-2</v>
      </c>
      <c r="H854" s="15">
        <v>9.0899999999999995E-2</v>
      </c>
      <c r="I854" s="15">
        <v>6.2560205095678733E-3</v>
      </c>
    </row>
    <row r="855" spans="1:9" x14ac:dyDescent="0.2">
      <c r="A855" s="2" t="s">
        <v>2561</v>
      </c>
      <c r="B855" s="2" t="s">
        <v>2562</v>
      </c>
      <c r="C855" s="2" t="s">
        <v>2563</v>
      </c>
      <c r="D855" s="2" t="s">
        <v>10041</v>
      </c>
      <c r="E855" s="15">
        <v>-0.22389999999999999</v>
      </c>
      <c r="F855" s="15">
        <v>7.3700000000000002E-2</v>
      </c>
      <c r="G855" s="15">
        <v>-9.6500000000000002E-2</v>
      </c>
      <c r="H855" s="15">
        <v>8.3000000000000004E-2</v>
      </c>
      <c r="I855" s="15">
        <v>8.4585275681373043E-2</v>
      </c>
    </row>
    <row r="856" spans="1:9" x14ac:dyDescent="0.2">
      <c r="A856" s="2" t="s">
        <v>2564</v>
      </c>
      <c r="B856" s="2" t="s">
        <v>2565</v>
      </c>
      <c r="C856" s="2" t="s">
        <v>2566</v>
      </c>
      <c r="D856" s="2" t="s">
        <v>10041</v>
      </c>
      <c r="E856" s="15">
        <v>-0.1077</v>
      </c>
      <c r="F856" s="15">
        <v>8.7300000000000003E-2</v>
      </c>
      <c r="G856" s="15">
        <v>2.1499999999999998E-2</v>
      </c>
      <c r="H856" s="15">
        <v>8.8700000000000001E-2</v>
      </c>
      <c r="I856" s="15">
        <v>9.7075408884242237E-2</v>
      </c>
    </row>
    <row r="857" spans="1:9" x14ac:dyDescent="0.2">
      <c r="A857" s="2" t="s">
        <v>2567</v>
      </c>
      <c r="B857" s="2" t="s">
        <v>2568</v>
      </c>
      <c r="C857" s="2" t="s">
        <v>2569</v>
      </c>
      <c r="D857" s="2" t="s">
        <v>10041</v>
      </c>
      <c r="E857" s="15">
        <v>-9.1000000000000004E-3</v>
      </c>
      <c r="F857" s="15">
        <v>7.3599999999999999E-2</v>
      </c>
      <c r="G857" s="15">
        <v>0.1234</v>
      </c>
      <c r="H857" s="15">
        <v>8.3799999999999999E-2</v>
      </c>
      <c r="I857" s="15">
        <v>7.8549740917324071E-2</v>
      </c>
    </row>
    <row r="858" spans="1:9" x14ac:dyDescent="0.2">
      <c r="A858" s="2" t="s">
        <v>2570</v>
      </c>
      <c r="B858" s="2" t="s">
        <v>2571</v>
      </c>
      <c r="C858" s="2" t="s">
        <v>2572</v>
      </c>
      <c r="D858" s="2" t="s">
        <v>10041</v>
      </c>
      <c r="E858" s="15">
        <v>6.0699999999999997E-2</v>
      </c>
      <c r="F858" s="15">
        <v>8.0399999999999999E-2</v>
      </c>
      <c r="G858" s="15">
        <v>5.1799999999999999E-2</v>
      </c>
      <c r="H858" s="15">
        <v>8.5900000000000004E-2</v>
      </c>
      <c r="I858" s="15">
        <v>0.46409136177714572</v>
      </c>
    </row>
    <row r="859" spans="1:9" x14ac:dyDescent="0.2">
      <c r="A859" s="2" t="s">
        <v>2573</v>
      </c>
      <c r="B859" s="2" t="s">
        <v>2574</v>
      </c>
      <c r="C859" s="2" t="s">
        <v>2575</v>
      </c>
      <c r="D859" s="2" t="s">
        <v>10041</v>
      </c>
      <c r="E859" s="15">
        <v>-2.0299999999999999E-2</v>
      </c>
      <c r="F859" s="15">
        <v>9.5899999999999999E-2</v>
      </c>
      <c r="G859" s="15">
        <v>0.1709</v>
      </c>
      <c r="H859" s="15">
        <v>0.1087</v>
      </c>
      <c r="I859" s="15">
        <v>6.2300290242684749E-2</v>
      </c>
    </row>
    <row r="860" spans="1:9" x14ac:dyDescent="0.2">
      <c r="A860" s="2" t="s">
        <v>2576</v>
      </c>
      <c r="B860" s="2" t="s">
        <v>2577</v>
      </c>
      <c r="C860" s="2" t="s">
        <v>2578</v>
      </c>
      <c r="D860" s="2" t="s">
        <v>10041</v>
      </c>
      <c r="E860" s="15">
        <v>0.13850000000000001</v>
      </c>
      <c r="F860" s="15">
        <v>9.2299999999999993E-2</v>
      </c>
      <c r="G860" s="15">
        <v>0.1244</v>
      </c>
      <c r="H860" s="15">
        <v>8.8900000000000007E-2</v>
      </c>
      <c r="I860" s="15">
        <v>0.44611257540196481</v>
      </c>
    </row>
    <row r="861" spans="1:9" x14ac:dyDescent="0.2">
      <c r="A861" s="2" t="s">
        <v>2579</v>
      </c>
      <c r="B861" s="2" t="s">
        <v>2580</v>
      </c>
      <c r="C861" s="2" t="s">
        <v>2581</v>
      </c>
      <c r="D861" s="2" t="s">
        <v>10041</v>
      </c>
      <c r="E861" s="15">
        <v>0.11070000000000001</v>
      </c>
      <c r="F861" s="15">
        <v>6.3700000000000007E-2</v>
      </c>
      <c r="G861" s="15">
        <v>-5.7000000000000002E-3</v>
      </c>
      <c r="H861" s="15">
        <v>6.8199999999999997E-2</v>
      </c>
      <c r="I861" s="15">
        <v>6.3770806100593214E-2</v>
      </c>
    </row>
    <row r="862" spans="1:9" x14ac:dyDescent="0.2">
      <c r="A862" s="2" t="s">
        <v>2582</v>
      </c>
      <c r="B862" s="2" t="s">
        <v>2583</v>
      </c>
      <c r="C862" s="2" t="s">
        <v>2584</v>
      </c>
      <c r="D862" s="2" t="s">
        <v>10041</v>
      </c>
      <c r="E862" s="15">
        <v>-0.21079999999999999</v>
      </c>
      <c r="F862" s="15">
        <v>9.8699999999999996E-2</v>
      </c>
      <c r="G862" s="15">
        <v>-0.1603</v>
      </c>
      <c r="H862" s="15">
        <v>0.1067</v>
      </c>
      <c r="I862" s="15">
        <v>0.33117295575216249</v>
      </c>
    </row>
    <row r="863" spans="1:9" x14ac:dyDescent="0.2">
      <c r="A863" s="2" t="s">
        <v>2585</v>
      </c>
      <c r="B863" s="2" t="s">
        <v>2586</v>
      </c>
      <c r="C863" s="2" t="s">
        <v>2587</v>
      </c>
      <c r="D863" s="2" t="s">
        <v>10041</v>
      </c>
      <c r="E863" s="15">
        <v>-5.8900000000000001E-2</v>
      </c>
      <c r="F863" s="15">
        <v>8.1500000000000003E-2</v>
      </c>
      <c r="G863" s="15">
        <v>-8.3999999999999995E-3</v>
      </c>
      <c r="H863" s="15">
        <v>7.7899999999999997E-2</v>
      </c>
      <c r="I863" s="15">
        <v>0.2871767330463606</v>
      </c>
    </row>
    <row r="864" spans="1:9" x14ac:dyDescent="0.2">
      <c r="A864" s="2" t="s">
        <v>2588</v>
      </c>
      <c r="B864" s="2" t="s">
        <v>2589</v>
      </c>
      <c r="C864" s="2" t="s">
        <v>2590</v>
      </c>
      <c r="D864" s="2" t="s">
        <v>10041</v>
      </c>
      <c r="E864" s="15">
        <v>-0.14319999999999999</v>
      </c>
      <c r="F864" s="15">
        <v>7.1300000000000002E-2</v>
      </c>
      <c r="G864" s="15">
        <v>2.8199999999999999E-2</v>
      </c>
      <c r="H864" s="15">
        <v>9.9099999999999994E-2</v>
      </c>
      <c r="I864" s="15">
        <v>5.3641534820865998E-2</v>
      </c>
    </row>
    <row r="865" spans="1:9" x14ac:dyDescent="0.2">
      <c r="A865" s="2" t="s">
        <v>2591</v>
      </c>
      <c r="B865" s="2" t="s">
        <v>2592</v>
      </c>
      <c r="C865" s="2" t="s">
        <v>2593</v>
      </c>
      <c r="D865" s="2" t="s">
        <v>10041</v>
      </c>
      <c r="E865" s="15">
        <v>-0.17460000000000001</v>
      </c>
      <c r="F865" s="15">
        <v>8.2299999999999998E-2</v>
      </c>
      <c r="G865" s="15">
        <v>2.2100000000000002E-2</v>
      </c>
      <c r="H865" s="15">
        <v>7.17E-2</v>
      </c>
      <c r="I865" s="15">
        <v>9.9555820053868881E-3</v>
      </c>
    </row>
    <row r="866" spans="1:9" x14ac:dyDescent="0.2">
      <c r="A866" s="2" t="s">
        <v>2594</v>
      </c>
      <c r="B866" s="2" t="s">
        <v>2595</v>
      </c>
      <c r="C866" s="2" t="s">
        <v>2596</v>
      </c>
      <c r="D866" s="2" t="s">
        <v>10041</v>
      </c>
      <c r="E866" s="15">
        <v>-2.4400000000000002E-2</v>
      </c>
      <c r="F866" s="15">
        <v>0.13730000000000001</v>
      </c>
      <c r="G866" s="15">
        <v>-0.04</v>
      </c>
      <c r="H866" s="15">
        <v>0.1148</v>
      </c>
      <c r="I866" s="15">
        <v>0.45124824335400671</v>
      </c>
    </row>
    <row r="867" spans="1:9" x14ac:dyDescent="0.2">
      <c r="A867" s="2" t="s">
        <v>2597</v>
      </c>
      <c r="B867" s="2" t="s">
        <v>2598</v>
      </c>
      <c r="C867" s="2" t="s">
        <v>2599</v>
      </c>
      <c r="D867" s="2" t="s">
        <v>10041</v>
      </c>
      <c r="E867" s="15">
        <v>-9.1999999999999998E-2</v>
      </c>
      <c r="F867" s="15">
        <v>7.7899999999999997E-2</v>
      </c>
      <c r="G867" s="15">
        <v>-2.4899999999999999E-2</v>
      </c>
      <c r="H867" s="15">
        <v>7.8600000000000003E-2</v>
      </c>
      <c r="I867" s="15">
        <v>0.22791789783417229</v>
      </c>
    </row>
    <row r="868" spans="1:9" x14ac:dyDescent="0.2">
      <c r="A868" s="2" t="s">
        <v>2600</v>
      </c>
      <c r="B868" s="2" t="s">
        <v>2601</v>
      </c>
      <c r="C868" s="2" t="s">
        <v>2602</v>
      </c>
      <c r="D868" s="2" t="s">
        <v>10041</v>
      </c>
      <c r="E868" s="15">
        <v>-5.3100000000000001E-2</v>
      </c>
      <c r="F868" s="15">
        <v>7.1599999999999997E-2</v>
      </c>
      <c r="G868" s="15">
        <v>0.14940000000000001</v>
      </c>
      <c r="H868" s="15">
        <v>7.7600000000000002E-2</v>
      </c>
      <c r="I868" s="15">
        <v>1.1872965763963879E-2</v>
      </c>
    </row>
    <row r="869" spans="1:9" x14ac:dyDescent="0.2">
      <c r="A869" s="2" t="s">
        <v>2603</v>
      </c>
      <c r="B869" s="2" t="s">
        <v>2604</v>
      </c>
      <c r="C869" s="2" t="s">
        <v>2605</v>
      </c>
      <c r="D869" s="2" t="s">
        <v>10041</v>
      </c>
      <c r="E869" s="15">
        <v>-0.22450000000000001</v>
      </c>
      <c r="F869" s="15">
        <v>0.1036</v>
      </c>
      <c r="G869" s="15">
        <v>2.12E-2</v>
      </c>
      <c r="H869" s="15">
        <v>8.2500000000000004E-2</v>
      </c>
      <c r="I869" s="15">
        <v>4.645382879118521E-3</v>
      </c>
    </row>
    <row r="870" spans="1:9" x14ac:dyDescent="0.2">
      <c r="A870" s="2" t="s">
        <v>2606</v>
      </c>
      <c r="B870" s="2" t="s">
        <v>2607</v>
      </c>
      <c r="C870" s="2" t="s">
        <v>2608</v>
      </c>
      <c r="D870" s="2" t="s">
        <v>10041</v>
      </c>
      <c r="E870" s="15">
        <v>3.9899999999999998E-2</v>
      </c>
      <c r="F870" s="15">
        <v>7.2300000000000003E-2</v>
      </c>
      <c r="G870" s="15">
        <v>-1.7600000000000001E-2</v>
      </c>
      <c r="H870" s="15">
        <v>7.0699999999999999E-2</v>
      </c>
      <c r="I870" s="15">
        <v>0.23266488566967891</v>
      </c>
    </row>
    <row r="871" spans="1:9" x14ac:dyDescent="0.2">
      <c r="A871" s="2" t="s">
        <v>2609</v>
      </c>
      <c r="B871" s="2" t="s">
        <v>2610</v>
      </c>
      <c r="C871" s="2" t="s">
        <v>2611</v>
      </c>
      <c r="D871" s="2" t="s">
        <v>10041</v>
      </c>
      <c r="E871" s="15">
        <v>-5.7299999999999997E-2</v>
      </c>
      <c r="F871" s="15">
        <v>8.0600000000000005E-2</v>
      </c>
      <c r="G871" s="15">
        <v>-0.1646</v>
      </c>
      <c r="H871" s="15">
        <v>0.1142</v>
      </c>
      <c r="I871" s="15">
        <v>0.19038000622448711</v>
      </c>
    </row>
    <row r="872" spans="1:9" x14ac:dyDescent="0.2">
      <c r="A872" s="2" t="s">
        <v>2612</v>
      </c>
      <c r="B872" s="2" t="s">
        <v>2613</v>
      </c>
      <c r="C872" s="2" t="s">
        <v>2614</v>
      </c>
      <c r="D872" s="2" t="s">
        <v>10041</v>
      </c>
      <c r="E872" s="15">
        <v>-5.2299999999999999E-2</v>
      </c>
      <c r="F872" s="15">
        <v>7.8700000000000006E-2</v>
      </c>
      <c r="G872" s="15">
        <v>-8.0000000000000004E-4</v>
      </c>
      <c r="H872" s="15">
        <v>8.4000000000000005E-2</v>
      </c>
      <c r="I872" s="15">
        <v>0.29136152283687677</v>
      </c>
    </row>
    <row r="873" spans="1:9" x14ac:dyDescent="0.2">
      <c r="A873" s="2" t="s">
        <v>2615</v>
      </c>
      <c r="B873" s="2" t="s">
        <v>2616</v>
      </c>
      <c r="C873" s="2" t="s">
        <v>2617</v>
      </c>
      <c r="D873" s="2" t="s">
        <v>10041</v>
      </c>
      <c r="E873" s="15">
        <v>-1.1599999999999999E-2</v>
      </c>
      <c r="F873" s="15">
        <v>6.3E-2</v>
      </c>
      <c r="G873" s="15">
        <v>4.7999999999999996E-3</v>
      </c>
      <c r="H873" s="15">
        <v>6.5000000000000002E-2</v>
      </c>
      <c r="I873" s="15">
        <v>0.41220986317619718</v>
      </c>
    </row>
    <row r="874" spans="1:9" x14ac:dyDescent="0.2">
      <c r="A874" s="2" t="s">
        <v>2618</v>
      </c>
      <c r="B874" s="2" t="s">
        <v>2619</v>
      </c>
      <c r="C874" s="2" t="s">
        <v>2620</v>
      </c>
      <c r="D874" s="2" t="s">
        <v>10041</v>
      </c>
      <c r="E874" s="15">
        <v>-9.7699999999999995E-2</v>
      </c>
      <c r="F874" s="15">
        <v>9.35E-2</v>
      </c>
      <c r="G874" s="15">
        <v>9.2700000000000005E-2</v>
      </c>
      <c r="H874" s="15">
        <v>8.8099999999999998E-2</v>
      </c>
      <c r="I874" s="15">
        <v>2.8272979436268528E-2</v>
      </c>
    </row>
    <row r="875" spans="1:9" x14ac:dyDescent="0.2">
      <c r="A875" s="2" t="s">
        <v>2621</v>
      </c>
      <c r="B875" s="2" t="s">
        <v>2622</v>
      </c>
      <c r="C875" s="2" t="s">
        <v>2623</v>
      </c>
      <c r="D875" s="2" t="s">
        <v>10041</v>
      </c>
      <c r="E875" s="15">
        <v>-2.12E-2</v>
      </c>
      <c r="F875" s="15">
        <v>0.10340000000000001</v>
      </c>
      <c r="G875" s="15">
        <v>-9.9699999999999997E-2</v>
      </c>
      <c r="H875" s="15">
        <v>0.12470000000000001</v>
      </c>
      <c r="I875" s="15">
        <v>0.28442769044669097</v>
      </c>
    </row>
    <row r="876" spans="1:9" x14ac:dyDescent="0.2">
      <c r="A876" s="2" t="s">
        <v>2624</v>
      </c>
      <c r="B876" s="2" t="s">
        <v>2625</v>
      </c>
      <c r="C876" s="2" t="s">
        <v>2626</v>
      </c>
      <c r="D876" s="2" t="s">
        <v>10041</v>
      </c>
      <c r="E876" s="15">
        <v>3.1399999999999997E-2</v>
      </c>
      <c r="F876" s="15">
        <v>9.3299999999999994E-2</v>
      </c>
      <c r="G876" s="15">
        <v>0.1191</v>
      </c>
      <c r="H876" s="15">
        <v>7.6999999999999999E-2</v>
      </c>
      <c r="I876" s="15">
        <v>0.16632397178333089</v>
      </c>
    </row>
    <row r="877" spans="1:9" x14ac:dyDescent="0.2">
      <c r="A877" s="2" t="s">
        <v>2627</v>
      </c>
      <c r="B877" s="2" t="s">
        <v>2628</v>
      </c>
      <c r="C877" s="2" t="s">
        <v>2629</v>
      </c>
      <c r="D877" s="2" t="s">
        <v>10041</v>
      </c>
      <c r="E877" s="15">
        <v>-1.8397999999999999E-5</v>
      </c>
      <c r="F877" s="15">
        <v>0.12920000000000001</v>
      </c>
      <c r="G877" s="15">
        <v>-0.1154</v>
      </c>
      <c r="H877" s="15">
        <v>8.5699999999999998E-2</v>
      </c>
      <c r="I877" s="15">
        <v>0.11995137818417061</v>
      </c>
    </row>
    <row r="878" spans="1:9" x14ac:dyDescent="0.2">
      <c r="A878" s="2" t="s">
        <v>2630</v>
      </c>
      <c r="B878" s="2" t="s">
        <v>2631</v>
      </c>
      <c r="C878" s="2" t="s">
        <v>2632</v>
      </c>
      <c r="D878" s="2" t="s">
        <v>10041</v>
      </c>
      <c r="E878" s="15">
        <v>-6.7000000000000004E-2</v>
      </c>
      <c r="F878" s="15">
        <v>9.1800000000000007E-2</v>
      </c>
      <c r="G878" s="15">
        <v>0.46949999999999997</v>
      </c>
      <c r="H878" s="15">
        <v>1.1287</v>
      </c>
      <c r="I878" s="15">
        <v>0.31747894243177932</v>
      </c>
    </row>
    <row r="879" spans="1:9" x14ac:dyDescent="0.2">
      <c r="A879" s="2" t="s">
        <v>2633</v>
      </c>
      <c r="B879" s="2" t="s">
        <v>2634</v>
      </c>
      <c r="C879" s="2" t="s">
        <v>2635</v>
      </c>
      <c r="D879" s="2" t="s">
        <v>10041</v>
      </c>
      <c r="E879" s="15">
        <v>-7.0900000000000005E-2</v>
      </c>
      <c r="F879" s="15">
        <v>8.0600000000000005E-2</v>
      </c>
      <c r="G879" s="15">
        <v>-9.5699999999999993E-2</v>
      </c>
      <c r="H879" s="15">
        <v>0.121</v>
      </c>
      <c r="I879" s="15">
        <v>0.42529621352732799</v>
      </c>
    </row>
    <row r="880" spans="1:9" x14ac:dyDescent="0.2">
      <c r="A880" s="2" t="s">
        <v>2636</v>
      </c>
      <c r="B880" s="2" t="s">
        <v>2637</v>
      </c>
      <c r="C880" s="2" t="s">
        <v>2638</v>
      </c>
      <c r="D880" s="2" t="s">
        <v>10041</v>
      </c>
      <c r="E880" s="15">
        <v>4.8899999999999999E-2</v>
      </c>
      <c r="F880" s="15">
        <v>8.6199999999999999E-2</v>
      </c>
      <c r="G880" s="15">
        <v>7.6499999999999999E-2</v>
      </c>
      <c r="H880" s="15">
        <v>0.1014</v>
      </c>
      <c r="I880" s="15">
        <v>0.40258102330204809</v>
      </c>
    </row>
    <row r="881" spans="1:9" x14ac:dyDescent="0.2">
      <c r="A881" s="2" t="s">
        <v>2639</v>
      </c>
      <c r="B881" s="2" t="s">
        <v>2640</v>
      </c>
      <c r="C881" s="2" t="s">
        <v>2641</v>
      </c>
      <c r="D881" s="2" t="s">
        <v>10041</v>
      </c>
      <c r="E881" s="15">
        <v>-8.2199999999999995E-2</v>
      </c>
      <c r="F881" s="15">
        <v>0.1061</v>
      </c>
      <c r="G881" s="15">
        <v>2.6700000000000002E-2</v>
      </c>
      <c r="H881" s="15">
        <v>0.1158</v>
      </c>
      <c r="I881" s="15">
        <v>0.1941159533368417</v>
      </c>
    </row>
    <row r="882" spans="1:9" x14ac:dyDescent="0.2">
      <c r="A882" s="2" t="s">
        <v>2642</v>
      </c>
      <c r="B882" s="2" t="s">
        <v>2643</v>
      </c>
      <c r="C882" s="2" t="s">
        <v>2644</v>
      </c>
      <c r="D882" s="2" t="s">
        <v>10041</v>
      </c>
      <c r="E882" s="15">
        <v>-7.2700000000000001E-2</v>
      </c>
      <c r="F882" s="15">
        <v>9.8100000000000007E-2</v>
      </c>
      <c r="G882" s="15">
        <v>9.7600000000000006E-2</v>
      </c>
      <c r="H882" s="15">
        <v>8.8499999999999995E-2</v>
      </c>
      <c r="I882" s="15">
        <v>4.8962469501904957E-2</v>
      </c>
    </row>
    <row r="883" spans="1:9" x14ac:dyDescent="0.2">
      <c r="A883" s="2" t="s">
        <v>2645</v>
      </c>
      <c r="B883" s="2" t="s">
        <v>2646</v>
      </c>
      <c r="C883" s="2" t="s">
        <v>2647</v>
      </c>
      <c r="D883" s="2" t="s">
        <v>10041</v>
      </c>
      <c r="E883" s="15">
        <v>-1.1999999999999999E-3</v>
      </c>
      <c r="F883" s="15">
        <v>9.5699999999999993E-2</v>
      </c>
      <c r="G883" s="15">
        <v>2.2800000000000001E-2</v>
      </c>
      <c r="H883" s="15">
        <v>8.5900000000000004E-2</v>
      </c>
      <c r="I883" s="15">
        <v>0.40407695555141032</v>
      </c>
    </row>
    <row r="884" spans="1:9" x14ac:dyDescent="0.2">
      <c r="A884" s="2" t="s">
        <v>2648</v>
      </c>
      <c r="B884" s="2" t="s">
        <v>2649</v>
      </c>
      <c r="C884" s="2" t="s">
        <v>2650</v>
      </c>
      <c r="D884" s="2" t="s">
        <v>10041</v>
      </c>
      <c r="E884" s="15">
        <v>4.9099999999999998E-2</v>
      </c>
      <c r="F884" s="15">
        <v>6.7199999999999996E-2</v>
      </c>
      <c r="G884" s="15">
        <v>-6.7999999999999996E-3</v>
      </c>
      <c r="H884" s="15">
        <v>7.8399999999999997E-2</v>
      </c>
      <c r="I884" s="15">
        <v>0.25891090945065121</v>
      </c>
    </row>
    <row r="885" spans="1:9" x14ac:dyDescent="0.2">
      <c r="A885" s="2" t="s">
        <v>2651</v>
      </c>
      <c r="B885" s="2" t="s">
        <v>2652</v>
      </c>
      <c r="C885" s="2" t="s">
        <v>2653</v>
      </c>
      <c r="D885" s="2" t="s">
        <v>10041</v>
      </c>
      <c r="E885" s="15">
        <v>-0.1172</v>
      </c>
      <c r="F885" s="15">
        <v>0.1069</v>
      </c>
      <c r="G885" s="15">
        <v>0.1022</v>
      </c>
      <c r="H885" s="15">
        <v>0.128</v>
      </c>
      <c r="I885" s="15">
        <v>6.2566130168933878E-2</v>
      </c>
    </row>
    <row r="886" spans="1:9" x14ac:dyDescent="0.2">
      <c r="A886" s="2" t="s">
        <v>2654</v>
      </c>
      <c r="B886" s="2" t="s">
        <v>2655</v>
      </c>
      <c r="C886" s="2" t="s">
        <v>2656</v>
      </c>
      <c r="D886" s="2" t="s">
        <v>10041</v>
      </c>
      <c r="E886" s="15">
        <v>-4.1399999999999999E-2</v>
      </c>
      <c r="F886" s="15">
        <v>9.9099999999999994E-2</v>
      </c>
      <c r="G886" s="15">
        <v>0.36509999999999998</v>
      </c>
      <c r="H886" s="15">
        <v>0.1784</v>
      </c>
      <c r="I886" s="15">
        <v>1.6752812624104441E-2</v>
      </c>
    </row>
    <row r="887" spans="1:9" x14ac:dyDescent="0.2">
      <c r="A887" s="2" t="s">
        <v>2657</v>
      </c>
      <c r="B887" s="2" t="s">
        <v>2658</v>
      </c>
      <c r="C887" s="2" t="s">
        <v>2659</v>
      </c>
      <c r="D887" s="2" t="s">
        <v>10041</v>
      </c>
      <c r="E887" s="15">
        <v>1.83E-2</v>
      </c>
      <c r="F887" s="15">
        <v>9.4399999999999998E-2</v>
      </c>
      <c r="G887" s="15">
        <v>0.1918</v>
      </c>
      <c r="H887" s="15">
        <v>0.1017</v>
      </c>
      <c r="I887" s="15">
        <v>6.7939984408772094E-2</v>
      </c>
    </row>
    <row r="888" spans="1:9" x14ac:dyDescent="0.2">
      <c r="A888" s="2" t="s">
        <v>2660</v>
      </c>
      <c r="B888" s="2" t="s">
        <v>2661</v>
      </c>
      <c r="C888" s="2" t="s">
        <v>2662</v>
      </c>
      <c r="D888" s="2" t="s">
        <v>10041</v>
      </c>
      <c r="E888" s="15">
        <v>-4.6300000000000001E-2</v>
      </c>
      <c r="F888" s="15">
        <v>6.9900000000000004E-2</v>
      </c>
      <c r="G888" s="15">
        <v>2.9100000000000001E-2</v>
      </c>
      <c r="H888" s="15">
        <v>9.9199999999999997E-2</v>
      </c>
      <c r="I888" s="15">
        <v>0.24174826903336741</v>
      </c>
    </row>
    <row r="889" spans="1:9" x14ac:dyDescent="0.2">
      <c r="A889" s="2" t="s">
        <v>2663</v>
      </c>
      <c r="B889" s="2" t="s">
        <v>2664</v>
      </c>
      <c r="C889" s="2" t="s">
        <v>2665</v>
      </c>
      <c r="D889" s="2" t="s">
        <v>10041</v>
      </c>
      <c r="E889" s="15">
        <v>-3.8899999999999997E-2</v>
      </c>
      <c r="F889" s="15">
        <v>6.9099999999999995E-2</v>
      </c>
      <c r="G889" s="15">
        <v>0.1265</v>
      </c>
      <c r="H889" s="15">
        <v>8.0100000000000005E-2</v>
      </c>
      <c r="I889" s="15">
        <v>3.5908794002881161E-2</v>
      </c>
    </row>
    <row r="890" spans="1:9" x14ac:dyDescent="0.2">
      <c r="A890" s="2" t="s">
        <v>2666</v>
      </c>
      <c r="B890" s="2" t="s">
        <v>2667</v>
      </c>
      <c r="C890" s="2" t="s">
        <v>2668</v>
      </c>
      <c r="D890" s="2" t="s">
        <v>10041</v>
      </c>
      <c r="E890" s="15">
        <v>0.03</v>
      </c>
      <c r="F890" s="15">
        <v>0.1009</v>
      </c>
      <c r="G890" s="15">
        <v>3.3300000000000003E-2</v>
      </c>
      <c r="H890" s="15">
        <v>0.11509999999999999</v>
      </c>
      <c r="I890" s="15">
        <v>0.48936741752297619</v>
      </c>
    </row>
    <row r="891" spans="1:9" x14ac:dyDescent="0.2">
      <c r="A891" s="2" t="s">
        <v>2669</v>
      </c>
      <c r="B891" s="2" t="s">
        <v>2670</v>
      </c>
      <c r="C891" s="2" t="s">
        <v>2671</v>
      </c>
      <c r="D891" s="2" t="s">
        <v>10041</v>
      </c>
      <c r="E891" s="15">
        <v>0.05</v>
      </c>
      <c r="F891" s="15">
        <v>0.1012</v>
      </c>
      <c r="G891" s="15">
        <v>-7.4200000000000002E-2</v>
      </c>
      <c r="H891" s="15">
        <v>9.2999999999999999E-2</v>
      </c>
      <c r="I891" s="15">
        <v>0.1161425715733365</v>
      </c>
    </row>
    <row r="892" spans="1:9" x14ac:dyDescent="0.2">
      <c r="A892" s="2" t="s">
        <v>2672</v>
      </c>
      <c r="B892" s="2" t="s">
        <v>2673</v>
      </c>
      <c r="C892" s="2" t="s">
        <v>2674</v>
      </c>
      <c r="D892" s="2" t="s">
        <v>10041</v>
      </c>
      <c r="E892" s="15">
        <v>-4.6100000000000002E-2</v>
      </c>
      <c r="F892" s="15">
        <v>7.4700000000000003E-2</v>
      </c>
      <c r="G892" s="15">
        <v>5.3699999999999998E-2</v>
      </c>
      <c r="H892" s="15">
        <v>9.3200000000000005E-2</v>
      </c>
      <c r="I892" s="15">
        <v>0.17475508869887621</v>
      </c>
    </row>
    <row r="893" spans="1:9" x14ac:dyDescent="0.2">
      <c r="A893" s="2" t="s">
        <v>2675</v>
      </c>
      <c r="B893" s="2" t="s">
        <v>2676</v>
      </c>
      <c r="C893" s="2" t="s">
        <v>2677</v>
      </c>
      <c r="D893" s="2" t="s">
        <v>10041</v>
      </c>
      <c r="E893" s="15">
        <v>-6.2300000000000001E-2</v>
      </c>
      <c r="F893" s="15">
        <v>8.3500000000000005E-2</v>
      </c>
      <c r="G893" s="15">
        <v>2.9499999999999998E-2</v>
      </c>
      <c r="H893" s="15">
        <v>8.3900000000000002E-2</v>
      </c>
      <c r="I893" s="15">
        <v>0.16370463230357579</v>
      </c>
    </row>
    <row r="894" spans="1:9" x14ac:dyDescent="0.2">
      <c r="A894" s="2" t="s">
        <v>2678</v>
      </c>
      <c r="B894" s="2" t="s">
        <v>2679</v>
      </c>
      <c r="C894" s="2" t="s">
        <v>2680</v>
      </c>
      <c r="D894" s="2" t="s">
        <v>10041</v>
      </c>
      <c r="E894" s="15">
        <v>3.8100000000000002E-2</v>
      </c>
      <c r="F894" s="15">
        <v>8.3299999999999999E-2</v>
      </c>
      <c r="G894" s="15">
        <v>-8.3799999999999999E-2</v>
      </c>
      <c r="H894" s="15">
        <v>0.115</v>
      </c>
      <c r="I894" s="15">
        <v>0.16428520667341831</v>
      </c>
    </row>
    <row r="895" spans="1:9" x14ac:dyDescent="0.2">
      <c r="A895" s="2" t="s">
        <v>2681</v>
      </c>
      <c r="B895" s="2" t="s">
        <v>2682</v>
      </c>
      <c r="C895" s="2" t="s">
        <v>2683</v>
      </c>
      <c r="D895" s="2" t="s">
        <v>10041</v>
      </c>
      <c r="E895" s="15">
        <v>2.9899999999999999E-2</v>
      </c>
      <c r="F895" s="15">
        <v>8.5599999999999996E-2</v>
      </c>
      <c r="G895" s="15">
        <v>-7.2599999999999998E-2</v>
      </c>
      <c r="H895" s="15">
        <v>7.7200000000000005E-2</v>
      </c>
      <c r="I895" s="15">
        <v>0.1169018826164515</v>
      </c>
    </row>
    <row r="896" spans="1:9" x14ac:dyDescent="0.2">
      <c r="A896" s="2" t="s">
        <v>2684</v>
      </c>
      <c r="B896" s="2" t="s">
        <v>2685</v>
      </c>
      <c r="C896" s="2" t="s">
        <v>2686</v>
      </c>
      <c r="D896" s="2" t="s">
        <v>10041</v>
      </c>
      <c r="E896" s="15">
        <v>4.2799999999999998E-2</v>
      </c>
      <c r="F896" s="15">
        <v>8.1299999999999997E-2</v>
      </c>
      <c r="G896" s="15">
        <v>7.4099999999999999E-2</v>
      </c>
      <c r="H896" s="15">
        <v>6.9500000000000006E-2</v>
      </c>
      <c r="I896" s="15">
        <v>0.35205769139254189</v>
      </c>
    </row>
    <row r="897" spans="1:9" x14ac:dyDescent="0.2">
      <c r="A897" s="2" t="s">
        <v>2687</v>
      </c>
      <c r="B897" s="2" t="s">
        <v>2688</v>
      </c>
      <c r="C897" s="2" t="s">
        <v>2689</v>
      </c>
      <c r="D897" s="2" t="s">
        <v>10041</v>
      </c>
      <c r="E897" s="15">
        <v>-4.41E-2</v>
      </c>
      <c r="F897" s="15">
        <v>6.83E-2</v>
      </c>
      <c r="G897" s="15">
        <v>0.19850000000000001</v>
      </c>
      <c r="H897" s="15">
        <v>8.5500000000000007E-2</v>
      </c>
      <c r="I897" s="15">
        <v>5.0333374771415872E-3</v>
      </c>
    </row>
    <row r="898" spans="1:9" x14ac:dyDescent="0.2">
      <c r="A898" s="2" t="s">
        <v>2690</v>
      </c>
      <c r="B898" s="2" t="s">
        <v>2691</v>
      </c>
      <c r="C898" s="2" t="s">
        <v>2692</v>
      </c>
      <c r="D898" s="2" t="s">
        <v>10041</v>
      </c>
      <c r="E898" s="15">
        <v>-0.10970000000000001</v>
      </c>
      <c r="F898" s="15">
        <v>8.4599999999999995E-2</v>
      </c>
      <c r="G898" s="15">
        <v>4.8099999999999997E-2</v>
      </c>
      <c r="H898" s="15">
        <v>0.10050000000000001</v>
      </c>
      <c r="I898" s="15">
        <v>7.8991398525456669E-2</v>
      </c>
    </row>
    <row r="899" spans="1:9" x14ac:dyDescent="0.2">
      <c r="A899" s="2" t="s">
        <v>2693</v>
      </c>
      <c r="B899" s="2" t="s">
        <v>2694</v>
      </c>
      <c r="C899" s="2" t="s">
        <v>2695</v>
      </c>
      <c r="D899" s="2" t="s">
        <v>10041</v>
      </c>
      <c r="E899" s="15">
        <v>-0.21190000000000001</v>
      </c>
      <c r="F899" s="15">
        <v>9.2299999999999993E-2</v>
      </c>
      <c r="G899" s="15">
        <v>-0.1036</v>
      </c>
      <c r="H899" s="15">
        <v>7.7399999999999997E-2</v>
      </c>
      <c r="I899" s="15">
        <v>0.11801080306987199</v>
      </c>
    </row>
    <row r="900" spans="1:9" x14ac:dyDescent="0.2">
      <c r="A900" s="2" t="s">
        <v>2696</v>
      </c>
      <c r="B900" s="2" t="s">
        <v>2697</v>
      </c>
      <c r="C900" s="2" t="s">
        <v>2698</v>
      </c>
      <c r="D900" s="2" t="s">
        <v>10041</v>
      </c>
      <c r="E900" s="15">
        <v>-0.16289999999999999</v>
      </c>
      <c r="F900" s="15">
        <v>8.7800000000000003E-2</v>
      </c>
      <c r="G900" s="15">
        <v>2.6599999999999999E-2</v>
      </c>
      <c r="H900" s="15">
        <v>8.9700000000000002E-2</v>
      </c>
      <c r="I900" s="15">
        <v>3.0007950840607891E-2</v>
      </c>
    </row>
    <row r="901" spans="1:9" x14ac:dyDescent="0.2">
      <c r="A901" s="2" t="s">
        <v>2699</v>
      </c>
      <c r="B901" s="2" t="s">
        <v>2700</v>
      </c>
      <c r="C901" s="2" t="s">
        <v>2701</v>
      </c>
      <c r="D901" s="2" t="s">
        <v>10041</v>
      </c>
      <c r="E901" s="15">
        <v>-0.14960000000000001</v>
      </c>
      <c r="F901" s="15">
        <v>9.2100000000000001E-2</v>
      </c>
      <c r="G901" s="15">
        <v>3.6700000000000003E-2</v>
      </c>
      <c r="H901" s="15">
        <v>0.1265</v>
      </c>
      <c r="I901" s="15">
        <v>8.9297650856436039E-2</v>
      </c>
    </row>
    <row r="902" spans="1:9" x14ac:dyDescent="0.2">
      <c r="A902" s="2" t="s">
        <v>2702</v>
      </c>
      <c r="B902" s="2" t="s">
        <v>2703</v>
      </c>
      <c r="C902" s="2" t="s">
        <v>2704</v>
      </c>
      <c r="D902" s="2" t="s">
        <v>10041</v>
      </c>
      <c r="E902" s="15">
        <v>-6.8999999999999999E-3</v>
      </c>
      <c r="F902" s="15">
        <v>6.9500000000000006E-2</v>
      </c>
      <c r="G902" s="15">
        <v>1.1000000000000001E-3</v>
      </c>
      <c r="H902" s="15">
        <v>9.1999999999999998E-2</v>
      </c>
      <c r="I902" s="15">
        <v>0.46872326806250642</v>
      </c>
    </row>
    <row r="903" spans="1:9" x14ac:dyDescent="0.2">
      <c r="A903" s="2" t="s">
        <v>2705</v>
      </c>
      <c r="B903" s="2" t="s">
        <v>2706</v>
      </c>
      <c r="C903" s="2" t="s">
        <v>2707</v>
      </c>
      <c r="D903" s="2" t="s">
        <v>10041</v>
      </c>
      <c r="E903" s="15">
        <v>-0.14399999999999999</v>
      </c>
      <c r="F903" s="15">
        <v>7.9799999999999996E-2</v>
      </c>
      <c r="G903" s="15">
        <v>2.29E-2</v>
      </c>
      <c r="H903" s="15">
        <v>0.10299999999999999</v>
      </c>
      <c r="I903" s="15">
        <v>7.2844938095818296E-2</v>
      </c>
    </row>
    <row r="904" spans="1:9" x14ac:dyDescent="0.2">
      <c r="A904" s="2" t="s">
        <v>2708</v>
      </c>
      <c r="B904" s="2" t="s">
        <v>2709</v>
      </c>
      <c r="C904" s="2" t="s">
        <v>2710</v>
      </c>
      <c r="D904" s="2" t="s">
        <v>10041</v>
      </c>
      <c r="E904" s="15">
        <v>-3.0700000000000002E-2</v>
      </c>
      <c r="F904" s="15">
        <v>0.1028</v>
      </c>
      <c r="G904" s="15">
        <v>0.1426</v>
      </c>
      <c r="H904" s="15">
        <v>9.1499999999999998E-2</v>
      </c>
      <c r="I904" s="15">
        <v>5.6434909395495697E-2</v>
      </c>
    </row>
    <row r="905" spans="1:9" x14ac:dyDescent="0.2">
      <c r="A905" s="2" t="s">
        <v>2711</v>
      </c>
      <c r="B905" s="2" t="s">
        <v>2712</v>
      </c>
      <c r="C905" s="2" t="s">
        <v>2713</v>
      </c>
      <c r="D905" s="2" t="s">
        <v>10041</v>
      </c>
      <c r="E905" s="15">
        <v>-0.2344</v>
      </c>
      <c r="F905" s="15">
        <v>0.63</v>
      </c>
      <c r="G905" s="15">
        <v>-1.37E-2</v>
      </c>
      <c r="H905" s="15">
        <v>0.10730000000000001</v>
      </c>
      <c r="I905" s="15">
        <v>4.2739859446704727E-2</v>
      </c>
    </row>
    <row r="906" spans="1:9" x14ac:dyDescent="0.2">
      <c r="A906" s="2" t="s">
        <v>2714</v>
      </c>
      <c r="B906" s="2" t="s">
        <v>2715</v>
      </c>
      <c r="C906" s="2" t="s">
        <v>2716</v>
      </c>
      <c r="D906" s="2" t="s">
        <v>10041</v>
      </c>
      <c r="E906" s="15">
        <v>4.48E-2</v>
      </c>
      <c r="F906" s="15">
        <v>9.01E-2</v>
      </c>
      <c r="G906" s="15">
        <v>-3.0800000000000001E-2</v>
      </c>
      <c r="H906" s="15">
        <v>8.9399999999999993E-2</v>
      </c>
      <c r="I906" s="15">
        <v>0.2261474274110726</v>
      </c>
    </row>
    <row r="907" spans="1:9" x14ac:dyDescent="0.2">
      <c r="A907" s="2" t="s">
        <v>2717</v>
      </c>
      <c r="B907" s="2" t="s">
        <v>2718</v>
      </c>
      <c r="C907" s="2" t="s">
        <v>2719</v>
      </c>
      <c r="D907" s="2" t="s">
        <v>10041</v>
      </c>
      <c r="E907" s="15">
        <v>-0.1084</v>
      </c>
      <c r="F907" s="15">
        <v>7.9399999999999998E-2</v>
      </c>
      <c r="G907" s="15">
        <v>-3.9699999999999999E-2</v>
      </c>
      <c r="H907" s="15">
        <v>7.3300000000000004E-2</v>
      </c>
      <c r="I907" s="15">
        <v>0.1995941668122635</v>
      </c>
    </row>
    <row r="908" spans="1:9" x14ac:dyDescent="0.2">
      <c r="A908" s="2" t="s">
        <v>2720</v>
      </c>
      <c r="B908" s="2" t="s">
        <v>2721</v>
      </c>
      <c r="C908" s="2" t="s">
        <v>2722</v>
      </c>
      <c r="D908" s="2" t="s">
        <v>10041</v>
      </c>
      <c r="E908" s="15">
        <v>8.0500000000000002E-2</v>
      </c>
      <c r="F908" s="15">
        <v>9.7699999999999995E-2</v>
      </c>
      <c r="G908" s="15">
        <v>0.1087</v>
      </c>
      <c r="H908" s="15">
        <v>0.1109</v>
      </c>
      <c r="I908" s="15">
        <v>0.40923647921659612</v>
      </c>
    </row>
    <row r="909" spans="1:9" x14ac:dyDescent="0.2">
      <c r="A909" s="2" t="s">
        <v>2723</v>
      </c>
      <c r="B909" s="2" t="s">
        <v>2724</v>
      </c>
      <c r="C909" s="2" t="s">
        <v>2725</v>
      </c>
      <c r="D909" s="2" t="s">
        <v>10041</v>
      </c>
      <c r="E909" s="15">
        <v>-0.26960000000000001</v>
      </c>
      <c r="F909" s="15">
        <v>0.16969999999999999</v>
      </c>
      <c r="G909" s="15">
        <v>-7.9000000000000001E-2</v>
      </c>
      <c r="H909" s="15">
        <v>0.1578</v>
      </c>
      <c r="I909" s="15">
        <v>0.13010605259489211</v>
      </c>
    </row>
    <row r="910" spans="1:9" x14ac:dyDescent="0.2">
      <c r="A910" s="2" t="s">
        <v>2726</v>
      </c>
      <c r="B910" s="2" t="s">
        <v>2727</v>
      </c>
      <c r="C910" s="2" t="s">
        <v>2728</v>
      </c>
      <c r="D910" s="2" t="s">
        <v>10041</v>
      </c>
      <c r="E910" s="15">
        <v>-4.8399999999999999E-2</v>
      </c>
      <c r="F910" s="15">
        <v>9.8100000000000007E-2</v>
      </c>
      <c r="G910" s="15">
        <v>0.1153</v>
      </c>
      <c r="H910" s="15">
        <v>8.5400000000000004E-2</v>
      </c>
      <c r="I910" s="15">
        <v>4.5036218289470298E-2</v>
      </c>
    </row>
    <row r="911" spans="1:9" x14ac:dyDescent="0.2">
      <c r="A911" s="2" t="s">
        <v>2729</v>
      </c>
      <c r="B911" s="2" t="s">
        <v>2730</v>
      </c>
      <c r="C911" s="2" t="s">
        <v>2731</v>
      </c>
      <c r="D911" s="2" t="s">
        <v>10041</v>
      </c>
      <c r="E911" s="15">
        <v>-0.1777</v>
      </c>
      <c r="F911" s="15">
        <v>8.8999999999999996E-2</v>
      </c>
      <c r="G911" s="15">
        <v>-2.8299999999999999E-2</v>
      </c>
      <c r="H911" s="15">
        <v>0.1018</v>
      </c>
      <c r="I911" s="15">
        <v>9.1523394931661187E-2</v>
      </c>
    </row>
    <row r="912" spans="1:9" x14ac:dyDescent="0.2">
      <c r="A912" s="2" t="s">
        <v>2732</v>
      </c>
      <c r="B912" s="2" t="s">
        <v>2733</v>
      </c>
      <c r="C912" s="2" t="s">
        <v>2734</v>
      </c>
      <c r="D912" s="2" t="s">
        <v>10041</v>
      </c>
      <c r="E912" s="15">
        <v>-4.5100000000000001E-2</v>
      </c>
      <c r="F912" s="15">
        <v>0.1084</v>
      </c>
      <c r="G912" s="15">
        <v>0.1605</v>
      </c>
      <c r="H912" s="15">
        <v>0.1113</v>
      </c>
      <c r="I912" s="15">
        <v>6.0448896606157938E-2</v>
      </c>
    </row>
    <row r="913" spans="1:9" x14ac:dyDescent="0.2">
      <c r="A913" s="2" t="s">
        <v>2735</v>
      </c>
      <c r="B913" s="2" t="s">
        <v>2736</v>
      </c>
      <c r="C913" s="2" t="s">
        <v>2737</v>
      </c>
      <c r="D913" s="2" t="s">
        <v>10041</v>
      </c>
      <c r="E913" s="15">
        <v>-0.1241</v>
      </c>
      <c r="F913" s="15">
        <v>0.16930000000000001</v>
      </c>
    </row>
    <row r="914" spans="1:9" x14ac:dyDescent="0.2">
      <c r="A914" s="2" t="s">
        <v>2738</v>
      </c>
      <c r="B914" s="2" t="s">
        <v>2739</v>
      </c>
      <c r="C914" s="2" t="s">
        <v>2740</v>
      </c>
      <c r="D914" s="2" t="s">
        <v>10041</v>
      </c>
      <c r="E914" s="15">
        <v>-7.6899999999999996E-2</v>
      </c>
      <c r="F914" s="15">
        <v>8.1799999999999998E-2</v>
      </c>
      <c r="G914" s="15">
        <v>-0.11899999999999999</v>
      </c>
      <c r="H914" s="15">
        <v>7.6899999999999996E-2</v>
      </c>
      <c r="I914" s="15">
        <v>0.3204950495214034</v>
      </c>
    </row>
    <row r="915" spans="1:9" x14ac:dyDescent="0.2">
      <c r="A915" s="2" t="s">
        <v>2741</v>
      </c>
      <c r="B915" s="2" t="s">
        <v>2742</v>
      </c>
      <c r="C915" s="2" t="s">
        <v>2743</v>
      </c>
      <c r="D915" s="2" t="s">
        <v>10041</v>
      </c>
      <c r="E915" s="15">
        <v>7.0199999999999999E-2</v>
      </c>
      <c r="F915" s="15">
        <v>9.1899999999999996E-2</v>
      </c>
      <c r="G915" s="15">
        <v>1.5599999999999999E-2</v>
      </c>
      <c r="H915" s="15">
        <v>9.0200000000000002E-2</v>
      </c>
      <c r="I915" s="15">
        <v>0.29369786653318719</v>
      </c>
    </row>
    <row r="916" spans="1:9" x14ac:dyDescent="0.2">
      <c r="A916" s="2" t="s">
        <v>2744</v>
      </c>
      <c r="B916" s="2" t="s">
        <v>2745</v>
      </c>
      <c r="C916" s="2" t="s">
        <v>2746</v>
      </c>
      <c r="D916" s="2" t="s">
        <v>10041</v>
      </c>
      <c r="E916" s="15">
        <v>7.2599999999999998E-2</v>
      </c>
      <c r="F916" s="15">
        <v>8.5000000000000006E-2</v>
      </c>
      <c r="G916" s="15">
        <v>-1.7600000000000001E-2</v>
      </c>
      <c r="H916" s="15">
        <v>8.4699999999999998E-2</v>
      </c>
      <c r="I916" s="15">
        <v>0.1865333856160612</v>
      </c>
    </row>
    <row r="917" spans="1:9" x14ac:dyDescent="0.2">
      <c r="A917" s="2" t="s">
        <v>2747</v>
      </c>
      <c r="B917" s="2" t="s">
        <v>2748</v>
      </c>
      <c r="C917" s="2" t="s">
        <v>2749</v>
      </c>
      <c r="D917" s="2" t="s">
        <v>10041</v>
      </c>
      <c r="E917" s="15">
        <v>0.09</v>
      </c>
      <c r="F917" s="15">
        <v>5.9499999999999997E-2</v>
      </c>
      <c r="G917" s="15">
        <v>-6.0699999999999997E-2</v>
      </c>
      <c r="H917" s="15">
        <v>8.2199999999999995E-2</v>
      </c>
      <c r="I917" s="15">
        <v>4.6469851419167672E-2</v>
      </c>
    </row>
    <row r="918" spans="1:9" x14ac:dyDescent="0.2">
      <c r="A918" s="2" t="s">
        <v>2750</v>
      </c>
      <c r="B918" s="2" t="s">
        <v>2751</v>
      </c>
      <c r="C918" s="2" t="s">
        <v>2752</v>
      </c>
      <c r="D918" s="2" t="s">
        <v>10041</v>
      </c>
      <c r="E918" s="15">
        <v>-9.7999999999999997E-3</v>
      </c>
      <c r="F918" s="15">
        <v>7.3800000000000004E-2</v>
      </c>
      <c r="G918" s="15">
        <v>-0.105</v>
      </c>
      <c r="H918" s="15">
        <v>9.3600000000000003E-2</v>
      </c>
      <c r="I918" s="15">
        <v>0.17787854409601031</v>
      </c>
    </row>
    <row r="919" spans="1:9" x14ac:dyDescent="0.2">
      <c r="A919" s="2" t="s">
        <v>2753</v>
      </c>
      <c r="B919" s="2" t="s">
        <v>2754</v>
      </c>
      <c r="C919" s="2" t="s">
        <v>2755</v>
      </c>
      <c r="D919" s="2" t="s">
        <v>10041</v>
      </c>
      <c r="E919" s="15">
        <v>-2.5999999999999999E-2</v>
      </c>
      <c r="F919" s="15">
        <v>7.6100000000000001E-2</v>
      </c>
      <c r="G919" s="15">
        <v>0.13220000000000001</v>
      </c>
      <c r="H919" s="15">
        <v>9.0700000000000003E-2</v>
      </c>
      <c r="I919" s="15">
        <v>5.9493733572474138E-2</v>
      </c>
    </row>
    <row r="920" spans="1:9" x14ac:dyDescent="0.2">
      <c r="A920" s="2" t="s">
        <v>2756</v>
      </c>
      <c r="B920" s="2" t="s">
        <v>2757</v>
      </c>
      <c r="C920" s="2" t="s">
        <v>2758</v>
      </c>
      <c r="D920" s="2" t="s">
        <v>10041</v>
      </c>
      <c r="E920" s="15">
        <v>8.1900000000000001E-2</v>
      </c>
      <c r="F920" s="15">
        <v>8.6800000000000002E-2</v>
      </c>
      <c r="G920" s="15">
        <v>2.98E-2</v>
      </c>
      <c r="H920" s="15">
        <v>8.2299999999999998E-2</v>
      </c>
      <c r="I920" s="15">
        <v>0.30056103773309839</v>
      </c>
    </row>
    <row r="921" spans="1:9" x14ac:dyDescent="0.2">
      <c r="A921" s="2" t="s">
        <v>2759</v>
      </c>
      <c r="B921" s="2" t="s">
        <v>2760</v>
      </c>
      <c r="C921" s="2" t="s">
        <v>2761</v>
      </c>
      <c r="D921" s="2" t="s">
        <v>10041</v>
      </c>
      <c r="E921" s="15">
        <v>6.8699999999999997E-2</v>
      </c>
      <c r="F921" s="15">
        <v>7.4700000000000003E-2</v>
      </c>
      <c r="G921" s="15">
        <v>-5.0599999999999999E-2</v>
      </c>
      <c r="H921" s="15">
        <v>9.8500000000000004E-2</v>
      </c>
      <c r="I921" s="15">
        <v>0.130475369849645</v>
      </c>
    </row>
    <row r="922" spans="1:9" x14ac:dyDescent="0.2">
      <c r="A922" s="2" t="s">
        <v>2762</v>
      </c>
      <c r="B922" s="2" t="s">
        <v>2763</v>
      </c>
      <c r="C922" s="2" t="s">
        <v>2764</v>
      </c>
      <c r="D922" s="2" t="s">
        <v>10041</v>
      </c>
      <c r="E922" s="15">
        <v>4.3400000000000001E-2</v>
      </c>
      <c r="F922" s="15">
        <v>8.0600000000000005E-2</v>
      </c>
      <c r="G922" s="15">
        <v>7.3999999999999996E-2</v>
      </c>
      <c r="H922" s="15">
        <v>8.0100000000000005E-2</v>
      </c>
      <c r="I922" s="15">
        <v>0.36900938069858702</v>
      </c>
    </row>
    <row r="923" spans="1:9" x14ac:dyDescent="0.2">
      <c r="A923" s="2" t="s">
        <v>2765</v>
      </c>
      <c r="B923" s="2" t="s">
        <v>2766</v>
      </c>
      <c r="C923" s="2" t="s">
        <v>2767</v>
      </c>
      <c r="D923" s="2" t="s">
        <v>10041</v>
      </c>
      <c r="E923" s="15">
        <v>5.4199999999999998E-2</v>
      </c>
      <c r="F923" s="15">
        <v>7.9699999999999993E-2</v>
      </c>
      <c r="G923" s="15">
        <v>1.1599999999999999E-2</v>
      </c>
      <c r="H923" s="15">
        <v>6.7699999999999996E-2</v>
      </c>
      <c r="I923" s="15">
        <v>0.29654881292151891</v>
      </c>
    </row>
    <row r="924" spans="1:9" x14ac:dyDescent="0.2">
      <c r="A924" s="2" t="s">
        <v>2768</v>
      </c>
      <c r="B924" s="2" t="s">
        <v>2769</v>
      </c>
      <c r="C924" s="2" t="s">
        <v>2770</v>
      </c>
      <c r="D924" s="2" t="s">
        <v>10041</v>
      </c>
      <c r="E924" s="15">
        <v>-0.20280000000000001</v>
      </c>
      <c r="F924" s="15">
        <v>0.1195</v>
      </c>
      <c r="G924" s="15">
        <v>4.2900000000000001E-2</v>
      </c>
      <c r="H924" s="15">
        <v>0.14879999999999999</v>
      </c>
      <c r="I924" s="15">
        <v>6.112575745473469E-2</v>
      </c>
    </row>
    <row r="925" spans="1:9" x14ac:dyDescent="0.2">
      <c r="A925" s="2" t="s">
        <v>2771</v>
      </c>
      <c r="B925" s="2" t="s">
        <v>2772</v>
      </c>
      <c r="C925" s="2" t="s">
        <v>2773</v>
      </c>
      <c r="D925" s="2" t="s">
        <v>10041</v>
      </c>
      <c r="E925" s="15">
        <v>-4.19E-2</v>
      </c>
      <c r="F925" s="15">
        <v>8.8800000000000004E-2</v>
      </c>
      <c r="G925" s="15">
        <v>0.26090000000000002</v>
      </c>
      <c r="H925" s="15">
        <v>0.21510000000000001</v>
      </c>
      <c r="I925" s="15">
        <v>8.5184362253564253E-2</v>
      </c>
    </row>
    <row r="926" spans="1:9" x14ac:dyDescent="0.2">
      <c r="A926" s="2" t="s">
        <v>2774</v>
      </c>
      <c r="B926" s="2" t="s">
        <v>2775</v>
      </c>
      <c r="C926" s="2" t="s">
        <v>2776</v>
      </c>
      <c r="D926" s="2" t="s">
        <v>10041</v>
      </c>
      <c r="E926" s="15">
        <v>-7.6300000000000007E-2</v>
      </c>
      <c r="F926" s="15">
        <v>0.1002</v>
      </c>
      <c r="G926" s="15">
        <v>3.5700000000000003E-2</v>
      </c>
      <c r="H926" s="15">
        <v>9.5100000000000004E-2</v>
      </c>
      <c r="I926" s="15">
        <v>0.15008666841793611</v>
      </c>
    </row>
    <row r="927" spans="1:9" x14ac:dyDescent="0.2">
      <c r="A927" s="2" t="s">
        <v>2777</v>
      </c>
      <c r="B927" s="2" t="s">
        <v>2778</v>
      </c>
      <c r="C927" s="2" t="s">
        <v>2779</v>
      </c>
      <c r="D927" s="2" t="s">
        <v>10041</v>
      </c>
      <c r="E927" s="15">
        <v>-0.10879999999999999</v>
      </c>
      <c r="F927" s="15">
        <v>9.4899999999999998E-2</v>
      </c>
      <c r="G927" s="15">
        <v>3.8600000000000002E-2</v>
      </c>
      <c r="H927" s="15">
        <v>0.10100000000000001</v>
      </c>
      <c r="I927" s="15">
        <v>9.7856140454594065E-2</v>
      </c>
    </row>
    <row r="928" spans="1:9" x14ac:dyDescent="0.2">
      <c r="A928" s="2" t="s">
        <v>2780</v>
      </c>
      <c r="B928" s="2" t="s">
        <v>2781</v>
      </c>
      <c r="C928" s="2" t="s">
        <v>2782</v>
      </c>
      <c r="D928" s="2" t="s">
        <v>10041</v>
      </c>
      <c r="E928" s="15">
        <v>-5.7799999999999997E-2</v>
      </c>
      <c r="F928" s="15">
        <v>0.17119999999999999</v>
      </c>
      <c r="G928" s="15">
        <v>-0.106</v>
      </c>
      <c r="H928" s="15">
        <v>0.13339999999999999</v>
      </c>
      <c r="I928" s="15">
        <v>0.3855329641019466</v>
      </c>
    </row>
    <row r="929" spans="1:9" x14ac:dyDescent="0.2">
      <c r="A929" s="2" t="s">
        <v>2783</v>
      </c>
      <c r="B929" s="2" t="s">
        <v>2784</v>
      </c>
      <c r="C929" s="2" t="s">
        <v>2785</v>
      </c>
      <c r="D929" s="2" t="s">
        <v>10041</v>
      </c>
      <c r="E929" s="15">
        <v>-9.6500000000000002E-2</v>
      </c>
      <c r="F929" s="15">
        <v>8.48E-2</v>
      </c>
      <c r="G929" s="15">
        <v>-0.1273</v>
      </c>
      <c r="H929" s="15">
        <v>0.11749999999999999</v>
      </c>
      <c r="I929" s="15">
        <v>0.40455793664621892</v>
      </c>
    </row>
    <row r="930" spans="1:9" x14ac:dyDescent="0.2">
      <c r="A930" s="2" t="s">
        <v>2786</v>
      </c>
      <c r="B930" s="2" t="s">
        <v>2787</v>
      </c>
      <c r="C930" s="2" t="s">
        <v>2788</v>
      </c>
      <c r="D930" s="2" t="s">
        <v>10041</v>
      </c>
      <c r="E930" s="15">
        <v>-5.3400000000000003E-2</v>
      </c>
      <c r="F930" s="15">
        <v>9.5200000000000007E-2</v>
      </c>
      <c r="G930" s="15">
        <v>-5.8999999999999997E-2</v>
      </c>
      <c r="H930" s="15">
        <v>0.1167</v>
      </c>
      <c r="I930" s="15">
        <v>0.48236559656265698</v>
      </c>
    </row>
    <row r="931" spans="1:9" x14ac:dyDescent="0.2">
      <c r="A931" s="2" t="s">
        <v>2789</v>
      </c>
      <c r="B931" s="2" t="s">
        <v>2790</v>
      </c>
      <c r="C931" s="2" t="s">
        <v>2791</v>
      </c>
      <c r="D931" s="2" t="s">
        <v>10041</v>
      </c>
      <c r="E931" s="15">
        <v>-6.0699999999999997E-2</v>
      </c>
      <c r="F931" s="15">
        <v>0.12720000000000001</v>
      </c>
      <c r="G931" s="15">
        <v>3.2399999999999998E-2</v>
      </c>
      <c r="H931" s="15">
        <v>0.1077</v>
      </c>
      <c r="I931" s="15">
        <v>0.21983632869218789</v>
      </c>
    </row>
    <row r="932" spans="1:9" x14ac:dyDescent="0.2">
      <c r="A932" s="2" t="s">
        <v>2792</v>
      </c>
      <c r="B932" s="2" t="s">
        <v>2793</v>
      </c>
      <c r="C932" s="2" t="s">
        <v>2794</v>
      </c>
      <c r="D932" s="2" t="s">
        <v>10041</v>
      </c>
      <c r="E932" s="15">
        <v>-0.11409999999999999</v>
      </c>
      <c r="F932" s="15">
        <v>0.1258</v>
      </c>
      <c r="G932" s="15">
        <v>5.3100000000000001E-2</v>
      </c>
      <c r="H932" s="15">
        <v>0.1119</v>
      </c>
      <c r="I932" s="15">
        <v>0.1117929542591001</v>
      </c>
    </row>
    <row r="933" spans="1:9" x14ac:dyDescent="0.2">
      <c r="A933" s="2" t="s">
        <v>2795</v>
      </c>
      <c r="B933" s="2" t="s">
        <v>2796</v>
      </c>
      <c r="C933" s="2" t="s">
        <v>2797</v>
      </c>
      <c r="D933" s="2" t="s">
        <v>10041</v>
      </c>
      <c r="E933" s="15">
        <v>-0.1129</v>
      </c>
      <c r="F933" s="15">
        <v>9.0700000000000003E-2</v>
      </c>
      <c r="G933" s="15">
        <v>-3.1199999999999999E-2</v>
      </c>
      <c r="H933" s="15">
        <v>9.8500000000000004E-2</v>
      </c>
      <c r="I933" s="15">
        <v>0.23650576910641341</v>
      </c>
    </row>
    <row r="934" spans="1:9" x14ac:dyDescent="0.2">
      <c r="A934" s="2" t="s">
        <v>2798</v>
      </c>
      <c r="B934" s="2" t="s">
        <v>2799</v>
      </c>
      <c r="C934" s="2" t="s">
        <v>2800</v>
      </c>
      <c r="D934" s="2" t="s">
        <v>10041</v>
      </c>
      <c r="E934" s="15">
        <v>-0.13389999999999999</v>
      </c>
      <c r="F934" s="15">
        <v>0.128</v>
      </c>
      <c r="G934" s="15">
        <v>9.2999999999999992E-3</v>
      </c>
      <c r="H934" s="15">
        <v>9.01E-2</v>
      </c>
      <c r="I934" s="15">
        <v>9.0710494184393226E-2</v>
      </c>
    </row>
    <row r="935" spans="1:9" x14ac:dyDescent="0.2">
      <c r="A935" s="2" t="s">
        <v>2801</v>
      </c>
      <c r="B935" s="2" t="s">
        <v>2802</v>
      </c>
      <c r="C935" s="2" t="s">
        <v>2803</v>
      </c>
      <c r="D935" s="2" t="s">
        <v>10041</v>
      </c>
      <c r="E935" s="15">
        <v>0.26690000000000003</v>
      </c>
      <c r="F935" s="15">
        <v>0.14410000000000001</v>
      </c>
      <c r="G935" s="15">
        <v>8.2600000000000007E-2</v>
      </c>
      <c r="H935" s="15">
        <v>0.1467</v>
      </c>
      <c r="I935" s="15">
        <v>0.1334570618601108</v>
      </c>
    </row>
    <row r="936" spans="1:9" x14ac:dyDescent="0.2">
      <c r="A936" s="2" t="s">
        <v>2804</v>
      </c>
      <c r="B936" s="2" t="s">
        <v>2805</v>
      </c>
      <c r="C936" s="2" t="s">
        <v>2806</v>
      </c>
      <c r="D936" s="2" t="s">
        <v>10041</v>
      </c>
      <c r="E936" s="15">
        <v>-6.88E-2</v>
      </c>
      <c r="F936" s="15">
        <v>7.4800000000000005E-2</v>
      </c>
      <c r="G936" s="15">
        <v>1.11E-2</v>
      </c>
      <c r="H936" s="15">
        <v>7.6100000000000001E-2</v>
      </c>
      <c r="I936" s="15">
        <v>0.176740117998332</v>
      </c>
    </row>
    <row r="937" spans="1:9" x14ac:dyDescent="0.2">
      <c r="A937" s="2" t="s">
        <v>2807</v>
      </c>
      <c r="B937" s="2" t="s">
        <v>2808</v>
      </c>
      <c r="C937" s="2" t="s">
        <v>2809</v>
      </c>
      <c r="D937" s="2" t="s">
        <v>10041</v>
      </c>
      <c r="E937" s="15">
        <v>-6.5299999999999997E-2</v>
      </c>
      <c r="F937" s="15">
        <v>7.1199999999999999E-2</v>
      </c>
      <c r="G937" s="15">
        <v>0.12429999999999999</v>
      </c>
      <c r="H937" s="15">
        <v>6.3399999999999998E-2</v>
      </c>
      <c r="I937" s="15">
        <v>6.1720220560976353E-3</v>
      </c>
    </row>
    <row r="938" spans="1:9" x14ac:dyDescent="0.2">
      <c r="A938" s="2" t="s">
        <v>2810</v>
      </c>
      <c r="B938" s="2" t="s">
        <v>2811</v>
      </c>
      <c r="C938" s="2" t="s">
        <v>2812</v>
      </c>
      <c r="D938" s="2" t="s">
        <v>10041</v>
      </c>
      <c r="E938" s="15">
        <v>6.4999999999999997E-3</v>
      </c>
      <c r="F938" s="15">
        <v>8.1600000000000006E-2</v>
      </c>
      <c r="G938" s="15">
        <v>0.2041</v>
      </c>
      <c r="H938" s="15">
        <v>9.6799999999999997E-2</v>
      </c>
      <c r="I938" s="15">
        <v>3.0509613558201601E-2</v>
      </c>
    </row>
    <row r="939" spans="1:9" x14ac:dyDescent="0.2">
      <c r="A939" s="2" t="s">
        <v>2813</v>
      </c>
      <c r="B939" s="2" t="s">
        <v>2814</v>
      </c>
      <c r="C939" s="2" t="s">
        <v>2815</v>
      </c>
      <c r="D939" s="2" t="s">
        <v>10041</v>
      </c>
      <c r="E939" s="15">
        <v>-0.1472</v>
      </c>
      <c r="F939" s="15">
        <v>0.1137</v>
      </c>
      <c r="G939" s="15">
        <v>7.1999999999999998E-3</v>
      </c>
      <c r="H939" s="15">
        <v>7.7600000000000002E-2</v>
      </c>
      <c r="I939" s="15">
        <v>4.3846275882478067E-2</v>
      </c>
    </row>
    <row r="940" spans="1:9" x14ac:dyDescent="0.2">
      <c r="A940" s="2" t="s">
        <v>2816</v>
      </c>
      <c r="B940" s="2" t="s">
        <v>2817</v>
      </c>
      <c r="C940" s="2" t="s">
        <v>2818</v>
      </c>
      <c r="D940" s="2" t="s">
        <v>10041</v>
      </c>
      <c r="E940" s="15">
        <v>-0.28189999999999998</v>
      </c>
      <c r="F940" s="15">
        <v>0.1111</v>
      </c>
      <c r="G940" s="15">
        <v>-0.12620000000000001</v>
      </c>
      <c r="H940" s="15">
        <v>0.10340000000000001</v>
      </c>
      <c r="I940" s="15">
        <v>8.7854701614528061E-2</v>
      </c>
    </row>
    <row r="941" spans="1:9" x14ac:dyDescent="0.2">
      <c r="A941" s="2" t="s">
        <v>2819</v>
      </c>
      <c r="B941" s="2" t="s">
        <v>2820</v>
      </c>
      <c r="C941" s="2" t="s">
        <v>2821</v>
      </c>
      <c r="D941" s="2" t="s">
        <v>10041</v>
      </c>
      <c r="E941" s="15">
        <v>6.8599999999999994E-2</v>
      </c>
      <c r="F941" s="15">
        <v>9.69E-2</v>
      </c>
      <c r="G941" s="15">
        <v>-0.161</v>
      </c>
      <c r="H941" s="15">
        <v>0.14269999999999999</v>
      </c>
      <c r="I941" s="15">
        <v>6.818318529665103E-2</v>
      </c>
    </row>
    <row r="942" spans="1:9" x14ac:dyDescent="0.2">
      <c r="A942" s="2" t="s">
        <v>2822</v>
      </c>
      <c r="B942" s="2" t="s">
        <v>2823</v>
      </c>
      <c r="C942" s="2" t="s">
        <v>2824</v>
      </c>
      <c r="D942" s="2" t="s">
        <v>10041</v>
      </c>
      <c r="E942" s="15">
        <v>-7.4899999999999994E-2</v>
      </c>
      <c r="F942" s="15">
        <v>9.7100000000000006E-2</v>
      </c>
      <c r="G942" s="15">
        <v>2.9499999999999998E-2</v>
      </c>
      <c r="H942" s="15">
        <v>0.14549999999999999</v>
      </c>
      <c r="I942" s="15">
        <v>0.25159280633378511</v>
      </c>
    </row>
    <row r="943" spans="1:9" x14ac:dyDescent="0.2">
      <c r="A943" s="2" t="s">
        <v>2825</v>
      </c>
      <c r="B943" s="2" t="s">
        <v>2826</v>
      </c>
      <c r="C943" s="2" t="s">
        <v>2827</v>
      </c>
      <c r="D943" s="2" t="s">
        <v>10041</v>
      </c>
      <c r="E943" s="15">
        <v>-7.2599999999999998E-2</v>
      </c>
      <c r="F943" s="15">
        <v>0.2044</v>
      </c>
      <c r="G943" s="15">
        <v>9.6100000000000005E-2</v>
      </c>
      <c r="H943" s="15">
        <v>9.9699999999999997E-2</v>
      </c>
      <c r="I943" s="15">
        <v>9.1636939790907077E-2</v>
      </c>
    </row>
    <row r="944" spans="1:9" x14ac:dyDescent="0.2">
      <c r="A944" s="2" t="s">
        <v>2828</v>
      </c>
      <c r="B944" s="2" t="s">
        <v>2829</v>
      </c>
      <c r="C944" s="2" t="s">
        <v>2830</v>
      </c>
      <c r="D944" s="2" t="s">
        <v>10041</v>
      </c>
      <c r="E944" s="15">
        <v>-0.13489999999999999</v>
      </c>
      <c r="F944" s="15">
        <v>0.1099</v>
      </c>
      <c r="G944" s="15">
        <v>3.1600000000000003E-2</v>
      </c>
      <c r="H944" s="15">
        <v>0.1278</v>
      </c>
      <c r="I944" s="15">
        <v>0.1184341719065552</v>
      </c>
    </row>
    <row r="945" spans="1:9" x14ac:dyDescent="0.2">
      <c r="A945" s="2" t="s">
        <v>2831</v>
      </c>
      <c r="B945" s="2" t="s">
        <v>2832</v>
      </c>
      <c r="C945" s="2" t="s">
        <v>2833</v>
      </c>
      <c r="D945" s="2" t="s">
        <v>10041</v>
      </c>
      <c r="E945" s="15">
        <v>-0.17829999999999999</v>
      </c>
      <c r="F945" s="15">
        <v>9.9900000000000003E-2</v>
      </c>
      <c r="G945" s="15">
        <v>0.1686</v>
      </c>
      <c r="H945" s="15">
        <v>9.5000000000000001E-2</v>
      </c>
      <c r="I945" s="15">
        <v>7.2478486323809745E-4</v>
      </c>
    </row>
    <row r="946" spans="1:9" x14ac:dyDescent="0.2">
      <c r="A946" s="2" t="s">
        <v>2834</v>
      </c>
      <c r="B946" s="2" t="s">
        <v>2835</v>
      </c>
      <c r="C946" s="2" t="s">
        <v>2836</v>
      </c>
      <c r="D946" s="2" t="s">
        <v>10041</v>
      </c>
      <c r="E946" s="15">
        <v>-5.9499999999999997E-2</v>
      </c>
      <c r="F946" s="15">
        <v>8.1199999999999994E-2</v>
      </c>
      <c r="G946" s="15">
        <v>0.1086</v>
      </c>
      <c r="H946" s="15">
        <v>8.5599999999999996E-2</v>
      </c>
      <c r="I946" s="15">
        <v>4.0141591720903168E-2</v>
      </c>
    </row>
    <row r="947" spans="1:9" x14ac:dyDescent="0.2">
      <c r="A947" s="2" t="s">
        <v>2837</v>
      </c>
      <c r="B947" s="2" t="s">
        <v>2838</v>
      </c>
      <c r="C947" s="2" t="s">
        <v>2839</v>
      </c>
      <c r="D947" s="2" t="s">
        <v>10041</v>
      </c>
      <c r="E947" s="15">
        <v>-0.1226</v>
      </c>
      <c r="F947" s="15">
        <v>9.2700000000000005E-2</v>
      </c>
      <c r="G947" s="15">
        <v>-7.4000000000000003E-3</v>
      </c>
      <c r="H947" s="15">
        <v>0.1578</v>
      </c>
      <c r="I947" s="15">
        <v>0.24912067873797161</v>
      </c>
    </row>
    <row r="948" spans="1:9" x14ac:dyDescent="0.2">
      <c r="A948" s="2" t="s">
        <v>2840</v>
      </c>
      <c r="B948" s="2" t="s">
        <v>2841</v>
      </c>
      <c r="C948" s="2" t="s">
        <v>2842</v>
      </c>
      <c r="D948" s="2" t="s">
        <v>10041</v>
      </c>
      <c r="E948" s="15">
        <v>-6.4500000000000002E-2</v>
      </c>
      <c r="F948" s="15">
        <v>0.122</v>
      </c>
      <c r="G948" s="15">
        <v>3.3000000000000002E-2</v>
      </c>
      <c r="H948" s="15">
        <v>8.9399999999999993E-2</v>
      </c>
      <c r="I948" s="15">
        <v>0.18073000812229731</v>
      </c>
    </row>
    <row r="949" spans="1:9" x14ac:dyDescent="0.2">
      <c r="A949" s="2" t="s">
        <v>2843</v>
      </c>
      <c r="B949" s="2" t="s">
        <v>2844</v>
      </c>
      <c r="C949" s="2" t="s">
        <v>2845</v>
      </c>
      <c r="D949" s="2" t="s">
        <v>10041</v>
      </c>
      <c r="E949" s="15">
        <v>-0.1203</v>
      </c>
      <c r="F949" s="15">
        <v>8.1900000000000001E-2</v>
      </c>
      <c r="G949" s="15">
        <v>-0.185</v>
      </c>
      <c r="H949" s="15">
        <v>0.17730000000000001</v>
      </c>
      <c r="I949" s="15">
        <v>0.36316630623548851</v>
      </c>
    </row>
    <row r="950" spans="1:9" x14ac:dyDescent="0.2">
      <c r="A950" s="2" t="s">
        <v>2846</v>
      </c>
      <c r="B950" s="2" t="s">
        <v>2847</v>
      </c>
      <c r="C950" s="2" t="s">
        <v>2848</v>
      </c>
      <c r="D950" s="2" t="s">
        <v>10041</v>
      </c>
      <c r="E950" s="15">
        <v>-2.3199999999999998E-2</v>
      </c>
      <c r="F950" s="15">
        <v>7.7299999999999994E-2</v>
      </c>
      <c r="G950" s="15">
        <v>8.4400000000000003E-2</v>
      </c>
      <c r="H950" s="15">
        <v>8.2400000000000001E-2</v>
      </c>
      <c r="I950" s="15">
        <v>0.1234983927108749</v>
      </c>
    </row>
    <row r="951" spans="1:9" x14ac:dyDescent="0.2">
      <c r="A951" s="2" t="s">
        <v>2849</v>
      </c>
      <c r="B951" s="2" t="s">
        <v>2850</v>
      </c>
      <c r="C951" s="2" t="s">
        <v>2851</v>
      </c>
      <c r="D951" s="2" t="s">
        <v>10041</v>
      </c>
      <c r="E951" s="15">
        <v>-8.2100000000000006E-2</v>
      </c>
      <c r="F951" s="15">
        <v>7.6999999999999999E-2</v>
      </c>
      <c r="G951" s="15">
        <v>-9.9199999999999997E-2</v>
      </c>
      <c r="H951" s="15">
        <v>9.9000000000000005E-2</v>
      </c>
      <c r="I951" s="15">
        <v>0.4391819624839205</v>
      </c>
    </row>
    <row r="952" spans="1:9" x14ac:dyDescent="0.2">
      <c r="A952" s="2" t="s">
        <v>2852</v>
      </c>
      <c r="B952" s="2" t="s">
        <v>2853</v>
      </c>
      <c r="C952" s="2" t="s">
        <v>2854</v>
      </c>
      <c r="D952" s="2" t="s">
        <v>10041</v>
      </c>
      <c r="E952" s="15">
        <v>-0.22839999999999999</v>
      </c>
      <c r="F952" s="15">
        <v>0.11360000000000001</v>
      </c>
      <c r="G952" s="15">
        <v>3.3599999999999998E-2</v>
      </c>
      <c r="H952" s="15">
        <v>0.1004</v>
      </c>
      <c r="I952" s="15">
        <v>1.0297643526435781E-2</v>
      </c>
    </row>
    <row r="953" spans="1:9" x14ac:dyDescent="0.2">
      <c r="A953" s="2" t="s">
        <v>2855</v>
      </c>
      <c r="B953" s="2" t="s">
        <v>2856</v>
      </c>
      <c r="C953" s="2" t="s">
        <v>2857</v>
      </c>
      <c r="D953" s="2" t="s">
        <v>10041</v>
      </c>
      <c r="E953" s="15">
        <v>-8.1100000000000005E-2</v>
      </c>
      <c r="F953" s="15">
        <v>7.7399999999999997E-2</v>
      </c>
      <c r="G953" s="15">
        <v>-6.4999999999999997E-3</v>
      </c>
      <c r="H953" s="15">
        <v>8.4500000000000006E-2</v>
      </c>
      <c r="I953" s="15">
        <v>0.22451616714813249</v>
      </c>
    </row>
    <row r="954" spans="1:9" x14ac:dyDescent="0.2">
      <c r="A954" s="2" t="s">
        <v>2858</v>
      </c>
      <c r="B954" s="2" t="s">
        <v>2859</v>
      </c>
      <c r="C954" s="2" t="s">
        <v>2860</v>
      </c>
      <c r="D954" s="2" t="s">
        <v>10041</v>
      </c>
      <c r="E954" s="15">
        <v>-8.3099999999999993E-2</v>
      </c>
      <c r="F954" s="15">
        <v>8.8599999999999998E-2</v>
      </c>
      <c r="G954" s="15">
        <v>1.9400000000000001E-2</v>
      </c>
      <c r="H954" s="15">
        <v>8.1199999999999994E-2</v>
      </c>
      <c r="I954" s="15">
        <v>0.1323069439259654</v>
      </c>
    </row>
    <row r="955" spans="1:9" x14ac:dyDescent="0.2">
      <c r="A955" s="2" t="s">
        <v>2861</v>
      </c>
      <c r="B955" s="2" t="s">
        <v>2862</v>
      </c>
      <c r="C955" s="2" t="s">
        <v>2863</v>
      </c>
      <c r="D955" s="2" t="s">
        <v>10041</v>
      </c>
      <c r="E955" s="15">
        <v>1.32E-2</v>
      </c>
      <c r="F955" s="15">
        <v>8.4400000000000003E-2</v>
      </c>
      <c r="G955" s="15">
        <v>0.1062</v>
      </c>
      <c r="H955" s="15">
        <v>0.1384</v>
      </c>
      <c r="I955" s="15">
        <v>0.26189038354749278</v>
      </c>
    </row>
    <row r="956" spans="1:9" x14ac:dyDescent="0.2">
      <c r="A956" s="2" t="s">
        <v>2864</v>
      </c>
      <c r="B956" s="2" t="s">
        <v>2865</v>
      </c>
      <c r="C956" s="2" t="s">
        <v>2866</v>
      </c>
      <c r="D956" s="2" t="s">
        <v>10041</v>
      </c>
      <c r="E956" s="15">
        <v>-8.2799999999999999E-2</v>
      </c>
      <c r="F956" s="15">
        <v>0.1065</v>
      </c>
      <c r="G956" s="15">
        <v>8.3199999999999996E-2</v>
      </c>
      <c r="H956" s="15">
        <v>9.8199999999999996E-2</v>
      </c>
      <c r="I956" s="15">
        <v>6.710912756140068E-2</v>
      </c>
    </row>
    <row r="957" spans="1:9" x14ac:dyDescent="0.2">
      <c r="A957" s="2" t="s">
        <v>2867</v>
      </c>
      <c r="B957" s="2" t="s">
        <v>2868</v>
      </c>
      <c r="C957" s="2" t="s">
        <v>2869</v>
      </c>
      <c r="D957" s="2" t="s">
        <v>10041</v>
      </c>
      <c r="E957" s="15">
        <v>4.4699999999999997E-2</v>
      </c>
      <c r="F957" s="15">
        <v>0.1004</v>
      </c>
      <c r="G957" s="15">
        <v>-1.5699999999999999E-2</v>
      </c>
      <c r="H957" s="15">
        <v>9.5600000000000004E-2</v>
      </c>
      <c r="I957" s="15">
        <v>0.28616440439787799</v>
      </c>
    </row>
    <row r="958" spans="1:9" x14ac:dyDescent="0.2">
      <c r="A958" s="2" t="s">
        <v>2870</v>
      </c>
      <c r="B958" s="2" t="s">
        <v>2871</v>
      </c>
      <c r="C958" s="2" t="s">
        <v>2872</v>
      </c>
      <c r="D958" s="2" t="s">
        <v>10041</v>
      </c>
      <c r="E958" s="15">
        <v>4.1300000000000003E-2</v>
      </c>
      <c r="F958" s="15">
        <v>7.7600000000000002E-2</v>
      </c>
      <c r="G958" s="15">
        <v>9.7000000000000003E-2</v>
      </c>
      <c r="H958" s="15">
        <v>8.1000000000000003E-2</v>
      </c>
      <c r="I958" s="15">
        <v>0.26403298293526789</v>
      </c>
    </row>
    <row r="959" spans="1:9" x14ac:dyDescent="0.2">
      <c r="A959" s="2" t="s">
        <v>2873</v>
      </c>
      <c r="B959" s="2" t="s">
        <v>2874</v>
      </c>
      <c r="C959" s="2" t="s">
        <v>2875</v>
      </c>
      <c r="D959" s="2" t="s">
        <v>10041</v>
      </c>
      <c r="E959" s="15">
        <v>3.1800000000000002E-2</v>
      </c>
      <c r="F959" s="15">
        <v>9.8599999999999993E-2</v>
      </c>
      <c r="G959" s="15">
        <v>9.7299999999999998E-2</v>
      </c>
      <c r="H959" s="15">
        <v>8.3900000000000002E-2</v>
      </c>
      <c r="I959" s="15">
        <v>0.25806054885824542</v>
      </c>
    </row>
    <row r="960" spans="1:9" x14ac:dyDescent="0.2">
      <c r="A960" s="2" t="s">
        <v>2876</v>
      </c>
      <c r="B960" s="2" t="s">
        <v>2877</v>
      </c>
      <c r="C960" s="2" t="s">
        <v>2878</v>
      </c>
      <c r="D960" s="2" t="s">
        <v>10041</v>
      </c>
      <c r="E960" s="15">
        <v>-3.5000000000000001E-3</v>
      </c>
      <c r="F960" s="15">
        <v>9.1800000000000007E-2</v>
      </c>
      <c r="G960" s="15">
        <v>0.26350000000000001</v>
      </c>
      <c r="H960" s="15">
        <v>1.7070000000000001</v>
      </c>
      <c r="I960" s="15">
        <v>0.43791373552717588</v>
      </c>
    </row>
    <row r="961" spans="1:9" x14ac:dyDescent="0.2">
      <c r="A961" s="2" t="s">
        <v>2879</v>
      </c>
      <c r="B961" s="2" t="s">
        <v>2880</v>
      </c>
      <c r="C961" s="2" t="s">
        <v>2881</v>
      </c>
      <c r="D961" s="2" t="s">
        <v>10041</v>
      </c>
      <c r="E961" s="15">
        <v>0.21299999999999999</v>
      </c>
      <c r="F961" s="15">
        <v>9.7199999999999995E-2</v>
      </c>
      <c r="G961" s="15">
        <v>9.4899999999999998E-2</v>
      </c>
      <c r="H961" s="15">
        <v>0.14460000000000001</v>
      </c>
      <c r="I961" s="15">
        <v>0.22437925678469581</v>
      </c>
    </row>
    <row r="962" spans="1:9" x14ac:dyDescent="0.2">
      <c r="A962" s="2" t="s">
        <v>2882</v>
      </c>
      <c r="B962" s="2" t="s">
        <v>2883</v>
      </c>
      <c r="C962" s="2" t="s">
        <v>2884</v>
      </c>
      <c r="D962" s="2" t="s">
        <v>10041</v>
      </c>
      <c r="E962" s="15">
        <v>-0.14430000000000001</v>
      </c>
      <c r="F962" s="15">
        <v>8.3599999999999994E-2</v>
      </c>
      <c r="G962" s="15">
        <v>-0.1283</v>
      </c>
      <c r="H962" s="15">
        <v>0.11749999999999999</v>
      </c>
      <c r="I962" s="15">
        <v>0.44954952005526061</v>
      </c>
    </row>
    <row r="963" spans="1:9" x14ac:dyDescent="0.2">
      <c r="A963" s="2" t="s">
        <v>2885</v>
      </c>
      <c r="B963" s="2" t="s">
        <v>2886</v>
      </c>
      <c r="C963" s="2" t="s">
        <v>2887</v>
      </c>
      <c r="D963" s="2" t="s">
        <v>10041</v>
      </c>
      <c r="E963" s="15">
        <v>-2E-3</v>
      </c>
      <c r="F963" s="15">
        <v>6.9800000000000001E-2</v>
      </c>
      <c r="G963" s="15">
        <v>0.21079999999999999</v>
      </c>
      <c r="H963" s="15">
        <v>0.1046</v>
      </c>
      <c r="I963" s="15">
        <v>3.100578906732308E-2</v>
      </c>
    </row>
    <row r="964" spans="1:9" x14ac:dyDescent="0.2">
      <c r="A964" s="2" t="s">
        <v>2888</v>
      </c>
      <c r="B964" s="2" t="s">
        <v>2889</v>
      </c>
      <c r="C964" s="2" t="s">
        <v>2890</v>
      </c>
      <c r="D964" s="2" t="s">
        <v>10041</v>
      </c>
      <c r="E964" s="15">
        <v>-0.1643</v>
      </c>
      <c r="F964" s="15">
        <v>9.1899999999999996E-2</v>
      </c>
      <c r="G964" s="15">
        <v>-0.10150000000000001</v>
      </c>
      <c r="H964" s="15">
        <v>0.1222</v>
      </c>
      <c r="I964" s="15">
        <v>0.31795154476926668</v>
      </c>
    </row>
    <row r="965" spans="1:9" x14ac:dyDescent="0.2">
      <c r="A965" s="2" t="s">
        <v>2891</v>
      </c>
      <c r="B965" s="2" t="s">
        <v>2892</v>
      </c>
      <c r="C965" s="2" t="s">
        <v>2893</v>
      </c>
      <c r="D965" s="2" t="s">
        <v>10041</v>
      </c>
      <c r="E965" s="15">
        <v>6.0900000000000003E-2</v>
      </c>
      <c r="F965" s="15">
        <v>0.1177</v>
      </c>
      <c r="G965" s="15">
        <v>-0.10680000000000001</v>
      </c>
      <c r="H965" s="15">
        <v>0.15279999999999999</v>
      </c>
      <c r="I965" s="15">
        <v>0.15088304573542241</v>
      </c>
    </row>
    <row r="966" spans="1:9" x14ac:dyDescent="0.2">
      <c r="A966" s="2" t="s">
        <v>2894</v>
      </c>
      <c r="B966" s="2" t="s">
        <v>2895</v>
      </c>
      <c r="C966" s="2" t="s">
        <v>2896</v>
      </c>
      <c r="D966" s="2" t="s">
        <v>10041</v>
      </c>
      <c r="E966" s="15">
        <v>-0.14230000000000001</v>
      </c>
      <c r="F966" s="15">
        <v>0.1026</v>
      </c>
      <c r="G966" s="15">
        <v>-2.4E-2</v>
      </c>
      <c r="H966" s="15">
        <v>9.3799999999999994E-2</v>
      </c>
      <c r="I966" s="15">
        <v>0.14204984949295141</v>
      </c>
    </row>
    <row r="967" spans="1:9" x14ac:dyDescent="0.2">
      <c r="A967" s="2" t="s">
        <v>2897</v>
      </c>
      <c r="B967" s="2" t="s">
        <v>2898</v>
      </c>
      <c r="C967" s="2" t="s">
        <v>2899</v>
      </c>
      <c r="D967" s="2" t="s">
        <v>10041</v>
      </c>
      <c r="E967" s="15">
        <v>-9.9699999999999997E-2</v>
      </c>
      <c r="F967" s="15">
        <v>8.4900000000000003E-2</v>
      </c>
      <c r="G967" s="15">
        <v>0.15759999999999999</v>
      </c>
      <c r="H967" s="15">
        <v>0.11210000000000001</v>
      </c>
      <c r="I967" s="15">
        <v>1.7313308596579959E-2</v>
      </c>
    </row>
    <row r="968" spans="1:9" x14ac:dyDescent="0.2">
      <c r="A968" s="2" t="s">
        <v>2900</v>
      </c>
      <c r="B968" s="2" t="s">
        <v>2901</v>
      </c>
      <c r="C968" s="2" t="s">
        <v>2902</v>
      </c>
      <c r="D968" s="2" t="s">
        <v>10041</v>
      </c>
      <c r="E968" s="15">
        <v>-2.4799999999999999E-2</v>
      </c>
      <c r="F968" s="15">
        <v>9.4899999999999998E-2</v>
      </c>
      <c r="G968" s="15">
        <v>-5.5199999999999999E-2</v>
      </c>
      <c r="H968" s="15">
        <v>8.1600000000000006E-2</v>
      </c>
      <c r="I968" s="15">
        <v>0.37576730249874662</v>
      </c>
    </row>
    <row r="969" spans="1:9" x14ac:dyDescent="0.2">
      <c r="A969" s="2" t="s">
        <v>2903</v>
      </c>
      <c r="B969" s="2" t="s">
        <v>2904</v>
      </c>
      <c r="C969" s="2" t="s">
        <v>2905</v>
      </c>
      <c r="D969" s="2" t="s">
        <v>10041</v>
      </c>
      <c r="E969" s="15">
        <v>2.1299999999999999E-2</v>
      </c>
      <c r="F969" s="15">
        <v>8.0699999999999994E-2</v>
      </c>
      <c r="G969" s="15">
        <v>-5.8900000000000001E-2</v>
      </c>
      <c r="H969" s="15">
        <v>7.7399999999999997E-2</v>
      </c>
      <c r="I969" s="15">
        <v>0.17814603132139811</v>
      </c>
    </row>
    <row r="970" spans="1:9" x14ac:dyDescent="0.2">
      <c r="A970" s="2" t="s">
        <v>2906</v>
      </c>
      <c r="B970" s="2" t="s">
        <v>2907</v>
      </c>
      <c r="C970" s="2" t="s">
        <v>2908</v>
      </c>
      <c r="D970" s="2" t="s">
        <v>10041</v>
      </c>
      <c r="E970" s="15">
        <v>5.1799999999999999E-2</v>
      </c>
      <c r="F970" s="15">
        <v>0.1108</v>
      </c>
      <c r="G970" s="15">
        <v>0.18379999999999999</v>
      </c>
      <c r="H970" s="15">
        <v>8.6499999999999994E-2</v>
      </c>
      <c r="I970" s="15">
        <v>8.8417450642290063E-2</v>
      </c>
    </row>
    <row r="971" spans="1:9" x14ac:dyDescent="0.2">
      <c r="A971" s="2" t="s">
        <v>2909</v>
      </c>
      <c r="B971" s="2" t="s">
        <v>2910</v>
      </c>
      <c r="C971" s="2" t="s">
        <v>2911</v>
      </c>
      <c r="D971" s="2" t="s">
        <v>10041</v>
      </c>
      <c r="E971" s="15">
        <v>-5.1900000000000002E-2</v>
      </c>
      <c r="F971" s="15">
        <v>0.10199999999999999</v>
      </c>
      <c r="G971" s="15">
        <v>8.2199999999999995E-2</v>
      </c>
      <c r="H971" s="15">
        <v>7.5899999999999995E-2</v>
      </c>
      <c r="I971" s="15">
        <v>6.3299241169110662E-2</v>
      </c>
    </row>
    <row r="972" spans="1:9" x14ac:dyDescent="0.2">
      <c r="A972" s="2" t="s">
        <v>2912</v>
      </c>
      <c r="B972" s="2" t="s">
        <v>2913</v>
      </c>
      <c r="C972" s="2" t="s">
        <v>2914</v>
      </c>
      <c r="D972" s="2" t="s">
        <v>10041</v>
      </c>
      <c r="E972" s="15">
        <v>-8.9399999999999993E-2</v>
      </c>
      <c r="F972" s="15">
        <v>0.13550000000000001</v>
      </c>
      <c r="G972" s="15">
        <v>0.04</v>
      </c>
      <c r="H972" s="15">
        <v>0.1115</v>
      </c>
      <c r="I972" s="15">
        <v>0.14889779424215169</v>
      </c>
    </row>
    <row r="973" spans="1:9" x14ac:dyDescent="0.2">
      <c r="A973" s="2" t="s">
        <v>2915</v>
      </c>
      <c r="B973" s="2" t="s">
        <v>2916</v>
      </c>
      <c r="C973" s="2" t="s">
        <v>2917</v>
      </c>
      <c r="D973" s="2" t="s">
        <v>10041</v>
      </c>
      <c r="E973" s="15">
        <v>-2.98E-2</v>
      </c>
      <c r="F973" s="15">
        <v>7.51E-2</v>
      </c>
      <c r="G973" s="15">
        <v>-0.1757</v>
      </c>
      <c r="H973" s="15">
        <v>0.1162</v>
      </c>
      <c r="I973" s="15">
        <v>0.12123870679146841</v>
      </c>
    </row>
    <row r="974" spans="1:9" x14ac:dyDescent="0.2">
      <c r="A974" s="2" t="s">
        <v>2918</v>
      </c>
      <c r="B974" s="2" t="s">
        <v>2919</v>
      </c>
      <c r="C974" s="2" t="s">
        <v>2920</v>
      </c>
      <c r="D974" s="2" t="s">
        <v>10041</v>
      </c>
      <c r="E974" s="15">
        <v>-0.16039999999999999</v>
      </c>
      <c r="F974" s="15">
        <v>8.0399999999999999E-2</v>
      </c>
      <c r="G974" s="15">
        <v>-3.78E-2</v>
      </c>
      <c r="H974" s="15">
        <v>0.1017</v>
      </c>
      <c r="I974" s="15">
        <v>0.14281614051315461</v>
      </c>
    </row>
    <row r="975" spans="1:9" x14ac:dyDescent="0.2">
      <c r="A975" s="2" t="s">
        <v>2921</v>
      </c>
      <c r="B975" s="2" t="s">
        <v>2922</v>
      </c>
      <c r="C975" s="2" t="s">
        <v>2923</v>
      </c>
      <c r="D975" s="2" t="s">
        <v>10041</v>
      </c>
      <c r="E975" s="15">
        <v>-0.18740000000000001</v>
      </c>
      <c r="F975" s="15">
        <v>0.11509999999999999</v>
      </c>
      <c r="G975" s="15">
        <v>-9.5600000000000004E-2</v>
      </c>
      <c r="H975" s="15">
        <v>9.8799999999999999E-2</v>
      </c>
      <c r="I975" s="15">
        <v>0.20183794568333371</v>
      </c>
    </row>
    <row r="976" spans="1:9" x14ac:dyDescent="0.2">
      <c r="A976" s="2" t="s">
        <v>2924</v>
      </c>
      <c r="B976" s="2" t="s">
        <v>2925</v>
      </c>
      <c r="C976" s="2" t="s">
        <v>2926</v>
      </c>
      <c r="D976" s="2" t="s">
        <v>10041</v>
      </c>
      <c r="E976" s="15">
        <v>-0.161</v>
      </c>
      <c r="F976" s="15">
        <v>7.8100000000000003E-2</v>
      </c>
      <c r="G976" s="15">
        <v>9.6000000000000002E-2</v>
      </c>
      <c r="H976" s="15">
        <v>8.7099999999999997E-2</v>
      </c>
      <c r="I976" s="15">
        <v>3.590075452571893E-3</v>
      </c>
    </row>
    <row r="977" spans="1:9" x14ac:dyDescent="0.2">
      <c r="A977" s="2" t="s">
        <v>2927</v>
      </c>
      <c r="B977" s="2" t="s">
        <v>2928</v>
      </c>
      <c r="C977" s="2" t="s">
        <v>2929</v>
      </c>
      <c r="D977" s="2" t="s">
        <v>10041</v>
      </c>
      <c r="E977" s="15">
        <v>-0.27060000000000001</v>
      </c>
      <c r="F977" s="15">
        <v>0.1008</v>
      </c>
      <c r="G977" s="15">
        <v>2.3599999999999999E-2</v>
      </c>
      <c r="H977" s="15">
        <v>8.0199999999999994E-2</v>
      </c>
      <c r="I977" s="15">
        <v>8.4266985995639753E-4</v>
      </c>
    </row>
    <row r="978" spans="1:9" x14ac:dyDescent="0.2">
      <c r="A978" s="2" t="s">
        <v>2930</v>
      </c>
      <c r="B978" s="2" t="s">
        <v>2931</v>
      </c>
      <c r="C978" s="2" t="s">
        <v>2932</v>
      </c>
      <c r="D978" s="2" t="s">
        <v>10041</v>
      </c>
      <c r="E978" s="15">
        <v>-4.7100000000000003E-2</v>
      </c>
      <c r="F978" s="15">
        <v>8.8999999999999996E-2</v>
      </c>
      <c r="G978" s="15">
        <v>-1.9E-2</v>
      </c>
      <c r="H978" s="15">
        <v>9.9199999999999997E-2</v>
      </c>
      <c r="I978" s="15">
        <v>0.40095094765799838</v>
      </c>
    </row>
    <row r="979" spans="1:9" x14ac:dyDescent="0.2">
      <c r="A979" s="2" t="s">
        <v>2933</v>
      </c>
      <c r="B979" s="2" t="s">
        <v>2934</v>
      </c>
      <c r="C979" s="2" t="s">
        <v>2935</v>
      </c>
      <c r="D979" s="2" t="s">
        <v>10041</v>
      </c>
      <c r="E979" s="15">
        <v>-0.22520000000000001</v>
      </c>
      <c r="F979" s="15">
        <v>0.15229999999999999</v>
      </c>
      <c r="G979" s="15">
        <v>0.25779999999999997</v>
      </c>
      <c r="H979" s="15">
        <v>0.14349999999999999</v>
      </c>
      <c r="I979" s="15">
        <v>1.006772708528395E-3</v>
      </c>
    </row>
    <row r="980" spans="1:9" x14ac:dyDescent="0.2">
      <c r="A980" s="2" t="s">
        <v>2936</v>
      </c>
      <c r="B980" s="2" t="s">
        <v>2937</v>
      </c>
      <c r="C980" s="2" t="s">
        <v>2938</v>
      </c>
      <c r="D980" s="2" t="s">
        <v>10041</v>
      </c>
      <c r="E980" s="15">
        <v>0.1142</v>
      </c>
      <c r="F980" s="15">
        <v>8.9399999999999993E-2</v>
      </c>
      <c r="G980" s="15">
        <v>-0.15390000000000001</v>
      </c>
      <c r="H980" s="15">
        <v>9.0700000000000003E-2</v>
      </c>
      <c r="I980" s="15">
        <v>4.8519817009174482E-3</v>
      </c>
    </row>
    <row r="981" spans="1:9" x14ac:dyDescent="0.2">
      <c r="A981" s="2" t="s">
        <v>2939</v>
      </c>
      <c r="B981" s="2" t="s">
        <v>2940</v>
      </c>
      <c r="C981" s="2" t="s">
        <v>2941</v>
      </c>
      <c r="D981" s="2" t="s">
        <v>10041</v>
      </c>
      <c r="E981" s="15">
        <v>2.9100000000000001E-2</v>
      </c>
      <c r="F981" s="15">
        <v>7.4999999999999997E-2</v>
      </c>
      <c r="G981" s="15">
        <v>-7.5700000000000003E-2</v>
      </c>
      <c r="H981" s="15">
        <v>8.7599999999999997E-2</v>
      </c>
      <c r="I981" s="15">
        <v>0.14175164022712949</v>
      </c>
    </row>
    <row r="982" spans="1:9" x14ac:dyDescent="0.2">
      <c r="A982" s="2" t="s">
        <v>2942</v>
      </c>
      <c r="B982" s="2" t="s">
        <v>2943</v>
      </c>
      <c r="C982" s="2" t="s">
        <v>2944</v>
      </c>
      <c r="D982" s="2" t="s">
        <v>10041</v>
      </c>
      <c r="E982" s="15">
        <v>0.1915</v>
      </c>
      <c r="F982" s="15">
        <v>0.1668</v>
      </c>
      <c r="G982" s="15">
        <v>0.24610000000000001</v>
      </c>
      <c r="H982" s="15">
        <v>0.27100000000000002</v>
      </c>
      <c r="I982" s="15">
        <v>0.42184464358373669</v>
      </c>
    </row>
    <row r="983" spans="1:9" x14ac:dyDescent="0.2">
      <c r="A983" s="2" t="s">
        <v>2945</v>
      </c>
      <c r="B983" s="2" t="s">
        <v>2946</v>
      </c>
      <c r="C983" s="2" t="s">
        <v>2947</v>
      </c>
      <c r="D983" s="2" t="s">
        <v>10041</v>
      </c>
      <c r="E983" s="15">
        <v>-5.3199999999999997E-2</v>
      </c>
      <c r="F983" s="15">
        <v>8.9300000000000004E-2</v>
      </c>
      <c r="G983" s="15">
        <v>-5.4899999999999997E-2</v>
      </c>
      <c r="H983" s="15">
        <v>0.1011</v>
      </c>
      <c r="I983" s="15">
        <v>0.49390573840456492</v>
      </c>
    </row>
    <row r="984" spans="1:9" x14ac:dyDescent="0.2">
      <c r="A984" s="2" t="s">
        <v>2948</v>
      </c>
      <c r="B984" s="2" t="s">
        <v>2949</v>
      </c>
      <c r="C984" s="2" t="s">
        <v>2950</v>
      </c>
      <c r="D984" s="2" t="s">
        <v>10041</v>
      </c>
      <c r="E984" s="15">
        <v>-6.4399999999999999E-2</v>
      </c>
      <c r="F984" s="15">
        <v>8.7300000000000003E-2</v>
      </c>
      <c r="G984" s="15">
        <v>-0.1406</v>
      </c>
      <c r="H984" s="15">
        <v>8.6199999999999999E-2</v>
      </c>
      <c r="I984" s="15">
        <v>0.2231558942229406</v>
      </c>
    </row>
    <row r="985" spans="1:9" x14ac:dyDescent="0.2">
      <c r="A985" s="2" t="s">
        <v>2951</v>
      </c>
      <c r="B985" s="2" t="s">
        <v>2952</v>
      </c>
      <c r="C985" s="2" t="s">
        <v>2953</v>
      </c>
      <c r="D985" s="2" t="s">
        <v>10041</v>
      </c>
      <c r="E985" s="15">
        <v>-0.21479999999999999</v>
      </c>
      <c r="F985" s="15">
        <v>8.0500000000000002E-2</v>
      </c>
      <c r="G985" s="15">
        <v>-0.1157</v>
      </c>
      <c r="H985" s="15">
        <v>9.7299999999999998E-2</v>
      </c>
      <c r="I985" s="15">
        <v>0.17839094992260149</v>
      </c>
    </row>
    <row r="986" spans="1:9" x14ac:dyDescent="0.2">
      <c r="A986" s="2" t="s">
        <v>2954</v>
      </c>
      <c r="B986" s="2" t="s">
        <v>2955</v>
      </c>
      <c r="C986" s="2" t="s">
        <v>2956</v>
      </c>
      <c r="D986" s="2" t="s">
        <v>10041</v>
      </c>
      <c r="E986" s="15">
        <v>9.7299999999999998E-2</v>
      </c>
      <c r="F986" s="15">
        <v>0.13389999999999999</v>
      </c>
      <c r="G986" s="15">
        <v>0.38769999999999999</v>
      </c>
      <c r="H986" s="15">
        <v>0.2601</v>
      </c>
      <c r="I986" s="15">
        <v>0.13874602587449039</v>
      </c>
    </row>
    <row r="987" spans="1:9" x14ac:dyDescent="0.2">
      <c r="A987" s="2" t="s">
        <v>2957</v>
      </c>
      <c r="B987" s="2" t="s">
        <v>2958</v>
      </c>
      <c r="C987" s="2" t="s">
        <v>2959</v>
      </c>
      <c r="D987" s="2" t="s">
        <v>10041</v>
      </c>
      <c r="E987" s="15">
        <v>0.30959999999999999</v>
      </c>
      <c r="F987" s="15">
        <v>0.58899999999999997</v>
      </c>
      <c r="G987" s="15">
        <v>1.95E-2</v>
      </c>
      <c r="H987" s="15">
        <v>0.1041</v>
      </c>
      <c r="I987" s="15">
        <v>1.6369193354866651E-2</v>
      </c>
    </row>
    <row r="988" spans="1:9" x14ac:dyDescent="0.2">
      <c r="A988" s="2" t="s">
        <v>2960</v>
      </c>
      <c r="B988" s="2" t="s">
        <v>2961</v>
      </c>
      <c r="C988" s="2" t="s">
        <v>2962</v>
      </c>
      <c r="D988" s="2" t="s">
        <v>10041</v>
      </c>
      <c r="E988" s="15">
        <v>9.7799999999999998E-2</v>
      </c>
      <c r="F988" s="15">
        <v>7.6799999999999993E-2</v>
      </c>
      <c r="G988" s="15">
        <v>-0.11509999999999999</v>
      </c>
      <c r="H988" s="15">
        <v>7.5700000000000003E-2</v>
      </c>
      <c r="I988" s="15">
        <v>9.0786854076004113E-3</v>
      </c>
    </row>
    <row r="989" spans="1:9" x14ac:dyDescent="0.2">
      <c r="A989" s="2" t="s">
        <v>2963</v>
      </c>
      <c r="B989" s="2" t="s">
        <v>2964</v>
      </c>
      <c r="C989" s="2" t="s">
        <v>2965</v>
      </c>
      <c r="D989" s="2" t="s">
        <v>10041</v>
      </c>
      <c r="E989" s="15">
        <v>-1.78E-2</v>
      </c>
      <c r="F989" s="15">
        <v>7.2300000000000003E-2</v>
      </c>
      <c r="G989" s="15">
        <v>-6.9500000000000006E-2</v>
      </c>
      <c r="H989" s="15">
        <v>8.5800000000000001E-2</v>
      </c>
      <c r="I989" s="15">
        <v>0.29116182142213071</v>
      </c>
    </row>
    <row r="990" spans="1:9" x14ac:dyDescent="0.2">
      <c r="A990" s="2" t="s">
        <v>2966</v>
      </c>
      <c r="B990" s="2" t="s">
        <v>2967</v>
      </c>
      <c r="C990" s="2" t="s">
        <v>2968</v>
      </c>
      <c r="D990" s="2" t="s">
        <v>10041</v>
      </c>
      <c r="E990" s="15">
        <v>-4.4699999999999997E-2</v>
      </c>
      <c r="F990" s="15">
        <v>7.2800000000000004E-2</v>
      </c>
      <c r="G990" s="15">
        <v>-5.7999999999999996E-3</v>
      </c>
      <c r="H990" s="15">
        <v>8.2400000000000001E-2</v>
      </c>
      <c r="I990" s="15">
        <v>0.3408772064384869</v>
      </c>
    </row>
    <row r="991" spans="1:9" x14ac:dyDescent="0.2">
      <c r="A991" s="2" t="s">
        <v>2969</v>
      </c>
      <c r="B991" s="2" t="s">
        <v>2970</v>
      </c>
      <c r="C991" s="2" t="s">
        <v>2971</v>
      </c>
      <c r="D991" s="2" t="s">
        <v>10041</v>
      </c>
      <c r="E991" s="15">
        <v>7.0599999999999996E-2</v>
      </c>
      <c r="F991" s="15">
        <v>6.4899999999999999E-2</v>
      </c>
      <c r="G991" s="15">
        <v>-5.16E-2</v>
      </c>
      <c r="H991" s="15">
        <v>6.6400000000000001E-2</v>
      </c>
      <c r="I991" s="15">
        <v>5.1331883860654133E-2</v>
      </c>
    </row>
    <row r="992" spans="1:9" x14ac:dyDescent="0.2">
      <c r="A992" s="2" t="s">
        <v>2972</v>
      </c>
      <c r="B992" s="2" t="s">
        <v>2973</v>
      </c>
      <c r="C992" s="2" t="s">
        <v>2974</v>
      </c>
      <c r="D992" s="2" t="s">
        <v>10041</v>
      </c>
      <c r="E992" s="15">
        <v>-4.2599999999999999E-2</v>
      </c>
      <c r="F992" s="15">
        <v>7.1900000000000006E-2</v>
      </c>
      <c r="G992" s="15">
        <v>-4.1399999999999999E-2</v>
      </c>
      <c r="H992" s="15">
        <v>9.2700000000000005E-2</v>
      </c>
      <c r="I992" s="15">
        <v>0.49530950444294608</v>
      </c>
    </row>
    <row r="993" spans="1:9" x14ac:dyDescent="0.2">
      <c r="A993" s="2" t="s">
        <v>2975</v>
      </c>
      <c r="B993" s="2" t="s">
        <v>2976</v>
      </c>
      <c r="C993" s="2" t="s">
        <v>2977</v>
      </c>
      <c r="D993" s="2" t="s">
        <v>10041</v>
      </c>
      <c r="E993" s="15">
        <v>-2.2100000000000002E-2</v>
      </c>
      <c r="F993" s="15">
        <v>8.3000000000000004E-2</v>
      </c>
      <c r="G993" s="15">
        <v>6.6E-3</v>
      </c>
      <c r="H993" s="15">
        <v>9.6199999999999994E-2</v>
      </c>
      <c r="I993" s="15">
        <v>0.39374015271610407</v>
      </c>
    </row>
    <row r="994" spans="1:9" x14ac:dyDescent="0.2">
      <c r="A994" s="2" t="s">
        <v>2978</v>
      </c>
      <c r="B994" s="2" t="s">
        <v>2979</v>
      </c>
      <c r="C994" s="2" t="s">
        <v>2980</v>
      </c>
      <c r="D994" s="2" t="s">
        <v>10041</v>
      </c>
      <c r="E994" s="15">
        <v>-0.1552</v>
      </c>
      <c r="F994" s="15">
        <v>0.12609999999999999</v>
      </c>
      <c r="G994" s="15">
        <v>9.3200000000000005E-2</v>
      </c>
      <c r="H994" s="15">
        <v>8.0699999999999994E-2</v>
      </c>
      <c r="I994" s="15">
        <v>6.1930091659658064E-3</v>
      </c>
    </row>
    <row r="995" spans="1:9" x14ac:dyDescent="0.2">
      <c r="A995" s="2" t="s">
        <v>2981</v>
      </c>
      <c r="B995" s="2" t="s">
        <v>2982</v>
      </c>
      <c r="C995" s="2" t="s">
        <v>2983</v>
      </c>
      <c r="D995" s="2" t="s">
        <v>10041</v>
      </c>
      <c r="E995" s="15">
        <v>4.0300000000000002E-2</v>
      </c>
      <c r="F995" s="15">
        <v>8.2500000000000004E-2</v>
      </c>
      <c r="G995" s="15">
        <v>-5.3800000000000001E-2</v>
      </c>
      <c r="H995" s="15">
        <v>7.5600000000000001E-2</v>
      </c>
      <c r="I995" s="15">
        <v>0.14032484334918549</v>
      </c>
    </row>
    <row r="996" spans="1:9" x14ac:dyDescent="0.2">
      <c r="A996" s="2" t="s">
        <v>2984</v>
      </c>
      <c r="B996" s="2" t="s">
        <v>2985</v>
      </c>
      <c r="C996" s="2" t="s">
        <v>2986</v>
      </c>
      <c r="D996" s="2" t="s">
        <v>10041</v>
      </c>
      <c r="E996" s="15">
        <v>-6.6E-3</v>
      </c>
      <c r="F996" s="15">
        <v>8.5000000000000006E-2</v>
      </c>
      <c r="G996" s="15">
        <v>-2.2000000000000001E-3</v>
      </c>
      <c r="H996" s="15">
        <v>8.1000000000000003E-2</v>
      </c>
      <c r="I996" s="15">
        <v>0.48102369064325629</v>
      </c>
    </row>
    <row r="997" spans="1:9" x14ac:dyDescent="0.2">
      <c r="A997" s="2" t="s">
        <v>2987</v>
      </c>
      <c r="B997" s="2" t="s">
        <v>2988</v>
      </c>
      <c r="C997" s="2" t="s">
        <v>2989</v>
      </c>
      <c r="D997" s="2" t="s">
        <v>10041</v>
      </c>
      <c r="E997" s="15">
        <v>8.09E-2</v>
      </c>
      <c r="F997" s="15">
        <v>8.6900000000000005E-2</v>
      </c>
      <c r="G997" s="15">
        <v>8.3000000000000004E-2</v>
      </c>
      <c r="H997" s="15">
        <v>9.8100000000000007E-2</v>
      </c>
      <c r="I997" s="15">
        <v>0.49216424265595421</v>
      </c>
    </row>
    <row r="998" spans="1:9" x14ac:dyDescent="0.2">
      <c r="A998" s="2" t="s">
        <v>2990</v>
      </c>
      <c r="B998" s="2" t="s">
        <v>2991</v>
      </c>
      <c r="C998" s="2" t="s">
        <v>2992</v>
      </c>
      <c r="D998" s="2" t="s">
        <v>10041</v>
      </c>
      <c r="E998" s="15">
        <v>-9.2899999999999996E-2</v>
      </c>
      <c r="F998" s="15">
        <v>0.1132</v>
      </c>
      <c r="G998" s="15">
        <v>-4.9799999999999997E-2</v>
      </c>
      <c r="H998" s="15">
        <v>0.18340000000000001</v>
      </c>
      <c r="I998" s="15">
        <v>0.41121657992806732</v>
      </c>
    </row>
    <row r="999" spans="1:9" x14ac:dyDescent="0.2">
      <c r="A999" s="2" t="s">
        <v>2993</v>
      </c>
      <c r="B999" s="2" t="s">
        <v>2994</v>
      </c>
      <c r="C999" s="2" t="s">
        <v>2995</v>
      </c>
      <c r="D999" s="2" t="s">
        <v>10041</v>
      </c>
      <c r="E999" s="15">
        <v>2.87E-2</v>
      </c>
      <c r="F999" s="15">
        <v>8.6999999999999994E-2</v>
      </c>
      <c r="G999" s="15">
        <v>-0.12470000000000001</v>
      </c>
      <c r="H999" s="15">
        <v>0.1149</v>
      </c>
      <c r="I999" s="15">
        <v>0.11488624103707271</v>
      </c>
    </row>
    <row r="1000" spans="1:9" x14ac:dyDescent="0.2">
      <c r="A1000" s="2" t="s">
        <v>2996</v>
      </c>
      <c r="B1000" s="2" t="s">
        <v>2997</v>
      </c>
      <c r="C1000" s="2" t="s">
        <v>2998</v>
      </c>
      <c r="D1000" s="2" t="s">
        <v>10041</v>
      </c>
      <c r="E1000" s="15">
        <v>-1.41E-2</v>
      </c>
      <c r="F1000" s="15">
        <v>0.13250000000000001</v>
      </c>
      <c r="G1000" s="15">
        <v>4.3499999999999997E-2</v>
      </c>
      <c r="H1000" s="15">
        <v>7.8399999999999997E-2</v>
      </c>
      <c r="I1000" s="15">
        <v>0.27053945097248461</v>
      </c>
    </row>
    <row r="1001" spans="1:9" x14ac:dyDescent="0.2">
      <c r="A1001" s="2" t="s">
        <v>2999</v>
      </c>
      <c r="B1001" s="2" t="s">
        <v>3000</v>
      </c>
      <c r="C1001" s="2" t="s">
        <v>3001</v>
      </c>
      <c r="D1001" s="2" t="s">
        <v>10041</v>
      </c>
      <c r="E1001" s="15">
        <v>5.1999999999999998E-3</v>
      </c>
      <c r="F1001" s="15">
        <v>9.2399999999999996E-2</v>
      </c>
      <c r="G1001" s="15">
        <v>0.23619999999999999</v>
      </c>
      <c r="H1001" s="15">
        <v>9.1800000000000007E-2</v>
      </c>
      <c r="I1001" s="15">
        <v>1.4657589844166369E-2</v>
      </c>
    </row>
    <row r="1002" spans="1:9" x14ac:dyDescent="0.2">
      <c r="A1002" s="2" t="s">
        <v>3002</v>
      </c>
      <c r="B1002" s="2" t="s">
        <v>3003</v>
      </c>
      <c r="C1002" s="2" t="s">
        <v>3004</v>
      </c>
      <c r="D1002" s="2" t="s">
        <v>10041</v>
      </c>
      <c r="E1002" s="15">
        <v>0.1928</v>
      </c>
      <c r="F1002" s="15">
        <v>0.19139999999999999</v>
      </c>
      <c r="G1002" s="15">
        <v>-0.12670000000000001</v>
      </c>
      <c r="H1002" s="15">
        <v>0.19189999999999999</v>
      </c>
      <c r="I1002" s="15">
        <v>5.9142690622122518E-2</v>
      </c>
    </row>
    <row r="1003" spans="1:9" x14ac:dyDescent="0.2">
      <c r="A1003" s="2" t="s">
        <v>3005</v>
      </c>
      <c r="B1003" s="2" t="s">
        <v>3006</v>
      </c>
      <c r="C1003" s="2" t="s">
        <v>3007</v>
      </c>
      <c r="D1003" s="2" t="s">
        <v>10041</v>
      </c>
      <c r="E1003" s="15">
        <v>-0.1265</v>
      </c>
      <c r="F1003" s="15">
        <v>0.14380000000000001</v>
      </c>
      <c r="G1003" s="15">
        <v>-5.9999999999999995E-4</v>
      </c>
      <c r="H1003" s="15">
        <v>0.1115</v>
      </c>
      <c r="I1003" s="15">
        <v>0.1570030059925005</v>
      </c>
    </row>
    <row r="1004" spans="1:9" x14ac:dyDescent="0.2">
      <c r="A1004" s="2" t="s">
        <v>3008</v>
      </c>
      <c r="B1004" s="2" t="s">
        <v>3009</v>
      </c>
      <c r="C1004" s="2" t="s">
        <v>3010</v>
      </c>
      <c r="D1004" s="2" t="s">
        <v>10041</v>
      </c>
      <c r="E1004" s="15">
        <v>-1.3899999999999999E-2</v>
      </c>
      <c r="F1004" s="15">
        <v>8.2699999999999996E-2</v>
      </c>
      <c r="G1004" s="15">
        <v>-0.1002</v>
      </c>
      <c r="H1004" s="15">
        <v>9.11E-2</v>
      </c>
      <c r="I1004" s="15">
        <v>0.199508960648516</v>
      </c>
    </row>
    <row r="1005" spans="1:9" x14ac:dyDescent="0.2">
      <c r="A1005" s="2" t="s">
        <v>3011</v>
      </c>
      <c r="B1005" s="2" t="s">
        <v>3012</v>
      </c>
      <c r="C1005" s="2" t="s">
        <v>3013</v>
      </c>
      <c r="D1005" s="2" t="s">
        <v>10041</v>
      </c>
      <c r="E1005" s="15">
        <v>-7.8700000000000006E-2</v>
      </c>
      <c r="F1005" s="15">
        <v>0.1114</v>
      </c>
      <c r="G1005" s="15">
        <v>0.29149999999999998</v>
      </c>
      <c r="H1005" s="15">
        <v>0.20319999999999999</v>
      </c>
      <c r="I1005" s="15">
        <v>3.9399686985318462E-2</v>
      </c>
    </row>
    <row r="1006" spans="1:9" x14ac:dyDescent="0.2">
      <c r="A1006" s="2" t="s">
        <v>3014</v>
      </c>
      <c r="B1006" s="2" t="s">
        <v>3015</v>
      </c>
      <c r="C1006" s="2" t="s">
        <v>3016</v>
      </c>
      <c r="D1006" s="2" t="s">
        <v>10041</v>
      </c>
      <c r="E1006" s="15">
        <v>-0.18679999999999999</v>
      </c>
      <c r="F1006" s="15">
        <v>0.1226</v>
      </c>
      <c r="G1006" s="15">
        <v>-6.3299999999999995E-2</v>
      </c>
      <c r="H1006" s="15">
        <v>0.1055</v>
      </c>
      <c r="I1006" s="15">
        <v>0.1534615232771937</v>
      </c>
    </row>
    <row r="1007" spans="1:9" x14ac:dyDescent="0.2">
      <c r="A1007" s="2" t="s">
        <v>3017</v>
      </c>
      <c r="B1007" s="2" t="s">
        <v>3018</v>
      </c>
      <c r="C1007" s="2" t="s">
        <v>3019</v>
      </c>
      <c r="D1007" s="2" t="s">
        <v>10041</v>
      </c>
      <c r="E1007" s="15">
        <v>-2.8500000000000001E-2</v>
      </c>
      <c r="F1007" s="15">
        <v>8.5099999999999995E-2</v>
      </c>
      <c r="G1007" s="15">
        <v>3.9199999999999999E-2</v>
      </c>
      <c r="H1007" s="15">
        <v>9.8400000000000001E-2</v>
      </c>
      <c r="I1007" s="15">
        <v>0.27580896091394569</v>
      </c>
    </row>
    <row r="1008" spans="1:9" x14ac:dyDescent="0.2">
      <c r="A1008" s="2" t="s">
        <v>3020</v>
      </c>
      <c r="B1008" s="2" t="s">
        <v>3021</v>
      </c>
      <c r="C1008" s="2" t="s">
        <v>3022</v>
      </c>
      <c r="D1008" s="2" t="s">
        <v>10041</v>
      </c>
      <c r="E1008" s="15">
        <v>-0.1041</v>
      </c>
      <c r="F1008" s="15">
        <v>0.12770000000000001</v>
      </c>
    </row>
    <row r="1009" spans="1:9" x14ac:dyDescent="0.2">
      <c r="A1009" s="2" t="s">
        <v>3023</v>
      </c>
      <c r="B1009" s="2" t="s">
        <v>3024</v>
      </c>
      <c r="C1009" s="2" t="s">
        <v>3025</v>
      </c>
      <c r="D1009" s="2" t="s">
        <v>10041</v>
      </c>
      <c r="E1009" s="15">
        <v>-4.1999999999999997E-3</v>
      </c>
      <c r="F1009" s="15">
        <v>0.1132</v>
      </c>
      <c r="G1009" s="15">
        <v>9.6799999999999997E-2</v>
      </c>
      <c r="H1009" s="15">
        <v>9.9900000000000003E-2</v>
      </c>
      <c r="I1009" s="15">
        <v>0.189629607421929</v>
      </c>
    </row>
    <row r="1010" spans="1:9" x14ac:dyDescent="0.2">
      <c r="A1010" s="2" t="s">
        <v>3026</v>
      </c>
      <c r="B1010" s="2" t="s">
        <v>3027</v>
      </c>
      <c r="C1010" s="2" t="s">
        <v>3028</v>
      </c>
      <c r="D1010" s="2" t="s">
        <v>10041</v>
      </c>
      <c r="E1010" s="15">
        <v>-6.8900000000000003E-2</v>
      </c>
      <c r="F1010" s="15">
        <v>7.7200000000000005E-2</v>
      </c>
      <c r="G1010" s="15">
        <v>-3.04E-2</v>
      </c>
      <c r="H1010" s="15">
        <v>9.11E-2</v>
      </c>
      <c r="I1010" s="15">
        <v>0.35225603931082272</v>
      </c>
    </row>
    <row r="1011" spans="1:9" x14ac:dyDescent="0.2">
      <c r="A1011" s="2" t="s">
        <v>3029</v>
      </c>
      <c r="B1011" s="2" t="s">
        <v>3030</v>
      </c>
      <c r="C1011" s="2" t="s">
        <v>3031</v>
      </c>
      <c r="D1011" s="2" t="s">
        <v>10041</v>
      </c>
      <c r="E1011" s="15">
        <v>8.0999999999999996E-3</v>
      </c>
      <c r="F1011" s="15">
        <v>7.1099999999999997E-2</v>
      </c>
      <c r="G1011" s="15">
        <v>0.13020000000000001</v>
      </c>
      <c r="H1011" s="15">
        <v>7.2700000000000001E-2</v>
      </c>
      <c r="I1011" s="15">
        <v>6.8317578619116581E-2</v>
      </c>
    </row>
    <row r="1012" spans="1:9" x14ac:dyDescent="0.2">
      <c r="A1012" s="2" t="s">
        <v>3032</v>
      </c>
      <c r="B1012" s="2" t="s">
        <v>3033</v>
      </c>
      <c r="C1012" s="2" t="s">
        <v>3034</v>
      </c>
      <c r="D1012" s="2" t="s">
        <v>10041</v>
      </c>
      <c r="E1012" s="15">
        <v>1.24E-2</v>
      </c>
      <c r="F1012" s="15">
        <v>7.1499999999999994E-2</v>
      </c>
      <c r="G1012" s="15">
        <v>7.9399999999999998E-2</v>
      </c>
      <c r="H1012" s="15">
        <v>7.3099999999999998E-2</v>
      </c>
      <c r="I1012" s="15">
        <v>0.21108646193932851</v>
      </c>
    </row>
    <row r="1013" spans="1:9" x14ac:dyDescent="0.2">
      <c r="A1013" s="2" t="s">
        <v>3035</v>
      </c>
      <c r="B1013" s="2" t="s">
        <v>3036</v>
      </c>
      <c r="C1013" s="2" t="s">
        <v>3037</v>
      </c>
      <c r="D1013" s="2" t="s">
        <v>10041</v>
      </c>
      <c r="E1013" s="15">
        <v>7.4999999999999997E-3</v>
      </c>
      <c r="F1013" s="15">
        <v>9.4799999999999995E-2</v>
      </c>
      <c r="G1013" s="15">
        <v>-4.4699999999999997E-2</v>
      </c>
      <c r="H1013" s="15">
        <v>8.5599999999999996E-2</v>
      </c>
      <c r="I1013" s="15">
        <v>0.30225193964636898</v>
      </c>
    </row>
    <row r="1014" spans="1:9" x14ac:dyDescent="0.2">
      <c r="A1014" s="2" t="s">
        <v>3038</v>
      </c>
      <c r="B1014" s="2" t="s">
        <v>3039</v>
      </c>
      <c r="C1014" s="2" t="s">
        <v>3040</v>
      </c>
      <c r="D1014" s="2" t="s">
        <v>10041</v>
      </c>
      <c r="E1014" s="15">
        <v>-0.30380000000000001</v>
      </c>
      <c r="F1014" s="15">
        <v>0.11409999999999999</v>
      </c>
      <c r="G1014" s="15">
        <v>-0.2235</v>
      </c>
      <c r="H1014" s="15">
        <v>0.1527</v>
      </c>
      <c r="I1014" s="15">
        <v>0.30723645653724307</v>
      </c>
    </row>
    <row r="1015" spans="1:9" x14ac:dyDescent="0.2">
      <c r="A1015" s="2" t="s">
        <v>3041</v>
      </c>
      <c r="B1015" s="2" t="s">
        <v>3042</v>
      </c>
      <c r="C1015" s="2" t="s">
        <v>3043</v>
      </c>
      <c r="D1015" s="2" t="s">
        <v>10041</v>
      </c>
      <c r="E1015" s="15">
        <v>-5.5899999999999998E-2</v>
      </c>
      <c r="F1015" s="15">
        <v>9.2899999999999996E-2</v>
      </c>
      <c r="G1015" s="15">
        <v>-9.9099999999999994E-2</v>
      </c>
      <c r="H1015" s="15">
        <v>0.13780000000000001</v>
      </c>
      <c r="I1015" s="15">
        <v>0.38588402815564282</v>
      </c>
    </row>
    <row r="1016" spans="1:9" x14ac:dyDescent="0.2">
      <c r="A1016" s="2" t="s">
        <v>3044</v>
      </c>
      <c r="B1016" s="2" t="s">
        <v>3045</v>
      </c>
      <c r="C1016" s="2" t="s">
        <v>3046</v>
      </c>
      <c r="D1016" s="2" t="s">
        <v>10041</v>
      </c>
      <c r="E1016" s="15">
        <v>-0.19400000000000001</v>
      </c>
      <c r="F1016" s="15">
        <v>0.12039999999999999</v>
      </c>
      <c r="G1016" s="15">
        <v>0.17519999999999999</v>
      </c>
      <c r="H1016" s="15">
        <v>9.0899999999999995E-2</v>
      </c>
      <c r="I1016" s="15">
        <v>3.0278892652710841E-4</v>
      </c>
    </row>
    <row r="1017" spans="1:9" x14ac:dyDescent="0.2">
      <c r="A1017" s="2" t="s">
        <v>3047</v>
      </c>
      <c r="B1017" s="2" t="s">
        <v>3048</v>
      </c>
      <c r="C1017" s="2" t="s">
        <v>3049</v>
      </c>
      <c r="D1017" s="2" t="s">
        <v>10041</v>
      </c>
      <c r="E1017" s="15">
        <v>0.25719999999999998</v>
      </c>
      <c r="F1017" s="15">
        <v>0.12839999999999999</v>
      </c>
      <c r="G1017" s="15">
        <v>0.16020000000000001</v>
      </c>
      <c r="H1017" s="15">
        <v>0.2049</v>
      </c>
      <c r="I1017" s="15">
        <v>0.32852327312170432</v>
      </c>
    </row>
    <row r="1018" spans="1:9" x14ac:dyDescent="0.2">
      <c r="A1018" s="2" t="s">
        <v>3050</v>
      </c>
      <c r="B1018" s="2" t="s">
        <v>3051</v>
      </c>
      <c r="C1018" s="2" t="s">
        <v>3052</v>
      </c>
      <c r="D1018" s="2" t="s">
        <v>10041</v>
      </c>
      <c r="E1018" s="15">
        <v>-0.20780000000000001</v>
      </c>
      <c r="F1018" s="15">
        <v>8.9099999999999999E-2</v>
      </c>
      <c r="G1018" s="15">
        <v>-2.2200000000000001E-2</v>
      </c>
      <c r="H1018" s="15">
        <v>0.111</v>
      </c>
      <c r="I1018" s="15">
        <v>7.1485366142540044E-2</v>
      </c>
    </row>
    <row r="1019" spans="1:9" x14ac:dyDescent="0.2">
      <c r="A1019" s="2" t="s">
        <v>3053</v>
      </c>
      <c r="B1019" s="2" t="s">
        <v>3054</v>
      </c>
      <c r="C1019" s="2" t="s">
        <v>3055</v>
      </c>
      <c r="D1019" s="2" t="s">
        <v>10041</v>
      </c>
      <c r="E1019" s="15">
        <v>-0.17979999999999999</v>
      </c>
      <c r="F1019" s="15">
        <v>9.2700000000000005E-2</v>
      </c>
      <c r="G1019" s="15">
        <v>4.1000000000000002E-2</v>
      </c>
      <c r="H1019" s="15">
        <v>9.0200000000000002E-2</v>
      </c>
      <c r="I1019" s="15">
        <v>1.8308802445918482E-2</v>
      </c>
    </row>
    <row r="1020" spans="1:9" x14ac:dyDescent="0.2">
      <c r="A1020" s="2" t="s">
        <v>3056</v>
      </c>
      <c r="B1020" s="2" t="s">
        <v>3057</v>
      </c>
      <c r="C1020" s="2" t="s">
        <v>3058</v>
      </c>
      <c r="D1020" s="2" t="s">
        <v>10041</v>
      </c>
      <c r="E1020" s="15">
        <v>-0.23039999999999999</v>
      </c>
      <c r="F1020" s="15">
        <v>0.11070000000000001</v>
      </c>
      <c r="G1020" s="15">
        <v>-9.1000000000000004E-3</v>
      </c>
      <c r="H1020" s="15">
        <v>9.8799999999999999E-2</v>
      </c>
      <c r="I1020" s="15">
        <v>1.9851289462228739E-2</v>
      </c>
    </row>
    <row r="1021" spans="1:9" x14ac:dyDescent="0.2">
      <c r="A1021" s="2" t="s">
        <v>3059</v>
      </c>
      <c r="B1021" s="2" t="s">
        <v>3060</v>
      </c>
      <c r="C1021" s="2" t="s">
        <v>3061</v>
      </c>
      <c r="D1021" s="2" t="s">
        <v>10041</v>
      </c>
      <c r="E1021" s="15">
        <v>6.9500000000000006E-2</v>
      </c>
      <c r="F1021" s="15">
        <v>0.09</v>
      </c>
      <c r="G1021" s="15">
        <v>-6.2700000000000006E-2</v>
      </c>
      <c r="H1021" s="15">
        <v>8.2299999999999998E-2</v>
      </c>
      <c r="I1021" s="15">
        <v>8.8906782506206844E-2</v>
      </c>
    </row>
    <row r="1022" spans="1:9" x14ac:dyDescent="0.2">
      <c r="A1022" s="2" t="s">
        <v>3062</v>
      </c>
      <c r="B1022" s="2" t="s">
        <v>3063</v>
      </c>
      <c r="C1022" s="2" t="s">
        <v>3064</v>
      </c>
      <c r="D1022" s="2" t="s">
        <v>10042</v>
      </c>
      <c r="E1022" s="15">
        <v>0.21640000000000001</v>
      </c>
      <c r="F1022" s="15">
        <v>8.7099999999999997E-2</v>
      </c>
      <c r="G1022" s="15">
        <v>0.1444</v>
      </c>
      <c r="H1022" s="15">
        <v>8.3599999999999994E-2</v>
      </c>
      <c r="I1022" s="15">
        <v>0.22176527676650981</v>
      </c>
    </row>
    <row r="1023" spans="1:9" x14ac:dyDescent="0.2">
      <c r="A1023" s="2" t="s">
        <v>3065</v>
      </c>
      <c r="B1023" s="2" t="s">
        <v>3066</v>
      </c>
      <c r="C1023" s="2" t="s">
        <v>3067</v>
      </c>
      <c r="D1023" s="2" t="s">
        <v>10042</v>
      </c>
      <c r="E1023" s="15">
        <v>0.23419999999999999</v>
      </c>
      <c r="F1023" s="15">
        <v>0.13800000000000001</v>
      </c>
      <c r="G1023" s="15">
        <v>0.1875</v>
      </c>
      <c r="H1023" s="15">
        <v>0.1082</v>
      </c>
      <c r="I1023" s="15">
        <v>0.34910168914878598</v>
      </c>
    </row>
    <row r="1024" spans="1:9" x14ac:dyDescent="0.2">
      <c r="A1024" s="2" t="s">
        <v>3068</v>
      </c>
      <c r="B1024" s="2" t="s">
        <v>3069</v>
      </c>
      <c r="C1024" s="2" t="s">
        <v>3070</v>
      </c>
      <c r="D1024" s="2" t="s">
        <v>10042</v>
      </c>
      <c r="E1024" s="15">
        <v>-0.127</v>
      </c>
      <c r="F1024" s="15">
        <v>0.27529999999999999</v>
      </c>
      <c r="G1024" s="15">
        <v>0.18079999999999999</v>
      </c>
      <c r="H1024" s="15">
        <v>0.13800000000000001</v>
      </c>
      <c r="I1024" s="15">
        <v>1.9329790071957731E-2</v>
      </c>
    </row>
    <row r="1025" spans="1:9" x14ac:dyDescent="0.2">
      <c r="A1025" s="2" t="s">
        <v>3071</v>
      </c>
      <c r="B1025" s="2" t="s">
        <v>3072</v>
      </c>
      <c r="C1025" s="2" t="s">
        <v>3073</v>
      </c>
      <c r="D1025" s="2" t="s">
        <v>10042</v>
      </c>
      <c r="E1025" s="15">
        <v>0.22950000000000001</v>
      </c>
      <c r="F1025" s="15">
        <v>9.3799999999999994E-2</v>
      </c>
      <c r="G1025" s="15">
        <v>2.35E-2</v>
      </c>
      <c r="H1025" s="15">
        <v>8.8400000000000006E-2</v>
      </c>
      <c r="I1025" s="15">
        <v>1.9630963765955141E-2</v>
      </c>
    </row>
    <row r="1026" spans="1:9" x14ac:dyDescent="0.2">
      <c r="A1026" s="2" t="s">
        <v>3074</v>
      </c>
      <c r="B1026" s="2" t="s">
        <v>3075</v>
      </c>
      <c r="C1026" s="2" t="s">
        <v>3076</v>
      </c>
      <c r="D1026" s="2" t="s">
        <v>10042</v>
      </c>
      <c r="E1026" s="15">
        <v>0.13489999999999999</v>
      </c>
      <c r="F1026" s="15">
        <v>7.1400000000000005E-2</v>
      </c>
      <c r="G1026" s="15">
        <v>7.4899999999999994E-2</v>
      </c>
      <c r="H1026" s="15">
        <v>7.3300000000000004E-2</v>
      </c>
      <c r="I1026" s="15">
        <v>0.2407382937194141</v>
      </c>
    </row>
    <row r="1027" spans="1:9" x14ac:dyDescent="0.2">
      <c r="A1027" s="2" t="s">
        <v>3077</v>
      </c>
      <c r="B1027" s="2" t="s">
        <v>3078</v>
      </c>
      <c r="C1027" s="2" t="s">
        <v>3079</v>
      </c>
      <c r="D1027" s="2" t="s">
        <v>10042</v>
      </c>
      <c r="E1027" s="15">
        <v>0.30099999999999999</v>
      </c>
      <c r="F1027" s="15">
        <v>0.12820000000000001</v>
      </c>
      <c r="G1027" s="15">
        <v>0.1757</v>
      </c>
      <c r="H1027" s="15">
        <v>0.13969999999999999</v>
      </c>
      <c r="I1027" s="15">
        <v>0.20186492096884751</v>
      </c>
    </row>
    <row r="1028" spans="1:9" x14ac:dyDescent="0.2">
      <c r="A1028" s="2" t="s">
        <v>3080</v>
      </c>
      <c r="B1028" s="2" t="s">
        <v>3081</v>
      </c>
      <c r="C1028" s="2" t="s">
        <v>3082</v>
      </c>
      <c r="D1028" s="2" t="s">
        <v>10042</v>
      </c>
      <c r="E1028" s="15">
        <v>9.6600000000000005E-2</v>
      </c>
      <c r="F1028" s="15">
        <v>8.3900000000000002E-2</v>
      </c>
      <c r="G1028" s="15">
        <v>0.1595</v>
      </c>
      <c r="H1028" s="15">
        <v>8.43E-2</v>
      </c>
      <c r="I1028" s="15">
        <v>0.26446268626696451</v>
      </c>
    </row>
    <row r="1029" spans="1:9" x14ac:dyDescent="0.2">
      <c r="A1029" s="2" t="s">
        <v>3083</v>
      </c>
      <c r="B1029" s="2" t="s">
        <v>3084</v>
      </c>
      <c r="C1029" s="2" t="s">
        <v>3085</v>
      </c>
      <c r="D1029" s="2" t="s">
        <v>10042</v>
      </c>
      <c r="E1029" s="15">
        <v>0.25190000000000001</v>
      </c>
      <c r="F1029" s="15">
        <v>8.9499999999999996E-2</v>
      </c>
      <c r="G1029" s="15">
        <v>0.1105</v>
      </c>
      <c r="H1029" s="15">
        <v>8.7499999999999994E-2</v>
      </c>
      <c r="I1029" s="15">
        <v>7.5156901836019821E-2</v>
      </c>
    </row>
    <row r="1030" spans="1:9" x14ac:dyDescent="0.2">
      <c r="A1030" s="2" t="s">
        <v>3086</v>
      </c>
      <c r="B1030" s="2" t="s">
        <v>3087</v>
      </c>
      <c r="C1030" s="2" t="s">
        <v>3088</v>
      </c>
      <c r="D1030" s="2" t="s">
        <v>10042</v>
      </c>
      <c r="E1030" s="15">
        <v>0.1706</v>
      </c>
      <c r="F1030" s="15">
        <v>9.5799999999999996E-2</v>
      </c>
      <c r="G1030" s="15">
        <v>-8.3000000000000001E-3</v>
      </c>
      <c r="H1030" s="15">
        <v>9.3899999999999997E-2</v>
      </c>
      <c r="I1030" s="15">
        <v>4.9933713705758942E-2</v>
      </c>
    </row>
    <row r="1031" spans="1:9" x14ac:dyDescent="0.2">
      <c r="A1031" s="2" t="s">
        <v>3089</v>
      </c>
      <c r="B1031" s="2" t="s">
        <v>3090</v>
      </c>
      <c r="C1031" s="2" t="s">
        <v>3091</v>
      </c>
      <c r="D1031" s="2" t="s">
        <v>10042</v>
      </c>
      <c r="E1031" s="15">
        <v>4.53E-2</v>
      </c>
      <c r="F1031" s="15">
        <v>9.9599999999999994E-2</v>
      </c>
      <c r="G1031" s="15">
        <v>-4.41E-2</v>
      </c>
      <c r="H1031" s="15">
        <v>7.46E-2</v>
      </c>
      <c r="I1031" s="15">
        <v>0.15486835482826081</v>
      </c>
    </row>
    <row r="1032" spans="1:9" x14ac:dyDescent="0.2">
      <c r="A1032" s="2" t="s">
        <v>3092</v>
      </c>
      <c r="B1032" s="2" t="s">
        <v>3093</v>
      </c>
      <c r="C1032" s="2" t="s">
        <v>3094</v>
      </c>
      <c r="D1032" s="2" t="s">
        <v>10042</v>
      </c>
      <c r="E1032" s="15">
        <v>0.2041</v>
      </c>
      <c r="F1032" s="15">
        <v>8.3599999999999994E-2</v>
      </c>
      <c r="G1032" s="15">
        <v>0.1348</v>
      </c>
      <c r="H1032" s="15">
        <v>8.6300000000000002E-2</v>
      </c>
      <c r="I1032" s="15">
        <v>0.23574320527587941</v>
      </c>
    </row>
    <row r="1033" spans="1:9" x14ac:dyDescent="0.2">
      <c r="A1033" s="2" t="s">
        <v>3095</v>
      </c>
      <c r="B1033" s="2" t="s">
        <v>3096</v>
      </c>
      <c r="C1033" s="2" t="s">
        <v>3097</v>
      </c>
      <c r="D1033" s="2" t="s">
        <v>10042</v>
      </c>
      <c r="E1033" s="15">
        <v>0.2238</v>
      </c>
      <c r="F1033" s="15">
        <v>0.1056</v>
      </c>
      <c r="G1033" s="15">
        <v>-8.2000000000000007E-3</v>
      </c>
      <c r="H1033" s="15">
        <v>0.10580000000000001</v>
      </c>
      <c r="I1033" s="15">
        <v>2.6868372248419758E-2</v>
      </c>
    </row>
    <row r="1034" spans="1:9" x14ac:dyDescent="0.2">
      <c r="A1034" s="2" t="s">
        <v>3098</v>
      </c>
      <c r="B1034" s="2" t="s">
        <v>3099</v>
      </c>
      <c r="C1034" s="2" t="s">
        <v>3100</v>
      </c>
      <c r="D1034" s="2" t="s">
        <v>10042</v>
      </c>
      <c r="E1034" s="15">
        <v>-1.6000000000000001E-3</v>
      </c>
      <c r="F1034" s="15">
        <v>6.6900000000000001E-2</v>
      </c>
      <c r="G1034" s="15">
        <v>8.4500000000000006E-2</v>
      </c>
      <c r="H1034" s="15">
        <v>8.6199999999999999E-2</v>
      </c>
      <c r="I1034" s="15">
        <v>0.19307607307527611</v>
      </c>
    </row>
    <row r="1035" spans="1:9" x14ac:dyDescent="0.2">
      <c r="A1035" s="2" t="s">
        <v>3101</v>
      </c>
      <c r="B1035" s="2" t="s">
        <v>3102</v>
      </c>
      <c r="C1035" s="2" t="s">
        <v>3103</v>
      </c>
      <c r="D1035" s="2" t="s">
        <v>10042</v>
      </c>
      <c r="E1035" s="15">
        <v>0.126</v>
      </c>
      <c r="F1035" s="15">
        <v>9.0300000000000005E-2</v>
      </c>
      <c r="G1035" s="15">
        <v>8.7499999999999994E-2</v>
      </c>
      <c r="H1035" s="15">
        <v>0.15640000000000001</v>
      </c>
      <c r="I1035" s="15">
        <v>0.4092840127253663</v>
      </c>
    </row>
    <row r="1036" spans="1:9" x14ac:dyDescent="0.2">
      <c r="A1036" s="2" t="s">
        <v>3104</v>
      </c>
      <c r="B1036" s="2" t="s">
        <v>3105</v>
      </c>
      <c r="C1036" s="2" t="s">
        <v>3106</v>
      </c>
      <c r="D1036" s="2" t="s">
        <v>10042</v>
      </c>
      <c r="E1036" s="15">
        <v>0.2301</v>
      </c>
      <c r="F1036" s="15">
        <v>0.1128</v>
      </c>
      <c r="G1036" s="15">
        <v>0.1706</v>
      </c>
      <c r="H1036" s="15">
        <v>0.15029999999999999</v>
      </c>
      <c r="I1036" s="15">
        <v>0.35329049858987588</v>
      </c>
    </row>
    <row r="1037" spans="1:9" x14ac:dyDescent="0.2">
      <c r="A1037" s="2" t="s">
        <v>3107</v>
      </c>
      <c r="B1037" s="2" t="s">
        <v>3108</v>
      </c>
      <c r="C1037" s="2" t="s">
        <v>3109</v>
      </c>
      <c r="D1037" s="2" t="s">
        <v>10042</v>
      </c>
      <c r="E1037" s="15">
        <v>0.16170000000000001</v>
      </c>
      <c r="F1037" s="15">
        <v>7.4899999999999994E-2</v>
      </c>
      <c r="G1037" s="15">
        <v>7.6499999999999999E-2</v>
      </c>
      <c r="H1037" s="15">
        <v>8.0600000000000005E-2</v>
      </c>
      <c r="I1037" s="15">
        <v>0.18452120457953569</v>
      </c>
    </row>
    <row r="1038" spans="1:9" x14ac:dyDescent="0.2">
      <c r="A1038" s="2" t="s">
        <v>3110</v>
      </c>
      <c r="B1038" s="2" t="s">
        <v>3111</v>
      </c>
      <c r="C1038" s="2" t="s">
        <v>3112</v>
      </c>
      <c r="D1038" s="2" t="s">
        <v>10042</v>
      </c>
      <c r="E1038" s="15">
        <v>0.1164</v>
      </c>
      <c r="F1038" s="15">
        <v>8.3699999999999997E-2</v>
      </c>
      <c r="G1038" s="15">
        <v>3.8600000000000002E-2</v>
      </c>
      <c r="H1038" s="15">
        <v>8.6199999999999999E-2</v>
      </c>
      <c r="I1038" s="15">
        <v>0.20627196260447139</v>
      </c>
    </row>
    <row r="1039" spans="1:9" x14ac:dyDescent="0.2">
      <c r="A1039" s="2" t="s">
        <v>3113</v>
      </c>
      <c r="B1039" s="2" t="s">
        <v>3114</v>
      </c>
      <c r="C1039" s="2" t="s">
        <v>3115</v>
      </c>
      <c r="D1039" s="2" t="s">
        <v>10042</v>
      </c>
      <c r="E1039" s="15">
        <v>0.1043</v>
      </c>
      <c r="F1039" s="15">
        <v>9.1800000000000007E-2</v>
      </c>
      <c r="G1039" s="15">
        <v>0.15759999999999999</v>
      </c>
      <c r="H1039" s="15">
        <v>0.1076</v>
      </c>
      <c r="I1039" s="15">
        <v>0.32549704593374629</v>
      </c>
    </row>
    <row r="1040" spans="1:9" x14ac:dyDescent="0.2">
      <c r="A1040" s="2" t="s">
        <v>3116</v>
      </c>
      <c r="B1040" s="2" t="s">
        <v>3117</v>
      </c>
      <c r="C1040" s="2" t="s">
        <v>3118</v>
      </c>
      <c r="D1040" s="2" t="s">
        <v>10042</v>
      </c>
      <c r="E1040" s="15">
        <v>2.3800000000000002E-2</v>
      </c>
      <c r="F1040" s="15">
        <v>0.1038</v>
      </c>
      <c r="G1040" s="15">
        <v>-6.5299999999999997E-2</v>
      </c>
      <c r="H1040" s="15">
        <v>0.16880000000000001</v>
      </c>
      <c r="I1040" s="15">
        <v>0.31056998302163669</v>
      </c>
    </row>
    <row r="1041" spans="1:9" x14ac:dyDescent="0.2">
      <c r="A1041" s="2" t="s">
        <v>3119</v>
      </c>
      <c r="B1041" s="2" t="s">
        <v>3120</v>
      </c>
      <c r="C1041" s="2" t="s">
        <v>3121</v>
      </c>
      <c r="D1041" s="2" t="s">
        <v>10042</v>
      </c>
      <c r="E1041" s="15">
        <v>0.13589999999999999</v>
      </c>
      <c r="F1041" s="15">
        <v>0.10580000000000001</v>
      </c>
      <c r="G1041" s="15">
        <v>0.11749999999999999</v>
      </c>
      <c r="H1041" s="15">
        <v>0.1623</v>
      </c>
      <c r="I1041" s="15">
        <v>0.45685341081080932</v>
      </c>
    </row>
    <row r="1042" spans="1:9" x14ac:dyDescent="0.2">
      <c r="A1042" s="2" t="s">
        <v>3122</v>
      </c>
      <c r="B1042" s="2" t="s">
        <v>3123</v>
      </c>
      <c r="C1042" s="2" t="s">
        <v>3124</v>
      </c>
      <c r="D1042" s="2" t="s">
        <v>10042</v>
      </c>
      <c r="E1042" s="15">
        <v>0.15570000000000001</v>
      </c>
      <c r="F1042" s="15">
        <v>0.1067</v>
      </c>
      <c r="G1042" s="15">
        <v>9.3700000000000006E-2</v>
      </c>
      <c r="H1042" s="15">
        <v>8.1299999999999997E-2</v>
      </c>
      <c r="I1042" s="15">
        <v>0.25546163857159909</v>
      </c>
    </row>
    <row r="1043" spans="1:9" x14ac:dyDescent="0.2">
      <c r="A1043" s="2" t="s">
        <v>3125</v>
      </c>
      <c r="B1043" s="2" t="s">
        <v>3126</v>
      </c>
      <c r="C1043" s="2" t="s">
        <v>3127</v>
      </c>
      <c r="D1043" s="2" t="s">
        <v>10042</v>
      </c>
      <c r="E1043" s="15">
        <v>0.1057</v>
      </c>
      <c r="F1043" s="15">
        <v>8.1799999999999998E-2</v>
      </c>
      <c r="G1043" s="15">
        <v>0.23100000000000001</v>
      </c>
      <c r="H1043" s="15">
        <v>0.15670000000000001</v>
      </c>
      <c r="I1043" s="15">
        <v>0.22092503358991869</v>
      </c>
    </row>
    <row r="1044" spans="1:9" x14ac:dyDescent="0.2">
      <c r="A1044" s="2" t="s">
        <v>3128</v>
      </c>
      <c r="B1044" s="2" t="s">
        <v>3129</v>
      </c>
      <c r="C1044" s="2" t="s">
        <v>3130</v>
      </c>
      <c r="D1044" s="2" t="s">
        <v>10042</v>
      </c>
      <c r="E1044" s="15">
        <v>0.13600000000000001</v>
      </c>
      <c r="F1044" s="15">
        <v>9.1200000000000003E-2</v>
      </c>
      <c r="G1044" s="15">
        <v>0.14799999999999999</v>
      </c>
      <c r="H1044" s="15">
        <v>0.1229</v>
      </c>
      <c r="I1044" s="15">
        <v>0.46384634753634862</v>
      </c>
    </row>
    <row r="1045" spans="1:9" x14ac:dyDescent="0.2">
      <c r="A1045" s="2" t="s">
        <v>3131</v>
      </c>
      <c r="B1045" s="2" t="s">
        <v>3132</v>
      </c>
      <c r="C1045" s="2" t="s">
        <v>3133</v>
      </c>
      <c r="D1045" s="2" t="s">
        <v>10042</v>
      </c>
      <c r="E1045" s="15">
        <v>0.23050000000000001</v>
      </c>
      <c r="F1045" s="15">
        <v>9.4399999999999998E-2</v>
      </c>
      <c r="G1045" s="15">
        <v>4.4200000000000003E-2</v>
      </c>
      <c r="H1045" s="15">
        <v>8.0199999999999994E-2</v>
      </c>
      <c r="I1045" s="15">
        <v>1.9108998958613611E-2</v>
      </c>
    </row>
    <row r="1046" spans="1:9" x14ac:dyDescent="0.2">
      <c r="A1046" s="2" t="s">
        <v>3134</v>
      </c>
      <c r="B1046" s="2" t="s">
        <v>3135</v>
      </c>
      <c r="C1046" s="2" t="s">
        <v>3136</v>
      </c>
      <c r="D1046" s="2" t="s">
        <v>10042</v>
      </c>
      <c r="E1046" s="15">
        <v>0.20710000000000001</v>
      </c>
      <c r="F1046" s="15">
        <v>9.2299999999999993E-2</v>
      </c>
      <c r="G1046" s="15">
        <v>0.20269999999999999</v>
      </c>
      <c r="H1046" s="15">
        <v>9.1999999999999998E-2</v>
      </c>
      <c r="I1046" s="15">
        <v>0.48268446929434089</v>
      </c>
    </row>
    <row r="1047" spans="1:9" x14ac:dyDescent="0.2">
      <c r="A1047" s="2" t="s">
        <v>3137</v>
      </c>
      <c r="B1047" s="2" t="s">
        <v>3138</v>
      </c>
      <c r="C1047" s="2" t="s">
        <v>3139</v>
      </c>
      <c r="D1047" s="2" t="s">
        <v>10042</v>
      </c>
      <c r="E1047" s="15">
        <v>0.13600000000000001</v>
      </c>
      <c r="F1047" s="15">
        <v>0.104</v>
      </c>
      <c r="G1047" s="15">
        <v>0.1226</v>
      </c>
      <c r="H1047" s="15">
        <v>0.1019</v>
      </c>
      <c r="I1047" s="15">
        <v>0.45477411011188867</v>
      </c>
    </row>
    <row r="1048" spans="1:9" x14ac:dyDescent="0.2">
      <c r="A1048" s="2" t="s">
        <v>3140</v>
      </c>
      <c r="B1048" s="2" t="s">
        <v>3141</v>
      </c>
      <c r="C1048" s="2" t="s">
        <v>3142</v>
      </c>
      <c r="D1048" s="2" t="s">
        <v>10042</v>
      </c>
      <c r="E1048" s="15">
        <v>0.20630000000000001</v>
      </c>
      <c r="F1048" s="15">
        <v>8.6499999999999994E-2</v>
      </c>
      <c r="G1048" s="15">
        <v>0.1575</v>
      </c>
      <c r="H1048" s="15">
        <v>9.2799999999999994E-2</v>
      </c>
      <c r="I1048" s="15">
        <v>0.31862095689132258</v>
      </c>
    </row>
    <row r="1049" spans="1:9" x14ac:dyDescent="0.2">
      <c r="A1049" s="2" t="s">
        <v>3143</v>
      </c>
      <c r="B1049" s="2" t="s">
        <v>3144</v>
      </c>
      <c r="C1049" s="2" t="s">
        <v>3145</v>
      </c>
      <c r="D1049" s="2" t="s">
        <v>10042</v>
      </c>
      <c r="E1049" s="15">
        <v>0.2359</v>
      </c>
      <c r="F1049" s="15">
        <v>8.5199999999999998E-2</v>
      </c>
      <c r="G1049" s="15">
        <v>7.9299999999999995E-2</v>
      </c>
      <c r="H1049" s="15">
        <v>8.6699999999999999E-2</v>
      </c>
      <c r="I1049" s="15">
        <v>5.338019755386858E-2</v>
      </c>
    </row>
    <row r="1050" spans="1:9" x14ac:dyDescent="0.2">
      <c r="A1050" s="2" t="s">
        <v>3146</v>
      </c>
      <c r="B1050" s="2" t="s">
        <v>3147</v>
      </c>
      <c r="C1050" s="2" t="s">
        <v>3148</v>
      </c>
      <c r="D1050" s="2" t="s">
        <v>10042</v>
      </c>
      <c r="E1050" s="15">
        <v>0.1784</v>
      </c>
      <c r="F1050" s="15">
        <v>8.6300000000000002E-2</v>
      </c>
      <c r="G1050" s="15">
        <v>0.1925</v>
      </c>
      <c r="H1050" s="15">
        <v>7.5899999999999995E-2</v>
      </c>
      <c r="I1050" s="15">
        <v>0.43655708528827392</v>
      </c>
    </row>
    <row r="1051" spans="1:9" x14ac:dyDescent="0.2">
      <c r="A1051" s="2" t="s">
        <v>3149</v>
      </c>
      <c r="B1051" s="2" t="s">
        <v>3150</v>
      </c>
      <c r="C1051" s="2" t="s">
        <v>3151</v>
      </c>
      <c r="D1051" s="2" t="s">
        <v>10042</v>
      </c>
      <c r="E1051" s="15">
        <v>0.2319</v>
      </c>
      <c r="F1051" s="15">
        <v>9.06E-2</v>
      </c>
      <c r="G1051" s="15">
        <v>0.1295</v>
      </c>
      <c r="H1051" s="15">
        <v>8.5599999999999996E-2</v>
      </c>
      <c r="I1051" s="15">
        <v>0.1459991976051454</v>
      </c>
    </row>
    <row r="1052" spans="1:9" x14ac:dyDescent="0.2">
      <c r="A1052" s="2" t="s">
        <v>3152</v>
      </c>
      <c r="B1052" s="2" t="s">
        <v>3153</v>
      </c>
      <c r="C1052" s="2" t="s">
        <v>3154</v>
      </c>
      <c r="D1052" s="2" t="s">
        <v>10042</v>
      </c>
      <c r="E1052" s="15">
        <v>9.5799999999999996E-2</v>
      </c>
      <c r="F1052" s="15">
        <v>8.8099999999999998E-2</v>
      </c>
      <c r="G1052" s="15">
        <v>9.01E-2</v>
      </c>
      <c r="H1052" s="15">
        <v>7.2599999999999998E-2</v>
      </c>
      <c r="I1052" s="15">
        <v>0.4729250888534024</v>
      </c>
    </row>
    <row r="1053" spans="1:9" x14ac:dyDescent="0.2">
      <c r="A1053" s="2" t="s">
        <v>3155</v>
      </c>
      <c r="B1053" s="2" t="s">
        <v>3156</v>
      </c>
      <c r="C1053" s="2" t="s">
        <v>3157</v>
      </c>
      <c r="D1053" s="2" t="s">
        <v>10042</v>
      </c>
      <c r="E1053" s="15">
        <v>0.25559999999999999</v>
      </c>
      <c r="F1053" s="15">
        <v>0.1099</v>
      </c>
      <c r="G1053" s="15">
        <v>0.3478</v>
      </c>
      <c r="H1053" s="15">
        <v>0.53169999999999995</v>
      </c>
      <c r="I1053" s="15">
        <v>0.43169301796508919</v>
      </c>
    </row>
    <row r="1054" spans="1:9" x14ac:dyDescent="0.2">
      <c r="A1054" s="2" t="s">
        <v>3158</v>
      </c>
      <c r="B1054" s="2" t="s">
        <v>3159</v>
      </c>
      <c r="C1054" s="2" t="s">
        <v>3160</v>
      </c>
      <c r="D1054" s="2" t="s">
        <v>10042</v>
      </c>
      <c r="E1054" s="15">
        <v>3.6600000000000001E-2</v>
      </c>
      <c r="F1054" s="15">
        <v>9.6199999999999994E-2</v>
      </c>
      <c r="G1054" s="15">
        <v>7.7200000000000005E-2</v>
      </c>
      <c r="H1054" s="15">
        <v>8.5400000000000004E-2</v>
      </c>
      <c r="I1054" s="15">
        <v>0.33943027003622572</v>
      </c>
    </row>
    <row r="1055" spans="1:9" x14ac:dyDescent="0.2">
      <c r="A1055" s="2" t="s">
        <v>3161</v>
      </c>
      <c r="B1055" s="2" t="s">
        <v>3162</v>
      </c>
      <c r="C1055" s="2" t="s">
        <v>3163</v>
      </c>
      <c r="D1055" s="2" t="s">
        <v>10042</v>
      </c>
      <c r="E1055" s="15">
        <v>0.12130000000000001</v>
      </c>
      <c r="F1055" s="15">
        <v>0.09</v>
      </c>
      <c r="G1055" s="15">
        <v>0.1148</v>
      </c>
      <c r="H1055" s="15">
        <v>0.10680000000000001</v>
      </c>
      <c r="I1055" s="15">
        <v>0.47831010958606862</v>
      </c>
    </row>
    <row r="1056" spans="1:9" x14ac:dyDescent="0.2">
      <c r="A1056" s="2" t="s">
        <v>3164</v>
      </c>
      <c r="B1056" s="2" t="s">
        <v>3165</v>
      </c>
      <c r="C1056" s="2" t="s">
        <v>3166</v>
      </c>
      <c r="D1056" s="2" t="s">
        <v>10042</v>
      </c>
      <c r="E1056" s="15">
        <v>0.21110000000000001</v>
      </c>
      <c r="F1056" s="15">
        <v>7.6200000000000004E-2</v>
      </c>
      <c r="G1056" s="15">
        <v>0.16059999999999999</v>
      </c>
      <c r="H1056" s="15">
        <v>8.0500000000000002E-2</v>
      </c>
      <c r="I1056" s="15">
        <v>0.29109792609992602</v>
      </c>
    </row>
    <row r="1057" spans="1:9" x14ac:dyDescent="0.2">
      <c r="A1057" s="2" t="s">
        <v>3167</v>
      </c>
      <c r="B1057" s="2" t="s">
        <v>3168</v>
      </c>
      <c r="C1057" s="2" t="s">
        <v>3169</v>
      </c>
      <c r="D1057" s="2" t="s">
        <v>10042</v>
      </c>
      <c r="E1057" s="15">
        <v>4.2599999999999999E-2</v>
      </c>
      <c r="F1057" s="15">
        <v>8.2299999999999998E-2</v>
      </c>
      <c r="G1057" s="15">
        <v>6.4899999999999999E-2</v>
      </c>
      <c r="H1057" s="15">
        <v>0.1232</v>
      </c>
      <c r="I1057" s="15">
        <v>0.43353285312110362</v>
      </c>
    </row>
    <row r="1058" spans="1:9" x14ac:dyDescent="0.2">
      <c r="A1058" s="2" t="s">
        <v>3170</v>
      </c>
      <c r="B1058" s="2" t="s">
        <v>3171</v>
      </c>
      <c r="C1058" s="2" t="s">
        <v>3172</v>
      </c>
      <c r="D1058" s="2" t="s">
        <v>10042</v>
      </c>
      <c r="E1058" s="15">
        <v>-5.3499999999999999E-2</v>
      </c>
      <c r="F1058" s="15">
        <v>0.1168</v>
      </c>
      <c r="G1058" s="15">
        <v>0.28970000000000001</v>
      </c>
      <c r="H1058" s="15">
        <v>0.13619999999999999</v>
      </c>
      <c r="I1058" s="15">
        <v>9.9371230687209499E-3</v>
      </c>
    </row>
    <row r="1059" spans="1:9" x14ac:dyDescent="0.2">
      <c r="A1059" s="2" t="s">
        <v>3173</v>
      </c>
      <c r="B1059" s="2" t="s">
        <v>3174</v>
      </c>
      <c r="C1059" s="2" t="s">
        <v>3175</v>
      </c>
      <c r="D1059" s="2" t="s">
        <v>10042</v>
      </c>
      <c r="E1059" s="15">
        <v>0.22559999999999999</v>
      </c>
      <c r="F1059" s="15">
        <v>8.1100000000000005E-2</v>
      </c>
      <c r="G1059" s="15">
        <v>2.0199999999999999E-2</v>
      </c>
      <c r="H1059" s="15">
        <v>9.2700000000000005E-2</v>
      </c>
      <c r="I1059" s="15">
        <v>2.4307948221350701E-2</v>
      </c>
    </row>
    <row r="1060" spans="1:9" x14ac:dyDescent="0.2">
      <c r="A1060" s="2" t="s">
        <v>3176</v>
      </c>
      <c r="B1060" s="2" t="s">
        <v>3177</v>
      </c>
      <c r="C1060" s="2" t="s">
        <v>3178</v>
      </c>
      <c r="D1060" s="2" t="s">
        <v>10042</v>
      </c>
      <c r="E1060" s="15">
        <v>0.11990000000000001</v>
      </c>
      <c r="F1060" s="15">
        <v>7.22E-2</v>
      </c>
      <c r="G1060" s="15">
        <v>8.9300000000000004E-2</v>
      </c>
      <c r="H1060" s="15">
        <v>0.10199999999999999</v>
      </c>
      <c r="I1060" s="15">
        <v>0.39267093509982759</v>
      </c>
    </row>
    <row r="1061" spans="1:9" x14ac:dyDescent="0.2">
      <c r="A1061" s="2" t="s">
        <v>3179</v>
      </c>
      <c r="B1061" s="2" t="s">
        <v>3180</v>
      </c>
      <c r="C1061" s="2" t="s">
        <v>3181</v>
      </c>
      <c r="D1061" s="2" t="s">
        <v>10042</v>
      </c>
      <c r="E1061" s="15">
        <v>0.47149999999999997</v>
      </c>
      <c r="F1061" s="15">
        <v>0.61839999999999995</v>
      </c>
      <c r="G1061" s="15">
        <v>0.1182</v>
      </c>
      <c r="H1061" s="15">
        <v>0.1087</v>
      </c>
      <c r="I1061" s="15">
        <v>3.0447315240070992E-3</v>
      </c>
    </row>
    <row r="1062" spans="1:9" x14ac:dyDescent="0.2">
      <c r="A1062" s="2" t="s">
        <v>3182</v>
      </c>
      <c r="B1062" s="2" t="s">
        <v>3183</v>
      </c>
      <c r="C1062" s="2" t="s">
        <v>3184</v>
      </c>
      <c r="D1062" s="2" t="s">
        <v>10042</v>
      </c>
      <c r="E1062" s="15">
        <v>0.14949999999999999</v>
      </c>
      <c r="F1062" s="15">
        <v>8.1299999999999997E-2</v>
      </c>
      <c r="G1062" s="15">
        <v>0.13769999999999999</v>
      </c>
      <c r="H1062" s="15">
        <v>8.8499999999999995E-2</v>
      </c>
      <c r="I1062" s="15">
        <v>0.45394781598899281</v>
      </c>
    </row>
    <row r="1063" spans="1:9" x14ac:dyDescent="0.2">
      <c r="A1063" s="2" t="s">
        <v>3185</v>
      </c>
      <c r="B1063" s="2" t="s">
        <v>3186</v>
      </c>
      <c r="C1063" s="2" t="s">
        <v>3187</v>
      </c>
      <c r="D1063" s="2" t="s">
        <v>10042</v>
      </c>
      <c r="E1063" s="15">
        <v>0.18079999999999999</v>
      </c>
      <c r="F1063" s="15">
        <v>7.2099999999999997E-2</v>
      </c>
      <c r="G1063" s="15">
        <v>0.13900000000000001</v>
      </c>
      <c r="H1063" s="15">
        <v>7.5800000000000006E-2</v>
      </c>
      <c r="I1063" s="15">
        <v>0.3144898656475672</v>
      </c>
    </row>
    <row r="1064" spans="1:9" x14ac:dyDescent="0.2">
      <c r="A1064" s="2" t="s">
        <v>3188</v>
      </c>
      <c r="B1064" s="2" t="s">
        <v>3189</v>
      </c>
      <c r="C1064" s="2" t="s">
        <v>3190</v>
      </c>
      <c r="D1064" s="2" t="s">
        <v>10042</v>
      </c>
      <c r="E1064" s="15">
        <v>0.23599999999999999</v>
      </c>
      <c r="F1064" s="15">
        <v>0.11409999999999999</v>
      </c>
      <c r="G1064" s="15">
        <v>0.1741</v>
      </c>
      <c r="H1064" s="15">
        <v>9.9099999999999994E-2</v>
      </c>
      <c r="I1064" s="15">
        <v>0.29041182131005572</v>
      </c>
    </row>
    <row r="1065" spans="1:9" x14ac:dyDescent="0.2">
      <c r="A1065" s="2" t="s">
        <v>3191</v>
      </c>
      <c r="B1065" s="2" t="s">
        <v>3192</v>
      </c>
      <c r="C1065" s="2" t="s">
        <v>3193</v>
      </c>
      <c r="D1065" s="2" t="s">
        <v>10042</v>
      </c>
      <c r="E1065" s="15">
        <v>1.2E-2</v>
      </c>
      <c r="F1065" s="15">
        <v>7.0499999999999993E-2</v>
      </c>
      <c r="G1065" s="15">
        <v>-4.7000000000000002E-3</v>
      </c>
      <c r="H1065" s="15">
        <v>9.9199999999999997E-2</v>
      </c>
      <c r="I1065" s="15">
        <v>0.43864595386044009</v>
      </c>
    </row>
    <row r="1066" spans="1:9" x14ac:dyDescent="0.2">
      <c r="A1066" s="2" t="s">
        <v>3194</v>
      </c>
      <c r="B1066" s="2" t="s">
        <v>3195</v>
      </c>
      <c r="C1066" s="2" t="s">
        <v>3196</v>
      </c>
      <c r="D1066" s="2" t="s">
        <v>10042</v>
      </c>
      <c r="E1066" s="15">
        <v>0.28489999999999999</v>
      </c>
      <c r="F1066" s="15">
        <v>8.2100000000000006E-2</v>
      </c>
      <c r="G1066" s="15">
        <v>0.15570000000000001</v>
      </c>
      <c r="H1066" s="15">
        <v>8.5999999999999993E-2</v>
      </c>
      <c r="I1066" s="15">
        <v>8.7436520075755558E-2</v>
      </c>
    </row>
    <row r="1067" spans="1:9" x14ac:dyDescent="0.2">
      <c r="A1067" s="2" t="s">
        <v>3197</v>
      </c>
      <c r="B1067" s="2" t="s">
        <v>3198</v>
      </c>
      <c r="C1067" s="2" t="s">
        <v>3199</v>
      </c>
      <c r="D1067" s="2" t="s">
        <v>10042</v>
      </c>
      <c r="E1067" s="15">
        <v>0.12970000000000001</v>
      </c>
      <c r="F1067" s="15">
        <v>7.8600000000000003E-2</v>
      </c>
      <c r="G1067" s="15">
        <v>-5.8700000000000002E-2</v>
      </c>
      <c r="H1067" s="15">
        <v>0.109</v>
      </c>
      <c r="I1067" s="15">
        <v>6.6957402852511491E-2</v>
      </c>
    </row>
    <row r="1068" spans="1:9" x14ac:dyDescent="0.2">
      <c r="A1068" s="2" t="s">
        <v>3200</v>
      </c>
      <c r="B1068" s="2" t="s">
        <v>3201</v>
      </c>
      <c r="C1068" s="2" t="s">
        <v>3202</v>
      </c>
      <c r="D1068" s="2" t="s">
        <v>10042</v>
      </c>
      <c r="E1068" s="15">
        <v>3.8899999999999997E-2</v>
      </c>
      <c r="F1068" s="15">
        <v>6.8000000000000005E-2</v>
      </c>
      <c r="G1068" s="15">
        <v>0.14230000000000001</v>
      </c>
      <c r="H1068" s="15">
        <v>9.3100000000000002E-2</v>
      </c>
      <c r="I1068" s="15">
        <v>0.16104555505553891</v>
      </c>
    </row>
    <row r="1069" spans="1:9" x14ac:dyDescent="0.2">
      <c r="A1069" s="2" t="s">
        <v>3203</v>
      </c>
      <c r="B1069" s="2" t="s">
        <v>3204</v>
      </c>
      <c r="C1069" s="2" t="s">
        <v>3205</v>
      </c>
      <c r="D1069" s="2" t="s">
        <v>10042</v>
      </c>
      <c r="E1069" s="15">
        <v>2.3800000000000002E-2</v>
      </c>
      <c r="F1069" s="15">
        <v>0.1014</v>
      </c>
      <c r="G1069" s="15">
        <v>-6.6699999999999995E-2</v>
      </c>
      <c r="H1069" s="15">
        <v>0.1328</v>
      </c>
      <c r="I1069" s="15">
        <v>0.2684543206060333</v>
      </c>
    </row>
    <row r="1070" spans="1:9" x14ac:dyDescent="0.2">
      <c r="A1070" s="2" t="s">
        <v>3206</v>
      </c>
      <c r="B1070" s="2" t="s">
        <v>3207</v>
      </c>
      <c r="C1070" s="2" t="s">
        <v>3208</v>
      </c>
      <c r="D1070" s="2" t="s">
        <v>10042</v>
      </c>
      <c r="E1070" s="15">
        <v>0.20860000000000001</v>
      </c>
      <c r="F1070" s="15">
        <v>9.06E-2</v>
      </c>
      <c r="G1070" s="15">
        <v>0.2944</v>
      </c>
      <c r="H1070" s="15">
        <v>0.11260000000000001</v>
      </c>
      <c r="I1070" s="15">
        <v>0.24387893324498541</v>
      </c>
    </row>
    <row r="1071" spans="1:9" x14ac:dyDescent="0.2">
      <c r="A1071" s="2" t="s">
        <v>3209</v>
      </c>
      <c r="B1071" s="2" t="s">
        <v>3210</v>
      </c>
      <c r="C1071" s="2" t="s">
        <v>3211</v>
      </c>
      <c r="D1071" s="2" t="s">
        <v>10042</v>
      </c>
      <c r="E1071" s="15">
        <v>6.5199999999999994E-2</v>
      </c>
      <c r="F1071" s="15">
        <v>8.5400000000000004E-2</v>
      </c>
      <c r="G1071" s="15">
        <v>0.12139999999999999</v>
      </c>
      <c r="H1071" s="15">
        <v>9.7500000000000003E-2</v>
      </c>
      <c r="I1071" s="15">
        <v>0.3060501376569208</v>
      </c>
    </row>
    <row r="1072" spans="1:9" x14ac:dyDescent="0.2">
      <c r="A1072" s="2" t="s">
        <v>3212</v>
      </c>
      <c r="B1072" s="2" t="s">
        <v>3213</v>
      </c>
      <c r="C1072" s="2" t="s">
        <v>3214</v>
      </c>
      <c r="D1072" s="2" t="s">
        <v>10042</v>
      </c>
      <c r="E1072" s="15">
        <v>0.152</v>
      </c>
      <c r="F1072" s="15">
        <v>8.4400000000000003E-2</v>
      </c>
      <c r="G1072" s="15">
        <v>7.0900000000000005E-2</v>
      </c>
      <c r="H1072" s="15">
        <v>7.46E-2</v>
      </c>
      <c r="I1072" s="15">
        <v>0.16954859763622959</v>
      </c>
    </row>
    <row r="1073" spans="1:9" x14ac:dyDescent="0.2">
      <c r="A1073" s="2" t="s">
        <v>3215</v>
      </c>
      <c r="B1073" s="2" t="s">
        <v>3216</v>
      </c>
      <c r="C1073" s="2" t="s">
        <v>3217</v>
      </c>
      <c r="D1073" s="2" t="s">
        <v>10042</v>
      </c>
      <c r="E1073" s="15">
        <v>0.1769</v>
      </c>
      <c r="F1073" s="15">
        <v>9.3899999999999997E-2</v>
      </c>
      <c r="G1073" s="15">
        <v>-2.3199999999999998E-2</v>
      </c>
      <c r="H1073" s="15">
        <v>0.1166</v>
      </c>
      <c r="I1073" s="15">
        <v>6.1692777390816862E-2</v>
      </c>
    </row>
    <row r="1074" spans="1:9" x14ac:dyDescent="0.2">
      <c r="A1074" s="2" t="s">
        <v>3218</v>
      </c>
      <c r="B1074" s="2" t="s">
        <v>3219</v>
      </c>
      <c r="C1074" s="2" t="s">
        <v>3220</v>
      </c>
      <c r="D1074" s="2" t="s">
        <v>10042</v>
      </c>
      <c r="E1074" s="15">
        <v>8.0100000000000005E-2</v>
      </c>
      <c r="F1074" s="15">
        <v>0.1129</v>
      </c>
      <c r="G1074" s="15">
        <v>0.36030000000000001</v>
      </c>
      <c r="H1074" s="15">
        <v>0.19919999999999999</v>
      </c>
      <c r="I1074" s="15">
        <v>8.9561854680936623E-2</v>
      </c>
    </row>
    <row r="1075" spans="1:9" x14ac:dyDescent="0.2">
      <c r="A1075" s="2" t="s">
        <v>3221</v>
      </c>
      <c r="B1075" s="2" t="s">
        <v>3222</v>
      </c>
      <c r="C1075" s="2" t="s">
        <v>3223</v>
      </c>
      <c r="D1075" s="2" t="s">
        <v>10042</v>
      </c>
      <c r="E1075" s="15">
        <v>0.1105</v>
      </c>
      <c r="F1075" s="15">
        <v>9.8100000000000007E-2</v>
      </c>
      <c r="G1075" s="15">
        <v>1.47E-2</v>
      </c>
      <c r="H1075" s="15">
        <v>8.7400000000000005E-2</v>
      </c>
      <c r="I1075" s="15">
        <v>0.1729771427148416</v>
      </c>
    </row>
    <row r="1076" spans="1:9" x14ac:dyDescent="0.2">
      <c r="A1076" s="2" t="s">
        <v>3224</v>
      </c>
      <c r="B1076" s="2" t="s">
        <v>3225</v>
      </c>
      <c r="C1076" s="2" t="s">
        <v>3226</v>
      </c>
      <c r="D1076" s="2" t="s">
        <v>10042</v>
      </c>
      <c r="E1076" s="15">
        <v>0.1346</v>
      </c>
      <c r="F1076" s="15">
        <v>8.7300000000000003E-2</v>
      </c>
      <c r="G1076" s="15">
        <v>5.0900000000000001E-2</v>
      </c>
      <c r="H1076" s="15">
        <v>0.1018</v>
      </c>
      <c r="I1076" s="15">
        <v>0.23390630358658901</v>
      </c>
    </row>
    <row r="1077" spans="1:9" x14ac:dyDescent="0.2">
      <c r="A1077" s="2" t="s">
        <v>3227</v>
      </c>
      <c r="B1077" s="2" t="s">
        <v>3228</v>
      </c>
      <c r="C1077" s="2" t="s">
        <v>3229</v>
      </c>
      <c r="D1077" s="2" t="s">
        <v>10042</v>
      </c>
      <c r="E1077" s="15">
        <v>8.7900000000000006E-2</v>
      </c>
      <c r="F1077" s="15">
        <v>8.5000000000000006E-2</v>
      </c>
      <c r="G1077" s="15">
        <v>0.25140000000000001</v>
      </c>
      <c r="H1077" s="15">
        <v>0.10780000000000001</v>
      </c>
      <c r="I1077" s="15">
        <v>8.3234816288283137E-2</v>
      </c>
    </row>
    <row r="1078" spans="1:9" x14ac:dyDescent="0.2">
      <c r="A1078" s="2" t="s">
        <v>3230</v>
      </c>
      <c r="B1078" s="2" t="s">
        <v>3231</v>
      </c>
      <c r="C1078" s="2" t="s">
        <v>3232</v>
      </c>
      <c r="D1078" s="2" t="s">
        <v>10042</v>
      </c>
      <c r="E1078" s="15">
        <v>0.10630000000000001</v>
      </c>
      <c r="F1078" s="15">
        <v>7.5499999999999998E-2</v>
      </c>
      <c r="G1078" s="15">
        <v>0.13669999999999999</v>
      </c>
      <c r="H1078" s="15">
        <v>0.10249999999999999</v>
      </c>
      <c r="I1078" s="15">
        <v>0.39331685795783028</v>
      </c>
    </row>
    <row r="1079" spans="1:9" x14ac:dyDescent="0.2">
      <c r="A1079" s="2" t="s">
        <v>3233</v>
      </c>
      <c r="B1079" s="2" t="s">
        <v>3234</v>
      </c>
      <c r="C1079" s="2" t="s">
        <v>3235</v>
      </c>
      <c r="D1079" s="2" t="s">
        <v>10042</v>
      </c>
      <c r="E1079" s="15">
        <v>0.18870000000000001</v>
      </c>
      <c r="F1079" s="15">
        <v>9.7500000000000003E-2</v>
      </c>
      <c r="G1079" s="15">
        <v>1.9199999999999998E-2</v>
      </c>
      <c r="H1079" s="15">
        <v>8.1600000000000006E-2</v>
      </c>
      <c r="I1079" s="15">
        <v>3.2180030174979758E-2</v>
      </c>
    </row>
    <row r="1080" spans="1:9" x14ac:dyDescent="0.2">
      <c r="A1080" s="2" t="s">
        <v>3236</v>
      </c>
      <c r="B1080" s="2" t="s">
        <v>3237</v>
      </c>
      <c r="C1080" s="2" t="s">
        <v>3238</v>
      </c>
      <c r="D1080" s="2" t="s">
        <v>10042</v>
      </c>
      <c r="E1080" s="15">
        <v>0.30220000000000002</v>
      </c>
      <c r="F1080" s="15">
        <v>9.4799999999999995E-2</v>
      </c>
      <c r="G1080" s="15">
        <v>0.1178</v>
      </c>
      <c r="H1080" s="15">
        <v>7.3800000000000004E-2</v>
      </c>
      <c r="I1080" s="15">
        <v>1.5677343320981859E-2</v>
      </c>
    </row>
    <row r="1081" spans="1:9" x14ac:dyDescent="0.2">
      <c r="A1081" s="2" t="s">
        <v>3239</v>
      </c>
      <c r="B1081" s="2" t="s">
        <v>3240</v>
      </c>
      <c r="C1081" s="2" t="s">
        <v>3241</v>
      </c>
      <c r="D1081" s="2" t="s">
        <v>10042</v>
      </c>
      <c r="E1081" s="15">
        <v>8.2900000000000001E-2</v>
      </c>
      <c r="F1081" s="15">
        <v>8.2900000000000001E-2</v>
      </c>
      <c r="G1081" s="15">
        <v>0.27710000000000001</v>
      </c>
      <c r="H1081" s="15">
        <v>0.20269999999999999</v>
      </c>
      <c r="I1081" s="15">
        <v>0.1824315152366722</v>
      </c>
    </row>
    <row r="1082" spans="1:9" x14ac:dyDescent="0.2">
      <c r="A1082" s="2" t="s">
        <v>3242</v>
      </c>
      <c r="B1082" s="2" t="s">
        <v>3243</v>
      </c>
      <c r="C1082" s="2" t="s">
        <v>3244</v>
      </c>
      <c r="D1082" s="2" t="s">
        <v>10042</v>
      </c>
      <c r="E1082" s="15">
        <v>0.1779</v>
      </c>
      <c r="F1082" s="15">
        <v>8.14E-2</v>
      </c>
      <c r="G1082" s="15">
        <v>0.14169999999999999</v>
      </c>
      <c r="H1082" s="15">
        <v>0.1066</v>
      </c>
      <c r="I1082" s="15">
        <v>0.37866463648502452</v>
      </c>
    </row>
    <row r="1083" spans="1:9" x14ac:dyDescent="0.2">
      <c r="A1083" s="2" t="s">
        <v>3245</v>
      </c>
      <c r="B1083" s="2" t="s">
        <v>3246</v>
      </c>
      <c r="C1083" s="2" t="s">
        <v>3247</v>
      </c>
      <c r="D1083" s="2" t="s">
        <v>10042</v>
      </c>
      <c r="E1083" s="15">
        <v>0.21820000000000001</v>
      </c>
      <c r="F1083" s="15">
        <v>7.7600000000000002E-2</v>
      </c>
      <c r="G1083" s="15">
        <v>0.1326</v>
      </c>
      <c r="H1083" s="15">
        <v>8.77E-2</v>
      </c>
      <c r="I1083" s="15">
        <v>0.19203705506085489</v>
      </c>
    </row>
    <row r="1084" spans="1:9" x14ac:dyDescent="0.2">
      <c r="A1084" s="2" t="s">
        <v>3248</v>
      </c>
      <c r="B1084" s="2" t="s">
        <v>3249</v>
      </c>
      <c r="C1084" s="2" t="s">
        <v>3250</v>
      </c>
      <c r="D1084" s="2" t="s">
        <v>10042</v>
      </c>
      <c r="E1084" s="15">
        <v>0.2142</v>
      </c>
      <c r="F1084" s="15">
        <v>8.8099999999999998E-2</v>
      </c>
      <c r="G1084" s="15">
        <v>0.1336</v>
      </c>
      <c r="H1084" s="15">
        <v>9.6799999999999997E-2</v>
      </c>
      <c r="I1084" s="15">
        <v>0.22849401239697201</v>
      </c>
    </row>
    <row r="1085" spans="1:9" x14ac:dyDescent="0.2">
      <c r="A1085" s="2" t="s">
        <v>3251</v>
      </c>
      <c r="B1085" s="2" t="s">
        <v>3252</v>
      </c>
      <c r="C1085" s="2" t="s">
        <v>3253</v>
      </c>
      <c r="D1085" s="2" t="s">
        <v>10042</v>
      </c>
      <c r="E1085" s="15">
        <v>0.14460000000000001</v>
      </c>
      <c r="F1085" s="15">
        <v>7.17E-2</v>
      </c>
      <c r="G1085" s="15">
        <v>0.18959999999999999</v>
      </c>
      <c r="H1085" s="15">
        <v>7.5600000000000001E-2</v>
      </c>
      <c r="I1085" s="15">
        <v>0.30839666639912922</v>
      </c>
    </row>
    <row r="1086" spans="1:9" x14ac:dyDescent="0.2">
      <c r="A1086" s="2" t="s">
        <v>3254</v>
      </c>
      <c r="B1086" s="2" t="s">
        <v>3255</v>
      </c>
      <c r="C1086" s="2" t="s">
        <v>3256</v>
      </c>
      <c r="D1086" s="2" t="s">
        <v>10042</v>
      </c>
      <c r="E1086" s="15">
        <v>9.06E-2</v>
      </c>
      <c r="F1086" s="15">
        <v>7.8200000000000006E-2</v>
      </c>
      <c r="G1086" s="15">
        <v>0.16769999999999999</v>
      </c>
      <c r="H1086" s="15">
        <v>7.5899999999999995E-2</v>
      </c>
      <c r="I1086" s="15">
        <v>0.1933352888067251</v>
      </c>
    </row>
    <row r="1087" spans="1:9" x14ac:dyDescent="0.2">
      <c r="A1087" s="2" t="s">
        <v>3257</v>
      </c>
      <c r="B1087" s="2" t="s">
        <v>3258</v>
      </c>
      <c r="C1087" s="2" t="s">
        <v>3259</v>
      </c>
      <c r="D1087" s="2" t="s">
        <v>10042</v>
      </c>
      <c r="E1087" s="15">
        <v>0.45490000000000003</v>
      </c>
      <c r="F1087" s="15">
        <v>0.5746</v>
      </c>
      <c r="G1087" s="15">
        <v>0.15229999999999999</v>
      </c>
      <c r="H1087" s="15">
        <v>0.48509999999999998</v>
      </c>
      <c r="I1087" s="15">
        <v>0.26848145485764902</v>
      </c>
    </row>
    <row r="1088" spans="1:9" x14ac:dyDescent="0.2">
      <c r="A1088" s="2" t="s">
        <v>3260</v>
      </c>
      <c r="B1088" s="2" t="s">
        <v>3261</v>
      </c>
      <c r="C1088" s="2" t="s">
        <v>3262</v>
      </c>
      <c r="D1088" s="2" t="s">
        <v>10042</v>
      </c>
      <c r="E1088" s="15">
        <v>0.13900000000000001</v>
      </c>
      <c r="F1088" s="15">
        <v>8.6900000000000005E-2</v>
      </c>
      <c r="G1088" s="15">
        <v>5.3600000000000002E-2</v>
      </c>
      <c r="H1088" s="15">
        <v>8.2299999999999998E-2</v>
      </c>
      <c r="I1088" s="15">
        <v>0.19241402819297129</v>
      </c>
    </row>
    <row r="1089" spans="1:9" x14ac:dyDescent="0.2">
      <c r="A1089" s="2" t="s">
        <v>3263</v>
      </c>
      <c r="B1089" s="2" t="s">
        <v>3264</v>
      </c>
      <c r="C1089" s="2" t="s">
        <v>3265</v>
      </c>
      <c r="D1089" s="2" t="s">
        <v>10042</v>
      </c>
      <c r="E1089" s="15">
        <v>0.1416</v>
      </c>
      <c r="F1089" s="15">
        <v>7.3400000000000007E-2</v>
      </c>
      <c r="G1089" s="15">
        <v>0.2006</v>
      </c>
      <c r="H1089" s="15">
        <v>9.3100000000000002E-2</v>
      </c>
      <c r="I1089" s="15">
        <v>0.29222046295588872</v>
      </c>
    </row>
    <row r="1090" spans="1:9" x14ac:dyDescent="0.2">
      <c r="A1090" s="2" t="s">
        <v>3266</v>
      </c>
      <c r="B1090" s="2" t="s">
        <v>3267</v>
      </c>
      <c r="C1090" s="2" t="s">
        <v>3268</v>
      </c>
      <c r="D1090" s="2" t="s">
        <v>10042</v>
      </c>
      <c r="E1090" s="15">
        <v>7.5700000000000003E-2</v>
      </c>
      <c r="F1090" s="15">
        <v>8.3900000000000002E-2</v>
      </c>
      <c r="G1090" s="15">
        <v>0.14990000000000001</v>
      </c>
      <c r="H1090" s="15">
        <v>0.1265</v>
      </c>
      <c r="I1090" s="15">
        <v>0.2903509733687385</v>
      </c>
    </row>
    <row r="1091" spans="1:9" x14ac:dyDescent="0.2">
      <c r="A1091" s="2" t="s">
        <v>3269</v>
      </c>
      <c r="B1091" s="2" t="s">
        <v>3270</v>
      </c>
      <c r="C1091" s="2" t="s">
        <v>3271</v>
      </c>
      <c r="D1091" s="2" t="s">
        <v>10042</v>
      </c>
      <c r="E1091" s="15">
        <v>0.1215</v>
      </c>
      <c r="F1091" s="15">
        <v>8.8200000000000001E-2</v>
      </c>
      <c r="G1091" s="15">
        <v>0.2137</v>
      </c>
      <c r="H1091" s="15">
        <v>0.111</v>
      </c>
      <c r="I1091" s="15">
        <v>0.22381323008222559</v>
      </c>
    </row>
    <row r="1092" spans="1:9" x14ac:dyDescent="0.2">
      <c r="A1092" s="2" t="s">
        <v>3272</v>
      </c>
      <c r="B1092" s="2" t="s">
        <v>3273</v>
      </c>
      <c r="C1092" s="2" t="s">
        <v>3274</v>
      </c>
      <c r="D1092" s="2" t="s">
        <v>10042</v>
      </c>
      <c r="E1092" s="15">
        <v>7.0499999999999993E-2</v>
      </c>
      <c r="F1092" s="15">
        <v>8.0699999999999994E-2</v>
      </c>
      <c r="G1092" s="15">
        <v>-2.0000000000000001E-4</v>
      </c>
      <c r="H1092" s="15">
        <v>0.08</v>
      </c>
      <c r="I1092" s="15">
        <v>0.22229321267848981</v>
      </c>
    </row>
    <row r="1093" spans="1:9" x14ac:dyDescent="0.2">
      <c r="A1093" s="2" t="s">
        <v>3275</v>
      </c>
      <c r="B1093" s="2" t="s">
        <v>3276</v>
      </c>
      <c r="C1093" s="2" t="s">
        <v>3277</v>
      </c>
      <c r="D1093" s="2" t="s">
        <v>10042</v>
      </c>
      <c r="E1093" s="15">
        <v>4.6399999999999997E-2</v>
      </c>
      <c r="F1093" s="15">
        <v>8.7499999999999994E-2</v>
      </c>
      <c r="G1093" s="15">
        <v>0.13089999999999999</v>
      </c>
      <c r="H1093" s="15">
        <v>0.1288</v>
      </c>
      <c r="I1093" s="15">
        <v>0.26824193246101757</v>
      </c>
    </row>
    <row r="1094" spans="1:9" x14ac:dyDescent="0.2">
      <c r="A1094" s="2" t="s">
        <v>3278</v>
      </c>
      <c r="B1094" s="2" t="s">
        <v>3279</v>
      </c>
      <c r="C1094" s="2" t="s">
        <v>3280</v>
      </c>
      <c r="D1094" s="2" t="s">
        <v>10042</v>
      </c>
      <c r="E1094" s="15">
        <v>0.128</v>
      </c>
      <c r="F1094" s="15">
        <v>0.1004</v>
      </c>
      <c r="G1094" s="15">
        <v>-2.6599999999999999E-2</v>
      </c>
      <c r="H1094" s="15">
        <v>7.5300000000000006E-2</v>
      </c>
      <c r="I1094" s="15">
        <v>3.4143603190926013E-2</v>
      </c>
    </row>
    <row r="1095" spans="1:9" x14ac:dyDescent="0.2">
      <c r="A1095" s="2" t="s">
        <v>3281</v>
      </c>
      <c r="B1095" s="2" t="s">
        <v>3282</v>
      </c>
      <c r="C1095" s="2" t="s">
        <v>3283</v>
      </c>
      <c r="D1095" s="2" t="s">
        <v>10042</v>
      </c>
      <c r="E1095" s="15">
        <v>0.18740000000000001</v>
      </c>
      <c r="F1095" s="15">
        <v>0.10589999999999999</v>
      </c>
      <c r="G1095" s="15">
        <v>8.4699999999999998E-2</v>
      </c>
      <c r="H1095" s="15">
        <v>0.08</v>
      </c>
      <c r="I1095" s="15">
        <v>0.13020222633968229</v>
      </c>
    </row>
    <row r="1096" spans="1:9" x14ac:dyDescent="0.2">
      <c r="A1096" s="2" t="s">
        <v>3284</v>
      </c>
      <c r="B1096" s="2" t="s">
        <v>3285</v>
      </c>
      <c r="C1096" s="2" t="s">
        <v>3286</v>
      </c>
      <c r="D1096" s="2" t="s">
        <v>10042</v>
      </c>
      <c r="E1096" s="15">
        <v>0.23180000000000001</v>
      </c>
      <c r="F1096" s="15">
        <v>9.7600000000000006E-2</v>
      </c>
      <c r="G1096" s="15">
        <v>3.39E-2</v>
      </c>
      <c r="H1096" s="15">
        <v>7.7499999999999999E-2</v>
      </c>
      <c r="I1096" s="15">
        <v>1.226585424295679E-2</v>
      </c>
    </row>
    <row r="1097" spans="1:9" x14ac:dyDescent="0.2">
      <c r="A1097" s="2" t="s">
        <v>3287</v>
      </c>
      <c r="B1097" s="2" t="s">
        <v>3288</v>
      </c>
      <c r="C1097" s="2" t="s">
        <v>3289</v>
      </c>
      <c r="D1097" s="2" t="s">
        <v>10042</v>
      </c>
      <c r="E1097" s="15">
        <v>0.1623</v>
      </c>
      <c r="F1097" s="15">
        <v>9.4299999999999995E-2</v>
      </c>
      <c r="G1097" s="15">
        <v>0.1411</v>
      </c>
      <c r="H1097" s="15">
        <v>0.1159</v>
      </c>
      <c r="I1097" s="15">
        <v>0.432879467107187</v>
      </c>
    </row>
    <row r="1098" spans="1:9" x14ac:dyDescent="0.2">
      <c r="A1098" s="2" t="s">
        <v>3290</v>
      </c>
      <c r="B1098" s="2" t="s">
        <v>3291</v>
      </c>
      <c r="C1098" s="2" t="s">
        <v>3292</v>
      </c>
      <c r="D1098" s="2" t="s">
        <v>10042</v>
      </c>
      <c r="E1098" s="15">
        <v>0.13639999999999999</v>
      </c>
      <c r="F1098" s="15">
        <v>9.8500000000000004E-2</v>
      </c>
      <c r="G1098" s="15">
        <v>0.19400000000000001</v>
      </c>
      <c r="H1098" s="15">
        <v>0.1066</v>
      </c>
      <c r="I1098" s="15">
        <v>0.31260088615261972</v>
      </c>
    </row>
    <row r="1099" spans="1:9" x14ac:dyDescent="0.2">
      <c r="A1099" s="2" t="s">
        <v>3293</v>
      </c>
      <c r="B1099" s="2" t="s">
        <v>3294</v>
      </c>
      <c r="C1099" s="2" t="s">
        <v>3295</v>
      </c>
      <c r="D1099" s="2" t="s">
        <v>10042</v>
      </c>
      <c r="E1099" s="15">
        <v>0.1449</v>
      </c>
      <c r="F1099" s="15">
        <v>8.9899999999999994E-2</v>
      </c>
      <c r="G1099" s="15">
        <v>0.11459999999999999</v>
      </c>
      <c r="H1099" s="15">
        <v>8.7800000000000003E-2</v>
      </c>
      <c r="I1099" s="15">
        <v>0.38140711023219659</v>
      </c>
    </row>
    <row r="1100" spans="1:9" x14ac:dyDescent="0.2">
      <c r="A1100" s="2" t="s">
        <v>3296</v>
      </c>
      <c r="B1100" s="2" t="s">
        <v>3297</v>
      </c>
      <c r="C1100" s="2" t="s">
        <v>3298</v>
      </c>
      <c r="D1100" s="2" t="s">
        <v>10042</v>
      </c>
      <c r="E1100" s="15">
        <v>9.0399999999999994E-2</v>
      </c>
      <c r="F1100" s="15">
        <v>7.1900000000000006E-2</v>
      </c>
      <c r="G1100" s="15">
        <v>6.5699999999999995E-2</v>
      </c>
      <c r="H1100" s="15">
        <v>7.1099999999999997E-2</v>
      </c>
      <c r="I1100" s="15">
        <v>0.3841257537676348</v>
      </c>
    </row>
    <row r="1101" spans="1:9" x14ac:dyDescent="0.2">
      <c r="A1101" s="2" t="s">
        <v>3299</v>
      </c>
      <c r="B1101" s="2" t="s">
        <v>3300</v>
      </c>
      <c r="C1101" s="2" t="s">
        <v>3301</v>
      </c>
      <c r="D1101" s="2" t="s">
        <v>10042</v>
      </c>
      <c r="E1101" s="15">
        <v>0.1946</v>
      </c>
      <c r="F1101" s="15">
        <v>8.8700000000000001E-2</v>
      </c>
      <c r="G1101" s="15">
        <v>0.16389999999999999</v>
      </c>
      <c r="H1101" s="15">
        <v>0.1021</v>
      </c>
      <c r="I1101" s="15">
        <v>0.39490755675265599</v>
      </c>
    </row>
    <row r="1102" spans="1:9" x14ac:dyDescent="0.2">
      <c r="A1102" s="2" t="s">
        <v>3302</v>
      </c>
      <c r="B1102" s="2" t="s">
        <v>3303</v>
      </c>
      <c r="C1102" s="2" t="s">
        <v>3304</v>
      </c>
      <c r="D1102" s="2" t="s">
        <v>10042</v>
      </c>
      <c r="E1102" s="15">
        <v>0.28589999999999999</v>
      </c>
      <c r="F1102" s="15">
        <v>0.1212</v>
      </c>
      <c r="G1102" s="15">
        <v>0.25969999999999999</v>
      </c>
      <c r="H1102" s="15">
        <v>0.16830000000000001</v>
      </c>
      <c r="I1102" s="15">
        <v>0.44260500262503533</v>
      </c>
    </row>
    <row r="1103" spans="1:9" x14ac:dyDescent="0.2">
      <c r="A1103" s="2" t="s">
        <v>3305</v>
      </c>
      <c r="B1103" s="2" t="s">
        <v>3306</v>
      </c>
      <c r="C1103" s="2" t="s">
        <v>3307</v>
      </c>
      <c r="D1103" s="2" t="s">
        <v>10042</v>
      </c>
      <c r="E1103" s="15">
        <v>0.2056</v>
      </c>
      <c r="F1103" s="15">
        <v>0.1057</v>
      </c>
      <c r="G1103" s="15">
        <v>1.0500000000000001E-2</v>
      </c>
      <c r="H1103" s="15">
        <v>0.1032</v>
      </c>
      <c r="I1103" s="15">
        <v>5.0304708016294442E-2</v>
      </c>
    </row>
    <row r="1104" spans="1:9" x14ac:dyDescent="0.2">
      <c r="A1104" s="2" t="s">
        <v>3308</v>
      </c>
      <c r="B1104" s="2" t="s">
        <v>3309</v>
      </c>
      <c r="C1104" s="2" t="s">
        <v>3310</v>
      </c>
      <c r="D1104" s="2" t="s">
        <v>10042</v>
      </c>
      <c r="E1104" s="15">
        <v>0.20050000000000001</v>
      </c>
      <c r="F1104" s="15">
        <v>9.5000000000000001E-2</v>
      </c>
      <c r="G1104" s="15">
        <v>0.26440000000000002</v>
      </c>
      <c r="H1104" s="15">
        <v>0.13500000000000001</v>
      </c>
      <c r="I1104" s="15">
        <v>0.32872436298114988</v>
      </c>
    </row>
    <row r="1105" spans="1:9" x14ac:dyDescent="0.2">
      <c r="A1105" s="2" t="s">
        <v>3311</v>
      </c>
      <c r="B1105" s="2" t="s">
        <v>3312</v>
      </c>
      <c r="C1105" s="2" t="s">
        <v>3313</v>
      </c>
      <c r="D1105" s="2" t="s">
        <v>10042</v>
      </c>
      <c r="E1105" s="15">
        <v>7.7799999999999994E-2</v>
      </c>
      <c r="F1105" s="15">
        <v>9.0700000000000003E-2</v>
      </c>
      <c r="G1105" s="15">
        <v>0.20039999999999999</v>
      </c>
      <c r="H1105" s="15">
        <v>0.10639999999999999</v>
      </c>
      <c r="I1105" s="15">
        <v>0.14992164446349429</v>
      </c>
    </row>
    <row r="1106" spans="1:9" x14ac:dyDescent="0.2">
      <c r="A1106" s="2" t="s">
        <v>3314</v>
      </c>
      <c r="B1106" s="2" t="s">
        <v>3315</v>
      </c>
      <c r="C1106" s="2" t="s">
        <v>3316</v>
      </c>
      <c r="D1106" s="2" t="s">
        <v>10042</v>
      </c>
      <c r="E1106" s="15">
        <v>2.6599999999999999E-2</v>
      </c>
      <c r="F1106" s="15">
        <v>8.4199999999999997E-2</v>
      </c>
      <c r="G1106" s="15">
        <v>0.14660000000000001</v>
      </c>
      <c r="H1106" s="15">
        <v>9.69E-2</v>
      </c>
      <c r="I1106" s="15">
        <v>0.13687352841746511</v>
      </c>
    </row>
    <row r="1107" spans="1:9" x14ac:dyDescent="0.2">
      <c r="A1107" s="2" t="s">
        <v>3317</v>
      </c>
      <c r="B1107" s="2" t="s">
        <v>3318</v>
      </c>
      <c r="C1107" s="2" t="s">
        <v>3319</v>
      </c>
      <c r="D1107" s="2" t="s">
        <v>10042</v>
      </c>
      <c r="E1107" s="15">
        <v>8.5599999999999996E-2</v>
      </c>
      <c r="F1107" s="15">
        <v>0.1129</v>
      </c>
      <c r="G1107" s="15">
        <v>0.29220000000000002</v>
      </c>
      <c r="H1107" s="15">
        <v>0.13059999999999999</v>
      </c>
      <c r="I1107" s="15">
        <v>7.4063570829668163E-2</v>
      </c>
    </row>
    <row r="1108" spans="1:9" x14ac:dyDescent="0.2">
      <c r="A1108" s="2" t="s">
        <v>3320</v>
      </c>
      <c r="B1108" s="2" t="s">
        <v>3321</v>
      </c>
      <c r="C1108" s="2" t="s">
        <v>3322</v>
      </c>
      <c r="D1108" s="2" t="s">
        <v>10042</v>
      </c>
      <c r="E1108" s="15">
        <v>0.153</v>
      </c>
      <c r="F1108" s="15">
        <v>9.3600000000000003E-2</v>
      </c>
      <c r="G1108" s="15">
        <v>4.0000000000000002E-4</v>
      </c>
      <c r="H1108" s="15">
        <v>7.8600000000000003E-2</v>
      </c>
      <c r="I1108" s="15">
        <v>4.3500255375895289E-2</v>
      </c>
    </row>
    <row r="1109" spans="1:9" x14ac:dyDescent="0.2">
      <c r="A1109" s="2" t="s">
        <v>3323</v>
      </c>
      <c r="B1109" s="2" t="s">
        <v>3324</v>
      </c>
      <c r="C1109" s="2" t="s">
        <v>3325</v>
      </c>
      <c r="D1109" s="2" t="s">
        <v>10042</v>
      </c>
      <c r="E1109" s="15">
        <v>9.2399999999999996E-2</v>
      </c>
      <c r="F1109" s="15">
        <v>0.09</v>
      </c>
      <c r="G1109" s="15">
        <v>7.3200000000000001E-2</v>
      </c>
      <c r="H1109" s="15">
        <v>9.74E-2</v>
      </c>
      <c r="I1109" s="15">
        <v>0.4282051357658348</v>
      </c>
    </row>
    <row r="1110" spans="1:9" x14ac:dyDescent="0.2">
      <c r="A1110" s="2" t="s">
        <v>3326</v>
      </c>
      <c r="B1110" s="2" t="s">
        <v>3327</v>
      </c>
      <c r="C1110" s="2" t="s">
        <v>3328</v>
      </c>
      <c r="D1110" s="2" t="s">
        <v>10042</v>
      </c>
      <c r="E1110" s="15">
        <v>0.2344</v>
      </c>
      <c r="F1110" s="15">
        <v>8.9499999999999996E-2</v>
      </c>
      <c r="G1110" s="15">
        <v>6.6E-3</v>
      </c>
      <c r="H1110" s="15">
        <v>8.3599999999999994E-2</v>
      </c>
      <c r="I1110" s="15">
        <v>7.4005997033240309E-3</v>
      </c>
    </row>
    <row r="1111" spans="1:9" x14ac:dyDescent="0.2">
      <c r="A1111" s="2" t="s">
        <v>3329</v>
      </c>
      <c r="B1111" s="2" t="s">
        <v>3330</v>
      </c>
      <c r="C1111" s="2" t="s">
        <v>3331</v>
      </c>
      <c r="D1111" s="2" t="s">
        <v>10042</v>
      </c>
      <c r="E1111" s="15">
        <v>0.16039999999999999</v>
      </c>
      <c r="F1111" s="15">
        <v>8.43E-2</v>
      </c>
      <c r="G1111" s="15">
        <v>-1.9699999999999999E-2</v>
      </c>
      <c r="H1111" s="15">
        <v>9.1300000000000006E-2</v>
      </c>
      <c r="I1111" s="15">
        <v>4.3033746782458818E-2</v>
      </c>
    </row>
    <row r="1112" spans="1:9" x14ac:dyDescent="0.2">
      <c r="A1112" s="2" t="s">
        <v>3332</v>
      </c>
      <c r="B1112" s="2" t="s">
        <v>3333</v>
      </c>
      <c r="C1112" s="2" t="s">
        <v>3334</v>
      </c>
      <c r="D1112" s="2" t="s">
        <v>10042</v>
      </c>
      <c r="E1112" s="15">
        <v>0.11890000000000001</v>
      </c>
      <c r="F1112" s="15">
        <v>8.4900000000000003E-2</v>
      </c>
      <c r="G1112" s="15">
        <v>0.1062</v>
      </c>
      <c r="H1112" s="15">
        <v>9.2399999999999996E-2</v>
      </c>
      <c r="I1112" s="15">
        <v>0.45217514346036902</v>
      </c>
    </row>
    <row r="1113" spans="1:9" x14ac:dyDescent="0.2">
      <c r="A1113" s="2" t="s">
        <v>3335</v>
      </c>
      <c r="B1113" s="2" t="s">
        <v>3336</v>
      </c>
      <c r="C1113" s="2" t="s">
        <v>3337</v>
      </c>
      <c r="D1113" s="2" t="s">
        <v>10042</v>
      </c>
      <c r="E1113" s="15">
        <v>0.1724</v>
      </c>
      <c r="F1113" s="15">
        <v>8.9399999999999993E-2</v>
      </c>
      <c r="G1113" s="15">
        <v>0.1113</v>
      </c>
      <c r="H1113" s="15">
        <v>0.10970000000000001</v>
      </c>
      <c r="I1113" s="15">
        <v>0.30851212991690102</v>
      </c>
    </row>
    <row r="1114" spans="1:9" x14ac:dyDescent="0.2">
      <c r="A1114" s="2" t="s">
        <v>3338</v>
      </c>
      <c r="B1114" s="2" t="s">
        <v>3339</v>
      </c>
      <c r="C1114" s="2" t="s">
        <v>3340</v>
      </c>
      <c r="D1114" s="2" t="s">
        <v>10042</v>
      </c>
      <c r="E1114" s="15">
        <v>0.1555</v>
      </c>
      <c r="F1114" s="15">
        <v>6.8099999999999994E-2</v>
      </c>
      <c r="G1114" s="15">
        <v>0.1575</v>
      </c>
      <c r="H1114" s="15">
        <v>8.9099999999999999E-2</v>
      </c>
      <c r="I1114" s="15">
        <v>0.49184485224420632</v>
      </c>
    </row>
    <row r="1115" spans="1:9" x14ac:dyDescent="0.2">
      <c r="A1115" s="2" t="s">
        <v>3341</v>
      </c>
      <c r="B1115" s="2" t="s">
        <v>3342</v>
      </c>
      <c r="C1115" s="2" t="s">
        <v>3343</v>
      </c>
      <c r="D1115" s="2" t="s">
        <v>10042</v>
      </c>
      <c r="E1115" s="15">
        <v>0.24890000000000001</v>
      </c>
      <c r="F1115" s="15">
        <v>0.1014</v>
      </c>
      <c r="G1115" s="15">
        <v>0.1338</v>
      </c>
      <c r="H1115" s="15">
        <v>8.6199999999999999E-2</v>
      </c>
      <c r="I1115" s="15">
        <v>0.1241594028115891</v>
      </c>
    </row>
    <row r="1116" spans="1:9" x14ac:dyDescent="0.2">
      <c r="A1116" s="2" t="s">
        <v>3344</v>
      </c>
      <c r="B1116" s="2" t="s">
        <v>3345</v>
      </c>
      <c r="C1116" s="2" t="s">
        <v>3346</v>
      </c>
      <c r="D1116" s="2" t="s">
        <v>10042</v>
      </c>
      <c r="E1116" s="15">
        <v>0.21940000000000001</v>
      </c>
      <c r="F1116" s="15">
        <v>0.16470000000000001</v>
      </c>
      <c r="G1116" s="15">
        <v>0.13469999999999999</v>
      </c>
      <c r="H1116" s="15">
        <v>0.13370000000000001</v>
      </c>
      <c r="I1116" s="15">
        <v>0.28832179727246637</v>
      </c>
    </row>
    <row r="1117" spans="1:9" x14ac:dyDescent="0.2">
      <c r="A1117" s="2" t="s">
        <v>3347</v>
      </c>
      <c r="B1117" s="2" t="s">
        <v>3348</v>
      </c>
      <c r="C1117" s="2" t="s">
        <v>3349</v>
      </c>
      <c r="D1117" s="2" t="s">
        <v>10042</v>
      </c>
      <c r="E1117" s="15">
        <v>0.22109999999999999</v>
      </c>
      <c r="F1117" s="15">
        <v>0.1124</v>
      </c>
      <c r="G1117" s="15">
        <v>0.18859999999999999</v>
      </c>
      <c r="H1117" s="15">
        <v>0.11890000000000001</v>
      </c>
      <c r="I1117" s="15">
        <v>0.40512864822248401</v>
      </c>
    </row>
    <row r="1118" spans="1:9" x14ac:dyDescent="0.2">
      <c r="A1118" s="2" t="s">
        <v>3350</v>
      </c>
      <c r="B1118" s="2" t="s">
        <v>3351</v>
      </c>
      <c r="C1118" s="2" t="s">
        <v>3352</v>
      </c>
      <c r="D1118" s="2" t="s">
        <v>10042</v>
      </c>
      <c r="E1118" s="15">
        <v>5.8400000000000001E-2</v>
      </c>
      <c r="F1118" s="15">
        <v>0.18129999999999999</v>
      </c>
      <c r="G1118" s="15">
        <v>0.14760000000000001</v>
      </c>
      <c r="H1118" s="15">
        <v>0.16270000000000001</v>
      </c>
      <c r="I1118" s="15">
        <v>0.3019869852750533</v>
      </c>
    </row>
    <row r="1119" spans="1:9" x14ac:dyDescent="0.2">
      <c r="A1119" s="2" t="s">
        <v>3353</v>
      </c>
      <c r="B1119" s="2" t="s">
        <v>3354</v>
      </c>
      <c r="C1119" s="2" t="s">
        <v>3355</v>
      </c>
      <c r="D1119" s="2" t="s">
        <v>10042</v>
      </c>
      <c r="E1119" s="15">
        <v>0.23649999999999999</v>
      </c>
      <c r="F1119" s="15">
        <v>9.5500000000000002E-2</v>
      </c>
      <c r="G1119" s="15">
        <v>2.87E-2</v>
      </c>
      <c r="H1119" s="15">
        <v>8.6900000000000005E-2</v>
      </c>
      <c r="I1119" s="15">
        <v>1.7498912223608349E-2</v>
      </c>
    </row>
    <row r="1120" spans="1:9" x14ac:dyDescent="0.2">
      <c r="A1120" s="2" t="s">
        <v>3356</v>
      </c>
      <c r="B1120" s="2" t="s">
        <v>3357</v>
      </c>
      <c r="C1120" s="2" t="s">
        <v>3358</v>
      </c>
      <c r="D1120" s="2" t="s">
        <v>10042</v>
      </c>
      <c r="E1120" s="15">
        <v>0.1328</v>
      </c>
      <c r="F1120" s="15">
        <v>7.4899999999999994E-2</v>
      </c>
      <c r="G1120" s="15">
        <v>0.1221</v>
      </c>
      <c r="H1120" s="15">
        <v>7.7200000000000005E-2</v>
      </c>
      <c r="I1120" s="15">
        <v>0.45191760142203002</v>
      </c>
    </row>
    <row r="1121" spans="1:9" x14ac:dyDescent="0.2">
      <c r="A1121" s="2" t="s">
        <v>3359</v>
      </c>
      <c r="B1121" s="2" t="s">
        <v>3360</v>
      </c>
      <c r="C1121" s="2" t="s">
        <v>3361</v>
      </c>
      <c r="D1121" s="2" t="s">
        <v>10042</v>
      </c>
      <c r="E1121" s="15">
        <v>0.27650000000000002</v>
      </c>
      <c r="F1121" s="15">
        <v>0.13439999999999999</v>
      </c>
      <c r="G1121" s="15">
        <v>0.1731</v>
      </c>
      <c r="H1121" s="15">
        <v>0.1278</v>
      </c>
      <c r="I1121" s="15">
        <v>0.22754876575207039</v>
      </c>
    </row>
    <row r="1122" spans="1:9" x14ac:dyDescent="0.2">
      <c r="A1122" s="2" t="s">
        <v>3362</v>
      </c>
      <c r="B1122" s="2" t="s">
        <v>3363</v>
      </c>
      <c r="C1122" s="2" t="s">
        <v>3364</v>
      </c>
      <c r="D1122" s="2" t="s">
        <v>10042</v>
      </c>
      <c r="E1122" s="15">
        <v>0.10349999999999999</v>
      </c>
      <c r="F1122" s="15">
        <v>8.43E-2</v>
      </c>
      <c r="G1122" s="15">
        <v>0.15279999999999999</v>
      </c>
      <c r="H1122" s="15">
        <v>8.8300000000000003E-2</v>
      </c>
      <c r="I1122" s="15">
        <v>0.31624243090603699</v>
      </c>
    </row>
    <row r="1123" spans="1:9" x14ac:dyDescent="0.2">
      <c r="A1123" s="2" t="s">
        <v>3365</v>
      </c>
      <c r="B1123" s="2" t="s">
        <v>3366</v>
      </c>
      <c r="C1123" s="2" t="s">
        <v>3367</v>
      </c>
      <c r="D1123" s="2" t="s">
        <v>10042</v>
      </c>
      <c r="E1123" s="15">
        <v>0.22570000000000001</v>
      </c>
      <c r="F1123" s="15">
        <v>8.5900000000000004E-2</v>
      </c>
      <c r="G1123" s="15">
        <v>9.5600000000000004E-2</v>
      </c>
      <c r="H1123" s="15">
        <v>8.2699999999999996E-2</v>
      </c>
      <c r="I1123" s="15">
        <v>8.2232018309230465E-2</v>
      </c>
    </row>
    <row r="1124" spans="1:9" x14ac:dyDescent="0.2">
      <c r="A1124" s="2" t="s">
        <v>3368</v>
      </c>
      <c r="B1124" s="2" t="s">
        <v>3369</v>
      </c>
      <c r="C1124" s="2" t="s">
        <v>3370</v>
      </c>
      <c r="D1124" s="2" t="s">
        <v>10042</v>
      </c>
      <c r="E1124" s="15">
        <v>0.15620000000000001</v>
      </c>
      <c r="F1124" s="15">
        <v>0.10050000000000001</v>
      </c>
      <c r="G1124" s="15">
        <v>2.4500000000000001E-2</v>
      </c>
      <c r="H1124" s="15">
        <v>9.9500000000000005E-2</v>
      </c>
      <c r="I1124" s="15">
        <v>0.12734877798772001</v>
      </c>
    </row>
    <row r="1125" spans="1:9" x14ac:dyDescent="0.2">
      <c r="A1125" s="2" t="s">
        <v>3371</v>
      </c>
      <c r="B1125" s="2" t="s">
        <v>3372</v>
      </c>
      <c r="C1125" s="2" t="s">
        <v>3373</v>
      </c>
      <c r="D1125" s="2" t="s">
        <v>10042</v>
      </c>
      <c r="E1125" s="15">
        <v>6.7900000000000002E-2</v>
      </c>
      <c r="F1125" s="15">
        <v>0.10249999999999999</v>
      </c>
      <c r="G1125" s="15">
        <v>-6.6000000000000003E-2</v>
      </c>
      <c r="H1125" s="15">
        <v>7.2800000000000004E-2</v>
      </c>
      <c r="I1125" s="15">
        <v>6.0446971122909601E-2</v>
      </c>
    </row>
    <row r="1126" spans="1:9" x14ac:dyDescent="0.2">
      <c r="A1126" s="2" t="s">
        <v>3374</v>
      </c>
      <c r="B1126" s="2" t="s">
        <v>3375</v>
      </c>
      <c r="C1126" s="2" t="s">
        <v>3376</v>
      </c>
      <c r="D1126" s="2" t="s">
        <v>10042</v>
      </c>
      <c r="E1126" s="15">
        <v>0.1973</v>
      </c>
      <c r="F1126" s="15">
        <v>8.3500000000000005E-2</v>
      </c>
      <c r="G1126" s="15">
        <v>0.13600000000000001</v>
      </c>
      <c r="H1126" s="15">
        <v>8.8400000000000006E-2</v>
      </c>
      <c r="I1126" s="15">
        <v>0.26599750623136559</v>
      </c>
    </row>
    <row r="1127" spans="1:9" x14ac:dyDescent="0.2">
      <c r="A1127" s="2" t="s">
        <v>3377</v>
      </c>
      <c r="B1127" s="2" t="s">
        <v>3378</v>
      </c>
      <c r="C1127" s="2" t="s">
        <v>3379</v>
      </c>
      <c r="D1127" s="2" t="s">
        <v>10042</v>
      </c>
      <c r="E1127" s="15">
        <v>0.19989999999999999</v>
      </c>
      <c r="F1127" s="15">
        <v>9.9500000000000005E-2</v>
      </c>
      <c r="G1127" s="15">
        <v>2.0899999999999998E-2</v>
      </c>
      <c r="H1127" s="15">
        <v>8.8300000000000003E-2</v>
      </c>
      <c r="I1127" s="15">
        <v>4.377931502032769E-2</v>
      </c>
    </row>
    <row r="1128" spans="1:9" x14ac:dyDescent="0.2">
      <c r="A1128" s="2" t="s">
        <v>3380</v>
      </c>
      <c r="B1128" s="2" t="s">
        <v>3381</v>
      </c>
      <c r="C1128" s="2" t="s">
        <v>3382</v>
      </c>
      <c r="D1128" s="2" t="s">
        <v>10042</v>
      </c>
      <c r="E1128" s="15">
        <v>6.9999999999999999E-4</v>
      </c>
      <c r="F1128" s="15">
        <v>6.7400000000000002E-2</v>
      </c>
      <c r="G1128" s="15">
        <v>8.6300000000000002E-2</v>
      </c>
      <c r="H1128" s="15">
        <v>8.5400000000000004E-2</v>
      </c>
      <c r="I1128" s="15">
        <v>0.19243491165361071</v>
      </c>
    </row>
    <row r="1129" spans="1:9" x14ac:dyDescent="0.2">
      <c r="A1129" s="2" t="s">
        <v>3383</v>
      </c>
      <c r="B1129" s="2" t="s">
        <v>3384</v>
      </c>
      <c r="C1129" s="2" t="s">
        <v>3385</v>
      </c>
      <c r="D1129" s="2" t="s">
        <v>10042</v>
      </c>
      <c r="E1129" s="15">
        <v>0.1246</v>
      </c>
      <c r="F1129" s="15">
        <v>9.2899999999999996E-2</v>
      </c>
      <c r="G1129" s="15">
        <v>7.1499999999999994E-2</v>
      </c>
      <c r="H1129" s="15">
        <v>0.13300000000000001</v>
      </c>
      <c r="I1129" s="15">
        <v>0.35768817761615063</v>
      </c>
    </row>
    <row r="1130" spans="1:9" x14ac:dyDescent="0.2">
      <c r="A1130" s="2" t="s">
        <v>3386</v>
      </c>
      <c r="B1130" s="2" t="s">
        <v>3387</v>
      </c>
      <c r="C1130" s="2" t="s">
        <v>3388</v>
      </c>
      <c r="D1130" s="2" t="s">
        <v>10042</v>
      </c>
      <c r="E1130" s="15">
        <v>0.22939999999999999</v>
      </c>
      <c r="F1130" s="15">
        <v>0.1026</v>
      </c>
      <c r="G1130" s="15">
        <v>0.1605</v>
      </c>
      <c r="H1130" s="15">
        <v>0.12770000000000001</v>
      </c>
      <c r="I1130" s="15">
        <v>0.30671753344842939</v>
      </c>
    </row>
    <row r="1131" spans="1:9" x14ac:dyDescent="0.2">
      <c r="A1131" s="2" t="s">
        <v>3389</v>
      </c>
      <c r="B1131" s="2" t="s">
        <v>3390</v>
      </c>
      <c r="C1131" s="2" t="s">
        <v>3391</v>
      </c>
      <c r="D1131" s="2" t="s">
        <v>10042</v>
      </c>
      <c r="E1131" s="15">
        <v>0.14680000000000001</v>
      </c>
      <c r="F1131" s="15">
        <v>7.2599999999999998E-2</v>
      </c>
      <c r="G1131" s="15">
        <v>6.4600000000000005E-2</v>
      </c>
      <c r="H1131" s="15">
        <v>8.2000000000000003E-2</v>
      </c>
      <c r="I1131" s="15">
        <v>0.19654654396159771</v>
      </c>
    </row>
    <row r="1132" spans="1:9" x14ac:dyDescent="0.2">
      <c r="A1132" s="2" t="s">
        <v>3392</v>
      </c>
      <c r="B1132" s="2" t="s">
        <v>3393</v>
      </c>
      <c r="C1132" s="2" t="s">
        <v>3394</v>
      </c>
      <c r="D1132" s="2" t="s">
        <v>10042</v>
      </c>
      <c r="E1132" s="15">
        <v>0.12520000000000001</v>
      </c>
      <c r="F1132" s="15">
        <v>8.9899999999999994E-2</v>
      </c>
      <c r="G1132" s="15">
        <v>3.61E-2</v>
      </c>
      <c r="H1132" s="15">
        <v>8.4500000000000006E-2</v>
      </c>
      <c r="I1132" s="15">
        <v>0.17017191295899931</v>
      </c>
    </row>
    <row r="1133" spans="1:9" x14ac:dyDescent="0.2">
      <c r="A1133" s="2" t="s">
        <v>3395</v>
      </c>
      <c r="B1133" s="2" t="s">
        <v>3396</v>
      </c>
      <c r="C1133" s="2" t="s">
        <v>3397</v>
      </c>
      <c r="D1133" s="2" t="s">
        <v>10042</v>
      </c>
      <c r="E1133" s="15">
        <v>9.5299999999999996E-2</v>
      </c>
      <c r="F1133" s="15">
        <v>9.2999999999999999E-2</v>
      </c>
      <c r="G1133" s="15">
        <v>0.15440000000000001</v>
      </c>
      <c r="H1133" s="15">
        <v>0.1061</v>
      </c>
      <c r="I1133" s="15">
        <v>0.30634383487714079</v>
      </c>
    </row>
    <row r="1134" spans="1:9" x14ac:dyDescent="0.2">
      <c r="A1134" s="2" t="s">
        <v>3398</v>
      </c>
      <c r="B1134" s="2" t="s">
        <v>3399</v>
      </c>
      <c r="C1134" s="2" t="s">
        <v>3400</v>
      </c>
      <c r="D1134" s="2" t="s">
        <v>10042</v>
      </c>
      <c r="E1134" s="15">
        <v>0.13800000000000001</v>
      </c>
      <c r="F1134" s="15">
        <v>9.7799999999999998E-2</v>
      </c>
      <c r="G1134" s="15">
        <v>-6.7699999999999996E-2</v>
      </c>
      <c r="H1134" s="15">
        <v>0.13869999999999999</v>
      </c>
      <c r="I1134" s="15">
        <v>8.4269211717087747E-2</v>
      </c>
    </row>
    <row r="1135" spans="1:9" x14ac:dyDescent="0.2">
      <c r="A1135" s="2" t="s">
        <v>3401</v>
      </c>
      <c r="B1135" s="2" t="s">
        <v>3402</v>
      </c>
      <c r="C1135" s="2" t="s">
        <v>3403</v>
      </c>
      <c r="D1135" s="2" t="s">
        <v>10042</v>
      </c>
      <c r="E1135" s="15">
        <v>0.1449</v>
      </c>
      <c r="F1135" s="15">
        <v>0.1052</v>
      </c>
      <c r="G1135" s="15">
        <v>0.15329999999999999</v>
      </c>
      <c r="H1135" s="15">
        <v>0.1376</v>
      </c>
      <c r="I1135" s="15">
        <v>0.47714958956377562</v>
      </c>
    </row>
    <row r="1136" spans="1:9" x14ac:dyDescent="0.2">
      <c r="A1136" s="2" t="s">
        <v>3404</v>
      </c>
      <c r="B1136" s="2" t="s">
        <v>3405</v>
      </c>
      <c r="C1136" s="2" t="s">
        <v>3406</v>
      </c>
      <c r="D1136" s="2" t="s">
        <v>10042</v>
      </c>
      <c r="E1136" s="15">
        <v>0.1603</v>
      </c>
      <c r="F1136" s="15">
        <v>0.1079</v>
      </c>
      <c r="G1136" s="15">
        <v>9.6000000000000002E-2</v>
      </c>
      <c r="H1136" s="15">
        <v>7.9799999999999996E-2</v>
      </c>
      <c r="I1136" s="15">
        <v>0.24422730099764239</v>
      </c>
    </row>
    <row r="1137" spans="1:9" x14ac:dyDescent="0.2">
      <c r="A1137" s="2" t="s">
        <v>3407</v>
      </c>
      <c r="B1137" s="2" t="s">
        <v>3408</v>
      </c>
      <c r="C1137" s="2" t="s">
        <v>3409</v>
      </c>
      <c r="D1137" s="2" t="s">
        <v>10042</v>
      </c>
      <c r="E1137" s="15">
        <v>0.1061</v>
      </c>
      <c r="F1137" s="15">
        <v>8.1699999999999995E-2</v>
      </c>
      <c r="G1137" s="15">
        <v>0.24809999999999999</v>
      </c>
      <c r="H1137" s="15">
        <v>0.15909999999999999</v>
      </c>
      <c r="I1137" s="15">
        <v>0.19517858387302039</v>
      </c>
    </row>
    <row r="1138" spans="1:9" x14ac:dyDescent="0.2">
      <c r="A1138" s="2" t="s">
        <v>3410</v>
      </c>
      <c r="B1138" s="2" t="s">
        <v>3411</v>
      </c>
      <c r="C1138" s="2" t="s">
        <v>3412</v>
      </c>
      <c r="D1138" s="2" t="s">
        <v>10042</v>
      </c>
      <c r="E1138" s="15">
        <v>0.1173</v>
      </c>
      <c r="F1138" s="15">
        <v>8.8300000000000003E-2</v>
      </c>
      <c r="G1138" s="15">
        <v>0.128</v>
      </c>
      <c r="H1138" s="15">
        <v>0.1076</v>
      </c>
      <c r="I1138" s="15">
        <v>0.46364611384593313</v>
      </c>
    </row>
    <row r="1139" spans="1:9" x14ac:dyDescent="0.2">
      <c r="A1139" s="2" t="s">
        <v>3413</v>
      </c>
      <c r="B1139" s="2" t="s">
        <v>3414</v>
      </c>
      <c r="C1139" s="2" t="s">
        <v>3415</v>
      </c>
      <c r="D1139" s="2" t="s">
        <v>10042</v>
      </c>
      <c r="E1139" s="15">
        <v>0.23449999999999999</v>
      </c>
      <c r="F1139" s="15">
        <v>9.4E-2</v>
      </c>
      <c r="G1139" s="15">
        <v>4.2599999999999999E-2</v>
      </c>
      <c r="H1139" s="15">
        <v>8.0299999999999996E-2</v>
      </c>
      <c r="I1139" s="15">
        <v>1.6475097902593751E-2</v>
      </c>
    </row>
    <row r="1140" spans="1:9" x14ac:dyDescent="0.2">
      <c r="A1140" s="2" t="s">
        <v>3416</v>
      </c>
      <c r="B1140" s="2" t="s">
        <v>3417</v>
      </c>
      <c r="C1140" s="2" t="s">
        <v>3418</v>
      </c>
      <c r="D1140" s="2" t="s">
        <v>10042</v>
      </c>
      <c r="E1140" s="15">
        <v>0.22800000000000001</v>
      </c>
      <c r="F1140" s="15">
        <v>9.3700000000000006E-2</v>
      </c>
      <c r="G1140" s="15">
        <v>0.18809999999999999</v>
      </c>
      <c r="H1140" s="15">
        <v>8.8999999999999996E-2</v>
      </c>
      <c r="I1140" s="15">
        <v>0.3434243064801023</v>
      </c>
    </row>
    <row r="1141" spans="1:9" x14ac:dyDescent="0.2">
      <c r="A1141" s="2" t="s">
        <v>3419</v>
      </c>
      <c r="B1141" s="2" t="s">
        <v>3420</v>
      </c>
      <c r="C1141" s="2" t="s">
        <v>3421</v>
      </c>
      <c r="D1141" s="2" t="s">
        <v>10042</v>
      </c>
      <c r="E1141" s="15">
        <v>0.109</v>
      </c>
      <c r="F1141" s="15">
        <v>8.9399999999999993E-2</v>
      </c>
      <c r="G1141" s="15">
        <v>0.1211</v>
      </c>
      <c r="H1141" s="15">
        <v>0.106</v>
      </c>
      <c r="I1141" s="15">
        <v>0.4597556298302708</v>
      </c>
    </row>
    <row r="1142" spans="1:9" x14ac:dyDescent="0.2">
      <c r="A1142" s="2" t="s">
        <v>3422</v>
      </c>
      <c r="B1142" s="2" t="s">
        <v>3423</v>
      </c>
      <c r="C1142" s="2" t="s">
        <v>3424</v>
      </c>
      <c r="D1142" s="2" t="s">
        <v>10042</v>
      </c>
      <c r="E1142" s="15">
        <v>0.19320000000000001</v>
      </c>
      <c r="F1142" s="15">
        <v>8.5800000000000001E-2</v>
      </c>
      <c r="G1142" s="15">
        <v>0.18790000000000001</v>
      </c>
      <c r="H1142" s="15">
        <v>9.9299999999999999E-2</v>
      </c>
      <c r="I1142" s="15">
        <v>0.48082907844209788</v>
      </c>
    </row>
    <row r="1143" spans="1:9" x14ac:dyDescent="0.2">
      <c r="A1143" s="2" t="s">
        <v>3425</v>
      </c>
      <c r="B1143" s="2" t="s">
        <v>3426</v>
      </c>
      <c r="C1143" s="2" t="s">
        <v>3427</v>
      </c>
      <c r="D1143" s="2" t="s">
        <v>10042</v>
      </c>
      <c r="E1143" s="15">
        <v>0.2354</v>
      </c>
      <c r="F1143" s="15">
        <v>8.4199999999999997E-2</v>
      </c>
      <c r="G1143" s="15">
        <v>8.7900000000000006E-2</v>
      </c>
      <c r="H1143" s="15">
        <v>8.6400000000000005E-2</v>
      </c>
      <c r="I1143" s="15">
        <v>6.427516842925704E-2</v>
      </c>
    </row>
    <row r="1144" spans="1:9" x14ac:dyDescent="0.2">
      <c r="A1144" s="2" t="s">
        <v>3428</v>
      </c>
      <c r="B1144" s="2" t="s">
        <v>3429</v>
      </c>
      <c r="C1144" s="2" t="s">
        <v>3430</v>
      </c>
      <c r="D1144" s="2" t="s">
        <v>10042</v>
      </c>
      <c r="E1144" s="15">
        <v>0.18049999999999999</v>
      </c>
      <c r="F1144" s="15">
        <v>8.7800000000000003E-2</v>
      </c>
      <c r="G1144" s="15">
        <v>0.18160000000000001</v>
      </c>
      <c r="H1144" s="15">
        <v>7.1999999999999995E-2</v>
      </c>
      <c r="I1144" s="15">
        <v>0.49481230103611912</v>
      </c>
    </row>
    <row r="1145" spans="1:9" x14ac:dyDescent="0.2">
      <c r="A1145" s="2" t="s">
        <v>3431</v>
      </c>
      <c r="B1145" s="2" t="s">
        <v>3432</v>
      </c>
      <c r="C1145" s="2" t="s">
        <v>3433</v>
      </c>
      <c r="D1145" s="2" t="s">
        <v>10042</v>
      </c>
      <c r="E1145" s="15">
        <v>0.25590000000000002</v>
      </c>
      <c r="F1145" s="15">
        <v>9.4899999999999998E-2</v>
      </c>
      <c r="G1145" s="15">
        <v>0.1517</v>
      </c>
      <c r="H1145" s="15">
        <v>8.9800000000000005E-2</v>
      </c>
      <c r="I1145" s="15">
        <v>0.15329806071488569</v>
      </c>
    </row>
    <row r="1146" spans="1:9" x14ac:dyDescent="0.2">
      <c r="A1146" s="2" t="s">
        <v>3434</v>
      </c>
      <c r="B1146" s="2" t="s">
        <v>3435</v>
      </c>
      <c r="C1146" s="2" t="s">
        <v>3436</v>
      </c>
      <c r="D1146" s="2" t="s">
        <v>10042</v>
      </c>
      <c r="E1146" s="15">
        <v>0.1168</v>
      </c>
      <c r="F1146" s="15">
        <v>9.4100000000000003E-2</v>
      </c>
      <c r="G1146" s="15">
        <v>8.8900000000000007E-2</v>
      </c>
      <c r="H1146" s="15">
        <v>7.5499999999999998E-2</v>
      </c>
      <c r="I1146" s="15">
        <v>0.37455016853219503</v>
      </c>
    </row>
    <row r="1147" spans="1:9" x14ac:dyDescent="0.2">
      <c r="A1147" s="2" t="s">
        <v>3437</v>
      </c>
      <c r="B1147" s="2" t="s">
        <v>3438</v>
      </c>
      <c r="C1147" s="2" t="s">
        <v>3439</v>
      </c>
      <c r="D1147" s="2" t="s">
        <v>10042</v>
      </c>
      <c r="E1147" s="15">
        <v>3.32E-2</v>
      </c>
      <c r="F1147" s="15">
        <v>9.4600000000000004E-2</v>
      </c>
      <c r="G1147" s="15">
        <v>7.1099999999999997E-2</v>
      </c>
      <c r="H1147" s="15">
        <v>8.5000000000000006E-2</v>
      </c>
      <c r="I1147" s="15">
        <v>0.34876954557884088</v>
      </c>
    </row>
    <row r="1148" spans="1:9" x14ac:dyDescent="0.2">
      <c r="A1148" s="2" t="s">
        <v>3440</v>
      </c>
      <c r="B1148" s="2" t="s">
        <v>3441</v>
      </c>
      <c r="C1148" s="2" t="s">
        <v>3442</v>
      </c>
      <c r="D1148" s="2" t="s">
        <v>10042</v>
      </c>
      <c r="E1148" s="15">
        <v>8.8300000000000003E-2</v>
      </c>
      <c r="F1148" s="15">
        <v>8.2000000000000003E-2</v>
      </c>
      <c r="G1148" s="15">
        <v>0.1391</v>
      </c>
      <c r="H1148" s="15">
        <v>0.1208</v>
      </c>
      <c r="I1148" s="15">
        <v>0.34817537313139207</v>
      </c>
    </row>
    <row r="1149" spans="1:9" x14ac:dyDescent="0.2">
      <c r="A1149" s="2" t="s">
        <v>3443</v>
      </c>
      <c r="B1149" s="2" t="s">
        <v>3444</v>
      </c>
      <c r="C1149" s="2" t="s">
        <v>3445</v>
      </c>
      <c r="D1149" s="2" t="s">
        <v>10042</v>
      </c>
      <c r="E1149" s="15">
        <v>-3.3799999999999997E-2</v>
      </c>
      <c r="F1149" s="15">
        <v>0.11700000000000001</v>
      </c>
      <c r="G1149" s="15">
        <v>0.3216</v>
      </c>
      <c r="H1149" s="15">
        <v>0.14299999999999999</v>
      </c>
      <c r="I1149" s="15">
        <v>1.0165010348383499E-2</v>
      </c>
    </row>
    <row r="1150" spans="1:9" x14ac:dyDescent="0.2">
      <c r="A1150" s="2" t="s">
        <v>3446</v>
      </c>
      <c r="B1150" s="2" t="s">
        <v>3447</v>
      </c>
      <c r="C1150" s="2" t="s">
        <v>3448</v>
      </c>
      <c r="D1150" s="2" t="s">
        <v>10042</v>
      </c>
      <c r="E1150" s="15">
        <v>0.2369</v>
      </c>
      <c r="F1150" s="15">
        <v>8.2900000000000001E-2</v>
      </c>
      <c r="G1150" s="15">
        <v>1.7500000000000002E-2</v>
      </c>
      <c r="H1150" s="15">
        <v>8.9800000000000005E-2</v>
      </c>
      <c r="I1150" s="15">
        <v>1.5245359711519911E-2</v>
      </c>
    </row>
    <row r="1151" spans="1:9" x14ac:dyDescent="0.2">
      <c r="A1151" s="2" t="s">
        <v>3449</v>
      </c>
      <c r="B1151" s="2" t="s">
        <v>3450</v>
      </c>
      <c r="C1151" s="2" t="s">
        <v>3451</v>
      </c>
      <c r="D1151" s="2" t="s">
        <v>10042</v>
      </c>
      <c r="E1151" s="15">
        <v>0.13070000000000001</v>
      </c>
      <c r="F1151" s="15">
        <v>7.2599999999999998E-2</v>
      </c>
      <c r="G1151" s="15">
        <v>7.1800000000000003E-2</v>
      </c>
      <c r="H1151" s="15">
        <v>9.35E-2</v>
      </c>
      <c r="I1151" s="15">
        <v>0.28546714437683751</v>
      </c>
    </row>
    <row r="1152" spans="1:9" x14ac:dyDescent="0.2">
      <c r="A1152" s="2" t="s">
        <v>3452</v>
      </c>
      <c r="B1152" s="2" t="s">
        <v>3453</v>
      </c>
      <c r="C1152" s="2" t="s">
        <v>3454</v>
      </c>
      <c r="D1152" s="2" t="s">
        <v>10042</v>
      </c>
      <c r="E1152" s="15">
        <v>0.46450000000000002</v>
      </c>
      <c r="F1152" s="15">
        <v>0.43080000000000002</v>
      </c>
      <c r="G1152" s="15">
        <v>0.1057</v>
      </c>
      <c r="H1152" s="15">
        <v>0.1043</v>
      </c>
      <c r="I1152" s="15">
        <v>1.7598463493991049E-3</v>
      </c>
    </row>
    <row r="1153" spans="1:9" x14ac:dyDescent="0.2">
      <c r="A1153" s="2" t="s">
        <v>3455</v>
      </c>
      <c r="B1153" s="2" t="s">
        <v>3456</v>
      </c>
      <c r="C1153" s="2" t="s">
        <v>3457</v>
      </c>
      <c r="D1153" s="2" t="s">
        <v>10042</v>
      </c>
      <c r="E1153" s="15">
        <v>0.1653</v>
      </c>
      <c r="F1153" s="15">
        <v>8.3299999999999999E-2</v>
      </c>
      <c r="G1153" s="15">
        <v>0.12859999999999999</v>
      </c>
      <c r="H1153" s="15">
        <v>8.7300000000000003E-2</v>
      </c>
      <c r="I1153" s="15">
        <v>0.35803674331120278</v>
      </c>
    </row>
    <row r="1154" spans="1:9" x14ac:dyDescent="0.2">
      <c r="A1154" s="2" t="s">
        <v>3458</v>
      </c>
      <c r="B1154" s="2" t="s">
        <v>3459</v>
      </c>
      <c r="C1154" s="2" t="s">
        <v>3460</v>
      </c>
      <c r="D1154" s="2" t="s">
        <v>10042</v>
      </c>
      <c r="E1154" s="15">
        <v>0.18329999999999999</v>
      </c>
      <c r="F1154" s="15">
        <v>7.2099999999999997E-2</v>
      </c>
      <c r="G1154" s="15">
        <v>0.1348</v>
      </c>
      <c r="H1154" s="15">
        <v>7.5999999999999998E-2</v>
      </c>
      <c r="I1154" s="15">
        <v>0.28760161626669217</v>
      </c>
    </row>
    <row r="1155" spans="1:9" x14ac:dyDescent="0.2">
      <c r="A1155" s="2" t="s">
        <v>3461</v>
      </c>
      <c r="B1155" s="2" t="s">
        <v>3462</v>
      </c>
      <c r="C1155" s="2" t="s">
        <v>3463</v>
      </c>
      <c r="D1155" s="2" t="s">
        <v>10042</v>
      </c>
      <c r="E1155" s="15">
        <v>0.23039999999999999</v>
      </c>
      <c r="F1155" s="15">
        <v>0.1076</v>
      </c>
      <c r="G1155" s="15">
        <v>0.1681</v>
      </c>
      <c r="H1155" s="15">
        <v>9.6699999999999994E-2</v>
      </c>
      <c r="I1155" s="15">
        <v>0.28479881267173113</v>
      </c>
    </row>
    <row r="1156" spans="1:9" x14ac:dyDescent="0.2">
      <c r="A1156" s="2" t="s">
        <v>3464</v>
      </c>
      <c r="B1156" s="2" t="s">
        <v>3465</v>
      </c>
      <c r="C1156" s="2" t="s">
        <v>3466</v>
      </c>
      <c r="D1156" s="2" t="s">
        <v>10042</v>
      </c>
      <c r="E1156" s="15">
        <v>1.29E-2</v>
      </c>
      <c r="F1156" s="15">
        <v>7.1800000000000003E-2</v>
      </c>
      <c r="G1156" s="15">
        <v>3.8999999999999998E-3</v>
      </c>
      <c r="H1156" s="15">
        <v>0.1</v>
      </c>
      <c r="I1156" s="15">
        <v>0.46710073851199019</v>
      </c>
    </row>
    <row r="1157" spans="1:9" x14ac:dyDescent="0.2">
      <c r="A1157" s="2" t="s">
        <v>3467</v>
      </c>
      <c r="B1157" s="2" t="s">
        <v>3468</v>
      </c>
      <c r="C1157" s="2" t="s">
        <v>3469</v>
      </c>
      <c r="D1157" s="2" t="s">
        <v>10042</v>
      </c>
      <c r="E1157" s="15">
        <v>0.27710000000000001</v>
      </c>
      <c r="F1157" s="15">
        <v>8.0199999999999994E-2</v>
      </c>
      <c r="G1157" s="15">
        <v>0.14879999999999999</v>
      </c>
      <c r="H1157" s="15">
        <v>8.5599999999999996E-2</v>
      </c>
      <c r="I1157" s="15">
        <v>8.7636725309740426E-2</v>
      </c>
    </row>
    <row r="1158" spans="1:9" x14ac:dyDescent="0.2">
      <c r="A1158" s="2" t="s">
        <v>3470</v>
      </c>
      <c r="B1158" s="2" t="s">
        <v>3471</v>
      </c>
      <c r="C1158" s="2" t="s">
        <v>3472</v>
      </c>
      <c r="D1158" s="2" t="s">
        <v>10042</v>
      </c>
      <c r="E1158" s="15">
        <v>0.1673</v>
      </c>
      <c r="F1158" s="15">
        <v>8.2000000000000003E-2</v>
      </c>
      <c r="G1158" s="15">
        <v>8.6999999999999994E-2</v>
      </c>
      <c r="H1158" s="15">
        <v>9.8299999999999998E-2</v>
      </c>
      <c r="I1158" s="15">
        <v>0.2452018576185539</v>
      </c>
    </row>
    <row r="1159" spans="1:9" x14ac:dyDescent="0.2">
      <c r="A1159" s="2" t="s">
        <v>3473</v>
      </c>
      <c r="B1159" s="2" t="s">
        <v>3474</v>
      </c>
      <c r="C1159" s="2" t="s">
        <v>3475</v>
      </c>
      <c r="D1159" s="2" t="s">
        <v>10042</v>
      </c>
      <c r="E1159" s="15">
        <v>3.9E-2</v>
      </c>
      <c r="F1159" s="15">
        <v>6.7799999999999999E-2</v>
      </c>
      <c r="G1159" s="15">
        <v>0.13850000000000001</v>
      </c>
      <c r="H1159" s="15">
        <v>9.2399999999999996E-2</v>
      </c>
      <c r="I1159" s="15">
        <v>0.16857596089832899</v>
      </c>
    </row>
    <row r="1160" spans="1:9" x14ac:dyDescent="0.2">
      <c r="A1160" s="2" t="s">
        <v>3476</v>
      </c>
      <c r="B1160" s="2" t="s">
        <v>3477</v>
      </c>
      <c r="C1160" s="2" t="s">
        <v>3478</v>
      </c>
      <c r="D1160" s="2" t="s">
        <v>10042</v>
      </c>
      <c r="E1160" s="15">
        <v>-3.3999999999999998E-3</v>
      </c>
      <c r="F1160" s="15">
        <v>8.2900000000000001E-2</v>
      </c>
      <c r="G1160" s="15">
        <v>-0.23880000000000001</v>
      </c>
      <c r="H1160" s="15">
        <v>0.24360000000000001</v>
      </c>
      <c r="I1160" s="15">
        <v>0.17663997149237881</v>
      </c>
    </row>
    <row r="1161" spans="1:9" x14ac:dyDescent="0.2">
      <c r="A1161" s="2" t="s">
        <v>3479</v>
      </c>
      <c r="B1161" s="2" t="s">
        <v>3480</v>
      </c>
      <c r="C1161" s="2" t="s">
        <v>3481</v>
      </c>
      <c r="D1161" s="2" t="s">
        <v>10042</v>
      </c>
      <c r="E1161" s="15">
        <v>0.1923</v>
      </c>
      <c r="F1161" s="15">
        <v>8.3099999999999993E-2</v>
      </c>
      <c r="G1161" s="15">
        <v>0.28189999999999998</v>
      </c>
      <c r="H1161" s="15">
        <v>0.1052</v>
      </c>
      <c r="I1161" s="15">
        <v>0.22003694092865431</v>
      </c>
    </row>
    <row r="1162" spans="1:9" x14ac:dyDescent="0.2">
      <c r="A1162" s="2" t="s">
        <v>3482</v>
      </c>
      <c r="B1162" s="2" t="s">
        <v>3483</v>
      </c>
      <c r="C1162" s="2" t="s">
        <v>3484</v>
      </c>
      <c r="D1162" s="2" t="s">
        <v>10042</v>
      </c>
      <c r="E1162" s="15">
        <v>5.8400000000000001E-2</v>
      </c>
      <c r="F1162" s="15">
        <v>8.7599999999999997E-2</v>
      </c>
      <c r="G1162" s="15">
        <v>0.12529999999999999</v>
      </c>
      <c r="H1162" s="15">
        <v>9.1300000000000006E-2</v>
      </c>
      <c r="I1162" s="15">
        <v>0.26313430538350058</v>
      </c>
    </row>
    <row r="1163" spans="1:9" x14ac:dyDescent="0.2">
      <c r="A1163" s="2" t="s">
        <v>3485</v>
      </c>
      <c r="B1163" s="2" t="s">
        <v>3486</v>
      </c>
      <c r="C1163" s="2" t="s">
        <v>3487</v>
      </c>
      <c r="D1163" s="2" t="s">
        <v>10042</v>
      </c>
      <c r="E1163" s="15">
        <v>0.1431</v>
      </c>
      <c r="F1163" s="15">
        <v>8.2299999999999998E-2</v>
      </c>
      <c r="G1163" s="15">
        <v>5.5899999999999998E-2</v>
      </c>
      <c r="H1163" s="15">
        <v>7.4999999999999997E-2</v>
      </c>
      <c r="I1163" s="15">
        <v>0.15274164856412581</v>
      </c>
    </row>
    <row r="1164" spans="1:9" x14ac:dyDescent="0.2">
      <c r="A1164" s="2" t="s">
        <v>3488</v>
      </c>
      <c r="B1164" s="2" t="s">
        <v>3489</v>
      </c>
      <c r="C1164" s="2" t="s">
        <v>3490</v>
      </c>
      <c r="D1164" s="2" t="s">
        <v>10042</v>
      </c>
      <c r="E1164" s="15">
        <v>0.17530000000000001</v>
      </c>
      <c r="F1164" s="15">
        <v>9.1399999999999995E-2</v>
      </c>
      <c r="G1164" s="15">
        <v>-6.8999999999999999E-3</v>
      </c>
      <c r="H1164" s="15">
        <v>0.1142</v>
      </c>
      <c r="I1164" s="15">
        <v>7.5368248612553868E-2</v>
      </c>
    </row>
    <row r="1165" spans="1:9" x14ac:dyDescent="0.2">
      <c r="A1165" s="2" t="s">
        <v>3491</v>
      </c>
      <c r="B1165" s="2" t="s">
        <v>3492</v>
      </c>
      <c r="C1165" s="2" t="s">
        <v>3493</v>
      </c>
      <c r="D1165" s="2" t="s">
        <v>10042</v>
      </c>
      <c r="E1165" s="15">
        <v>7.1400000000000005E-2</v>
      </c>
      <c r="F1165" s="15">
        <v>8.2500000000000004E-2</v>
      </c>
      <c r="G1165" s="15">
        <v>0.19070000000000001</v>
      </c>
      <c r="H1165" s="15">
        <v>0.1163</v>
      </c>
      <c r="I1165" s="15">
        <v>0.17647990878393349</v>
      </c>
    </row>
    <row r="1166" spans="1:9" x14ac:dyDescent="0.2">
      <c r="A1166" s="2" t="s">
        <v>3494</v>
      </c>
      <c r="B1166" s="2" t="s">
        <v>3495</v>
      </c>
      <c r="C1166" s="2" t="s">
        <v>3496</v>
      </c>
      <c r="D1166" s="2" t="s">
        <v>10042</v>
      </c>
      <c r="E1166" s="15">
        <v>0.1318</v>
      </c>
      <c r="F1166" s="15">
        <v>9.4899999999999998E-2</v>
      </c>
      <c r="G1166" s="15">
        <v>3.7499999999999999E-2</v>
      </c>
      <c r="H1166" s="15">
        <v>9.2399999999999996E-2</v>
      </c>
      <c r="I1166" s="15">
        <v>0.18800550698822099</v>
      </c>
    </row>
    <row r="1167" spans="1:9" x14ac:dyDescent="0.2">
      <c r="A1167" s="2" t="s">
        <v>3497</v>
      </c>
      <c r="B1167" s="2" t="s">
        <v>3498</v>
      </c>
      <c r="C1167" s="2" t="s">
        <v>3499</v>
      </c>
      <c r="D1167" s="2" t="s">
        <v>10042</v>
      </c>
      <c r="E1167" s="15">
        <v>0.13350000000000001</v>
      </c>
      <c r="F1167" s="15">
        <v>8.5999999999999993E-2</v>
      </c>
      <c r="G1167" s="15">
        <v>6.13E-2</v>
      </c>
      <c r="H1167" s="15">
        <v>0.1018</v>
      </c>
      <c r="I1167" s="15">
        <v>0.26556312264573351</v>
      </c>
    </row>
    <row r="1168" spans="1:9" x14ac:dyDescent="0.2">
      <c r="A1168" s="2" t="s">
        <v>3500</v>
      </c>
      <c r="B1168" s="2" t="s">
        <v>3501</v>
      </c>
      <c r="C1168" s="2" t="s">
        <v>3502</v>
      </c>
      <c r="D1168" s="2" t="s">
        <v>10042</v>
      </c>
      <c r="E1168" s="15">
        <v>8.9300000000000004E-2</v>
      </c>
      <c r="F1168" s="15">
        <v>8.5300000000000001E-2</v>
      </c>
      <c r="G1168" s="15">
        <v>0.26469999999999999</v>
      </c>
      <c r="H1168" s="15">
        <v>0.1091</v>
      </c>
      <c r="I1168" s="15">
        <v>7.1589485163076477E-2</v>
      </c>
    </row>
    <row r="1169" spans="1:9" x14ac:dyDescent="0.2">
      <c r="A1169" s="2" t="s">
        <v>3503</v>
      </c>
      <c r="B1169" s="2" t="s">
        <v>3504</v>
      </c>
      <c r="C1169" s="2" t="s">
        <v>3505</v>
      </c>
      <c r="D1169" s="2" t="s">
        <v>10042</v>
      </c>
      <c r="E1169" s="15">
        <v>8.8499999999999995E-2</v>
      </c>
      <c r="F1169" s="15">
        <v>7.5800000000000006E-2</v>
      </c>
      <c r="G1169" s="15">
        <v>0.1273</v>
      </c>
      <c r="H1169" s="15">
        <v>9.9699999999999997E-2</v>
      </c>
      <c r="I1169" s="15">
        <v>0.36170420638026213</v>
      </c>
    </row>
    <row r="1170" spans="1:9" x14ac:dyDescent="0.2">
      <c r="A1170" s="2" t="s">
        <v>3506</v>
      </c>
      <c r="B1170" s="2" t="s">
        <v>3507</v>
      </c>
      <c r="C1170" s="2" t="s">
        <v>3508</v>
      </c>
      <c r="D1170" s="2" t="s">
        <v>10042</v>
      </c>
      <c r="E1170" s="15">
        <v>0.1835</v>
      </c>
      <c r="F1170" s="15">
        <v>9.74E-2</v>
      </c>
      <c r="G1170" s="15">
        <v>2.5499999999999998E-2</v>
      </c>
      <c r="H1170" s="15">
        <v>8.2299999999999998E-2</v>
      </c>
      <c r="I1170" s="15">
        <v>4.3477390019628873E-2</v>
      </c>
    </row>
    <row r="1171" spans="1:9" x14ac:dyDescent="0.2">
      <c r="A1171" s="2" t="s">
        <v>3509</v>
      </c>
      <c r="B1171" s="2" t="s">
        <v>3510</v>
      </c>
      <c r="C1171" s="2" t="s">
        <v>3511</v>
      </c>
      <c r="D1171" s="2" t="s">
        <v>10042</v>
      </c>
      <c r="E1171" s="15">
        <v>0.30790000000000001</v>
      </c>
      <c r="F1171" s="15">
        <v>9.8299999999999998E-2</v>
      </c>
      <c r="G1171" s="15">
        <v>0.12609999999999999</v>
      </c>
      <c r="H1171" s="15">
        <v>7.6499999999999999E-2</v>
      </c>
      <c r="I1171" s="15">
        <v>1.997795133575226E-2</v>
      </c>
    </row>
    <row r="1172" spans="1:9" x14ac:dyDescent="0.2">
      <c r="A1172" s="2" t="s">
        <v>3512</v>
      </c>
      <c r="B1172" s="2" t="s">
        <v>3513</v>
      </c>
      <c r="C1172" s="2" t="s">
        <v>3514</v>
      </c>
      <c r="D1172" s="2" t="s">
        <v>10042</v>
      </c>
      <c r="E1172" s="15">
        <v>6.59E-2</v>
      </c>
      <c r="F1172" s="15">
        <v>9.2999999999999999E-2</v>
      </c>
      <c r="G1172" s="15">
        <v>0.19650000000000001</v>
      </c>
      <c r="H1172" s="15">
        <v>0.1258</v>
      </c>
      <c r="I1172" s="15">
        <v>0.17935889340859021</v>
      </c>
    </row>
    <row r="1173" spans="1:9" x14ac:dyDescent="0.2">
      <c r="A1173" s="2" t="s">
        <v>3515</v>
      </c>
      <c r="B1173" s="2" t="s">
        <v>3516</v>
      </c>
      <c r="C1173" s="2" t="s">
        <v>3517</v>
      </c>
      <c r="D1173" s="2" t="s">
        <v>10042</v>
      </c>
      <c r="E1173" s="15">
        <v>0.1724</v>
      </c>
      <c r="F1173" s="15">
        <v>8.4199999999999997E-2</v>
      </c>
      <c r="G1173" s="15">
        <v>0.13320000000000001</v>
      </c>
      <c r="H1173" s="15">
        <v>0.1062</v>
      </c>
      <c r="I1173" s="15">
        <v>0.36952843740432451</v>
      </c>
    </row>
    <row r="1174" spans="1:9" x14ac:dyDescent="0.2">
      <c r="A1174" s="2" t="s">
        <v>3518</v>
      </c>
      <c r="B1174" s="2" t="s">
        <v>3519</v>
      </c>
      <c r="C1174" s="2" t="s">
        <v>3520</v>
      </c>
      <c r="D1174" s="2" t="s">
        <v>10042</v>
      </c>
      <c r="E1174" s="15">
        <v>0.2356</v>
      </c>
      <c r="F1174" s="15">
        <v>8.1799999999999998E-2</v>
      </c>
      <c r="G1174" s="15">
        <v>0.1394</v>
      </c>
      <c r="H1174" s="15">
        <v>8.9399999999999993E-2</v>
      </c>
      <c r="I1174" s="15">
        <v>0.16726328041300409</v>
      </c>
    </row>
    <row r="1175" spans="1:9" x14ac:dyDescent="0.2">
      <c r="A1175" s="2" t="s">
        <v>3521</v>
      </c>
      <c r="B1175" s="2" t="s">
        <v>3522</v>
      </c>
      <c r="C1175" s="2" t="s">
        <v>3523</v>
      </c>
      <c r="D1175" s="2" t="s">
        <v>10042</v>
      </c>
      <c r="E1175" s="15">
        <v>0.21859999999999999</v>
      </c>
      <c r="F1175" s="15">
        <v>8.9800000000000005E-2</v>
      </c>
      <c r="G1175" s="15">
        <v>0.1265</v>
      </c>
      <c r="H1175" s="15">
        <v>9.0800000000000006E-2</v>
      </c>
      <c r="I1175" s="15">
        <v>0.1853681861189144</v>
      </c>
    </row>
    <row r="1176" spans="1:9" x14ac:dyDescent="0.2">
      <c r="A1176" s="2" t="s">
        <v>3524</v>
      </c>
      <c r="B1176" s="2" t="s">
        <v>3525</v>
      </c>
      <c r="C1176" s="2" t="s">
        <v>3526</v>
      </c>
      <c r="D1176" s="2" t="s">
        <v>10042</v>
      </c>
      <c r="E1176" s="15">
        <v>0.14319999999999999</v>
      </c>
      <c r="F1176" s="15">
        <v>7.5200000000000003E-2</v>
      </c>
      <c r="G1176" s="15">
        <v>0.19059999999999999</v>
      </c>
      <c r="H1176" s="15">
        <v>7.6300000000000007E-2</v>
      </c>
      <c r="I1176" s="15">
        <v>0.30069203281209661</v>
      </c>
    </row>
    <row r="1177" spans="1:9" x14ac:dyDescent="0.2">
      <c r="A1177" s="2" t="s">
        <v>3527</v>
      </c>
      <c r="B1177" s="2" t="s">
        <v>3528</v>
      </c>
      <c r="C1177" s="2" t="s">
        <v>3529</v>
      </c>
      <c r="D1177" s="2" t="s">
        <v>10042</v>
      </c>
      <c r="E1177" s="15">
        <v>8.9300000000000004E-2</v>
      </c>
      <c r="F1177" s="15">
        <v>7.8100000000000003E-2</v>
      </c>
      <c r="G1177" s="15">
        <v>0.16</v>
      </c>
      <c r="H1177" s="15">
        <v>7.6499999999999999E-2</v>
      </c>
      <c r="I1177" s="15">
        <v>0.2148413734371912</v>
      </c>
    </row>
    <row r="1178" spans="1:9" x14ac:dyDescent="0.2">
      <c r="A1178" s="2" t="s">
        <v>3530</v>
      </c>
      <c r="B1178" s="2" t="s">
        <v>3531</v>
      </c>
      <c r="C1178" s="2" t="s">
        <v>3532</v>
      </c>
      <c r="D1178" s="2" t="s">
        <v>10042</v>
      </c>
      <c r="E1178" s="15">
        <v>0.13619999999999999</v>
      </c>
      <c r="F1178" s="15">
        <v>8.7300000000000003E-2</v>
      </c>
      <c r="G1178" s="15">
        <v>5.28E-2</v>
      </c>
      <c r="H1178" s="15">
        <v>8.4400000000000003E-2</v>
      </c>
      <c r="I1178" s="15">
        <v>0.2023494133382043</v>
      </c>
    </row>
    <row r="1179" spans="1:9" x14ac:dyDescent="0.2">
      <c r="A1179" s="2" t="s">
        <v>3533</v>
      </c>
      <c r="B1179" s="2" t="s">
        <v>3534</v>
      </c>
      <c r="C1179" s="2" t="s">
        <v>3535</v>
      </c>
      <c r="D1179" s="2" t="s">
        <v>10042</v>
      </c>
      <c r="E1179" s="15">
        <v>0.1022</v>
      </c>
      <c r="F1179" s="15">
        <v>6.6600000000000006E-2</v>
      </c>
      <c r="G1179" s="15">
        <v>0.1353</v>
      </c>
      <c r="H1179" s="15">
        <v>9.2100000000000001E-2</v>
      </c>
      <c r="I1179" s="15">
        <v>0.37417321569748879</v>
      </c>
    </row>
    <row r="1180" spans="1:9" x14ac:dyDescent="0.2">
      <c r="A1180" s="2" t="s">
        <v>3536</v>
      </c>
      <c r="B1180" s="2" t="s">
        <v>3537</v>
      </c>
      <c r="C1180" s="2" t="s">
        <v>3538</v>
      </c>
      <c r="D1180" s="2" t="s">
        <v>10042</v>
      </c>
      <c r="E1180" s="15">
        <v>0.19009999999999999</v>
      </c>
      <c r="F1180" s="15">
        <v>0.13239999999999999</v>
      </c>
      <c r="G1180" s="15">
        <v>0.1517</v>
      </c>
      <c r="H1180" s="15">
        <v>0.11119999999999999</v>
      </c>
      <c r="I1180" s="15">
        <v>0.37749991136163868</v>
      </c>
    </row>
    <row r="1181" spans="1:9" x14ac:dyDescent="0.2">
      <c r="A1181" s="2" t="s">
        <v>3539</v>
      </c>
      <c r="B1181" s="2" t="s">
        <v>3540</v>
      </c>
      <c r="C1181" s="2" t="s">
        <v>3541</v>
      </c>
      <c r="D1181" s="2" t="s">
        <v>10042</v>
      </c>
      <c r="E1181" s="15">
        <v>0.27429999999999999</v>
      </c>
      <c r="F1181" s="15">
        <v>9.6100000000000005E-2</v>
      </c>
      <c r="G1181" s="15">
        <v>8.5099999999999995E-2</v>
      </c>
      <c r="H1181" s="15">
        <v>0.1026</v>
      </c>
      <c r="I1181" s="15">
        <v>5.3120234212078538E-2</v>
      </c>
    </row>
    <row r="1182" spans="1:9" x14ac:dyDescent="0.2">
      <c r="A1182" s="2" t="s">
        <v>3542</v>
      </c>
      <c r="B1182" s="2" t="s">
        <v>3543</v>
      </c>
      <c r="C1182" s="2" t="s">
        <v>3544</v>
      </c>
      <c r="D1182" s="2" t="s">
        <v>10042</v>
      </c>
      <c r="E1182" s="15">
        <v>8.4900000000000003E-2</v>
      </c>
      <c r="F1182" s="15">
        <v>9.3700000000000006E-2</v>
      </c>
      <c r="G1182" s="15">
        <v>2.3900000000000001E-2</v>
      </c>
      <c r="H1182" s="15">
        <v>9.1999999999999998E-2</v>
      </c>
      <c r="I1182" s="15">
        <v>0.27411273789656698</v>
      </c>
    </row>
    <row r="1183" spans="1:9" x14ac:dyDescent="0.2">
      <c r="A1183" s="2" t="s">
        <v>3545</v>
      </c>
      <c r="B1183" s="2" t="s">
        <v>3546</v>
      </c>
      <c r="C1183" s="2" t="s">
        <v>3547</v>
      </c>
      <c r="D1183" s="2" t="s">
        <v>10042</v>
      </c>
      <c r="E1183" s="15">
        <v>0.11020000000000001</v>
      </c>
      <c r="F1183" s="15">
        <v>7.7299999999999994E-2</v>
      </c>
      <c r="G1183" s="15">
        <v>0.16569999999999999</v>
      </c>
      <c r="H1183" s="15">
        <v>8.6199999999999999E-2</v>
      </c>
      <c r="I1183" s="15">
        <v>0.27762861585550808</v>
      </c>
    </row>
    <row r="1184" spans="1:9" x14ac:dyDescent="0.2">
      <c r="A1184" s="2" t="s">
        <v>3548</v>
      </c>
      <c r="B1184" s="2" t="s">
        <v>3549</v>
      </c>
      <c r="C1184" s="2" t="s">
        <v>3550</v>
      </c>
      <c r="D1184" s="2" t="s">
        <v>10042</v>
      </c>
      <c r="E1184" s="15">
        <v>9.3100000000000002E-2</v>
      </c>
      <c r="F1184" s="15">
        <v>9.8400000000000001E-2</v>
      </c>
      <c r="G1184" s="15">
        <v>2.5999999999999999E-3</v>
      </c>
      <c r="H1184" s="15">
        <v>9.3700000000000006E-2</v>
      </c>
      <c r="I1184" s="15">
        <v>0.2050842127050041</v>
      </c>
    </row>
    <row r="1185" spans="1:9" x14ac:dyDescent="0.2">
      <c r="A1185" s="2" t="s">
        <v>3551</v>
      </c>
      <c r="B1185" s="2" t="s">
        <v>3552</v>
      </c>
      <c r="C1185" s="2" t="s">
        <v>3553</v>
      </c>
      <c r="D1185" s="2" t="s">
        <v>10042</v>
      </c>
      <c r="E1185" s="15">
        <v>0.13159999999999999</v>
      </c>
      <c r="F1185" s="15">
        <v>7.85E-2</v>
      </c>
      <c r="G1185" s="15">
        <v>0.15920000000000001</v>
      </c>
      <c r="H1185" s="15">
        <v>0.12570000000000001</v>
      </c>
      <c r="I1185" s="15">
        <v>0.42031075101766507</v>
      </c>
    </row>
    <row r="1186" spans="1:9" x14ac:dyDescent="0.2">
      <c r="A1186" s="2" t="s">
        <v>3554</v>
      </c>
      <c r="B1186" s="2" t="s">
        <v>3555</v>
      </c>
      <c r="C1186" s="2" t="s">
        <v>3556</v>
      </c>
      <c r="D1186" s="2" t="s">
        <v>10042</v>
      </c>
      <c r="E1186" s="15">
        <v>6.3600000000000004E-2</v>
      </c>
      <c r="F1186" s="15">
        <v>0.1842</v>
      </c>
      <c r="G1186" s="15">
        <v>0.2457</v>
      </c>
      <c r="H1186" s="15">
        <v>0.26240000000000002</v>
      </c>
      <c r="I1186" s="15">
        <v>0.25027676913994917</v>
      </c>
    </row>
    <row r="1187" spans="1:9" x14ac:dyDescent="0.2">
      <c r="A1187" s="2" t="s">
        <v>3557</v>
      </c>
      <c r="B1187" s="2" t="s">
        <v>3558</v>
      </c>
      <c r="C1187" s="2" t="s">
        <v>3559</v>
      </c>
      <c r="D1187" s="2" t="s">
        <v>10042</v>
      </c>
      <c r="E1187" s="15">
        <v>0.152</v>
      </c>
      <c r="F1187" s="15">
        <v>7.3300000000000004E-2</v>
      </c>
      <c r="G1187" s="15">
        <v>0.1479</v>
      </c>
      <c r="H1187" s="15">
        <v>0.13800000000000001</v>
      </c>
      <c r="I1187" s="15">
        <v>0.48875709368933451</v>
      </c>
    </row>
    <row r="1188" spans="1:9" x14ac:dyDescent="0.2">
      <c r="A1188" s="2" t="s">
        <v>3560</v>
      </c>
      <c r="B1188" s="2" t="s">
        <v>3561</v>
      </c>
      <c r="C1188" s="2" t="s">
        <v>3562</v>
      </c>
      <c r="D1188" s="2" t="s">
        <v>10042</v>
      </c>
      <c r="E1188" s="15">
        <v>0.1244</v>
      </c>
      <c r="F1188" s="15">
        <v>0.1133</v>
      </c>
      <c r="G1188" s="15">
        <v>3.3999999999999998E-3</v>
      </c>
      <c r="H1188" s="15">
        <v>9.3899999999999997E-2</v>
      </c>
      <c r="I1188" s="15">
        <v>0.12799975526283761</v>
      </c>
    </row>
    <row r="1189" spans="1:9" x14ac:dyDescent="0.2">
      <c r="A1189" s="2" t="s">
        <v>3563</v>
      </c>
      <c r="B1189" s="2" t="s">
        <v>3564</v>
      </c>
      <c r="C1189" s="2" t="s">
        <v>3565</v>
      </c>
      <c r="D1189" s="2" t="s">
        <v>10042</v>
      </c>
      <c r="E1189" s="15">
        <v>0.1079</v>
      </c>
      <c r="F1189" s="15">
        <v>8.5199999999999998E-2</v>
      </c>
      <c r="G1189" s="15">
        <v>-6.5199999999999994E-2</v>
      </c>
      <c r="H1189" s="15">
        <v>0.1115</v>
      </c>
      <c r="I1189" s="15">
        <v>8.3669432207837485E-2</v>
      </c>
    </row>
    <row r="1190" spans="1:9" x14ac:dyDescent="0.2">
      <c r="A1190" s="2" t="s">
        <v>3566</v>
      </c>
      <c r="B1190" s="2" t="s">
        <v>3567</v>
      </c>
      <c r="C1190" s="2" t="s">
        <v>3568</v>
      </c>
      <c r="D1190" s="2" t="s">
        <v>10042</v>
      </c>
      <c r="E1190" s="15">
        <v>0.1676</v>
      </c>
      <c r="F1190" s="15">
        <v>7.2099999999999997E-2</v>
      </c>
      <c r="G1190" s="15">
        <v>0.15160000000000001</v>
      </c>
      <c r="H1190" s="15">
        <v>8.0799999999999997E-2</v>
      </c>
      <c r="I1190" s="15">
        <v>0.43096948440957461</v>
      </c>
    </row>
    <row r="1191" spans="1:9" x14ac:dyDescent="0.2">
      <c r="A1191" s="2" t="s">
        <v>3569</v>
      </c>
      <c r="B1191" s="2" t="s">
        <v>3570</v>
      </c>
      <c r="C1191" s="2" t="s">
        <v>3571</v>
      </c>
      <c r="D1191" s="2" t="s">
        <v>10042</v>
      </c>
      <c r="E1191" s="15">
        <v>0.1094</v>
      </c>
      <c r="F1191" s="15">
        <v>8.1900000000000001E-2</v>
      </c>
      <c r="G1191" s="15">
        <v>-3.1099999999999999E-2</v>
      </c>
      <c r="H1191" s="15">
        <v>0.105</v>
      </c>
      <c r="I1191" s="15">
        <v>0.1142797366719662</v>
      </c>
    </row>
    <row r="1192" spans="1:9" x14ac:dyDescent="0.2">
      <c r="A1192" s="2" t="s">
        <v>3572</v>
      </c>
      <c r="B1192" s="2" t="s">
        <v>3573</v>
      </c>
      <c r="C1192" s="2" t="s">
        <v>3574</v>
      </c>
      <c r="D1192" s="2" t="s">
        <v>10042</v>
      </c>
      <c r="E1192" s="15">
        <v>0.17169999999999999</v>
      </c>
      <c r="F1192" s="15">
        <v>0.1191</v>
      </c>
      <c r="G1192" s="15">
        <v>-6.4000000000000003E-3</v>
      </c>
      <c r="H1192" s="15">
        <v>0.12759999999999999</v>
      </c>
      <c r="I1192" s="15">
        <v>0.1008026643698571</v>
      </c>
    </row>
    <row r="1193" spans="1:9" x14ac:dyDescent="0.2">
      <c r="A1193" s="2" t="s">
        <v>3575</v>
      </c>
      <c r="B1193" s="2" t="s">
        <v>3576</v>
      </c>
      <c r="C1193" s="2" t="s">
        <v>3577</v>
      </c>
      <c r="D1193" s="2" t="s">
        <v>10042</v>
      </c>
      <c r="E1193" s="15">
        <v>0.1449</v>
      </c>
      <c r="F1193" s="15">
        <v>9.8799999999999999E-2</v>
      </c>
      <c r="G1193" s="15">
        <v>8.0600000000000005E-2</v>
      </c>
      <c r="H1193" s="15">
        <v>0.124</v>
      </c>
      <c r="I1193" s="15">
        <v>0.31591184921126109</v>
      </c>
    </row>
    <row r="1194" spans="1:9" x14ac:dyDescent="0.2">
      <c r="A1194" s="2" t="s">
        <v>3578</v>
      </c>
      <c r="B1194" s="2" t="s">
        <v>3579</v>
      </c>
      <c r="C1194" s="2" t="s">
        <v>3580</v>
      </c>
      <c r="D1194" s="2" t="s">
        <v>10042</v>
      </c>
      <c r="E1194" s="15">
        <v>0.23150000000000001</v>
      </c>
      <c r="F1194" s="15">
        <v>8.8400000000000006E-2</v>
      </c>
      <c r="G1194" s="15">
        <v>0.1082</v>
      </c>
      <c r="H1194" s="15">
        <v>9.6500000000000002E-2</v>
      </c>
      <c r="I1194" s="15">
        <v>0.12533622240557671</v>
      </c>
    </row>
    <row r="1195" spans="1:9" x14ac:dyDescent="0.2">
      <c r="A1195" s="2" t="s">
        <v>3581</v>
      </c>
      <c r="B1195" s="2" t="s">
        <v>3582</v>
      </c>
      <c r="C1195" s="2" t="s">
        <v>3583</v>
      </c>
      <c r="D1195" s="2" t="s">
        <v>10042</v>
      </c>
      <c r="E1195" s="15">
        <v>0.251</v>
      </c>
      <c r="F1195" s="15">
        <v>9.5100000000000004E-2</v>
      </c>
      <c r="G1195" s="15">
        <v>5.8000000000000003E-2</v>
      </c>
      <c r="H1195" s="15">
        <v>8.7099999999999997E-2</v>
      </c>
      <c r="I1195" s="15">
        <v>2.331658686242833E-2</v>
      </c>
    </row>
    <row r="1196" spans="1:9" x14ac:dyDescent="0.2">
      <c r="A1196" s="2" t="s">
        <v>3584</v>
      </c>
      <c r="B1196" s="2" t="s">
        <v>3585</v>
      </c>
      <c r="C1196" s="2" t="s">
        <v>3586</v>
      </c>
      <c r="D1196" s="2" t="s">
        <v>10042</v>
      </c>
      <c r="E1196" s="15">
        <v>9.0800000000000006E-2</v>
      </c>
      <c r="F1196" s="15">
        <v>9.2700000000000005E-2</v>
      </c>
      <c r="G1196" s="15">
        <v>4.6600000000000003E-2</v>
      </c>
      <c r="H1196" s="15">
        <v>0.19409999999999999</v>
      </c>
      <c r="I1196" s="15">
        <v>0.41370274387109213</v>
      </c>
    </row>
    <row r="1197" spans="1:9" x14ac:dyDescent="0.2">
      <c r="A1197" s="2" t="s">
        <v>3587</v>
      </c>
      <c r="B1197" s="2" t="s">
        <v>3588</v>
      </c>
      <c r="C1197" s="2" t="s">
        <v>3589</v>
      </c>
      <c r="D1197" s="2" t="s">
        <v>10042</v>
      </c>
      <c r="E1197" s="15">
        <v>1.83E-2</v>
      </c>
      <c r="F1197" s="15">
        <v>0.1062</v>
      </c>
      <c r="G1197" s="15">
        <v>0.25409999999999999</v>
      </c>
      <c r="H1197" s="15">
        <v>0.12820000000000001</v>
      </c>
      <c r="I1197" s="15">
        <v>4.8928582268007087E-2</v>
      </c>
    </row>
    <row r="1198" spans="1:9" x14ac:dyDescent="0.2">
      <c r="A1198" s="2" t="s">
        <v>3590</v>
      </c>
      <c r="B1198" s="2" t="s">
        <v>3591</v>
      </c>
      <c r="C1198" s="2" t="s">
        <v>3592</v>
      </c>
      <c r="D1198" s="2" t="s">
        <v>10042</v>
      </c>
      <c r="E1198" s="15">
        <v>0.2419</v>
      </c>
      <c r="F1198" s="15">
        <v>9.3799999999999994E-2</v>
      </c>
      <c r="G1198" s="15">
        <v>0.23200000000000001</v>
      </c>
      <c r="H1198" s="15">
        <v>0.1</v>
      </c>
      <c r="I1198" s="15">
        <v>0.46453845717940567</v>
      </c>
    </row>
    <row r="1199" spans="1:9" x14ac:dyDescent="0.2">
      <c r="A1199" s="2" t="s">
        <v>3593</v>
      </c>
      <c r="B1199" s="2" t="s">
        <v>3594</v>
      </c>
      <c r="C1199" s="2" t="s">
        <v>3595</v>
      </c>
      <c r="D1199" s="2" t="s">
        <v>10042</v>
      </c>
      <c r="E1199" s="15">
        <v>0.10299999999999999</v>
      </c>
      <c r="F1199" s="15">
        <v>8.9099999999999999E-2</v>
      </c>
      <c r="G1199" s="15">
        <v>0.1047</v>
      </c>
      <c r="H1199" s="15">
        <v>9.3700000000000006E-2</v>
      </c>
      <c r="I1199" s="15">
        <v>0.49354997965275321</v>
      </c>
    </row>
    <row r="1200" spans="1:9" x14ac:dyDescent="0.2">
      <c r="A1200" s="2" t="s">
        <v>3596</v>
      </c>
      <c r="B1200" s="2" t="s">
        <v>3597</v>
      </c>
      <c r="C1200" s="2" t="s">
        <v>3598</v>
      </c>
      <c r="D1200" s="2" t="s">
        <v>10042</v>
      </c>
      <c r="E1200" s="15">
        <v>6.4299999999999996E-2</v>
      </c>
      <c r="F1200" s="15">
        <v>8.7099999999999997E-2</v>
      </c>
      <c r="G1200" s="15">
        <v>0.1191</v>
      </c>
      <c r="H1200" s="15">
        <v>8.8800000000000004E-2</v>
      </c>
      <c r="I1200" s="15">
        <v>0.29982564302512649</v>
      </c>
    </row>
    <row r="1201" spans="1:9" x14ac:dyDescent="0.2">
      <c r="A1201" s="2" t="s">
        <v>3599</v>
      </c>
      <c r="B1201" s="2" t="s">
        <v>3600</v>
      </c>
      <c r="C1201" s="2" t="s">
        <v>3601</v>
      </c>
      <c r="D1201" s="2" t="s">
        <v>10042</v>
      </c>
      <c r="E1201" s="15">
        <v>2.2000000000000001E-3</v>
      </c>
      <c r="F1201" s="15">
        <v>7.3300000000000004E-2</v>
      </c>
      <c r="G1201" s="15">
        <v>0.11799999999999999</v>
      </c>
      <c r="H1201" s="15">
        <v>9.11E-2</v>
      </c>
      <c r="I1201" s="15">
        <v>0.13413095400111161</v>
      </c>
    </row>
    <row r="1202" spans="1:9" x14ac:dyDescent="0.2">
      <c r="A1202" s="2" t="s">
        <v>3602</v>
      </c>
      <c r="B1202" s="2" t="s">
        <v>3603</v>
      </c>
      <c r="C1202" s="2" t="s">
        <v>3604</v>
      </c>
      <c r="D1202" s="2" t="s">
        <v>10042</v>
      </c>
      <c r="E1202" s="15">
        <v>0.221</v>
      </c>
      <c r="F1202" s="15">
        <v>8.1600000000000006E-2</v>
      </c>
      <c r="G1202" s="15">
        <v>0.1434</v>
      </c>
      <c r="H1202" s="15">
        <v>0.11020000000000001</v>
      </c>
      <c r="I1202" s="15">
        <v>0.26485199694003603</v>
      </c>
    </row>
    <row r="1203" spans="1:9" x14ac:dyDescent="0.2">
      <c r="A1203" s="2" t="s">
        <v>3605</v>
      </c>
      <c r="B1203" s="2" t="s">
        <v>3606</v>
      </c>
      <c r="C1203" s="2" t="s">
        <v>3607</v>
      </c>
      <c r="D1203" s="2" t="s">
        <v>10042</v>
      </c>
      <c r="E1203" s="15">
        <v>0.1991</v>
      </c>
      <c r="F1203" s="15">
        <v>9.9500000000000005E-2</v>
      </c>
      <c r="G1203" s="15">
        <v>4.4400000000000002E-2</v>
      </c>
      <c r="H1203" s="15">
        <v>0.1207</v>
      </c>
      <c r="I1203" s="15">
        <v>0.1206501086010716</v>
      </c>
    </row>
    <row r="1204" spans="1:9" x14ac:dyDescent="0.2">
      <c r="A1204" s="2" t="s">
        <v>3608</v>
      </c>
      <c r="B1204" s="2" t="s">
        <v>3609</v>
      </c>
      <c r="C1204" s="2" t="s">
        <v>3610</v>
      </c>
      <c r="D1204" s="2" t="s">
        <v>10042</v>
      </c>
      <c r="E1204" s="15">
        <v>0.15429999999999999</v>
      </c>
      <c r="F1204" s="15">
        <v>9.5699999999999993E-2</v>
      </c>
      <c r="G1204" s="15">
        <v>8.0600000000000005E-2</v>
      </c>
      <c r="H1204" s="15">
        <v>9.35E-2</v>
      </c>
      <c r="I1204" s="15">
        <v>0.24311277642795831</v>
      </c>
    </row>
    <row r="1205" spans="1:9" x14ac:dyDescent="0.2">
      <c r="A1205" s="2" t="s">
        <v>3611</v>
      </c>
      <c r="B1205" s="2" t="s">
        <v>3612</v>
      </c>
      <c r="C1205" s="2" t="s">
        <v>3613</v>
      </c>
      <c r="D1205" s="2" t="s">
        <v>10042</v>
      </c>
      <c r="E1205" s="15">
        <v>0.1174</v>
      </c>
      <c r="F1205" s="15">
        <v>9.8100000000000007E-2</v>
      </c>
      <c r="G1205" s="15">
        <v>9.9400000000000002E-2</v>
      </c>
      <c r="H1205" s="15">
        <v>8.48E-2</v>
      </c>
      <c r="I1205" s="15">
        <v>0.42646679605947602</v>
      </c>
    </row>
    <row r="1206" spans="1:9" x14ac:dyDescent="0.2">
      <c r="A1206" s="2" t="s">
        <v>3614</v>
      </c>
      <c r="B1206" s="2" t="s">
        <v>3615</v>
      </c>
      <c r="C1206" s="2" t="s">
        <v>3616</v>
      </c>
      <c r="D1206" s="2" t="s">
        <v>10042</v>
      </c>
      <c r="E1206" s="15">
        <v>0.18049999999999999</v>
      </c>
      <c r="F1206" s="15">
        <v>9.2499999999999999E-2</v>
      </c>
      <c r="G1206" s="15">
        <v>0.1605</v>
      </c>
      <c r="H1206" s="15">
        <v>8.1299999999999997E-2</v>
      </c>
      <c r="I1206" s="15">
        <v>0.41620625363535912</v>
      </c>
    </row>
    <row r="1207" spans="1:9" x14ac:dyDescent="0.2">
      <c r="A1207" s="2" t="s">
        <v>3617</v>
      </c>
      <c r="B1207" s="2" t="s">
        <v>3618</v>
      </c>
      <c r="C1207" s="2" t="s">
        <v>3619</v>
      </c>
      <c r="D1207" s="2" t="s">
        <v>10042</v>
      </c>
      <c r="E1207" s="15">
        <v>0.1084</v>
      </c>
      <c r="F1207" s="15">
        <v>8.4000000000000005E-2</v>
      </c>
      <c r="G1207" s="15">
        <v>0.21560000000000001</v>
      </c>
      <c r="H1207" s="15">
        <v>0.15340000000000001</v>
      </c>
      <c r="I1207" s="15">
        <v>0.25151248137954862</v>
      </c>
    </row>
    <row r="1208" spans="1:9" x14ac:dyDescent="0.2">
      <c r="A1208" s="2" t="s">
        <v>3620</v>
      </c>
      <c r="B1208" s="2" t="s">
        <v>3621</v>
      </c>
      <c r="C1208" s="2" t="s">
        <v>3622</v>
      </c>
      <c r="D1208" s="2" t="s">
        <v>10042</v>
      </c>
      <c r="E1208" s="15">
        <v>0.2185</v>
      </c>
      <c r="F1208" s="15">
        <v>9.6500000000000002E-2</v>
      </c>
      <c r="G1208" s="15">
        <v>3.1600000000000003E-2</v>
      </c>
      <c r="H1208" s="15">
        <v>8.3500000000000005E-2</v>
      </c>
      <c r="I1208" s="15">
        <v>2.3566726830832559E-2</v>
      </c>
    </row>
    <row r="1209" spans="1:9" x14ac:dyDescent="0.2">
      <c r="A1209" s="2" t="s">
        <v>3623</v>
      </c>
      <c r="B1209" s="2" t="s">
        <v>3624</v>
      </c>
      <c r="C1209" s="2" t="s">
        <v>3625</v>
      </c>
      <c r="D1209" s="2" t="s">
        <v>10042</v>
      </c>
      <c r="E1209" s="15">
        <v>0.21990000000000001</v>
      </c>
      <c r="F1209" s="15">
        <v>9.3399999999999997E-2</v>
      </c>
      <c r="G1209" s="15">
        <v>0.18529999999999999</v>
      </c>
      <c r="H1209" s="15">
        <v>0.1085</v>
      </c>
      <c r="I1209" s="15">
        <v>0.38468173789945209</v>
      </c>
    </row>
    <row r="1210" spans="1:9" x14ac:dyDescent="0.2">
      <c r="A1210" s="2" t="s">
        <v>3626</v>
      </c>
      <c r="B1210" s="2" t="s">
        <v>3627</v>
      </c>
      <c r="C1210" s="2" t="s">
        <v>3628</v>
      </c>
      <c r="D1210" s="2" t="s">
        <v>10042</v>
      </c>
      <c r="E1210" s="15">
        <v>0.1215</v>
      </c>
      <c r="F1210" s="15">
        <v>8.5099999999999995E-2</v>
      </c>
      <c r="G1210" s="15">
        <v>6.2300000000000001E-2</v>
      </c>
      <c r="H1210" s="15">
        <v>0.16259999999999999</v>
      </c>
      <c r="I1210" s="15">
        <v>0.36562923885723098</v>
      </c>
    </row>
    <row r="1211" spans="1:9" x14ac:dyDescent="0.2">
      <c r="A1211" s="2" t="s">
        <v>3629</v>
      </c>
      <c r="B1211" s="2" t="s">
        <v>3630</v>
      </c>
      <c r="C1211" s="2" t="s">
        <v>3631</v>
      </c>
      <c r="D1211" s="2" t="s">
        <v>10042</v>
      </c>
      <c r="E1211" s="15">
        <v>-5.6899999999999999E-2</v>
      </c>
      <c r="F1211" s="15">
        <v>0.1532</v>
      </c>
      <c r="G1211" s="15">
        <v>-3.2000000000000001E-2</v>
      </c>
      <c r="H1211" s="15">
        <v>0.13220000000000001</v>
      </c>
      <c r="I1211" s="15">
        <v>0.43151076576538472</v>
      </c>
    </row>
    <row r="1212" spans="1:9" x14ac:dyDescent="0.2">
      <c r="A1212" s="2" t="s">
        <v>3632</v>
      </c>
      <c r="B1212" s="2" t="s">
        <v>3633</v>
      </c>
      <c r="C1212" s="2" t="s">
        <v>3634</v>
      </c>
      <c r="D1212" s="2" t="s">
        <v>10042</v>
      </c>
      <c r="E1212" s="15">
        <v>6.9500000000000006E-2</v>
      </c>
      <c r="F1212" s="15">
        <v>9.1300000000000006E-2</v>
      </c>
      <c r="G1212" s="15">
        <v>7.5300000000000006E-2</v>
      </c>
      <c r="H1212" s="15">
        <v>8.4900000000000003E-2</v>
      </c>
      <c r="I1212" s="15">
        <v>0.47626532399084848</v>
      </c>
    </row>
    <row r="1213" spans="1:9" x14ac:dyDescent="0.2">
      <c r="A1213" s="2" t="s">
        <v>3635</v>
      </c>
      <c r="B1213" s="2" t="s">
        <v>3636</v>
      </c>
      <c r="C1213" s="2" t="s">
        <v>3637</v>
      </c>
      <c r="D1213" s="2" t="s">
        <v>10042</v>
      </c>
      <c r="E1213" s="15">
        <v>0.2069</v>
      </c>
      <c r="F1213" s="15">
        <v>8.6099999999999996E-2</v>
      </c>
      <c r="G1213" s="15">
        <v>0.1031</v>
      </c>
      <c r="H1213" s="15">
        <v>7.6899999999999996E-2</v>
      </c>
      <c r="I1213" s="15">
        <v>0.13031512612917609</v>
      </c>
    </row>
    <row r="1214" spans="1:9" x14ac:dyDescent="0.2">
      <c r="A1214" s="2" t="s">
        <v>3638</v>
      </c>
      <c r="B1214" s="2" t="s">
        <v>3639</v>
      </c>
      <c r="C1214" s="2" t="s">
        <v>3640</v>
      </c>
      <c r="D1214" s="2" t="s">
        <v>10042</v>
      </c>
      <c r="E1214" s="15">
        <v>0.2646</v>
      </c>
      <c r="F1214" s="15">
        <v>0.1139</v>
      </c>
      <c r="G1214" s="15">
        <v>0.22650000000000001</v>
      </c>
      <c r="H1214" s="15">
        <v>0.29339999999999999</v>
      </c>
      <c r="I1214" s="15">
        <v>0.44921321700352518</v>
      </c>
    </row>
    <row r="1215" spans="1:9" x14ac:dyDescent="0.2">
      <c r="A1215" s="2" t="s">
        <v>3641</v>
      </c>
      <c r="B1215" s="2" t="s">
        <v>3642</v>
      </c>
      <c r="C1215" s="2" t="s">
        <v>3643</v>
      </c>
      <c r="D1215" s="2" t="s">
        <v>10042</v>
      </c>
      <c r="E1215" s="15">
        <v>0.1983</v>
      </c>
      <c r="F1215" s="15">
        <v>8.8700000000000001E-2</v>
      </c>
      <c r="G1215" s="15">
        <v>6.0999999999999999E-2</v>
      </c>
      <c r="H1215" s="15">
        <v>8.3599999999999994E-2</v>
      </c>
      <c r="I1215" s="15">
        <v>8.0339573633354908E-2</v>
      </c>
    </row>
    <row r="1216" spans="1:9" x14ac:dyDescent="0.2">
      <c r="A1216" s="2" t="s">
        <v>3644</v>
      </c>
      <c r="B1216" s="2" t="s">
        <v>3645</v>
      </c>
      <c r="C1216" s="2" t="s">
        <v>3646</v>
      </c>
      <c r="D1216" s="2" t="s">
        <v>10042</v>
      </c>
      <c r="E1216" s="15">
        <v>0.20599999999999999</v>
      </c>
      <c r="F1216" s="15">
        <v>0.1406</v>
      </c>
      <c r="G1216" s="15">
        <v>-8.1199999999999994E-2</v>
      </c>
      <c r="H1216" s="15">
        <v>0.111</v>
      </c>
      <c r="I1216" s="15">
        <v>1.1240696892413349E-2</v>
      </c>
    </row>
    <row r="1217" spans="1:9" x14ac:dyDescent="0.2">
      <c r="A1217" s="2" t="s">
        <v>3647</v>
      </c>
      <c r="B1217" s="2" t="s">
        <v>3648</v>
      </c>
      <c r="C1217" s="2" t="s">
        <v>3649</v>
      </c>
      <c r="D1217" s="2" t="s">
        <v>10042</v>
      </c>
      <c r="E1217" s="15">
        <v>0.25740000000000002</v>
      </c>
      <c r="F1217" s="15">
        <v>9.5600000000000004E-2</v>
      </c>
      <c r="G1217" s="15">
        <v>0.1741</v>
      </c>
      <c r="H1217" s="15">
        <v>0.1212</v>
      </c>
      <c r="I1217" s="15">
        <v>0.25968518943550373</v>
      </c>
    </row>
    <row r="1218" spans="1:9" x14ac:dyDescent="0.2">
      <c r="A1218" s="2" t="s">
        <v>3650</v>
      </c>
      <c r="B1218" s="2" t="s">
        <v>3651</v>
      </c>
      <c r="C1218" s="2" t="s">
        <v>3652</v>
      </c>
      <c r="D1218" s="2" t="s">
        <v>10042</v>
      </c>
      <c r="E1218" s="15">
        <v>6.4500000000000002E-2</v>
      </c>
      <c r="F1218" s="15">
        <v>0.15620000000000001</v>
      </c>
      <c r="G1218" s="15">
        <v>-6.7999999999999996E-3</v>
      </c>
      <c r="H1218" s="15">
        <v>0.1197</v>
      </c>
      <c r="I1218" s="15">
        <v>0.29416626035349919</v>
      </c>
    </row>
    <row r="1219" spans="1:9" x14ac:dyDescent="0.2">
      <c r="A1219" s="2" t="s">
        <v>3653</v>
      </c>
      <c r="B1219" s="2" t="s">
        <v>3654</v>
      </c>
      <c r="C1219" s="2" t="s">
        <v>3655</v>
      </c>
      <c r="D1219" s="2" t="s">
        <v>10042</v>
      </c>
      <c r="E1219" s="15">
        <v>0.21709999999999999</v>
      </c>
      <c r="F1219" s="15">
        <v>0.1323</v>
      </c>
      <c r="G1219" s="15">
        <v>0.2026</v>
      </c>
      <c r="H1219" s="15">
        <v>0.1522</v>
      </c>
      <c r="I1219" s="15">
        <v>0.46546167331249783</v>
      </c>
    </row>
    <row r="1220" spans="1:9" x14ac:dyDescent="0.2">
      <c r="A1220" s="2" t="s">
        <v>3656</v>
      </c>
      <c r="B1220" s="2" t="s">
        <v>3657</v>
      </c>
      <c r="C1220" s="2" t="s">
        <v>3658</v>
      </c>
      <c r="D1220" s="2" t="s">
        <v>10042</v>
      </c>
      <c r="E1220" s="15">
        <v>0.12139999999999999</v>
      </c>
      <c r="F1220" s="15">
        <v>0.12770000000000001</v>
      </c>
      <c r="G1220" s="15">
        <v>9.11E-2</v>
      </c>
      <c r="H1220" s="15">
        <v>8.2699999999999996E-2</v>
      </c>
      <c r="I1220" s="15">
        <v>0.37453829259121302</v>
      </c>
    </row>
    <row r="1221" spans="1:9" x14ac:dyDescent="0.2">
      <c r="A1221" s="2" t="s">
        <v>3659</v>
      </c>
      <c r="B1221" s="2" t="s">
        <v>3660</v>
      </c>
      <c r="C1221" s="2" t="s">
        <v>3661</v>
      </c>
      <c r="D1221" s="2" t="s">
        <v>10042</v>
      </c>
      <c r="E1221" s="15">
        <v>0.1787</v>
      </c>
      <c r="F1221" s="15">
        <v>9.1700000000000004E-2</v>
      </c>
      <c r="G1221" s="15">
        <v>5.04E-2</v>
      </c>
      <c r="H1221" s="15">
        <v>0.125</v>
      </c>
      <c r="I1221" s="15">
        <v>0.1715802508738562</v>
      </c>
    </row>
    <row r="1222" spans="1:9" x14ac:dyDescent="0.2">
      <c r="A1222" s="2" t="s">
        <v>3662</v>
      </c>
      <c r="B1222" s="2" t="s">
        <v>3663</v>
      </c>
      <c r="C1222" s="2" t="s">
        <v>3664</v>
      </c>
      <c r="D1222" s="2" t="s">
        <v>10042</v>
      </c>
      <c r="E1222" s="15">
        <v>1.35E-2</v>
      </c>
      <c r="F1222" s="15">
        <v>8.6199999999999999E-2</v>
      </c>
      <c r="G1222" s="15">
        <v>0.1234</v>
      </c>
      <c r="H1222" s="15">
        <v>0.1333</v>
      </c>
      <c r="I1222" s="15">
        <v>0.22482645003481111</v>
      </c>
    </row>
    <row r="1223" spans="1:9" x14ac:dyDescent="0.2">
      <c r="A1223" s="2" t="s">
        <v>3665</v>
      </c>
      <c r="B1223" s="2" t="s">
        <v>3666</v>
      </c>
      <c r="C1223" s="2" t="s">
        <v>3667</v>
      </c>
      <c r="D1223" s="2" t="s">
        <v>10042</v>
      </c>
      <c r="E1223" s="15">
        <v>3.6900000000000002E-2</v>
      </c>
      <c r="F1223" s="15">
        <v>9.2200000000000004E-2</v>
      </c>
      <c r="G1223" s="15">
        <v>2.0899999999999998E-2</v>
      </c>
      <c r="H1223" s="15">
        <v>7.1599999999999997E-2</v>
      </c>
      <c r="I1223" s="15">
        <v>0.42642101290551448</v>
      </c>
    </row>
    <row r="1224" spans="1:9" x14ac:dyDescent="0.2">
      <c r="A1224" s="2" t="s">
        <v>3668</v>
      </c>
      <c r="B1224" s="2" t="s">
        <v>3669</v>
      </c>
      <c r="C1224" s="2" t="s">
        <v>3670</v>
      </c>
      <c r="D1224" s="2" t="s">
        <v>10042</v>
      </c>
      <c r="E1224" s="15">
        <v>0.1646</v>
      </c>
      <c r="F1224" s="15">
        <v>9.2899999999999996E-2</v>
      </c>
      <c r="G1224" s="15">
        <v>4.6699999999999998E-2</v>
      </c>
      <c r="H1224" s="15">
        <v>8.6499999999999994E-2</v>
      </c>
      <c r="I1224" s="15">
        <v>0.11429516423322959</v>
      </c>
    </row>
    <row r="1225" spans="1:9" x14ac:dyDescent="0.2">
      <c r="A1225" s="2" t="s">
        <v>3671</v>
      </c>
      <c r="B1225" s="2" t="s">
        <v>3672</v>
      </c>
      <c r="C1225" s="2" t="s">
        <v>3673</v>
      </c>
      <c r="D1225" s="2" t="s">
        <v>10042</v>
      </c>
      <c r="E1225" s="15">
        <v>0.18509999999999999</v>
      </c>
      <c r="F1225" s="15">
        <v>0.12790000000000001</v>
      </c>
      <c r="G1225" s="15">
        <v>0.22059999999999999</v>
      </c>
      <c r="H1225" s="15">
        <v>9.3200000000000005E-2</v>
      </c>
      <c r="I1225" s="15">
        <v>0.36700021157217583</v>
      </c>
    </row>
    <row r="1226" spans="1:9" x14ac:dyDescent="0.2">
      <c r="A1226" s="2" t="s">
        <v>3674</v>
      </c>
      <c r="B1226" s="2" t="s">
        <v>3675</v>
      </c>
      <c r="C1226" s="2" t="s">
        <v>3676</v>
      </c>
      <c r="D1226" s="2" t="s">
        <v>10042</v>
      </c>
      <c r="E1226" s="15">
        <v>4.2099999999999999E-2</v>
      </c>
      <c r="F1226" s="15">
        <v>0.19220000000000001</v>
      </c>
      <c r="G1226" s="15">
        <v>3.2800000000000003E-2</v>
      </c>
      <c r="H1226" s="15">
        <v>0.22900000000000001</v>
      </c>
      <c r="I1226" s="15">
        <v>0.48453474615694581</v>
      </c>
    </row>
    <row r="1227" spans="1:9" x14ac:dyDescent="0.2">
      <c r="A1227" s="2" t="s">
        <v>3677</v>
      </c>
      <c r="B1227" s="2" t="s">
        <v>3678</v>
      </c>
      <c r="C1227" s="2" t="s">
        <v>3679</v>
      </c>
      <c r="D1227" s="2" t="s">
        <v>10042</v>
      </c>
      <c r="E1227" s="15">
        <v>0.2079</v>
      </c>
      <c r="F1227" s="15">
        <v>9.8799999999999999E-2</v>
      </c>
      <c r="G1227" s="15">
        <v>5.3600000000000002E-2</v>
      </c>
      <c r="H1227" s="15">
        <v>9.74E-2</v>
      </c>
      <c r="I1227" s="15">
        <v>8.3412104351467217E-2</v>
      </c>
    </row>
    <row r="1228" spans="1:9" x14ac:dyDescent="0.2">
      <c r="A1228" s="2" t="s">
        <v>3680</v>
      </c>
      <c r="B1228" s="2" t="s">
        <v>3681</v>
      </c>
      <c r="C1228" s="2" t="s">
        <v>3682</v>
      </c>
      <c r="D1228" s="2" t="s">
        <v>10042</v>
      </c>
      <c r="E1228" s="15">
        <v>0.1376</v>
      </c>
      <c r="F1228" s="15">
        <v>8.7999999999999995E-2</v>
      </c>
      <c r="G1228" s="15">
        <v>7.4099999999999999E-2</v>
      </c>
      <c r="H1228" s="15">
        <v>9.7299999999999998E-2</v>
      </c>
      <c r="I1228" s="15">
        <v>0.27862104877892002</v>
      </c>
    </row>
    <row r="1229" spans="1:9" x14ac:dyDescent="0.2">
      <c r="A1229" s="2" t="s">
        <v>3683</v>
      </c>
      <c r="B1229" s="2" t="s">
        <v>3684</v>
      </c>
      <c r="C1229" s="2" t="s">
        <v>3685</v>
      </c>
      <c r="D1229" s="2" t="s">
        <v>10042</v>
      </c>
      <c r="E1229" s="15">
        <v>0.2165</v>
      </c>
      <c r="F1229" s="15">
        <v>0.13089999999999999</v>
      </c>
      <c r="G1229" s="15">
        <v>0.13039999999999999</v>
      </c>
      <c r="H1229" s="15">
        <v>0.1323</v>
      </c>
      <c r="I1229" s="15">
        <v>0.28348084888272501</v>
      </c>
    </row>
    <row r="1230" spans="1:9" x14ac:dyDescent="0.2">
      <c r="A1230" s="2" t="s">
        <v>3686</v>
      </c>
      <c r="B1230" s="2" t="s">
        <v>3687</v>
      </c>
      <c r="C1230" s="2" t="s">
        <v>3688</v>
      </c>
      <c r="D1230" s="2" t="s">
        <v>10042</v>
      </c>
      <c r="E1230" s="15">
        <v>-3.9199999999999999E-2</v>
      </c>
      <c r="F1230" s="15">
        <v>0.12540000000000001</v>
      </c>
      <c r="G1230" s="15">
        <v>8.6199999999999999E-2</v>
      </c>
      <c r="H1230" s="15">
        <v>9.1600000000000001E-2</v>
      </c>
      <c r="I1230" s="15">
        <v>0.1160453803678155</v>
      </c>
    </row>
    <row r="1231" spans="1:9" x14ac:dyDescent="0.2">
      <c r="A1231" s="2" t="s">
        <v>3689</v>
      </c>
      <c r="B1231" s="2" t="s">
        <v>3690</v>
      </c>
      <c r="C1231" s="2" t="s">
        <v>3691</v>
      </c>
      <c r="D1231" s="2" t="s">
        <v>10042</v>
      </c>
      <c r="E1231" s="15">
        <v>0.1075</v>
      </c>
      <c r="F1231" s="15">
        <v>9.1800000000000007E-2</v>
      </c>
      <c r="G1231" s="15">
        <v>0.23300000000000001</v>
      </c>
      <c r="H1231" s="15">
        <v>0.10589999999999999</v>
      </c>
      <c r="I1231" s="15">
        <v>0.14398987798599661</v>
      </c>
    </row>
    <row r="1232" spans="1:9" x14ac:dyDescent="0.2">
      <c r="A1232" s="2" t="s">
        <v>3692</v>
      </c>
      <c r="B1232" s="2" t="s">
        <v>3693</v>
      </c>
      <c r="C1232" s="2" t="s">
        <v>3694</v>
      </c>
      <c r="D1232" s="2" t="s">
        <v>10042</v>
      </c>
      <c r="E1232" s="15">
        <v>0.15429999999999999</v>
      </c>
      <c r="F1232" s="15">
        <v>0.1108</v>
      </c>
      <c r="G1232" s="15">
        <v>6.4500000000000002E-2</v>
      </c>
      <c r="H1232" s="15">
        <v>0.1041</v>
      </c>
      <c r="I1232" s="15">
        <v>0.22390315757126819</v>
      </c>
    </row>
    <row r="1233" spans="1:9" x14ac:dyDescent="0.2">
      <c r="A1233" s="2" t="s">
        <v>3695</v>
      </c>
      <c r="B1233" s="2" t="s">
        <v>3696</v>
      </c>
      <c r="C1233" s="2" t="s">
        <v>3697</v>
      </c>
      <c r="D1233" s="2" t="s">
        <v>10042</v>
      </c>
      <c r="E1233" s="15">
        <v>0.28239999999999998</v>
      </c>
      <c r="F1233" s="15">
        <v>9.35E-2</v>
      </c>
      <c r="G1233" s="15">
        <v>9.2499999999999999E-2</v>
      </c>
      <c r="H1233" s="15">
        <v>8.8999999999999996E-2</v>
      </c>
      <c r="I1233" s="15">
        <v>3.1236698987242861E-2</v>
      </c>
    </row>
    <row r="1234" spans="1:9" x14ac:dyDescent="0.2">
      <c r="A1234" s="2" t="s">
        <v>3698</v>
      </c>
      <c r="B1234" s="2" t="s">
        <v>3699</v>
      </c>
      <c r="C1234" s="2" t="s">
        <v>3700</v>
      </c>
      <c r="D1234" s="2" t="s">
        <v>10042</v>
      </c>
      <c r="E1234" s="15">
        <v>0.17929999999999999</v>
      </c>
      <c r="F1234" s="15">
        <v>0.13039999999999999</v>
      </c>
      <c r="G1234" s="15">
        <v>0.1323</v>
      </c>
      <c r="H1234" s="15">
        <v>0.1125</v>
      </c>
      <c r="I1234" s="15">
        <v>0.36540690819835808</v>
      </c>
    </row>
    <row r="1235" spans="1:9" x14ac:dyDescent="0.2">
      <c r="A1235" s="2" t="s">
        <v>3701</v>
      </c>
      <c r="B1235" s="2" t="s">
        <v>3702</v>
      </c>
      <c r="C1235" s="2" t="s">
        <v>3703</v>
      </c>
      <c r="D1235" s="2" t="s">
        <v>10042</v>
      </c>
      <c r="E1235" s="15">
        <v>0.20230000000000001</v>
      </c>
      <c r="F1235" s="15">
        <v>9.3299999999999994E-2</v>
      </c>
      <c r="G1235" s="15">
        <v>0.1163</v>
      </c>
      <c r="H1235" s="15">
        <v>7.4700000000000003E-2</v>
      </c>
      <c r="I1235" s="15">
        <v>0.1620279209467185</v>
      </c>
    </row>
    <row r="1236" spans="1:9" x14ac:dyDescent="0.2">
      <c r="A1236" s="2" t="s">
        <v>3704</v>
      </c>
      <c r="B1236" s="2" t="s">
        <v>3705</v>
      </c>
      <c r="C1236" s="2" t="s">
        <v>3706</v>
      </c>
      <c r="D1236" s="2" t="s">
        <v>10042</v>
      </c>
      <c r="E1236" s="15">
        <v>0.11459999999999999</v>
      </c>
      <c r="F1236" s="15">
        <v>0.1193</v>
      </c>
      <c r="G1236" s="15">
        <v>0.12859999999999999</v>
      </c>
      <c r="H1236" s="15">
        <v>0.14799999999999999</v>
      </c>
      <c r="I1236" s="15">
        <v>0.4641584349239517</v>
      </c>
    </row>
    <row r="1237" spans="1:9" x14ac:dyDescent="0.2">
      <c r="A1237" s="2" t="s">
        <v>3707</v>
      </c>
      <c r="B1237" s="2" t="s">
        <v>3708</v>
      </c>
      <c r="C1237" s="2" t="s">
        <v>3709</v>
      </c>
      <c r="D1237" s="2" t="s">
        <v>10042</v>
      </c>
      <c r="E1237" s="15">
        <v>0.156</v>
      </c>
      <c r="F1237" s="15">
        <v>8.0399999999999999E-2</v>
      </c>
      <c r="G1237" s="15">
        <v>0.14549999999999999</v>
      </c>
      <c r="H1237" s="15">
        <v>9.4899999999999998E-2</v>
      </c>
      <c r="I1237" s="15">
        <v>0.46064229876279089</v>
      </c>
    </row>
    <row r="1238" spans="1:9" x14ac:dyDescent="0.2">
      <c r="A1238" s="2" t="s">
        <v>3710</v>
      </c>
      <c r="B1238" s="2" t="s">
        <v>3711</v>
      </c>
      <c r="C1238" s="2" t="s">
        <v>3712</v>
      </c>
      <c r="D1238" s="2" t="s">
        <v>10042</v>
      </c>
      <c r="E1238" s="15">
        <v>0.1192</v>
      </c>
      <c r="F1238" s="15">
        <v>0.11509999999999999</v>
      </c>
      <c r="G1238" s="15">
        <v>0.29920000000000002</v>
      </c>
      <c r="H1238" s="15">
        <v>0.189</v>
      </c>
      <c r="I1238" s="15">
        <v>0.18529021645683111</v>
      </c>
    </row>
    <row r="1239" spans="1:9" x14ac:dyDescent="0.2">
      <c r="A1239" s="2" t="s">
        <v>3713</v>
      </c>
      <c r="B1239" s="2" t="s">
        <v>3714</v>
      </c>
      <c r="C1239" s="2" t="s">
        <v>3715</v>
      </c>
      <c r="D1239" s="2" t="s">
        <v>10042</v>
      </c>
      <c r="E1239" s="15">
        <v>6.2600000000000003E-2</v>
      </c>
      <c r="F1239" s="15">
        <v>0.1013</v>
      </c>
      <c r="G1239" s="15">
        <v>0.13039999999999999</v>
      </c>
      <c r="H1239" s="15">
        <v>0.1162</v>
      </c>
      <c r="I1239" s="15">
        <v>0.29994527007008648</v>
      </c>
    </row>
    <row r="1240" spans="1:9" x14ac:dyDescent="0.2">
      <c r="A1240" s="2" t="s">
        <v>3716</v>
      </c>
      <c r="B1240" s="2" t="s">
        <v>3717</v>
      </c>
      <c r="C1240" s="2" t="s">
        <v>3718</v>
      </c>
      <c r="D1240" s="2" t="s">
        <v>10042</v>
      </c>
      <c r="E1240" s="15">
        <v>4.9399999999999999E-2</v>
      </c>
      <c r="F1240" s="15">
        <v>7.0699999999999999E-2</v>
      </c>
      <c r="G1240" s="15">
        <v>4.8099999999999997E-2</v>
      </c>
      <c r="H1240" s="15">
        <v>0.1004</v>
      </c>
      <c r="I1240" s="15">
        <v>0.49528985048737018</v>
      </c>
    </row>
    <row r="1241" spans="1:9" x14ac:dyDescent="0.2">
      <c r="A1241" s="2" t="s">
        <v>3719</v>
      </c>
      <c r="B1241" s="2" t="s">
        <v>3720</v>
      </c>
      <c r="C1241" s="2" t="s">
        <v>3721</v>
      </c>
      <c r="D1241" s="2" t="s">
        <v>10042</v>
      </c>
      <c r="E1241" s="15">
        <v>-6.0000000000000001E-3</v>
      </c>
      <c r="F1241" s="15">
        <v>0.13009999999999999</v>
      </c>
    </row>
    <row r="1242" spans="1:9" x14ac:dyDescent="0.2">
      <c r="A1242" s="2" t="s">
        <v>3722</v>
      </c>
      <c r="B1242" s="2" t="s">
        <v>3723</v>
      </c>
      <c r="C1242" s="2" t="s">
        <v>3724</v>
      </c>
      <c r="D1242" s="2" t="s">
        <v>10042</v>
      </c>
      <c r="E1242" s="15">
        <v>0.15029999999999999</v>
      </c>
      <c r="F1242" s="15">
        <v>0.106</v>
      </c>
      <c r="G1242" s="15">
        <v>-0.16769999999999999</v>
      </c>
      <c r="H1242" s="15">
        <v>0.35659999999999997</v>
      </c>
      <c r="I1242" s="15">
        <v>0.18906843349115951</v>
      </c>
    </row>
    <row r="1243" spans="1:9" x14ac:dyDescent="0.2">
      <c r="A1243" s="2" t="s">
        <v>3725</v>
      </c>
      <c r="B1243" s="2" t="s">
        <v>3726</v>
      </c>
      <c r="C1243" s="2" t="s">
        <v>3727</v>
      </c>
      <c r="D1243" s="2" t="s">
        <v>10042</v>
      </c>
      <c r="E1243" s="15">
        <v>0.10829999999999999</v>
      </c>
      <c r="F1243" s="15">
        <v>9.8799999999999999E-2</v>
      </c>
      <c r="G1243" s="15">
        <v>-6.6299999999999998E-2</v>
      </c>
      <c r="H1243" s="15">
        <v>0.106</v>
      </c>
      <c r="I1243" s="15">
        <v>7.2638737838831458E-2</v>
      </c>
    </row>
    <row r="1244" spans="1:9" x14ac:dyDescent="0.2">
      <c r="A1244" s="2" t="s">
        <v>3728</v>
      </c>
      <c r="B1244" s="2" t="s">
        <v>3729</v>
      </c>
      <c r="C1244" s="2" t="s">
        <v>3730</v>
      </c>
      <c r="D1244" s="2" t="s">
        <v>10042</v>
      </c>
      <c r="E1244" s="15">
        <v>0.1391</v>
      </c>
      <c r="F1244" s="15">
        <v>8.8400000000000006E-2</v>
      </c>
      <c r="G1244" s="15">
        <v>0.152</v>
      </c>
      <c r="H1244" s="15">
        <v>0.08</v>
      </c>
      <c r="I1244" s="15">
        <v>0.44474260706869129</v>
      </c>
    </row>
    <row r="1245" spans="1:9" x14ac:dyDescent="0.2">
      <c r="A1245" s="2" t="s">
        <v>3731</v>
      </c>
      <c r="B1245" s="2" t="s">
        <v>3732</v>
      </c>
      <c r="C1245" s="2" t="s">
        <v>3733</v>
      </c>
      <c r="D1245" s="2" t="s">
        <v>10042</v>
      </c>
      <c r="E1245" s="15">
        <v>7.7000000000000002E-3</v>
      </c>
      <c r="F1245" s="15">
        <v>0.1079</v>
      </c>
      <c r="G1245" s="15">
        <v>-2.9000000000000001E-2</v>
      </c>
      <c r="H1245" s="15">
        <v>8.6499999999999994E-2</v>
      </c>
      <c r="I1245" s="15">
        <v>0.35498561266600132</v>
      </c>
    </row>
    <row r="1246" spans="1:9" x14ac:dyDescent="0.2">
      <c r="A1246" s="2" t="s">
        <v>3734</v>
      </c>
      <c r="B1246" s="2" t="s">
        <v>3735</v>
      </c>
      <c r="C1246" s="2" t="s">
        <v>3736</v>
      </c>
      <c r="D1246" s="2" t="s">
        <v>10042</v>
      </c>
      <c r="E1246" s="15">
        <v>9.6000000000000002E-2</v>
      </c>
      <c r="F1246" s="15">
        <v>9.4500000000000001E-2</v>
      </c>
      <c r="G1246" s="15">
        <v>0.1928</v>
      </c>
      <c r="H1246" s="15">
        <v>9.6299999999999997E-2</v>
      </c>
      <c r="I1246" s="15">
        <v>0.18687991646180979</v>
      </c>
    </row>
    <row r="1247" spans="1:9" x14ac:dyDescent="0.2">
      <c r="A1247" s="2" t="s">
        <v>3737</v>
      </c>
      <c r="B1247" s="2" t="s">
        <v>3738</v>
      </c>
      <c r="C1247" s="2" t="s">
        <v>3739</v>
      </c>
      <c r="D1247" s="2" t="s">
        <v>10042</v>
      </c>
      <c r="E1247" s="15">
        <v>0.24890000000000001</v>
      </c>
      <c r="F1247" s="15">
        <v>0.1041</v>
      </c>
      <c r="G1247" s="15">
        <v>0.222</v>
      </c>
      <c r="H1247" s="15">
        <v>9.7100000000000006E-2</v>
      </c>
      <c r="I1247" s="15">
        <v>0.40256617579469411</v>
      </c>
    </row>
    <row r="1248" spans="1:9" x14ac:dyDescent="0.2">
      <c r="A1248" s="2" t="s">
        <v>3740</v>
      </c>
      <c r="B1248" s="2" t="s">
        <v>3741</v>
      </c>
      <c r="C1248" s="2" t="s">
        <v>3742</v>
      </c>
      <c r="D1248" s="2" t="s">
        <v>10042</v>
      </c>
      <c r="E1248" s="15">
        <v>4.3099999999999999E-2</v>
      </c>
      <c r="F1248" s="15">
        <v>9.4600000000000004E-2</v>
      </c>
      <c r="G1248" s="15">
        <v>-2.3699999999999999E-2</v>
      </c>
      <c r="H1248" s="15">
        <v>9.9400000000000002E-2</v>
      </c>
      <c r="I1248" s="15">
        <v>0.27301073135396942</v>
      </c>
    </row>
    <row r="1249" spans="1:9" x14ac:dyDescent="0.2">
      <c r="A1249" s="2" t="s">
        <v>3743</v>
      </c>
      <c r="B1249" s="2" t="s">
        <v>3744</v>
      </c>
      <c r="C1249" s="2" t="s">
        <v>3745</v>
      </c>
      <c r="D1249" s="2" t="s">
        <v>10042</v>
      </c>
      <c r="E1249" s="15">
        <v>0.1903</v>
      </c>
      <c r="F1249" s="15">
        <v>0.1575</v>
      </c>
      <c r="G1249" s="15">
        <v>0.16039999999999999</v>
      </c>
      <c r="H1249" s="15">
        <v>0.14710000000000001</v>
      </c>
      <c r="I1249" s="15">
        <v>0.42701625075542898</v>
      </c>
    </row>
    <row r="1250" spans="1:9" x14ac:dyDescent="0.2">
      <c r="A1250" s="2" t="s">
        <v>3746</v>
      </c>
      <c r="B1250" s="2" t="s">
        <v>3747</v>
      </c>
      <c r="C1250" s="2" t="s">
        <v>3748</v>
      </c>
      <c r="D1250" s="2" t="s">
        <v>10042</v>
      </c>
      <c r="E1250" s="15">
        <v>0.20330000000000001</v>
      </c>
      <c r="F1250" s="15">
        <v>0.14910000000000001</v>
      </c>
      <c r="G1250" s="15">
        <v>0.21870000000000001</v>
      </c>
      <c r="H1250" s="15">
        <v>0.1087</v>
      </c>
      <c r="I1250" s="15">
        <v>0.44872228497529443</v>
      </c>
    </row>
    <row r="1251" spans="1:9" x14ac:dyDescent="0.2">
      <c r="A1251" s="2" t="s">
        <v>3749</v>
      </c>
      <c r="B1251" s="2" t="s">
        <v>3750</v>
      </c>
      <c r="C1251" s="2" t="s">
        <v>3751</v>
      </c>
      <c r="D1251" s="2" t="s">
        <v>10042</v>
      </c>
      <c r="E1251" s="15">
        <v>8.0399999999999999E-2</v>
      </c>
      <c r="F1251" s="15">
        <v>0.1062</v>
      </c>
      <c r="G1251" s="15">
        <v>5.1900000000000002E-2</v>
      </c>
      <c r="H1251" s="15">
        <v>0.13350000000000001</v>
      </c>
      <c r="I1251" s="15">
        <v>0.42244547228703361</v>
      </c>
    </row>
    <row r="1252" spans="1:9" x14ac:dyDescent="0.2">
      <c r="A1252" s="2" t="s">
        <v>3752</v>
      </c>
      <c r="B1252" s="2" t="s">
        <v>3753</v>
      </c>
      <c r="C1252" s="2" t="s">
        <v>3754</v>
      </c>
      <c r="D1252" s="2" t="s">
        <v>10042</v>
      </c>
      <c r="E1252" s="15">
        <v>0.22869999999999999</v>
      </c>
      <c r="F1252" s="15">
        <v>0.12089999999999999</v>
      </c>
      <c r="G1252" s="15">
        <v>0.18290000000000001</v>
      </c>
      <c r="H1252" s="15">
        <v>0.1119</v>
      </c>
      <c r="I1252" s="15">
        <v>0.35322265201385322</v>
      </c>
    </row>
    <row r="1253" spans="1:9" x14ac:dyDescent="0.2">
      <c r="A1253" s="2" t="s">
        <v>3755</v>
      </c>
      <c r="B1253" s="2" t="s">
        <v>3756</v>
      </c>
      <c r="C1253" s="2" t="s">
        <v>3757</v>
      </c>
      <c r="D1253" s="2" t="s">
        <v>10042</v>
      </c>
      <c r="E1253" s="15">
        <v>0.1077</v>
      </c>
      <c r="F1253" s="15">
        <v>9.6299999999999997E-2</v>
      </c>
      <c r="G1253" s="15">
        <v>0.13289999999999999</v>
      </c>
      <c r="H1253" s="15">
        <v>0.16300000000000001</v>
      </c>
      <c r="I1253" s="15">
        <v>0.44175778804868809</v>
      </c>
    </row>
    <row r="1254" spans="1:9" x14ac:dyDescent="0.2">
      <c r="A1254" s="2" t="s">
        <v>3758</v>
      </c>
      <c r="B1254" s="2" t="s">
        <v>3759</v>
      </c>
      <c r="C1254" s="2" t="s">
        <v>3760</v>
      </c>
      <c r="D1254" s="2" t="s">
        <v>10042</v>
      </c>
      <c r="E1254" s="15">
        <v>7.7499999999999999E-2</v>
      </c>
      <c r="F1254" s="15">
        <v>9.5200000000000007E-2</v>
      </c>
      <c r="G1254" s="15">
        <v>0.24249999999999999</v>
      </c>
      <c r="H1254" s="15">
        <v>0.2293</v>
      </c>
      <c r="I1254" s="15">
        <v>0.2443734227206813</v>
      </c>
    </row>
    <row r="1255" spans="1:9" x14ac:dyDescent="0.2">
      <c r="A1255" s="2" t="s">
        <v>3761</v>
      </c>
      <c r="B1255" s="2" t="s">
        <v>3762</v>
      </c>
      <c r="C1255" s="2" t="s">
        <v>3763</v>
      </c>
      <c r="D1255" s="2" t="s">
        <v>10042</v>
      </c>
      <c r="E1255" s="15">
        <v>0.25729999999999997</v>
      </c>
      <c r="F1255" s="15">
        <v>0.1472</v>
      </c>
      <c r="G1255" s="15">
        <v>7.7200000000000005E-2</v>
      </c>
      <c r="H1255" s="15">
        <v>7.6200000000000004E-2</v>
      </c>
      <c r="I1255" s="15">
        <v>2.4685492434013391E-2</v>
      </c>
    </row>
    <row r="1256" spans="1:9" x14ac:dyDescent="0.2">
      <c r="A1256" s="2" t="s">
        <v>3764</v>
      </c>
      <c r="B1256" s="2" t="s">
        <v>3765</v>
      </c>
      <c r="C1256" s="2" t="s">
        <v>3766</v>
      </c>
      <c r="D1256" s="2" t="s">
        <v>10042</v>
      </c>
      <c r="E1256" s="15">
        <v>0.15190000000000001</v>
      </c>
      <c r="F1256" s="15">
        <v>7.2700000000000001E-2</v>
      </c>
      <c r="G1256" s="15">
        <v>6.8199999999999997E-2</v>
      </c>
      <c r="H1256" s="15">
        <v>9.2399999999999996E-2</v>
      </c>
      <c r="I1256" s="15">
        <v>0.2056497973928407</v>
      </c>
    </row>
    <row r="1257" spans="1:9" x14ac:dyDescent="0.2">
      <c r="A1257" s="2" t="s">
        <v>3767</v>
      </c>
      <c r="B1257" s="2" t="s">
        <v>3768</v>
      </c>
      <c r="C1257" s="2" t="s">
        <v>3769</v>
      </c>
      <c r="D1257" s="2" t="s">
        <v>10042</v>
      </c>
      <c r="E1257" s="15">
        <v>2.0299999999999999E-2</v>
      </c>
      <c r="F1257" s="15">
        <v>6.9900000000000004E-2</v>
      </c>
      <c r="G1257" s="15">
        <v>0.1605</v>
      </c>
      <c r="H1257" s="15">
        <v>9.01E-2</v>
      </c>
      <c r="I1257" s="15">
        <v>8.0292708419423972E-2</v>
      </c>
    </row>
    <row r="1258" spans="1:9" x14ac:dyDescent="0.2">
      <c r="A1258" s="2" t="s">
        <v>3770</v>
      </c>
      <c r="B1258" s="2" t="s">
        <v>3771</v>
      </c>
      <c r="C1258" s="2" t="s">
        <v>3772</v>
      </c>
      <c r="D1258" s="2" t="s">
        <v>10042</v>
      </c>
      <c r="E1258" s="15">
        <v>0.21190000000000001</v>
      </c>
      <c r="F1258" s="15">
        <v>0.12609999999999999</v>
      </c>
      <c r="G1258" s="15">
        <v>0.2288</v>
      </c>
      <c r="H1258" s="15">
        <v>0.14849999999999999</v>
      </c>
      <c r="I1258" s="15">
        <v>0.45746841475244238</v>
      </c>
    </row>
    <row r="1259" spans="1:9" x14ac:dyDescent="0.2">
      <c r="A1259" s="2" t="s">
        <v>3773</v>
      </c>
      <c r="B1259" s="2" t="s">
        <v>3774</v>
      </c>
      <c r="C1259" s="2" t="s">
        <v>3775</v>
      </c>
      <c r="D1259" s="2" t="s">
        <v>10042</v>
      </c>
      <c r="E1259" s="15">
        <v>0.16250000000000001</v>
      </c>
      <c r="F1259" s="15">
        <v>0.1103</v>
      </c>
      <c r="G1259" s="15">
        <v>9.2999999999999999E-2</v>
      </c>
      <c r="H1259" s="15">
        <v>0.1055</v>
      </c>
      <c r="I1259" s="15">
        <v>0.28001809274611622</v>
      </c>
    </row>
    <row r="1260" spans="1:9" x14ac:dyDescent="0.2">
      <c r="A1260" s="2" t="s">
        <v>3776</v>
      </c>
      <c r="B1260" s="2" t="s">
        <v>3777</v>
      </c>
      <c r="C1260" s="2" t="s">
        <v>3778</v>
      </c>
      <c r="D1260" s="2" t="s">
        <v>10042</v>
      </c>
      <c r="E1260" s="15">
        <v>-4.1500000000000002E-2</v>
      </c>
      <c r="F1260" s="15">
        <v>0.1087</v>
      </c>
      <c r="G1260" s="15">
        <v>0.155</v>
      </c>
      <c r="H1260" s="15">
        <v>0.1104</v>
      </c>
      <c r="I1260" s="15">
        <v>6.1356925893866987E-2</v>
      </c>
    </row>
    <row r="1261" spans="1:9" x14ac:dyDescent="0.2">
      <c r="A1261" s="2" t="s">
        <v>3779</v>
      </c>
      <c r="B1261" s="2" t="s">
        <v>3780</v>
      </c>
      <c r="C1261" s="2" t="s">
        <v>3781</v>
      </c>
      <c r="D1261" s="2" t="s">
        <v>10042</v>
      </c>
      <c r="E1261" s="15">
        <v>0.1696</v>
      </c>
      <c r="F1261" s="15">
        <v>0.12540000000000001</v>
      </c>
      <c r="G1261" s="15">
        <v>0.1394</v>
      </c>
      <c r="H1261" s="15">
        <v>9.2200000000000004E-2</v>
      </c>
      <c r="I1261" s="15">
        <v>0.38929141214356072</v>
      </c>
    </row>
    <row r="1262" spans="1:9" x14ac:dyDescent="0.2">
      <c r="A1262" s="2" t="s">
        <v>3782</v>
      </c>
      <c r="B1262" s="2" t="s">
        <v>3783</v>
      </c>
      <c r="C1262" s="2" t="s">
        <v>3784</v>
      </c>
      <c r="D1262" s="2" t="s">
        <v>10042</v>
      </c>
      <c r="E1262" s="15">
        <v>0.12479999999999999</v>
      </c>
      <c r="F1262" s="15">
        <v>0.1011</v>
      </c>
      <c r="G1262" s="15">
        <v>-5.0500000000000003E-2</v>
      </c>
      <c r="H1262" s="15">
        <v>0.1125</v>
      </c>
      <c r="I1262" s="15">
        <v>7.7031124209865368E-2</v>
      </c>
    </row>
    <row r="1263" spans="1:9" x14ac:dyDescent="0.2">
      <c r="A1263" s="2" t="s">
        <v>3785</v>
      </c>
      <c r="B1263" s="2" t="s">
        <v>3786</v>
      </c>
      <c r="C1263" s="2" t="s">
        <v>3787</v>
      </c>
      <c r="D1263" s="2" t="s">
        <v>10042</v>
      </c>
      <c r="E1263" s="15">
        <v>9.0999999999999998E-2</v>
      </c>
      <c r="F1263" s="15">
        <v>8.43E-2</v>
      </c>
      <c r="G1263" s="15">
        <v>0.21540000000000001</v>
      </c>
      <c r="H1263" s="15">
        <v>0.16830000000000001</v>
      </c>
      <c r="I1263" s="15">
        <v>0.24024881957113281</v>
      </c>
    </row>
    <row r="1264" spans="1:9" x14ac:dyDescent="0.2">
      <c r="A1264" s="2" t="s">
        <v>3788</v>
      </c>
      <c r="B1264" s="2" t="s">
        <v>3789</v>
      </c>
      <c r="C1264" s="2" t="s">
        <v>3790</v>
      </c>
      <c r="D1264" s="2" t="s">
        <v>10042</v>
      </c>
      <c r="E1264" s="15">
        <v>0.11799999999999999</v>
      </c>
      <c r="F1264" s="15">
        <v>7.7499999999999999E-2</v>
      </c>
      <c r="G1264" s="15">
        <v>8.9599999999999999E-2</v>
      </c>
      <c r="H1264" s="15">
        <v>0.105</v>
      </c>
      <c r="I1264" s="15">
        <v>0.40301639795025851</v>
      </c>
    </row>
    <row r="1265" spans="1:9" x14ac:dyDescent="0.2">
      <c r="A1265" s="2" t="s">
        <v>3791</v>
      </c>
      <c r="B1265" s="2" t="s">
        <v>3792</v>
      </c>
      <c r="C1265" s="2" t="s">
        <v>3793</v>
      </c>
      <c r="D1265" s="2" t="s">
        <v>10042</v>
      </c>
      <c r="E1265" s="15">
        <v>0.14080000000000001</v>
      </c>
      <c r="F1265" s="15">
        <v>9.35E-2</v>
      </c>
      <c r="G1265" s="15">
        <v>-8.2000000000000007E-3</v>
      </c>
      <c r="H1265" s="15">
        <v>9.8000000000000004E-2</v>
      </c>
      <c r="I1265" s="15">
        <v>9.3306697730687907E-2</v>
      </c>
    </row>
    <row r="1266" spans="1:9" x14ac:dyDescent="0.2">
      <c r="A1266" s="2" t="s">
        <v>3794</v>
      </c>
      <c r="B1266" s="2" t="s">
        <v>3795</v>
      </c>
      <c r="C1266" s="2" t="s">
        <v>3796</v>
      </c>
      <c r="D1266" s="2" t="s">
        <v>10042</v>
      </c>
      <c r="E1266" s="15">
        <v>7.0999999999999994E-2</v>
      </c>
      <c r="F1266" s="15">
        <v>0.14610000000000001</v>
      </c>
      <c r="G1266" s="15">
        <v>3.5200000000000002E-2</v>
      </c>
      <c r="H1266" s="15">
        <v>8.7999999999999995E-2</v>
      </c>
      <c r="I1266" s="15">
        <v>0.36798656977790412</v>
      </c>
    </row>
    <row r="1267" spans="1:9" x14ac:dyDescent="0.2">
      <c r="A1267" s="2" t="s">
        <v>3797</v>
      </c>
      <c r="B1267" s="2" t="s">
        <v>3798</v>
      </c>
      <c r="C1267" s="2" t="s">
        <v>3799</v>
      </c>
      <c r="D1267" s="2" t="s">
        <v>10042</v>
      </c>
      <c r="E1267" s="15">
        <v>0.13400000000000001</v>
      </c>
      <c r="F1267" s="15">
        <v>0.1095</v>
      </c>
      <c r="G1267" s="15">
        <v>6.4000000000000003E-3</v>
      </c>
      <c r="H1267" s="15">
        <v>0.1111</v>
      </c>
      <c r="I1267" s="15">
        <v>0.15306763513146199</v>
      </c>
    </row>
    <row r="1268" spans="1:9" x14ac:dyDescent="0.2">
      <c r="A1268" s="2" t="s">
        <v>3800</v>
      </c>
      <c r="B1268" s="2" t="s">
        <v>3801</v>
      </c>
      <c r="C1268" s="2" t="s">
        <v>3802</v>
      </c>
      <c r="D1268" s="2" t="s">
        <v>10042</v>
      </c>
      <c r="E1268" s="15">
        <v>0.2142</v>
      </c>
      <c r="F1268" s="15">
        <v>7.8200000000000006E-2</v>
      </c>
      <c r="G1268" s="15">
        <v>6.8400000000000002E-2</v>
      </c>
      <c r="H1268" s="15">
        <v>0.1022</v>
      </c>
      <c r="I1268" s="15">
        <v>0.1011540588499885</v>
      </c>
    </row>
    <row r="1269" spans="1:9" x14ac:dyDescent="0.2">
      <c r="A1269" s="2" t="s">
        <v>3803</v>
      </c>
      <c r="B1269" s="2" t="s">
        <v>3804</v>
      </c>
      <c r="C1269" s="2" t="s">
        <v>3805</v>
      </c>
      <c r="D1269" s="2" t="s">
        <v>10042</v>
      </c>
      <c r="E1269" s="15">
        <v>0.2525</v>
      </c>
      <c r="F1269" s="15">
        <v>8.2100000000000006E-2</v>
      </c>
      <c r="G1269" s="15">
        <v>9.4799999999999995E-2</v>
      </c>
      <c r="H1269" s="15">
        <v>8.9599999999999999E-2</v>
      </c>
      <c r="I1269" s="15">
        <v>5.7232621682045209E-2</v>
      </c>
    </row>
    <row r="1270" spans="1:9" x14ac:dyDescent="0.2">
      <c r="A1270" s="2" t="s">
        <v>3806</v>
      </c>
      <c r="B1270" s="2" t="s">
        <v>3807</v>
      </c>
      <c r="C1270" s="2" t="s">
        <v>3808</v>
      </c>
      <c r="D1270" s="2" t="s">
        <v>10042</v>
      </c>
      <c r="E1270" s="15">
        <v>0.1089</v>
      </c>
      <c r="F1270" s="15">
        <v>7.7899999999999997E-2</v>
      </c>
      <c r="G1270" s="15">
        <v>0.12089999999999999</v>
      </c>
      <c r="H1270" s="15">
        <v>0.1053</v>
      </c>
      <c r="I1270" s="15">
        <v>0.46054734468279651</v>
      </c>
    </row>
    <row r="1271" spans="1:9" x14ac:dyDescent="0.2">
      <c r="A1271" s="2" t="s">
        <v>3809</v>
      </c>
      <c r="B1271" s="2" t="s">
        <v>3810</v>
      </c>
      <c r="C1271" s="2" t="s">
        <v>3811</v>
      </c>
      <c r="D1271" s="2" t="s">
        <v>10042</v>
      </c>
      <c r="E1271" s="15">
        <v>0.13320000000000001</v>
      </c>
      <c r="F1271" s="15">
        <v>0.10100000000000001</v>
      </c>
      <c r="G1271" s="15">
        <v>0.13519999999999999</v>
      </c>
      <c r="H1271" s="15">
        <v>9.9199999999999997E-2</v>
      </c>
      <c r="I1271" s="15">
        <v>0.49313346849111012</v>
      </c>
    </row>
    <row r="1272" spans="1:9" x14ac:dyDescent="0.2">
      <c r="A1272" s="2" t="s">
        <v>3812</v>
      </c>
      <c r="B1272" s="2" t="s">
        <v>3813</v>
      </c>
      <c r="C1272" s="2" t="s">
        <v>3814</v>
      </c>
      <c r="D1272" s="2" t="s">
        <v>10042</v>
      </c>
      <c r="E1272" s="15">
        <v>0.31109999999999999</v>
      </c>
      <c r="F1272" s="15">
        <v>9.9900000000000003E-2</v>
      </c>
      <c r="G1272" s="15">
        <v>0.16700000000000001</v>
      </c>
      <c r="H1272" s="15">
        <v>8.7400000000000005E-2</v>
      </c>
      <c r="I1272" s="15">
        <v>7.3624148981737941E-2</v>
      </c>
    </row>
    <row r="1273" spans="1:9" x14ac:dyDescent="0.2">
      <c r="A1273" s="2" t="s">
        <v>3815</v>
      </c>
      <c r="B1273" s="2" t="s">
        <v>3816</v>
      </c>
      <c r="C1273" s="2" t="s">
        <v>3817</v>
      </c>
      <c r="D1273" s="2" t="s">
        <v>10042</v>
      </c>
      <c r="E1273" s="15">
        <v>0.13869999999999999</v>
      </c>
      <c r="F1273" s="15">
        <v>9.1200000000000003E-2</v>
      </c>
      <c r="G1273" s="15">
        <v>0.107</v>
      </c>
      <c r="H1273" s="15">
        <v>0.1123</v>
      </c>
      <c r="I1273" s="15">
        <v>0.39838383743564759</v>
      </c>
    </row>
    <row r="1274" spans="1:9" x14ac:dyDescent="0.2">
      <c r="A1274" s="2" t="s">
        <v>3818</v>
      </c>
      <c r="B1274" s="2" t="s">
        <v>3819</v>
      </c>
      <c r="C1274" s="2" t="s">
        <v>3820</v>
      </c>
      <c r="D1274" s="2" t="s">
        <v>10042</v>
      </c>
      <c r="E1274" s="15">
        <v>0.25900000000000001</v>
      </c>
      <c r="F1274" s="15">
        <v>8.8800000000000004E-2</v>
      </c>
      <c r="G1274" s="15">
        <v>0.12759999999999999</v>
      </c>
      <c r="H1274" s="15">
        <v>0.10050000000000001</v>
      </c>
      <c r="I1274" s="15">
        <v>0.12116205234982701</v>
      </c>
    </row>
    <row r="1275" spans="1:9" x14ac:dyDescent="0.2">
      <c r="A1275" s="2" t="s">
        <v>3821</v>
      </c>
      <c r="B1275" s="2" t="s">
        <v>3822</v>
      </c>
      <c r="C1275" s="2" t="s">
        <v>3823</v>
      </c>
      <c r="D1275" s="2" t="s">
        <v>10042</v>
      </c>
      <c r="E1275" s="15">
        <v>5.33E-2</v>
      </c>
      <c r="F1275" s="15">
        <v>7.5399999999999995E-2</v>
      </c>
      <c r="G1275" s="15">
        <v>0.157</v>
      </c>
      <c r="H1275" s="15">
        <v>0.1013</v>
      </c>
      <c r="I1275" s="15">
        <v>0.17969686626118889</v>
      </c>
    </row>
    <row r="1276" spans="1:9" x14ac:dyDescent="0.2">
      <c r="A1276" s="2" t="s">
        <v>3824</v>
      </c>
      <c r="B1276" s="2" t="s">
        <v>3825</v>
      </c>
      <c r="C1276" s="2" t="s">
        <v>3826</v>
      </c>
      <c r="D1276" s="2" t="s">
        <v>10042</v>
      </c>
      <c r="E1276" s="15">
        <v>0.2535</v>
      </c>
      <c r="F1276" s="15">
        <v>0.11600000000000001</v>
      </c>
      <c r="G1276" s="15">
        <v>0.16900000000000001</v>
      </c>
      <c r="H1276" s="15">
        <v>9.4899999999999998E-2</v>
      </c>
      <c r="I1276" s="15">
        <v>0.2307376093517686</v>
      </c>
    </row>
    <row r="1277" spans="1:9" x14ac:dyDescent="0.2">
      <c r="A1277" s="2" t="s">
        <v>3827</v>
      </c>
      <c r="B1277" s="2" t="s">
        <v>3828</v>
      </c>
      <c r="C1277" s="2" t="s">
        <v>3829</v>
      </c>
      <c r="D1277" s="2" t="s">
        <v>10042</v>
      </c>
      <c r="E1277" s="15">
        <v>0.1777</v>
      </c>
      <c r="F1277" s="15">
        <v>9.3799999999999994E-2</v>
      </c>
      <c r="G1277" s="15">
        <v>8.3500000000000005E-2</v>
      </c>
      <c r="H1277" s="15">
        <v>9.9099999999999994E-2</v>
      </c>
      <c r="I1277" s="15">
        <v>0.20995667309273011</v>
      </c>
    </row>
    <row r="1278" spans="1:9" x14ac:dyDescent="0.2">
      <c r="A1278" s="2" t="s">
        <v>3830</v>
      </c>
      <c r="B1278" s="2" t="s">
        <v>3831</v>
      </c>
      <c r="C1278" s="2" t="s">
        <v>3832</v>
      </c>
      <c r="D1278" s="2" t="s">
        <v>10042</v>
      </c>
      <c r="E1278" s="15">
        <v>0.13120000000000001</v>
      </c>
      <c r="F1278" s="15">
        <v>7.8399999999999997E-2</v>
      </c>
      <c r="G1278" s="15">
        <v>0.13439999999999999</v>
      </c>
      <c r="H1278" s="15">
        <v>8.3900000000000002E-2</v>
      </c>
      <c r="I1278" s="15">
        <v>0.48664025500961211</v>
      </c>
    </row>
    <row r="1279" spans="1:9" x14ac:dyDescent="0.2">
      <c r="A1279" s="2" t="s">
        <v>3833</v>
      </c>
      <c r="B1279" s="2" t="s">
        <v>3834</v>
      </c>
      <c r="C1279" s="2" t="s">
        <v>3835</v>
      </c>
      <c r="D1279" s="2" t="s">
        <v>10042</v>
      </c>
      <c r="E1279" s="15">
        <v>0.1187</v>
      </c>
      <c r="F1279" s="15">
        <v>8.4699999999999998E-2</v>
      </c>
      <c r="G1279" s="15">
        <v>0.1497</v>
      </c>
      <c r="H1279" s="15">
        <v>7.7499999999999999E-2</v>
      </c>
      <c r="I1279" s="15">
        <v>0.36675808540571242</v>
      </c>
    </row>
    <row r="1280" spans="1:9" x14ac:dyDescent="0.2">
      <c r="A1280" s="2" t="s">
        <v>3836</v>
      </c>
      <c r="B1280" s="2" t="s">
        <v>3837</v>
      </c>
      <c r="C1280" s="2" t="s">
        <v>3838</v>
      </c>
      <c r="D1280" s="2" t="s">
        <v>10042</v>
      </c>
      <c r="E1280" s="15">
        <v>0.23119999999999999</v>
      </c>
      <c r="F1280" s="15">
        <v>9.4700000000000006E-2</v>
      </c>
      <c r="G1280" s="15">
        <v>0.158</v>
      </c>
      <c r="H1280" s="15">
        <v>0.10349999999999999</v>
      </c>
      <c r="I1280" s="15">
        <v>0.26354378026063141</v>
      </c>
    </row>
    <row r="1281" spans="1:9" x14ac:dyDescent="0.2">
      <c r="A1281" s="2" t="s">
        <v>3839</v>
      </c>
      <c r="B1281" s="2" t="s">
        <v>3840</v>
      </c>
      <c r="C1281" s="2" t="s">
        <v>3841</v>
      </c>
      <c r="D1281" s="2" t="s">
        <v>10042</v>
      </c>
      <c r="E1281" s="15">
        <v>0.12659999999999999</v>
      </c>
      <c r="F1281" s="15">
        <v>9.2100000000000001E-2</v>
      </c>
      <c r="G1281" s="15">
        <v>0.23449999999999999</v>
      </c>
      <c r="H1281" s="15">
        <v>0.1089</v>
      </c>
      <c r="I1281" s="15">
        <v>0.1827031528379606</v>
      </c>
    </row>
    <row r="1282" spans="1:9" x14ac:dyDescent="0.2">
      <c r="A1282" s="2" t="s">
        <v>3842</v>
      </c>
      <c r="B1282" s="2" t="s">
        <v>3843</v>
      </c>
      <c r="C1282" s="2" t="s">
        <v>3844</v>
      </c>
      <c r="D1282" s="2" t="s">
        <v>10042</v>
      </c>
      <c r="E1282" s="15">
        <v>0.2382</v>
      </c>
      <c r="F1282" s="15">
        <v>0.11890000000000001</v>
      </c>
      <c r="G1282" s="15">
        <v>-4.8999999999999998E-3</v>
      </c>
      <c r="H1282" s="15">
        <v>8.6499999999999994E-2</v>
      </c>
      <c r="I1282" s="15">
        <v>6.4574948683245887E-3</v>
      </c>
    </row>
    <row r="1283" spans="1:9" x14ac:dyDescent="0.2">
      <c r="A1283" s="2" t="s">
        <v>3845</v>
      </c>
      <c r="B1283" s="2" t="s">
        <v>3846</v>
      </c>
      <c r="C1283" s="2" t="s">
        <v>3847</v>
      </c>
      <c r="D1283" s="2" t="s">
        <v>10042</v>
      </c>
      <c r="E1283" s="15">
        <v>0.19570000000000001</v>
      </c>
      <c r="F1283" s="15">
        <v>9.2499999999999999E-2</v>
      </c>
      <c r="G1283" s="15">
        <v>0.1608</v>
      </c>
      <c r="H1283" s="15">
        <v>8.9300000000000004E-2</v>
      </c>
      <c r="I1283" s="15">
        <v>0.36365933573217651</v>
      </c>
    </row>
    <row r="1284" spans="1:9" x14ac:dyDescent="0.2">
      <c r="A1284" s="2" t="s">
        <v>3848</v>
      </c>
      <c r="B1284" s="2" t="s">
        <v>3849</v>
      </c>
      <c r="C1284" s="2" t="s">
        <v>3850</v>
      </c>
      <c r="D1284" s="2" t="s">
        <v>10042</v>
      </c>
      <c r="E1284" s="15">
        <v>8.7300000000000003E-2</v>
      </c>
      <c r="F1284" s="15">
        <v>0.115</v>
      </c>
      <c r="G1284" s="15">
        <v>-7.0300000000000001E-2</v>
      </c>
      <c r="H1284" s="15">
        <v>0.11609999999999999</v>
      </c>
      <c r="I1284" s="15">
        <v>0.121621223680659</v>
      </c>
    </row>
    <row r="1285" spans="1:9" x14ac:dyDescent="0.2">
      <c r="A1285" s="2" t="s">
        <v>3851</v>
      </c>
      <c r="B1285" s="2" t="s">
        <v>3852</v>
      </c>
      <c r="C1285" s="2" t="s">
        <v>3853</v>
      </c>
      <c r="D1285" s="2" t="s">
        <v>10042</v>
      </c>
      <c r="E1285" s="15">
        <v>-7.1400000000000005E-2</v>
      </c>
      <c r="F1285" s="15">
        <v>0.13300000000000001</v>
      </c>
      <c r="G1285" s="15">
        <v>-9.2499999999999999E-2</v>
      </c>
      <c r="H1285" s="15">
        <v>0.1226</v>
      </c>
      <c r="I1285" s="15">
        <v>0.44369859127645828</v>
      </c>
    </row>
    <row r="1286" spans="1:9" x14ac:dyDescent="0.2">
      <c r="A1286" s="2" t="s">
        <v>3854</v>
      </c>
      <c r="B1286" s="2" t="s">
        <v>3855</v>
      </c>
      <c r="C1286" s="2" t="s">
        <v>3856</v>
      </c>
      <c r="D1286" s="2" t="s">
        <v>10042</v>
      </c>
      <c r="E1286" s="15">
        <v>0.14810000000000001</v>
      </c>
      <c r="F1286" s="15">
        <v>8.0199999999999994E-2</v>
      </c>
      <c r="G1286" s="15">
        <v>9.5600000000000004E-2</v>
      </c>
      <c r="H1286" s="15">
        <v>8.7800000000000003E-2</v>
      </c>
      <c r="I1286" s="15">
        <v>0.30435600546620789</v>
      </c>
    </row>
    <row r="1287" spans="1:9" x14ac:dyDescent="0.2">
      <c r="A1287" s="2" t="s">
        <v>3857</v>
      </c>
      <c r="B1287" s="2" t="s">
        <v>3858</v>
      </c>
      <c r="C1287" s="2" t="s">
        <v>3859</v>
      </c>
      <c r="D1287" s="2" t="s">
        <v>10042</v>
      </c>
      <c r="E1287" s="15">
        <v>0.182</v>
      </c>
      <c r="F1287" s="15">
        <v>8.09E-2</v>
      </c>
      <c r="G1287" s="15">
        <v>0.151</v>
      </c>
      <c r="H1287" s="15">
        <v>8.1199999999999994E-2</v>
      </c>
      <c r="I1287" s="15">
        <v>0.3735076835101685</v>
      </c>
    </row>
    <row r="1288" spans="1:9" x14ac:dyDescent="0.2">
      <c r="A1288" s="2" t="s">
        <v>3860</v>
      </c>
      <c r="B1288" s="2" t="s">
        <v>3861</v>
      </c>
      <c r="C1288" s="2" t="s">
        <v>3862</v>
      </c>
      <c r="D1288" s="2" t="s">
        <v>10042</v>
      </c>
      <c r="E1288" s="15">
        <v>9.4399999999999998E-2</v>
      </c>
      <c r="F1288" s="15">
        <v>0.10580000000000001</v>
      </c>
      <c r="G1288" s="15">
        <v>0.24929999999999999</v>
      </c>
      <c r="H1288" s="15">
        <v>0.20169999999999999</v>
      </c>
      <c r="I1288" s="15">
        <v>0.23246830312047601</v>
      </c>
    </row>
    <row r="1289" spans="1:9" x14ac:dyDescent="0.2">
      <c r="A1289" s="2" t="s">
        <v>3863</v>
      </c>
      <c r="B1289" s="2" t="s">
        <v>3864</v>
      </c>
      <c r="C1289" s="2" t="s">
        <v>3865</v>
      </c>
      <c r="D1289" s="2" t="s">
        <v>10042</v>
      </c>
      <c r="E1289" s="15">
        <v>7.9299999999999995E-2</v>
      </c>
      <c r="F1289" s="15">
        <v>8.9700000000000002E-2</v>
      </c>
      <c r="G1289" s="15">
        <v>0.2316</v>
      </c>
      <c r="H1289" s="15">
        <v>9.2399999999999996E-2</v>
      </c>
      <c r="I1289" s="15">
        <v>7.2491089740006454E-2</v>
      </c>
    </row>
    <row r="1290" spans="1:9" x14ac:dyDescent="0.2">
      <c r="A1290" s="2" t="s">
        <v>3866</v>
      </c>
      <c r="B1290" s="2" t="s">
        <v>3867</v>
      </c>
      <c r="C1290" s="2" t="s">
        <v>3868</v>
      </c>
      <c r="D1290" s="2" t="s">
        <v>10042</v>
      </c>
      <c r="E1290" s="15">
        <v>0.24279999999999999</v>
      </c>
      <c r="F1290" s="15">
        <v>0.13250000000000001</v>
      </c>
      <c r="G1290" s="15">
        <v>0.17699999999999999</v>
      </c>
      <c r="H1290" s="15">
        <v>0.105</v>
      </c>
      <c r="I1290" s="15">
        <v>0.28896106876912508</v>
      </c>
    </row>
    <row r="1291" spans="1:9" x14ac:dyDescent="0.2">
      <c r="A1291" s="2" t="s">
        <v>3869</v>
      </c>
      <c r="B1291" s="2" t="s">
        <v>3870</v>
      </c>
      <c r="C1291" s="2" t="s">
        <v>3871</v>
      </c>
      <c r="D1291" s="2" t="s">
        <v>10042</v>
      </c>
      <c r="E1291" s="15">
        <v>0.22509999999999999</v>
      </c>
      <c r="F1291" s="15">
        <v>9.1800000000000007E-2</v>
      </c>
      <c r="G1291" s="15">
        <v>0.2001</v>
      </c>
      <c r="H1291" s="15">
        <v>9.5899999999999999E-2</v>
      </c>
      <c r="I1291" s="15">
        <v>0.40829045174851941</v>
      </c>
    </row>
    <row r="1292" spans="1:9" x14ac:dyDescent="0.2">
      <c r="A1292" s="2" t="s">
        <v>3872</v>
      </c>
      <c r="B1292" s="2" t="s">
        <v>3873</v>
      </c>
      <c r="C1292" s="2" t="s">
        <v>3874</v>
      </c>
      <c r="D1292" s="2" t="s">
        <v>10042</v>
      </c>
      <c r="E1292" s="15">
        <v>-1.9E-3</v>
      </c>
      <c r="F1292" s="15">
        <v>8.8099999999999998E-2</v>
      </c>
      <c r="G1292" s="15">
        <v>-4.1300000000000003E-2</v>
      </c>
      <c r="H1292" s="15">
        <v>8.4699999999999998E-2</v>
      </c>
      <c r="I1292" s="15">
        <v>0.35236319414493222</v>
      </c>
    </row>
    <row r="1293" spans="1:9" x14ac:dyDescent="0.2">
      <c r="A1293" s="2" t="s">
        <v>3875</v>
      </c>
      <c r="B1293" s="2" t="s">
        <v>3876</v>
      </c>
      <c r="C1293" s="2" t="s">
        <v>3877</v>
      </c>
      <c r="D1293" s="2" t="s">
        <v>10042</v>
      </c>
      <c r="E1293" s="15">
        <v>0.14810000000000001</v>
      </c>
      <c r="F1293" s="15">
        <v>0.2384</v>
      </c>
      <c r="G1293" s="15">
        <v>-3.3399999999999999E-2</v>
      </c>
      <c r="H1293" s="15">
        <v>0.14940000000000001</v>
      </c>
      <c r="I1293" s="15">
        <v>0.1417542995776381</v>
      </c>
    </row>
    <row r="1294" spans="1:9" x14ac:dyDescent="0.2">
      <c r="A1294" s="2" t="s">
        <v>3878</v>
      </c>
      <c r="B1294" s="2" t="s">
        <v>3879</v>
      </c>
      <c r="C1294" s="2" t="s">
        <v>3880</v>
      </c>
      <c r="D1294" s="2" t="s">
        <v>10042</v>
      </c>
      <c r="E1294" s="15">
        <v>0.1074</v>
      </c>
      <c r="F1294" s="15">
        <v>9.2200000000000004E-2</v>
      </c>
      <c r="G1294" s="15">
        <v>8.8200000000000001E-2</v>
      </c>
      <c r="H1294" s="15">
        <v>7.4999999999999997E-2</v>
      </c>
      <c r="I1294" s="15">
        <v>0.4142856460623614</v>
      </c>
    </row>
    <row r="1295" spans="1:9" x14ac:dyDescent="0.2">
      <c r="A1295" s="2" t="s">
        <v>3881</v>
      </c>
      <c r="B1295" s="2" t="s">
        <v>3882</v>
      </c>
      <c r="C1295" s="2" t="s">
        <v>3883</v>
      </c>
      <c r="D1295" s="2" t="s">
        <v>10042</v>
      </c>
      <c r="E1295" s="15">
        <v>0.24859999999999999</v>
      </c>
      <c r="F1295" s="15">
        <v>8.9700000000000002E-2</v>
      </c>
      <c r="G1295" s="15">
        <v>0.1661</v>
      </c>
      <c r="H1295" s="15">
        <v>0.1019</v>
      </c>
      <c r="I1295" s="15">
        <v>0.23128099992628981</v>
      </c>
    </row>
    <row r="1296" spans="1:9" x14ac:dyDescent="0.2">
      <c r="A1296" s="2" t="s">
        <v>3884</v>
      </c>
      <c r="B1296" s="2" t="s">
        <v>3885</v>
      </c>
      <c r="C1296" s="2" t="s">
        <v>3886</v>
      </c>
      <c r="D1296" s="2" t="s">
        <v>10042</v>
      </c>
      <c r="E1296" s="15">
        <v>0.35039999999999999</v>
      </c>
      <c r="F1296" s="15">
        <v>0.19500000000000001</v>
      </c>
      <c r="G1296" s="15">
        <v>0.1774</v>
      </c>
      <c r="H1296" s="15">
        <v>0.1109</v>
      </c>
      <c r="I1296" s="15">
        <v>8.6823935571574987E-2</v>
      </c>
    </row>
    <row r="1297" spans="1:9" x14ac:dyDescent="0.2">
      <c r="A1297" s="2" t="s">
        <v>3887</v>
      </c>
      <c r="B1297" s="2" t="s">
        <v>3888</v>
      </c>
      <c r="C1297" s="2" t="s">
        <v>3889</v>
      </c>
      <c r="D1297" s="2" t="s">
        <v>10042</v>
      </c>
      <c r="E1297" s="15">
        <v>7.9500000000000001E-2</v>
      </c>
      <c r="F1297" s="15">
        <v>7.7700000000000005E-2</v>
      </c>
      <c r="G1297" s="15">
        <v>4.07E-2</v>
      </c>
      <c r="H1297" s="15">
        <v>9.8799999999999999E-2</v>
      </c>
      <c r="I1297" s="15">
        <v>0.36312751131081511</v>
      </c>
    </row>
    <row r="1298" spans="1:9" x14ac:dyDescent="0.2">
      <c r="A1298" s="2" t="s">
        <v>3890</v>
      </c>
      <c r="B1298" s="2" t="s">
        <v>3891</v>
      </c>
      <c r="C1298" s="2" t="s">
        <v>3892</v>
      </c>
      <c r="D1298" s="2" t="s">
        <v>10042</v>
      </c>
      <c r="E1298" s="15">
        <v>9.5500000000000002E-2</v>
      </c>
      <c r="F1298" s="15">
        <v>9.8599999999999993E-2</v>
      </c>
      <c r="G1298" s="15">
        <v>0.16969999999999999</v>
      </c>
      <c r="H1298" s="15">
        <v>9.6500000000000002E-2</v>
      </c>
      <c r="I1298" s="15">
        <v>0.244429406367766</v>
      </c>
    </row>
    <row r="1299" spans="1:9" x14ac:dyDescent="0.2">
      <c r="A1299" s="2" t="s">
        <v>3893</v>
      </c>
      <c r="B1299" s="2" t="s">
        <v>3894</v>
      </c>
      <c r="C1299" s="2" t="s">
        <v>3895</v>
      </c>
      <c r="D1299" s="2" t="s">
        <v>10042</v>
      </c>
      <c r="E1299" s="15">
        <v>0.37759999999999999</v>
      </c>
      <c r="F1299" s="15">
        <v>0.14610000000000001</v>
      </c>
      <c r="G1299" s="15">
        <v>0.2631</v>
      </c>
      <c r="H1299" s="15">
        <v>0.11269999999999999</v>
      </c>
      <c r="I1299" s="15">
        <v>0.17756578422968369</v>
      </c>
    </row>
    <row r="1300" spans="1:9" x14ac:dyDescent="0.2">
      <c r="A1300" s="2" t="s">
        <v>3896</v>
      </c>
      <c r="B1300" s="2" t="s">
        <v>3897</v>
      </c>
      <c r="C1300" s="2" t="s">
        <v>3898</v>
      </c>
      <c r="D1300" s="2" t="s">
        <v>10042</v>
      </c>
      <c r="E1300" s="15">
        <v>0.38369999999999999</v>
      </c>
      <c r="F1300" s="15">
        <v>0.14080000000000001</v>
      </c>
      <c r="G1300" s="15">
        <v>-2.8299999999999999E-2</v>
      </c>
      <c r="H1300" s="15">
        <v>0.1167</v>
      </c>
      <c r="I1300" s="15">
        <v>6.6540789828038586E-4</v>
      </c>
    </row>
    <row r="1301" spans="1:9" x14ac:dyDescent="0.2">
      <c r="A1301" s="2" t="s">
        <v>3899</v>
      </c>
      <c r="B1301" s="2" t="s">
        <v>3900</v>
      </c>
      <c r="C1301" s="2" t="s">
        <v>3901</v>
      </c>
      <c r="D1301" s="2" t="s">
        <v>10042</v>
      </c>
      <c r="E1301" s="15">
        <v>8.1299999999999997E-2</v>
      </c>
      <c r="F1301" s="15">
        <v>7.17E-2</v>
      </c>
      <c r="G1301" s="15">
        <v>9.1399999999999995E-2</v>
      </c>
      <c r="H1301" s="15">
        <v>7.4899999999999994E-2</v>
      </c>
      <c r="I1301" s="15">
        <v>0.45513192625058663</v>
      </c>
    </row>
    <row r="1302" spans="1:9" x14ac:dyDescent="0.2">
      <c r="A1302" s="2" t="s">
        <v>3902</v>
      </c>
      <c r="B1302" s="2" t="s">
        <v>3903</v>
      </c>
      <c r="C1302" s="2" t="s">
        <v>3904</v>
      </c>
      <c r="D1302" s="2" t="s">
        <v>10042</v>
      </c>
      <c r="E1302" s="15">
        <v>5.3400000000000003E-2</v>
      </c>
      <c r="F1302" s="15">
        <v>7.3999999999999996E-2</v>
      </c>
      <c r="G1302" s="15">
        <v>0.2112</v>
      </c>
      <c r="H1302" s="15">
        <v>0.13109999999999999</v>
      </c>
      <c r="I1302" s="15">
        <v>0.1283099188851802</v>
      </c>
    </row>
    <row r="1303" spans="1:9" x14ac:dyDescent="0.2">
      <c r="A1303" s="2" t="s">
        <v>3905</v>
      </c>
      <c r="B1303" s="2" t="s">
        <v>3906</v>
      </c>
      <c r="C1303" s="2" t="s">
        <v>3907</v>
      </c>
      <c r="D1303" s="2" t="s">
        <v>10042</v>
      </c>
      <c r="E1303" s="15">
        <v>7.8200000000000006E-2</v>
      </c>
      <c r="F1303" s="15">
        <v>0.14410000000000001</v>
      </c>
      <c r="G1303" s="15">
        <v>9.9900000000000003E-2</v>
      </c>
      <c r="H1303" s="15">
        <v>0.26869999999999999</v>
      </c>
      <c r="I1303" s="15">
        <v>0.46917724041268732</v>
      </c>
    </row>
    <row r="1304" spans="1:9" x14ac:dyDescent="0.2">
      <c r="A1304" s="2" t="s">
        <v>3908</v>
      </c>
      <c r="B1304" s="2" t="s">
        <v>3909</v>
      </c>
      <c r="C1304" s="2" t="s">
        <v>3910</v>
      </c>
      <c r="D1304" s="2" t="s">
        <v>10042</v>
      </c>
      <c r="E1304" s="15">
        <v>7.85E-2</v>
      </c>
      <c r="F1304" s="15">
        <v>0.1109</v>
      </c>
      <c r="G1304" s="15">
        <v>0.23430000000000001</v>
      </c>
      <c r="H1304" s="15">
        <v>0.18459999999999999</v>
      </c>
      <c r="I1304" s="15">
        <v>0.2078654329411469</v>
      </c>
    </row>
    <row r="1305" spans="1:9" x14ac:dyDescent="0.2">
      <c r="A1305" s="2" t="s">
        <v>3911</v>
      </c>
      <c r="B1305" s="2" t="s">
        <v>3912</v>
      </c>
      <c r="C1305" s="2" t="s">
        <v>3913</v>
      </c>
      <c r="D1305" s="2" t="s">
        <v>10042</v>
      </c>
      <c r="E1305" s="15">
        <v>0.2316</v>
      </c>
      <c r="F1305" s="15">
        <v>9.7900000000000001E-2</v>
      </c>
      <c r="G1305" s="15">
        <v>9.3600000000000003E-2</v>
      </c>
      <c r="H1305" s="15">
        <v>0.1096</v>
      </c>
      <c r="I1305" s="15">
        <v>0.13197949020253261</v>
      </c>
    </row>
    <row r="1306" spans="1:9" x14ac:dyDescent="0.2">
      <c r="A1306" s="2" t="s">
        <v>3914</v>
      </c>
      <c r="B1306" s="2" t="s">
        <v>3915</v>
      </c>
      <c r="C1306" s="2" t="s">
        <v>3916</v>
      </c>
      <c r="D1306" s="2" t="s">
        <v>10042</v>
      </c>
      <c r="E1306" s="15">
        <v>0.1575</v>
      </c>
      <c r="F1306" s="15">
        <v>8.4900000000000003E-2</v>
      </c>
      <c r="G1306" s="15">
        <v>0.23599999999999999</v>
      </c>
      <c r="H1306" s="15">
        <v>0.1948</v>
      </c>
      <c r="I1306" s="15">
        <v>0.34907605578954359</v>
      </c>
    </row>
    <row r="1307" spans="1:9" x14ac:dyDescent="0.2">
      <c r="A1307" s="2" t="s">
        <v>3917</v>
      </c>
      <c r="B1307" s="2" t="s">
        <v>3918</v>
      </c>
      <c r="C1307" s="2" t="s">
        <v>3919</v>
      </c>
      <c r="D1307" s="2" t="s">
        <v>10042</v>
      </c>
      <c r="E1307" s="15">
        <v>0.2102</v>
      </c>
      <c r="F1307" s="15">
        <v>0.1072</v>
      </c>
      <c r="G1307" s="15">
        <v>0.1391</v>
      </c>
      <c r="H1307" s="15">
        <v>0.1061</v>
      </c>
      <c r="I1307" s="15">
        <v>0.27226949129516997</v>
      </c>
    </row>
    <row r="1308" spans="1:9" x14ac:dyDescent="0.2">
      <c r="A1308" s="2" t="s">
        <v>3920</v>
      </c>
      <c r="B1308" s="2" t="s">
        <v>3921</v>
      </c>
      <c r="C1308" s="2" t="s">
        <v>3922</v>
      </c>
      <c r="D1308" s="2" t="s">
        <v>10042</v>
      </c>
      <c r="E1308" s="15">
        <v>-2.12E-2</v>
      </c>
      <c r="F1308" s="15">
        <v>0.12870000000000001</v>
      </c>
      <c r="G1308" s="15">
        <v>0.18459999999999999</v>
      </c>
      <c r="H1308" s="15">
        <v>0.23219999999999999</v>
      </c>
      <c r="I1308" s="15">
        <v>0.20068354078080899</v>
      </c>
    </row>
    <row r="1309" spans="1:9" x14ac:dyDescent="0.2">
      <c r="A1309" s="2" t="s">
        <v>3923</v>
      </c>
      <c r="B1309" s="2" t="s">
        <v>3924</v>
      </c>
      <c r="C1309" s="2" t="s">
        <v>3925</v>
      </c>
      <c r="D1309" s="2" t="s">
        <v>10042</v>
      </c>
      <c r="E1309" s="15">
        <v>0.20030000000000001</v>
      </c>
      <c r="F1309" s="15">
        <v>8.6300000000000002E-2</v>
      </c>
      <c r="G1309" s="15">
        <v>9.9099999999999994E-2</v>
      </c>
      <c r="H1309" s="15">
        <v>8.3500000000000005E-2</v>
      </c>
      <c r="I1309" s="15">
        <v>0.1432487384995855</v>
      </c>
    </row>
    <row r="1310" spans="1:9" x14ac:dyDescent="0.2">
      <c r="A1310" s="2" t="s">
        <v>3926</v>
      </c>
      <c r="B1310" s="2" t="s">
        <v>3927</v>
      </c>
      <c r="C1310" s="2" t="s">
        <v>3928</v>
      </c>
      <c r="D1310" s="2" t="s">
        <v>10042</v>
      </c>
      <c r="E1310" s="15">
        <v>4.6800000000000001E-2</v>
      </c>
      <c r="F1310" s="15">
        <v>0.1234</v>
      </c>
    </row>
    <row r="1311" spans="1:9" x14ac:dyDescent="0.2">
      <c r="A1311" s="2" t="s">
        <v>3929</v>
      </c>
      <c r="B1311" s="2" t="s">
        <v>3930</v>
      </c>
      <c r="C1311" s="2" t="s">
        <v>3931</v>
      </c>
      <c r="D1311" s="2" t="s">
        <v>10042</v>
      </c>
      <c r="E1311" s="15">
        <v>0.15529999999999999</v>
      </c>
      <c r="F1311" s="15">
        <v>8.1900000000000001E-2</v>
      </c>
      <c r="G1311" s="15">
        <v>0.1011</v>
      </c>
      <c r="H1311" s="15">
        <v>8.6099999999999996E-2</v>
      </c>
      <c r="I1311" s="15">
        <v>0.2941368245970693</v>
      </c>
    </row>
    <row r="1312" spans="1:9" x14ac:dyDescent="0.2">
      <c r="A1312" s="2" t="s">
        <v>3932</v>
      </c>
      <c r="B1312" s="2" t="s">
        <v>3933</v>
      </c>
      <c r="C1312" s="2" t="s">
        <v>3934</v>
      </c>
      <c r="D1312" s="2" t="s">
        <v>10042</v>
      </c>
      <c r="E1312" s="15">
        <v>0.33040000000000003</v>
      </c>
      <c r="F1312" s="15">
        <v>0.1085</v>
      </c>
      <c r="G1312" s="15">
        <v>0.25829999999999997</v>
      </c>
      <c r="H1312" s="15">
        <v>0.1638</v>
      </c>
      <c r="I1312" s="15">
        <v>0.33977762460661531</v>
      </c>
    </row>
    <row r="1313" spans="1:9" x14ac:dyDescent="0.2">
      <c r="A1313" s="2" t="s">
        <v>3935</v>
      </c>
      <c r="B1313" s="2" t="s">
        <v>3936</v>
      </c>
      <c r="C1313" s="2" t="s">
        <v>3937</v>
      </c>
      <c r="D1313" s="2" t="s">
        <v>10042</v>
      </c>
      <c r="E1313" s="15">
        <v>2.9700000000000001E-2</v>
      </c>
      <c r="F1313" s="15">
        <v>9.3399999999999997E-2</v>
      </c>
      <c r="G1313" s="15">
        <v>-8.3599999999999994E-2</v>
      </c>
      <c r="H1313" s="15">
        <v>0.1341</v>
      </c>
      <c r="I1313" s="15">
        <v>0.22067182905348151</v>
      </c>
    </row>
    <row r="1314" spans="1:9" x14ac:dyDescent="0.2">
      <c r="A1314" s="2" t="s">
        <v>3938</v>
      </c>
      <c r="B1314" s="2" t="s">
        <v>3939</v>
      </c>
      <c r="C1314" s="2" t="s">
        <v>3940</v>
      </c>
      <c r="D1314" s="2" t="s">
        <v>10042</v>
      </c>
      <c r="E1314" s="15">
        <v>-9.7900000000000001E-2</v>
      </c>
      <c r="F1314" s="15">
        <v>7.5800000000000006E-2</v>
      </c>
      <c r="G1314" s="15">
        <v>3.32E-2</v>
      </c>
      <c r="H1314" s="15">
        <v>8.5500000000000007E-2</v>
      </c>
      <c r="I1314" s="15">
        <v>8.6277834245796353E-2</v>
      </c>
    </row>
    <row r="1315" spans="1:9" x14ac:dyDescent="0.2">
      <c r="A1315" s="2" t="s">
        <v>3941</v>
      </c>
      <c r="B1315" s="2" t="s">
        <v>3942</v>
      </c>
      <c r="C1315" s="2" t="s">
        <v>3943</v>
      </c>
      <c r="D1315" s="2" t="s">
        <v>10042</v>
      </c>
      <c r="E1315" s="15">
        <v>3.9600000000000003E-2</v>
      </c>
      <c r="F1315" s="15">
        <v>0.1351</v>
      </c>
    </row>
    <row r="1316" spans="1:9" x14ac:dyDescent="0.2">
      <c r="A1316" s="2" t="s">
        <v>3944</v>
      </c>
      <c r="B1316" s="2" t="s">
        <v>3945</v>
      </c>
      <c r="C1316" s="2" t="s">
        <v>3946</v>
      </c>
      <c r="D1316" s="2" t="s">
        <v>10042</v>
      </c>
      <c r="E1316" s="15">
        <v>8.6599999999999996E-2</v>
      </c>
      <c r="F1316" s="15">
        <v>6.7299999999999999E-2</v>
      </c>
      <c r="G1316" s="15">
        <v>-2.5499999999999998E-2</v>
      </c>
      <c r="H1316" s="15">
        <v>0.13830000000000001</v>
      </c>
      <c r="I1316" s="15">
        <v>0.2220155474685325</v>
      </c>
    </row>
    <row r="1317" spans="1:9" x14ac:dyDescent="0.2">
      <c r="A1317" s="2" t="s">
        <v>3947</v>
      </c>
      <c r="B1317" s="2" t="s">
        <v>3948</v>
      </c>
      <c r="C1317" s="2" t="s">
        <v>3949</v>
      </c>
      <c r="D1317" s="2" t="s">
        <v>10042</v>
      </c>
      <c r="E1317" s="15">
        <v>-4.8500000000000001E-2</v>
      </c>
      <c r="F1317" s="15">
        <v>0.1009</v>
      </c>
      <c r="G1317" s="15">
        <v>0.1119</v>
      </c>
      <c r="H1317" s="15">
        <v>0.10440000000000001</v>
      </c>
      <c r="I1317" s="15">
        <v>9.5121072063789641E-2</v>
      </c>
    </row>
    <row r="1318" spans="1:9" x14ac:dyDescent="0.2">
      <c r="A1318" s="2" t="s">
        <v>3950</v>
      </c>
      <c r="B1318" s="2" t="s">
        <v>3951</v>
      </c>
      <c r="C1318" s="2" t="s">
        <v>3952</v>
      </c>
      <c r="D1318" s="2" t="s">
        <v>10042</v>
      </c>
      <c r="E1318" s="15">
        <v>0.3296</v>
      </c>
      <c r="F1318" s="15">
        <v>0.10390000000000001</v>
      </c>
      <c r="G1318" s="15">
        <v>5.7500000000000002E-2</v>
      </c>
      <c r="H1318" s="15">
        <v>6.9099999999999995E-2</v>
      </c>
      <c r="I1318" s="15">
        <v>6.1021364009553828E-4</v>
      </c>
    </row>
    <row r="1319" spans="1:9" x14ac:dyDescent="0.2">
      <c r="A1319" s="2" t="s">
        <v>3953</v>
      </c>
      <c r="B1319" s="2" t="s">
        <v>3954</v>
      </c>
      <c r="C1319" s="2" t="s">
        <v>3955</v>
      </c>
      <c r="D1319" s="2" t="s">
        <v>10042</v>
      </c>
      <c r="E1319" s="15">
        <v>-1.6299999999999999E-2</v>
      </c>
      <c r="F1319" s="15">
        <v>6.7599999999999993E-2</v>
      </c>
      <c r="G1319" s="15">
        <v>6.9599999999999995E-2</v>
      </c>
      <c r="H1319" s="15">
        <v>9.6600000000000005E-2</v>
      </c>
      <c r="I1319" s="15">
        <v>0.20704380476937451</v>
      </c>
    </row>
    <row r="1320" spans="1:9" x14ac:dyDescent="0.2">
      <c r="A1320" s="2" t="s">
        <v>3956</v>
      </c>
      <c r="B1320" s="2" t="s">
        <v>3957</v>
      </c>
      <c r="C1320" s="2" t="s">
        <v>3958</v>
      </c>
      <c r="D1320" s="2" t="s">
        <v>10042</v>
      </c>
      <c r="E1320" s="15">
        <v>4.4699999999999997E-2</v>
      </c>
      <c r="F1320" s="15">
        <v>9.0300000000000005E-2</v>
      </c>
      <c r="G1320" s="15">
        <v>0.21190000000000001</v>
      </c>
      <c r="H1320" s="15">
        <v>0.12920000000000001</v>
      </c>
      <c r="I1320" s="15">
        <v>0.11649254112478991</v>
      </c>
    </row>
    <row r="1321" spans="1:9" x14ac:dyDescent="0.2">
      <c r="A1321" s="2" t="s">
        <v>3959</v>
      </c>
      <c r="B1321" s="2" t="s">
        <v>3960</v>
      </c>
      <c r="C1321" s="2" t="s">
        <v>3961</v>
      </c>
      <c r="D1321" s="2" t="s">
        <v>10042</v>
      </c>
      <c r="E1321" s="15">
        <v>0.1517</v>
      </c>
      <c r="F1321" s="15">
        <v>9.2899999999999996E-2</v>
      </c>
      <c r="G1321" s="15">
        <v>-7.2300000000000003E-2</v>
      </c>
      <c r="H1321" s="15">
        <v>9.3200000000000005E-2</v>
      </c>
      <c r="I1321" s="15">
        <v>1.8826196527255281E-2</v>
      </c>
    </row>
    <row r="1322" spans="1:9" x14ac:dyDescent="0.2">
      <c r="A1322" s="2" t="s">
        <v>3962</v>
      </c>
      <c r="B1322" s="2" t="s">
        <v>3963</v>
      </c>
      <c r="C1322" s="2" t="s">
        <v>3964</v>
      </c>
      <c r="D1322" s="2" t="s">
        <v>10042</v>
      </c>
      <c r="E1322" s="15">
        <v>0.21479999999999999</v>
      </c>
      <c r="F1322" s="15">
        <v>0.1356</v>
      </c>
      <c r="G1322" s="15">
        <v>5.3E-3</v>
      </c>
      <c r="H1322" s="15">
        <v>8.2500000000000004E-2</v>
      </c>
      <c r="I1322" s="15">
        <v>1.498384440569236E-2</v>
      </c>
    </row>
    <row r="1323" spans="1:9" x14ac:dyDescent="0.2">
      <c r="A1323" s="2" t="s">
        <v>3965</v>
      </c>
      <c r="B1323" s="2" t="s">
        <v>3966</v>
      </c>
      <c r="C1323" s="2" t="s">
        <v>3967</v>
      </c>
      <c r="D1323" s="2" t="s">
        <v>10042</v>
      </c>
      <c r="E1323" s="15">
        <v>-0.26819999999999999</v>
      </c>
      <c r="F1323" s="15">
        <v>0.1489</v>
      </c>
      <c r="G1323" s="15">
        <v>-0.22090000000000001</v>
      </c>
      <c r="H1323" s="15">
        <v>0.1792</v>
      </c>
      <c r="I1323" s="15">
        <v>0.40513926287337132</v>
      </c>
    </row>
    <row r="1324" spans="1:9" x14ac:dyDescent="0.2">
      <c r="A1324" s="2" t="s">
        <v>3968</v>
      </c>
      <c r="B1324" s="2" t="s">
        <v>3969</v>
      </c>
      <c r="C1324" s="2" t="s">
        <v>3970</v>
      </c>
      <c r="D1324" s="2" t="s">
        <v>10042</v>
      </c>
      <c r="E1324" s="15">
        <v>0.2228</v>
      </c>
      <c r="F1324" s="15">
        <v>9.5399999999999999E-2</v>
      </c>
      <c r="G1324" s="15">
        <v>3.8600000000000002E-2</v>
      </c>
      <c r="H1324" s="15">
        <v>7.4700000000000003E-2</v>
      </c>
      <c r="I1324" s="15">
        <v>1.8957857117036209E-2</v>
      </c>
    </row>
    <row r="1325" spans="1:9" x14ac:dyDescent="0.2">
      <c r="A1325" s="2" t="s">
        <v>3971</v>
      </c>
      <c r="B1325" s="2" t="s">
        <v>3972</v>
      </c>
      <c r="C1325" s="2" t="s">
        <v>3973</v>
      </c>
      <c r="D1325" s="2" t="s">
        <v>10042</v>
      </c>
      <c r="E1325" s="15">
        <v>9.8699999999999996E-2</v>
      </c>
      <c r="F1325" s="15">
        <v>0.1328</v>
      </c>
      <c r="G1325" s="15">
        <v>0.27239999999999998</v>
      </c>
      <c r="H1325" s="15">
        <v>0.10879999999999999</v>
      </c>
      <c r="I1325" s="15">
        <v>8.6478155703119647E-2</v>
      </c>
    </row>
    <row r="1326" spans="1:9" x14ac:dyDescent="0.2">
      <c r="A1326" s="2" t="s">
        <v>3974</v>
      </c>
      <c r="B1326" s="2" t="s">
        <v>3975</v>
      </c>
      <c r="C1326" s="2" t="s">
        <v>3976</v>
      </c>
      <c r="D1326" s="2" t="s">
        <v>10042</v>
      </c>
      <c r="E1326" s="15">
        <v>9.4700000000000006E-2</v>
      </c>
      <c r="F1326" s="15">
        <v>7.4700000000000003E-2</v>
      </c>
      <c r="G1326" s="15">
        <v>0.2422</v>
      </c>
      <c r="H1326" s="15">
        <v>0.1055</v>
      </c>
      <c r="I1326" s="15">
        <v>0.10086222748447039</v>
      </c>
    </row>
    <row r="1327" spans="1:9" x14ac:dyDescent="0.2">
      <c r="A1327" s="2" t="s">
        <v>3977</v>
      </c>
      <c r="B1327" s="2" t="s">
        <v>3978</v>
      </c>
      <c r="C1327" s="2" t="s">
        <v>3979</v>
      </c>
      <c r="D1327" s="2" t="s">
        <v>10042</v>
      </c>
      <c r="E1327" s="15">
        <v>6.5699999999999995E-2</v>
      </c>
      <c r="F1327" s="15">
        <v>7.7799999999999994E-2</v>
      </c>
      <c r="G1327" s="15">
        <v>5.5199999999999999E-2</v>
      </c>
      <c r="H1327" s="15">
        <v>8.9800000000000005E-2</v>
      </c>
      <c r="I1327" s="15">
        <v>0.45902893521592292</v>
      </c>
    </row>
    <row r="1328" spans="1:9" x14ac:dyDescent="0.2">
      <c r="A1328" s="2" t="s">
        <v>3980</v>
      </c>
      <c r="B1328" s="2" t="s">
        <v>3981</v>
      </c>
      <c r="C1328" s="2" t="s">
        <v>3982</v>
      </c>
      <c r="D1328" s="2" t="s">
        <v>10043</v>
      </c>
      <c r="E1328" s="15">
        <v>6.4899999999999999E-2</v>
      </c>
      <c r="F1328" s="15">
        <v>6.4899999999999999E-2</v>
      </c>
      <c r="G1328" s="15">
        <v>3.5999999999999999E-3</v>
      </c>
      <c r="H1328" s="15">
        <v>0.1023</v>
      </c>
      <c r="I1328" s="15">
        <v>0.29339663637084951</v>
      </c>
    </row>
    <row r="1329" spans="1:9" x14ac:dyDescent="0.2">
      <c r="A1329" s="2" t="s">
        <v>3983</v>
      </c>
      <c r="B1329" s="2" t="s">
        <v>3984</v>
      </c>
      <c r="C1329" s="2" t="s">
        <v>3985</v>
      </c>
      <c r="D1329" s="2" t="s">
        <v>10043</v>
      </c>
      <c r="E1329" s="15">
        <v>0.10150000000000001</v>
      </c>
      <c r="F1329" s="15">
        <v>7.5700000000000003E-2</v>
      </c>
      <c r="G1329" s="15">
        <v>4.1300000000000003E-2</v>
      </c>
      <c r="H1329" s="15">
        <v>5.8599999999999999E-2</v>
      </c>
      <c r="I1329" s="15">
        <v>0.19827307748765191</v>
      </c>
    </row>
    <row r="1330" spans="1:9" x14ac:dyDescent="0.2">
      <c r="A1330" s="2" t="s">
        <v>3986</v>
      </c>
      <c r="B1330" s="2" t="s">
        <v>3987</v>
      </c>
      <c r="C1330" s="2" t="s">
        <v>3988</v>
      </c>
      <c r="D1330" s="2" t="s">
        <v>10043</v>
      </c>
      <c r="E1330" s="15">
        <v>-0.1333</v>
      </c>
      <c r="F1330" s="15">
        <v>0.17080000000000001</v>
      </c>
    </row>
    <row r="1331" spans="1:9" x14ac:dyDescent="0.2">
      <c r="A1331" s="2" t="s">
        <v>3989</v>
      </c>
      <c r="B1331" s="2" t="s">
        <v>3990</v>
      </c>
      <c r="C1331" s="2" t="s">
        <v>3991</v>
      </c>
      <c r="D1331" s="2" t="s">
        <v>10043</v>
      </c>
      <c r="E1331" s="15">
        <v>8.3400000000000002E-2</v>
      </c>
      <c r="F1331" s="15">
        <v>6.3E-2</v>
      </c>
      <c r="G1331" s="15">
        <v>-4.4999999999999997E-3</v>
      </c>
      <c r="H1331" s="15">
        <v>8.3299999999999999E-2</v>
      </c>
      <c r="I1331" s="15">
        <v>0.17503811819009971</v>
      </c>
    </row>
    <row r="1332" spans="1:9" x14ac:dyDescent="0.2">
      <c r="A1332" s="2" t="s">
        <v>3992</v>
      </c>
      <c r="B1332" s="2" t="s">
        <v>3993</v>
      </c>
      <c r="C1332" s="2" t="s">
        <v>3994</v>
      </c>
      <c r="D1332" s="2" t="s">
        <v>10043</v>
      </c>
      <c r="E1332" s="15">
        <v>2.2599999999999999E-2</v>
      </c>
      <c r="F1332" s="15">
        <v>6.7699999999999996E-2</v>
      </c>
      <c r="G1332" s="15">
        <v>5.0999999999999997E-2</v>
      </c>
      <c r="H1332" s="15">
        <v>7.7399999999999997E-2</v>
      </c>
      <c r="I1332" s="15">
        <v>0.37696928013538999</v>
      </c>
    </row>
    <row r="1333" spans="1:9" x14ac:dyDescent="0.2">
      <c r="A1333" s="2" t="s">
        <v>3995</v>
      </c>
      <c r="B1333" s="2" t="s">
        <v>3996</v>
      </c>
      <c r="C1333" s="2" t="s">
        <v>3997</v>
      </c>
      <c r="D1333" s="2" t="s">
        <v>10043</v>
      </c>
      <c r="E1333" s="15">
        <v>-6.7000000000000004E-2</v>
      </c>
      <c r="F1333" s="15">
        <v>0.12540000000000001</v>
      </c>
      <c r="G1333" s="15">
        <v>-0.16439999999999999</v>
      </c>
      <c r="H1333" s="15">
        <v>0.1638</v>
      </c>
      <c r="I1333" s="15">
        <v>0.28770767789556018</v>
      </c>
    </row>
    <row r="1334" spans="1:9" x14ac:dyDescent="0.2">
      <c r="A1334" s="2" t="s">
        <v>3998</v>
      </c>
      <c r="B1334" s="2" t="s">
        <v>3999</v>
      </c>
      <c r="C1334" s="2" t="s">
        <v>4000</v>
      </c>
      <c r="D1334" s="2" t="s">
        <v>10043</v>
      </c>
    </row>
    <row r="1335" spans="1:9" x14ac:dyDescent="0.2">
      <c r="A1335" s="2" t="s">
        <v>4001</v>
      </c>
      <c r="B1335" s="2" t="s">
        <v>4002</v>
      </c>
      <c r="C1335" s="2" t="s">
        <v>4003</v>
      </c>
      <c r="D1335" s="2" t="s">
        <v>10043</v>
      </c>
      <c r="E1335" s="15">
        <v>-2.7799999999999998E-2</v>
      </c>
      <c r="F1335" s="15">
        <v>0.1082</v>
      </c>
      <c r="G1335" s="15">
        <v>0.1285</v>
      </c>
      <c r="H1335" s="15">
        <v>9.2499999999999999E-2</v>
      </c>
      <c r="I1335" s="15">
        <v>6.8223717190604813E-2</v>
      </c>
    </row>
    <row r="1336" spans="1:9" x14ac:dyDescent="0.2">
      <c r="A1336" s="2" t="s">
        <v>4004</v>
      </c>
      <c r="B1336" s="2" t="s">
        <v>4005</v>
      </c>
      <c r="C1336" s="2" t="s">
        <v>4006</v>
      </c>
      <c r="D1336" s="2" t="s">
        <v>10043</v>
      </c>
      <c r="E1336" s="15">
        <v>-3.8600000000000002E-2</v>
      </c>
      <c r="F1336" s="15">
        <v>8.5099999999999995E-2</v>
      </c>
      <c r="G1336" s="15">
        <v>-2.1700000000000001E-2</v>
      </c>
      <c r="H1336" s="15">
        <v>0.1157</v>
      </c>
      <c r="I1336" s="15">
        <v>0.44590517906902499</v>
      </c>
    </row>
    <row r="1337" spans="1:9" x14ac:dyDescent="0.2">
      <c r="A1337" s="2" t="s">
        <v>4007</v>
      </c>
      <c r="B1337" s="2" t="s">
        <v>4008</v>
      </c>
      <c r="C1337" s="2" t="s">
        <v>4009</v>
      </c>
      <c r="D1337" s="2" t="s">
        <v>10043</v>
      </c>
      <c r="E1337" s="15">
        <v>-1.4E-2</v>
      </c>
      <c r="F1337" s="15">
        <v>7.5700000000000003E-2</v>
      </c>
      <c r="G1337" s="15">
        <v>-0.10780000000000001</v>
      </c>
      <c r="H1337" s="15">
        <v>0.10580000000000001</v>
      </c>
      <c r="I1337" s="15">
        <v>0.20914973363857561</v>
      </c>
    </row>
    <row r="1338" spans="1:9" x14ac:dyDescent="0.2">
      <c r="A1338" s="2" t="s">
        <v>4010</v>
      </c>
      <c r="B1338" s="2" t="s">
        <v>4011</v>
      </c>
      <c r="C1338" s="2" t="s">
        <v>4012</v>
      </c>
      <c r="D1338" s="2" t="s">
        <v>10043</v>
      </c>
      <c r="E1338" s="15">
        <v>-9.9000000000000008E-3</v>
      </c>
      <c r="F1338" s="15">
        <v>8.2000000000000003E-2</v>
      </c>
      <c r="G1338" s="15">
        <v>-0.16159999999999999</v>
      </c>
      <c r="H1338" s="15">
        <v>9.2499999999999999E-2</v>
      </c>
      <c r="I1338" s="15">
        <v>7.5011352077952856E-2</v>
      </c>
    </row>
    <row r="1339" spans="1:9" x14ac:dyDescent="0.2">
      <c r="A1339" s="2" t="s">
        <v>4013</v>
      </c>
      <c r="B1339" s="2" t="s">
        <v>4014</v>
      </c>
      <c r="C1339" s="2" t="s">
        <v>4015</v>
      </c>
      <c r="D1339" s="2" t="s">
        <v>10043</v>
      </c>
      <c r="E1339" s="15">
        <v>8.6499999999999994E-2</v>
      </c>
      <c r="F1339" s="15">
        <v>9.2299999999999993E-2</v>
      </c>
      <c r="G1339" s="15">
        <v>5.9799999999999999E-2</v>
      </c>
      <c r="H1339" s="15">
        <v>9.9299999999999999E-2</v>
      </c>
      <c r="I1339" s="15">
        <v>0.406439972777624</v>
      </c>
    </row>
    <row r="1340" spans="1:9" x14ac:dyDescent="0.2">
      <c r="A1340" s="2" t="s">
        <v>4016</v>
      </c>
      <c r="B1340" s="2" t="s">
        <v>4017</v>
      </c>
      <c r="C1340" s="2" t="s">
        <v>4018</v>
      </c>
      <c r="D1340" s="2" t="s">
        <v>10043</v>
      </c>
      <c r="E1340" s="15">
        <v>2.2599999999999999E-2</v>
      </c>
      <c r="F1340" s="15">
        <v>7.7299999999999994E-2</v>
      </c>
      <c r="G1340" s="15">
        <v>-8.3000000000000001E-3</v>
      </c>
      <c r="H1340" s="15">
        <v>0.1009</v>
      </c>
      <c r="I1340" s="15">
        <v>0.39172241754727938</v>
      </c>
    </row>
    <row r="1341" spans="1:9" x14ac:dyDescent="0.2">
      <c r="A1341" s="2" t="s">
        <v>4019</v>
      </c>
      <c r="B1341" s="2" t="s">
        <v>4020</v>
      </c>
      <c r="C1341" s="2" t="s">
        <v>4021</v>
      </c>
      <c r="D1341" s="2" t="s">
        <v>10043</v>
      </c>
      <c r="E1341" s="15">
        <v>2.6499999999999999E-2</v>
      </c>
      <c r="F1341" s="15">
        <v>7.3400000000000007E-2</v>
      </c>
      <c r="G1341" s="15">
        <v>-9.1999999999999998E-2</v>
      </c>
      <c r="H1341" s="15">
        <v>8.43E-2</v>
      </c>
      <c r="I1341" s="15">
        <v>0.11000039004028909</v>
      </c>
    </row>
    <row r="1342" spans="1:9" x14ac:dyDescent="0.2">
      <c r="A1342" s="2" t="s">
        <v>4022</v>
      </c>
      <c r="B1342" s="2" t="s">
        <v>4023</v>
      </c>
      <c r="C1342" s="2" t="s">
        <v>4024</v>
      </c>
      <c r="D1342" s="2" t="s">
        <v>10043</v>
      </c>
      <c r="E1342" s="15">
        <v>6.3799999999999996E-2</v>
      </c>
      <c r="F1342" s="15">
        <v>0.11700000000000001</v>
      </c>
      <c r="G1342" s="15">
        <v>-0.1082</v>
      </c>
      <c r="H1342" s="15">
        <v>7.7600000000000002E-2</v>
      </c>
      <c r="I1342" s="15">
        <v>3.3930007169800533E-2</v>
      </c>
    </row>
    <row r="1343" spans="1:9" x14ac:dyDescent="0.2">
      <c r="A1343" s="2" t="s">
        <v>4025</v>
      </c>
      <c r="B1343" s="2" t="s">
        <v>4026</v>
      </c>
      <c r="C1343" s="2" t="s">
        <v>4027</v>
      </c>
      <c r="D1343" s="2" t="s">
        <v>10043</v>
      </c>
      <c r="E1343" s="15">
        <v>6.3899999999999998E-2</v>
      </c>
      <c r="F1343" s="15">
        <v>9.9000000000000005E-2</v>
      </c>
      <c r="G1343" s="15">
        <v>2.0400000000000001E-2</v>
      </c>
      <c r="H1343" s="15">
        <v>8.2500000000000004E-2</v>
      </c>
      <c r="I1343" s="15">
        <v>0.32611003548149381</v>
      </c>
    </row>
    <row r="1344" spans="1:9" x14ac:dyDescent="0.2">
      <c r="A1344" s="2" t="s">
        <v>4028</v>
      </c>
      <c r="B1344" s="2" t="s">
        <v>4029</v>
      </c>
      <c r="C1344" s="2" t="s">
        <v>4030</v>
      </c>
      <c r="D1344" s="2" t="s">
        <v>10043</v>
      </c>
      <c r="E1344" s="15">
        <v>7.1999999999999995E-2</v>
      </c>
      <c r="F1344" s="15">
        <v>7.7100000000000002E-2</v>
      </c>
      <c r="G1344" s="15">
        <v>4.53E-2</v>
      </c>
      <c r="H1344" s="15">
        <v>6.7799999999999999E-2</v>
      </c>
      <c r="I1344" s="15">
        <v>0.36889711748450849</v>
      </c>
    </row>
    <row r="1345" spans="1:9" x14ac:dyDescent="0.2">
      <c r="A1345" s="2" t="s">
        <v>4031</v>
      </c>
      <c r="B1345" s="2" t="s">
        <v>4032</v>
      </c>
      <c r="C1345" s="2" t="s">
        <v>4033</v>
      </c>
      <c r="D1345" s="2" t="s">
        <v>10043</v>
      </c>
      <c r="E1345" s="15">
        <v>0.11310000000000001</v>
      </c>
      <c r="F1345" s="15">
        <v>6.93E-2</v>
      </c>
      <c r="G1345" s="15">
        <v>3.56E-2</v>
      </c>
      <c r="H1345" s="15">
        <v>6.2700000000000006E-2</v>
      </c>
      <c r="I1345" s="15">
        <v>0.14974581812319249</v>
      </c>
    </row>
    <row r="1346" spans="1:9" x14ac:dyDescent="0.2">
      <c r="A1346" s="2" t="s">
        <v>4034</v>
      </c>
      <c r="B1346" s="2" t="s">
        <v>4035</v>
      </c>
      <c r="C1346" s="2" t="s">
        <v>4036</v>
      </c>
      <c r="D1346" s="2" t="s">
        <v>10043</v>
      </c>
      <c r="E1346" s="15">
        <v>0.1056</v>
      </c>
      <c r="F1346" s="15">
        <v>7.2300000000000003E-2</v>
      </c>
      <c r="G1346" s="15">
        <v>-0.1401</v>
      </c>
      <c r="H1346" s="15">
        <v>7.6499999999999999E-2</v>
      </c>
      <c r="I1346" s="15">
        <v>2.5322010299941148E-3</v>
      </c>
    </row>
    <row r="1347" spans="1:9" x14ac:dyDescent="0.2">
      <c r="A1347" s="2" t="s">
        <v>4037</v>
      </c>
      <c r="B1347" s="2" t="s">
        <v>4038</v>
      </c>
      <c r="C1347" s="2" t="s">
        <v>4039</v>
      </c>
      <c r="D1347" s="2" t="s">
        <v>10043</v>
      </c>
      <c r="E1347" s="15">
        <v>0.1138</v>
      </c>
      <c r="F1347" s="15">
        <v>6.8599999999999994E-2</v>
      </c>
      <c r="G1347" s="15">
        <v>-7.0599999999999996E-2</v>
      </c>
      <c r="H1347" s="15">
        <v>7.3499999999999996E-2</v>
      </c>
      <c r="I1347" s="15">
        <v>1.364238631422212E-2</v>
      </c>
    </row>
    <row r="1348" spans="1:9" x14ac:dyDescent="0.2">
      <c r="A1348" s="2" t="s">
        <v>4040</v>
      </c>
      <c r="B1348" s="2" t="s">
        <v>4041</v>
      </c>
      <c r="C1348" s="2" t="s">
        <v>4042</v>
      </c>
      <c r="D1348" s="2" t="s">
        <v>10043</v>
      </c>
      <c r="E1348" s="15">
        <v>0.13950000000000001</v>
      </c>
      <c r="F1348" s="15">
        <v>7.9299999999999995E-2</v>
      </c>
      <c r="G1348" s="15">
        <v>6.9999999999999999E-4</v>
      </c>
      <c r="H1348" s="15">
        <v>0.1323</v>
      </c>
      <c r="I1348" s="15">
        <v>0.1617188756200727</v>
      </c>
    </row>
    <row r="1349" spans="1:9" x14ac:dyDescent="0.2">
      <c r="A1349" s="2" t="s">
        <v>4043</v>
      </c>
      <c r="B1349" s="2" t="s">
        <v>4044</v>
      </c>
      <c r="C1349" s="2" t="s">
        <v>4045</v>
      </c>
      <c r="D1349" s="2" t="s">
        <v>10043</v>
      </c>
      <c r="E1349" s="15">
        <v>0.15</v>
      </c>
      <c r="F1349" s="15">
        <v>7.9100000000000004E-2</v>
      </c>
      <c r="G1349" s="15">
        <v>-9.0700000000000003E-2</v>
      </c>
      <c r="H1349" s="15">
        <v>9.64E-2</v>
      </c>
      <c r="I1349" s="15">
        <v>1.1888398130245821E-2</v>
      </c>
    </row>
    <row r="1350" spans="1:9" x14ac:dyDescent="0.2">
      <c r="A1350" s="2" t="s">
        <v>4046</v>
      </c>
      <c r="B1350" s="2" t="s">
        <v>4047</v>
      </c>
      <c r="C1350" s="2" t="s">
        <v>4048</v>
      </c>
      <c r="D1350" s="2" t="s">
        <v>10043</v>
      </c>
      <c r="E1350" s="15">
        <v>0.27089999999999997</v>
      </c>
      <c r="F1350" s="15">
        <v>0.1249</v>
      </c>
      <c r="G1350" s="15">
        <v>-1.8700000000000001E-2</v>
      </c>
      <c r="H1350" s="15">
        <v>0.1144</v>
      </c>
      <c r="I1350" s="15">
        <v>1.063815802139214E-2</v>
      </c>
    </row>
    <row r="1351" spans="1:9" x14ac:dyDescent="0.2">
      <c r="A1351" s="2" t="s">
        <v>4049</v>
      </c>
      <c r="B1351" s="2" t="s">
        <v>4050</v>
      </c>
      <c r="C1351" s="2" t="s">
        <v>4051</v>
      </c>
      <c r="D1351" s="2" t="s">
        <v>10043</v>
      </c>
      <c r="E1351" s="15">
        <v>0.1046</v>
      </c>
      <c r="F1351" s="15">
        <v>6.2600000000000003E-2</v>
      </c>
      <c r="G1351" s="15">
        <v>-6.1699999999999998E-2</v>
      </c>
      <c r="H1351" s="15">
        <v>7.22E-2</v>
      </c>
      <c r="I1351" s="15">
        <v>2.0762295404997789E-2</v>
      </c>
    </row>
    <row r="1352" spans="1:9" x14ac:dyDescent="0.2">
      <c r="A1352" s="2" t="s">
        <v>4052</v>
      </c>
      <c r="B1352" s="2" t="s">
        <v>4053</v>
      </c>
      <c r="C1352" s="2" t="s">
        <v>4054</v>
      </c>
      <c r="D1352" s="2" t="s">
        <v>10043</v>
      </c>
      <c r="E1352" s="15">
        <v>0.15709999999999999</v>
      </c>
      <c r="F1352" s="15">
        <v>0.1009</v>
      </c>
      <c r="G1352" s="15">
        <v>1.03E-2</v>
      </c>
      <c r="H1352" s="15">
        <v>7.9299999999999995E-2</v>
      </c>
      <c r="I1352" s="15">
        <v>5.9841787267534072E-2</v>
      </c>
    </row>
    <row r="1353" spans="1:9" x14ac:dyDescent="0.2">
      <c r="A1353" s="2" t="s">
        <v>4055</v>
      </c>
      <c r="B1353" s="2" t="s">
        <v>4056</v>
      </c>
      <c r="C1353" s="2" t="s">
        <v>4057</v>
      </c>
      <c r="D1353" s="2" t="s">
        <v>10043</v>
      </c>
      <c r="E1353" s="15">
        <v>0.15890000000000001</v>
      </c>
      <c r="F1353" s="15">
        <v>0.33629999999999999</v>
      </c>
      <c r="G1353" s="15">
        <v>0.14649999999999999</v>
      </c>
      <c r="H1353" s="15">
        <v>0.1186</v>
      </c>
      <c r="I1353" s="15">
        <v>0.46833030310706603</v>
      </c>
    </row>
    <row r="1354" spans="1:9" x14ac:dyDescent="0.2">
      <c r="A1354" s="2" t="s">
        <v>4058</v>
      </c>
      <c r="B1354" s="2" t="s">
        <v>4059</v>
      </c>
      <c r="C1354" s="2" t="s">
        <v>4060</v>
      </c>
      <c r="D1354" s="2" t="s">
        <v>10043</v>
      </c>
      <c r="E1354" s="15">
        <v>7.1099999999999997E-2</v>
      </c>
      <c r="F1354" s="15">
        <v>8.1699999999999995E-2</v>
      </c>
      <c r="G1354" s="15">
        <v>-9.7299999999999998E-2</v>
      </c>
      <c r="H1354" s="15">
        <v>8.5999999999999993E-2</v>
      </c>
      <c r="I1354" s="15">
        <v>4.6316100925227692E-2</v>
      </c>
    </row>
    <row r="1355" spans="1:9" x14ac:dyDescent="0.2">
      <c r="A1355" s="2" t="s">
        <v>4061</v>
      </c>
      <c r="B1355" s="2" t="s">
        <v>4062</v>
      </c>
      <c r="C1355" s="2" t="s">
        <v>4063</v>
      </c>
      <c r="D1355" s="2" t="s">
        <v>10043</v>
      </c>
      <c r="E1355" s="15">
        <v>3.9300000000000002E-2</v>
      </c>
      <c r="F1355" s="15">
        <v>7.4499999999999997E-2</v>
      </c>
      <c r="G1355" s="15">
        <v>-5.8299999999999998E-2</v>
      </c>
      <c r="H1355" s="15">
        <v>8.1900000000000001E-2</v>
      </c>
      <c r="I1355" s="15">
        <v>0.15091811511423911</v>
      </c>
    </row>
    <row r="1356" spans="1:9" x14ac:dyDescent="0.2">
      <c r="A1356" s="2" t="s">
        <v>4064</v>
      </c>
      <c r="B1356" s="2" t="s">
        <v>4065</v>
      </c>
      <c r="C1356" s="2" t="s">
        <v>4066</v>
      </c>
      <c r="D1356" s="2" t="s">
        <v>10043</v>
      </c>
      <c r="E1356" s="15">
        <v>0.10879999999999999</v>
      </c>
      <c r="F1356" s="15">
        <v>7.6799999999999993E-2</v>
      </c>
      <c r="G1356" s="15">
        <v>-8.0600000000000005E-2</v>
      </c>
      <c r="H1356" s="15">
        <v>0.1021</v>
      </c>
      <c r="I1356" s="15">
        <v>4.8899492467110568E-2</v>
      </c>
    </row>
    <row r="1357" spans="1:9" x14ac:dyDescent="0.2">
      <c r="A1357" s="2" t="s">
        <v>4067</v>
      </c>
      <c r="B1357" s="2" t="s">
        <v>4068</v>
      </c>
      <c r="C1357" s="2" t="s">
        <v>4069</v>
      </c>
      <c r="D1357" s="2" t="s">
        <v>10043</v>
      </c>
      <c r="E1357" s="15">
        <v>-8.8800000000000004E-2</v>
      </c>
      <c r="F1357" s="15">
        <v>0.1077</v>
      </c>
      <c r="G1357" s="15">
        <v>-6.6699999999999995E-2</v>
      </c>
      <c r="H1357" s="15">
        <v>8.6300000000000002E-2</v>
      </c>
      <c r="I1357" s="15">
        <v>0.41486541875769861</v>
      </c>
    </row>
    <row r="1358" spans="1:9" x14ac:dyDescent="0.2">
      <c r="A1358" s="2" t="s">
        <v>4070</v>
      </c>
      <c r="B1358" s="2" t="s">
        <v>4071</v>
      </c>
      <c r="C1358" s="2" t="s">
        <v>4072</v>
      </c>
      <c r="D1358" s="2" t="s">
        <v>10043</v>
      </c>
      <c r="E1358" s="15">
        <v>2.7900000000000001E-2</v>
      </c>
      <c r="F1358" s="15">
        <v>6.7900000000000002E-2</v>
      </c>
      <c r="G1358" s="15">
        <v>4.7399999999999998E-2</v>
      </c>
      <c r="H1358" s="15">
        <v>6.7699999999999996E-2</v>
      </c>
      <c r="I1358" s="15">
        <v>0.40338385313931702</v>
      </c>
    </row>
    <row r="1359" spans="1:9" x14ac:dyDescent="0.2">
      <c r="A1359" s="2" t="s">
        <v>4073</v>
      </c>
      <c r="B1359" s="2" t="s">
        <v>4074</v>
      </c>
      <c r="C1359" s="2" t="s">
        <v>4075</v>
      </c>
      <c r="D1359" s="2" t="s">
        <v>10043</v>
      </c>
      <c r="E1359" s="15">
        <v>9.3100000000000002E-2</v>
      </c>
      <c r="F1359" s="15">
        <v>6.6900000000000001E-2</v>
      </c>
      <c r="G1359" s="15">
        <v>1.8499999999999999E-2</v>
      </c>
      <c r="H1359" s="15">
        <v>6.25E-2</v>
      </c>
      <c r="I1359" s="15">
        <v>0.16020294627173681</v>
      </c>
    </row>
    <row r="1360" spans="1:9" x14ac:dyDescent="0.2">
      <c r="A1360" s="2" t="s">
        <v>4076</v>
      </c>
      <c r="B1360" s="2" t="s">
        <v>4077</v>
      </c>
      <c r="C1360" s="2" t="s">
        <v>4078</v>
      </c>
      <c r="D1360" s="2" t="s">
        <v>10043</v>
      </c>
      <c r="E1360" s="15">
        <v>0.10970000000000001</v>
      </c>
      <c r="F1360" s="15">
        <v>6.5100000000000005E-2</v>
      </c>
      <c r="G1360" s="15">
        <v>-0.17119999999999999</v>
      </c>
      <c r="H1360" s="15">
        <v>9.1200000000000003E-2</v>
      </c>
      <c r="I1360" s="15">
        <v>2.4478640335643558E-3</v>
      </c>
    </row>
    <row r="1361" spans="1:9" x14ac:dyDescent="0.2">
      <c r="A1361" s="2" t="s">
        <v>4079</v>
      </c>
      <c r="B1361" s="2" t="s">
        <v>4080</v>
      </c>
      <c r="C1361" s="2" t="s">
        <v>4081</v>
      </c>
      <c r="D1361" s="2" t="s">
        <v>10043</v>
      </c>
      <c r="E1361" s="15">
        <v>7.7100000000000002E-2</v>
      </c>
      <c r="F1361" s="15">
        <v>6.5699999999999995E-2</v>
      </c>
      <c r="G1361" s="15">
        <v>-0.12820000000000001</v>
      </c>
      <c r="H1361" s="15">
        <v>7.4899999999999994E-2</v>
      </c>
      <c r="I1361" s="15">
        <v>7.3347728368529973E-3</v>
      </c>
    </row>
    <row r="1362" spans="1:9" x14ac:dyDescent="0.2">
      <c r="A1362" s="2" t="s">
        <v>4082</v>
      </c>
      <c r="B1362" s="2" t="s">
        <v>4083</v>
      </c>
      <c r="C1362" s="2" t="s">
        <v>4084</v>
      </c>
      <c r="D1362" s="2" t="s">
        <v>10043</v>
      </c>
      <c r="E1362" s="15">
        <v>0.10920000000000001</v>
      </c>
      <c r="F1362" s="15">
        <v>7.0900000000000005E-2</v>
      </c>
      <c r="G1362" s="15">
        <v>-5.1299999999999998E-2</v>
      </c>
      <c r="H1362" s="15">
        <v>8.5099999999999995E-2</v>
      </c>
      <c r="I1362" s="15">
        <v>4.7013430809966117E-2</v>
      </c>
    </row>
    <row r="1363" spans="1:9" x14ac:dyDescent="0.2">
      <c r="A1363" s="2" t="s">
        <v>4085</v>
      </c>
      <c r="B1363" s="2" t="s">
        <v>4086</v>
      </c>
      <c r="C1363" s="2" t="s">
        <v>4087</v>
      </c>
      <c r="D1363" s="2" t="s">
        <v>10043</v>
      </c>
      <c r="E1363" s="15">
        <v>0.10349999999999999</v>
      </c>
      <c r="F1363" s="15">
        <v>6.7799999999999999E-2</v>
      </c>
      <c r="G1363" s="15">
        <v>-7.2099999999999997E-2</v>
      </c>
      <c r="H1363" s="15">
        <v>7.6100000000000001E-2</v>
      </c>
      <c r="I1363" s="15">
        <v>2.227054718122664E-2</v>
      </c>
    </row>
    <row r="1364" spans="1:9" x14ac:dyDescent="0.2">
      <c r="A1364" s="2" t="s">
        <v>4088</v>
      </c>
      <c r="B1364" s="2" t="s">
        <v>4089</v>
      </c>
      <c r="C1364" s="2" t="s">
        <v>4090</v>
      </c>
      <c r="D1364" s="2" t="s">
        <v>10043</v>
      </c>
      <c r="E1364" s="15">
        <v>0.18509999999999999</v>
      </c>
      <c r="F1364" s="15">
        <v>8.2299999999999998E-2</v>
      </c>
      <c r="G1364" s="15">
        <v>-0.1138</v>
      </c>
      <c r="H1364" s="15">
        <v>9.0499999999999997E-2</v>
      </c>
      <c r="I1364" s="15">
        <v>1.7254652877366401E-3</v>
      </c>
    </row>
    <row r="1365" spans="1:9" x14ac:dyDescent="0.2">
      <c r="A1365" s="2" t="s">
        <v>4091</v>
      </c>
      <c r="B1365" s="2" t="s">
        <v>4092</v>
      </c>
      <c r="C1365" s="2" t="s">
        <v>4093</v>
      </c>
      <c r="D1365" s="2" t="s">
        <v>10043</v>
      </c>
      <c r="E1365" s="15">
        <v>6.9699999999999998E-2</v>
      </c>
      <c r="F1365" s="15">
        <v>6.0100000000000001E-2</v>
      </c>
      <c r="G1365" s="15">
        <v>-4.0399999999999998E-2</v>
      </c>
      <c r="H1365" s="15">
        <v>7.0499999999999993E-2</v>
      </c>
      <c r="I1365" s="15">
        <v>8.1771575451879561E-2</v>
      </c>
    </row>
    <row r="1366" spans="1:9" x14ac:dyDescent="0.2">
      <c r="A1366" s="2" t="s">
        <v>4094</v>
      </c>
      <c r="B1366" s="2" t="s">
        <v>4095</v>
      </c>
      <c r="C1366" s="2" t="s">
        <v>4096</v>
      </c>
      <c r="D1366" s="2" t="s">
        <v>10043</v>
      </c>
      <c r="E1366" s="15">
        <v>0.1215</v>
      </c>
      <c r="F1366" s="15">
        <v>9.6600000000000005E-2</v>
      </c>
      <c r="G1366" s="15">
        <v>-6.3200000000000006E-2</v>
      </c>
      <c r="H1366" s="15">
        <v>0.1055</v>
      </c>
      <c r="I1366" s="15">
        <v>5.514004515399501E-2</v>
      </c>
    </row>
    <row r="1367" spans="1:9" x14ac:dyDescent="0.2">
      <c r="A1367" s="2" t="s">
        <v>4097</v>
      </c>
      <c r="B1367" s="2" t="s">
        <v>4098</v>
      </c>
      <c r="C1367" s="2" t="s">
        <v>4099</v>
      </c>
      <c r="D1367" s="2" t="s">
        <v>10043</v>
      </c>
      <c r="E1367" s="15">
        <v>0.2636</v>
      </c>
      <c r="F1367" s="15">
        <v>0.1069</v>
      </c>
      <c r="G1367" s="15">
        <v>1.8599999999999998E-2</v>
      </c>
      <c r="H1367" s="15">
        <v>0.15190000000000001</v>
      </c>
      <c r="I1367" s="15">
        <v>7.9695077590777333E-2</v>
      </c>
    </row>
    <row r="1368" spans="1:9" x14ac:dyDescent="0.2">
      <c r="A1368" s="2" t="s">
        <v>4100</v>
      </c>
      <c r="B1368" s="2" t="s">
        <v>4101</v>
      </c>
      <c r="C1368" s="2" t="s">
        <v>4102</v>
      </c>
      <c r="D1368" s="2" t="s">
        <v>10043</v>
      </c>
      <c r="E1368" s="15">
        <v>7.9100000000000004E-2</v>
      </c>
      <c r="F1368" s="15">
        <v>8.5000000000000006E-2</v>
      </c>
      <c r="G1368" s="15">
        <v>-8.3299999999999999E-2</v>
      </c>
      <c r="H1368" s="15">
        <v>9.6500000000000002E-2</v>
      </c>
      <c r="I1368" s="15">
        <v>6.6172209701374399E-2</v>
      </c>
    </row>
    <row r="1369" spans="1:9" x14ac:dyDescent="0.2">
      <c r="A1369" s="2" t="s">
        <v>4103</v>
      </c>
      <c r="B1369" s="2" t="s">
        <v>4104</v>
      </c>
      <c r="C1369" s="2" t="s">
        <v>4105</v>
      </c>
      <c r="D1369" s="2" t="s">
        <v>10044</v>
      </c>
      <c r="E1369" s="15">
        <v>-2.0400000000000001E-2</v>
      </c>
      <c r="F1369" s="15">
        <v>0.1197</v>
      </c>
      <c r="G1369" s="15">
        <v>6.8500000000000005E-2</v>
      </c>
      <c r="H1369" s="15">
        <v>0.1099</v>
      </c>
      <c r="I1369" s="15">
        <v>0.25747033357255211</v>
      </c>
    </row>
    <row r="1370" spans="1:9" x14ac:dyDescent="0.2">
      <c r="A1370" s="2" t="s">
        <v>4106</v>
      </c>
      <c r="B1370" s="2" t="s">
        <v>4107</v>
      </c>
      <c r="C1370" s="2" t="s">
        <v>4108</v>
      </c>
      <c r="D1370" s="2" t="s">
        <v>10044</v>
      </c>
      <c r="E1370" s="15">
        <v>3.44E-2</v>
      </c>
      <c r="F1370" s="15">
        <v>5.9700000000000003E-2</v>
      </c>
      <c r="G1370" s="15">
        <v>8.1500000000000003E-2</v>
      </c>
      <c r="H1370" s="15">
        <v>8.0100000000000005E-2</v>
      </c>
      <c r="I1370" s="15">
        <v>0.29612319286937749</v>
      </c>
    </row>
    <row r="1371" spans="1:9" x14ac:dyDescent="0.2">
      <c r="A1371" s="2" t="s">
        <v>4109</v>
      </c>
      <c r="B1371" s="2" t="s">
        <v>4110</v>
      </c>
      <c r="C1371" s="2" t="s">
        <v>4111</v>
      </c>
      <c r="D1371" s="2" t="s">
        <v>10044</v>
      </c>
      <c r="E1371" s="15">
        <v>1.41E-2</v>
      </c>
      <c r="F1371" s="15">
        <v>7.9600000000000004E-2</v>
      </c>
      <c r="G1371" s="15">
        <v>0.26979999999999998</v>
      </c>
      <c r="H1371" s="15">
        <v>0.28689999999999999</v>
      </c>
      <c r="I1371" s="15">
        <v>0.1892472660716385</v>
      </c>
    </row>
    <row r="1372" spans="1:9" x14ac:dyDescent="0.2">
      <c r="A1372" s="2" t="s">
        <v>4112</v>
      </c>
      <c r="B1372" s="2" t="s">
        <v>4113</v>
      </c>
      <c r="C1372" s="2" t="s">
        <v>4114</v>
      </c>
      <c r="D1372" s="2" t="s">
        <v>10044</v>
      </c>
      <c r="E1372" s="15">
        <v>-5.57E-2</v>
      </c>
      <c r="F1372" s="15">
        <v>5.91E-2</v>
      </c>
      <c r="G1372" s="15">
        <v>-5.1400000000000001E-2</v>
      </c>
      <c r="H1372" s="15">
        <v>6.4299999999999996E-2</v>
      </c>
      <c r="I1372" s="15">
        <v>0.47635356169120008</v>
      </c>
    </row>
    <row r="1373" spans="1:9" x14ac:dyDescent="0.2">
      <c r="A1373" s="2" t="s">
        <v>4115</v>
      </c>
      <c r="B1373" s="2" t="s">
        <v>4116</v>
      </c>
      <c r="C1373" s="2" t="s">
        <v>4117</v>
      </c>
      <c r="D1373" s="2" t="s">
        <v>10044</v>
      </c>
      <c r="E1373" s="15">
        <v>-3.9899999999999998E-2</v>
      </c>
      <c r="F1373" s="15">
        <v>5.8500000000000003E-2</v>
      </c>
      <c r="G1373" s="15">
        <v>-5.1200000000000002E-2</v>
      </c>
      <c r="H1373" s="15">
        <v>6.7799999999999999E-2</v>
      </c>
      <c r="I1373" s="15">
        <v>0.441557015280997</v>
      </c>
    </row>
    <row r="1374" spans="1:9" x14ac:dyDescent="0.2">
      <c r="A1374" s="2" t="s">
        <v>4118</v>
      </c>
      <c r="B1374" s="2" t="s">
        <v>4119</v>
      </c>
      <c r="C1374" s="2" t="s">
        <v>4120</v>
      </c>
      <c r="D1374" s="2" t="s">
        <v>10044</v>
      </c>
      <c r="E1374" s="15">
        <v>1.1599999999999999E-2</v>
      </c>
      <c r="F1374" s="15">
        <v>8.4400000000000003E-2</v>
      </c>
      <c r="G1374" s="15">
        <v>0.19950000000000001</v>
      </c>
      <c r="H1374" s="15">
        <v>8.5999999999999993E-2</v>
      </c>
      <c r="I1374" s="15">
        <v>2.695691400739279E-2</v>
      </c>
    </row>
    <row r="1375" spans="1:9" x14ac:dyDescent="0.2">
      <c r="A1375" s="2" t="s">
        <v>4121</v>
      </c>
      <c r="B1375" s="2" t="s">
        <v>4122</v>
      </c>
      <c r="C1375" s="2" t="s">
        <v>4123</v>
      </c>
      <c r="D1375" s="2" t="s">
        <v>10044</v>
      </c>
      <c r="E1375" s="15">
        <v>-5.6500000000000002E-2</v>
      </c>
      <c r="F1375" s="15">
        <v>5.5599999999999997E-2</v>
      </c>
      <c r="G1375" s="15">
        <v>5.2499999999999998E-2</v>
      </c>
      <c r="H1375" s="15">
        <v>6.4299999999999996E-2</v>
      </c>
      <c r="I1375" s="15">
        <v>6.8901134469976727E-2</v>
      </c>
    </row>
    <row r="1376" spans="1:9" x14ac:dyDescent="0.2">
      <c r="A1376" s="2" t="s">
        <v>4124</v>
      </c>
      <c r="B1376" s="2" t="s">
        <v>4125</v>
      </c>
      <c r="C1376" s="2" t="s">
        <v>4126</v>
      </c>
      <c r="D1376" s="2" t="s">
        <v>10044</v>
      </c>
      <c r="E1376" s="15">
        <v>1.44E-2</v>
      </c>
      <c r="F1376" s="15">
        <v>5.6300000000000003E-2</v>
      </c>
      <c r="G1376" s="15">
        <v>1.47E-2</v>
      </c>
      <c r="H1376" s="15">
        <v>6.93E-2</v>
      </c>
      <c r="I1376" s="15">
        <v>0.4984575398306873</v>
      </c>
    </row>
    <row r="1377" spans="1:9" x14ac:dyDescent="0.2">
      <c r="A1377" s="2" t="s">
        <v>4127</v>
      </c>
      <c r="B1377" s="2" t="s">
        <v>4128</v>
      </c>
      <c r="C1377" s="2" t="s">
        <v>4129</v>
      </c>
      <c r="D1377" s="2" t="s">
        <v>10044</v>
      </c>
      <c r="E1377" s="15">
        <v>-3.3099999999999997E-2</v>
      </c>
      <c r="F1377" s="15">
        <v>5.8200000000000002E-2</v>
      </c>
      <c r="G1377" s="15">
        <v>4.1300000000000003E-2</v>
      </c>
      <c r="H1377" s="15">
        <v>6.7000000000000004E-2</v>
      </c>
      <c r="I1377" s="15">
        <v>0.16059209531300039</v>
      </c>
    </row>
    <row r="1378" spans="1:9" x14ac:dyDescent="0.2">
      <c r="A1378" s="2" t="s">
        <v>4130</v>
      </c>
      <c r="B1378" s="2" t="s">
        <v>4131</v>
      </c>
      <c r="C1378" s="2" t="s">
        <v>4132</v>
      </c>
      <c r="D1378" s="2" t="s">
        <v>10044</v>
      </c>
      <c r="E1378" s="15">
        <v>-5.5599999999999997E-2</v>
      </c>
      <c r="F1378" s="15">
        <v>6.0600000000000001E-2</v>
      </c>
      <c r="G1378" s="15">
        <v>-1.9800000000000002E-2</v>
      </c>
      <c r="H1378" s="15">
        <v>6.4299999999999996E-2</v>
      </c>
      <c r="I1378" s="15">
        <v>0.31492971674302378</v>
      </c>
    </row>
    <row r="1379" spans="1:9" x14ac:dyDescent="0.2">
      <c r="A1379" s="2" t="s">
        <v>4133</v>
      </c>
      <c r="B1379" s="2" t="s">
        <v>4134</v>
      </c>
      <c r="C1379" s="2" t="s">
        <v>4135</v>
      </c>
      <c r="D1379" s="2" t="s">
        <v>10044</v>
      </c>
      <c r="E1379" s="15">
        <v>-4.3299999999999998E-2</v>
      </c>
      <c r="F1379" s="15">
        <v>5.6899999999999999E-2</v>
      </c>
      <c r="G1379" s="15">
        <v>1.34E-2</v>
      </c>
      <c r="H1379" s="15">
        <v>6.8099999999999994E-2</v>
      </c>
      <c r="I1379" s="15">
        <v>0.22949186991438639</v>
      </c>
    </row>
    <row r="1380" spans="1:9" x14ac:dyDescent="0.2">
      <c r="A1380" s="2" t="s">
        <v>4136</v>
      </c>
      <c r="B1380" s="2" t="s">
        <v>4137</v>
      </c>
      <c r="C1380" s="2" t="s">
        <v>4138</v>
      </c>
      <c r="D1380" s="2" t="s">
        <v>10044</v>
      </c>
      <c r="E1380" s="15">
        <v>-2.3599999999999999E-2</v>
      </c>
      <c r="F1380" s="15">
        <v>5.7200000000000001E-2</v>
      </c>
      <c r="G1380" s="15">
        <v>-1.5699999999999999E-2</v>
      </c>
      <c r="H1380" s="15">
        <v>6.6199999999999995E-2</v>
      </c>
      <c r="I1380" s="15">
        <v>0.45793807967323552</v>
      </c>
    </row>
    <row r="1381" spans="1:9" x14ac:dyDescent="0.2">
      <c r="A1381" s="2" t="s">
        <v>4139</v>
      </c>
      <c r="B1381" s="2" t="s">
        <v>4140</v>
      </c>
      <c r="C1381" s="2" t="s">
        <v>4141</v>
      </c>
      <c r="D1381" s="2" t="s">
        <v>10044</v>
      </c>
      <c r="E1381" s="15">
        <v>-9.3200000000000005E-2</v>
      </c>
      <c r="F1381" s="15">
        <v>6.4799999999999996E-2</v>
      </c>
      <c r="G1381" s="15">
        <v>5.16E-2</v>
      </c>
      <c r="H1381" s="15">
        <v>6.1800000000000001E-2</v>
      </c>
      <c r="I1381" s="15">
        <v>2.3287462975415129E-2</v>
      </c>
    </row>
    <row r="1382" spans="1:9" x14ac:dyDescent="0.2">
      <c r="A1382" s="2" t="s">
        <v>4142</v>
      </c>
      <c r="B1382" s="2" t="s">
        <v>4143</v>
      </c>
      <c r="C1382" s="2" t="s">
        <v>4144</v>
      </c>
      <c r="D1382" s="2" t="s">
        <v>10044</v>
      </c>
      <c r="E1382" s="15">
        <v>-4.6600000000000003E-2</v>
      </c>
      <c r="F1382" s="15">
        <v>6.8699999999999997E-2</v>
      </c>
      <c r="G1382" s="15">
        <v>9.1999999999999998E-3</v>
      </c>
      <c r="H1382" s="15">
        <v>7.2300000000000003E-2</v>
      </c>
      <c r="I1382" s="15">
        <v>0.24651453627021069</v>
      </c>
    </row>
    <row r="1383" spans="1:9" x14ac:dyDescent="0.2">
      <c r="A1383" s="2" t="s">
        <v>4145</v>
      </c>
      <c r="B1383" s="2" t="s">
        <v>4146</v>
      </c>
      <c r="C1383" s="2" t="s">
        <v>4147</v>
      </c>
      <c r="D1383" s="2" t="s">
        <v>10044</v>
      </c>
      <c r="E1383" s="15">
        <v>9.5999999999999992E-3</v>
      </c>
      <c r="F1383" s="15">
        <v>5.3400000000000003E-2</v>
      </c>
      <c r="G1383" s="15">
        <v>8.9599999999999999E-2</v>
      </c>
      <c r="H1383" s="15">
        <v>6.7699999999999996E-2</v>
      </c>
      <c r="I1383" s="15">
        <v>0.14463308954192911</v>
      </c>
    </row>
    <row r="1384" spans="1:9" x14ac:dyDescent="0.2">
      <c r="A1384" s="2" t="s">
        <v>4148</v>
      </c>
      <c r="B1384" s="2" t="s">
        <v>4149</v>
      </c>
      <c r="C1384" s="2" t="s">
        <v>4150</v>
      </c>
      <c r="D1384" s="2" t="s">
        <v>10044</v>
      </c>
      <c r="E1384" s="15">
        <v>2.5700000000000001E-2</v>
      </c>
      <c r="F1384" s="15">
        <v>6.2199999999999998E-2</v>
      </c>
      <c r="G1384" s="15">
        <v>5.6099999999999997E-2</v>
      </c>
      <c r="H1384" s="15">
        <v>7.5600000000000001E-2</v>
      </c>
      <c r="I1384" s="15">
        <v>0.36084262906963033</v>
      </c>
    </row>
    <row r="1385" spans="1:9" x14ac:dyDescent="0.2">
      <c r="A1385" s="2" t="s">
        <v>4151</v>
      </c>
      <c r="B1385" s="2" t="s">
        <v>4152</v>
      </c>
      <c r="C1385" s="2" t="s">
        <v>4153</v>
      </c>
      <c r="D1385" s="2" t="s">
        <v>10044</v>
      </c>
      <c r="E1385" s="15">
        <v>-0.1419</v>
      </c>
      <c r="F1385" s="15">
        <v>6.1400000000000003E-2</v>
      </c>
      <c r="G1385" s="15">
        <v>-6.9500000000000006E-2</v>
      </c>
      <c r="H1385" s="15">
        <v>6.93E-2</v>
      </c>
      <c r="I1385" s="15">
        <v>0.17923658776328991</v>
      </c>
    </row>
    <row r="1386" spans="1:9" x14ac:dyDescent="0.2">
      <c r="A1386" s="2" t="s">
        <v>4154</v>
      </c>
      <c r="B1386" s="2" t="s">
        <v>4155</v>
      </c>
      <c r="C1386" s="2" t="s">
        <v>4156</v>
      </c>
      <c r="D1386" s="2" t="s">
        <v>10044</v>
      </c>
      <c r="E1386" s="15">
        <v>-5.4699999999999999E-2</v>
      </c>
      <c r="F1386" s="15">
        <v>5.5599999999999997E-2</v>
      </c>
      <c r="G1386" s="15">
        <v>-3.3099999999999997E-2</v>
      </c>
      <c r="H1386" s="15">
        <v>6.8500000000000005E-2</v>
      </c>
      <c r="I1386" s="15">
        <v>0.38842318331137482</v>
      </c>
    </row>
    <row r="1387" spans="1:9" x14ac:dyDescent="0.2">
      <c r="A1387" s="2" t="s">
        <v>4157</v>
      </c>
      <c r="B1387" s="2" t="s">
        <v>4158</v>
      </c>
      <c r="C1387" s="2" t="s">
        <v>4159</v>
      </c>
      <c r="D1387" s="2" t="s">
        <v>10044</v>
      </c>
      <c r="E1387" s="15">
        <v>-1.3100000000000001E-2</v>
      </c>
      <c r="F1387" s="15">
        <v>6.0199999999999997E-2</v>
      </c>
      <c r="G1387" s="15">
        <v>-1.4999999999999999E-2</v>
      </c>
      <c r="H1387" s="15">
        <v>6.4100000000000004E-2</v>
      </c>
      <c r="I1387" s="15">
        <v>0.48975279163486468</v>
      </c>
    </row>
    <row r="1388" spans="1:9" x14ac:dyDescent="0.2">
      <c r="A1388" s="2" t="s">
        <v>4160</v>
      </c>
      <c r="B1388" s="2" t="s">
        <v>4161</v>
      </c>
      <c r="C1388" s="2" t="s">
        <v>4162</v>
      </c>
      <c r="D1388" s="2" t="s">
        <v>10044</v>
      </c>
      <c r="E1388" s="15">
        <v>-1.4200000000000001E-2</v>
      </c>
      <c r="F1388" s="15">
        <v>5.8700000000000002E-2</v>
      </c>
      <c r="G1388" s="15">
        <v>-4.7600000000000003E-2</v>
      </c>
      <c r="H1388" s="15">
        <v>7.0499999999999993E-2</v>
      </c>
      <c r="I1388" s="15">
        <v>0.33724822979151159</v>
      </c>
    </row>
    <row r="1389" spans="1:9" x14ac:dyDescent="0.2">
      <c r="A1389" s="2" t="s">
        <v>4163</v>
      </c>
      <c r="B1389" s="2" t="s">
        <v>4164</v>
      </c>
      <c r="C1389" s="2" t="s">
        <v>4165</v>
      </c>
      <c r="D1389" s="2" t="s">
        <v>10044</v>
      </c>
      <c r="E1389" s="15">
        <v>-0.10249999999999999</v>
      </c>
      <c r="F1389" s="15">
        <v>6.6199999999999995E-2</v>
      </c>
      <c r="G1389" s="15">
        <v>4.7800000000000002E-2</v>
      </c>
      <c r="H1389" s="15">
        <v>7.6200000000000004E-2</v>
      </c>
      <c r="I1389" s="15">
        <v>4.2391570074553533E-2</v>
      </c>
    </row>
    <row r="1390" spans="1:9" x14ac:dyDescent="0.2">
      <c r="A1390" s="2" t="s">
        <v>4166</v>
      </c>
      <c r="B1390" s="2" t="s">
        <v>4167</v>
      </c>
      <c r="C1390" s="2" t="s">
        <v>4168</v>
      </c>
      <c r="D1390" s="2" t="s">
        <v>10044</v>
      </c>
      <c r="E1390" s="15">
        <v>-8.3599999999999994E-2</v>
      </c>
      <c r="F1390" s="15">
        <v>5.3900000000000003E-2</v>
      </c>
      <c r="G1390" s="15">
        <v>-4.3E-3</v>
      </c>
      <c r="H1390" s="15">
        <v>6.9800000000000001E-2</v>
      </c>
      <c r="I1390" s="15">
        <v>0.1577388978690778</v>
      </c>
    </row>
    <row r="1391" spans="1:9" x14ac:dyDescent="0.2">
      <c r="A1391" s="2" t="s">
        <v>4169</v>
      </c>
      <c r="B1391" s="2" t="s">
        <v>4170</v>
      </c>
      <c r="C1391" s="2" t="s">
        <v>4171</v>
      </c>
      <c r="D1391" s="2" t="s">
        <v>10044</v>
      </c>
      <c r="E1391" s="15">
        <v>1.11E-2</v>
      </c>
      <c r="F1391" s="15">
        <v>5.8799999999999998E-2</v>
      </c>
      <c r="G1391" s="15">
        <v>6.3E-2</v>
      </c>
      <c r="H1391" s="15">
        <v>7.85E-2</v>
      </c>
      <c r="I1391" s="15">
        <v>0.27679133676903278</v>
      </c>
    </row>
    <row r="1392" spans="1:9" x14ac:dyDescent="0.2">
      <c r="A1392" s="2" t="s">
        <v>4172</v>
      </c>
      <c r="B1392" s="2" t="s">
        <v>4173</v>
      </c>
      <c r="C1392" s="2" t="s">
        <v>4174</v>
      </c>
      <c r="D1392" s="2" t="s">
        <v>10044</v>
      </c>
      <c r="E1392" s="15">
        <v>-0.1381</v>
      </c>
      <c r="F1392" s="15">
        <v>5.3999999999999999E-2</v>
      </c>
      <c r="G1392" s="15">
        <v>-8.3900000000000002E-2</v>
      </c>
      <c r="H1392" s="15">
        <v>6.4000000000000001E-2</v>
      </c>
      <c r="I1392" s="15">
        <v>0.2285858170642488</v>
      </c>
    </row>
    <row r="1393" spans="1:9" x14ac:dyDescent="0.2">
      <c r="A1393" s="2" t="s">
        <v>4175</v>
      </c>
      <c r="B1393" s="2" t="s">
        <v>4176</v>
      </c>
      <c r="C1393" s="2" t="s">
        <v>4177</v>
      </c>
      <c r="D1393" s="2" t="s">
        <v>10044</v>
      </c>
      <c r="E1393" s="15">
        <v>-7.6E-3</v>
      </c>
      <c r="F1393" s="15">
        <v>5.2499999999999998E-2</v>
      </c>
      <c r="G1393" s="15">
        <v>1.35E-2</v>
      </c>
      <c r="H1393" s="15">
        <v>6.8000000000000005E-2</v>
      </c>
      <c r="I1393" s="15">
        <v>0.39118822569849238</v>
      </c>
    </row>
    <row r="1394" spans="1:9" x14ac:dyDescent="0.2">
      <c r="A1394" s="2" t="s">
        <v>4178</v>
      </c>
      <c r="B1394" s="2" t="s">
        <v>4179</v>
      </c>
      <c r="C1394" s="2" t="s">
        <v>4180</v>
      </c>
      <c r="D1394" s="2" t="s">
        <v>10044</v>
      </c>
      <c r="E1394" s="15">
        <v>5.0000000000000001E-4</v>
      </c>
      <c r="F1394" s="15">
        <v>6.4000000000000001E-2</v>
      </c>
      <c r="G1394" s="15">
        <v>2.1299999999999999E-2</v>
      </c>
      <c r="H1394" s="15">
        <v>6.4500000000000002E-2</v>
      </c>
      <c r="I1394" s="15">
        <v>0.39319394761416149</v>
      </c>
    </row>
    <row r="1395" spans="1:9" x14ac:dyDescent="0.2">
      <c r="A1395" s="2" t="s">
        <v>4181</v>
      </c>
      <c r="B1395" s="2" t="s">
        <v>4182</v>
      </c>
      <c r="C1395" s="2" t="s">
        <v>4183</v>
      </c>
      <c r="D1395" s="2" t="s">
        <v>10044</v>
      </c>
      <c r="E1395" s="15">
        <v>-2.4799999999999999E-2</v>
      </c>
      <c r="F1395" s="15">
        <v>5.7299999999999997E-2</v>
      </c>
      <c r="G1395" s="15">
        <v>-8.9999999999999998E-4</v>
      </c>
      <c r="H1395" s="15">
        <v>6.6500000000000004E-2</v>
      </c>
      <c r="I1395" s="15">
        <v>0.37500403739649829</v>
      </c>
    </row>
    <row r="1396" spans="1:9" x14ac:dyDescent="0.2">
      <c r="A1396" s="2" t="s">
        <v>4184</v>
      </c>
      <c r="B1396" s="2" t="s">
        <v>4185</v>
      </c>
      <c r="C1396" s="2" t="s">
        <v>4186</v>
      </c>
      <c r="D1396" s="2" t="s">
        <v>10044</v>
      </c>
      <c r="E1396" s="15">
        <v>-6.4699999999999994E-2</v>
      </c>
      <c r="F1396" s="15">
        <v>5.8799999999999998E-2</v>
      </c>
      <c r="G1396" s="15">
        <v>-1.2999999999999999E-2</v>
      </c>
      <c r="H1396" s="15">
        <v>6.2300000000000001E-2</v>
      </c>
      <c r="I1396" s="15">
        <v>0.23182702274934031</v>
      </c>
    </row>
    <row r="1397" spans="1:9" x14ac:dyDescent="0.2">
      <c r="A1397" s="2" t="s">
        <v>4187</v>
      </c>
      <c r="B1397" s="2" t="s">
        <v>4188</v>
      </c>
      <c r="C1397" s="2" t="s">
        <v>4189</v>
      </c>
      <c r="D1397" s="2" t="s">
        <v>10044</v>
      </c>
      <c r="E1397" s="15">
        <v>1.1000000000000001E-3</v>
      </c>
      <c r="F1397" s="15">
        <v>5.4199999999999998E-2</v>
      </c>
      <c r="G1397" s="15">
        <v>-1.2999999999999999E-3</v>
      </c>
      <c r="H1397" s="15">
        <v>7.0400000000000004E-2</v>
      </c>
      <c r="I1397" s="15">
        <v>0.4877143885020141</v>
      </c>
    </row>
    <row r="1398" spans="1:9" x14ac:dyDescent="0.2">
      <c r="A1398" s="2" t="s">
        <v>4190</v>
      </c>
      <c r="B1398" s="2" t="s">
        <v>4191</v>
      </c>
      <c r="C1398" s="2" t="s">
        <v>4192</v>
      </c>
      <c r="D1398" s="2" t="s">
        <v>10044</v>
      </c>
      <c r="E1398" s="15">
        <v>-1.2699999999999999E-2</v>
      </c>
      <c r="F1398" s="15">
        <v>5.3900000000000003E-2</v>
      </c>
      <c r="G1398" s="15">
        <v>7.0999999999999994E-2</v>
      </c>
      <c r="H1398" s="15">
        <v>6.3399999999999998E-2</v>
      </c>
      <c r="I1398" s="15">
        <v>0.1221691720787289</v>
      </c>
    </row>
    <row r="1399" spans="1:9" x14ac:dyDescent="0.2">
      <c r="A1399" s="2" t="s">
        <v>4193</v>
      </c>
      <c r="B1399" s="2" t="s">
        <v>4194</v>
      </c>
      <c r="C1399" s="2" t="s">
        <v>4195</v>
      </c>
      <c r="D1399" s="2" t="s">
        <v>10044</v>
      </c>
      <c r="E1399" s="15">
        <v>-1.18E-2</v>
      </c>
      <c r="F1399" s="15">
        <v>5.5100000000000003E-2</v>
      </c>
      <c r="G1399" s="15">
        <v>3.1699999999999999E-2</v>
      </c>
      <c r="H1399" s="15">
        <v>7.1900000000000006E-2</v>
      </c>
      <c r="I1399" s="15">
        <v>0.29405191578260848</v>
      </c>
    </row>
    <row r="1400" spans="1:9" x14ac:dyDescent="0.2">
      <c r="A1400" s="2" t="s">
        <v>4196</v>
      </c>
      <c r="B1400" s="2" t="s">
        <v>4197</v>
      </c>
      <c r="C1400" s="2" t="s">
        <v>4198</v>
      </c>
      <c r="D1400" s="2" t="s">
        <v>10044</v>
      </c>
      <c r="E1400" s="15">
        <v>-8.8900000000000007E-2</v>
      </c>
      <c r="F1400" s="15">
        <v>7.85E-2</v>
      </c>
      <c r="G1400" s="15">
        <v>-4.9099999999999998E-2</v>
      </c>
      <c r="H1400" s="15">
        <v>7.51E-2</v>
      </c>
      <c r="I1400" s="15">
        <v>0.32072390482701479</v>
      </c>
    </row>
    <row r="1401" spans="1:9" x14ac:dyDescent="0.2">
      <c r="A1401" s="2" t="s">
        <v>4199</v>
      </c>
      <c r="B1401" s="2" t="s">
        <v>4200</v>
      </c>
      <c r="C1401" s="2" t="s">
        <v>4201</v>
      </c>
      <c r="D1401" s="2" t="s">
        <v>10044</v>
      </c>
      <c r="E1401" s="15">
        <v>-2.9600000000000001E-2</v>
      </c>
      <c r="F1401" s="15">
        <v>7.4099999999999999E-2</v>
      </c>
      <c r="G1401" s="15">
        <v>0.11550000000000001</v>
      </c>
      <c r="H1401" s="15">
        <v>8.1000000000000003E-2</v>
      </c>
      <c r="I1401" s="15">
        <v>5.9457220841087212E-2</v>
      </c>
    </row>
    <row r="1402" spans="1:9" x14ac:dyDescent="0.2">
      <c r="A1402" s="2" t="s">
        <v>4202</v>
      </c>
      <c r="B1402" s="2" t="s">
        <v>4203</v>
      </c>
      <c r="C1402" s="2" t="s">
        <v>4204</v>
      </c>
      <c r="D1402" s="2" t="s">
        <v>10044</v>
      </c>
      <c r="E1402" s="15">
        <v>-8.8800000000000004E-2</v>
      </c>
      <c r="F1402" s="15">
        <v>6.3600000000000004E-2</v>
      </c>
      <c r="G1402" s="15">
        <v>4.8000000000000001E-2</v>
      </c>
      <c r="H1402" s="15">
        <v>7.17E-2</v>
      </c>
      <c r="I1402" s="15">
        <v>4.6197226028053061E-2</v>
      </c>
    </row>
    <row r="1403" spans="1:9" x14ac:dyDescent="0.2">
      <c r="A1403" s="2" t="s">
        <v>4205</v>
      </c>
      <c r="B1403" s="2" t="s">
        <v>4206</v>
      </c>
      <c r="C1403" s="2" t="s">
        <v>4207</v>
      </c>
      <c r="D1403" s="2" t="s">
        <v>10044</v>
      </c>
      <c r="E1403" s="15">
        <v>2.76E-2</v>
      </c>
      <c r="F1403" s="15">
        <v>5.8599999999999999E-2</v>
      </c>
      <c r="G1403" s="15">
        <v>5.04E-2</v>
      </c>
      <c r="H1403" s="15">
        <v>7.1499999999999994E-2</v>
      </c>
      <c r="I1403" s="15">
        <v>0.386502196974223</v>
      </c>
    </row>
    <row r="1404" spans="1:9" x14ac:dyDescent="0.2">
      <c r="A1404" s="2" t="s">
        <v>4208</v>
      </c>
      <c r="B1404" s="2" t="s">
        <v>4209</v>
      </c>
      <c r="C1404" s="2" t="s">
        <v>4210</v>
      </c>
      <c r="D1404" s="2" t="s">
        <v>10044</v>
      </c>
      <c r="E1404" s="15">
        <v>0.1358</v>
      </c>
      <c r="F1404" s="15">
        <v>0.1648</v>
      </c>
      <c r="G1404" s="15">
        <v>-4.8300000000000003E-2</v>
      </c>
      <c r="H1404" s="15">
        <v>0.19009999999999999</v>
      </c>
      <c r="I1404" s="15">
        <v>0.19457589293935651</v>
      </c>
    </row>
    <row r="1405" spans="1:9" x14ac:dyDescent="0.2">
      <c r="A1405" s="2" t="s">
        <v>4211</v>
      </c>
      <c r="B1405" s="2" t="s">
        <v>4212</v>
      </c>
      <c r="C1405" s="2" t="s">
        <v>4213</v>
      </c>
      <c r="D1405" s="2" t="s">
        <v>10044</v>
      </c>
      <c r="E1405" s="15">
        <v>2.3199999999999998E-2</v>
      </c>
      <c r="F1405" s="15">
        <v>5.6399999999999999E-2</v>
      </c>
      <c r="G1405" s="15">
        <v>4.9500000000000002E-2</v>
      </c>
      <c r="H1405" s="15">
        <v>7.4399999999999994E-2</v>
      </c>
      <c r="I1405" s="15">
        <v>0.37484909632603908</v>
      </c>
    </row>
    <row r="1406" spans="1:9" x14ac:dyDescent="0.2">
      <c r="A1406" s="2" t="s">
        <v>4214</v>
      </c>
      <c r="B1406" s="2" t="s">
        <v>4215</v>
      </c>
      <c r="C1406" s="2" t="s">
        <v>4216</v>
      </c>
      <c r="D1406" s="2" t="s">
        <v>10044</v>
      </c>
      <c r="E1406" s="15">
        <v>1.83E-2</v>
      </c>
      <c r="F1406" s="15">
        <v>0.10340000000000001</v>
      </c>
      <c r="G1406" s="15">
        <v>0.10009999999999999</v>
      </c>
      <c r="H1406" s="15">
        <v>9.8500000000000004E-2</v>
      </c>
      <c r="I1406" s="15">
        <v>0.22571487752450231</v>
      </c>
    </row>
    <row r="1407" spans="1:9" x14ac:dyDescent="0.2">
      <c r="A1407" s="2" t="s">
        <v>4217</v>
      </c>
      <c r="B1407" s="2" t="s">
        <v>4218</v>
      </c>
      <c r="C1407" s="2" t="s">
        <v>4219</v>
      </c>
      <c r="D1407" s="2" t="s">
        <v>10044</v>
      </c>
      <c r="E1407" s="15">
        <v>-5.8999999999999997E-2</v>
      </c>
      <c r="F1407" s="15">
        <v>6.1199999999999997E-2</v>
      </c>
      <c r="G1407" s="15">
        <v>-6.6299999999999998E-2</v>
      </c>
      <c r="H1407" s="15">
        <v>7.2900000000000006E-2</v>
      </c>
      <c r="I1407" s="15">
        <v>0.46378804133444251</v>
      </c>
    </row>
    <row r="1408" spans="1:9" x14ac:dyDescent="0.2">
      <c r="A1408" s="2" t="s">
        <v>4220</v>
      </c>
      <c r="B1408" s="2" t="s">
        <v>4221</v>
      </c>
      <c r="C1408" s="2" t="s">
        <v>4222</v>
      </c>
      <c r="D1408" s="2" t="s">
        <v>10044</v>
      </c>
      <c r="E1408" s="15">
        <v>-6.0699999999999997E-2</v>
      </c>
      <c r="F1408" s="15">
        <v>6.6199999999999995E-2</v>
      </c>
      <c r="G1408" s="15">
        <v>-9.74E-2</v>
      </c>
      <c r="H1408" s="15">
        <v>7.4800000000000005E-2</v>
      </c>
      <c r="I1408" s="15">
        <v>0.33219402667555908</v>
      </c>
    </row>
    <row r="1409" spans="1:9" x14ac:dyDescent="0.2">
      <c r="A1409" s="2" t="s">
        <v>4223</v>
      </c>
      <c r="B1409" s="2" t="s">
        <v>4224</v>
      </c>
      <c r="C1409" s="2" t="s">
        <v>4225</v>
      </c>
      <c r="D1409" s="2" t="s">
        <v>10044</v>
      </c>
      <c r="E1409" s="15">
        <v>-3.0700000000000002E-2</v>
      </c>
      <c r="F1409" s="15">
        <v>7.6600000000000001E-2</v>
      </c>
      <c r="G1409" s="15">
        <v>0.2382</v>
      </c>
      <c r="H1409" s="15">
        <v>8.8999999999999996E-2</v>
      </c>
      <c r="I1409" s="15">
        <v>3.718212990646186E-3</v>
      </c>
    </row>
    <row r="1410" spans="1:9" x14ac:dyDescent="0.2">
      <c r="A1410" s="2" t="s">
        <v>4226</v>
      </c>
      <c r="B1410" s="2" t="s">
        <v>4227</v>
      </c>
      <c r="C1410" s="2" t="s">
        <v>4228</v>
      </c>
      <c r="D1410" s="2" t="s">
        <v>10044</v>
      </c>
      <c r="E1410" s="15">
        <v>1.6799999999999999E-2</v>
      </c>
      <c r="F1410" s="15">
        <v>6.0299999999999999E-2</v>
      </c>
      <c r="G1410" s="15">
        <v>6.0699999999999997E-2</v>
      </c>
      <c r="H1410" s="15">
        <v>6.5000000000000002E-2</v>
      </c>
      <c r="I1410" s="15">
        <v>0.27693368946976638</v>
      </c>
    </row>
    <row r="1411" spans="1:9" x14ac:dyDescent="0.2">
      <c r="A1411" s="2" t="s">
        <v>4229</v>
      </c>
      <c r="B1411" s="2" t="s">
        <v>4230</v>
      </c>
      <c r="C1411" s="2" t="s">
        <v>4231</v>
      </c>
      <c r="D1411" s="2" t="s">
        <v>10044</v>
      </c>
      <c r="E1411" s="15">
        <v>5.4999999999999997E-3</v>
      </c>
      <c r="F1411" s="15">
        <v>5.6099999999999997E-2</v>
      </c>
      <c r="G1411" s="15">
        <v>3.78E-2</v>
      </c>
      <c r="H1411" s="15">
        <v>6.7400000000000002E-2</v>
      </c>
      <c r="I1411" s="15">
        <v>0.33354117269320083</v>
      </c>
    </row>
    <row r="1412" spans="1:9" x14ac:dyDescent="0.2">
      <c r="A1412" s="2" t="s">
        <v>4232</v>
      </c>
      <c r="B1412" s="2" t="s">
        <v>4233</v>
      </c>
      <c r="C1412" s="2" t="s">
        <v>4234</v>
      </c>
      <c r="D1412" s="2" t="s">
        <v>10044</v>
      </c>
      <c r="E1412" s="15">
        <v>-1.54E-2</v>
      </c>
      <c r="F1412" s="15">
        <v>5.6099999999999997E-2</v>
      </c>
      <c r="G1412" s="15">
        <v>8.8499999999999995E-2</v>
      </c>
      <c r="H1412" s="15">
        <v>6.4699999999999994E-2</v>
      </c>
      <c r="I1412" s="15">
        <v>7.7448248552751342E-2</v>
      </c>
    </row>
    <row r="1413" spans="1:9" x14ac:dyDescent="0.2">
      <c r="A1413" s="2" t="s">
        <v>4235</v>
      </c>
      <c r="B1413" s="2" t="s">
        <v>4236</v>
      </c>
      <c r="C1413" s="2" t="s">
        <v>4237</v>
      </c>
      <c r="D1413" s="2" t="s">
        <v>10044</v>
      </c>
      <c r="E1413" s="15">
        <v>-5.2999999999999999E-2</v>
      </c>
      <c r="F1413" s="15">
        <v>7.1400000000000005E-2</v>
      </c>
      <c r="G1413" s="15">
        <v>3.3300000000000003E-2</v>
      </c>
      <c r="H1413" s="15">
        <v>7.6200000000000004E-2</v>
      </c>
      <c r="I1413" s="15">
        <v>0.15983066720829661</v>
      </c>
    </row>
    <row r="1414" spans="1:9" x14ac:dyDescent="0.2">
      <c r="A1414" s="2" t="s">
        <v>4238</v>
      </c>
      <c r="B1414" s="2" t="s">
        <v>4239</v>
      </c>
      <c r="C1414" s="2" t="s">
        <v>4240</v>
      </c>
      <c r="D1414" s="2" t="s">
        <v>10044</v>
      </c>
      <c r="E1414" s="15">
        <v>-1.9E-2</v>
      </c>
      <c r="F1414" s="15">
        <v>5.8400000000000001E-2</v>
      </c>
      <c r="G1414" s="15">
        <v>1.34E-2</v>
      </c>
      <c r="H1414" s="15">
        <v>7.2499999999999995E-2</v>
      </c>
      <c r="I1414" s="15">
        <v>0.34415681086433902</v>
      </c>
    </row>
    <row r="1415" spans="1:9" x14ac:dyDescent="0.2">
      <c r="A1415" s="2" t="s">
        <v>4241</v>
      </c>
      <c r="B1415" s="2" t="s">
        <v>4242</v>
      </c>
      <c r="C1415" s="2" t="s">
        <v>4243</v>
      </c>
      <c r="D1415" s="2" t="s">
        <v>10044</v>
      </c>
      <c r="E1415" s="15">
        <v>1E-4</v>
      </c>
      <c r="F1415" s="15">
        <v>6.3100000000000003E-2</v>
      </c>
      <c r="G1415" s="15">
        <v>-8.5900000000000004E-2</v>
      </c>
      <c r="H1415" s="15">
        <v>7.6999999999999999E-2</v>
      </c>
      <c r="I1415" s="15">
        <v>0.16094014469532991</v>
      </c>
    </row>
    <row r="1416" spans="1:9" x14ac:dyDescent="0.2">
      <c r="A1416" s="2" t="s">
        <v>4244</v>
      </c>
      <c r="B1416" s="2" t="s">
        <v>4245</v>
      </c>
      <c r="C1416" s="2" t="s">
        <v>4246</v>
      </c>
      <c r="D1416" s="2" t="s">
        <v>10044</v>
      </c>
      <c r="E1416" s="15">
        <v>-5.0999999999999997E-2</v>
      </c>
      <c r="F1416" s="15">
        <v>6.1699999999999998E-2</v>
      </c>
      <c r="G1416" s="15">
        <v>7.2400000000000006E-2</v>
      </c>
      <c r="H1416" s="15">
        <v>7.9299999999999995E-2</v>
      </c>
      <c r="I1416" s="15">
        <v>8.0467308293620476E-2</v>
      </c>
    </row>
    <row r="1417" spans="1:9" x14ac:dyDescent="0.2">
      <c r="A1417" s="2" t="s">
        <v>4247</v>
      </c>
      <c r="B1417" s="2" t="s">
        <v>4248</v>
      </c>
      <c r="C1417" s="2" t="s">
        <v>4249</v>
      </c>
      <c r="D1417" s="2" t="s">
        <v>10044</v>
      </c>
      <c r="E1417" s="15">
        <v>-6.8599999999999994E-2</v>
      </c>
      <c r="F1417" s="15">
        <v>7.1199999999999999E-2</v>
      </c>
      <c r="G1417" s="15">
        <v>-2.7099999999999999E-2</v>
      </c>
      <c r="H1417" s="15">
        <v>7.6600000000000001E-2</v>
      </c>
      <c r="I1417" s="15">
        <v>0.31525429460146343</v>
      </c>
    </row>
    <row r="1418" spans="1:9" x14ac:dyDescent="0.2">
      <c r="A1418" s="2" t="s">
        <v>4250</v>
      </c>
      <c r="B1418" s="2" t="s">
        <v>4251</v>
      </c>
      <c r="C1418" s="2" t="s">
        <v>4252</v>
      </c>
      <c r="D1418" s="2" t="s">
        <v>10044</v>
      </c>
      <c r="E1418" s="15">
        <v>3.8899999999999997E-2</v>
      </c>
      <c r="F1418" s="15">
        <v>5.5800000000000002E-2</v>
      </c>
      <c r="G1418" s="15">
        <v>0.10730000000000001</v>
      </c>
      <c r="H1418" s="15">
        <v>6.7299999999999999E-2</v>
      </c>
      <c r="I1418" s="15">
        <v>0.18419375425233039</v>
      </c>
    </row>
    <row r="1419" spans="1:9" x14ac:dyDescent="0.2">
      <c r="A1419" s="2" t="s">
        <v>4253</v>
      </c>
      <c r="B1419" s="2" t="s">
        <v>4254</v>
      </c>
      <c r="C1419" s="2" t="s">
        <v>4255</v>
      </c>
      <c r="D1419" s="2" t="s">
        <v>10044</v>
      </c>
      <c r="E1419" s="15">
        <v>3.5999999999999997E-2</v>
      </c>
      <c r="F1419" s="15">
        <v>6.3700000000000007E-2</v>
      </c>
      <c r="G1419" s="15">
        <v>9.4899999999999998E-2</v>
      </c>
      <c r="H1419" s="15">
        <v>7.4300000000000005E-2</v>
      </c>
      <c r="I1419" s="15">
        <v>0.24064206902485799</v>
      </c>
    </row>
    <row r="1420" spans="1:9" x14ac:dyDescent="0.2">
      <c r="A1420" s="2" t="s">
        <v>4256</v>
      </c>
      <c r="B1420" s="2" t="s">
        <v>4257</v>
      </c>
      <c r="C1420" s="2" t="s">
        <v>4258</v>
      </c>
      <c r="D1420" s="2" t="s">
        <v>10044</v>
      </c>
      <c r="E1420" s="15">
        <v>-7.5999999999999998E-2</v>
      </c>
      <c r="F1420" s="15">
        <v>6.0699999999999997E-2</v>
      </c>
      <c r="G1420" s="15">
        <v>-5.2499999999999998E-2</v>
      </c>
      <c r="H1420" s="15">
        <v>6.5000000000000002E-2</v>
      </c>
      <c r="I1420" s="15">
        <v>0.37613360158458259</v>
      </c>
    </row>
    <row r="1421" spans="1:9" x14ac:dyDescent="0.2">
      <c r="A1421" s="2" t="s">
        <v>4259</v>
      </c>
      <c r="B1421" s="2" t="s">
        <v>4260</v>
      </c>
      <c r="C1421" s="2" t="s">
        <v>4261</v>
      </c>
      <c r="D1421" s="2" t="s">
        <v>10044</v>
      </c>
      <c r="E1421" s="15">
        <v>-3.7400000000000003E-2</v>
      </c>
      <c r="F1421" s="15">
        <v>5.4899999999999997E-2</v>
      </c>
      <c r="G1421" s="15">
        <v>-5.5300000000000002E-2</v>
      </c>
      <c r="H1421" s="15">
        <v>7.1199999999999999E-2</v>
      </c>
      <c r="I1421" s="15">
        <v>0.4107491210370805</v>
      </c>
    </row>
    <row r="1422" spans="1:9" x14ac:dyDescent="0.2">
      <c r="A1422" s="2" t="s">
        <v>4262</v>
      </c>
      <c r="B1422" s="2" t="s">
        <v>4263</v>
      </c>
      <c r="C1422" s="2" t="s">
        <v>4264</v>
      </c>
      <c r="D1422" s="2" t="s">
        <v>10044</v>
      </c>
      <c r="E1422" s="15">
        <v>-2.2800000000000001E-2</v>
      </c>
      <c r="F1422" s="15">
        <v>7.1999999999999995E-2</v>
      </c>
      <c r="G1422" s="15">
        <v>3.6400000000000002E-2</v>
      </c>
      <c r="H1422" s="15">
        <v>7.2599999999999998E-2</v>
      </c>
      <c r="I1422" s="15">
        <v>0.23652814786916559</v>
      </c>
    </row>
    <row r="1423" spans="1:9" x14ac:dyDescent="0.2">
      <c r="A1423" s="2" t="s">
        <v>4265</v>
      </c>
      <c r="B1423" s="2" t="s">
        <v>4266</v>
      </c>
      <c r="C1423" s="2" t="s">
        <v>4267</v>
      </c>
      <c r="D1423" s="2" t="s">
        <v>10044</v>
      </c>
      <c r="E1423" s="15">
        <v>8.9999999999999998E-4</v>
      </c>
      <c r="F1423" s="15">
        <v>6.3299999999999995E-2</v>
      </c>
      <c r="G1423" s="15">
        <v>-5.4999999999999997E-3</v>
      </c>
      <c r="H1423" s="15">
        <v>7.0300000000000001E-2</v>
      </c>
      <c r="I1423" s="15">
        <v>0.4675051090613756</v>
      </c>
    </row>
    <row r="1424" spans="1:9" x14ac:dyDescent="0.2">
      <c r="A1424" s="2" t="s">
        <v>4268</v>
      </c>
      <c r="B1424" s="2" t="s">
        <v>4269</v>
      </c>
      <c r="C1424" s="2" t="s">
        <v>4270</v>
      </c>
      <c r="D1424" s="2" t="s">
        <v>10044</v>
      </c>
      <c r="E1424" s="15">
        <v>-0.1356</v>
      </c>
      <c r="F1424" s="15">
        <v>6.2899999999999998E-2</v>
      </c>
      <c r="G1424" s="15">
        <v>3.1099999999999999E-2</v>
      </c>
      <c r="H1424" s="15">
        <v>7.9699999999999993E-2</v>
      </c>
      <c r="I1424" s="15">
        <v>3.078577112888076E-2</v>
      </c>
    </row>
    <row r="1425" spans="1:9" x14ac:dyDescent="0.2">
      <c r="A1425" s="2" t="s">
        <v>4271</v>
      </c>
      <c r="B1425" s="2" t="s">
        <v>4272</v>
      </c>
      <c r="C1425" s="2" t="s">
        <v>4273</v>
      </c>
      <c r="D1425" s="2" t="s">
        <v>10044</v>
      </c>
      <c r="E1425" s="15">
        <v>-7.2599999999999998E-2</v>
      </c>
      <c r="F1425" s="15">
        <v>5.7099999999999998E-2</v>
      </c>
      <c r="G1425" s="15">
        <v>1.9599999999999999E-2</v>
      </c>
      <c r="H1425" s="15">
        <v>6.6799999999999998E-2</v>
      </c>
      <c r="I1425" s="15">
        <v>0.11203311397198019</v>
      </c>
    </row>
    <row r="1426" spans="1:9" x14ac:dyDescent="0.2">
      <c r="A1426" s="2" t="s">
        <v>4274</v>
      </c>
      <c r="B1426" s="2" t="s">
        <v>4275</v>
      </c>
      <c r="C1426" s="2" t="s">
        <v>4276</v>
      </c>
      <c r="D1426" s="2" t="s">
        <v>10044</v>
      </c>
      <c r="E1426" s="15">
        <v>4.5999999999999999E-2</v>
      </c>
      <c r="F1426" s="15">
        <v>6.6299999999999998E-2</v>
      </c>
      <c r="G1426" s="15">
        <v>4.4400000000000002E-2</v>
      </c>
      <c r="H1426" s="15">
        <v>6.93E-2</v>
      </c>
      <c r="I1426" s="15">
        <v>0.49202323765490141</v>
      </c>
    </row>
    <row r="1427" spans="1:9" x14ac:dyDescent="0.2">
      <c r="A1427" s="2" t="s">
        <v>4277</v>
      </c>
      <c r="B1427" s="2" t="s">
        <v>4278</v>
      </c>
      <c r="C1427" s="2" t="s">
        <v>4279</v>
      </c>
      <c r="D1427" s="2" t="s">
        <v>10044</v>
      </c>
      <c r="E1427" s="15">
        <v>-0.14530000000000001</v>
      </c>
      <c r="F1427" s="15">
        <v>5.8000000000000003E-2</v>
      </c>
      <c r="G1427" s="15">
        <v>-5.91E-2</v>
      </c>
      <c r="H1427" s="15">
        <v>6.5299999999999997E-2</v>
      </c>
      <c r="I1427" s="15">
        <v>0.12127222767314171</v>
      </c>
    </row>
    <row r="1428" spans="1:9" x14ac:dyDescent="0.2">
      <c r="A1428" s="2" t="s">
        <v>4280</v>
      </c>
      <c r="B1428" s="2" t="s">
        <v>4281</v>
      </c>
      <c r="C1428" s="2" t="s">
        <v>4282</v>
      </c>
      <c r="D1428" s="2" t="s">
        <v>10044</v>
      </c>
      <c r="E1428" s="15">
        <v>-8.8999999999999999E-3</v>
      </c>
      <c r="F1428" s="15">
        <v>5.6599999999999998E-2</v>
      </c>
      <c r="G1428" s="15">
        <v>1E-3</v>
      </c>
      <c r="H1428" s="15">
        <v>6.6299999999999998E-2</v>
      </c>
      <c r="I1428" s="15">
        <v>0.44695621475614672</v>
      </c>
    </row>
    <row r="1429" spans="1:9" x14ac:dyDescent="0.2">
      <c r="A1429" s="2" t="s">
        <v>4283</v>
      </c>
      <c r="B1429" s="2" t="s">
        <v>4284</v>
      </c>
      <c r="C1429" s="2" t="s">
        <v>4285</v>
      </c>
      <c r="D1429" s="2" t="s">
        <v>10044</v>
      </c>
      <c r="E1429" s="15">
        <v>2.7900000000000001E-2</v>
      </c>
      <c r="F1429" s="15">
        <v>7.0900000000000005E-2</v>
      </c>
      <c r="G1429" s="15">
        <v>0.1176</v>
      </c>
      <c r="H1429" s="15">
        <v>7.2599999999999998E-2</v>
      </c>
      <c r="I1429" s="15">
        <v>0.13765234923314981</v>
      </c>
    </row>
    <row r="1430" spans="1:9" x14ac:dyDescent="0.2">
      <c r="A1430" s="2" t="s">
        <v>4286</v>
      </c>
      <c r="B1430" s="2" t="s">
        <v>4287</v>
      </c>
      <c r="C1430" s="2" t="s">
        <v>4288</v>
      </c>
      <c r="D1430" s="2" t="s">
        <v>10044</v>
      </c>
      <c r="E1430" s="15">
        <v>-1.89E-2</v>
      </c>
      <c r="F1430" s="15">
        <v>6.2700000000000006E-2</v>
      </c>
      <c r="G1430" s="15">
        <v>-1.6E-2</v>
      </c>
      <c r="H1430" s="15">
        <v>6.6199999999999995E-2</v>
      </c>
      <c r="I1430" s="15">
        <v>0.484709286107672</v>
      </c>
    </row>
    <row r="1431" spans="1:9" x14ac:dyDescent="0.2">
      <c r="A1431" s="2" t="s">
        <v>4289</v>
      </c>
      <c r="B1431" s="2" t="s">
        <v>4290</v>
      </c>
      <c r="C1431" s="2" t="s">
        <v>4291</v>
      </c>
      <c r="D1431" s="2" t="s">
        <v>10044</v>
      </c>
      <c r="E1431" s="15">
        <v>-5.2699999999999997E-2</v>
      </c>
      <c r="F1431" s="15">
        <v>5.8900000000000001E-2</v>
      </c>
      <c r="G1431" s="15">
        <v>-2.3999999999999998E-3</v>
      </c>
      <c r="H1431" s="15">
        <v>6.3299999999999995E-2</v>
      </c>
      <c r="I1431" s="15">
        <v>0.2423844904525842</v>
      </c>
    </row>
    <row r="1432" spans="1:9" x14ac:dyDescent="0.2">
      <c r="A1432" s="2" t="s">
        <v>4292</v>
      </c>
      <c r="B1432" s="2" t="s">
        <v>4293</v>
      </c>
      <c r="C1432" s="2" t="s">
        <v>4294</v>
      </c>
      <c r="D1432" s="2" t="s">
        <v>10044</v>
      </c>
      <c r="E1432" s="15">
        <v>1.0500000000000001E-2</v>
      </c>
      <c r="F1432" s="15">
        <v>5.2999999999999999E-2</v>
      </c>
      <c r="G1432" s="15">
        <v>-1.6E-2</v>
      </c>
      <c r="H1432" s="15">
        <v>6.54E-2</v>
      </c>
      <c r="I1432" s="15">
        <v>0.35827085731786379</v>
      </c>
    </row>
    <row r="1433" spans="1:9" x14ac:dyDescent="0.2">
      <c r="A1433" s="2" t="s">
        <v>4295</v>
      </c>
      <c r="B1433" s="2" t="s">
        <v>4296</v>
      </c>
      <c r="C1433" s="2" t="s">
        <v>4297</v>
      </c>
      <c r="D1433" s="2" t="s">
        <v>10044</v>
      </c>
      <c r="E1433" s="15">
        <v>1.9099999999999999E-2</v>
      </c>
      <c r="F1433" s="15">
        <v>5.7599999999999998E-2</v>
      </c>
      <c r="G1433" s="15">
        <v>7.8200000000000006E-2</v>
      </c>
      <c r="H1433" s="15">
        <v>6.4199999999999993E-2</v>
      </c>
      <c r="I1433" s="15">
        <v>0.20766040996937979</v>
      </c>
    </row>
    <row r="1434" spans="1:9" x14ac:dyDescent="0.2">
      <c r="A1434" s="2" t="s">
        <v>4298</v>
      </c>
      <c r="B1434" s="2" t="s">
        <v>4299</v>
      </c>
      <c r="C1434" s="2" t="s">
        <v>4300</v>
      </c>
      <c r="D1434" s="2" t="s">
        <v>10044</v>
      </c>
      <c r="E1434" s="15">
        <v>-2.1399999999999999E-2</v>
      </c>
      <c r="F1434" s="15">
        <v>5.5599999999999997E-2</v>
      </c>
      <c r="G1434" s="15">
        <v>3.7900000000000003E-2</v>
      </c>
      <c r="H1434" s="15">
        <v>6.5100000000000005E-2</v>
      </c>
      <c r="I1434" s="15">
        <v>0.21030057378444789</v>
      </c>
    </row>
    <row r="1435" spans="1:9" x14ac:dyDescent="0.2">
      <c r="A1435" s="2" t="s">
        <v>4301</v>
      </c>
      <c r="B1435" s="2" t="s">
        <v>4302</v>
      </c>
      <c r="C1435" s="2" t="s">
        <v>4303</v>
      </c>
      <c r="D1435" s="2" t="s">
        <v>10044</v>
      </c>
      <c r="E1435" s="15">
        <v>-5.8900000000000001E-2</v>
      </c>
      <c r="F1435" s="15">
        <v>8.3400000000000002E-2</v>
      </c>
      <c r="G1435" s="15">
        <v>3.56E-2</v>
      </c>
      <c r="H1435" s="15">
        <v>7.5999999999999998E-2</v>
      </c>
      <c r="I1435" s="15">
        <v>0.1380990489686163</v>
      </c>
    </row>
    <row r="1436" spans="1:9" x14ac:dyDescent="0.2">
      <c r="A1436" s="2" t="s">
        <v>4304</v>
      </c>
      <c r="B1436" s="2" t="s">
        <v>4305</v>
      </c>
      <c r="C1436" s="2" t="s">
        <v>4306</v>
      </c>
      <c r="D1436" s="2" t="s">
        <v>10044</v>
      </c>
      <c r="E1436" s="15">
        <v>-3.8E-3</v>
      </c>
      <c r="F1436" s="15">
        <v>7.22E-2</v>
      </c>
      <c r="G1436" s="15">
        <v>4.3099999999999999E-2</v>
      </c>
      <c r="H1436" s="15">
        <v>7.8799999999999995E-2</v>
      </c>
      <c r="I1436" s="15">
        <v>0.3002899933081824</v>
      </c>
    </row>
    <row r="1437" spans="1:9" x14ac:dyDescent="0.2">
      <c r="A1437" s="2" t="s">
        <v>4307</v>
      </c>
      <c r="B1437" s="2" t="s">
        <v>4308</v>
      </c>
      <c r="C1437" s="2" t="s">
        <v>4309</v>
      </c>
      <c r="D1437" s="2" t="s">
        <v>10044</v>
      </c>
      <c r="E1437" s="15">
        <v>-8.1100000000000005E-2</v>
      </c>
      <c r="F1437" s="15">
        <v>6.5000000000000002E-2</v>
      </c>
      <c r="G1437" s="15">
        <v>0.12529999999999999</v>
      </c>
      <c r="H1437" s="15">
        <v>7.3499999999999996E-2</v>
      </c>
      <c r="I1437" s="15">
        <v>7.2939481311216714E-3</v>
      </c>
    </row>
    <row r="1438" spans="1:9" x14ac:dyDescent="0.2">
      <c r="A1438" s="2" t="s">
        <v>4310</v>
      </c>
      <c r="B1438" s="2" t="s">
        <v>4311</v>
      </c>
      <c r="C1438" s="2" t="s">
        <v>4312</v>
      </c>
      <c r="D1438" s="2" t="s">
        <v>10044</v>
      </c>
      <c r="E1438" s="15">
        <v>-4.5400000000000003E-2</v>
      </c>
      <c r="F1438" s="15">
        <v>6.7900000000000002E-2</v>
      </c>
      <c r="G1438" s="15">
        <v>0.1026</v>
      </c>
      <c r="H1438" s="15">
        <v>7.8600000000000003E-2</v>
      </c>
      <c r="I1438" s="15">
        <v>4.4617895821272291E-2</v>
      </c>
    </row>
    <row r="1439" spans="1:9" x14ac:dyDescent="0.2">
      <c r="A1439" s="2" t="s">
        <v>4313</v>
      </c>
      <c r="B1439" s="2" t="s">
        <v>4314</v>
      </c>
      <c r="C1439" s="2" t="s">
        <v>4315</v>
      </c>
      <c r="D1439" s="2" t="s">
        <v>10045</v>
      </c>
      <c r="E1439" s="15">
        <v>-4.4600000000000001E-2</v>
      </c>
      <c r="F1439" s="15">
        <v>6.7500000000000004E-2</v>
      </c>
      <c r="G1439" s="15">
        <v>9.2299999999999993E-2</v>
      </c>
      <c r="H1439" s="15">
        <v>0.09</v>
      </c>
      <c r="I1439" s="15">
        <v>8.3588508682089627E-2</v>
      </c>
    </row>
    <row r="1440" spans="1:9" x14ac:dyDescent="0.2">
      <c r="A1440" s="2" t="s">
        <v>4316</v>
      </c>
      <c r="B1440" s="2" t="s">
        <v>4317</v>
      </c>
      <c r="C1440" s="2" t="s">
        <v>4318</v>
      </c>
      <c r="D1440" s="2" t="s">
        <v>10046</v>
      </c>
      <c r="E1440" s="15">
        <v>8.7900000000000006E-2</v>
      </c>
      <c r="F1440" s="15">
        <v>9.4100000000000003E-2</v>
      </c>
      <c r="G1440" s="15">
        <v>6.9000000000000006E-2</v>
      </c>
      <c r="H1440" s="15">
        <v>0.1137</v>
      </c>
      <c r="I1440" s="15">
        <v>0.44149774971988848</v>
      </c>
    </row>
    <row r="1441" spans="1:9" x14ac:dyDescent="0.2">
      <c r="A1441" s="2" t="s">
        <v>4319</v>
      </c>
      <c r="B1441" s="2" t="s">
        <v>4320</v>
      </c>
      <c r="C1441" s="2" t="s">
        <v>4321</v>
      </c>
      <c r="D1441" s="2" t="s">
        <v>10046</v>
      </c>
      <c r="E1441" s="15">
        <v>5.4699999999999999E-2</v>
      </c>
      <c r="F1441" s="15">
        <v>6.5299999999999997E-2</v>
      </c>
      <c r="G1441" s="15">
        <v>5.8000000000000003E-2</v>
      </c>
      <c r="H1441" s="15">
        <v>8.3900000000000002E-2</v>
      </c>
      <c r="I1441" s="15">
        <v>0.48628516885535139</v>
      </c>
    </row>
    <row r="1442" spans="1:9" x14ac:dyDescent="0.2">
      <c r="A1442" s="2" t="s">
        <v>4322</v>
      </c>
      <c r="B1442" s="2" t="s">
        <v>4323</v>
      </c>
      <c r="C1442" s="2" t="s">
        <v>4324</v>
      </c>
      <c r="D1442" s="2" t="s">
        <v>10046</v>
      </c>
      <c r="E1442" s="15">
        <v>-6.0000000000000001E-3</v>
      </c>
      <c r="F1442" s="15">
        <v>7.7100000000000002E-2</v>
      </c>
      <c r="G1442" s="15">
        <v>0.18690000000000001</v>
      </c>
      <c r="H1442" s="15">
        <v>8.8900000000000007E-2</v>
      </c>
      <c r="I1442" s="15">
        <v>2.5287185754635368E-2</v>
      </c>
    </row>
    <row r="1443" spans="1:9" x14ac:dyDescent="0.2">
      <c r="A1443" s="2" t="s">
        <v>4325</v>
      </c>
      <c r="B1443" s="2" t="s">
        <v>4326</v>
      </c>
      <c r="C1443" s="2" t="s">
        <v>4327</v>
      </c>
      <c r="D1443" s="2" t="s">
        <v>10046</v>
      </c>
      <c r="E1443" s="15">
        <v>-2.1100000000000001E-2</v>
      </c>
      <c r="F1443" s="15">
        <v>7.4899999999999994E-2</v>
      </c>
      <c r="G1443" s="15">
        <v>0.2281</v>
      </c>
      <c r="H1443" s="15">
        <v>0.11990000000000001</v>
      </c>
      <c r="I1443" s="15">
        <v>2.6094570461945011E-2</v>
      </c>
    </row>
    <row r="1444" spans="1:9" x14ac:dyDescent="0.2">
      <c r="A1444" s="2" t="s">
        <v>4328</v>
      </c>
      <c r="B1444" s="2" t="s">
        <v>4329</v>
      </c>
      <c r="C1444" s="2" t="s">
        <v>4330</v>
      </c>
      <c r="D1444" s="2" t="s">
        <v>10046</v>
      </c>
      <c r="E1444" s="15">
        <v>5.5999999999999999E-3</v>
      </c>
      <c r="F1444" s="15">
        <v>6.1800000000000001E-2</v>
      </c>
      <c r="G1444" s="15">
        <v>0.10539999999999999</v>
      </c>
      <c r="H1444" s="15">
        <v>7.3300000000000004E-2</v>
      </c>
      <c r="I1444" s="15">
        <v>0.1157459025725755</v>
      </c>
    </row>
    <row r="1445" spans="1:9" x14ac:dyDescent="0.2">
      <c r="A1445" s="2" t="s">
        <v>4331</v>
      </c>
      <c r="B1445" s="2" t="s">
        <v>4332</v>
      </c>
      <c r="C1445" s="2" t="s">
        <v>4333</v>
      </c>
      <c r="D1445" s="2" t="s">
        <v>10046</v>
      </c>
      <c r="E1445" s="15">
        <v>3.9300000000000002E-2</v>
      </c>
      <c r="F1445" s="15">
        <v>5.2999999999999999E-2</v>
      </c>
      <c r="G1445" s="15">
        <v>0.15970000000000001</v>
      </c>
      <c r="H1445" s="15">
        <v>7.4499999999999997E-2</v>
      </c>
      <c r="I1445" s="15">
        <v>7.8173850712141904E-2</v>
      </c>
    </row>
    <row r="1446" spans="1:9" x14ac:dyDescent="0.2">
      <c r="A1446" s="2" t="s">
        <v>4334</v>
      </c>
      <c r="B1446" s="2" t="s">
        <v>4335</v>
      </c>
      <c r="C1446" s="2" t="s">
        <v>4336</v>
      </c>
      <c r="D1446" s="2" t="s">
        <v>10046</v>
      </c>
      <c r="E1446" s="15">
        <v>1.14E-2</v>
      </c>
      <c r="F1446" s="15">
        <v>6.7199999999999996E-2</v>
      </c>
      <c r="G1446" s="15">
        <v>3.09E-2</v>
      </c>
      <c r="H1446" s="15">
        <v>8.5000000000000006E-2</v>
      </c>
      <c r="I1446" s="15">
        <v>0.4173061457437871</v>
      </c>
    </row>
    <row r="1447" spans="1:9" x14ac:dyDescent="0.2">
      <c r="A1447" s="2" t="s">
        <v>4337</v>
      </c>
      <c r="B1447" s="2" t="s">
        <v>4338</v>
      </c>
      <c r="C1447" s="2" t="s">
        <v>4339</v>
      </c>
      <c r="D1447" s="2" t="s">
        <v>10046</v>
      </c>
      <c r="E1447" s="15">
        <v>-8.5000000000000006E-3</v>
      </c>
      <c r="F1447" s="15">
        <v>6.0999999999999999E-2</v>
      </c>
      <c r="G1447" s="15">
        <v>9.3700000000000006E-2</v>
      </c>
      <c r="H1447" s="15">
        <v>8.2600000000000007E-2</v>
      </c>
      <c r="I1447" s="15">
        <v>0.13126926152325111</v>
      </c>
    </row>
    <row r="1448" spans="1:9" x14ac:dyDescent="0.2">
      <c r="A1448" s="2" t="s">
        <v>4340</v>
      </c>
      <c r="B1448" s="2" t="s">
        <v>4341</v>
      </c>
      <c r="C1448" s="2" t="s">
        <v>4342</v>
      </c>
      <c r="D1448" s="2" t="s">
        <v>10046</v>
      </c>
      <c r="E1448" s="15">
        <v>-0.25469999999999998</v>
      </c>
      <c r="F1448" s="15">
        <v>0.13250000000000001</v>
      </c>
      <c r="G1448" s="15">
        <v>-8.09E-2</v>
      </c>
      <c r="H1448" s="15">
        <v>0.10440000000000001</v>
      </c>
      <c r="I1448" s="15">
        <v>7.2881393482060894E-2</v>
      </c>
    </row>
    <row r="1449" spans="1:9" x14ac:dyDescent="0.2">
      <c r="A1449" s="2" t="s">
        <v>4343</v>
      </c>
      <c r="B1449" s="2" t="s">
        <v>4344</v>
      </c>
      <c r="C1449" s="2" t="s">
        <v>4345</v>
      </c>
      <c r="D1449" s="2" t="s">
        <v>10046</v>
      </c>
      <c r="E1449" s="15">
        <v>-0.15090000000000001</v>
      </c>
      <c r="F1449" s="15">
        <v>0.1225</v>
      </c>
      <c r="G1449" s="15">
        <v>3.7499999999999999E-2</v>
      </c>
      <c r="H1449" s="15">
        <v>0.1278</v>
      </c>
      <c r="I1449" s="15">
        <v>9.0965489541332531E-2</v>
      </c>
    </row>
    <row r="1450" spans="1:9" x14ac:dyDescent="0.2">
      <c r="A1450" s="2" t="s">
        <v>4346</v>
      </c>
      <c r="B1450" s="2" t="s">
        <v>4347</v>
      </c>
      <c r="C1450" s="2" t="s">
        <v>4348</v>
      </c>
      <c r="D1450" s="2" t="s">
        <v>10046</v>
      </c>
      <c r="E1450" s="15">
        <v>-0.13900000000000001</v>
      </c>
      <c r="F1450" s="15">
        <v>0.15129999999999999</v>
      </c>
      <c r="G1450" s="15">
        <v>-0.2102</v>
      </c>
      <c r="H1450" s="15">
        <v>0.61119999999999997</v>
      </c>
      <c r="I1450" s="15">
        <v>0.45390450731643872</v>
      </c>
    </row>
    <row r="1451" spans="1:9" x14ac:dyDescent="0.2">
      <c r="A1451" s="2" t="s">
        <v>4349</v>
      </c>
      <c r="B1451" s="2" t="s">
        <v>4350</v>
      </c>
      <c r="C1451" s="2" t="s">
        <v>4351</v>
      </c>
      <c r="D1451" s="2" t="s">
        <v>10046</v>
      </c>
      <c r="E1451" s="15">
        <v>1.2699999999999999E-2</v>
      </c>
      <c r="F1451" s="15">
        <v>0.14729999999999999</v>
      </c>
    </row>
    <row r="1452" spans="1:9" x14ac:dyDescent="0.2">
      <c r="A1452" s="2" t="s">
        <v>4352</v>
      </c>
      <c r="B1452" s="2" t="s">
        <v>4353</v>
      </c>
      <c r="C1452" s="2" t="s">
        <v>4354</v>
      </c>
      <c r="D1452" s="2" t="s">
        <v>10046</v>
      </c>
      <c r="E1452" s="15">
        <v>-2.9100000000000001E-2</v>
      </c>
      <c r="F1452" s="15">
        <v>8.2000000000000003E-2</v>
      </c>
      <c r="G1452" s="15">
        <v>-8.0000000000000004E-4</v>
      </c>
      <c r="H1452" s="15">
        <v>9.6799999999999997E-2</v>
      </c>
      <c r="I1452" s="15">
        <v>0.39744371238294618</v>
      </c>
    </row>
    <row r="1453" spans="1:9" x14ac:dyDescent="0.2">
      <c r="A1453" s="2" t="s">
        <v>4355</v>
      </c>
      <c r="B1453" s="2" t="s">
        <v>4356</v>
      </c>
      <c r="C1453" s="2" t="s">
        <v>4357</v>
      </c>
      <c r="D1453" s="2" t="s">
        <v>10046</v>
      </c>
      <c r="E1453" s="15">
        <v>-0.10970000000000001</v>
      </c>
      <c r="F1453" s="15">
        <v>0.1003</v>
      </c>
      <c r="G1453" s="15">
        <v>-3.56E-2</v>
      </c>
      <c r="H1453" s="15">
        <v>9.7100000000000006E-2</v>
      </c>
      <c r="I1453" s="15">
        <v>0.25268690749927558</v>
      </c>
    </row>
    <row r="1454" spans="1:9" x14ac:dyDescent="0.2">
      <c r="A1454" s="2" t="s">
        <v>4358</v>
      </c>
      <c r="B1454" s="2" t="s">
        <v>4359</v>
      </c>
      <c r="C1454" s="2" t="s">
        <v>4360</v>
      </c>
      <c r="D1454" s="2" t="s">
        <v>10047</v>
      </c>
      <c r="E1454" s="15">
        <v>0.1086</v>
      </c>
      <c r="F1454" s="15">
        <v>6.7799999999999999E-2</v>
      </c>
      <c r="G1454" s="15">
        <v>8.4099999999999994E-2</v>
      </c>
      <c r="H1454" s="15">
        <v>6.9599999999999995E-2</v>
      </c>
      <c r="I1454" s="15">
        <v>0.38075854300481149</v>
      </c>
    </row>
    <row r="1455" spans="1:9" x14ac:dyDescent="0.2">
      <c r="A1455" s="2" t="s">
        <v>4361</v>
      </c>
      <c r="B1455" s="2" t="s">
        <v>4362</v>
      </c>
      <c r="C1455" s="2" t="s">
        <v>4363</v>
      </c>
      <c r="D1455" s="2" t="s">
        <v>10047</v>
      </c>
      <c r="E1455" s="15">
        <v>-7.1000000000000004E-3</v>
      </c>
      <c r="F1455" s="15">
        <v>8.0500000000000002E-2</v>
      </c>
      <c r="G1455" s="15">
        <v>-6.2E-2</v>
      </c>
      <c r="H1455" s="15">
        <v>8.0299999999999996E-2</v>
      </c>
      <c r="I1455" s="15">
        <v>0.27408014392228153</v>
      </c>
    </row>
    <row r="1456" spans="1:9" x14ac:dyDescent="0.2">
      <c r="A1456" s="2" t="s">
        <v>4364</v>
      </c>
      <c r="B1456" s="2" t="s">
        <v>4365</v>
      </c>
      <c r="C1456" s="2" t="s">
        <v>4366</v>
      </c>
      <c r="D1456" s="2" t="s">
        <v>10047</v>
      </c>
      <c r="E1456" s="15">
        <v>1.77E-2</v>
      </c>
      <c r="F1456" s="15">
        <v>6.0199999999999997E-2</v>
      </c>
      <c r="G1456" s="15">
        <v>4.4999999999999997E-3</v>
      </c>
      <c r="H1456" s="15">
        <v>6.2100000000000002E-2</v>
      </c>
      <c r="I1456" s="15">
        <v>0.42765532258056882</v>
      </c>
    </row>
    <row r="1457" spans="1:9" x14ac:dyDescent="0.2">
      <c r="A1457" s="2" t="s">
        <v>4367</v>
      </c>
      <c r="B1457" s="2" t="s">
        <v>4368</v>
      </c>
      <c r="C1457" s="2" t="s">
        <v>4369</v>
      </c>
      <c r="D1457" s="2" t="s">
        <v>10047</v>
      </c>
      <c r="E1457" s="15">
        <v>1.9400000000000001E-2</v>
      </c>
      <c r="F1457" s="15">
        <v>5.9200000000000003E-2</v>
      </c>
      <c r="G1457" s="15">
        <v>1.0699999999999999E-2</v>
      </c>
      <c r="H1457" s="15">
        <v>6.4699999999999994E-2</v>
      </c>
      <c r="I1457" s="15">
        <v>0.45335351362380311</v>
      </c>
    </row>
    <row r="1458" spans="1:9" x14ac:dyDescent="0.2">
      <c r="A1458" s="2" t="s">
        <v>4370</v>
      </c>
      <c r="B1458" s="2" t="s">
        <v>4371</v>
      </c>
      <c r="C1458" s="2" t="s">
        <v>4372</v>
      </c>
      <c r="D1458" s="2" t="s">
        <v>10047</v>
      </c>
      <c r="E1458" s="15">
        <v>0.1215</v>
      </c>
      <c r="F1458" s="15">
        <v>7.3999999999999996E-2</v>
      </c>
      <c r="G1458" s="15">
        <v>9.9699999999999997E-2</v>
      </c>
      <c r="H1458" s="15">
        <v>7.6999999999999999E-2</v>
      </c>
      <c r="I1458" s="15">
        <v>0.40254123167983069</v>
      </c>
    </row>
    <row r="1459" spans="1:9" x14ac:dyDescent="0.2">
      <c r="A1459" s="2" t="s">
        <v>4373</v>
      </c>
      <c r="B1459" s="2" t="s">
        <v>4374</v>
      </c>
      <c r="C1459" s="2" t="s">
        <v>4375</v>
      </c>
      <c r="D1459" s="2" t="s">
        <v>10047</v>
      </c>
      <c r="E1459" s="15">
        <v>-0.13020000000000001</v>
      </c>
      <c r="F1459" s="15">
        <v>7.3400000000000007E-2</v>
      </c>
      <c r="G1459" s="15">
        <v>-6.7999999999999996E-3</v>
      </c>
      <c r="H1459" s="15">
        <v>8.77E-2</v>
      </c>
      <c r="I1459" s="15">
        <v>0.108326809281382</v>
      </c>
    </row>
    <row r="1460" spans="1:9" x14ac:dyDescent="0.2">
      <c r="A1460" s="2" t="s">
        <v>4376</v>
      </c>
      <c r="B1460" s="2" t="s">
        <v>4377</v>
      </c>
      <c r="C1460" s="2" t="s">
        <v>4378</v>
      </c>
      <c r="D1460" s="2" t="s">
        <v>10047</v>
      </c>
      <c r="E1460" s="15">
        <v>6.1199999999999997E-2</v>
      </c>
      <c r="F1460" s="15">
        <v>7.6200000000000004E-2</v>
      </c>
      <c r="G1460" s="15">
        <v>4.4200000000000003E-2</v>
      </c>
      <c r="H1460" s="15">
        <v>8.8599999999999998E-2</v>
      </c>
      <c r="I1460" s="15">
        <v>0.43183889438802081</v>
      </c>
    </row>
    <row r="1461" spans="1:9" x14ac:dyDescent="0.2">
      <c r="A1461" s="2" t="s">
        <v>4379</v>
      </c>
      <c r="B1461" s="2" t="s">
        <v>4380</v>
      </c>
      <c r="C1461" s="2" t="s">
        <v>4381</v>
      </c>
      <c r="D1461" s="2" t="s">
        <v>10047</v>
      </c>
      <c r="E1461" s="15">
        <v>0.2326</v>
      </c>
      <c r="F1461" s="15">
        <v>0.1061</v>
      </c>
      <c r="G1461" s="15">
        <v>4.3700000000000003E-2</v>
      </c>
      <c r="H1461" s="15">
        <v>7.6899999999999996E-2</v>
      </c>
      <c r="I1461" s="15">
        <v>1.5640034714421779E-2</v>
      </c>
    </row>
    <row r="1462" spans="1:9" x14ac:dyDescent="0.2">
      <c r="A1462" s="2" t="s">
        <v>4382</v>
      </c>
      <c r="B1462" s="2" t="s">
        <v>4383</v>
      </c>
      <c r="C1462" s="2" t="s">
        <v>4384</v>
      </c>
      <c r="D1462" s="2" t="s">
        <v>10047</v>
      </c>
      <c r="E1462" s="15">
        <v>5.33E-2</v>
      </c>
      <c r="F1462" s="15">
        <v>7.46E-2</v>
      </c>
      <c r="G1462" s="15">
        <v>4.6100000000000002E-2</v>
      </c>
      <c r="H1462" s="15">
        <v>7.7799999999999994E-2</v>
      </c>
      <c r="I1462" s="15">
        <v>0.46761727560631061</v>
      </c>
    </row>
    <row r="1463" spans="1:9" x14ac:dyDescent="0.2">
      <c r="A1463" s="2" t="s">
        <v>4385</v>
      </c>
      <c r="B1463" s="2" t="s">
        <v>4386</v>
      </c>
      <c r="C1463" s="2" t="s">
        <v>4387</v>
      </c>
      <c r="D1463" s="2" t="s">
        <v>10047</v>
      </c>
      <c r="E1463" s="15">
        <v>7.5700000000000003E-2</v>
      </c>
      <c r="F1463" s="15">
        <v>9.7299999999999998E-2</v>
      </c>
      <c r="G1463" s="15">
        <v>5.2699999999999997E-2</v>
      </c>
      <c r="H1463" s="15">
        <v>7.6999999999999999E-2</v>
      </c>
      <c r="I1463" s="15">
        <v>0.39790854393397312</v>
      </c>
    </row>
    <row r="1464" spans="1:9" x14ac:dyDescent="0.2">
      <c r="A1464" s="2" t="s">
        <v>4388</v>
      </c>
      <c r="B1464" s="2" t="s">
        <v>4389</v>
      </c>
      <c r="C1464" s="2" t="s">
        <v>4390</v>
      </c>
      <c r="D1464" s="2" t="s">
        <v>10047</v>
      </c>
      <c r="E1464" s="15">
        <v>-4.48E-2</v>
      </c>
      <c r="F1464" s="15">
        <v>6.3600000000000004E-2</v>
      </c>
      <c r="G1464" s="15">
        <v>8.5999999999999993E-2</v>
      </c>
      <c r="H1464" s="15">
        <v>7.1499999999999994E-2</v>
      </c>
      <c r="I1464" s="15">
        <v>5.5292889383374837E-2</v>
      </c>
    </row>
    <row r="1465" spans="1:9" x14ac:dyDescent="0.2">
      <c r="A1465" s="2" t="s">
        <v>4391</v>
      </c>
      <c r="B1465" s="2" t="s">
        <v>4392</v>
      </c>
      <c r="C1465" s="2" t="s">
        <v>4393</v>
      </c>
      <c r="D1465" s="2" t="s">
        <v>10047</v>
      </c>
      <c r="E1465" s="15">
        <v>-1.5900000000000001E-2</v>
      </c>
      <c r="F1465" s="15">
        <v>7.2900000000000006E-2</v>
      </c>
      <c r="G1465" s="15">
        <v>6.3899999999999998E-2</v>
      </c>
      <c r="H1465" s="15">
        <v>7.1800000000000003E-2</v>
      </c>
      <c r="I1465" s="15">
        <v>0.16854656182896829</v>
      </c>
    </row>
    <row r="1466" spans="1:9" x14ac:dyDescent="0.2">
      <c r="A1466" s="2" t="s">
        <v>4394</v>
      </c>
      <c r="B1466" s="2" t="s">
        <v>4395</v>
      </c>
      <c r="C1466" s="2" t="s">
        <v>4396</v>
      </c>
      <c r="D1466" s="2" t="s">
        <v>10047</v>
      </c>
      <c r="E1466" s="15">
        <v>0.14099999999999999</v>
      </c>
      <c r="F1466" s="15">
        <v>5.7200000000000001E-2</v>
      </c>
      <c r="G1466" s="15">
        <v>0.1363</v>
      </c>
      <c r="H1466" s="15">
        <v>5.9700000000000003E-2</v>
      </c>
      <c r="I1466" s="15">
        <v>0.4723212973516232</v>
      </c>
    </row>
    <row r="1467" spans="1:9" x14ac:dyDescent="0.2">
      <c r="A1467" s="2" t="s">
        <v>4397</v>
      </c>
      <c r="B1467" s="2" t="s">
        <v>4398</v>
      </c>
      <c r="C1467" s="2" t="s">
        <v>4399</v>
      </c>
      <c r="D1467" s="2" t="s">
        <v>10047</v>
      </c>
      <c r="E1467" s="15">
        <v>0.16239999999999999</v>
      </c>
      <c r="F1467" s="15">
        <v>6.0299999999999999E-2</v>
      </c>
      <c r="G1467" s="15">
        <v>0.10970000000000001</v>
      </c>
      <c r="H1467" s="15">
        <v>5.79E-2</v>
      </c>
      <c r="I1467" s="15">
        <v>0.21574455419501151</v>
      </c>
    </row>
    <row r="1468" spans="1:9" x14ac:dyDescent="0.2">
      <c r="A1468" s="2" t="s">
        <v>4400</v>
      </c>
      <c r="B1468" s="2" t="s">
        <v>4401</v>
      </c>
      <c r="C1468" s="2" t="s">
        <v>4402</v>
      </c>
      <c r="D1468" s="2" t="s">
        <v>10047</v>
      </c>
      <c r="E1468" s="15">
        <v>6.1100000000000002E-2</v>
      </c>
      <c r="F1468" s="15">
        <v>6.9099999999999995E-2</v>
      </c>
      <c r="G1468" s="15">
        <v>0.1139</v>
      </c>
      <c r="H1468" s="15">
        <v>8.3799999999999999E-2</v>
      </c>
      <c r="I1468" s="15">
        <v>0.28040270552424568</v>
      </c>
    </row>
    <row r="1469" spans="1:9" x14ac:dyDescent="0.2">
      <c r="A1469" s="2" t="s">
        <v>4403</v>
      </c>
      <c r="B1469" s="2" t="s">
        <v>4404</v>
      </c>
      <c r="C1469" s="2" t="s">
        <v>4405</v>
      </c>
      <c r="D1469" s="2" t="s">
        <v>10047</v>
      </c>
      <c r="E1469" s="15">
        <v>6.4199999999999993E-2</v>
      </c>
      <c r="F1469" s="15">
        <v>7.4899999999999994E-2</v>
      </c>
      <c r="G1469" s="15">
        <v>4.65E-2</v>
      </c>
      <c r="H1469" s="15">
        <v>7.3300000000000004E-2</v>
      </c>
      <c r="I1469" s="15">
        <v>0.41406750736654352</v>
      </c>
    </row>
    <row r="1470" spans="1:9" x14ac:dyDescent="0.2">
      <c r="A1470" s="2" t="s">
        <v>4406</v>
      </c>
      <c r="B1470" s="2" t="s">
        <v>4407</v>
      </c>
      <c r="C1470" s="2" t="s">
        <v>4408</v>
      </c>
      <c r="D1470" s="2" t="s">
        <v>10047</v>
      </c>
      <c r="E1470" s="15">
        <v>6.0400000000000002E-2</v>
      </c>
      <c r="F1470" s="15">
        <v>7.17E-2</v>
      </c>
      <c r="G1470" s="15">
        <v>0.1595</v>
      </c>
      <c r="H1470" s="15">
        <v>7.9500000000000001E-2</v>
      </c>
      <c r="I1470" s="15">
        <v>0.12943847755419671</v>
      </c>
    </row>
    <row r="1471" spans="1:9" x14ac:dyDescent="0.2">
      <c r="A1471" s="2" t="s">
        <v>4409</v>
      </c>
      <c r="B1471" s="2" t="s">
        <v>4410</v>
      </c>
      <c r="C1471" s="2" t="s">
        <v>4411</v>
      </c>
      <c r="D1471" s="2" t="s">
        <v>10047</v>
      </c>
      <c r="E1471" s="15">
        <v>1.46E-2</v>
      </c>
      <c r="F1471" s="15">
        <v>7.1999999999999995E-2</v>
      </c>
      <c r="G1471" s="15">
        <v>0.1678</v>
      </c>
      <c r="H1471" s="15">
        <v>8.3500000000000005E-2</v>
      </c>
      <c r="I1471" s="15">
        <v>4.8374899683156197E-2</v>
      </c>
    </row>
    <row r="1472" spans="1:9" x14ac:dyDescent="0.2">
      <c r="A1472" s="2" t="s">
        <v>4412</v>
      </c>
      <c r="B1472" s="2" t="s">
        <v>4413</v>
      </c>
      <c r="C1472" s="2" t="s">
        <v>4414</v>
      </c>
      <c r="D1472" s="2" t="s">
        <v>10047</v>
      </c>
      <c r="E1472" s="15">
        <v>0.1018</v>
      </c>
      <c r="F1472" s="15">
        <v>7.1599999999999997E-2</v>
      </c>
      <c r="G1472" s="15">
        <v>0.14280000000000001</v>
      </c>
      <c r="H1472" s="15">
        <v>7.0900000000000005E-2</v>
      </c>
      <c r="I1472" s="15">
        <v>0.30306031902367703</v>
      </c>
    </row>
    <row r="1473" spans="1:9" x14ac:dyDescent="0.2">
      <c r="A1473" s="2" t="s">
        <v>4415</v>
      </c>
      <c r="B1473" s="2" t="s">
        <v>4416</v>
      </c>
      <c r="C1473" s="2" t="s">
        <v>4417</v>
      </c>
      <c r="D1473" s="2" t="s">
        <v>10047</v>
      </c>
      <c r="E1473" s="15">
        <v>8.9899999999999994E-2</v>
      </c>
      <c r="F1473" s="15">
        <v>6.3200000000000006E-2</v>
      </c>
      <c r="G1473" s="15">
        <v>0.13689999999999999</v>
      </c>
      <c r="H1473" s="15">
        <v>7.7200000000000005E-2</v>
      </c>
      <c r="I1473" s="15">
        <v>0.28843480881224248</v>
      </c>
    </row>
    <row r="1474" spans="1:9" x14ac:dyDescent="0.2">
      <c r="A1474" s="2" t="s">
        <v>4418</v>
      </c>
      <c r="B1474" s="2" t="s">
        <v>4419</v>
      </c>
      <c r="C1474" s="2" t="s">
        <v>4420</v>
      </c>
      <c r="D1474" s="2" t="s">
        <v>10047</v>
      </c>
      <c r="E1474" s="15">
        <v>0.106</v>
      </c>
      <c r="F1474" s="15">
        <v>6.6799999999999998E-2</v>
      </c>
      <c r="G1474" s="15">
        <v>0.17949999999999999</v>
      </c>
      <c r="H1474" s="15">
        <v>7.1400000000000005E-2</v>
      </c>
      <c r="I1474" s="15">
        <v>0.17954269225730671</v>
      </c>
    </row>
    <row r="1475" spans="1:9" x14ac:dyDescent="0.2">
      <c r="A1475" s="2" t="s">
        <v>4421</v>
      </c>
      <c r="B1475" s="2" t="s">
        <v>4422</v>
      </c>
      <c r="C1475" s="2" t="s">
        <v>4423</v>
      </c>
      <c r="D1475" s="2" t="s">
        <v>10047</v>
      </c>
      <c r="E1475" s="15">
        <v>4.0899999999999999E-2</v>
      </c>
      <c r="F1475" s="15">
        <v>7.3499999999999996E-2</v>
      </c>
      <c r="G1475" s="15">
        <v>0.17630000000000001</v>
      </c>
      <c r="H1475" s="15">
        <v>9.5100000000000004E-2</v>
      </c>
      <c r="I1475" s="15">
        <v>9.5787878198010698E-2</v>
      </c>
    </row>
    <row r="1476" spans="1:9" x14ac:dyDescent="0.2">
      <c r="A1476" s="2" t="s">
        <v>4424</v>
      </c>
      <c r="B1476" s="2" t="s">
        <v>4425</v>
      </c>
      <c r="C1476" s="2" t="s">
        <v>4426</v>
      </c>
      <c r="D1476" s="2" t="s">
        <v>10047</v>
      </c>
      <c r="E1476" s="15">
        <v>1.6299999999999999E-2</v>
      </c>
      <c r="F1476" s="15">
        <v>6.3899999999999998E-2</v>
      </c>
      <c r="G1476" s="15">
        <v>0.01</v>
      </c>
      <c r="H1476" s="15">
        <v>6.9699999999999998E-2</v>
      </c>
      <c r="I1476" s="15">
        <v>0.46779186692814267</v>
      </c>
    </row>
    <row r="1477" spans="1:9" x14ac:dyDescent="0.2">
      <c r="A1477" s="2" t="s">
        <v>4427</v>
      </c>
      <c r="B1477" s="2" t="s">
        <v>4428</v>
      </c>
      <c r="C1477" s="2" t="s">
        <v>4429</v>
      </c>
      <c r="D1477" s="2" t="s">
        <v>10047</v>
      </c>
      <c r="E1477" s="15">
        <v>2.3199999999999998E-2</v>
      </c>
      <c r="F1477" s="15">
        <v>6.2E-2</v>
      </c>
      <c r="G1477" s="15">
        <v>2.7000000000000001E-3</v>
      </c>
      <c r="H1477" s="15">
        <v>7.8100000000000003E-2</v>
      </c>
      <c r="I1477" s="15">
        <v>0.40601954253180522</v>
      </c>
    </row>
    <row r="1478" spans="1:9" x14ac:dyDescent="0.2">
      <c r="A1478" s="2" t="s">
        <v>4430</v>
      </c>
      <c r="B1478" s="2" t="s">
        <v>4431</v>
      </c>
      <c r="C1478" s="2" t="s">
        <v>4432</v>
      </c>
      <c r="D1478" s="2" t="s">
        <v>10047</v>
      </c>
      <c r="E1478" s="15">
        <v>0.1047</v>
      </c>
      <c r="F1478" s="15">
        <v>7.2400000000000006E-2</v>
      </c>
      <c r="G1478" s="15">
        <v>0.1482</v>
      </c>
      <c r="H1478" s="15">
        <v>6.3700000000000007E-2</v>
      </c>
      <c r="I1478" s="15">
        <v>0.28042221342345047</v>
      </c>
    </row>
    <row r="1479" spans="1:9" x14ac:dyDescent="0.2">
      <c r="A1479" s="2" t="s">
        <v>4433</v>
      </c>
      <c r="B1479" s="2" t="s">
        <v>4434</v>
      </c>
      <c r="C1479" s="2" t="s">
        <v>4435</v>
      </c>
      <c r="D1479" s="2" t="s">
        <v>10047</v>
      </c>
      <c r="E1479" s="15">
        <v>0.15740000000000001</v>
      </c>
      <c r="F1479" s="15">
        <v>8.0500000000000002E-2</v>
      </c>
      <c r="G1479" s="15">
        <v>0.20569999999999999</v>
      </c>
      <c r="H1479" s="15">
        <v>6.7699999999999996E-2</v>
      </c>
      <c r="I1479" s="15">
        <v>0.26641110794431372</v>
      </c>
    </row>
    <row r="1480" spans="1:9" x14ac:dyDescent="0.2">
      <c r="A1480" s="2" t="s">
        <v>4436</v>
      </c>
      <c r="B1480" s="2" t="s">
        <v>4437</v>
      </c>
      <c r="C1480" s="2" t="s">
        <v>4438</v>
      </c>
      <c r="D1480" s="2" t="s">
        <v>10047</v>
      </c>
      <c r="E1480" s="15">
        <v>0.1638</v>
      </c>
      <c r="F1480" s="15">
        <v>8.6999999999999994E-2</v>
      </c>
      <c r="G1480" s="15">
        <v>5.3100000000000001E-2</v>
      </c>
      <c r="H1480" s="15">
        <v>6.9400000000000003E-2</v>
      </c>
      <c r="I1480" s="15">
        <v>8.3092466316867397E-2</v>
      </c>
    </row>
    <row r="1481" spans="1:9" x14ac:dyDescent="0.2">
      <c r="A1481" s="2" t="s">
        <v>4439</v>
      </c>
      <c r="B1481" s="2" t="s">
        <v>4440</v>
      </c>
      <c r="C1481" s="2" t="s">
        <v>4441</v>
      </c>
      <c r="D1481" s="2" t="s">
        <v>10047</v>
      </c>
      <c r="E1481" s="15">
        <v>0.1071</v>
      </c>
      <c r="F1481" s="15">
        <v>8.2799999999999999E-2</v>
      </c>
      <c r="G1481" s="15">
        <v>0.14130000000000001</v>
      </c>
      <c r="H1481" s="15">
        <v>7.0800000000000002E-2</v>
      </c>
      <c r="I1481" s="15">
        <v>0.33657084482483229</v>
      </c>
    </row>
    <row r="1482" spans="1:9" x14ac:dyDescent="0.2">
      <c r="A1482" s="2" t="s">
        <v>4442</v>
      </c>
      <c r="B1482" s="2" t="s">
        <v>4443</v>
      </c>
      <c r="C1482" s="2" t="s">
        <v>4444</v>
      </c>
      <c r="D1482" s="2" t="s">
        <v>10047</v>
      </c>
      <c r="E1482" s="15">
        <v>0.12939999999999999</v>
      </c>
      <c r="F1482" s="15">
        <v>7.1099999999999997E-2</v>
      </c>
      <c r="G1482" s="15">
        <v>3.5799999999999998E-2</v>
      </c>
      <c r="H1482" s="15">
        <v>7.6700000000000004E-2</v>
      </c>
      <c r="I1482" s="15">
        <v>0.14751424720527159</v>
      </c>
    </row>
    <row r="1483" spans="1:9" x14ac:dyDescent="0.2">
      <c r="A1483" s="2" t="s">
        <v>4445</v>
      </c>
      <c r="B1483" s="2" t="s">
        <v>4446</v>
      </c>
      <c r="C1483" s="2" t="s">
        <v>4447</v>
      </c>
      <c r="D1483" s="2" t="s">
        <v>10047</v>
      </c>
      <c r="E1483" s="15">
        <v>0.11459999999999999</v>
      </c>
      <c r="F1483" s="15">
        <v>6.5699999999999995E-2</v>
      </c>
      <c r="G1483" s="15">
        <v>2.6499999999999999E-2</v>
      </c>
      <c r="H1483" s="15">
        <v>0.09</v>
      </c>
      <c r="I1483" s="15">
        <v>0.19332339839671361</v>
      </c>
    </row>
    <row r="1484" spans="1:9" x14ac:dyDescent="0.2">
      <c r="A1484" s="2" t="s">
        <v>4448</v>
      </c>
      <c r="B1484" s="2" t="s">
        <v>4449</v>
      </c>
      <c r="C1484" s="2" t="s">
        <v>4450</v>
      </c>
      <c r="D1484" s="2" t="s">
        <v>10047</v>
      </c>
      <c r="E1484" s="15">
        <v>8.6699999999999999E-2</v>
      </c>
      <c r="F1484" s="15">
        <v>7.6399999999999996E-2</v>
      </c>
      <c r="G1484" s="15">
        <v>5.0799999999999998E-2</v>
      </c>
      <c r="H1484" s="15">
        <v>7.17E-2</v>
      </c>
      <c r="I1484" s="15">
        <v>0.33143416874544751</v>
      </c>
    </row>
    <row r="1485" spans="1:9" x14ac:dyDescent="0.2">
      <c r="A1485" s="2" t="s">
        <v>4451</v>
      </c>
      <c r="B1485" s="2" t="s">
        <v>4452</v>
      </c>
      <c r="C1485" s="2" t="s">
        <v>4453</v>
      </c>
      <c r="D1485" s="2" t="s">
        <v>10047</v>
      </c>
      <c r="E1485" s="15">
        <v>6.4600000000000005E-2</v>
      </c>
      <c r="F1485" s="15">
        <v>7.4899999999999994E-2</v>
      </c>
      <c r="G1485" s="15">
        <v>-3.7100000000000001E-2</v>
      </c>
      <c r="H1485" s="15">
        <v>8.6400000000000005E-2</v>
      </c>
      <c r="I1485" s="15">
        <v>0.14368698333894939</v>
      </c>
    </row>
    <row r="1486" spans="1:9" x14ac:dyDescent="0.2">
      <c r="A1486" s="2" t="s">
        <v>4454</v>
      </c>
      <c r="B1486" s="2" t="s">
        <v>4455</v>
      </c>
      <c r="C1486" s="2" t="s">
        <v>4456</v>
      </c>
      <c r="D1486" s="2" t="s">
        <v>10047</v>
      </c>
      <c r="E1486" s="15">
        <v>8.0999999999999996E-3</v>
      </c>
      <c r="F1486" s="15">
        <v>7.4499999999999997E-2</v>
      </c>
      <c r="G1486" s="15">
        <v>3.5999999999999997E-2</v>
      </c>
      <c r="H1486" s="15">
        <v>6.8000000000000005E-2</v>
      </c>
      <c r="I1486" s="15">
        <v>0.3629136144582219</v>
      </c>
    </row>
    <row r="1487" spans="1:9" x14ac:dyDescent="0.2">
      <c r="A1487" s="2" t="s">
        <v>4457</v>
      </c>
      <c r="B1487" s="2" t="s">
        <v>4458</v>
      </c>
      <c r="C1487" s="2" t="s">
        <v>4459</v>
      </c>
      <c r="D1487" s="2" t="s">
        <v>10047</v>
      </c>
      <c r="E1487" s="15">
        <v>-1.5900000000000001E-2</v>
      </c>
      <c r="F1487" s="15">
        <v>7.4399999999999994E-2</v>
      </c>
      <c r="G1487" s="15">
        <v>9.4399999999999998E-2</v>
      </c>
      <c r="H1487" s="15">
        <v>7.2499999999999995E-2</v>
      </c>
      <c r="I1487" s="15">
        <v>9.5480016066891965E-2</v>
      </c>
    </row>
    <row r="1488" spans="1:9" x14ac:dyDescent="0.2">
      <c r="A1488" s="2" t="s">
        <v>4460</v>
      </c>
      <c r="B1488" s="2" t="s">
        <v>4461</v>
      </c>
      <c r="C1488" s="2" t="s">
        <v>4462</v>
      </c>
      <c r="D1488" s="2" t="s">
        <v>10047</v>
      </c>
      <c r="E1488" s="15">
        <v>1.4999999999999999E-2</v>
      </c>
      <c r="F1488" s="15">
        <v>6.6100000000000006E-2</v>
      </c>
      <c r="G1488" s="15">
        <v>0.1041</v>
      </c>
      <c r="H1488" s="15">
        <v>6.8099999999999994E-2</v>
      </c>
      <c r="I1488" s="15">
        <v>0.13366743363985659</v>
      </c>
    </row>
    <row r="1489" spans="1:9" x14ac:dyDescent="0.2">
      <c r="A1489" s="2" t="s">
        <v>4463</v>
      </c>
      <c r="B1489" s="2" t="s">
        <v>4464</v>
      </c>
      <c r="C1489" s="2" t="s">
        <v>4465</v>
      </c>
      <c r="D1489" s="2" t="s">
        <v>10047</v>
      </c>
      <c r="E1489" s="15">
        <v>5.5999999999999999E-3</v>
      </c>
      <c r="F1489" s="15">
        <v>6.7299999999999999E-2</v>
      </c>
      <c r="G1489" s="15">
        <v>0.13020000000000001</v>
      </c>
      <c r="H1489" s="15">
        <v>6.0999999999999999E-2</v>
      </c>
      <c r="I1489" s="15">
        <v>4.4284664464386579E-2</v>
      </c>
    </row>
    <row r="1490" spans="1:9" x14ac:dyDescent="0.2">
      <c r="A1490" s="2" t="s">
        <v>4466</v>
      </c>
      <c r="B1490" s="2" t="s">
        <v>4467</v>
      </c>
      <c r="C1490" s="2" t="s">
        <v>4468</v>
      </c>
      <c r="D1490" s="2" t="s">
        <v>10047</v>
      </c>
      <c r="E1490" s="15">
        <v>0.1482</v>
      </c>
      <c r="F1490" s="15">
        <v>7.8100000000000003E-2</v>
      </c>
      <c r="G1490" s="15">
        <v>0.18629999999999999</v>
      </c>
      <c r="H1490" s="15">
        <v>6.9599999999999995E-2</v>
      </c>
      <c r="I1490" s="15">
        <v>0.31943317283086281</v>
      </c>
    </row>
    <row r="1491" spans="1:9" x14ac:dyDescent="0.2">
      <c r="A1491" s="2" t="s">
        <v>4469</v>
      </c>
      <c r="B1491" s="2" t="s">
        <v>4470</v>
      </c>
      <c r="C1491" s="2" t="s">
        <v>4471</v>
      </c>
      <c r="D1491" s="2" t="s">
        <v>10047</v>
      </c>
      <c r="E1491" s="15">
        <v>0.1038</v>
      </c>
      <c r="F1491" s="15">
        <v>6.4600000000000005E-2</v>
      </c>
      <c r="G1491" s="15">
        <v>0.19470000000000001</v>
      </c>
      <c r="H1491" s="15">
        <v>8.09E-2</v>
      </c>
      <c r="I1491" s="15">
        <v>0.15763125894348801</v>
      </c>
    </row>
    <row r="1492" spans="1:9" x14ac:dyDescent="0.2">
      <c r="A1492" s="2" t="s">
        <v>4472</v>
      </c>
      <c r="B1492" s="2" t="s">
        <v>4473</v>
      </c>
      <c r="C1492" s="2" t="s">
        <v>4474</v>
      </c>
      <c r="D1492" s="2" t="s">
        <v>10047</v>
      </c>
      <c r="E1492" s="15">
        <v>1.9900000000000001E-2</v>
      </c>
      <c r="F1492" s="15">
        <v>6.7500000000000004E-2</v>
      </c>
      <c r="G1492" s="15">
        <v>-2.58E-2</v>
      </c>
      <c r="H1492" s="15">
        <v>8.3599999999999994E-2</v>
      </c>
      <c r="I1492" s="15">
        <v>0.31016033095909268</v>
      </c>
    </row>
    <row r="1493" spans="1:9" x14ac:dyDescent="0.2">
      <c r="A1493" s="2" t="s">
        <v>4475</v>
      </c>
      <c r="B1493" s="2" t="s">
        <v>4476</v>
      </c>
      <c r="C1493" s="2" t="s">
        <v>4477</v>
      </c>
      <c r="D1493" s="2" t="s">
        <v>10047</v>
      </c>
      <c r="E1493" s="15">
        <v>3.8399999999999997E-2</v>
      </c>
      <c r="F1493" s="15">
        <v>7.0800000000000002E-2</v>
      </c>
      <c r="G1493" s="15">
        <v>-0.1406</v>
      </c>
      <c r="H1493" s="15">
        <v>8.5199999999999998E-2</v>
      </c>
      <c r="I1493" s="15">
        <v>2.9169462324268151E-2</v>
      </c>
    </row>
    <row r="1494" spans="1:9" x14ac:dyDescent="0.2">
      <c r="A1494" s="2" t="s">
        <v>4478</v>
      </c>
      <c r="B1494" s="2" t="s">
        <v>4479</v>
      </c>
      <c r="C1494" s="2" t="s">
        <v>4480</v>
      </c>
      <c r="D1494" s="2" t="s">
        <v>10047</v>
      </c>
      <c r="E1494" s="15">
        <v>8.3500000000000005E-2</v>
      </c>
      <c r="F1494" s="15">
        <v>6.8500000000000005E-2</v>
      </c>
      <c r="G1494" s="15">
        <v>0.17469999999999999</v>
      </c>
      <c r="H1494" s="15">
        <v>6.5699999999999995E-2</v>
      </c>
      <c r="I1494" s="15">
        <v>0.1149102289008844</v>
      </c>
    </row>
    <row r="1495" spans="1:9" x14ac:dyDescent="0.2">
      <c r="A1495" s="2" t="s">
        <v>4481</v>
      </c>
      <c r="B1495" s="2" t="s">
        <v>4482</v>
      </c>
      <c r="C1495" s="2" t="s">
        <v>4483</v>
      </c>
      <c r="D1495" s="2" t="s">
        <v>10047</v>
      </c>
      <c r="E1495" s="15">
        <v>0.12520000000000001</v>
      </c>
      <c r="F1495" s="15">
        <v>7.3400000000000007E-2</v>
      </c>
      <c r="G1495" s="15">
        <v>0.1646</v>
      </c>
      <c r="H1495" s="15">
        <v>6.9699999999999998E-2</v>
      </c>
      <c r="I1495" s="15">
        <v>0.31186050520770742</v>
      </c>
    </row>
    <row r="1496" spans="1:9" x14ac:dyDescent="0.2">
      <c r="A1496" s="2" t="s">
        <v>4484</v>
      </c>
      <c r="B1496" s="2" t="s">
        <v>4485</v>
      </c>
      <c r="C1496" s="2" t="s">
        <v>4486</v>
      </c>
      <c r="D1496" s="2" t="s">
        <v>10047</v>
      </c>
      <c r="E1496" s="15">
        <v>-6.3600000000000004E-2</v>
      </c>
      <c r="F1496" s="15">
        <v>6.0100000000000001E-2</v>
      </c>
      <c r="G1496" s="15">
        <v>4.0000000000000002E-4</v>
      </c>
      <c r="H1496" s="15">
        <v>9.9000000000000005E-2</v>
      </c>
      <c r="I1496" s="15">
        <v>0.27389963617405189</v>
      </c>
    </row>
    <row r="1497" spans="1:9" x14ac:dyDescent="0.2">
      <c r="A1497" s="2" t="s">
        <v>4487</v>
      </c>
      <c r="B1497" s="2" t="s">
        <v>4488</v>
      </c>
      <c r="C1497" s="2" t="s">
        <v>4489</v>
      </c>
      <c r="D1497" s="2" t="s">
        <v>10047</v>
      </c>
      <c r="E1497" s="15">
        <v>-7.4999999999999997E-3</v>
      </c>
      <c r="F1497" s="15">
        <v>6.8699999999999997E-2</v>
      </c>
      <c r="G1497" s="15">
        <v>-9.1000000000000004E-3</v>
      </c>
      <c r="H1497" s="15">
        <v>9.3299999999999994E-2</v>
      </c>
      <c r="I1497" s="15">
        <v>0.49370015942751128</v>
      </c>
    </row>
    <row r="1498" spans="1:9" x14ac:dyDescent="0.2">
      <c r="A1498" s="2" t="s">
        <v>4490</v>
      </c>
      <c r="B1498" s="2" t="s">
        <v>4491</v>
      </c>
      <c r="C1498" s="2" t="s">
        <v>4492</v>
      </c>
      <c r="D1498" s="2" t="s">
        <v>10047</v>
      </c>
      <c r="E1498" s="15">
        <v>-4.7999999999999996E-3</v>
      </c>
      <c r="F1498" s="15">
        <v>7.2099999999999997E-2</v>
      </c>
      <c r="G1498" s="15">
        <v>0.1966</v>
      </c>
      <c r="H1498" s="15">
        <v>7.1800000000000003E-2</v>
      </c>
      <c r="I1498" s="15">
        <v>7.0206096256900186E-3</v>
      </c>
    </row>
    <row r="1499" spans="1:9" x14ac:dyDescent="0.2">
      <c r="A1499" s="2" t="s">
        <v>4493</v>
      </c>
      <c r="B1499" s="2" t="s">
        <v>4494</v>
      </c>
      <c r="C1499" s="2" t="s">
        <v>4495</v>
      </c>
      <c r="D1499" s="2" t="s">
        <v>10047</v>
      </c>
      <c r="E1499" s="15">
        <v>2.8999999999999998E-3</v>
      </c>
      <c r="F1499" s="15">
        <v>7.5899999999999995E-2</v>
      </c>
      <c r="G1499" s="15">
        <v>0.14849999999999999</v>
      </c>
      <c r="H1499" s="15">
        <v>6.5299999999999997E-2</v>
      </c>
      <c r="I1499" s="15">
        <v>2.674170422649021E-2</v>
      </c>
    </row>
    <row r="1500" spans="1:9" x14ac:dyDescent="0.2">
      <c r="A1500" s="2" t="s">
        <v>4496</v>
      </c>
      <c r="B1500" s="2" t="s">
        <v>4497</v>
      </c>
      <c r="C1500" s="2" t="s">
        <v>4498</v>
      </c>
      <c r="D1500" s="2" t="s">
        <v>10047</v>
      </c>
      <c r="E1500" s="15">
        <v>9.2799999999999994E-2</v>
      </c>
      <c r="F1500" s="15">
        <v>7.51E-2</v>
      </c>
      <c r="G1500" s="15">
        <v>0.13700000000000001</v>
      </c>
      <c r="H1500" s="15">
        <v>6.9800000000000001E-2</v>
      </c>
      <c r="I1500" s="15">
        <v>0.29217757989740289</v>
      </c>
    </row>
    <row r="1501" spans="1:9" x14ac:dyDescent="0.2">
      <c r="A1501" s="2" t="s">
        <v>4499</v>
      </c>
      <c r="B1501" s="2" t="s">
        <v>4500</v>
      </c>
      <c r="C1501" s="2" t="s">
        <v>4501</v>
      </c>
      <c r="D1501" s="2" t="s">
        <v>10047</v>
      </c>
      <c r="E1501" s="15">
        <v>0.12559999999999999</v>
      </c>
      <c r="F1501" s="15">
        <v>8.0199999999999994E-2</v>
      </c>
      <c r="G1501" s="15">
        <v>3.7100000000000001E-2</v>
      </c>
      <c r="H1501" s="15">
        <v>7.1400000000000005E-2</v>
      </c>
      <c r="I1501" s="15">
        <v>0.15041509620416901</v>
      </c>
    </row>
    <row r="1502" spans="1:9" x14ac:dyDescent="0.2">
      <c r="A1502" s="2" t="s">
        <v>4502</v>
      </c>
      <c r="B1502" s="2" t="s">
        <v>4503</v>
      </c>
      <c r="C1502" s="2" t="s">
        <v>4504</v>
      </c>
      <c r="D1502" s="2" t="s">
        <v>10047</v>
      </c>
      <c r="E1502" s="15">
        <v>7.6600000000000001E-2</v>
      </c>
      <c r="F1502" s="15">
        <v>8.6699999999999999E-2</v>
      </c>
      <c r="G1502" s="15">
        <v>6.4799999999999996E-2</v>
      </c>
      <c r="H1502" s="15">
        <v>8.1000000000000003E-2</v>
      </c>
      <c r="I1502" s="15">
        <v>0.44962467517415161</v>
      </c>
    </row>
    <row r="1503" spans="1:9" x14ac:dyDescent="0.2">
      <c r="A1503" s="2" t="s">
        <v>4505</v>
      </c>
      <c r="B1503" s="2" t="s">
        <v>4506</v>
      </c>
      <c r="C1503" s="2" t="s">
        <v>4507</v>
      </c>
      <c r="D1503" s="2" t="s">
        <v>10047</v>
      </c>
      <c r="E1503" s="15">
        <v>9.3399999999999997E-2</v>
      </c>
      <c r="F1503" s="15">
        <v>8.0600000000000005E-2</v>
      </c>
      <c r="G1503" s="15">
        <v>9.74E-2</v>
      </c>
      <c r="H1503" s="15">
        <v>7.8200000000000006E-2</v>
      </c>
      <c r="I1503" s="15">
        <v>0.48256466273917198</v>
      </c>
    </row>
    <row r="1504" spans="1:9" x14ac:dyDescent="0.2">
      <c r="A1504" s="2" t="s">
        <v>4508</v>
      </c>
      <c r="B1504" s="2" t="s">
        <v>4509</v>
      </c>
      <c r="C1504" s="2" t="s">
        <v>4510</v>
      </c>
      <c r="D1504" s="2" t="s">
        <v>10047</v>
      </c>
      <c r="E1504" s="15">
        <v>4.3799999999999999E-2</v>
      </c>
      <c r="F1504" s="15">
        <v>6.6500000000000004E-2</v>
      </c>
      <c r="G1504" s="15">
        <v>0.14949999999999999</v>
      </c>
      <c r="H1504" s="15">
        <v>8.5300000000000001E-2</v>
      </c>
      <c r="I1504" s="15">
        <v>0.12660154544780519</v>
      </c>
    </row>
    <row r="1505" spans="1:9" x14ac:dyDescent="0.2">
      <c r="A1505" s="2" t="s">
        <v>4511</v>
      </c>
      <c r="B1505" s="2" t="s">
        <v>4512</v>
      </c>
      <c r="C1505" s="2" t="s">
        <v>4513</v>
      </c>
      <c r="D1505" s="2" t="s">
        <v>10047</v>
      </c>
      <c r="E1505" s="15">
        <v>7.4200000000000002E-2</v>
      </c>
      <c r="F1505" s="15">
        <v>6.4799999999999996E-2</v>
      </c>
      <c r="G1505" s="15">
        <v>7.8700000000000006E-2</v>
      </c>
      <c r="H1505" s="15">
        <v>7.2599999999999998E-2</v>
      </c>
      <c r="I1505" s="15">
        <v>0.4780410237170078</v>
      </c>
    </row>
    <row r="1506" spans="1:9" x14ac:dyDescent="0.2">
      <c r="A1506" s="2" t="s">
        <v>4514</v>
      </c>
      <c r="B1506" s="2" t="s">
        <v>4515</v>
      </c>
      <c r="C1506" s="2" t="s">
        <v>4516</v>
      </c>
      <c r="D1506" s="2" t="s">
        <v>10047</v>
      </c>
      <c r="E1506" s="15">
        <v>6.8099999999999994E-2</v>
      </c>
      <c r="F1506" s="15">
        <v>9.5200000000000007E-2</v>
      </c>
      <c r="G1506" s="15">
        <v>0.1709</v>
      </c>
      <c r="H1506" s="15">
        <v>7.9600000000000004E-2</v>
      </c>
      <c r="I1506" s="15">
        <v>0.1359818834776724</v>
      </c>
    </row>
    <row r="1507" spans="1:9" x14ac:dyDescent="0.2">
      <c r="A1507" s="2" t="s">
        <v>4517</v>
      </c>
      <c r="B1507" s="2" t="s">
        <v>4518</v>
      </c>
      <c r="C1507" s="2" t="s">
        <v>4519</v>
      </c>
      <c r="D1507" s="2" t="s">
        <v>10047</v>
      </c>
      <c r="E1507" s="15">
        <v>-1.89E-2</v>
      </c>
      <c r="F1507" s="15">
        <v>7.9500000000000001E-2</v>
      </c>
      <c r="G1507" s="15">
        <v>0.14499999999999999</v>
      </c>
      <c r="H1507" s="15">
        <v>7.7499999999999999E-2</v>
      </c>
      <c r="I1507" s="15">
        <v>3.7179543589211293E-2</v>
      </c>
    </row>
    <row r="1508" spans="1:9" x14ac:dyDescent="0.2">
      <c r="A1508" s="2" t="s">
        <v>4520</v>
      </c>
      <c r="B1508" s="2" t="s">
        <v>4521</v>
      </c>
      <c r="C1508" s="2" t="s">
        <v>4522</v>
      </c>
      <c r="D1508" s="2" t="s">
        <v>10047</v>
      </c>
      <c r="E1508" s="15">
        <v>7.3300000000000004E-2</v>
      </c>
      <c r="F1508" s="15">
        <v>0.1</v>
      </c>
      <c r="G1508" s="15">
        <v>0.1605</v>
      </c>
      <c r="H1508" s="15">
        <v>8.6599999999999996E-2</v>
      </c>
      <c r="I1508" s="15">
        <v>0.19219491806003919</v>
      </c>
    </row>
    <row r="1509" spans="1:9" x14ac:dyDescent="0.2">
      <c r="A1509" s="2" t="s">
        <v>4523</v>
      </c>
      <c r="B1509" s="2" t="s">
        <v>4524</v>
      </c>
      <c r="C1509" s="2" t="s">
        <v>4525</v>
      </c>
      <c r="D1509" s="2" t="s">
        <v>10047</v>
      </c>
      <c r="E1509" s="15">
        <v>7.7700000000000005E-2</v>
      </c>
      <c r="F1509" s="15">
        <v>7.3899999999999993E-2</v>
      </c>
      <c r="G1509" s="15">
        <v>0.16139999999999999</v>
      </c>
      <c r="H1509" s="15">
        <v>8.0799999999999997E-2</v>
      </c>
      <c r="I1509" s="15">
        <v>0.1874851377880031</v>
      </c>
    </row>
    <row r="1510" spans="1:9" x14ac:dyDescent="0.2">
      <c r="A1510" s="2" t="s">
        <v>4526</v>
      </c>
      <c r="B1510" s="2" t="s">
        <v>4527</v>
      </c>
      <c r="C1510" s="2" t="s">
        <v>4528</v>
      </c>
      <c r="D1510" s="2" t="s">
        <v>10047</v>
      </c>
      <c r="E1510" s="15">
        <v>0.17399999999999999</v>
      </c>
      <c r="F1510" s="15">
        <v>8.4099999999999994E-2</v>
      </c>
      <c r="G1510" s="15">
        <v>0.1288</v>
      </c>
      <c r="H1510" s="15">
        <v>7.6300000000000007E-2</v>
      </c>
      <c r="I1510" s="15">
        <v>0.30239341943101511</v>
      </c>
    </row>
    <row r="1511" spans="1:9" x14ac:dyDescent="0.2">
      <c r="A1511" s="2" t="s">
        <v>4529</v>
      </c>
      <c r="B1511" s="2" t="s">
        <v>4530</v>
      </c>
      <c r="C1511" s="2" t="s">
        <v>4531</v>
      </c>
      <c r="D1511" s="2" t="s">
        <v>10047</v>
      </c>
      <c r="E1511" s="15">
        <v>0.17910000000000001</v>
      </c>
      <c r="F1511" s="15">
        <v>8.3900000000000002E-2</v>
      </c>
      <c r="G1511" s="15">
        <v>0.1389</v>
      </c>
      <c r="H1511" s="15">
        <v>7.2900000000000006E-2</v>
      </c>
      <c r="I1511" s="15">
        <v>0.31986054080159482</v>
      </c>
    </row>
    <row r="1512" spans="1:9" x14ac:dyDescent="0.2">
      <c r="A1512" s="2" t="s">
        <v>4532</v>
      </c>
      <c r="B1512" s="2" t="s">
        <v>4533</v>
      </c>
      <c r="C1512" s="2" t="s">
        <v>4534</v>
      </c>
      <c r="D1512" s="2" t="s">
        <v>10047</v>
      </c>
      <c r="E1512" s="15">
        <v>5.0999999999999997E-2</v>
      </c>
      <c r="F1512" s="15">
        <v>7.8399999999999997E-2</v>
      </c>
      <c r="G1512" s="15">
        <v>4.6300000000000001E-2</v>
      </c>
      <c r="H1512" s="15">
        <v>8.5900000000000004E-2</v>
      </c>
      <c r="I1512" s="15">
        <v>0.48047058581391727</v>
      </c>
    </row>
    <row r="1513" spans="1:9" x14ac:dyDescent="0.2">
      <c r="A1513" s="2" t="s">
        <v>4535</v>
      </c>
      <c r="B1513" s="2" t="s">
        <v>4536</v>
      </c>
      <c r="C1513" s="2" t="s">
        <v>4537</v>
      </c>
      <c r="D1513" s="2" t="s">
        <v>10047</v>
      </c>
      <c r="E1513" s="15">
        <v>8.5599999999999996E-2</v>
      </c>
      <c r="F1513" s="15">
        <v>6.25E-2</v>
      </c>
      <c r="G1513" s="15">
        <v>6.4000000000000003E-3</v>
      </c>
      <c r="H1513" s="15">
        <v>6.9500000000000006E-2</v>
      </c>
      <c r="I1513" s="15">
        <v>0.15853985794184061</v>
      </c>
    </row>
    <row r="1514" spans="1:9" x14ac:dyDescent="0.2">
      <c r="A1514" s="2" t="s">
        <v>4538</v>
      </c>
      <c r="B1514" s="2" t="s">
        <v>4539</v>
      </c>
      <c r="C1514" s="2" t="s">
        <v>4540</v>
      </c>
      <c r="D1514" s="2" t="s">
        <v>10047</v>
      </c>
      <c r="E1514" s="15">
        <v>3.0800000000000001E-2</v>
      </c>
      <c r="F1514" s="15">
        <v>6.3799999999999996E-2</v>
      </c>
      <c r="G1514" s="15">
        <v>7.0400000000000004E-2</v>
      </c>
      <c r="H1514" s="15">
        <v>8.7400000000000005E-2</v>
      </c>
      <c r="I1514" s="15">
        <v>0.34083060230662898</v>
      </c>
    </row>
    <row r="1515" spans="1:9" x14ac:dyDescent="0.2">
      <c r="A1515" s="2" t="s">
        <v>4541</v>
      </c>
      <c r="B1515" s="2" t="s">
        <v>4542</v>
      </c>
      <c r="C1515" s="2" t="s">
        <v>4543</v>
      </c>
      <c r="D1515" s="2" t="s">
        <v>10047</v>
      </c>
      <c r="E1515" s="15">
        <v>6.6900000000000001E-2</v>
      </c>
      <c r="F1515" s="15">
        <v>5.9200000000000003E-2</v>
      </c>
      <c r="G1515" s="15">
        <v>5.8700000000000002E-2</v>
      </c>
      <c r="H1515" s="15">
        <v>7.5200000000000003E-2</v>
      </c>
      <c r="I1515" s="15">
        <v>0.46078547942727638</v>
      </c>
    </row>
    <row r="1516" spans="1:9" x14ac:dyDescent="0.2">
      <c r="A1516" s="2" t="s">
        <v>4544</v>
      </c>
      <c r="B1516" s="2" t="s">
        <v>4545</v>
      </c>
      <c r="C1516" s="2" t="s">
        <v>4546</v>
      </c>
      <c r="D1516" s="2" t="s">
        <v>10047</v>
      </c>
      <c r="E1516" s="15">
        <v>8.4500000000000006E-2</v>
      </c>
      <c r="F1516" s="15">
        <v>5.9700000000000003E-2</v>
      </c>
      <c r="G1516" s="15">
        <v>8.8499999999999995E-2</v>
      </c>
      <c r="H1516" s="15">
        <v>9.7299999999999998E-2</v>
      </c>
      <c r="I1516" s="15">
        <v>0.48491236006139199</v>
      </c>
    </row>
    <row r="1517" spans="1:9" x14ac:dyDescent="0.2">
      <c r="A1517" s="2" t="s">
        <v>4547</v>
      </c>
      <c r="B1517" s="2" t="s">
        <v>4548</v>
      </c>
      <c r="C1517" s="2" t="s">
        <v>4549</v>
      </c>
      <c r="D1517" s="2" t="s">
        <v>10047</v>
      </c>
      <c r="E1517" s="15">
        <v>7.5300000000000006E-2</v>
      </c>
      <c r="F1517" s="15">
        <v>6.0600000000000001E-2</v>
      </c>
      <c r="G1517" s="15">
        <v>8.9599999999999999E-2</v>
      </c>
      <c r="H1517" s="15">
        <v>8.0100000000000005E-2</v>
      </c>
      <c r="I1517" s="15">
        <v>0.43602229311733348</v>
      </c>
    </row>
    <row r="1518" spans="1:9" x14ac:dyDescent="0.2">
      <c r="A1518" s="2" t="s">
        <v>4550</v>
      </c>
      <c r="B1518" s="2" t="s">
        <v>4551</v>
      </c>
      <c r="C1518" s="2" t="s">
        <v>4552</v>
      </c>
      <c r="D1518" s="2" t="s">
        <v>10047</v>
      </c>
      <c r="E1518" s="15">
        <v>0.1145</v>
      </c>
      <c r="F1518" s="15">
        <v>8.8900000000000007E-2</v>
      </c>
      <c r="G1518" s="15">
        <v>0.1212</v>
      </c>
      <c r="H1518" s="15">
        <v>8.48E-2</v>
      </c>
      <c r="I1518" s="15">
        <v>0.47272964826394331</v>
      </c>
    </row>
    <row r="1519" spans="1:9" x14ac:dyDescent="0.2">
      <c r="A1519" s="2" t="s">
        <v>4553</v>
      </c>
      <c r="B1519" s="2" t="s">
        <v>4554</v>
      </c>
      <c r="C1519" s="2" t="s">
        <v>4555</v>
      </c>
      <c r="D1519" s="2" t="s">
        <v>10047</v>
      </c>
      <c r="E1519" s="15">
        <v>2.06E-2</v>
      </c>
      <c r="F1519" s="15">
        <v>8.1799999999999998E-2</v>
      </c>
      <c r="G1519" s="15">
        <v>0.13569999999999999</v>
      </c>
      <c r="H1519" s="15">
        <v>0.1053</v>
      </c>
      <c r="I1519" s="15">
        <v>0.1581692610826429</v>
      </c>
    </row>
    <row r="1520" spans="1:9" x14ac:dyDescent="0.2">
      <c r="A1520" s="2" t="s">
        <v>4556</v>
      </c>
      <c r="B1520" s="2" t="s">
        <v>4557</v>
      </c>
      <c r="C1520" s="2" t="s">
        <v>4558</v>
      </c>
      <c r="D1520" s="2" t="s">
        <v>10047</v>
      </c>
      <c r="E1520" s="15">
        <v>8.3400000000000002E-2</v>
      </c>
      <c r="F1520" s="15">
        <v>8.7999999999999995E-2</v>
      </c>
      <c r="G1520" s="15">
        <v>0.16300000000000001</v>
      </c>
      <c r="H1520" s="15">
        <v>9.4399999999999998E-2</v>
      </c>
      <c r="I1520" s="15">
        <v>0.22235096290536649</v>
      </c>
    </row>
    <row r="1521" spans="1:9" x14ac:dyDescent="0.2">
      <c r="A1521" s="2" t="s">
        <v>4559</v>
      </c>
      <c r="B1521" s="2" t="s">
        <v>4560</v>
      </c>
      <c r="C1521" s="2" t="s">
        <v>4561</v>
      </c>
      <c r="D1521" s="2" t="s">
        <v>10047</v>
      </c>
      <c r="E1521" s="15">
        <v>6.0199999999999997E-2</v>
      </c>
      <c r="F1521" s="15">
        <v>6.5699999999999995E-2</v>
      </c>
      <c r="G1521" s="15">
        <v>-3.39E-2</v>
      </c>
      <c r="H1521" s="15">
        <v>8.2100000000000006E-2</v>
      </c>
      <c r="I1521" s="15">
        <v>0.1547319760598157</v>
      </c>
    </row>
    <row r="1522" spans="1:9" x14ac:dyDescent="0.2">
      <c r="A1522" s="2" t="s">
        <v>4562</v>
      </c>
      <c r="B1522" s="2" t="s">
        <v>4563</v>
      </c>
      <c r="C1522" s="2" t="s">
        <v>4564</v>
      </c>
      <c r="D1522" s="2" t="s">
        <v>10047</v>
      </c>
      <c r="E1522" s="15">
        <v>0.1104</v>
      </c>
      <c r="F1522" s="15">
        <v>7.4899999999999994E-2</v>
      </c>
      <c r="G1522" s="15">
        <v>2.92E-2</v>
      </c>
      <c r="H1522" s="15">
        <v>7.4099999999999999E-2</v>
      </c>
      <c r="I1522" s="15">
        <v>0.17577842565731119</v>
      </c>
    </row>
    <row r="1523" spans="1:9" x14ac:dyDescent="0.2">
      <c r="A1523" s="2" t="s">
        <v>4565</v>
      </c>
      <c r="B1523" s="2" t="s">
        <v>4566</v>
      </c>
      <c r="C1523" s="2" t="s">
        <v>4567</v>
      </c>
      <c r="D1523" s="2" t="s">
        <v>10047</v>
      </c>
      <c r="E1523" s="15">
        <v>6.54E-2</v>
      </c>
      <c r="F1523" s="15">
        <v>6.4600000000000005E-2</v>
      </c>
      <c r="G1523" s="15">
        <v>8.0600000000000005E-2</v>
      </c>
      <c r="H1523" s="15">
        <v>7.0699999999999999E-2</v>
      </c>
      <c r="I1523" s="15">
        <v>0.42529591558725621</v>
      </c>
    </row>
    <row r="1524" spans="1:9" x14ac:dyDescent="0.2">
      <c r="A1524" s="2" t="s">
        <v>4568</v>
      </c>
      <c r="B1524" s="2" t="s">
        <v>4569</v>
      </c>
      <c r="C1524" s="2" t="s">
        <v>4570</v>
      </c>
      <c r="D1524" s="2" t="s">
        <v>10047</v>
      </c>
      <c r="E1524" s="15">
        <v>4.2999999999999997E-2</v>
      </c>
      <c r="F1524" s="15">
        <v>6.2600000000000003E-2</v>
      </c>
      <c r="G1524" s="15">
        <v>0.10340000000000001</v>
      </c>
      <c r="H1524" s="15">
        <v>7.0499999999999993E-2</v>
      </c>
      <c r="I1524" s="15">
        <v>0.22364659377295279</v>
      </c>
    </row>
    <row r="1525" spans="1:9" x14ac:dyDescent="0.2">
      <c r="A1525" s="2" t="s">
        <v>4571</v>
      </c>
      <c r="B1525" s="2" t="s">
        <v>4572</v>
      </c>
      <c r="C1525" s="2" t="s">
        <v>4573</v>
      </c>
      <c r="D1525" s="2" t="s">
        <v>10047</v>
      </c>
      <c r="E1525" s="15">
        <v>0.12909999999999999</v>
      </c>
      <c r="F1525" s="15">
        <v>8.2699999999999996E-2</v>
      </c>
      <c r="G1525" s="15">
        <v>0.15770000000000001</v>
      </c>
      <c r="H1525" s="15">
        <v>7.46E-2</v>
      </c>
      <c r="I1525" s="15">
        <v>0.36808571137483159</v>
      </c>
    </row>
    <row r="1526" spans="1:9" x14ac:dyDescent="0.2">
      <c r="A1526" s="2" t="s">
        <v>4574</v>
      </c>
      <c r="B1526" s="2" t="s">
        <v>4575</v>
      </c>
      <c r="C1526" s="2" t="s">
        <v>4576</v>
      </c>
      <c r="D1526" s="2" t="s">
        <v>10047</v>
      </c>
      <c r="E1526" s="15">
        <v>0.14330000000000001</v>
      </c>
      <c r="F1526" s="15">
        <v>8.2500000000000004E-2</v>
      </c>
      <c r="G1526" s="15">
        <v>0.15</v>
      </c>
      <c r="H1526" s="15">
        <v>7.1300000000000002E-2</v>
      </c>
      <c r="I1526" s="15">
        <v>0.46767529947380432</v>
      </c>
    </row>
    <row r="1527" spans="1:9" x14ac:dyDescent="0.2">
      <c r="A1527" s="2" t="s">
        <v>4577</v>
      </c>
      <c r="B1527" s="2" t="s">
        <v>4578</v>
      </c>
      <c r="C1527" s="2" t="s">
        <v>4579</v>
      </c>
      <c r="D1527" s="2" t="s">
        <v>10047</v>
      </c>
      <c r="E1527" s="15">
        <v>3.6299999999999999E-2</v>
      </c>
      <c r="F1527" s="15">
        <v>7.7499999999999999E-2</v>
      </c>
      <c r="G1527" s="15">
        <v>0.14749999999999999</v>
      </c>
      <c r="H1527" s="15">
        <v>8.2900000000000001E-2</v>
      </c>
      <c r="I1527" s="15">
        <v>0.1191025092355749</v>
      </c>
    </row>
    <row r="1528" spans="1:9" x14ac:dyDescent="0.2">
      <c r="A1528" s="2" t="s">
        <v>4580</v>
      </c>
      <c r="B1528" s="2" t="s">
        <v>4581</v>
      </c>
      <c r="C1528" s="2" t="s">
        <v>4582</v>
      </c>
      <c r="D1528" s="2" t="s">
        <v>10047</v>
      </c>
      <c r="E1528" s="15">
        <v>4.8500000000000001E-2</v>
      </c>
      <c r="F1528" s="15">
        <v>6.3500000000000001E-2</v>
      </c>
      <c r="G1528" s="15">
        <v>0.1676</v>
      </c>
      <c r="H1528" s="15">
        <v>7.0900000000000005E-2</v>
      </c>
      <c r="I1528" s="15">
        <v>7.1365332759624506E-2</v>
      </c>
    </row>
    <row r="1529" spans="1:9" x14ac:dyDescent="0.2">
      <c r="A1529" s="2" t="s">
        <v>4583</v>
      </c>
      <c r="B1529" s="2" t="s">
        <v>4584</v>
      </c>
      <c r="C1529" s="2" t="s">
        <v>4585</v>
      </c>
      <c r="D1529" s="2" t="s">
        <v>10048</v>
      </c>
      <c r="E1529" s="15">
        <v>3.6400000000000002E-2</v>
      </c>
      <c r="F1529" s="15">
        <v>8.1299999999999997E-2</v>
      </c>
      <c r="G1529" s="15">
        <v>-7.6100000000000001E-2</v>
      </c>
      <c r="H1529" s="15">
        <v>8.1699999999999995E-2</v>
      </c>
      <c r="I1529" s="15">
        <v>0.1108156774878338</v>
      </c>
    </row>
    <row r="1530" spans="1:9" x14ac:dyDescent="0.2">
      <c r="A1530" s="2" t="s">
        <v>4586</v>
      </c>
      <c r="B1530" s="2" t="s">
        <v>4587</v>
      </c>
      <c r="C1530" s="2" t="s">
        <v>4588</v>
      </c>
      <c r="D1530" s="2" t="s">
        <v>10048</v>
      </c>
      <c r="E1530" s="15">
        <v>0.04</v>
      </c>
      <c r="F1530" s="15">
        <v>7.1900000000000006E-2</v>
      </c>
      <c r="G1530" s="15">
        <v>4.8099999999999997E-2</v>
      </c>
      <c r="H1530" s="15">
        <v>6.7699999999999996E-2</v>
      </c>
      <c r="I1530" s="15">
        <v>0.45964312319113071</v>
      </c>
    </row>
    <row r="1531" spans="1:9" x14ac:dyDescent="0.2">
      <c r="A1531" s="2" t="s">
        <v>4589</v>
      </c>
      <c r="B1531" s="2" t="s">
        <v>4590</v>
      </c>
      <c r="C1531" s="2" t="s">
        <v>4591</v>
      </c>
      <c r="D1531" s="2" t="s">
        <v>10048</v>
      </c>
      <c r="E1531" s="15">
        <v>-5.1000000000000004E-3</v>
      </c>
      <c r="F1531" s="15">
        <v>9.4100000000000003E-2</v>
      </c>
      <c r="G1531" s="15">
        <v>-0.2026</v>
      </c>
      <c r="H1531" s="15">
        <v>0.15490000000000001</v>
      </c>
      <c r="I1531" s="15">
        <v>0.11672645896006049</v>
      </c>
    </row>
    <row r="1532" spans="1:9" x14ac:dyDescent="0.2">
      <c r="A1532" s="2" t="s">
        <v>4592</v>
      </c>
      <c r="B1532" s="2" t="s">
        <v>4593</v>
      </c>
      <c r="C1532" s="2" t="s">
        <v>4594</v>
      </c>
      <c r="D1532" s="2" t="s">
        <v>10048</v>
      </c>
      <c r="E1532" s="15">
        <v>-1.11E-2</v>
      </c>
      <c r="F1532" s="15">
        <v>7.0999999999999994E-2</v>
      </c>
      <c r="G1532" s="15">
        <v>-0.1036</v>
      </c>
      <c r="H1532" s="15">
        <v>8.8499999999999995E-2</v>
      </c>
      <c r="I1532" s="15">
        <v>0.1716791785538056</v>
      </c>
    </row>
    <row r="1533" spans="1:9" x14ac:dyDescent="0.2">
      <c r="A1533" s="2" t="s">
        <v>4595</v>
      </c>
      <c r="B1533" s="2" t="s">
        <v>4596</v>
      </c>
      <c r="C1533" s="2" t="s">
        <v>4597</v>
      </c>
      <c r="D1533" s="2" t="s">
        <v>10048</v>
      </c>
      <c r="E1533" s="15">
        <v>0.10680000000000001</v>
      </c>
      <c r="F1533" s="15">
        <v>0.06</v>
      </c>
      <c r="G1533" s="15">
        <v>9.6199999999999994E-2</v>
      </c>
      <c r="H1533" s="15">
        <v>7.5200000000000003E-2</v>
      </c>
      <c r="I1533" s="15">
        <v>0.4504533578144021</v>
      </c>
    </row>
    <row r="1534" spans="1:9" x14ac:dyDescent="0.2">
      <c r="A1534" s="2" t="s">
        <v>4598</v>
      </c>
      <c r="B1534" s="2" t="s">
        <v>4599</v>
      </c>
      <c r="C1534" s="2" t="s">
        <v>4600</v>
      </c>
      <c r="D1534" s="2" t="s">
        <v>10048</v>
      </c>
      <c r="E1534" s="15">
        <v>-0.114</v>
      </c>
      <c r="F1534" s="15">
        <v>0.11990000000000001</v>
      </c>
      <c r="G1534" s="15">
        <v>-4.4900000000000002E-2</v>
      </c>
      <c r="H1534" s="15">
        <v>9.1200000000000003E-2</v>
      </c>
      <c r="I1534" s="15">
        <v>0.25401244430738878</v>
      </c>
    </row>
    <row r="1535" spans="1:9" x14ac:dyDescent="0.2">
      <c r="A1535" s="2" t="s">
        <v>4601</v>
      </c>
      <c r="B1535" s="2" t="s">
        <v>4602</v>
      </c>
      <c r="C1535" s="2" t="s">
        <v>4603</v>
      </c>
      <c r="D1535" s="2" t="s">
        <v>10048</v>
      </c>
      <c r="E1535" s="15">
        <v>4.6699999999999998E-2</v>
      </c>
      <c r="F1535" s="15">
        <v>0.10050000000000001</v>
      </c>
      <c r="G1535" s="15">
        <v>1.9699999999999999E-2</v>
      </c>
      <c r="H1535" s="15">
        <v>0.1082</v>
      </c>
      <c r="I1535" s="15">
        <v>0.41276448886492317</v>
      </c>
    </row>
    <row r="1536" spans="1:9" x14ac:dyDescent="0.2">
      <c r="A1536" s="2" t="s">
        <v>4604</v>
      </c>
      <c r="B1536" s="2" t="s">
        <v>4605</v>
      </c>
      <c r="C1536" s="2" t="s">
        <v>4606</v>
      </c>
      <c r="D1536" s="2" t="s">
        <v>10048</v>
      </c>
      <c r="G1536" s="15">
        <v>8.9800000000000005E-2</v>
      </c>
      <c r="H1536" s="15">
        <v>0.10780000000000001</v>
      </c>
    </row>
    <row r="1537" spans="1:9" x14ac:dyDescent="0.2">
      <c r="A1537" s="2" t="s">
        <v>4607</v>
      </c>
      <c r="B1537" s="2" t="s">
        <v>4608</v>
      </c>
      <c r="C1537" s="2" t="s">
        <v>4609</v>
      </c>
      <c r="D1537" s="2" t="s">
        <v>10048</v>
      </c>
      <c r="E1537" s="15">
        <v>0.14599999999999999</v>
      </c>
      <c r="F1537" s="15">
        <v>7.0599999999999996E-2</v>
      </c>
      <c r="G1537" s="15">
        <v>-3.8899999999999997E-2</v>
      </c>
      <c r="H1537" s="15">
        <v>8.5500000000000007E-2</v>
      </c>
      <c r="I1537" s="15">
        <v>3.1501485753930282E-2</v>
      </c>
    </row>
    <row r="1538" spans="1:9" x14ac:dyDescent="0.2">
      <c r="A1538" s="2" t="s">
        <v>4610</v>
      </c>
      <c r="B1538" s="2" t="s">
        <v>4611</v>
      </c>
      <c r="C1538" s="2" t="s">
        <v>4612</v>
      </c>
      <c r="D1538" s="2" t="s">
        <v>10048</v>
      </c>
      <c r="E1538" s="15">
        <v>6.5699999999999995E-2</v>
      </c>
      <c r="F1538" s="15">
        <v>8.0600000000000005E-2</v>
      </c>
      <c r="G1538" s="15">
        <v>-7.5700000000000003E-2</v>
      </c>
      <c r="H1538" s="15">
        <v>9.2299999999999993E-2</v>
      </c>
      <c r="I1538" s="15">
        <v>8.4708991796783567E-2</v>
      </c>
    </row>
    <row r="1539" spans="1:9" x14ac:dyDescent="0.2">
      <c r="A1539" s="2" t="s">
        <v>4613</v>
      </c>
      <c r="B1539" s="2" t="s">
        <v>4614</v>
      </c>
      <c r="C1539" s="2" t="s">
        <v>4615</v>
      </c>
      <c r="D1539" s="2" t="s">
        <v>10048</v>
      </c>
      <c r="E1539" s="15">
        <v>6.3E-3</v>
      </c>
      <c r="F1539" s="15">
        <v>7.7399999999999997E-2</v>
      </c>
      <c r="G1539" s="15">
        <v>-7.1000000000000004E-3</v>
      </c>
      <c r="H1539" s="15">
        <v>8.9399999999999993E-2</v>
      </c>
      <c r="I1539" s="15">
        <v>0.44764025570346672</v>
      </c>
    </row>
    <row r="1540" spans="1:9" x14ac:dyDescent="0.2">
      <c r="A1540" s="2" t="s">
        <v>4616</v>
      </c>
      <c r="B1540" s="2" t="s">
        <v>4617</v>
      </c>
      <c r="C1540" s="2" t="s">
        <v>4618</v>
      </c>
      <c r="D1540" s="2" t="s">
        <v>10048</v>
      </c>
      <c r="E1540" s="15">
        <v>-5.0700000000000002E-2</v>
      </c>
      <c r="F1540" s="15">
        <v>8.6900000000000005E-2</v>
      </c>
      <c r="G1540" s="15">
        <v>-3.4299999999999997E-2</v>
      </c>
      <c r="H1540" s="15">
        <v>9.8900000000000002E-2</v>
      </c>
      <c r="I1540" s="15">
        <v>0.44241090870090638</v>
      </c>
    </row>
    <row r="1541" spans="1:9" x14ac:dyDescent="0.2">
      <c r="A1541" s="2" t="s">
        <v>4619</v>
      </c>
      <c r="B1541" s="2" t="s">
        <v>4620</v>
      </c>
      <c r="C1541" s="2" t="s">
        <v>4621</v>
      </c>
      <c r="D1541" s="2" t="s">
        <v>10048</v>
      </c>
      <c r="E1541" s="15">
        <v>0.26419999999999999</v>
      </c>
      <c r="F1541" s="15">
        <v>8.8400000000000006E-2</v>
      </c>
      <c r="G1541" s="15">
        <v>8.5000000000000006E-3</v>
      </c>
      <c r="H1541" s="15">
        <v>7.8600000000000003E-2</v>
      </c>
      <c r="I1541" s="15">
        <v>2.774886725415121E-3</v>
      </c>
    </row>
    <row r="1542" spans="1:9" x14ac:dyDescent="0.2">
      <c r="A1542" s="2" t="s">
        <v>4622</v>
      </c>
      <c r="B1542" s="2" t="s">
        <v>4623</v>
      </c>
      <c r="C1542" s="2" t="s">
        <v>4624</v>
      </c>
      <c r="D1542" s="2" t="s">
        <v>10048</v>
      </c>
      <c r="E1542" s="15">
        <v>8.1199999999999994E-2</v>
      </c>
      <c r="F1542" s="15">
        <v>7.9399999999999998E-2</v>
      </c>
      <c r="G1542" s="15">
        <v>5.7200000000000001E-2</v>
      </c>
      <c r="H1542" s="15">
        <v>7.9799999999999996E-2</v>
      </c>
      <c r="I1542" s="15">
        <v>0.39501247412106089</v>
      </c>
    </row>
    <row r="1543" spans="1:9" x14ac:dyDescent="0.2">
      <c r="A1543" s="2" t="s">
        <v>4625</v>
      </c>
      <c r="B1543" s="2" t="s">
        <v>4626</v>
      </c>
      <c r="C1543" s="2" t="s">
        <v>4627</v>
      </c>
      <c r="D1543" s="2" t="s">
        <v>10048</v>
      </c>
      <c r="E1543" s="15">
        <v>6.0900000000000003E-2</v>
      </c>
      <c r="F1543" s="15">
        <v>7.0800000000000002E-2</v>
      </c>
      <c r="G1543" s="15">
        <v>5.1400000000000001E-2</v>
      </c>
      <c r="H1543" s="15">
        <v>8.5000000000000006E-2</v>
      </c>
      <c r="I1543" s="15">
        <v>0.45990785195528711</v>
      </c>
    </row>
    <row r="1544" spans="1:9" x14ac:dyDescent="0.2">
      <c r="A1544" s="2" t="s">
        <v>4628</v>
      </c>
      <c r="B1544" s="2" t="s">
        <v>4629</v>
      </c>
      <c r="C1544" s="2" t="s">
        <v>4630</v>
      </c>
      <c r="D1544" s="2" t="s">
        <v>10048</v>
      </c>
      <c r="E1544" s="15">
        <v>3.4799999999999998E-2</v>
      </c>
      <c r="F1544" s="15">
        <v>6.8199999999999997E-2</v>
      </c>
      <c r="G1544" s="15">
        <v>-8.8499999999999995E-2</v>
      </c>
      <c r="H1544" s="15">
        <v>8.2500000000000004E-2</v>
      </c>
      <c r="I1544" s="15">
        <v>8.9966487474865769E-2</v>
      </c>
    </row>
    <row r="1545" spans="1:9" x14ac:dyDescent="0.2">
      <c r="A1545" s="2" t="s">
        <v>4631</v>
      </c>
      <c r="B1545" s="2" t="s">
        <v>4632</v>
      </c>
      <c r="C1545" s="2" t="s">
        <v>4633</v>
      </c>
      <c r="D1545" s="2" t="s">
        <v>10048</v>
      </c>
      <c r="E1545" s="15">
        <v>0.13439999999999999</v>
      </c>
      <c r="F1545" s="15">
        <v>6.7000000000000004E-2</v>
      </c>
      <c r="G1545" s="15">
        <v>9.1000000000000004E-3</v>
      </c>
      <c r="H1545" s="15">
        <v>5.8299999999999998E-2</v>
      </c>
      <c r="I1545" s="15">
        <v>3.5666775724553387E-2</v>
      </c>
    </row>
    <row r="1546" spans="1:9" x14ac:dyDescent="0.2">
      <c r="A1546" s="2" t="s">
        <v>4634</v>
      </c>
      <c r="B1546" s="2" t="s">
        <v>4635</v>
      </c>
      <c r="C1546" s="2" t="s">
        <v>4636</v>
      </c>
      <c r="D1546" s="2" t="s">
        <v>10048</v>
      </c>
      <c r="E1546" s="15">
        <v>0.12970000000000001</v>
      </c>
      <c r="F1546" s="15">
        <v>6.9199999999999998E-2</v>
      </c>
      <c r="G1546" s="15">
        <v>4.3099999999999999E-2</v>
      </c>
      <c r="H1546" s="15">
        <v>6.0600000000000001E-2</v>
      </c>
      <c r="I1546" s="15">
        <v>0.11283252587607299</v>
      </c>
    </row>
    <row r="1547" spans="1:9" x14ac:dyDescent="0.2">
      <c r="A1547" s="2" t="s">
        <v>4637</v>
      </c>
      <c r="B1547" s="2" t="s">
        <v>4638</v>
      </c>
      <c r="C1547" s="2" t="s">
        <v>4639</v>
      </c>
      <c r="D1547" s="2" t="s">
        <v>10048</v>
      </c>
      <c r="E1547" s="15">
        <v>0.1197</v>
      </c>
      <c r="F1547" s="15">
        <v>5.3400000000000003E-2</v>
      </c>
      <c r="G1547" s="15">
        <v>8.2699999999999996E-2</v>
      </c>
      <c r="H1547" s="15">
        <v>6.1800000000000001E-2</v>
      </c>
      <c r="I1547" s="15">
        <v>0.29711658822844539</v>
      </c>
    </row>
    <row r="1548" spans="1:9" x14ac:dyDescent="0.2">
      <c r="A1548" s="2" t="s">
        <v>4640</v>
      </c>
      <c r="B1548" s="2" t="s">
        <v>4641</v>
      </c>
      <c r="C1548" s="2" t="s">
        <v>4642</v>
      </c>
      <c r="D1548" s="2" t="s">
        <v>10048</v>
      </c>
      <c r="E1548" s="15">
        <v>0.1076</v>
      </c>
      <c r="F1548" s="15">
        <v>5.6399999999999999E-2</v>
      </c>
      <c r="G1548" s="15">
        <v>7.8700000000000006E-2</v>
      </c>
      <c r="H1548" s="15">
        <v>6.4699999999999994E-2</v>
      </c>
      <c r="I1548" s="15">
        <v>0.34683092155985412</v>
      </c>
    </row>
    <row r="1549" spans="1:9" x14ac:dyDescent="0.2">
      <c r="A1549" s="2" t="s">
        <v>4643</v>
      </c>
      <c r="B1549" s="2" t="s">
        <v>4644</v>
      </c>
      <c r="C1549" s="2" t="s">
        <v>4645</v>
      </c>
      <c r="D1549" s="2" t="s">
        <v>10048</v>
      </c>
      <c r="E1549" s="15">
        <v>6.7000000000000002E-3</v>
      </c>
      <c r="F1549" s="15">
        <v>7.2599999999999998E-2</v>
      </c>
      <c r="G1549" s="15">
        <v>0.21299999999999999</v>
      </c>
      <c r="H1549" s="15">
        <v>8.2000000000000003E-2</v>
      </c>
      <c r="I1549" s="15">
        <v>1.1941865499930711E-2</v>
      </c>
    </row>
    <row r="1550" spans="1:9" x14ac:dyDescent="0.2">
      <c r="A1550" s="2" t="s">
        <v>4646</v>
      </c>
      <c r="B1550" s="2" t="s">
        <v>4647</v>
      </c>
      <c r="C1550" s="2" t="s">
        <v>4648</v>
      </c>
      <c r="D1550" s="2" t="s">
        <v>10048</v>
      </c>
      <c r="E1550" s="15">
        <v>7.4999999999999997E-2</v>
      </c>
      <c r="F1550" s="15">
        <v>6.6500000000000004E-2</v>
      </c>
      <c r="G1550" s="15">
        <v>0.20430000000000001</v>
      </c>
      <c r="H1550" s="15">
        <v>6.9199999999999998E-2</v>
      </c>
      <c r="I1550" s="15">
        <v>5.6250218339519133E-2</v>
      </c>
    </row>
    <row r="1551" spans="1:9" x14ac:dyDescent="0.2">
      <c r="A1551" s="2" t="s">
        <v>4649</v>
      </c>
      <c r="B1551" s="2" t="s">
        <v>4650</v>
      </c>
      <c r="C1551" s="2" t="s">
        <v>4651</v>
      </c>
      <c r="D1551" s="2" t="s">
        <v>10048</v>
      </c>
      <c r="E1551" s="15">
        <v>-2.7E-2</v>
      </c>
      <c r="F1551" s="15">
        <v>6.2899999999999998E-2</v>
      </c>
      <c r="G1551" s="15">
        <v>-6.6299999999999998E-2</v>
      </c>
      <c r="H1551" s="15">
        <v>7.85E-2</v>
      </c>
      <c r="I1551" s="15">
        <v>0.32953672254131022</v>
      </c>
    </row>
    <row r="1552" spans="1:9" x14ac:dyDescent="0.2">
      <c r="A1552" s="2" t="s">
        <v>4652</v>
      </c>
      <c r="B1552" s="2" t="s">
        <v>4653</v>
      </c>
      <c r="C1552" s="2" t="s">
        <v>4654</v>
      </c>
      <c r="D1552" s="2" t="s">
        <v>10048</v>
      </c>
      <c r="E1552" s="15">
        <v>1.54E-2</v>
      </c>
      <c r="F1552" s="15">
        <v>6.9699999999999998E-2</v>
      </c>
      <c r="G1552" s="15">
        <v>-0.14680000000000001</v>
      </c>
      <c r="H1552" s="15">
        <v>8.1100000000000005E-2</v>
      </c>
      <c r="I1552" s="15">
        <v>3.7868696106120273E-2</v>
      </c>
    </row>
    <row r="1553" spans="1:9" x14ac:dyDescent="0.2">
      <c r="A1553" s="2" t="s">
        <v>4655</v>
      </c>
      <c r="B1553" s="2" t="s">
        <v>4656</v>
      </c>
      <c r="C1553" s="2" t="s">
        <v>4657</v>
      </c>
      <c r="D1553" s="2" t="s">
        <v>10048</v>
      </c>
      <c r="E1553" s="15">
        <v>0.1399</v>
      </c>
      <c r="F1553" s="15">
        <v>7.1900000000000006E-2</v>
      </c>
      <c r="G1553" s="15">
        <v>0.1031</v>
      </c>
      <c r="H1553" s="15">
        <v>7.6300000000000007E-2</v>
      </c>
      <c r="I1553" s="15">
        <v>0.33926039431436228</v>
      </c>
    </row>
    <row r="1554" spans="1:9" x14ac:dyDescent="0.2">
      <c r="A1554" s="2" t="s">
        <v>4658</v>
      </c>
      <c r="B1554" s="2" t="s">
        <v>4659</v>
      </c>
      <c r="C1554" s="2" t="s">
        <v>4660</v>
      </c>
      <c r="D1554" s="2" t="s">
        <v>10048</v>
      </c>
      <c r="E1554" s="15">
        <v>0.13950000000000001</v>
      </c>
      <c r="F1554" s="15">
        <v>7.0400000000000004E-2</v>
      </c>
      <c r="G1554" s="15">
        <v>0.16289999999999999</v>
      </c>
      <c r="H1554" s="15">
        <v>7.4300000000000005E-2</v>
      </c>
      <c r="I1554" s="15">
        <v>0.39313899520115309</v>
      </c>
    </row>
    <row r="1555" spans="1:9" x14ac:dyDescent="0.2">
      <c r="A1555" s="2" t="s">
        <v>4661</v>
      </c>
      <c r="B1555" s="2" t="s">
        <v>4662</v>
      </c>
      <c r="C1555" s="2" t="s">
        <v>4663</v>
      </c>
      <c r="D1555" s="2" t="s">
        <v>10048</v>
      </c>
      <c r="E1555" s="15">
        <v>8.7099999999999997E-2</v>
      </c>
      <c r="F1555" s="15">
        <v>6.6799999999999998E-2</v>
      </c>
      <c r="G1555" s="15">
        <v>-1.03E-2</v>
      </c>
      <c r="H1555" s="15">
        <v>7.2700000000000001E-2</v>
      </c>
      <c r="I1555" s="15">
        <v>0.12230803880017339</v>
      </c>
    </row>
    <row r="1556" spans="1:9" x14ac:dyDescent="0.2">
      <c r="A1556" s="2" t="s">
        <v>4664</v>
      </c>
      <c r="B1556" s="2" t="s">
        <v>4665</v>
      </c>
      <c r="C1556" s="2" t="s">
        <v>4666</v>
      </c>
      <c r="D1556" s="2" t="s">
        <v>10048</v>
      </c>
      <c r="E1556" s="15">
        <v>0.15409999999999999</v>
      </c>
      <c r="F1556" s="15">
        <v>6.7599999999999993E-2</v>
      </c>
      <c r="G1556" s="15">
        <v>9.4399999999999998E-2</v>
      </c>
      <c r="H1556" s="15">
        <v>7.0900000000000005E-2</v>
      </c>
      <c r="I1556" s="15">
        <v>0.24054150306748509</v>
      </c>
    </row>
    <row r="1557" spans="1:9" x14ac:dyDescent="0.2">
      <c r="A1557" s="2" t="s">
        <v>4667</v>
      </c>
      <c r="B1557" s="2" t="s">
        <v>4668</v>
      </c>
      <c r="C1557" s="2" t="s">
        <v>4669</v>
      </c>
      <c r="D1557" s="2" t="s">
        <v>10048</v>
      </c>
      <c r="E1557" s="15">
        <v>-3.95E-2</v>
      </c>
      <c r="F1557" s="15">
        <v>9.1200000000000003E-2</v>
      </c>
      <c r="G1557" s="15">
        <v>3.3599999999999998E-2</v>
      </c>
      <c r="H1557" s="15">
        <v>7.8600000000000003E-2</v>
      </c>
      <c r="I1557" s="15">
        <v>0.2112118253046342</v>
      </c>
    </row>
    <row r="1558" spans="1:9" x14ac:dyDescent="0.2">
      <c r="A1558" s="2" t="s">
        <v>4670</v>
      </c>
      <c r="B1558" s="2" t="s">
        <v>4671</v>
      </c>
      <c r="C1558" s="2" t="s">
        <v>4672</v>
      </c>
      <c r="D1558" s="2" t="s">
        <v>10048</v>
      </c>
      <c r="E1558" s="15">
        <v>6.0900000000000003E-2</v>
      </c>
      <c r="F1558" s="15">
        <v>8.9599999999999999E-2</v>
      </c>
      <c r="G1558" s="15">
        <v>1.9E-3</v>
      </c>
      <c r="H1558" s="15">
        <v>8.6400000000000005E-2</v>
      </c>
      <c r="I1558" s="15">
        <v>0.27814479170739398</v>
      </c>
    </row>
    <row r="1559" spans="1:9" x14ac:dyDescent="0.2">
      <c r="A1559" s="2" t="s">
        <v>4673</v>
      </c>
      <c r="B1559" s="2" t="s">
        <v>4674</v>
      </c>
      <c r="C1559" s="2" t="s">
        <v>4675</v>
      </c>
      <c r="D1559" s="2" t="s">
        <v>10048</v>
      </c>
      <c r="E1559" s="15">
        <v>-5.4100000000000002E-2</v>
      </c>
      <c r="F1559" s="15">
        <v>8.4699999999999998E-2</v>
      </c>
      <c r="G1559" s="15">
        <v>5.6399999999999999E-2</v>
      </c>
      <c r="H1559" s="15">
        <v>8.0699999999999994E-2</v>
      </c>
      <c r="I1559" s="15">
        <v>0.1139208112543984</v>
      </c>
    </row>
    <row r="1560" spans="1:9" x14ac:dyDescent="0.2">
      <c r="A1560" s="2" t="s">
        <v>4676</v>
      </c>
      <c r="B1560" s="2" t="s">
        <v>4677</v>
      </c>
      <c r="C1560" s="2" t="s">
        <v>4678</v>
      </c>
      <c r="D1560" s="2" t="s">
        <v>10048</v>
      </c>
      <c r="E1560" s="15">
        <v>-3.1099999999999999E-2</v>
      </c>
      <c r="F1560" s="15">
        <v>7.0900000000000005E-2</v>
      </c>
      <c r="G1560" s="15">
        <v>-2.7099999999999999E-2</v>
      </c>
      <c r="H1560" s="15">
        <v>8.48E-2</v>
      </c>
      <c r="I1560" s="15">
        <v>0.48327736535143673</v>
      </c>
    </row>
    <row r="1561" spans="1:9" x14ac:dyDescent="0.2">
      <c r="A1561" s="2" t="s">
        <v>4679</v>
      </c>
      <c r="B1561" s="2" t="s">
        <v>4680</v>
      </c>
      <c r="C1561" s="2" t="s">
        <v>4681</v>
      </c>
      <c r="D1561" s="2" t="s">
        <v>10048</v>
      </c>
      <c r="E1561" s="15">
        <v>-8.3900000000000002E-2</v>
      </c>
      <c r="F1561" s="15">
        <v>7.3800000000000004E-2</v>
      </c>
      <c r="G1561" s="15">
        <v>-5.8799999999999998E-2</v>
      </c>
      <c r="H1561" s="15">
        <v>6.7900000000000002E-2</v>
      </c>
      <c r="I1561" s="15">
        <v>0.37520737527306919</v>
      </c>
    </row>
    <row r="1562" spans="1:9" x14ac:dyDescent="0.2">
      <c r="A1562" s="2" t="s">
        <v>4682</v>
      </c>
      <c r="B1562" s="2" t="s">
        <v>4683</v>
      </c>
      <c r="C1562" s="2" t="s">
        <v>4684</v>
      </c>
      <c r="D1562" s="2" t="s">
        <v>10048</v>
      </c>
      <c r="E1562" s="15">
        <v>-0.1075</v>
      </c>
      <c r="F1562" s="15">
        <v>7.1900000000000006E-2</v>
      </c>
      <c r="G1562" s="15">
        <v>3.1E-2</v>
      </c>
      <c r="H1562" s="15">
        <v>7.0499999999999993E-2</v>
      </c>
      <c r="I1562" s="15">
        <v>4.6034980388618418E-2</v>
      </c>
    </row>
    <row r="1563" spans="1:9" x14ac:dyDescent="0.2">
      <c r="A1563" s="2" t="s">
        <v>4685</v>
      </c>
      <c r="B1563" s="2" t="s">
        <v>4686</v>
      </c>
      <c r="C1563" s="2" t="s">
        <v>4687</v>
      </c>
      <c r="D1563" s="2" t="s">
        <v>10048</v>
      </c>
      <c r="E1563" s="15">
        <v>-4.3400000000000001E-2</v>
      </c>
      <c r="F1563" s="15">
        <v>7.1900000000000006E-2</v>
      </c>
      <c r="G1563" s="15">
        <v>0.10489999999999999</v>
      </c>
      <c r="H1563" s="15">
        <v>7.8E-2</v>
      </c>
      <c r="I1563" s="15">
        <v>4.6887289088563738E-2</v>
      </c>
    </row>
    <row r="1564" spans="1:9" x14ac:dyDescent="0.2">
      <c r="A1564" s="2" t="s">
        <v>4688</v>
      </c>
      <c r="B1564" s="2" t="s">
        <v>4689</v>
      </c>
      <c r="C1564" s="2" t="s">
        <v>4690</v>
      </c>
      <c r="D1564" s="2" t="s">
        <v>10048</v>
      </c>
      <c r="E1564" s="15">
        <v>-3.1099999999999999E-2</v>
      </c>
      <c r="F1564" s="15">
        <v>6.6900000000000001E-2</v>
      </c>
      <c r="G1564" s="15">
        <v>0.12189999999999999</v>
      </c>
      <c r="H1564" s="15">
        <v>7.9600000000000004E-2</v>
      </c>
      <c r="I1564" s="15">
        <v>4.4983958887620752E-2</v>
      </c>
    </row>
    <row r="1565" spans="1:9" x14ac:dyDescent="0.2">
      <c r="A1565" s="2" t="s">
        <v>4691</v>
      </c>
      <c r="B1565" s="2" t="s">
        <v>4692</v>
      </c>
      <c r="C1565" s="2" t="s">
        <v>4693</v>
      </c>
      <c r="D1565" s="2" t="s">
        <v>10048</v>
      </c>
      <c r="E1565" s="15">
        <v>6.7500000000000004E-2</v>
      </c>
      <c r="F1565" s="15">
        <v>7.8E-2</v>
      </c>
      <c r="G1565" s="15">
        <v>0.2412</v>
      </c>
      <c r="H1565" s="15">
        <v>9.7600000000000006E-2</v>
      </c>
      <c r="I1565" s="15">
        <v>5.4062233269347747E-2</v>
      </c>
    </row>
    <row r="1566" spans="1:9" x14ac:dyDescent="0.2">
      <c r="A1566" s="2" t="s">
        <v>4694</v>
      </c>
      <c r="B1566" s="2" t="s">
        <v>4695</v>
      </c>
      <c r="C1566" s="2" t="s">
        <v>4696</v>
      </c>
      <c r="D1566" s="2" t="s">
        <v>10048</v>
      </c>
      <c r="E1566" s="15">
        <v>0.1128</v>
      </c>
      <c r="F1566" s="15">
        <v>8.0100000000000005E-2</v>
      </c>
      <c r="G1566" s="15">
        <v>0.1537</v>
      </c>
      <c r="H1566" s="15">
        <v>0.1149</v>
      </c>
      <c r="I1566" s="15">
        <v>0.37194439097691978</v>
      </c>
    </row>
    <row r="1567" spans="1:9" x14ac:dyDescent="0.2">
      <c r="A1567" s="2" t="s">
        <v>4697</v>
      </c>
      <c r="B1567" s="2" t="s">
        <v>4698</v>
      </c>
      <c r="C1567" s="2" t="s">
        <v>4699</v>
      </c>
      <c r="D1567" s="2" t="s">
        <v>10048</v>
      </c>
      <c r="E1567" s="15">
        <v>-3.2399999999999998E-2</v>
      </c>
      <c r="F1567" s="15">
        <v>6.7100000000000007E-2</v>
      </c>
      <c r="G1567" s="15">
        <v>6.9500000000000006E-2</v>
      </c>
      <c r="H1567" s="15">
        <v>8.2699999999999996E-2</v>
      </c>
      <c r="I1567" s="15">
        <v>0.13538713793217719</v>
      </c>
    </row>
    <row r="1568" spans="1:9" x14ac:dyDescent="0.2">
      <c r="A1568" s="2" t="s">
        <v>4700</v>
      </c>
      <c r="B1568" s="2" t="s">
        <v>4701</v>
      </c>
      <c r="C1568" s="2" t="s">
        <v>4702</v>
      </c>
      <c r="D1568" s="2" t="s">
        <v>10048</v>
      </c>
      <c r="E1568" s="15">
        <v>-0.10970000000000001</v>
      </c>
      <c r="F1568" s="15">
        <v>7.1099999999999997E-2</v>
      </c>
      <c r="G1568" s="15">
        <v>-0.13919999999999999</v>
      </c>
      <c r="H1568" s="15">
        <v>7.8299999999999995E-2</v>
      </c>
      <c r="I1568" s="15">
        <v>0.37176096184587298</v>
      </c>
    </row>
    <row r="1569" spans="1:9" x14ac:dyDescent="0.2">
      <c r="A1569" s="2" t="s">
        <v>4703</v>
      </c>
      <c r="B1569" s="2" t="s">
        <v>4704</v>
      </c>
      <c r="C1569" s="2" t="s">
        <v>4705</v>
      </c>
      <c r="D1569" s="2" t="s">
        <v>10048</v>
      </c>
      <c r="E1569" s="15">
        <v>5.33E-2</v>
      </c>
      <c r="F1569" s="15">
        <v>8.1500000000000003E-2</v>
      </c>
      <c r="G1569" s="15">
        <v>0.1802</v>
      </c>
      <c r="H1569" s="15">
        <v>7.0000000000000007E-2</v>
      </c>
      <c r="I1569" s="15">
        <v>5.876114971866532E-2</v>
      </c>
    </row>
    <row r="1570" spans="1:9" x14ac:dyDescent="0.2">
      <c r="A1570" s="2" t="s">
        <v>4706</v>
      </c>
      <c r="B1570" s="2" t="s">
        <v>4707</v>
      </c>
      <c r="C1570" s="2" t="s">
        <v>4708</v>
      </c>
      <c r="D1570" s="2" t="s">
        <v>10048</v>
      </c>
      <c r="E1570" s="15">
        <v>6.4299999999999996E-2</v>
      </c>
      <c r="F1570" s="15">
        <v>8.8300000000000003E-2</v>
      </c>
      <c r="G1570" s="15">
        <v>0.1193</v>
      </c>
      <c r="H1570" s="15">
        <v>6.7599999999999993E-2</v>
      </c>
      <c r="I1570" s="15">
        <v>0.24161474752468379</v>
      </c>
    </row>
    <row r="1571" spans="1:9" x14ac:dyDescent="0.2">
      <c r="A1571" s="2" t="s">
        <v>4709</v>
      </c>
      <c r="B1571" s="2" t="s">
        <v>4710</v>
      </c>
      <c r="C1571" s="2" t="s">
        <v>4711</v>
      </c>
      <c r="D1571" s="2" t="s">
        <v>10048</v>
      </c>
      <c r="E1571" s="15">
        <v>0.124</v>
      </c>
      <c r="F1571" s="15">
        <v>0.1081</v>
      </c>
      <c r="G1571" s="15">
        <v>-0.1946</v>
      </c>
      <c r="H1571" s="15">
        <v>0.12230000000000001</v>
      </c>
      <c r="I1571" s="15">
        <v>9.0533882751702693E-3</v>
      </c>
    </row>
    <row r="1572" spans="1:9" x14ac:dyDescent="0.2">
      <c r="A1572" s="2" t="s">
        <v>4712</v>
      </c>
      <c r="B1572" s="2" t="s">
        <v>4713</v>
      </c>
      <c r="C1572" s="2" t="s">
        <v>4714</v>
      </c>
      <c r="D1572" s="2" t="s">
        <v>10048</v>
      </c>
      <c r="E1572" s="15">
        <v>1.18E-2</v>
      </c>
      <c r="F1572" s="15">
        <v>9.3700000000000006E-2</v>
      </c>
      <c r="G1572" s="15">
        <v>-0.12230000000000001</v>
      </c>
      <c r="H1572" s="15">
        <v>0.11260000000000001</v>
      </c>
      <c r="I1572" s="15">
        <v>0.14228571392920769</v>
      </c>
    </row>
    <row r="1573" spans="1:9" x14ac:dyDescent="0.2">
      <c r="A1573" s="2" t="s">
        <v>4715</v>
      </c>
      <c r="B1573" s="2" t="s">
        <v>4716</v>
      </c>
      <c r="C1573" s="2" t="s">
        <v>4717</v>
      </c>
      <c r="D1573" s="2" t="s">
        <v>10048</v>
      </c>
      <c r="E1573" s="15">
        <v>-0.1032</v>
      </c>
      <c r="F1573" s="15">
        <v>7.4099999999999999E-2</v>
      </c>
      <c r="G1573" s="15">
        <v>0.20369999999999999</v>
      </c>
      <c r="H1573" s="15">
        <v>0.1109</v>
      </c>
      <c r="I1573" s="15">
        <v>5.6414584090715997E-3</v>
      </c>
    </row>
    <row r="1574" spans="1:9" x14ac:dyDescent="0.2">
      <c r="A1574" s="2" t="s">
        <v>4718</v>
      </c>
      <c r="B1574" s="2" t="s">
        <v>4719</v>
      </c>
      <c r="C1574" s="2" t="s">
        <v>4720</v>
      </c>
      <c r="D1574" s="2" t="s">
        <v>10048</v>
      </c>
      <c r="E1574" s="15">
        <v>-8.3999999999999995E-3</v>
      </c>
      <c r="F1574" s="15">
        <v>8.5300000000000001E-2</v>
      </c>
      <c r="G1574" s="15">
        <v>0.1348</v>
      </c>
      <c r="H1574" s="15">
        <v>9.8100000000000007E-2</v>
      </c>
      <c r="I1574" s="15">
        <v>9.8381051329935743E-2</v>
      </c>
    </row>
    <row r="1575" spans="1:9" x14ac:dyDescent="0.2">
      <c r="A1575" s="2" t="s">
        <v>4721</v>
      </c>
      <c r="B1575" s="2" t="s">
        <v>4722</v>
      </c>
      <c r="C1575" s="2" t="s">
        <v>4723</v>
      </c>
      <c r="D1575" s="2" t="s">
        <v>10048</v>
      </c>
      <c r="E1575" s="15">
        <v>0.22559999999999999</v>
      </c>
      <c r="F1575" s="15">
        <v>0.158</v>
      </c>
      <c r="G1575" s="15">
        <v>0.1242</v>
      </c>
      <c r="H1575" s="15">
        <v>9.6100000000000005E-2</v>
      </c>
      <c r="I1575" s="15">
        <v>0.18272378990417271</v>
      </c>
    </row>
    <row r="1576" spans="1:9" x14ac:dyDescent="0.2">
      <c r="A1576" s="2" t="s">
        <v>4724</v>
      </c>
      <c r="B1576" s="2" t="s">
        <v>4725</v>
      </c>
      <c r="C1576" s="2" t="s">
        <v>4726</v>
      </c>
      <c r="D1576" s="2" t="s">
        <v>10048</v>
      </c>
      <c r="E1576" s="15">
        <v>0.10929999999999999</v>
      </c>
      <c r="F1576" s="15">
        <v>9.2799999999999994E-2</v>
      </c>
      <c r="G1576" s="15">
        <v>-1.66E-2</v>
      </c>
      <c r="H1576" s="15">
        <v>7.4700000000000003E-2</v>
      </c>
      <c r="I1576" s="15">
        <v>7.7605284452438597E-2</v>
      </c>
    </row>
    <row r="1577" spans="1:9" x14ac:dyDescent="0.2">
      <c r="A1577" s="2" t="s">
        <v>4727</v>
      </c>
      <c r="B1577" s="2" t="s">
        <v>4728</v>
      </c>
      <c r="C1577" s="2" t="s">
        <v>4729</v>
      </c>
      <c r="D1577" s="2" t="s">
        <v>10048</v>
      </c>
      <c r="E1577" s="15">
        <v>5.9299999999999999E-2</v>
      </c>
      <c r="F1577" s="15">
        <v>0.17430000000000001</v>
      </c>
      <c r="G1577" s="15">
        <v>9.2600000000000002E-2</v>
      </c>
      <c r="H1577" s="15">
        <v>0.15049999999999999</v>
      </c>
      <c r="I1577" s="15">
        <v>0.41771964396546052</v>
      </c>
    </row>
    <row r="1578" spans="1:9" x14ac:dyDescent="0.2">
      <c r="A1578" s="2" t="s">
        <v>4730</v>
      </c>
      <c r="B1578" s="2" t="s">
        <v>4731</v>
      </c>
      <c r="C1578" s="2" t="s">
        <v>4732</v>
      </c>
      <c r="D1578" s="2" t="s">
        <v>10048</v>
      </c>
      <c r="E1578" s="15">
        <v>9.3899999999999997E-2</v>
      </c>
      <c r="F1578" s="15">
        <v>0.11600000000000001</v>
      </c>
      <c r="G1578" s="15">
        <v>2.64E-2</v>
      </c>
      <c r="H1578" s="15">
        <v>0.1052</v>
      </c>
      <c r="I1578" s="15">
        <v>0.29178959644848512</v>
      </c>
    </row>
    <row r="1579" spans="1:9" x14ac:dyDescent="0.2">
      <c r="A1579" s="2" t="s">
        <v>4733</v>
      </c>
      <c r="B1579" s="2" t="s">
        <v>4734</v>
      </c>
      <c r="C1579" s="2" t="s">
        <v>4735</v>
      </c>
      <c r="D1579" s="2" t="s">
        <v>10048</v>
      </c>
      <c r="E1579" s="15">
        <v>-1.2999999999999999E-3</v>
      </c>
      <c r="F1579" s="15">
        <v>8.8800000000000004E-2</v>
      </c>
      <c r="G1579" s="15">
        <v>-0.17230000000000001</v>
      </c>
      <c r="H1579" s="15">
        <v>7.0900000000000005E-2</v>
      </c>
      <c r="I1579" s="15">
        <v>1.806223104477175E-2</v>
      </c>
    </row>
    <row r="1580" spans="1:9" x14ac:dyDescent="0.2">
      <c r="A1580" s="2" t="s">
        <v>4736</v>
      </c>
      <c r="B1580" s="2" t="s">
        <v>4737</v>
      </c>
      <c r="C1580" s="2" t="s">
        <v>4738</v>
      </c>
      <c r="D1580" s="2" t="s">
        <v>10048</v>
      </c>
      <c r="E1580" s="15">
        <v>4.3E-3</v>
      </c>
      <c r="F1580" s="15">
        <v>0.108</v>
      </c>
      <c r="G1580" s="15">
        <v>-1.12E-2</v>
      </c>
      <c r="H1580" s="15">
        <v>8.8800000000000004E-2</v>
      </c>
      <c r="I1580" s="15">
        <v>0.43788544959170922</v>
      </c>
    </row>
    <row r="1581" spans="1:9" x14ac:dyDescent="0.2">
      <c r="A1581" s="2" t="s">
        <v>4739</v>
      </c>
      <c r="B1581" s="2" t="s">
        <v>4740</v>
      </c>
      <c r="C1581" s="2" t="s">
        <v>4741</v>
      </c>
      <c r="D1581" s="2" t="s">
        <v>10048</v>
      </c>
      <c r="E1581" s="15">
        <v>-6.0299999999999999E-2</v>
      </c>
      <c r="F1581" s="15">
        <v>8.8599999999999998E-2</v>
      </c>
      <c r="G1581" s="15">
        <v>8.8000000000000005E-3</v>
      </c>
      <c r="H1581" s="15">
        <v>0.11020000000000001</v>
      </c>
      <c r="I1581" s="15">
        <v>0.28103548137805129</v>
      </c>
    </row>
    <row r="1582" spans="1:9" x14ac:dyDescent="0.2">
      <c r="A1582" s="2" t="s">
        <v>4742</v>
      </c>
      <c r="B1582" s="2" t="s">
        <v>4743</v>
      </c>
      <c r="C1582" s="2" t="s">
        <v>4744</v>
      </c>
      <c r="D1582" s="2" t="s">
        <v>10048</v>
      </c>
      <c r="E1582" s="15">
        <v>-8.6199999999999999E-2</v>
      </c>
      <c r="F1582" s="15">
        <v>8.1100000000000005E-2</v>
      </c>
      <c r="G1582" s="15">
        <v>0.17249999999999999</v>
      </c>
      <c r="H1582" s="15">
        <v>9.0899999999999995E-2</v>
      </c>
      <c r="I1582" s="15">
        <v>5.8473398500476217E-3</v>
      </c>
    </row>
    <row r="1583" spans="1:9" x14ac:dyDescent="0.2">
      <c r="A1583" s="2" t="s">
        <v>4745</v>
      </c>
      <c r="B1583" s="2" t="s">
        <v>4746</v>
      </c>
      <c r="C1583" s="2" t="s">
        <v>4747</v>
      </c>
      <c r="D1583" s="2" t="s">
        <v>10048</v>
      </c>
      <c r="E1583" s="15">
        <v>9.9199999999999997E-2</v>
      </c>
      <c r="F1583" s="15">
        <v>0.11210000000000001</v>
      </c>
      <c r="G1583" s="15">
        <v>0.13700000000000001</v>
      </c>
      <c r="H1583" s="15">
        <v>0.1066</v>
      </c>
      <c r="I1583" s="15">
        <v>0.37993696970574559</v>
      </c>
    </row>
    <row r="1584" spans="1:9" x14ac:dyDescent="0.2">
      <c r="A1584" s="2" t="s">
        <v>4748</v>
      </c>
      <c r="B1584" s="2" t="s">
        <v>4749</v>
      </c>
      <c r="C1584" s="2" t="s">
        <v>4750</v>
      </c>
      <c r="D1584" s="2" t="s">
        <v>10048</v>
      </c>
      <c r="E1584" s="15">
        <v>1.72E-2</v>
      </c>
      <c r="F1584" s="15">
        <v>9.2200000000000004E-2</v>
      </c>
      <c r="G1584" s="15">
        <v>0.19389999999999999</v>
      </c>
      <c r="H1584" s="15">
        <v>0.10539999999999999</v>
      </c>
      <c r="I1584" s="15">
        <v>7.515974449250902E-2</v>
      </c>
    </row>
    <row r="1585" spans="1:9" x14ac:dyDescent="0.2">
      <c r="A1585" s="2" t="s">
        <v>4751</v>
      </c>
      <c r="B1585" s="2" t="s">
        <v>4752</v>
      </c>
      <c r="C1585" s="2" t="s">
        <v>4753</v>
      </c>
      <c r="D1585" s="2" t="s">
        <v>10048</v>
      </c>
      <c r="E1585" s="15">
        <v>0.1114</v>
      </c>
      <c r="F1585" s="15">
        <v>7.85E-2</v>
      </c>
      <c r="G1585" s="15">
        <v>5.1799999999999999E-2</v>
      </c>
      <c r="H1585" s="15">
        <v>6.7199999999999996E-2</v>
      </c>
      <c r="I1585" s="15">
        <v>0.23414628076138139</v>
      </c>
    </row>
    <row r="1586" spans="1:9" x14ac:dyDescent="0.2">
      <c r="A1586" s="2" t="s">
        <v>4754</v>
      </c>
      <c r="B1586" s="2" t="s">
        <v>4755</v>
      </c>
      <c r="C1586" s="2" t="s">
        <v>4756</v>
      </c>
      <c r="D1586" s="2" t="s">
        <v>10048</v>
      </c>
      <c r="E1586" s="15">
        <v>0.1555</v>
      </c>
      <c r="F1586" s="15">
        <v>8.8400000000000006E-2</v>
      </c>
      <c r="G1586" s="15">
        <v>4.4600000000000001E-2</v>
      </c>
      <c r="H1586" s="15">
        <v>8.3500000000000005E-2</v>
      </c>
      <c r="I1586" s="15">
        <v>0.12477344630228709</v>
      </c>
    </row>
    <row r="1587" spans="1:9" x14ac:dyDescent="0.2">
      <c r="A1587" s="2" t="s">
        <v>4757</v>
      </c>
      <c r="B1587" s="2" t="s">
        <v>4758</v>
      </c>
      <c r="C1587" s="2" t="s">
        <v>4759</v>
      </c>
      <c r="D1587" s="2" t="s">
        <v>10048</v>
      </c>
      <c r="E1587" s="15">
        <v>6.6500000000000004E-2</v>
      </c>
      <c r="F1587" s="15">
        <v>9.7699999999999995E-2</v>
      </c>
      <c r="G1587" s="15">
        <v>2.1999999999999999E-2</v>
      </c>
      <c r="H1587" s="15">
        <v>0.1076</v>
      </c>
      <c r="I1587" s="15">
        <v>0.35526642363848188</v>
      </c>
    </row>
    <row r="1588" spans="1:9" x14ac:dyDescent="0.2">
      <c r="A1588" s="2" t="s">
        <v>4760</v>
      </c>
      <c r="B1588" s="2" t="s">
        <v>4761</v>
      </c>
      <c r="C1588" s="2" t="s">
        <v>4762</v>
      </c>
      <c r="D1588" s="2" t="s">
        <v>10048</v>
      </c>
      <c r="E1588" s="15">
        <v>8.0600000000000005E-2</v>
      </c>
      <c r="F1588" s="15">
        <v>6.9599999999999995E-2</v>
      </c>
      <c r="G1588" s="15">
        <v>-0.10299999999999999</v>
      </c>
      <c r="H1588" s="15">
        <v>7.9899999999999999E-2</v>
      </c>
      <c r="I1588" s="15">
        <v>2.0871353867813431E-2</v>
      </c>
    </row>
    <row r="1589" spans="1:9" x14ac:dyDescent="0.2">
      <c r="A1589" s="2" t="s">
        <v>4763</v>
      </c>
      <c r="B1589" s="2" t="s">
        <v>4764</v>
      </c>
      <c r="C1589" s="2" t="s">
        <v>4765</v>
      </c>
      <c r="D1589" s="2" t="s">
        <v>10048</v>
      </c>
      <c r="E1589" s="15">
        <v>-7.5800000000000006E-2</v>
      </c>
      <c r="F1589" s="15">
        <v>8.0500000000000002E-2</v>
      </c>
      <c r="G1589" s="15">
        <v>-1.06E-2</v>
      </c>
      <c r="H1589" s="15">
        <v>0.12920000000000001</v>
      </c>
      <c r="I1589" s="15">
        <v>0.31813058424060481</v>
      </c>
    </row>
    <row r="1590" spans="1:9" x14ac:dyDescent="0.2">
      <c r="A1590" s="2" t="s">
        <v>4766</v>
      </c>
      <c r="B1590" s="2" t="s">
        <v>4767</v>
      </c>
      <c r="C1590" s="2" t="s">
        <v>4768</v>
      </c>
      <c r="D1590" s="2" t="s">
        <v>10048</v>
      </c>
      <c r="E1590" s="15">
        <v>-8.6999999999999994E-2</v>
      </c>
      <c r="F1590" s="15">
        <v>7.7899999999999997E-2</v>
      </c>
      <c r="G1590" s="15">
        <v>-1.6799999999999999E-2</v>
      </c>
      <c r="H1590" s="15">
        <v>9.8699999999999996E-2</v>
      </c>
      <c r="I1590" s="15">
        <v>0.25981429921588101</v>
      </c>
    </row>
    <row r="1591" spans="1:9" x14ac:dyDescent="0.2">
      <c r="A1591" s="2" t="s">
        <v>4769</v>
      </c>
      <c r="B1591" s="2" t="s">
        <v>4770</v>
      </c>
      <c r="C1591" s="2" t="s">
        <v>4771</v>
      </c>
      <c r="D1591" s="2" t="s">
        <v>10048</v>
      </c>
      <c r="E1591" s="15">
        <v>2.7300000000000001E-2</v>
      </c>
      <c r="F1591" s="15">
        <v>8.2299999999999998E-2</v>
      </c>
      <c r="G1591" s="15">
        <v>-2.1299999999999999E-2</v>
      </c>
      <c r="H1591" s="15">
        <v>0.1216</v>
      </c>
      <c r="I1591" s="15">
        <v>0.3599726886329836</v>
      </c>
    </row>
    <row r="1592" spans="1:9" x14ac:dyDescent="0.2">
      <c r="A1592" s="2" t="s">
        <v>4772</v>
      </c>
      <c r="B1592" s="2" t="s">
        <v>4773</v>
      </c>
      <c r="C1592" s="2" t="s">
        <v>4774</v>
      </c>
      <c r="D1592" s="2" t="s">
        <v>10048</v>
      </c>
      <c r="E1592" s="15">
        <v>-0.1295</v>
      </c>
      <c r="F1592" s="15">
        <v>8.1799999999999998E-2</v>
      </c>
      <c r="G1592" s="15">
        <v>0.1731</v>
      </c>
      <c r="H1592" s="15">
        <v>7.9799999999999996E-2</v>
      </c>
      <c r="I1592" s="15">
        <v>5.9673512300997486E-4</v>
      </c>
    </row>
    <row r="1593" spans="1:9" x14ac:dyDescent="0.2">
      <c r="A1593" s="2" t="s">
        <v>4775</v>
      </c>
      <c r="B1593" s="2" t="s">
        <v>4776</v>
      </c>
      <c r="C1593" s="2" t="s">
        <v>4777</v>
      </c>
      <c r="D1593" s="2" t="s">
        <v>10048</v>
      </c>
      <c r="E1593" s="15">
        <v>6.6799999999999998E-2</v>
      </c>
      <c r="F1593" s="15">
        <v>9.0399999999999994E-2</v>
      </c>
      <c r="G1593" s="15">
        <v>4.0300000000000002E-2</v>
      </c>
      <c r="H1593" s="15">
        <v>8.1100000000000005E-2</v>
      </c>
      <c r="I1593" s="15">
        <v>0.38771814725456011</v>
      </c>
    </row>
    <row r="1594" spans="1:9" x14ac:dyDescent="0.2">
      <c r="A1594" s="2" t="s">
        <v>4778</v>
      </c>
      <c r="B1594" s="2" t="s">
        <v>4779</v>
      </c>
      <c r="C1594" s="2" t="s">
        <v>4780</v>
      </c>
      <c r="D1594" s="2" t="s">
        <v>10048</v>
      </c>
      <c r="E1594" s="15">
        <v>2.93E-2</v>
      </c>
      <c r="F1594" s="15">
        <v>7.0199999999999999E-2</v>
      </c>
      <c r="G1594" s="15">
        <v>-1.54E-2</v>
      </c>
      <c r="H1594" s="15">
        <v>7.1099999999999997E-2</v>
      </c>
      <c r="I1594" s="15">
        <v>0.2922089551794691</v>
      </c>
    </row>
    <row r="1595" spans="1:9" x14ac:dyDescent="0.2">
      <c r="A1595" s="2" t="s">
        <v>4781</v>
      </c>
      <c r="B1595" s="2" t="s">
        <v>4782</v>
      </c>
      <c r="C1595" s="2" t="s">
        <v>4783</v>
      </c>
      <c r="D1595" s="2" t="s">
        <v>10048</v>
      </c>
      <c r="E1595" s="15">
        <v>3.0599999999999999E-2</v>
      </c>
      <c r="F1595" s="15">
        <v>7.3499999999999996E-2</v>
      </c>
      <c r="G1595" s="15">
        <v>-2.6200000000000001E-2</v>
      </c>
      <c r="H1595" s="15">
        <v>7.0800000000000002E-2</v>
      </c>
      <c r="I1595" s="15">
        <v>0.2440289558917369</v>
      </c>
    </row>
    <row r="1596" spans="1:9" x14ac:dyDescent="0.2">
      <c r="A1596" s="2" t="s">
        <v>4784</v>
      </c>
      <c r="B1596" s="2" t="s">
        <v>4785</v>
      </c>
      <c r="C1596" s="2" t="s">
        <v>4786</v>
      </c>
      <c r="D1596" s="2" t="s">
        <v>10048</v>
      </c>
      <c r="E1596" s="15">
        <v>-7.5899999999999995E-2</v>
      </c>
      <c r="F1596" s="15">
        <v>8.0799999999999997E-2</v>
      </c>
      <c r="G1596" s="15">
        <v>-6.4899999999999999E-2</v>
      </c>
      <c r="H1596" s="15">
        <v>7.9600000000000004E-2</v>
      </c>
      <c r="I1596" s="15">
        <v>0.4529772910749521</v>
      </c>
    </row>
    <row r="1597" spans="1:9" x14ac:dyDescent="0.2">
      <c r="A1597" s="2" t="s">
        <v>4787</v>
      </c>
      <c r="B1597" s="2" t="s">
        <v>4788</v>
      </c>
      <c r="C1597" s="2" t="s">
        <v>4789</v>
      </c>
      <c r="D1597" s="2" t="s">
        <v>10048</v>
      </c>
      <c r="E1597" s="15">
        <v>-4.3099999999999999E-2</v>
      </c>
      <c r="F1597" s="15">
        <v>8.6300000000000002E-2</v>
      </c>
      <c r="G1597" s="15">
        <v>1.04E-2</v>
      </c>
      <c r="H1597" s="15">
        <v>8.9899999999999994E-2</v>
      </c>
      <c r="I1597" s="15">
        <v>0.30107669695223771</v>
      </c>
    </row>
    <row r="1598" spans="1:9" x14ac:dyDescent="0.2">
      <c r="A1598" s="2" t="s">
        <v>4790</v>
      </c>
      <c r="B1598" s="2" t="s">
        <v>4791</v>
      </c>
      <c r="C1598" s="2" t="s">
        <v>4792</v>
      </c>
      <c r="D1598" s="2" t="s">
        <v>10048</v>
      </c>
      <c r="E1598" s="15">
        <v>0.1074</v>
      </c>
      <c r="F1598" s="15">
        <v>8.6599999999999996E-2</v>
      </c>
      <c r="G1598" s="15">
        <v>4.6399999999999997E-2</v>
      </c>
      <c r="H1598" s="15">
        <v>7.7799999999999994E-2</v>
      </c>
      <c r="I1598" s="15">
        <v>0.2492620519767445</v>
      </c>
    </row>
    <row r="1599" spans="1:9" x14ac:dyDescent="0.2">
      <c r="A1599" s="2" t="s">
        <v>4793</v>
      </c>
      <c r="B1599" s="2" t="s">
        <v>4794</v>
      </c>
      <c r="C1599" s="2" t="s">
        <v>4795</v>
      </c>
      <c r="D1599" s="2" t="s">
        <v>10048</v>
      </c>
      <c r="E1599" s="15">
        <v>5.0700000000000002E-2</v>
      </c>
      <c r="F1599" s="15">
        <v>7.4499999999999997E-2</v>
      </c>
      <c r="G1599" s="15">
        <v>0.18160000000000001</v>
      </c>
      <c r="H1599" s="15">
        <v>8.72E-2</v>
      </c>
      <c r="I1599" s="15">
        <v>9.6745425141951835E-2</v>
      </c>
    </row>
    <row r="1600" spans="1:9" x14ac:dyDescent="0.2">
      <c r="A1600" s="2" t="s">
        <v>4796</v>
      </c>
      <c r="B1600" s="2" t="s">
        <v>4797</v>
      </c>
      <c r="C1600" s="2" t="s">
        <v>4798</v>
      </c>
      <c r="D1600" s="2" t="s">
        <v>10048</v>
      </c>
      <c r="E1600" s="15">
        <v>0.1061</v>
      </c>
      <c r="F1600" s="15">
        <v>7.0599999999999996E-2</v>
      </c>
      <c r="G1600" s="15">
        <v>8.9200000000000002E-2</v>
      </c>
      <c r="H1600" s="15">
        <v>6.5299999999999997E-2</v>
      </c>
      <c r="I1600" s="15">
        <v>0.41538488619262959</v>
      </c>
    </row>
    <row r="1601" spans="1:9" x14ac:dyDescent="0.2">
      <c r="A1601" s="2" t="s">
        <v>4799</v>
      </c>
      <c r="B1601" s="2" t="s">
        <v>4800</v>
      </c>
      <c r="C1601" s="2" t="s">
        <v>4801</v>
      </c>
      <c r="D1601" s="2" t="s">
        <v>10048</v>
      </c>
      <c r="E1601" s="15">
        <v>8.1500000000000003E-2</v>
      </c>
      <c r="F1601" s="15">
        <v>7.6100000000000001E-2</v>
      </c>
      <c r="G1601" s="15">
        <v>6.8199999999999997E-2</v>
      </c>
      <c r="H1601" s="15">
        <v>6.4399999999999999E-2</v>
      </c>
      <c r="I1601" s="15">
        <v>0.43249391894102712</v>
      </c>
    </row>
    <row r="1602" spans="1:9" x14ac:dyDescent="0.2">
      <c r="A1602" s="2" t="s">
        <v>4802</v>
      </c>
      <c r="B1602" s="2" t="s">
        <v>4803</v>
      </c>
      <c r="C1602" s="2" t="s">
        <v>4804</v>
      </c>
      <c r="D1602" s="2" t="s">
        <v>10048</v>
      </c>
      <c r="E1602" s="15">
        <v>-4.4000000000000003E-3</v>
      </c>
      <c r="F1602" s="15">
        <v>0.11219999999999999</v>
      </c>
      <c r="G1602" s="15">
        <v>0.1605</v>
      </c>
      <c r="H1602" s="15">
        <v>0.12859999999999999</v>
      </c>
      <c r="I1602" s="15">
        <v>0.115837160475982</v>
      </c>
    </row>
    <row r="1603" spans="1:9" x14ac:dyDescent="0.2">
      <c r="A1603" s="2" t="s">
        <v>4805</v>
      </c>
      <c r="B1603" s="2" t="s">
        <v>4806</v>
      </c>
      <c r="C1603" s="2" t="s">
        <v>4807</v>
      </c>
      <c r="D1603" s="2" t="s">
        <v>10048</v>
      </c>
      <c r="E1603" s="15">
        <v>-0.2397</v>
      </c>
      <c r="F1603" s="15">
        <v>0.1211</v>
      </c>
      <c r="G1603" s="15">
        <v>0.2087</v>
      </c>
      <c r="H1603" s="15">
        <v>9.9099999999999994E-2</v>
      </c>
      <c r="I1603" s="15">
        <v>2.5665384788217689E-5</v>
      </c>
    </row>
    <row r="1604" spans="1:9" x14ac:dyDescent="0.2">
      <c r="A1604" s="2" t="s">
        <v>4808</v>
      </c>
      <c r="B1604" s="2" t="s">
        <v>4809</v>
      </c>
      <c r="C1604" s="2" t="s">
        <v>4810</v>
      </c>
      <c r="D1604" s="2" t="s">
        <v>10049</v>
      </c>
      <c r="E1604" s="15">
        <v>-5.5199999999999999E-2</v>
      </c>
      <c r="F1604" s="15">
        <v>6.9900000000000004E-2</v>
      </c>
      <c r="G1604" s="15">
        <v>-0.18720000000000001</v>
      </c>
      <c r="H1604" s="15">
        <v>9.6799999999999997E-2</v>
      </c>
      <c r="I1604" s="15">
        <v>0.1047061058751404</v>
      </c>
    </row>
    <row r="1605" spans="1:9" x14ac:dyDescent="0.2">
      <c r="A1605" s="2" t="s">
        <v>4811</v>
      </c>
      <c r="B1605" s="2" t="s">
        <v>4812</v>
      </c>
      <c r="C1605" s="2" t="s">
        <v>4813</v>
      </c>
      <c r="D1605" s="2" t="s">
        <v>10049</v>
      </c>
      <c r="E1605" s="15">
        <v>-1.2500000000000001E-2</v>
      </c>
      <c r="F1605" s="15">
        <v>7.6600000000000001E-2</v>
      </c>
      <c r="G1605" s="15">
        <v>-8.5000000000000006E-3</v>
      </c>
      <c r="H1605" s="15">
        <v>7.1400000000000005E-2</v>
      </c>
      <c r="I1605" s="15">
        <v>0.4805676224352059</v>
      </c>
    </row>
    <row r="1606" spans="1:9" x14ac:dyDescent="0.2">
      <c r="A1606" s="2" t="s">
        <v>4814</v>
      </c>
      <c r="B1606" s="2" t="s">
        <v>4815</v>
      </c>
      <c r="C1606" s="2" t="s">
        <v>4816</v>
      </c>
      <c r="D1606" s="2" t="s">
        <v>10049</v>
      </c>
      <c r="E1606" s="15">
        <v>2.5999999999999999E-2</v>
      </c>
      <c r="F1606" s="15">
        <v>5.7099999999999998E-2</v>
      </c>
      <c r="G1606" s="15">
        <v>-1.6400000000000001E-2</v>
      </c>
      <c r="H1606" s="15">
        <v>5.7599999999999998E-2</v>
      </c>
      <c r="I1606" s="15">
        <v>0.26752419691451468</v>
      </c>
    </row>
    <row r="1607" spans="1:9" x14ac:dyDescent="0.2">
      <c r="A1607" s="2" t="s">
        <v>4817</v>
      </c>
      <c r="B1607" s="2" t="s">
        <v>4818</v>
      </c>
      <c r="C1607" s="2" t="s">
        <v>4819</v>
      </c>
      <c r="D1607" s="2" t="s">
        <v>10049</v>
      </c>
      <c r="E1607" s="15">
        <v>4.8899999999999999E-2</v>
      </c>
      <c r="F1607" s="15">
        <v>5.7500000000000002E-2</v>
      </c>
      <c r="G1607" s="15">
        <v>2.23E-2</v>
      </c>
      <c r="H1607" s="15">
        <v>5.79E-2</v>
      </c>
      <c r="I1607" s="15">
        <v>0.34676716641430899</v>
      </c>
    </row>
    <row r="1608" spans="1:9" x14ac:dyDescent="0.2">
      <c r="A1608" s="2" t="s">
        <v>4820</v>
      </c>
      <c r="B1608" s="2" t="s">
        <v>4821</v>
      </c>
      <c r="C1608" s="2" t="s">
        <v>4822</v>
      </c>
      <c r="D1608" s="2" t="s">
        <v>10049</v>
      </c>
      <c r="E1608" s="15">
        <v>4.4400000000000002E-2</v>
      </c>
      <c r="F1608" s="15">
        <v>6.8400000000000002E-2</v>
      </c>
      <c r="G1608" s="15">
        <v>-0.104</v>
      </c>
      <c r="H1608" s="15">
        <v>6.1699999999999998E-2</v>
      </c>
      <c r="I1608" s="15">
        <v>2.087197559017686E-2</v>
      </c>
    </row>
    <row r="1609" spans="1:9" x14ac:dyDescent="0.2">
      <c r="A1609" s="2" t="s">
        <v>4823</v>
      </c>
      <c r="B1609" s="2" t="s">
        <v>4824</v>
      </c>
      <c r="C1609" s="2" t="s">
        <v>4825</v>
      </c>
      <c r="D1609" s="2" t="s">
        <v>10049</v>
      </c>
      <c r="E1609" s="15">
        <v>0.13489999999999999</v>
      </c>
      <c r="F1609" s="15">
        <v>6.9199999999999998E-2</v>
      </c>
      <c r="G1609" s="15">
        <v>1.3100000000000001E-2</v>
      </c>
      <c r="H1609" s="15">
        <v>8.9499999999999996E-2</v>
      </c>
      <c r="I1609" s="15">
        <v>0.1111935721851363</v>
      </c>
    </row>
    <row r="1610" spans="1:9" x14ac:dyDescent="0.2">
      <c r="A1610" s="2" t="s">
        <v>4826</v>
      </c>
      <c r="B1610" s="2" t="s">
        <v>4827</v>
      </c>
      <c r="C1610" s="2" t="s">
        <v>4828</v>
      </c>
      <c r="D1610" s="2" t="s">
        <v>10049</v>
      </c>
      <c r="E1610" s="15">
        <v>-2.64E-2</v>
      </c>
      <c r="F1610" s="15">
        <v>7.4700000000000003E-2</v>
      </c>
      <c r="G1610" s="15">
        <v>-6.7000000000000004E-2</v>
      </c>
      <c r="H1610" s="15">
        <v>9.1700000000000004E-2</v>
      </c>
      <c r="I1610" s="15">
        <v>0.34315836427302437</v>
      </c>
    </row>
    <row r="1611" spans="1:9" x14ac:dyDescent="0.2">
      <c r="A1611" s="2" t="s">
        <v>4829</v>
      </c>
      <c r="B1611" s="2" t="s">
        <v>4830</v>
      </c>
      <c r="C1611" s="2" t="s">
        <v>4831</v>
      </c>
      <c r="D1611" s="2" t="s">
        <v>10049</v>
      </c>
      <c r="E1611" s="15">
        <v>-1.7899999999999999E-2</v>
      </c>
      <c r="F1611" s="15">
        <v>9.0499999999999997E-2</v>
      </c>
      <c r="G1611" s="15">
        <v>8.9999999999999998E-4</v>
      </c>
      <c r="H1611" s="15">
        <v>7.9200000000000007E-2</v>
      </c>
      <c r="I1611" s="15">
        <v>0.41750567966998309</v>
      </c>
    </row>
    <row r="1612" spans="1:9" x14ac:dyDescent="0.2">
      <c r="A1612" s="2" t="s">
        <v>4832</v>
      </c>
      <c r="B1612" s="2" t="s">
        <v>4833</v>
      </c>
      <c r="C1612" s="2" t="s">
        <v>4834</v>
      </c>
      <c r="D1612" s="2" t="s">
        <v>10049</v>
      </c>
      <c r="E1612" s="15">
        <v>4.0000000000000002E-4</v>
      </c>
      <c r="F1612" s="15">
        <v>0.1008</v>
      </c>
      <c r="G1612" s="15">
        <v>0.13109999999999999</v>
      </c>
      <c r="H1612" s="15">
        <v>0.10150000000000001</v>
      </c>
      <c r="I1612" s="15">
        <v>0.1225561635853209</v>
      </c>
    </row>
    <row r="1613" spans="1:9" x14ac:dyDescent="0.2">
      <c r="A1613" s="2" t="s">
        <v>4835</v>
      </c>
      <c r="B1613" s="2" t="s">
        <v>4836</v>
      </c>
      <c r="C1613" s="2" t="s">
        <v>4837</v>
      </c>
      <c r="D1613" s="2" t="s">
        <v>10049</v>
      </c>
      <c r="E1613" s="15">
        <v>-4.6399999999999997E-2</v>
      </c>
      <c r="F1613" s="15">
        <v>0.1197</v>
      </c>
      <c r="G1613" s="15">
        <v>5.7700000000000001E-2</v>
      </c>
      <c r="H1613" s="15">
        <v>9.9400000000000002E-2</v>
      </c>
      <c r="I1613" s="15">
        <v>0.1707588028600811</v>
      </c>
    </row>
    <row r="1614" spans="1:9" x14ac:dyDescent="0.2">
      <c r="A1614" s="2" t="s">
        <v>4838</v>
      </c>
      <c r="B1614" s="2" t="s">
        <v>4839</v>
      </c>
      <c r="C1614" s="2" t="s">
        <v>4840</v>
      </c>
      <c r="D1614" s="2" t="s">
        <v>10049</v>
      </c>
      <c r="E1614" s="15">
        <v>1.14E-2</v>
      </c>
      <c r="F1614" s="15">
        <v>8.4699999999999998E-2</v>
      </c>
      <c r="G1614" s="15">
        <v>-0.1278</v>
      </c>
      <c r="H1614" s="15">
        <v>8.8200000000000001E-2</v>
      </c>
      <c r="I1614" s="15">
        <v>8.1343659174035188E-2</v>
      </c>
    </row>
    <row r="1615" spans="1:9" x14ac:dyDescent="0.2">
      <c r="A1615" s="2" t="s">
        <v>4841</v>
      </c>
      <c r="B1615" s="2" t="s">
        <v>4842</v>
      </c>
      <c r="C1615" s="2" t="s">
        <v>4843</v>
      </c>
      <c r="D1615" s="2" t="s">
        <v>10049</v>
      </c>
      <c r="E1615" s="15">
        <v>-1.09E-2</v>
      </c>
      <c r="F1615" s="15">
        <v>0.10290000000000001</v>
      </c>
      <c r="G1615" s="15">
        <v>-0.26479999999999998</v>
      </c>
      <c r="H1615" s="15">
        <v>8.8499999999999995E-2</v>
      </c>
      <c r="I1615" s="15">
        <v>5.8167344898130448E-3</v>
      </c>
    </row>
    <row r="1616" spans="1:9" x14ac:dyDescent="0.2">
      <c r="A1616" s="2" t="s">
        <v>4844</v>
      </c>
      <c r="B1616" s="2" t="s">
        <v>4845</v>
      </c>
      <c r="C1616" s="2" t="s">
        <v>4846</v>
      </c>
      <c r="D1616" s="2" t="s">
        <v>10049</v>
      </c>
      <c r="E1616" s="15">
        <v>-0.04</v>
      </c>
      <c r="F1616" s="15">
        <v>6.9599999999999995E-2</v>
      </c>
      <c r="G1616" s="15">
        <v>-3.4500000000000003E-2</v>
      </c>
      <c r="H1616" s="15">
        <v>6.7500000000000004E-2</v>
      </c>
      <c r="I1616" s="15">
        <v>0.47218501383498451</v>
      </c>
    </row>
    <row r="1617" spans="1:9" x14ac:dyDescent="0.2">
      <c r="A1617" s="2" t="s">
        <v>4847</v>
      </c>
      <c r="B1617" s="2" t="s">
        <v>4848</v>
      </c>
      <c r="C1617" s="2" t="s">
        <v>4849</v>
      </c>
      <c r="D1617" s="2" t="s">
        <v>10049</v>
      </c>
      <c r="E1617" s="15">
        <v>-4.0099999999999997E-2</v>
      </c>
      <c r="F1617" s="15">
        <v>7.2599999999999998E-2</v>
      </c>
      <c r="G1617" s="15">
        <v>-8.1799999999999998E-2</v>
      </c>
      <c r="H1617" s="15">
        <v>6.2100000000000002E-2</v>
      </c>
      <c r="I1617" s="15">
        <v>0.28874384039316658</v>
      </c>
    </row>
    <row r="1618" spans="1:9" x14ac:dyDescent="0.2">
      <c r="A1618" s="2" t="s">
        <v>4850</v>
      </c>
      <c r="B1618" s="2" t="s">
        <v>4851</v>
      </c>
      <c r="C1618" s="2" t="s">
        <v>4852</v>
      </c>
      <c r="D1618" s="2" t="s">
        <v>10049</v>
      </c>
      <c r="E1618" s="15">
        <v>4.7999999999999996E-3</v>
      </c>
      <c r="F1618" s="15">
        <v>7.9200000000000007E-2</v>
      </c>
      <c r="G1618" s="15">
        <v>-0.1963</v>
      </c>
      <c r="H1618" s="15">
        <v>9.0300000000000005E-2</v>
      </c>
      <c r="I1618" s="15">
        <v>2.441525762191056E-2</v>
      </c>
    </row>
    <row r="1619" spans="1:9" x14ac:dyDescent="0.2">
      <c r="A1619" s="2" t="s">
        <v>4853</v>
      </c>
      <c r="B1619" s="2" t="s">
        <v>4854</v>
      </c>
      <c r="C1619" s="2" t="s">
        <v>4855</v>
      </c>
      <c r="D1619" s="2" t="s">
        <v>10049</v>
      </c>
      <c r="E1619" s="15">
        <v>8.0199999999999994E-2</v>
      </c>
      <c r="F1619" s="15">
        <v>7.8200000000000006E-2</v>
      </c>
      <c r="G1619" s="15">
        <v>-0.17349999999999999</v>
      </c>
      <c r="H1619" s="15">
        <v>8.7499999999999994E-2</v>
      </c>
      <c r="I1619" s="15">
        <v>5.5683698651550042E-3</v>
      </c>
    </row>
    <row r="1620" spans="1:9" x14ac:dyDescent="0.2">
      <c r="A1620" s="2" t="s">
        <v>4856</v>
      </c>
      <c r="B1620" s="2" t="s">
        <v>4857</v>
      </c>
      <c r="C1620" s="2" t="s">
        <v>4858</v>
      </c>
      <c r="D1620" s="2" t="s">
        <v>10049</v>
      </c>
      <c r="E1620" s="15">
        <v>3.8600000000000002E-2</v>
      </c>
      <c r="F1620" s="15">
        <v>8.3099999999999993E-2</v>
      </c>
      <c r="G1620" s="15">
        <v>-2.76E-2</v>
      </c>
      <c r="H1620" s="15">
        <v>9.5899999999999999E-2</v>
      </c>
      <c r="I1620" s="15">
        <v>0.26454654320071402</v>
      </c>
    </row>
    <row r="1621" spans="1:9" x14ac:dyDescent="0.2">
      <c r="A1621" s="2" t="s">
        <v>4859</v>
      </c>
      <c r="B1621" s="2" t="s">
        <v>4860</v>
      </c>
      <c r="C1621" s="2" t="s">
        <v>4861</v>
      </c>
      <c r="D1621" s="2" t="s">
        <v>10049</v>
      </c>
      <c r="E1621" s="15">
        <v>0.14649999999999999</v>
      </c>
      <c r="F1621" s="15">
        <v>8.5400000000000004E-2</v>
      </c>
      <c r="G1621" s="15">
        <v>-2.46E-2</v>
      </c>
      <c r="H1621" s="15">
        <v>0.10340000000000001</v>
      </c>
      <c r="I1621" s="15">
        <v>6.466606147410274E-2</v>
      </c>
    </row>
    <row r="1622" spans="1:9" x14ac:dyDescent="0.2">
      <c r="A1622" s="2" t="s">
        <v>4862</v>
      </c>
      <c r="B1622" s="2" t="s">
        <v>4863</v>
      </c>
      <c r="C1622" s="2" t="s">
        <v>4864</v>
      </c>
      <c r="D1622" s="2" t="s">
        <v>10049</v>
      </c>
      <c r="E1622" s="15">
        <v>3.9E-2</v>
      </c>
      <c r="F1622" s="15">
        <v>8.2600000000000007E-2</v>
      </c>
      <c r="G1622" s="15">
        <v>-6.6100000000000006E-2</v>
      </c>
      <c r="H1622" s="15">
        <v>7.2700000000000001E-2</v>
      </c>
      <c r="I1622" s="15">
        <v>0.1058692894004524</v>
      </c>
    </row>
    <row r="1623" spans="1:9" x14ac:dyDescent="0.2">
      <c r="A1623" s="2" t="s">
        <v>4865</v>
      </c>
      <c r="B1623" s="2" t="s">
        <v>4866</v>
      </c>
      <c r="C1623" s="2" t="s">
        <v>4867</v>
      </c>
      <c r="D1623" s="2" t="s">
        <v>10049</v>
      </c>
      <c r="E1623" s="15">
        <v>9.01E-2</v>
      </c>
      <c r="F1623" s="15">
        <v>7.7700000000000005E-2</v>
      </c>
      <c r="G1623" s="15">
        <v>-2.18E-2</v>
      </c>
      <c r="H1623" s="15">
        <v>9.6100000000000005E-2</v>
      </c>
      <c r="I1623" s="15">
        <v>0.14317857142122831</v>
      </c>
    </row>
    <row r="1624" spans="1:9" x14ac:dyDescent="0.2">
      <c r="A1624" s="2" t="s">
        <v>4868</v>
      </c>
      <c r="B1624" s="2" t="s">
        <v>4869</v>
      </c>
      <c r="C1624" s="2" t="s">
        <v>4870</v>
      </c>
      <c r="D1624" s="2" t="s">
        <v>10049</v>
      </c>
      <c r="E1624" s="15">
        <v>2.18E-2</v>
      </c>
      <c r="F1624" s="15">
        <v>7.5800000000000006E-2</v>
      </c>
      <c r="G1624" s="15">
        <v>-6.8699999999999997E-2</v>
      </c>
      <c r="H1624" s="15">
        <v>6.8699999999999997E-2</v>
      </c>
      <c r="I1624" s="15">
        <v>0.1274735718506724</v>
      </c>
    </row>
    <row r="1625" spans="1:9" x14ac:dyDescent="0.2">
      <c r="A1625" s="2" t="s">
        <v>4871</v>
      </c>
      <c r="B1625" s="2" t="s">
        <v>4872</v>
      </c>
      <c r="C1625" s="2" t="s">
        <v>4873</v>
      </c>
      <c r="D1625" s="2" t="s">
        <v>10049</v>
      </c>
      <c r="E1625" s="15">
        <v>7.5399999999999995E-2</v>
      </c>
      <c r="F1625" s="15">
        <v>7.3099999999999998E-2</v>
      </c>
      <c r="G1625" s="15">
        <v>-3.4000000000000002E-2</v>
      </c>
      <c r="H1625" s="15">
        <v>8.1000000000000003E-2</v>
      </c>
      <c r="I1625" s="15">
        <v>0.1177708200393319</v>
      </c>
    </row>
    <row r="1626" spans="1:9" x14ac:dyDescent="0.2">
      <c r="A1626" s="2" t="s">
        <v>4874</v>
      </c>
      <c r="B1626" s="2" t="s">
        <v>4875</v>
      </c>
      <c r="C1626" s="2" t="s">
        <v>4876</v>
      </c>
      <c r="D1626" s="2" t="s">
        <v>10049</v>
      </c>
      <c r="E1626" s="15">
        <v>2.01E-2</v>
      </c>
      <c r="F1626" s="15">
        <v>6.83E-2</v>
      </c>
      <c r="G1626" s="15">
        <v>6.4999999999999997E-3</v>
      </c>
      <c r="H1626" s="15">
        <v>6.1899999999999997E-2</v>
      </c>
      <c r="I1626" s="15">
        <v>0.42526085766171468</v>
      </c>
    </row>
    <row r="1627" spans="1:9" x14ac:dyDescent="0.2">
      <c r="A1627" s="2" t="s">
        <v>4877</v>
      </c>
      <c r="B1627" s="2" t="s">
        <v>4878</v>
      </c>
      <c r="C1627" s="2" t="s">
        <v>4879</v>
      </c>
      <c r="D1627" s="2" t="s">
        <v>10049</v>
      </c>
      <c r="E1627" s="15">
        <v>2.7E-2</v>
      </c>
      <c r="F1627" s="15">
        <v>6.7900000000000002E-2</v>
      </c>
      <c r="G1627" s="15">
        <v>2.4299999999999999E-2</v>
      </c>
      <c r="H1627" s="15">
        <v>6.4000000000000001E-2</v>
      </c>
      <c r="I1627" s="15">
        <v>0.48560106708414158</v>
      </c>
    </row>
    <row r="1628" spans="1:9" x14ac:dyDescent="0.2">
      <c r="A1628" s="2" t="s">
        <v>4880</v>
      </c>
      <c r="B1628" s="2" t="s">
        <v>4881</v>
      </c>
      <c r="C1628" s="2" t="s">
        <v>4882</v>
      </c>
      <c r="D1628" s="2" t="s">
        <v>10049</v>
      </c>
      <c r="E1628" s="15">
        <v>2.29E-2</v>
      </c>
      <c r="F1628" s="15">
        <v>7.1599999999999997E-2</v>
      </c>
      <c r="G1628" s="15">
        <v>5.7000000000000002E-3</v>
      </c>
      <c r="H1628" s="15">
        <v>6.9699999999999998E-2</v>
      </c>
      <c r="I1628" s="15">
        <v>0.41454144410923949</v>
      </c>
    </row>
    <row r="1629" spans="1:9" x14ac:dyDescent="0.2">
      <c r="A1629" s="2" t="s">
        <v>4883</v>
      </c>
      <c r="B1629" s="2" t="s">
        <v>4884</v>
      </c>
      <c r="C1629" s="2" t="s">
        <v>4885</v>
      </c>
      <c r="D1629" s="2" t="s">
        <v>10049</v>
      </c>
      <c r="E1629" s="15">
        <v>-2.4199999999999999E-2</v>
      </c>
      <c r="F1629" s="15">
        <v>7.0800000000000002E-2</v>
      </c>
      <c r="G1629" s="15">
        <v>3.73E-2</v>
      </c>
      <c r="H1629" s="15">
        <v>7.51E-2</v>
      </c>
      <c r="I1629" s="15">
        <v>0.2357699869864672</v>
      </c>
    </row>
    <row r="1630" spans="1:9" x14ac:dyDescent="0.2">
      <c r="A1630" s="2" t="s">
        <v>4886</v>
      </c>
      <c r="B1630" s="2" t="s">
        <v>4887</v>
      </c>
      <c r="C1630" s="2" t="s">
        <v>4888</v>
      </c>
      <c r="D1630" s="2" t="s">
        <v>10049</v>
      </c>
      <c r="E1630" s="15">
        <v>-2.7400000000000001E-2</v>
      </c>
      <c r="F1630" s="15">
        <v>7.85E-2</v>
      </c>
      <c r="G1630" s="15">
        <v>5.0500000000000003E-2</v>
      </c>
      <c r="H1630" s="15">
        <v>7.5300000000000006E-2</v>
      </c>
      <c r="I1630" s="15">
        <v>0.1836756447794495</v>
      </c>
    </row>
    <row r="1631" spans="1:9" x14ac:dyDescent="0.2">
      <c r="A1631" s="2" t="s">
        <v>4889</v>
      </c>
      <c r="B1631" s="2" t="s">
        <v>4890</v>
      </c>
      <c r="C1631" s="2" t="s">
        <v>4891</v>
      </c>
      <c r="D1631" s="2" t="s">
        <v>10049</v>
      </c>
      <c r="E1631" s="15">
        <v>-1.6400000000000001E-2</v>
      </c>
      <c r="F1631" s="15">
        <v>7.6600000000000001E-2</v>
      </c>
      <c r="G1631" s="15">
        <v>9.1000000000000004E-3</v>
      </c>
      <c r="H1631" s="15">
        <v>7.7200000000000005E-2</v>
      </c>
      <c r="I1631" s="15">
        <v>0.38542925394179611</v>
      </c>
    </row>
    <row r="1632" spans="1:9" x14ac:dyDescent="0.2">
      <c r="A1632" s="2" t="s">
        <v>4892</v>
      </c>
      <c r="B1632" s="2" t="s">
        <v>4893</v>
      </c>
      <c r="C1632" s="2" t="s">
        <v>4894</v>
      </c>
      <c r="D1632" s="2" t="s">
        <v>10049</v>
      </c>
      <c r="E1632" s="15">
        <v>-7.5700000000000003E-2</v>
      </c>
      <c r="F1632" s="15">
        <v>8.3699999999999997E-2</v>
      </c>
      <c r="G1632" s="15">
        <v>-4.3E-3</v>
      </c>
      <c r="H1632" s="15">
        <v>8.0299999999999996E-2</v>
      </c>
      <c r="I1632" s="15">
        <v>0.2206858348883996</v>
      </c>
    </row>
    <row r="1633" spans="1:9" x14ac:dyDescent="0.2">
      <c r="A1633" s="2" t="s">
        <v>4895</v>
      </c>
      <c r="B1633" s="2" t="s">
        <v>4896</v>
      </c>
      <c r="C1633" s="2" t="s">
        <v>4897</v>
      </c>
      <c r="D1633" s="2" t="s">
        <v>10049</v>
      </c>
      <c r="E1633" s="15">
        <v>-1.8599999999999998E-2</v>
      </c>
      <c r="F1633" s="15">
        <v>7.7399999999999997E-2</v>
      </c>
      <c r="G1633" s="15">
        <v>1.7299999999999999E-2</v>
      </c>
      <c r="H1633" s="15">
        <v>8.6900000000000005E-2</v>
      </c>
      <c r="I1633" s="15">
        <v>0.35744633426664302</v>
      </c>
    </row>
    <row r="1634" spans="1:9" x14ac:dyDescent="0.2">
      <c r="A1634" s="2" t="s">
        <v>4898</v>
      </c>
      <c r="B1634" s="2" t="s">
        <v>4899</v>
      </c>
      <c r="C1634" s="2" t="s">
        <v>4900</v>
      </c>
      <c r="D1634" s="2" t="s">
        <v>10049</v>
      </c>
      <c r="E1634" s="15">
        <v>-2.2100000000000002E-2</v>
      </c>
      <c r="F1634" s="15">
        <v>6.7900000000000002E-2</v>
      </c>
      <c r="G1634" s="15">
        <v>-4.8899999999999999E-2</v>
      </c>
      <c r="H1634" s="15">
        <v>7.5300000000000006E-2</v>
      </c>
      <c r="I1634" s="15">
        <v>0.37723429888305349</v>
      </c>
    </row>
    <row r="1635" spans="1:9" x14ac:dyDescent="0.2">
      <c r="A1635" s="2" t="s">
        <v>4901</v>
      </c>
      <c r="B1635" s="2" t="s">
        <v>4902</v>
      </c>
      <c r="C1635" s="2" t="s">
        <v>4903</v>
      </c>
      <c r="D1635" s="2" t="s">
        <v>10049</v>
      </c>
      <c r="E1635" s="15">
        <v>-4.4400000000000002E-2</v>
      </c>
      <c r="F1635" s="15">
        <v>7.3099999999999998E-2</v>
      </c>
      <c r="G1635" s="15">
        <v>-5.3800000000000001E-2</v>
      </c>
      <c r="H1635" s="15">
        <v>0.1013</v>
      </c>
      <c r="I1635" s="15">
        <v>0.46617209133830528</v>
      </c>
    </row>
    <row r="1636" spans="1:9" x14ac:dyDescent="0.2">
      <c r="A1636" s="2" t="s">
        <v>4904</v>
      </c>
      <c r="B1636" s="2" t="s">
        <v>4905</v>
      </c>
      <c r="C1636" s="2" t="s">
        <v>4906</v>
      </c>
      <c r="D1636" s="2" t="s">
        <v>10049</v>
      </c>
      <c r="E1636" s="15">
        <v>1.2E-2</v>
      </c>
      <c r="F1636" s="15">
        <v>8.7099999999999997E-2</v>
      </c>
      <c r="G1636" s="15">
        <v>-8.3299999999999999E-2</v>
      </c>
      <c r="H1636" s="15">
        <v>7.9699999999999993E-2</v>
      </c>
      <c r="I1636" s="15">
        <v>0.1448152187202463</v>
      </c>
    </row>
    <row r="1637" spans="1:9" x14ac:dyDescent="0.2">
      <c r="A1637" s="2" t="s">
        <v>4907</v>
      </c>
      <c r="B1637" s="2" t="s">
        <v>4908</v>
      </c>
      <c r="C1637" s="2" t="s">
        <v>4909</v>
      </c>
      <c r="D1637" s="2" t="s">
        <v>10049</v>
      </c>
      <c r="E1637" s="15">
        <v>4.6399999999999997E-2</v>
      </c>
      <c r="F1637" s="15">
        <v>7.8799999999999995E-2</v>
      </c>
      <c r="G1637" s="15">
        <v>-9.5699999999999993E-2</v>
      </c>
      <c r="H1637" s="15">
        <v>0.1031</v>
      </c>
      <c r="I1637" s="15">
        <v>0.1026984715026265</v>
      </c>
    </row>
    <row r="1638" spans="1:9" x14ac:dyDescent="0.2">
      <c r="A1638" s="2" t="s">
        <v>4910</v>
      </c>
      <c r="B1638" s="2" t="s">
        <v>4911</v>
      </c>
      <c r="C1638" s="2" t="s">
        <v>4912</v>
      </c>
      <c r="D1638" s="2" t="s">
        <v>10049</v>
      </c>
      <c r="E1638" s="15">
        <v>-2.4E-2</v>
      </c>
      <c r="F1638" s="15">
        <v>7.2099999999999997E-2</v>
      </c>
      <c r="G1638" s="15">
        <v>-2.0299999999999999E-2</v>
      </c>
      <c r="H1638" s="15">
        <v>6.25E-2</v>
      </c>
      <c r="I1638" s="15">
        <v>0.4802026692757122</v>
      </c>
    </row>
    <row r="1639" spans="1:9" x14ac:dyDescent="0.2">
      <c r="A1639" s="2" t="s">
        <v>4913</v>
      </c>
      <c r="B1639" s="2" t="s">
        <v>4914</v>
      </c>
      <c r="C1639" s="2" t="s">
        <v>4915</v>
      </c>
      <c r="D1639" s="2" t="s">
        <v>10049</v>
      </c>
      <c r="E1639" s="15">
        <v>-1.15E-2</v>
      </c>
      <c r="F1639" s="15">
        <v>7.7700000000000005E-2</v>
      </c>
      <c r="G1639" s="15">
        <v>-1.7999999999999999E-2</v>
      </c>
      <c r="H1639" s="15">
        <v>6.4899999999999999E-2</v>
      </c>
      <c r="I1639" s="15">
        <v>0.46605029667724418</v>
      </c>
    </row>
    <row r="1640" spans="1:9" x14ac:dyDescent="0.2">
      <c r="A1640" s="2" t="s">
        <v>4916</v>
      </c>
      <c r="B1640" s="2" t="s">
        <v>4917</v>
      </c>
      <c r="C1640" s="2" t="s">
        <v>4918</v>
      </c>
      <c r="D1640" s="2" t="s">
        <v>10049</v>
      </c>
      <c r="E1640" s="15">
        <v>9.1000000000000004E-3</v>
      </c>
      <c r="F1640" s="15">
        <v>7.3099999999999998E-2</v>
      </c>
      <c r="G1640" s="15">
        <v>-0.1447</v>
      </c>
      <c r="H1640" s="15">
        <v>7.5499999999999998E-2</v>
      </c>
      <c r="I1640" s="15">
        <v>3.9548151526655091E-2</v>
      </c>
    </row>
    <row r="1641" spans="1:9" x14ac:dyDescent="0.2">
      <c r="A1641" s="2" t="s">
        <v>4919</v>
      </c>
      <c r="B1641" s="2" t="s">
        <v>4920</v>
      </c>
      <c r="C1641" s="2" t="s">
        <v>4921</v>
      </c>
      <c r="D1641" s="2" t="s">
        <v>10049</v>
      </c>
      <c r="E1641" s="15">
        <v>5.1299999999999998E-2</v>
      </c>
      <c r="F1641" s="15">
        <v>7.4399999999999994E-2</v>
      </c>
      <c r="G1641" s="15">
        <v>-0.2666</v>
      </c>
      <c r="H1641" s="15">
        <v>9.5600000000000004E-2</v>
      </c>
      <c r="I1641" s="15">
        <v>1.281015698189378E-3</v>
      </c>
    </row>
    <row r="1642" spans="1:9" x14ac:dyDescent="0.2">
      <c r="A1642" s="2" t="s">
        <v>4922</v>
      </c>
      <c r="B1642" s="2" t="s">
        <v>4923</v>
      </c>
      <c r="C1642" s="2" t="s">
        <v>4924</v>
      </c>
      <c r="D1642" s="2" t="s">
        <v>10049</v>
      </c>
      <c r="E1642" s="15">
        <v>-2.8E-3</v>
      </c>
      <c r="F1642" s="15">
        <v>8.6599999999999996E-2</v>
      </c>
      <c r="G1642" s="15">
        <v>4.7300000000000002E-2</v>
      </c>
      <c r="H1642" s="15">
        <v>7.3599999999999999E-2</v>
      </c>
      <c r="I1642" s="15">
        <v>0.28070229684673131</v>
      </c>
    </row>
    <row r="1643" spans="1:9" x14ac:dyDescent="0.2">
      <c r="A1643" s="2" t="s">
        <v>4925</v>
      </c>
      <c r="B1643" s="2" t="s">
        <v>4926</v>
      </c>
      <c r="C1643" s="2" t="s">
        <v>4927</v>
      </c>
      <c r="D1643" s="2" t="s">
        <v>10049</v>
      </c>
      <c r="E1643" s="15">
        <v>-5.6599999999999998E-2</v>
      </c>
      <c r="F1643" s="15">
        <v>8.4199999999999997E-2</v>
      </c>
      <c r="G1643" s="15">
        <v>6.7599999999999993E-2</v>
      </c>
      <c r="H1643" s="15">
        <v>9.0200000000000002E-2</v>
      </c>
      <c r="I1643" s="15">
        <v>0.1118667122264877</v>
      </c>
    </row>
    <row r="1644" spans="1:9" x14ac:dyDescent="0.2">
      <c r="A1644" s="2" t="s">
        <v>4928</v>
      </c>
      <c r="B1644" s="2" t="s">
        <v>4929</v>
      </c>
      <c r="C1644" s="2" t="s">
        <v>4930</v>
      </c>
      <c r="D1644" s="2" t="s">
        <v>10049</v>
      </c>
      <c r="E1644" s="15">
        <v>-1.0800000000000001E-2</v>
      </c>
      <c r="F1644" s="15">
        <v>6.2E-2</v>
      </c>
      <c r="G1644" s="15">
        <v>-2.9899999999999999E-2</v>
      </c>
      <c r="H1644" s="15">
        <v>6.2600000000000003E-2</v>
      </c>
      <c r="I1644" s="15">
        <v>0.3961225263665511</v>
      </c>
    </row>
    <row r="1645" spans="1:9" x14ac:dyDescent="0.2">
      <c r="A1645" s="2" t="s">
        <v>4931</v>
      </c>
      <c r="B1645" s="2" t="s">
        <v>4932</v>
      </c>
      <c r="C1645" s="2" t="s">
        <v>4933</v>
      </c>
      <c r="D1645" s="2" t="s">
        <v>10049</v>
      </c>
      <c r="E1645" s="15">
        <v>-2.29E-2</v>
      </c>
      <c r="F1645" s="15">
        <v>6.5100000000000005E-2</v>
      </c>
      <c r="G1645" s="15">
        <v>-4.9099999999999998E-2</v>
      </c>
      <c r="H1645" s="15">
        <v>6.13E-2</v>
      </c>
      <c r="I1645" s="15">
        <v>0.35849931784415051</v>
      </c>
    </row>
    <row r="1646" spans="1:9" x14ac:dyDescent="0.2">
      <c r="A1646" s="2" t="s">
        <v>4934</v>
      </c>
      <c r="B1646" s="2" t="s">
        <v>4935</v>
      </c>
      <c r="C1646" s="2" t="s">
        <v>4936</v>
      </c>
      <c r="D1646" s="2" t="s">
        <v>10049</v>
      </c>
      <c r="E1646" s="15">
        <v>4.1099999999999998E-2</v>
      </c>
      <c r="F1646" s="15">
        <v>8.0600000000000005E-2</v>
      </c>
      <c r="G1646" s="15">
        <v>3.1699999999999999E-2</v>
      </c>
      <c r="H1646" s="15">
        <v>9.3899999999999997E-2</v>
      </c>
      <c r="I1646" s="15">
        <v>0.46465589335500151</v>
      </c>
    </row>
    <row r="1647" spans="1:9" x14ac:dyDescent="0.2">
      <c r="A1647" s="2" t="s">
        <v>4937</v>
      </c>
      <c r="B1647" s="2" t="s">
        <v>4938</v>
      </c>
      <c r="C1647" s="2" t="s">
        <v>4939</v>
      </c>
      <c r="D1647" s="2" t="s">
        <v>10049</v>
      </c>
      <c r="E1647" s="15">
        <v>6.1000000000000004E-3</v>
      </c>
      <c r="F1647" s="15">
        <v>7.8700000000000006E-2</v>
      </c>
      <c r="G1647" s="15">
        <v>0.1125</v>
      </c>
      <c r="H1647" s="15">
        <v>8.7599999999999997E-2</v>
      </c>
      <c r="I1647" s="15">
        <v>0.14657437359333181</v>
      </c>
    </row>
    <row r="1648" spans="1:9" x14ac:dyDescent="0.2">
      <c r="A1648" s="2" t="s">
        <v>4940</v>
      </c>
      <c r="B1648" s="2" t="s">
        <v>4941</v>
      </c>
      <c r="C1648" s="2" t="s">
        <v>4942</v>
      </c>
      <c r="D1648" s="2" t="s">
        <v>10049</v>
      </c>
      <c r="E1648" s="15">
        <v>8.6800000000000002E-2</v>
      </c>
      <c r="F1648" s="15">
        <v>8.3500000000000005E-2</v>
      </c>
      <c r="G1648" s="15">
        <v>-0.18940000000000001</v>
      </c>
      <c r="H1648" s="15">
        <v>8.5000000000000006E-2</v>
      </c>
      <c r="I1648" s="15">
        <v>2.5263247846280261E-3</v>
      </c>
    </row>
    <row r="1649" spans="1:9" x14ac:dyDescent="0.2">
      <c r="A1649" s="2" t="s">
        <v>4943</v>
      </c>
      <c r="B1649" s="2" t="s">
        <v>4944</v>
      </c>
      <c r="C1649" s="2" t="s">
        <v>4945</v>
      </c>
      <c r="D1649" s="2" t="s">
        <v>10049</v>
      </c>
      <c r="E1649" s="15">
        <v>0.1009</v>
      </c>
      <c r="F1649" s="15">
        <v>9.5799999999999996E-2</v>
      </c>
      <c r="G1649" s="15">
        <v>-0.10340000000000001</v>
      </c>
      <c r="H1649" s="15">
        <v>7.3700000000000002E-2</v>
      </c>
      <c r="I1649" s="15">
        <v>1.29123299418501E-2</v>
      </c>
    </row>
    <row r="1650" spans="1:9" x14ac:dyDescent="0.2">
      <c r="A1650" s="2" t="s">
        <v>4946</v>
      </c>
      <c r="B1650" s="2" t="s">
        <v>4947</v>
      </c>
      <c r="C1650" s="2" t="s">
        <v>4948</v>
      </c>
      <c r="D1650" s="2" t="s">
        <v>10049</v>
      </c>
      <c r="E1650" s="15">
        <v>-4.2599999999999999E-2</v>
      </c>
      <c r="F1650" s="15">
        <v>7.2099999999999997E-2</v>
      </c>
      <c r="G1650" s="15">
        <v>-2.3E-2</v>
      </c>
      <c r="H1650" s="15">
        <v>8.3900000000000002E-2</v>
      </c>
      <c r="I1650" s="15">
        <v>0.4166080259401479</v>
      </c>
    </row>
    <row r="1651" spans="1:9" x14ac:dyDescent="0.2">
      <c r="A1651" s="2" t="s">
        <v>4949</v>
      </c>
      <c r="B1651" s="2" t="s">
        <v>4950</v>
      </c>
      <c r="C1651" s="2" t="s">
        <v>4951</v>
      </c>
      <c r="D1651" s="2" t="s">
        <v>10049</v>
      </c>
      <c r="E1651" s="15">
        <v>-5.3499999999999999E-2</v>
      </c>
      <c r="F1651" s="15">
        <v>8.6199999999999999E-2</v>
      </c>
      <c r="G1651" s="15">
        <v>4.1099999999999998E-2</v>
      </c>
      <c r="H1651" s="15">
        <v>8.2000000000000003E-2</v>
      </c>
      <c r="I1651" s="15">
        <v>0.1541914841451463</v>
      </c>
    </row>
    <row r="1652" spans="1:9" x14ac:dyDescent="0.2">
      <c r="A1652" s="2" t="s">
        <v>4952</v>
      </c>
      <c r="B1652" s="2" t="s">
        <v>4953</v>
      </c>
      <c r="C1652" s="2" t="s">
        <v>4954</v>
      </c>
      <c r="D1652" s="2" t="s">
        <v>10049</v>
      </c>
      <c r="E1652" s="15">
        <v>2.69E-2</v>
      </c>
      <c r="F1652" s="15">
        <v>7.6700000000000004E-2</v>
      </c>
      <c r="G1652" s="15">
        <v>-0.15</v>
      </c>
      <c r="H1652" s="15">
        <v>9.8400000000000001E-2</v>
      </c>
      <c r="I1652" s="15">
        <v>5.1431387659499402E-2</v>
      </c>
    </row>
    <row r="1653" spans="1:9" x14ac:dyDescent="0.2">
      <c r="A1653" s="2" t="s">
        <v>4955</v>
      </c>
      <c r="B1653" s="2" t="s">
        <v>4956</v>
      </c>
      <c r="C1653" s="2" t="s">
        <v>4957</v>
      </c>
      <c r="D1653" s="2" t="s">
        <v>10049</v>
      </c>
      <c r="E1653" s="15">
        <v>1.3299999999999999E-2</v>
      </c>
      <c r="F1653" s="15">
        <v>7.4899999999999994E-2</v>
      </c>
      <c r="G1653" s="15">
        <v>-1.3899999999999999E-2</v>
      </c>
      <c r="H1653" s="15">
        <v>7.2400000000000006E-2</v>
      </c>
      <c r="I1653" s="15">
        <v>0.37267620166186077</v>
      </c>
    </row>
    <row r="1654" spans="1:9" x14ac:dyDescent="0.2">
      <c r="A1654" s="2" t="s">
        <v>4958</v>
      </c>
      <c r="B1654" s="2" t="s">
        <v>4959</v>
      </c>
      <c r="C1654" s="2" t="s">
        <v>4960</v>
      </c>
      <c r="D1654" s="2" t="s">
        <v>10049</v>
      </c>
      <c r="E1654" s="15">
        <v>2.93E-2</v>
      </c>
      <c r="F1654" s="15">
        <v>6.2100000000000002E-2</v>
      </c>
      <c r="G1654" s="15">
        <v>-2.7699999999999999E-2</v>
      </c>
      <c r="H1654" s="15">
        <v>5.9799999999999999E-2</v>
      </c>
      <c r="I1654" s="15">
        <v>0.21410012402135711</v>
      </c>
    </row>
    <row r="1655" spans="1:9" x14ac:dyDescent="0.2">
      <c r="A1655" s="2" t="s">
        <v>4961</v>
      </c>
      <c r="B1655" s="2" t="s">
        <v>4962</v>
      </c>
      <c r="C1655" s="2" t="s">
        <v>4963</v>
      </c>
      <c r="D1655" s="2" t="s">
        <v>10049</v>
      </c>
      <c r="E1655" s="15">
        <v>7.1599999999999997E-2</v>
      </c>
      <c r="F1655" s="15">
        <v>5.9799999999999999E-2</v>
      </c>
      <c r="G1655" s="15">
        <v>4.4999999999999998E-2</v>
      </c>
      <c r="H1655" s="15">
        <v>6.1699999999999998E-2</v>
      </c>
      <c r="I1655" s="15">
        <v>0.35827011163896061</v>
      </c>
    </row>
    <row r="1656" spans="1:9" x14ac:dyDescent="0.2">
      <c r="A1656" s="2" t="s">
        <v>4964</v>
      </c>
      <c r="B1656" s="2" t="s">
        <v>4965</v>
      </c>
      <c r="C1656" s="2" t="s">
        <v>4966</v>
      </c>
      <c r="D1656" s="2" t="s">
        <v>10049</v>
      </c>
      <c r="E1656" s="15">
        <v>0.12180000000000001</v>
      </c>
      <c r="F1656" s="15">
        <v>5.3900000000000003E-2</v>
      </c>
      <c r="G1656" s="15">
        <v>-4.2799999999999998E-2</v>
      </c>
      <c r="H1656" s="15">
        <v>6.9800000000000001E-2</v>
      </c>
      <c r="I1656" s="15">
        <v>1.9115207305966369E-2</v>
      </c>
    </row>
    <row r="1657" spans="1:9" x14ac:dyDescent="0.2">
      <c r="A1657" s="2" t="s">
        <v>4967</v>
      </c>
      <c r="B1657" s="2" t="s">
        <v>4968</v>
      </c>
      <c r="C1657" s="2" t="s">
        <v>4969</v>
      </c>
      <c r="D1657" s="2" t="s">
        <v>10049</v>
      </c>
      <c r="E1657" s="15">
        <v>0.1235</v>
      </c>
      <c r="F1657" s="15">
        <v>6.7699999999999996E-2</v>
      </c>
      <c r="G1657" s="15">
        <v>1.2699999999999999E-2</v>
      </c>
      <c r="H1657" s="15">
        <v>8.7800000000000003E-2</v>
      </c>
      <c r="I1657" s="15">
        <v>0.12885773740013939</v>
      </c>
    </row>
    <row r="1658" spans="1:9" x14ac:dyDescent="0.2">
      <c r="A1658" s="2" t="s">
        <v>4970</v>
      </c>
      <c r="B1658" s="2" t="s">
        <v>4971</v>
      </c>
      <c r="C1658" s="2" t="s">
        <v>4972</v>
      </c>
      <c r="D1658" s="2" t="s">
        <v>10049</v>
      </c>
      <c r="E1658" s="15">
        <v>1.43E-2</v>
      </c>
      <c r="F1658" s="15">
        <v>8.3799999999999999E-2</v>
      </c>
      <c r="G1658" s="15">
        <v>-6.13E-2</v>
      </c>
      <c r="H1658" s="15">
        <v>9.4100000000000003E-2</v>
      </c>
      <c r="I1658" s="15">
        <v>0.23456737547361739</v>
      </c>
    </row>
    <row r="1659" spans="1:9" x14ac:dyDescent="0.2">
      <c r="A1659" s="2" t="s">
        <v>4973</v>
      </c>
      <c r="B1659" s="2" t="s">
        <v>4974</v>
      </c>
      <c r="C1659" s="2" t="s">
        <v>4975</v>
      </c>
      <c r="D1659" s="2" t="s">
        <v>10049</v>
      </c>
      <c r="E1659" s="15">
        <v>9.6000000000000002E-2</v>
      </c>
      <c r="F1659" s="15">
        <v>0.10580000000000001</v>
      </c>
      <c r="G1659" s="15">
        <v>2.3699999999999999E-2</v>
      </c>
      <c r="H1659" s="15">
        <v>9.0200000000000002E-2</v>
      </c>
      <c r="I1659" s="15">
        <v>0.23929444861859389</v>
      </c>
    </row>
    <row r="1660" spans="1:9" x14ac:dyDescent="0.2">
      <c r="A1660" s="2" t="s">
        <v>4976</v>
      </c>
      <c r="B1660" s="2" t="s">
        <v>4977</v>
      </c>
      <c r="C1660" s="2" t="s">
        <v>4978</v>
      </c>
      <c r="D1660" s="2" t="s">
        <v>10049</v>
      </c>
      <c r="E1660" s="15">
        <v>2.92E-2</v>
      </c>
      <c r="F1660" s="15">
        <v>0.08</v>
      </c>
      <c r="G1660" s="15">
        <v>0.1447</v>
      </c>
      <c r="H1660" s="15">
        <v>7.51E-2</v>
      </c>
      <c r="I1660" s="15">
        <v>9.0245173403101633E-2</v>
      </c>
    </row>
    <row r="1661" spans="1:9" x14ac:dyDescent="0.2">
      <c r="A1661" s="2" t="s">
        <v>4979</v>
      </c>
      <c r="B1661" s="2" t="s">
        <v>4980</v>
      </c>
      <c r="C1661" s="2" t="s">
        <v>4981</v>
      </c>
      <c r="D1661" s="2" t="s">
        <v>10049</v>
      </c>
      <c r="E1661" s="15">
        <v>-1.2699999999999999E-2</v>
      </c>
      <c r="F1661" s="15">
        <v>9.2600000000000002E-2</v>
      </c>
      <c r="G1661" s="15">
        <v>8.7800000000000003E-2</v>
      </c>
      <c r="H1661" s="15">
        <v>8.8599999999999998E-2</v>
      </c>
      <c r="I1661" s="15">
        <v>0.15143065040671</v>
      </c>
    </row>
    <row r="1662" spans="1:9" x14ac:dyDescent="0.2">
      <c r="A1662" s="2" t="s">
        <v>4982</v>
      </c>
      <c r="B1662" s="2" t="s">
        <v>4983</v>
      </c>
      <c r="C1662" s="2" t="s">
        <v>4984</v>
      </c>
      <c r="D1662" s="2" t="s">
        <v>10049</v>
      </c>
      <c r="E1662" s="15">
        <v>-1.24E-2</v>
      </c>
      <c r="F1662" s="15">
        <v>7.7700000000000005E-2</v>
      </c>
      <c r="G1662" s="15">
        <v>-4.1300000000000003E-2</v>
      </c>
      <c r="H1662" s="15">
        <v>7.4499999999999997E-2</v>
      </c>
      <c r="I1662" s="15">
        <v>0.37074828810792099</v>
      </c>
    </row>
    <row r="1663" spans="1:9" x14ac:dyDescent="0.2">
      <c r="A1663" s="2" t="s">
        <v>4985</v>
      </c>
      <c r="B1663" s="2" t="s">
        <v>4986</v>
      </c>
      <c r="C1663" s="2" t="s">
        <v>4987</v>
      </c>
      <c r="D1663" s="2" t="s">
        <v>10049</v>
      </c>
      <c r="E1663" s="15">
        <v>-5.0099999999999999E-2</v>
      </c>
      <c r="F1663" s="15">
        <v>7.7399999999999997E-2</v>
      </c>
      <c r="G1663" s="15">
        <v>-0.16830000000000001</v>
      </c>
      <c r="H1663" s="15">
        <v>7.8200000000000006E-2</v>
      </c>
      <c r="I1663" s="15">
        <v>9.2790660302321193E-2</v>
      </c>
    </row>
    <row r="1664" spans="1:9" x14ac:dyDescent="0.2">
      <c r="A1664" s="2" t="s">
        <v>4988</v>
      </c>
      <c r="B1664" s="2" t="s">
        <v>4989</v>
      </c>
      <c r="C1664" s="2" t="s">
        <v>4990</v>
      </c>
      <c r="D1664" s="2" t="s">
        <v>10049</v>
      </c>
      <c r="E1664" s="15">
        <v>0.1212</v>
      </c>
      <c r="F1664" s="15">
        <v>8.9499999999999996E-2</v>
      </c>
      <c r="G1664" s="15">
        <v>9.1300000000000006E-2</v>
      </c>
      <c r="H1664" s="15">
        <v>8.3000000000000004E-2</v>
      </c>
      <c r="I1664" s="15">
        <v>0.37586068652878779</v>
      </c>
    </row>
    <row r="1665" spans="1:9" x14ac:dyDescent="0.2">
      <c r="A1665" s="2" t="s">
        <v>4991</v>
      </c>
      <c r="B1665" s="2" t="s">
        <v>4992</v>
      </c>
      <c r="C1665" s="2" t="s">
        <v>4993</v>
      </c>
      <c r="D1665" s="2" t="s">
        <v>10049</v>
      </c>
      <c r="E1665" s="15">
        <v>0.115</v>
      </c>
      <c r="F1665" s="15">
        <v>7.9000000000000001E-2</v>
      </c>
      <c r="G1665" s="15">
        <v>-1.0200000000000001E-2</v>
      </c>
      <c r="H1665" s="15">
        <v>6.9199999999999998E-2</v>
      </c>
      <c r="I1665" s="15">
        <v>6.169385300551631E-2</v>
      </c>
    </row>
    <row r="1666" spans="1:9" x14ac:dyDescent="0.2">
      <c r="A1666" s="2" t="s">
        <v>4994</v>
      </c>
      <c r="B1666" s="2" t="s">
        <v>4995</v>
      </c>
      <c r="C1666" s="2" t="s">
        <v>4996</v>
      </c>
      <c r="D1666" s="2" t="s">
        <v>10049</v>
      </c>
      <c r="E1666" s="15">
        <v>4.0399999999999998E-2</v>
      </c>
      <c r="F1666" s="15">
        <v>6.4299999999999996E-2</v>
      </c>
      <c r="G1666" s="15">
        <v>-0.121</v>
      </c>
      <c r="H1666" s="15">
        <v>7.22E-2</v>
      </c>
      <c r="I1666" s="15">
        <v>2.7095474710207939E-2</v>
      </c>
    </row>
    <row r="1667" spans="1:9" x14ac:dyDescent="0.2">
      <c r="A1667" s="2" t="s">
        <v>4997</v>
      </c>
      <c r="B1667" s="2" t="s">
        <v>4998</v>
      </c>
      <c r="C1667" s="2" t="s">
        <v>4999</v>
      </c>
      <c r="D1667" s="2" t="s">
        <v>10049</v>
      </c>
      <c r="E1667" s="15">
        <v>0.10639999999999999</v>
      </c>
      <c r="F1667" s="15">
        <v>5.8299999999999998E-2</v>
      </c>
      <c r="G1667" s="15">
        <v>-0.1759</v>
      </c>
      <c r="H1667" s="15">
        <v>8.8999999999999996E-2</v>
      </c>
      <c r="I1667" s="15">
        <v>1.9903861863709389E-3</v>
      </c>
    </row>
    <row r="1668" spans="1:9" x14ac:dyDescent="0.2">
      <c r="A1668" s="2" t="s">
        <v>5000</v>
      </c>
      <c r="B1668" s="2" t="s">
        <v>5001</v>
      </c>
      <c r="C1668" s="2" t="s">
        <v>5002</v>
      </c>
      <c r="D1668" s="2" t="s">
        <v>10049</v>
      </c>
      <c r="E1668" s="15">
        <v>9.1899999999999996E-2</v>
      </c>
      <c r="F1668" s="15">
        <v>7.9100000000000004E-2</v>
      </c>
      <c r="G1668" s="15">
        <v>6.2799999999999995E-2</v>
      </c>
      <c r="H1668" s="15">
        <v>6.8500000000000005E-2</v>
      </c>
      <c r="I1668" s="15">
        <v>0.36386624062640849</v>
      </c>
    </row>
    <row r="1669" spans="1:9" x14ac:dyDescent="0.2">
      <c r="A1669" s="2" t="s">
        <v>5003</v>
      </c>
      <c r="B1669" s="2" t="s">
        <v>5004</v>
      </c>
      <c r="C1669" s="2" t="s">
        <v>5005</v>
      </c>
      <c r="D1669" s="2" t="s">
        <v>10049</v>
      </c>
      <c r="E1669" s="15">
        <v>0.17380000000000001</v>
      </c>
      <c r="F1669" s="15">
        <v>8.9599999999999999E-2</v>
      </c>
      <c r="G1669" s="15">
        <v>0.1178</v>
      </c>
      <c r="H1669" s="15">
        <v>8.8700000000000001E-2</v>
      </c>
      <c r="I1669" s="15">
        <v>0.28980946243391958</v>
      </c>
    </row>
    <row r="1670" spans="1:9" x14ac:dyDescent="0.2">
      <c r="A1670" s="2" t="s">
        <v>5006</v>
      </c>
      <c r="B1670" s="2" t="s">
        <v>5007</v>
      </c>
      <c r="C1670" s="2" t="s">
        <v>5008</v>
      </c>
      <c r="D1670" s="2" t="s">
        <v>10049</v>
      </c>
      <c r="E1670" s="15">
        <v>0.1012</v>
      </c>
      <c r="F1670" s="15">
        <v>6.0600000000000001E-2</v>
      </c>
      <c r="G1670" s="15">
        <v>6.0900000000000003E-2</v>
      </c>
      <c r="H1670" s="15">
        <v>6.5600000000000006E-2</v>
      </c>
      <c r="I1670" s="15">
        <v>0.29042630089828442</v>
      </c>
    </row>
    <row r="1671" spans="1:9" x14ac:dyDescent="0.2">
      <c r="A1671" s="2" t="s">
        <v>5009</v>
      </c>
      <c r="B1671" s="2" t="s">
        <v>5010</v>
      </c>
      <c r="C1671" s="2" t="s">
        <v>5011</v>
      </c>
      <c r="D1671" s="2" t="s">
        <v>10049</v>
      </c>
      <c r="E1671" s="15">
        <v>0.13980000000000001</v>
      </c>
      <c r="F1671" s="15">
        <v>6.4500000000000002E-2</v>
      </c>
      <c r="G1671" s="15">
        <v>8.1500000000000003E-2</v>
      </c>
      <c r="H1671" s="15">
        <v>7.17E-2</v>
      </c>
      <c r="I1671" s="15">
        <v>0.23199187012504871</v>
      </c>
    </row>
    <row r="1672" spans="1:9" x14ac:dyDescent="0.2">
      <c r="A1672" s="2" t="s">
        <v>5012</v>
      </c>
      <c r="B1672" s="2" t="s">
        <v>5013</v>
      </c>
      <c r="C1672" s="2" t="s">
        <v>5014</v>
      </c>
      <c r="D1672" s="2" t="s">
        <v>10049</v>
      </c>
      <c r="E1672" s="15">
        <v>0.1188</v>
      </c>
      <c r="F1672" s="15">
        <v>8.2699999999999996E-2</v>
      </c>
      <c r="G1672" s="15">
        <v>7.5499999999999998E-2</v>
      </c>
      <c r="H1672" s="15">
        <v>6.3299999999999995E-2</v>
      </c>
      <c r="I1672" s="15">
        <v>0.28057005287615588</v>
      </c>
    </row>
    <row r="1673" spans="1:9" x14ac:dyDescent="0.2">
      <c r="A1673" s="2" t="s">
        <v>5015</v>
      </c>
      <c r="B1673" s="2" t="s">
        <v>5016</v>
      </c>
      <c r="C1673" s="2" t="s">
        <v>5017</v>
      </c>
      <c r="D1673" s="2" t="s">
        <v>10049</v>
      </c>
      <c r="E1673" s="15">
        <v>0.13059999999999999</v>
      </c>
      <c r="F1673" s="15">
        <v>7.8799999999999995E-2</v>
      </c>
      <c r="G1673" s="15">
        <v>0.1012</v>
      </c>
      <c r="H1673" s="15">
        <v>7.5600000000000001E-2</v>
      </c>
      <c r="I1673" s="15">
        <v>0.36832210586535569</v>
      </c>
    </row>
    <row r="1674" spans="1:9" x14ac:dyDescent="0.2">
      <c r="A1674" s="2" t="s">
        <v>5018</v>
      </c>
      <c r="B1674" s="2" t="s">
        <v>5019</v>
      </c>
      <c r="C1674" s="2" t="s">
        <v>5020</v>
      </c>
      <c r="D1674" s="2" t="s">
        <v>10049</v>
      </c>
      <c r="E1674" s="15">
        <v>2.9000000000000001E-2</v>
      </c>
      <c r="F1674" s="15">
        <v>7.6200000000000004E-2</v>
      </c>
      <c r="G1674" s="15">
        <v>1.3100000000000001E-2</v>
      </c>
      <c r="H1674" s="15">
        <v>6.8400000000000002E-2</v>
      </c>
      <c r="I1674" s="15">
        <v>0.42088190500034178</v>
      </c>
    </row>
    <row r="1675" spans="1:9" x14ac:dyDescent="0.2">
      <c r="A1675" s="2" t="s">
        <v>5021</v>
      </c>
      <c r="B1675" s="2" t="s">
        <v>5022</v>
      </c>
      <c r="C1675" s="2" t="s">
        <v>5023</v>
      </c>
      <c r="D1675" s="2" t="s">
        <v>10049</v>
      </c>
      <c r="E1675" s="15">
        <v>5.7099999999999998E-2</v>
      </c>
      <c r="F1675" s="15">
        <v>7.7499999999999999E-2</v>
      </c>
      <c r="G1675" s="15">
        <v>1.9599999999999999E-2</v>
      </c>
      <c r="H1675" s="15">
        <v>7.0800000000000002E-2</v>
      </c>
      <c r="I1675" s="15">
        <v>0.32224486149598808</v>
      </c>
    </row>
    <row r="1676" spans="1:9" x14ac:dyDescent="0.2">
      <c r="A1676" s="2" t="s">
        <v>5024</v>
      </c>
      <c r="B1676" s="2" t="s">
        <v>5025</v>
      </c>
      <c r="C1676" s="2" t="s">
        <v>5026</v>
      </c>
      <c r="D1676" s="2" t="s">
        <v>10049</v>
      </c>
      <c r="E1676" s="15">
        <v>7.7499999999999999E-2</v>
      </c>
      <c r="F1676" s="15">
        <v>7.22E-2</v>
      </c>
      <c r="G1676" s="15">
        <v>0.10580000000000001</v>
      </c>
      <c r="H1676" s="15">
        <v>6.7599999999999993E-2</v>
      </c>
      <c r="I1676" s="15">
        <v>0.36080721858596188</v>
      </c>
    </row>
    <row r="1677" spans="1:9" x14ac:dyDescent="0.2">
      <c r="A1677" s="2" t="s">
        <v>5027</v>
      </c>
      <c r="B1677" s="2" t="s">
        <v>5028</v>
      </c>
      <c r="C1677" s="2" t="s">
        <v>5029</v>
      </c>
      <c r="D1677" s="2" t="s">
        <v>10049</v>
      </c>
      <c r="E1677" s="15">
        <v>5.74E-2</v>
      </c>
      <c r="F1677" s="15">
        <v>6.9400000000000003E-2</v>
      </c>
      <c r="G1677" s="15">
        <v>0.1973</v>
      </c>
      <c r="H1677" s="15">
        <v>7.5700000000000003E-2</v>
      </c>
      <c r="I1677" s="15">
        <v>5.4436230603182902E-2</v>
      </c>
    </row>
    <row r="1678" spans="1:9" x14ac:dyDescent="0.2">
      <c r="A1678" s="2" t="s">
        <v>5030</v>
      </c>
      <c r="B1678" s="2" t="s">
        <v>5031</v>
      </c>
      <c r="C1678" s="2" t="s">
        <v>5032</v>
      </c>
      <c r="D1678" s="2" t="s">
        <v>10049</v>
      </c>
      <c r="E1678" s="15">
        <v>7.8100000000000003E-2</v>
      </c>
      <c r="F1678" s="15">
        <v>7.5499999999999998E-2</v>
      </c>
      <c r="G1678" s="15">
        <v>9.6299999999999997E-2</v>
      </c>
      <c r="H1678" s="15">
        <v>7.17E-2</v>
      </c>
      <c r="I1678" s="15">
        <v>0.41425398001550617</v>
      </c>
    </row>
    <row r="1679" spans="1:9" x14ac:dyDescent="0.2">
      <c r="A1679" s="2" t="s">
        <v>5033</v>
      </c>
      <c r="B1679" s="2" t="s">
        <v>5034</v>
      </c>
      <c r="C1679" s="2" t="s">
        <v>5035</v>
      </c>
      <c r="D1679" s="2" t="s">
        <v>10049</v>
      </c>
      <c r="E1679" s="15">
        <v>5.57E-2</v>
      </c>
      <c r="F1679" s="15">
        <v>7.51E-2</v>
      </c>
      <c r="G1679" s="15">
        <v>0.1056</v>
      </c>
      <c r="H1679" s="15">
        <v>7.85E-2</v>
      </c>
      <c r="I1679" s="15">
        <v>0.28920528219638431</v>
      </c>
    </row>
    <row r="1680" spans="1:9" x14ac:dyDescent="0.2">
      <c r="A1680" s="2" t="s">
        <v>5036</v>
      </c>
      <c r="B1680" s="2" t="s">
        <v>5037</v>
      </c>
      <c r="C1680" s="2" t="s">
        <v>5038</v>
      </c>
      <c r="D1680" s="2" t="s">
        <v>10049</v>
      </c>
      <c r="E1680" s="15">
        <v>3.5000000000000001E-3</v>
      </c>
      <c r="F1680" s="15">
        <v>8.9899999999999994E-2</v>
      </c>
      <c r="G1680" s="15">
        <v>2.52E-2</v>
      </c>
      <c r="H1680" s="15">
        <v>9.01E-2</v>
      </c>
      <c r="I1680" s="15">
        <v>0.41537846667042377</v>
      </c>
    </row>
    <row r="1681" spans="1:9" x14ac:dyDescent="0.2">
      <c r="A1681" s="2" t="s">
        <v>5039</v>
      </c>
      <c r="B1681" s="2" t="s">
        <v>5040</v>
      </c>
      <c r="C1681" s="2" t="s">
        <v>5041</v>
      </c>
      <c r="D1681" s="2" t="s">
        <v>10049</v>
      </c>
      <c r="E1681" s="15">
        <v>8.0500000000000002E-2</v>
      </c>
      <c r="F1681" s="15">
        <v>9.0499999999999997E-2</v>
      </c>
      <c r="G1681" s="15">
        <v>2.06E-2</v>
      </c>
      <c r="H1681" s="15">
        <v>7.8399999999999997E-2</v>
      </c>
      <c r="I1681" s="15">
        <v>0.24986784163032649</v>
      </c>
    </row>
    <row r="1682" spans="1:9" x14ac:dyDescent="0.2">
      <c r="A1682" s="2" t="s">
        <v>5042</v>
      </c>
      <c r="B1682" s="2" t="s">
        <v>5043</v>
      </c>
      <c r="C1682" s="2" t="s">
        <v>5044</v>
      </c>
      <c r="D1682" s="2" t="s">
        <v>10049</v>
      </c>
      <c r="E1682" s="15">
        <v>4.0300000000000002E-2</v>
      </c>
      <c r="F1682" s="15">
        <v>7.9100000000000004E-2</v>
      </c>
      <c r="G1682" s="15">
        <v>-2.8199999999999999E-2</v>
      </c>
      <c r="H1682" s="15">
        <v>7.6499999999999999E-2</v>
      </c>
      <c r="I1682" s="15">
        <v>0.22064047416492771</v>
      </c>
    </row>
    <row r="1683" spans="1:9" x14ac:dyDescent="0.2">
      <c r="A1683" s="2" t="s">
        <v>5045</v>
      </c>
      <c r="B1683" s="2" t="s">
        <v>5046</v>
      </c>
      <c r="C1683" s="2" t="s">
        <v>5047</v>
      </c>
      <c r="D1683" s="2" t="s">
        <v>10049</v>
      </c>
      <c r="E1683" s="15">
        <v>-2.0899999999999998E-2</v>
      </c>
      <c r="F1683" s="15">
        <v>7.9899999999999999E-2</v>
      </c>
      <c r="G1683" s="15">
        <v>-6.4699999999999994E-2</v>
      </c>
      <c r="H1683" s="15">
        <v>6.8599999999999994E-2</v>
      </c>
      <c r="I1683" s="15">
        <v>0.29782894331246251</v>
      </c>
    </row>
    <row r="1684" spans="1:9" x14ac:dyDescent="0.2">
      <c r="A1684" s="2" t="s">
        <v>5048</v>
      </c>
      <c r="B1684" s="2" t="s">
        <v>5049</v>
      </c>
      <c r="C1684" s="2" t="s">
        <v>5050</v>
      </c>
      <c r="D1684" s="2" t="s">
        <v>10049</v>
      </c>
      <c r="E1684" s="15">
        <v>1.7000000000000001E-2</v>
      </c>
      <c r="F1684" s="15">
        <v>8.1000000000000003E-2</v>
      </c>
      <c r="G1684" s="15">
        <v>-7.3599999999999999E-2</v>
      </c>
      <c r="H1684" s="15">
        <v>6.8699999999999997E-2</v>
      </c>
      <c r="I1684" s="15">
        <v>0.12857266134392609</v>
      </c>
    </row>
    <row r="1685" spans="1:9" x14ac:dyDescent="0.2">
      <c r="A1685" s="2" t="s">
        <v>5051</v>
      </c>
      <c r="B1685" s="2" t="s">
        <v>5052</v>
      </c>
      <c r="C1685" s="2" t="s">
        <v>5053</v>
      </c>
      <c r="D1685" s="2" t="s">
        <v>10049</v>
      </c>
      <c r="E1685" s="15">
        <v>2.4899999999999999E-2</v>
      </c>
      <c r="F1685" s="15">
        <v>7.6399999999999996E-2</v>
      </c>
      <c r="G1685" s="15">
        <v>-1.15E-2</v>
      </c>
      <c r="H1685" s="15">
        <v>8.0699999999999994E-2</v>
      </c>
      <c r="I1685" s="15">
        <v>0.34453812939933098</v>
      </c>
    </row>
    <row r="1686" spans="1:9" x14ac:dyDescent="0.2">
      <c r="A1686" s="2" t="s">
        <v>5054</v>
      </c>
      <c r="B1686" s="2" t="s">
        <v>5055</v>
      </c>
      <c r="C1686" s="2" t="s">
        <v>5056</v>
      </c>
      <c r="D1686" s="2" t="s">
        <v>10049</v>
      </c>
      <c r="E1686" s="15">
        <v>-1.77E-2</v>
      </c>
      <c r="F1686" s="15">
        <v>5.6300000000000003E-2</v>
      </c>
      <c r="G1686" s="15">
        <v>8.8400000000000006E-2</v>
      </c>
      <c r="H1686" s="15">
        <v>8.1799999999999998E-2</v>
      </c>
      <c r="I1686" s="15">
        <v>0.1223083238779976</v>
      </c>
    </row>
    <row r="1687" spans="1:9" x14ac:dyDescent="0.2">
      <c r="A1687" s="2" t="s">
        <v>5057</v>
      </c>
      <c r="B1687" s="2" t="s">
        <v>5058</v>
      </c>
      <c r="C1687" s="2" t="s">
        <v>5059</v>
      </c>
      <c r="D1687" s="2" t="s">
        <v>10049</v>
      </c>
      <c r="E1687" s="15">
        <v>-1.9699999999999999E-2</v>
      </c>
      <c r="F1687" s="15">
        <v>6.3799999999999996E-2</v>
      </c>
      <c r="G1687" s="15">
        <v>0.1051</v>
      </c>
      <c r="H1687" s="15">
        <v>7.6999999999999999E-2</v>
      </c>
      <c r="I1687" s="15">
        <v>7.6825743409694683E-2</v>
      </c>
    </row>
    <row r="1688" spans="1:9" x14ac:dyDescent="0.2">
      <c r="A1688" s="2" t="s">
        <v>5060</v>
      </c>
      <c r="B1688" s="2" t="s">
        <v>5061</v>
      </c>
      <c r="C1688" s="2" t="s">
        <v>5062</v>
      </c>
      <c r="D1688" s="2" t="s">
        <v>10049</v>
      </c>
      <c r="E1688" s="15">
        <v>0.16059999999999999</v>
      </c>
      <c r="F1688" s="15">
        <v>8.2199999999999995E-2</v>
      </c>
      <c r="G1688" s="15">
        <v>3.5499999999999997E-2</v>
      </c>
      <c r="H1688" s="15">
        <v>9.2100000000000001E-2</v>
      </c>
      <c r="I1688" s="15">
        <v>0.1115500810900521</v>
      </c>
    </row>
    <row r="1689" spans="1:9" x14ac:dyDescent="0.2">
      <c r="A1689" s="2" t="s">
        <v>5063</v>
      </c>
      <c r="B1689" s="2" t="s">
        <v>5064</v>
      </c>
      <c r="C1689" s="2" t="s">
        <v>5065</v>
      </c>
      <c r="D1689" s="2" t="s">
        <v>10049</v>
      </c>
      <c r="E1689" s="15">
        <v>0.1593</v>
      </c>
      <c r="F1689" s="15">
        <v>7.2300000000000003E-2</v>
      </c>
      <c r="G1689" s="15">
        <v>-0.1069</v>
      </c>
      <c r="H1689" s="15">
        <v>8.6300000000000002E-2</v>
      </c>
      <c r="I1689" s="15">
        <v>3.2056559478503659E-3</v>
      </c>
    </row>
    <row r="1690" spans="1:9" x14ac:dyDescent="0.2">
      <c r="A1690" s="2" t="s">
        <v>5066</v>
      </c>
      <c r="B1690" s="2" t="s">
        <v>5067</v>
      </c>
      <c r="C1690" s="2" t="s">
        <v>5068</v>
      </c>
      <c r="D1690" s="2" t="s">
        <v>10049</v>
      </c>
      <c r="E1690" s="15">
        <v>1.7399999999999999E-2</v>
      </c>
      <c r="F1690" s="15">
        <v>9.1700000000000004E-2</v>
      </c>
      <c r="G1690" s="15">
        <v>5.57E-2</v>
      </c>
      <c r="H1690" s="15">
        <v>7.3099999999999998E-2</v>
      </c>
      <c r="I1690" s="15">
        <v>0.32842516798961618</v>
      </c>
    </row>
    <row r="1691" spans="1:9" x14ac:dyDescent="0.2">
      <c r="A1691" s="2" t="s">
        <v>5069</v>
      </c>
      <c r="B1691" s="2" t="s">
        <v>5070</v>
      </c>
      <c r="C1691" s="2" t="s">
        <v>5071</v>
      </c>
      <c r="D1691" s="2" t="s">
        <v>10049</v>
      </c>
      <c r="E1691" s="15">
        <v>-2.7400000000000001E-2</v>
      </c>
      <c r="F1691" s="15">
        <v>8.7099999999999997E-2</v>
      </c>
      <c r="G1691" s="15">
        <v>-5.9799999999999999E-2</v>
      </c>
      <c r="H1691" s="15">
        <v>8.7400000000000005E-2</v>
      </c>
      <c r="I1691" s="15">
        <v>0.37477748343841621</v>
      </c>
    </row>
    <row r="1692" spans="1:9" x14ac:dyDescent="0.2">
      <c r="A1692" s="2" t="s">
        <v>5072</v>
      </c>
      <c r="B1692" s="2" t="s">
        <v>5073</v>
      </c>
      <c r="C1692" s="2" t="s">
        <v>5074</v>
      </c>
      <c r="D1692" s="2" t="s">
        <v>10049</v>
      </c>
      <c r="E1692" s="15">
        <v>5.3699999999999998E-2</v>
      </c>
      <c r="F1692" s="15">
        <v>6.3399999999999998E-2</v>
      </c>
      <c r="G1692" s="15">
        <v>0.10539999999999999</v>
      </c>
      <c r="H1692" s="15">
        <v>5.7099999999999998E-2</v>
      </c>
      <c r="I1692" s="15">
        <v>0.22586003747788189</v>
      </c>
    </row>
    <row r="1693" spans="1:9" x14ac:dyDescent="0.2">
      <c r="A1693" s="2" t="s">
        <v>5075</v>
      </c>
      <c r="B1693" s="2" t="s">
        <v>5076</v>
      </c>
      <c r="C1693" s="2" t="s">
        <v>5077</v>
      </c>
      <c r="D1693" s="2" t="s">
        <v>10049</v>
      </c>
      <c r="E1693" s="15">
        <v>6.6299999999999998E-2</v>
      </c>
      <c r="F1693" s="15">
        <v>6.2399999999999997E-2</v>
      </c>
      <c r="G1693" s="15">
        <v>7.9399999999999998E-2</v>
      </c>
      <c r="H1693" s="15">
        <v>6.0299999999999999E-2</v>
      </c>
      <c r="I1693" s="15">
        <v>0.42665614752506648</v>
      </c>
    </row>
    <row r="1694" spans="1:9" x14ac:dyDescent="0.2">
      <c r="A1694" s="2" t="s">
        <v>5078</v>
      </c>
      <c r="B1694" s="2" t="s">
        <v>5079</v>
      </c>
      <c r="C1694" s="2" t="s">
        <v>5080</v>
      </c>
      <c r="D1694" s="2" t="s">
        <v>10049</v>
      </c>
      <c r="E1694" s="15">
        <v>-1.24E-2</v>
      </c>
      <c r="F1694" s="15">
        <v>8.8300000000000003E-2</v>
      </c>
      <c r="G1694" s="15">
        <v>1.6500000000000001E-2</v>
      </c>
      <c r="H1694" s="15">
        <v>9.7600000000000006E-2</v>
      </c>
      <c r="I1694" s="15">
        <v>0.3969619628744806</v>
      </c>
    </row>
    <row r="1695" spans="1:9" x14ac:dyDescent="0.2">
      <c r="A1695" s="2" t="s">
        <v>5081</v>
      </c>
      <c r="B1695" s="2" t="s">
        <v>5082</v>
      </c>
      <c r="C1695" s="2" t="s">
        <v>5083</v>
      </c>
      <c r="D1695" s="2" t="s">
        <v>10049</v>
      </c>
      <c r="E1695" s="15">
        <v>7.3000000000000001E-3</v>
      </c>
      <c r="F1695" s="15">
        <v>8.7599999999999997E-2</v>
      </c>
      <c r="G1695" s="15">
        <v>0.1225</v>
      </c>
      <c r="H1695" s="15">
        <v>8.1900000000000001E-2</v>
      </c>
      <c r="I1695" s="15">
        <v>0.11649207128904369</v>
      </c>
    </row>
    <row r="1696" spans="1:9" x14ac:dyDescent="0.2">
      <c r="A1696" s="2" t="s">
        <v>5084</v>
      </c>
      <c r="B1696" s="2" t="s">
        <v>5085</v>
      </c>
      <c r="C1696" s="2" t="s">
        <v>5086</v>
      </c>
      <c r="D1696" s="2" t="s">
        <v>10049</v>
      </c>
      <c r="E1696" s="15">
        <v>5.3499999999999999E-2</v>
      </c>
      <c r="F1696" s="15">
        <v>7.5200000000000003E-2</v>
      </c>
      <c r="G1696" s="15">
        <v>5.7099999999999998E-2</v>
      </c>
      <c r="H1696" s="15">
        <v>8.09E-2</v>
      </c>
      <c r="I1696" s="15">
        <v>0.48422435394960961</v>
      </c>
    </row>
    <row r="1697" spans="1:9" x14ac:dyDescent="0.2">
      <c r="A1697" s="2" t="s">
        <v>5087</v>
      </c>
      <c r="B1697" s="2" t="s">
        <v>5088</v>
      </c>
      <c r="C1697" s="2" t="s">
        <v>5089</v>
      </c>
      <c r="D1697" s="2" t="s">
        <v>10049</v>
      </c>
      <c r="E1697" s="15">
        <v>7.3999999999999996E-2</v>
      </c>
      <c r="F1697" s="15">
        <v>6.7400000000000002E-2</v>
      </c>
      <c r="G1697" s="15">
        <v>5.6000000000000001E-2</v>
      </c>
      <c r="H1697" s="15">
        <v>6.5199999999999994E-2</v>
      </c>
      <c r="I1697" s="15">
        <v>0.40974989380489552</v>
      </c>
    </row>
    <row r="1698" spans="1:9" x14ac:dyDescent="0.2">
      <c r="A1698" s="2" t="s">
        <v>5090</v>
      </c>
      <c r="B1698" s="2" t="s">
        <v>5091</v>
      </c>
      <c r="C1698" s="2" t="s">
        <v>5092</v>
      </c>
      <c r="D1698" s="2" t="s">
        <v>10049</v>
      </c>
      <c r="E1698" s="15">
        <v>7.1999999999999998E-3</v>
      </c>
      <c r="F1698" s="15">
        <v>8.5900000000000004E-2</v>
      </c>
      <c r="G1698" s="15">
        <v>0.22500000000000001</v>
      </c>
      <c r="H1698" s="15">
        <v>0.14480000000000001</v>
      </c>
      <c r="I1698" s="15">
        <v>7.904087320817417E-2</v>
      </c>
    </row>
    <row r="1699" spans="1:9" x14ac:dyDescent="0.2">
      <c r="A1699" s="2" t="s">
        <v>5093</v>
      </c>
      <c r="B1699" s="2" t="s">
        <v>5094</v>
      </c>
      <c r="C1699" s="2" t="s">
        <v>5095</v>
      </c>
      <c r="D1699" s="2" t="s">
        <v>10049</v>
      </c>
      <c r="E1699" s="15">
        <v>1.67E-2</v>
      </c>
      <c r="F1699" s="15">
        <v>8.8499999999999995E-2</v>
      </c>
      <c r="G1699" s="15">
        <v>0.1033</v>
      </c>
      <c r="H1699" s="15">
        <v>9.4600000000000004E-2</v>
      </c>
      <c r="I1699" s="15">
        <v>0.20556908617628339</v>
      </c>
    </row>
    <row r="1700" spans="1:9" x14ac:dyDescent="0.2">
      <c r="A1700" s="2" t="s">
        <v>5096</v>
      </c>
      <c r="B1700" s="2" t="s">
        <v>5097</v>
      </c>
      <c r="C1700" s="2" t="s">
        <v>5098</v>
      </c>
      <c r="D1700" s="2" t="s">
        <v>10049</v>
      </c>
      <c r="E1700" s="15">
        <v>-8.6999999999999994E-2</v>
      </c>
      <c r="F1700" s="15">
        <v>6.7299999999999999E-2</v>
      </c>
      <c r="G1700" s="15">
        <v>-0.10639999999999999</v>
      </c>
      <c r="H1700" s="15">
        <v>7.5899999999999995E-2</v>
      </c>
      <c r="I1700" s="15">
        <v>0.40974823368808527</v>
      </c>
    </row>
    <row r="1701" spans="1:9" x14ac:dyDescent="0.2">
      <c r="A1701" s="2" t="s">
        <v>5099</v>
      </c>
      <c r="B1701" s="2" t="s">
        <v>5100</v>
      </c>
      <c r="C1701" s="2" t="s">
        <v>5101</v>
      </c>
      <c r="D1701" s="2" t="s">
        <v>10049</v>
      </c>
      <c r="E1701" s="15">
        <v>-3.4799999999999998E-2</v>
      </c>
      <c r="F1701" s="15">
        <v>8.1299999999999997E-2</v>
      </c>
      <c r="G1701" s="15">
        <v>-5.7000000000000002E-3</v>
      </c>
      <c r="H1701" s="15">
        <v>7.0800000000000002E-2</v>
      </c>
      <c r="I1701" s="15">
        <v>0.35990288442096452</v>
      </c>
    </row>
    <row r="1702" spans="1:9" x14ac:dyDescent="0.2">
      <c r="A1702" s="2" t="s">
        <v>5102</v>
      </c>
      <c r="B1702" s="2" t="s">
        <v>5103</v>
      </c>
      <c r="C1702" s="2" t="s">
        <v>5104</v>
      </c>
      <c r="D1702" s="2" t="s">
        <v>10049</v>
      </c>
      <c r="E1702" s="15">
        <v>-1.3599999999999999E-2</v>
      </c>
      <c r="F1702" s="15">
        <v>6.0199999999999997E-2</v>
      </c>
      <c r="G1702" s="15">
        <v>-3.8999999999999998E-3</v>
      </c>
      <c r="H1702" s="15">
        <v>6.4000000000000001E-2</v>
      </c>
      <c r="I1702" s="15">
        <v>0.44829754482451528</v>
      </c>
    </row>
    <row r="1703" spans="1:9" x14ac:dyDescent="0.2">
      <c r="A1703" s="2" t="s">
        <v>5105</v>
      </c>
      <c r="B1703" s="2" t="s">
        <v>5106</v>
      </c>
      <c r="C1703" s="2" t="s">
        <v>5107</v>
      </c>
      <c r="D1703" s="2" t="s">
        <v>10049</v>
      </c>
      <c r="E1703" s="15">
        <v>-0.01</v>
      </c>
      <c r="F1703" s="15">
        <v>6.0699999999999997E-2</v>
      </c>
      <c r="G1703" s="15">
        <v>1.2500000000000001E-2</v>
      </c>
      <c r="H1703" s="15">
        <v>6.4600000000000005E-2</v>
      </c>
      <c r="I1703" s="15">
        <v>0.38047095433124473</v>
      </c>
    </row>
    <row r="1704" spans="1:9" x14ac:dyDescent="0.2">
      <c r="A1704" s="2" t="s">
        <v>5108</v>
      </c>
      <c r="B1704" s="2" t="s">
        <v>5109</v>
      </c>
      <c r="C1704" s="2" t="s">
        <v>5110</v>
      </c>
      <c r="D1704" s="2" t="s">
        <v>10049</v>
      </c>
      <c r="E1704" s="15">
        <v>-0.1041</v>
      </c>
      <c r="F1704" s="15">
        <v>7.5499999999999998E-2</v>
      </c>
      <c r="G1704" s="15">
        <v>-0.14510000000000001</v>
      </c>
      <c r="H1704" s="15">
        <v>8.2799999999999999E-2</v>
      </c>
      <c r="I1704" s="15">
        <v>0.33095986047371367</v>
      </c>
    </row>
    <row r="1705" spans="1:9" x14ac:dyDescent="0.2">
      <c r="A1705" s="2" t="s">
        <v>5111</v>
      </c>
      <c r="B1705" s="2" t="s">
        <v>5112</v>
      </c>
      <c r="C1705" s="2" t="s">
        <v>5113</v>
      </c>
      <c r="D1705" s="2" t="s">
        <v>10049</v>
      </c>
      <c r="E1705" s="15">
        <v>0.13200000000000001</v>
      </c>
      <c r="F1705" s="15">
        <v>7.0400000000000004E-2</v>
      </c>
      <c r="G1705" s="15">
        <v>1.6899999999999998E-2</v>
      </c>
      <c r="H1705" s="15">
        <v>8.8800000000000004E-2</v>
      </c>
      <c r="I1705" s="15">
        <v>0.1239093407017495</v>
      </c>
    </row>
    <row r="1706" spans="1:9" x14ac:dyDescent="0.2">
      <c r="A1706" s="2" t="s">
        <v>5114</v>
      </c>
      <c r="B1706" s="2" t="s">
        <v>5115</v>
      </c>
      <c r="C1706" s="2" t="s">
        <v>5116</v>
      </c>
      <c r="D1706" s="2" t="s">
        <v>10049</v>
      </c>
      <c r="E1706" s="15">
        <v>-4.9200000000000001E-2</v>
      </c>
      <c r="F1706" s="15">
        <v>7.5399999999999995E-2</v>
      </c>
      <c r="G1706" s="15">
        <v>-2.4799999999999999E-2</v>
      </c>
      <c r="H1706" s="15">
        <v>9.2100000000000001E-2</v>
      </c>
      <c r="I1706" s="15">
        <v>0.40483553270801581</v>
      </c>
    </row>
    <row r="1707" spans="1:9" x14ac:dyDescent="0.2">
      <c r="A1707" s="2" t="s">
        <v>5117</v>
      </c>
      <c r="B1707" s="2" t="s">
        <v>5118</v>
      </c>
      <c r="C1707" s="2" t="s">
        <v>5119</v>
      </c>
      <c r="D1707" s="2" t="s">
        <v>10049</v>
      </c>
      <c r="E1707" s="15">
        <v>-0.108</v>
      </c>
      <c r="F1707" s="15">
        <v>8.8499999999999995E-2</v>
      </c>
      <c r="G1707" s="15">
        <v>-1.03E-2</v>
      </c>
      <c r="H1707" s="15">
        <v>7.4099999999999999E-2</v>
      </c>
      <c r="I1707" s="15">
        <v>0.1231095076232479</v>
      </c>
    </row>
    <row r="1708" spans="1:9" x14ac:dyDescent="0.2">
      <c r="A1708" s="2" t="s">
        <v>5120</v>
      </c>
      <c r="B1708" s="2" t="s">
        <v>5121</v>
      </c>
      <c r="C1708" s="2" t="s">
        <v>5122</v>
      </c>
      <c r="D1708" s="2" t="s">
        <v>10049</v>
      </c>
      <c r="E1708" s="15">
        <v>-9.2299999999999993E-2</v>
      </c>
      <c r="F1708" s="15">
        <v>9.5000000000000001E-2</v>
      </c>
      <c r="G1708" s="15">
        <v>4.4699999999999997E-2</v>
      </c>
      <c r="H1708" s="15">
        <v>0.1124</v>
      </c>
      <c r="I1708" s="15">
        <v>0.13146679015288609</v>
      </c>
    </row>
    <row r="1709" spans="1:9" x14ac:dyDescent="0.2">
      <c r="A1709" s="2" t="s">
        <v>5123</v>
      </c>
      <c r="B1709" s="2" t="s">
        <v>5124</v>
      </c>
      <c r="C1709" s="2" t="s">
        <v>5125</v>
      </c>
      <c r="D1709" s="2" t="s">
        <v>10049</v>
      </c>
      <c r="E1709" s="15">
        <v>-0.13439999999999999</v>
      </c>
      <c r="F1709" s="15">
        <v>0.14349999999999999</v>
      </c>
      <c r="G1709" s="15">
        <v>2.87E-2</v>
      </c>
      <c r="H1709" s="15">
        <v>9.4600000000000004E-2</v>
      </c>
      <c r="I1709" s="15">
        <v>6.413564566361149E-2</v>
      </c>
    </row>
    <row r="1710" spans="1:9" x14ac:dyDescent="0.2">
      <c r="A1710" s="2" t="s">
        <v>5126</v>
      </c>
      <c r="B1710" s="2" t="s">
        <v>5127</v>
      </c>
      <c r="C1710" s="2" t="s">
        <v>5128</v>
      </c>
      <c r="D1710" s="2" t="s">
        <v>10049</v>
      </c>
      <c r="E1710" s="15">
        <v>5.1999999999999998E-3</v>
      </c>
      <c r="F1710" s="15">
        <v>7.51E-2</v>
      </c>
      <c r="G1710" s="15">
        <v>-9.11E-2</v>
      </c>
      <c r="H1710" s="15">
        <v>8.5000000000000006E-2</v>
      </c>
      <c r="I1710" s="15">
        <v>0.16157581644032751</v>
      </c>
    </row>
    <row r="1711" spans="1:9" x14ac:dyDescent="0.2">
      <c r="A1711" s="2" t="s">
        <v>5129</v>
      </c>
      <c r="B1711" s="2" t="s">
        <v>5130</v>
      </c>
      <c r="C1711" s="2" t="s">
        <v>5131</v>
      </c>
      <c r="D1711" s="2" t="s">
        <v>10049</v>
      </c>
      <c r="E1711" s="15">
        <v>-1.2800000000000001E-2</v>
      </c>
      <c r="F1711" s="15">
        <v>9.9299999999999999E-2</v>
      </c>
      <c r="G1711" s="15">
        <v>-0.15720000000000001</v>
      </c>
      <c r="H1711" s="15">
        <v>8.72E-2</v>
      </c>
      <c r="I1711" s="15">
        <v>7.8100615539130669E-2</v>
      </c>
    </row>
    <row r="1712" spans="1:9" x14ac:dyDescent="0.2">
      <c r="A1712" s="2" t="s">
        <v>5132</v>
      </c>
      <c r="B1712" s="2" t="s">
        <v>5133</v>
      </c>
      <c r="C1712" s="2" t="s">
        <v>5134</v>
      </c>
      <c r="D1712" s="2" t="s">
        <v>10049</v>
      </c>
      <c r="E1712" s="15">
        <v>-0.1181</v>
      </c>
      <c r="F1712" s="15">
        <v>5.8000000000000003E-2</v>
      </c>
      <c r="G1712" s="15">
        <v>-8.5599999999999996E-2</v>
      </c>
      <c r="H1712" s="15">
        <v>5.8599999999999999E-2</v>
      </c>
      <c r="I1712" s="15">
        <v>0.31609631475598721</v>
      </c>
    </row>
    <row r="1713" spans="1:9" x14ac:dyDescent="0.2">
      <c r="A1713" s="2" t="s">
        <v>5135</v>
      </c>
      <c r="B1713" s="2" t="s">
        <v>5136</v>
      </c>
      <c r="C1713" s="2" t="s">
        <v>5137</v>
      </c>
      <c r="D1713" s="2" t="s">
        <v>10049</v>
      </c>
      <c r="E1713" s="15">
        <v>-0.108</v>
      </c>
      <c r="F1713" s="15">
        <v>5.8999999999999997E-2</v>
      </c>
      <c r="G1713" s="15">
        <v>-0.11020000000000001</v>
      </c>
      <c r="H1713" s="15">
        <v>5.7500000000000002E-2</v>
      </c>
      <c r="I1713" s="15">
        <v>0.48707496511098969</v>
      </c>
    </row>
    <row r="1714" spans="1:9" x14ac:dyDescent="0.2">
      <c r="A1714" s="2" t="s">
        <v>5138</v>
      </c>
      <c r="B1714" s="2" t="s">
        <v>5139</v>
      </c>
      <c r="C1714" s="2" t="s">
        <v>5140</v>
      </c>
      <c r="D1714" s="2" t="s">
        <v>10049</v>
      </c>
      <c r="E1714" s="15">
        <v>-4.4900000000000002E-2</v>
      </c>
      <c r="F1714" s="15">
        <v>8.0500000000000002E-2</v>
      </c>
      <c r="G1714" s="15">
        <v>-0.1694</v>
      </c>
      <c r="H1714" s="15">
        <v>8.8900000000000007E-2</v>
      </c>
      <c r="I1714" s="15">
        <v>0.1019301921454734</v>
      </c>
    </row>
    <row r="1715" spans="1:9" x14ac:dyDescent="0.2">
      <c r="A1715" s="2" t="s">
        <v>5141</v>
      </c>
      <c r="B1715" s="2" t="s">
        <v>5142</v>
      </c>
      <c r="C1715" s="2" t="s">
        <v>5143</v>
      </c>
      <c r="D1715" s="2" t="s">
        <v>10049</v>
      </c>
      <c r="E1715" s="15">
        <v>-1.9E-3</v>
      </c>
      <c r="F1715" s="15">
        <v>8.4599999999999995E-2</v>
      </c>
      <c r="G1715" s="15">
        <v>-9.0899999999999995E-2</v>
      </c>
      <c r="H1715" s="15">
        <v>7.1199999999999999E-2</v>
      </c>
      <c r="I1715" s="15">
        <v>0.13732712725740531</v>
      </c>
    </row>
    <row r="1716" spans="1:9" x14ac:dyDescent="0.2">
      <c r="A1716" s="2" t="s">
        <v>5144</v>
      </c>
      <c r="B1716" s="2" t="s">
        <v>5145</v>
      </c>
      <c r="C1716" s="2" t="s">
        <v>5146</v>
      </c>
      <c r="D1716" s="2" t="s">
        <v>10049</v>
      </c>
      <c r="E1716" s="15">
        <v>-8.2299999999999998E-2</v>
      </c>
      <c r="F1716" s="15">
        <v>8.3099999999999993E-2</v>
      </c>
      <c r="G1716" s="15">
        <v>-9.2499999999999999E-2</v>
      </c>
      <c r="H1716" s="15">
        <v>8.2799999999999999E-2</v>
      </c>
      <c r="I1716" s="15">
        <v>0.45565237547994297</v>
      </c>
    </row>
    <row r="1717" spans="1:9" x14ac:dyDescent="0.2">
      <c r="A1717" s="2" t="s">
        <v>5147</v>
      </c>
      <c r="B1717" s="2" t="s">
        <v>5148</v>
      </c>
      <c r="C1717" s="2" t="s">
        <v>5149</v>
      </c>
      <c r="D1717" s="2" t="s">
        <v>10049</v>
      </c>
      <c r="E1717" s="15">
        <v>2.7300000000000001E-2</v>
      </c>
      <c r="F1717" s="15">
        <v>7.8700000000000006E-2</v>
      </c>
      <c r="G1717" s="15">
        <v>-0.1041</v>
      </c>
      <c r="H1717" s="15">
        <v>8.5199999999999998E-2</v>
      </c>
      <c r="I1717" s="15">
        <v>8.299001644729305E-2</v>
      </c>
    </row>
    <row r="1718" spans="1:9" x14ac:dyDescent="0.2">
      <c r="A1718" s="2" t="s">
        <v>5150</v>
      </c>
      <c r="B1718" s="2" t="s">
        <v>5151</v>
      </c>
      <c r="C1718" s="2" t="s">
        <v>5152</v>
      </c>
      <c r="D1718" s="2" t="s">
        <v>10049</v>
      </c>
      <c r="E1718" s="15">
        <v>-0.1246</v>
      </c>
      <c r="F1718" s="15">
        <v>7.1599999999999997E-2</v>
      </c>
      <c r="G1718" s="15">
        <v>-0.1346</v>
      </c>
      <c r="H1718" s="15">
        <v>7.0400000000000004E-2</v>
      </c>
      <c r="I1718" s="15">
        <v>0.45014508851138701</v>
      </c>
    </row>
    <row r="1719" spans="1:9" x14ac:dyDescent="0.2">
      <c r="A1719" s="2" t="s">
        <v>5153</v>
      </c>
      <c r="B1719" s="2" t="s">
        <v>5154</v>
      </c>
      <c r="C1719" s="2" t="s">
        <v>5155</v>
      </c>
      <c r="D1719" s="2" t="s">
        <v>10049</v>
      </c>
      <c r="E1719" s="15">
        <v>-8.0199999999999994E-2</v>
      </c>
      <c r="F1719" s="15">
        <v>6.13E-2</v>
      </c>
      <c r="G1719" s="15">
        <v>-0.10299999999999999</v>
      </c>
      <c r="H1719" s="15">
        <v>7.2499999999999995E-2</v>
      </c>
      <c r="I1719" s="15">
        <v>0.38874376652368031</v>
      </c>
    </row>
    <row r="1720" spans="1:9" x14ac:dyDescent="0.2">
      <c r="A1720" s="2" t="s">
        <v>5156</v>
      </c>
      <c r="B1720" s="2" t="s">
        <v>5157</v>
      </c>
      <c r="C1720" s="2" t="s">
        <v>5158</v>
      </c>
      <c r="D1720" s="2" t="s">
        <v>10049</v>
      </c>
      <c r="E1720" s="15">
        <v>-3.0599999999999999E-2</v>
      </c>
      <c r="F1720" s="15">
        <v>7.0599999999999996E-2</v>
      </c>
      <c r="G1720" s="15">
        <v>-0.1971</v>
      </c>
      <c r="H1720" s="15">
        <v>7.9399999999999998E-2</v>
      </c>
      <c r="I1720" s="15">
        <v>2.958947739169239E-2</v>
      </c>
    </row>
    <row r="1721" spans="1:9" x14ac:dyDescent="0.2">
      <c r="A1721" s="2" t="s">
        <v>5159</v>
      </c>
      <c r="B1721" s="2" t="s">
        <v>5160</v>
      </c>
      <c r="C1721" s="2" t="s">
        <v>5161</v>
      </c>
      <c r="D1721" s="2" t="s">
        <v>10049</v>
      </c>
      <c r="E1721" s="15">
        <v>-1.09E-2</v>
      </c>
      <c r="F1721" s="15">
        <v>7.3599999999999999E-2</v>
      </c>
      <c r="G1721" s="15">
        <v>-0.1739</v>
      </c>
      <c r="H1721" s="15">
        <v>8.8400000000000006E-2</v>
      </c>
      <c r="I1721" s="15">
        <v>4.8128370678232203E-2</v>
      </c>
    </row>
    <row r="1722" spans="1:9" x14ac:dyDescent="0.2">
      <c r="A1722" s="2" t="s">
        <v>5162</v>
      </c>
      <c r="B1722" s="2" t="s">
        <v>5163</v>
      </c>
      <c r="C1722" s="2" t="s">
        <v>5164</v>
      </c>
      <c r="D1722" s="2" t="s">
        <v>10049</v>
      </c>
      <c r="E1722" s="15">
        <v>7.9000000000000008E-3</v>
      </c>
      <c r="F1722" s="15">
        <v>6.7500000000000004E-2</v>
      </c>
      <c r="G1722" s="15">
        <v>1.9900000000000001E-2</v>
      </c>
      <c r="H1722" s="15">
        <v>7.0599999999999996E-2</v>
      </c>
      <c r="I1722" s="15">
        <v>0.44009642420339928</v>
      </c>
    </row>
    <row r="1723" spans="1:9" x14ac:dyDescent="0.2">
      <c r="A1723" s="2" t="s">
        <v>5165</v>
      </c>
      <c r="B1723" s="2" t="s">
        <v>5166</v>
      </c>
      <c r="C1723" s="2" t="s">
        <v>5167</v>
      </c>
      <c r="D1723" s="2" t="s">
        <v>10049</v>
      </c>
      <c r="E1723" s="15">
        <v>-1E-3</v>
      </c>
      <c r="F1723" s="15">
        <v>6.6000000000000003E-2</v>
      </c>
      <c r="G1723" s="15">
        <v>6.7000000000000004E-2</v>
      </c>
      <c r="H1723" s="15">
        <v>7.4700000000000003E-2</v>
      </c>
      <c r="I1723" s="15">
        <v>0.2095927457741448</v>
      </c>
    </row>
    <row r="1724" spans="1:9" x14ac:dyDescent="0.2">
      <c r="A1724" s="2" t="s">
        <v>5168</v>
      </c>
      <c r="B1724" s="2" t="s">
        <v>5169</v>
      </c>
      <c r="C1724" s="2" t="s">
        <v>5170</v>
      </c>
      <c r="D1724" s="2" t="s">
        <v>10049</v>
      </c>
      <c r="E1724" s="15">
        <v>-0.111</v>
      </c>
      <c r="F1724" s="15">
        <v>7.8200000000000006E-2</v>
      </c>
      <c r="G1724" s="15">
        <v>-8.4599999999999995E-2</v>
      </c>
      <c r="H1724" s="15">
        <v>7.7899999999999997E-2</v>
      </c>
      <c r="I1724" s="15">
        <v>0.38249257912181228</v>
      </c>
    </row>
    <row r="1725" spans="1:9" x14ac:dyDescent="0.2">
      <c r="A1725" s="2" t="s">
        <v>5171</v>
      </c>
      <c r="B1725" s="2" t="s">
        <v>5172</v>
      </c>
      <c r="C1725" s="2" t="s">
        <v>5173</v>
      </c>
      <c r="D1725" s="2" t="s">
        <v>10049</v>
      </c>
      <c r="E1725" s="15">
        <v>-0.14560000000000001</v>
      </c>
      <c r="F1725" s="15">
        <v>7.8799999999999995E-2</v>
      </c>
      <c r="G1725" s="15">
        <v>-0.1195</v>
      </c>
      <c r="H1725" s="15">
        <v>7.8100000000000003E-2</v>
      </c>
      <c r="I1725" s="15">
        <v>0.38395452002571001</v>
      </c>
    </row>
    <row r="1726" spans="1:9" x14ac:dyDescent="0.2">
      <c r="A1726" s="2" t="s">
        <v>5174</v>
      </c>
      <c r="B1726" s="2" t="s">
        <v>5175</v>
      </c>
      <c r="C1726" s="2" t="s">
        <v>5176</v>
      </c>
      <c r="D1726" s="2" t="s">
        <v>10049</v>
      </c>
      <c r="E1726" s="15">
        <v>-0.1055</v>
      </c>
      <c r="F1726" s="15">
        <v>8.7300000000000003E-2</v>
      </c>
      <c r="G1726" s="15">
        <v>1.21E-2</v>
      </c>
      <c r="H1726" s="15">
        <v>7.6200000000000004E-2</v>
      </c>
      <c r="I1726" s="15">
        <v>9.0198631859577327E-2</v>
      </c>
    </row>
    <row r="1727" spans="1:9" x14ac:dyDescent="0.2">
      <c r="A1727" s="2" t="s">
        <v>5177</v>
      </c>
      <c r="B1727" s="2" t="s">
        <v>5178</v>
      </c>
      <c r="C1727" s="2" t="s">
        <v>5179</v>
      </c>
      <c r="D1727" s="2" t="s">
        <v>10049</v>
      </c>
      <c r="E1727" s="15">
        <v>-9.8400000000000001E-2</v>
      </c>
      <c r="F1727" s="15">
        <v>7.8600000000000003E-2</v>
      </c>
      <c r="G1727" s="15">
        <v>-7.0800000000000002E-2</v>
      </c>
      <c r="H1727" s="15">
        <v>7.3700000000000002E-2</v>
      </c>
      <c r="I1727" s="15">
        <v>0.37180720659497429</v>
      </c>
    </row>
    <row r="1728" spans="1:9" x14ac:dyDescent="0.2">
      <c r="A1728" s="2" t="s">
        <v>5180</v>
      </c>
      <c r="B1728" s="2" t="s">
        <v>5181</v>
      </c>
      <c r="C1728" s="2" t="s">
        <v>5182</v>
      </c>
      <c r="D1728" s="2" t="s">
        <v>10049</v>
      </c>
      <c r="E1728" s="15">
        <v>-8.43E-2</v>
      </c>
      <c r="F1728" s="15">
        <v>7.5200000000000003E-2</v>
      </c>
      <c r="G1728" s="15">
        <v>-2.9700000000000001E-2</v>
      </c>
      <c r="H1728" s="15">
        <v>7.5700000000000003E-2</v>
      </c>
      <c r="I1728" s="15">
        <v>0.26715760575494368</v>
      </c>
    </row>
    <row r="1729" spans="1:9" x14ac:dyDescent="0.2">
      <c r="A1729" s="2" t="s">
        <v>5183</v>
      </c>
      <c r="B1729" s="2" t="s">
        <v>5184</v>
      </c>
      <c r="C1729" s="2" t="s">
        <v>5185</v>
      </c>
      <c r="D1729" s="2" t="s">
        <v>10049</v>
      </c>
      <c r="E1729" s="15">
        <v>-8.0600000000000005E-2</v>
      </c>
      <c r="F1729" s="15">
        <v>6.6799999999999998E-2</v>
      </c>
      <c r="G1729" s="15">
        <v>-1.8200000000000001E-2</v>
      </c>
      <c r="H1729" s="15">
        <v>9.2899999999999996E-2</v>
      </c>
      <c r="I1729" s="15">
        <v>0.27674909628721722</v>
      </c>
    </row>
    <row r="1730" spans="1:9" x14ac:dyDescent="0.2">
      <c r="A1730" s="2" t="s">
        <v>5186</v>
      </c>
      <c r="B1730" s="2" t="s">
        <v>5187</v>
      </c>
      <c r="C1730" s="2" t="s">
        <v>5188</v>
      </c>
      <c r="D1730" s="2" t="s">
        <v>10049</v>
      </c>
      <c r="E1730" s="15">
        <v>-3.6499999999999998E-2</v>
      </c>
      <c r="F1730" s="15">
        <v>7.0400000000000004E-2</v>
      </c>
      <c r="G1730" s="15">
        <v>-6.25E-2</v>
      </c>
      <c r="H1730" s="15">
        <v>7.2400000000000006E-2</v>
      </c>
      <c r="I1730" s="15">
        <v>0.37670402778594858</v>
      </c>
    </row>
    <row r="1731" spans="1:9" x14ac:dyDescent="0.2">
      <c r="A1731" s="2" t="s">
        <v>5189</v>
      </c>
      <c r="B1731" s="2" t="s">
        <v>5190</v>
      </c>
      <c r="C1731" s="2" t="s">
        <v>5191</v>
      </c>
      <c r="D1731" s="2" t="s">
        <v>10049</v>
      </c>
      <c r="E1731" s="15">
        <v>-3.7999999999999999E-2</v>
      </c>
      <c r="F1731" s="15">
        <v>6.9199999999999998E-2</v>
      </c>
      <c r="G1731" s="15">
        <v>-9.4999999999999998E-3</v>
      </c>
      <c r="H1731" s="15">
        <v>0.1024</v>
      </c>
      <c r="I1731" s="15">
        <v>0.39856647807138379</v>
      </c>
    </row>
    <row r="1732" spans="1:9" x14ac:dyDescent="0.2">
      <c r="A1732" s="2" t="s">
        <v>5192</v>
      </c>
      <c r="B1732" s="2" t="s">
        <v>5193</v>
      </c>
      <c r="C1732" s="2" t="s">
        <v>5194</v>
      </c>
      <c r="D1732" s="2" t="s">
        <v>10049</v>
      </c>
      <c r="E1732" s="15">
        <v>3.1699999999999999E-2</v>
      </c>
      <c r="F1732" s="15">
        <v>8.1600000000000006E-2</v>
      </c>
      <c r="G1732" s="15">
        <v>-5.7000000000000002E-2</v>
      </c>
      <c r="H1732" s="15">
        <v>7.4200000000000002E-2</v>
      </c>
      <c r="I1732" s="15">
        <v>0.14867758893110891</v>
      </c>
    </row>
    <row r="1733" spans="1:9" x14ac:dyDescent="0.2">
      <c r="A1733" s="2" t="s">
        <v>5195</v>
      </c>
      <c r="B1733" s="2" t="s">
        <v>5196</v>
      </c>
      <c r="C1733" s="2" t="s">
        <v>5197</v>
      </c>
      <c r="D1733" s="2" t="s">
        <v>10049</v>
      </c>
      <c r="E1733" s="15">
        <v>8.0199999999999994E-2</v>
      </c>
      <c r="F1733" s="15">
        <v>7.7299999999999994E-2</v>
      </c>
      <c r="G1733" s="15">
        <v>-0.1087</v>
      </c>
      <c r="H1733" s="15">
        <v>9.0999999999999998E-2</v>
      </c>
      <c r="I1733" s="15">
        <v>3.1912279028253193E-2</v>
      </c>
    </row>
    <row r="1734" spans="1:9" x14ac:dyDescent="0.2">
      <c r="A1734" s="2" t="s">
        <v>5198</v>
      </c>
      <c r="B1734" s="2" t="s">
        <v>5199</v>
      </c>
      <c r="C1734" s="2" t="s">
        <v>5200</v>
      </c>
      <c r="D1734" s="2" t="s">
        <v>10049</v>
      </c>
      <c r="E1734" s="15">
        <v>-7.4000000000000003E-3</v>
      </c>
      <c r="F1734" s="15">
        <v>7.0599999999999996E-2</v>
      </c>
      <c r="G1734" s="15">
        <v>-9.7299999999999998E-2</v>
      </c>
      <c r="H1734" s="15">
        <v>6.0900000000000003E-2</v>
      </c>
      <c r="I1734" s="15">
        <v>0.1117861459872929</v>
      </c>
    </row>
    <row r="1735" spans="1:9" x14ac:dyDescent="0.2">
      <c r="A1735" s="2" t="s">
        <v>5201</v>
      </c>
      <c r="B1735" s="2" t="s">
        <v>5202</v>
      </c>
      <c r="C1735" s="2" t="s">
        <v>5203</v>
      </c>
      <c r="D1735" s="2" t="s">
        <v>10049</v>
      </c>
      <c r="E1735" s="15">
        <v>1.46E-2</v>
      </c>
      <c r="F1735" s="15">
        <v>7.17E-2</v>
      </c>
      <c r="G1735" s="15">
        <v>-0.10920000000000001</v>
      </c>
      <c r="H1735" s="15">
        <v>5.7700000000000001E-2</v>
      </c>
      <c r="I1735" s="15">
        <v>4.0145717419225638E-2</v>
      </c>
    </row>
    <row r="1736" spans="1:9" x14ac:dyDescent="0.2">
      <c r="A1736" s="2" t="s">
        <v>5204</v>
      </c>
      <c r="B1736" s="2" t="s">
        <v>5205</v>
      </c>
      <c r="C1736" s="2" t="s">
        <v>5206</v>
      </c>
      <c r="D1736" s="2" t="s">
        <v>10049</v>
      </c>
      <c r="E1736" s="15">
        <v>-8.5099999999999995E-2</v>
      </c>
      <c r="F1736" s="15">
        <v>7.3400000000000007E-2</v>
      </c>
      <c r="G1736" s="15">
        <v>-0.22109999999999999</v>
      </c>
      <c r="H1736" s="15">
        <v>7.0999999999999994E-2</v>
      </c>
      <c r="I1736" s="15">
        <v>4.9924998524289839E-2</v>
      </c>
    </row>
    <row r="1737" spans="1:9" x14ac:dyDescent="0.2">
      <c r="A1737" s="2" t="s">
        <v>5207</v>
      </c>
      <c r="B1737" s="2" t="s">
        <v>5208</v>
      </c>
      <c r="C1737" s="2" t="s">
        <v>5209</v>
      </c>
      <c r="D1737" s="2" t="s">
        <v>10049</v>
      </c>
      <c r="E1737" s="15">
        <v>-6.4899999999999999E-2</v>
      </c>
      <c r="F1737" s="15">
        <v>6.9099999999999995E-2</v>
      </c>
      <c r="G1737" s="15">
        <v>-0.26290000000000002</v>
      </c>
      <c r="H1737" s="15">
        <v>8.9899999999999994E-2</v>
      </c>
      <c r="I1737" s="15">
        <v>2.2722426643533251E-2</v>
      </c>
    </row>
    <row r="1738" spans="1:9" x14ac:dyDescent="0.2">
      <c r="A1738" s="2" t="s">
        <v>5210</v>
      </c>
      <c r="B1738" s="2" t="s">
        <v>5211</v>
      </c>
      <c r="C1738" s="2" t="s">
        <v>5212</v>
      </c>
      <c r="D1738" s="2" t="s">
        <v>10049</v>
      </c>
      <c r="E1738" s="15">
        <v>8.3999999999999995E-3</v>
      </c>
      <c r="F1738" s="15">
        <v>6.9900000000000004E-2</v>
      </c>
      <c r="G1738" s="15">
        <v>2.7199999999999998E-2</v>
      </c>
      <c r="H1738" s="15">
        <v>8.9399999999999993E-2</v>
      </c>
      <c r="I1738" s="15">
        <v>0.42430029781653528</v>
      </c>
    </row>
    <row r="1739" spans="1:9" x14ac:dyDescent="0.2">
      <c r="A1739" s="2" t="s">
        <v>5213</v>
      </c>
      <c r="B1739" s="2" t="s">
        <v>5214</v>
      </c>
      <c r="C1739" s="2" t="s">
        <v>5215</v>
      </c>
      <c r="D1739" s="2" t="s">
        <v>10049</v>
      </c>
      <c r="E1739" s="15">
        <v>-1.06E-2</v>
      </c>
      <c r="F1739" s="15">
        <v>7.3300000000000004E-2</v>
      </c>
      <c r="G1739" s="15">
        <v>0.1472</v>
      </c>
      <c r="H1739" s="15">
        <v>9.6100000000000005E-2</v>
      </c>
      <c r="I1739" s="15">
        <v>6.6657330286286606E-2</v>
      </c>
    </row>
    <row r="1740" spans="1:9" x14ac:dyDescent="0.2">
      <c r="A1740" s="2" t="s">
        <v>5216</v>
      </c>
      <c r="B1740" s="2" t="s">
        <v>5217</v>
      </c>
      <c r="C1740" s="2" t="s">
        <v>5218</v>
      </c>
      <c r="D1740" s="2" t="s">
        <v>10049</v>
      </c>
      <c r="E1740" s="15">
        <v>-4.1000000000000002E-2</v>
      </c>
      <c r="F1740" s="15">
        <v>6.7699999999999996E-2</v>
      </c>
      <c r="G1740" s="15">
        <v>-0.14430000000000001</v>
      </c>
      <c r="H1740" s="15">
        <v>6.4399999999999999E-2</v>
      </c>
      <c r="I1740" s="15">
        <v>8.2422018460995186E-2</v>
      </c>
    </row>
    <row r="1741" spans="1:9" x14ac:dyDescent="0.2">
      <c r="A1741" s="2" t="s">
        <v>5219</v>
      </c>
      <c r="B1741" s="2" t="s">
        <v>5220</v>
      </c>
      <c r="C1741" s="2" t="s">
        <v>5221</v>
      </c>
      <c r="D1741" s="2" t="s">
        <v>10049</v>
      </c>
      <c r="E1741" s="15">
        <v>-7.1800000000000003E-2</v>
      </c>
      <c r="F1741" s="15">
        <v>7.3099999999999998E-2</v>
      </c>
      <c r="G1741" s="15">
        <v>-0.12509999999999999</v>
      </c>
      <c r="H1741" s="15">
        <v>6.3E-2</v>
      </c>
      <c r="I1741" s="15">
        <v>0.2361196981995701</v>
      </c>
    </row>
    <row r="1742" spans="1:9" x14ac:dyDescent="0.2">
      <c r="A1742" s="2" t="s">
        <v>5222</v>
      </c>
      <c r="B1742" s="2" t="s">
        <v>5223</v>
      </c>
      <c r="C1742" s="2" t="s">
        <v>5224</v>
      </c>
      <c r="D1742" s="2" t="s">
        <v>10049</v>
      </c>
      <c r="E1742" s="15">
        <v>9.1999999999999998E-3</v>
      </c>
      <c r="F1742" s="15">
        <v>7.1300000000000002E-2</v>
      </c>
      <c r="G1742" s="15">
        <v>9.8199999999999996E-2</v>
      </c>
      <c r="H1742" s="15">
        <v>9.64E-2</v>
      </c>
      <c r="I1742" s="15">
        <v>0.20273619433473361</v>
      </c>
    </row>
    <row r="1743" spans="1:9" x14ac:dyDescent="0.2">
      <c r="A1743" s="2" t="s">
        <v>5225</v>
      </c>
      <c r="B1743" s="2" t="s">
        <v>5226</v>
      </c>
      <c r="C1743" s="2" t="s">
        <v>5227</v>
      </c>
      <c r="D1743" s="2" t="s">
        <v>10049</v>
      </c>
      <c r="E1743" s="15">
        <v>-2.01E-2</v>
      </c>
      <c r="F1743" s="15">
        <v>8.5000000000000006E-2</v>
      </c>
      <c r="G1743" s="15">
        <v>0.1542</v>
      </c>
      <c r="H1743" s="15">
        <v>0.1099</v>
      </c>
      <c r="I1743" s="15">
        <v>7.526966479981341E-2</v>
      </c>
    </row>
    <row r="1744" spans="1:9" x14ac:dyDescent="0.2">
      <c r="A1744" s="2" t="s">
        <v>5228</v>
      </c>
      <c r="B1744" s="2" t="s">
        <v>5229</v>
      </c>
      <c r="C1744" s="2" t="s">
        <v>5230</v>
      </c>
      <c r="D1744" s="2" t="s">
        <v>10049</v>
      </c>
      <c r="E1744" s="15">
        <v>6.4000000000000001E-2</v>
      </c>
      <c r="F1744" s="15">
        <v>7.5899999999999995E-2</v>
      </c>
      <c r="G1744" s="15">
        <v>-0.23269999999999999</v>
      </c>
      <c r="H1744" s="15">
        <v>8.5599999999999996E-2</v>
      </c>
      <c r="I1744" s="15">
        <v>1.0205774274515301E-3</v>
      </c>
    </row>
    <row r="1745" spans="1:9" x14ac:dyDescent="0.2">
      <c r="A1745" s="2" t="s">
        <v>5231</v>
      </c>
      <c r="B1745" s="2" t="s">
        <v>5232</v>
      </c>
      <c r="C1745" s="2" t="s">
        <v>5233</v>
      </c>
      <c r="D1745" s="2" t="s">
        <v>10049</v>
      </c>
      <c r="E1745" s="15">
        <v>5.0200000000000002E-2</v>
      </c>
      <c r="F1745" s="15">
        <v>9.74E-2</v>
      </c>
      <c r="G1745" s="15">
        <v>-0.14180000000000001</v>
      </c>
      <c r="H1745" s="15">
        <v>7.5300000000000006E-2</v>
      </c>
      <c r="I1745" s="15">
        <v>1.4307834427349449E-2</v>
      </c>
    </row>
    <row r="1746" spans="1:9" x14ac:dyDescent="0.2">
      <c r="A1746" s="2" t="s">
        <v>5234</v>
      </c>
      <c r="B1746" s="2" t="s">
        <v>5235</v>
      </c>
      <c r="C1746" s="2" t="s">
        <v>5236</v>
      </c>
      <c r="D1746" s="2" t="s">
        <v>10049</v>
      </c>
      <c r="E1746" s="15">
        <v>-9.3200000000000005E-2</v>
      </c>
      <c r="F1746" s="15">
        <v>7.0499999999999993E-2</v>
      </c>
      <c r="G1746" s="15">
        <v>-8.5199999999999998E-2</v>
      </c>
      <c r="H1746" s="15">
        <v>7.2499999999999995E-2</v>
      </c>
      <c r="I1746" s="15">
        <v>0.46118215622367942</v>
      </c>
    </row>
    <row r="1747" spans="1:9" x14ac:dyDescent="0.2">
      <c r="A1747" s="2" t="s">
        <v>5237</v>
      </c>
      <c r="B1747" s="2" t="s">
        <v>5238</v>
      </c>
      <c r="C1747" s="2" t="s">
        <v>5239</v>
      </c>
      <c r="D1747" s="2" t="s">
        <v>10049</v>
      </c>
      <c r="E1747" s="15">
        <v>-0.1052</v>
      </c>
      <c r="F1747" s="15">
        <v>8.2199999999999995E-2</v>
      </c>
      <c r="G1747" s="15">
        <v>-6.9999999999999999E-4</v>
      </c>
      <c r="H1747" s="15">
        <v>7.4899999999999994E-2</v>
      </c>
      <c r="I1747" s="15">
        <v>0.1158588621038015</v>
      </c>
    </row>
    <row r="1748" spans="1:9" x14ac:dyDescent="0.2">
      <c r="A1748" s="2" t="s">
        <v>5240</v>
      </c>
      <c r="B1748" s="2" t="s">
        <v>5241</v>
      </c>
      <c r="C1748" s="2" t="s">
        <v>5242</v>
      </c>
      <c r="D1748" s="2" t="s">
        <v>10049</v>
      </c>
      <c r="E1748" s="15">
        <v>-9.2399999999999996E-2</v>
      </c>
      <c r="F1748" s="15">
        <v>6.54E-2</v>
      </c>
      <c r="G1748" s="15">
        <v>-0.16470000000000001</v>
      </c>
      <c r="H1748" s="15">
        <v>8.7499999999999994E-2</v>
      </c>
      <c r="I1748" s="15">
        <v>0.2263758329492212</v>
      </c>
    </row>
    <row r="1749" spans="1:9" x14ac:dyDescent="0.2">
      <c r="A1749" s="2" t="s">
        <v>5243</v>
      </c>
      <c r="B1749" s="2" t="s">
        <v>5244</v>
      </c>
      <c r="C1749" s="2" t="s">
        <v>5245</v>
      </c>
      <c r="D1749" s="2" t="s">
        <v>10049</v>
      </c>
      <c r="E1749" s="15">
        <v>-3.5999999999999999E-3</v>
      </c>
      <c r="F1749" s="15">
        <v>7.2499999999999995E-2</v>
      </c>
      <c r="G1749" s="15">
        <v>1.8700000000000001E-2</v>
      </c>
      <c r="H1749" s="15">
        <v>7.3899999999999993E-2</v>
      </c>
      <c r="I1749" s="15">
        <v>0.39564913986997752</v>
      </c>
    </row>
    <row r="1750" spans="1:9" x14ac:dyDescent="0.2">
      <c r="A1750" s="2" t="s">
        <v>5246</v>
      </c>
      <c r="B1750" s="2" t="s">
        <v>5247</v>
      </c>
      <c r="C1750" s="2" t="s">
        <v>5248</v>
      </c>
      <c r="D1750" s="2" t="s">
        <v>10049</v>
      </c>
      <c r="E1750" s="15">
        <v>6.1999999999999998E-3</v>
      </c>
      <c r="F1750" s="15">
        <v>5.6800000000000003E-2</v>
      </c>
      <c r="G1750" s="15">
        <v>-1.23E-2</v>
      </c>
      <c r="H1750" s="15">
        <v>5.9700000000000003E-2</v>
      </c>
      <c r="I1750" s="15">
        <v>0.39536275216859401</v>
      </c>
    </row>
    <row r="1751" spans="1:9" x14ac:dyDescent="0.2">
      <c r="A1751" s="2" t="s">
        <v>5249</v>
      </c>
      <c r="B1751" s="2" t="s">
        <v>5250</v>
      </c>
      <c r="C1751" s="2" t="s">
        <v>5251</v>
      </c>
      <c r="D1751" s="2" t="s">
        <v>10049</v>
      </c>
      <c r="E1751" s="15">
        <v>2.23E-2</v>
      </c>
      <c r="F1751" s="15">
        <v>5.7200000000000001E-2</v>
      </c>
      <c r="G1751" s="15">
        <v>-9.4000000000000004E-3</v>
      </c>
      <c r="H1751" s="15">
        <v>6.0699999999999997E-2</v>
      </c>
      <c r="I1751" s="15">
        <v>0.32501968985322499</v>
      </c>
    </row>
    <row r="1752" spans="1:9" x14ac:dyDescent="0.2">
      <c r="A1752" s="2" t="s">
        <v>5252</v>
      </c>
      <c r="B1752" s="2" t="s">
        <v>5253</v>
      </c>
      <c r="C1752" s="2" t="s">
        <v>5254</v>
      </c>
      <c r="D1752" s="2" t="s">
        <v>10049</v>
      </c>
      <c r="E1752" s="15">
        <v>-1.89E-2</v>
      </c>
      <c r="F1752" s="15">
        <v>7.6100000000000001E-2</v>
      </c>
      <c r="G1752" s="15">
        <v>-7.5999999999999998E-2</v>
      </c>
      <c r="H1752" s="15">
        <v>6.3600000000000004E-2</v>
      </c>
      <c r="I1752" s="15">
        <v>0.22298865039148749</v>
      </c>
    </row>
    <row r="1753" spans="1:9" x14ac:dyDescent="0.2">
      <c r="A1753" s="2" t="s">
        <v>5255</v>
      </c>
      <c r="B1753" s="2" t="s">
        <v>5256</v>
      </c>
      <c r="C1753" s="2" t="s">
        <v>5257</v>
      </c>
      <c r="D1753" s="2" t="s">
        <v>10049</v>
      </c>
      <c r="E1753" s="15">
        <v>0.13439999999999999</v>
      </c>
      <c r="F1753" s="15">
        <v>7.0099999999999996E-2</v>
      </c>
      <c r="G1753" s="15">
        <v>1.1999999999999999E-3</v>
      </c>
      <c r="H1753" s="15">
        <v>0.09</v>
      </c>
      <c r="I1753" s="15">
        <v>9.2306071149573163E-2</v>
      </c>
    </row>
    <row r="1754" spans="1:9" x14ac:dyDescent="0.2">
      <c r="A1754" s="2" t="s">
        <v>5258</v>
      </c>
      <c r="B1754" s="2" t="s">
        <v>5259</v>
      </c>
      <c r="C1754" s="2" t="s">
        <v>5260</v>
      </c>
      <c r="D1754" s="2" t="s">
        <v>10049</v>
      </c>
      <c r="E1754" s="15">
        <v>-4.0899999999999999E-2</v>
      </c>
      <c r="F1754" s="15">
        <v>6.9500000000000006E-2</v>
      </c>
      <c r="G1754" s="15">
        <v>-7.7899999999999997E-2</v>
      </c>
      <c r="H1754" s="15">
        <v>9.2299999999999993E-2</v>
      </c>
      <c r="I1754" s="15">
        <v>0.35716219923051667</v>
      </c>
    </row>
    <row r="1755" spans="1:9" x14ac:dyDescent="0.2">
      <c r="A1755" s="2" t="s">
        <v>5261</v>
      </c>
      <c r="B1755" s="2" t="s">
        <v>5262</v>
      </c>
      <c r="C1755" s="2" t="s">
        <v>5263</v>
      </c>
      <c r="D1755" s="2" t="s">
        <v>10049</v>
      </c>
      <c r="E1755" s="15">
        <v>-7.22E-2</v>
      </c>
      <c r="F1755" s="15">
        <v>8.72E-2</v>
      </c>
      <c r="G1755" s="15">
        <v>-1.26E-2</v>
      </c>
      <c r="H1755" s="15">
        <v>7.7499999999999999E-2</v>
      </c>
      <c r="I1755" s="15">
        <v>0.25088003701672029</v>
      </c>
    </row>
    <row r="1756" spans="1:9" x14ac:dyDescent="0.2">
      <c r="A1756" s="2" t="s">
        <v>5264</v>
      </c>
      <c r="B1756" s="2" t="s">
        <v>5265</v>
      </c>
      <c r="C1756" s="2" t="s">
        <v>5266</v>
      </c>
      <c r="D1756" s="2" t="s">
        <v>10049</v>
      </c>
      <c r="E1756" s="15">
        <v>-2.5999999999999999E-3</v>
      </c>
      <c r="F1756" s="15">
        <v>0.10290000000000001</v>
      </c>
      <c r="G1756" s="15">
        <v>4.1799999999999997E-2</v>
      </c>
      <c r="H1756" s="15">
        <v>0.10299999999999999</v>
      </c>
      <c r="I1756" s="15">
        <v>0.34957979608627371</v>
      </c>
    </row>
    <row r="1757" spans="1:9" x14ac:dyDescent="0.2">
      <c r="A1757" s="2" t="s">
        <v>5267</v>
      </c>
      <c r="B1757" s="2" t="s">
        <v>5268</v>
      </c>
      <c r="C1757" s="2" t="s">
        <v>5269</v>
      </c>
      <c r="D1757" s="2" t="s">
        <v>10049</v>
      </c>
      <c r="E1757" s="15">
        <v>-5.4300000000000001E-2</v>
      </c>
      <c r="F1757" s="15">
        <v>0.11219999999999999</v>
      </c>
      <c r="G1757" s="15">
        <v>-3.8600000000000002E-2</v>
      </c>
      <c r="H1757" s="15">
        <v>9.6500000000000002E-2</v>
      </c>
      <c r="I1757" s="15">
        <v>0.44197286478271919</v>
      </c>
    </row>
    <row r="1758" spans="1:9" x14ac:dyDescent="0.2">
      <c r="A1758" s="2" t="s">
        <v>5270</v>
      </c>
      <c r="B1758" s="2" t="s">
        <v>5271</v>
      </c>
      <c r="C1758" s="2" t="s">
        <v>5272</v>
      </c>
      <c r="D1758" s="2" t="s">
        <v>10049</v>
      </c>
      <c r="E1758" s="15">
        <v>3.4700000000000002E-2</v>
      </c>
      <c r="F1758" s="15">
        <v>7.17E-2</v>
      </c>
      <c r="G1758" s="15">
        <v>-0.15759999999999999</v>
      </c>
      <c r="H1758" s="15">
        <v>8.2299999999999998E-2</v>
      </c>
      <c r="I1758" s="15">
        <v>1.78422479179722E-2</v>
      </c>
    </row>
    <row r="1759" spans="1:9" x14ac:dyDescent="0.2">
      <c r="A1759" s="2" t="s">
        <v>5273</v>
      </c>
      <c r="B1759" s="2" t="s">
        <v>5274</v>
      </c>
      <c r="C1759" s="2" t="s">
        <v>5275</v>
      </c>
      <c r="D1759" s="2" t="s">
        <v>10049</v>
      </c>
      <c r="E1759" s="15">
        <v>1.66E-2</v>
      </c>
      <c r="F1759" s="15">
        <v>8.2199999999999995E-2</v>
      </c>
      <c r="G1759" s="15">
        <v>-0.20050000000000001</v>
      </c>
      <c r="H1759" s="15">
        <v>7.7200000000000005E-2</v>
      </c>
      <c r="I1759" s="15">
        <v>6.801596332039723E-3</v>
      </c>
    </row>
    <row r="1760" spans="1:9" x14ac:dyDescent="0.2">
      <c r="A1760" s="2" t="s">
        <v>5276</v>
      </c>
      <c r="B1760" s="2" t="s">
        <v>5277</v>
      </c>
      <c r="C1760" s="2" t="s">
        <v>5278</v>
      </c>
      <c r="D1760" s="2" t="s">
        <v>10049</v>
      </c>
      <c r="E1760" s="15">
        <v>-8.5000000000000006E-2</v>
      </c>
      <c r="F1760" s="15">
        <v>5.9299999999999999E-2</v>
      </c>
      <c r="G1760" s="15">
        <v>-0.10009999999999999</v>
      </c>
      <c r="H1760" s="15">
        <v>6.2399999999999997E-2</v>
      </c>
      <c r="I1760" s="15">
        <v>0.41693094917799478</v>
      </c>
    </row>
    <row r="1761" spans="1:9" x14ac:dyDescent="0.2">
      <c r="A1761" s="2" t="s">
        <v>5279</v>
      </c>
      <c r="B1761" s="2" t="s">
        <v>5280</v>
      </c>
      <c r="C1761" s="2" t="s">
        <v>5281</v>
      </c>
      <c r="D1761" s="2" t="s">
        <v>10049</v>
      </c>
      <c r="E1761" s="15">
        <v>-0.12529999999999999</v>
      </c>
      <c r="F1761" s="15">
        <v>6.2399999999999997E-2</v>
      </c>
      <c r="G1761" s="15">
        <v>-9.2399999999999996E-2</v>
      </c>
      <c r="H1761" s="15">
        <v>5.6399999999999999E-2</v>
      </c>
      <c r="I1761" s="15">
        <v>0.31300604148168742</v>
      </c>
    </row>
    <row r="1762" spans="1:9" x14ac:dyDescent="0.2">
      <c r="A1762" s="2" t="s">
        <v>5282</v>
      </c>
      <c r="B1762" s="2" t="s">
        <v>5283</v>
      </c>
      <c r="C1762" s="2" t="s">
        <v>5284</v>
      </c>
      <c r="D1762" s="2" t="s">
        <v>10049</v>
      </c>
      <c r="E1762" s="15">
        <v>-2.87E-2</v>
      </c>
      <c r="F1762" s="15">
        <v>7.2800000000000004E-2</v>
      </c>
      <c r="G1762" s="15">
        <v>-0.1535</v>
      </c>
      <c r="H1762" s="15">
        <v>9.6000000000000002E-2</v>
      </c>
      <c r="I1762" s="15">
        <v>0.1128860684879389</v>
      </c>
    </row>
    <row r="1763" spans="1:9" x14ac:dyDescent="0.2">
      <c r="A1763" s="2" t="s">
        <v>5285</v>
      </c>
      <c r="B1763" s="2" t="s">
        <v>5286</v>
      </c>
      <c r="C1763" s="2" t="s">
        <v>5287</v>
      </c>
      <c r="D1763" s="2" t="s">
        <v>10049</v>
      </c>
      <c r="E1763" s="15">
        <v>-1.29E-2</v>
      </c>
      <c r="F1763" s="15">
        <v>8.5000000000000006E-2</v>
      </c>
      <c r="G1763" s="15">
        <v>-9.6500000000000002E-2</v>
      </c>
      <c r="H1763" s="15">
        <v>7.7200000000000005E-2</v>
      </c>
      <c r="I1763" s="15">
        <v>0.17246137871935141</v>
      </c>
    </row>
    <row r="1764" spans="1:9" x14ac:dyDescent="0.2">
      <c r="A1764" s="2" t="s">
        <v>5288</v>
      </c>
      <c r="B1764" s="2" t="s">
        <v>5289</v>
      </c>
      <c r="C1764" s="2" t="s">
        <v>5290</v>
      </c>
      <c r="D1764" s="2" t="s">
        <v>10049</v>
      </c>
      <c r="E1764" s="15">
        <v>2.7799999999999998E-2</v>
      </c>
      <c r="F1764" s="15">
        <v>7.0499999999999993E-2</v>
      </c>
      <c r="G1764" s="15">
        <v>-0.109</v>
      </c>
      <c r="H1764" s="15">
        <v>9.0899999999999995E-2</v>
      </c>
      <c r="I1764" s="15">
        <v>8.1754598896621761E-2</v>
      </c>
    </row>
    <row r="1765" spans="1:9" x14ac:dyDescent="0.2">
      <c r="A1765" s="2" t="s">
        <v>5291</v>
      </c>
      <c r="B1765" s="2" t="s">
        <v>5292</v>
      </c>
      <c r="C1765" s="2" t="s">
        <v>5293</v>
      </c>
      <c r="D1765" s="2" t="s">
        <v>10049</v>
      </c>
      <c r="E1765" s="15">
        <v>9.5799999999999996E-2</v>
      </c>
      <c r="F1765" s="15">
        <v>7.2700000000000001E-2</v>
      </c>
      <c r="G1765" s="15">
        <v>-0.1096</v>
      </c>
      <c r="H1765" s="15">
        <v>9.4E-2</v>
      </c>
      <c r="I1765" s="15">
        <v>2.2141300313751219E-2</v>
      </c>
    </row>
    <row r="1766" spans="1:9" x14ac:dyDescent="0.2">
      <c r="A1766" s="2" t="s">
        <v>5294</v>
      </c>
      <c r="B1766" s="2" t="s">
        <v>5295</v>
      </c>
      <c r="C1766" s="2" t="s">
        <v>5296</v>
      </c>
      <c r="D1766" s="2" t="s">
        <v>10049</v>
      </c>
      <c r="E1766" s="15">
        <v>1.8599999999999998E-2</v>
      </c>
      <c r="F1766" s="15">
        <v>7.5999999999999998E-2</v>
      </c>
      <c r="G1766" s="15">
        <v>-0.1128</v>
      </c>
      <c r="H1766" s="15">
        <v>7.8299999999999995E-2</v>
      </c>
      <c r="I1766" s="15">
        <v>6.7529367164563397E-2</v>
      </c>
    </row>
    <row r="1767" spans="1:9" x14ac:dyDescent="0.2">
      <c r="A1767" s="2" t="s">
        <v>5297</v>
      </c>
      <c r="B1767" s="2" t="s">
        <v>5298</v>
      </c>
      <c r="C1767" s="2" t="s">
        <v>5299</v>
      </c>
      <c r="D1767" s="2" t="s">
        <v>10049</v>
      </c>
      <c r="E1767" s="15">
        <v>1.18E-2</v>
      </c>
      <c r="F1767" s="15">
        <v>7.0499999999999993E-2</v>
      </c>
      <c r="G1767" s="15">
        <v>-0.1133</v>
      </c>
      <c r="H1767" s="15">
        <v>0.10580000000000001</v>
      </c>
      <c r="I1767" s="15">
        <v>0.13325443351401989</v>
      </c>
    </row>
    <row r="1768" spans="1:9" x14ac:dyDescent="0.2">
      <c r="A1768" s="2" t="s">
        <v>5300</v>
      </c>
      <c r="B1768" s="2" t="s">
        <v>5301</v>
      </c>
      <c r="C1768" s="2" t="s">
        <v>5302</v>
      </c>
      <c r="D1768" s="2" t="s">
        <v>10049</v>
      </c>
      <c r="E1768" s="15">
        <v>-5.7099999999999998E-2</v>
      </c>
      <c r="F1768" s="15">
        <v>6.7400000000000002E-2</v>
      </c>
      <c r="G1768" s="15">
        <v>-7.7700000000000005E-2</v>
      </c>
      <c r="H1768" s="15">
        <v>7.0699999999999999E-2</v>
      </c>
      <c r="I1768" s="15">
        <v>0.39931160119324471</v>
      </c>
    </row>
    <row r="1769" spans="1:9" x14ac:dyDescent="0.2">
      <c r="A1769" s="2" t="s">
        <v>5303</v>
      </c>
      <c r="B1769" s="2" t="s">
        <v>5304</v>
      </c>
      <c r="C1769" s="2" t="s">
        <v>5305</v>
      </c>
      <c r="D1769" s="2" t="s">
        <v>10049</v>
      </c>
      <c r="E1769" s="15">
        <v>3.09E-2</v>
      </c>
      <c r="F1769" s="15">
        <v>7.3200000000000001E-2</v>
      </c>
      <c r="G1769" s="15">
        <v>-4.6899999999999997E-2</v>
      </c>
      <c r="H1769" s="15">
        <v>8.6400000000000005E-2</v>
      </c>
      <c r="I1769" s="15">
        <v>0.21105090901675549</v>
      </c>
    </row>
    <row r="1770" spans="1:9" x14ac:dyDescent="0.2">
      <c r="A1770" s="2" t="s">
        <v>5306</v>
      </c>
      <c r="B1770" s="2" t="s">
        <v>5307</v>
      </c>
      <c r="C1770" s="2" t="s">
        <v>5308</v>
      </c>
      <c r="D1770" s="2" t="s">
        <v>10049</v>
      </c>
      <c r="E1770" s="15">
        <v>1.1999999999999999E-3</v>
      </c>
      <c r="F1770" s="15">
        <v>6.3299999999999995E-2</v>
      </c>
      <c r="G1770" s="15">
        <v>-1.89E-2</v>
      </c>
      <c r="H1770" s="15">
        <v>6.0100000000000001E-2</v>
      </c>
      <c r="I1770" s="15">
        <v>0.3863682581137462</v>
      </c>
    </row>
    <row r="1771" spans="1:9" x14ac:dyDescent="0.2">
      <c r="A1771" s="2" t="s">
        <v>5309</v>
      </c>
      <c r="B1771" s="2" t="s">
        <v>5310</v>
      </c>
      <c r="C1771" s="2" t="s">
        <v>5311</v>
      </c>
      <c r="D1771" s="2" t="s">
        <v>10049</v>
      </c>
      <c r="E1771" s="15">
        <v>7.4000000000000003E-3</v>
      </c>
      <c r="F1771" s="15">
        <v>6.2799999999999995E-2</v>
      </c>
      <c r="G1771" s="15">
        <v>-1.47E-2</v>
      </c>
      <c r="H1771" s="15">
        <v>6.2799999999999995E-2</v>
      </c>
      <c r="I1771" s="15">
        <v>0.3810298195663035</v>
      </c>
    </row>
    <row r="1772" spans="1:9" x14ac:dyDescent="0.2">
      <c r="A1772" s="2" t="s">
        <v>5312</v>
      </c>
      <c r="B1772" s="2" t="s">
        <v>5313</v>
      </c>
      <c r="C1772" s="2" t="s">
        <v>5314</v>
      </c>
      <c r="D1772" s="2" t="s">
        <v>10049</v>
      </c>
      <c r="E1772" s="15">
        <v>1.7999999999999999E-2</v>
      </c>
      <c r="F1772" s="15">
        <v>6.59E-2</v>
      </c>
      <c r="G1772" s="15">
        <v>-6.2899999999999998E-2</v>
      </c>
      <c r="H1772" s="15">
        <v>6.7400000000000002E-2</v>
      </c>
      <c r="I1772" s="15">
        <v>0.1469644136749684</v>
      </c>
    </row>
    <row r="1773" spans="1:9" x14ac:dyDescent="0.2">
      <c r="A1773" s="2" t="s">
        <v>5315</v>
      </c>
      <c r="B1773" s="2" t="s">
        <v>5316</v>
      </c>
      <c r="C1773" s="2" t="s">
        <v>5317</v>
      </c>
      <c r="D1773" s="2" t="s">
        <v>10049</v>
      </c>
      <c r="E1773" s="15">
        <v>-3.3099999999999997E-2</v>
      </c>
      <c r="F1773" s="15">
        <v>7.0099999999999996E-2</v>
      </c>
      <c r="G1773" s="15">
        <v>-5.6300000000000003E-2</v>
      </c>
      <c r="H1773" s="15">
        <v>6.8400000000000002E-2</v>
      </c>
      <c r="I1773" s="15">
        <v>0.38391816301767551</v>
      </c>
    </row>
    <row r="1774" spans="1:9" x14ac:dyDescent="0.2">
      <c r="A1774" s="2" t="s">
        <v>5318</v>
      </c>
      <c r="B1774" s="2" t="s">
        <v>5319</v>
      </c>
      <c r="C1774" s="2" t="s">
        <v>5320</v>
      </c>
      <c r="D1774" s="2" t="s">
        <v>10049</v>
      </c>
      <c r="E1774" s="15">
        <v>-5.62E-2</v>
      </c>
      <c r="F1774" s="15">
        <v>7.1400000000000005E-2</v>
      </c>
      <c r="G1774" s="15">
        <v>5.7999999999999996E-3</v>
      </c>
      <c r="H1774" s="15">
        <v>7.3099999999999998E-2</v>
      </c>
      <c r="I1774" s="15">
        <v>0.2282951368582006</v>
      </c>
    </row>
    <row r="1775" spans="1:9" x14ac:dyDescent="0.2">
      <c r="A1775" s="2" t="s">
        <v>5321</v>
      </c>
      <c r="B1775" s="2" t="s">
        <v>5322</v>
      </c>
      <c r="C1775" s="2" t="s">
        <v>5323</v>
      </c>
      <c r="D1775" s="2" t="s">
        <v>10049</v>
      </c>
      <c r="E1775" s="15">
        <v>-1.9199999999999998E-2</v>
      </c>
      <c r="F1775" s="15">
        <v>7.5600000000000001E-2</v>
      </c>
      <c r="G1775" s="15">
        <v>-4.0800000000000003E-2</v>
      </c>
      <c r="H1775" s="15">
        <v>7.6300000000000007E-2</v>
      </c>
      <c r="I1775" s="15">
        <v>0.40143174884473681</v>
      </c>
    </row>
    <row r="1776" spans="1:9" x14ac:dyDescent="0.2">
      <c r="A1776" s="2" t="s">
        <v>5324</v>
      </c>
      <c r="B1776" s="2" t="s">
        <v>5325</v>
      </c>
      <c r="C1776" s="2" t="s">
        <v>5326</v>
      </c>
      <c r="D1776" s="2" t="s">
        <v>10049</v>
      </c>
      <c r="E1776" s="15">
        <v>-0.1328</v>
      </c>
      <c r="F1776" s="15">
        <v>7.6999999999999999E-2</v>
      </c>
      <c r="G1776" s="15">
        <v>-1.26E-2</v>
      </c>
      <c r="H1776" s="15">
        <v>8.1900000000000001E-2</v>
      </c>
      <c r="I1776" s="15">
        <v>0.10211877284709039</v>
      </c>
    </row>
    <row r="1777" spans="1:9" x14ac:dyDescent="0.2">
      <c r="A1777" s="2" t="s">
        <v>5327</v>
      </c>
      <c r="B1777" s="2" t="s">
        <v>5328</v>
      </c>
      <c r="C1777" s="2" t="s">
        <v>5329</v>
      </c>
      <c r="D1777" s="2" t="s">
        <v>10049</v>
      </c>
      <c r="E1777" s="15">
        <v>-6.6600000000000006E-2</v>
      </c>
      <c r="F1777" s="15">
        <v>7.1999999999999995E-2</v>
      </c>
      <c r="G1777" s="15">
        <v>4.5999999999999999E-3</v>
      </c>
      <c r="H1777" s="15">
        <v>9.3600000000000003E-2</v>
      </c>
      <c r="I1777" s="15">
        <v>0.24887242094098699</v>
      </c>
    </row>
    <row r="1778" spans="1:9" x14ac:dyDescent="0.2">
      <c r="A1778" s="2" t="s">
        <v>5330</v>
      </c>
      <c r="B1778" s="2" t="s">
        <v>5331</v>
      </c>
      <c r="C1778" s="2" t="s">
        <v>5332</v>
      </c>
      <c r="D1778" s="2" t="s">
        <v>10049</v>
      </c>
      <c r="E1778" s="15">
        <v>-6.8900000000000003E-2</v>
      </c>
      <c r="F1778" s="15">
        <v>6.9400000000000003E-2</v>
      </c>
      <c r="G1778" s="15">
        <v>-3.9699999999999999E-2</v>
      </c>
      <c r="H1778" s="15">
        <v>7.4099999999999999E-2</v>
      </c>
      <c r="I1778" s="15">
        <v>0.3642371950956555</v>
      </c>
    </row>
    <row r="1779" spans="1:9" x14ac:dyDescent="0.2">
      <c r="A1779" s="2" t="s">
        <v>5333</v>
      </c>
      <c r="B1779" s="2" t="s">
        <v>5334</v>
      </c>
      <c r="C1779" s="2" t="s">
        <v>5335</v>
      </c>
      <c r="D1779" s="2" t="s">
        <v>10049</v>
      </c>
      <c r="E1779" s="15">
        <v>-6.5299999999999997E-2</v>
      </c>
      <c r="F1779" s="15">
        <v>7.3200000000000001E-2</v>
      </c>
      <c r="G1779" s="15">
        <v>-1.47E-2</v>
      </c>
      <c r="H1779" s="15">
        <v>0.1022</v>
      </c>
      <c r="I1779" s="15">
        <v>0.32377994212518219</v>
      </c>
    </row>
    <row r="1780" spans="1:9" x14ac:dyDescent="0.2">
      <c r="A1780" s="2" t="s">
        <v>5336</v>
      </c>
      <c r="B1780" s="2" t="s">
        <v>5337</v>
      </c>
      <c r="C1780" s="2" t="s">
        <v>5338</v>
      </c>
      <c r="D1780" s="2" t="s">
        <v>10049</v>
      </c>
      <c r="E1780" s="15">
        <v>-1.9900000000000001E-2</v>
      </c>
      <c r="F1780" s="15">
        <v>8.3199999999999996E-2</v>
      </c>
      <c r="G1780" s="15">
        <v>-6.6299999999999998E-2</v>
      </c>
      <c r="H1780" s="15">
        <v>7.9100000000000004E-2</v>
      </c>
      <c r="I1780" s="15">
        <v>0.30172416772878841</v>
      </c>
    </row>
    <row r="1781" spans="1:9" x14ac:dyDescent="0.2">
      <c r="A1781" s="2" t="s">
        <v>5339</v>
      </c>
      <c r="B1781" s="2" t="s">
        <v>5340</v>
      </c>
      <c r="C1781" s="2" t="s">
        <v>5341</v>
      </c>
      <c r="D1781" s="2" t="s">
        <v>10049</v>
      </c>
      <c r="E1781" s="15">
        <v>2.3E-3</v>
      </c>
      <c r="F1781" s="15">
        <v>7.6399999999999996E-2</v>
      </c>
      <c r="G1781" s="15">
        <v>-0.10199999999999999</v>
      </c>
      <c r="H1781" s="15">
        <v>9.3700000000000006E-2</v>
      </c>
      <c r="I1781" s="15">
        <v>0.15683102022008011</v>
      </c>
    </row>
    <row r="1782" spans="1:9" x14ac:dyDescent="0.2">
      <c r="A1782" s="2" t="s">
        <v>5342</v>
      </c>
      <c r="B1782" s="2" t="s">
        <v>5343</v>
      </c>
      <c r="C1782" s="2" t="s">
        <v>5344</v>
      </c>
      <c r="D1782" s="2" t="s">
        <v>10049</v>
      </c>
      <c r="E1782" s="15">
        <v>-3.1800000000000002E-2</v>
      </c>
      <c r="F1782" s="15">
        <v>7.6399999999999996E-2</v>
      </c>
      <c r="G1782" s="15">
        <v>-6.83E-2</v>
      </c>
      <c r="H1782" s="15">
        <v>6.0600000000000001E-2</v>
      </c>
      <c r="I1782" s="15">
        <v>0.31244993631769308</v>
      </c>
    </row>
    <row r="1783" spans="1:9" x14ac:dyDescent="0.2">
      <c r="A1783" s="2" t="s">
        <v>5345</v>
      </c>
      <c r="B1783" s="2" t="s">
        <v>5346</v>
      </c>
      <c r="C1783" s="2" t="s">
        <v>5347</v>
      </c>
      <c r="D1783" s="2" t="s">
        <v>10049</v>
      </c>
      <c r="E1783" s="15">
        <v>-1.95E-2</v>
      </c>
      <c r="F1783" s="15">
        <v>7.5899999999999995E-2</v>
      </c>
      <c r="G1783" s="15">
        <v>-9.3899999999999997E-2</v>
      </c>
      <c r="H1783" s="15">
        <v>5.79E-2</v>
      </c>
      <c r="I1783" s="15">
        <v>0.14462243999363519</v>
      </c>
    </row>
    <row r="1784" spans="1:9" x14ac:dyDescent="0.2">
      <c r="A1784" s="2" t="s">
        <v>5348</v>
      </c>
      <c r="B1784" s="2" t="s">
        <v>5349</v>
      </c>
      <c r="C1784" s="2" t="s">
        <v>5350</v>
      </c>
      <c r="D1784" s="2" t="s">
        <v>10049</v>
      </c>
      <c r="E1784" s="15">
        <v>-9.2799999999999994E-2</v>
      </c>
      <c r="F1784" s="15">
        <v>7.4800000000000005E-2</v>
      </c>
      <c r="G1784" s="15">
        <v>-0.1414</v>
      </c>
      <c r="H1784" s="15">
        <v>6.8099999999999994E-2</v>
      </c>
      <c r="I1784" s="15">
        <v>0.27297813217089839</v>
      </c>
    </row>
    <row r="1785" spans="1:9" x14ac:dyDescent="0.2">
      <c r="A1785" s="2" t="s">
        <v>5351</v>
      </c>
      <c r="B1785" s="2" t="s">
        <v>5352</v>
      </c>
      <c r="C1785" s="2" t="s">
        <v>5353</v>
      </c>
      <c r="D1785" s="2" t="s">
        <v>10049</v>
      </c>
      <c r="E1785" s="15">
        <v>-2.6599999999999999E-2</v>
      </c>
      <c r="F1785" s="15">
        <v>7.0499999999999993E-2</v>
      </c>
      <c r="G1785" s="15">
        <v>-0.26440000000000002</v>
      </c>
      <c r="H1785" s="15">
        <v>9.2100000000000001E-2</v>
      </c>
      <c r="I1785" s="15">
        <v>9.6284095199867577E-3</v>
      </c>
    </row>
    <row r="1786" spans="1:9" x14ac:dyDescent="0.2">
      <c r="A1786" s="2" t="s">
        <v>5354</v>
      </c>
      <c r="B1786" s="2" t="s">
        <v>5355</v>
      </c>
      <c r="C1786" s="2" t="s">
        <v>5356</v>
      </c>
      <c r="D1786" s="2" t="s">
        <v>10049</v>
      </c>
      <c r="E1786" s="15">
        <v>-5.0299999999999997E-2</v>
      </c>
      <c r="F1786" s="15">
        <v>8.3099999999999993E-2</v>
      </c>
      <c r="G1786" s="15">
        <v>6.7100000000000007E-2</v>
      </c>
      <c r="H1786" s="15">
        <v>7.2499999999999995E-2</v>
      </c>
      <c r="I1786" s="15">
        <v>8.2100552337390539E-2</v>
      </c>
    </row>
    <row r="1787" spans="1:9" x14ac:dyDescent="0.2">
      <c r="A1787" s="2" t="s">
        <v>5357</v>
      </c>
      <c r="B1787" s="2" t="s">
        <v>5358</v>
      </c>
      <c r="C1787" s="2" t="s">
        <v>5359</v>
      </c>
      <c r="D1787" s="2" t="s">
        <v>10049</v>
      </c>
      <c r="E1787" s="15">
        <v>-8.8999999999999996E-2</v>
      </c>
      <c r="F1787" s="15">
        <v>8.2000000000000003E-2</v>
      </c>
      <c r="G1787" s="15">
        <v>9.98E-2</v>
      </c>
      <c r="H1787" s="15">
        <v>9.0899999999999995E-2</v>
      </c>
      <c r="I1787" s="15">
        <v>3.049758982098209E-2</v>
      </c>
    </row>
    <row r="1788" spans="1:9" x14ac:dyDescent="0.2">
      <c r="A1788" s="2" t="s">
        <v>5360</v>
      </c>
      <c r="B1788" s="2" t="s">
        <v>5361</v>
      </c>
      <c r="C1788" s="2" t="s">
        <v>5362</v>
      </c>
      <c r="D1788" s="2" t="s">
        <v>10049</v>
      </c>
      <c r="E1788" s="15">
        <v>-5.7200000000000001E-2</v>
      </c>
      <c r="F1788" s="15">
        <v>6.6400000000000001E-2</v>
      </c>
      <c r="G1788" s="15">
        <v>-7.7799999999999994E-2</v>
      </c>
      <c r="H1788" s="15">
        <v>7.1400000000000005E-2</v>
      </c>
      <c r="I1788" s="15">
        <v>0.39953811942833789</v>
      </c>
    </row>
    <row r="1789" spans="1:9" x14ac:dyDescent="0.2">
      <c r="A1789" s="2" t="s">
        <v>5363</v>
      </c>
      <c r="B1789" s="2" t="s">
        <v>5364</v>
      </c>
      <c r="C1789" s="2" t="s">
        <v>5365</v>
      </c>
      <c r="D1789" s="2" t="s">
        <v>10049</v>
      </c>
      <c r="E1789" s="15">
        <v>-7.7399999999999997E-2</v>
      </c>
      <c r="F1789" s="15">
        <v>6.8900000000000003E-2</v>
      </c>
      <c r="G1789" s="15">
        <v>-0.1013</v>
      </c>
      <c r="H1789" s="15">
        <v>7.1400000000000005E-2</v>
      </c>
      <c r="I1789" s="15">
        <v>0.38539914226188932</v>
      </c>
    </row>
    <row r="1790" spans="1:9" x14ac:dyDescent="0.2">
      <c r="A1790" s="2" t="s">
        <v>5366</v>
      </c>
      <c r="B1790" s="2" t="s">
        <v>5367</v>
      </c>
      <c r="C1790" s="2" t="s">
        <v>5368</v>
      </c>
      <c r="D1790" s="2" t="s">
        <v>10049</v>
      </c>
      <c r="E1790" s="15">
        <v>8.0799999999999997E-2</v>
      </c>
      <c r="F1790" s="15">
        <v>6.5699999999999995E-2</v>
      </c>
      <c r="G1790" s="15">
        <v>-8.0999999999999996E-3</v>
      </c>
      <c r="H1790" s="15">
        <v>9.5000000000000001E-2</v>
      </c>
      <c r="I1790" s="15">
        <v>0.19493721707823011</v>
      </c>
    </row>
    <row r="1791" spans="1:9" x14ac:dyDescent="0.2">
      <c r="A1791" s="2" t="s">
        <v>5369</v>
      </c>
      <c r="B1791" s="2" t="s">
        <v>5370</v>
      </c>
      <c r="C1791" s="2" t="s">
        <v>5371</v>
      </c>
      <c r="D1791" s="2" t="s">
        <v>10049</v>
      </c>
      <c r="E1791" s="15">
        <v>2.2499999999999999E-2</v>
      </c>
      <c r="F1791" s="15">
        <v>6.6199999999999995E-2</v>
      </c>
      <c r="G1791" s="15">
        <v>5.57E-2</v>
      </c>
      <c r="H1791" s="15">
        <v>8.5099999999999995E-2</v>
      </c>
      <c r="I1791" s="15">
        <v>0.36378220549159368</v>
      </c>
    </row>
    <row r="1792" spans="1:9" x14ac:dyDescent="0.2">
      <c r="A1792" s="2" t="s">
        <v>5372</v>
      </c>
      <c r="B1792" s="2" t="s">
        <v>5373</v>
      </c>
      <c r="C1792" s="2" t="s">
        <v>5374</v>
      </c>
      <c r="D1792" s="2" t="s">
        <v>10049</v>
      </c>
      <c r="E1792" s="15">
        <v>2.35E-2</v>
      </c>
      <c r="F1792" s="15">
        <v>8.2199999999999995E-2</v>
      </c>
      <c r="G1792" s="15">
        <v>-0.18759999999999999</v>
      </c>
      <c r="H1792" s="15">
        <v>7.3800000000000004E-2</v>
      </c>
      <c r="I1792" s="15">
        <v>6.9784949763150644E-3</v>
      </c>
    </row>
    <row r="1793" spans="1:9" x14ac:dyDescent="0.2">
      <c r="A1793" s="2" t="s">
        <v>5375</v>
      </c>
      <c r="B1793" s="2" t="s">
        <v>5376</v>
      </c>
      <c r="C1793" s="2" t="s">
        <v>5377</v>
      </c>
      <c r="D1793" s="2" t="s">
        <v>10049</v>
      </c>
      <c r="E1793" s="15">
        <v>4.1399999999999999E-2</v>
      </c>
      <c r="F1793" s="15">
        <v>8.4500000000000006E-2</v>
      </c>
      <c r="G1793" s="15">
        <v>-0.14410000000000001</v>
      </c>
      <c r="H1793" s="15">
        <v>7.22E-2</v>
      </c>
      <c r="I1793" s="15">
        <v>1.411961117995955E-2</v>
      </c>
    </row>
    <row r="1794" spans="1:9" x14ac:dyDescent="0.2">
      <c r="A1794" s="2" t="s">
        <v>5378</v>
      </c>
      <c r="B1794" s="2" t="s">
        <v>5379</v>
      </c>
      <c r="C1794" s="2" t="s">
        <v>5380</v>
      </c>
      <c r="D1794" s="2" t="s">
        <v>10049</v>
      </c>
      <c r="E1794" s="15">
        <v>-5.0799999999999998E-2</v>
      </c>
      <c r="F1794" s="15">
        <v>7.2999999999999995E-2</v>
      </c>
      <c r="G1794" s="15">
        <v>-9.6299999999999997E-2</v>
      </c>
      <c r="H1794" s="15">
        <v>7.8700000000000006E-2</v>
      </c>
      <c r="I1794" s="15">
        <v>0.30249436618910519</v>
      </c>
    </row>
    <row r="1795" spans="1:9" x14ac:dyDescent="0.2">
      <c r="A1795" s="2" t="s">
        <v>5381</v>
      </c>
      <c r="B1795" s="2" t="s">
        <v>5382</v>
      </c>
      <c r="C1795" s="2" t="s">
        <v>5383</v>
      </c>
      <c r="D1795" s="2" t="s">
        <v>10049</v>
      </c>
      <c r="E1795" s="15">
        <v>-8.6300000000000002E-2</v>
      </c>
      <c r="F1795" s="15">
        <v>8.8599999999999998E-2</v>
      </c>
      <c r="G1795" s="15">
        <v>-2.0999999999999999E-3</v>
      </c>
      <c r="H1795" s="15">
        <v>7.8200000000000006E-2</v>
      </c>
      <c r="I1795" s="15">
        <v>0.1744193235076707</v>
      </c>
    </row>
    <row r="1796" spans="1:9" x14ac:dyDescent="0.2">
      <c r="A1796" s="2" t="s">
        <v>5384</v>
      </c>
      <c r="B1796" s="2" t="s">
        <v>5385</v>
      </c>
      <c r="C1796" s="2" t="s">
        <v>5386</v>
      </c>
      <c r="D1796" s="2" t="s">
        <v>10049</v>
      </c>
      <c r="E1796" s="15">
        <v>-5.0000000000000001E-3</v>
      </c>
      <c r="F1796" s="15">
        <v>7.9100000000000004E-2</v>
      </c>
      <c r="G1796" s="15">
        <v>-0.06</v>
      </c>
      <c r="H1796" s="15">
        <v>7.5300000000000006E-2</v>
      </c>
      <c r="I1796" s="15">
        <v>0.27032416151273292</v>
      </c>
    </row>
    <row r="1797" spans="1:9" x14ac:dyDescent="0.2">
      <c r="A1797" s="2" t="s">
        <v>5387</v>
      </c>
      <c r="B1797" s="2" t="s">
        <v>5388</v>
      </c>
      <c r="C1797" s="2" t="s">
        <v>5389</v>
      </c>
      <c r="D1797" s="2" t="s">
        <v>10049</v>
      </c>
      <c r="E1797" s="15">
        <v>5.9700000000000003E-2</v>
      </c>
      <c r="F1797" s="15">
        <v>7.4499999999999997E-2</v>
      </c>
      <c r="G1797" s="15">
        <v>-1.67E-2</v>
      </c>
      <c r="H1797" s="15">
        <v>8.7300000000000003E-2</v>
      </c>
      <c r="I1797" s="15">
        <v>0.21767986741465981</v>
      </c>
    </row>
    <row r="1798" spans="1:9" x14ac:dyDescent="0.2">
      <c r="A1798" s="2" t="s">
        <v>5390</v>
      </c>
      <c r="B1798" s="2" t="s">
        <v>5391</v>
      </c>
      <c r="C1798" s="2" t="s">
        <v>5392</v>
      </c>
      <c r="D1798" s="2" t="s">
        <v>10049</v>
      </c>
      <c r="E1798" s="15">
        <v>9.3799999999999994E-2</v>
      </c>
      <c r="F1798" s="15">
        <v>7.8899999999999998E-2</v>
      </c>
      <c r="G1798" s="15">
        <v>-4.8599999999999997E-2</v>
      </c>
      <c r="H1798" s="15">
        <v>8.4099999999999994E-2</v>
      </c>
      <c r="I1798" s="15">
        <v>6.2774286100240467E-2</v>
      </c>
    </row>
    <row r="1799" spans="1:9" x14ac:dyDescent="0.2">
      <c r="A1799" s="2" t="s">
        <v>5393</v>
      </c>
      <c r="B1799" s="2" t="s">
        <v>5394</v>
      </c>
      <c r="C1799" s="2" t="s">
        <v>5395</v>
      </c>
      <c r="D1799" s="2" t="s">
        <v>10049</v>
      </c>
      <c r="E1799" s="15">
        <v>3.6900000000000002E-2</v>
      </c>
      <c r="F1799" s="15">
        <v>7.4499999999999997E-2</v>
      </c>
      <c r="G1799" s="15">
        <v>-7.3099999999999998E-2</v>
      </c>
      <c r="H1799" s="15">
        <v>7.6799999999999993E-2</v>
      </c>
      <c r="I1799" s="15">
        <v>0.101027081795538</v>
      </c>
    </row>
    <row r="1800" spans="1:9" x14ac:dyDescent="0.2">
      <c r="A1800" s="2" t="s">
        <v>5396</v>
      </c>
      <c r="B1800" s="2" t="s">
        <v>5397</v>
      </c>
      <c r="C1800" s="2" t="s">
        <v>5398</v>
      </c>
      <c r="D1800" s="2" t="s">
        <v>10049</v>
      </c>
      <c r="E1800" s="15">
        <v>-4.07E-2</v>
      </c>
      <c r="F1800" s="15">
        <v>7.6799999999999993E-2</v>
      </c>
      <c r="G1800" s="15">
        <v>-5.74E-2</v>
      </c>
      <c r="H1800" s="15">
        <v>6.3600000000000004E-2</v>
      </c>
      <c r="I1800" s="15">
        <v>0.41229621791174631</v>
      </c>
    </row>
    <row r="1801" spans="1:9" x14ac:dyDescent="0.2">
      <c r="A1801" s="2" t="s">
        <v>5399</v>
      </c>
      <c r="B1801" s="2" t="s">
        <v>5400</v>
      </c>
      <c r="C1801" s="2" t="s">
        <v>5401</v>
      </c>
      <c r="D1801" s="2" t="s">
        <v>10049</v>
      </c>
      <c r="E1801" s="15">
        <v>1.1900000000000001E-2</v>
      </c>
      <c r="F1801" s="15">
        <v>7.0900000000000005E-2</v>
      </c>
      <c r="G1801" s="15">
        <v>-1.2200000000000001E-2</v>
      </c>
      <c r="H1801" s="15">
        <v>6.7900000000000002E-2</v>
      </c>
      <c r="I1801" s="15">
        <v>0.38236995928427647</v>
      </c>
    </row>
    <row r="1802" spans="1:9" x14ac:dyDescent="0.2">
      <c r="A1802" s="2" t="s">
        <v>5402</v>
      </c>
      <c r="B1802" s="2" t="s">
        <v>5403</v>
      </c>
      <c r="C1802" s="2" t="s">
        <v>5404</v>
      </c>
      <c r="D1802" s="2" t="s">
        <v>10049</v>
      </c>
      <c r="E1802" s="15">
        <v>3.2500000000000001E-2</v>
      </c>
      <c r="F1802" s="15">
        <v>0.1021</v>
      </c>
      <c r="G1802" s="15">
        <v>-0.1242</v>
      </c>
      <c r="H1802" s="15">
        <v>9.5200000000000007E-2</v>
      </c>
      <c r="I1802" s="15">
        <v>8.1584230053619991E-2</v>
      </c>
    </row>
    <row r="1803" spans="1:9" x14ac:dyDescent="0.2">
      <c r="A1803" s="2" t="s">
        <v>5405</v>
      </c>
      <c r="B1803" s="2" t="s">
        <v>5406</v>
      </c>
      <c r="C1803" s="2" t="s">
        <v>5407</v>
      </c>
      <c r="D1803" s="2" t="s">
        <v>10049</v>
      </c>
      <c r="E1803" s="15">
        <v>4.7899999999999998E-2</v>
      </c>
      <c r="F1803" s="15">
        <v>8.7300000000000003E-2</v>
      </c>
      <c r="G1803" s="15">
        <v>-0.18659999999999999</v>
      </c>
      <c r="H1803" s="15">
        <v>0.13</v>
      </c>
      <c r="I1803" s="15">
        <v>4.9169820206720657E-2</v>
      </c>
    </row>
    <row r="1804" spans="1:9" x14ac:dyDescent="0.2">
      <c r="A1804" s="2" t="s">
        <v>5408</v>
      </c>
      <c r="B1804" s="2" t="s">
        <v>5409</v>
      </c>
      <c r="C1804" s="2" t="s">
        <v>5410</v>
      </c>
      <c r="D1804" s="2" t="s">
        <v>10049</v>
      </c>
      <c r="E1804" s="15">
        <v>4.3099999999999999E-2</v>
      </c>
      <c r="F1804" s="15">
        <v>7.9799999999999996E-2</v>
      </c>
      <c r="G1804" s="15">
        <v>-5.3100000000000001E-2</v>
      </c>
      <c r="H1804" s="15">
        <v>8.7599999999999997E-2</v>
      </c>
      <c r="I1804" s="15">
        <v>0.16444006671866751</v>
      </c>
    </row>
    <row r="1805" spans="1:9" x14ac:dyDescent="0.2">
      <c r="A1805" s="2" t="s">
        <v>5411</v>
      </c>
      <c r="B1805" s="2" t="s">
        <v>5412</v>
      </c>
      <c r="C1805" s="2" t="s">
        <v>5413</v>
      </c>
      <c r="D1805" s="2" t="s">
        <v>10049</v>
      </c>
      <c r="E1805" s="15">
        <v>-9.7000000000000003E-3</v>
      </c>
      <c r="F1805" s="15">
        <v>6.9800000000000001E-2</v>
      </c>
      <c r="G1805" s="15">
        <v>-8.8200000000000001E-2</v>
      </c>
      <c r="H1805" s="15">
        <v>9.1600000000000001E-2</v>
      </c>
      <c r="I1805" s="15">
        <v>0.21865648783782859</v>
      </c>
    </row>
    <row r="1806" spans="1:9" x14ac:dyDescent="0.2">
      <c r="A1806" s="2" t="s">
        <v>5414</v>
      </c>
      <c r="B1806" s="2" t="s">
        <v>5415</v>
      </c>
      <c r="C1806" s="2" t="s">
        <v>5416</v>
      </c>
      <c r="D1806" s="2" t="s">
        <v>10049</v>
      </c>
      <c r="E1806" s="15">
        <v>2E-3</v>
      </c>
      <c r="F1806" s="15">
        <v>7.0400000000000004E-2</v>
      </c>
      <c r="G1806" s="15">
        <v>4.2099999999999999E-2</v>
      </c>
      <c r="H1806" s="15">
        <v>8.5500000000000007E-2</v>
      </c>
      <c r="I1806" s="15">
        <v>0.3367506678683273</v>
      </c>
    </row>
    <row r="1807" spans="1:9" x14ac:dyDescent="0.2">
      <c r="A1807" s="2" t="s">
        <v>5417</v>
      </c>
      <c r="B1807" s="2" t="s">
        <v>5418</v>
      </c>
      <c r="C1807" s="2" t="s">
        <v>5419</v>
      </c>
      <c r="D1807" s="2" t="s">
        <v>10049</v>
      </c>
      <c r="E1807" s="15">
        <v>2.29E-2</v>
      </c>
      <c r="F1807" s="15">
        <v>6.9400000000000003E-2</v>
      </c>
      <c r="G1807" s="15">
        <v>-1.01E-2</v>
      </c>
      <c r="H1807" s="15">
        <v>6.8400000000000002E-2</v>
      </c>
      <c r="I1807" s="15">
        <v>0.34019214274668408</v>
      </c>
    </row>
    <row r="1808" spans="1:9" x14ac:dyDescent="0.2">
      <c r="A1808" s="2" t="s">
        <v>5420</v>
      </c>
      <c r="B1808" s="2" t="s">
        <v>5421</v>
      </c>
      <c r="C1808" s="2" t="s">
        <v>5422</v>
      </c>
      <c r="D1808" s="2" t="s">
        <v>10049</v>
      </c>
      <c r="E1808" s="15">
        <v>4.9500000000000002E-2</v>
      </c>
      <c r="F1808" s="15">
        <v>6.8599999999999994E-2</v>
      </c>
      <c r="G1808" s="15">
        <v>-1.6299999999999999E-2</v>
      </c>
      <c r="H1808" s="15">
        <v>7.6100000000000001E-2</v>
      </c>
      <c r="I1808" s="15">
        <v>0.2236422283242771</v>
      </c>
    </row>
    <row r="1809" spans="1:9" x14ac:dyDescent="0.2">
      <c r="A1809" s="2" t="s">
        <v>5423</v>
      </c>
      <c r="B1809" s="2" t="s">
        <v>5424</v>
      </c>
      <c r="C1809" s="2" t="s">
        <v>5425</v>
      </c>
      <c r="D1809" s="2" t="s">
        <v>10049</v>
      </c>
      <c r="E1809" s="15">
        <v>5.0000000000000001E-4</v>
      </c>
      <c r="F1809" s="15">
        <v>6.5299999999999997E-2</v>
      </c>
      <c r="G1809" s="15">
        <v>-7.7600000000000002E-2</v>
      </c>
      <c r="H1809" s="15">
        <v>7.3800000000000004E-2</v>
      </c>
      <c r="I1809" s="15">
        <v>0.1743223885851391</v>
      </c>
    </row>
    <row r="1810" spans="1:9" x14ac:dyDescent="0.2">
      <c r="A1810" s="2" t="s">
        <v>5426</v>
      </c>
      <c r="B1810" s="2" t="s">
        <v>5427</v>
      </c>
      <c r="C1810" s="2" t="s">
        <v>5428</v>
      </c>
      <c r="D1810" s="2" t="s">
        <v>10049</v>
      </c>
      <c r="E1810" s="15">
        <v>1.1299999999999999E-2</v>
      </c>
      <c r="F1810" s="15">
        <v>6.5199999999999994E-2</v>
      </c>
      <c r="G1810" s="15">
        <v>-7.4999999999999997E-2</v>
      </c>
      <c r="H1810" s="15">
        <v>7.8200000000000006E-2</v>
      </c>
      <c r="I1810" s="15">
        <v>0.16546828487295401</v>
      </c>
    </row>
    <row r="1811" spans="1:9" x14ac:dyDescent="0.2">
      <c r="A1811" s="2" t="s">
        <v>5429</v>
      </c>
      <c r="B1811" s="2" t="s">
        <v>5430</v>
      </c>
      <c r="C1811" s="2" t="s">
        <v>5431</v>
      </c>
      <c r="D1811" s="2" t="s">
        <v>10049</v>
      </c>
      <c r="E1811" s="15">
        <v>-1.6000000000000001E-3</v>
      </c>
      <c r="F1811" s="15">
        <v>6.4899999999999999E-2</v>
      </c>
      <c r="G1811" s="15">
        <v>-5.2600000000000001E-2</v>
      </c>
      <c r="H1811" s="15">
        <v>6.9500000000000006E-2</v>
      </c>
      <c r="I1811" s="15">
        <v>0.26021409575649301</v>
      </c>
    </row>
    <row r="1812" spans="1:9" x14ac:dyDescent="0.2">
      <c r="A1812" s="2" t="s">
        <v>5432</v>
      </c>
      <c r="B1812" s="2" t="s">
        <v>5433</v>
      </c>
      <c r="C1812" s="2" t="s">
        <v>5434</v>
      </c>
      <c r="D1812" s="2" t="s">
        <v>10049</v>
      </c>
      <c r="E1812" s="15">
        <v>2.5000000000000001E-3</v>
      </c>
      <c r="F1812" s="15">
        <v>9.11E-2</v>
      </c>
      <c r="G1812" s="15">
        <v>-2.9100000000000001E-2</v>
      </c>
      <c r="H1812" s="15">
        <v>9.01E-2</v>
      </c>
      <c r="I1812" s="15">
        <v>0.38059910770970518</v>
      </c>
    </row>
    <row r="1813" spans="1:9" x14ac:dyDescent="0.2">
      <c r="A1813" s="2" t="s">
        <v>5435</v>
      </c>
      <c r="B1813" s="2" t="s">
        <v>5436</v>
      </c>
      <c r="C1813" s="2" t="s">
        <v>5437</v>
      </c>
      <c r="D1813" s="2" t="s">
        <v>10049</v>
      </c>
      <c r="E1813" s="15">
        <v>-0.1275</v>
      </c>
      <c r="F1813" s="15">
        <v>0.1105</v>
      </c>
      <c r="G1813" s="15">
        <v>-0.121</v>
      </c>
      <c r="H1813" s="15">
        <v>0.16250000000000001</v>
      </c>
      <c r="I1813" s="15">
        <v>0.48484629901475862</v>
      </c>
    </row>
    <row r="1814" spans="1:9" x14ac:dyDescent="0.2">
      <c r="A1814" s="2" t="s">
        <v>5438</v>
      </c>
      <c r="B1814" s="2" t="s">
        <v>5439</v>
      </c>
      <c r="C1814" s="2" t="s">
        <v>5440</v>
      </c>
      <c r="D1814" s="2" t="s">
        <v>10049</v>
      </c>
      <c r="E1814" s="15">
        <v>8.0699999999999994E-2</v>
      </c>
      <c r="F1814" s="15">
        <v>0.1363</v>
      </c>
      <c r="G1814" s="15">
        <v>0.1431</v>
      </c>
      <c r="H1814" s="15">
        <v>0.1401</v>
      </c>
      <c r="I1814" s="15">
        <v>0.3391464358704519</v>
      </c>
    </row>
    <row r="1815" spans="1:9" x14ac:dyDescent="0.2">
      <c r="A1815" s="2" t="s">
        <v>5441</v>
      </c>
      <c r="B1815" s="2" t="s">
        <v>5442</v>
      </c>
      <c r="C1815" s="2" t="s">
        <v>5443</v>
      </c>
      <c r="D1815" s="2" t="s">
        <v>10049</v>
      </c>
      <c r="E1815" s="15">
        <v>6.7000000000000004E-2</v>
      </c>
      <c r="F1815" s="15">
        <v>8.7999999999999995E-2</v>
      </c>
      <c r="G1815" s="15">
        <v>9.9000000000000005E-2</v>
      </c>
      <c r="H1815" s="15">
        <v>0.08</v>
      </c>
      <c r="I1815" s="15">
        <v>0.36665651038848007</v>
      </c>
    </row>
    <row r="1816" spans="1:9" x14ac:dyDescent="0.2">
      <c r="A1816" s="2" t="s">
        <v>5444</v>
      </c>
      <c r="B1816" s="2" t="s">
        <v>5445</v>
      </c>
      <c r="C1816" s="2" t="s">
        <v>5446</v>
      </c>
      <c r="D1816" s="2" t="s">
        <v>10049</v>
      </c>
      <c r="E1816" s="15">
        <v>7.6E-3</v>
      </c>
      <c r="F1816" s="15">
        <v>8.6199999999999999E-2</v>
      </c>
      <c r="G1816" s="15">
        <v>-1.77E-2</v>
      </c>
      <c r="H1816" s="15">
        <v>6.7400000000000002E-2</v>
      </c>
      <c r="I1816" s="15">
        <v>0.37769391237860278</v>
      </c>
    </row>
    <row r="1817" spans="1:9" x14ac:dyDescent="0.2">
      <c r="A1817" s="2" t="s">
        <v>5447</v>
      </c>
      <c r="B1817" s="2" t="s">
        <v>5448</v>
      </c>
      <c r="C1817" s="2" t="s">
        <v>5449</v>
      </c>
      <c r="D1817" s="2" t="s">
        <v>10049</v>
      </c>
      <c r="E1817" s="15">
        <v>4.7000000000000002E-3</v>
      </c>
      <c r="F1817" s="15">
        <v>6.2799999999999995E-2</v>
      </c>
      <c r="G1817" s="15">
        <v>-2.6499999999999999E-2</v>
      </c>
      <c r="H1817" s="15">
        <v>6.0699999999999997E-2</v>
      </c>
      <c r="I1817" s="15">
        <v>0.32932480208246689</v>
      </c>
    </row>
    <row r="1818" spans="1:9" x14ac:dyDescent="0.2">
      <c r="A1818" s="2" t="s">
        <v>5450</v>
      </c>
      <c r="B1818" s="2" t="s">
        <v>5451</v>
      </c>
      <c r="C1818" s="2" t="s">
        <v>5452</v>
      </c>
      <c r="D1818" s="2" t="s">
        <v>10049</v>
      </c>
      <c r="E1818" s="15">
        <v>8.8000000000000005E-3</v>
      </c>
      <c r="F1818" s="15">
        <v>6.1199999999999997E-2</v>
      </c>
      <c r="G1818" s="15">
        <v>-0.02</v>
      </c>
      <c r="H1818" s="15">
        <v>5.9900000000000002E-2</v>
      </c>
      <c r="I1818" s="15">
        <v>0.33979890730909279</v>
      </c>
    </row>
    <row r="1819" spans="1:9" x14ac:dyDescent="0.2">
      <c r="A1819" s="2" t="s">
        <v>5453</v>
      </c>
      <c r="B1819" s="2" t="s">
        <v>5454</v>
      </c>
      <c r="C1819" s="2" t="s">
        <v>5455</v>
      </c>
      <c r="D1819" s="2" t="s">
        <v>10049</v>
      </c>
      <c r="E1819" s="15">
        <v>3.27E-2</v>
      </c>
      <c r="F1819" s="15">
        <v>7.6799999999999993E-2</v>
      </c>
      <c r="G1819" s="15">
        <v>-6.0100000000000001E-2</v>
      </c>
      <c r="H1819" s="15">
        <v>8.3199999999999996E-2</v>
      </c>
      <c r="I1819" s="15">
        <v>0.16004771176678881</v>
      </c>
    </row>
    <row r="1820" spans="1:9" x14ac:dyDescent="0.2">
      <c r="A1820" s="2" t="s">
        <v>5456</v>
      </c>
      <c r="B1820" s="2" t="s">
        <v>5457</v>
      </c>
      <c r="C1820" s="2" t="s">
        <v>5458</v>
      </c>
      <c r="D1820" s="2" t="s">
        <v>10049</v>
      </c>
      <c r="E1820" s="15">
        <v>-0.01</v>
      </c>
      <c r="F1820" s="15">
        <v>7.4399999999999994E-2</v>
      </c>
      <c r="G1820" s="15">
        <v>-3.56E-2</v>
      </c>
      <c r="H1820" s="15">
        <v>6.4500000000000002E-2</v>
      </c>
      <c r="I1820" s="15">
        <v>0.36680089724425019</v>
      </c>
    </row>
    <row r="1821" spans="1:9" x14ac:dyDescent="0.2">
      <c r="A1821" s="2" t="s">
        <v>5459</v>
      </c>
      <c r="B1821" s="2" t="s">
        <v>5460</v>
      </c>
      <c r="C1821" s="2" t="s">
        <v>5461</v>
      </c>
      <c r="D1821" s="2" t="s">
        <v>10049</v>
      </c>
      <c r="E1821" s="15">
        <v>9.4899999999999998E-2</v>
      </c>
      <c r="F1821" s="15">
        <v>7.4700000000000003E-2</v>
      </c>
      <c r="G1821" s="15">
        <v>-0.12690000000000001</v>
      </c>
      <c r="H1821" s="15">
        <v>7.4800000000000005E-2</v>
      </c>
      <c r="I1821" s="15">
        <v>4.5595635422421218E-3</v>
      </c>
    </row>
    <row r="1822" spans="1:9" x14ac:dyDescent="0.2">
      <c r="A1822" s="2" t="s">
        <v>5462</v>
      </c>
      <c r="B1822" s="2" t="s">
        <v>5463</v>
      </c>
      <c r="C1822" s="2" t="s">
        <v>5464</v>
      </c>
      <c r="D1822" s="2" t="s">
        <v>10049</v>
      </c>
      <c r="E1822" s="15">
        <v>3.2399999999999998E-2</v>
      </c>
      <c r="F1822" s="15">
        <v>6.4100000000000004E-2</v>
      </c>
      <c r="G1822" s="15">
        <v>-0.12520000000000001</v>
      </c>
      <c r="H1822" s="15">
        <v>6.5199999999999994E-2</v>
      </c>
      <c r="I1822" s="15">
        <v>1.8382153836693099E-2</v>
      </c>
    </row>
    <row r="1823" spans="1:9" x14ac:dyDescent="0.2">
      <c r="A1823" s="2" t="s">
        <v>5465</v>
      </c>
      <c r="B1823" s="2" t="s">
        <v>5466</v>
      </c>
      <c r="C1823" s="2" t="s">
        <v>5467</v>
      </c>
      <c r="D1823" s="2" t="s">
        <v>10049</v>
      </c>
      <c r="E1823" s="15">
        <v>6.6100000000000006E-2</v>
      </c>
      <c r="F1823" s="15">
        <v>9.4899999999999998E-2</v>
      </c>
      <c r="G1823" s="15">
        <v>-3.1099999999999999E-2</v>
      </c>
      <c r="H1823" s="15">
        <v>9.8100000000000007E-2</v>
      </c>
      <c r="I1823" s="15">
        <v>0.19076750682400651</v>
      </c>
    </row>
    <row r="1824" spans="1:9" x14ac:dyDescent="0.2">
      <c r="A1824" s="2" t="s">
        <v>5468</v>
      </c>
      <c r="B1824" s="2" t="s">
        <v>5469</v>
      </c>
      <c r="C1824" s="2" t="s">
        <v>5470</v>
      </c>
      <c r="D1824" s="2" t="s">
        <v>10049</v>
      </c>
      <c r="E1824" s="15">
        <v>0.12920000000000001</v>
      </c>
      <c r="F1824" s="15">
        <v>8.1199999999999994E-2</v>
      </c>
      <c r="G1824" s="15">
        <v>2.7E-2</v>
      </c>
      <c r="H1824" s="15">
        <v>8.4199999999999997E-2</v>
      </c>
      <c r="I1824" s="15">
        <v>0.14400064544890001</v>
      </c>
    </row>
    <row r="1825" spans="1:9" x14ac:dyDescent="0.2">
      <c r="A1825" s="2" t="s">
        <v>5471</v>
      </c>
      <c r="B1825" s="2" t="s">
        <v>5472</v>
      </c>
      <c r="C1825" s="2" t="s">
        <v>5473</v>
      </c>
      <c r="D1825" s="2" t="s">
        <v>10049</v>
      </c>
      <c r="E1825" s="15">
        <v>0.16839999999999999</v>
      </c>
      <c r="F1825" s="15">
        <v>9.7900000000000001E-2</v>
      </c>
      <c r="G1825" s="15">
        <v>1.7500000000000002E-2</v>
      </c>
      <c r="H1825" s="15">
        <v>7.85E-2</v>
      </c>
      <c r="I1825" s="15">
        <v>4.8421085273912888E-2</v>
      </c>
    </row>
    <row r="1826" spans="1:9" x14ac:dyDescent="0.2">
      <c r="A1826" s="2" t="s">
        <v>5474</v>
      </c>
      <c r="B1826" s="2" t="s">
        <v>5475</v>
      </c>
      <c r="C1826" s="2" t="s">
        <v>5476</v>
      </c>
      <c r="D1826" s="2" t="s">
        <v>10049</v>
      </c>
      <c r="E1826" s="15">
        <v>0.1004</v>
      </c>
      <c r="F1826" s="15">
        <v>8.6900000000000005E-2</v>
      </c>
      <c r="G1826" s="15">
        <v>-3.85E-2</v>
      </c>
      <c r="H1826" s="15">
        <v>7.0199999999999999E-2</v>
      </c>
      <c r="I1826" s="15">
        <v>4.7987192452186321E-2</v>
      </c>
    </row>
    <row r="1827" spans="1:9" x14ac:dyDescent="0.2">
      <c r="A1827" s="2" t="s">
        <v>5477</v>
      </c>
      <c r="B1827" s="2" t="s">
        <v>5478</v>
      </c>
      <c r="C1827" s="2" t="s">
        <v>5479</v>
      </c>
      <c r="D1827" s="2" t="s">
        <v>10049</v>
      </c>
      <c r="E1827" s="15">
        <v>-8.5000000000000006E-3</v>
      </c>
      <c r="F1827" s="15">
        <v>8.7599999999999997E-2</v>
      </c>
      <c r="G1827" s="15">
        <v>0.1067</v>
      </c>
      <c r="H1827" s="15">
        <v>0.1094</v>
      </c>
      <c r="I1827" s="15">
        <v>0.1691831327654357</v>
      </c>
    </row>
    <row r="1828" spans="1:9" x14ac:dyDescent="0.2">
      <c r="A1828" s="2" t="s">
        <v>5480</v>
      </c>
      <c r="B1828" s="2" t="s">
        <v>5481</v>
      </c>
      <c r="C1828" s="2" t="s">
        <v>5482</v>
      </c>
      <c r="D1828" s="2" t="s">
        <v>10049</v>
      </c>
      <c r="E1828" s="15">
        <v>-2.8500000000000001E-2</v>
      </c>
      <c r="F1828" s="15">
        <v>6.7299999999999999E-2</v>
      </c>
      <c r="G1828" s="15">
        <v>0.13950000000000001</v>
      </c>
      <c r="H1828" s="15">
        <v>9.8599999999999993E-2</v>
      </c>
      <c r="I1828" s="15">
        <v>6.1429640663247347E-2</v>
      </c>
    </row>
    <row r="1829" spans="1:9" x14ac:dyDescent="0.2">
      <c r="A1829" s="2" t="s">
        <v>5483</v>
      </c>
      <c r="B1829" s="2" t="s">
        <v>5484</v>
      </c>
      <c r="C1829" s="2" t="s">
        <v>5485</v>
      </c>
      <c r="D1829" s="2" t="s">
        <v>10049</v>
      </c>
      <c r="E1829" s="15">
        <v>0.15579999999999999</v>
      </c>
      <c r="F1829" s="15">
        <v>0.1449</v>
      </c>
      <c r="G1829" s="15">
        <v>-3.6900000000000002E-2</v>
      </c>
      <c r="H1829" s="15">
        <v>9.1399999999999995E-2</v>
      </c>
      <c r="I1829" s="15">
        <v>4.3128653641932108E-2</v>
      </c>
    </row>
    <row r="1830" spans="1:9" x14ac:dyDescent="0.2">
      <c r="A1830" s="2" t="s">
        <v>5486</v>
      </c>
      <c r="B1830" s="2" t="s">
        <v>5487</v>
      </c>
      <c r="C1830" s="2" t="s">
        <v>5488</v>
      </c>
      <c r="D1830" s="2" t="s">
        <v>10049</v>
      </c>
      <c r="E1830" s="15">
        <v>0.12559999999999999</v>
      </c>
      <c r="F1830" s="15">
        <v>9.64E-2</v>
      </c>
      <c r="G1830" s="15">
        <v>-9.1200000000000003E-2</v>
      </c>
      <c r="H1830" s="15">
        <v>0.14000000000000001</v>
      </c>
      <c r="I1830" s="15">
        <v>7.9004728916896583E-2</v>
      </c>
    </row>
    <row r="1831" spans="1:9" x14ac:dyDescent="0.2">
      <c r="A1831" s="2" t="s">
        <v>5489</v>
      </c>
      <c r="B1831" s="2" t="s">
        <v>5490</v>
      </c>
      <c r="C1831" s="2" t="s">
        <v>5491</v>
      </c>
      <c r="D1831" s="2" t="s">
        <v>10049</v>
      </c>
      <c r="E1831" s="15">
        <v>0.1517</v>
      </c>
      <c r="F1831" s="15">
        <v>6.9199999999999998E-2</v>
      </c>
      <c r="G1831" s="15">
        <v>1.14E-2</v>
      </c>
      <c r="H1831" s="15">
        <v>6.6799999999999998E-2</v>
      </c>
      <c r="I1831" s="15">
        <v>3.750108117233078E-2</v>
      </c>
    </row>
    <row r="1832" spans="1:9" x14ac:dyDescent="0.2">
      <c r="A1832" s="2" t="s">
        <v>5492</v>
      </c>
      <c r="B1832" s="2" t="s">
        <v>5493</v>
      </c>
      <c r="C1832" s="2" t="s">
        <v>5494</v>
      </c>
      <c r="D1832" s="2" t="s">
        <v>10049</v>
      </c>
      <c r="E1832" s="15">
        <v>9.6500000000000002E-2</v>
      </c>
      <c r="F1832" s="15">
        <v>6.5699999999999995E-2</v>
      </c>
      <c r="G1832" s="15">
        <v>-3.9899999999999998E-2</v>
      </c>
      <c r="H1832" s="15">
        <v>7.1999999999999995E-2</v>
      </c>
      <c r="I1832" s="15">
        <v>5.077658768675064E-2</v>
      </c>
    </row>
    <row r="1833" spans="1:9" x14ac:dyDescent="0.2">
      <c r="A1833" s="2" t="s">
        <v>5495</v>
      </c>
      <c r="B1833" s="2" t="s">
        <v>5496</v>
      </c>
      <c r="C1833" s="2" t="s">
        <v>5497</v>
      </c>
      <c r="D1833" s="2" t="s">
        <v>10049</v>
      </c>
      <c r="E1833" s="15">
        <v>4.5499999999999999E-2</v>
      </c>
      <c r="F1833" s="15">
        <v>7.4399999999999994E-2</v>
      </c>
      <c r="G1833" s="15">
        <v>6.4100000000000004E-2</v>
      </c>
      <c r="H1833" s="15">
        <v>8.5099999999999995E-2</v>
      </c>
      <c r="I1833" s="15">
        <v>0.42328481267700829</v>
      </c>
    </row>
    <row r="1834" spans="1:9" x14ac:dyDescent="0.2">
      <c r="A1834" s="2" t="s">
        <v>5498</v>
      </c>
      <c r="B1834" s="2" t="s">
        <v>5499</v>
      </c>
      <c r="C1834" s="2" t="s">
        <v>5500</v>
      </c>
      <c r="D1834" s="2" t="s">
        <v>10049</v>
      </c>
      <c r="E1834" s="15">
        <v>8.6099999999999996E-2</v>
      </c>
      <c r="F1834" s="15">
        <v>6.8099999999999994E-2</v>
      </c>
      <c r="G1834" s="15">
        <v>-8.9999999999999993E-3</v>
      </c>
      <c r="H1834" s="15">
        <v>6.3E-2</v>
      </c>
      <c r="I1834" s="15">
        <v>0.1038926115176861</v>
      </c>
    </row>
    <row r="1835" spans="1:9" x14ac:dyDescent="0.2">
      <c r="A1835" s="2" t="s">
        <v>5501</v>
      </c>
      <c r="B1835" s="2" t="s">
        <v>5502</v>
      </c>
      <c r="C1835" s="2" t="s">
        <v>5503</v>
      </c>
      <c r="D1835" s="2" t="s">
        <v>10049</v>
      </c>
      <c r="E1835" s="15">
        <v>7.5200000000000003E-2</v>
      </c>
      <c r="F1835" s="15">
        <v>7.6499999999999999E-2</v>
      </c>
      <c r="G1835" s="15">
        <v>2.5100000000000001E-2</v>
      </c>
      <c r="H1835" s="15">
        <v>7.8700000000000006E-2</v>
      </c>
      <c r="I1835" s="15">
        <v>0.28881475603007761</v>
      </c>
    </row>
    <row r="1836" spans="1:9" x14ac:dyDescent="0.2">
      <c r="A1836" s="2" t="s">
        <v>5504</v>
      </c>
      <c r="B1836" s="2" t="s">
        <v>5505</v>
      </c>
      <c r="C1836" s="2" t="s">
        <v>5506</v>
      </c>
      <c r="D1836" s="2" t="s">
        <v>10049</v>
      </c>
      <c r="E1836" s="15">
        <v>5.4600000000000003E-2</v>
      </c>
      <c r="F1836" s="15">
        <v>7.46E-2</v>
      </c>
      <c r="G1836" s="15">
        <v>-6.1100000000000002E-2</v>
      </c>
      <c r="H1836" s="15">
        <v>7.2999999999999995E-2</v>
      </c>
      <c r="I1836" s="15">
        <v>8.4125604879923446E-2</v>
      </c>
    </row>
    <row r="1837" spans="1:9" x14ac:dyDescent="0.2">
      <c r="A1837" s="2" t="s">
        <v>5507</v>
      </c>
      <c r="B1837" s="2" t="s">
        <v>5508</v>
      </c>
      <c r="C1837" s="2" t="s">
        <v>5509</v>
      </c>
      <c r="D1837" s="2" t="s">
        <v>10049</v>
      </c>
      <c r="E1837" s="15">
        <v>9.5399999999999999E-2</v>
      </c>
      <c r="F1837" s="15">
        <v>7.4800000000000005E-2</v>
      </c>
      <c r="G1837" s="15">
        <v>-4.3499999999999997E-2</v>
      </c>
      <c r="H1837" s="15">
        <v>7.2400000000000006E-2</v>
      </c>
      <c r="I1837" s="15">
        <v>4.9932523323821268E-2</v>
      </c>
    </row>
    <row r="1838" spans="1:9" x14ac:dyDescent="0.2">
      <c r="A1838" s="2" t="s">
        <v>5510</v>
      </c>
      <c r="B1838" s="2" t="s">
        <v>5511</v>
      </c>
      <c r="C1838" s="2" t="s">
        <v>5512</v>
      </c>
      <c r="D1838" s="2" t="s">
        <v>10049</v>
      </c>
      <c r="E1838" s="15">
        <v>5.6000000000000001E-2</v>
      </c>
      <c r="F1838" s="15">
        <v>7.22E-2</v>
      </c>
      <c r="G1838" s="15">
        <v>-1.4999999999999999E-2</v>
      </c>
      <c r="H1838" s="15">
        <v>7.0699999999999999E-2</v>
      </c>
      <c r="I1838" s="15">
        <v>0.18989685892387051</v>
      </c>
    </row>
    <row r="1839" spans="1:9" x14ac:dyDescent="0.2">
      <c r="A1839" s="2" t="s">
        <v>5513</v>
      </c>
      <c r="B1839" s="2" t="s">
        <v>5514</v>
      </c>
      <c r="C1839" s="2" t="s">
        <v>5515</v>
      </c>
      <c r="D1839" s="2" t="s">
        <v>10049</v>
      </c>
      <c r="E1839" s="15">
        <v>4.1200000000000001E-2</v>
      </c>
      <c r="F1839" s="15">
        <v>8.2000000000000003E-2</v>
      </c>
      <c r="G1839" s="15">
        <v>7.0000000000000001E-3</v>
      </c>
      <c r="H1839" s="15">
        <v>8.1600000000000006E-2</v>
      </c>
      <c r="I1839" s="15">
        <v>0.35910029206852129</v>
      </c>
    </row>
    <row r="1840" spans="1:9" x14ac:dyDescent="0.2">
      <c r="A1840" s="2" t="s">
        <v>5516</v>
      </c>
      <c r="B1840" s="2" t="s">
        <v>5517</v>
      </c>
      <c r="C1840" s="2" t="s">
        <v>5518</v>
      </c>
      <c r="D1840" s="2" t="s">
        <v>10049</v>
      </c>
      <c r="E1840" s="15">
        <v>-6.6699999999999995E-2</v>
      </c>
      <c r="F1840" s="15">
        <v>8.9499999999999996E-2</v>
      </c>
      <c r="G1840" s="15">
        <v>-3.0300000000000001E-2</v>
      </c>
      <c r="H1840" s="15">
        <v>8.2799999999999999E-2</v>
      </c>
      <c r="I1840" s="15">
        <v>0.35008963708019758</v>
      </c>
    </row>
    <row r="1841" spans="1:9" x14ac:dyDescent="0.2">
      <c r="A1841" s="2" t="s">
        <v>5519</v>
      </c>
      <c r="B1841" s="2" t="s">
        <v>5520</v>
      </c>
      <c r="C1841" s="2" t="s">
        <v>5521</v>
      </c>
      <c r="D1841" s="2" t="s">
        <v>10049</v>
      </c>
      <c r="E1841" s="15">
        <v>9.6500000000000002E-2</v>
      </c>
      <c r="F1841" s="15">
        <v>0.13109999999999999</v>
      </c>
      <c r="G1841" s="15">
        <v>0.13159999999999999</v>
      </c>
      <c r="H1841" s="15">
        <v>8.5599999999999996E-2</v>
      </c>
      <c r="I1841" s="15">
        <v>0.36076903315418918</v>
      </c>
    </row>
    <row r="1842" spans="1:9" x14ac:dyDescent="0.2">
      <c r="A1842" s="2" t="s">
        <v>5522</v>
      </c>
      <c r="B1842" s="2" t="s">
        <v>5523</v>
      </c>
      <c r="C1842" s="2" t="s">
        <v>5524</v>
      </c>
      <c r="D1842" s="2" t="s">
        <v>10049</v>
      </c>
      <c r="E1842" s="15">
        <v>0.1512</v>
      </c>
      <c r="F1842" s="15">
        <v>9.8900000000000002E-2</v>
      </c>
      <c r="G1842" s="15">
        <v>9.3899999999999997E-2</v>
      </c>
      <c r="H1842" s="15">
        <v>7.1900000000000006E-2</v>
      </c>
      <c r="I1842" s="15">
        <v>0.25522910155264078</v>
      </c>
    </row>
    <row r="1843" spans="1:9" x14ac:dyDescent="0.2">
      <c r="A1843" s="2" t="s">
        <v>5525</v>
      </c>
      <c r="B1843" s="2" t="s">
        <v>5526</v>
      </c>
      <c r="C1843" s="2" t="s">
        <v>5527</v>
      </c>
      <c r="D1843" s="2" t="s">
        <v>10049</v>
      </c>
      <c r="E1843" s="15">
        <v>7.7899999999999997E-2</v>
      </c>
      <c r="F1843" s="15">
        <v>8.8700000000000001E-2</v>
      </c>
      <c r="G1843" s="15">
        <v>-2.01E-2</v>
      </c>
      <c r="H1843" s="15">
        <v>7.5600000000000001E-2</v>
      </c>
      <c r="I1843" s="15">
        <v>0.1333581217002148</v>
      </c>
    </row>
    <row r="1844" spans="1:9" x14ac:dyDescent="0.2">
      <c r="A1844" s="2" t="s">
        <v>5528</v>
      </c>
      <c r="B1844" s="2" t="s">
        <v>5529</v>
      </c>
      <c r="C1844" s="2" t="s">
        <v>5530</v>
      </c>
      <c r="D1844" s="2" t="s">
        <v>10049</v>
      </c>
      <c r="E1844" s="15">
        <v>6.3399999999999998E-2</v>
      </c>
      <c r="F1844" s="15">
        <v>6.2100000000000002E-2</v>
      </c>
      <c r="G1844" s="15">
        <v>1.6E-2</v>
      </c>
      <c r="H1844" s="15">
        <v>5.7500000000000002E-2</v>
      </c>
      <c r="I1844" s="15">
        <v>0.24305286673453499</v>
      </c>
    </row>
    <row r="1845" spans="1:9" x14ac:dyDescent="0.2">
      <c r="A1845" s="2" t="s">
        <v>5531</v>
      </c>
      <c r="B1845" s="2" t="s">
        <v>5532</v>
      </c>
      <c r="C1845" s="2" t="s">
        <v>5533</v>
      </c>
      <c r="D1845" s="2" t="s">
        <v>10049</v>
      </c>
      <c r="E1845" s="15">
        <v>4.2000000000000003E-2</v>
      </c>
      <c r="F1845" s="15">
        <v>6.0499999999999998E-2</v>
      </c>
      <c r="G1845" s="15">
        <v>4.1500000000000002E-2</v>
      </c>
      <c r="H1845" s="15">
        <v>5.3499999999999999E-2</v>
      </c>
      <c r="I1845" s="15">
        <v>0.49690671154735522</v>
      </c>
    </row>
    <row r="1846" spans="1:9" x14ac:dyDescent="0.2">
      <c r="A1846" s="2" t="s">
        <v>5534</v>
      </c>
      <c r="B1846" s="2" t="s">
        <v>5535</v>
      </c>
      <c r="C1846" s="2" t="s">
        <v>5536</v>
      </c>
      <c r="D1846" s="2" t="s">
        <v>10049</v>
      </c>
      <c r="E1846" s="15">
        <v>0.11</v>
      </c>
      <c r="F1846" s="15">
        <v>7.4300000000000005E-2</v>
      </c>
      <c r="G1846" s="15">
        <v>5.9900000000000002E-2</v>
      </c>
      <c r="H1846" s="15">
        <v>7.0199999999999999E-2</v>
      </c>
      <c r="I1846" s="15">
        <v>0.27140142037686138</v>
      </c>
    </row>
    <row r="1847" spans="1:9" x14ac:dyDescent="0.2">
      <c r="A1847" s="2" t="s">
        <v>5537</v>
      </c>
      <c r="B1847" s="2" t="s">
        <v>5538</v>
      </c>
      <c r="C1847" s="2" t="s">
        <v>5539</v>
      </c>
      <c r="D1847" s="2" t="s">
        <v>10049</v>
      </c>
      <c r="E1847" s="15">
        <v>7.4700000000000003E-2</v>
      </c>
      <c r="F1847" s="15">
        <v>6.6900000000000001E-2</v>
      </c>
      <c r="G1847" s="15">
        <v>4.1700000000000001E-2</v>
      </c>
      <c r="H1847" s="15">
        <v>5.7200000000000001E-2</v>
      </c>
      <c r="I1847" s="15">
        <v>0.31486974053921768</v>
      </c>
    </row>
    <row r="1848" spans="1:9" x14ac:dyDescent="0.2">
      <c r="A1848" s="2" t="s">
        <v>5540</v>
      </c>
      <c r="B1848" s="2" t="s">
        <v>5541</v>
      </c>
      <c r="C1848" s="2" t="s">
        <v>5542</v>
      </c>
      <c r="D1848" s="2" t="s">
        <v>10049</v>
      </c>
      <c r="E1848" s="15">
        <v>0.1313</v>
      </c>
      <c r="F1848" s="15">
        <v>6.5699999999999995E-2</v>
      </c>
      <c r="G1848" s="15">
        <v>-5.7599999999999998E-2</v>
      </c>
      <c r="H1848" s="15">
        <v>6.4699999999999994E-2</v>
      </c>
      <c r="I1848" s="15">
        <v>6.0533425086927708E-3</v>
      </c>
    </row>
    <row r="1849" spans="1:9" x14ac:dyDescent="0.2">
      <c r="A1849" s="2" t="s">
        <v>5543</v>
      </c>
      <c r="B1849" s="2" t="s">
        <v>5544</v>
      </c>
      <c r="C1849" s="2" t="s">
        <v>5545</v>
      </c>
      <c r="D1849" s="2" t="s">
        <v>10049</v>
      </c>
      <c r="E1849" s="15">
        <v>7.1199999999999999E-2</v>
      </c>
      <c r="F1849" s="15">
        <v>6.4899999999999999E-2</v>
      </c>
      <c r="G1849" s="15">
        <v>-4.0899999999999999E-2</v>
      </c>
      <c r="H1849" s="15">
        <v>6.8900000000000003E-2</v>
      </c>
      <c r="I1849" s="15">
        <v>7.776002604141001E-2</v>
      </c>
    </row>
    <row r="1850" spans="1:9" x14ac:dyDescent="0.2">
      <c r="A1850" s="2" t="s">
        <v>5546</v>
      </c>
      <c r="B1850" s="2" t="s">
        <v>5547</v>
      </c>
      <c r="C1850" s="2" t="s">
        <v>5548</v>
      </c>
      <c r="D1850" s="2" t="s">
        <v>10049</v>
      </c>
      <c r="E1850" s="15">
        <v>-3.8899999999999997E-2</v>
      </c>
      <c r="F1850" s="15">
        <v>8.2000000000000003E-2</v>
      </c>
      <c r="G1850" s="15">
        <v>-7.9299999999999995E-2</v>
      </c>
      <c r="H1850" s="15">
        <v>7.5200000000000003E-2</v>
      </c>
      <c r="I1850" s="15">
        <v>0.32611752527537069</v>
      </c>
    </row>
    <row r="1851" spans="1:9" x14ac:dyDescent="0.2">
      <c r="A1851" s="2" t="s">
        <v>5549</v>
      </c>
      <c r="B1851" s="2" t="s">
        <v>5550</v>
      </c>
      <c r="C1851" s="2" t="s">
        <v>5551</v>
      </c>
      <c r="D1851" s="2" t="s">
        <v>10049</v>
      </c>
      <c r="E1851" s="15">
        <v>2.9499999999999998E-2</v>
      </c>
      <c r="F1851" s="15">
        <v>8.14E-2</v>
      </c>
      <c r="G1851" s="15">
        <v>-3.5000000000000003E-2</v>
      </c>
      <c r="H1851" s="15">
        <v>9.2600000000000002E-2</v>
      </c>
      <c r="I1851" s="15">
        <v>0.2683355807574106</v>
      </c>
    </row>
    <row r="1852" spans="1:9" x14ac:dyDescent="0.2">
      <c r="A1852" s="2" t="s">
        <v>5552</v>
      </c>
      <c r="B1852" s="2" t="s">
        <v>5553</v>
      </c>
      <c r="C1852" s="2" t="s">
        <v>5554</v>
      </c>
      <c r="D1852" s="2" t="s">
        <v>10049</v>
      </c>
      <c r="E1852" s="15">
        <v>5.8200000000000002E-2</v>
      </c>
      <c r="F1852" s="15">
        <v>7.2800000000000004E-2</v>
      </c>
      <c r="G1852" s="15">
        <v>-3.6200000000000003E-2</v>
      </c>
      <c r="H1852" s="15">
        <v>8.6400000000000005E-2</v>
      </c>
      <c r="I1852" s="15">
        <v>0.15759984699497551</v>
      </c>
    </row>
    <row r="1853" spans="1:9" x14ac:dyDescent="0.2">
      <c r="A1853" s="2" t="s">
        <v>5555</v>
      </c>
      <c r="B1853" s="2" t="s">
        <v>5556</v>
      </c>
      <c r="C1853" s="2" t="s">
        <v>5557</v>
      </c>
      <c r="D1853" s="2" t="s">
        <v>10049</v>
      </c>
      <c r="E1853" s="15">
        <v>1.1599999999999999E-2</v>
      </c>
      <c r="F1853" s="15">
        <v>7.0099999999999996E-2</v>
      </c>
      <c r="G1853" s="15">
        <v>-8.5999999999999993E-2</v>
      </c>
      <c r="H1853" s="15">
        <v>8.0799999999999997E-2</v>
      </c>
      <c r="I1853" s="15">
        <v>0.1342780253702606</v>
      </c>
    </row>
    <row r="1854" spans="1:9" x14ac:dyDescent="0.2">
      <c r="A1854" s="2" t="s">
        <v>5558</v>
      </c>
      <c r="B1854" s="2" t="s">
        <v>5559</v>
      </c>
      <c r="C1854" s="2" t="s">
        <v>5560</v>
      </c>
      <c r="D1854" s="2" t="s">
        <v>10049</v>
      </c>
      <c r="E1854" s="15">
        <v>-2.7000000000000001E-3</v>
      </c>
      <c r="F1854" s="15">
        <v>7.6600000000000001E-2</v>
      </c>
      <c r="G1854" s="15">
        <v>-0.1089</v>
      </c>
      <c r="H1854" s="15">
        <v>6.1499999999999999E-2</v>
      </c>
      <c r="I1854" s="15">
        <v>7.5693166187880287E-2</v>
      </c>
    </row>
    <row r="1855" spans="1:9" x14ac:dyDescent="0.2">
      <c r="A1855" s="2" t="s">
        <v>5561</v>
      </c>
      <c r="B1855" s="2" t="s">
        <v>5562</v>
      </c>
      <c r="C1855" s="2" t="s">
        <v>5563</v>
      </c>
      <c r="D1855" s="2" t="s">
        <v>10049</v>
      </c>
      <c r="E1855" s="15">
        <v>5.16E-2</v>
      </c>
      <c r="F1855" s="15">
        <v>7.22E-2</v>
      </c>
      <c r="G1855" s="15">
        <v>-0.112</v>
      </c>
      <c r="H1855" s="15">
        <v>6.7299999999999999E-2</v>
      </c>
      <c r="I1855" s="15">
        <v>2.1795036230443311E-2</v>
      </c>
    </row>
    <row r="1856" spans="1:9" x14ac:dyDescent="0.2">
      <c r="A1856" s="2" t="s">
        <v>5564</v>
      </c>
      <c r="B1856" s="2" t="s">
        <v>5565</v>
      </c>
      <c r="C1856" s="2" t="s">
        <v>5566</v>
      </c>
      <c r="D1856" s="2" t="s">
        <v>10049</v>
      </c>
      <c r="E1856" s="15">
        <v>-1.7399999999999999E-2</v>
      </c>
      <c r="F1856" s="15">
        <v>9.4399999999999998E-2</v>
      </c>
      <c r="G1856" s="15">
        <v>-0.14940000000000001</v>
      </c>
      <c r="H1856" s="15">
        <v>8.8099999999999998E-2</v>
      </c>
      <c r="I1856" s="15">
        <v>0.10349796781214619</v>
      </c>
    </row>
    <row r="1857" spans="1:9" x14ac:dyDescent="0.2">
      <c r="A1857" s="2" t="s">
        <v>5567</v>
      </c>
      <c r="B1857" s="2" t="s">
        <v>5568</v>
      </c>
      <c r="C1857" s="2" t="s">
        <v>5569</v>
      </c>
      <c r="D1857" s="2" t="s">
        <v>10049</v>
      </c>
      <c r="E1857" s="15">
        <v>1.9300000000000001E-2</v>
      </c>
      <c r="F1857" s="15">
        <v>8.3299999999999999E-2</v>
      </c>
      <c r="G1857" s="15">
        <v>-0.2235</v>
      </c>
      <c r="H1857" s="15">
        <v>0.1145</v>
      </c>
      <c r="I1857" s="15">
        <v>2.7114360697873E-2</v>
      </c>
    </row>
    <row r="1858" spans="1:9" x14ac:dyDescent="0.2">
      <c r="A1858" s="2" t="s">
        <v>5570</v>
      </c>
      <c r="B1858" s="2" t="s">
        <v>5571</v>
      </c>
      <c r="C1858" s="2" t="s">
        <v>5572</v>
      </c>
      <c r="D1858" s="2" t="s">
        <v>10049</v>
      </c>
      <c r="E1858" s="15">
        <v>-6.6500000000000004E-2</v>
      </c>
      <c r="F1858" s="15">
        <v>7.7399999999999997E-2</v>
      </c>
      <c r="G1858" s="15">
        <v>-8.1799999999999998E-2</v>
      </c>
      <c r="H1858" s="15">
        <v>8.6199999999999999E-2</v>
      </c>
      <c r="I1858" s="15">
        <v>0.43629916328542379</v>
      </c>
    </row>
    <row r="1859" spans="1:9" x14ac:dyDescent="0.2">
      <c r="A1859" s="2" t="s">
        <v>5573</v>
      </c>
      <c r="B1859" s="2" t="s">
        <v>5574</v>
      </c>
      <c r="C1859" s="2" t="s">
        <v>5575</v>
      </c>
      <c r="D1859" s="2" t="s">
        <v>10049</v>
      </c>
      <c r="E1859" s="15">
        <v>-0.1169</v>
      </c>
      <c r="F1859" s="15">
        <v>8.2000000000000003E-2</v>
      </c>
      <c r="G1859" s="15">
        <v>-7.7899999999999997E-2</v>
      </c>
      <c r="H1859" s="15">
        <v>8.4000000000000005E-2</v>
      </c>
      <c r="I1859" s="15">
        <v>0.33977273815463338</v>
      </c>
    </row>
    <row r="1860" spans="1:9" x14ac:dyDescent="0.2">
      <c r="A1860" s="2" t="s">
        <v>5576</v>
      </c>
      <c r="B1860" s="2" t="s">
        <v>5577</v>
      </c>
      <c r="C1860" s="2" t="s">
        <v>5578</v>
      </c>
      <c r="D1860" s="2" t="s">
        <v>10049</v>
      </c>
      <c r="E1860" s="15">
        <v>-2.7199999999999998E-2</v>
      </c>
      <c r="F1860" s="15">
        <v>7.1199999999999999E-2</v>
      </c>
      <c r="G1860" s="15">
        <v>1.18E-2</v>
      </c>
      <c r="H1860" s="15">
        <v>8.8999999999999996E-2</v>
      </c>
      <c r="I1860" s="15">
        <v>0.34531486179771897</v>
      </c>
    </row>
    <row r="1861" spans="1:9" x14ac:dyDescent="0.2">
      <c r="A1861" s="2" t="s">
        <v>5579</v>
      </c>
      <c r="B1861" s="2" t="s">
        <v>5580</v>
      </c>
      <c r="C1861" s="2" t="s">
        <v>5581</v>
      </c>
      <c r="D1861" s="2" t="s">
        <v>10049</v>
      </c>
      <c r="E1861" s="15">
        <v>-1.52E-2</v>
      </c>
      <c r="F1861" s="15">
        <v>6.7400000000000002E-2</v>
      </c>
      <c r="G1861" s="15">
        <v>1.0500000000000001E-2</v>
      </c>
      <c r="H1861" s="15">
        <v>7.5800000000000006E-2</v>
      </c>
      <c r="I1861" s="15">
        <v>0.38289333633108119</v>
      </c>
    </row>
    <row r="1862" spans="1:9" x14ac:dyDescent="0.2">
      <c r="A1862" s="2" t="s">
        <v>5582</v>
      </c>
      <c r="B1862" s="2" t="s">
        <v>5583</v>
      </c>
      <c r="C1862" s="2" t="s">
        <v>5584</v>
      </c>
      <c r="D1862" s="2" t="s">
        <v>10049</v>
      </c>
      <c r="E1862" s="15">
        <v>4.1000000000000002E-2</v>
      </c>
      <c r="F1862" s="15">
        <v>6.3600000000000004E-2</v>
      </c>
      <c r="G1862" s="15">
        <v>-3.1800000000000002E-2</v>
      </c>
      <c r="H1862" s="15">
        <v>8.1000000000000003E-2</v>
      </c>
      <c r="I1862" s="15">
        <v>0.21096265762293501</v>
      </c>
    </row>
    <row r="1863" spans="1:9" x14ac:dyDescent="0.2">
      <c r="A1863" s="2" t="s">
        <v>5585</v>
      </c>
      <c r="B1863" s="2" t="s">
        <v>5586</v>
      </c>
      <c r="C1863" s="2" t="s">
        <v>5587</v>
      </c>
      <c r="D1863" s="2" t="s">
        <v>10049</v>
      </c>
      <c r="E1863" s="15">
        <v>1.1000000000000001E-3</v>
      </c>
      <c r="F1863" s="15">
        <v>6.0900000000000003E-2</v>
      </c>
      <c r="G1863" s="15">
        <v>-7.8200000000000006E-2</v>
      </c>
      <c r="H1863" s="15">
        <v>7.3499999999999996E-2</v>
      </c>
      <c r="I1863" s="15">
        <v>0.1661601851745528</v>
      </c>
    </row>
    <row r="1864" spans="1:9" x14ac:dyDescent="0.2">
      <c r="A1864" s="2" t="s">
        <v>5588</v>
      </c>
      <c r="B1864" s="2" t="s">
        <v>5589</v>
      </c>
      <c r="C1864" s="2" t="s">
        <v>5590</v>
      </c>
      <c r="D1864" s="2" t="s">
        <v>10049</v>
      </c>
      <c r="E1864" s="15">
        <v>-2.1100000000000001E-2</v>
      </c>
      <c r="F1864" s="15">
        <v>5.96E-2</v>
      </c>
      <c r="G1864" s="15">
        <v>-8.6499999999999994E-2</v>
      </c>
      <c r="H1864" s="15">
        <v>8.2699999999999996E-2</v>
      </c>
      <c r="I1864" s="15">
        <v>0.23878451732988371</v>
      </c>
    </row>
    <row r="1865" spans="1:9" x14ac:dyDescent="0.2">
      <c r="A1865" s="2" t="s">
        <v>5591</v>
      </c>
      <c r="B1865" s="2" t="s">
        <v>5592</v>
      </c>
      <c r="C1865" s="2" t="s">
        <v>5593</v>
      </c>
      <c r="D1865" s="2" t="s">
        <v>10049</v>
      </c>
      <c r="E1865" s="15">
        <v>-5.3E-3</v>
      </c>
      <c r="F1865" s="15">
        <v>6.1400000000000003E-2</v>
      </c>
      <c r="G1865" s="15">
        <v>-9.01E-2</v>
      </c>
      <c r="H1865" s="15">
        <v>6.93E-2</v>
      </c>
      <c r="I1865" s="15">
        <v>0.141063719156267</v>
      </c>
    </row>
    <row r="1866" spans="1:9" x14ac:dyDescent="0.2">
      <c r="A1866" s="2" t="s">
        <v>5594</v>
      </c>
      <c r="B1866" s="2" t="s">
        <v>5595</v>
      </c>
      <c r="C1866" s="2" t="s">
        <v>5596</v>
      </c>
      <c r="D1866" s="2" t="s">
        <v>10049</v>
      </c>
      <c r="E1866" s="15">
        <v>-3.5900000000000001E-2</v>
      </c>
      <c r="F1866" s="15">
        <v>0.1046</v>
      </c>
      <c r="G1866" s="15">
        <v>-3.3300000000000003E-2</v>
      </c>
      <c r="H1866" s="15">
        <v>9.8699999999999996E-2</v>
      </c>
      <c r="I1866" s="15">
        <v>0.49093624369894961</v>
      </c>
    </row>
    <row r="1867" spans="1:9" x14ac:dyDescent="0.2">
      <c r="A1867" s="2" t="s">
        <v>5597</v>
      </c>
      <c r="B1867" s="2" t="s">
        <v>5598</v>
      </c>
      <c r="C1867" s="2" t="s">
        <v>5599</v>
      </c>
      <c r="D1867" s="2" t="s">
        <v>10049</v>
      </c>
      <c r="E1867" s="15">
        <v>-0.12820000000000001</v>
      </c>
      <c r="F1867" s="15">
        <v>0.1113</v>
      </c>
      <c r="G1867" s="15">
        <v>-0.1583</v>
      </c>
      <c r="H1867" s="15">
        <v>0.20080000000000001</v>
      </c>
      <c r="I1867" s="15">
        <v>0.44228990042349348</v>
      </c>
    </row>
    <row r="1868" spans="1:9" x14ac:dyDescent="0.2">
      <c r="A1868" s="2" t="s">
        <v>5600</v>
      </c>
      <c r="B1868" s="2" t="s">
        <v>5601</v>
      </c>
      <c r="C1868" s="2" t="s">
        <v>5602</v>
      </c>
      <c r="D1868" s="2" t="s">
        <v>10049</v>
      </c>
      <c r="E1868" s="15">
        <v>4.5499999999999999E-2</v>
      </c>
      <c r="F1868" s="15">
        <v>0.1011</v>
      </c>
      <c r="G1868" s="15">
        <v>9.1600000000000001E-2</v>
      </c>
      <c r="H1868" s="15">
        <v>0.1603</v>
      </c>
      <c r="I1868" s="15">
        <v>0.39142993622045658</v>
      </c>
    </row>
    <row r="1869" spans="1:9" x14ac:dyDescent="0.2">
      <c r="A1869" s="2" t="s">
        <v>5603</v>
      </c>
      <c r="B1869" s="2" t="s">
        <v>5604</v>
      </c>
      <c r="C1869" s="2" t="s">
        <v>5605</v>
      </c>
      <c r="D1869" s="2" t="s">
        <v>10049</v>
      </c>
      <c r="E1869" s="15">
        <v>4.0099999999999997E-2</v>
      </c>
      <c r="F1869" s="15">
        <v>7.6499999999999999E-2</v>
      </c>
      <c r="G1869" s="15">
        <v>9.8599999999999993E-2</v>
      </c>
      <c r="H1869" s="15">
        <v>8.3699999999999997E-2</v>
      </c>
      <c r="I1869" s="15">
        <v>0.27195006763433199</v>
      </c>
    </row>
    <row r="1870" spans="1:9" x14ac:dyDescent="0.2">
      <c r="A1870" s="2" t="s">
        <v>5606</v>
      </c>
      <c r="B1870" s="2" t="s">
        <v>5607</v>
      </c>
      <c r="C1870" s="2" t="s">
        <v>5608</v>
      </c>
      <c r="D1870" s="2" t="s">
        <v>10049</v>
      </c>
      <c r="E1870" s="15">
        <v>-3.3999999999999998E-3</v>
      </c>
      <c r="F1870" s="15">
        <v>0.08</v>
      </c>
      <c r="G1870" s="15">
        <v>-2.35E-2</v>
      </c>
      <c r="H1870" s="15">
        <v>6.6000000000000003E-2</v>
      </c>
      <c r="I1870" s="15">
        <v>0.40080313001282808</v>
      </c>
    </row>
    <row r="1871" spans="1:9" x14ac:dyDescent="0.2">
      <c r="A1871" s="2" t="s">
        <v>5609</v>
      </c>
      <c r="B1871" s="2" t="s">
        <v>5610</v>
      </c>
      <c r="C1871" s="2" t="s">
        <v>5611</v>
      </c>
      <c r="D1871" s="2" t="s">
        <v>10049</v>
      </c>
      <c r="E1871" s="15">
        <v>-3.15E-2</v>
      </c>
      <c r="F1871" s="15">
        <v>6.3799999999999996E-2</v>
      </c>
      <c r="G1871" s="15">
        <v>-5.3600000000000002E-2</v>
      </c>
      <c r="H1871" s="15">
        <v>6.1100000000000002E-2</v>
      </c>
      <c r="I1871" s="15">
        <v>0.37774481720997888</v>
      </c>
    </row>
    <row r="1872" spans="1:9" x14ac:dyDescent="0.2">
      <c r="A1872" s="2" t="s">
        <v>5612</v>
      </c>
      <c r="B1872" s="2" t="s">
        <v>5613</v>
      </c>
      <c r="C1872" s="2" t="s">
        <v>5614</v>
      </c>
      <c r="D1872" s="2" t="s">
        <v>10049</v>
      </c>
      <c r="E1872" s="15">
        <v>-1.18E-2</v>
      </c>
      <c r="F1872" s="15">
        <v>6.2899999999999998E-2</v>
      </c>
      <c r="G1872" s="15">
        <v>-7.7799999999999994E-2</v>
      </c>
      <c r="H1872" s="15">
        <v>6.2600000000000003E-2</v>
      </c>
      <c r="I1872" s="15">
        <v>0.1793783994053795</v>
      </c>
    </row>
    <row r="1873" spans="1:9" x14ac:dyDescent="0.2">
      <c r="A1873" s="2" t="s">
        <v>5615</v>
      </c>
      <c r="B1873" s="2" t="s">
        <v>5616</v>
      </c>
      <c r="C1873" s="2" t="s">
        <v>5617</v>
      </c>
      <c r="D1873" s="2" t="s">
        <v>10049</v>
      </c>
      <c r="E1873" s="15">
        <v>-6.0100000000000001E-2</v>
      </c>
      <c r="F1873" s="15">
        <v>7.9899999999999999E-2</v>
      </c>
      <c r="G1873" s="15">
        <v>-0.14360000000000001</v>
      </c>
      <c r="H1873" s="15">
        <v>8.5000000000000006E-2</v>
      </c>
      <c r="I1873" s="15">
        <v>0.1885729443501282</v>
      </c>
    </row>
    <row r="1874" spans="1:9" x14ac:dyDescent="0.2">
      <c r="A1874" s="2" t="s">
        <v>5618</v>
      </c>
      <c r="B1874" s="2" t="s">
        <v>5619</v>
      </c>
      <c r="C1874" s="2" t="s">
        <v>5620</v>
      </c>
      <c r="D1874" s="2" t="s">
        <v>10049</v>
      </c>
      <c r="E1874" s="15">
        <v>-9.5799999999999996E-2</v>
      </c>
      <c r="F1874" s="15">
        <v>8.8700000000000001E-2</v>
      </c>
      <c r="G1874" s="15">
        <v>-9.1399999999999995E-2</v>
      </c>
      <c r="H1874" s="15">
        <v>7.3800000000000004E-2</v>
      </c>
      <c r="I1874" s="15">
        <v>0.47936134254353152</v>
      </c>
    </row>
    <row r="1875" spans="1:9" x14ac:dyDescent="0.2">
      <c r="A1875" s="2" t="s">
        <v>5621</v>
      </c>
      <c r="B1875" s="2" t="s">
        <v>5622</v>
      </c>
      <c r="C1875" s="2" t="s">
        <v>5623</v>
      </c>
      <c r="D1875" s="2" t="s">
        <v>10049</v>
      </c>
      <c r="E1875" s="15">
        <v>7.6700000000000004E-2</v>
      </c>
      <c r="F1875" s="15">
        <v>7.8399999999999997E-2</v>
      </c>
      <c r="G1875" s="15">
        <v>-0.16400000000000001</v>
      </c>
      <c r="H1875" s="15">
        <v>8.2199999999999995E-2</v>
      </c>
      <c r="I1875" s="15">
        <v>4.4248302581412829E-3</v>
      </c>
    </row>
    <row r="1876" spans="1:9" x14ac:dyDescent="0.2">
      <c r="A1876" s="2" t="s">
        <v>5624</v>
      </c>
      <c r="B1876" s="2" t="s">
        <v>5625</v>
      </c>
      <c r="C1876" s="2" t="s">
        <v>5626</v>
      </c>
      <c r="D1876" s="2" t="s">
        <v>10049</v>
      </c>
      <c r="E1876" s="15">
        <v>4.1700000000000001E-2</v>
      </c>
      <c r="F1876" s="15">
        <v>6.5100000000000005E-2</v>
      </c>
      <c r="G1876" s="15">
        <v>-0.1656</v>
      </c>
      <c r="H1876" s="15">
        <v>6.7900000000000002E-2</v>
      </c>
      <c r="I1876" s="15">
        <v>3.8396923504108219E-3</v>
      </c>
    </row>
    <row r="1877" spans="1:9" x14ac:dyDescent="0.2">
      <c r="A1877" s="2" t="s">
        <v>5627</v>
      </c>
      <c r="B1877" s="2" t="s">
        <v>5628</v>
      </c>
      <c r="C1877" s="2" t="s">
        <v>5629</v>
      </c>
      <c r="D1877" s="2" t="s">
        <v>10049</v>
      </c>
      <c r="E1877" s="15">
        <v>-2.98E-2</v>
      </c>
      <c r="F1877" s="15">
        <v>7.6899999999999996E-2</v>
      </c>
      <c r="G1877" s="15">
        <v>-5.11E-2</v>
      </c>
      <c r="H1877" s="15">
        <v>7.2999999999999995E-2</v>
      </c>
      <c r="I1877" s="15">
        <v>0.40434709213505232</v>
      </c>
    </row>
    <row r="1878" spans="1:9" x14ac:dyDescent="0.2">
      <c r="A1878" s="2" t="s">
        <v>5630</v>
      </c>
      <c r="B1878" s="2" t="s">
        <v>5631</v>
      </c>
      <c r="C1878" s="2" t="s">
        <v>5632</v>
      </c>
      <c r="D1878" s="2" t="s">
        <v>10049</v>
      </c>
      <c r="E1878" s="15">
        <v>1.1999999999999999E-3</v>
      </c>
      <c r="F1878" s="15">
        <v>7.2300000000000003E-2</v>
      </c>
      <c r="G1878" s="15">
        <v>-3.9300000000000002E-2</v>
      </c>
      <c r="H1878" s="15">
        <v>8.2699999999999996E-2</v>
      </c>
      <c r="I1878" s="15">
        <v>0.33290523624423762</v>
      </c>
    </row>
    <row r="1879" spans="1:9" x14ac:dyDescent="0.2">
      <c r="A1879" s="2" t="s">
        <v>5633</v>
      </c>
      <c r="B1879" s="2" t="s">
        <v>5634</v>
      </c>
      <c r="C1879" s="2" t="s">
        <v>5635</v>
      </c>
      <c r="D1879" s="2" t="s">
        <v>10049</v>
      </c>
      <c r="E1879" s="15">
        <v>4.99E-2</v>
      </c>
      <c r="F1879" s="15">
        <v>7.2499999999999995E-2</v>
      </c>
      <c r="G1879" s="15">
        <v>-0.1221</v>
      </c>
      <c r="H1879" s="15">
        <v>8.7400000000000005E-2</v>
      </c>
      <c r="I1879" s="15">
        <v>3.5379518690681268E-2</v>
      </c>
    </row>
    <row r="1880" spans="1:9" x14ac:dyDescent="0.2">
      <c r="A1880" s="2" t="s">
        <v>5636</v>
      </c>
      <c r="B1880" s="2" t="s">
        <v>5637</v>
      </c>
      <c r="C1880" s="2" t="s">
        <v>5638</v>
      </c>
      <c r="D1880" s="2" t="s">
        <v>10049</v>
      </c>
      <c r="E1880" s="15">
        <v>-2.0999999999999999E-3</v>
      </c>
      <c r="F1880" s="15">
        <v>6.83E-2</v>
      </c>
      <c r="G1880" s="15">
        <v>-8.1799999999999998E-2</v>
      </c>
      <c r="H1880" s="15">
        <v>7.7299999999999994E-2</v>
      </c>
      <c r="I1880" s="15">
        <v>0.17815065519290879</v>
      </c>
    </row>
    <row r="1881" spans="1:9" x14ac:dyDescent="0.2">
      <c r="A1881" s="2" t="s">
        <v>5639</v>
      </c>
      <c r="B1881" s="2" t="s">
        <v>5640</v>
      </c>
      <c r="C1881" s="2" t="s">
        <v>5641</v>
      </c>
      <c r="D1881" s="2" t="s">
        <v>10049</v>
      </c>
      <c r="E1881" s="15">
        <v>-6.8000000000000005E-2</v>
      </c>
      <c r="F1881" s="15">
        <v>8.9300000000000004E-2</v>
      </c>
      <c r="G1881" s="15">
        <v>-0.14580000000000001</v>
      </c>
      <c r="H1881" s="15">
        <v>6.5500000000000003E-2</v>
      </c>
      <c r="I1881" s="15">
        <v>0.16378908119509711</v>
      </c>
    </row>
    <row r="1882" spans="1:9" x14ac:dyDescent="0.2">
      <c r="A1882" s="2" t="s">
        <v>5642</v>
      </c>
      <c r="B1882" s="2" t="s">
        <v>5643</v>
      </c>
      <c r="C1882" s="2" t="s">
        <v>5644</v>
      </c>
      <c r="D1882" s="2" t="s">
        <v>10049</v>
      </c>
      <c r="E1882" s="15">
        <v>1.1900000000000001E-2</v>
      </c>
      <c r="F1882" s="15">
        <v>7.9600000000000004E-2</v>
      </c>
      <c r="G1882" s="15">
        <v>-7.2800000000000004E-2</v>
      </c>
      <c r="H1882" s="15">
        <v>6.59E-2</v>
      </c>
      <c r="I1882" s="15">
        <v>0.14820562306849619</v>
      </c>
    </row>
    <row r="1883" spans="1:9" x14ac:dyDescent="0.2">
      <c r="A1883" s="2" t="s">
        <v>5645</v>
      </c>
      <c r="B1883" s="2" t="s">
        <v>5646</v>
      </c>
      <c r="C1883" s="2" t="s">
        <v>5647</v>
      </c>
      <c r="D1883" s="2" t="s">
        <v>10049</v>
      </c>
      <c r="E1883" s="15">
        <v>6.4999999999999997E-3</v>
      </c>
      <c r="F1883" s="15">
        <v>9.3600000000000003E-2</v>
      </c>
      <c r="G1883" s="15">
        <v>-0.1502</v>
      </c>
      <c r="H1883" s="15">
        <v>0.1002</v>
      </c>
      <c r="I1883" s="15">
        <v>8.6653947024044956E-2</v>
      </c>
    </row>
    <row r="1884" spans="1:9" x14ac:dyDescent="0.2">
      <c r="A1884" s="2" t="s">
        <v>5648</v>
      </c>
      <c r="B1884" s="2" t="s">
        <v>5649</v>
      </c>
      <c r="C1884" s="2" t="s">
        <v>5650</v>
      </c>
      <c r="D1884" s="2" t="s">
        <v>10049</v>
      </c>
      <c r="E1884" s="15">
        <v>1.35E-2</v>
      </c>
      <c r="F1884" s="15">
        <v>8.4599999999999995E-2</v>
      </c>
      <c r="G1884" s="15">
        <v>-0.18609999999999999</v>
      </c>
      <c r="H1884" s="15">
        <v>0.1207</v>
      </c>
      <c r="I1884" s="15">
        <v>6.6064401254154054E-2</v>
      </c>
    </row>
    <row r="1885" spans="1:9" x14ac:dyDescent="0.2">
      <c r="A1885" s="2" t="s">
        <v>5651</v>
      </c>
      <c r="B1885" s="2" t="s">
        <v>5652</v>
      </c>
      <c r="C1885" s="2" t="s">
        <v>5653</v>
      </c>
      <c r="D1885" s="2" t="s">
        <v>10049</v>
      </c>
      <c r="E1885" s="15">
        <v>-6.2899999999999998E-2</v>
      </c>
      <c r="F1885" s="15">
        <v>8.8800000000000004E-2</v>
      </c>
      <c r="G1885" s="15">
        <v>-7.1300000000000002E-2</v>
      </c>
      <c r="H1885" s="15">
        <v>8.6699999999999999E-2</v>
      </c>
      <c r="I1885" s="15">
        <v>0.46551172777753602</v>
      </c>
    </row>
    <row r="1886" spans="1:9" x14ac:dyDescent="0.2">
      <c r="A1886" s="2" t="s">
        <v>5654</v>
      </c>
      <c r="B1886" s="2" t="s">
        <v>5655</v>
      </c>
      <c r="C1886" s="2" t="s">
        <v>5656</v>
      </c>
      <c r="D1886" s="2" t="s">
        <v>10049</v>
      </c>
      <c r="E1886" s="15">
        <v>-7.3800000000000004E-2</v>
      </c>
      <c r="F1886" s="15">
        <v>7.7799999999999994E-2</v>
      </c>
      <c r="G1886" s="15">
        <v>-7.2900000000000006E-2</v>
      </c>
      <c r="H1886" s="15">
        <v>9.06E-2</v>
      </c>
      <c r="I1886" s="15">
        <v>0.49642135239467422</v>
      </c>
    </row>
    <row r="1887" spans="1:9" x14ac:dyDescent="0.2">
      <c r="A1887" s="2" t="s">
        <v>5657</v>
      </c>
      <c r="B1887" s="2" t="s">
        <v>5658</v>
      </c>
      <c r="C1887" s="2" t="s">
        <v>5659</v>
      </c>
      <c r="D1887" s="2" t="s">
        <v>10049</v>
      </c>
      <c r="E1887" s="15">
        <v>-1.04E-2</v>
      </c>
      <c r="F1887" s="15">
        <v>7.2400000000000006E-2</v>
      </c>
      <c r="G1887" s="15">
        <v>2.5700000000000001E-2</v>
      </c>
      <c r="H1887" s="15">
        <v>8.6900000000000005E-2</v>
      </c>
      <c r="I1887" s="15">
        <v>0.35425532683969929</v>
      </c>
    </row>
    <row r="1888" spans="1:9" x14ac:dyDescent="0.2">
      <c r="A1888" s="2" t="s">
        <v>5660</v>
      </c>
      <c r="B1888" s="2" t="s">
        <v>5661</v>
      </c>
      <c r="C1888" s="2" t="s">
        <v>5662</v>
      </c>
      <c r="D1888" s="2" t="s">
        <v>10049</v>
      </c>
      <c r="E1888" s="15">
        <v>-1.9599999999999999E-2</v>
      </c>
      <c r="F1888" s="15">
        <v>6.7500000000000004E-2</v>
      </c>
      <c r="G1888" s="15">
        <v>-2.76E-2</v>
      </c>
      <c r="H1888" s="15">
        <v>6.9900000000000004E-2</v>
      </c>
      <c r="I1888" s="15">
        <v>0.46046057350135888</v>
      </c>
    </row>
    <row r="1889" spans="1:9" x14ac:dyDescent="0.2">
      <c r="A1889" s="2" t="s">
        <v>5663</v>
      </c>
      <c r="B1889" s="2" t="s">
        <v>5664</v>
      </c>
      <c r="C1889" s="2" t="s">
        <v>5665</v>
      </c>
      <c r="D1889" s="2" t="s">
        <v>10049</v>
      </c>
      <c r="E1889" s="15">
        <v>1.04E-2</v>
      </c>
      <c r="F1889" s="15">
        <v>6.7100000000000007E-2</v>
      </c>
      <c r="G1889" s="15">
        <v>-3.7900000000000003E-2</v>
      </c>
      <c r="H1889" s="15">
        <v>7.8899999999999998E-2</v>
      </c>
      <c r="I1889" s="15">
        <v>0.29359169208090291</v>
      </c>
    </row>
    <row r="1890" spans="1:9" x14ac:dyDescent="0.2">
      <c r="A1890" s="2" t="s">
        <v>5666</v>
      </c>
      <c r="B1890" s="2" t="s">
        <v>5667</v>
      </c>
      <c r="C1890" s="2" t="s">
        <v>5668</v>
      </c>
      <c r="D1890" s="2" t="s">
        <v>10049</v>
      </c>
      <c r="E1890" s="15">
        <v>-5.0299999999999997E-2</v>
      </c>
      <c r="F1890" s="15">
        <v>6.2199999999999998E-2</v>
      </c>
      <c r="G1890" s="15">
        <v>-7.5300000000000006E-2</v>
      </c>
      <c r="H1890" s="15">
        <v>7.6899999999999996E-2</v>
      </c>
      <c r="I1890" s="15">
        <v>0.38546688668171658</v>
      </c>
    </row>
    <row r="1891" spans="1:9" x14ac:dyDescent="0.2">
      <c r="A1891" s="2" t="s">
        <v>5669</v>
      </c>
      <c r="B1891" s="2" t="s">
        <v>5670</v>
      </c>
      <c r="C1891" s="2" t="s">
        <v>5671</v>
      </c>
      <c r="D1891" s="2" t="s">
        <v>10049</v>
      </c>
      <c r="E1891" s="15">
        <v>-3.4299999999999997E-2</v>
      </c>
      <c r="F1891" s="15">
        <v>6.3700000000000007E-2</v>
      </c>
      <c r="G1891" s="15">
        <v>-9.2299999999999993E-2</v>
      </c>
      <c r="H1891" s="15">
        <v>8.6999999999999994E-2</v>
      </c>
      <c r="I1891" s="15">
        <v>0.27476324882719688</v>
      </c>
    </row>
    <row r="1892" spans="1:9" x14ac:dyDescent="0.2">
      <c r="A1892" s="2" t="s">
        <v>5672</v>
      </c>
      <c r="B1892" s="2" t="s">
        <v>5673</v>
      </c>
      <c r="C1892" s="2" t="s">
        <v>5674</v>
      </c>
      <c r="D1892" s="2" t="s">
        <v>10049</v>
      </c>
      <c r="E1892" s="15">
        <v>-5.4699999999999999E-2</v>
      </c>
      <c r="F1892" s="15">
        <v>6.3399999999999998E-2</v>
      </c>
      <c r="G1892" s="15">
        <v>-4.7500000000000001E-2</v>
      </c>
      <c r="H1892" s="15">
        <v>7.3700000000000002E-2</v>
      </c>
      <c r="I1892" s="15">
        <v>0.46559459246342638</v>
      </c>
    </row>
    <row r="1893" spans="1:9" x14ac:dyDescent="0.2">
      <c r="A1893" s="2" t="s">
        <v>5675</v>
      </c>
      <c r="B1893" s="2" t="s">
        <v>5676</v>
      </c>
      <c r="C1893" s="2" t="s">
        <v>5677</v>
      </c>
      <c r="D1893" s="2" t="s">
        <v>10049</v>
      </c>
      <c r="E1893" s="15">
        <v>-3.7100000000000001E-2</v>
      </c>
      <c r="F1893" s="15">
        <v>9.69E-2</v>
      </c>
      <c r="G1893" s="15">
        <v>-7.0999999999999994E-2</v>
      </c>
      <c r="H1893" s="15">
        <v>0.1033</v>
      </c>
      <c r="I1893" s="15">
        <v>0.38630160268308378</v>
      </c>
    </row>
    <row r="1894" spans="1:9" x14ac:dyDescent="0.2">
      <c r="A1894" s="2" t="s">
        <v>5678</v>
      </c>
      <c r="B1894" s="2" t="s">
        <v>5679</v>
      </c>
      <c r="C1894" s="2" t="s">
        <v>5680</v>
      </c>
      <c r="D1894" s="2" t="s">
        <v>10049</v>
      </c>
      <c r="E1894" s="15">
        <v>-0.14660000000000001</v>
      </c>
      <c r="F1894" s="15">
        <v>0.1109</v>
      </c>
      <c r="G1894" s="15">
        <v>-0.18720000000000001</v>
      </c>
      <c r="H1894" s="15">
        <v>0.19819999999999999</v>
      </c>
      <c r="I1894" s="15">
        <v>0.42144945088084501</v>
      </c>
    </row>
    <row r="1895" spans="1:9" x14ac:dyDescent="0.2">
      <c r="A1895" s="2" t="s">
        <v>5681</v>
      </c>
      <c r="B1895" s="2" t="s">
        <v>5682</v>
      </c>
      <c r="C1895" s="2" t="s">
        <v>5683</v>
      </c>
      <c r="D1895" s="2" t="s">
        <v>10049</v>
      </c>
      <c r="E1895" s="15">
        <v>4.02E-2</v>
      </c>
      <c r="F1895" s="15">
        <v>0.115</v>
      </c>
      <c r="G1895" s="15">
        <v>7.2700000000000001E-2</v>
      </c>
      <c r="H1895" s="15">
        <v>0.14430000000000001</v>
      </c>
      <c r="I1895" s="15">
        <v>0.41598831140316128</v>
      </c>
    </row>
    <row r="1896" spans="1:9" x14ac:dyDescent="0.2">
      <c r="A1896" s="2" t="s">
        <v>5684</v>
      </c>
      <c r="B1896" s="2" t="s">
        <v>5685</v>
      </c>
      <c r="C1896" s="2" t="s">
        <v>5686</v>
      </c>
      <c r="D1896" s="2" t="s">
        <v>10049</v>
      </c>
      <c r="E1896" s="15">
        <v>-1E-3</v>
      </c>
      <c r="F1896" s="15">
        <v>8.1699999999999995E-2</v>
      </c>
      <c r="G1896" s="15">
        <v>9.2399999999999996E-2</v>
      </c>
      <c r="H1896" s="15">
        <v>8.5699999999999998E-2</v>
      </c>
      <c r="I1896" s="15">
        <v>0.17083737881839009</v>
      </c>
    </row>
    <row r="1897" spans="1:9" x14ac:dyDescent="0.2">
      <c r="A1897" s="2" t="s">
        <v>5687</v>
      </c>
      <c r="B1897" s="2" t="s">
        <v>5688</v>
      </c>
      <c r="C1897" s="2" t="s">
        <v>5689</v>
      </c>
      <c r="D1897" s="2" t="s">
        <v>10049</v>
      </c>
      <c r="E1897" s="15">
        <v>-6.8000000000000005E-2</v>
      </c>
      <c r="F1897" s="15">
        <v>8.2500000000000004E-2</v>
      </c>
      <c r="G1897" s="15">
        <v>-1.7999999999999999E-2</v>
      </c>
      <c r="H1897" s="15">
        <v>6.9800000000000001E-2</v>
      </c>
      <c r="I1897" s="15">
        <v>0.27514090724061491</v>
      </c>
    </row>
    <row r="1898" spans="1:9" x14ac:dyDescent="0.2">
      <c r="A1898" s="2" t="s">
        <v>5690</v>
      </c>
      <c r="B1898" s="2" t="s">
        <v>5691</v>
      </c>
      <c r="C1898" s="2" t="s">
        <v>5692</v>
      </c>
      <c r="D1898" s="2" t="s">
        <v>10049</v>
      </c>
      <c r="E1898" s="15">
        <v>-1.84E-2</v>
      </c>
      <c r="F1898" s="15">
        <v>6.5299999999999997E-2</v>
      </c>
      <c r="G1898" s="15">
        <v>-4.9099999999999998E-2</v>
      </c>
      <c r="H1898" s="15">
        <v>6.8500000000000005E-2</v>
      </c>
      <c r="I1898" s="15">
        <v>0.34756218766336588</v>
      </c>
    </row>
    <row r="1899" spans="1:9" x14ac:dyDescent="0.2">
      <c r="A1899" s="2" t="s">
        <v>5693</v>
      </c>
      <c r="B1899" s="2" t="s">
        <v>5694</v>
      </c>
      <c r="C1899" s="2" t="s">
        <v>5695</v>
      </c>
      <c r="D1899" s="2" t="s">
        <v>10049</v>
      </c>
      <c r="E1899" s="15">
        <v>-1.2200000000000001E-2</v>
      </c>
      <c r="F1899" s="15">
        <v>6.2199999999999998E-2</v>
      </c>
      <c r="G1899" s="15">
        <v>-3.7699999999999997E-2</v>
      </c>
      <c r="H1899" s="15">
        <v>6.8500000000000005E-2</v>
      </c>
      <c r="I1899" s="15">
        <v>0.37163124788260687</v>
      </c>
    </row>
    <row r="1900" spans="1:9" x14ac:dyDescent="0.2">
      <c r="A1900" s="2" t="s">
        <v>5696</v>
      </c>
      <c r="B1900" s="2" t="s">
        <v>5697</v>
      </c>
      <c r="C1900" s="2" t="s">
        <v>5698</v>
      </c>
      <c r="D1900" s="2" t="s">
        <v>10049</v>
      </c>
      <c r="E1900" s="15">
        <v>-0.02</v>
      </c>
      <c r="F1900" s="15">
        <v>8.0799999999999997E-2</v>
      </c>
      <c r="G1900" s="15">
        <v>-0.1278</v>
      </c>
      <c r="H1900" s="15">
        <v>8.5500000000000007E-2</v>
      </c>
      <c r="I1900" s="15">
        <v>0.1281233886467516</v>
      </c>
    </row>
    <row r="1901" spans="1:9" x14ac:dyDescent="0.2">
      <c r="A1901" s="2" t="s">
        <v>5699</v>
      </c>
      <c r="B1901" s="2" t="s">
        <v>5700</v>
      </c>
      <c r="C1901" s="2" t="s">
        <v>5701</v>
      </c>
      <c r="D1901" s="2" t="s">
        <v>10049</v>
      </c>
      <c r="E1901" s="15">
        <v>-6.8599999999999994E-2</v>
      </c>
      <c r="F1901" s="15">
        <v>7.85E-2</v>
      </c>
      <c r="G1901" s="15">
        <v>-0.1012</v>
      </c>
      <c r="H1901" s="15">
        <v>7.1499999999999994E-2</v>
      </c>
      <c r="I1901" s="15">
        <v>0.34499968559074962</v>
      </c>
    </row>
    <row r="1902" spans="1:9" x14ac:dyDescent="0.2">
      <c r="A1902" s="2" t="s">
        <v>5702</v>
      </c>
      <c r="B1902" s="2" t="s">
        <v>5703</v>
      </c>
      <c r="C1902" s="2" t="s">
        <v>5704</v>
      </c>
      <c r="D1902" s="2" t="s">
        <v>10049</v>
      </c>
      <c r="E1902" s="15">
        <v>5.16E-2</v>
      </c>
      <c r="F1902" s="15">
        <v>7.8E-2</v>
      </c>
      <c r="G1902" s="15">
        <v>-0.1394</v>
      </c>
      <c r="H1902" s="15">
        <v>8.0799999999999997E-2</v>
      </c>
      <c r="I1902" s="15">
        <v>1.874815299150737E-2</v>
      </c>
    </row>
    <row r="1903" spans="1:9" x14ac:dyDescent="0.2">
      <c r="A1903" s="2" t="s">
        <v>5705</v>
      </c>
      <c r="B1903" s="2" t="s">
        <v>5706</v>
      </c>
      <c r="C1903" s="2" t="s">
        <v>5707</v>
      </c>
      <c r="D1903" s="2" t="s">
        <v>10049</v>
      </c>
      <c r="E1903" s="15">
        <v>-2.0899999999999998E-2</v>
      </c>
      <c r="F1903" s="15">
        <v>6.5000000000000002E-2</v>
      </c>
      <c r="G1903" s="15">
        <v>-0.13420000000000001</v>
      </c>
      <c r="H1903" s="15">
        <v>6.6900000000000001E-2</v>
      </c>
      <c r="I1903" s="15">
        <v>7.2110300084843801E-2</v>
      </c>
    </row>
    <row r="1904" spans="1:9" x14ac:dyDescent="0.2">
      <c r="A1904" s="2" t="s">
        <v>5708</v>
      </c>
      <c r="B1904" s="2" t="s">
        <v>5709</v>
      </c>
      <c r="C1904" s="2" t="s">
        <v>5710</v>
      </c>
      <c r="D1904" s="2" t="s">
        <v>10050</v>
      </c>
      <c r="E1904" s="15">
        <v>2.7099999999999999E-2</v>
      </c>
      <c r="F1904" s="15">
        <v>6.7599999999999993E-2</v>
      </c>
      <c r="G1904" s="15">
        <v>7.22E-2</v>
      </c>
      <c r="H1904" s="15">
        <v>6.1400000000000003E-2</v>
      </c>
      <c r="I1904" s="15">
        <v>0.26928098944908369</v>
      </c>
    </row>
    <row r="1905" spans="1:9" x14ac:dyDescent="0.2">
      <c r="A1905" s="2" t="s">
        <v>5711</v>
      </c>
      <c r="B1905" s="2" t="s">
        <v>5712</v>
      </c>
      <c r="C1905" s="2" t="s">
        <v>5713</v>
      </c>
      <c r="D1905" s="2" t="s">
        <v>10050</v>
      </c>
      <c r="E1905" s="15">
        <v>-2.9399999999999999E-2</v>
      </c>
      <c r="F1905" s="15">
        <v>7.2900000000000006E-2</v>
      </c>
      <c r="G1905" s="15">
        <v>-7.2099999999999997E-2</v>
      </c>
      <c r="H1905" s="15">
        <v>0.125</v>
      </c>
      <c r="I1905" s="15">
        <v>0.37589210384710958</v>
      </c>
    </row>
    <row r="1906" spans="1:9" x14ac:dyDescent="0.2">
      <c r="A1906" s="2" t="s">
        <v>5714</v>
      </c>
      <c r="B1906" s="2" t="s">
        <v>5715</v>
      </c>
      <c r="C1906" s="2" t="s">
        <v>5716</v>
      </c>
      <c r="D1906" s="2" t="s">
        <v>10050</v>
      </c>
      <c r="E1906" s="15">
        <v>-3.9100000000000003E-2</v>
      </c>
      <c r="F1906" s="15">
        <v>0.06</v>
      </c>
      <c r="G1906" s="15">
        <v>4.7399999999999998E-2</v>
      </c>
      <c r="H1906" s="15">
        <v>5.7299999999999997E-2</v>
      </c>
      <c r="I1906" s="15">
        <v>0.1012908198915166</v>
      </c>
    </row>
    <row r="1907" spans="1:9" x14ac:dyDescent="0.2">
      <c r="A1907" s="2" t="s">
        <v>5717</v>
      </c>
      <c r="B1907" s="2" t="s">
        <v>5718</v>
      </c>
      <c r="C1907" s="2" t="s">
        <v>5719</v>
      </c>
      <c r="D1907" s="2" t="s">
        <v>10050</v>
      </c>
      <c r="E1907" s="15">
        <v>-1.4999999999999999E-2</v>
      </c>
      <c r="F1907" s="15">
        <v>6.54E-2</v>
      </c>
      <c r="G1907" s="15">
        <v>3.5999999999999997E-2</v>
      </c>
      <c r="H1907" s="15">
        <v>5.8900000000000001E-2</v>
      </c>
      <c r="I1907" s="15">
        <v>0.2312031979501514</v>
      </c>
    </row>
    <row r="1908" spans="1:9" x14ac:dyDescent="0.2">
      <c r="A1908" s="2" t="s">
        <v>5720</v>
      </c>
      <c r="B1908" s="2" t="s">
        <v>5721</v>
      </c>
      <c r="C1908" s="2" t="s">
        <v>5722</v>
      </c>
      <c r="D1908" s="2" t="s">
        <v>10050</v>
      </c>
      <c r="E1908" s="15">
        <v>2.8999999999999998E-3</v>
      </c>
      <c r="F1908" s="15">
        <v>6.8900000000000003E-2</v>
      </c>
      <c r="G1908" s="15">
        <v>2.81E-2</v>
      </c>
      <c r="H1908" s="15">
        <v>5.33E-2</v>
      </c>
      <c r="I1908" s="15">
        <v>0.34911729006831999</v>
      </c>
    </row>
    <row r="1909" spans="1:9" x14ac:dyDescent="0.2">
      <c r="A1909" s="2" t="s">
        <v>5723</v>
      </c>
      <c r="B1909" s="2" t="s">
        <v>5724</v>
      </c>
      <c r="C1909" s="2" t="s">
        <v>5725</v>
      </c>
      <c r="D1909" s="2" t="s">
        <v>10050</v>
      </c>
      <c r="E1909" s="15">
        <v>-7.17E-2</v>
      </c>
      <c r="F1909" s="15">
        <v>0.1057</v>
      </c>
      <c r="G1909" s="15">
        <v>-9.9900000000000003E-2</v>
      </c>
      <c r="H1909" s="15">
        <v>8.8499999999999995E-2</v>
      </c>
      <c r="I1909" s="15">
        <v>0.39202259406758111</v>
      </c>
    </row>
    <row r="1910" spans="1:9" x14ac:dyDescent="0.2">
      <c r="A1910" s="2" t="s">
        <v>5726</v>
      </c>
      <c r="B1910" s="2" t="s">
        <v>5727</v>
      </c>
      <c r="C1910" s="2" t="s">
        <v>5728</v>
      </c>
      <c r="D1910" s="2" t="s">
        <v>10050</v>
      </c>
      <c r="E1910" s="15">
        <v>2.5499999999999998E-2</v>
      </c>
      <c r="F1910" s="15">
        <v>9.0999999999999998E-2</v>
      </c>
      <c r="G1910" s="15">
        <v>4.4699999999999997E-2</v>
      </c>
      <c r="H1910" s="15">
        <v>0.11</v>
      </c>
      <c r="I1910" s="15">
        <v>0.43768049186858982</v>
      </c>
    </row>
    <row r="1911" spans="1:9" x14ac:dyDescent="0.2">
      <c r="A1911" s="2" t="s">
        <v>5729</v>
      </c>
      <c r="B1911" s="2" t="s">
        <v>5730</v>
      </c>
      <c r="C1911" s="2" t="s">
        <v>5731</v>
      </c>
      <c r="D1911" s="2" t="s">
        <v>10050</v>
      </c>
      <c r="E1911" s="15">
        <v>-2E-3</v>
      </c>
      <c r="F1911" s="15">
        <v>7.7100000000000002E-2</v>
      </c>
      <c r="G1911" s="15">
        <v>4.3E-3</v>
      </c>
      <c r="H1911" s="15">
        <v>9.8400000000000001E-2</v>
      </c>
      <c r="I1911" s="15">
        <v>0.4772787776243162</v>
      </c>
    </row>
    <row r="1912" spans="1:9" x14ac:dyDescent="0.2">
      <c r="A1912" s="2" t="s">
        <v>5732</v>
      </c>
      <c r="B1912" s="2" t="s">
        <v>5733</v>
      </c>
      <c r="C1912" s="2" t="s">
        <v>5734</v>
      </c>
      <c r="D1912" s="2" t="s">
        <v>10050</v>
      </c>
      <c r="E1912" s="15">
        <v>-1.83E-2</v>
      </c>
      <c r="F1912" s="15">
        <v>7.4899999999999994E-2</v>
      </c>
      <c r="G1912" s="15">
        <v>5.45E-2</v>
      </c>
      <c r="H1912" s="15">
        <v>7.6700000000000004E-2</v>
      </c>
      <c r="I1912" s="15">
        <v>0.2072912700342848</v>
      </c>
    </row>
    <row r="1913" spans="1:9" x14ac:dyDescent="0.2">
      <c r="A1913" s="2" t="s">
        <v>5735</v>
      </c>
      <c r="B1913" s="2" t="s">
        <v>5736</v>
      </c>
      <c r="C1913" s="2" t="s">
        <v>5737</v>
      </c>
      <c r="D1913" s="2" t="s">
        <v>10050</v>
      </c>
      <c r="E1913" s="15">
        <v>-2.1100000000000001E-2</v>
      </c>
      <c r="F1913" s="15">
        <v>7.22E-2</v>
      </c>
      <c r="G1913" s="15">
        <v>0.1004</v>
      </c>
      <c r="H1913" s="15">
        <v>6.9900000000000004E-2</v>
      </c>
      <c r="I1913" s="15">
        <v>7.2854691167705557E-2</v>
      </c>
    </row>
    <row r="1914" spans="1:9" x14ac:dyDescent="0.2">
      <c r="A1914" s="2" t="s">
        <v>5738</v>
      </c>
      <c r="B1914" s="2" t="s">
        <v>5739</v>
      </c>
      <c r="C1914" s="2" t="s">
        <v>5740</v>
      </c>
      <c r="D1914" s="2" t="s">
        <v>10050</v>
      </c>
      <c r="E1914" s="15">
        <v>3.0599999999999999E-2</v>
      </c>
      <c r="F1914" s="15">
        <v>6.7000000000000004E-2</v>
      </c>
      <c r="G1914" s="15">
        <v>3.04E-2</v>
      </c>
      <c r="H1914" s="15">
        <v>6.4899999999999999E-2</v>
      </c>
      <c r="I1914" s="15">
        <v>0.49894264479759209</v>
      </c>
    </row>
    <row r="1915" spans="1:9" x14ac:dyDescent="0.2">
      <c r="A1915" s="2" t="s">
        <v>5741</v>
      </c>
      <c r="B1915" s="2" t="s">
        <v>5742</v>
      </c>
      <c r="C1915" s="2" t="s">
        <v>5743</v>
      </c>
      <c r="D1915" s="2" t="s">
        <v>10050</v>
      </c>
      <c r="E1915" s="15">
        <v>-1.3299999999999999E-2</v>
      </c>
      <c r="F1915" s="15">
        <v>6.3200000000000006E-2</v>
      </c>
      <c r="G1915" s="15">
        <v>7.46E-2</v>
      </c>
      <c r="H1915" s="15">
        <v>6.7599999999999993E-2</v>
      </c>
      <c r="I1915" s="15">
        <v>0.12760768212386259</v>
      </c>
    </row>
    <row r="1916" spans="1:9" x14ac:dyDescent="0.2">
      <c r="A1916" s="2" t="s">
        <v>5744</v>
      </c>
      <c r="B1916" s="2" t="s">
        <v>5745</v>
      </c>
      <c r="C1916" s="2" t="s">
        <v>5746</v>
      </c>
      <c r="D1916" s="2" t="s">
        <v>10050</v>
      </c>
      <c r="E1916" s="15">
        <v>1.7999999999999999E-2</v>
      </c>
      <c r="F1916" s="15">
        <v>6.1199999999999997E-2</v>
      </c>
      <c r="G1916" s="15">
        <v>9.2499999999999999E-2</v>
      </c>
      <c r="H1916" s="15">
        <v>6.4799999999999996E-2</v>
      </c>
      <c r="I1916" s="15">
        <v>0.15697125870134679</v>
      </c>
    </row>
    <row r="1917" spans="1:9" x14ac:dyDescent="0.2">
      <c r="A1917" s="2" t="s">
        <v>5747</v>
      </c>
      <c r="B1917" s="2" t="s">
        <v>5748</v>
      </c>
      <c r="C1917" s="2" t="s">
        <v>5749</v>
      </c>
      <c r="D1917" s="2" t="s">
        <v>10050</v>
      </c>
      <c r="E1917" s="15">
        <v>5.2900000000000003E-2</v>
      </c>
      <c r="F1917" s="15">
        <v>6.1600000000000002E-2</v>
      </c>
      <c r="G1917" s="15">
        <v>8.2699999999999996E-2</v>
      </c>
      <c r="H1917" s="15">
        <v>6.2E-2</v>
      </c>
      <c r="I1917" s="15">
        <v>0.33936432803707389</v>
      </c>
    </row>
    <row r="1918" spans="1:9" x14ac:dyDescent="0.2">
      <c r="A1918" s="2" t="s">
        <v>5750</v>
      </c>
      <c r="B1918" s="2" t="s">
        <v>5751</v>
      </c>
      <c r="C1918" s="2" t="s">
        <v>5752</v>
      </c>
      <c r="D1918" s="2" t="s">
        <v>10050</v>
      </c>
      <c r="E1918" s="15">
        <v>4.7100000000000003E-2</v>
      </c>
      <c r="F1918" s="15">
        <v>5.8299999999999998E-2</v>
      </c>
      <c r="G1918" s="15">
        <v>4.1500000000000002E-2</v>
      </c>
      <c r="H1918" s="15">
        <v>6.7799999999999999E-2</v>
      </c>
      <c r="I1918" s="15">
        <v>0.47115480053824982</v>
      </c>
    </row>
    <row r="1919" spans="1:9" x14ac:dyDescent="0.2">
      <c r="A1919" s="2" t="s">
        <v>5753</v>
      </c>
      <c r="B1919" s="2" t="s">
        <v>5754</v>
      </c>
      <c r="C1919" s="2" t="s">
        <v>5755</v>
      </c>
      <c r="D1919" s="2" t="s">
        <v>10050</v>
      </c>
      <c r="E1919" s="15">
        <v>4.9599999999999998E-2</v>
      </c>
      <c r="F1919" s="15">
        <v>6.0400000000000002E-2</v>
      </c>
      <c r="G1919" s="15">
        <v>2.8799999999999999E-2</v>
      </c>
      <c r="H1919" s="15">
        <v>6.8500000000000005E-2</v>
      </c>
      <c r="I1919" s="15">
        <v>0.39523771950938241</v>
      </c>
    </row>
    <row r="1920" spans="1:9" x14ac:dyDescent="0.2">
      <c r="A1920" s="2" t="s">
        <v>5756</v>
      </c>
      <c r="B1920" s="2" t="s">
        <v>5757</v>
      </c>
      <c r="C1920" s="2" t="s">
        <v>5758</v>
      </c>
      <c r="D1920" s="2" t="s">
        <v>10050</v>
      </c>
      <c r="E1920" s="15">
        <v>-2.3099999999999999E-2</v>
      </c>
      <c r="F1920" s="15">
        <v>6.1499999999999999E-2</v>
      </c>
      <c r="G1920" s="15">
        <v>5.3E-3</v>
      </c>
      <c r="H1920" s="15">
        <v>7.4499999999999997E-2</v>
      </c>
      <c r="I1920" s="15">
        <v>0.36660023935804908</v>
      </c>
    </row>
    <row r="1921" spans="1:9" x14ac:dyDescent="0.2">
      <c r="A1921" s="2" t="s">
        <v>5759</v>
      </c>
      <c r="B1921" s="2" t="s">
        <v>5760</v>
      </c>
      <c r="C1921" s="2" t="s">
        <v>5761</v>
      </c>
      <c r="D1921" s="2" t="s">
        <v>10050</v>
      </c>
      <c r="E1921" s="15">
        <v>-2.64E-2</v>
      </c>
      <c r="F1921" s="15">
        <v>6.0999999999999999E-2</v>
      </c>
      <c r="G1921" s="15">
        <v>8.6999999999999994E-3</v>
      </c>
      <c r="H1921" s="15">
        <v>7.0199999999999999E-2</v>
      </c>
      <c r="I1921" s="15">
        <v>0.32828589815451392</v>
      </c>
    </row>
    <row r="1922" spans="1:9" x14ac:dyDescent="0.2">
      <c r="A1922" s="2" t="s">
        <v>5762</v>
      </c>
      <c r="B1922" s="2" t="s">
        <v>5763</v>
      </c>
      <c r="C1922" s="2" t="s">
        <v>5764</v>
      </c>
      <c r="D1922" s="2" t="s">
        <v>10050</v>
      </c>
      <c r="E1922" s="15">
        <v>-1.7100000000000001E-2</v>
      </c>
      <c r="F1922" s="15">
        <v>5.6899999999999999E-2</v>
      </c>
      <c r="G1922" s="15">
        <v>8.1000000000000003E-2</v>
      </c>
      <c r="H1922" s="15">
        <v>6.5600000000000006E-2</v>
      </c>
      <c r="I1922" s="15">
        <v>9.5502104900437465E-2</v>
      </c>
    </row>
    <row r="1923" spans="1:9" x14ac:dyDescent="0.2">
      <c r="A1923" s="2" t="s">
        <v>5765</v>
      </c>
      <c r="B1923" s="2" t="s">
        <v>5766</v>
      </c>
      <c r="C1923" s="2" t="s">
        <v>5767</v>
      </c>
      <c r="D1923" s="2" t="s">
        <v>10050</v>
      </c>
      <c r="E1923" s="15">
        <v>-4.7000000000000002E-3</v>
      </c>
      <c r="F1923" s="15">
        <v>6.4799999999999996E-2</v>
      </c>
      <c r="G1923" s="15">
        <v>6.5699999999999995E-2</v>
      </c>
      <c r="H1923" s="15">
        <v>6.4100000000000004E-2</v>
      </c>
      <c r="I1923" s="15">
        <v>0.1694553901680925</v>
      </c>
    </row>
    <row r="1924" spans="1:9" x14ac:dyDescent="0.2">
      <c r="A1924" s="2" t="s">
        <v>5768</v>
      </c>
      <c r="B1924" s="2" t="s">
        <v>5769</v>
      </c>
      <c r="C1924" s="2" t="s">
        <v>5770</v>
      </c>
      <c r="D1924" s="2" t="s">
        <v>10050</v>
      </c>
      <c r="E1924" s="15">
        <v>-7.1000000000000004E-3</v>
      </c>
      <c r="F1924" s="15">
        <v>6.7299999999999999E-2</v>
      </c>
      <c r="G1924" s="15">
        <v>3.8600000000000002E-2</v>
      </c>
      <c r="H1924" s="15">
        <v>5.8999999999999997E-2</v>
      </c>
      <c r="I1924" s="15">
        <v>0.25648836160332328</v>
      </c>
    </row>
    <row r="1925" spans="1:9" x14ac:dyDescent="0.2">
      <c r="A1925" s="2" t="s">
        <v>5771</v>
      </c>
      <c r="B1925" s="2" t="s">
        <v>5772</v>
      </c>
      <c r="C1925" s="2" t="s">
        <v>5773</v>
      </c>
      <c r="D1925" s="2" t="s">
        <v>10050</v>
      </c>
      <c r="E1925" s="15">
        <v>1.7999999999999999E-2</v>
      </c>
      <c r="F1925" s="15">
        <v>7.46E-2</v>
      </c>
      <c r="G1925" s="15">
        <v>9.2299999999999993E-2</v>
      </c>
      <c r="H1925" s="15">
        <v>7.0999999999999994E-2</v>
      </c>
      <c r="I1925" s="15">
        <v>0.1826992696931545</v>
      </c>
    </row>
    <row r="1926" spans="1:9" x14ac:dyDescent="0.2">
      <c r="A1926" s="2" t="s">
        <v>5774</v>
      </c>
      <c r="B1926" s="2" t="s">
        <v>5775</v>
      </c>
      <c r="C1926" s="2" t="s">
        <v>5776</v>
      </c>
      <c r="D1926" s="2" t="s">
        <v>10050</v>
      </c>
      <c r="E1926" s="15">
        <v>-1.9699999999999999E-2</v>
      </c>
      <c r="F1926" s="15">
        <v>6.3700000000000007E-2</v>
      </c>
      <c r="G1926" s="15">
        <v>1.38E-2</v>
      </c>
      <c r="H1926" s="15">
        <v>5.67E-2</v>
      </c>
      <c r="I1926" s="15">
        <v>0.30840505373592192</v>
      </c>
    </row>
    <row r="1927" spans="1:9" x14ac:dyDescent="0.2">
      <c r="A1927" s="2" t="s">
        <v>5777</v>
      </c>
      <c r="B1927" s="2" t="s">
        <v>5778</v>
      </c>
      <c r="C1927" s="2" t="s">
        <v>5779</v>
      </c>
      <c r="D1927" s="2" t="s">
        <v>10050</v>
      </c>
      <c r="E1927" s="15">
        <v>-1.8599999999999998E-2</v>
      </c>
      <c r="F1927" s="15">
        <v>6.4100000000000004E-2</v>
      </c>
      <c r="G1927" s="15">
        <v>-4.4000000000000003E-3</v>
      </c>
      <c r="H1927" s="15">
        <v>5.8999999999999997E-2</v>
      </c>
      <c r="I1927" s="15">
        <v>0.41885160703407381</v>
      </c>
    </row>
    <row r="1928" spans="1:9" x14ac:dyDescent="0.2">
      <c r="A1928" s="2" t="s">
        <v>5780</v>
      </c>
      <c r="B1928" s="2" t="s">
        <v>5781</v>
      </c>
      <c r="C1928" s="2" t="s">
        <v>5782</v>
      </c>
      <c r="D1928" s="2" t="s">
        <v>10050</v>
      </c>
      <c r="E1928" s="15">
        <v>2.0000000000000001E-4</v>
      </c>
      <c r="F1928" s="15">
        <v>6.6500000000000004E-2</v>
      </c>
      <c r="G1928" s="15">
        <v>2.6200000000000001E-2</v>
      </c>
      <c r="H1928" s="15">
        <v>6.2399999999999997E-2</v>
      </c>
      <c r="I1928" s="15">
        <v>0.36002243905835818</v>
      </c>
    </row>
    <row r="1929" spans="1:9" x14ac:dyDescent="0.2">
      <c r="A1929" s="2" t="s">
        <v>5783</v>
      </c>
      <c r="B1929" s="2" t="s">
        <v>5784</v>
      </c>
      <c r="C1929" s="2" t="s">
        <v>5785</v>
      </c>
      <c r="D1929" s="2" t="s">
        <v>10050</v>
      </c>
      <c r="E1929" s="15">
        <v>1.8499999999999999E-2</v>
      </c>
      <c r="F1929" s="15">
        <v>7.0300000000000001E-2</v>
      </c>
      <c r="G1929" s="15">
        <v>1.52E-2</v>
      </c>
      <c r="H1929" s="15">
        <v>6.6500000000000004E-2</v>
      </c>
      <c r="I1929" s="15">
        <v>0.48292819687081162</v>
      </c>
    </row>
    <row r="1930" spans="1:9" x14ac:dyDescent="0.2">
      <c r="A1930" s="2" t="s">
        <v>5786</v>
      </c>
      <c r="B1930" s="2" t="s">
        <v>5787</v>
      </c>
      <c r="C1930" s="2" t="s">
        <v>5788</v>
      </c>
      <c r="D1930" s="2" t="s">
        <v>10050</v>
      </c>
      <c r="E1930" s="15">
        <v>4.2900000000000001E-2</v>
      </c>
      <c r="F1930" s="15">
        <v>7.2400000000000006E-2</v>
      </c>
      <c r="G1930" s="15">
        <v>-6.9999999999999999E-4</v>
      </c>
      <c r="H1930" s="15">
        <v>6.6500000000000004E-2</v>
      </c>
      <c r="I1930" s="15">
        <v>0.28434185588713651</v>
      </c>
    </row>
    <row r="1931" spans="1:9" x14ac:dyDescent="0.2">
      <c r="A1931" s="2" t="s">
        <v>5789</v>
      </c>
      <c r="B1931" s="2" t="s">
        <v>5790</v>
      </c>
      <c r="C1931" s="2" t="s">
        <v>5791</v>
      </c>
      <c r="D1931" s="2" t="s">
        <v>10050</v>
      </c>
      <c r="E1931" s="15">
        <v>1.43E-2</v>
      </c>
      <c r="F1931" s="15">
        <v>7.0199999999999999E-2</v>
      </c>
      <c r="G1931" s="15">
        <v>8.0000000000000004E-4</v>
      </c>
      <c r="H1931" s="15">
        <v>6.8199999999999997E-2</v>
      </c>
      <c r="I1931" s="15">
        <v>0.43127355798692318</v>
      </c>
    </row>
    <row r="1932" spans="1:9" x14ac:dyDescent="0.2">
      <c r="A1932" s="2" t="s">
        <v>5792</v>
      </c>
      <c r="B1932" s="2" t="s">
        <v>5793</v>
      </c>
      <c r="C1932" s="2" t="s">
        <v>5794</v>
      </c>
      <c r="D1932" s="2" t="s">
        <v>10050</v>
      </c>
      <c r="E1932" s="15">
        <v>5.1400000000000001E-2</v>
      </c>
      <c r="F1932" s="15">
        <v>7.1800000000000003E-2</v>
      </c>
      <c r="G1932" s="15">
        <v>1.9099999999999999E-2</v>
      </c>
      <c r="H1932" s="15">
        <v>7.5200000000000003E-2</v>
      </c>
      <c r="I1932" s="15">
        <v>0.35343712614667738</v>
      </c>
    </row>
    <row r="1933" spans="1:9" x14ac:dyDescent="0.2">
      <c r="A1933" s="2" t="s">
        <v>5795</v>
      </c>
      <c r="B1933" s="2" t="s">
        <v>5796</v>
      </c>
      <c r="C1933" s="2" t="s">
        <v>5797</v>
      </c>
      <c r="D1933" s="2" t="s">
        <v>10050</v>
      </c>
      <c r="E1933" s="15">
        <v>2.5000000000000001E-2</v>
      </c>
      <c r="F1933" s="15">
        <v>6.6100000000000006E-2</v>
      </c>
      <c r="G1933" s="15">
        <v>7.6E-3</v>
      </c>
      <c r="H1933" s="15">
        <v>7.5800000000000006E-2</v>
      </c>
      <c r="I1933" s="15">
        <v>0.42034407522807082</v>
      </c>
    </row>
    <row r="1934" spans="1:9" x14ac:dyDescent="0.2">
      <c r="A1934" s="2" t="s">
        <v>5798</v>
      </c>
      <c r="B1934" s="2" t="s">
        <v>5799</v>
      </c>
      <c r="C1934" s="2" t="s">
        <v>5800</v>
      </c>
      <c r="D1934" s="2" t="s">
        <v>10050</v>
      </c>
      <c r="E1934" s="15">
        <v>1.41E-2</v>
      </c>
      <c r="F1934" s="15">
        <v>6.6500000000000004E-2</v>
      </c>
      <c r="G1934" s="15">
        <v>3.6299999999999999E-2</v>
      </c>
      <c r="H1934" s="15">
        <v>6.5100000000000005E-2</v>
      </c>
      <c r="I1934" s="15">
        <v>0.38395812025752429</v>
      </c>
    </row>
    <row r="1935" spans="1:9" x14ac:dyDescent="0.2">
      <c r="A1935" s="2" t="s">
        <v>5801</v>
      </c>
      <c r="B1935" s="2" t="s">
        <v>5802</v>
      </c>
      <c r="C1935" s="2" t="s">
        <v>5803</v>
      </c>
      <c r="D1935" s="2" t="s">
        <v>10050</v>
      </c>
      <c r="E1935" s="15">
        <v>-3.8999999999999998E-3</v>
      </c>
      <c r="F1935" s="15">
        <v>6.6100000000000006E-2</v>
      </c>
      <c r="G1935" s="15">
        <v>6.6E-3</v>
      </c>
      <c r="H1935" s="15">
        <v>7.0199999999999999E-2</v>
      </c>
      <c r="I1935" s="15">
        <v>0.44767500560213191</v>
      </c>
    </row>
    <row r="1936" spans="1:9" x14ac:dyDescent="0.2">
      <c r="A1936" s="2" t="s">
        <v>5804</v>
      </c>
      <c r="B1936" s="2" t="s">
        <v>5805</v>
      </c>
      <c r="C1936" s="2" t="s">
        <v>5806</v>
      </c>
      <c r="D1936" s="2" t="s">
        <v>10050</v>
      </c>
      <c r="E1936" s="15">
        <v>-1.15E-2</v>
      </c>
      <c r="F1936" s="15">
        <v>7.5800000000000006E-2</v>
      </c>
      <c r="G1936" s="15">
        <v>2.6599999999999999E-2</v>
      </c>
      <c r="H1936" s="15">
        <v>6.1199999999999997E-2</v>
      </c>
      <c r="I1936" s="15">
        <v>0.30100768346526358</v>
      </c>
    </row>
    <row r="1937" spans="1:9" x14ac:dyDescent="0.2">
      <c r="A1937" s="2" t="s">
        <v>5807</v>
      </c>
      <c r="B1937" s="2" t="s">
        <v>5808</v>
      </c>
      <c r="C1937" s="2" t="s">
        <v>5809</v>
      </c>
      <c r="D1937" s="2" t="s">
        <v>10050</v>
      </c>
      <c r="E1937" s="15">
        <v>-2.8199999999999999E-2</v>
      </c>
      <c r="F1937" s="15">
        <v>7.4499999999999997E-2</v>
      </c>
      <c r="G1937" s="15">
        <v>3.0599999999999999E-2</v>
      </c>
      <c r="H1937" s="15">
        <v>6.5100000000000005E-2</v>
      </c>
      <c r="I1937" s="15">
        <v>0.22031047905386911</v>
      </c>
    </row>
    <row r="1938" spans="1:9" x14ac:dyDescent="0.2">
      <c r="A1938" s="2" t="s">
        <v>5810</v>
      </c>
      <c r="B1938" s="2" t="s">
        <v>5811</v>
      </c>
      <c r="C1938" s="2" t="s">
        <v>5812</v>
      </c>
      <c r="D1938" s="2" t="s">
        <v>10050</v>
      </c>
      <c r="E1938" s="15">
        <v>-5.0900000000000001E-2</v>
      </c>
      <c r="F1938" s="15">
        <v>6.3100000000000003E-2</v>
      </c>
      <c r="G1938" s="15">
        <v>5.8099999999999999E-2</v>
      </c>
      <c r="H1938" s="15">
        <v>5.9900000000000002E-2</v>
      </c>
      <c r="I1938" s="15">
        <v>6.2912495606616436E-2</v>
      </c>
    </row>
    <row r="1939" spans="1:9" x14ac:dyDescent="0.2">
      <c r="A1939" s="2" t="s">
        <v>5813</v>
      </c>
      <c r="B1939" s="2" t="s">
        <v>5814</v>
      </c>
      <c r="C1939" s="2" t="s">
        <v>5815</v>
      </c>
      <c r="D1939" s="2" t="s">
        <v>10050</v>
      </c>
      <c r="E1939" s="15">
        <v>-5.04E-2</v>
      </c>
      <c r="F1939" s="15">
        <v>6.08E-2</v>
      </c>
      <c r="G1939" s="15">
        <v>4.6100000000000002E-2</v>
      </c>
      <c r="H1939" s="15">
        <v>5.62E-2</v>
      </c>
      <c r="I1939" s="15">
        <v>7.4929814384488577E-2</v>
      </c>
    </row>
    <row r="1940" spans="1:9" x14ac:dyDescent="0.2">
      <c r="A1940" s="2" t="s">
        <v>5816</v>
      </c>
      <c r="B1940" s="2" t="s">
        <v>5817</v>
      </c>
      <c r="C1940" s="2" t="s">
        <v>5818</v>
      </c>
      <c r="D1940" s="2" t="s">
        <v>10050</v>
      </c>
      <c r="E1940" s="15">
        <v>7.1099999999999997E-2</v>
      </c>
      <c r="F1940" s="15">
        <v>6.3700000000000007E-2</v>
      </c>
      <c r="G1940" s="15">
        <v>9.4399999999999998E-2</v>
      </c>
      <c r="H1940" s="15">
        <v>6.4799999999999996E-2</v>
      </c>
      <c r="I1940" s="15">
        <v>0.37941278852109661</v>
      </c>
    </row>
    <row r="1941" spans="1:9" x14ac:dyDescent="0.2">
      <c r="A1941" s="2" t="s">
        <v>5819</v>
      </c>
      <c r="B1941" s="2" t="s">
        <v>5820</v>
      </c>
      <c r="C1941" s="2" t="s">
        <v>5821</v>
      </c>
      <c r="D1941" s="2" t="s">
        <v>10050</v>
      </c>
      <c r="E1941" s="15">
        <v>1.41E-2</v>
      </c>
      <c r="F1941" s="15">
        <v>6.0499999999999998E-2</v>
      </c>
      <c r="G1941" s="15">
        <v>0.127</v>
      </c>
      <c r="H1941" s="15">
        <v>6.6199999999999995E-2</v>
      </c>
      <c r="I1941" s="15">
        <v>7.245922851185288E-2</v>
      </c>
    </row>
    <row r="1942" spans="1:9" x14ac:dyDescent="0.2">
      <c r="A1942" s="2" t="s">
        <v>5822</v>
      </c>
      <c r="B1942" s="2" t="s">
        <v>5823</v>
      </c>
      <c r="C1942" s="2" t="s">
        <v>5824</v>
      </c>
      <c r="D1942" s="2" t="s">
        <v>10050</v>
      </c>
      <c r="E1942" s="15">
        <v>1.15E-2</v>
      </c>
      <c r="F1942" s="15">
        <v>7.2900000000000006E-2</v>
      </c>
      <c r="G1942" s="15">
        <v>-1.8700000000000001E-2</v>
      </c>
      <c r="H1942" s="15">
        <v>6.4799999999999996E-2</v>
      </c>
      <c r="I1942" s="15">
        <v>0.34796838404852631</v>
      </c>
    </row>
    <row r="1943" spans="1:9" x14ac:dyDescent="0.2">
      <c r="A1943" s="2" t="s">
        <v>5825</v>
      </c>
      <c r="B1943" s="2" t="s">
        <v>5826</v>
      </c>
      <c r="C1943" s="2" t="s">
        <v>5827</v>
      </c>
      <c r="D1943" s="2" t="s">
        <v>10050</v>
      </c>
      <c r="E1943" s="15">
        <v>1.0999999999999999E-2</v>
      </c>
      <c r="F1943" s="15">
        <v>7.1999999999999995E-2</v>
      </c>
      <c r="G1943" s="15">
        <v>4.4000000000000003E-3</v>
      </c>
      <c r="H1943" s="15">
        <v>7.0000000000000007E-2</v>
      </c>
      <c r="I1943" s="15">
        <v>0.46737785857354058</v>
      </c>
    </row>
    <row r="1944" spans="1:9" x14ac:dyDescent="0.2">
      <c r="A1944" s="2" t="s">
        <v>5828</v>
      </c>
      <c r="B1944" s="2" t="s">
        <v>5829</v>
      </c>
      <c r="C1944" s="2" t="s">
        <v>5830</v>
      </c>
      <c r="D1944" s="2" t="s">
        <v>10050</v>
      </c>
      <c r="E1944" s="15">
        <v>-1.1299999999999999E-2</v>
      </c>
      <c r="F1944" s="15">
        <v>6.5000000000000002E-2</v>
      </c>
      <c r="G1944" s="15">
        <v>3.8899999999999997E-2</v>
      </c>
      <c r="H1944" s="15">
        <v>5.9700000000000003E-2</v>
      </c>
      <c r="I1944" s="15">
        <v>0.23705580236834409</v>
      </c>
    </row>
    <row r="1945" spans="1:9" x14ac:dyDescent="0.2">
      <c r="A1945" s="2" t="s">
        <v>5831</v>
      </c>
      <c r="B1945" s="2" t="s">
        <v>5832</v>
      </c>
      <c r="C1945" s="2" t="s">
        <v>5833</v>
      </c>
      <c r="D1945" s="2" t="s">
        <v>10050</v>
      </c>
      <c r="E1945" s="15">
        <v>1.89E-2</v>
      </c>
      <c r="F1945" s="15">
        <v>6.6400000000000001E-2</v>
      </c>
      <c r="G1945" s="15">
        <v>4.1099999999999998E-2</v>
      </c>
      <c r="H1945" s="15">
        <v>5.9799999999999999E-2</v>
      </c>
      <c r="I1945" s="15">
        <v>0.37755689480271359</v>
      </c>
    </row>
    <row r="1946" spans="1:9" x14ac:dyDescent="0.2">
      <c r="A1946" s="2" t="s">
        <v>5834</v>
      </c>
      <c r="B1946" s="2" t="s">
        <v>5835</v>
      </c>
      <c r="C1946" s="2" t="s">
        <v>5836</v>
      </c>
      <c r="D1946" s="2" t="s">
        <v>10050</v>
      </c>
      <c r="E1946" s="15">
        <v>8.3999999999999995E-3</v>
      </c>
      <c r="F1946" s="15">
        <v>6.8000000000000005E-2</v>
      </c>
      <c r="G1946" s="15">
        <v>9.7000000000000003E-3</v>
      </c>
      <c r="H1946" s="15">
        <v>6.7199999999999996E-2</v>
      </c>
      <c r="I1946" s="15">
        <v>0.49340336395585122</v>
      </c>
    </row>
    <row r="1947" spans="1:9" x14ac:dyDescent="0.2">
      <c r="A1947" s="2" t="s">
        <v>5837</v>
      </c>
      <c r="B1947" s="2" t="s">
        <v>5838</v>
      </c>
      <c r="C1947" s="2" t="s">
        <v>5839</v>
      </c>
      <c r="D1947" s="2" t="s">
        <v>10050</v>
      </c>
      <c r="E1947" s="15">
        <v>-3.7100000000000001E-2</v>
      </c>
      <c r="F1947" s="15">
        <v>6.8199999999999997E-2</v>
      </c>
      <c r="G1947" s="15">
        <v>-0.1037</v>
      </c>
      <c r="H1947" s="15">
        <v>7.2300000000000003E-2</v>
      </c>
      <c r="I1947" s="15">
        <v>0.20916419364531391</v>
      </c>
    </row>
    <row r="1948" spans="1:9" x14ac:dyDescent="0.2">
      <c r="A1948" s="2" t="s">
        <v>5840</v>
      </c>
      <c r="B1948" s="2" t="s">
        <v>5841</v>
      </c>
      <c r="C1948" s="2" t="s">
        <v>5842</v>
      </c>
      <c r="D1948" s="2" t="s">
        <v>10050</v>
      </c>
      <c r="E1948" s="15">
        <v>-0.06</v>
      </c>
      <c r="F1948" s="15">
        <v>6.9500000000000006E-2</v>
      </c>
      <c r="G1948" s="15">
        <v>0.1191</v>
      </c>
      <c r="H1948" s="15">
        <v>6.0699999999999997E-2</v>
      </c>
      <c r="I1948" s="15">
        <v>6.3575381058101092E-3</v>
      </c>
    </row>
    <row r="1949" spans="1:9" x14ac:dyDescent="0.2">
      <c r="A1949" s="2" t="s">
        <v>5843</v>
      </c>
      <c r="B1949" s="2" t="s">
        <v>5844</v>
      </c>
      <c r="C1949" s="2" t="s">
        <v>5845</v>
      </c>
      <c r="D1949" s="2" t="s">
        <v>10050</v>
      </c>
      <c r="E1949" s="15">
        <v>-1.23E-2</v>
      </c>
      <c r="F1949" s="15">
        <v>7.2099999999999997E-2</v>
      </c>
      <c r="G1949" s="15">
        <v>6.6799999999999998E-2</v>
      </c>
      <c r="H1949" s="15">
        <v>6.4000000000000001E-2</v>
      </c>
      <c r="I1949" s="15">
        <v>0.14917908439876709</v>
      </c>
    </row>
    <row r="1950" spans="1:9" x14ac:dyDescent="0.2">
      <c r="A1950" s="2" t="s">
        <v>5846</v>
      </c>
      <c r="B1950" s="2" t="s">
        <v>5847</v>
      </c>
      <c r="C1950" s="2" t="s">
        <v>5848</v>
      </c>
      <c r="D1950" s="2" t="s">
        <v>10050</v>
      </c>
      <c r="E1950" s="15">
        <v>8.9999999999999998E-4</v>
      </c>
      <c r="F1950" s="15">
        <v>7.8700000000000006E-2</v>
      </c>
      <c r="G1950" s="15">
        <v>3.4099999999999998E-2</v>
      </c>
      <c r="H1950" s="15">
        <v>7.7499999999999999E-2</v>
      </c>
      <c r="I1950" s="15">
        <v>0.353829689721609</v>
      </c>
    </row>
    <row r="1951" spans="1:9" x14ac:dyDescent="0.2">
      <c r="A1951" s="2" t="s">
        <v>5849</v>
      </c>
      <c r="B1951" s="2" t="s">
        <v>5850</v>
      </c>
      <c r="C1951" s="2" t="s">
        <v>5851</v>
      </c>
      <c r="D1951" s="2" t="s">
        <v>10050</v>
      </c>
      <c r="E1951" s="15">
        <v>6.7599999999999993E-2</v>
      </c>
      <c r="F1951" s="15">
        <v>9.3399999999999997E-2</v>
      </c>
      <c r="G1951" s="15">
        <v>-5.0000000000000001E-4</v>
      </c>
      <c r="H1951" s="15">
        <v>6.5699999999999995E-2</v>
      </c>
      <c r="I1951" s="15">
        <v>0.18798391623927629</v>
      </c>
    </row>
    <row r="1952" spans="1:9" x14ac:dyDescent="0.2">
      <c r="A1952" s="2" t="s">
        <v>5852</v>
      </c>
      <c r="B1952" s="2" t="s">
        <v>5853</v>
      </c>
      <c r="C1952" s="2" t="s">
        <v>5854</v>
      </c>
      <c r="D1952" s="2" t="s">
        <v>10050</v>
      </c>
      <c r="E1952" s="15">
        <v>-2.6700000000000002E-2</v>
      </c>
      <c r="F1952" s="15">
        <v>7.3999999999999996E-2</v>
      </c>
      <c r="G1952" s="15">
        <v>5.2200000000000003E-2</v>
      </c>
      <c r="H1952" s="15">
        <v>5.9799999999999999E-2</v>
      </c>
      <c r="I1952" s="15">
        <v>0.13546768386781841</v>
      </c>
    </row>
    <row r="1953" spans="1:9" x14ac:dyDescent="0.2">
      <c r="A1953" s="2" t="s">
        <v>5855</v>
      </c>
      <c r="B1953" s="2" t="s">
        <v>5856</v>
      </c>
      <c r="C1953" s="2" t="s">
        <v>5857</v>
      </c>
      <c r="D1953" s="2" t="s">
        <v>10050</v>
      </c>
      <c r="E1953" s="15">
        <v>-2.3900000000000001E-2</v>
      </c>
      <c r="F1953" s="15">
        <v>7.0699999999999999E-2</v>
      </c>
      <c r="G1953" s="15">
        <v>1.6999999999999999E-3</v>
      </c>
      <c r="H1953" s="15">
        <v>5.91E-2</v>
      </c>
      <c r="I1953" s="15">
        <v>0.3570672250563266</v>
      </c>
    </row>
    <row r="1954" spans="1:9" x14ac:dyDescent="0.2">
      <c r="A1954" s="2" t="s">
        <v>5858</v>
      </c>
      <c r="B1954" s="2" t="s">
        <v>5859</v>
      </c>
      <c r="C1954" s="2" t="s">
        <v>5860</v>
      </c>
      <c r="D1954" s="2" t="s">
        <v>10050</v>
      </c>
      <c r="E1954" s="15">
        <v>-2.46E-2</v>
      </c>
      <c r="F1954" s="15">
        <v>6.6299999999999998E-2</v>
      </c>
      <c r="G1954" s="15">
        <v>-2.3E-3</v>
      </c>
      <c r="H1954" s="15">
        <v>6.3899999999999998E-2</v>
      </c>
      <c r="I1954" s="15">
        <v>0.38015800330311078</v>
      </c>
    </row>
    <row r="1955" spans="1:9" x14ac:dyDescent="0.2">
      <c r="A1955" s="2" t="s">
        <v>5861</v>
      </c>
      <c r="B1955" s="2" t="s">
        <v>5862</v>
      </c>
      <c r="C1955" s="2" t="s">
        <v>5863</v>
      </c>
      <c r="D1955" s="2" t="s">
        <v>10050</v>
      </c>
      <c r="E1955" s="15">
        <v>-6.6E-3</v>
      </c>
      <c r="F1955" s="15">
        <v>6.7199999999999996E-2</v>
      </c>
      <c r="G1955" s="15">
        <v>1.2800000000000001E-2</v>
      </c>
      <c r="H1955" s="15">
        <v>6.1199999999999997E-2</v>
      </c>
      <c r="I1955" s="15">
        <v>0.39263950937323161</v>
      </c>
    </row>
    <row r="1956" spans="1:9" x14ac:dyDescent="0.2">
      <c r="A1956" s="2" t="s">
        <v>5864</v>
      </c>
      <c r="B1956" s="2" t="s">
        <v>5865</v>
      </c>
      <c r="C1956" s="2" t="s">
        <v>5866</v>
      </c>
      <c r="D1956" s="2" t="s">
        <v>10050</v>
      </c>
      <c r="E1956" s="15">
        <v>-5.4000000000000003E-3</v>
      </c>
      <c r="F1956" s="15">
        <v>6.8900000000000003E-2</v>
      </c>
      <c r="G1956" s="15">
        <v>6.5100000000000005E-2</v>
      </c>
      <c r="H1956" s="15">
        <v>5.4899999999999997E-2</v>
      </c>
      <c r="I1956" s="15">
        <v>0.14674674883756381</v>
      </c>
    </row>
    <row r="1957" spans="1:9" x14ac:dyDescent="0.2">
      <c r="A1957" s="2" t="s">
        <v>5867</v>
      </c>
      <c r="B1957" s="2" t="s">
        <v>5868</v>
      </c>
      <c r="C1957" s="2" t="s">
        <v>5869</v>
      </c>
      <c r="D1957" s="2" t="s">
        <v>10050</v>
      </c>
      <c r="E1957" s="15">
        <v>-0.05</v>
      </c>
      <c r="F1957" s="15">
        <v>7.0999999999999994E-2</v>
      </c>
      <c r="G1957" s="15">
        <v>7.5300000000000006E-2</v>
      </c>
      <c r="H1957" s="15">
        <v>5.8999999999999997E-2</v>
      </c>
      <c r="I1957" s="15">
        <v>4.1433789451102362E-2</v>
      </c>
    </row>
    <row r="1958" spans="1:9" x14ac:dyDescent="0.2">
      <c r="A1958" s="2" t="s">
        <v>5870</v>
      </c>
      <c r="B1958" s="2" t="s">
        <v>5871</v>
      </c>
      <c r="C1958" s="2" t="s">
        <v>5872</v>
      </c>
      <c r="D1958" s="2" t="s">
        <v>10050</v>
      </c>
      <c r="E1958" s="15">
        <v>2.1700000000000001E-2</v>
      </c>
      <c r="F1958" s="15">
        <v>6.4699999999999994E-2</v>
      </c>
      <c r="G1958" s="15">
        <v>4.8800000000000003E-2</v>
      </c>
      <c r="H1958" s="15">
        <v>7.1800000000000003E-2</v>
      </c>
      <c r="I1958" s="15">
        <v>0.37191747418924659</v>
      </c>
    </row>
    <row r="1959" spans="1:9" x14ac:dyDescent="0.2">
      <c r="A1959" s="2" t="s">
        <v>5873</v>
      </c>
      <c r="B1959" s="2" t="s">
        <v>5874</v>
      </c>
      <c r="C1959" s="2" t="s">
        <v>5875</v>
      </c>
      <c r="D1959" s="2" t="s">
        <v>10050</v>
      </c>
      <c r="E1959" s="15">
        <v>7.7700000000000005E-2</v>
      </c>
      <c r="F1959" s="15">
        <v>7.4700000000000003E-2</v>
      </c>
      <c r="G1959" s="15">
        <v>4.6199999999999998E-2</v>
      </c>
      <c r="H1959" s="15">
        <v>7.0400000000000004E-2</v>
      </c>
      <c r="I1959" s="15">
        <v>0.35371795083885033</v>
      </c>
    </row>
    <row r="1960" spans="1:9" x14ac:dyDescent="0.2">
      <c r="A1960" s="2" t="s">
        <v>5876</v>
      </c>
      <c r="B1960" s="2" t="s">
        <v>5877</v>
      </c>
      <c r="C1960" s="2" t="s">
        <v>5878</v>
      </c>
      <c r="D1960" s="2" t="s">
        <v>10050</v>
      </c>
      <c r="E1960" s="15">
        <v>3.2300000000000002E-2</v>
      </c>
      <c r="F1960" s="15">
        <v>7.1099999999999997E-2</v>
      </c>
      <c r="G1960" s="15">
        <v>6.6400000000000001E-2</v>
      </c>
      <c r="H1960" s="15">
        <v>6.3100000000000003E-2</v>
      </c>
      <c r="I1960" s="15">
        <v>0.3242755108136724</v>
      </c>
    </row>
    <row r="1961" spans="1:9" x14ac:dyDescent="0.2">
      <c r="A1961" s="2" t="s">
        <v>5879</v>
      </c>
      <c r="B1961" s="2" t="s">
        <v>5880</v>
      </c>
      <c r="C1961" s="2" t="s">
        <v>5881</v>
      </c>
      <c r="D1961" s="2" t="s">
        <v>10050</v>
      </c>
      <c r="E1961" s="15">
        <v>-5.1000000000000004E-3</v>
      </c>
      <c r="F1961" s="15">
        <v>6.3E-2</v>
      </c>
      <c r="G1961" s="15">
        <v>5.6399999999999999E-2</v>
      </c>
      <c r="H1961" s="15">
        <v>6.2199999999999998E-2</v>
      </c>
      <c r="I1961" s="15">
        <v>0.20076012483790001</v>
      </c>
    </row>
    <row r="1962" spans="1:9" x14ac:dyDescent="0.2">
      <c r="A1962" s="2" t="s">
        <v>5882</v>
      </c>
      <c r="B1962" s="2" t="s">
        <v>5883</v>
      </c>
      <c r="C1962" s="2" t="s">
        <v>5884</v>
      </c>
      <c r="D1962" s="2" t="s">
        <v>10050</v>
      </c>
      <c r="E1962" s="15">
        <v>1.52E-2</v>
      </c>
      <c r="F1962" s="15">
        <v>6.7000000000000004E-2</v>
      </c>
      <c r="G1962" s="15">
        <v>2.3199999999999998E-2</v>
      </c>
      <c r="H1962" s="15">
        <v>6.3399999999999998E-2</v>
      </c>
      <c r="I1962" s="15">
        <v>0.45768722610786933</v>
      </c>
    </row>
    <row r="1963" spans="1:9" x14ac:dyDescent="0.2">
      <c r="A1963" s="2" t="s">
        <v>5885</v>
      </c>
      <c r="B1963" s="2" t="s">
        <v>5886</v>
      </c>
      <c r="C1963" s="2" t="s">
        <v>5887</v>
      </c>
      <c r="D1963" s="2" t="s">
        <v>10050</v>
      </c>
      <c r="E1963" s="15">
        <v>-2.3300000000000001E-2</v>
      </c>
      <c r="F1963" s="15">
        <v>6.2399999999999997E-2</v>
      </c>
      <c r="G1963" s="15">
        <v>1.4E-3</v>
      </c>
      <c r="H1963" s="15">
        <v>5.6599999999999998E-2</v>
      </c>
      <c r="I1963" s="15">
        <v>0.3570130453511674</v>
      </c>
    </row>
    <row r="1964" spans="1:9" x14ac:dyDescent="0.2">
      <c r="A1964" s="2" t="s">
        <v>5888</v>
      </c>
      <c r="B1964" s="2" t="s">
        <v>5889</v>
      </c>
      <c r="C1964" s="2" t="s">
        <v>5890</v>
      </c>
      <c r="D1964" s="2" t="s">
        <v>10050</v>
      </c>
      <c r="E1964" s="15">
        <v>-1.03E-2</v>
      </c>
      <c r="F1964" s="15">
        <v>6.8000000000000005E-2</v>
      </c>
      <c r="G1964" s="15">
        <v>-7.9000000000000008E-3</v>
      </c>
      <c r="H1964" s="15">
        <v>6.3100000000000003E-2</v>
      </c>
      <c r="I1964" s="15">
        <v>0.48704924087417489</v>
      </c>
    </row>
    <row r="1965" spans="1:9" x14ac:dyDescent="0.2">
      <c r="A1965" s="2" t="s">
        <v>5891</v>
      </c>
      <c r="B1965" s="2" t="s">
        <v>5892</v>
      </c>
      <c r="C1965" s="2" t="s">
        <v>5893</v>
      </c>
      <c r="D1965" s="2" t="s">
        <v>10050</v>
      </c>
      <c r="E1965" s="15">
        <v>2.3999999999999998E-3</v>
      </c>
      <c r="F1965" s="15">
        <v>6.6400000000000001E-2</v>
      </c>
      <c r="G1965" s="15">
        <v>1.49E-2</v>
      </c>
      <c r="H1965" s="15">
        <v>6.1699999999999998E-2</v>
      </c>
      <c r="I1965" s="15">
        <v>0.43132546008587658</v>
      </c>
    </row>
    <row r="1966" spans="1:9" x14ac:dyDescent="0.2">
      <c r="A1966" s="2" t="s">
        <v>5894</v>
      </c>
      <c r="B1966" s="2" t="s">
        <v>5895</v>
      </c>
      <c r="C1966" s="2" t="s">
        <v>5896</v>
      </c>
      <c r="D1966" s="2" t="s">
        <v>10050</v>
      </c>
      <c r="E1966" s="15">
        <v>-8.6E-3</v>
      </c>
      <c r="F1966" s="15">
        <v>6.5600000000000006E-2</v>
      </c>
      <c r="G1966" s="15">
        <v>2.9899999999999999E-2</v>
      </c>
      <c r="H1966" s="15">
        <v>6.4699999999999994E-2</v>
      </c>
      <c r="I1966" s="15">
        <v>0.30418268013972771</v>
      </c>
    </row>
    <row r="1967" spans="1:9" x14ac:dyDescent="0.2">
      <c r="A1967" s="2" t="s">
        <v>5897</v>
      </c>
      <c r="B1967" s="2" t="s">
        <v>5898</v>
      </c>
      <c r="C1967" s="2" t="s">
        <v>5899</v>
      </c>
      <c r="D1967" s="2" t="s">
        <v>10050</v>
      </c>
      <c r="E1967" s="15">
        <v>-5.7000000000000002E-3</v>
      </c>
      <c r="F1967" s="15">
        <v>6.59E-2</v>
      </c>
      <c r="G1967" s="15">
        <v>7.7000000000000002E-3</v>
      </c>
      <c r="H1967" s="15">
        <v>6.2700000000000006E-2</v>
      </c>
      <c r="I1967" s="15">
        <v>0.42708478865229382</v>
      </c>
    </row>
    <row r="1968" spans="1:9" x14ac:dyDescent="0.2">
      <c r="A1968" s="2" t="s">
        <v>5900</v>
      </c>
      <c r="B1968" s="2" t="s">
        <v>5901</v>
      </c>
      <c r="C1968" s="2" t="s">
        <v>5902</v>
      </c>
      <c r="D1968" s="2" t="s">
        <v>10050</v>
      </c>
      <c r="E1968" s="15">
        <v>4.9700000000000001E-2</v>
      </c>
      <c r="F1968" s="15">
        <v>6.9900000000000004E-2</v>
      </c>
      <c r="G1968" s="15">
        <v>0.11749999999999999</v>
      </c>
      <c r="H1968" s="15">
        <v>7.0699999999999999E-2</v>
      </c>
      <c r="I1968" s="15">
        <v>0.20498094640776171</v>
      </c>
    </row>
    <row r="1969" spans="1:9" x14ac:dyDescent="0.2">
      <c r="A1969" s="2" t="s">
        <v>5903</v>
      </c>
      <c r="B1969" s="2" t="s">
        <v>5904</v>
      </c>
      <c r="C1969" s="2" t="s">
        <v>5905</v>
      </c>
      <c r="D1969" s="2" t="s">
        <v>10050</v>
      </c>
      <c r="E1969" s="15">
        <v>-1.6000000000000001E-3</v>
      </c>
      <c r="F1969" s="15">
        <v>6.6199999999999995E-2</v>
      </c>
      <c r="G1969" s="15">
        <v>7.2400000000000006E-2</v>
      </c>
      <c r="H1969" s="15">
        <v>6.2600000000000003E-2</v>
      </c>
      <c r="I1969" s="15">
        <v>0.16047545991776491</v>
      </c>
    </row>
    <row r="1970" spans="1:9" x14ac:dyDescent="0.2">
      <c r="A1970" s="2" t="s">
        <v>5906</v>
      </c>
      <c r="B1970" s="2" t="s">
        <v>5907</v>
      </c>
      <c r="C1970" s="2" t="s">
        <v>5908</v>
      </c>
      <c r="D1970" s="2" t="s">
        <v>10050</v>
      </c>
      <c r="E1970" s="15">
        <v>3.7000000000000002E-3</v>
      </c>
      <c r="F1970" s="15">
        <v>6.9599999999999995E-2</v>
      </c>
      <c r="G1970" s="15">
        <v>-3.3E-3</v>
      </c>
      <c r="H1970" s="15">
        <v>6.6000000000000003E-2</v>
      </c>
      <c r="I1970" s="15">
        <v>0.46374351589016272</v>
      </c>
    </row>
    <row r="1971" spans="1:9" x14ac:dyDescent="0.2">
      <c r="A1971" s="2" t="s">
        <v>5909</v>
      </c>
      <c r="B1971" s="2" t="s">
        <v>5910</v>
      </c>
      <c r="C1971" s="2" t="s">
        <v>5911</v>
      </c>
      <c r="D1971" s="2" t="s">
        <v>10050</v>
      </c>
      <c r="E1971" s="15">
        <v>-4.8999999999999998E-3</v>
      </c>
      <c r="F1971" s="15">
        <v>6.7799999999999999E-2</v>
      </c>
      <c r="G1971" s="15">
        <v>8.8999999999999999E-3</v>
      </c>
      <c r="H1971" s="15">
        <v>6.9800000000000001E-2</v>
      </c>
      <c r="I1971" s="15">
        <v>0.43206759067988781</v>
      </c>
    </row>
    <row r="1972" spans="1:9" x14ac:dyDescent="0.2">
      <c r="A1972" s="2" t="s">
        <v>5912</v>
      </c>
      <c r="B1972" s="2" t="s">
        <v>5913</v>
      </c>
      <c r="C1972" s="2" t="s">
        <v>5914</v>
      </c>
      <c r="D1972" s="2" t="s">
        <v>10050</v>
      </c>
      <c r="E1972" s="15">
        <v>1.0800000000000001E-2</v>
      </c>
      <c r="F1972" s="15">
        <v>6.9599999999999995E-2</v>
      </c>
      <c r="G1972" s="15">
        <v>-3.0000000000000001E-3</v>
      </c>
      <c r="H1972" s="15">
        <v>6.6500000000000004E-2</v>
      </c>
      <c r="I1972" s="15">
        <v>0.42915126697484862</v>
      </c>
    </row>
    <row r="1973" spans="1:9" x14ac:dyDescent="0.2">
      <c r="A1973" s="2" t="s">
        <v>5915</v>
      </c>
      <c r="B1973" s="2" t="s">
        <v>5916</v>
      </c>
      <c r="C1973" s="2" t="s">
        <v>5917</v>
      </c>
      <c r="D1973" s="2" t="s">
        <v>10050</v>
      </c>
      <c r="E1973" s="15">
        <v>-1.5100000000000001E-2</v>
      </c>
      <c r="F1973" s="15">
        <v>6.2899999999999998E-2</v>
      </c>
      <c r="G1973" s="15">
        <v>1.5800000000000002E-2</v>
      </c>
      <c r="H1973" s="15">
        <v>5.74E-2</v>
      </c>
      <c r="I1973" s="15">
        <v>0.32598257392342489</v>
      </c>
    </row>
    <row r="1974" spans="1:9" x14ac:dyDescent="0.2">
      <c r="A1974" s="2" t="s">
        <v>5918</v>
      </c>
      <c r="B1974" s="2" t="s">
        <v>5919</v>
      </c>
      <c r="C1974" s="2" t="s">
        <v>5920</v>
      </c>
      <c r="D1974" s="2" t="s">
        <v>10050</v>
      </c>
      <c r="E1974" s="15">
        <v>-3.32E-2</v>
      </c>
      <c r="F1974" s="15">
        <v>6.1899999999999997E-2</v>
      </c>
      <c r="G1974" s="15">
        <v>1.52E-2</v>
      </c>
      <c r="H1974" s="15">
        <v>5.62E-2</v>
      </c>
      <c r="I1974" s="15">
        <v>0.23416927574941129</v>
      </c>
    </row>
    <row r="1975" spans="1:9" x14ac:dyDescent="0.2">
      <c r="A1975" s="2" t="s">
        <v>5921</v>
      </c>
      <c r="B1975" s="2" t="s">
        <v>5922</v>
      </c>
      <c r="C1975" s="2" t="s">
        <v>5923</v>
      </c>
      <c r="D1975" s="2" t="s">
        <v>10050</v>
      </c>
      <c r="E1975" s="15">
        <v>-1.4E-3</v>
      </c>
      <c r="F1975" s="15">
        <v>6.8400000000000002E-2</v>
      </c>
      <c r="G1975" s="15">
        <v>6.9800000000000001E-2</v>
      </c>
      <c r="H1975" s="15">
        <v>6.3799999999999996E-2</v>
      </c>
      <c r="I1975" s="15">
        <v>0.16916236098788101</v>
      </c>
    </row>
    <row r="1976" spans="1:9" x14ac:dyDescent="0.2">
      <c r="A1976" s="2" t="s">
        <v>5924</v>
      </c>
      <c r="B1976" s="2" t="s">
        <v>5925</v>
      </c>
      <c r="C1976" s="2" t="s">
        <v>5926</v>
      </c>
      <c r="D1976" s="2" t="s">
        <v>10050</v>
      </c>
      <c r="E1976" s="15">
        <v>-5.5999999999999999E-3</v>
      </c>
      <c r="F1976" s="15">
        <v>5.9900000000000002E-2</v>
      </c>
      <c r="G1976" s="15">
        <v>6.1699999999999998E-2</v>
      </c>
      <c r="H1976" s="15">
        <v>5.96E-2</v>
      </c>
      <c r="I1976" s="15">
        <v>0.16814493869968319</v>
      </c>
    </row>
    <row r="1977" spans="1:9" x14ac:dyDescent="0.2">
      <c r="A1977" s="2" t="s">
        <v>5927</v>
      </c>
      <c r="B1977" s="2" t="s">
        <v>5928</v>
      </c>
      <c r="C1977" s="2" t="s">
        <v>5929</v>
      </c>
      <c r="D1977" s="2" t="s">
        <v>10050</v>
      </c>
      <c r="E1977" s="15">
        <v>-1.8499999999999999E-2</v>
      </c>
      <c r="F1977" s="15">
        <v>7.4099999999999999E-2</v>
      </c>
      <c r="G1977" s="15">
        <v>5.4300000000000001E-2</v>
      </c>
      <c r="H1977" s="15">
        <v>5.8700000000000002E-2</v>
      </c>
      <c r="I1977" s="15">
        <v>0.15309475190071639</v>
      </c>
    </row>
    <row r="1978" spans="1:9" x14ac:dyDescent="0.2">
      <c r="A1978" s="2" t="s">
        <v>5930</v>
      </c>
      <c r="B1978" s="2" t="s">
        <v>5931</v>
      </c>
      <c r="C1978" s="2" t="s">
        <v>5932</v>
      </c>
      <c r="D1978" s="2" t="s">
        <v>10050</v>
      </c>
      <c r="E1978" s="15">
        <v>-2.1499999999999998E-2</v>
      </c>
      <c r="F1978" s="15">
        <v>6.6400000000000001E-2</v>
      </c>
      <c r="G1978" s="15">
        <v>7.85E-2</v>
      </c>
      <c r="H1978" s="15">
        <v>5.6399999999999999E-2</v>
      </c>
      <c r="I1978" s="15">
        <v>7.1378440809739249E-2</v>
      </c>
    </row>
    <row r="1979" spans="1:9" x14ac:dyDescent="0.2">
      <c r="A1979" s="2" t="s">
        <v>5933</v>
      </c>
      <c r="B1979" s="2" t="s">
        <v>5934</v>
      </c>
      <c r="C1979" s="2" t="s">
        <v>5935</v>
      </c>
      <c r="D1979" s="2" t="s">
        <v>10051</v>
      </c>
      <c r="E1979" s="15">
        <v>-8.8700000000000001E-2</v>
      </c>
      <c r="F1979" s="15">
        <v>8.6400000000000005E-2</v>
      </c>
      <c r="G1979" s="15">
        <v>2.4500000000000001E-2</v>
      </c>
      <c r="H1979" s="15">
        <v>8.1299999999999997E-2</v>
      </c>
      <c r="I1979" s="15">
        <v>0.1142655967338965</v>
      </c>
    </row>
    <row r="1980" spans="1:9" x14ac:dyDescent="0.2">
      <c r="A1980" s="2" t="s">
        <v>5936</v>
      </c>
      <c r="B1980" s="2" t="s">
        <v>5937</v>
      </c>
      <c r="C1980" s="2" t="s">
        <v>5938</v>
      </c>
      <c r="D1980" s="2" t="s">
        <v>10051</v>
      </c>
      <c r="E1980" s="15">
        <v>-7.4000000000000003E-3</v>
      </c>
      <c r="F1980" s="15">
        <v>6.6900000000000001E-2</v>
      </c>
      <c r="G1980" s="15">
        <v>6.7599999999999993E-2</v>
      </c>
      <c r="H1980" s="15">
        <v>7.85E-2</v>
      </c>
      <c r="I1980" s="15">
        <v>0.20103317709172061</v>
      </c>
    </row>
    <row r="1981" spans="1:9" x14ac:dyDescent="0.2">
      <c r="A1981" s="2" t="s">
        <v>5939</v>
      </c>
      <c r="B1981" s="2" t="s">
        <v>5940</v>
      </c>
      <c r="C1981" s="2" t="s">
        <v>5941</v>
      </c>
      <c r="D1981" s="2" t="s">
        <v>10051</v>
      </c>
      <c r="E1981" s="15">
        <v>-8.6499999999999994E-2</v>
      </c>
      <c r="F1981" s="15">
        <v>7.8899999999999998E-2</v>
      </c>
      <c r="G1981" s="15">
        <v>0.13</v>
      </c>
      <c r="H1981" s="15">
        <v>7.7299999999999994E-2</v>
      </c>
      <c r="I1981" s="15">
        <v>8.0153036442108562E-3</v>
      </c>
    </row>
    <row r="1982" spans="1:9" x14ac:dyDescent="0.2">
      <c r="A1982" s="2" t="s">
        <v>5942</v>
      </c>
      <c r="B1982" s="2" t="s">
        <v>5943</v>
      </c>
      <c r="C1982" s="2" t="s">
        <v>5944</v>
      </c>
      <c r="D1982" s="2" t="s">
        <v>10051</v>
      </c>
      <c r="E1982" s="15">
        <v>-2.6499999999999999E-2</v>
      </c>
      <c r="F1982" s="15">
        <v>6.9199999999999998E-2</v>
      </c>
      <c r="G1982" s="15">
        <v>2.29E-2</v>
      </c>
      <c r="H1982" s="15">
        <v>7.8700000000000006E-2</v>
      </c>
      <c r="I1982" s="15">
        <v>0.28867317050105401</v>
      </c>
    </row>
    <row r="1983" spans="1:9" x14ac:dyDescent="0.2">
      <c r="A1983" s="2" t="s">
        <v>5945</v>
      </c>
      <c r="B1983" s="2" t="s">
        <v>5946</v>
      </c>
      <c r="C1983" s="2" t="s">
        <v>5947</v>
      </c>
      <c r="D1983" s="2" t="s">
        <v>10051</v>
      </c>
      <c r="E1983" s="15">
        <v>-0.10050000000000001</v>
      </c>
      <c r="F1983" s="15">
        <v>5.4100000000000002E-2</v>
      </c>
      <c r="G1983" s="15">
        <v>7.6E-3</v>
      </c>
      <c r="H1983" s="15">
        <v>6.93E-2</v>
      </c>
      <c r="I1983" s="15">
        <v>8.3769585189002752E-2</v>
      </c>
    </row>
    <row r="1984" spans="1:9" x14ac:dyDescent="0.2">
      <c r="A1984" s="2" t="s">
        <v>5948</v>
      </c>
      <c r="B1984" s="2" t="s">
        <v>5949</v>
      </c>
      <c r="C1984" s="2" t="s">
        <v>5950</v>
      </c>
      <c r="D1984" s="2" t="s">
        <v>10051</v>
      </c>
      <c r="E1984" s="15">
        <v>0.13239999999999999</v>
      </c>
      <c r="F1984" s="15">
        <v>9.2200000000000004E-2</v>
      </c>
      <c r="G1984" s="15">
        <v>-3.09E-2</v>
      </c>
      <c r="H1984" s="15">
        <v>0.11459999999999999</v>
      </c>
      <c r="I1984" s="15">
        <v>9.5979816041895247E-2</v>
      </c>
    </row>
    <row r="1985" spans="1:9" x14ac:dyDescent="0.2">
      <c r="A1985" s="2" t="s">
        <v>5951</v>
      </c>
      <c r="B1985" s="2" t="s">
        <v>5952</v>
      </c>
      <c r="C1985" s="2" t="s">
        <v>5953</v>
      </c>
      <c r="D1985" s="2" t="s">
        <v>10051</v>
      </c>
      <c r="E1985" s="15">
        <v>-9.1200000000000003E-2</v>
      </c>
      <c r="F1985" s="15">
        <v>8.72E-2</v>
      </c>
      <c r="G1985" s="15">
        <v>-2.2599999999999999E-2</v>
      </c>
      <c r="H1985" s="15">
        <v>0.10340000000000001</v>
      </c>
      <c r="I1985" s="15">
        <v>0.27792763186450692</v>
      </c>
    </row>
    <row r="1986" spans="1:9" x14ac:dyDescent="0.2">
      <c r="A1986" s="2" t="s">
        <v>5954</v>
      </c>
      <c r="B1986" s="2" t="s">
        <v>5955</v>
      </c>
      <c r="C1986" s="2" t="s">
        <v>5956</v>
      </c>
      <c r="D1986" s="2" t="s">
        <v>10051</v>
      </c>
      <c r="E1986" s="15">
        <v>-0.26889999999999997</v>
      </c>
      <c r="F1986" s="15">
        <v>0.13239999999999999</v>
      </c>
      <c r="G1986" s="15">
        <v>-5.4600000000000003E-2</v>
      </c>
      <c r="H1986" s="15">
        <v>7.6999999999999999E-2</v>
      </c>
      <c r="I1986" s="15">
        <v>8.8597718044901679E-3</v>
      </c>
    </row>
    <row r="1987" spans="1:9" x14ac:dyDescent="0.2">
      <c r="A1987" s="2" t="s">
        <v>5957</v>
      </c>
      <c r="B1987" s="2" t="s">
        <v>5958</v>
      </c>
      <c r="C1987" s="2" t="s">
        <v>5959</v>
      </c>
      <c r="D1987" s="2" t="s">
        <v>10051</v>
      </c>
      <c r="E1987" s="15">
        <v>7.1000000000000004E-3</v>
      </c>
      <c r="F1987" s="15">
        <v>6.7799999999999999E-2</v>
      </c>
      <c r="G1987" s="15">
        <v>-2.8999999999999998E-3</v>
      </c>
      <c r="H1987" s="15">
        <v>8.3400000000000002E-2</v>
      </c>
      <c r="I1987" s="15">
        <v>0.45921843451917871</v>
      </c>
    </row>
    <row r="1988" spans="1:9" x14ac:dyDescent="0.2">
      <c r="A1988" s="2" t="s">
        <v>5960</v>
      </c>
      <c r="B1988" s="2" t="s">
        <v>5961</v>
      </c>
      <c r="C1988" s="2" t="s">
        <v>5962</v>
      </c>
      <c r="D1988" s="2" t="s">
        <v>10051</v>
      </c>
      <c r="E1988" s="15">
        <v>6.1000000000000004E-3</v>
      </c>
      <c r="F1988" s="15">
        <v>8.2900000000000001E-2</v>
      </c>
      <c r="G1988" s="15">
        <v>-2.7300000000000001E-2</v>
      </c>
      <c r="H1988" s="15">
        <v>8.6300000000000002E-2</v>
      </c>
      <c r="I1988" s="15">
        <v>0.36635087275871941</v>
      </c>
    </row>
    <row r="1989" spans="1:9" x14ac:dyDescent="0.2">
      <c r="A1989" s="2" t="s">
        <v>5963</v>
      </c>
      <c r="B1989" s="2" t="s">
        <v>5964</v>
      </c>
      <c r="C1989" s="2" t="s">
        <v>5965</v>
      </c>
      <c r="D1989" s="2" t="s">
        <v>10051</v>
      </c>
      <c r="E1989" s="15">
        <v>5.0500000000000003E-2</v>
      </c>
      <c r="F1989" s="15">
        <v>7.1999999999999995E-2</v>
      </c>
      <c r="G1989" s="15">
        <v>-2.12E-2</v>
      </c>
      <c r="H1989" s="15">
        <v>7.9200000000000007E-2</v>
      </c>
      <c r="I1989" s="15">
        <v>0.21436194631979619</v>
      </c>
    </row>
    <row r="1990" spans="1:9" x14ac:dyDescent="0.2">
      <c r="A1990" s="2" t="s">
        <v>5966</v>
      </c>
      <c r="B1990" s="2" t="s">
        <v>5967</v>
      </c>
      <c r="C1990" s="2" t="s">
        <v>5968</v>
      </c>
      <c r="D1990" s="2" t="s">
        <v>10051</v>
      </c>
      <c r="E1990" s="15">
        <v>9.9000000000000008E-3</v>
      </c>
      <c r="F1990" s="15">
        <v>7.8799999999999995E-2</v>
      </c>
      <c r="G1990" s="15">
        <v>7.9100000000000004E-2</v>
      </c>
      <c r="H1990" s="15">
        <v>8.4000000000000005E-2</v>
      </c>
      <c r="I1990" s="15">
        <v>0.23266043606943621</v>
      </c>
    </row>
    <row r="1991" spans="1:9" x14ac:dyDescent="0.2">
      <c r="A1991" s="2" t="s">
        <v>5969</v>
      </c>
      <c r="B1991" s="2" t="s">
        <v>5970</v>
      </c>
      <c r="C1991" s="2" t="s">
        <v>5971</v>
      </c>
      <c r="D1991" s="2" t="s">
        <v>10051</v>
      </c>
      <c r="E1991" s="15">
        <v>-0.24360000000000001</v>
      </c>
      <c r="F1991" s="15">
        <v>8.6499999999999994E-2</v>
      </c>
      <c r="G1991" s="15">
        <v>-0.20449999999999999</v>
      </c>
      <c r="H1991" s="15">
        <v>9.2700000000000005E-2</v>
      </c>
      <c r="I1991" s="15">
        <v>0.35035861637607613</v>
      </c>
    </row>
    <row r="1992" spans="1:9" x14ac:dyDescent="0.2">
      <c r="A1992" s="2" t="s">
        <v>5972</v>
      </c>
      <c r="B1992" s="2" t="s">
        <v>5973</v>
      </c>
      <c r="C1992" s="2" t="s">
        <v>5974</v>
      </c>
      <c r="D1992" s="2" t="s">
        <v>10051</v>
      </c>
      <c r="E1992" s="15">
        <v>-9.7900000000000001E-2</v>
      </c>
      <c r="F1992" s="15">
        <v>7.4700000000000003E-2</v>
      </c>
      <c r="G1992" s="15">
        <v>-0.12230000000000001</v>
      </c>
      <c r="H1992" s="15">
        <v>7.7799999999999994E-2</v>
      </c>
      <c r="I1992" s="15">
        <v>0.3904337704127544</v>
      </c>
    </row>
    <row r="1993" spans="1:9" x14ac:dyDescent="0.2">
      <c r="A1993" s="2" t="s">
        <v>5975</v>
      </c>
      <c r="B1993" s="2" t="s">
        <v>5976</v>
      </c>
      <c r="C1993" s="2" t="s">
        <v>5977</v>
      </c>
      <c r="D1993" s="2" t="s">
        <v>10051</v>
      </c>
      <c r="E1993" s="15">
        <v>-4.0300000000000002E-2</v>
      </c>
      <c r="F1993" s="15">
        <v>6.3500000000000001E-2</v>
      </c>
      <c r="G1993" s="15">
        <v>5.5100000000000003E-2</v>
      </c>
      <c r="H1993" s="15">
        <v>7.3099999999999998E-2</v>
      </c>
      <c r="I1993" s="15">
        <v>0.12200084591031569</v>
      </c>
    </row>
    <row r="1994" spans="1:9" x14ac:dyDescent="0.2">
      <c r="A1994" s="2" t="s">
        <v>5978</v>
      </c>
      <c r="B1994" s="2" t="s">
        <v>5979</v>
      </c>
      <c r="C1994" s="2" t="s">
        <v>5980</v>
      </c>
      <c r="D1994" s="2" t="s">
        <v>10051</v>
      </c>
      <c r="E1994" s="15">
        <v>-6.9900000000000004E-2</v>
      </c>
      <c r="F1994" s="15">
        <v>5.8200000000000002E-2</v>
      </c>
      <c r="G1994" s="15">
        <v>4.1300000000000003E-2</v>
      </c>
      <c r="H1994" s="15">
        <v>7.2499999999999995E-2</v>
      </c>
      <c r="I1994" s="15">
        <v>8.5229572136826554E-2</v>
      </c>
    </row>
    <row r="1995" spans="1:9" x14ac:dyDescent="0.2">
      <c r="A1995" s="2" t="s">
        <v>5981</v>
      </c>
      <c r="B1995" s="2" t="s">
        <v>5982</v>
      </c>
      <c r="C1995" s="2" t="s">
        <v>5983</v>
      </c>
      <c r="D1995" s="2" t="s">
        <v>10051</v>
      </c>
      <c r="E1995" s="15">
        <v>-0.13139999999999999</v>
      </c>
      <c r="F1995" s="15">
        <v>8.6300000000000002E-2</v>
      </c>
      <c r="G1995" s="15">
        <v>-9.7199999999999995E-2</v>
      </c>
      <c r="H1995" s="15">
        <v>6.8500000000000005E-2</v>
      </c>
      <c r="I1995" s="15">
        <v>0.33844034427785552</v>
      </c>
    </row>
    <row r="1996" spans="1:9" x14ac:dyDescent="0.2">
      <c r="A1996" s="2" t="s">
        <v>5984</v>
      </c>
      <c r="B1996" s="2" t="s">
        <v>5985</v>
      </c>
      <c r="C1996" s="2" t="s">
        <v>5986</v>
      </c>
      <c r="D1996" s="2" t="s">
        <v>10051</v>
      </c>
      <c r="E1996" s="15">
        <v>-0.15870000000000001</v>
      </c>
      <c r="F1996" s="15">
        <v>7.6999999999999999E-2</v>
      </c>
      <c r="G1996" s="15">
        <v>-0.14449999999999999</v>
      </c>
      <c r="H1996" s="15">
        <v>6.9900000000000004E-2</v>
      </c>
      <c r="I1996" s="15">
        <v>0.43214219734839282</v>
      </c>
    </row>
    <row r="1997" spans="1:9" x14ac:dyDescent="0.2">
      <c r="A1997" s="2" t="s">
        <v>5987</v>
      </c>
      <c r="B1997" s="2" t="s">
        <v>5988</v>
      </c>
      <c r="C1997" s="2" t="s">
        <v>5989</v>
      </c>
      <c r="D1997" s="2" t="s">
        <v>10051</v>
      </c>
      <c r="E1997" s="15">
        <v>-9.5699999999999993E-2</v>
      </c>
      <c r="F1997" s="15">
        <v>6.1699999999999998E-2</v>
      </c>
      <c r="G1997" s="15">
        <v>-5.2299999999999999E-2</v>
      </c>
      <c r="H1997" s="15">
        <v>7.1300000000000002E-2</v>
      </c>
      <c r="I1997" s="15">
        <v>0.28983398591444259</v>
      </c>
    </row>
    <row r="1998" spans="1:9" x14ac:dyDescent="0.2">
      <c r="A1998" s="2" t="s">
        <v>5990</v>
      </c>
      <c r="B1998" s="2" t="s">
        <v>5991</v>
      </c>
      <c r="C1998" s="2" t="s">
        <v>5992</v>
      </c>
      <c r="D1998" s="2" t="s">
        <v>10051</v>
      </c>
      <c r="E1998" s="15">
        <v>-0.10009999999999999</v>
      </c>
      <c r="F1998" s="15">
        <v>6.0499999999999998E-2</v>
      </c>
      <c r="G1998" s="15">
        <v>-2.9499999999999998E-2</v>
      </c>
      <c r="H1998" s="15">
        <v>7.2999999999999995E-2</v>
      </c>
      <c r="I1998" s="15">
        <v>0.18884338914979171</v>
      </c>
    </row>
    <row r="1999" spans="1:9" x14ac:dyDescent="0.2">
      <c r="A1999" s="2" t="s">
        <v>5993</v>
      </c>
      <c r="B1999" s="2" t="s">
        <v>5994</v>
      </c>
      <c r="C1999" s="2" t="s">
        <v>5995</v>
      </c>
      <c r="D1999" s="2" t="s">
        <v>10051</v>
      </c>
      <c r="E1999" s="15">
        <v>-0.11849999999999999</v>
      </c>
      <c r="F1999" s="15">
        <v>7.3200000000000001E-2</v>
      </c>
      <c r="G1999" s="15">
        <v>-0.1741</v>
      </c>
      <c r="H1999" s="15">
        <v>7.22E-2</v>
      </c>
      <c r="I1999" s="15">
        <v>0.246445711714388</v>
      </c>
    </row>
    <row r="2000" spans="1:9" x14ac:dyDescent="0.2">
      <c r="A2000" s="2" t="s">
        <v>5996</v>
      </c>
      <c r="B2000" s="2" t="s">
        <v>5997</v>
      </c>
      <c r="C2000" s="2" t="s">
        <v>5998</v>
      </c>
      <c r="D2000" s="2" t="s">
        <v>10051</v>
      </c>
      <c r="E2000" s="15">
        <v>-0.1089</v>
      </c>
      <c r="F2000" s="15">
        <v>7.51E-2</v>
      </c>
      <c r="G2000" s="15">
        <v>-0.17480000000000001</v>
      </c>
      <c r="H2000" s="15">
        <v>8.4400000000000003E-2</v>
      </c>
      <c r="I2000" s="15">
        <v>0.24605603081670699</v>
      </c>
    </row>
    <row r="2001" spans="1:9" x14ac:dyDescent="0.2">
      <c r="A2001" s="2" t="s">
        <v>5999</v>
      </c>
      <c r="B2001" s="2" t="s">
        <v>6000</v>
      </c>
      <c r="C2001" s="2" t="s">
        <v>6001</v>
      </c>
      <c r="D2001" s="2" t="s">
        <v>10051</v>
      </c>
      <c r="E2001" s="15">
        <v>-1.7299999999999999E-2</v>
      </c>
      <c r="F2001" s="15">
        <v>7.8200000000000006E-2</v>
      </c>
      <c r="G2001" s="15">
        <v>3.8E-3</v>
      </c>
      <c r="H2001" s="15">
        <v>7.9100000000000004E-2</v>
      </c>
      <c r="I2001" s="15">
        <v>0.40545547308101199</v>
      </c>
    </row>
    <row r="2002" spans="1:9" x14ac:dyDescent="0.2">
      <c r="A2002" s="2" t="s">
        <v>6002</v>
      </c>
      <c r="B2002" s="2" t="s">
        <v>6003</v>
      </c>
      <c r="C2002" s="2" t="s">
        <v>6004</v>
      </c>
      <c r="D2002" s="2" t="s">
        <v>10051</v>
      </c>
      <c r="E2002" s="15">
        <v>-2.92E-2</v>
      </c>
      <c r="F2002" s="15">
        <v>7.4999999999999997E-2</v>
      </c>
      <c r="G2002" s="15">
        <v>3.2399999999999998E-2</v>
      </c>
      <c r="H2002" s="15">
        <v>9.3899999999999997E-2</v>
      </c>
      <c r="I2002" s="15">
        <v>0.27140849268626083</v>
      </c>
    </row>
    <row r="2003" spans="1:9" x14ac:dyDescent="0.2">
      <c r="A2003" s="2" t="s">
        <v>6005</v>
      </c>
      <c r="B2003" s="2" t="s">
        <v>6006</v>
      </c>
      <c r="C2003" s="2" t="s">
        <v>6007</v>
      </c>
      <c r="D2003" s="2" t="s">
        <v>10051</v>
      </c>
      <c r="E2003" s="15">
        <v>-0.1053</v>
      </c>
      <c r="F2003" s="15">
        <v>7.2499999999999995E-2</v>
      </c>
      <c r="G2003" s="15">
        <v>-0.12529999999999999</v>
      </c>
      <c r="H2003" s="15">
        <v>6.4899999999999999E-2</v>
      </c>
      <c r="I2003" s="15">
        <v>0.39905188118647128</v>
      </c>
    </row>
    <row r="2004" spans="1:9" x14ac:dyDescent="0.2">
      <c r="A2004" s="2" t="s">
        <v>6008</v>
      </c>
      <c r="B2004" s="2" t="s">
        <v>6009</v>
      </c>
      <c r="C2004" s="2" t="s">
        <v>6010</v>
      </c>
      <c r="D2004" s="2" t="s">
        <v>10051</v>
      </c>
      <c r="E2004" s="15">
        <v>-0.1358</v>
      </c>
      <c r="F2004" s="15">
        <v>7.7499999999999999E-2</v>
      </c>
      <c r="G2004" s="15">
        <v>-0.23880000000000001</v>
      </c>
      <c r="H2004" s="15">
        <v>7.2499999999999995E-2</v>
      </c>
      <c r="I2004" s="15">
        <v>0.1124163890473904</v>
      </c>
    </row>
    <row r="2005" spans="1:9" x14ac:dyDescent="0.2">
      <c r="A2005" s="2" t="s">
        <v>6011</v>
      </c>
      <c r="B2005" s="2" t="s">
        <v>6012</v>
      </c>
      <c r="C2005" s="2" t="s">
        <v>6013</v>
      </c>
      <c r="D2005" s="2" t="s">
        <v>10051</v>
      </c>
      <c r="E2005" s="15">
        <v>-7.6899999999999996E-2</v>
      </c>
      <c r="F2005" s="15">
        <v>7.6799999999999993E-2</v>
      </c>
      <c r="G2005" s="15">
        <v>-0.12720000000000001</v>
      </c>
      <c r="H2005" s="15">
        <v>7.1199999999999999E-2</v>
      </c>
      <c r="I2005" s="15">
        <v>0.27143366172136968</v>
      </c>
    </row>
    <row r="2006" spans="1:9" x14ac:dyDescent="0.2">
      <c r="A2006" s="2" t="s">
        <v>6014</v>
      </c>
      <c r="B2006" s="2" t="s">
        <v>6015</v>
      </c>
      <c r="C2006" s="2" t="s">
        <v>6016</v>
      </c>
      <c r="D2006" s="2" t="s">
        <v>10051</v>
      </c>
      <c r="E2006" s="15">
        <v>-0.1231</v>
      </c>
      <c r="F2006" s="15">
        <v>8.2299999999999998E-2</v>
      </c>
      <c r="G2006" s="15">
        <v>-0.17829999999999999</v>
      </c>
      <c r="H2006" s="15">
        <v>6.9800000000000001E-2</v>
      </c>
      <c r="I2006" s="15">
        <v>0.25535869977399339</v>
      </c>
    </row>
    <row r="2007" spans="1:9" x14ac:dyDescent="0.2">
      <c r="A2007" s="2" t="s">
        <v>6017</v>
      </c>
      <c r="B2007" s="2" t="s">
        <v>6018</v>
      </c>
      <c r="C2007" s="2" t="s">
        <v>6019</v>
      </c>
      <c r="D2007" s="2" t="s">
        <v>10051</v>
      </c>
      <c r="E2007" s="15">
        <v>-8.8099999999999998E-2</v>
      </c>
      <c r="F2007" s="15">
        <v>9.4E-2</v>
      </c>
      <c r="G2007" s="15">
        <v>4.3400000000000001E-2</v>
      </c>
      <c r="H2007" s="15">
        <v>8.6499999999999994E-2</v>
      </c>
      <c r="I2007" s="15">
        <v>8.8214490602568515E-2</v>
      </c>
    </row>
    <row r="2008" spans="1:9" x14ac:dyDescent="0.2">
      <c r="A2008" s="2" t="s">
        <v>6020</v>
      </c>
      <c r="B2008" s="2" t="s">
        <v>6021</v>
      </c>
      <c r="C2008" s="2" t="s">
        <v>6022</v>
      </c>
      <c r="D2008" s="2" t="s">
        <v>10051</v>
      </c>
      <c r="E2008" s="15">
        <v>-7.4399999999999994E-2</v>
      </c>
      <c r="F2008" s="15">
        <v>8.9200000000000002E-2</v>
      </c>
      <c r="G2008" s="15">
        <v>3.2800000000000003E-2</v>
      </c>
      <c r="H2008" s="15">
        <v>6.9099999999999995E-2</v>
      </c>
      <c r="I2008" s="15">
        <v>9.0654535452359034E-2</v>
      </c>
    </row>
    <row r="2009" spans="1:9" x14ac:dyDescent="0.2">
      <c r="A2009" s="2" t="s">
        <v>6023</v>
      </c>
      <c r="B2009" s="2" t="s">
        <v>6024</v>
      </c>
      <c r="C2009" s="2" t="s">
        <v>6025</v>
      </c>
      <c r="D2009" s="2" t="s">
        <v>10051</v>
      </c>
      <c r="E2009" s="15">
        <v>-8.0199999999999994E-2</v>
      </c>
      <c r="F2009" s="15">
        <v>8.8700000000000001E-2</v>
      </c>
      <c r="G2009" s="15">
        <v>-2.7300000000000001E-2</v>
      </c>
      <c r="H2009" s="15">
        <v>7.9000000000000001E-2</v>
      </c>
      <c r="I2009" s="15">
        <v>0.28433377118113268</v>
      </c>
    </row>
    <row r="2010" spans="1:9" x14ac:dyDescent="0.2">
      <c r="A2010" s="2" t="s">
        <v>6026</v>
      </c>
      <c r="B2010" s="2" t="s">
        <v>6027</v>
      </c>
      <c r="C2010" s="2" t="s">
        <v>6028</v>
      </c>
      <c r="D2010" s="2" t="s">
        <v>10051</v>
      </c>
      <c r="E2010" s="15">
        <v>-7.1300000000000002E-2</v>
      </c>
      <c r="F2010" s="15">
        <v>9.01E-2</v>
      </c>
      <c r="G2010" s="15">
        <v>6.3899999999999998E-2</v>
      </c>
      <c r="H2010" s="15">
        <v>7.9699999999999993E-2</v>
      </c>
      <c r="I2010" s="15">
        <v>7.3088564627906319E-2</v>
      </c>
    </row>
    <row r="2011" spans="1:9" x14ac:dyDescent="0.2">
      <c r="A2011" s="2" t="s">
        <v>6029</v>
      </c>
      <c r="B2011" s="2" t="s">
        <v>6030</v>
      </c>
      <c r="C2011" s="2" t="s">
        <v>6031</v>
      </c>
      <c r="D2011" s="2" t="s">
        <v>10051</v>
      </c>
      <c r="E2011" s="15">
        <v>6.9999999999999999E-4</v>
      </c>
      <c r="F2011" s="15">
        <v>6.9599999999999995E-2</v>
      </c>
      <c r="G2011" s="15">
        <v>4.24E-2</v>
      </c>
      <c r="H2011" s="15">
        <v>7.0900000000000005E-2</v>
      </c>
      <c r="I2011" s="15">
        <v>0.30488800580111952</v>
      </c>
    </row>
    <row r="2012" spans="1:9" x14ac:dyDescent="0.2">
      <c r="A2012" s="2" t="s">
        <v>6032</v>
      </c>
      <c r="B2012" s="2" t="s">
        <v>6033</v>
      </c>
      <c r="C2012" s="2" t="s">
        <v>6034</v>
      </c>
      <c r="D2012" s="2" t="s">
        <v>10051</v>
      </c>
      <c r="E2012" s="15">
        <v>-1.03E-2</v>
      </c>
      <c r="F2012" s="15">
        <v>7.5300000000000006E-2</v>
      </c>
      <c r="G2012" s="15">
        <v>-3.85E-2</v>
      </c>
      <c r="H2012" s="15">
        <v>6.7799999999999999E-2</v>
      </c>
      <c r="I2012" s="15">
        <v>0.36112699605259829</v>
      </c>
    </row>
    <row r="2013" spans="1:9" x14ac:dyDescent="0.2">
      <c r="A2013" s="2" t="s">
        <v>6035</v>
      </c>
      <c r="B2013" s="2" t="s">
        <v>6036</v>
      </c>
      <c r="C2013" s="2" t="s">
        <v>6037</v>
      </c>
      <c r="D2013" s="2" t="s">
        <v>10051</v>
      </c>
      <c r="E2013" s="15">
        <v>-1.38E-2</v>
      </c>
      <c r="F2013" s="15">
        <v>6.6000000000000003E-2</v>
      </c>
      <c r="G2013" s="15">
        <v>-5.0700000000000002E-2</v>
      </c>
      <c r="H2013" s="15">
        <v>8.8099999999999998E-2</v>
      </c>
      <c r="I2013" s="15">
        <v>0.35356024739385761</v>
      </c>
    </row>
    <row r="2014" spans="1:9" x14ac:dyDescent="0.2">
      <c r="A2014" s="2" t="s">
        <v>6038</v>
      </c>
      <c r="B2014" s="2" t="s">
        <v>6039</v>
      </c>
      <c r="C2014" s="2" t="s">
        <v>6040</v>
      </c>
      <c r="D2014" s="2" t="s">
        <v>10051</v>
      </c>
      <c r="E2014" s="15">
        <v>7.3843000000000004E-5</v>
      </c>
      <c r="F2014" s="15">
        <v>6.4699999999999994E-2</v>
      </c>
      <c r="G2014" s="15">
        <v>-0.1459</v>
      </c>
      <c r="H2014" s="15">
        <v>7.1400000000000005E-2</v>
      </c>
      <c r="I2014" s="15">
        <v>3.8119504890298112E-2</v>
      </c>
    </row>
    <row r="2015" spans="1:9" x14ac:dyDescent="0.2">
      <c r="A2015" s="2" t="s">
        <v>6041</v>
      </c>
      <c r="B2015" s="2" t="s">
        <v>6042</v>
      </c>
      <c r="C2015" s="2" t="s">
        <v>6043</v>
      </c>
      <c r="D2015" s="2" t="s">
        <v>10051</v>
      </c>
      <c r="E2015" s="15">
        <v>-0.1416</v>
      </c>
      <c r="F2015" s="15">
        <v>8.1000000000000003E-2</v>
      </c>
      <c r="G2015" s="15">
        <v>-0.20130000000000001</v>
      </c>
      <c r="H2015" s="15">
        <v>8.7099999999999997E-2</v>
      </c>
      <c r="I2015" s="15">
        <v>0.26922399935953117</v>
      </c>
    </row>
    <row r="2016" spans="1:9" x14ac:dyDescent="0.2">
      <c r="A2016" s="2" t="s">
        <v>6044</v>
      </c>
      <c r="B2016" s="2" t="s">
        <v>6045</v>
      </c>
      <c r="C2016" s="2" t="s">
        <v>6046</v>
      </c>
      <c r="D2016" s="2" t="s">
        <v>10051</v>
      </c>
      <c r="E2016" s="15">
        <v>-0.12620000000000001</v>
      </c>
      <c r="F2016" s="15">
        <v>6.7900000000000002E-2</v>
      </c>
      <c r="G2016" s="15">
        <v>-7.2300000000000003E-2</v>
      </c>
      <c r="H2016" s="15">
        <v>9.4500000000000001E-2</v>
      </c>
      <c r="I2016" s="15">
        <v>0.30299379890902278</v>
      </c>
    </row>
    <row r="2017" spans="1:9" x14ac:dyDescent="0.2">
      <c r="A2017" s="2" t="s">
        <v>6047</v>
      </c>
      <c r="B2017" s="2" t="s">
        <v>6048</v>
      </c>
      <c r="C2017" s="2" t="s">
        <v>6049</v>
      </c>
      <c r="D2017" s="2" t="s">
        <v>10051</v>
      </c>
      <c r="E2017" s="15">
        <v>-1.9400000000000001E-2</v>
      </c>
      <c r="F2017" s="15">
        <v>7.6799999999999993E-2</v>
      </c>
      <c r="G2017" s="15">
        <v>2.7900000000000001E-2</v>
      </c>
      <c r="H2017" s="15">
        <v>0.1003</v>
      </c>
      <c r="I2017" s="15">
        <v>0.33223663580553942</v>
      </c>
    </row>
    <row r="2018" spans="1:9" x14ac:dyDescent="0.2">
      <c r="A2018" s="2" t="s">
        <v>6050</v>
      </c>
      <c r="B2018" s="2" t="s">
        <v>6051</v>
      </c>
      <c r="C2018" s="2" t="s">
        <v>6052</v>
      </c>
      <c r="D2018" s="2" t="s">
        <v>10051</v>
      </c>
      <c r="E2018" s="15">
        <v>-2.0500000000000001E-2</v>
      </c>
      <c r="F2018" s="15">
        <v>7.1099999999999997E-2</v>
      </c>
      <c r="G2018" s="15">
        <v>0.15110000000000001</v>
      </c>
      <c r="H2018" s="15">
        <v>8.8700000000000001E-2</v>
      </c>
      <c r="I2018" s="15">
        <v>4.3389189466013139E-2</v>
      </c>
    </row>
    <row r="2019" spans="1:9" x14ac:dyDescent="0.2">
      <c r="A2019" s="2" t="s">
        <v>6053</v>
      </c>
      <c r="B2019" s="2" t="s">
        <v>6054</v>
      </c>
      <c r="C2019" s="2" t="s">
        <v>6055</v>
      </c>
      <c r="D2019" s="2" t="s">
        <v>10051</v>
      </c>
      <c r="E2019" s="15">
        <v>-4.6699999999999998E-2</v>
      </c>
      <c r="F2019" s="15">
        <v>7.7600000000000002E-2</v>
      </c>
      <c r="G2019" s="15">
        <v>-0.15429999999999999</v>
      </c>
      <c r="H2019" s="15">
        <v>5.8299999999999998E-2</v>
      </c>
      <c r="I2019" s="15">
        <v>6.1618943740817E-2</v>
      </c>
    </row>
    <row r="2020" spans="1:9" x14ac:dyDescent="0.2">
      <c r="A2020" s="2" t="s">
        <v>6056</v>
      </c>
      <c r="B2020" s="2" t="s">
        <v>6057</v>
      </c>
      <c r="C2020" s="2" t="s">
        <v>6058</v>
      </c>
      <c r="D2020" s="2" t="s">
        <v>10051</v>
      </c>
      <c r="E2020" s="15">
        <v>-7.5899999999999995E-2</v>
      </c>
      <c r="F2020" s="15">
        <v>7.5300000000000006E-2</v>
      </c>
      <c r="G2020" s="15">
        <v>-0.1595</v>
      </c>
      <c r="H2020" s="15">
        <v>6.5699999999999995E-2</v>
      </c>
      <c r="I2020" s="15">
        <v>0.134243373558425</v>
      </c>
    </row>
    <row r="2021" spans="1:9" x14ac:dyDescent="0.2">
      <c r="A2021" s="2" t="s">
        <v>6059</v>
      </c>
      <c r="B2021" s="2" t="s">
        <v>6060</v>
      </c>
      <c r="C2021" s="2" t="s">
        <v>6061</v>
      </c>
      <c r="D2021" s="2" t="s">
        <v>10051</v>
      </c>
      <c r="E2021" s="15">
        <v>3.2000000000000001E-2</v>
      </c>
      <c r="F2021" s="15">
        <v>6.6400000000000001E-2</v>
      </c>
      <c r="G2021" s="15">
        <v>-5.5800000000000002E-2</v>
      </c>
      <c r="H2021" s="15">
        <v>8.8700000000000001E-2</v>
      </c>
      <c r="I2021" s="15">
        <v>0.18944860408004899</v>
      </c>
    </row>
    <row r="2022" spans="1:9" x14ac:dyDescent="0.2">
      <c r="A2022" s="2" t="s">
        <v>6062</v>
      </c>
      <c r="B2022" s="2" t="s">
        <v>6063</v>
      </c>
      <c r="C2022" s="2" t="s">
        <v>6064</v>
      </c>
      <c r="D2022" s="2" t="s">
        <v>10051</v>
      </c>
      <c r="E2022" s="15">
        <v>-1.7500000000000002E-2</v>
      </c>
      <c r="F2022" s="15">
        <v>8.1500000000000003E-2</v>
      </c>
      <c r="G2022" s="15">
        <v>-7.4099999999999999E-2</v>
      </c>
      <c r="H2022" s="15">
        <v>8.1600000000000006E-2</v>
      </c>
      <c r="I2022" s="15">
        <v>0.27044646747906798</v>
      </c>
    </row>
    <row r="2023" spans="1:9" x14ac:dyDescent="0.2">
      <c r="A2023" s="2" t="s">
        <v>6065</v>
      </c>
      <c r="B2023" s="2" t="s">
        <v>6066</v>
      </c>
      <c r="C2023" s="2" t="s">
        <v>6067</v>
      </c>
      <c r="D2023" s="2" t="s">
        <v>10051</v>
      </c>
      <c r="E2023" s="15">
        <v>-2.2800000000000001E-2</v>
      </c>
      <c r="F2023" s="15">
        <v>7.1300000000000002E-2</v>
      </c>
      <c r="G2023" s="15">
        <v>-0.1333</v>
      </c>
      <c r="H2023" s="15">
        <v>7.7899999999999997E-2</v>
      </c>
      <c r="I2023" s="15">
        <v>0.10802089134385209</v>
      </c>
    </row>
    <row r="2024" spans="1:9" x14ac:dyDescent="0.2">
      <c r="A2024" s="2" t="s">
        <v>6068</v>
      </c>
      <c r="B2024" s="2" t="s">
        <v>6069</v>
      </c>
      <c r="C2024" s="2" t="s">
        <v>6070</v>
      </c>
      <c r="D2024" s="2" t="s">
        <v>10051</v>
      </c>
      <c r="E2024" s="15">
        <v>-2.2599999999999999E-2</v>
      </c>
      <c r="F2024" s="15">
        <v>7.1999999999999995E-2</v>
      </c>
      <c r="G2024" s="15">
        <v>-0.14949999999999999</v>
      </c>
      <c r="H2024" s="15">
        <v>7.2800000000000004E-2</v>
      </c>
      <c r="I2024" s="15">
        <v>6.3844627803279E-2</v>
      </c>
    </row>
    <row r="2025" spans="1:9" x14ac:dyDescent="0.2">
      <c r="A2025" s="2" t="s">
        <v>6071</v>
      </c>
      <c r="B2025" s="2" t="s">
        <v>6072</v>
      </c>
      <c r="C2025" s="2" t="s">
        <v>6073</v>
      </c>
      <c r="D2025" s="2" t="s">
        <v>10051</v>
      </c>
      <c r="E2025" s="15">
        <v>-0.15490000000000001</v>
      </c>
      <c r="F2025" s="15">
        <v>9.9000000000000005E-2</v>
      </c>
      <c r="G2025" s="15">
        <v>-0.15079999999999999</v>
      </c>
      <c r="H2025" s="15">
        <v>8.1199999999999994E-2</v>
      </c>
      <c r="I2025" s="15">
        <v>0.48350811801557292</v>
      </c>
    </row>
    <row r="2026" spans="1:9" x14ac:dyDescent="0.2">
      <c r="A2026" s="2" t="s">
        <v>6074</v>
      </c>
      <c r="B2026" s="2" t="s">
        <v>6075</v>
      </c>
      <c r="C2026" s="2" t="s">
        <v>6076</v>
      </c>
      <c r="D2026" s="2" t="s">
        <v>10051</v>
      </c>
      <c r="E2026" s="15">
        <v>-0.1162</v>
      </c>
      <c r="F2026" s="15">
        <v>0.1042</v>
      </c>
      <c r="G2026" s="15">
        <v>-3.44E-2</v>
      </c>
      <c r="H2026" s="15">
        <v>8.9099999999999999E-2</v>
      </c>
      <c r="I2026" s="15">
        <v>0.21895694651535541</v>
      </c>
    </row>
    <row r="2027" spans="1:9" x14ac:dyDescent="0.2">
      <c r="A2027" s="2" t="s">
        <v>6077</v>
      </c>
      <c r="B2027" s="2" t="s">
        <v>6078</v>
      </c>
      <c r="C2027" s="2" t="s">
        <v>6079</v>
      </c>
      <c r="D2027" s="2" t="s">
        <v>10051</v>
      </c>
      <c r="E2027" s="15">
        <v>-0.1384</v>
      </c>
      <c r="F2027" s="15">
        <v>0.1338</v>
      </c>
      <c r="G2027" s="15">
        <v>-6.6100000000000006E-2</v>
      </c>
      <c r="H2027" s="15">
        <v>0.11650000000000001</v>
      </c>
      <c r="I2027" s="15">
        <v>0.29063357642928622</v>
      </c>
    </row>
    <row r="2028" spans="1:9" x14ac:dyDescent="0.2">
      <c r="A2028" s="2" t="s">
        <v>6080</v>
      </c>
      <c r="B2028" s="2" t="s">
        <v>6081</v>
      </c>
      <c r="C2028" s="2" t="s">
        <v>6082</v>
      </c>
      <c r="D2028" s="2" t="s">
        <v>10051</v>
      </c>
      <c r="E2028" s="15">
        <v>-0.16800000000000001</v>
      </c>
      <c r="F2028" s="15">
        <v>0.1014</v>
      </c>
      <c r="G2028" s="15">
        <v>-2.8500000000000001E-2</v>
      </c>
      <c r="H2028" s="15">
        <v>9.4E-2</v>
      </c>
      <c r="I2028" s="15">
        <v>0.1098520108834324</v>
      </c>
    </row>
    <row r="2029" spans="1:9" x14ac:dyDescent="0.2">
      <c r="A2029" s="2" t="s">
        <v>6083</v>
      </c>
      <c r="B2029" s="2" t="s">
        <v>6084</v>
      </c>
      <c r="C2029" s="2" t="s">
        <v>6085</v>
      </c>
      <c r="D2029" s="2" t="s">
        <v>10051</v>
      </c>
      <c r="E2029" s="15">
        <v>-0.13650000000000001</v>
      </c>
      <c r="F2029" s="15">
        <v>8.4099999999999994E-2</v>
      </c>
      <c r="G2029" s="15">
        <v>-9.1399999999999995E-2</v>
      </c>
      <c r="H2029" s="15">
        <v>6.4899999999999999E-2</v>
      </c>
      <c r="I2029" s="15">
        <v>0.28036247921234658</v>
      </c>
    </row>
    <row r="2030" spans="1:9" x14ac:dyDescent="0.2">
      <c r="A2030" s="2" t="s">
        <v>6086</v>
      </c>
      <c r="B2030" s="2" t="s">
        <v>6087</v>
      </c>
      <c r="C2030" s="2" t="s">
        <v>6088</v>
      </c>
      <c r="D2030" s="2" t="s">
        <v>10051</v>
      </c>
      <c r="E2030" s="15">
        <v>-0.1162</v>
      </c>
      <c r="F2030" s="15">
        <v>8.43E-2</v>
      </c>
      <c r="G2030" s="15">
        <v>-5.0900000000000001E-2</v>
      </c>
      <c r="H2030" s="15">
        <v>6.5000000000000002E-2</v>
      </c>
      <c r="I2030" s="15">
        <v>0.2069458477884403</v>
      </c>
    </row>
    <row r="2031" spans="1:9" x14ac:dyDescent="0.2">
      <c r="A2031" s="2" t="s">
        <v>6089</v>
      </c>
      <c r="B2031" s="2" t="s">
        <v>6090</v>
      </c>
      <c r="C2031" s="2" t="s">
        <v>6091</v>
      </c>
      <c r="D2031" s="2" t="s">
        <v>10051</v>
      </c>
      <c r="E2031" s="15">
        <v>-9.0899999999999995E-2</v>
      </c>
      <c r="F2031" s="15">
        <v>0.1242</v>
      </c>
      <c r="G2031" s="15">
        <v>-0.23680000000000001</v>
      </c>
      <c r="H2031" s="15">
        <v>0.1943</v>
      </c>
      <c r="I2031" s="15">
        <v>0.23843827152621541</v>
      </c>
    </row>
    <row r="2032" spans="1:9" x14ac:dyDescent="0.2">
      <c r="A2032" s="2" t="s">
        <v>6092</v>
      </c>
      <c r="B2032" s="2" t="s">
        <v>6093</v>
      </c>
      <c r="C2032" s="2" t="s">
        <v>6094</v>
      </c>
      <c r="D2032" s="2" t="s">
        <v>10051</v>
      </c>
      <c r="E2032" s="15">
        <v>1.5699999999999999E-2</v>
      </c>
      <c r="F2032" s="15">
        <v>9.7500000000000003E-2</v>
      </c>
      <c r="G2032" s="15">
        <v>-0.1069</v>
      </c>
      <c r="H2032" s="15">
        <v>9.4399999999999998E-2</v>
      </c>
      <c r="I2032" s="15">
        <v>0.1307875071740352</v>
      </c>
    </row>
    <row r="2033" spans="1:9" x14ac:dyDescent="0.2">
      <c r="A2033" s="2" t="s">
        <v>6095</v>
      </c>
      <c r="B2033" s="2" t="s">
        <v>6096</v>
      </c>
      <c r="C2033" s="2" t="s">
        <v>6097</v>
      </c>
      <c r="D2033" s="2" t="s">
        <v>10051</v>
      </c>
      <c r="E2033" s="15">
        <v>-9.2899999999999996E-2</v>
      </c>
      <c r="F2033" s="15">
        <v>0.1166</v>
      </c>
      <c r="G2033" s="15">
        <v>-9.2499999999999999E-2</v>
      </c>
      <c r="H2033" s="15">
        <v>0.1014</v>
      </c>
      <c r="I2033" s="15">
        <v>0.4986252695832788</v>
      </c>
    </row>
    <row r="2034" spans="1:9" x14ac:dyDescent="0.2">
      <c r="A2034" s="2" t="s">
        <v>6098</v>
      </c>
      <c r="B2034" s="2" t="s">
        <v>6099</v>
      </c>
      <c r="C2034" s="2" t="s">
        <v>6100</v>
      </c>
      <c r="D2034" s="2" t="s">
        <v>10051</v>
      </c>
      <c r="E2034" s="15">
        <v>-8.5199999999999998E-2</v>
      </c>
      <c r="F2034" s="15">
        <v>0.1</v>
      </c>
      <c r="G2034" s="15">
        <v>-0.10979999999999999</v>
      </c>
      <c r="H2034" s="15">
        <v>9.06E-2</v>
      </c>
      <c r="I2034" s="15">
        <v>0.41027363139859319</v>
      </c>
    </row>
    <row r="2035" spans="1:9" x14ac:dyDescent="0.2">
      <c r="A2035" s="2" t="s">
        <v>6101</v>
      </c>
      <c r="B2035" s="2" t="s">
        <v>6102</v>
      </c>
      <c r="C2035" s="2" t="s">
        <v>6103</v>
      </c>
      <c r="D2035" s="2" t="s">
        <v>10051</v>
      </c>
      <c r="E2035" s="15">
        <v>-0.15859999999999999</v>
      </c>
      <c r="F2035" s="15">
        <v>7.1999999999999995E-2</v>
      </c>
      <c r="G2035" s="15">
        <v>-4.9099999999999998E-2</v>
      </c>
      <c r="H2035" s="15">
        <v>6.2300000000000001E-2</v>
      </c>
      <c r="I2035" s="15">
        <v>6.7716637712139857E-2</v>
      </c>
    </row>
    <row r="2036" spans="1:9" x14ac:dyDescent="0.2">
      <c r="A2036" s="2" t="s">
        <v>6104</v>
      </c>
      <c r="B2036" s="2" t="s">
        <v>6105</v>
      </c>
      <c r="C2036" s="2" t="s">
        <v>6106</v>
      </c>
      <c r="D2036" s="2" t="s">
        <v>10051</v>
      </c>
      <c r="E2036" s="15">
        <v>-0.1389</v>
      </c>
      <c r="F2036" s="15">
        <v>7.4399999999999994E-2</v>
      </c>
      <c r="G2036" s="15">
        <v>3.3999999999999998E-3</v>
      </c>
      <c r="H2036" s="15">
        <v>6.9000000000000006E-2</v>
      </c>
      <c r="I2036" s="15">
        <v>3.9161906564258872E-2</v>
      </c>
    </row>
    <row r="2037" spans="1:9" x14ac:dyDescent="0.2">
      <c r="A2037" s="2" t="s">
        <v>6107</v>
      </c>
      <c r="B2037" s="2" t="s">
        <v>6108</v>
      </c>
      <c r="C2037" s="2" t="s">
        <v>6109</v>
      </c>
      <c r="D2037" s="2" t="s">
        <v>10051</v>
      </c>
      <c r="E2037" s="15">
        <v>-0.1404</v>
      </c>
      <c r="F2037" s="15">
        <v>0.13289999999999999</v>
      </c>
      <c r="G2037" s="15">
        <v>-1.0200000000000001E-2</v>
      </c>
      <c r="H2037" s="15">
        <v>0.1022</v>
      </c>
      <c r="I2037" s="15">
        <v>0.1262372002744761</v>
      </c>
    </row>
    <row r="2038" spans="1:9" x14ac:dyDescent="0.2">
      <c r="A2038" s="2" t="s">
        <v>6110</v>
      </c>
      <c r="B2038" s="2" t="s">
        <v>6111</v>
      </c>
      <c r="C2038" s="2" t="s">
        <v>6112</v>
      </c>
      <c r="D2038" s="2" t="s">
        <v>10051</v>
      </c>
      <c r="E2038" s="15">
        <v>-0.16089999999999999</v>
      </c>
      <c r="F2038" s="15">
        <v>6.4799999999999996E-2</v>
      </c>
      <c r="G2038" s="15">
        <v>1.6000000000000001E-3</v>
      </c>
      <c r="H2038" s="15">
        <v>7.2400000000000006E-2</v>
      </c>
      <c r="I2038" s="15">
        <v>2.300795776872655E-2</v>
      </c>
    </row>
    <row r="2039" spans="1:9" x14ac:dyDescent="0.2">
      <c r="A2039" s="2" t="s">
        <v>6113</v>
      </c>
      <c r="B2039" s="2" t="s">
        <v>6114</v>
      </c>
      <c r="C2039" s="2" t="s">
        <v>6115</v>
      </c>
      <c r="D2039" s="2" t="s">
        <v>10051</v>
      </c>
      <c r="E2039" s="15">
        <v>-1.89E-2</v>
      </c>
      <c r="F2039" s="15">
        <v>9.1800000000000007E-2</v>
      </c>
      <c r="G2039" s="15">
        <v>-0.1653</v>
      </c>
      <c r="H2039" s="15">
        <v>0.15559999999999999</v>
      </c>
      <c r="I2039" s="15">
        <v>0.18383601498379029</v>
      </c>
    </row>
    <row r="2040" spans="1:9" x14ac:dyDescent="0.2">
      <c r="A2040" s="2" t="s">
        <v>6116</v>
      </c>
      <c r="B2040" s="2" t="s">
        <v>6117</v>
      </c>
      <c r="C2040" s="2" t="s">
        <v>6118</v>
      </c>
      <c r="D2040" s="2" t="s">
        <v>10051</v>
      </c>
      <c r="E2040" s="15">
        <v>-0.1041</v>
      </c>
      <c r="F2040" s="15">
        <v>7.8700000000000006E-2</v>
      </c>
      <c r="G2040" s="15">
        <v>-6.7999999999999996E-3</v>
      </c>
      <c r="H2040" s="15">
        <v>8.4400000000000003E-2</v>
      </c>
      <c r="I2040" s="15">
        <v>0.15158328702684701</v>
      </c>
    </row>
    <row r="2041" spans="1:9" x14ac:dyDescent="0.2">
      <c r="A2041" s="2" t="s">
        <v>6119</v>
      </c>
      <c r="B2041" s="2" t="s">
        <v>6120</v>
      </c>
      <c r="C2041" s="2" t="s">
        <v>6121</v>
      </c>
      <c r="D2041" s="2" t="s">
        <v>10051</v>
      </c>
      <c r="E2041" s="15">
        <v>-0.16189999999999999</v>
      </c>
      <c r="F2041" s="15">
        <v>9.4E-2</v>
      </c>
      <c r="G2041" s="15">
        <v>-0.10290000000000001</v>
      </c>
      <c r="H2041" s="15">
        <v>9.9900000000000003E-2</v>
      </c>
      <c r="I2041" s="15">
        <v>0.29732036678571222</v>
      </c>
    </row>
    <row r="2042" spans="1:9" x14ac:dyDescent="0.2">
      <c r="A2042" s="2" t="s">
        <v>6122</v>
      </c>
      <c r="B2042" s="2" t="s">
        <v>6123</v>
      </c>
      <c r="C2042" s="2" t="s">
        <v>6124</v>
      </c>
      <c r="D2042" s="2" t="s">
        <v>10051</v>
      </c>
      <c r="E2042" s="15">
        <v>-9.98E-2</v>
      </c>
      <c r="F2042" s="15">
        <v>8.5599999999999996E-2</v>
      </c>
      <c r="G2042" s="15">
        <v>-8.1500000000000003E-2</v>
      </c>
      <c r="H2042" s="15">
        <v>8.5099999999999995E-2</v>
      </c>
      <c r="I2042" s="15">
        <v>0.42457937643006238</v>
      </c>
    </row>
    <row r="2043" spans="1:9" x14ac:dyDescent="0.2">
      <c r="A2043" s="2" t="s">
        <v>6125</v>
      </c>
      <c r="B2043" s="2" t="s">
        <v>6126</v>
      </c>
      <c r="C2043" s="2" t="s">
        <v>6127</v>
      </c>
      <c r="D2043" s="2" t="s">
        <v>10051</v>
      </c>
      <c r="E2043" s="15">
        <v>-8.5699999999999998E-2</v>
      </c>
      <c r="F2043" s="15">
        <v>0.10630000000000001</v>
      </c>
      <c r="G2043" s="15">
        <v>-3.04E-2</v>
      </c>
      <c r="H2043" s="15">
        <v>8.6800000000000002E-2</v>
      </c>
      <c r="I2043" s="15">
        <v>0.29073807315068229</v>
      </c>
    </row>
    <row r="2044" spans="1:9" x14ac:dyDescent="0.2">
      <c r="A2044" s="2" t="s">
        <v>6128</v>
      </c>
      <c r="B2044" s="2" t="s">
        <v>6129</v>
      </c>
      <c r="C2044" s="2" t="s">
        <v>6130</v>
      </c>
      <c r="D2044" s="2" t="s">
        <v>10051</v>
      </c>
      <c r="E2044" s="15">
        <v>-3.6299999999999999E-2</v>
      </c>
      <c r="F2044" s="15">
        <v>6.9000000000000006E-2</v>
      </c>
      <c r="G2044" s="15">
        <v>-1.6E-2</v>
      </c>
      <c r="H2044" s="15">
        <v>7.8200000000000006E-2</v>
      </c>
      <c r="I2044" s="15">
        <v>0.40755636992571243</v>
      </c>
    </row>
    <row r="2045" spans="1:9" x14ac:dyDescent="0.2">
      <c r="A2045" s="2" t="s">
        <v>6131</v>
      </c>
      <c r="B2045" s="2" t="s">
        <v>6132</v>
      </c>
      <c r="C2045" s="2" t="s">
        <v>6133</v>
      </c>
      <c r="D2045" s="2" t="s">
        <v>10051</v>
      </c>
      <c r="E2045" s="15">
        <v>-2.5700000000000001E-2</v>
      </c>
      <c r="F2045" s="15">
        <v>7.6499999999999999E-2</v>
      </c>
      <c r="G2045" s="15">
        <v>-3.3700000000000001E-2</v>
      </c>
      <c r="H2045" s="15">
        <v>6.6600000000000006E-2</v>
      </c>
      <c r="I2045" s="15">
        <v>0.45901855169684108</v>
      </c>
    </row>
    <row r="2046" spans="1:9" x14ac:dyDescent="0.2">
      <c r="A2046" s="2" t="s">
        <v>6134</v>
      </c>
      <c r="B2046" s="2" t="s">
        <v>6135</v>
      </c>
      <c r="C2046" s="2" t="s">
        <v>6136</v>
      </c>
      <c r="D2046" s="2" t="s">
        <v>10051</v>
      </c>
      <c r="E2046" s="15">
        <v>-0.10730000000000001</v>
      </c>
      <c r="F2046" s="15">
        <v>9.5500000000000002E-2</v>
      </c>
      <c r="G2046" s="15">
        <v>4.3799999999999999E-2</v>
      </c>
      <c r="H2046" s="15">
        <v>0.10680000000000001</v>
      </c>
      <c r="I2046" s="15">
        <v>0.1048411282429958</v>
      </c>
    </row>
    <row r="2047" spans="1:9" x14ac:dyDescent="0.2">
      <c r="A2047" s="2" t="s">
        <v>6137</v>
      </c>
      <c r="B2047" s="2" t="s">
        <v>6138</v>
      </c>
      <c r="C2047" s="2" t="s">
        <v>6139</v>
      </c>
      <c r="D2047" s="2" t="s">
        <v>10051</v>
      </c>
      <c r="E2047" s="15">
        <v>-0.14099999999999999</v>
      </c>
      <c r="F2047" s="15">
        <v>9.8500000000000004E-2</v>
      </c>
      <c r="G2047" s="15">
        <v>5.79E-2</v>
      </c>
      <c r="H2047" s="15">
        <v>0.14960000000000001</v>
      </c>
      <c r="I2047" s="15">
        <v>0.10638512251831141</v>
      </c>
    </row>
    <row r="2048" spans="1:9" x14ac:dyDescent="0.2">
      <c r="A2048" s="2" t="s">
        <v>6140</v>
      </c>
      <c r="B2048" s="2" t="s">
        <v>6141</v>
      </c>
      <c r="C2048" s="2" t="s">
        <v>6142</v>
      </c>
      <c r="D2048" s="2" t="s">
        <v>10051</v>
      </c>
      <c r="E2048" s="15">
        <v>-0.11020000000000001</v>
      </c>
      <c r="F2048" s="15">
        <v>7.6600000000000001E-2</v>
      </c>
      <c r="G2048" s="15">
        <v>-7.3300000000000004E-2</v>
      </c>
      <c r="H2048" s="15">
        <v>6.4799999999999996E-2</v>
      </c>
      <c r="I2048" s="15">
        <v>0.31542157369024248</v>
      </c>
    </row>
    <row r="2049" spans="1:9" x14ac:dyDescent="0.2">
      <c r="A2049" s="2" t="s">
        <v>6143</v>
      </c>
      <c r="B2049" s="2" t="s">
        <v>6144</v>
      </c>
      <c r="C2049" s="2" t="s">
        <v>6145</v>
      </c>
      <c r="D2049" s="2" t="s">
        <v>10051</v>
      </c>
      <c r="E2049" s="15">
        <v>-4.3200000000000002E-2</v>
      </c>
      <c r="F2049" s="15">
        <v>7.0000000000000007E-2</v>
      </c>
      <c r="G2049" s="15">
        <v>-8.9800000000000005E-2</v>
      </c>
      <c r="H2049" s="15">
        <v>5.7200000000000001E-2</v>
      </c>
      <c r="I2049" s="15">
        <v>0.24628413158860121</v>
      </c>
    </row>
    <row r="2050" spans="1:9" x14ac:dyDescent="0.2">
      <c r="A2050" s="2" t="s">
        <v>6146</v>
      </c>
      <c r="B2050" s="2" t="s">
        <v>6147</v>
      </c>
      <c r="C2050" s="2" t="s">
        <v>6148</v>
      </c>
      <c r="D2050" s="2" t="s">
        <v>10051</v>
      </c>
      <c r="E2050" s="15">
        <v>-0.14119999999999999</v>
      </c>
      <c r="F2050" s="15">
        <v>7.9299999999999995E-2</v>
      </c>
      <c r="G2050" s="15">
        <v>-0.13</v>
      </c>
      <c r="H2050" s="15">
        <v>7.0199999999999999E-2</v>
      </c>
      <c r="I2050" s="15">
        <v>0.44585683170576063</v>
      </c>
    </row>
    <row r="2051" spans="1:9" x14ac:dyDescent="0.2">
      <c r="A2051" s="2" t="s">
        <v>6149</v>
      </c>
      <c r="B2051" s="2" t="s">
        <v>6150</v>
      </c>
      <c r="C2051" s="2" t="s">
        <v>6151</v>
      </c>
      <c r="D2051" s="2" t="s">
        <v>10051</v>
      </c>
      <c r="E2051" s="15">
        <v>-0.15640000000000001</v>
      </c>
      <c r="F2051" s="15">
        <v>8.0600000000000005E-2</v>
      </c>
      <c r="G2051" s="15">
        <v>-9.06E-2</v>
      </c>
      <c r="H2051" s="15">
        <v>6.3500000000000001E-2</v>
      </c>
      <c r="I2051" s="15">
        <v>0.18929419303820641</v>
      </c>
    </row>
    <row r="2052" spans="1:9" x14ac:dyDescent="0.2">
      <c r="A2052" s="2" t="s">
        <v>6152</v>
      </c>
      <c r="B2052" s="2" t="s">
        <v>6153</v>
      </c>
      <c r="C2052" s="2" t="s">
        <v>6154</v>
      </c>
      <c r="D2052" s="2" t="s">
        <v>10051</v>
      </c>
      <c r="E2052" s="15">
        <v>-5.5100000000000003E-2</v>
      </c>
      <c r="F2052" s="15">
        <v>7.4800000000000005E-2</v>
      </c>
      <c r="G2052" s="15">
        <v>-6.0100000000000001E-2</v>
      </c>
      <c r="H2052" s="15">
        <v>9.5600000000000004E-2</v>
      </c>
      <c r="I2052" s="15">
        <v>0.48130550079362772</v>
      </c>
    </row>
    <row r="2053" spans="1:9" x14ac:dyDescent="0.2">
      <c r="A2053" s="2" t="s">
        <v>6155</v>
      </c>
      <c r="B2053" s="2" t="s">
        <v>6156</v>
      </c>
      <c r="C2053" s="2" t="s">
        <v>6157</v>
      </c>
      <c r="D2053" s="2" t="s">
        <v>10051</v>
      </c>
      <c r="E2053" s="15">
        <v>-7.5899999999999995E-2</v>
      </c>
      <c r="F2053" s="15">
        <v>8.0600000000000005E-2</v>
      </c>
      <c r="G2053" s="15">
        <v>-9.8299999999999998E-2</v>
      </c>
      <c r="H2053" s="15">
        <v>7.7600000000000002E-2</v>
      </c>
      <c r="I2053" s="15">
        <v>0.40070623005931721</v>
      </c>
    </row>
    <row r="2054" spans="1:9" x14ac:dyDescent="0.2">
      <c r="A2054" s="2" t="s">
        <v>6158</v>
      </c>
      <c r="B2054" s="2" t="s">
        <v>6159</v>
      </c>
      <c r="C2054" s="2" t="s">
        <v>6160</v>
      </c>
      <c r="D2054" s="2" t="s">
        <v>10052</v>
      </c>
      <c r="E2054" s="15">
        <v>-5.0200000000000002E-2</v>
      </c>
      <c r="F2054" s="15">
        <v>7.9699999999999993E-2</v>
      </c>
      <c r="G2054" s="15">
        <v>-0.1744</v>
      </c>
      <c r="H2054" s="15">
        <v>0.12379999999999999</v>
      </c>
      <c r="I2054" s="15">
        <v>0.1740151702147226</v>
      </c>
    </row>
    <row r="2055" spans="1:9" x14ac:dyDescent="0.2">
      <c r="A2055" s="2" t="s">
        <v>6161</v>
      </c>
      <c r="B2055" s="2" t="s">
        <v>6162</v>
      </c>
      <c r="C2055" s="2" t="s">
        <v>6163</v>
      </c>
      <c r="D2055" s="2" t="s">
        <v>10052</v>
      </c>
      <c r="E2055" s="15">
        <v>-1.5E-3</v>
      </c>
      <c r="F2055" s="15">
        <v>8.5400000000000004E-2</v>
      </c>
      <c r="G2055" s="15">
        <v>-3.3099999999999997E-2</v>
      </c>
      <c r="H2055" s="15">
        <v>7.6600000000000001E-2</v>
      </c>
      <c r="I2055" s="15">
        <v>0.35982524495369322</v>
      </c>
    </row>
    <row r="2056" spans="1:9" x14ac:dyDescent="0.2">
      <c r="A2056" s="2" t="s">
        <v>6164</v>
      </c>
      <c r="B2056" s="2" t="s">
        <v>6165</v>
      </c>
      <c r="C2056" s="2" t="s">
        <v>6166</v>
      </c>
      <c r="D2056" s="2" t="s">
        <v>10052</v>
      </c>
      <c r="E2056" s="15">
        <v>-1.11E-2</v>
      </c>
      <c r="F2056" s="15">
        <v>7.3200000000000001E-2</v>
      </c>
      <c r="G2056" s="15">
        <v>3.0599999999999999E-2</v>
      </c>
      <c r="H2056" s="15">
        <v>8.5000000000000006E-2</v>
      </c>
      <c r="I2056" s="15">
        <v>0.33018077305667981</v>
      </c>
    </row>
    <row r="2057" spans="1:9" x14ac:dyDescent="0.2">
      <c r="A2057" s="2" t="s">
        <v>6167</v>
      </c>
      <c r="B2057" s="2" t="s">
        <v>6168</v>
      </c>
      <c r="C2057" s="2" t="s">
        <v>6169</v>
      </c>
      <c r="D2057" s="2" t="s">
        <v>10052</v>
      </c>
      <c r="E2057" s="15">
        <v>3.4200000000000001E-2</v>
      </c>
      <c r="F2057" s="15">
        <v>6.5699999999999995E-2</v>
      </c>
      <c r="G2057" s="15">
        <v>3.7199999999999997E-2</v>
      </c>
      <c r="H2057" s="15">
        <v>6.7299999999999999E-2</v>
      </c>
      <c r="I2057" s="15">
        <v>0.48481654896845822</v>
      </c>
    </row>
    <row r="2058" spans="1:9" x14ac:dyDescent="0.2">
      <c r="A2058" s="2" t="s">
        <v>6170</v>
      </c>
      <c r="B2058" s="2" t="s">
        <v>6171</v>
      </c>
      <c r="C2058" s="2" t="s">
        <v>6172</v>
      </c>
      <c r="D2058" s="2" t="s">
        <v>10052</v>
      </c>
      <c r="E2058" s="15">
        <v>1.5299999999999999E-2</v>
      </c>
      <c r="F2058" s="15">
        <v>0.1087</v>
      </c>
      <c r="G2058" s="15">
        <v>-0.22040000000000001</v>
      </c>
      <c r="H2058" s="15">
        <v>9.7900000000000001E-2</v>
      </c>
      <c r="I2058" s="15">
        <v>2.3003098351458771E-2</v>
      </c>
    </row>
    <row r="2059" spans="1:9" x14ac:dyDescent="0.2">
      <c r="A2059" s="2" t="s">
        <v>6173</v>
      </c>
      <c r="B2059" s="2" t="s">
        <v>6174</v>
      </c>
      <c r="C2059" s="2" t="s">
        <v>6175</v>
      </c>
      <c r="D2059" s="2" t="s">
        <v>10052</v>
      </c>
      <c r="E2059" s="15">
        <v>0.11899999999999999</v>
      </c>
      <c r="F2059" s="15">
        <v>6.7900000000000002E-2</v>
      </c>
      <c r="G2059" s="15">
        <v>3.8E-3</v>
      </c>
      <c r="H2059" s="15">
        <v>8.5599999999999996E-2</v>
      </c>
      <c r="I2059" s="15">
        <v>0.1142412051490234</v>
      </c>
    </row>
    <row r="2060" spans="1:9" x14ac:dyDescent="0.2">
      <c r="A2060" s="2" t="s">
        <v>6176</v>
      </c>
      <c r="B2060" s="2" t="s">
        <v>6177</v>
      </c>
      <c r="C2060" s="2" t="s">
        <v>6178</v>
      </c>
      <c r="D2060" s="2" t="s">
        <v>10052</v>
      </c>
      <c r="E2060" s="15">
        <v>2.5000000000000001E-3</v>
      </c>
      <c r="F2060" s="15">
        <v>9.0800000000000006E-2</v>
      </c>
      <c r="G2060" s="15">
        <v>-3.5200000000000002E-2</v>
      </c>
      <c r="H2060" s="15">
        <v>9.5500000000000002E-2</v>
      </c>
      <c r="I2060" s="15">
        <v>0.36121276629028898</v>
      </c>
    </row>
    <row r="2061" spans="1:9" x14ac:dyDescent="0.2">
      <c r="A2061" s="2" t="s">
        <v>6179</v>
      </c>
      <c r="B2061" s="2" t="s">
        <v>6180</v>
      </c>
      <c r="C2061" s="2" t="s">
        <v>6181</v>
      </c>
      <c r="D2061" s="2" t="s">
        <v>10052</v>
      </c>
      <c r="E2061" s="15">
        <v>-2.0199999999999999E-2</v>
      </c>
      <c r="F2061" s="15">
        <v>0.1003</v>
      </c>
      <c r="G2061" s="15">
        <v>4.1300000000000003E-2</v>
      </c>
      <c r="H2061" s="15">
        <v>8.6400000000000005E-2</v>
      </c>
      <c r="I2061" s="15">
        <v>0.26589439158832362</v>
      </c>
    </row>
    <row r="2062" spans="1:9" x14ac:dyDescent="0.2">
      <c r="A2062" s="2" t="s">
        <v>6182</v>
      </c>
      <c r="B2062" s="2" t="s">
        <v>6183</v>
      </c>
      <c r="C2062" s="2" t="s">
        <v>6184</v>
      </c>
      <c r="D2062" s="2" t="s">
        <v>10052</v>
      </c>
      <c r="E2062" s="15">
        <v>-1.2999999999999999E-3</v>
      </c>
      <c r="F2062" s="15">
        <v>0.11749999999999999</v>
      </c>
    </row>
    <row r="2063" spans="1:9" x14ac:dyDescent="0.2">
      <c r="A2063" s="2" t="s">
        <v>6185</v>
      </c>
      <c r="B2063" s="2" t="s">
        <v>6186</v>
      </c>
      <c r="C2063" s="2" t="s">
        <v>6187</v>
      </c>
      <c r="D2063" s="2" t="s">
        <v>10052</v>
      </c>
      <c r="E2063" s="15">
        <v>-0.1007</v>
      </c>
      <c r="F2063" s="15">
        <v>0.1308</v>
      </c>
      <c r="G2063" s="15">
        <v>0.18029999999999999</v>
      </c>
      <c r="H2063" s="15">
        <v>0.1343</v>
      </c>
      <c r="I2063" s="15">
        <v>2.4892982889315549E-2</v>
      </c>
    </row>
    <row r="2064" spans="1:9" x14ac:dyDescent="0.2">
      <c r="A2064" s="2" t="s">
        <v>6188</v>
      </c>
      <c r="B2064" s="2" t="s">
        <v>6189</v>
      </c>
      <c r="C2064" s="2" t="s">
        <v>6190</v>
      </c>
      <c r="D2064" s="2" t="s">
        <v>10052</v>
      </c>
      <c r="E2064" s="15">
        <v>1.9E-2</v>
      </c>
      <c r="F2064" s="15">
        <v>0.14460000000000001</v>
      </c>
      <c r="G2064" s="15">
        <v>-0.1313</v>
      </c>
      <c r="H2064" s="15">
        <v>0.13009999999999999</v>
      </c>
      <c r="I2064" s="15">
        <v>0.15732447868980179</v>
      </c>
    </row>
    <row r="2065" spans="1:9" x14ac:dyDescent="0.2">
      <c r="A2065" s="2" t="s">
        <v>6191</v>
      </c>
      <c r="B2065" s="2" t="s">
        <v>6192</v>
      </c>
      <c r="C2065" s="2" t="s">
        <v>6193</v>
      </c>
      <c r="D2065" s="2" t="s">
        <v>10052</v>
      </c>
      <c r="E2065" s="15">
        <v>-9.0800000000000006E-2</v>
      </c>
      <c r="F2065" s="15">
        <v>0.15110000000000001</v>
      </c>
      <c r="G2065" s="15">
        <v>-0.3795</v>
      </c>
      <c r="H2065" s="15">
        <v>0.38490000000000002</v>
      </c>
      <c r="I2065" s="15">
        <v>0.2302488332035198</v>
      </c>
    </row>
    <row r="2066" spans="1:9" x14ac:dyDescent="0.2">
      <c r="A2066" s="2" t="s">
        <v>6194</v>
      </c>
      <c r="B2066" s="2" t="s">
        <v>6195</v>
      </c>
      <c r="C2066" s="2" t="s">
        <v>6196</v>
      </c>
      <c r="D2066" s="2" t="s">
        <v>10052</v>
      </c>
      <c r="E2066" s="15">
        <v>-6.3299999999999995E-2</v>
      </c>
      <c r="F2066" s="15">
        <v>8.0399999999999999E-2</v>
      </c>
      <c r="G2066" s="15">
        <v>-2.6599999999999999E-2</v>
      </c>
      <c r="H2066" s="15">
        <v>7.5499999999999998E-2</v>
      </c>
      <c r="I2066" s="15">
        <v>0.33725095547602663</v>
      </c>
    </row>
    <row r="2067" spans="1:9" x14ac:dyDescent="0.2">
      <c r="A2067" s="2" t="s">
        <v>6197</v>
      </c>
      <c r="B2067" s="2" t="s">
        <v>6198</v>
      </c>
      <c r="C2067" s="2" t="s">
        <v>6199</v>
      </c>
      <c r="D2067" s="2" t="s">
        <v>10052</v>
      </c>
      <c r="E2067" s="15">
        <v>-4.07E-2</v>
      </c>
      <c r="F2067" s="15">
        <v>8.5000000000000006E-2</v>
      </c>
      <c r="G2067" s="15">
        <v>-6.9699999999999998E-2</v>
      </c>
      <c r="H2067" s="15">
        <v>7.6799999999999993E-2</v>
      </c>
      <c r="I2067" s="15">
        <v>0.37447648048230442</v>
      </c>
    </row>
    <row r="2068" spans="1:9" x14ac:dyDescent="0.2">
      <c r="A2068" s="2" t="s">
        <v>6200</v>
      </c>
      <c r="B2068" s="2" t="s">
        <v>6201</v>
      </c>
      <c r="C2068" s="2" t="s">
        <v>6202</v>
      </c>
      <c r="D2068" s="2" t="s">
        <v>10052</v>
      </c>
      <c r="E2068" s="15">
        <v>8.8700000000000001E-2</v>
      </c>
      <c r="F2068" s="15">
        <v>0.13869999999999999</v>
      </c>
      <c r="G2068" s="15">
        <v>-0.30530000000000002</v>
      </c>
      <c r="H2068" s="15">
        <v>0.1845</v>
      </c>
      <c r="I2068" s="15">
        <v>2.51557256804508E-2</v>
      </c>
    </row>
    <row r="2069" spans="1:9" x14ac:dyDescent="0.2">
      <c r="A2069" s="2" t="s">
        <v>6203</v>
      </c>
      <c r="B2069" s="2" t="s">
        <v>6204</v>
      </c>
      <c r="C2069" s="2" t="s">
        <v>6205</v>
      </c>
      <c r="D2069" s="2" t="s">
        <v>10052</v>
      </c>
      <c r="E2069" s="15">
        <v>0.20300000000000001</v>
      </c>
      <c r="F2069" s="15">
        <v>0.13439999999999999</v>
      </c>
      <c r="G2069" s="15">
        <v>-0.1991</v>
      </c>
      <c r="H2069" s="15">
        <v>0.13120000000000001</v>
      </c>
      <c r="I2069" s="15">
        <v>6.4438784752053786E-3</v>
      </c>
    </row>
    <row r="2070" spans="1:9" x14ac:dyDescent="0.2">
      <c r="A2070" s="2" t="s">
        <v>6206</v>
      </c>
      <c r="B2070" s="2" t="s">
        <v>6207</v>
      </c>
      <c r="C2070" s="2" t="s">
        <v>6208</v>
      </c>
      <c r="D2070" s="2" t="s">
        <v>10052</v>
      </c>
      <c r="E2070" s="15">
        <v>-2.2100000000000002E-2</v>
      </c>
      <c r="F2070" s="15">
        <v>8.43E-2</v>
      </c>
      <c r="G2070" s="15">
        <v>-4.6800000000000001E-2</v>
      </c>
      <c r="H2070" s="15">
        <v>8.0600000000000005E-2</v>
      </c>
      <c r="I2070" s="15">
        <v>0.39397196610752028</v>
      </c>
    </row>
    <row r="2071" spans="1:9" x14ac:dyDescent="0.2">
      <c r="A2071" s="2" t="s">
        <v>6209</v>
      </c>
      <c r="B2071" s="2" t="s">
        <v>6210</v>
      </c>
      <c r="C2071" s="2" t="s">
        <v>6211</v>
      </c>
      <c r="D2071" s="2" t="s">
        <v>10052</v>
      </c>
      <c r="E2071" s="15">
        <v>6.5500000000000003E-2</v>
      </c>
      <c r="F2071" s="15">
        <v>6.59E-2</v>
      </c>
      <c r="G2071" s="15">
        <v>-3.7400000000000003E-2</v>
      </c>
      <c r="H2071" s="15">
        <v>9.8199999999999996E-2</v>
      </c>
      <c r="I2071" s="15">
        <v>0.17171142253307359</v>
      </c>
    </row>
    <row r="2072" spans="1:9" x14ac:dyDescent="0.2">
      <c r="A2072" s="2" t="s">
        <v>6212</v>
      </c>
      <c r="B2072" s="2" t="s">
        <v>6213</v>
      </c>
      <c r="C2072" s="2" t="s">
        <v>6214</v>
      </c>
      <c r="D2072" s="2" t="s">
        <v>10052</v>
      </c>
      <c r="E2072" s="15">
        <v>4.4999999999999998E-2</v>
      </c>
      <c r="F2072" s="15">
        <v>0.15989999999999999</v>
      </c>
      <c r="G2072" s="15">
        <v>-1.46E-2</v>
      </c>
      <c r="H2072" s="15">
        <v>8.4599999999999995E-2</v>
      </c>
      <c r="I2072" s="15">
        <v>0.30011298175279127</v>
      </c>
    </row>
    <row r="2073" spans="1:9" x14ac:dyDescent="0.2">
      <c r="A2073" s="2" t="s">
        <v>6215</v>
      </c>
      <c r="B2073" s="2" t="s">
        <v>6216</v>
      </c>
      <c r="C2073" s="2" t="s">
        <v>6217</v>
      </c>
      <c r="D2073" s="2" t="s">
        <v>10052</v>
      </c>
      <c r="E2073" s="15">
        <v>0.1071</v>
      </c>
      <c r="F2073" s="15">
        <v>0.16420000000000001</v>
      </c>
      <c r="G2073" s="15">
        <v>7.1999999999999995E-2</v>
      </c>
      <c r="H2073" s="15">
        <v>0.1109</v>
      </c>
      <c r="I2073" s="15">
        <v>0.39224000884564819</v>
      </c>
    </row>
    <row r="2074" spans="1:9" x14ac:dyDescent="0.2">
      <c r="A2074" s="2" t="s">
        <v>6218</v>
      </c>
      <c r="B2074" s="2" t="s">
        <v>6219</v>
      </c>
      <c r="C2074" s="2" t="s">
        <v>6220</v>
      </c>
      <c r="D2074" s="2" t="s">
        <v>10052</v>
      </c>
      <c r="E2074" s="15">
        <v>-1.0200000000000001E-2</v>
      </c>
      <c r="F2074" s="15">
        <v>7.3599999999999999E-2</v>
      </c>
      <c r="G2074" s="15">
        <v>-9.5500000000000002E-2</v>
      </c>
      <c r="H2074" s="15">
        <v>8.3500000000000005E-2</v>
      </c>
      <c r="I2074" s="15">
        <v>0.1907728684951713</v>
      </c>
    </row>
    <row r="2075" spans="1:9" x14ac:dyDescent="0.2">
      <c r="A2075" s="2" t="s">
        <v>6221</v>
      </c>
      <c r="B2075" s="2" t="s">
        <v>6222</v>
      </c>
      <c r="C2075" s="2" t="s">
        <v>6223</v>
      </c>
      <c r="D2075" s="2" t="s">
        <v>10052</v>
      </c>
      <c r="E2075" s="15">
        <v>0.1709</v>
      </c>
      <c r="F2075" s="15">
        <v>0.1046</v>
      </c>
      <c r="G2075" s="15">
        <v>5.5399999999999998E-2</v>
      </c>
      <c r="H2075" s="15">
        <v>0.1125</v>
      </c>
      <c r="I2075" s="15">
        <v>0.17868296433600131</v>
      </c>
    </row>
    <row r="2076" spans="1:9" x14ac:dyDescent="0.2">
      <c r="A2076" s="2" t="s">
        <v>6224</v>
      </c>
      <c r="B2076" s="2" t="s">
        <v>6225</v>
      </c>
      <c r="C2076" s="2" t="s">
        <v>6226</v>
      </c>
      <c r="D2076" s="2" t="s">
        <v>10052</v>
      </c>
      <c r="E2076" s="15">
        <v>-3.8600000000000002E-2</v>
      </c>
      <c r="F2076" s="15">
        <v>8.1699999999999995E-2</v>
      </c>
      <c r="G2076" s="15">
        <v>8.9999999999999998E-4</v>
      </c>
      <c r="H2076" s="15">
        <v>7.5899999999999995E-2</v>
      </c>
      <c r="I2076" s="15">
        <v>0.32738731812811678</v>
      </c>
    </row>
    <row r="2077" spans="1:9" x14ac:dyDescent="0.2">
      <c r="A2077" s="2" t="s">
        <v>6227</v>
      </c>
      <c r="B2077" s="2" t="s">
        <v>6228</v>
      </c>
      <c r="C2077" s="2" t="s">
        <v>6229</v>
      </c>
      <c r="D2077" s="2" t="s">
        <v>10052</v>
      </c>
      <c r="E2077" s="15">
        <v>2.5000000000000001E-3</v>
      </c>
      <c r="F2077" s="15">
        <v>8.5699999999999998E-2</v>
      </c>
      <c r="G2077" s="15">
        <v>1.7100000000000001E-2</v>
      </c>
      <c r="H2077" s="15">
        <v>8.5400000000000004E-2</v>
      </c>
      <c r="I2077" s="15">
        <v>0.44091118158943099</v>
      </c>
    </row>
    <row r="2078" spans="1:9" x14ac:dyDescent="0.2">
      <c r="A2078" s="2" t="s">
        <v>6230</v>
      </c>
      <c r="B2078" s="2" t="s">
        <v>6231</v>
      </c>
      <c r="C2078" s="2" t="s">
        <v>6232</v>
      </c>
      <c r="D2078" s="2" t="s">
        <v>10052</v>
      </c>
      <c r="E2078" s="15">
        <v>-3.32E-2</v>
      </c>
      <c r="F2078" s="15">
        <v>9.2499999999999999E-2</v>
      </c>
      <c r="G2078" s="15">
        <v>2.6599999999999999E-2</v>
      </c>
      <c r="H2078" s="15">
        <v>7.7700000000000005E-2</v>
      </c>
      <c r="I2078" s="15">
        <v>0.26047255569447519</v>
      </c>
    </row>
    <row r="2079" spans="1:9" x14ac:dyDescent="0.2">
      <c r="A2079" s="2" t="s">
        <v>6233</v>
      </c>
      <c r="B2079" s="2" t="s">
        <v>6234</v>
      </c>
      <c r="C2079" s="2" t="s">
        <v>6235</v>
      </c>
      <c r="D2079" s="2" t="s">
        <v>10052</v>
      </c>
      <c r="E2079" s="15">
        <v>-9.8500000000000004E-2</v>
      </c>
      <c r="F2079" s="15">
        <v>8.3900000000000002E-2</v>
      </c>
      <c r="G2079" s="15">
        <v>1.9300000000000001E-2</v>
      </c>
      <c r="H2079" s="15">
        <v>8.0399999999999999E-2</v>
      </c>
      <c r="I2079" s="15">
        <v>0.10607635782769829</v>
      </c>
    </row>
    <row r="2080" spans="1:9" x14ac:dyDescent="0.2">
      <c r="A2080" s="2" t="s">
        <v>6236</v>
      </c>
      <c r="B2080" s="2" t="s">
        <v>6237</v>
      </c>
      <c r="C2080" s="2" t="s">
        <v>6238</v>
      </c>
      <c r="D2080" s="2" t="s">
        <v>10052</v>
      </c>
      <c r="E2080" s="15">
        <v>4.2200000000000001E-2</v>
      </c>
      <c r="F2080" s="15">
        <v>8.5900000000000004E-2</v>
      </c>
      <c r="G2080" s="15">
        <v>5.4800000000000001E-2</v>
      </c>
      <c r="H2080" s="15">
        <v>7.3599999999999999E-2</v>
      </c>
      <c r="I2080" s="15">
        <v>0.44267254976942311</v>
      </c>
    </row>
    <row r="2081" spans="1:9" x14ac:dyDescent="0.2">
      <c r="A2081" s="2" t="s">
        <v>6239</v>
      </c>
      <c r="B2081" s="2" t="s">
        <v>6240</v>
      </c>
      <c r="C2081" s="2" t="s">
        <v>6241</v>
      </c>
      <c r="D2081" s="2" t="s">
        <v>10052</v>
      </c>
      <c r="E2081" s="15">
        <v>-4.87E-2</v>
      </c>
      <c r="F2081" s="15">
        <v>8.8599999999999998E-2</v>
      </c>
      <c r="G2081" s="15">
        <v>-3.04E-2</v>
      </c>
      <c r="H2081" s="15">
        <v>6.9699999999999998E-2</v>
      </c>
      <c r="I2081" s="15">
        <v>0.41440127502467539</v>
      </c>
    </row>
    <row r="2082" spans="1:9" x14ac:dyDescent="0.2">
      <c r="A2082" s="2" t="s">
        <v>6242</v>
      </c>
      <c r="B2082" s="2" t="s">
        <v>6243</v>
      </c>
      <c r="C2082" s="2" t="s">
        <v>6244</v>
      </c>
      <c r="D2082" s="2" t="s">
        <v>10052</v>
      </c>
      <c r="E2082" s="15">
        <v>-4.3999999999999997E-2</v>
      </c>
      <c r="F2082" s="15">
        <v>7.5600000000000001E-2</v>
      </c>
      <c r="G2082" s="15">
        <v>-5.9999999999999995E-4</v>
      </c>
      <c r="H2082" s="15">
        <v>7.7799999999999994E-2</v>
      </c>
      <c r="I2082" s="15">
        <v>0.32041588988932462</v>
      </c>
    </row>
    <row r="2083" spans="1:9" x14ac:dyDescent="0.2">
      <c r="A2083" s="2" t="s">
        <v>6245</v>
      </c>
      <c r="B2083" s="2" t="s">
        <v>6246</v>
      </c>
      <c r="C2083" s="2" t="s">
        <v>6247</v>
      </c>
      <c r="D2083" s="2" t="s">
        <v>10052</v>
      </c>
      <c r="E2083" s="15">
        <v>3.39E-2</v>
      </c>
      <c r="F2083" s="15">
        <v>9.1800000000000007E-2</v>
      </c>
      <c r="G2083" s="15">
        <v>2.3E-3</v>
      </c>
      <c r="H2083" s="15">
        <v>9.01E-2</v>
      </c>
      <c r="I2083" s="15">
        <v>0.37949388868010497</v>
      </c>
    </row>
    <row r="2084" spans="1:9" x14ac:dyDescent="0.2">
      <c r="A2084" s="2" t="s">
        <v>6248</v>
      </c>
      <c r="B2084" s="2" t="s">
        <v>6249</v>
      </c>
      <c r="C2084" s="2" t="s">
        <v>6250</v>
      </c>
      <c r="D2084" s="2" t="s">
        <v>10052</v>
      </c>
      <c r="E2084" s="15">
        <v>-3.1300000000000001E-2</v>
      </c>
      <c r="F2084" s="15">
        <v>9.0399999999999994E-2</v>
      </c>
      <c r="G2084" s="15">
        <v>-6.3100000000000003E-2</v>
      </c>
      <c r="H2084" s="15">
        <v>7.3700000000000002E-2</v>
      </c>
      <c r="I2084" s="15">
        <v>0.35717027237189902</v>
      </c>
    </row>
    <row r="2085" spans="1:9" x14ac:dyDescent="0.2">
      <c r="A2085" s="2" t="s">
        <v>6251</v>
      </c>
      <c r="B2085" s="2" t="s">
        <v>6252</v>
      </c>
      <c r="C2085" s="2" t="s">
        <v>6253</v>
      </c>
      <c r="D2085" s="2" t="s">
        <v>10052</v>
      </c>
      <c r="E2085" s="15">
        <v>-7.3400000000000007E-2</v>
      </c>
      <c r="F2085" s="15">
        <v>7.46E-2</v>
      </c>
      <c r="G2085" s="15">
        <v>-9.3399999999999997E-2</v>
      </c>
      <c r="H2085" s="15">
        <v>9.4299999999999995E-2</v>
      </c>
      <c r="I2085" s="15">
        <v>0.42403976188690118</v>
      </c>
    </row>
    <row r="2086" spans="1:9" x14ac:dyDescent="0.2">
      <c r="A2086" s="2" t="s">
        <v>6254</v>
      </c>
      <c r="B2086" s="2" t="s">
        <v>6255</v>
      </c>
      <c r="C2086" s="2" t="s">
        <v>6256</v>
      </c>
      <c r="D2086" s="2" t="s">
        <v>10052</v>
      </c>
      <c r="E2086" s="15">
        <v>5.7299999999999997E-2</v>
      </c>
      <c r="F2086" s="15">
        <v>7.4800000000000005E-2</v>
      </c>
      <c r="G2086" s="15">
        <v>-0.1071</v>
      </c>
      <c r="H2086" s="15">
        <v>8.8599999999999998E-2</v>
      </c>
      <c r="I2086" s="15">
        <v>5.0349946616585442E-2</v>
      </c>
    </row>
    <row r="2087" spans="1:9" x14ac:dyDescent="0.2">
      <c r="A2087" s="2" t="s">
        <v>6257</v>
      </c>
      <c r="B2087" s="2" t="s">
        <v>6258</v>
      </c>
      <c r="C2087" s="2" t="s">
        <v>6259</v>
      </c>
      <c r="D2087" s="2" t="s">
        <v>10052</v>
      </c>
      <c r="E2087" s="15">
        <v>1.49E-2</v>
      </c>
      <c r="F2087" s="15">
        <v>7.7399999999999997E-2</v>
      </c>
      <c r="G2087" s="15">
        <v>-7.5700000000000003E-2</v>
      </c>
      <c r="H2087" s="15">
        <v>8.3500000000000005E-2</v>
      </c>
      <c r="I2087" s="15">
        <v>0.16866882617792581</v>
      </c>
    </row>
    <row r="2088" spans="1:9" x14ac:dyDescent="0.2">
      <c r="A2088" s="2" t="s">
        <v>6260</v>
      </c>
      <c r="B2088" s="2" t="s">
        <v>6261</v>
      </c>
      <c r="C2088" s="2" t="s">
        <v>6262</v>
      </c>
      <c r="D2088" s="2" t="s">
        <v>10052</v>
      </c>
      <c r="E2088" s="15">
        <v>-0.15590000000000001</v>
      </c>
      <c r="F2088" s="15">
        <v>6.7500000000000004E-2</v>
      </c>
      <c r="G2088" s="15">
        <v>2.7300000000000001E-2</v>
      </c>
      <c r="H2088" s="15">
        <v>7.7600000000000002E-2</v>
      </c>
      <c r="I2088" s="15">
        <v>1.8679601589640028E-2</v>
      </c>
    </row>
    <row r="2089" spans="1:9" x14ac:dyDescent="0.2">
      <c r="A2089" s="2" t="s">
        <v>6263</v>
      </c>
      <c r="B2089" s="2" t="s">
        <v>6264</v>
      </c>
      <c r="C2089" s="2" t="s">
        <v>6265</v>
      </c>
      <c r="D2089" s="2" t="s">
        <v>10052</v>
      </c>
      <c r="E2089" s="15">
        <v>-0.1119</v>
      </c>
      <c r="F2089" s="15">
        <v>7.7200000000000005E-2</v>
      </c>
      <c r="G2089" s="15">
        <v>-2.0000000000000001E-4</v>
      </c>
      <c r="H2089" s="15">
        <v>0.10050000000000001</v>
      </c>
      <c r="I2089" s="15">
        <v>0.15351544845340409</v>
      </c>
    </row>
    <row r="2090" spans="1:9" x14ac:dyDescent="0.2">
      <c r="A2090" s="2" t="s">
        <v>6266</v>
      </c>
      <c r="B2090" s="2" t="s">
        <v>6267</v>
      </c>
      <c r="C2090" s="2" t="s">
        <v>6268</v>
      </c>
      <c r="D2090" s="2" t="s">
        <v>10052</v>
      </c>
      <c r="E2090" s="15">
        <v>0.1278</v>
      </c>
      <c r="F2090" s="15">
        <v>0.1641</v>
      </c>
      <c r="G2090" s="15">
        <v>-7.8799999999999995E-2</v>
      </c>
      <c r="H2090" s="15">
        <v>0.1069</v>
      </c>
      <c r="I2090" s="15">
        <v>6.3008548290873725E-2</v>
      </c>
    </row>
    <row r="2091" spans="1:9" x14ac:dyDescent="0.2">
      <c r="A2091" s="2" t="s">
        <v>6269</v>
      </c>
      <c r="B2091" s="2" t="s">
        <v>6270</v>
      </c>
      <c r="C2091" s="2" t="s">
        <v>6271</v>
      </c>
      <c r="D2091" s="2" t="s">
        <v>10052</v>
      </c>
      <c r="E2091" s="15">
        <v>4.6699999999999998E-2</v>
      </c>
      <c r="F2091" s="15">
        <v>0.1741</v>
      </c>
      <c r="G2091" s="15">
        <v>-0.1996</v>
      </c>
      <c r="H2091" s="15">
        <v>0.26029999999999998</v>
      </c>
      <c r="I2091" s="15">
        <v>0.17941136748732531</v>
      </c>
    </row>
    <row r="2092" spans="1:9" x14ac:dyDescent="0.2">
      <c r="A2092" s="2" t="s">
        <v>6272</v>
      </c>
      <c r="B2092" s="2" t="s">
        <v>6273</v>
      </c>
      <c r="C2092" s="2" t="s">
        <v>6274</v>
      </c>
      <c r="D2092" s="2" t="s">
        <v>10052</v>
      </c>
      <c r="E2092" s="15">
        <v>-1.47E-2</v>
      </c>
      <c r="F2092" s="15">
        <v>9.8500000000000004E-2</v>
      </c>
      <c r="G2092" s="15">
        <v>4.53E-2</v>
      </c>
      <c r="H2092" s="15">
        <v>0.1033</v>
      </c>
      <c r="I2092" s="15">
        <v>0.30722461080992969</v>
      </c>
    </row>
    <row r="2093" spans="1:9" x14ac:dyDescent="0.2">
      <c r="A2093" s="2" t="s">
        <v>6275</v>
      </c>
      <c r="B2093" s="2" t="s">
        <v>6276</v>
      </c>
      <c r="C2093" s="2" t="s">
        <v>6277</v>
      </c>
      <c r="D2093" s="2" t="s">
        <v>10052</v>
      </c>
      <c r="E2093" s="15">
        <v>-0.1169</v>
      </c>
      <c r="F2093" s="15">
        <v>0.15079999999999999</v>
      </c>
      <c r="G2093" s="15">
        <v>9.1700000000000004E-2</v>
      </c>
      <c r="H2093" s="15">
        <v>0.16070000000000001</v>
      </c>
      <c r="I2093" s="15">
        <v>0.1151291218413821</v>
      </c>
    </row>
    <row r="2094" spans="1:9" x14ac:dyDescent="0.2">
      <c r="A2094" s="2" t="s">
        <v>6278</v>
      </c>
      <c r="B2094" s="2" t="s">
        <v>6279</v>
      </c>
      <c r="C2094" s="2" t="s">
        <v>6280</v>
      </c>
      <c r="D2094" s="2" t="s">
        <v>10052</v>
      </c>
      <c r="E2094" s="15">
        <v>-7.2800000000000004E-2</v>
      </c>
      <c r="F2094" s="15">
        <v>6.3799999999999996E-2</v>
      </c>
      <c r="G2094" s="15">
        <v>-3.78E-2</v>
      </c>
      <c r="H2094" s="15">
        <v>7.3099999999999998E-2</v>
      </c>
      <c r="I2094" s="15">
        <v>0.34000700412325058</v>
      </c>
    </row>
    <row r="2095" spans="1:9" x14ac:dyDescent="0.2">
      <c r="A2095" s="2" t="s">
        <v>6281</v>
      </c>
      <c r="B2095" s="2" t="s">
        <v>6282</v>
      </c>
      <c r="C2095" s="2" t="s">
        <v>6283</v>
      </c>
      <c r="D2095" s="2" t="s">
        <v>10052</v>
      </c>
      <c r="E2095" s="15">
        <v>-1.7999999999999999E-2</v>
      </c>
      <c r="F2095" s="15">
        <v>6.5500000000000003E-2</v>
      </c>
      <c r="G2095" s="15">
        <v>-5.45E-2</v>
      </c>
      <c r="H2095" s="15">
        <v>7.8299999999999995E-2</v>
      </c>
      <c r="I2095" s="15">
        <v>0.34133720945031992</v>
      </c>
    </row>
    <row r="2096" spans="1:9" x14ac:dyDescent="0.2">
      <c r="A2096" s="2" t="s">
        <v>6284</v>
      </c>
      <c r="B2096" s="2" t="s">
        <v>6285</v>
      </c>
      <c r="C2096" s="2" t="s">
        <v>6286</v>
      </c>
      <c r="D2096" s="2" t="s">
        <v>10052</v>
      </c>
      <c r="E2096" s="15">
        <v>6.5699999999999995E-2</v>
      </c>
      <c r="F2096" s="15">
        <v>0.1043</v>
      </c>
      <c r="G2096" s="15">
        <v>3.3099999999999997E-2</v>
      </c>
      <c r="H2096" s="15">
        <v>0.11799999999999999</v>
      </c>
      <c r="I2096" s="15">
        <v>0.40148371062556337</v>
      </c>
    </row>
    <row r="2097" spans="1:9" x14ac:dyDescent="0.2">
      <c r="A2097" s="2" t="s">
        <v>6287</v>
      </c>
      <c r="B2097" s="2" t="s">
        <v>6288</v>
      </c>
      <c r="C2097" s="2" t="s">
        <v>6289</v>
      </c>
      <c r="D2097" s="2" t="s">
        <v>10052</v>
      </c>
      <c r="E2097" s="15">
        <v>-4.7100000000000003E-2</v>
      </c>
      <c r="F2097" s="15">
        <v>0.12809999999999999</v>
      </c>
      <c r="G2097" s="15">
        <v>0.13009999999999999</v>
      </c>
      <c r="H2097" s="15">
        <v>0.1188</v>
      </c>
      <c r="I2097" s="15">
        <v>9.4565651807391238E-2</v>
      </c>
    </row>
    <row r="2098" spans="1:9" x14ac:dyDescent="0.2">
      <c r="A2098" s="2" t="s">
        <v>6290</v>
      </c>
      <c r="B2098" s="2" t="s">
        <v>6291</v>
      </c>
      <c r="C2098" s="2" t="s">
        <v>6292</v>
      </c>
      <c r="D2098" s="2" t="s">
        <v>10052</v>
      </c>
      <c r="E2098" s="15">
        <v>6.1400000000000003E-2</v>
      </c>
      <c r="F2098" s="15">
        <v>0.1258</v>
      </c>
      <c r="G2098" s="15">
        <v>-5.5999999999999999E-3</v>
      </c>
      <c r="H2098" s="15">
        <v>0.13500000000000001</v>
      </c>
      <c r="I2098" s="15">
        <v>0.33067750036498522</v>
      </c>
    </row>
    <row r="2099" spans="1:9" x14ac:dyDescent="0.2">
      <c r="A2099" s="2" t="s">
        <v>6293</v>
      </c>
      <c r="B2099" s="2" t="s">
        <v>6294</v>
      </c>
      <c r="C2099" s="2" t="s">
        <v>6295</v>
      </c>
      <c r="D2099" s="2" t="s">
        <v>10052</v>
      </c>
      <c r="E2099" s="15">
        <v>0.2261</v>
      </c>
      <c r="F2099" s="15">
        <v>0.15290000000000001</v>
      </c>
      <c r="G2099" s="15">
        <v>-3.5099999999999999E-2</v>
      </c>
      <c r="H2099" s="15">
        <v>9.8400000000000001E-2</v>
      </c>
      <c r="I2099" s="15">
        <v>1.4451711936916649E-2</v>
      </c>
    </row>
    <row r="2100" spans="1:9" x14ac:dyDescent="0.2">
      <c r="A2100" s="2" t="s">
        <v>6296</v>
      </c>
      <c r="B2100" s="2" t="s">
        <v>6297</v>
      </c>
      <c r="C2100" s="2" t="s">
        <v>6298</v>
      </c>
      <c r="D2100" s="2" t="s">
        <v>10052</v>
      </c>
      <c r="E2100" s="15">
        <v>-8.5300000000000001E-2</v>
      </c>
      <c r="F2100" s="15">
        <v>0.08</v>
      </c>
      <c r="G2100" s="15">
        <v>5.57E-2</v>
      </c>
      <c r="H2100" s="15">
        <v>0.1135</v>
      </c>
      <c r="I2100" s="15">
        <v>0.12560473130474231</v>
      </c>
    </row>
    <row r="2101" spans="1:9" x14ac:dyDescent="0.2">
      <c r="A2101" s="2" t="s">
        <v>6299</v>
      </c>
      <c r="B2101" s="2" t="s">
        <v>6300</v>
      </c>
      <c r="C2101" s="2" t="s">
        <v>6301</v>
      </c>
      <c r="D2101" s="2" t="s">
        <v>10052</v>
      </c>
      <c r="E2101" s="15">
        <v>-4.4499999999999998E-2</v>
      </c>
      <c r="F2101" s="15">
        <v>0.1072</v>
      </c>
      <c r="G2101" s="15">
        <v>2.3E-2</v>
      </c>
      <c r="H2101" s="15">
        <v>0.1226</v>
      </c>
      <c r="I2101" s="15">
        <v>0.30550380305011521</v>
      </c>
    </row>
    <row r="2102" spans="1:9" x14ac:dyDescent="0.2">
      <c r="A2102" s="2" t="s">
        <v>6302</v>
      </c>
      <c r="B2102" s="2" t="s">
        <v>6303</v>
      </c>
      <c r="C2102" s="2" t="s">
        <v>6304</v>
      </c>
      <c r="D2102" s="2" t="s">
        <v>10052</v>
      </c>
      <c r="E2102" s="15">
        <v>-4.87E-2</v>
      </c>
      <c r="F2102" s="15">
        <v>0.1024</v>
      </c>
      <c r="G2102" s="15">
        <v>-4.1000000000000002E-2</v>
      </c>
      <c r="H2102" s="15">
        <v>8.4599999999999995E-2</v>
      </c>
      <c r="I2102" s="15">
        <v>0.46854774831854579</v>
      </c>
    </row>
    <row r="2103" spans="1:9" x14ac:dyDescent="0.2">
      <c r="A2103" s="2" t="s">
        <v>6305</v>
      </c>
      <c r="B2103" s="2" t="s">
        <v>6306</v>
      </c>
      <c r="C2103" s="2" t="s">
        <v>6307</v>
      </c>
      <c r="D2103" s="2" t="s">
        <v>10052</v>
      </c>
      <c r="E2103" s="15">
        <v>1.41E-2</v>
      </c>
      <c r="F2103" s="15">
        <v>7.3099999999999998E-2</v>
      </c>
      <c r="G2103" s="15">
        <v>-4.0300000000000002E-2</v>
      </c>
      <c r="H2103" s="15">
        <v>0.1037</v>
      </c>
      <c r="I2103" s="15">
        <v>0.31596435599859812</v>
      </c>
    </row>
    <row r="2104" spans="1:9" x14ac:dyDescent="0.2">
      <c r="A2104" s="2" t="s">
        <v>6308</v>
      </c>
      <c r="B2104" s="2" t="s">
        <v>6309</v>
      </c>
      <c r="C2104" s="2" t="s">
        <v>6310</v>
      </c>
      <c r="D2104" s="2" t="s">
        <v>10052</v>
      </c>
      <c r="E2104" s="15">
        <v>8.5599999999999996E-2</v>
      </c>
      <c r="F2104" s="15">
        <v>9.1800000000000007E-2</v>
      </c>
      <c r="G2104" s="15">
        <v>-0.1231</v>
      </c>
      <c r="H2104" s="15">
        <v>8.1600000000000006E-2</v>
      </c>
      <c r="I2104" s="15">
        <v>1.5648314141947079E-2</v>
      </c>
    </row>
    <row r="2105" spans="1:9" x14ac:dyDescent="0.2">
      <c r="A2105" s="2" t="s">
        <v>6311</v>
      </c>
      <c r="B2105" s="2" t="s">
        <v>6312</v>
      </c>
      <c r="C2105" s="2" t="s">
        <v>6313</v>
      </c>
      <c r="D2105" s="2" t="s">
        <v>10052</v>
      </c>
      <c r="E2105" s="15">
        <v>-1.5E-3</v>
      </c>
      <c r="F2105" s="15">
        <v>9.5100000000000004E-2</v>
      </c>
      <c r="G2105" s="15">
        <v>-0.13159999999999999</v>
      </c>
      <c r="H2105" s="15">
        <v>8.4199999999999997E-2</v>
      </c>
      <c r="I2105" s="15">
        <v>9.3964889510051219E-2</v>
      </c>
    </row>
    <row r="2106" spans="1:9" x14ac:dyDescent="0.2">
      <c r="A2106" s="2" t="s">
        <v>6314</v>
      </c>
      <c r="B2106" s="2" t="s">
        <v>6315</v>
      </c>
      <c r="C2106" s="2" t="s">
        <v>6316</v>
      </c>
      <c r="D2106" s="2" t="s">
        <v>10052</v>
      </c>
      <c r="E2106" s="15">
        <v>-8.9899999999999994E-2</v>
      </c>
      <c r="F2106" s="15">
        <v>8.3699999999999997E-2</v>
      </c>
      <c r="G2106" s="15">
        <v>-3.0599999999999999E-2</v>
      </c>
      <c r="H2106" s="15">
        <v>8.14E-2</v>
      </c>
      <c r="I2106" s="15">
        <v>0.26177143798631752</v>
      </c>
    </row>
    <row r="2107" spans="1:9" x14ac:dyDescent="0.2">
      <c r="A2107" s="2" t="s">
        <v>6317</v>
      </c>
      <c r="B2107" s="2" t="s">
        <v>6318</v>
      </c>
      <c r="C2107" s="2" t="s">
        <v>6319</v>
      </c>
      <c r="D2107" s="2" t="s">
        <v>10052</v>
      </c>
      <c r="E2107" s="15">
        <v>-9.4200000000000006E-2</v>
      </c>
      <c r="F2107" s="15">
        <v>7.5200000000000003E-2</v>
      </c>
      <c r="G2107" s="15">
        <v>3.2899999999999999E-2</v>
      </c>
      <c r="H2107" s="15">
        <v>8.77E-2</v>
      </c>
      <c r="I2107" s="15">
        <v>9.8833415617881754E-2</v>
      </c>
    </row>
    <row r="2108" spans="1:9" x14ac:dyDescent="0.2">
      <c r="A2108" s="2" t="s">
        <v>6320</v>
      </c>
      <c r="B2108" s="2" t="s">
        <v>6321</v>
      </c>
      <c r="C2108" s="2" t="s">
        <v>6322</v>
      </c>
      <c r="D2108" s="2" t="s">
        <v>10052</v>
      </c>
      <c r="E2108" s="15">
        <v>3.8899999999999997E-2</v>
      </c>
      <c r="F2108" s="15">
        <v>0.1116</v>
      </c>
      <c r="G2108" s="15">
        <v>-0.1404</v>
      </c>
      <c r="H2108" s="15">
        <v>0.1399</v>
      </c>
      <c r="I2108" s="15">
        <v>0.12452106521752911</v>
      </c>
    </row>
    <row r="2109" spans="1:9" x14ac:dyDescent="0.2">
      <c r="A2109" s="2" t="s">
        <v>6323</v>
      </c>
      <c r="B2109" s="2" t="s">
        <v>6324</v>
      </c>
      <c r="C2109" s="2" t="s">
        <v>6325</v>
      </c>
      <c r="D2109" s="2" t="s">
        <v>10052</v>
      </c>
      <c r="E2109" s="15">
        <v>7.5700000000000003E-2</v>
      </c>
      <c r="F2109" s="15">
        <v>9.4E-2</v>
      </c>
      <c r="G2109" s="15">
        <v>-0.15570000000000001</v>
      </c>
      <c r="H2109" s="15">
        <v>0.17299999999999999</v>
      </c>
      <c r="I2109" s="15">
        <v>0.1017787286108974</v>
      </c>
    </row>
    <row r="2110" spans="1:9" x14ac:dyDescent="0.2">
      <c r="A2110" s="2" t="s">
        <v>6326</v>
      </c>
      <c r="B2110" s="2" t="s">
        <v>6327</v>
      </c>
      <c r="C2110" s="2" t="s">
        <v>6328</v>
      </c>
      <c r="D2110" s="2" t="s">
        <v>10052</v>
      </c>
      <c r="E2110" s="15">
        <v>3.4700000000000002E-2</v>
      </c>
      <c r="F2110" s="15">
        <v>9.7699999999999995E-2</v>
      </c>
      <c r="G2110" s="15">
        <v>-2.5999999999999999E-3</v>
      </c>
      <c r="H2110" s="15">
        <v>9.11E-2</v>
      </c>
      <c r="I2110" s="15">
        <v>0.36304052486906813</v>
      </c>
    </row>
    <row r="2111" spans="1:9" x14ac:dyDescent="0.2">
      <c r="A2111" s="2" t="s">
        <v>6329</v>
      </c>
      <c r="B2111" s="2" t="s">
        <v>6330</v>
      </c>
      <c r="C2111" s="2" t="s">
        <v>6331</v>
      </c>
      <c r="D2111" s="2" t="s">
        <v>10052</v>
      </c>
      <c r="E2111" s="15">
        <v>-2.6800000000000001E-2</v>
      </c>
      <c r="F2111" s="15">
        <v>8.1199999999999994E-2</v>
      </c>
      <c r="G2111" s="15">
        <v>-5.45E-2</v>
      </c>
      <c r="H2111" s="15">
        <v>9.7699999999999995E-2</v>
      </c>
      <c r="I2111" s="15">
        <v>0.40255545095720741</v>
      </c>
    </row>
    <row r="2112" spans="1:9" x14ac:dyDescent="0.2">
      <c r="A2112" s="2" t="s">
        <v>6332</v>
      </c>
      <c r="B2112" s="2" t="s">
        <v>6333</v>
      </c>
      <c r="C2112" s="2" t="s">
        <v>6334</v>
      </c>
      <c r="D2112" s="2" t="s">
        <v>10052</v>
      </c>
      <c r="E2112" s="15">
        <v>-1.3754000000000001E-5</v>
      </c>
      <c r="F2112" s="15">
        <v>7.7299999999999994E-2</v>
      </c>
      <c r="G2112" s="15">
        <v>5.3900000000000003E-2</v>
      </c>
      <c r="H2112" s="15">
        <v>9.2100000000000001E-2</v>
      </c>
      <c r="I2112" s="15">
        <v>0.29669819110794282</v>
      </c>
    </row>
    <row r="2113" spans="1:9" x14ac:dyDescent="0.2">
      <c r="A2113" s="2" t="s">
        <v>6335</v>
      </c>
      <c r="B2113" s="2" t="s">
        <v>6336</v>
      </c>
      <c r="C2113" s="2" t="s">
        <v>6337</v>
      </c>
      <c r="D2113" s="2" t="s">
        <v>10052</v>
      </c>
      <c r="E2113" s="15">
        <v>-2.47E-2</v>
      </c>
      <c r="F2113" s="15">
        <v>8.5000000000000006E-2</v>
      </c>
      <c r="G2113" s="15">
        <v>-8.5699999999999998E-2</v>
      </c>
      <c r="H2113" s="15">
        <v>0.13189999999999999</v>
      </c>
      <c r="I2113" s="15">
        <v>0.33231730659735398</v>
      </c>
    </row>
    <row r="2114" spans="1:9" x14ac:dyDescent="0.2">
      <c r="A2114" s="2" t="s">
        <v>6338</v>
      </c>
      <c r="B2114" s="2" t="s">
        <v>6339</v>
      </c>
      <c r="C2114" s="2" t="s">
        <v>6340</v>
      </c>
      <c r="D2114" s="2" t="s">
        <v>10052</v>
      </c>
      <c r="E2114" s="15">
        <v>4.1099999999999998E-2</v>
      </c>
      <c r="F2114" s="15">
        <v>8.0699999999999994E-2</v>
      </c>
      <c r="G2114" s="15">
        <v>-8.4000000000000005E-2</v>
      </c>
      <c r="H2114" s="15">
        <v>8.6699999999999999E-2</v>
      </c>
      <c r="I2114" s="15">
        <v>0.1005791111318213</v>
      </c>
    </row>
    <row r="2115" spans="1:9" x14ac:dyDescent="0.2">
      <c r="A2115" s="2" t="s">
        <v>6341</v>
      </c>
      <c r="B2115" s="2" t="s">
        <v>6342</v>
      </c>
      <c r="C2115" s="2" t="s">
        <v>6343</v>
      </c>
      <c r="D2115" s="2" t="s">
        <v>10052</v>
      </c>
      <c r="E2115" s="15">
        <v>-2.35E-2</v>
      </c>
      <c r="F2115" s="15">
        <v>8.2699999999999996E-2</v>
      </c>
      <c r="G2115" s="15">
        <v>-0.1671</v>
      </c>
      <c r="H2115" s="15">
        <v>7.6600000000000001E-2</v>
      </c>
      <c r="I2115" s="15">
        <v>5.3104940180835218E-2</v>
      </c>
    </row>
    <row r="2116" spans="1:9" x14ac:dyDescent="0.2">
      <c r="A2116" s="2" t="s">
        <v>6344</v>
      </c>
      <c r="B2116" s="2" t="s">
        <v>6345</v>
      </c>
      <c r="C2116" s="2" t="s">
        <v>6346</v>
      </c>
      <c r="D2116" s="2" t="s">
        <v>10052</v>
      </c>
      <c r="E2116" s="15">
        <v>2.2000000000000001E-3</v>
      </c>
      <c r="F2116" s="15">
        <v>7.0999999999999994E-2</v>
      </c>
      <c r="G2116" s="15">
        <v>-9.7900000000000001E-2</v>
      </c>
      <c r="H2116" s="15">
        <v>9.3799999999999994E-2</v>
      </c>
      <c r="I2116" s="15">
        <v>0.16738205897485561</v>
      </c>
    </row>
    <row r="2117" spans="1:9" x14ac:dyDescent="0.2">
      <c r="A2117" s="2" t="s">
        <v>6347</v>
      </c>
      <c r="B2117" s="2" t="s">
        <v>6348</v>
      </c>
      <c r="C2117" s="2" t="s">
        <v>6349</v>
      </c>
      <c r="D2117" s="2" t="s">
        <v>10052</v>
      </c>
      <c r="E2117" s="15">
        <v>-1.6400000000000001E-2</v>
      </c>
      <c r="F2117" s="15">
        <v>6.9400000000000003E-2</v>
      </c>
      <c r="G2117" s="15">
        <v>-9.4600000000000004E-2</v>
      </c>
      <c r="H2117" s="15">
        <v>7.4300000000000005E-2</v>
      </c>
      <c r="I2117" s="15">
        <v>0.18004898953590931</v>
      </c>
    </row>
    <row r="2118" spans="1:9" x14ac:dyDescent="0.2">
      <c r="A2118" s="2" t="s">
        <v>6350</v>
      </c>
      <c r="B2118" s="2" t="s">
        <v>6351</v>
      </c>
      <c r="C2118" s="2" t="s">
        <v>6352</v>
      </c>
      <c r="D2118" s="2" t="s">
        <v>10052</v>
      </c>
      <c r="E2118" s="15">
        <v>1.1299999999999999E-2</v>
      </c>
      <c r="F2118" s="15">
        <v>9.8400000000000001E-2</v>
      </c>
      <c r="G2118" s="15">
        <v>-2.4199999999999999E-2</v>
      </c>
      <c r="H2118" s="15">
        <v>9.8000000000000004E-2</v>
      </c>
      <c r="I2118" s="15">
        <v>0.37583217684883891</v>
      </c>
    </row>
    <row r="2119" spans="1:9" x14ac:dyDescent="0.2">
      <c r="A2119" s="2" t="s">
        <v>6353</v>
      </c>
      <c r="B2119" s="2" t="s">
        <v>6354</v>
      </c>
      <c r="C2119" s="2" t="s">
        <v>6355</v>
      </c>
      <c r="D2119" s="2" t="s">
        <v>10052</v>
      </c>
      <c r="E2119" s="15">
        <v>-0.18090000000000001</v>
      </c>
      <c r="F2119" s="15">
        <v>0.1547</v>
      </c>
    </row>
    <row r="2120" spans="1:9" x14ac:dyDescent="0.2">
      <c r="A2120" s="2" t="s">
        <v>6356</v>
      </c>
      <c r="B2120" s="2" t="s">
        <v>6357</v>
      </c>
      <c r="C2120" s="2" t="s">
        <v>6358</v>
      </c>
      <c r="D2120" s="2" t="s">
        <v>10052</v>
      </c>
      <c r="E2120" s="15">
        <v>2.46E-2</v>
      </c>
      <c r="F2120" s="15">
        <v>0.13370000000000001</v>
      </c>
      <c r="G2120" s="15">
        <v>0.16800000000000001</v>
      </c>
      <c r="H2120" s="15">
        <v>0.1673</v>
      </c>
      <c r="I2120" s="15">
        <v>0.21037263276486179</v>
      </c>
    </row>
    <row r="2121" spans="1:9" x14ac:dyDescent="0.2">
      <c r="A2121" s="2" t="s">
        <v>6359</v>
      </c>
      <c r="B2121" s="2" t="s">
        <v>6360</v>
      </c>
      <c r="C2121" s="2" t="s">
        <v>6361</v>
      </c>
      <c r="D2121" s="2" t="s">
        <v>10052</v>
      </c>
      <c r="E2121" s="15">
        <v>0.08</v>
      </c>
      <c r="F2121" s="15">
        <v>9.9299999999999999E-2</v>
      </c>
      <c r="G2121" s="15">
        <v>0.1615</v>
      </c>
      <c r="H2121" s="15">
        <v>0.1032</v>
      </c>
      <c r="I2121" s="15">
        <v>0.24504750464221231</v>
      </c>
    </row>
    <row r="2122" spans="1:9" x14ac:dyDescent="0.2">
      <c r="A2122" s="2" t="s">
        <v>6362</v>
      </c>
      <c r="B2122" s="2" t="s">
        <v>6363</v>
      </c>
      <c r="C2122" s="2" t="s">
        <v>6364</v>
      </c>
      <c r="D2122" s="2" t="s">
        <v>10052</v>
      </c>
      <c r="E2122" s="15">
        <v>-2.0000000000000001E-4</v>
      </c>
      <c r="F2122" s="15">
        <v>9.3700000000000006E-2</v>
      </c>
      <c r="G2122" s="15">
        <v>-5.7299999999999997E-2</v>
      </c>
      <c r="H2122" s="15">
        <v>8.6499999999999994E-2</v>
      </c>
      <c r="I2122" s="15">
        <v>0.28974582544839039</v>
      </c>
    </row>
    <row r="2123" spans="1:9" x14ac:dyDescent="0.2">
      <c r="A2123" s="2" t="s">
        <v>6365</v>
      </c>
      <c r="B2123" s="2" t="s">
        <v>6366</v>
      </c>
      <c r="C2123" s="2" t="s">
        <v>6367</v>
      </c>
      <c r="D2123" s="2" t="s">
        <v>10052</v>
      </c>
      <c r="E2123" s="15">
        <v>-2.8500000000000001E-2</v>
      </c>
      <c r="F2123" s="15">
        <v>6.08E-2</v>
      </c>
      <c r="G2123" s="15">
        <v>-4.1000000000000002E-2</v>
      </c>
      <c r="H2123" s="15">
        <v>7.9799999999999996E-2</v>
      </c>
      <c r="I2123" s="15">
        <v>0.44423327870389467</v>
      </c>
    </row>
    <row r="2124" spans="1:9" x14ac:dyDescent="0.2">
      <c r="A2124" s="2" t="s">
        <v>6368</v>
      </c>
      <c r="B2124" s="2" t="s">
        <v>6369</v>
      </c>
      <c r="C2124" s="2" t="s">
        <v>6370</v>
      </c>
      <c r="D2124" s="2" t="s">
        <v>10052</v>
      </c>
      <c r="E2124" s="15">
        <v>-6.1100000000000002E-2</v>
      </c>
      <c r="F2124" s="15">
        <v>5.8299999999999998E-2</v>
      </c>
      <c r="G2124" s="15">
        <v>-4.4900000000000002E-2</v>
      </c>
      <c r="H2124" s="15">
        <v>7.85E-2</v>
      </c>
      <c r="I2124" s="15">
        <v>0.42742943774949438</v>
      </c>
    </row>
    <row r="2125" spans="1:9" x14ac:dyDescent="0.2">
      <c r="A2125" s="2" t="s">
        <v>6371</v>
      </c>
      <c r="B2125" s="2" t="s">
        <v>6372</v>
      </c>
      <c r="C2125" s="2" t="s">
        <v>6373</v>
      </c>
      <c r="D2125" s="2" t="s">
        <v>10052</v>
      </c>
      <c r="E2125" s="15">
        <v>-1.6899999999999998E-2</v>
      </c>
      <c r="F2125" s="15">
        <v>7.0599999999999996E-2</v>
      </c>
      <c r="G2125" s="15">
        <v>-1.8700000000000001E-2</v>
      </c>
      <c r="H2125" s="15">
        <v>9.35E-2</v>
      </c>
      <c r="I2125" s="15">
        <v>0.49317979721350907</v>
      </c>
    </row>
    <row r="2126" spans="1:9" x14ac:dyDescent="0.2">
      <c r="A2126" s="2" t="s">
        <v>6374</v>
      </c>
      <c r="B2126" s="2" t="s">
        <v>6375</v>
      </c>
      <c r="C2126" s="2" t="s">
        <v>6376</v>
      </c>
      <c r="D2126" s="2" t="s">
        <v>10052</v>
      </c>
      <c r="E2126" s="15">
        <v>-6.1100000000000002E-2</v>
      </c>
      <c r="F2126" s="15">
        <v>8.3799999999999999E-2</v>
      </c>
      <c r="G2126" s="15">
        <v>1.26E-2</v>
      </c>
      <c r="H2126" s="15">
        <v>6.9599999999999995E-2</v>
      </c>
      <c r="I2126" s="15">
        <v>0.19136499055333731</v>
      </c>
    </row>
    <row r="2127" spans="1:9" x14ac:dyDescent="0.2">
      <c r="A2127" s="2" t="s">
        <v>6377</v>
      </c>
      <c r="B2127" s="2" t="s">
        <v>6378</v>
      </c>
      <c r="C2127" s="2" t="s">
        <v>6379</v>
      </c>
      <c r="D2127" s="2" t="s">
        <v>10052</v>
      </c>
      <c r="E2127" s="15">
        <v>0.1235</v>
      </c>
      <c r="F2127" s="15">
        <v>8.5800000000000001E-2</v>
      </c>
      <c r="G2127" s="15">
        <v>-8.9899999999999994E-2</v>
      </c>
      <c r="H2127" s="15">
        <v>7.3700000000000002E-2</v>
      </c>
      <c r="I2127" s="15">
        <v>6.376217631147805E-3</v>
      </c>
    </row>
    <row r="2128" spans="1:9" x14ac:dyDescent="0.2">
      <c r="A2128" s="2" t="s">
        <v>6380</v>
      </c>
      <c r="B2128" s="2" t="s">
        <v>6381</v>
      </c>
      <c r="C2128" s="2" t="s">
        <v>6382</v>
      </c>
      <c r="D2128" s="2" t="s">
        <v>10052</v>
      </c>
      <c r="E2128" s="15">
        <v>-8.9999999999999998E-4</v>
      </c>
      <c r="F2128" s="15">
        <v>7.2599999999999998E-2</v>
      </c>
      <c r="G2128" s="15">
        <v>-9.7199999999999995E-2</v>
      </c>
      <c r="H2128" s="15">
        <v>7.3800000000000004E-2</v>
      </c>
      <c r="I2128" s="15">
        <v>0.13362964929967561</v>
      </c>
    </row>
    <row r="2129" spans="1:9" x14ac:dyDescent="0.2">
      <c r="A2129" s="2" t="s">
        <v>6383</v>
      </c>
      <c r="B2129" s="2" t="s">
        <v>6384</v>
      </c>
      <c r="C2129" s="2" t="s">
        <v>6385</v>
      </c>
      <c r="D2129" s="2" t="s">
        <v>10053</v>
      </c>
      <c r="E2129" s="15">
        <v>-0.17849999999999999</v>
      </c>
      <c r="F2129" s="15">
        <v>0.13089999999999999</v>
      </c>
      <c r="G2129" s="15">
        <v>-8.3000000000000001E-3</v>
      </c>
      <c r="H2129" s="15">
        <v>0.38350000000000001</v>
      </c>
      <c r="I2129" s="15">
        <v>0.33385871430981828</v>
      </c>
    </row>
    <row r="2130" spans="1:9" x14ac:dyDescent="0.2">
      <c r="A2130" s="2" t="s">
        <v>6386</v>
      </c>
      <c r="B2130" s="2" t="s">
        <v>6387</v>
      </c>
      <c r="C2130" s="2" t="s">
        <v>6388</v>
      </c>
      <c r="D2130" s="2" t="s">
        <v>10053</v>
      </c>
      <c r="E2130" s="15">
        <v>-7.8700000000000006E-2</v>
      </c>
      <c r="F2130" s="15">
        <v>0.10879999999999999</v>
      </c>
      <c r="G2130" s="15">
        <v>-0.10299999999999999</v>
      </c>
      <c r="H2130" s="15">
        <v>0.12709999999999999</v>
      </c>
      <c r="I2130" s="15">
        <v>0.43839219566755511</v>
      </c>
    </row>
    <row r="2131" spans="1:9" x14ac:dyDescent="0.2">
      <c r="A2131" s="2" t="s">
        <v>6389</v>
      </c>
      <c r="B2131" s="2" t="s">
        <v>6390</v>
      </c>
      <c r="C2131" s="2" t="s">
        <v>6391</v>
      </c>
      <c r="D2131" s="2" t="s">
        <v>10053</v>
      </c>
      <c r="E2131" s="15">
        <v>-0.1676</v>
      </c>
      <c r="F2131" s="15">
        <v>0.2301</v>
      </c>
      <c r="G2131" s="15">
        <v>4.58E-2</v>
      </c>
      <c r="H2131" s="15">
        <v>0.1928</v>
      </c>
      <c r="I2131" s="15">
        <v>0.16209869264718901</v>
      </c>
    </row>
    <row r="2132" spans="1:9" x14ac:dyDescent="0.2">
      <c r="A2132" s="2" t="s">
        <v>6392</v>
      </c>
      <c r="B2132" s="2" t="s">
        <v>6393</v>
      </c>
      <c r="C2132" s="2" t="s">
        <v>6394</v>
      </c>
      <c r="D2132" s="2" t="s">
        <v>10053</v>
      </c>
      <c r="E2132" s="15">
        <v>-5.7299999999999997E-2</v>
      </c>
      <c r="F2132" s="15">
        <v>0.22850000000000001</v>
      </c>
      <c r="G2132" s="15">
        <v>-1.54E-2</v>
      </c>
      <c r="H2132" s="15">
        <v>0.1605</v>
      </c>
      <c r="I2132" s="15">
        <v>0.41285535031686688</v>
      </c>
    </row>
    <row r="2133" spans="1:9" x14ac:dyDescent="0.2">
      <c r="A2133" s="2" t="s">
        <v>6395</v>
      </c>
      <c r="B2133" s="2" t="s">
        <v>6396</v>
      </c>
      <c r="C2133" s="2" t="s">
        <v>6397</v>
      </c>
      <c r="D2133" s="2" t="s">
        <v>10053</v>
      </c>
      <c r="E2133" s="15">
        <v>-0.1144</v>
      </c>
      <c r="F2133" s="15">
        <v>0.12959999999999999</v>
      </c>
    </row>
    <row r="2134" spans="1:9" x14ac:dyDescent="0.2">
      <c r="A2134" s="2" t="s">
        <v>6398</v>
      </c>
      <c r="B2134" s="2" t="s">
        <v>6399</v>
      </c>
      <c r="C2134" s="2" t="s">
        <v>6400</v>
      </c>
      <c r="D2134" s="2" t="s">
        <v>10053</v>
      </c>
      <c r="E2134" s="15">
        <v>-5.3800000000000001E-2</v>
      </c>
      <c r="F2134" s="15">
        <v>0.12280000000000001</v>
      </c>
      <c r="G2134" s="15">
        <v>-0.1032</v>
      </c>
      <c r="H2134" s="15">
        <v>0.12770000000000001</v>
      </c>
      <c r="I2134" s="15">
        <v>0.38280677216000952</v>
      </c>
    </row>
    <row r="2135" spans="1:9" x14ac:dyDescent="0.2">
      <c r="A2135" s="2" t="s">
        <v>6401</v>
      </c>
      <c r="B2135" s="2" t="s">
        <v>6402</v>
      </c>
      <c r="C2135" s="2" t="s">
        <v>6403</v>
      </c>
      <c r="D2135" s="2" t="s">
        <v>10053</v>
      </c>
      <c r="E2135" s="15">
        <v>-8.8099999999999998E-2</v>
      </c>
      <c r="F2135" s="15">
        <v>0.2041</v>
      </c>
      <c r="G2135" s="15">
        <v>2.9600000000000001E-2</v>
      </c>
      <c r="H2135" s="15">
        <v>0.20960000000000001</v>
      </c>
      <c r="I2135" s="15">
        <v>0.31343940118281421</v>
      </c>
    </row>
    <row r="2136" spans="1:9" x14ac:dyDescent="0.2">
      <c r="A2136" s="2" t="s">
        <v>6404</v>
      </c>
      <c r="B2136" s="2" t="s">
        <v>6405</v>
      </c>
      <c r="C2136" s="2" t="s">
        <v>6406</v>
      </c>
      <c r="D2136" s="2" t="s">
        <v>10053</v>
      </c>
      <c r="G2136" s="15">
        <v>-7.6E-3</v>
      </c>
      <c r="H2136" s="15">
        <v>0.13739999999999999</v>
      </c>
    </row>
    <row r="2137" spans="1:9" x14ac:dyDescent="0.2">
      <c r="A2137" s="2" t="s">
        <v>6407</v>
      </c>
      <c r="B2137" s="2" t="s">
        <v>6408</v>
      </c>
      <c r="C2137" s="2" t="s">
        <v>6409</v>
      </c>
      <c r="D2137" s="2" t="s">
        <v>10053</v>
      </c>
      <c r="E2137" s="15">
        <v>2.8899999999999999E-2</v>
      </c>
      <c r="F2137" s="15">
        <v>0.1105</v>
      </c>
      <c r="G2137" s="15">
        <v>-4.7000000000000002E-3</v>
      </c>
      <c r="H2137" s="15">
        <v>9.9000000000000005E-2</v>
      </c>
      <c r="I2137" s="15">
        <v>0.39165515867178208</v>
      </c>
    </row>
    <row r="2138" spans="1:9" x14ac:dyDescent="0.2">
      <c r="A2138" s="2" t="s">
        <v>6410</v>
      </c>
      <c r="B2138" s="2" t="s">
        <v>6411</v>
      </c>
      <c r="C2138" s="2" t="s">
        <v>6412</v>
      </c>
      <c r="D2138" s="2" t="s">
        <v>10053</v>
      </c>
      <c r="E2138" s="15">
        <v>3.9800000000000002E-2</v>
      </c>
      <c r="F2138" s="15">
        <v>9.1899999999999996E-2</v>
      </c>
      <c r="G2138" s="15">
        <v>-5.3E-3</v>
      </c>
      <c r="H2138" s="15">
        <v>0.1177</v>
      </c>
      <c r="I2138" s="15">
        <v>0.36851520477875072</v>
      </c>
    </row>
    <row r="2139" spans="1:9" x14ac:dyDescent="0.2">
      <c r="A2139" s="2" t="s">
        <v>6413</v>
      </c>
      <c r="B2139" s="2" t="s">
        <v>6414</v>
      </c>
      <c r="C2139" s="2" t="s">
        <v>6415</v>
      </c>
      <c r="D2139" s="2" t="s">
        <v>10053</v>
      </c>
      <c r="E2139" s="15">
        <v>8.6499999999999994E-2</v>
      </c>
      <c r="F2139" s="15">
        <v>0.1182</v>
      </c>
      <c r="G2139" s="15">
        <v>6.3200000000000006E-2</v>
      </c>
      <c r="H2139" s="15">
        <v>0.1045</v>
      </c>
      <c r="I2139" s="15">
        <v>0.43235219048844997</v>
      </c>
    </row>
    <row r="2140" spans="1:9" x14ac:dyDescent="0.2">
      <c r="A2140" s="2" t="s">
        <v>6416</v>
      </c>
      <c r="B2140" s="2" t="s">
        <v>6417</v>
      </c>
      <c r="C2140" s="2" t="s">
        <v>6418</v>
      </c>
      <c r="D2140" s="2" t="s">
        <v>10053</v>
      </c>
      <c r="E2140" s="15">
        <v>0.17849999999999999</v>
      </c>
      <c r="F2140" s="15">
        <v>0.1575</v>
      </c>
      <c r="G2140" s="15">
        <v>9.4600000000000004E-2</v>
      </c>
      <c r="H2140" s="15">
        <v>0.12989999999999999</v>
      </c>
      <c r="I2140" s="15">
        <v>0.29707939172421333</v>
      </c>
    </row>
    <row r="2141" spans="1:9" x14ac:dyDescent="0.2">
      <c r="A2141" s="2" t="s">
        <v>6419</v>
      </c>
      <c r="B2141" s="2" t="s">
        <v>6420</v>
      </c>
      <c r="C2141" s="2" t="s">
        <v>6421</v>
      </c>
      <c r="D2141" s="2" t="s">
        <v>10053</v>
      </c>
      <c r="E2141" s="15">
        <v>0.1321</v>
      </c>
      <c r="F2141" s="15">
        <v>9.8100000000000007E-2</v>
      </c>
      <c r="G2141" s="15">
        <v>-1.3899999999999999E-2</v>
      </c>
      <c r="H2141" s="15">
        <v>0.1273</v>
      </c>
      <c r="I2141" s="15">
        <v>0.17008871665661571</v>
      </c>
    </row>
    <row r="2142" spans="1:9" x14ac:dyDescent="0.2">
      <c r="A2142" s="2" t="s">
        <v>6422</v>
      </c>
      <c r="B2142" s="2" t="s">
        <v>6423</v>
      </c>
      <c r="C2142" s="2" t="s">
        <v>6424</v>
      </c>
      <c r="D2142" s="2" t="s">
        <v>10053</v>
      </c>
      <c r="E2142" s="15">
        <v>8.2000000000000003E-2</v>
      </c>
      <c r="F2142" s="15">
        <v>0.13109999999999999</v>
      </c>
      <c r="G2142" s="15">
        <v>-5.1499999999999997E-2</v>
      </c>
      <c r="H2142" s="15">
        <v>0.1144</v>
      </c>
      <c r="I2142" s="15">
        <v>0.18260061011374801</v>
      </c>
    </row>
    <row r="2143" spans="1:9" x14ac:dyDescent="0.2">
      <c r="A2143" s="2" t="s">
        <v>6425</v>
      </c>
      <c r="B2143" s="2" t="s">
        <v>6426</v>
      </c>
      <c r="C2143" s="2" t="s">
        <v>6427</v>
      </c>
      <c r="D2143" s="2" t="s">
        <v>10053</v>
      </c>
      <c r="E2143" s="15">
        <v>0.1706</v>
      </c>
      <c r="F2143" s="15">
        <v>0.10150000000000001</v>
      </c>
      <c r="G2143" s="15">
        <v>5.3600000000000002E-2</v>
      </c>
      <c r="H2143" s="15">
        <v>0.1089</v>
      </c>
      <c r="I2143" s="15">
        <v>0.19234985735149621</v>
      </c>
    </row>
    <row r="2144" spans="1:9" x14ac:dyDescent="0.2">
      <c r="A2144" s="2" t="s">
        <v>6428</v>
      </c>
      <c r="B2144" s="2" t="s">
        <v>6429</v>
      </c>
      <c r="C2144" s="2" t="s">
        <v>6430</v>
      </c>
      <c r="D2144" s="2" t="s">
        <v>10053</v>
      </c>
      <c r="E2144" s="15">
        <v>0.1968</v>
      </c>
      <c r="F2144" s="15">
        <v>0.18290000000000001</v>
      </c>
      <c r="G2144" s="15">
        <v>2.6499999999999999E-2</v>
      </c>
      <c r="H2144" s="15">
        <v>9.98E-2</v>
      </c>
      <c r="I2144" s="15">
        <v>0.1009611349822943</v>
      </c>
    </row>
    <row r="2145" spans="1:9" x14ac:dyDescent="0.2">
      <c r="A2145" s="2" t="s">
        <v>6431</v>
      </c>
      <c r="B2145" s="2" t="s">
        <v>6432</v>
      </c>
      <c r="C2145" s="2" t="s">
        <v>6433</v>
      </c>
      <c r="D2145" s="2" t="s">
        <v>10054</v>
      </c>
      <c r="E2145" s="15">
        <v>6.3E-2</v>
      </c>
      <c r="F2145" s="15">
        <v>8.5699999999999998E-2</v>
      </c>
      <c r="G2145" s="15">
        <v>-3.9300000000000002E-2</v>
      </c>
      <c r="H2145" s="15">
        <v>8.6400000000000005E-2</v>
      </c>
      <c r="I2145" s="15">
        <v>0.1543171418042506</v>
      </c>
    </row>
    <row r="2146" spans="1:9" x14ac:dyDescent="0.2">
      <c r="A2146" s="2" t="s">
        <v>6434</v>
      </c>
      <c r="B2146" s="2" t="s">
        <v>6432</v>
      </c>
      <c r="C2146" s="2" t="s">
        <v>6435</v>
      </c>
      <c r="D2146" s="2" t="s">
        <v>10054</v>
      </c>
      <c r="E2146" s="15">
        <v>-0.27929999999999999</v>
      </c>
      <c r="F2146" s="15">
        <v>0.18890000000000001</v>
      </c>
      <c r="G2146" s="15">
        <v>-8.9499999999999996E-2</v>
      </c>
      <c r="H2146" s="15">
        <v>9.5899999999999999E-2</v>
      </c>
      <c r="I2146" s="15">
        <v>5.8754700455950028E-2</v>
      </c>
    </row>
    <row r="2147" spans="1:9" x14ac:dyDescent="0.2">
      <c r="A2147" s="2" t="s">
        <v>6436</v>
      </c>
      <c r="B2147" s="2" t="s">
        <v>6432</v>
      </c>
      <c r="C2147" s="2" t="s">
        <v>6437</v>
      </c>
      <c r="D2147" s="2" t="s">
        <v>10054</v>
      </c>
      <c r="E2147" s="15">
        <v>0.1203</v>
      </c>
      <c r="F2147" s="15">
        <v>0.1038</v>
      </c>
      <c r="G2147" s="15">
        <v>-3.8699999999999998E-2</v>
      </c>
      <c r="H2147" s="15">
        <v>9.6100000000000005E-2</v>
      </c>
      <c r="I2147" s="15">
        <v>7.8884847011602199E-2</v>
      </c>
    </row>
    <row r="2148" spans="1:9" x14ac:dyDescent="0.2">
      <c r="A2148" s="2" t="s">
        <v>6438</v>
      </c>
      <c r="B2148" s="2" t="s">
        <v>6432</v>
      </c>
      <c r="C2148" s="2" t="s">
        <v>6439</v>
      </c>
      <c r="D2148" s="2" t="s">
        <v>10054</v>
      </c>
      <c r="E2148" s="15">
        <v>-0.33589999999999998</v>
      </c>
      <c r="F2148" s="15">
        <v>0.35010000000000002</v>
      </c>
      <c r="G2148" s="15">
        <v>0.24660000000000001</v>
      </c>
      <c r="H2148" s="15">
        <v>1.1086</v>
      </c>
      <c r="I2148" s="15">
        <v>0.30018166112204892</v>
      </c>
    </row>
    <row r="2149" spans="1:9" x14ac:dyDescent="0.2">
      <c r="A2149" s="2" t="s">
        <v>6440</v>
      </c>
      <c r="B2149" s="2" t="s">
        <v>6432</v>
      </c>
      <c r="C2149" s="2" t="s">
        <v>6441</v>
      </c>
      <c r="D2149" s="2" t="s">
        <v>10054</v>
      </c>
      <c r="E2149" s="15">
        <v>0.1154</v>
      </c>
      <c r="F2149" s="15">
        <v>0.1016</v>
      </c>
      <c r="G2149" s="15">
        <v>6.1600000000000002E-2</v>
      </c>
      <c r="H2149" s="15">
        <v>8.7099999999999997E-2</v>
      </c>
      <c r="I2149" s="15">
        <v>0.29626990358918948</v>
      </c>
    </row>
    <row r="2150" spans="1:9" x14ac:dyDescent="0.2">
      <c r="A2150" s="2" t="s">
        <v>6442</v>
      </c>
      <c r="B2150" s="2" t="s">
        <v>6432</v>
      </c>
      <c r="C2150" s="2" t="s">
        <v>6443</v>
      </c>
      <c r="D2150" s="2" t="s">
        <v>10054</v>
      </c>
      <c r="E2150" s="15">
        <v>6.0900000000000003E-2</v>
      </c>
      <c r="F2150" s="15">
        <v>0.1062</v>
      </c>
      <c r="G2150" s="15">
        <v>0.10639999999999999</v>
      </c>
      <c r="H2150" s="15">
        <v>7.4899999999999994E-2</v>
      </c>
      <c r="I2150" s="15">
        <v>0.30418836679975358</v>
      </c>
    </row>
    <row r="2151" spans="1:9" x14ac:dyDescent="0.2">
      <c r="A2151" s="2" t="s">
        <v>6444</v>
      </c>
      <c r="B2151" s="2" t="s">
        <v>6432</v>
      </c>
      <c r="C2151" s="2" t="s">
        <v>6445</v>
      </c>
      <c r="D2151" s="2" t="s">
        <v>10054</v>
      </c>
      <c r="E2151" s="15">
        <v>0.12770000000000001</v>
      </c>
      <c r="F2151" s="15">
        <v>0.12509999999999999</v>
      </c>
      <c r="G2151" s="15">
        <v>-0.14580000000000001</v>
      </c>
      <c r="H2151" s="15">
        <v>0.1668</v>
      </c>
      <c r="I2151" s="15">
        <v>6.5604834895856876E-2</v>
      </c>
    </row>
    <row r="2152" spans="1:9" x14ac:dyDescent="0.2">
      <c r="A2152" s="2" t="s">
        <v>6446</v>
      </c>
      <c r="B2152" s="2" t="s">
        <v>6432</v>
      </c>
      <c r="C2152" s="2" t="s">
        <v>6447</v>
      </c>
      <c r="D2152" s="2" t="s">
        <v>10054</v>
      </c>
      <c r="E2152" s="15">
        <v>-3.6799999999999999E-2</v>
      </c>
      <c r="F2152" s="15">
        <v>0.13070000000000001</v>
      </c>
    </row>
    <row r="2153" spans="1:9" x14ac:dyDescent="0.2">
      <c r="A2153" s="2" t="s">
        <v>6448</v>
      </c>
      <c r="B2153" s="2" t="s">
        <v>6432</v>
      </c>
      <c r="C2153" s="2" t="s">
        <v>6449</v>
      </c>
      <c r="D2153" s="2" t="s">
        <v>10054</v>
      </c>
      <c r="E2153" s="15">
        <v>-0.1024</v>
      </c>
      <c r="F2153" s="15">
        <v>9.4500000000000001E-2</v>
      </c>
      <c r="G2153" s="15">
        <v>8.5900000000000004E-2</v>
      </c>
      <c r="H2153" s="15">
        <v>9.1999999999999998E-2</v>
      </c>
      <c r="I2153" s="15">
        <v>4.2224021860339918E-2</v>
      </c>
    </row>
    <row r="2154" spans="1:9" x14ac:dyDescent="0.2">
      <c r="A2154" s="2" t="s">
        <v>6450</v>
      </c>
      <c r="B2154" s="2" t="s">
        <v>6432</v>
      </c>
      <c r="C2154" s="2" t="s">
        <v>6451</v>
      </c>
      <c r="D2154" s="2" t="s">
        <v>10054</v>
      </c>
      <c r="E2154" s="15">
        <v>-0.16120000000000001</v>
      </c>
      <c r="F2154" s="15">
        <v>9.6000000000000002E-2</v>
      </c>
      <c r="G2154" s="15">
        <v>4.3900000000000002E-2</v>
      </c>
      <c r="H2154" s="15">
        <v>0.1263</v>
      </c>
      <c r="I2154" s="15">
        <v>7.550589244884337E-2</v>
      </c>
    </row>
    <row r="2155" spans="1:9" x14ac:dyDescent="0.2">
      <c r="A2155" s="2" t="s">
        <v>6452</v>
      </c>
      <c r="B2155" s="2" t="s">
        <v>6432</v>
      </c>
      <c r="C2155" s="2" t="s">
        <v>6453</v>
      </c>
      <c r="D2155" s="2" t="s">
        <v>10054</v>
      </c>
      <c r="E2155" s="15">
        <v>-0.1152</v>
      </c>
      <c r="F2155" s="15">
        <v>0.1065</v>
      </c>
      <c r="G2155" s="15">
        <v>3.3599999999999998E-2</v>
      </c>
      <c r="H2155" s="15">
        <v>0.1404</v>
      </c>
      <c r="I2155" s="15">
        <v>0.17394934937321779</v>
      </c>
    </row>
    <row r="2156" spans="1:9" x14ac:dyDescent="0.2">
      <c r="A2156" s="2" t="s">
        <v>6454</v>
      </c>
      <c r="B2156" s="2" t="s">
        <v>6432</v>
      </c>
      <c r="C2156" s="2" t="s">
        <v>6455</v>
      </c>
      <c r="D2156" s="2" t="s">
        <v>10054</v>
      </c>
      <c r="E2156" s="15">
        <v>1.15E-2</v>
      </c>
      <c r="F2156" s="15">
        <v>8.9700000000000002E-2</v>
      </c>
      <c r="G2156" s="15">
        <v>2.1399999999999999E-2</v>
      </c>
      <c r="H2156" s="15">
        <v>0.152</v>
      </c>
      <c r="I2156" s="15">
        <v>0.4767299150163346</v>
      </c>
    </row>
    <row r="2157" spans="1:9" x14ac:dyDescent="0.2">
      <c r="A2157" s="2" t="s">
        <v>6456</v>
      </c>
      <c r="B2157" s="2" t="s">
        <v>6432</v>
      </c>
      <c r="C2157" s="2" t="s">
        <v>6457</v>
      </c>
      <c r="D2157" s="2" t="s">
        <v>10054</v>
      </c>
      <c r="E2157" s="15">
        <v>0.13780000000000001</v>
      </c>
      <c r="F2157" s="15">
        <v>0.1076</v>
      </c>
      <c r="G2157" s="15">
        <v>-2.1100000000000001E-2</v>
      </c>
      <c r="H2157" s="15">
        <v>9.3899999999999997E-2</v>
      </c>
      <c r="I2157" s="15">
        <v>6.7458867476969317E-2</v>
      </c>
    </row>
    <row r="2158" spans="1:9" x14ac:dyDescent="0.2">
      <c r="A2158" s="2" t="s">
        <v>6458</v>
      </c>
      <c r="B2158" s="2" t="s">
        <v>6432</v>
      </c>
      <c r="C2158" s="2" t="s">
        <v>6459</v>
      </c>
      <c r="D2158" s="2" t="s">
        <v>10054</v>
      </c>
      <c r="E2158" s="15">
        <v>-0.1003</v>
      </c>
      <c r="F2158" s="15">
        <v>0.1053</v>
      </c>
      <c r="G2158" s="15">
        <v>3.4200000000000001E-2</v>
      </c>
      <c r="H2158" s="15">
        <v>9.2499999999999999E-2</v>
      </c>
      <c r="I2158" s="15">
        <v>0.117083154732899</v>
      </c>
    </row>
    <row r="2159" spans="1:9" x14ac:dyDescent="0.2">
      <c r="A2159" s="2" t="s">
        <v>6460</v>
      </c>
      <c r="B2159" s="2" t="s">
        <v>6432</v>
      </c>
      <c r="C2159" s="2" t="s">
        <v>6461</v>
      </c>
      <c r="D2159" s="2" t="s">
        <v>10054</v>
      </c>
      <c r="E2159" s="15">
        <v>2.9899999999999999E-2</v>
      </c>
      <c r="F2159" s="15">
        <v>9.6199999999999994E-2</v>
      </c>
      <c r="G2159" s="15">
        <v>0.1371</v>
      </c>
      <c r="H2159" s="15">
        <v>0.1022</v>
      </c>
      <c r="I2159" s="15">
        <v>0.17257893585059039</v>
      </c>
    </row>
    <row r="2160" spans="1:9" x14ac:dyDescent="0.2">
      <c r="A2160" s="2" t="s">
        <v>6462</v>
      </c>
      <c r="B2160" s="2" t="s">
        <v>6432</v>
      </c>
      <c r="C2160" s="2" t="s">
        <v>6463</v>
      </c>
      <c r="D2160" s="2" t="s">
        <v>10054</v>
      </c>
      <c r="E2160" s="15">
        <v>9.5999999999999992E-3</v>
      </c>
      <c r="F2160" s="15">
        <v>8.7999999999999995E-2</v>
      </c>
      <c r="G2160" s="15">
        <v>-7.0999999999999994E-2</v>
      </c>
      <c r="H2160" s="15">
        <v>0.1303</v>
      </c>
      <c r="I2160" s="15">
        <v>0.28766433877465991</v>
      </c>
    </row>
    <row r="2161" spans="1:9" x14ac:dyDescent="0.2">
      <c r="A2161" s="2" t="s">
        <v>6464</v>
      </c>
      <c r="B2161" s="2" t="s">
        <v>6432</v>
      </c>
      <c r="C2161" s="2" t="s">
        <v>6465</v>
      </c>
      <c r="D2161" s="2" t="s">
        <v>10054</v>
      </c>
      <c r="E2161" s="15">
        <v>-8.8599999999999998E-2</v>
      </c>
      <c r="F2161" s="15">
        <v>0.11260000000000001</v>
      </c>
      <c r="G2161" s="15">
        <v>0.13089999999999999</v>
      </c>
      <c r="H2161" s="15">
        <v>0.12909999999999999</v>
      </c>
      <c r="I2161" s="15">
        <v>6.4370782417755679E-2</v>
      </c>
    </row>
    <row r="2162" spans="1:9" x14ac:dyDescent="0.2">
      <c r="A2162" s="2" t="s">
        <v>6466</v>
      </c>
      <c r="B2162" s="2" t="s">
        <v>6432</v>
      </c>
      <c r="C2162" s="2" t="s">
        <v>6467</v>
      </c>
      <c r="D2162" s="2" t="s">
        <v>10054</v>
      </c>
      <c r="E2162" s="15">
        <v>-6.8500000000000005E-2</v>
      </c>
      <c r="F2162" s="15">
        <v>0.1231</v>
      </c>
      <c r="G2162" s="15">
        <v>6.7999999999999996E-3</v>
      </c>
      <c r="H2162" s="15">
        <v>9.6799999999999997E-2</v>
      </c>
      <c r="I2162" s="15">
        <v>0.24865135517385961</v>
      </c>
    </row>
    <row r="2163" spans="1:9" x14ac:dyDescent="0.2">
      <c r="A2163" s="2" t="s">
        <v>6468</v>
      </c>
      <c r="B2163" s="2" t="s">
        <v>6432</v>
      </c>
      <c r="C2163" s="2" t="s">
        <v>6469</v>
      </c>
      <c r="D2163" s="2" t="s">
        <v>10054</v>
      </c>
      <c r="E2163" s="15">
        <v>-2.76E-2</v>
      </c>
      <c r="F2163" s="15">
        <v>0.1202</v>
      </c>
      <c r="G2163" s="15">
        <v>-0.1004</v>
      </c>
      <c r="H2163" s="15">
        <v>0.13039999999999999</v>
      </c>
      <c r="I2163" s="15">
        <v>0.31217936167735111</v>
      </c>
    </row>
    <row r="2164" spans="1:9" x14ac:dyDescent="0.2">
      <c r="A2164" s="2" t="s">
        <v>6470</v>
      </c>
      <c r="B2164" s="2" t="s">
        <v>6432</v>
      </c>
      <c r="C2164" s="2" t="s">
        <v>6471</v>
      </c>
      <c r="D2164" s="2" t="s">
        <v>10054</v>
      </c>
      <c r="E2164" s="15">
        <v>0.1295</v>
      </c>
      <c r="F2164" s="15">
        <v>0.1011</v>
      </c>
      <c r="G2164" s="15">
        <v>-1.5900000000000001E-2</v>
      </c>
      <c r="H2164" s="15">
        <v>0.10050000000000001</v>
      </c>
      <c r="I2164" s="15">
        <v>0.10558359344988009</v>
      </c>
    </row>
    <row r="2165" spans="1:9" x14ac:dyDescent="0.2">
      <c r="A2165" s="2" t="s">
        <v>6472</v>
      </c>
      <c r="B2165" s="2" t="s">
        <v>6432</v>
      </c>
      <c r="C2165" s="2" t="s">
        <v>6473</v>
      </c>
      <c r="D2165" s="2" t="s">
        <v>10054</v>
      </c>
      <c r="E2165" s="15">
        <v>8.8999999999999999E-3</v>
      </c>
      <c r="F2165" s="15">
        <v>8.0500000000000002E-2</v>
      </c>
      <c r="G2165" s="15">
        <v>8.1100000000000005E-2</v>
      </c>
      <c r="H2165" s="15">
        <v>9.0399999999999994E-2</v>
      </c>
      <c r="I2165" s="15">
        <v>0.2501870146678048</v>
      </c>
    </row>
    <row r="2166" spans="1:9" x14ac:dyDescent="0.2">
      <c r="A2166" s="2" t="s">
        <v>6474</v>
      </c>
      <c r="B2166" s="2" t="s">
        <v>6475</v>
      </c>
      <c r="C2166" s="2" t="s">
        <v>6476</v>
      </c>
      <c r="D2166" s="2" t="s">
        <v>10054</v>
      </c>
      <c r="E2166" s="15">
        <v>-0.32540000000000002</v>
      </c>
      <c r="F2166" s="15">
        <v>0.3473</v>
      </c>
      <c r="G2166" s="15">
        <v>0.19170000000000001</v>
      </c>
      <c r="H2166" s="15">
        <v>0.12859999999999999</v>
      </c>
      <c r="I2166" s="15">
        <v>1.4429752617052099E-4</v>
      </c>
    </row>
    <row r="2167" spans="1:9" x14ac:dyDescent="0.2">
      <c r="A2167" s="2" t="s">
        <v>6477</v>
      </c>
      <c r="B2167" s="2" t="s">
        <v>6475</v>
      </c>
      <c r="C2167" s="2" t="s">
        <v>6478</v>
      </c>
      <c r="D2167" s="2" t="s">
        <v>10054</v>
      </c>
      <c r="E2167" s="15">
        <v>0.1135</v>
      </c>
      <c r="F2167" s="15">
        <v>0.1053</v>
      </c>
      <c r="G2167" s="15">
        <v>8.1100000000000005E-2</v>
      </c>
      <c r="H2167" s="15">
        <v>7.9200000000000007E-2</v>
      </c>
      <c r="I2167" s="15">
        <v>0.36693299455896738</v>
      </c>
    </row>
    <row r="2168" spans="1:9" x14ac:dyDescent="0.2">
      <c r="A2168" s="2" t="s">
        <v>6479</v>
      </c>
      <c r="B2168" s="2" t="s">
        <v>6475</v>
      </c>
      <c r="C2168" s="2" t="s">
        <v>6480</v>
      </c>
      <c r="D2168" s="2" t="s">
        <v>10054</v>
      </c>
      <c r="E2168" s="15">
        <v>-0.21709999999999999</v>
      </c>
      <c r="F2168" s="15">
        <v>0.21290000000000001</v>
      </c>
      <c r="G2168" s="15">
        <v>-0.15490000000000001</v>
      </c>
      <c r="H2168" s="15">
        <v>9.3799999999999994E-2</v>
      </c>
      <c r="I2168" s="15">
        <v>0.30075569036496458</v>
      </c>
    </row>
    <row r="2169" spans="1:9" x14ac:dyDescent="0.2">
      <c r="A2169" s="2" t="s">
        <v>6481</v>
      </c>
      <c r="B2169" s="2" t="s">
        <v>6475</v>
      </c>
      <c r="C2169" s="2" t="s">
        <v>6482</v>
      </c>
      <c r="D2169" s="2" t="s">
        <v>10054</v>
      </c>
      <c r="E2169" s="15">
        <v>-0.31630000000000003</v>
      </c>
      <c r="F2169" s="15">
        <v>0.30859999999999999</v>
      </c>
      <c r="G2169" s="15">
        <v>-1.8E-3</v>
      </c>
      <c r="H2169" s="15">
        <v>0.1072</v>
      </c>
      <c r="I2169" s="15">
        <v>1.0177666833448279E-2</v>
      </c>
    </row>
    <row r="2170" spans="1:9" x14ac:dyDescent="0.2">
      <c r="A2170" s="2" t="s">
        <v>6483</v>
      </c>
      <c r="B2170" s="2" t="s">
        <v>6475</v>
      </c>
      <c r="C2170" s="2" t="s">
        <v>6484</v>
      </c>
      <c r="D2170" s="2" t="s">
        <v>10054</v>
      </c>
      <c r="E2170" s="15">
        <v>0.18129999999999999</v>
      </c>
      <c r="F2170" s="15">
        <v>0.1174</v>
      </c>
      <c r="G2170" s="15">
        <v>0.13270000000000001</v>
      </c>
      <c r="H2170" s="15">
        <v>9.5399999999999999E-2</v>
      </c>
      <c r="I2170" s="15">
        <v>0.3417654353028115</v>
      </c>
    </row>
    <row r="2171" spans="1:9" x14ac:dyDescent="0.2">
      <c r="A2171" s="2" t="s">
        <v>6485</v>
      </c>
      <c r="B2171" s="2" t="s">
        <v>6475</v>
      </c>
      <c r="C2171" s="2" t="s">
        <v>6486</v>
      </c>
      <c r="D2171" s="2" t="s">
        <v>10054</v>
      </c>
      <c r="E2171" s="15">
        <v>-3.5700000000000003E-2</v>
      </c>
      <c r="F2171" s="15">
        <v>0.10059999999999999</v>
      </c>
      <c r="G2171" s="15">
        <v>3.4599999999999999E-2</v>
      </c>
      <c r="H2171" s="15">
        <v>0.1348</v>
      </c>
      <c r="I2171" s="15">
        <v>0.32119116999984021</v>
      </c>
    </row>
    <row r="2172" spans="1:9" x14ac:dyDescent="0.2">
      <c r="A2172" s="2" t="s">
        <v>6487</v>
      </c>
      <c r="B2172" s="2" t="s">
        <v>6475</v>
      </c>
      <c r="C2172" s="2" t="s">
        <v>6488</v>
      </c>
      <c r="D2172" s="2" t="s">
        <v>10054</v>
      </c>
      <c r="E2172" s="15">
        <v>1.5E-3</v>
      </c>
      <c r="F2172" s="15">
        <v>8.5800000000000001E-2</v>
      </c>
      <c r="G2172" s="15">
        <v>-2.06E-2</v>
      </c>
      <c r="H2172" s="15">
        <v>8.1799999999999998E-2</v>
      </c>
      <c r="I2172" s="15">
        <v>0.41120059174195722</v>
      </c>
    </row>
    <row r="2173" spans="1:9" x14ac:dyDescent="0.2">
      <c r="A2173" s="2" t="s">
        <v>6489</v>
      </c>
      <c r="B2173" s="2" t="s">
        <v>6475</v>
      </c>
      <c r="C2173" s="2" t="s">
        <v>6490</v>
      </c>
      <c r="D2173" s="2" t="s">
        <v>10054</v>
      </c>
      <c r="E2173" s="15">
        <v>-6.6E-3</v>
      </c>
      <c r="F2173" s="15">
        <v>0.1196</v>
      </c>
      <c r="G2173" s="15">
        <v>0.14799999999999999</v>
      </c>
      <c r="H2173" s="15">
        <v>0.1641</v>
      </c>
      <c r="I2173" s="15">
        <v>0.19505637228321951</v>
      </c>
    </row>
    <row r="2174" spans="1:9" x14ac:dyDescent="0.2">
      <c r="A2174" s="2" t="s">
        <v>6491</v>
      </c>
      <c r="B2174" s="2" t="s">
        <v>6475</v>
      </c>
      <c r="C2174" s="2" t="s">
        <v>6492</v>
      </c>
      <c r="D2174" s="2" t="s">
        <v>10054</v>
      </c>
      <c r="E2174" s="15">
        <v>3.4799999999999998E-2</v>
      </c>
      <c r="F2174" s="15">
        <v>7.46E-2</v>
      </c>
      <c r="G2174" s="15">
        <v>-2.5999999999999999E-3</v>
      </c>
      <c r="H2174" s="15">
        <v>8.9200000000000002E-2</v>
      </c>
      <c r="I2174" s="15">
        <v>0.35786750660868849</v>
      </c>
    </row>
    <row r="2175" spans="1:9" x14ac:dyDescent="0.2">
      <c r="A2175" s="2" t="s">
        <v>6493</v>
      </c>
      <c r="B2175" s="2" t="s">
        <v>6475</v>
      </c>
      <c r="C2175" s="2" t="s">
        <v>6494</v>
      </c>
      <c r="D2175" s="2" t="s">
        <v>10054</v>
      </c>
      <c r="E2175" s="15">
        <v>8.1900000000000001E-2</v>
      </c>
      <c r="F2175" s="15">
        <v>0.17960000000000001</v>
      </c>
      <c r="G2175" s="15">
        <v>-0.18909999999999999</v>
      </c>
      <c r="H2175" s="15">
        <v>0.13289999999999999</v>
      </c>
      <c r="I2175" s="15">
        <v>3.4696141752852787E-2</v>
      </c>
    </row>
    <row r="2176" spans="1:9" x14ac:dyDescent="0.2">
      <c r="A2176" s="2" t="s">
        <v>6495</v>
      </c>
      <c r="B2176" s="2" t="s">
        <v>6475</v>
      </c>
      <c r="C2176" s="2" t="s">
        <v>6496</v>
      </c>
      <c r="D2176" s="2" t="s">
        <v>10054</v>
      </c>
      <c r="E2176" s="15">
        <v>4.7100000000000003E-2</v>
      </c>
      <c r="F2176" s="15">
        <v>0.1037</v>
      </c>
      <c r="G2176" s="15">
        <v>-9.4999999999999998E-3</v>
      </c>
      <c r="H2176" s="15">
        <v>9.4600000000000004E-2</v>
      </c>
      <c r="I2176" s="15">
        <v>0.30694510000732939</v>
      </c>
    </row>
    <row r="2177" spans="1:9" x14ac:dyDescent="0.2">
      <c r="A2177" s="2" t="s">
        <v>6497</v>
      </c>
      <c r="B2177" s="2" t="s">
        <v>6475</v>
      </c>
      <c r="C2177" s="2" t="s">
        <v>6498</v>
      </c>
      <c r="D2177" s="2" t="s">
        <v>10054</v>
      </c>
      <c r="E2177" s="15">
        <v>7.4300000000000005E-2</v>
      </c>
      <c r="F2177" s="15">
        <v>0.1016</v>
      </c>
      <c r="G2177" s="15">
        <v>-1.0800000000000001E-2</v>
      </c>
      <c r="H2177" s="15">
        <v>7.0000000000000007E-2</v>
      </c>
      <c r="I2177" s="15">
        <v>0.16061310290964609</v>
      </c>
    </row>
    <row r="2178" spans="1:9" x14ac:dyDescent="0.2">
      <c r="A2178" s="2" t="s">
        <v>6499</v>
      </c>
      <c r="B2178" s="2" t="s">
        <v>6475</v>
      </c>
      <c r="C2178" s="2" t="s">
        <v>6500</v>
      </c>
      <c r="D2178" s="2" t="s">
        <v>10054</v>
      </c>
      <c r="E2178" s="15">
        <v>5.7000000000000002E-3</v>
      </c>
      <c r="F2178" s="15">
        <v>6.9900000000000004E-2</v>
      </c>
      <c r="G2178" s="15">
        <v>-0.1255</v>
      </c>
      <c r="H2178" s="15">
        <v>8.8200000000000001E-2</v>
      </c>
      <c r="I2178" s="15">
        <v>0.1001375423571023</v>
      </c>
    </row>
    <row r="2179" spans="1:9" x14ac:dyDescent="0.2">
      <c r="A2179" s="2" t="s">
        <v>6501</v>
      </c>
      <c r="B2179" s="2" t="s">
        <v>6475</v>
      </c>
      <c r="C2179" s="2" t="s">
        <v>6502</v>
      </c>
      <c r="D2179" s="2" t="s">
        <v>10054</v>
      </c>
      <c r="E2179" s="15">
        <v>-0.11749999999999999</v>
      </c>
      <c r="F2179" s="15">
        <v>0.14899999999999999</v>
      </c>
      <c r="G2179" s="15">
        <v>7.1400000000000005E-2</v>
      </c>
      <c r="H2179" s="15">
        <v>0.19719999999999999</v>
      </c>
      <c r="I2179" s="15">
        <v>0.186736178261321</v>
      </c>
    </row>
    <row r="2180" spans="1:9" x14ac:dyDescent="0.2">
      <c r="A2180" s="2" t="s">
        <v>6503</v>
      </c>
      <c r="B2180" s="2" t="s">
        <v>6475</v>
      </c>
      <c r="C2180" s="2" t="s">
        <v>6504</v>
      </c>
      <c r="D2180" s="2" t="s">
        <v>10054</v>
      </c>
      <c r="E2180" s="15">
        <v>3.3799999999999997E-2</v>
      </c>
      <c r="F2180" s="15">
        <v>8.7099999999999997E-2</v>
      </c>
      <c r="G2180" s="15">
        <v>-4.0099999999999997E-2</v>
      </c>
      <c r="H2180" s="15">
        <v>0.10050000000000001</v>
      </c>
      <c r="I2180" s="15">
        <v>0.26255099806014209</v>
      </c>
    </row>
    <row r="2181" spans="1:9" x14ac:dyDescent="0.2">
      <c r="A2181" s="2" t="s">
        <v>6505</v>
      </c>
      <c r="B2181" s="2" t="s">
        <v>6475</v>
      </c>
      <c r="C2181" s="2" t="s">
        <v>6506</v>
      </c>
      <c r="D2181" s="2" t="s">
        <v>10054</v>
      </c>
      <c r="E2181" s="15">
        <v>-1.14E-2</v>
      </c>
      <c r="F2181" s="15">
        <v>0.1258</v>
      </c>
      <c r="G2181" s="15">
        <v>-0.13289999999999999</v>
      </c>
      <c r="H2181" s="15">
        <v>0.17780000000000001</v>
      </c>
      <c r="I2181" s="15">
        <v>0.28042933630824363</v>
      </c>
    </row>
    <row r="2182" spans="1:9" x14ac:dyDescent="0.2">
      <c r="A2182" s="2" t="s">
        <v>6507</v>
      </c>
      <c r="B2182" s="2" t="s">
        <v>6475</v>
      </c>
      <c r="C2182" s="2" t="s">
        <v>6508</v>
      </c>
      <c r="D2182" s="2" t="s">
        <v>10054</v>
      </c>
      <c r="E2182" s="15">
        <v>5.62E-2</v>
      </c>
      <c r="F2182" s="15">
        <v>7.0699999999999999E-2</v>
      </c>
      <c r="G2182" s="15">
        <v>-0.10290000000000001</v>
      </c>
      <c r="H2182" s="15">
        <v>0.10100000000000001</v>
      </c>
      <c r="I2182" s="15">
        <v>7.6078012648771273E-2</v>
      </c>
    </row>
    <row r="2183" spans="1:9" x14ac:dyDescent="0.2">
      <c r="A2183" s="2" t="s">
        <v>6509</v>
      </c>
      <c r="B2183" s="2" t="s">
        <v>6475</v>
      </c>
      <c r="C2183" s="2" t="s">
        <v>6510</v>
      </c>
      <c r="D2183" s="2" t="s">
        <v>10054</v>
      </c>
      <c r="E2183" s="15">
        <v>-1.37E-2</v>
      </c>
      <c r="F2183" s="15">
        <v>9.98E-2</v>
      </c>
      <c r="G2183" s="15">
        <v>2.6700000000000002E-2</v>
      </c>
      <c r="H2183" s="15">
        <v>0.21240000000000001</v>
      </c>
      <c r="I2183" s="15">
        <v>0.42779119465220311</v>
      </c>
    </row>
    <row r="2184" spans="1:9" x14ac:dyDescent="0.2">
      <c r="A2184" s="2" t="s">
        <v>6511</v>
      </c>
      <c r="B2184" s="2" t="s">
        <v>6475</v>
      </c>
      <c r="C2184" s="2" t="s">
        <v>6512</v>
      </c>
      <c r="D2184" s="2" t="s">
        <v>10054</v>
      </c>
      <c r="E2184" s="15">
        <v>0.1196</v>
      </c>
      <c r="F2184" s="15">
        <v>0.1067</v>
      </c>
      <c r="G2184" s="15">
        <v>4.36E-2</v>
      </c>
      <c r="H2184" s="15">
        <v>9.9400000000000002E-2</v>
      </c>
      <c r="I2184" s="15">
        <v>0.25247614894441378</v>
      </c>
    </row>
    <row r="2185" spans="1:9" x14ac:dyDescent="0.2">
      <c r="A2185" s="2" t="s">
        <v>6513</v>
      </c>
      <c r="B2185" s="2" t="s">
        <v>6475</v>
      </c>
      <c r="C2185" s="2" t="s">
        <v>6514</v>
      </c>
      <c r="D2185" s="2" t="s">
        <v>10054</v>
      </c>
      <c r="E2185" s="15">
        <v>-9.9500000000000005E-2</v>
      </c>
      <c r="F2185" s="15">
        <v>9.1399999999999995E-2</v>
      </c>
      <c r="G2185" s="15">
        <v>4.48E-2</v>
      </c>
      <c r="H2185" s="15">
        <v>9.8900000000000002E-2</v>
      </c>
      <c r="I2185" s="15">
        <v>9.9595799375080785E-2</v>
      </c>
    </row>
    <row r="2186" spans="1:9" x14ac:dyDescent="0.2">
      <c r="A2186" s="2" t="s">
        <v>6515</v>
      </c>
      <c r="B2186" s="2" t="s">
        <v>6475</v>
      </c>
      <c r="C2186" s="2" t="s">
        <v>6516</v>
      </c>
      <c r="D2186" s="2" t="s">
        <v>10054</v>
      </c>
      <c r="E2186" s="15">
        <v>3.4500000000000003E-2</v>
      </c>
      <c r="F2186" s="15">
        <v>8.0500000000000002E-2</v>
      </c>
      <c r="G2186" s="15">
        <v>4.9000000000000002E-2</v>
      </c>
      <c r="H2186" s="15">
        <v>8.6400000000000005E-2</v>
      </c>
      <c r="I2186" s="15">
        <v>0.4419107259457859</v>
      </c>
    </row>
    <row r="2187" spans="1:9" x14ac:dyDescent="0.2">
      <c r="A2187" s="2" t="s">
        <v>6517</v>
      </c>
      <c r="B2187" s="2" t="s">
        <v>6475</v>
      </c>
      <c r="C2187" s="2" t="s">
        <v>6518</v>
      </c>
      <c r="D2187" s="2" t="s">
        <v>10054</v>
      </c>
      <c r="E2187" s="15">
        <v>-0.12609999999999999</v>
      </c>
      <c r="F2187" s="15">
        <v>7.9399999999999998E-2</v>
      </c>
      <c r="G2187" s="15">
        <v>9.6799999999999997E-2</v>
      </c>
      <c r="H2187" s="15">
        <v>0.15390000000000001</v>
      </c>
      <c r="I2187" s="15">
        <v>8.7294300713205514E-2</v>
      </c>
    </row>
    <row r="2188" spans="1:9" x14ac:dyDescent="0.2">
      <c r="A2188" s="2" t="s">
        <v>6519</v>
      </c>
      <c r="B2188" s="2" t="s">
        <v>6475</v>
      </c>
      <c r="C2188" s="2" t="s">
        <v>6520</v>
      </c>
      <c r="D2188" s="2" t="s">
        <v>10054</v>
      </c>
      <c r="E2188" s="15">
        <v>-5.8999999999999999E-3</v>
      </c>
      <c r="F2188" s="15">
        <v>9.0399999999999994E-2</v>
      </c>
      <c r="G2188" s="15">
        <v>1.2999999999999999E-2</v>
      </c>
      <c r="H2188" s="15">
        <v>0.1087</v>
      </c>
      <c r="I2188" s="15">
        <v>0.43750525939183083</v>
      </c>
    </row>
    <row r="2189" spans="1:9" x14ac:dyDescent="0.2">
      <c r="A2189" s="2" t="s">
        <v>6521</v>
      </c>
      <c r="B2189" s="2" t="s">
        <v>6475</v>
      </c>
      <c r="C2189" s="2" t="s">
        <v>6522</v>
      </c>
      <c r="D2189" s="2" t="s">
        <v>10054</v>
      </c>
      <c r="E2189" s="15">
        <v>9.1399999999999995E-2</v>
      </c>
      <c r="F2189" s="15">
        <v>0.14779999999999999</v>
      </c>
      <c r="G2189" s="15">
        <v>0.1085</v>
      </c>
      <c r="H2189" s="15">
        <v>9.9099999999999994E-2</v>
      </c>
      <c r="I2189" s="15">
        <v>0.44166572900084478</v>
      </c>
    </row>
    <row r="2190" spans="1:9" x14ac:dyDescent="0.2">
      <c r="A2190" s="2" t="s">
        <v>6523</v>
      </c>
      <c r="B2190" s="2" t="s">
        <v>6475</v>
      </c>
      <c r="C2190" s="2" t="s">
        <v>6524</v>
      </c>
      <c r="D2190" s="2" t="s">
        <v>10054</v>
      </c>
      <c r="E2190" s="15">
        <v>-7.0999999999999994E-2</v>
      </c>
      <c r="F2190" s="15">
        <v>9.3200000000000005E-2</v>
      </c>
      <c r="G2190" s="15">
        <v>5.9799999999999999E-2</v>
      </c>
      <c r="H2190" s="15">
        <v>9.5200000000000007E-2</v>
      </c>
      <c r="I2190" s="15">
        <v>0.112623012512476</v>
      </c>
    </row>
    <row r="2191" spans="1:9" x14ac:dyDescent="0.2">
      <c r="A2191" s="2" t="s">
        <v>6525</v>
      </c>
      <c r="B2191" s="2" t="s">
        <v>6475</v>
      </c>
      <c r="C2191" s="2" t="s">
        <v>6526</v>
      </c>
      <c r="D2191" s="2" t="s">
        <v>10054</v>
      </c>
      <c r="E2191" s="15">
        <v>0.13719999999999999</v>
      </c>
      <c r="F2191" s="15">
        <v>0.1051</v>
      </c>
      <c r="G2191" s="15">
        <v>0.121</v>
      </c>
      <c r="H2191" s="15">
        <v>0.1351</v>
      </c>
      <c r="I2191" s="15">
        <v>0.45649929224978369</v>
      </c>
    </row>
    <row r="2192" spans="1:9" x14ac:dyDescent="0.2">
      <c r="A2192" s="2" t="s">
        <v>6527</v>
      </c>
      <c r="B2192" s="2" t="s">
        <v>6475</v>
      </c>
      <c r="C2192" s="2" t="s">
        <v>6528</v>
      </c>
      <c r="D2192" s="2" t="s">
        <v>10054</v>
      </c>
      <c r="E2192" s="15">
        <v>-0.11459999999999999</v>
      </c>
      <c r="F2192" s="15">
        <v>0.1148</v>
      </c>
      <c r="G2192" s="15">
        <v>-6.2300000000000001E-2</v>
      </c>
      <c r="H2192" s="15">
        <v>9.3700000000000006E-2</v>
      </c>
      <c r="I2192" s="15">
        <v>0.32762733726034521</v>
      </c>
    </row>
    <row r="2193" spans="1:9" x14ac:dyDescent="0.2">
      <c r="A2193" s="2" t="s">
        <v>6529</v>
      </c>
      <c r="B2193" s="2" t="s">
        <v>6475</v>
      </c>
      <c r="C2193" s="2" t="s">
        <v>6530</v>
      </c>
      <c r="D2193" s="2" t="s">
        <v>10054</v>
      </c>
      <c r="E2193" s="15">
        <v>0.21820000000000001</v>
      </c>
      <c r="F2193" s="15">
        <v>0.1157</v>
      </c>
      <c r="G2193" s="15">
        <v>-0.108</v>
      </c>
      <c r="H2193" s="15">
        <v>0.10780000000000001</v>
      </c>
      <c r="I2193" s="15">
        <v>2.9629552068714108E-3</v>
      </c>
    </row>
    <row r="2194" spans="1:9" x14ac:dyDescent="0.2">
      <c r="A2194" s="2" t="s">
        <v>6531</v>
      </c>
      <c r="B2194" s="2" t="s">
        <v>6475</v>
      </c>
      <c r="C2194" s="2" t="s">
        <v>6532</v>
      </c>
      <c r="D2194" s="2" t="s">
        <v>10054</v>
      </c>
      <c r="E2194" s="15">
        <v>0.15989999999999999</v>
      </c>
      <c r="F2194" s="15">
        <v>0.1696</v>
      </c>
      <c r="G2194" s="15">
        <v>0.11550000000000001</v>
      </c>
      <c r="H2194" s="15">
        <v>0.1042</v>
      </c>
      <c r="I2194" s="15">
        <v>0.35827031932424919</v>
      </c>
    </row>
    <row r="2195" spans="1:9" x14ac:dyDescent="0.2">
      <c r="A2195" s="2" t="s">
        <v>6533</v>
      </c>
      <c r="B2195" s="2" t="s">
        <v>6475</v>
      </c>
      <c r="C2195" s="2" t="s">
        <v>6534</v>
      </c>
      <c r="D2195" s="2" t="s">
        <v>10054</v>
      </c>
      <c r="E2195" s="15">
        <v>7.1300000000000002E-2</v>
      </c>
      <c r="F2195" s="15">
        <v>0.1244</v>
      </c>
      <c r="G2195" s="15">
        <v>-7.8799999999999995E-2</v>
      </c>
      <c r="H2195" s="15">
        <v>0.191</v>
      </c>
      <c r="I2195" s="15">
        <v>0.2375151123255633</v>
      </c>
    </row>
    <row r="2196" spans="1:9" x14ac:dyDescent="0.2">
      <c r="A2196" s="2" t="s">
        <v>6535</v>
      </c>
      <c r="B2196" s="2" t="s">
        <v>6475</v>
      </c>
      <c r="C2196" s="2" t="s">
        <v>6536</v>
      </c>
      <c r="D2196" s="2" t="s">
        <v>10054</v>
      </c>
      <c r="E2196" s="15">
        <v>0.1449</v>
      </c>
      <c r="F2196" s="15">
        <v>0.15329999999999999</v>
      </c>
      <c r="G2196" s="15">
        <v>6.1400000000000003E-2</v>
      </c>
      <c r="H2196" s="15">
        <v>7.6399999999999996E-2</v>
      </c>
      <c r="I2196" s="15">
        <v>0.17623724956884471</v>
      </c>
    </row>
    <row r="2197" spans="1:9" x14ac:dyDescent="0.2">
      <c r="A2197" s="2" t="s">
        <v>6537</v>
      </c>
      <c r="B2197" s="2" t="s">
        <v>6475</v>
      </c>
      <c r="C2197" s="2" t="s">
        <v>6538</v>
      </c>
      <c r="D2197" s="2" t="s">
        <v>10054</v>
      </c>
      <c r="E2197" s="15">
        <v>-0.1128</v>
      </c>
      <c r="F2197" s="15">
        <v>9.64E-2</v>
      </c>
      <c r="G2197" s="15">
        <v>0.11559999999999999</v>
      </c>
      <c r="H2197" s="15">
        <v>0.21529999999999999</v>
      </c>
      <c r="I2197" s="15">
        <v>0.1598637367314448</v>
      </c>
    </row>
    <row r="2198" spans="1:9" x14ac:dyDescent="0.2">
      <c r="A2198" s="2" t="s">
        <v>6539</v>
      </c>
      <c r="B2198" s="2" t="s">
        <v>6475</v>
      </c>
      <c r="C2198" s="2" t="s">
        <v>6540</v>
      </c>
      <c r="D2198" s="2" t="s">
        <v>10054</v>
      </c>
      <c r="E2198" s="15">
        <v>0.1181</v>
      </c>
      <c r="F2198" s="15">
        <v>8.9399999999999993E-2</v>
      </c>
      <c r="G2198" s="15">
        <v>0.20349999999999999</v>
      </c>
      <c r="H2198" s="15">
        <v>0.15490000000000001</v>
      </c>
      <c r="I2198" s="15">
        <v>0.30161674011375728</v>
      </c>
    </row>
    <row r="2199" spans="1:9" x14ac:dyDescent="0.2">
      <c r="A2199" s="2" t="s">
        <v>6541</v>
      </c>
      <c r="B2199" s="2" t="s">
        <v>6475</v>
      </c>
      <c r="C2199" s="2" t="s">
        <v>6542</v>
      </c>
      <c r="D2199" s="2" t="s">
        <v>10054</v>
      </c>
      <c r="E2199" s="15">
        <v>7.4399999999999994E-2</v>
      </c>
      <c r="F2199" s="15">
        <v>7.7499999999999999E-2</v>
      </c>
      <c r="G2199" s="15">
        <v>0.14960000000000001</v>
      </c>
      <c r="H2199" s="15">
        <v>0.12620000000000001</v>
      </c>
      <c r="I2199" s="15">
        <v>0.29506446744814008</v>
      </c>
    </row>
    <row r="2200" spans="1:9" x14ac:dyDescent="0.2">
      <c r="A2200" s="2" t="s">
        <v>6543</v>
      </c>
      <c r="B2200" s="2" t="s">
        <v>6475</v>
      </c>
      <c r="C2200" s="2" t="s">
        <v>6544</v>
      </c>
      <c r="D2200" s="2" t="s">
        <v>10054</v>
      </c>
      <c r="E2200" s="15">
        <v>5.2999999999999999E-2</v>
      </c>
      <c r="F2200" s="15">
        <v>9.6299999999999997E-2</v>
      </c>
      <c r="G2200" s="15">
        <v>-9.4E-2</v>
      </c>
      <c r="H2200" s="15">
        <v>0.1285</v>
      </c>
      <c r="I2200" s="15">
        <v>0.14840798246565209</v>
      </c>
    </row>
    <row r="2201" spans="1:9" x14ac:dyDescent="0.2">
      <c r="A2201" s="2" t="s">
        <v>6545</v>
      </c>
      <c r="B2201" s="2" t="s">
        <v>6475</v>
      </c>
      <c r="C2201" s="2" t="s">
        <v>6546</v>
      </c>
      <c r="D2201" s="2" t="s">
        <v>10054</v>
      </c>
      <c r="E2201" s="15">
        <v>0.19989999999999999</v>
      </c>
      <c r="F2201" s="15">
        <v>0.1231</v>
      </c>
      <c r="G2201" s="15">
        <v>-6.3799999999999996E-2</v>
      </c>
      <c r="H2201" s="15">
        <v>8.9899999999999994E-2</v>
      </c>
      <c r="I2201" s="15">
        <v>5.0042851699701619E-3</v>
      </c>
    </row>
    <row r="2202" spans="1:9" x14ac:dyDescent="0.2">
      <c r="A2202" s="2" t="s">
        <v>6547</v>
      </c>
      <c r="B2202" s="2" t="s">
        <v>6475</v>
      </c>
      <c r="C2202" s="2" t="s">
        <v>6548</v>
      </c>
      <c r="D2202" s="2" t="s">
        <v>10054</v>
      </c>
      <c r="E2202" s="15">
        <v>4.8399999999999999E-2</v>
      </c>
      <c r="F2202" s="15">
        <v>7.4800000000000005E-2</v>
      </c>
      <c r="G2202" s="15">
        <v>0.10489999999999999</v>
      </c>
      <c r="H2202" s="15">
        <v>0.1333</v>
      </c>
      <c r="I2202" s="15">
        <v>0.34495405846174337</v>
      </c>
    </row>
    <row r="2203" spans="1:9" x14ac:dyDescent="0.2">
      <c r="A2203" s="2" t="s">
        <v>6549</v>
      </c>
      <c r="B2203" s="2" t="s">
        <v>6475</v>
      </c>
      <c r="C2203" s="2" t="s">
        <v>6550</v>
      </c>
      <c r="D2203" s="2" t="s">
        <v>10054</v>
      </c>
      <c r="E2203" s="15">
        <v>-2.7E-2</v>
      </c>
      <c r="F2203" s="15">
        <v>9.1200000000000003E-2</v>
      </c>
      <c r="G2203" s="15">
        <v>-5.8900000000000001E-2</v>
      </c>
      <c r="H2203" s="15">
        <v>0.104</v>
      </c>
      <c r="I2203" s="15">
        <v>0.3943086290386586</v>
      </c>
    </row>
    <row r="2204" spans="1:9" x14ac:dyDescent="0.2">
      <c r="A2204" s="2" t="s">
        <v>6551</v>
      </c>
      <c r="B2204" s="2" t="s">
        <v>6475</v>
      </c>
      <c r="C2204" s="2" t="s">
        <v>6552</v>
      </c>
      <c r="D2204" s="2" t="s">
        <v>10054</v>
      </c>
      <c r="E2204" s="15">
        <v>0.30020000000000002</v>
      </c>
      <c r="F2204" s="15">
        <v>0.1308</v>
      </c>
      <c r="G2204" s="15">
        <v>7.4999999999999997E-2</v>
      </c>
      <c r="H2204" s="15">
        <v>0.1023</v>
      </c>
      <c r="I2204" s="15">
        <v>3.6176679782837458E-2</v>
      </c>
    </row>
    <row r="2205" spans="1:9" x14ac:dyDescent="0.2">
      <c r="A2205" s="2" t="s">
        <v>6553</v>
      </c>
      <c r="B2205" s="2" t="s">
        <v>6475</v>
      </c>
      <c r="C2205" s="2" t="s">
        <v>6554</v>
      </c>
      <c r="D2205" s="2" t="s">
        <v>10054</v>
      </c>
      <c r="E2205" s="15">
        <v>5.7299999999999997E-2</v>
      </c>
      <c r="F2205" s="15">
        <v>0.1061</v>
      </c>
      <c r="G2205" s="15">
        <v>0.1203</v>
      </c>
      <c r="H2205" s="15">
        <v>0.1071</v>
      </c>
      <c r="I2205" s="15">
        <v>0.30319684535303149</v>
      </c>
    </row>
    <row r="2206" spans="1:9" x14ac:dyDescent="0.2">
      <c r="A2206" s="2" t="s">
        <v>6555</v>
      </c>
      <c r="B2206" s="2" t="s">
        <v>6475</v>
      </c>
      <c r="C2206" s="2" t="s">
        <v>6556</v>
      </c>
      <c r="D2206" s="2" t="s">
        <v>10054</v>
      </c>
      <c r="G2206" s="15">
        <v>4.41E-2</v>
      </c>
      <c r="H2206" s="15">
        <v>0.13980000000000001</v>
      </c>
    </row>
    <row r="2207" spans="1:9" x14ac:dyDescent="0.2">
      <c r="A2207" s="2" t="s">
        <v>6557</v>
      </c>
      <c r="B2207" s="2" t="s">
        <v>6475</v>
      </c>
      <c r="C2207" s="2" t="s">
        <v>6558</v>
      </c>
      <c r="D2207" s="2" t="s">
        <v>10054</v>
      </c>
      <c r="E2207" s="15">
        <v>9.5000000000000001E-2</v>
      </c>
      <c r="F2207" s="15">
        <v>0.13719999999999999</v>
      </c>
      <c r="G2207" s="15">
        <v>-8.1500000000000003E-2</v>
      </c>
      <c r="H2207" s="15">
        <v>0.1101</v>
      </c>
      <c r="I2207" s="15">
        <v>9.7432211566256102E-2</v>
      </c>
    </row>
    <row r="2208" spans="1:9" x14ac:dyDescent="0.2">
      <c r="A2208" s="2" t="s">
        <v>6559</v>
      </c>
      <c r="B2208" s="2" t="s">
        <v>6475</v>
      </c>
      <c r="C2208" s="2" t="s">
        <v>6560</v>
      </c>
      <c r="D2208" s="2" t="s">
        <v>10054</v>
      </c>
      <c r="E2208" s="15">
        <v>0.1396</v>
      </c>
      <c r="F2208" s="15">
        <v>0.14249999999999999</v>
      </c>
      <c r="G2208" s="15">
        <v>0.1444</v>
      </c>
      <c r="H2208" s="15">
        <v>0.108</v>
      </c>
      <c r="I2208" s="15">
        <v>0.48548391217680248</v>
      </c>
    </row>
    <row r="2209" spans="1:9" x14ac:dyDescent="0.2">
      <c r="A2209" s="2" t="s">
        <v>6561</v>
      </c>
      <c r="B2209" s="2" t="s">
        <v>6475</v>
      </c>
      <c r="C2209" s="2" t="s">
        <v>6562</v>
      </c>
      <c r="D2209" s="2" t="s">
        <v>10054</v>
      </c>
      <c r="E2209" s="15">
        <v>-7.2900000000000006E-2</v>
      </c>
      <c r="F2209" s="15">
        <v>8.1299999999999997E-2</v>
      </c>
      <c r="G2209" s="15">
        <v>-9.2200000000000004E-2</v>
      </c>
      <c r="H2209" s="15">
        <v>0.11749999999999999</v>
      </c>
      <c r="I2209" s="15">
        <v>0.43935818902044638</v>
      </c>
    </row>
    <row r="2210" spans="1:9" x14ac:dyDescent="0.2">
      <c r="A2210" s="2" t="s">
        <v>6563</v>
      </c>
      <c r="B2210" s="2" t="s">
        <v>6475</v>
      </c>
      <c r="C2210" s="2" t="s">
        <v>6564</v>
      </c>
      <c r="D2210" s="2" t="s">
        <v>10054</v>
      </c>
      <c r="E2210" s="15">
        <v>-6.7500000000000004E-2</v>
      </c>
      <c r="F2210" s="15">
        <v>0.11650000000000001</v>
      </c>
      <c r="G2210" s="15">
        <v>7.4300000000000005E-2</v>
      </c>
      <c r="H2210" s="15">
        <v>0.10539999999999999</v>
      </c>
      <c r="I2210" s="15">
        <v>0.1226165411662108</v>
      </c>
    </row>
    <row r="2211" spans="1:9" x14ac:dyDescent="0.2">
      <c r="A2211" s="2" t="s">
        <v>6565</v>
      </c>
      <c r="B2211" s="2" t="s">
        <v>6475</v>
      </c>
      <c r="C2211" s="2" t="s">
        <v>6566</v>
      </c>
      <c r="D2211" s="2" t="s">
        <v>10054</v>
      </c>
      <c r="E2211" s="15">
        <v>0.19270000000000001</v>
      </c>
      <c r="F2211" s="15">
        <v>8.4900000000000003E-2</v>
      </c>
      <c r="G2211" s="15">
        <v>0.2011</v>
      </c>
      <c r="H2211" s="15">
        <v>9.9199999999999997E-2</v>
      </c>
      <c r="I2211" s="15">
        <v>0.46991135456973732</v>
      </c>
    </row>
    <row r="2212" spans="1:9" x14ac:dyDescent="0.2">
      <c r="A2212" s="2" t="s">
        <v>6567</v>
      </c>
      <c r="B2212" s="2" t="s">
        <v>6475</v>
      </c>
      <c r="C2212" s="2" t="s">
        <v>6568</v>
      </c>
      <c r="D2212" s="2" t="s">
        <v>10054</v>
      </c>
      <c r="E2212" s="15">
        <v>-0.1535</v>
      </c>
      <c r="F2212" s="15">
        <v>0.1056</v>
      </c>
      <c r="G2212" s="15">
        <v>3.4500000000000003E-2</v>
      </c>
      <c r="H2212" s="15">
        <v>0.2487</v>
      </c>
      <c r="I2212" s="15">
        <v>0.232543996703935</v>
      </c>
    </row>
    <row r="2213" spans="1:9" x14ac:dyDescent="0.2">
      <c r="A2213" s="2" t="s">
        <v>6569</v>
      </c>
      <c r="B2213" s="2" t="s">
        <v>6475</v>
      </c>
      <c r="C2213" s="2" t="s">
        <v>6570</v>
      </c>
      <c r="D2213" s="2" t="s">
        <v>10054</v>
      </c>
      <c r="E2213" s="15">
        <v>0.14430000000000001</v>
      </c>
      <c r="F2213" s="15">
        <v>8.7900000000000006E-2</v>
      </c>
      <c r="G2213" s="15">
        <v>4.65E-2</v>
      </c>
      <c r="H2213" s="15">
        <v>9.5399999999999999E-2</v>
      </c>
      <c r="I2213" s="15">
        <v>0.18766906563762939</v>
      </c>
    </row>
    <row r="2214" spans="1:9" x14ac:dyDescent="0.2">
      <c r="A2214" s="2" t="s">
        <v>6571</v>
      </c>
      <c r="B2214" s="2" t="s">
        <v>6475</v>
      </c>
      <c r="C2214" s="2" t="s">
        <v>6572</v>
      </c>
      <c r="D2214" s="2" t="s">
        <v>10054</v>
      </c>
      <c r="E2214" s="15">
        <v>0.17749999999999999</v>
      </c>
      <c r="F2214" s="15">
        <v>0.1053</v>
      </c>
      <c r="G2214" s="15">
        <v>0.15129999999999999</v>
      </c>
      <c r="H2214" s="15">
        <v>9.4700000000000006E-2</v>
      </c>
      <c r="I2214" s="15">
        <v>0.40323766253661508</v>
      </c>
    </row>
    <row r="2215" spans="1:9" x14ac:dyDescent="0.2">
      <c r="A2215" s="2" t="s">
        <v>6573</v>
      </c>
      <c r="B2215" s="2" t="s">
        <v>6475</v>
      </c>
      <c r="C2215" s="2" t="s">
        <v>6574</v>
      </c>
      <c r="D2215" s="2" t="s">
        <v>10054</v>
      </c>
      <c r="E2215" s="15">
        <v>6.7500000000000004E-2</v>
      </c>
      <c r="F2215" s="15">
        <v>0.13239999999999999</v>
      </c>
      <c r="G2215" s="15">
        <v>3.5200000000000002E-2</v>
      </c>
      <c r="H2215" s="15">
        <v>0.1065</v>
      </c>
      <c r="I2215" s="15">
        <v>0.39604405858757191</v>
      </c>
    </row>
    <row r="2216" spans="1:9" x14ac:dyDescent="0.2">
      <c r="A2216" s="2" t="s">
        <v>6575</v>
      </c>
      <c r="B2216" s="2" t="s">
        <v>6475</v>
      </c>
      <c r="C2216" s="2" t="s">
        <v>6576</v>
      </c>
      <c r="D2216" s="2" t="s">
        <v>10054</v>
      </c>
      <c r="E2216" s="15">
        <v>-0.16400000000000001</v>
      </c>
      <c r="F2216" s="15">
        <v>0.31530000000000002</v>
      </c>
      <c r="G2216" s="15">
        <v>3.9300000000000002E-2</v>
      </c>
      <c r="H2216" s="15">
        <v>9.8299999999999998E-2</v>
      </c>
      <c r="I2216" s="15">
        <v>4.6655250815683613E-2</v>
      </c>
    </row>
    <row r="2217" spans="1:9" x14ac:dyDescent="0.2">
      <c r="A2217" s="2" t="s">
        <v>6577</v>
      </c>
      <c r="B2217" s="2" t="s">
        <v>6475</v>
      </c>
      <c r="C2217" s="2" t="s">
        <v>6578</v>
      </c>
      <c r="D2217" s="2" t="s">
        <v>10054</v>
      </c>
      <c r="E2217" s="15">
        <v>0.12859999999999999</v>
      </c>
      <c r="F2217" s="15">
        <v>0.1221</v>
      </c>
      <c r="G2217" s="15">
        <v>0.13739999999999999</v>
      </c>
      <c r="H2217" s="15">
        <v>0.1522</v>
      </c>
      <c r="I2217" s="15">
        <v>0.47866793185860812</v>
      </c>
    </row>
    <row r="2218" spans="1:9" x14ac:dyDescent="0.2">
      <c r="A2218" s="2" t="s">
        <v>6579</v>
      </c>
      <c r="B2218" s="2" t="s">
        <v>6475</v>
      </c>
      <c r="C2218" s="2" t="s">
        <v>6580</v>
      </c>
      <c r="D2218" s="2" t="s">
        <v>10054</v>
      </c>
      <c r="E2218" s="15">
        <v>0.1111</v>
      </c>
      <c r="F2218" s="15">
        <v>9.5299999999999996E-2</v>
      </c>
      <c r="G2218" s="15">
        <v>5.33E-2</v>
      </c>
      <c r="H2218" s="15">
        <v>7.3899999999999993E-2</v>
      </c>
      <c r="I2218" s="15">
        <v>0.26358851825996688</v>
      </c>
    </row>
    <row r="2219" spans="1:9" x14ac:dyDescent="0.2">
      <c r="A2219" s="2" t="s">
        <v>6581</v>
      </c>
      <c r="B2219" s="2" t="s">
        <v>6475</v>
      </c>
      <c r="C2219" s="2" t="s">
        <v>6582</v>
      </c>
      <c r="D2219" s="2" t="s">
        <v>10054</v>
      </c>
      <c r="E2219" s="15">
        <v>5.96E-2</v>
      </c>
      <c r="F2219" s="15">
        <v>0.13270000000000001</v>
      </c>
    </row>
    <row r="2220" spans="1:9" x14ac:dyDescent="0.2">
      <c r="A2220" s="2" t="s">
        <v>6583</v>
      </c>
      <c r="B2220" s="2" t="s">
        <v>6475</v>
      </c>
      <c r="C2220" s="2" t="s">
        <v>6584</v>
      </c>
      <c r="D2220" s="2" t="s">
        <v>10054</v>
      </c>
      <c r="E2220" s="15">
        <v>-8.6E-3</v>
      </c>
      <c r="F2220" s="15">
        <v>0.1167</v>
      </c>
      <c r="G2220" s="15">
        <v>1.2800000000000001E-2</v>
      </c>
      <c r="H2220" s="15">
        <v>9.8100000000000007E-2</v>
      </c>
      <c r="I2220" s="15">
        <v>0.4257879586833106</v>
      </c>
    </row>
    <row r="2221" spans="1:9" x14ac:dyDescent="0.2">
      <c r="A2221" s="2" t="s">
        <v>6585</v>
      </c>
      <c r="B2221" s="2" t="s">
        <v>6586</v>
      </c>
      <c r="C2221" s="2" t="s">
        <v>6587</v>
      </c>
      <c r="D2221" s="2" t="s">
        <v>10055</v>
      </c>
      <c r="E2221" s="15">
        <v>0.19139999999999999</v>
      </c>
      <c r="F2221" s="15">
        <v>9.06E-2</v>
      </c>
    </row>
    <row r="2222" spans="1:9" x14ac:dyDescent="0.2">
      <c r="A2222" s="2" t="s">
        <v>6588</v>
      </c>
      <c r="B2222" s="2" t="s">
        <v>6586</v>
      </c>
      <c r="C2222" s="2" t="s">
        <v>6589</v>
      </c>
      <c r="D2222" s="2" t="s">
        <v>10055</v>
      </c>
      <c r="E2222" s="15">
        <v>-0.2429</v>
      </c>
      <c r="F2222" s="15">
        <v>0.15939999999999999</v>
      </c>
      <c r="G2222" s="15">
        <v>9.1800000000000007E-2</v>
      </c>
      <c r="H2222" s="15">
        <v>0.37890000000000001</v>
      </c>
      <c r="I2222" s="15">
        <v>0.1926328792422472</v>
      </c>
    </row>
    <row r="2223" spans="1:9" x14ac:dyDescent="0.2">
      <c r="A2223" s="2" t="s">
        <v>6590</v>
      </c>
      <c r="B2223" s="2" t="s">
        <v>6586</v>
      </c>
      <c r="C2223" s="2" t="s">
        <v>6591</v>
      </c>
      <c r="D2223" s="2" t="s">
        <v>10055</v>
      </c>
      <c r="G2223" s="15">
        <v>-0.111</v>
      </c>
      <c r="H2223" s="15">
        <v>0.124</v>
      </c>
    </row>
    <row r="2224" spans="1:9" x14ac:dyDescent="0.2">
      <c r="A2224" s="2" t="s">
        <v>6592</v>
      </c>
      <c r="B2224" s="2" t="s">
        <v>6586</v>
      </c>
      <c r="C2224" s="2" t="s">
        <v>6593</v>
      </c>
      <c r="D2224" s="2" t="s">
        <v>10055</v>
      </c>
    </row>
    <row r="2225" spans="1:9" x14ac:dyDescent="0.2">
      <c r="A2225" s="2" t="s">
        <v>6594</v>
      </c>
      <c r="B2225" s="2" t="s">
        <v>6586</v>
      </c>
      <c r="C2225" s="2" t="s">
        <v>6595</v>
      </c>
      <c r="D2225" s="2" t="s">
        <v>10055</v>
      </c>
      <c r="G2225" s="15">
        <v>6.3899999999999998E-2</v>
      </c>
      <c r="H2225" s="15">
        <v>0.13489999999999999</v>
      </c>
    </row>
    <row r="2226" spans="1:9" x14ac:dyDescent="0.2">
      <c r="A2226" s="2" t="s">
        <v>6596</v>
      </c>
      <c r="B2226" s="2" t="s">
        <v>6586</v>
      </c>
      <c r="C2226" s="2" t="s">
        <v>6597</v>
      </c>
      <c r="D2226" s="2" t="s">
        <v>10055</v>
      </c>
      <c r="E2226" s="15">
        <v>-0.14199999999999999</v>
      </c>
      <c r="F2226" s="15">
        <v>0.20780000000000001</v>
      </c>
    </row>
    <row r="2227" spans="1:9" x14ac:dyDescent="0.2">
      <c r="A2227" s="2" t="s">
        <v>6598</v>
      </c>
      <c r="B2227" s="2" t="s">
        <v>6586</v>
      </c>
      <c r="C2227" s="2" t="s">
        <v>6599</v>
      </c>
      <c r="D2227" s="2" t="s">
        <v>10055</v>
      </c>
      <c r="E2227" s="15">
        <v>-0.20280000000000001</v>
      </c>
      <c r="F2227" s="15">
        <v>0.1077</v>
      </c>
      <c r="G2227" s="15">
        <v>-3.8199999999999998E-2</v>
      </c>
      <c r="H2227" s="15">
        <v>0.12189999999999999</v>
      </c>
      <c r="I2227" s="15">
        <v>0.115860995756912</v>
      </c>
    </row>
    <row r="2228" spans="1:9" x14ac:dyDescent="0.2">
      <c r="A2228" s="2" t="s">
        <v>6600</v>
      </c>
      <c r="B2228" s="2" t="s">
        <v>6586</v>
      </c>
      <c r="C2228" s="2" t="s">
        <v>6601</v>
      </c>
      <c r="D2228" s="2" t="s">
        <v>10055</v>
      </c>
      <c r="E2228" s="15">
        <v>4.1999999999999997E-3</v>
      </c>
      <c r="F2228" s="15">
        <v>0.10539999999999999</v>
      </c>
      <c r="G2228" s="15">
        <v>1.9900000000000001E-2</v>
      </c>
      <c r="H2228" s="15">
        <v>0.13900000000000001</v>
      </c>
      <c r="I2228" s="15">
        <v>0.46119001802714937</v>
      </c>
    </row>
    <row r="2229" spans="1:9" x14ac:dyDescent="0.2">
      <c r="A2229" s="2" t="s">
        <v>6602</v>
      </c>
      <c r="B2229" s="2" t="s">
        <v>6586</v>
      </c>
      <c r="C2229" s="2" t="s">
        <v>6603</v>
      </c>
      <c r="D2229" s="2" t="s">
        <v>10055</v>
      </c>
      <c r="E2229" s="15">
        <v>-9.8100000000000007E-2</v>
      </c>
      <c r="F2229" s="15">
        <v>0.12559999999999999</v>
      </c>
      <c r="G2229" s="15">
        <v>4.9299999999999997E-2</v>
      </c>
      <c r="H2229" s="15">
        <v>0.1066</v>
      </c>
      <c r="I2229" s="15">
        <v>0.13084621944676109</v>
      </c>
    </row>
    <row r="2230" spans="1:9" x14ac:dyDescent="0.2">
      <c r="A2230" s="2" t="s">
        <v>6604</v>
      </c>
      <c r="B2230" s="2" t="s">
        <v>6586</v>
      </c>
      <c r="C2230" s="2" t="s">
        <v>6605</v>
      </c>
      <c r="D2230" s="2" t="s">
        <v>10055</v>
      </c>
      <c r="E2230" s="15">
        <v>0.65429999999999999</v>
      </c>
      <c r="F2230" s="15">
        <v>1.4312</v>
      </c>
      <c r="G2230" s="15">
        <v>-9.9699999999999997E-2</v>
      </c>
      <c r="H2230" s="15">
        <v>0.26090000000000002</v>
      </c>
      <c r="I2230" s="15">
        <v>5.6337996275955312E-3</v>
      </c>
    </row>
    <row r="2231" spans="1:9" x14ac:dyDescent="0.2">
      <c r="A2231" s="2" t="s">
        <v>6606</v>
      </c>
      <c r="B2231" s="2" t="s">
        <v>6586</v>
      </c>
      <c r="C2231" s="2" t="s">
        <v>6607</v>
      </c>
      <c r="D2231" s="2" t="s">
        <v>10055</v>
      </c>
      <c r="E2231" s="15">
        <v>-0.1086</v>
      </c>
      <c r="F2231" s="15">
        <v>0.15459999999999999</v>
      </c>
      <c r="G2231" s="15">
        <v>1.7899999999999999E-2</v>
      </c>
      <c r="H2231" s="15">
        <v>0.1207</v>
      </c>
      <c r="I2231" s="15">
        <v>0.1821320589707334</v>
      </c>
    </row>
    <row r="2232" spans="1:9" x14ac:dyDescent="0.2">
      <c r="A2232" s="2" t="s">
        <v>6608</v>
      </c>
      <c r="B2232" s="2" t="s">
        <v>6586</v>
      </c>
      <c r="C2232" s="2" t="s">
        <v>6609</v>
      </c>
      <c r="D2232" s="2" t="s">
        <v>10055</v>
      </c>
      <c r="E2232" s="15">
        <v>3.1E-2</v>
      </c>
      <c r="F2232" s="15">
        <v>0.22090000000000001</v>
      </c>
      <c r="G2232" s="15">
        <v>-0.12740000000000001</v>
      </c>
      <c r="H2232" s="15">
        <v>0.25580000000000003</v>
      </c>
      <c r="I2232" s="15">
        <v>0.27875865475904932</v>
      </c>
    </row>
    <row r="2233" spans="1:9" x14ac:dyDescent="0.2">
      <c r="A2233" s="2" t="s">
        <v>6610</v>
      </c>
      <c r="B2233" s="2" t="s">
        <v>6586</v>
      </c>
      <c r="C2233" s="2" t="s">
        <v>6611</v>
      </c>
      <c r="D2233" s="2" t="s">
        <v>10055</v>
      </c>
      <c r="E2233" s="15">
        <v>-0.15720000000000001</v>
      </c>
      <c r="F2233" s="15">
        <v>9.1600000000000001E-2</v>
      </c>
      <c r="G2233" s="15">
        <v>-0.22420000000000001</v>
      </c>
      <c r="H2233" s="15">
        <v>0.12590000000000001</v>
      </c>
      <c r="I2233" s="15">
        <v>0.31991914722747872</v>
      </c>
    </row>
    <row r="2234" spans="1:9" x14ac:dyDescent="0.2">
      <c r="A2234" s="2" t="s">
        <v>6612</v>
      </c>
      <c r="B2234" s="2" t="s">
        <v>6586</v>
      </c>
      <c r="C2234" s="2" t="s">
        <v>6613</v>
      </c>
      <c r="D2234" s="2" t="s">
        <v>10055</v>
      </c>
      <c r="E2234" s="15">
        <v>0.16400000000000001</v>
      </c>
      <c r="F2234" s="15">
        <v>0.21429999999999999</v>
      </c>
    </row>
    <row r="2235" spans="1:9" x14ac:dyDescent="0.2">
      <c r="A2235" s="2" t="s">
        <v>6614</v>
      </c>
      <c r="B2235" s="2" t="s">
        <v>6586</v>
      </c>
      <c r="C2235" s="2" t="s">
        <v>6615</v>
      </c>
      <c r="D2235" s="2" t="s">
        <v>10055</v>
      </c>
      <c r="E2235" s="15">
        <v>5.4600000000000003E-2</v>
      </c>
      <c r="F2235" s="15">
        <v>8.0699999999999994E-2</v>
      </c>
      <c r="G2235" s="15">
        <v>-3.5000000000000001E-3</v>
      </c>
      <c r="H2235" s="15">
        <v>0.1305</v>
      </c>
      <c r="I2235" s="15">
        <v>0.3441012032653703</v>
      </c>
    </row>
    <row r="2236" spans="1:9" x14ac:dyDescent="0.2">
      <c r="A2236" s="2" t="s">
        <v>6616</v>
      </c>
      <c r="B2236" s="2" t="s">
        <v>6586</v>
      </c>
      <c r="C2236" s="2" t="s">
        <v>6617</v>
      </c>
      <c r="D2236" s="2" t="s">
        <v>10055</v>
      </c>
      <c r="E2236" s="15">
        <v>0.1958</v>
      </c>
      <c r="F2236" s="15">
        <v>0.14829999999999999</v>
      </c>
      <c r="G2236" s="15">
        <v>-0.1525</v>
      </c>
      <c r="H2236" s="15">
        <v>0.15509999999999999</v>
      </c>
      <c r="I2236" s="15">
        <v>2.1238788292010449E-2</v>
      </c>
    </row>
    <row r="2237" spans="1:9" x14ac:dyDescent="0.2">
      <c r="A2237" s="2" t="s">
        <v>6618</v>
      </c>
      <c r="B2237" s="2" t="s">
        <v>6586</v>
      </c>
      <c r="C2237" s="2" t="s">
        <v>6619</v>
      </c>
      <c r="D2237" s="2" t="s">
        <v>10055</v>
      </c>
      <c r="E2237" s="15">
        <v>-5.4300000000000001E-2</v>
      </c>
      <c r="F2237" s="15">
        <v>0.15820000000000001</v>
      </c>
      <c r="G2237" s="15">
        <v>-0.10440000000000001</v>
      </c>
      <c r="H2237" s="15">
        <v>0.253</v>
      </c>
      <c r="I2237" s="15">
        <v>0.42736891659451609</v>
      </c>
    </row>
    <row r="2238" spans="1:9" x14ac:dyDescent="0.2">
      <c r="A2238" s="2" t="s">
        <v>6620</v>
      </c>
      <c r="B2238" s="2" t="s">
        <v>6586</v>
      </c>
      <c r="C2238" s="2" t="s">
        <v>6621</v>
      </c>
      <c r="D2238" s="2" t="s">
        <v>10055</v>
      </c>
      <c r="E2238" s="15">
        <v>0.14199999999999999</v>
      </c>
      <c r="F2238" s="15">
        <v>0.1157</v>
      </c>
      <c r="G2238" s="15">
        <v>-0.18</v>
      </c>
      <c r="H2238" s="15">
        <v>0.11650000000000001</v>
      </c>
      <c r="I2238" s="15">
        <v>6.2932081410206264E-3</v>
      </c>
    </row>
    <row r="2239" spans="1:9" x14ac:dyDescent="0.2">
      <c r="A2239" s="2" t="s">
        <v>6622</v>
      </c>
      <c r="B2239" s="2" t="s">
        <v>6586</v>
      </c>
      <c r="C2239" s="2" t="s">
        <v>6623</v>
      </c>
      <c r="D2239" s="2" t="s">
        <v>10055</v>
      </c>
      <c r="G2239" s="15">
        <v>6.6699999999999995E-2</v>
      </c>
      <c r="H2239" s="15">
        <v>0.1983</v>
      </c>
    </row>
    <row r="2240" spans="1:9" x14ac:dyDescent="0.2">
      <c r="A2240" s="2" t="s">
        <v>6624</v>
      </c>
      <c r="B2240" s="2" t="s">
        <v>6586</v>
      </c>
      <c r="C2240" s="2" t="s">
        <v>6625</v>
      </c>
      <c r="D2240" s="2" t="s">
        <v>10055</v>
      </c>
      <c r="E2240" s="15">
        <v>-0.60299999999999998</v>
      </c>
      <c r="F2240" s="15">
        <v>37.361899999999999</v>
      </c>
    </row>
    <row r="2241" spans="1:9" x14ac:dyDescent="0.2">
      <c r="A2241" s="2" t="s">
        <v>6626</v>
      </c>
      <c r="B2241" s="2" t="s">
        <v>6586</v>
      </c>
      <c r="C2241" s="2" t="s">
        <v>6627</v>
      </c>
      <c r="D2241" s="2" t="s">
        <v>10055</v>
      </c>
      <c r="E2241" s="15">
        <v>-0.11840000000000001</v>
      </c>
      <c r="F2241" s="15">
        <v>0.14829999999999999</v>
      </c>
      <c r="G2241" s="15">
        <v>-2.3E-2</v>
      </c>
      <c r="H2241" s="15">
        <v>0.1353</v>
      </c>
      <c r="I2241" s="15">
        <v>0.28025920711780739</v>
      </c>
    </row>
    <row r="2242" spans="1:9" x14ac:dyDescent="0.2">
      <c r="A2242" s="2" t="s">
        <v>6628</v>
      </c>
      <c r="B2242" s="2" t="s">
        <v>6586</v>
      </c>
      <c r="C2242" s="2" t="s">
        <v>6629</v>
      </c>
      <c r="D2242" s="2" t="s">
        <v>10055</v>
      </c>
      <c r="E2242" s="15">
        <v>0.14330000000000001</v>
      </c>
      <c r="F2242" s="15">
        <v>0.11899999999999999</v>
      </c>
    </row>
    <row r="2243" spans="1:9" x14ac:dyDescent="0.2">
      <c r="A2243" s="2" t="s">
        <v>6630</v>
      </c>
      <c r="B2243" s="2" t="s">
        <v>6586</v>
      </c>
      <c r="C2243" s="2" t="s">
        <v>6631</v>
      </c>
      <c r="D2243" s="2" t="s">
        <v>10055</v>
      </c>
      <c r="E2243" s="15">
        <v>-6.8000000000000005E-2</v>
      </c>
      <c r="F2243" s="15">
        <v>0.1487</v>
      </c>
      <c r="G2243" s="15">
        <v>-0.2218</v>
      </c>
      <c r="H2243" s="15">
        <v>0.1333</v>
      </c>
      <c r="I2243" s="15">
        <v>0.16763483860140449</v>
      </c>
    </row>
    <row r="2244" spans="1:9" x14ac:dyDescent="0.2">
      <c r="A2244" s="2" t="s">
        <v>6632</v>
      </c>
      <c r="B2244" s="2" t="s">
        <v>6586</v>
      </c>
      <c r="C2244" s="2" t="s">
        <v>6633</v>
      </c>
      <c r="D2244" s="2" t="s">
        <v>10055</v>
      </c>
      <c r="E2244" s="15">
        <v>-0.1489</v>
      </c>
      <c r="F2244" s="15">
        <v>9.8199999999999996E-2</v>
      </c>
      <c r="G2244" s="15">
        <v>-9.2100000000000001E-2</v>
      </c>
      <c r="H2244" s="15">
        <v>9.98E-2</v>
      </c>
      <c r="I2244" s="15">
        <v>0.31446771420155167</v>
      </c>
    </row>
    <row r="2245" spans="1:9" x14ac:dyDescent="0.2">
      <c r="A2245" s="2" t="s">
        <v>6634</v>
      </c>
      <c r="B2245" s="2" t="s">
        <v>6586</v>
      </c>
      <c r="C2245" s="2" t="s">
        <v>6635</v>
      </c>
      <c r="D2245" s="2" t="s">
        <v>10055</v>
      </c>
      <c r="G2245" s="15">
        <v>7.8E-2</v>
      </c>
      <c r="H2245" s="15">
        <v>0.16250000000000001</v>
      </c>
    </row>
    <row r="2246" spans="1:9" x14ac:dyDescent="0.2">
      <c r="A2246" s="2" t="s">
        <v>6636</v>
      </c>
      <c r="B2246" s="2" t="s">
        <v>6586</v>
      </c>
      <c r="C2246" s="2" t="s">
        <v>6637</v>
      </c>
      <c r="D2246" s="2" t="s">
        <v>10055</v>
      </c>
      <c r="E2246" s="15">
        <v>2.1000000000000001E-2</v>
      </c>
      <c r="F2246" s="15">
        <v>9.9299999999999999E-2</v>
      </c>
    </row>
    <row r="2247" spans="1:9" x14ac:dyDescent="0.2">
      <c r="A2247" s="2" t="s">
        <v>6638</v>
      </c>
      <c r="B2247" s="2" t="s">
        <v>6586</v>
      </c>
      <c r="C2247" s="2" t="s">
        <v>6639</v>
      </c>
      <c r="D2247" s="2" t="s">
        <v>10055</v>
      </c>
      <c r="E2247" s="15">
        <v>-1.3599999999999999E-2</v>
      </c>
      <c r="F2247" s="15">
        <v>0.16200000000000001</v>
      </c>
    </row>
    <row r="2248" spans="1:9" x14ac:dyDescent="0.2">
      <c r="A2248" s="2" t="s">
        <v>6640</v>
      </c>
      <c r="B2248" s="2" t="s">
        <v>6586</v>
      </c>
      <c r="C2248" s="2" t="s">
        <v>6641</v>
      </c>
      <c r="D2248" s="2" t="s">
        <v>10055</v>
      </c>
      <c r="G2248" s="15">
        <v>0.14199999999999999</v>
      </c>
      <c r="H2248" s="15">
        <v>0.21340000000000001</v>
      </c>
    </row>
    <row r="2249" spans="1:9" x14ac:dyDescent="0.2">
      <c r="A2249" s="2" t="s">
        <v>6642</v>
      </c>
      <c r="B2249" s="2" t="s">
        <v>6586</v>
      </c>
      <c r="C2249" s="2" t="s">
        <v>6643</v>
      </c>
      <c r="D2249" s="2" t="s">
        <v>10055</v>
      </c>
      <c r="E2249" s="15">
        <v>-0.23480000000000001</v>
      </c>
      <c r="F2249" s="15">
        <v>0.40310000000000001</v>
      </c>
      <c r="G2249" s="15">
        <v>6.2899999999999998E-2</v>
      </c>
      <c r="H2249" s="15">
        <v>0.22109999999999999</v>
      </c>
      <c r="I2249" s="15">
        <v>9.8771183410410135E-2</v>
      </c>
    </row>
    <row r="2250" spans="1:9" x14ac:dyDescent="0.2">
      <c r="A2250" s="2" t="s">
        <v>6644</v>
      </c>
      <c r="B2250" s="2" t="s">
        <v>6586</v>
      </c>
      <c r="C2250" s="2" t="s">
        <v>6645</v>
      </c>
      <c r="D2250" s="2" t="s">
        <v>10055</v>
      </c>
      <c r="E2250" s="15">
        <v>0.27950000000000003</v>
      </c>
      <c r="F2250" s="15">
        <v>0.1714</v>
      </c>
      <c r="G2250" s="15">
        <v>4.58E-2</v>
      </c>
      <c r="H2250" s="15">
        <v>0.12790000000000001</v>
      </c>
      <c r="I2250" s="15">
        <v>7.4855823539962354E-2</v>
      </c>
    </row>
    <row r="2251" spans="1:9" x14ac:dyDescent="0.2">
      <c r="A2251" s="2" t="s">
        <v>6646</v>
      </c>
      <c r="B2251" s="2" t="s">
        <v>6586</v>
      </c>
      <c r="C2251" s="2" t="s">
        <v>6647</v>
      </c>
      <c r="D2251" s="2" t="s">
        <v>10055</v>
      </c>
      <c r="E2251" s="15">
        <v>8.9399999999999993E-2</v>
      </c>
      <c r="F2251" s="15">
        <v>0.1065</v>
      </c>
      <c r="G2251" s="15">
        <v>4.6699999999999998E-2</v>
      </c>
      <c r="H2251" s="15">
        <v>0.1241</v>
      </c>
      <c r="I2251" s="15">
        <v>0.37799672167302778</v>
      </c>
    </row>
    <row r="2252" spans="1:9" x14ac:dyDescent="0.2">
      <c r="A2252" s="2" t="s">
        <v>6648</v>
      </c>
      <c r="B2252" s="2" t="s">
        <v>6586</v>
      </c>
      <c r="C2252" s="2" t="s">
        <v>6649</v>
      </c>
      <c r="D2252" s="2" t="s">
        <v>10055</v>
      </c>
      <c r="E2252" s="15">
        <v>5.62E-2</v>
      </c>
      <c r="F2252" s="15">
        <v>0.1547</v>
      </c>
      <c r="G2252" s="15">
        <v>-0.1109</v>
      </c>
      <c r="H2252" s="15">
        <v>0.17180000000000001</v>
      </c>
      <c r="I2252" s="15">
        <v>0.20390235241472909</v>
      </c>
    </row>
    <row r="2253" spans="1:9" x14ac:dyDescent="0.2">
      <c r="A2253" s="2" t="s">
        <v>6650</v>
      </c>
      <c r="B2253" s="2" t="s">
        <v>6586</v>
      </c>
      <c r="C2253" s="2" t="s">
        <v>6651</v>
      </c>
      <c r="D2253" s="2" t="s">
        <v>10055</v>
      </c>
      <c r="E2253" s="15">
        <v>0.15240000000000001</v>
      </c>
      <c r="F2253" s="15">
        <v>0.1124</v>
      </c>
      <c r="G2253" s="15">
        <v>-0.14879999999999999</v>
      </c>
      <c r="H2253" s="15">
        <v>0.11799999999999999</v>
      </c>
      <c r="I2253" s="15">
        <v>1.369493014432366E-2</v>
      </c>
    </row>
    <row r="2254" spans="1:9" x14ac:dyDescent="0.2">
      <c r="A2254" s="2" t="s">
        <v>6652</v>
      </c>
      <c r="B2254" s="2" t="s">
        <v>6586</v>
      </c>
      <c r="C2254" s="2" t="s">
        <v>6653</v>
      </c>
      <c r="D2254" s="2" t="s">
        <v>10055</v>
      </c>
      <c r="E2254" s="15">
        <v>1.1599999999999999E-2</v>
      </c>
      <c r="F2254" s="15">
        <v>0.10879999999999999</v>
      </c>
      <c r="G2254" s="15">
        <v>6.7400000000000002E-2</v>
      </c>
      <c r="H2254" s="15">
        <v>0.17319999999999999</v>
      </c>
      <c r="I2254" s="15">
        <v>0.38231230103592539</v>
      </c>
    </row>
    <row r="2255" spans="1:9" x14ac:dyDescent="0.2">
      <c r="A2255" s="2" t="s">
        <v>6654</v>
      </c>
      <c r="B2255" s="2" t="s">
        <v>6586</v>
      </c>
      <c r="C2255" s="2" t="s">
        <v>6655</v>
      </c>
      <c r="D2255" s="2" t="s">
        <v>10055</v>
      </c>
      <c r="E2255" s="15">
        <v>-1.26E-2</v>
      </c>
      <c r="F2255" s="15">
        <v>0.14419999999999999</v>
      </c>
    </row>
    <row r="2256" spans="1:9" x14ac:dyDescent="0.2">
      <c r="A2256" s="2" t="s">
        <v>6656</v>
      </c>
      <c r="B2256" s="2" t="s">
        <v>6586</v>
      </c>
      <c r="C2256" s="2" t="s">
        <v>6657</v>
      </c>
      <c r="D2256" s="2" t="s">
        <v>10055</v>
      </c>
      <c r="E2256" s="15">
        <v>-0.16789999999999999</v>
      </c>
      <c r="F2256" s="15">
        <v>0.2293</v>
      </c>
    </row>
    <row r="2257" spans="1:9" x14ac:dyDescent="0.2">
      <c r="A2257" s="2" t="s">
        <v>6658</v>
      </c>
      <c r="B2257" s="2" t="s">
        <v>6586</v>
      </c>
      <c r="C2257" s="2" t="s">
        <v>6659</v>
      </c>
      <c r="D2257" s="2" t="s">
        <v>10055</v>
      </c>
      <c r="E2257" s="15">
        <v>0.23899999999999999</v>
      </c>
      <c r="F2257" s="15">
        <v>0.15379999999999999</v>
      </c>
      <c r="G2257" s="15">
        <v>0.29659999999999997</v>
      </c>
      <c r="H2257" s="15">
        <v>1.2630999999999999</v>
      </c>
      <c r="I2257" s="15">
        <v>0.48185548597202082</v>
      </c>
    </row>
    <row r="2258" spans="1:9" x14ac:dyDescent="0.2">
      <c r="A2258" s="2" t="s">
        <v>6660</v>
      </c>
      <c r="B2258" s="2" t="s">
        <v>6586</v>
      </c>
      <c r="C2258" s="2" t="s">
        <v>6661</v>
      </c>
      <c r="D2258" s="2" t="s">
        <v>10055</v>
      </c>
      <c r="E2258" s="15">
        <v>0.1028</v>
      </c>
      <c r="F2258" s="15">
        <v>9.4799999999999995E-2</v>
      </c>
      <c r="G2258" s="15">
        <v>0.12239999999999999</v>
      </c>
      <c r="H2258" s="15">
        <v>0.11840000000000001</v>
      </c>
      <c r="I2258" s="15">
        <v>0.44613046003220719</v>
      </c>
    </row>
    <row r="2259" spans="1:9" x14ac:dyDescent="0.2">
      <c r="A2259" s="2" t="s">
        <v>6662</v>
      </c>
      <c r="B2259" s="2" t="s">
        <v>6586</v>
      </c>
      <c r="C2259" s="2" t="s">
        <v>6663</v>
      </c>
      <c r="D2259" s="2" t="s">
        <v>10055</v>
      </c>
      <c r="E2259" s="15">
        <v>-0.2898</v>
      </c>
      <c r="F2259" s="15">
        <v>0.1328</v>
      </c>
    </row>
    <row r="2260" spans="1:9" x14ac:dyDescent="0.2">
      <c r="A2260" s="2" t="s">
        <v>6664</v>
      </c>
      <c r="B2260" s="2" t="s">
        <v>6586</v>
      </c>
      <c r="C2260" s="2" t="s">
        <v>6665</v>
      </c>
      <c r="D2260" s="2" t="s">
        <v>10055</v>
      </c>
      <c r="E2260" s="15">
        <v>-5.4699999999999999E-2</v>
      </c>
      <c r="F2260" s="15">
        <v>0.1153</v>
      </c>
    </row>
    <row r="2261" spans="1:9" x14ac:dyDescent="0.2">
      <c r="A2261" s="2" t="s">
        <v>6666</v>
      </c>
      <c r="B2261" s="2" t="s">
        <v>6586</v>
      </c>
      <c r="C2261" s="2" t="s">
        <v>6667</v>
      </c>
      <c r="D2261" s="2" t="s">
        <v>10055</v>
      </c>
      <c r="G2261" s="15">
        <v>0.13800000000000001</v>
      </c>
      <c r="H2261" s="15">
        <v>0.18720000000000001</v>
      </c>
    </row>
    <row r="2262" spans="1:9" x14ac:dyDescent="0.2">
      <c r="A2262" s="2" t="s">
        <v>6668</v>
      </c>
      <c r="B2262" s="2" t="s">
        <v>6586</v>
      </c>
      <c r="C2262" s="2" t="s">
        <v>6669</v>
      </c>
      <c r="D2262" s="2" t="s">
        <v>10055</v>
      </c>
      <c r="E2262" s="15">
        <v>0.1522</v>
      </c>
      <c r="F2262" s="15">
        <v>0.17710000000000001</v>
      </c>
    </row>
    <row r="2263" spans="1:9" x14ac:dyDescent="0.2">
      <c r="A2263" s="2" t="s">
        <v>6670</v>
      </c>
      <c r="B2263" s="2" t="s">
        <v>6586</v>
      </c>
      <c r="C2263" s="2" t="s">
        <v>6671</v>
      </c>
      <c r="D2263" s="2" t="s">
        <v>10055</v>
      </c>
      <c r="E2263" s="15">
        <v>-0.1056</v>
      </c>
      <c r="F2263" s="15">
        <v>0.22720000000000001</v>
      </c>
      <c r="G2263" s="15">
        <v>0.27339999999999998</v>
      </c>
      <c r="H2263" s="15">
        <v>0.14929999999999999</v>
      </c>
      <c r="I2263" s="15">
        <v>1.393739405150801E-2</v>
      </c>
    </row>
    <row r="2264" spans="1:9" x14ac:dyDescent="0.2">
      <c r="A2264" s="2" t="s">
        <v>6672</v>
      </c>
      <c r="B2264" s="2" t="s">
        <v>6586</v>
      </c>
      <c r="C2264" s="2" t="s">
        <v>6673</v>
      </c>
      <c r="D2264" s="2" t="s">
        <v>10055</v>
      </c>
      <c r="E2264" s="15">
        <v>-9.5299999999999996E-2</v>
      </c>
      <c r="F2264" s="15">
        <v>0.1226</v>
      </c>
    </row>
    <row r="2265" spans="1:9" x14ac:dyDescent="0.2">
      <c r="A2265" s="2" t="s">
        <v>6674</v>
      </c>
      <c r="B2265" s="2" t="s">
        <v>6586</v>
      </c>
      <c r="C2265" s="2" t="s">
        <v>6675</v>
      </c>
      <c r="D2265" s="2" t="s">
        <v>10055</v>
      </c>
    </row>
    <row r="2266" spans="1:9" x14ac:dyDescent="0.2">
      <c r="A2266" s="2" t="s">
        <v>6676</v>
      </c>
      <c r="B2266" s="2" t="s">
        <v>6586</v>
      </c>
      <c r="C2266" s="2" t="s">
        <v>6677</v>
      </c>
      <c r="D2266" s="2" t="s">
        <v>10055</v>
      </c>
      <c r="G2266" s="15">
        <v>0.14119999999999999</v>
      </c>
      <c r="H2266" s="15">
        <v>0.1782</v>
      </c>
    </row>
    <row r="2267" spans="1:9" x14ac:dyDescent="0.2">
      <c r="A2267" s="2" t="s">
        <v>6678</v>
      </c>
      <c r="B2267" s="2" t="s">
        <v>6586</v>
      </c>
      <c r="C2267" s="2" t="s">
        <v>6679</v>
      </c>
      <c r="D2267" s="2" t="s">
        <v>10055</v>
      </c>
      <c r="E2267" s="15">
        <v>0.11310000000000001</v>
      </c>
      <c r="F2267" s="15">
        <v>0.33660000000000001</v>
      </c>
      <c r="G2267" s="15">
        <v>3.78E-2</v>
      </c>
      <c r="H2267" s="15">
        <v>0.16669999999999999</v>
      </c>
      <c r="I2267" s="15">
        <v>0.38575152519884132</v>
      </c>
    </row>
    <row r="2268" spans="1:9" x14ac:dyDescent="0.2">
      <c r="A2268" s="2" t="s">
        <v>6680</v>
      </c>
      <c r="B2268" s="2" t="s">
        <v>6586</v>
      </c>
      <c r="C2268" s="2" t="s">
        <v>6681</v>
      </c>
      <c r="D2268" s="2" t="s">
        <v>10055</v>
      </c>
      <c r="E2268" s="15">
        <v>-2.4899999999999999E-2</v>
      </c>
      <c r="F2268" s="15">
        <v>0.20530000000000001</v>
      </c>
      <c r="G2268" s="15">
        <v>6.1000000000000004E-3</v>
      </c>
      <c r="H2268" s="15">
        <v>0.12089999999999999</v>
      </c>
      <c r="I2268" s="15">
        <v>0.41587803099939691</v>
      </c>
    </row>
    <row r="2269" spans="1:9" x14ac:dyDescent="0.2">
      <c r="A2269" s="2" t="s">
        <v>6682</v>
      </c>
      <c r="B2269" s="2" t="s">
        <v>6586</v>
      </c>
      <c r="C2269" s="2" t="s">
        <v>6683</v>
      </c>
      <c r="D2269" s="2" t="s">
        <v>10055</v>
      </c>
      <c r="G2269" s="15">
        <v>-0.35570000000000002</v>
      </c>
      <c r="H2269" s="15">
        <v>0.55759999999999998</v>
      </c>
    </row>
    <row r="2270" spans="1:9" x14ac:dyDescent="0.2">
      <c r="A2270" s="2" t="s">
        <v>6684</v>
      </c>
      <c r="B2270" s="2" t="s">
        <v>6586</v>
      </c>
      <c r="C2270" s="2" t="s">
        <v>6685</v>
      </c>
      <c r="D2270" s="2" t="s">
        <v>10055</v>
      </c>
      <c r="E2270" s="15">
        <v>0.54500000000000004</v>
      </c>
      <c r="F2270" s="15">
        <v>0.69210000000000005</v>
      </c>
      <c r="G2270" s="15">
        <v>0.27139999999999997</v>
      </c>
      <c r="H2270" s="15">
        <v>1.2092000000000001</v>
      </c>
      <c r="I2270" s="15">
        <v>0.41227574738595391</v>
      </c>
    </row>
    <row r="2271" spans="1:9" x14ac:dyDescent="0.2">
      <c r="A2271" s="2" t="s">
        <v>6686</v>
      </c>
      <c r="B2271" s="2" t="s">
        <v>6586</v>
      </c>
      <c r="C2271" s="2" t="s">
        <v>6687</v>
      </c>
      <c r="D2271" s="2" t="s">
        <v>10055</v>
      </c>
      <c r="E2271" s="15">
        <v>7.9899999999999999E-2</v>
      </c>
      <c r="F2271" s="15">
        <v>0.16769999999999999</v>
      </c>
    </row>
    <row r="2272" spans="1:9" x14ac:dyDescent="0.2">
      <c r="A2272" s="2" t="s">
        <v>6688</v>
      </c>
      <c r="B2272" s="2" t="s">
        <v>6586</v>
      </c>
      <c r="C2272" s="2" t="s">
        <v>6689</v>
      </c>
      <c r="D2272" s="2" t="s">
        <v>10055</v>
      </c>
    </row>
    <row r="2273" spans="1:9" x14ac:dyDescent="0.2">
      <c r="A2273" s="2" t="s">
        <v>6690</v>
      </c>
      <c r="B2273" s="2" t="s">
        <v>6586</v>
      </c>
      <c r="C2273" s="2" t="s">
        <v>6691</v>
      </c>
      <c r="D2273" s="2" t="s">
        <v>10055</v>
      </c>
      <c r="E2273" s="15">
        <v>0.1056</v>
      </c>
      <c r="F2273" s="15">
        <v>0.13150000000000001</v>
      </c>
      <c r="G2273" s="15">
        <v>-3.7000000000000002E-3</v>
      </c>
      <c r="H2273" s="15">
        <v>0.13039999999999999</v>
      </c>
      <c r="I2273" s="15">
        <v>0.2405919040760551</v>
      </c>
    </row>
    <row r="2274" spans="1:9" x14ac:dyDescent="0.2">
      <c r="A2274" s="2" t="s">
        <v>6692</v>
      </c>
      <c r="B2274" s="2" t="s">
        <v>6586</v>
      </c>
      <c r="C2274" s="2" t="s">
        <v>6693</v>
      </c>
      <c r="D2274" s="2" t="s">
        <v>10055</v>
      </c>
    </row>
    <row r="2275" spans="1:9" x14ac:dyDescent="0.2">
      <c r="A2275" s="2" t="s">
        <v>6694</v>
      </c>
      <c r="B2275" s="2" t="s">
        <v>6586</v>
      </c>
      <c r="C2275" s="2" t="s">
        <v>6695</v>
      </c>
      <c r="D2275" s="2" t="s">
        <v>10055</v>
      </c>
      <c r="E2275" s="15">
        <v>-1.44E-2</v>
      </c>
      <c r="F2275" s="15">
        <v>0.12640000000000001</v>
      </c>
      <c r="G2275" s="15">
        <v>1.2999999999999999E-3</v>
      </c>
      <c r="H2275" s="15">
        <v>0.1183</v>
      </c>
      <c r="I2275" s="15">
        <v>0.45490341885388419</v>
      </c>
    </row>
    <row r="2276" spans="1:9" x14ac:dyDescent="0.2">
      <c r="A2276" s="2" t="s">
        <v>6696</v>
      </c>
      <c r="B2276" s="2" t="s">
        <v>6586</v>
      </c>
      <c r="C2276" s="2" t="s">
        <v>6697</v>
      </c>
      <c r="D2276" s="2" t="s">
        <v>10055</v>
      </c>
    </row>
    <row r="2277" spans="1:9" x14ac:dyDescent="0.2">
      <c r="A2277" s="2" t="s">
        <v>6698</v>
      </c>
      <c r="B2277" s="2" t="s">
        <v>6586</v>
      </c>
      <c r="C2277" s="2" t="s">
        <v>6699</v>
      </c>
      <c r="D2277" s="2" t="s">
        <v>10055</v>
      </c>
      <c r="E2277" s="15">
        <v>0.12820000000000001</v>
      </c>
      <c r="F2277" s="15">
        <v>0.4541</v>
      </c>
      <c r="G2277" s="15">
        <v>0.11990000000000001</v>
      </c>
      <c r="H2277" s="15">
        <v>0.16009999999999999</v>
      </c>
      <c r="I2277" s="15">
        <v>0.48100522696933362</v>
      </c>
    </row>
    <row r="2278" spans="1:9" x14ac:dyDescent="0.2">
      <c r="A2278" s="2" t="s">
        <v>6700</v>
      </c>
      <c r="B2278" s="2" t="s">
        <v>6586</v>
      </c>
      <c r="C2278" s="2" t="s">
        <v>6701</v>
      </c>
      <c r="D2278" s="2" t="s">
        <v>10055</v>
      </c>
      <c r="E2278" s="15">
        <v>3.09E-2</v>
      </c>
      <c r="F2278" s="15">
        <v>0.1169</v>
      </c>
      <c r="G2278" s="15">
        <v>0.11409999999999999</v>
      </c>
      <c r="H2278" s="15">
        <v>0.1903</v>
      </c>
      <c r="I2278" s="15">
        <v>0.34228219927148951</v>
      </c>
    </row>
    <row r="2279" spans="1:9" x14ac:dyDescent="0.2">
      <c r="A2279" s="2" t="s">
        <v>6702</v>
      </c>
      <c r="B2279" s="2" t="s">
        <v>6586</v>
      </c>
      <c r="C2279" s="2" t="s">
        <v>6703</v>
      </c>
      <c r="D2279" s="2" t="s">
        <v>10055</v>
      </c>
      <c r="E2279" s="15">
        <v>1.3899999999999999E-2</v>
      </c>
      <c r="F2279" s="15">
        <v>0.13039999999999999</v>
      </c>
      <c r="G2279" s="15">
        <v>0.2959</v>
      </c>
      <c r="H2279" s="15">
        <v>0.46760000000000002</v>
      </c>
      <c r="I2279" s="15">
        <v>0.27555646116558202</v>
      </c>
    </row>
    <row r="2280" spans="1:9" x14ac:dyDescent="0.2">
      <c r="A2280" s="2" t="s">
        <v>6704</v>
      </c>
      <c r="B2280" s="2" t="s">
        <v>6586</v>
      </c>
      <c r="C2280" s="2" t="s">
        <v>6705</v>
      </c>
      <c r="D2280" s="2" t="s">
        <v>10055</v>
      </c>
      <c r="E2280" s="15">
        <v>0.05</v>
      </c>
      <c r="F2280" s="15">
        <v>9.6500000000000002E-2</v>
      </c>
    </row>
    <row r="2281" spans="1:9" x14ac:dyDescent="0.2">
      <c r="A2281" s="2" t="s">
        <v>6706</v>
      </c>
      <c r="B2281" s="2" t="s">
        <v>6586</v>
      </c>
      <c r="C2281" s="2" t="s">
        <v>6707</v>
      </c>
      <c r="D2281" s="2" t="s">
        <v>10055</v>
      </c>
      <c r="E2281" s="15">
        <v>5.1700000000000003E-2</v>
      </c>
      <c r="F2281" s="15">
        <v>0.13250000000000001</v>
      </c>
      <c r="G2281" s="15">
        <v>-1.2E-2</v>
      </c>
      <c r="H2281" s="15">
        <v>0.14169999999999999</v>
      </c>
      <c r="I2281" s="15">
        <v>0.35198952808404621</v>
      </c>
    </row>
    <row r="2282" spans="1:9" x14ac:dyDescent="0.2">
      <c r="A2282" s="2" t="s">
        <v>6708</v>
      </c>
      <c r="B2282" s="2" t="s">
        <v>6586</v>
      </c>
      <c r="C2282" s="2" t="s">
        <v>6709</v>
      </c>
      <c r="D2282" s="2" t="s">
        <v>10055</v>
      </c>
    </row>
    <row r="2283" spans="1:9" x14ac:dyDescent="0.2">
      <c r="A2283" s="2" t="s">
        <v>6710</v>
      </c>
      <c r="B2283" s="2" t="s">
        <v>6586</v>
      </c>
      <c r="C2283" s="2" t="s">
        <v>6711</v>
      </c>
      <c r="D2283" s="2" t="s">
        <v>10055</v>
      </c>
      <c r="E2283" s="15">
        <v>0.12590000000000001</v>
      </c>
      <c r="F2283" s="15">
        <v>0.21329999999999999</v>
      </c>
      <c r="G2283" s="15">
        <v>2.7E-2</v>
      </c>
      <c r="H2283" s="15">
        <v>0.14860000000000001</v>
      </c>
      <c r="I2283" s="15">
        <v>0.29771816815687929</v>
      </c>
    </row>
    <row r="2284" spans="1:9" x14ac:dyDescent="0.2">
      <c r="A2284" s="2" t="s">
        <v>6712</v>
      </c>
      <c r="B2284" s="2" t="s">
        <v>6586</v>
      </c>
      <c r="C2284" s="2" t="s">
        <v>6713</v>
      </c>
      <c r="D2284" s="2" t="s">
        <v>10055</v>
      </c>
      <c r="E2284" s="15">
        <v>5.5300000000000002E-2</v>
      </c>
      <c r="F2284" s="15">
        <v>0.1502</v>
      </c>
    </row>
    <row r="2285" spans="1:9" x14ac:dyDescent="0.2">
      <c r="A2285" s="2" t="s">
        <v>6714</v>
      </c>
      <c r="B2285" s="2" t="s">
        <v>6586</v>
      </c>
      <c r="C2285" s="2" t="s">
        <v>6715</v>
      </c>
      <c r="D2285" s="2" t="s">
        <v>10055</v>
      </c>
      <c r="E2285" s="15">
        <v>-0.1177</v>
      </c>
      <c r="F2285" s="15">
        <v>0.11169999999999999</v>
      </c>
    </row>
    <row r="2286" spans="1:9" x14ac:dyDescent="0.2">
      <c r="A2286" s="2" t="s">
        <v>6716</v>
      </c>
      <c r="B2286" s="2" t="s">
        <v>6586</v>
      </c>
      <c r="C2286" s="2" t="s">
        <v>6717</v>
      </c>
      <c r="D2286" s="2" t="s">
        <v>10055</v>
      </c>
      <c r="E2286" s="15">
        <v>5.62E-2</v>
      </c>
      <c r="F2286" s="15">
        <v>0.1084</v>
      </c>
      <c r="G2286" s="15">
        <v>0.1754</v>
      </c>
      <c r="H2286" s="15">
        <v>0.3987</v>
      </c>
      <c r="I2286" s="15">
        <v>0.38454666517574149</v>
      </c>
    </row>
    <row r="2287" spans="1:9" x14ac:dyDescent="0.2">
      <c r="A2287" s="2" t="s">
        <v>6718</v>
      </c>
      <c r="B2287" s="2" t="s">
        <v>6586</v>
      </c>
      <c r="C2287" s="2" t="s">
        <v>6719</v>
      </c>
      <c r="D2287" s="2" t="s">
        <v>10055</v>
      </c>
      <c r="E2287" s="15">
        <v>9.5699999999999993E-2</v>
      </c>
      <c r="F2287" s="15">
        <v>0.13589999999999999</v>
      </c>
      <c r="G2287" s="15">
        <v>-0.1502</v>
      </c>
      <c r="H2287" s="15">
        <v>0.1094</v>
      </c>
      <c r="I2287" s="15">
        <v>2.5442936197978688E-2</v>
      </c>
    </row>
    <row r="2288" spans="1:9" x14ac:dyDescent="0.2">
      <c r="A2288" s="2" t="s">
        <v>6720</v>
      </c>
      <c r="B2288" s="2" t="s">
        <v>6586</v>
      </c>
      <c r="C2288" s="2" t="s">
        <v>6721</v>
      </c>
      <c r="D2288" s="2" t="s">
        <v>10055</v>
      </c>
      <c r="E2288" s="15">
        <v>-8.0699999999999994E-2</v>
      </c>
      <c r="F2288" s="15">
        <v>0.2341</v>
      </c>
    </row>
    <row r="2289" spans="1:9" x14ac:dyDescent="0.2">
      <c r="A2289" s="2" t="s">
        <v>6722</v>
      </c>
      <c r="B2289" s="2" t="s">
        <v>6586</v>
      </c>
      <c r="C2289" s="2" t="s">
        <v>6723</v>
      </c>
      <c r="D2289" s="2" t="s">
        <v>10055</v>
      </c>
      <c r="E2289" s="15">
        <v>-1.4E-2</v>
      </c>
      <c r="F2289" s="15">
        <v>0.19439999999999999</v>
      </c>
      <c r="G2289" s="15">
        <v>0.1203</v>
      </c>
      <c r="H2289" s="15">
        <v>0.10440000000000001</v>
      </c>
      <c r="I2289" s="15">
        <v>0.14599552632919829</v>
      </c>
    </row>
    <row r="2290" spans="1:9" x14ac:dyDescent="0.2">
      <c r="A2290" s="2" t="s">
        <v>6724</v>
      </c>
      <c r="B2290" s="2" t="s">
        <v>6586</v>
      </c>
      <c r="C2290" s="2" t="s">
        <v>6725</v>
      </c>
      <c r="D2290" s="2" t="s">
        <v>10055</v>
      </c>
      <c r="G2290" s="15">
        <v>-0.13070000000000001</v>
      </c>
      <c r="H2290" s="15">
        <v>0.23089999999999999</v>
      </c>
    </row>
    <row r="2291" spans="1:9" x14ac:dyDescent="0.2">
      <c r="A2291" s="2" t="s">
        <v>6726</v>
      </c>
      <c r="B2291" s="2" t="s">
        <v>6586</v>
      </c>
      <c r="C2291" s="2" t="s">
        <v>6727</v>
      </c>
      <c r="D2291" s="2" t="s">
        <v>10055</v>
      </c>
      <c r="E2291" s="15">
        <v>-0.16370000000000001</v>
      </c>
      <c r="F2291" s="15">
        <v>0.12959999999999999</v>
      </c>
      <c r="G2291" s="15">
        <v>7.4999999999999997E-3</v>
      </c>
      <c r="H2291" s="15">
        <v>0.1052</v>
      </c>
      <c r="I2291" s="15">
        <v>9.0221911442680949E-2</v>
      </c>
    </row>
    <row r="2292" spans="1:9" x14ac:dyDescent="0.2">
      <c r="A2292" s="2" t="s">
        <v>6728</v>
      </c>
      <c r="B2292" s="2" t="s">
        <v>6586</v>
      </c>
      <c r="C2292" s="2" t="s">
        <v>6729</v>
      </c>
      <c r="D2292" s="2" t="s">
        <v>10055</v>
      </c>
      <c r="E2292" s="15">
        <v>0.20760000000000001</v>
      </c>
      <c r="F2292" s="15">
        <v>0.26960000000000001</v>
      </c>
      <c r="G2292" s="15">
        <v>0.1148</v>
      </c>
      <c r="H2292" s="15">
        <v>0.1716</v>
      </c>
      <c r="I2292" s="15">
        <v>0.31033767544651042</v>
      </c>
    </row>
    <row r="2293" spans="1:9" x14ac:dyDescent="0.2">
      <c r="A2293" s="2" t="s">
        <v>6730</v>
      </c>
      <c r="B2293" s="2" t="s">
        <v>6586</v>
      </c>
      <c r="C2293" s="2" t="s">
        <v>6731</v>
      </c>
      <c r="D2293" s="2" t="s">
        <v>10055</v>
      </c>
      <c r="G2293" s="15">
        <v>-0.20710000000000001</v>
      </c>
      <c r="H2293" s="15">
        <v>0.11609999999999999</v>
      </c>
    </row>
    <row r="2294" spans="1:9" x14ac:dyDescent="0.2">
      <c r="A2294" s="2" t="s">
        <v>6732</v>
      </c>
      <c r="B2294" s="2" t="s">
        <v>6586</v>
      </c>
      <c r="C2294" s="2" t="s">
        <v>6733</v>
      </c>
      <c r="D2294" s="2" t="s">
        <v>10055</v>
      </c>
      <c r="E2294" s="15">
        <v>-4.82E-2</v>
      </c>
      <c r="F2294" s="15">
        <v>0.1202</v>
      </c>
      <c r="G2294" s="15">
        <v>2.41E-2</v>
      </c>
      <c r="H2294" s="15">
        <v>0.17899999999999999</v>
      </c>
      <c r="I2294" s="15">
        <v>0.36441142852410019</v>
      </c>
    </row>
    <row r="2295" spans="1:9" x14ac:dyDescent="0.2">
      <c r="A2295" s="2" t="s">
        <v>6734</v>
      </c>
      <c r="B2295" s="2" t="s">
        <v>6586</v>
      </c>
      <c r="C2295" s="2" t="s">
        <v>6735</v>
      </c>
      <c r="D2295" s="2" t="s">
        <v>10055</v>
      </c>
      <c r="E2295" s="15">
        <v>-0.13619999999999999</v>
      </c>
      <c r="F2295" s="15">
        <v>0.10929999999999999</v>
      </c>
      <c r="G2295" s="15">
        <v>0.14829999999999999</v>
      </c>
      <c r="H2295" s="15">
        <v>0.36120000000000002</v>
      </c>
      <c r="I2295" s="15">
        <v>0.21976596138911739</v>
      </c>
    </row>
    <row r="2296" spans="1:9" x14ac:dyDescent="0.2">
      <c r="A2296" s="2" t="s">
        <v>6736</v>
      </c>
      <c r="B2296" s="2" t="s">
        <v>6586</v>
      </c>
      <c r="C2296" s="2" t="s">
        <v>6737</v>
      </c>
      <c r="D2296" s="2" t="s">
        <v>10055</v>
      </c>
      <c r="E2296" s="15">
        <v>0.2263</v>
      </c>
      <c r="F2296" s="15">
        <v>0.25419999999999998</v>
      </c>
      <c r="G2296" s="15">
        <v>5.4600000000000003E-2</v>
      </c>
      <c r="H2296" s="15">
        <v>0.12889999999999999</v>
      </c>
      <c r="I2296" s="15">
        <v>0.16152058038690209</v>
      </c>
    </row>
    <row r="2297" spans="1:9" x14ac:dyDescent="0.2">
      <c r="A2297" s="2" t="s">
        <v>6738</v>
      </c>
      <c r="B2297" s="2" t="s">
        <v>6586</v>
      </c>
      <c r="C2297" s="2" t="s">
        <v>6739</v>
      </c>
      <c r="D2297" s="2" t="s">
        <v>10055</v>
      </c>
      <c r="E2297" s="15">
        <v>-1.41E-2</v>
      </c>
      <c r="F2297" s="15">
        <v>0.159</v>
      </c>
      <c r="G2297" s="15">
        <v>0.24940000000000001</v>
      </c>
      <c r="H2297" s="15">
        <v>0.25940000000000002</v>
      </c>
      <c r="I2297" s="15">
        <v>0.18696077614825851</v>
      </c>
    </row>
    <row r="2298" spans="1:9" x14ac:dyDescent="0.2">
      <c r="A2298" s="2" t="s">
        <v>6740</v>
      </c>
      <c r="B2298" s="2" t="s">
        <v>6586</v>
      </c>
      <c r="C2298" s="2" t="s">
        <v>6741</v>
      </c>
      <c r="D2298" s="2" t="s">
        <v>10055</v>
      </c>
      <c r="E2298" s="15">
        <v>-0.18279999999999999</v>
      </c>
      <c r="F2298" s="15">
        <v>0.1457</v>
      </c>
      <c r="G2298" s="15">
        <v>-0.1032</v>
      </c>
      <c r="H2298" s="15">
        <v>0.1278</v>
      </c>
      <c r="I2298" s="15">
        <v>0.3315554098022051</v>
      </c>
    </row>
    <row r="2299" spans="1:9" x14ac:dyDescent="0.2">
      <c r="A2299" s="2" t="s">
        <v>6742</v>
      </c>
      <c r="B2299" s="2" t="s">
        <v>6586</v>
      </c>
      <c r="C2299" s="2" t="s">
        <v>6743</v>
      </c>
      <c r="D2299" s="2" t="s">
        <v>10055</v>
      </c>
      <c r="E2299" s="15">
        <v>-1.15E-2</v>
      </c>
      <c r="F2299" s="15">
        <v>9.0200000000000002E-2</v>
      </c>
      <c r="G2299" s="15">
        <v>7.7499999999999999E-2</v>
      </c>
      <c r="H2299" s="15">
        <v>9.6100000000000005E-2</v>
      </c>
      <c r="I2299" s="15">
        <v>0.21180527255572359</v>
      </c>
    </row>
    <row r="2300" spans="1:9" x14ac:dyDescent="0.2">
      <c r="A2300" s="2" t="s">
        <v>6744</v>
      </c>
      <c r="B2300" s="2" t="s">
        <v>6586</v>
      </c>
      <c r="C2300" s="2" t="s">
        <v>6745</v>
      </c>
      <c r="D2300" s="2" t="s">
        <v>10055</v>
      </c>
      <c r="E2300" s="15">
        <v>0.22700000000000001</v>
      </c>
      <c r="F2300" s="15">
        <v>0.16619999999999999</v>
      </c>
      <c r="G2300" s="15">
        <v>5.1400000000000001E-2</v>
      </c>
      <c r="H2300" s="15">
        <v>0.1013</v>
      </c>
      <c r="I2300" s="15">
        <v>0.10618048143888199</v>
      </c>
    </row>
    <row r="2301" spans="1:9" x14ac:dyDescent="0.2">
      <c r="A2301" s="2" t="s">
        <v>6746</v>
      </c>
      <c r="B2301" s="2" t="s">
        <v>6586</v>
      </c>
      <c r="C2301" s="2" t="s">
        <v>6747</v>
      </c>
      <c r="D2301" s="2" t="s">
        <v>10055</v>
      </c>
      <c r="E2301" s="15">
        <v>3.7100000000000001E-2</v>
      </c>
      <c r="F2301" s="15">
        <v>0.10150000000000001</v>
      </c>
      <c r="G2301" s="15">
        <v>-3.3099999999999997E-2</v>
      </c>
      <c r="H2301" s="15">
        <v>9.0300000000000005E-2</v>
      </c>
      <c r="I2301" s="15">
        <v>0.25758552930211293</v>
      </c>
    </row>
    <row r="2302" spans="1:9" x14ac:dyDescent="0.2">
      <c r="A2302" s="2" t="s">
        <v>6748</v>
      </c>
      <c r="B2302" s="2" t="s">
        <v>6586</v>
      </c>
      <c r="C2302" s="2" t="s">
        <v>6749</v>
      </c>
      <c r="D2302" s="2" t="s">
        <v>10055</v>
      </c>
      <c r="E2302" s="15">
        <v>0.17949999999999999</v>
      </c>
      <c r="F2302" s="15">
        <v>0.12570000000000001</v>
      </c>
    </row>
    <row r="2303" spans="1:9" x14ac:dyDescent="0.2">
      <c r="A2303" s="2" t="s">
        <v>6750</v>
      </c>
      <c r="B2303" s="2" t="s">
        <v>6586</v>
      </c>
      <c r="C2303" s="2" t="s">
        <v>6751</v>
      </c>
      <c r="D2303" s="2" t="s">
        <v>10055</v>
      </c>
      <c r="E2303" s="15">
        <v>-6.7000000000000002E-3</v>
      </c>
      <c r="F2303" s="15">
        <v>0.1484</v>
      </c>
    </row>
    <row r="2304" spans="1:9" x14ac:dyDescent="0.2">
      <c r="A2304" s="2" t="s">
        <v>6752</v>
      </c>
      <c r="B2304" s="2" t="s">
        <v>6586</v>
      </c>
      <c r="C2304" s="2" t="s">
        <v>6753</v>
      </c>
      <c r="D2304" s="2" t="s">
        <v>10055</v>
      </c>
      <c r="E2304" s="15">
        <v>-8.6699999999999999E-2</v>
      </c>
      <c r="F2304" s="15">
        <v>0.1106</v>
      </c>
      <c r="G2304" s="15">
        <v>0.13689999999999999</v>
      </c>
      <c r="H2304" s="15">
        <v>0.12620000000000001</v>
      </c>
      <c r="I2304" s="15">
        <v>6.1462160193827713E-2</v>
      </c>
    </row>
    <row r="2305" spans="1:9" x14ac:dyDescent="0.2">
      <c r="A2305" s="2" t="s">
        <v>6754</v>
      </c>
      <c r="B2305" s="2" t="s">
        <v>6586</v>
      </c>
      <c r="C2305" s="2" t="s">
        <v>6755</v>
      </c>
      <c r="D2305" s="2" t="s">
        <v>10055</v>
      </c>
      <c r="E2305" s="15">
        <v>-0.16750000000000001</v>
      </c>
      <c r="F2305" s="15">
        <v>0.1933</v>
      </c>
    </row>
    <row r="2306" spans="1:9" x14ac:dyDescent="0.2">
      <c r="A2306" s="2" t="s">
        <v>6756</v>
      </c>
      <c r="B2306" s="2" t="s">
        <v>6586</v>
      </c>
      <c r="C2306" s="2" t="s">
        <v>6757</v>
      </c>
      <c r="D2306" s="2" t="s">
        <v>10055</v>
      </c>
      <c r="E2306" s="15">
        <v>0.13519999999999999</v>
      </c>
      <c r="F2306" s="15">
        <v>0.123</v>
      </c>
      <c r="G2306" s="15">
        <v>-1.9199999999999998E-2</v>
      </c>
      <c r="H2306" s="15">
        <v>0.1036</v>
      </c>
      <c r="I2306" s="15">
        <v>0.14889201132279539</v>
      </c>
    </row>
    <row r="2307" spans="1:9" x14ac:dyDescent="0.2">
      <c r="A2307" s="2" t="s">
        <v>6758</v>
      </c>
      <c r="B2307" s="2" t="s">
        <v>6586</v>
      </c>
      <c r="C2307" s="2" t="s">
        <v>6759</v>
      </c>
      <c r="D2307" s="2" t="s">
        <v>10055</v>
      </c>
      <c r="E2307" s="15">
        <v>8.6E-3</v>
      </c>
      <c r="F2307" s="15">
        <v>0.18029999999999999</v>
      </c>
      <c r="G2307" s="15">
        <v>7.6799999999999993E-2</v>
      </c>
      <c r="H2307" s="15">
        <v>0.1074</v>
      </c>
      <c r="I2307" s="15">
        <v>0.29424744813820169</v>
      </c>
    </row>
    <row r="2308" spans="1:9" x14ac:dyDescent="0.2">
      <c r="A2308" s="2" t="s">
        <v>6760</v>
      </c>
      <c r="B2308" s="2" t="s">
        <v>6586</v>
      </c>
      <c r="C2308" s="2" t="s">
        <v>6761</v>
      </c>
      <c r="D2308" s="2" t="s">
        <v>10055</v>
      </c>
      <c r="E2308" s="15">
        <v>0.1363</v>
      </c>
      <c r="F2308" s="15">
        <v>0.1431</v>
      </c>
      <c r="G2308" s="15">
        <v>0.2026</v>
      </c>
      <c r="H2308" s="15">
        <v>0.13400000000000001</v>
      </c>
      <c r="I2308" s="15">
        <v>0.36189360934931641</v>
      </c>
    </row>
    <row r="2309" spans="1:9" x14ac:dyDescent="0.2">
      <c r="A2309" s="2" t="s">
        <v>6762</v>
      </c>
      <c r="B2309" s="2" t="s">
        <v>6586</v>
      </c>
      <c r="C2309" s="2" t="s">
        <v>6763</v>
      </c>
      <c r="D2309" s="2" t="s">
        <v>10055</v>
      </c>
      <c r="E2309" s="15">
        <v>-0.2621</v>
      </c>
      <c r="F2309" s="15">
        <v>0.2571</v>
      </c>
      <c r="G2309" s="15">
        <v>0.30080000000000001</v>
      </c>
      <c r="H2309" s="15">
        <v>0.30659999999999998</v>
      </c>
      <c r="I2309" s="15">
        <v>3.9041026385642837E-2</v>
      </c>
    </row>
    <row r="2310" spans="1:9" x14ac:dyDescent="0.2">
      <c r="A2310" s="2" t="s">
        <v>6764</v>
      </c>
      <c r="B2310" s="2" t="s">
        <v>6586</v>
      </c>
      <c r="C2310" s="2" t="s">
        <v>6765</v>
      </c>
      <c r="D2310" s="2" t="s">
        <v>10055</v>
      </c>
      <c r="E2310" s="15">
        <v>0.26579999999999998</v>
      </c>
      <c r="F2310" s="15">
        <v>0.18140000000000001</v>
      </c>
    </row>
    <row r="2311" spans="1:9" x14ac:dyDescent="0.2">
      <c r="A2311" s="2" t="s">
        <v>6766</v>
      </c>
      <c r="B2311" s="2" t="s">
        <v>6586</v>
      </c>
      <c r="C2311" s="2" t="s">
        <v>6767</v>
      </c>
      <c r="D2311" s="2" t="s">
        <v>10055</v>
      </c>
      <c r="E2311" s="15">
        <v>-1.8599999999999998E-2</v>
      </c>
      <c r="F2311" s="15">
        <v>0.21640000000000001</v>
      </c>
      <c r="G2311" s="15">
        <v>-3.2899999999999999E-2</v>
      </c>
      <c r="H2311" s="15">
        <v>0.13239999999999999</v>
      </c>
      <c r="I2311" s="15">
        <v>0.46371642254630557</v>
      </c>
    </row>
    <row r="2312" spans="1:9" x14ac:dyDescent="0.2">
      <c r="A2312" s="2" t="s">
        <v>6768</v>
      </c>
      <c r="B2312" s="2" t="s">
        <v>6586</v>
      </c>
      <c r="C2312" s="2" t="s">
        <v>6769</v>
      </c>
      <c r="D2312" s="2" t="s">
        <v>10055</v>
      </c>
      <c r="E2312" s="15">
        <v>-0.1105</v>
      </c>
      <c r="F2312" s="15">
        <v>0.2281</v>
      </c>
      <c r="G2312" s="15">
        <v>0.1178</v>
      </c>
      <c r="H2312" s="15">
        <v>0.1133</v>
      </c>
      <c r="I2312" s="15">
        <v>4.0596753369921218E-2</v>
      </c>
    </row>
    <row r="2313" spans="1:9" x14ac:dyDescent="0.2">
      <c r="A2313" s="2" t="s">
        <v>6770</v>
      </c>
      <c r="B2313" s="2" t="s">
        <v>6586</v>
      </c>
      <c r="C2313" s="2" t="s">
        <v>6771</v>
      </c>
      <c r="D2313" s="2" t="s">
        <v>10055</v>
      </c>
      <c r="E2313" s="15">
        <v>0.25940000000000002</v>
      </c>
      <c r="F2313" s="15">
        <v>0.20230000000000001</v>
      </c>
      <c r="G2313" s="15">
        <v>-0.1206</v>
      </c>
      <c r="H2313" s="15">
        <v>0.17399999999999999</v>
      </c>
      <c r="I2313" s="15">
        <v>3.2033657237605262E-2</v>
      </c>
    </row>
    <row r="2314" spans="1:9" x14ac:dyDescent="0.2">
      <c r="A2314" s="2" t="s">
        <v>6772</v>
      </c>
      <c r="B2314" s="2" t="s">
        <v>6586</v>
      </c>
      <c r="C2314" s="2" t="s">
        <v>6773</v>
      </c>
      <c r="D2314" s="2" t="s">
        <v>10055</v>
      </c>
      <c r="G2314" s="15">
        <v>-3.5499999999999997E-2</v>
      </c>
      <c r="H2314" s="15">
        <v>0.1152</v>
      </c>
    </row>
    <row r="2315" spans="1:9" x14ac:dyDescent="0.2">
      <c r="A2315" s="2" t="s">
        <v>6774</v>
      </c>
      <c r="B2315" s="2" t="s">
        <v>6586</v>
      </c>
      <c r="C2315" s="2" t="s">
        <v>6775</v>
      </c>
      <c r="D2315" s="2" t="s">
        <v>10055</v>
      </c>
      <c r="G2315" s="15">
        <v>-9.9900000000000003E-2</v>
      </c>
      <c r="H2315" s="15">
        <v>0.2162</v>
      </c>
    </row>
    <row r="2316" spans="1:9" x14ac:dyDescent="0.2">
      <c r="A2316" s="2" t="s">
        <v>6776</v>
      </c>
      <c r="B2316" s="2" t="s">
        <v>6586</v>
      </c>
      <c r="C2316" s="2" t="s">
        <v>6777</v>
      </c>
      <c r="D2316" s="2" t="s">
        <v>10055</v>
      </c>
      <c r="E2316" s="15">
        <v>-5.4399999999999997E-2</v>
      </c>
      <c r="F2316" s="15">
        <v>0.11260000000000001</v>
      </c>
      <c r="G2316" s="15">
        <v>-4.3999999999999997E-2</v>
      </c>
      <c r="H2316" s="15">
        <v>0.12330000000000001</v>
      </c>
      <c r="I2316" s="15">
        <v>0.47264264520749888</v>
      </c>
    </row>
    <row r="2317" spans="1:9" x14ac:dyDescent="0.2">
      <c r="A2317" s="2" t="s">
        <v>6778</v>
      </c>
      <c r="B2317" s="2" t="s">
        <v>6586</v>
      </c>
      <c r="C2317" s="2" t="s">
        <v>6779</v>
      </c>
      <c r="D2317" s="2" t="s">
        <v>10055</v>
      </c>
      <c r="E2317" s="15">
        <v>-7.85E-2</v>
      </c>
      <c r="F2317" s="15">
        <v>0.1086</v>
      </c>
    </row>
    <row r="2318" spans="1:9" x14ac:dyDescent="0.2">
      <c r="A2318" s="2" t="s">
        <v>6780</v>
      </c>
      <c r="B2318" s="2" t="s">
        <v>6586</v>
      </c>
      <c r="C2318" s="2" t="s">
        <v>6781</v>
      </c>
      <c r="D2318" s="2" t="s">
        <v>10055</v>
      </c>
      <c r="G2318" s="15">
        <v>-0.2271</v>
      </c>
      <c r="H2318" s="15">
        <v>0.1013</v>
      </c>
    </row>
    <row r="2319" spans="1:9" x14ac:dyDescent="0.2">
      <c r="A2319" s="2" t="s">
        <v>6782</v>
      </c>
      <c r="B2319" s="2" t="s">
        <v>6586</v>
      </c>
      <c r="C2319" s="2" t="s">
        <v>6783</v>
      </c>
      <c r="D2319" s="2" t="s">
        <v>10055</v>
      </c>
      <c r="E2319" s="15">
        <v>9.3299999999999994E-2</v>
      </c>
      <c r="F2319" s="15">
        <v>0.1923</v>
      </c>
    </row>
    <row r="2320" spans="1:9" x14ac:dyDescent="0.2">
      <c r="A2320" s="2" t="s">
        <v>6784</v>
      </c>
      <c r="B2320" s="2" t="s">
        <v>6586</v>
      </c>
      <c r="C2320" s="2" t="s">
        <v>6785</v>
      </c>
      <c r="D2320" s="2" t="s">
        <v>10055</v>
      </c>
      <c r="E2320" s="15">
        <v>-0.18099999999999999</v>
      </c>
      <c r="F2320" s="15">
        <v>0.1182</v>
      </c>
    </row>
    <row r="2321" spans="1:9" x14ac:dyDescent="0.2">
      <c r="A2321" s="2" t="s">
        <v>6786</v>
      </c>
      <c r="B2321" s="2" t="s">
        <v>6586</v>
      </c>
      <c r="C2321" s="2" t="s">
        <v>6787</v>
      </c>
      <c r="D2321" s="2" t="s">
        <v>10055</v>
      </c>
      <c r="E2321" s="15">
        <v>-6.4000000000000001E-2</v>
      </c>
      <c r="F2321" s="15">
        <v>0.11020000000000001</v>
      </c>
      <c r="G2321" s="15">
        <v>-5.7999999999999996E-3</v>
      </c>
      <c r="H2321" s="15">
        <v>0.16159999999999999</v>
      </c>
      <c r="I2321" s="15">
        <v>0.37358785217749668</v>
      </c>
    </row>
    <row r="2322" spans="1:9" x14ac:dyDescent="0.2">
      <c r="A2322" s="2" t="s">
        <v>6788</v>
      </c>
      <c r="B2322" s="2" t="s">
        <v>6586</v>
      </c>
      <c r="C2322" s="2" t="s">
        <v>6789</v>
      </c>
      <c r="D2322" s="2" t="s">
        <v>10055</v>
      </c>
      <c r="E2322" s="15">
        <v>5.4699999999999999E-2</v>
      </c>
      <c r="F2322" s="15">
        <v>8.4500000000000006E-2</v>
      </c>
      <c r="G2322" s="15">
        <v>-0.21809999999999999</v>
      </c>
      <c r="H2322" s="15">
        <v>0.15390000000000001</v>
      </c>
      <c r="I2322" s="15">
        <v>5.5439799786074113E-2</v>
      </c>
    </row>
    <row r="2323" spans="1:9" x14ac:dyDescent="0.2">
      <c r="A2323" s="2" t="s">
        <v>6790</v>
      </c>
      <c r="B2323" s="2" t="s">
        <v>6586</v>
      </c>
      <c r="C2323" s="2" t="s">
        <v>6791</v>
      </c>
      <c r="D2323" s="2" t="s">
        <v>10055</v>
      </c>
      <c r="E2323" s="15">
        <v>2.76E-2</v>
      </c>
      <c r="F2323" s="15">
        <v>0.10630000000000001</v>
      </c>
      <c r="G2323" s="15">
        <v>-0.161</v>
      </c>
      <c r="H2323" s="15">
        <v>0.113</v>
      </c>
      <c r="I2323" s="15">
        <v>7.5870046123807378E-2</v>
      </c>
    </row>
    <row r="2324" spans="1:9" x14ac:dyDescent="0.2">
      <c r="A2324" s="2" t="s">
        <v>6792</v>
      </c>
      <c r="B2324" s="2" t="s">
        <v>6586</v>
      </c>
      <c r="C2324" s="2" t="s">
        <v>6793</v>
      </c>
      <c r="D2324" s="2" t="s">
        <v>10055</v>
      </c>
      <c r="E2324" s="15">
        <v>0.19939999999999999</v>
      </c>
      <c r="F2324" s="15">
        <v>0.20449999999999999</v>
      </c>
      <c r="G2324" s="15">
        <v>3.2500000000000001E-2</v>
      </c>
      <c r="H2324" s="15">
        <v>0.1258</v>
      </c>
      <c r="I2324" s="15">
        <v>0.16757003647087701</v>
      </c>
    </row>
    <row r="2325" spans="1:9" x14ac:dyDescent="0.2">
      <c r="A2325" s="2" t="s">
        <v>6794</v>
      </c>
      <c r="B2325" s="2" t="s">
        <v>6586</v>
      </c>
      <c r="C2325" s="2" t="s">
        <v>6795</v>
      </c>
      <c r="D2325" s="2" t="s">
        <v>10055</v>
      </c>
      <c r="E2325" s="15">
        <v>0.23880000000000001</v>
      </c>
      <c r="F2325" s="15">
        <v>0.33119999999999999</v>
      </c>
      <c r="G2325" s="15">
        <v>4.6600000000000003E-2</v>
      </c>
      <c r="H2325" s="15">
        <v>0.1222</v>
      </c>
      <c r="I2325" s="15">
        <v>9.9960559048103539E-2</v>
      </c>
    </row>
    <row r="2326" spans="1:9" x14ac:dyDescent="0.2">
      <c r="A2326" s="2" t="s">
        <v>6796</v>
      </c>
      <c r="B2326" s="2" t="s">
        <v>6586</v>
      </c>
      <c r="C2326" s="2" t="s">
        <v>6797</v>
      </c>
      <c r="D2326" s="2" t="s">
        <v>10055</v>
      </c>
      <c r="E2326" s="15">
        <v>-0.1575</v>
      </c>
      <c r="F2326" s="15">
        <v>0.1057</v>
      </c>
      <c r="G2326" s="15">
        <v>0.2283</v>
      </c>
      <c r="H2326" s="15">
        <v>0.18110000000000001</v>
      </c>
      <c r="I2326" s="15">
        <v>2.1768123342575961E-2</v>
      </c>
    </row>
    <row r="2327" spans="1:9" x14ac:dyDescent="0.2">
      <c r="A2327" s="2" t="s">
        <v>6798</v>
      </c>
      <c r="B2327" s="2" t="s">
        <v>6586</v>
      </c>
      <c r="C2327" s="2" t="s">
        <v>6799</v>
      </c>
      <c r="D2327" s="2" t="s">
        <v>10055</v>
      </c>
    </row>
    <row r="2328" spans="1:9" x14ac:dyDescent="0.2">
      <c r="A2328" s="2" t="s">
        <v>6800</v>
      </c>
      <c r="B2328" s="2" t="s">
        <v>6586</v>
      </c>
      <c r="C2328" s="2" t="s">
        <v>6801</v>
      </c>
      <c r="D2328" s="2" t="s">
        <v>10055</v>
      </c>
      <c r="E2328" s="15">
        <v>-0.12529999999999999</v>
      </c>
      <c r="F2328" s="15">
        <v>9.6799999999999997E-2</v>
      </c>
      <c r="G2328" s="15">
        <v>-0.10929999999999999</v>
      </c>
      <c r="H2328" s="15">
        <v>0.13850000000000001</v>
      </c>
      <c r="I2328" s="15">
        <v>0.45934860067579908</v>
      </c>
    </row>
    <row r="2329" spans="1:9" x14ac:dyDescent="0.2">
      <c r="A2329" s="2" t="s">
        <v>6802</v>
      </c>
      <c r="B2329" s="2" t="s">
        <v>6586</v>
      </c>
      <c r="C2329" s="2" t="s">
        <v>6803</v>
      </c>
      <c r="D2329" s="2" t="s">
        <v>10055</v>
      </c>
      <c r="E2329" s="15">
        <v>0.1404</v>
      </c>
      <c r="F2329" s="15">
        <v>0.1195</v>
      </c>
      <c r="G2329" s="15">
        <v>-5.04E-2</v>
      </c>
      <c r="H2329" s="15">
        <v>0.1734</v>
      </c>
      <c r="I2329" s="15">
        <v>0.16910595367334039</v>
      </c>
    </row>
    <row r="2330" spans="1:9" x14ac:dyDescent="0.2">
      <c r="A2330" s="2" t="s">
        <v>6804</v>
      </c>
      <c r="B2330" s="2" t="s">
        <v>6586</v>
      </c>
      <c r="C2330" s="2" t="s">
        <v>6805</v>
      </c>
      <c r="D2330" s="2" t="s">
        <v>10055</v>
      </c>
      <c r="E2330" s="15">
        <v>0.1032</v>
      </c>
      <c r="F2330" s="15">
        <v>0.12429999999999999</v>
      </c>
      <c r="G2330" s="15">
        <v>0.16539999999999999</v>
      </c>
      <c r="H2330" s="15">
        <v>0.1404</v>
      </c>
      <c r="I2330" s="15">
        <v>0.35490026543217318</v>
      </c>
    </row>
    <row r="2331" spans="1:9" x14ac:dyDescent="0.2">
      <c r="A2331" s="2" t="s">
        <v>6806</v>
      </c>
      <c r="B2331" s="2" t="s">
        <v>6586</v>
      </c>
      <c r="C2331" s="2" t="s">
        <v>6807</v>
      </c>
      <c r="D2331" s="2" t="s">
        <v>10055</v>
      </c>
      <c r="E2331" s="15">
        <v>-2.2100000000000002E-2</v>
      </c>
      <c r="F2331" s="15">
        <v>0.1033</v>
      </c>
      <c r="G2331" s="15">
        <v>-8.4599999999999995E-2</v>
      </c>
      <c r="H2331" s="15">
        <v>0.12959999999999999</v>
      </c>
      <c r="I2331" s="15">
        <v>0.33143768919533961</v>
      </c>
    </row>
    <row r="2332" spans="1:9" x14ac:dyDescent="0.2">
      <c r="A2332" s="2" t="s">
        <v>6808</v>
      </c>
      <c r="B2332" s="2" t="s">
        <v>6586</v>
      </c>
      <c r="C2332" s="2" t="s">
        <v>6809</v>
      </c>
      <c r="D2332" s="2" t="s">
        <v>10055</v>
      </c>
      <c r="E2332" s="15">
        <v>2.0400000000000001E-2</v>
      </c>
      <c r="F2332" s="15">
        <v>0.12720000000000001</v>
      </c>
      <c r="G2332" s="15">
        <v>0.22689999999999999</v>
      </c>
      <c r="H2332" s="15">
        <v>0.18229999999999999</v>
      </c>
      <c r="I2332" s="15">
        <v>0.16949760856976329</v>
      </c>
    </row>
    <row r="2333" spans="1:9" x14ac:dyDescent="0.2">
      <c r="A2333" s="2" t="s">
        <v>6810</v>
      </c>
      <c r="B2333" s="2" t="s">
        <v>6586</v>
      </c>
      <c r="C2333" s="2" t="s">
        <v>6811</v>
      </c>
      <c r="D2333" s="2" t="s">
        <v>10055</v>
      </c>
      <c r="E2333" s="15">
        <v>0.34489999999999998</v>
      </c>
      <c r="F2333" s="15">
        <v>0.12839999999999999</v>
      </c>
    </row>
    <row r="2334" spans="1:9" x14ac:dyDescent="0.2">
      <c r="A2334" s="2" t="s">
        <v>6812</v>
      </c>
      <c r="B2334" s="2" t="s">
        <v>6586</v>
      </c>
      <c r="C2334" s="2" t="s">
        <v>6813</v>
      </c>
      <c r="D2334" s="2" t="s">
        <v>10055</v>
      </c>
      <c r="E2334" s="15">
        <v>1.9599999999999999E-2</v>
      </c>
      <c r="F2334" s="15">
        <v>0.15890000000000001</v>
      </c>
      <c r="G2334" s="15">
        <v>-0.1227</v>
      </c>
      <c r="H2334" s="15">
        <v>0.12609999999999999</v>
      </c>
      <c r="I2334" s="15">
        <v>0.167405598771211</v>
      </c>
    </row>
    <row r="2335" spans="1:9" x14ac:dyDescent="0.2">
      <c r="A2335" s="2" t="s">
        <v>6814</v>
      </c>
      <c r="B2335" s="2" t="s">
        <v>6586</v>
      </c>
      <c r="C2335" s="2" t="s">
        <v>6815</v>
      </c>
      <c r="D2335" s="2" t="s">
        <v>10055</v>
      </c>
      <c r="E2335" s="15">
        <v>-0.4506</v>
      </c>
      <c r="F2335" s="15">
        <v>0.63019999999999998</v>
      </c>
    </row>
    <row r="2336" spans="1:9" x14ac:dyDescent="0.2">
      <c r="A2336" s="2" t="s">
        <v>6816</v>
      </c>
      <c r="B2336" s="2" t="s">
        <v>6586</v>
      </c>
      <c r="C2336" s="2" t="s">
        <v>6817</v>
      </c>
      <c r="D2336" s="2" t="s">
        <v>10055</v>
      </c>
      <c r="E2336" s="15">
        <v>4.0500000000000001E-2</v>
      </c>
      <c r="F2336" s="15">
        <v>0.19650000000000001</v>
      </c>
    </row>
    <row r="2337" spans="1:9" x14ac:dyDescent="0.2">
      <c r="A2337" s="2" t="s">
        <v>6818</v>
      </c>
      <c r="B2337" s="2" t="s">
        <v>6586</v>
      </c>
      <c r="C2337" s="2" t="s">
        <v>6819</v>
      </c>
      <c r="D2337" s="2" t="s">
        <v>10055</v>
      </c>
      <c r="E2337" s="15">
        <v>-0.10979999999999999</v>
      </c>
      <c r="F2337" s="15">
        <v>0.23799999999999999</v>
      </c>
      <c r="G2337" s="15">
        <v>0.25390000000000001</v>
      </c>
      <c r="H2337" s="15">
        <v>0.26569999999999999</v>
      </c>
      <c r="I2337" s="15">
        <v>0.11795768031282711</v>
      </c>
    </row>
    <row r="2338" spans="1:9" x14ac:dyDescent="0.2">
      <c r="A2338" s="2" t="s">
        <v>6820</v>
      </c>
      <c r="B2338" s="2" t="s">
        <v>6586</v>
      </c>
      <c r="C2338" s="2" t="s">
        <v>6821</v>
      </c>
      <c r="D2338" s="2" t="s">
        <v>10055</v>
      </c>
      <c r="E2338" s="15">
        <v>-9.7999999999999997E-3</v>
      </c>
      <c r="F2338" s="15">
        <v>0.113</v>
      </c>
      <c r="G2338" s="15">
        <v>-0.22850000000000001</v>
      </c>
      <c r="H2338" s="15">
        <v>0.2782</v>
      </c>
      <c r="I2338" s="15">
        <v>0.22389793227743249</v>
      </c>
    </row>
    <row r="2339" spans="1:9" x14ac:dyDescent="0.2">
      <c r="A2339" s="2" t="s">
        <v>6822</v>
      </c>
      <c r="B2339" s="2" t="s">
        <v>6586</v>
      </c>
      <c r="C2339" s="2" t="s">
        <v>6823</v>
      </c>
      <c r="D2339" s="2" t="s">
        <v>10055</v>
      </c>
      <c r="E2339" s="15">
        <v>-2.8500000000000001E-2</v>
      </c>
      <c r="F2339" s="15">
        <v>0.13150000000000001</v>
      </c>
      <c r="G2339" s="15">
        <v>-6.5500000000000003E-2</v>
      </c>
      <c r="H2339" s="15">
        <v>9.4799999999999995E-2</v>
      </c>
      <c r="I2339" s="15">
        <v>0.37418548113387601</v>
      </c>
    </row>
    <row r="2340" spans="1:9" x14ac:dyDescent="0.2">
      <c r="A2340" s="2" t="s">
        <v>6824</v>
      </c>
      <c r="B2340" s="2" t="s">
        <v>6586</v>
      </c>
      <c r="C2340" s="2" t="s">
        <v>6825</v>
      </c>
      <c r="D2340" s="2" t="s">
        <v>10055</v>
      </c>
      <c r="E2340" s="15">
        <v>-5.1000000000000004E-3</v>
      </c>
      <c r="F2340" s="15">
        <v>0.1086</v>
      </c>
      <c r="G2340" s="15">
        <v>1.7600000000000001E-2</v>
      </c>
      <c r="H2340" s="15">
        <v>9.1399999999999995E-2</v>
      </c>
      <c r="I2340" s="15">
        <v>0.42547792454446381</v>
      </c>
    </row>
    <row r="2341" spans="1:9" x14ac:dyDescent="0.2">
      <c r="A2341" s="2" t="s">
        <v>6826</v>
      </c>
      <c r="B2341" s="2" t="s">
        <v>6586</v>
      </c>
      <c r="C2341" s="2" t="s">
        <v>6827</v>
      </c>
      <c r="D2341" s="2" t="s">
        <v>10055</v>
      </c>
      <c r="E2341" s="15">
        <v>-6.83E-2</v>
      </c>
      <c r="F2341" s="15">
        <v>0.15620000000000001</v>
      </c>
      <c r="G2341" s="15">
        <v>-7.0400000000000004E-2</v>
      </c>
      <c r="H2341" s="15">
        <v>0.23380000000000001</v>
      </c>
      <c r="I2341" s="15">
        <v>0.49666802629665457</v>
      </c>
    </row>
    <row r="2342" spans="1:9" x14ac:dyDescent="0.2">
      <c r="A2342" s="2" t="s">
        <v>6828</v>
      </c>
      <c r="B2342" s="2" t="s">
        <v>6586</v>
      </c>
      <c r="C2342" s="2" t="s">
        <v>6829</v>
      </c>
      <c r="D2342" s="2" t="s">
        <v>10055</v>
      </c>
    </row>
    <row r="2343" spans="1:9" x14ac:dyDescent="0.2">
      <c r="A2343" s="2" t="s">
        <v>6830</v>
      </c>
      <c r="B2343" s="2" t="s">
        <v>6586</v>
      </c>
      <c r="C2343" s="2" t="s">
        <v>6831</v>
      </c>
      <c r="D2343" s="2" t="s">
        <v>10055</v>
      </c>
      <c r="G2343" s="15">
        <v>-0.30630000000000002</v>
      </c>
      <c r="H2343" s="15">
        <v>0.2974</v>
      </c>
    </row>
    <row r="2344" spans="1:9" x14ac:dyDescent="0.2">
      <c r="A2344" s="2" t="s">
        <v>6832</v>
      </c>
      <c r="B2344" s="2" t="s">
        <v>6586</v>
      </c>
      <c r="C2344" s="2" t="s">
        <v>6833</v>
      </c>
      <c r="D2344" s="2" t="s">
        <v>10055</v>
      </c>
    </row>
    <row r="2345" spans="1:9" x14ac:dyDescent="0.2">
      <c r="A2345" s="2" t="s">
        <v>6834</v>
      </c>
      <c r="B2345" s="2" t="s">
        <v>6586</v>
      </c>
      <c r="C2345" s="2" t="s">
        <v>6835</v>
      </c>
      <c r="D2345" s="2" t="s">
        <v>10055</v>
      </c>
      <c r="E2345" s="15">
        <v>-3.0800000000000001E-2</v>
      </c>
      <c r="F2345" s="15">
        <v>0.1144</v>
      </c>
      <c r="G2345" s="15">
        <v>-0.2341</v>
      </c>
      <c r="H2345" s="15">
        <v>0.31619999999999998</v>
      </c>
      <c r="I2345" s="15">
        <v>0.26486681676995177</v>
      </c>
    </row>
    <row r="2346" spans="1:9" x14ac:dyDescent="0.2">
      <c r="A2346" s="2" t="s">
        <v>6836</v>
      </c>
      <c r="B2346" s="2" t="s">
        <v>6586</v>
      </c>
      <c r="C2346" s="2" t="s">
        <v>6837</v>
      </c>
      <c r="D2346" s="2" t="s">
        <v>10055</v>
      </c>
      <c r="E2346" s="15">
        <v>-0.14299999999999999</v>
      </c>
      <c r="F2346" s="15">
        <v>0.1177</v>
      </c>
      <c r="G2346" s="15">
        <v>-9.6299999999999997E-2</v>
      </c>
      <c r="H2346" s="15">
        <v>0.1108</v>
      </c>
      <c r="I2346" s="15">
        <v>0.35928186902921572</v>
      </c>
    </row>
    <row r="2347" spans="1:9" x14ac:dyDescent="0.2">
      <c r="A2347" s="2" t="s">
        <v>6838</v>
      </c>
      <c r="B2347" s="2" t="s">
        <v>6586</v>
      </c>
      <c r="C2347" s="2" t="s">
        <v>6839</v>
      </c>
      <c r="D2347" s="2" t="s">
        <v>10055</v>
      </c>
    </row>
    <row r="2348" spans="1:9" x14ac:dyDescent="0.2">
      <c r="A2348" s="2" t="s">
        <v>6840</v>
      </c>
      <c r="B2348" s="2" t="s">
        <v>6586</v>
      </c>
      <c r="C2348" s="2" t="s">
        <v>6841</v>
      </c>
      <c r="D2348" s="2" t="s">
        <v>10055</v>
      </c>
      <c r="E2348" s="15">
        <v>4.1099999999999998E-2</v>
      </c>
      <c r="F2348" s="15">
        <v>0.1171</v>
      </c>
      <c r="G2348" s="15">
        <v>-3.7100000000000001E-2</v>
      </c>
      <c r="H2348" s="15">
        <v>0.1167</v>
      </c>
      <c r="I2348" s="15">
        <v>0.30339104989177951</v>
      </c>
    </row>
    <row r="2349" spans="1:9" x14ac:dyDescent="0.2">
      <c r="A2349" s="2" t="s">
        <v>6842</v>
      </c>
      <c r="B2349" s="2" t="s">
        <v>6586</v>
      </c>
      <c r="C2349" s="2" t="s">
        <v>6843</v>
      </c>
      <c r="D2349" s="2" t="s">
        <v>10055</v>
      </c>
      <c r="E2349" s="15">
        <v>0.1273</v>
      </c>
      <c r="F2349" s="15">
        <v>0.1007</v>
      </c>
      <c r="G2349" s="15">
        <v>6.9599999999999995E-2</v>
      </c>
      <c r="H2349" s="15">
        <v>0.14419999999999999</v>
      </c>
      <c r="I2349" s="15">
        <v>0.36125943399556909</v>
      </c>
    </row>
    <row r="2350" spans="1:9" x14ac:dyDescent="0.2">
      <c r="A2350" s="2" t="s">
        <v>6844</v>
      </c>
      <c r="B2350" s="2" t="s">
        <v>6586</v>
      </c>
      <c r="C2350" s="2" t="s">
        <v>6845</v>
      </c>
      <c r="D2350" s="2" t="s">
        <v>10055</v>
      </c>
      <c r="E2350" s="15">
        <v>4.7999999999999996E-3</v>
      </c>
      <c r="F2350" s="15">
        <v>0.12909999999999999</v>
      </c>
      <c r="G2350" s="15">
        <v>0.1056</v>
      </c>
      <c r="H2350" s="15">
        <v>0.12479999999999999</v>
      </c>
      <c r="I2350" s="15">
        <v>0.26247323914190818</v>
      </c>
    </row>
    <row r="2351" spans="1:9" x14ac:dyDescent="0.2">
      <c r="A2351" s="2" t="s">
        <v>6846</v>
      </c>
      <c r="B2351" s="2" t="s">
        <v>6586</v>
      </c>
      <c r="C2351" s="2" t="s">
        <v>6847</v>
      </c>
      <c r="D2351" s="2" t="s">
        <v>10055</v>
      </c>
      <c r="E2351" s="15">
        <v>-0.3664</v>
      </c>
      <c r="F2351" s="15">
        <v>0.59540000000000004</v>
      </c>
    </row>
    <row r="2352" spans="1:9" x14ac:dyDescent="0.2">
      <c r="A2352" s="2" t="s">
        <v>6848</v>
      </c>
      <c r="B2352" s="2" t="s">
        <v>6586</v>
      </c>
      <c r="C2352" s="2" t="s">
        <v>6849</v>
      </c>
      <c r="D2352" s="2" t="s">
        <v>10055</v>
      </c>
      <c r="E2352" s="15">
        <v>-2.3300000000000001E-2</v>
      </c>
      <c r="F2352" s="15">
        <v>0.1096</v>
      </c>
      <c r="G2352" s="15">
        <v>0.433</v>
      </c>
      <c r="H2352" s="15">
        <v>0.53720000000000001</v>
      </c>
      <c r="I2352" s="15">
        <v>0.20147265840521611</v>
      </c>
    </row>
    <row r="2353" spans="1:9" x14ac:dyDescent="0.2">
      <c r="A2353" s="2" t="s">
        <v>6850</v>
      </c>
      <c r="B2353" s="2" t="s">
        <v>6586</v>
      </c>
      <c r="C2353" s="2" t="s">
        <v>6851</v>
      </c>
      <c r="D2353" s="2" t="s">
        <v>10055</v>
      </c>
      <c r="E2353" s="15">
        <v>0.1285</v>
      </c>
      <c r="F2353" s="15">
        <v>0.1203</v>
      </c>
      <c r="G2353" s="15">
        <v>-0.11700000000000001</v>
      </c>
      <c r="H2353" s="15">
        <v>0.15010000000000001</v>
      </c>
      <c r="I2353" s="15">
        <v>6.6084273939392313E-2</v>
      </c>
    </row>
    <row r="2354" spans="1:9" x14ac:dyDescent="0.2">
      <c r="A2354" s="2" t="s">
        <v>6852</v>
      </c>
      <c r="B2354" s="2" t="s">
        <v>6586</v>
      </c>
      <c r="C2354" s="2" t="s">
        <v>6853</v>
      </c>
      <c r="D2354" s="2" t="s">
        <v>10055</v>
      </c>
      <c r="E2354" s="15">
        <v>-0.1404</v>
      </c>
      <c r="F2354" s="15">
        <v>0.2253</v>
      </c>
      <c r="G2354" s="15">
        <v>-5.2999999999999999E-2</v>
      </c>
      <c r="H2354" s="15">
        <v>0.15959999999999999</v>
      </c>
      <c r="I2354" s="15">
        <v>0.31667972674211692</v>
      </c>
    </row>
    <row r="2355" spans="1:9" x14ac:dyDescent="0.2">
      <c r="A2355" s="2" t="s">
        <v>6854</v>
      </c>
      <c r="B2355" s="2" t="s">
        <v>6586</v>
      </c>
      <c r="C2355" s="2" t="s">
        <v>6855</v>
      </c>
      <c r="D2355" s="2" t="s">
        <v>10055</v>
      </c>
      <c r="E2355" s="15">
        <v>0.27179999999999999</v>
      </c>
      <c r="F2355" s="15">
        <v>0.24160000000000001</v>
      </c>
      <c r="G2355" s="15">
        <v>6.7999999999999996E-3</v>
      </c>
      <c r="H2355" s="15">
        <v>0.1394</v>
      </c>
      <c r="I2355" s="15">
        <v>4.8104319674765708E-2</v>
      </c>
    </row>
    <row r="2356" spans="1:9" x14ac:dyDescent="0.2">
      <c r="A2356" s="2" t="s">
        <v>6856</v>
      </c>
      <c r="B2356" s="2" t="s">
        <v>6586</v>
      </c>
      <c r="C2356" s="2" t="s">
        <v>6857</v>
      </c>
      <c r="D2356" s="2" t="s">
        <v>10055</v>
      </c>
      <c r="E2356" s="15">
        <v>0.2427</v>
      </c>
      <c r="F2356" s="15">
        <v>0.151</v>
      </c>
      <c r="G2356" s="15">
        <v>7.3200000000000001E-2</v>
      </c>
      <c r="H2356" s="15">
        <v>0.25990000000000002</v>
      </c>
      <c r="I2356" s="15">
        <v>0.269444311444342</v>
      </c>
    </row>
    <row r="2357" spans="1:9" x14ac:dyDescent="0.2">
      <c r="A2357" s="2" t="s">
        <v>6858</v>
      </c>
      <c r="B2357" s="2" t="s">
        <v>6586</v>
      </c>
      <c r="C2357" s="2" t="s">
        <v>6859</v>
      </c>
      <c r="D2357" s="2" t="s">
        <v>10055</v>
      </c>
      <c r="E2357" s="15">
        <v>-0.14199999999999999</v>
      </c>
      <c r="F2357" s="15">
        <v>0.15770000000000001</v>
      </c>
      <c r="G2357" s="15">
        <v>-1.11E-2</v>
      </c>
      <c r="H2357" s="15">
        <v>0.12740000000000001</v>
      </c>
      <c r="I2357" s="15">
        <v>0.19601519828405159</v>
      </c>
    </row>
    <row r="2358" spans="1:9" x14ac:dyDescent="0.2">
      <c r="A2358" s="2" t="s">
        <v>6860</v>
      </c>
      <c r="B2358" s="2" t="s">
        <v>6586</v>
      </c>
      <c r="C2358" s="2" t="s">
        <v>6861</v>
      </c>
      <c r="D2358" s="2" t="s">
        <v>10055</v>
      </c>
      <c r="E2358" s="15">
        <v>0.1502</v>
      </c>
      <c r="F2358" s="15">
        <v>0.14019999999999999</v>
      </c>
      <c r="G2358" s="15">
        <v>1.37E-2</v>
      </c>
      <c r="H2358" s="15">
        <v>0.1091</v>
      </c>
      <c r="I2358" s="15">
        <v>0.14044912886701311</v>
      </c>
    </row>
    <row r="2359" spans="1:9" x14ac:dyDescent="0.2">
      <c r="A2359" s="2" t="s">
        <v>6862</v>
      </c>
      <c r="B2359" s="2" t="s">
        <v>6586</v>
      </c>
      <c r="C2359" s="2" t="s">
        <v>6863</v>
      </c>
      <c r="D2359" s="2" t="s">
        <v>10055</v>
      </c>
      <c r="E2359" s="15">
        <v>-0.39340000000000003</v>
      </c>
      <c r="F2359" s="15">
        <v>0.14099999999999999</v>
      </c>
      <c r="G2359" s="15">
        <v>2.3199999999999998E-2</v>
      </c>
      <c r="H2359" s="15">
        <v>0.1338</v>
      </c>
      <c r="I2359" s="15">
        <v>3.3296859245935538E-3</v>
      </c>
    </row>
    <row r="2360" spans="1:9" x14ac:dyDescent="0.2">
      <c r="A2360" s="2" t="s">
        <v>6864</v>
      </c>
      <c r="B2360" s="2" t="s">
        <v>6586</v>
      </c>
      <c r="C2360" s="2" t="s">
        <v>6865</v>
      </c>
      <c r="D2360" s="2" t="s">
        <v>10055</v>
      </c>
      <c r="G2360" s="15">
        <v>0.08</v>
      </c>
      <c r="H2360" s="15">
        <v>0.61280000000000001</v>
      </c>
    </row>
    <row r="2361" spans="1:9" x14ac:dyDescent="0.2">
      <c r="A2361" s="2" t="s">
        <v>6866</v>
      </c>
      <c r="B2361" s="2" t="s">
        <v>6586</v>
      </c>
      <c r="C2361" s="2" t="s">
        <v>6867</v>
      </c>
      <c r="D2361" s="2" t="s">
        <v>10055</v>
      </c>
      <c r="E2361" s="15">
        <v>-0.37540000000000001</v>
      </c>
      <c r="F2361" s="15">
        <v>0.41820000000000002</v>
      </c>
      <c r="G2361" s="15">
        <v>6.8699999999999997E-2</v>
      </c>
      <c r="H2361" s="15">
        <v>0.15279999999999999</v>
      </c>
      <c r="I2361" s="15">
        <v>5.5557609854932069E-3</v>
      </c>
    </row>
    <row r="2362" spans="1:9" x14ac:dyDescent="0.2">
      <c r="A2362" s="2" t="s">
        <v>6868</v>
      </c>
      <c r="B2362" s="2" t="s">
        <v>6586</v>
      </c>
      <c r="C2362" s="2" t="s">
        <v>6869</v>
      </c>
      <c r="D2362" s="2" t="s">
        <v>10055</v>
      </c>
      <c r="E2362" s="15">
        <v>-0.22939999999999999</v>
      </c>
      <c r="F2362" s="15">
        <v>0.15690000000000001</v>
      </c>
      <c r="G2362" s="15">
        <v>-3.6299999999999999E-2</v>
      </c>
      <c r="H2362" s="15">
        <v>0.24429999999999999</v>
      </c>
      <c r="I2362" s="15">
        <v>0.22753202325415051</v>
      </c>
    </row>
    <row r="2363" spans="1:9" x14ac:dyDescent="0.2">
      <c r="A2363" s="2" t="s">
        <v>6870</v>
      </c>
      <c r="B2363" s="2" t="s">
        <v>6586</v>
      </c>
      <c r="C2363" s="2" t="s">
        <v>6871</v>
      </c>
      <c r="D2363" s="2" t="s">
        <v>10055</v>
      </c>
      <c r="E2363" s="15">
        <v>-0.216</v>
      </c>
      <c r="F2363" s="15">
        <v>0.19719999999999999</v>
      </c>
      <c r="G2363" s="15">
        <v>-0.1229</v>
      </c>
      <c r="H2363" s="15">
        <v>0.2261</v>
      </c>
      <c r="I2363" s="15">
        <v>0.35566278092349091</v>
      </c>
    </row>
    <row r="2364" spans="1:9" x14ac:dyDescent="0.2">
      <c r="A2364" s="2" t="s">
        <v>6872</v>
      </c>
      <c r="B2364" s="2" t="s">
        <v>6586</v>
      </c>
      <c r="C2364" s="2" t="s">
        <v>6873</v>
      </c>
      <c r="D2364" s="2" t="s">
        <v>10055</v>
      </c>
      <c r="E2364" s="15">
        <v>0.21240000000000001</v>
      </c>
      <c r="F2364" s="15">
        <v>0.15079999999999999</v>
      </c>
    </row>
    <row r="2365" spans="1:9" x14ac:dyDescent="0.2">
      <c r="A2365" s="2" t="s">
        <v>6874</v>
      </c>
      <c r="B2365" s="2" t="s">
        <v>6586</v>
      </c>
      <c r="C2365" s="2" t="s">
        <v>6875</v>
      </c>
      <c r="D2365" s="2" t="s">
        <v>10055</v>
      </c>
      <c r="E2365" s="15">
        <v>5.1999999999999998E-3</v>
      </c>
      <c r="F2365" s="15">
        <v>0.2132</v>
      </c>
      <c r="G2365" s="15">
        <v>-0.2208</v>
      </c>
      <c r="H2365" s="15">
        <v>0.19089999999999999</v>
      </c>
      <c r="I2365" s="15">
        <v>0.14434826997479391</v>
      </c>
    </row>
    <row r="2366" spans="1:9" x14ac:dyDescent="0.2">
      <c r="A2366" s="2" t="s">
        <v>6876</v>
      </c>
      <c r="B2366" s="2" t="s">
        <v>6586</v>
      </c>
      <c r="C2366" s="2" t="s">
        <v>6877</v>
      </c>
      <c r="D2366" s="2" t="s">
        <v>10055</v>
      </c>
      <c r="E2366" s="15">
        <v>7.9799999999999996E-2</v>
      </c>
      <c r="F2366" s="15">
        <v>9.4600000000000004E-2</v>
      </c>
    </row>
    <row r="2367" spans="1:9" x14ac:dyDescent="0.2">
      <c r="A2367" s="2" t="s">
        <v>6878</v>
      </c>
      <c r="B2367" s="2" t="s">
        <v>6586</v>
      </c>
      <c r="C2367" s="2" t="s">
        <v>6879</v>
      </c>
      <c r="D2367" s="2" t="s">
        <v>10055</v>
      </c>
      <c r="E2367" s="15">
        <v>0.1353</v>
      </c>
      <c r="F2367" s="15">
        <v>0.1321</v>
      </c>
      <c r="G2367" s="15">
        <v>-0.1019</v>
      </c>
      <c r="H2367" s="15">
        <v>0.22289999999999999</v>
      </c>
      <c r="I2367" s="15">
        <v>0.165269285424476</v>
      </c>
    </row>
    <row r="2368" spans="1:9" x14ac:dyDescent="0.2">
      <c r="A2368" s="2" t="s">
        <v>6880</v>
      </c>
      <c r="B2368" s="2" t="s">
        <v>6586</v>
      </c>
      <c r="C2368" s="2" t="s">
        <v>6881</v>
      </c>
      <c r="D2368" s="2" t="s">
        <v>10055</v>
      </c>
      <c r="E2368" s="15">
        <v>0.128</v>
      </c>
      <c r="F2368" s="15">
        <v>0.115</v>
      </c>
      <c r="G2368" s="15">
        <v>-3.2000000000000002E-3</v>
      </c>
      <c r="H2368" s="15">
        <v>0.16</v>
      </c>
      <c r="I2368" s="15">
        <v>0.23299957767202681</v>
      </c>
    </row>
    <row r="2369" spans="1:9" x14ac:dyDescent="0.2">
      <c r="A2369" s="2" t="s">
        <v>6882</v>
      </c>
      <c r="B2369" s="2" t="s">
        <v>6586</v>
      </c>
      <c r="C2369" s="2" t="s">
        <v>6883</v>
      </c>
      <c r="D2369" s="2" t="s">
        <v>10055</v>
      </c>
      <c r="E2369" s="15">
        <v>0.20680000000000001</v>
      </c>
      <c r="F2369" s="15">
        <v>0.1163</v>
      </c>
      <c r="G2369" s="15">
        <v>-3.5799999999999998E-2</v>
      </c>
      <c r="H2369" s="15">
        <v>0.1469</v>
      </c>
      <c r="I2369" s="15">
        <v>8.5152899008906421E-2</v>
      </c>
    </row>
    <row r="2370" spans="1:9" x14ac:dyDescent="0.2">
      <c r="A2370" s="2" t="s">
        <v>6884</v>
      </c>
      <c r="B2370" s="2" t="s">
        <v>6586</v>
      </c>
      <c r="C2370" s="2" t="s">
        <v>6885</v>
      </c>
      <c r="D2370" s="2" t="s">
        <v>10055</v>
      </c>
      <c r="E2370" s="15">
        <v>-2.92E-2</v>
      </c>
      <c r="F2370" s="15">
        <v>0.21279999999999999</v>
      </c>
      <c r="G2370" s="15">
        <v>2.4199999999999999E-2</v>
      </c>
      <c r="H2370" s="15">
        <v>0.2</v>
      </c>
      <c r="I2370" s="15">
        <v>0.40203857867596848</v>
      </c>
    </row>
    <row r="2371" spans="1:9" x14ac:dyDescent="0.2">
      <c r="A2371" s="2" t="s">
        <v>6886</v>
      </c>
      <c r="B2371" s="2" t="s">
        <v>6586</v>
      </c>
      <c r="C2371" s="2" t="s">
        <v>6887</v>
      </c>
      <c r="D2371" s="2" t="s">
        <v>10055</v>
      </c>
      <c r="E2371" s="15">
        <v>-0.14849999999999999</v>
      </c>
      <c r="F2371" s="15">
        <v>0.13150000000000001</v>
      </c>
      <c r="G2371" s="15">
        <v>0.1071</v>
      </c>
      <c r="H2371" s="15">
        <v>0.15090000000000001</v>
      </c>
      <c r="I2371" s="15">
        <v>6.3755078802301121E-2</v>
      </c>
    </row>
    <row r="2372" spans="1:9" x14ac:dyDescent="0.2">
      <c r="A2372" s="2" t="s">
        <v>6888</v>
      </c>
      <c r="B2372" s="2" t="s">
        <v>6586</v>
      </c>
      <c r="C2372" s="2" t="s">
        <v>6889</v>
      </c>
      <c r="D2372" s="2" t="s">
        <v>10055</v>
      </c>
      <c r="E2372" s="15">
        <v>6.4000000000000003E-3</v>
      </c>
      <c r="F2372" s="15">
        <v>0.2616</v>
      </c>
    </row>
    <row r="2373" spans="1:9" x14ac:dyDescent="0.2">
      <c r="A2373" s="2" t="s">
        <v>6890</v>
      </c>
      <c r="B2373" s="2" t="s">
        <v>6586</v>
      </c>
      <c r="C2373" s="2" t="s">
        <v>6891</v>
      </c>
      <c r="D2373" s="2" t="s">
        <v>10055</v>
      </c>
      <c r="E2373" s="15">
        <v>0.41470000000000001</v>
      </c>
      <c r="F2373" s="15">
        <v>0.8619</v>
      </c>
      <c r="G2373" s="15">
        <v>4.0300000000000002E-2</v>
      </c>
      <c r="H2373" s="15">
        <v>0.14280000000000001</v>
      </c>
      <c r="I2373" s="15">
        <v>1.069666196812385E-2</v>
      </c>
    </row>
    <row r="2374" spans="1:9" x14ac:dyDescent="0.2">
      <c r="A2374" s="2" t="s">
        <v>6892</v>
      </c>
      <c r="B2374" s="2" t="s">
        <v>6586</v>
      </c>
      <c r="C2374" s="2" t="s">
        <v>6893</v>
      </c>
      <c r="D2374" s="2" t="s">
        <v>10055</v>
      </c>
      <c r="E2374" s="15">
        <v>0.37780000000000002</v>
      </c>
      <c r="F2374" s="15">
        <v>0.2671</v>
      </c>
    </row>
    <row r="2375" spans="1:9" x14ac:dyDescent="0.2">
      <c r="A2375" s="2" t="s">
        <v>6894</v>
      </c>
      <c r="B2375" s="2" t="s">
        <v>6586</v>
      </c>
      <c r="C2375" s="2" t="s">
        <v>6895</v>
      </c>
      <c r="D2375" s="2" t="s">
        <v>10055</v>
      </c>
      <c r="E2375" s="15">
        <v>-0.1515</v>
      </c>
      <c r="F2375" s="15">
        <v>0.15429999999999999</v>
      </c>
      <c r="G2375" s="15">
        <v>0.14760000000000001</v>
      </c>
      <c r="H2375" s="15">
        <v>0.38769999999999999</v>
      </c>
      <c r="I2375" s="15">
        <v>0.22378573259035919</v>
      </c>
    </row>
    <row r="2376" spans="1:9" x14ac:dyDescent="0.2">
      <c r="A2376" s="2" t="s">
        <v>6896</v>
      </c>
      <c r="B2376" s="2" t="s">
        <v>6586</v>
      </c>
      <c r="C2376" s="2" t="s">
        <v>6897</v>
      </c>
      <c r="D2376" s="2" t="s">
        <v>10055</v>
      </c>
    </row>
    <row r="2377" spans="1:9" x14ac:dyDescent="0.2">
      <c r="A2377" s="2" t="s">
        <v>6898</v>
      </c>
      <c r="B2377" s="2" t="s">
        <v>6586</v>
      </c>
      <c r="C2377" s="2" t="s">
        <v>6899</v>
      </c>
      <c r="D2377" s="2" t="s">
        <v>10055</v>
      </c>
      <c r="G2377" s="15">
        <v>0.11840000000000001</v>
      </c>
      <c r="H2377" s="15">
        <v>0.3715</v>
      </c>
    </row>
    <row r="2378" spans="1:9" x14ac:dyDescent="0.2">
      <c r="A2378" s="2" t="s">
        <v>6900</v>
      </c>
      <c r="B2378" s="2" t="s">
        <v>6586</v>
      </c>
      <c r="C2378" s="2" t="s">
        <v>6901</v>
      </c>
      <c r="D2378" s="2" t="s">
        <v>10055</v>
      </c>
      <c r="E2378" s="15">
        <v>-0.20480000000000001</v>
      </c>
      <c r="F2378" s="15">
        <v>0.27289999999999998</v>
      </c>
      <c r="G2378" s="15">
        <v>-0.10639999999999999</v>
      </c>
      <c r="H2378" s="15">
        <v>0.2049</v>
      </c>
    </row>
    <row r="2379" spans="1:9" x14ac:dyDescent="0.2">
      <c r="A2379" s="2" t="s">
        <v>6902</v>
      </c>
      <c r="B2379" s="2" t="s">
        <v>6586</v>
      </c>
      <c r="C2379" s="2" t="s">
        <v>6903</v>
      </c>
      <c r="D2379" s="2" t="s">
        <v>10055</v>
      </c>
      <c r="G2379" s="15">
        <v>0.12770000000000001</v>
      </c>
      <c r="H2379" s="15">
        <v>0.2591</v>
      </c>
    </row>
    <row r="2380" spans="1:9" x14ac:dyDescent="0.2">
      <c r="A2380" s="2" t="s">
        <v>6904</v>
      </c>
      <c r="B2380" s="2" t="s">
        <v>6586</v>
      </c>
      <c r="C2380" s="2" t="s">
        <v>6905</v>
      </c>
      <c r="D2380" s="2" t="s">
        <v>10055</v>
      </c>
      <c r="E2380" s="15">
        <v>-0.1085</v>
      </c>
      <c r="F2380" s="15">
        <v>0.33579999999999999</v>
      </c>
    </row>
    <row r="2381" spans="1:9" x14ac:dyDescent="0.2">
      <c r="A2381" s="2" t="s">
        <v>6906</v>
      </c>
      <c r="B2381" s="2" t="s">
        <v>6586</v>
      </c>
      <c r="C2381" s="2" t="s">
        <v>6907</v>
      </c>
      <c r="D2381" s="2" t="s">
        <v>10055</v>
      </c>
      <c r="G2381" s="15">
        <v>-2.46E-2</v>
      </c>
      <c r="H2381" s="15">
        <v>0.123</v>
      </c>
    </row>
    <row r="2382" spans="1:9" x14ac:dyDescent="0.2">
      <c r="A2382" s="2" t="s">
        <v>6908</v>
      </c>
      <c r="B2382" s="2" t="s">
        <v>6586</v>
      </c>
      <c r="C2382" s="2" t="s">
        <v>6909</v>
      </c>
      <c r="D2382" s="2" t="s">
        <v>10055</v>
      </c>
      <c r="E2382" s="15">
        <v>4.9399999999999999E-2</v>
      </c>
      <c r="F2382" s="15">
        <v>0.1515</v>
      </c>
    </row>
    <row r="2383" spans="1:9" x14ac:dyDescent="0.2">
      <c r="A2383" s="2" t="s">
        <v>6910</v>
      </c>
      <c r="B2383" s="2" t="s">
        <v>6586</v>
      </c>
      <c r="C2383" s="2" t="s">
        <v>6911</v>
      </c>
      <c r="D2383" s="2" t="s">
        <v>10055</v>
      </c>
      <c r="G2383" s="15">
        <v>-0.14990000000000001</v>
      </c>
      <c r="H2383" s="15">
        <v>0.2409</v>
      </c>
    </row>
    <row r="2384" spans="1:9" x14ac:dyDescent="0.2">
      <c r="A2384" s="2" t="s">
        <v>6912</v>
      </c>
      <c r="B2384" s="2" t="s">
        <v>6586</v>
      </c>
      <c r="C2384" s="2" t="s">
        <v>6913</v>
      </c>
      <c r="D2384" s="2" t="s">
        <v>10055</v>
      </c>
      <c r="E2384" s="15">
        <v>-0.16159999999999999</v>
      </c>
      <c r="F2384" s="15">
        <v>0.28460000000000002</v>
      </c>
    </row>
    <row r="2385" spans="1:9" x14ac:dyDescent="0.2">
      <c r="A2385" s="2" t="s">
        <v>6914</v>
      </c>
      <c r="B2385" s="2" t="s">
        <v>6586</v>
      </c>
      <c r="C2385" s="2" t="s">
        <v>6915</v>
      </c>
      <c r="D2385" s="2" t="s">
        <v>10055</v>
      </c>
      <c r="E2385" s="15">
        <v>1.41E-2</v>
      </c>
      <c r="F2385" s="15">
        <v>0.1426</v>
      </c>
      <c r="G2385" s="15">
        <v>0.16689999999999999</v>
      </c>
      <c r="H2385" s="15">
        <v>0.1636</v>
      </c>
      <c r="I2385" s="15">
        <v>0.20658423102390849</v>
      </c>
    </row>
    <row r="2386" spans="1:9" x14ac:dyDescent="0.2">
      <c r="A2386" s="2" t="s">
        <v>6916</v>
      </c>
      <c r="B2386" s="2" t="s">
        <v>6586</v>
      </c>
      <c r="C2386" s="2" t="s">
        <v>6917</v>
      </c>
      <c r="D2386" s="2" t="s">
        <v>10055</v>
      </c>
      <c r="E2386" s="15">
        <v>0.48430000000000001</v>
      </c>
      <c r="F2386" s="15">
        <v>0.91520000000000001</v>
      </c>
    </row>
    <row r="2387" spans="1:9" x14ac:dyDescent="0.2">
      <c r="A2387" s="2" t="s">
        <v>6918</v>
      </c>
      <c r="B2387" s="2" t="s">
        <v>6586</v>
      </c>
      <c r="C2387" s="2" t="s">
        <v>6919</v>
      </c>
      <c r="D2387" s="2" t="s">
        <v>10055</v>
      </c>
      <c r="E2387" s="15">
        <v>0.15379999999999999</v>
      </c>
      <c r="F2387" s="15">
        <v>0.31780000000000003</v>
      </c>
      <c r="G2387" s="15">
        <v>0.1653</v>
      </c>
      <c r="H2387" s="15">
        <v>0.36959999999999998</v>
      </c>
      <c r="I2387" s="15">
        <v>0.48853136477101511</v>
      </c>
    </row>
    <row r="2388" spans="1:9" x14ac:dyDescent="0.2">
      <c r="A2388" s="2" t="s">
        <v>6920</v>
      </c>
      <c r="B2388" s="2" t="s">
        <v>6586</v>
      </c>
      <c r="C2388" s="2" t="s">
        <v>6921</v>
      </c>
      <c r="D2388" s="2" t="s">
        <v>10055</v>
      </c>
      <c r="G2388" s="15">
        <v>-9.11E-2</v>
      </c>
      <c r="H2388" s="15">
        <v>9.74E-2</v>
      </c>
    </row>
    <row r="2389" spans="1:9" x14ac:dyDescent="0.2">
      <c r="A2389" s="2" t="s">
        <v>6922</v>
      </c>
      <c r="B2389" s="2" t="s">
        <v>6586</v>
      </c>
      <c r="C2389" s="2" t="s">
        <v>6923</v>
      </c>
      <c r="D2389" s="2" t="s">
        <v>10055</v>
      </c>
      <c r="E2389" s="15">
        <v>4.6800000000000001E-2</v>
      </c>
      <c r="F2389" s="15">
        <v>0.19789999999999999</v>
      </c>
      <c r="G2389" s="15">
        <v>5.4999999999999997E-3</v>
      </c>
      <c r="H2389" s="15">
        <v>0.1391</v>
      </c>
      <c r="I2389" s="15">
        <v>0.40732243276284608</v>
      </c>
    </row>
    <row r="2390" spans="1:9" x14ac:dyDescent="0.2">
      <c r="A2390" s="2" t="s">
        <v>6924</v>
      </c>
      <c r="B2390" s="2" t="s">
        <v>6586</v>
      </c>
      <c r="C2390" s="2" t="s">
        <v>6925</v>
      </c>
      <c r="D2390" s="2" t="s">
        <v>10055</v>
      </c>
      <c r="E2390" s="15">
        <v>-0.1222</v>
      </c>
      <c r="F2390" s="15">
        <v>0.15279999999999999</v>
      </c>
    </row>
    <row r="2391" spans="1:9" x14ac:dyDescent="0.2">
      <c r="A2391" s="2" t="s">
        <v>6926</v>
      </c>
      <c r="B2391" s="2" t="s">
        <v>6586</v>
      </c>
      <c r="C2391" s="2" t="s">
        <v>6927</v>
      </c>
      <c r="D2391" s="2" t="s">
        <v>10055</v>
      </c>
      <c r="G2391" s="15">
        <v>0.68440000000000001</v>
      </c>
      <c r="H2391" s="15">
        <v>1.8703000000000001</v>
      </c>
    </row>
    <row r="2392" spans="1:9" x14ac:dyDescent="0.2">
      <c r="A2392" s="2" t="s">
        <v>6928</v>
      </c>
      <c r="B2392" s="2" t="s">
        <v>6586</v>
      </c>
      <c r="C2392" s="2" t="s">
        <v>6929</v>
      </c>
      <c r="D2392" s="2" t="s">
        <v>10055</v>
      </c>
      <c r="E2392" s="15">
        <v>0.1216</v>
      </c>
      <c r="F2392" s="15">
        <v>0.1</v>
      </c>
      <c r="G2392" s="15">
        <v>-2.8199999999999999E-2</v>
      </c>
      <c r="H2392" s="15">
        <v>0.1608</v>
      </c>
      <c r="I2392" s="15">
        <v>0.19236384343098181</v>
      </c>
    </row>
    <row r="2393" spans="1:9" x14ac:dyDescent="0.2">
      <c r="A2393" s="2" t="s">
        <v>6930</v>
      </c>
      <c r="B2393" s="2" t="s">
        <v>6586</v>
      </c>
      <c r="C2393" s="2" t="s">
        <v>6931</v>
      </c>
      <c r="D2393" s="2" t="s">
        <v>10055</v>
      </c>
      <c r="E2393" s="15">
        <v>4.2200000000000001E-2</v>
      </c>
      <c r="F2393" s="15">
        <v>0.28649999999999998</v>
      </c>
      <c r="G2393" s="15">
        <v>0.23150000000000001</v>
      </c>
      <c r="H2393" s="15">
        <v>0.192</v>
      </c>
      <c r="I2393" s="15">
        <v>0.2345438881260645</v>
      </c>
    </row>
    <row r="2394" spans="1:9" x14ac:dyDescent="0.2">
      <c r="A2394" s="2" t="s">
        <v>6932</v>
      </c>
      <c r="B2394" s="2" t="s">
        <v>6586</v>
      </c>
      <c r="C2394" s="2" t="s">
        <v>6933</v>
      </c>
      <c r="D2394" s="2" t="s">
        <v>10055</v>
      </c>
      <c r="E2394" s="15">
        <v>-0.05</v>
      </c>
      <c r="F2394" s="15">
        <v>0.1062</v>
      </c>
      <c r="G2394" s="15">
        <v>0.17430000000000001</v>
      </c>
      <c r="H2394" s="15">
        <v>0.1353</v>
      </c>
      <c r="I2394" s="15">
        <v>7.0395415443111856E-2</v>
      </c>
    </row>
    <row r="2395" spans="1:9" x14ac:dyDescent="0.2">
      <c r="A2395" s="2" t="s">
        <v>6934</v>
      </c>
      <c r="B2395" s="2" t="s">
        <v>6586</v>
      </c>
      <c r="C2395" s="2" t="s">
        <v>6935</v>
      </c>
      <c r="D2395" s="2" t="s">
        <v>10055</v>
      </c>
      <c r="E2395" s="15">
        <v>0.17710000000000001</v>
      </c>
      <c r="F2395" s="15">
        <v>9.7900000000000001E-2</v>
      </c>
      <c r="G2395" s="15">
        <v>-4.4000000000000003E-3</v>
      </c>
      <c r="H2395" s="15">
        <v>0.27700000000000002</v>
      </c>
      <c r="I2395" s="15">
        <v>0.26569128403744602</v>
      </c>
    </row>
    <row r="2396" spans="1:9" x14ac:dyDescent="0.2">
      <c r="A2396" s="2" t="s">
        <v>6936</v>
      </c>
      <c r="B2396" s="2" t="s">
        <v>6586</v>
      </c>
      <c r="C2396" s="2" t="s">
        <v>6937</v>
      </c>
      <c r="D2396" s="2" t="s">
        <v>10055</v>
      </c>
      <c r="G2396" s="15">
        <v>-3.2399999999999998E-2</v>
      </c>
      <c r="H2396" s="15">
        <v>0.25240000000000001</v>
      </c>
    </row>
    <row r="2397" spans="1:9" x14ac:dyDescent="0.2">
      <c r="A2397" s="2" t="s">
        <v>6938</v>
      </c>
      <c r="B2397" s="2" t="s">
        <v>6586</v>
      </c>
      <c r="C2397" s="2" t="s">
        <v>6939</v>
      </c>
      <c r="D2397" s="2" t="s">
        <v>10055</v>
      </c>
      <c r="E2397" s="15">
        <v>-0.1772</v>
      </c>
      <c r="F2397" s="15">
        <v>0.15110000000000001</v>
      </c>
      <c r="G2397" s="15">
        <v>2.3099999999999999E-2</v>
      </c>
      <c r="H2397" s="15">
        <v>0.18659999999999999</v>
      </c>
      <c r="I2397" s="15">
        <v>0.16035317999266119</v>
      </c>
    </row>
    <row r="2398" spans="1:9" x14ac:dyDescent="0.2">
      <c r="A2398" s="2" t="s">
        <v>6940</v>
      </c>
      <c r="B2398" s="2" t="s">
        <v>6586</v>
      </c>
      <c r="C2398" s="2" t="s">
        <v>6941</v>
      </c>
      <c r="D2398" s="2" t="s">
        <v>10055</v>
      </c>
      <c r="E2398" s="15">
        <v>0.11799999999999999</v>
      </c>
      <c r="F2398" s="15">
        <v>0.10589999999999999</v>
      </c>
    </row>
    <row r="2399" spans="1:9" x14ac:dyDescent="0.2">
      <c r="A2399" s="2" t="s">
        <v>6942</v>
      </c>
      <c r="B2399" s="2" t="s">
        <v>6586</v>
      </c>
      <c r="C2399" s="2" t="s">
        <v>6943</v>
      </c>
      <c r="D2399" s="2" t="s">
        <v>10055</v>
      </c>
      <c r="E2399" s="15">
        <v>-3.2800000000000003E-2</v>
      </c>
      <c r="F2399" s="15">
        <v>9.6500000000000002E-2</v>
      </c>
    </row>
    <row r="2400" spans="1:9" x14ac:dyDescent="0.2">
      <c r="A2400" s="2" t="s">
        <v>6944</v>
      </c>
      <c r="B2400" s="2" t="s">
        <v>6586</v>
      </c>
      <c r="C2400" s="2" t="s">
        <v>6945</v>
      </c>
      <c r="D2400" s="2" t="s">
        <v>10055</v>
      </c>
      <c r="E2400" s="15">
        <v>-0.2732</v>
      </c>
      <c r="F2400" s="15">
        <v>0.1449</v>
      </c>
      <c r="G2400" s="15">
        <v>8.1699999999999995E-2</v>
      </c>
      <c r="H2400" s="15">
        <v>0.1201</v>
      </c>
      <c r="I2400" s="15">
        <v>5.2550060049193128E-3</v>
      </c>
    </row>
    <row r="2401" spans="1:9" x14ac:dyDescent="0.2">
      <c r="A2401" s="2" t="s">
        <v>6946</v>
      </c>
      <c r="B2401" s="2" t="s">
        <v>6586</v>
      </c>
      <c r="C2401" s="2" t="s">
        <v>6947</v>
      </c>
      <c r="D2401" s="2" t="s">
        <v>10055</v>
      </c>
      <c r="E2401" s="15">
        <v>-3.3300000000000003E-2</v>
      </c>
      <c r="F2401" s="15">
        <v>0.1066</v>
      </c>
      <c r="G2401" s="15">
        <v>-6.6299999999999998E-2</v>
      </c>
      <c r="H2401" s="15">
        <v>0.1285</v>
      </c>
      <c r="I2401" s="15">
        <v>0.42068009700599002</v>
      </c>
    </row>
    <row r="2402" spans="1:9" x14ac:dyDescent="0.2">
      <c r="A2402" s="2" t="s">
        <v>6948</v>
      </c>
      <c r="B2402" s="2" t="s">
        <v>6586</v>
      </c>
      <c r="C2402" s="2" t="s">
        <v>6949</v>
      </c>
      <c r="D2402" s="2" t="s">
        <v>10055</v>
      </c>
      <c r="E2402" s="15">
        <v>-0.58399999999999996</v>
      </c>
      <c r="F2402" s="15">
        <v>0.71930000000000005</v>
      </c>
      <c r="G2402" s="15">
        <v>-6.9800000000000001E-2</v>
      </c>
      <c r="H2402" s="15">
        <v>0.18870000000000001</v>
      </c>
      <c r="I2402" s="15">
        <v>8.3334689661907161E-3</v>
      </c>
    </row>
    <row r="2403" spans="1:9" x14ac:dyDescent="0.2">
      <c r="A2403" s="2" t="s">
        <v>6950</v>
      </c>
      <c r="B2403" s="2" t="s">
        <v>6586</v>
      </c>
      <c r="C2403" s="2" t="s">
        <v>6951</v>
      </c>
      <c r="D2403" s="2" t="s">
        <v>10055</v>
      </c>
      <c r="E2403" s="15">
        <v>2.3599999999999999E-2</v>
      </c>
      <c r="F2403" s="15">
        <v>0.2437</v>
      </c>
    </row>
    <row r="2404" spans="1:9" x14ac:dyDescent="0.2">
      <c r="A2404" s="2" t="s">
        <v>6952</v>
      </c>
      <c r="B2404" s="2" t="s">
        <v>6586</v>
      </c>
      <c r="C2404" s="2" t="s">
        <v>6953</v>
      </c>
      <c r="D2404" s="2" t="s">
        <v>10055</v>
      </c>
      <c r="E2404" s="15">
        <v>-6.8400000000000002E-2</v>
      </c>
      <c r="F2404" s="15">
        <v>0.21049999999999999</v>
      </c>
      <c r="G2404" s="15">
        <v>-2.1000000000000001E-2</v>
      </c>
      <c r="H2404" s="15">
        <v>0.2301</v>
      </c>
      <c r="I2404" s="15">
        <v>0.42238106907158401</v>
      </c>
    </row>
    <row r="2405" spans="1:9" x14ac:dyDescent="0.2">
      <c r="A2405" s="2" t="s">
        <v>6954</v>
      </c>
      <c r="B2405" s="2" t="s">
        <v>6586</v>
      </c>
      <c r="C2405" s="2" t="s">
        <v>6955</v>
      </c>
      <c r="D2405" s="2" t="s">
        <v>10055</v>
      </c>
      <c r="G2405" s="15">
        <v>0.1153</v>
      </c>
      <c r="H2405" s="15">
        <v>0.15240000000000001</v>
      </c>
    </row>
    <row r="2406" spans="1:9" x14ac:dyDescent="0.2">
      <c r="A2406" s="2" t="s">
        <v>6956</v>
      </c>
      <c r="B2406" s="2" t="s">
        <v>6586</v>
      </c>
      <c r="C2406" s="2" t="s">
        <v>6957</v>
      </c>
      <c r="D2406" s="2" t="s">
        <v>10055</v>
      </c>
      <c r="E2406" s="15">
        <v>3.2099999999999997E-2</v>
      </c>
      <c r="F2406" s="15">
        <v>0.1333</v>
      </c>
    </row>
    <row r="2407" spans="1:9" x14ac:dyDescent="0.2">
      <c r="A2407" s="2" t="s">
        <v>6958</v>
      </c>
      <c r="B2407" s="2" t="s">
        <v>6586</v>
      </c>
      <c r="C2407" s="2" t="s">
        <v>6959</v>
      </c>
      <c r="D2407" s="2" t="s">
        <v>10055</v>
      </c>
      <c r="E2407" s="15">
        <v>-0.27010000000000001</v>
      </c>
      <c r="F2407" s="15">
        <v>0.1356</v>
      </c>
      <c r="G2407" s="15">
        <v>-8.2199999999999995E-2</v>
      </c>
      <c r="H2407" s="15">
        <v>0.30070000000000002</v>
      </c>
      <c r="I2407" s="15">
        <v>0.27454401910730791</v>
      </c>
    </row>
    <row r="2408" spans="1:9" x14ac:dyDescent="0.2">
      <c r="A2408" s="2" t="s">
        <v>6960</v>
      </c>
      <c r="B2408" s="2" t="s">
        <v>6586</v>
      </c>
      <c r="C2408" s="2" t="s">
        <v>6961</v>
      </c>
      <c r="D2408" s="2" t="s">
        <v>10055</v>
      </c>
      <c r="G2408" s="15">
        <v>0.24110000000000001</v>
      </c>
      <c r="H2408" s="15">
        <v>0.1661</v>
      </c>
    </row>
    <row r="2409" spans="1:9" x14ac:dyDescent="0.2">
      <c r="A2409" s="2" t="s">
        <v>6962</v>
      </c>
      <c r="B2409" s="2" t="s">
        <v>6586</v>
      </c>
      <c r="C2409" s="2" t="s">
        <v>6963</v>
      </c>
      <c r="D2409" s="2" t="s">
        <v>10055</v>
      </c>
      <c r="E2409" s="15">
        <v>-2.7000000000000001E-3</v>
      </c>
      <c r="F2409" s="15">
        <v>0.13600000000000001</v>
      </c>
      <c r="G2409" s="15">
        <v>0.32300000000000001</v>
      </c>
      <c r="H2409" s="15">
        <v>0.29870000000000002</v>
      </c>
      <c r="I2409" s="15">
        <v>0.14570939380412451</v>
      </c>
    </row>
    <row r="2410" spans="1:9" x14ac:dyDescent="0.2">
      <c r="A2410" s="2" t="s">
        <v>6964</v>
      </c>
      <c r="B2410" s="2" t="s">
        <v>6586</v>
      </c>
      <c r="C2410" s="2" t="s">
        <v>6965</v>
      </c>
      <c r="D2410" s="2" t="s">
        <v>10055</v>
      </c>
      <c r="E2410" s="15">
        <v>-0.16</v>
      </c>
      <c r="F2410" s="15">
        <v>0.19220000000000001</v>
      </c>
      <c r="G2410" s="15">
        <v>-0.1153</v>
      </c>
      <c r="H2410" s="15">
        <v>0.14149999999999999</v>
      </c>
      <c r="I2410" s="15">
        <v>0.39220592781035302</v>
      </c>
    </row>
    <row r="2411" spans="1:9" x14ac:dyDescent="0.2">
      <c r="A2411" s="2" t="s">
        <v>6966</v>
      </c>
      <c r="B2411" s="2" t="s">
        <v>6586</v>
      </c>
      <c r="C2411" s="2" t="s">
        <v>6967</v>
      </c>
      <c r="D2411" s="2" t="s">
        <v>10055</v>
      </c>
      <c r="E2411" s="15">
        <v>0.18079999999999999</v>
      </c>
      <c r="F2411" s="15">
        <v>0.1726</v>
      </c>
      <c r="G2411" s="15">
        <v>2.4500000000000001E-2</v>
      </c>
      <c r="H2411" s="15">
        <v>0.1636</v>
      </c>
      <c r="I2411" s="15">
        <v>0.18796155944802251</v>
      </c>
    </row>
    <row r="2412" spans="1:9" x14ac:dyDescent="0.2">
      <c r="A2412" s="2" t="s">
        <v>6968</v>
      </c>
      <c r="B2412" s="2" t="s">
        <v>6586</v>
      </c>
      <c r="C2412" s="2" t="s">
        <v>6969</v>
      </c>
      <c r="D2412" s="2" t="s">
        <v>10055</v>
      </c>
      <c r="G2412" s="15">
        <v>0.26250000000000001</v>
      </c>
      <c r="H2412" s="15">
        <v>0.48830000000000001</v>
      </c>
    </row>
    <row r="2413" spans="1:9" x14ac:dyDescent="0.2">
      <c r="A2413" s="2" t="s">
        <v>6970</v>
      </c>
      <c r="B2413" s="2" t="s">
        <v>6586</v>
      </c>
      <c r="C2413" s="2" t="s">
        <v>6971</v>
      </c>
      <c r="D2413" s="2" t="s">
        <v>10055</v>
      </c>
      <c r="E2413" s="15">
        <v>9.5000000000000001E-2</v>
      </c>
      <c r="F2413" s="15">
        <v>9.1899999999999996E-2</v>
      </c>
    </row>
    <row r="2414" spans="1:9" x14ac:dyDescent="0.2">
      <c r="A2414" s="2" t="s">
        <v>6972</v>
      </c>
      <c r="B2414" s="2" t="s">
        <v>6586</v>
      </c>
      <c r="C2414" s="2" t="s">
        <v>6973</v>
      </c>
      <c r="D2414" s="2" t="s">
        <v>10055</v>
      </c>
      <c r="E2414" s="15">
        <v>-0.1265</v>
      </c>
      <c r="F2414" s="15">
        <v>0.34610000000000002</v>
      </c>
    </row>
    <row r="2415" spans="1:9" x14ac:dyDescent="0.2">
      <c r="A2415" s="2" t="s">
        <v>6974</v>
      </c>
      <c r="B2415" s="2" t="s">
        <v>6586</v>
      </c>
      <c r="C2415" s="2" t="s">
        <v>6975</v>
      </c>
      <c r="D2415" s="2" t="s">
        <v>10055</v>
      </c>
      <c r="E2415" s="15">
        <v>-1.89E-2</v>
      </c>
      <c r="F2415" s="15">
        <v>0.10059999999999999</v>
      </c>
      <c r="G2415" s="15">
        <v>-5.5100000000000003E-2</v>
      </c>
      <c r="H2415" s="15">
        <v>8.3299999999999999E-2</v>
      </c>
      <c r="I2415" s="15">
        <v>0.3627875390926304</v>
      </c>
    </row>
    <row r="2416" spans="1:9" x14ac:dyDescent="0.2">
      <c r="A2416" s="2" t="s">
        <v>6976</v>
      </c>
      <c r="B2416" s="2" t="s">
        <v>6586</v>
      </c>
      <c r="C2416" s="2" t="s">
        <v>6977</v>
      </c>
      <c r="D2416" s="2" t="s">
        <v>10055</v>
      </c>
      <c r="E2416" s="15">
        <v>-6.25E-2</v>
      </c>
      <c r="F2416" s="15">
        <v>9.6100000000000005E-2</v>
      </c>
      <c r="G2416" s="15">
        <v>-0.121</v>
      </c>
      <c r="H2416" s="15">
        <v>0.1245</v>
      </c>
      <c r="I2416" s="15">
        <v>0.33488966529569603</v>
      </c>
    </row>
    <row r="2417" spans="1:9" x14ac:dyDescent="0.2">
      <c r="A2417" s="2" t="s">
        <v>6978</v>
      </c>
      <c r="B2417" s="2" t="s">
        <v>6586</v>
      </c>
      <c r="C2417" s="2" t="s">
        <v>6979</v>
      </c>
      <c r="D2417" s="2" t="s">
        <v>10055</v>
      </c>
      <c r="E2417" s="15">
        <v>0.2225</v>
      </c>
      <c r="F2417" s="15">
        <v>0.17929999999999999</v>
      </c>
      <c r="G2417" s="15">
        <v>-0.2157</v>
      </c>
      <c r="H2417" s="15">
        <v>0.27179999999999999</v>
      </c>
      <c r="I2417" s="15">
        <v>7.5191645126411397E-2</v>
      </c>
    </row>
    <row r="2418" spans="1:9" x14ac:dyDescent="0.2">
      <c r="A2418" s="2" t="s">
        <v>6980</v>
      </c>
      <c r="B2418" s="2" t="s">
        <v>6586</v>
      </c>
      <c r="C2418" s="2" t="s">
        <v>6981</v>
      </c>
      <c r="D2418" s="2" t="s">
        <v>10055</v>
      </c>
      <c r="E2418" s="15">
        <v>-8.4400000000000003E-2</v>
      </c>
      <c r="F2418" s="15">
        <v>0.1532</v>
      </c>
    </row>
    <row r="2419" spans="1:9" x14ac:dyDescent="0.2">
      <c r="A2419" s="2" t="s">
        <v>6982</v>
      </c>
      <c r="B2419" s="2" t="s">
        <v>6586</v>
      </c>
      <c r="C2419" s="2" t="s">
        <v>6983</v>
      </c>
      <c r="D2419" s="2" t="s">
        <v>10055</v>
      </c>
      <c r="G2419" s="15">
        <v>4.24E-2</v>
      </c>
      <c r="H2419" s="15">
        <v>0.1135</v>
      </c>
    </row>
    <row r="2420" spans="1:9" x14ac:dyDescent="0.2">
      <c r="A2420" s="2" t="s">
        <v>6984</v>
      </c>
      <c r="B2420" s="2" t="s">
        <v>6586</v>
      </c>
      <c r="C2420" s="2" t="s">
        <v>6985</v>
      </c>
      <c r="D2420" s="2" t="s">
        <v>10055</v>
      </c>
      <c r="E2420" s="15">
        <v>0.1996</v>
      </c>
      <c r="F2420" s="15">
        <v>0.11360000000000001</v>
      </c>
      <c r="G2420" s="15">
        <v>1.9800000000000002E-2</v>
      </c>
      <c r="H2420" s="15">
        <v>0.27989999999999998</v>
      </c>
      <c r="I2420" s="15">
        <v>0.27632198323957807</v>
      </c>
    </row>
    <row r="2421" spans="1:9" x14ac:dyDescent="0.2">
      <c r="A2421" s="2" t="s">
        <v>6986</v>
      </c>
      <c r="B2421" s="2" t="s">
        <v>6586</v>
      </c>
      <c r="C2421" s="2" t="s">
        <v>6987</v>
      </c>
      <c r="D2421" s="2" t="s">
        <v>10055</v>
      </c>
      <c r="E2421" s="15">
        <v>0.13009999999999999</v>
      </c>
      <c r="F2421" s="15">
        <v>0.25059999999999999</v>
      </c>
    </row>
    <row r="2422" spans="1:9" x14ac:dyDescent="0.2">
      <c r="A2422" s="2" t="s">
        <v>6988</v>
      </c>
      <c r="B2422" s="2" t="s">
        <v>6586</v>
      </c>
      <c r="C2422" s="2" t="s">
        <v>6989</v>
      </c>
      <c r="D2422" s="2" t="s">
        <v>10055</v>
      </c>
      <c r="E2422" s="15">
        <v>0.17549999999999999</v>
      </c>
      <c r="F2422" s="15">
        <v>0.2918</v>
      </c>
    </row>
    <row r="2423" spans="1:9" x14ac:dyDescent="0.2">
      <c r="A2423" s="2" t="s">
        <v>6990</v>
      </c>
      <c r="B2423" s="2" t="s">
        <v>6586</v>
      </c>
      <c r="C2423" s="2" t="s">
        <v>6991</v>
      </c>
      <c r="D2423" s="2" t="s">
        <v>10055</v>
      </c>
      <c r="E2423" s="15">
        <v>0.11990000000000001</v>
      </c>
      <c r="F2423" s="15">
        <v>0.1356</v>
      </c>
      <c r="G2423" s="15">
        <v>-2.63E-2</v>
      </c>
      <c r="H2423" s="15">
        <v>0.15029999999999999</v>
      </c>
      <c r="I2423" s="15">
        <v>0.18900916656841751</v>
      </c>
    </row>
    <row r="2424" spans="1:9" x14ac:dyDescent="0.2">
      <c r="A2424" s="2" t="s">
        <v>6992</v>
      </c>
      <c r="B2424" s="2" t="s">
        <v>6586</v>
      </c>
      <c r="C2424" s="2" t="s">
        <v>6993</v>
      </c>
      <c r="D2424" s="2" t="s">
        <v>10055</v>
      </c>
      <c r="E2424" s="15">
        <v>-2.0000000000000001E-4</v>
      </c>
      <c r="F2424" s="15">
        <v>0.12859999999999999</v>
      </c>
    </row>
    <row r="2425" spans="1:9" x14ac:dyDescent="0.2">
      <c r="A2425" s="2" t="s">
        <v>6994</v>
      </c>
      <c r="B2425" s="2" t="s">
        <v>6586</v>
      </c>
      <c r="C2425" s="2" t="s">
        <v>6995</v>
      </c>
      <c r="D2425" s="2" t="s">
        <v>10055</v>
      </c>
      <c r="E2425" s="15">
        <v>-9.9699999999999997E-2</v>
      </c>
      <c r="F2425" s="15">
        <v>9.5899999999999999E-2</v>
      </c>
      <c r="G2425" s="15">
        <v>0.27950000000000003</v>
      </c>
      <c r="H2425" s="15">
        <v>0.3286</v>
      </c>
      <c r="I2425" s="15">
        <v>0.1310603075549388</v>
      </c>
    </row>
    <row r="2426" spans="1:9" x14ac:dyDescent="0.2">
      <c r="A2426" s="2" t="s">
        <v>6996</v>
      </c>
      <c r="B2426" s="2" t="s">
        <v>6586</v>
      </c>
      <c r="C2426" s="2" t="s">
        <v>6997</v>
      </c>
      <c r="D2426" s="2" t="s">
        <v>10055</v>
      </c>
      <c r="E2426" s="15">
        <v>2.2499999999999999E-2</v>
      </c>
      <c r="F2426" s="15">
        <v>0.12139999999999999</v>
      </c>
      <c r="G2426" s="15">
        <v>0.10299999999999999</v>
      </c>
      <c r="H2426" s="15">
        <v>0.12590000000000001</v>
      </c>
      <c r="I2426" s="15">
        <v>0.29060692789334258</v>
      </c>
    </row>
    <row r="2427" spans="1:9" x14ac:dyDescent="0.2">
      <c r="A2427" s="2" t="s">
        <v>6998</v>
      </c>
      <c r="B2427" s="2" t="s">
        <v>6586</v>
      </c>
      <c r="C2427" s="2" t="s">
        <v>6999</v>
      </c>
      <c r="D2427" s="2" t="s">
        <v>10055</v>
      </c>
      <c r="G2427" s="15">
        <v>5.11E-2</v>
      </c>
      <c r="H2427" s="15">
        <v>0.1026</v>
      </c>
    </row>
    <row r="2428" spans="1:9" x14ac:dyDescent="0.2">
      <c r="A2428" s="2" t="s">
        <v>7000</v>
      </c>
      <c r="B2428" s="2" t="s">
        <v>6586</v>
      </c>
      <c r="C2428" s="2" t="s">
        <v>7001</v>
      </c>
      <c r="D2428" s="2" t="s">
        <v>10055</v>
      </c>
      <c r="E2428" s="15">
        <v>0.2344</v>
      </c>
      <c r="F2428" s="15">
        <v>0.15329999999999999</v>
      </c>
    </row>
    <row r="2429" spans="1:9" x14ac:dyDescent="0.2">
      <c r="A2429" s="2" t="s">
        <v>7002</v>
      </c>
      <c r="B2429" s="2" t="s">
        <v>6586</v>
      </c>
      <c r="C2429" s="2" t="s">
        <v>7003</v>
      </c>
      <c r="D2429" s="2" t="s">
        <v>10055</v>
      </c>
    </row>
    <row r="2430" spans="1:9" x14ac:dyDescent="0.2">
      <c r="A2430" s="2" t="s">
        <v>7004</v>
      </c>
      <c r="B2430" s="2" t="s">
        <v>6586</v>
      </c>
      <c r="C2430" s="2" t="s">
        <v>7005</v>
      </c>
      <c r="D2430" s="2" t="s">
        <v>10055</v>
      </c>
      <c r="E2430" s="15">
        <v>0.2387</v>
      </c>
      <c r="F2430" s="15">
        <v>0.13589999999999999</v>
      </c>
      <c r="G2430" s="15">
        <v>5.4800000000000001E-2</v>
      </c>
      <c r="H2430" s="15">
        <v>0.12330000000000001</v>
      </c>
      <c r="I2430" s="15">
        <v>0.1128183241024002</v>
      </c>
    </row>
    <row r="2431" spans="1:9" x14ac:dyDescent="0.2">
      <c r="A2431" s="2" t="s">
        <v>7006</v>
      </c>
      <c r="B2431" s="2" t="s">
        <v>7007</v>
      </c>
      <c r="C2431" s="2" t="s">
        <v>7008</v>
      </c>
      <c r="D2431" s="2" t="s">
        <v>10055</v>
      </c>
      <c r="E2431" s="15">
        <v>-0.28949999999999998</v>
      </c>
      <c r="F2431" s="15">
        <v>0.36520000000000002</v>
      </c>
      <c r="G2431" s="15">
        <v>4.2500000000000003E-2</v>
      </c>
      <c r="H2431" s="15">
        <v>0.14299999999999999</v>
      </c>
      <c r="I2431" s="15">
        <v>2.5109718567000359E-2</v>
      </c>
    </row>
    <row r="2432" spans="1:9" x14ac:dyDescent="0.2">
      <c r="A2432" s="2" t="s">
        <v>7009</v>
      </c>
      <c r="B2432" s="2" t="s">
        <v>7007</v>
      </c>
      <c r="C2432" s="2" t="s">
        <v>7010</v>
      </c>
      <c r="D2432" s="2" t="s">
        <v>10055</v>
      </c>
      <c r="G2432" s="15">
        <v>-0.15409999999999999</v>
      </c>
      <c r="H2432" s="15">
        <v>0.1772</v>
      </c>
    </row>
    <row r="2433" spans="1:9" x14ac:dyDescent="0.2">
      <c r="A2433" s="2" t="s">
        <v>7011</v>
      </c>
      <c r="B2433" s="2" t="s">
        <v>7007</v>
      </c>
      <c r="C2433" s="2" t="s">
        <v>7012</v>
      </c>
      <c r="D2433" s="2" t="s">
        <v>10055</v>
      </c>
      <c r="E2433" s="15">
        <v>9.3799999999999994E-2</v>
      </c>
      <c r="F2433" s="15">
        <v>0.18149999999999999</v>
      </c>
      <c r="G2433" s="15">
        <v>0.22739999999999999</v>
      </c>
      <c r="H2433" s="15">
        <v>0.31469999999999998</v>
      </c>
      <c r="I2433" s="15">
        <v>0.34346900777316841</v>
      </c>
    </row>
    <row r="2434" spans="1:9" x14ac:dyDescent="0.2">
      <c r="A2434" s="2" t="s">
        <v>7013</v>
      </c>
      <c r="B2434" s="2" t="s">
        <v>7007</v>
      </c>
      <c r="C2434" s="2" t="s">
        <v>7014</v>
      </c>
      <c r="D2434" s="2" t="s">
        <v>10055</v>
      </c>
      <c r="G2434" s="15">
        <v>0.3276</v>
      </c>
      <c r="H2434" s="15">
        <v>0.52780000000000005</v>
      </c>
    </row>
    <row r="2435" spans="1:9" x14ac:dyDescent="0.2">
      <c r="A2435" s="2" t="s">
        <v>7015</v>
      </c>
      <c r="B2435" s="2" t="s">
        <v>7007</v>
      </c>
      <c r="C2435" s="2" t="s">
        <v>7016</v>
      </c>
      <c r="D2435" s="2" t="s">
        <v>10055</v>
      </c>
      <c r="E2435" s="15">
        <v>0.13739999999999999</v>
      </c>
      <c r="F2435" s="15">
        <v>0.128</v>
      </c>
    </row>
    <row r="2436" spans="1:9" x14ac:dyDescent="0.2">
      <c r="A2436" s="2" t="s">
        <v>7017</v>
      </c>
      <c r="B2436" s="2" t="s">
        <v>7007</v>
      </c>
      <c r="C2436" s="2" t="s">
        <v>7018</v>
      </c>
      <c r="D2436" s="2" t="s">
        <v>10055</v>
      </c>
      <c r="E2436" s="15">
        <v>-0.255</v>
      </c>
      <c r="F2436" s="15">
        <v>0.13769999999999999</v>
      </c>
      <c r="G2436" s="15">
        <v>-0.18579999999999999</v>
      </c>
      <c r="H2436" s="15">
        <v>0.11119999999999999</v>
      </c>
      <c r="I2436" s="15">
        <v>0.29062645481869848</v>
      </c>
    </row>
    <row r="2437" spans="1:9" x14ac:dyDescent="0.2">
      <c r="A2437" s="2" t="s">
        <v>7019</v>
      </c>
      <c r="B2437" s="2" t="s">
        <v>7007</v>
      </c>
      <c r="C2437" s="2" t="s">
        <v>7020</v>
      </c>
      <c r="D2437" s="2" t="s">
        <v>10055</v>
      </c>
      <c r="E2437" s="15">
        <v>1.8599999999999998E-2</v>
      </c>
      <c r="F2437" s="15">
        <v>0.17449999999999999</v>
      </c>
    </row>
    <row r="2438" spans="1:9" x14ac:dyDescent="0.2">
      <c r="A2438" s="2" t="s">
        <v>7021</v>
      </c>
      <c r="B2438" s="2" t="s">
        <v>7007</v>
      </c>
      <c r="C2438" s="2" t="s">
        <v>7022</v>
      </c>
      <c r="D2438" s="2" t="s">
        <v>10055</v>
      </c>
      <c r="G2438" s="15">
        <v>0.1144</v>
      </c>
      <c r="H2438" s="15">
        <v>0.20910000000000001</v>
      </c>
    </row>
    <row r="2439" spans="1:9" x14ac:dyDescent="0.2">
      <c r="A2439" s="2" t="s">
        <v>7023</v>
      </c>
      <c r="B2439" s="2" t="s">
        <v>7007</v>
      </c>
      <c r="C2439" s="2" t="s">
        <v>7024</v>
      </c>
      <c r="D2439" s="2" t="s">
        <v>10055</v>
      </c>
      <c r="G2439" s="15">
        <v>9.4000000000000004E-3</v>
      </c>
      <c r="H2439" s="15">
        <v>0.13250000000000001</v>
      </c>
    </row>
    <row r="2440" spans="1:9" x14ac:dyDescent="0.2">
      <c r="A2440" s="2" t="s">
        <v>7025</v>
      </c>
      <c r="B2440" s="2" t="s">
        <v>7007</v>
      </c>
      <c r="C2440" s="2" t="s">
        <v>7026</v>
      </c>
      <c r="D2440" s="2" t="s">
        <v>10055</v>
      </c>
      <c r="E2440" s="15">
        <v>0.18229999999999999</v>
      </c>
      <c r="F2440" s="15">
        <v>0.16800000000000001</v>
      </c>
    </row>
    <row r="2441" spans="1:9" x14ac:dyDescent="0.2">
      <c r="A2441" s="2" t="s">
        <v>7027</v>
      </c>
      <c r="B2441" s="2" t="s">
        <v>7007</v>
      </c>
      <c r="C2441" s="2" t="s">
        <v>7028</v>
      </c>
      <c r="D2441" s="2" t="s">
        <v>10055</v>
      </c>
    </row>
    <row r="2442" spans="1:9" x14ac:dyDescent="0.2">
      <c r="A2442" s="2" t="s">
        <v>7029</v>
      </c>
      <c r="B2442" s="2" t="s">
        <v>7007</v>
      </c>
      <c r="C2442" s="2" t="s">
        <v>7030</v>
      </c>
      <c r="D2442" s="2" t="s">
        <v>10055</v>
      </c>
      <c r="E2442" s="15">
        <v>-1.1599999999999999E-2</v>
      </c>
      <c r="F2442" s="15">
        <v>0.16220000000000001</v>
      </c>
      <c r="G2442" s="15">
        <v>-0.15659999999999999</v>
      </c>
      <c r="H2442" s="15">
        <v>0.15670000000000001</v>
      </c>
      <c r="I2442" s="15">
        <v>0.21439127628657509</v>
      </c>
    </row>
    <row r="2443" spans="1:9" x14ac:dyDescent="0.2">
      <c r="A2443" s="2" t="s">
        <v>7031</v>
      </c>
      <c r="B2443" s="2" t="s">
        <v>7007</v>
      </c>
      <c r="C2443" s="2" t="s">
        <v>7032</v>
      </c>
      <c r="D2443" s="2" t="s">
        <v>10055</v>
      </c>
      <c r="G2443" s="15">
        <v>-5.7500000000000002E-2</v>
      </c>
      <c r="H2443" s="15">
        <v>0.17899999999999999</v>
      </c>
    </row>
    <row r="2444" spans="1:9" x14ac:dyDescent="0.2">
      <c r="A2444" s="2" t="s">
        <v>7033</v>
      </c>
      <c r="B2444" s="2" t="s">
        <v>7007</v>
      </c>
      <c r="C2444" s="2" t="s">
        <v>7034</v>
      </c>
      <c r="D2444" s="2" t="s">
        <v>10055</v>
      </c>
    </row>
    <row r="2445" spans="1:9" x14ac:dyDescent="0.2">
      <c r="A2445" s="2" t="s">
        <v>7035</v>
      </c>
      <c r="B2445" s="2" t="s">
        <v>7007</v>
      </c>
      <c r="C2445" s="2" t="s">
        <v>7036</v>
      </c>
      <c r="D2445" s="2" t="s">
        <v>10055</v>
      </c>
    </row>
    <row r="2446" spans="1:9" x14ac:dyDescent="0.2">
      <c r="A2446" s="2" t="s">
        <v>7037</v>
      </c>
      <c r="B2446" s="2" t="s">
        <v>7007</v>
      </c>
      <c r="C2446" s="2" t="s">
        <v>7038</v>
      </c>
      <c r="D2446" s="2" t="s">
        <v>10055</v>
      </c>
    </row>
    <row r="2447" spans="1:9" x14ac:dyDescent="0.2">
      <c r="A2447" s="2" t="s">
        <v>7039</v>
      </c>
      <c r="B2447" s="2" t="s">
        <v>7007</v>
      </c>
      <c r="C2447" s="2" t="s">
        <v>7040</v>
      </c>
      <c r="D2447" s="2" t="s">
        <v>10055</v>
      </c>
      <c r="E2447" s="15">
        <v>0.38290000000000002</v>
      </c>
      <c r="F2447" s="15">
        <v>0.4073</v>
      </c>
    </row>
    <row r="2448" spans="1:9" x14ac:dyDescent="0.2">
      <c r="A2448" s="2" t="s">
        <v>7041</v>
      </c>
      <c r="B2448" s="2" t="s">
        <v>7007</v>
      </c>
      <c r="C2448" s="2" t="s">
        <v>7042</v>
      </c>
      <c r="D2448" s="2" t="s">
        <v>10055</v>
      </c>
      <c r="G2448" s="15">
        <v>8.3000000000000001E-3</v>
      </c>
      <c r="H2448" s="15">
        <v>0.12529999999999999</v>
      </c>
    </row>
    <row r="2449" spans="1:9" x14ac:dyDescent="0.2">
      <c r="A2449" s="2" t="s">
        <v>7043</v>
      </c>
      <c r="B2449" s="2" t="s">
        <v>7007</v>
      </c>
      <c r="C2449" s="2" t="s">
        <v>7044</v>
      </c>
      <c r="D2449" s="2" t="s">
        <v>10055</v>
      </c>
      <c r="E2449" s="15">
        <v>2.8000000000000001E-2</v>
      </c>
      <c r="F2449" s="15">
        <v>0.16109999999999999</v>
      </c>
    </row>
    <row r="2450" spans="1:9" x14ac:dyDescent="0.2">
      <c r="A2450" s="2" t="s">
        <v>7045</v>
      </c>
      <c r="B2450" s="2" t="s">
        <v>7007</v>
      </c>
      <c r="C2450" s="2" t="s">
        <v>7046</v>
      </c>
      <c r="D2450" s="2" t="s">
        <v>10055</v>
      </c>
      <c r="E2450" s="15">
        <v>-0.20150000000000001</v>
      </c>
      <c r="F2450" s="15">
        <v>0.14130000000000001</v>
      </c>
      <c r="G2450" s="15">
        <v>-0.16339999999999999</v>
      </c>
      <c r="H2450" s="15">
        <v>0.10199999999999999</v>
      </c>
      <c r="I2450" s="15">
        <v>0.37369009920892482</v>
      </c>
    </row>
    <row r="2451" spans="1:9" x14ac:dyDescent="0.2">
      <c r="A2451" s="2" t="s">
        <v>7047</v>
      </c>
      <c r="B2451" s="2" t="s">
        <v>7007</v>
      </c>
      <c r="C2451" s="2" t="s">
        <v>7048</v>
      </c>
      <c r="D2451" s="2" t="s">
        <v>10055</v>
      </c>
      <c r="G2451" s="15">
        <v>-0.19889999999999999</v>
      </c>
      <c r="H2451" s="15">
        <v>0.3211</v>
      </c>
    </row>
    <row r="2452" spans="1:9" x14ac:dyDescent="0.2">
      <c r="A2452" s="2" t="s">
        <v>7049</v>
      </c>
      <c r="B2452" s="2" t="s">
        <v>7007</v>
      </c>
      <c r="C2452" s="2" t="s">
        <v>7050</v>
      </c>
      <c r="D2452" s="2" t="s">
        <v>10055</v>
      </c>
      <c r="E2452" s="15">
        <v>-2.93E-2</v>
      </c>
      <c r="F2452" s="15">
        <v>6.5299999999999997E-2</v>
      </c>
      <c r="G2452" s="15">
        <v>0.1363</v>
      </c>
      <c r="H2452" s="15">
        <v>0.10290000000000001</v>
      </c>
      <c r="I2452" s="15">
        <v>8.0463550152639701E-2</v>
      </c>
    </row>
    <row r="2453" spans="1:9" x14ac:dyDescent="0.2">
      <c r="A2453" s="2" t="s">
        <v>7051</v>
      </c>
      <c r="B2453" s="2" t="s">
        <v>7007</v>
      </c>
      <c r="C2453" s="2" t="s">
        <v>7052</v>
      </c>
      <c r="D2453" s="2" t="s">
        <v>10055</v>
      </c>
      <c r="E2453" s="15">
        <v>-8.2000000000000003E-2</v>
      </c>
      <c r="F2453" s="15">
        <v>0.4446</v>
      </c>
    </row>
    <row r="2454" spans="1:9" x14ac:dyDescent="0.2">
      <c r="A2454" s="2" t="s">
        <v>7053</v>
      </c>
      <c r="B2454" s="2" t="s">
        <v>7007</v>
      </c>
      <c r="C2454" s="2" t="s">
        <v>7054</v>
      </c>
      <c r="D2454" s="2" t="s">
        <v>10055</v>
      </c>
      <c r="E2454" s="15">
        <v>-0.1133</v>
      </c>
      <c r="F2454" s="15">
        <v>0.1716</v>
      </c>
    </row>
    <row r="2455" spans="1:9" x14ac:dyDescent="0.2">
      <c r="A2455" s="2" t="s">
        <v>7055</v>
      </c>
      <c r="B2455" s="2" t="s">
        <v>7007</v>
      </c>
      <c r="C2455" s="2" t="s">
        <v>7056</v>
      </c>
      <c r="D2455" s="2" t="s">
        <v>10055</v>
      </c>
      <c r="E2455" s="15">
        <v>8.77E-2</v>
      </c>
      <c r="F2455" s="15">
        <v>0.1091</v>
      </c>
      <c r="G2455" s="15">
        <v>-0.12709999999999999</v>
      </c>
      <c r="H2455" s="15">
        <v>0.11269999999999999</v>
      </c>
      <c r="I2455" s="15">
        <v>4.853322885817888E-2</v>
      </c>
    </row>
    <row r="2456" spans="1:9" x14ac:dyDescent="0.2">
      <c r="A2456" s="2" t="s">
        <v>7057</v>
      </c>
      <c r="B2456" s="2" t="s">
        <v>7007</v>
      </c>
      <c r="C2456" s="2" t="s">
        <v>7058</v>
      </c>
      <c r="D2456" s="2" t="s">
        <v>10055</v>
      </c>
      <c r="E2456" s="15">
        <v>-0.14149999999999999</v>
      </c>
      <c r="F2456" s="15">
        <v>0.31769999999999998</v>
      </c>
      <c r="G2456" s="15">
        <v>0.12180000000000001</v>
      </c>
      <c r="H2456" s="15">
        <v>0.13159999999999999</v>
      </c>
      <c r="I2456" s="15">
        <v>0.16304289472163641</v>
      </c>
    </row>
    <row r="2457" spans="1:9" x14ac:dyDescent="0.2">
      <c r="A2457" s="2" t="s">
        <v>7059</v>
      </c>
      <c r="B2457" s="2" t="s">
        <v>7007</v>
      </c>
      <c r="C2457" s="2" t="s">
        <v>7060</v>
      </c>
      <c r="D2457" s="2" t="s">
        <v>10055</v>
      </c>
      <c r="E2457" s="15">
        <v>0.1318</v>
      </c>
      <c r="F2457" s="15">
        <v>0.10639999999999999</v>
      </c>
    </row>
    <row r="2458" spans="1:9" x14ac:dyDescent="0.2">
      <c r="A2458" s="2" t="s">
        <v>7061</v>
      </c>
      <c r="B2458" s="2" t="s">
        <v>7007</v>
      </c>
      <c r="C2458" s="2" t="s">
        <v>7062</v>
      </c>
      <c r="D2458" s="2" t="s">
        <v>10055</v>
      </c>
    </row>
    <row r="2459" spans="1:9" x14ac:dyDescent="0.2">
      <c r="A2459" s="2" t="s">
        <v>7063</v>
      </c>
      <c r="B2459" s="2" t="s">
        <v>7007</v>
      </c>
      <c r="C2459" s="2" t="s">
        <v>7064</v>
      </c>
      <c r="D2459" s="2" t="s">
        <v>10055</v>
      </c>
      <c r="E2459" s="15">
        <v>0.13239999999999999</v>
      </c>
      <c r="F2459" s="15">
        <v>0.27039999999999997</v>
      </c>
      <c r="G2459" s="15">
        <v>-8.6400000000000005E-2</v>
      </c>
      <c r="H2459" s="15">
        <v>0.1585</v>
      </c>
      <c r="I2459" s="15">
        <v>0.19793262604231979</v>
      </c>
    </row>
    <row r="2460" spans="1:9" x14ac:dyDescent="0.2">
      <c r="A2460" s="2" t="s">
        <v>7065</v>
      </c>
      <c r="B2460" s="2" t="s">
        <v>7007</v>
      </c>
      <c r="C2460" s="2" t="s">
        <v>7066</v>
      </c>
      <c r="D2460" s="2" t="s">
        <v>10055</v>
      </c>
      <c r="E2460" s="15">
        <v>0.31929999999999997</v>
      </c>
      <c r="F2460" s="15">
        <v>0.2039</v>
      </c>
      <c r="G2460" s="15">
        <v>-4.65E-2</v>
      </c>
      <c r="H2460" s="15">
        <v>0.14080000000000001</v>
      </c>
      <c r="I2460" s="15">
        <v>1.023075860239871E-2</v>
      </c>
    </row>
    <row r="2461" spans="1:9" x14ac:dyDescent="0.2">
      <c r="A2461" s="2" t="s">
        <v>7067</v>
      </c>
      <c r="B2461" s="2" t="s">
        <v>7007</v>
      </c>
      <c r="C2461" s="2" t="s">
        <v>7068</v>
      </c>
      <c r="D2461" s="2" t="s">
        <v>10055</v>
      </c>
      <c r="G2461" s="15">
        <v>-0.15590000000000001</v>
      </c>
      <c r="H2461" s="15">
        <v>0.23230000000000001</v>
      </c>
    </row>
    <row r="2462" spans="1:9" x14ac:dyDescent="0.2">
      <c r="A2462" s="2" t="s">
        <v>7069</v>
      </c>
      <c r="B2462" s="2" t="s">
        <v>7007</v>
      </c>
      <c r="C2462" s="2" t="s">
        <v>7070</v>
      </c>
      <c r="D2462" s="2" t="s">
        <v>10055</v>
      </c>
    </row>
    <row r="2463" spans="1:9" x14ac:dyDescent="0.2">
      <c r="A2463" s="2" t="s">
        <v>7071</v>
      </c>
      <c r="B2463" s="2" t="s">
        <v>7007</v>
      </c>
      <c r="C2463" s="2" t="s">
        <v>7072</v>
      </c>
      <c r="D2463" s="2" t="s">
        <v>10055</v>
      </c>
      <c r="E2463" s="15">
        <v>4.7399999999999998E-2</v>
      </c>
      <c r="F2463" s="15">
        <v>0.1206</v>
      </c>
    </row>
    <row r="2464" spans="1:9" x14ac:dyDescent="0.2">
      <c r="A2464" s="2" t="s">
        <v>7073</v>
      </c>
      <c r="B2464" s="2" t="s">
        <v>7007</v>
      </c>
      <c r="C2464" s="2" t="s">
        <v>7074</v>
      </c>
      <c r="D2464" s="2" t="s">
        <v>10055</v>
      </c>
      <c r="E2464" s="15">
        <v>-0.54510000000000003</v>
      </c>
      <c r="F2464" s="15">
        <v>0.65310000000000001</v>
      </c>
    </row>
    <row r="2465" spans="1:9" x14ac:dyDescent="0.2">
      <c r="A2465" s="2" t="s">
        <v>7075</v>
      </c>
      <c r="B2465" s="2" t="s">
        <v>7007</v>
      </c>
      <c r="C2465" s="2" t="s">
        <v>7076</v>
      </c>
      <c r="D2465" s="2" t="s">
        <v>10055</v>
      </c>
      <c r="E2465" s="15">
        <v>-4.4999999999999997E-3</v>
      </c>
      <c r="F2465" s="15">
        <v>0.14119999999999999</v>
      </c>
      <c r="G2465" s="15">
        <v>-6.7000000000000002E-3</v>
      </c>
      <c r="H2465" s="15">
        <v>9.06E-2</v>
      </c>
      <c r="I2465" s="15">
        <v>0.49183776558074949</v>
      </c>
    </row>
    <row r="2466" spans="1:9" x14ac:dyDescent="0.2">
      <c r="A2466" s="2" t="s">
        <v>7077</v>
      </c>
      <c r="B2466" s="2" t="s">
        <v>7007</v>
      </c>
      <c r="C2466" s="2" t="s">
        <v>7078</v>
      </c>
      <c r="D2466" s="2" t="s">
        <v>10055</v>
      </c>
      <c r="G2466" s="15">
        <v>0.17330000000000001</v>
      </c>
      <c r="H2466" s="15">
        <v>0.1416</v>
      </c>
    </row>
    <row r="2467" spans="1:9" x14ac:dyDescent="0.2">
      <c r="A2467" s="2" t="s">
        <v>7079</v>
      </c>
      <c r="B2467" s="2" t="s">
        <v>7007</v>
      </c>
      <c r="C2467" s="2" t="s">
        <v>7080</v>
      </c>
      <c r="D2467" s="2" t="s">
        <v>10055</v>
      </c>
      <c r="G2467" s="15">
        <v>1.54E-2</v>
      </c>
      <c r="H2467" s="15">
        <v>0.25629999999999997</v>
      </c>
    </row>
    <row r="2468" spans="1:9" x14ac:dyDescent="0.2">
      <c r="A2468" s="2" t="s">
        <v>7081</v>
      </c>
      <c r="B2468" s="2" t="s">
        <v>7007</v>
      </c>
      <c r="C2468" s="2" t="s">
        <v>7082</v>
      </c>
      <c r="D2468" s="2" t="s">
        <v>10055</v>
      </c>
      <c r="E2468" s="15">
        <v>4.6100000000000002E-2</v>
      </c>
      <c r="F2468" s="15">
        <v>0.10680000000000001</v>
      </c>
      <c r="G2468" s="15">
        <v>-1.37E-2</v>
      </c>
      <c r="H2468" s="15">
        <v>0.18290000000000001</v>
      </c>
      <c r="I2468" s="15">
        <v>0.3924165476759055</v>
      </c>
    </row>
    <row r="2469" spans="1:9" x14ac:dyDescent="0.2">
      <c r="A2469" s="2" t="s">
        <v>7083</v>
      </c>
      <c r="B2469" s="2" t="s">
        <v>7007</v>
      </c>
      <c r="C2469" s="2" t="s">
        <v>7084</v>
      </c>
      <c r="D2469" s="2" t="s">
        <v>10055</v>
      </c>
      <c r="E2469" s="15">
        <v>6.4999999999999997E-3</v>
      </c>
      <c r="F2469" s="15">
        <v>0.114</v>
      </c>
      <c r="G2469" s="15">
        <v>0.20930000000000001</v>
      </c>
      <c r="H2469" s="15">
        <v>0.1111</v>
      </c>
      <c r="I2469" s="15">
        <v>6.1246117879927522E-2</v>
      </c>
    </row>
    <row r="2470" spans="1:9" x14ac:dyDescent="0.2">
      <c r="A2470" s="2" t="s">
        <v>7085</v>
      </c>
      <c r="B2470" s="2" t="s">
        <v>7007</v>
      </c>
      <c r="C2470" s="2" t="s">
        <v>7086</v>
      </c>
      <c r="D2470" s="2" t="s">
        <v>10055</v>
      </c>
      <c r="E2470" s="15">
        <v>-0.01</v>
      </c>
      <c r="F2470" s="15">
        <v>0.1216</v>
      </c>
      <c r="G2470" s="15">
        <v>0.21010000000000001</v>
      </c>
      <c r="H2470" s="15">
        <v>0.5716</v>
      </c>
      <c r="I2470" s="15">
        <v>0.3511311714059881</v>
      </c>
    </row>
    <row r="2471" spans="1:9" x14ac:dyDescent="0.2">
      <c r="A2471" s="2" t="s">
        <v>7087</v>
      </c>
      <c r="B2471" s="2" t="s">
        <v>7007</v>
      </c>
      <c r="C2471" s="2" t="s">
        <v>7088</v>
      </c>
      <c r="D2471" s="2" t="s">
        <v>10055</v>
      </c>
      <c r="E2471" s="15">
        <v>-0.11020000000000001</v>
      </c>
      <c r="F2471" s="15">
        <v>0.18210000000000001</v>
      </c>
      <c r="G2471" s="15">
        <v>-6.9000000000000006E-2</v>
      </c>
      <c r="H2471" s="15">
        <v>0.27129999999999999</v>
      </c>
      <c r="I2471" s="15">
        <v>0.44342077352261922</v>
      </c>
    </row>
    <row r="2472" spans="1:9" x14ac:dyDescent="0.2">
      <c r="A2472" s="2" t="s">
        <v>7089</v>
      </c>
      <c r="B2472" s="2" t="s">
        <v>7007</v>
      </c>
      <c r="C2472" s="2" t="s">
        <v>7090</v>
      </c>
      <c r="D2472" s="2" t="s">
        <v>10055</v>
      </c>
    </row>
    <row r="2473" spans="1:9" x14ac:dyDescent="0.2">
      <c r="A2473" s="2" t="s">
        <v>7091</v>
      </c>
      <c r="B2473" s="2" t="s">
        <v>7007</v>
      </c>
      <c r="C2473" s="2" t="s">
        <v>7092</v>
      </c>
      <c r="D2473" s="2" t="s">
        <v>10055</v>
      </c>
      <c r="E2473" s="15">
        <v>0.1153</v>
      </c>
      <c r="F2473" s="15">
        <v>0.16719999999999999</v>
      </c>
      <c r="G2473" s="15">
        <v>-5.8700000000000002E-2</v>
      </c>
      <c r="H2473" s="15">
        <v>0.1069</v>
      </c>
      <c r="I2473" s="15">
        <v>8.3471932499746673E-2</v>
      </c>
    </row>
    <row r="2474" spans="1:9" x14ac:dyDescent="0.2">
      <c r="A2474" s="2" t="s">
        <v>7093</v>
      </c>
      <c r="B2474" s="2" t="s">
        <v>7007</v>
      </c>
      <c r="C2474" s="2" t="s">
        <v>7094</v>
      </c>
      <c r="D2474" s="2" t="s">
        <v>10055</v>
      </c>
      <c r="E2474" s="15">
        <v>0.22209999999999999</v>
      </c>
      <c r="F2474" s="15">
        <v>0.15049999999999999</v>
      </c>
    </row>
    <row r="2475" spans="1:9" x14ac:dyDescent="0.2">
      <c r="A2475" s="2" t="s">
        <v>7095</v>
      </c>
      <c r="B2475" s="2" t="s">
        <v>7007</v>
      </c>
      <c r="C2475" s="2" t="s">
        <v>7096</v>
      </c>
      <c r="D2475" s="2" t="s">
        <v>10055</v>
      </c>
      <c r="E2475" s="15">
        <v>-1.34E-2</v>
      </c>
      <c r="F2475" s="15">
        <v>9.6500000000000002E-2</v>
      </c>
      <c r="G2475" s="15">
        <v>0.1895</v>
      </c>
      <c r="H2475" s="15">
        <v>1.0053000000000001</v>
      </c>
      <c r="I2475" s="15">
        <v>0.42020404876144218</v>
      </c>
    </row>
    <row r="2476" spans="1:9" x14ac:dyDescent="0.2">
      <c r="A2476" s="2" t="s">
        <v>7097</v>
      </c>
      <c r="B2476" s="2" t="s">
        <v>7007</v>
      </c>
      <c r="C2476" s="2" t="s">
        <v>7098</v>
      </c>
      <c r="D2476" s="2" t="s">
        <v>10055</v>
      </c>
      <c r="E2476" s="15">
        <v>-4.3099999999999999E-2</v>
      </c>
      <c r="F2476" s="15">
        <v>0.1933</v>
      </c>
    </row>
    <row r="2477" spans="1:9" x14ac:dyDescent="0.2">
      <c r="A2477" s="2" t="s">
        <v>7099</v>
      </c>
      <c r="B2477" s="2" t="s">
        <v>7007</v>
      </c>
      <c r="C2477" s="2" t="s">
        <v>7100</v>
      </c>
      <c r="D2477" s="2" t="s">
        <v>10055</v>
      </c>
      <c r="E2477" s="15">
        <v>-0.1565</v>
      </c>
      <c r="F2477" s="15">
        <v>0.21440000000000001</v>
      </c>
      <c r="G2477" s="15">
        <v>4.4200000000000003E-2</v>
      </c>
      <c r="H2477" s="15">
        <v>0.21379999999999999</v>
      </c>
      <c r="I2477" s="15">
        <v>0.19450791396214229</v>
      </c>
    </row>
    <row r="2478" spans="1:9" x14ac:dyDescent="0.2">
      <c r="A2478" s="2" t="s">
        <v>7101</v>
      </c>
      <c r="B2478" s="2" t="s">
        <v>7007</v>
      </c>
      <c r="C2478" s="2" t="s">
        <v>7102</v>
      </c>
      <c r="D2478" s="2" t="s">
        <v>10055</v>
      </c>
      <c r="E2478" s="15">
        <v>0.27529999999999999</v>
      </c>
      <c r="F2478" s="15">
        <v>0.22520000000000001</v>
      </c>
    </row>
    <row r="2479" spans="1:9" x14ac:dyDescent="0.2">
      <c r="A2479" s="2" t="s">
        <v>7103</v>
      </c>
      <c r="B2479" s="2" t="s">
        <v>7007</v>
      </c>
      <c r="C2479" s="2" t="s">
        <v>7104</v>
      </c>
      <c r="D2479" s="2" t="s">
        <v>10055</v>
      </c>
      <c r="G2479" s="15">
        <v>-9.2999999999999992E-3</v>
      </c>
      <c r="H2479" s="15">
        <v>9.9699999999999997E-2</v>
      </c>
    </row>
    <row r="2480" spans="1:9" x14ac:dyDescent="0.2">
      <c r="A2480" s="2" t="s">
        <v>7105</v>
      </c>
      <c r="B2480" s="2" t="s">
        <v>7007</v>
      </c>
      <c r="C2480" s="2" t="s">
        <v>7106</v>
      </c>
      <c r="D2480" s="2" t="s">
        <v>10055</v>
      </c>
      <c r="E2480" s="15">
        <v>3.8699999999999998E-2</v>
      </c>
      <c r="F2480" s="15">
        <v>9.3700000000000006E-2</v>
      </c>
      <c r="G2480" s="15">
        <v>1.9099999999999999E-2</v>
      </c>
      <c r="H2480" s="15">
        <v>0.1096</v>
      </c>
      <c r="I2480" s="15">
        <v>0.44128568217320929</v>
      </c>
    </row>
    <row r="2481" spans="1:9" x14ac:dyDescent="0.2">
      <c r="A2481" s="2" t="s">
        <v>7107</v>
      </c>
      <c r="B2481" s="2" t="s">
        <v>7007</v>
      </c>
      <c r="C2481" s="2" t="s">
        <v>7108</v>
      </c>
      <c r="D2481" s="2" t="s">
        <v>10055</v>
      </c>
      <c r="G2481" s="15">
        <v>6.3200000000000006E-2</v>
      </c>
      <c r="H2481" s="15">
        <v>0.19919999999999999</v>
      </c>
    </row>
    <row r="2482" spans="1:9" x14ac:dyDescent="0.2">
      <c r="A2482" s="2" t="s">
        <v>7109</v>
      </c>
      <c r="B2482" s="2" t="s">
        <v>7007</v>
      </c>
      <c r="C2482" s="2" t="s">
        <v>7110</v>
      </c>
      <c r="D2482" s="2" t="s">
        <v>10055</v>
      </c>
      <c r="E2482" s="15">
        <v>-0.1177</v>
      </c>
      <c r="F2482" s="15">
        <v>0.13550000000000001</v>
      </c>
      <c r="G2482" s="15">
        <v>-6.7799999999999999E-2</v>
      </c>
      <c r="H2482" s="15">
        <v>0.13800000000000001</v>
      </c>
      <c r="I2482" s="15">
        <v>0.36969697501442672</v>
      </c>
    </row>
    <row r="2483" spans="1:9" x14ac:dyDescent="0.2">
      <c r="A2483" s="2" t="s">
        <v>7111</v>
      </c>
      <c r="B2483" s="2" t="s">
        <v>7007</v>
      </c>
      <c r="C2483" s="2" t="s">
        <v>7112</v>
      </c>
      <c r="D2483" s="2" t="s">
        <v>10055</v>
      </c>
      <c r="E2483" s="15">
        <v>-0.26550000000000001</v>
      </c>
      <c r="F2483" s="15">
        <v>0.1913</v>
      </c>
    </row>
    <row r="2484" spans="1:9" x14ac:dyDescent="0.2">
      <c r="A2484" s="2" t="s">
        <v>7113</v>
      </c>
      <c r="B2484" s="2" t="s">
        <v>7007</v>
      </c>
      <c r="C2484" s="2" t="s">
        <v>7114</v>
      </c>
      <c r="D2484" s="2" t="s">
        <v>10055</v>
      </c>
      <c r="G2484" s="15">
        <v>-0.14879999999999999</v>
      </c>
      <c r="H2484" s="15">
        <v>0.1517</v>
      </c>
    </row>
    <row r="2485" spans="1:9" x14ac:dyDescent="0.2">
      <c r="A2485" s="2" t="s">
        <v>7115</v>
      </c>
      <c r="B2485" s="2" t="s">
        <v>7007</v>
      </c>
      <c r="C2485" s="2" t="s">
        <v>7116</v>
      </c>
      <c r="D2485" s="2" t="s">
        <v>10055</v>
      </c>
      <c r="E2485" s="15">
        <v>-0.14499999999999999</v>
      </c>
      <c r="F2485" s="15">
        <v>0.1462</v>
      </c>
    </row>
    <row r="2486" spans="1:9" x14ac:dyDescent="0.2">
      <c r="A2486" s="2" t="s">
        <v>7117</v>
      </c>
      <c r="B2486" s="2" t="s">
        <v>7007</v>
      </c>
      <c r="C2486" s="2" t="s">
        <v>7118</v>
      </c>
      <c r="D2486" s="2" t="s">
        <v>10055</v>
      </c>
    </row>
    <row r="2487" spans="1:9" x14ac:dyDescent="0.2">
      <c r="A2487" s="2" t="s">
        <v>7119</v>
      </c>
      <c r="B2487" s="2" t="s">
        <v>7007</v>
      </c>
      <c r="C2487" s="2" t="s">
        <v>7120</v>
      </c>
      <c r="D2487" s="2" t="s">
        <v>10055</v>
      </c>
    </row>
    <row r="2488" spans="1:9" x14ac:dyDescent="0.2">
      <c r="A2488" s="2" t="s">
        <v>7121</v>
      </c>
      <c r="B2488" s="2" t="s">
        <v>7007</v>
      </c>
      <c r="C2488" s="2" t="s">
        <v>7122</v>
      </c>
      <c r="D2488" s="2" t="s">
        <v>10055</v>
      </c>
      <c r="E2488" s="15">
        <v>2.29E-2</v>
      </c>
      <c r="F2488" s="15">
        <v>0.115</v>
      </c>
    </row>
    <row r="2489" spans="1:9" x14ac:dyDescent="0.2">
      <c r="A2489" s="2" t="s">
        <v>7123</v>
      </c>
      <c r="B2489" s="2" t="s">
        <v>7007</v>
      </c>
      <c r="C2489" s="2" t="s">
        <v>7124</v>
      </c>
      <c r="D2489" s="2" t="s">
        <v>10055</v>
      </c>
      <c r="E2489" s="15">
        <v>-0.437</v>
      </c>
      <c r="F2489" s="15">
        <v>0.504</v>
      </c>
      <c r="G2489" s="15">
        <v>0.26</v>
      </c>
      <c r="H2489" s="15">
        <v>0.22</v>
      </c>
      <c r="I2489" s="15">
        <v>1.376214726900518E-3</v>
      </c>
    </row>
    <row r="2490" spans="1:9" x14ac:dyDescent="0.2">
      <c r="A2490" s="2" t="s">
        <v>7125</v>
      </c>
      <c r="B2490" s="2" t="s">
        <v>7007</v>
      </c>
      <c r="C2490" s="2" t="s">
        <v>7126</v>
      </c>
      <c r="D2490" s="2" t="s">
        <v>10055</v>
      </c>
      <c r="E2490" s="15">
        <v>8.7099999999999997E-2</v>
      </c>
      <c r="F2490" s="15">
        <v>0.1075</v>
      </c>
      <c r="G2490" s="15">
        <v>4.4699999999999997E-2</v>
      </c>
      <c r="H2490" s="15">
        <v>0.19520000000000001</v>
      </c>
      <c r="I2490" s="15">
        <v>0.41913934100340239</v>
      </c>
    </row>
    <row r="2491" spans="1:9" x14ac:dyDescent="0.2">
      <c r="A2491" s="2" t="s">
        <v>7127</v>
      </c>
      <c r="B2491" s="2" t="s">
        <v>7007</v>
      </c>
      <c r="C2491" s="2" t="s">
        <v>7128</v>
      </c>
      <c r="D2491" s="2" t="s">
        <v>10055</v>
      </c>
    </row>
    <row r="2492" spans="1:9" x14ac:dyDescent="0.2">
      <c r="A2492" s="2" t="s">
        <v>7129</v>
      </c>
      <c r="B2492" s="2" t="s">
        <v>7007</v>
      </c>
      <c r="C2492" s="2" t="s">
        <v>7130</v>
      </c>
      <c r="D2492" s="2" t="s">
        <v>10055</v>
      </c>
      <c r="E2492" s="15">
        <v>-0.14000000000000001</v>
      </c>
      <c r="F2492" s="15">
        <v>0.1462</v>
      </c>
      <c r="G2492" s="15">
        <v>7.7999999999999996E-3</v>
      </c>
      <c r="H2492" s="15">
        <v>0.13950000000000001</v>
      </c>
      <c r="I2492" s="15">
        <v>0.18463610513081041</v>
      </c>
    </row>
    <row r="2493" spans="1:9" x14ac:dyDescent="0.2">
      <c r="A2493" s="2" t="s">
        <v>7131</v>
      </c>
      <c r="B2493" s="2" t="s">
        <v>7007</v>
      </c>
      <c r="C2493" s="2" t="s">
        <v>7132</v>
      </c>
      <c r="D2493" s="2" t="s">
        <v>10055</v>
      </c>
      <c r="G2493" s="15">
        <v>-0.1832</v>
      </c>
      <c r="H2493" s="15">
        <v>0.16800000000000001</v>
      </c>
    </row>
    <row r="2494" spans="1:9" x14ac:dyDescent="0.2">
      <c r="A2494" s="2" t="s">
        <v>7133</v>
      </c>
      <c r="B2494" s="2" t="s">
        <v>7007</v>
      </c>
      <c r="C2494" s="2" t="s">
        <v>7134</v>
      </c>
      <c r="D2494" s="2" t="s">
        <v>10055</v>
      </c>
      <c r="G2494" s="15">
        <v>-2.7199999999999998E-2</v>
      </c>
      <c r="H2494" s="15">
        <v>0.1143</v>
      </c>
    </row>
    <row r="2495" spans="1:9" x14ac:dyDescent="0.2">
      <c r="A2495" s="2" t="s">
        <v>7135</v>
      </c>
      <c r="B2495" s="2" t="s">
        <v>7007</v>
      </c>
      <c r="C2495" s="2" t="s">
        <v>7136</v>
      </c>
      <c r="D2495" s="2" t="s">
        <v>10055</v>
      </c>
      <c r="E2495" s="15">
        <v>0.41389999999999999</v>
      </c>
      <c r="F2495" s="15">
        <v>0.32719999999999999</v>
      </c>
      <c r="G2495" s="15">
        <v>6.7000000000000002E-3</v>
      </c>
      <c r="H2495" s="15">
        <v>0.28110000000000002</v>
      </c>
      <c r="I2495" s="15">
        <v>9.1893708214865782E-2</v>
      </c>
    </row>
    <row r="2496" spans="1:9" x14ac:dyDescent="0.2">
      <c r="A2496" s="2" t="s">
        <v>7137</v>
      </c>
      <c r="B2496" s="2" t="s">
        <v>7007</v>
      </c>
      <c r="C2496" s="2" t="s">
        <v>7138</v>
      </c>
      <c r="D2496" s="2" t="s">
        <v>10055</v>
      </c>
      <c r="E2496" s="15">
        <v>-8.6300000000000002E-2</v>
      </c>
      <c r="F2496" s="15">
        <v>0.10589999999999999</v>
      </c>
      <c r="G2496" s="15">
        <v>2.8899999999999999E-2</v>
      </c>
      <c r="H2496" s="15">
        <v>8.7800000000000003E-2</v>
      </c>
      <c r="I2496" s="15">
        <v>0.14700360785132169</v>
      </c>
    </row>
    <row r="2497" spans="1:9" x14ac:dyDescent="0.2">
      <c r="A2497" s="2" t="s">
        <v>7139</v>
      </c>
      <c r="B2497" s="2" t="s">
        <v>7007</v>
      </c>
      <c r="C2497" s="2" t="s">
        <v>7140</v>
      </c>
      <c r="D2497" s="2" t="s">
        <v>10055</v>
      </c>
      <c r="G2497" s="15">
        <v>-4.5999999999999999E-2</v>
      </c>
      <c r="H2497" s="15">
        <v>0.2082</v>
      </c>
    </row>
    <row r="2498" spans="1:9" x14ac:dyDescent="0.2">
      <c r="A2498" s="2" t="s">
        <v>7141</v>
      </c>
      <c r="B2498" s="2" t="s">
        <v>7007</v>
      </c>
      <c r="C2498" s="2" t="s">
        <v>7142</v>
      </c>
      <c r="D2498" s="2" t="s">
        <v>10055</v>
      </c>
      <c r="G2498" s="15">
        <v>0.18870000000000001</v>
      </c>
      <c r="H2498" s="15">
        <v>0.1454</v>
      </c>
    </row>
    <row r="2499" spans="1:9" x14ac:dyDescent="0.2">
      <c r="A2499" s="2" t="s">
        <v>7143</v>
      </c>
      <c r="B2499" s="2" t="s">
        <v>7007</v>
      </c>
      <c r="C2499" s="2" t="s">
        <v>7144</v>
      </c>
      <c r="D2499" s="2" t="s">
        <v>10055</v>
      </c>
    </row>
    <row r="2500" spans="1:9" x14ac:dyDescent="0.2">
      <c r="A2500" s="2" t="s">
        <v>7145</v>
      </c>
      <c r="B2500" s="2" t="s">
        <v>7007</v>
      </c>
      <c r="C2500" s="2" t="s">
        <v>7146</v>
      </c>
      <c r="D2500" s="2" t="s">
        <v>10055</v>
      </c>
      <c r="E2500" s="15">
        <v>9.3100000000000002E-2</v>
      </c>
      <c r="F2500" s="15">
        <v>0.11890000000000001</v>
      </c>
      <c r="G2500" s="15">
        <v>-7.5700000000000003E-2</v>
      </c>
      <c r="H2500" s="15">
        <v>0.11</v>
      </c>
      <c r="I2500" s="15">
        <v>0.1209441824256921</v>
      </c>
    </row>
    <row r="2501" spans="1:9" x14ac:dyDescent="0.2">
      <c r="A2501" s="2" t="s">
        <v>7147</v>
      </c>
      <c r="B2501" s="2" t="s">
        <v>7007</v>
      </c>
      <c r="C2501" s="2" t="s">
        <v>7148</v>
      </c>
      <c r="D2501" s="2" t="s">
        <v>10055</v>
      </c>
      <c r="E2501" s="15">
        <v>0.21229999999999999</v>
      </c>
      <c r="F2501" s="15">
        <v>0.127</v>
      </c>
      <c r="G2501" s="15">
        <v>-2.5100000000000001E-2</v>
      </c>
      <c r="H2501" s="15">
        <v>0.12180000000000001</v>
      </c>
      <c r="I2501" s="15">
        <v>4.3131867717820488E-2</v>
      </c>
    </row>
    <row r="2502" spans="1:9" x14ac:dyDescent="0.2">
      <c r="A2502" s="2" t="s">
        <v>7149</v>
      </c>
      <c r="B2502" s="2" t="s">
        <v>7007</v>
      </c>
      <c r="C2502" s="2" t="s">
        <v>7150</v>
      </c>
      <c r="D2502" s="2" t="s">
        <v>10055</v>
      </c>
      <c r="E2502" s="15">
        <v>0.2626</v>
      </c>
      <c r="F2502" s="15">
        <v>0.1933</v>
      </c>
    </row>
    <row r="2503" spans="1:9" x14ac:dyDescent="0.2">
      <c r="A2503" s="2" t="s">
        <v>7151</v>
      </c>
      <c r="B2503" s="2" t="s">
        <v>7007</v>
      </c>
      <c r="C2503" s="2" t="s">
        <v>7152</v>
      </c>
      <c r="D2503" s="2" t="s">
        <v>10055</v>
      </c>
      <c r="G2503" s="15">
        <v>9.7699999999999995E-2</v>
      </c>
      <c r="H2503" s="15">
        <v>0.1147</v>
      </c>
    </row>
    <row r="2504" spans="1:9" x14ac:dyDescent="0.2">
      <c r="A2504" s="2" t="s">
        <v>7153</v>
      </c>
      <c r="B2504" s="2" t="s">
        <v>7007</v>
      </c>
      <c r="C2504" s="2" t="s">
        <v>7154</v>
      </c>
      <c r="D2504" s="2" t="s">
        <v>10055</v>
      </c>
      <c r="E2504" s="15">
        <v>0.25879999999999997</v>
      </c>
      <c r="F2504" s="15">
        <v>0.40129999999999999</v>
      </c>
    </row>
    <row r="2505" spans="1:9" x14ac:dyDescent="0.2">
      <c r="A2505" s="2" t="s">
        <v>7155</v>
      </c>
      <c r="B2505" s="2" t="s">
        <v>7007</v>
      </c>
      <c r="C2505" s="2" t="s">
        <v>7156</v>
      </c>
      <c r="D2505" s="2" t="s">
        <v>10055</v>
      </c>
      <c r="E2505" s="15">
        <v>-1.2999999999999999E-2</v>
      </c>
      <c r="F2505" s="15">
        <v>0.127</v>
      </c>
      <c r="G2505" s="15">
        <v>-9.9599999999999994E-2</v>
      </c>
      <c r="H2505" s="15">
        <v>0.1348</v>
      </c>
      <c r="I2505" s="15">
        <v>0.28324025770753009</v>
      </c>
    </row>
    <row r="2506" spans="1:9" x14ac:dyDescent="0.2">
      <c r="A2506" s="2" t="s">
        <v>7157</v>
      </c>
      <c r="B2506" s="2" t="s">
        <v>7007</v>
      </c>
      <c r="C2506" s="2" t="s">
        <v>7158</v>
      </c>
      <c r="D2506" s="2" t="s">
        <v>10055</v>
      </c>
      <c r="E2506" s="15">
        <v>0.1075</v>
      </c>
      <c r="F2506" s="15">
        <v>0.1072</v>
      </c>
      <c r="G2506" s="15">
        <v>0.3463</v>
      </c>
      <c r="H2506" s="15">
        <v>0.3982</v>
      </c>
      <c r="I2506" s="15">
        <v>0.27766591582278799</v>
      </c>
    </row>
    <row r="2507" spans="1:9" x14ac:dyDescent="0.2">
      <c r="A2507" s="2" t="s">
        <v>7159</v>
      </c>
      <c r="B2507" s="2" t="s">
        <v>7007</v>
      </c>
      <c r="C2507" s="2" t="s">
        <v>7160</v>
      </c>
      <c r="D2507" s="2" t="s">
        <v>10055</v>
      </c>
      <c r="E2507" s="15">
        <v>-0.11990000000000001</v>
      </c>
      <c r="F2507" s="15">
        <v>0.14149999999999999</v>
      </c>
      <c r="G2507" s="15">
        <v>-9.8599999999999993E-2</v>
      </c>
      <c r="H2507" s="15">
        <v>0.1598</v>
      </c>
      <c r="I2507" s="15">
        <v>0.45152486481862331</v>
      </c>
    </row>
    <row r="2508" spans="1:9" x14ac:dyDescent="0.2">
      <c r="A2508" s="2" t="s">
        <v>7161</v>
      </c>
      <c r="B2508" s="2" t="s">
        <v>7007</v>
      </c>
      <c r="C2508" s="2" t="s">
        <v>7162</v>
      </c>
      <c r="D2508" s="2" t="s">
        <v>10055</v>
      </c>
      <c r="E2508" s="15">
        <v>0.11700000000000001</v>
      </c>
      <c r="F2508" s="15">
        <v>0.13</v>
      </c>
      <c r="G2508" s="15">
        <v>-6.5100000000000005E-2</v>
      </c>
      <c r="H2508" s="15">
        <v>0.1114</v>
      </c>
      <c r="I2508" s="15">
        <v>7.2511900821059627E-2</v>
      </c>
    </row>
    <row r="2509" spans="1:9" x14ac:dyDescent="0.2">
      <c r="A2509" s="2" t="s">
        <v>7163</v>
      </c>
      <c r="B2509" s="2" t="s">
        <v>7007</v>
      </c>
      <c r="C2509" s="2" t="s">
        <v>7164</v>
      </c>
      <c r="D2509" s="2" t="s">
        <v>10055</v>
      </c>
      <c r="E2509" s="15">
        <v>9.69E-2</v>
      </c>
      <c r="F2509" s="15">
        <v>0.1368</v>
      </c>
      <c r="G2509" s="15">
        <v>0.1041</v>
      </c>
      <c r="H2509" s="15">
        <v>0.1043</v>
      </c>
      <c r="I2509" s="15">
        <v>0.47634095996252401</v>
      </c>
    </row>
    <row r="2510" spans="1:9" x14ac:dyDescent="0.2">
      <c r="A2510" s="2" t="s">
        <v>7165</v>
      </c>
      <c r="B2510" s="2" t="s">
        <v>7007</v>
      </c>
      <c r="C2510" s="2" t="s">
        <v>7166</v>
      </c>
      <c r="D2510" s="2" t="s">
        <v>10055</v>
      </c>
      <c r="G2510" s="15">
        <v>-5.04E-2</v>
      </c>
      <c r="H2510" s="15">
        <v>0.25569999999999998</v>
      </c>
    </row>
    <row r="2511" spans="1:9" x14ac:dyDescent="0.2">
      <c r="A2511" s="2" t="s">
        <v>7167</v>
      </c>
      <c r="B2511" s="2" t="s">
        <v>7007</v>
      </c>
      <c r="C2511" s="2" t="s">
        <v>7168</v>
      </c>
      <c r="D2511" s="2" t="s">
        <v>10055</v>
      </c>
      <c r="E2511" s="15">
        <v>1.18E-2</v>
      </c>
      <c r="F2511" s="15">
        <v>0.12809999999999999</v>
      </c>
      <c r="G2511" s="15">
        <v>-4.2099999999999999E-2</v>
      </c>
      <c r="H2511" s="15">
        <v>0.17349999999999999</v>
      </c>
      <c r="I2511" s="15">
        <v>0.39064402270356741</v>
      </c>
    </row>
    <row r="2512" spans="1:9" x14ac:dyDescent="0.2">
      <c r="A2512" s="2" t="s">
        <v>7169</v>
      </c>
      <c r="B2512" s="2" t="s">
        <v>7007</v>
      </c>
      <c r="C2512" s="2" t="s">
        <v>7170</v>
      </c>
      <c r="D2512" s="2" t="s">
        <v>10055</v>
      </c>
      <c r="E2512" s="15">
        <v>-4.7300000000000002E-2</v>
      </c>
      <c r="F2512" s="15">
        <v>0.1537</v>
      </c>
      <c r="G2512" s="15">
        <v>-9.3899999999999997E-2</v>
      </c>
      <c r="H2512" s="15">
        <v>0.13950000000000001</v>
      </c>
      <c r="I2512" s="15">
        <v>0.38422654932164718</v>
      </c>
    </row>
    <row r="2513" spans="1:9" x14ac:dyDescent="0.2">
      <c r="A2513" s="2" t="s">
        <v>7171</v>
      </c>
      <c r="B2513" s="2" t="s">
        <v>7007</v>
      </c>
      <c r="C2513" s="2" t="s">
        <v>7172</v>
      </c>
      <c r="D2513" s="2" t="s">
        <v>10055</v>
      </c>
      <c r="E2513" s="15">
        <v>0.16800000000000001</v>
      </c>
      <c r="F2513" s="15">
        <v>0.1391</v>
      </c>
    </row>
    <row r="2514" spans="1:9" x14ac:dyDescent="0.2">
      <c r="A2514" s="2" t="s">
        <v>7173</v>
      </c>
      <c r="B2514" s="2" t="s">
        <v>7007</v>
      </c>
      <c r="C2514" s="2" t="s">
        <v>7174</v>
      </c>
      <c r="D2514" s="2" t="s">
        <v>10055</v>
      </c>
      <c r="E2514" s="15">
        <v>0.1426</v>
      </c>
      <c r="F2514" s="15">
        <v>0.15459999999999999</v>
      </c>
      <c r="G2514" s="15">
        <v>3.95E-2</v>
      </c>
      <c r="H2514" s="15">
        <v>0.191</v>
      </c>
      <c r="I2514" s="15">
        <v>0.31959899390686292</v>
      </c>
    </row>
    <row r="2515" spans="1:9" x14ac:dyDescent="0.2">
      <c r="A2515" s="2" t="s">
        <v>7175</v>
      </c>
      <c r="B2515" s="2" t="s">
        <v>7007</v>
      </c>
      <c r="C2515" s="2" t="s">
        <v>7176</v>
      </c>
      <c r="D2515" s="2" t="s">
        <v>10055</v>
      </c>
      <c r="E2515" s="15">
        <v>2.75E-2</v>
      </c>
      <c r="F2515" s="15">
        <v>0.13819999999999999</v>
      </c>
    </row>
    <row r="2516" spans="1:9" x14ac:dyDescent="0.2">
      <c r="A2516" s="2" t="s">
        <v>7177</v>
      </c>
      <c r="B2516" s="2" t="s">
        <v>7007</v>
      </c>
      <c r="C2516" s="2" t="s">
        <v>7178</v>
      </c>
      <c r="D2516" s="2" t="s">
        <v>10055</v>
      </c>
      <c r="E2516" s="15">
        <v>-7.3800000000000004E-2</v>
      </c>
      <c r="F2516" s="15">
        <v>0.1719</v>
      </c>
      <c r="G2516" s="15">
        <v>0.17499999999999999</v>
      </c>
      <c r="H2516" s="15">
        <v>0.18279999999999999</v>
      </c>
      <c r="I2516" s="15">
        <v>0.1063138849260561</v>
      </c>
    </row>
    <row r="2517" spans="1:9" x14ac:dyDescent="0.2">
      <c r="A2517" s="2" t="s">
        <v>7179</v>
      </c>
      <c r="B2517" s="2" t="s">
        <v>7007</v>
      </c>
      <c r="C2517" s="2" t="s">
        <v>7180</v>
      </c>
      <c r="D2517" s="2" t="s">
        <v>10055</v>
      </c>
      <c r="E2517" s="15">
        <v>-2.7000000000000001E-3</v>
      </c>
      <c r="F2517" s="15">
        <v>0.12379999999999999</v>
      </c>
      <c r="G2517" s="15">
        <v>8.3900000000000002E-2</v>
      </c>
      <c r="H2517" s="15">
        <v>0.15690000000000001</v>
      </c>
      <c r="I2517" s="15">
        <v>0.31826987855830707</v>
      </c>
    </row>
    <row r="2518" spans="1:9" x14ac:dyDescent="0.2">
      <c r="A2518" s="2" t="s">
        <v>7181</v>
      </c>
      <c r="B2518" s="2" t="s">
        <v>7007</v>
      </c>
      <c r="C2518" s="2" t="s">
        <v>7182</v>
      </c>
      <c r="D2518" s="2" t="s">
        <v>10055</v>
      </c>
      <c r="E2518" s="15">
        <v>0.1101</v>
      </c>
      <c r="F2518" s="15">
        <v>0.17960000000000001</v>
      </c>
      <c r="G2518" s="15">
        <v>0.17119999999999999</v>
      </c>
      <c r="H2518" s="15">
        <v>0.16869999999999999</v>
      </c>
      <c r="I2518" s="15">
        <v>0.37315001992613811</v>
      </c>
    </row>
    <row r="2519" spans="1:9" x14ac:dyDescent="0.2">
      <c r="A2519" s="2" t="s">
        <v>7183</v>
      </c>
      <c r="B2519" s="2" t="s">
        <v>7007</v>
      </c>
      <c r="C2519" s="2" t="s">
        <v>7184</v>
      </c>
      <c r="D2519" s="2" t="s">
        <v>10055</v>
      </c>
    </row>
    <row r="2520" spans="1:9" x14ac:dyDescent="0.2">
      <c r="A2520" s="2" t="s">
        <v>7185</v>
      </c>
      <c r="B2520" s="2" t="s">
        <v>7007</v>
      </c>
      <c r="C2520" s="2" t="s">
        <v>7186</v>
      </c>
      <c r="D2520" s="2" t="s">
        <v>10055</v>
      </c>
      <c r="E2520" s="15">
        <v>0.26889999999999997</v>
      </c>
      <c r="F2520" s="15">
        <v>0.19020000000000001</v>
      </c>
      <c r="G2520" s="15">
        <v>-0.51200000000000001</v>
      </c>
      <c r="H2520" s="15">
        <v>13.059799999999999</v>
      </c>
      <c r="I2520" s="15">
        <v>0.4761607110170466</v>
      </c>
    </row>
    <row r="2521" spans="1:9" x14ac:dyDescent="0.2">
      <c r="A2521" s="2" t="s">
        <v>7187</v>
      </c>
      <c r="B2521" s="2" t="s">
        <v>7007</v>
      </c>
      <c r="C2521" s="2" t="s">
        <v>7188</v>
      </c>
      <c r="D2521" s="2" t="s">
        <v>10055</v>
      </c>
      <c r="E2521" s="15">
        <v>-0.1434</v>
      </c>
      <c r="F2521" s="15">
        <v>0.13850000000000001</v>
      </c>
    </row>
    <row r="2522" spans="1:9" x14ac:dyDescent="0.2">
      <c r="A2522" s="2" t="s">
        <v>7189</v>
      </c>
      <c r="B2522" s="2" t="s">
        <v>7007</v>
      </c>
      <c r="C2522" s="2" t="s">
        <v>7190</v>
      </c>
      <c r="D2522" s="2" t="s">
        <v>10055</v>
      </c>
      <c r="G2522" s="15">
        <v>-0.15479999999999999</v>
      </c>
      <c r="H2522" s="15">
        <v>0.21690000000000001</v>
      </c>
    </row>
    <row r="2523" spans="1:9" x14ac:dyDescent="0.2">
      <c r="A2523" s="2" t="s">
        <v>7191</v>
      </c>
      <c r="B2523" s="2" t="s">
        <v>7007</v>
      </c>
      <c r="C2523" s="2" t="s">
        <v>7192</v>
      </c>
      <c r="D2523" s="2" t="s">
        <v>10055</v>
      </c>
      <c r="E2523" s="15">
        <v>-2.8899999999999999E-2</v>
      </c>
      <c r="F2523" s="15">
        <v>9.3700000000000006E-2</v>
      </c>
      <c r="G2523" s="15">
        <v>-4.1300000000000003E-2</v>
      </c>
      <c r="H2523" s="15">
        <v>0.10340000000000001</v>
      </c>
      <c r="I2523" s="15">
        <v>0.45857316518788083</v>
      </c>
    </row>
    <row r="2524" spans="1:9" x14ac:dyDescent="0.2">
      <c r="A2524" s="2" t="s">
        <v>7193</v>
      </c>
      <c r="B2524" s="2" t="s">
        <v>7007</v>
      </c>
      <c r="C2524" s="2" t="s">
        <v>7194</v>
      </c>
      <c r="D2524" s="2" t="s">
        <v>10055</v>
      </c>
      <c r="G2524" s="15">
        <v>1.6000000000000001E-3</v>
      </c>
      <c r="H2524" s="15">
        <v>9.8900000000000002E-2</v>
      </c>
    </row>
    <row r="2525" spans="1:9" x14ac:dyDescent="0.2">
      <c r="A2525" s="2" t="s">
        <v>7195</v>
      </c>
      <c r="B2525" s="2" t="s">
        <v>7007</v>
      </c>
      <c r="C2525" s="2" t="s">
        <v>7196</v>
      </c>
      <c r="D2525" s="2" t="s">
        <v>10055</v>
      </c>
      <c r="E2525" s="15">
        <v>0.2399</v>
      </c>
      <c r="F2525" s="15">
        <v>0.28289999999999998</v>
      </c>
      <c r="G2525" s="15">
        <v>-0.04</v>
      </c>
      <c r="H2525" s="15">
        <v>0.13239999999999999</v>
      </c>
      <c r="I2525" s="15">
        <v>6.6301316823371023E-2</v>
      </c>
    </row>
    <row r="2526" spans="1:9" x14ac:dyDescent="0.2">
      <c r="A2526" s="2" t="s">
        <v>7197</v>
      </c>
      <c r="B2526" s="2" t="s">
        <v>7007</v>
      </c>
      <c r="C2526" s="2" t="s">
        <v>7198</v>
      </c>
      <c r="D2526" s="2" t="s">
        <v>10055</v>
      </c>
      <c r="E2526" s="15">
        <v>-8.9200000000000002E-2</v>
      </c>
      <c r="F2526" s="15">
        <v>0.253</v>
      </c>
      <c r="G2526" s="15">
        <v>0.1024</v>
      </c>
      <c r="H2526" s="15">
        <v>0.26350000000000001</v>
      </c>
      <c r="I2526" s="15">
        <v>0.2471334658224634</v>
      </c>
    </row>
    <row r="2527" spans="1:9" x14ac:dyDescent="0.2">
      <c r="A2527" s="2" t="s">
        <v>7199</v>
      </c>
      <c r="B2527" s="2" t="s">
        <v>7007</v>
      </c>
      <c r="C2527" s="2" t="s">
        <v>7200</v>
      </c>
      <c r="D2527" s="2" t="s">
        <v>10055</v>
      </c>
      <c r="E2527" s="15">
        <v>2.8E-3</v>
      </c>
      <c r="F2527" s="15">
        <v>0.16889999999999999</v>
      </c>
    </row>
    <row r="2528" spans="1:9" x14ac:dyDescent="0.2">
      <c r="A2528" s="2" t="s">
        <v>7201</v>
      </c>
      <c r="B2528" s="2" t="s">
        <v>7007</v>
      </c>
      <c r="C2528" s="2" t="s">
        <v>7202</v>
      </c>
      <c r="D2528" s="2" t="s">
        <v>10055</v>
      </c>
      <c r="G2528" s="15">
        <v>-0.1014</v>
      </c>
      <c r="H2528" s="15">
        <v>0.26679999999999998</v>
      </c>
    </row>
    <row r="2529" spans="1:9" x14ac:dyDescent="0.2">
      <c r="A2529" s="2" t="s">
        <v>7203</v>
      </c>
      <c r="B2529" s="2" t="s">
        <v>7007</v>
      </c>
      <c r="C2529" s="2" t="s">
        <v>7204</v>
      </c>
      <c r="D2529" s="2" t="s">
        <v>10055</v>
      </c>
      <c r="E2529" s="15">
        <v>0.38929999999999998</v>
      </c>
      <c r="F2529" s="15">
        <v>0.16900000000000001</v>
      </c>
      <c r="G2529" s="15">
        <v>0.12859999999999999</v>
      </c>
      <c r="H2529" s="15">
        <v>0.245</v>
      </c>
      <c r="I2529" s="15">
        <v>0.16363420066489279</v>
      </c>
    </row>
    <row r="2530" spans="1:9" x14ac:dyDescent="0.2">
      <c r="A2530" s="2" t="s">
        <v>7205</v>
      </c>
      <c r="B2530" s="2" t="s">
        <v>7007</v>
      </c>
      <c r="C2530" s="2" t="s">
        <v>7206</v>
      </c>
      <c r="D2530" s="2" t="s">
        <v>10055</v>
      </c>
      <c r="E2530" s="15">
        <v>5.0200000000000002E-2</v>
      </c>
      <c r="F2530" s="15">
        <v>0.1119</v>
      </c>
    </row>
    <row r="2531" spans="1:9" x14ac:dyDescent="0.2">
      <c r="A2531" s="2" t="s">
        <v>7207</v>
      </c>
      <c r="B2531" s="2" t="s">
        <v>7007</v>
      </c>
      <c r="C2531" s="2" t="s">
        <v>7208</v>
      </c>
      <c r="D2531" s="2" t="s">
        <v>10055</v>
      </c>
      <c r="E2531" s="15">
        <v>5.7299999999999997E-2</v>
      </c>
      <c r="F2531" s="15">
        <v>9.4600000000000004E-2</v>
      </c>
      <c r="G2531" s="15">
        <v>3.39E-2</v>
      </c>
      <c r="H2531" s="15">
        <v>0.16389999999999999</v>
      </c>
      <c r="I2531" s="15">
        <v>0.44728668774717939</v>
      </c>
    </row>
    <row r="2532" spans="1:9" x14ac:dyDescent="0.2">
      <c r="A2532" s="2" t="s">
        <v>7209</v>
      </c>
      <c r="B2532" s="2" t="s">
        <v>7007</v>
      </c>
      <c r="C2532" s="2" t="s">
        <v>7210</v>
      </c>
      <c r="D2532" s="2" t="s">
        <v>10055</v>
      </c>
      <c r="E2532" s="15">
        <v>4.2599999999999999E-2</v>
      </c>
      <c r="F2532" s="15">
        <v>0.18099999999999999</v>
      </c>
      <c r="G2532" s="15">
        <v>0.1084</v>
      </c>
      <c r="H2532" s="15">
        <v>0.1014</v>
      </c>
      <c r="I2532" s="15">
        <v>0.29116858484030078</v>
      </c>
    </row>
    <row r="2533" spans="1:9" x14ac:dyDescent="0.2">
      <c r="A2533" s="2" t="s">
        <v>7211</v>
      </c>
      <c r="B2533" s="2" t="s">
        <v>7007</v>
      </c>
      <c r="C2533" s="2" t="s">
        <v>7212</v>
      </c>
      <c r="D2533" s="2" t="s">
        <v>10055</v>
      </c>
      <c r="G2533" s="15">
        <v>-0.17349999999999999</v>
      </c>
      <c r="H2533" s="15">
        <v>0.19059999999999999</v>
      </c>
    </row>
    <row r="2534" spans="1:9" x14ac:dyDescent="0.2">
      <c r="A2534" s="2" t="s">
        <v>7213</v>
      </c>
      <c r="B2534" s="2" t="s">
        <v>7007</v>
      </c>
      <c r="C2534" s="2" t="s">
        <v>7214</v>
      </c>
      <c r="D2534" s="2" t="s">
        <v>10055</v>
      </c>
      <c r="E2534" s="15">
        <v>1.18E-2</v>
      </c>
      <c r="F2534" s="15">
        <v>0.14099999999999999</v>
      </c>
      <c r="G2534" s="15">
        <v>0.16320000000000001</v>
      </c>
      <c r="H2534" s="15">
        <v>0.13250000000000001</v>
      </c>
      <c r="I2534" s="15">
        <v>0.1635906953573204</v>
      </c>
    </row>
    <row r="2535" spans="1:9" x14ac:dyDescent="0.2">
      <c r="A2535" s="2" t="s">
        <v>7215</v>
      </c>
      <c r="B2535" s="2" t="s">
        <v>7007</v>
      </c>
      <c r="C2535" s="2" t="s">
        <v>7216</v>
      </c>
      <c r="D2535" s="2" t="s">
        <v>10055</v>
      </c>
      <c r="E2535" s="15">
        <v>2.9100000000000001E-2</v>
      </c>
      <c r="F2535" s="15">
        <v>0.18720000000000001</v>
      </c>
      <c r="G2535" s="15">
        <v>2.9499999999999998E-2</v>
      </c>
      <c r="H2535" s="15">
        <v>0.126</v>
      </c>
      <c r="I2535" s="15">
        <v>0.49899105796646592</v>
      </c>
    </row>
    <row r="2536" spans="1:9" x14ac:dyDescent="0.2">
      <c r="A2536" s="2" t="s">
        <v>7217</v>
      </c>
      <c r="B2536" s="2" t="s">
        <v>7007</v>
      </c>
      <c r="C2536" s="2" t="s">
        <v>7218</v>
      </c>
      <c r="D2536" s="2" t="s">
        <v>10055</v>
      </c>
      <c r="E2536" s="15">
        <v>0.20780000000000001</v>
      </c>
      <c r="F2536" s="15">
        <v>0.2447</v>
      </c>
    </row>
    <row r="2537" spans="1:9" x14ac:dyDescent="0.2">
      <c r="A2537" s="2" t="s">
        <v>7219</v>
      </c>
      <c r="B2537" s="2" t="s">
        <v>7007</v>
      </c>
      <c r="C2537" s="2" t="s">
        <v>7220</v>
      </c>
      <c r="D2537" s="2" t="s">
        <v>10055</v>
      </c>
    </row>
    <row r="2538" spans="1:9" x14ac:dyDescent="0.2">
      <c r="A2538" s="2" t="s">
        <v>7221</v>
      </c>
      <c r="B2538" s="2" t="s">
        <v>7007</v>
      </c>
      <c r="C2538" s="2" t="s">
        <v>7222</v>
      </c>
      <c r="D2538" s="2" t="s">
        <v>10055</v>
      </c>
      <c r="E2538" s="15">
        <v>0.1116</v>
      </c>
      <c r="F2538" s="15">
        <v>0.16830000000000001</v>
      </c>
      <c r="G2538" s="15">
        <v>-5.6000000000000001E-2</v>
      </c>
      <c r="H2538" s="15">
        <v>0.1076</v>
      </c>
      <c r="I2538" s="15">
        <v>9.8994320941451358E-2</v>
      </c>
    </row>
    <row r="2539" spans="1:9" x14ac:dyDescent="0.2">
      <c r="A2539" s="2" t="s">
        <v>7223</v>
      </c>
      <c r="B2539" s="2" t="s">
        <v>7007</v>
      </c>
      <c r="C2539" s="2" t="s">
        <v>7224</v>
      </c>
      <c r="D2539" s="2" t="s">
        <v>10055</v>
      </c>
      <c r="E2539" s="15">
        <v>-0.28129999999999999</v>
      </c>
      <c r="F2539" s="15">
        <v>0.27400000000000002</v>
      </c>
      <c r="G2539" s="15">
        <v>0.11020000000000001</v>
      </c>
      <c r="H2539" s="15">
        <v>0.43519999999999998</v>
      </c>
      <c r="I2539" s="15">
        <v>0.19116342270434131</v>
      </c>
    </row>
    <row r="2540" spans="1:9" x14ac:dyDescent="0.2">
      <c r="A2540" s="2" t="s">
        <v>7225</v>
      </c>
      <c r="B2540" s="2" t="s">
        <v>7007</v>
      </c>
      <c r="C2540" s="2" t="s">
        <v>7226</v>
      </c>
      <c r="D2540" s="2" t="s">
        <v>10055</v>
      </c>
      <c r="G2540" s="15">
        <v>-0.30980000000000002</v>
      </c>
      <c r="H2540" s="15">
        <v>0.22289999999999999</v>
      </c>
    </row>
    <row r="2541" spans="1:9" x14ac:dyDescent="0.2">
      <c r="A2541" s="2" t="s">
        <v>7227</v>
      </c>
      <c r="B2541" s="2" t="s">
        <v>7007</v>
      </c>
      <c r="C2541" s="2" t="s">
        <v>7228</v>
      </c>
      <c r="D2541" s="2" t="s">
        <v>10055</v>
      </c>
    </row>
    <row r="2542" spans="1:9" x14ac:dyDescent="0.2">
      <c r="A2542" s="2" t="s">
        <v>7229</v>
      </c>
      <c r="B2542" s="2" t="s">
        <v>7007</v>
      </c>
      <c r="C2542" s="2" t="s">
        <v>7230</v>
      </c>
      <c r="D2542" s="2" t="s">
        <v>10055</v>
      </c>
    </row>
    <row r="2543" spans="1:9" x14ac:dyDescent="0.2">
      <c r="A2543" s="2" t="s">
        <v>7231</v>
      </c>
      <c r="B2543" s="2" t="s">
        <v>7007</v>
      </c>
      <c r="C2543" s="2" t="s">
        <v>7232</v>
      </c>
      <c r="D2543" s="2" t="s">
        <v>10055</v>
      </c>
      <c r="E2543" s="15">
        <v>0.1908</v>
      </c>
      <c r="F2543" s="15">
        <v>0.19689999999999999</v>
      </c>
      <c r="G2543" s="15">
        <v>3.6999999999999998E-2</v>
      </c>
      <c r="H2543" s="15">
        <v>0.1084</v>
      </c>
      <c r="I2543" s="15">
        <v>0.1201322253655189</v>
      </c>
    </row>
    <row r="2544" spans="1:9" x14ac:dyDescent="0.2">
      <c r="A2544" s="2" t="s">
        <v>7233</v>
      </c>
      <c r="B2544" s="2" t="s">
        <v>7007</v>
      </c>
      <c r="C2544" s="2" t="s">
        <v>7234</v>
      </c>
      <c r="D2544" s="2" t="s">
        <v>10055</v>
      </c>
      <c r="G2544" s="15">
        <v>2.7400000000000001E-2</v>
      </c>
      <c r="H2544" s="15">
        <v>0.1143</v>
      </c>
    </row>
    <row r="2545" spans="1:9" x14ac:dyDescent="0.2">
      <c r="A2545" s="2" t="s">
        <v>7235</v>
      </c>
      <c r="B2545" s="2" t="s">
        <v>7007</v>
      </c>
      <c r="C2545" s="2" t="s">
        <v>7236</v>
      </c>
      <c r="D2545" s="2" t="s">
        <v>10055</v>
      </c>
      <c r="E2545" s="15">
        <v>-0.1502</v>
      </c>
      <c r="F2545" s="15">
        <v>0.79510000000000003</v>
      </c>
      <c r="G2545" s="15">
        <v>0.26900000000000002</v>
      </c>
      <c r="H2545" s="15">
        <v>0.11020000000000001</v>
      </c>
      <c r="I2545" s="15">
        <v>4.6495875299390643E-2</v>
      </c>
    </row>
    <row r="2546" spans="1:9" x14ac:dyDescent="0.2">
      <c r="A2546" s="2" t="s">
        <v>7237</v>
      </c>
      <c r="B2546" s="2" t="s">
        <v>7007</v>
      </c>
      <c r="C2546" s="2" t="s">
        <v>7238</v>
      </c>
      <c r="D2546" s="2" t="s">
        <v>10055</v>
      </c>
      <c r="E2546" s="15">
        <v>-8.8000000000000005E-3</v>
      </c>
      <c r="F2546" s="15">
        <v>0.20830000000000001</v>
      </c>
      <c r="G2546" s="15">
        <v>-0.10440000000000001</v>
      </c>
      <c r="H2546" s="15">
        <v>0.1842</v>
      </c>
      <c r="I2546" s="15">
        <v>0.34332470157050621</v>
      </c>
    </row>
    <row r="2547" spans="1:9" x14ac:dyDescent="0.2">
      <c r="A2547" s="2" t="s">
        <v>7239</v>
      </c>
      <c r="B2547" s="2" t="s">
        <v>7007</v>
      </c>
      <c r="C2547" s="2" t="s">
        <v>7240</v>
      </c>
      <c r="D2547" s="2" t="s">
        <v>10055</v>
      </c>
      <c r="G2547" s="15">
        <v>-0.25209999999999999</v>
      </c>
      <c r="H2547" s="15">
        <v>0.16919999999999999</v>
      </c>
    </row>
    <row r="2548" spans="1:9" x14ac:dyDescent="0.2">
      <c r="A2548" s="2" t="s">
        <v>7241</v>
      </c>
      <c r="B2548" s="2" t="s">
        <v>7007</v>
      </c>
      <c r="C2548" s="2" t="s">
        <v>7242</v>
      </c>
      <c r="D2548" s="2" t="s">
        <v>10055</v>
      </c>
      <c r="G2548" s="15">
        <v>8.8800000000000004E-2</v>
      </c>
      <c r="H2548" s="15">
        <v>0.2515</v>
      </c>
    </row>
    <row r="2549" spans="1:9" x14ac:dyDescent="0.2">
      <c r="A2549" s="2" t="s">
        <v>7243</v>
      </c>
      <c r="B2549" s="2" t="s">
        <v>7007</v>
      </c>
      <c r="C2549" s="2" t="s">
        <v>7244</v>
      </c>
      <c r="D2549" s="2" t="s">
        <v>10055</v>
      </c>
      <c r="G2549" s="15">
        <v>6.1899999999999997E-2</v>
      </c>
      <c r="H2549" s="15">
        <v>0.18770000000000001</v>
      </c>
    </row>
    <row r="2550" spans="1:9" x14ac:dyDescent="0.2">
      <c r="A2550" s="2" t="s">
        <v>7245</v>
      </c>
      <c r="B2550" s="2" t="s">
        <v>7007</v>
      </c>
      <c r="C2550" s="2" t="s">
        <v>7246</v>
      </c>
      <c r="D2550" s="2" t="s">
        <v>10055</v>
      </c>
      <c r="G2550" s="15">
        <v>0.2044</v>
      </c>
      <c r="H2550" s="15">
        <v>0.16889999999999999</v>
      </c>
    </row>
    <row r="2551" spans="1:9" x14ac:dyDescent="0.2">
      <c r="A2551" s="2" t="s">
        <v>7247</v>
      </c>
      <c r="B2551" s="2" t="s">
        <v>7007</v>
      </c>
      <c r="C2551" s="2" t="s">
        <v>7248</v>
      </c>
      <c r="D2551" s="2" t="s">
        <v>10055</v>
      </c>
      <c r="G2551" s="15">
        <v>8.8999999999999999E-3</v>
      </c>
      <c r="H2551" s="15">
        <v>0.19359999999999999</v>
      </c>
    </row>
    <row r="2552" spans="1:9" x14ac:dyDescent="0.2">
      <c r="A2552" s="2" t="s">
        <v>7249</v>
      </c>
      <c r="B2552" s="2" t="s">
        <v>7007</v>
      </c>
      <c r="C2552" s="2" t="s">
        <v>7250</v>
      </c>
      <c r="D2552" s="2" t="s">
        <v>10055</v>
      </c>
      <c r="E2552" s="15">
        <v>-4.4000000000000003E-3</v>
      </c>
      <c r="F2552" s="15">
        <v>0.1537</v>
      </c>
    </row>
    <row r="2553" spans="1:9" x14ac:dyDescent="0.2">
      <c r="A2553" s="2" t="s">
        <v>7251</v>
      </c>
      <c r="B2553" s="2" t="s">
        <v>7007</v>
      </c>
      <c r="C2553" s="2" t="s">
        <v>7252</v>
      </c>
      <c r="D2553" s="2" t="s">
        <v>10055</v>
      </c>
      <c r="E2553" s="15">
        <v>-9.0800000000000006E-2</v>
      </c>
      <c r="F2553" s="15">
        <v>0.2039</v>
      </c>
    </row>
    <row r="2554" spans="1:9" x14ac:dyDescent="0.2">
      <c r="A2554" s="2" t="s">
        <v>7253</v>
      </c>
      <c r="B2554" s="2" t="s">
        <v>7007</v>
      </c>
      <c r="C2554" s="2" t="s">
        <v>7254</v>
      </c>
      <c r="D2554" s="2" t="s">
        <v>10055</v>
      </c>
      <c r="E2554" s="15">
        <v>-1.8499999999999999E-2</v>
      </c>
      <c r="F2554" s="15">
        <v>9.6199999999999994E-2</v>
      </c>
      <c r="G2554" s="15">
        <v>-0.23910000000000001</v>
      </c>
      <c r="H2554" s="15">
        <v>0.14019999999999999</v>
      </c>
      <c r="I2554" s="15">
        <v>8.0622271676053209E-2</v>
      </c>
    </row>
    <row r="2555" spans="1:9" x14ac:dyDescent="0.2">
      <c r="A2555" s="2" t="s">
        <v>7255</v>
      </c>
      <c r="B2555" s="2" t="s">
        <v>7007</v>
      </c>
      <c r="C2555" s="2" t="s">
        <v>7256</v>
      </c>
      <c r="D2555" s="2" t="s">
        <v>10055</v>
      </c>
      <c r="E2555" s="15">
        <v>0.10249999999999999</v>
      </c>
      <c r="F2555" s="15">
        <v>0.1898</v>
      </c>
    </row>
    <row r="2556" spans="1:9" x14ac:dyDescent="0.2">
      <c r="A2556" s="2" t="s">
        <v>7257</v>
      </c>
      <c r="B2556" s="2" t="s">
        <v>7007</v>
      </c>
      <c r="C2556" s="2" t="s">
        <v>7258</v>
      </c>
      <c r="D2556" s="2" t="s">
        <v>10055</v>
      </c>
      <c r="E2556" s="15">
        <v>0.44080000000000003</v>
      </c>
      <c r="F2556" s="15">
        <v>0.45250000000000001</v>
      </c>
      <c r="G2556" s="15">
        <v>8.6999999999999994E-3</v>
      </c>
      <c r="H2556" s="15">
        <v>0.1108</v>
      </c>
    </row>
    <row r="2557" spans="1:9" x14ac:dyDescent="0.2">
      <c r="A2557" s="2" t="s">
        <v>7259</v>
      </c>
      <c r="B2557" s="2" t="s">
        <v>7007</v>
      </c>
      <c r="C2557" s="2" t="s">
        <v>7260</v>
      </c>
      <c r="D2557" s="2" t="s">
        <v>10055</v>
      </c>
      <c r="E2557" s="15">
        <v>-2.5700000000000001E-2</v>
      </c>
      <c r="F2557" s="15">
        <v>0.14810000000000001</v>
      </c>
    </row>
    <row r="2558" spans="1:9" x14ac:dyDescent="0.2">
      <c r="A2558" s="2" t="s">
        <v>7261</v>
      </c>
      <c r="B2558" s="2" t="s">
        <v>7007</v>
      </c>
      <c r="C2558" s="2" t="s">
        <v>7262</v>
      </c>
      <c r="D2558" s="2" t="s">
        <v>10055</v>
      </c>
      <c r="E2558" s="15">
        <v>-8.3000000000000004E-2</v>
      </c>
      <c r="F2558" s="15">
        <v>0.1633</v>
      </c>
      <c r="G2558" s="15">
        <v>-0.1229</v>
      </c>
      <c r="H2558" s="15">
        <v>0.35239999999999999</v>
      </c>
      <c r="I2558" s="15">
        <v>0.45781093947752172</v>
      </c>
    </row>
    <row r="2559" spans="1:9" x14ac:dyDescent="0.2">
      <c r="A2559" s="2" t="s">
        <v>7263</v>
      </c>
      <c r="B2559" s="2" t="s">
        <v>7007</v>
      </c>
      <c r="C2559" s="2" t="s">
        <v>7264</v>
      </c>
      <c r="D2559" s="2" t="s">
        <v>10055</v>
      </c>
      <c r="G2559" s="15">
        <v>4.5900000000000003E-2</v>
      </c>
      <c r="H2559" s="15">
        <v>0.13500000000000001</v>
      </c>
    </row>
    <row r="2560" spans="1:9" x14ac:dyDescent="0.2">
      <c r="A2560" s="2" t="s">
        <v>7265</v>
      </c>
      <c r="B2560" s="2" t="s">
        <v>7007</v>
      </c>
      <c r="C2560" s="2" t="s">
        <v>7266</v>
      </c>
      <c r="D2560" s="2" t="s">
        <v>10055</v>
      </c>
    </row>
    <row r="2561" spans="1:9" x14ac:dyDescent="0.2">
      <c r="A2561" s="2" t="s">
        <v>7267</v>
      </c>
      <c r="B2561" s="2" t="s">
        <v>7007</v>
      </c>
      <c r="C2561" s="2" t="s">
        <v>7268</v>
      </c>
      <c r="D2561" s="2" t="s">
        <v>10055</v>
      </c>
      <c r="E2561" s="15">
        <v>-0.12959999999999999</v>
      </c>
      <c r="F2561" s="15">
        <v>0.12559999999999999</v>
      </c>
      <c r="G2561" s="15">
        <v>-4.8599999999999997E-2</v>
      </c>
      <c r="H2561" s="15">
        <v>0.125</v>
      </c>
      <c r="I2561" s="15">
        <v>0.28962595368915678</v>
      </c>
    </row>
    <row r="2562" spans="1:9" x14ac:dyDescent="0.2">
      <c r="A2562" s="2" t="s">
        <v>7269</v>
      </c>
      <c r="B2562" s="2" t="s">
        <v>7007</v>
      </c>
      <c r="C2562" s="2" t="s">
        <v>7270</v>
      </c>
      <c r="D2562" s="2" t="s">
        <v>10055</v>
      </c>
      <c r="E2562" s="15">
        <v>7.2499999999999995E-2</v>
      </c>
      <c r="F2562" s="15">
        <v>0.12959999999999999</v>
      </c>
      <c r="G2562" s="15">
        <v>-4.8999999999999998E-3</v>
      </c>
      <c r="H2562" s="15">
        <v>0.1376</v>
      </c>
      <c r="I2562" s="15">
        <v>0.31551979467910218</v>
      </c>
    </row>
    <row r="2563" spans="1:9" x14ac:dyDescent="0.2">
      <c r="A2563" s="2" t="s">
        <v>7271</v>
      </c>
      <c r="B2563" s="2" t="s">
        <v>7007</v>
      </c>
      <c r="C2563" s="2" t="s">
        <v>7272</v>
      </c>
      <c r="D2563" s="2" t="s">
        <v>10055</v>
      </c>
      <c r="E2563" s="15">
        <v>-4.5999999999999999E-2</v>
      </c>
      <c r="F2563" s="15">
        <v>0.11219999999999999</v>
      </c>
    </row>
    <row r="2564" spans="1:9" x14ac:dyDescent="0.2">
      <c r="A2564" s="2" t="s">
        <v>7273</v>
      </c>
      <c r="B2564" s="2" t="s">
        <v>7007</v>
      </c>
      <c r="C2564" s="2" t="s">
        <v>7274</v>
      </c>
      <c r="D2564" s="2" t="s">
        <v>10055</v>
      </c>
      <c r="G2564" s="15">
        <v>-0.28420000000000001</v>
      </c>
      <c r="H2564" s="15">
        <v>0.45119999999999999</v>
      </c>
    </row>
    <row r="2565" spans="1:9" x14ac:dyDescent="0.2">
      <c r="A2565" s="2" t="s">
        <v>7275</v>
      </c>
      <c r="B2565" s="2" t="s">
        <v>7007</v>
      </c>
      <c r="C2565" s="2" t="s">
        <v>7276</v>
      </c>
      <c r="D2565" s="2" t="s">
        <v>10055</v>
      </c>
      <c r="E2565" s="15">
        <v>-0.26219999999999999</v>
      </c>
      <c r="F2565" s="15">
        <v>0.1235</v>
      </c>
      <c r="G2565" s="15">
        <v>0.16569999999999999</v>
      </c>
      <c r="H2565" s="15">
        <v>0.24099999999999999</v>
      </c>
      <c r="I2565" s="15">
        <v>4.596421599642659E-2</v>
      </c>
    </row>
    <row r="2566" spans="1:9" x14ac:dyDescent="0.2">
      <c r="A2566" s="2" t="s">
        <v>7277</v>
      </c>
      <c r="B2566" s="2" t="s">
        <v>7007</v>
      </c>
      <c r="C2566" s="2" t="s">
        <v>7278</v>
      </c>
      <c r="D2566" s="2" t="s">
        <v>10055</v>
      </c>
      <c r="G2566" s="15">
        <v>-0.21990000000000001</v>
      </c>
      <c r="H2566" s="15">
        <v>0.29299999999999998</v>
      </c>
    </row>
    <row r="2567" spans="1:9" x14ac:dyDescent="0.2">
      <c r="A2567" s="2" t="s">
        <v>7279</v>
      </c>
      <c r="B2567" s="2" t="s">
        <v>7007</v>
      </c>
      <c r="C2567" s="2" t="s">
        <v>7280</v>
      </c>
      <c r="D2567" s="2" t="s">
        <v>10055</v>
      </c>
    </row>
    <row r="2568" spans="1:9" x14ac:dyDescent="0.2">
      <c r="A2568" s="2" t="s">
        <v>7281</v>
      </c>
      <c r="B2568" s="2" t="s">
        <v>7007</v>
      </c>
      <c r="C2568" s="2" t="s">
        <v>7282</v>
      </c>
      <c r="D2568" s="2" t="s">
        <v>10055</v>
      </c>
      <c r="E2568" s="15">
        <v>-7.0900000000000005E-2</v>
      </c>
      <c r="F2568" s="15">
        <v>0.15160000000000001</v>
      </c>
      <c r="G2568" s="15">
        <v>-0.15049999999999999</v>
      </c>
      <c r="H2568" s="15">
        <v>0.1075</v>
      </c>
      <c r="I2568" s="15">
        <v>0.27792995982182461</v>
      </c>
    </row>
    <row r="2569" spans="1:9" x14ac:dyDescent="0.2">
      <c r="A2569" s="2" t="s">
        <v>7283</v>
      </c>
      <c r="B2569" s="2" t="s">
        <v>7007</v>
      </c>
      <c r="C2569" s="2" t="s">
        <v>7284</v>
      </c>
      <c r="D2569" s="2" t="s">
        <v>10055</v>
      </c>
    </row>
    <row r="2570" spans="1:9" x14ac:dyDescent="0.2">
      <c r="A2570" s="2" t="s">
        <v>7285</v>
      </c>
      <c r="B2570" s="2" t="s">
        <v>7007</v>
      </c>
      <c r="C2570" s="2" t="s">
        <v>7286</v>
      </c>
      <c r="D2570" s="2" t="s">
        <v>10055</v>
      </c>
      <c r="E2570" s="15">
        <v>0.30159999999999998</v>
      </c>
      <c r="F2570" s="15">
        <v>0.13170000000000001</v>
      </c>
    </row>
    <row r="2571" spans="1:9" x14ac:dyDescent="0.2">
      <c r="A2571" s="2" t="s">
        <v>7287</v>
      </c>
      <c r="B2571" s="2" t="s">
        <v>7007</v>
      </c>
      <c r="C2571" s="2" t="s">
        <v>7288</v>
      </c>
      <c r="D2571" s="2" t="s">
        <v>10055</v>
      </c>
    </row>
    <row r="2572" spans="1:9" x14ac:dyDescent="0.2">
      <c r="A2572" s="2" t="s">
        <v>7289</v>
      </c>
      <c r="B2572" s="2" t="s">
        <v>7007</v>
      </c>
      <c r="C2572" s="2" t="s">
        <v>7290</v>
      </c>
      <c r="D2572" s="2" t="s">
        <v>10055</v>
      </c>
      <c r="E2572" s="15">
        <v>6.6E-3</v>
      </c>
      <c r="F2572" s="15">
        <v>0.16320000000000001</v>
      </c>
      <c r="G2572" s="15">
        <v>-0.13070000000000001</v>
      </c>
      <c r="H2572" s="15">
        <v>0.28949999999999998</v>
      </c>
      <c r="I2572" s="15">
        <v>0.32905505975014498</v>
      </c>
    </row>
    <row r="2573" spans="1:9" x14ac:dyDescent="0.2">
      <c r="A2573" s="2" t="s">
        <v>7291</v>
      </c>
      <c r="B2573" s="2" t="s">
        <v>7007</v>
      </c>
      <c r="C2573" s="2" t="s">
        <v>7292</v>
      </c>
      <c r="D2573" s="2" t="s">
        <v>10055</v>
      </c>
      <c r="E2573" s="15">
        <v>2.63E-2</v>
      </c>
      <c r="F2573" s="15">
        <v>0.29139999999999999</v>
      </c>
      <c r="G2573" s="15">
        <v>8.8400000000000006E-2</v>
      </c>
      <c r="H2573" s="15">
        <v>0.1234</v>
      </c>
      <c r="I2573" s="15">
        <v>0.33129240710529251</v>
      </c>
    </row>
    <row r="2574" spans="1:9" x14ac:dyDescent="0.2">
      <c r="A2574" s="2" t="s">
        <v>7293</v>
      </c>
      <c r="B2574" s="2" t="s">
        <v>7007</v>
      </c>
      <c r="C2574" s="2" t="s">
        <v>7294</v>
      </c>
      <c r="D2574" s="2" t="s">
        <v>10055</v>
      </c>
      <c r="E2574" s="15">
        <v>-0.25319999999999998</v>
      </c>
      <c r="F2574" s="15">
        <v>0.1338</v>
      </c>
      <c r="G2574" s="15">
        <v>3.5099999999999999E-2</v>
      </c>
      <c r="H2574" s="15">
        <v>0.1527</v>
      </c>
      <c r="I2574" s="15">
        <v>6.5091503182409596E-2</v>
      </c>
    </row>
    <row r="2575" spans="1:9" x14ac:dyDescent="0.2">
      <c r="A2575" s="2" t="s">
        <v>7295</v>
      </c>
      <c r="B2575" s="2" t="s">
        <v>7007</v>
      </c>
      <c r="C2575" s="2" t="s">
        <v>7296</v>
      </c>
      <c r="D2575" s="2" t="s">
        <v>10055</v>
      </c>
      <c r="E2575" s="15">
        <v>0.30270000000000002</v>
      </c>
      <c r="F2575" s="15">
        <v>0.21820000000000001</v>
      </c>
      <c r="G2575" s="15">
        <v>0.11890000000000001</v>
      </c>
      <c r="H2575" s="15">
        <v>0.15609999999999999</v>
      </c>
      <c r="I2575" s="15">
        <v>0.13973878792252181</v>
      </c>
    </row>
    <row r="2576" spans="1:9" x14ac:dyDescent="0.2">
      <c r="A2576" s="2" t="s">
        <v>7297</v>
      </c>
      <c r="B2576" s="2" t="s">
        <v>7007</v>
      </c>
      <c r="C2576" s="2" t="s">
        <v>7298</v>
      </c>
      <c r="D2576" s="2" t="s">
        <v>10055</v>
      </c>
      <c r="E2576" s="15">
        <v>0.1182</v>
      </c>
      <c r="F2576" s="15">
        <v>0.18720000000000001</v>
      </c>
    </row>
    <row r="2577" spans="1:9" x14ac:dyDescent="0.2">
      <c r="A2577" s="2" t="s">
        <v>7299</v>
      </c>
      <c r="B2577" s="2" t="s">
        <v>7007</v>
      </c>
      <c r="C2577" s="2" t="s">
        <v>7300</v>
      </c>
      <c r="D2577" s="2" t="s">
        <v>10055</v>
      </c>
    </row>
    <row r="2578" spans="1:9" x14ac:dyDescent="0.2">
      <c r="A2578" s="2" t="s">
        <v>7301</v>
      </c>
      <c r="B2578" s="2" t="s">
        <v>7007</v>
      </c>
      <c r="C2578" s="2" t="s">
        <v>7302</v>
      </c>
      <c r="D2578" s="2" t="s">
        <v>10055</v>
      </c>
    </row>
    <row r="2579" spans="1:9" x14ac:dyDescent="0.2">
      <c r="A2579" s="2" t="s">
        <v>7303</v>
      </c>
      <c r="B2579" s="2" t="s">
        <v>7007</v>
      </c>
      <c r="C2579" s="2" t="s">
        <v>7304</v>
      </c>
      <c r="D2579" s="2" t="s">
        <v>10055</v>
      </c>
      <c r="E2579" s="15">
        <v>0.13950000000000001</v>
      </c>
      <c r="F2579" s="15">
        <v>0.11600000000000001</v>
      </c>
    </row>
    <row r="2580" spans="1:9" x14ac:dyDescent="0.2">
      <c r="A2580" s="2" t="s">
        <v>7305</v>
      </c>
      <c r="B2580" s="2" t="s">
        <v>7007</v>
      </c>
      <c r="C2580" s="2" t="s">
        <v>7306</v>
      </c>
      <c r="D2580" s="2" t="s">
        <v>10055</v>
      </c>
      <c r="E2580" s="15">
        <v>-0.27189999999999998</v>
      </c>
      <c r="F2580" s="15">
        <v>0.23319999999999999</v>
      </c>
      <c r="G2580" s="15">
        <v>-4.1700000000000001E-2</v>
      </c>
      <c r="H2580" s="15">
        <v>0.13900000000000001</v>
      </c>
      <c r="I2580" s="15">
        <v>0.1125590323034536</v>
      </c>
    </row>
    <row r="2581" spans="1:9" x14ac:dyDescent="0.2">
      <c r="A2581" s="2" t="s">
        <v>7307</v>
      </c>
      <c r="B2581" s="2" t="s">
        <v>7007</v>
      </c>
      <c r="C2581" s="2" t="s">
        <v>7308</v>
      </c>
      <c r="D2581" s="2" t="s">
        <v>10055</v>
      </c>
      <c r="E2581" s="15">
        <v>-0.19439999999999999</v>
      </c>
      <c r="F2581" s="15">
        <v>0.122</v>
      </c>
      <c r="G2581" s="15">
        <v>-0.15840000000000001</v>
      </c>
      <c r="H2581" s="15">
        <v>0.18</v>
      </c>
      <c r="I2581" s="15">
        <v>0.43316310076292303</v>
      </c>
    </row>
    <row r="2582" spans="1:9" x14ac:dyDescent="0.2">
      <c r="A2582" s="2" t="s">
        <v>7309</v>
      </c>
      <c r="B2582" s="2" t="s">
        <v>7007</v>
      </c>
      <c r="C2582" s="2" t="s">
        <v>7310</v>
      </c>
      <c r="D2582" s="2" t="s">
        <v>10055</v>
      </c>
    </row>
    <row r="2583" spans="1:9" x14ac:dyDescent="0.2">
      <c r="A2583" s="2" t="s">
        <v>7311</v>
      </c>
      <c r="B2583" s="2" t="s">
        <v>7007</v>
      </c>
      <c r="C2583" s="2" t="s">
        <v>7312</v>
      </c>
      <c r="D2583" s="2" t="s">
        <v>10055</v>
      </c>
    </row>
    <row r="2584" spans="1:9" x14ac:dyDescent="0.2">
      <c r="A2584" s="2" t="s">
        <v>7313</v>
      </c>
      <c r="B2584" s="2" t="s">
        <v>7007</v>
      </c>
      <c r="C2584" s="2" t="s">
        <v>7314</v>
      </c>
      <c r="D2584" s="2" t="s">
        <v>10055</v>
      </c>
    </row>
    <row r="2585" spans="1:9" x14ac:dyDescent="0.2">
      <c r="A2585" s="2" t="s">
        <v>7315</v>
      </c>
      <c r="B2585" s="2" t="s">
        <v>7007</v>
      </c>
      <c r="C2585" s="2" t="s">
        <v>7316</v>
      </c>
      <c r="D2585" s="2" t="s">
        <v>10055</v>
      </c>
      <c r="E2585" s="15">
        <v>0.1895</v>
      </c>
      <c r="F2585" s="15">
        <v>0.16039999999999999</v>
      </c>
    </row>
    <row r="2586" spans="1:9" x14ac:dyDescent="0.2">
      <c r="A2586" s="2" t="s">
        <v>7317</v>
      </c>
      <c r="B2586" s="2" t="s">
        <v>7007</v>
      </c>
      <c r="C2586" s="2" t="s">
        <v>7318</v>
      </c>
      <c r="D2586" s="2" t="s">
        <v>10055</v>
      </c>
    </row>
    <row r="2587" spans="1:9" x14ac:dyDescent="0.2">
      <c r="A2587" s="2" t="s">
        <v>7319</v>
      </c>
      <c r="B2587" s="2" t="s">
        <v>7007</v>
      </c>
      <c r="C2587" s="2" t="s">
        <v>7320</v>
      </c>
      <c r="D2587" s="2" t="s">
        <v>10055</v>
      </c>
      <c r="E2587" s="15">
        <v>-1.9800000000000002E-2</v>
      </c>
      <c r="F2587" s="15">
        <v>0.219</v>
      </c>
      <c r="G2587" s="15">
        <v>0.44450000000000001</v>
      </c>
      <c r="H2587" s="15">
        <v>0.3397</v>
      </c>
      <c r="I2587" s="15">
        <v>0.1040996620213764</v>
      </c>
    </row>
    <row r="2588" spans="1:9" x14ac:dyDescent="0.2">
      <c r="A2588" s="2" t="s">
        <v>7321</v>
      </c>
      <c r="B2588" s="2" t="s">
        <v>7007</v>
      </c>
      <c r="C2588" s="2" t="s">
        <v>7322</v>
      </c>
      <c r="D2588" s="2" t="s">
        <v>10055</v>
      </c>
      <c r="E2588" s="15">
        <v>0.106</v>
      </c>
      <c r="F2588" s="15">
        <v>0.26419999999999999</v>
      </c>
      <c r="G2588" s="15">
        <v>6.5100000000000005E-2</v>
      </c>
      <c r="H2588" s="15">
        <v>0.10489999999999999</v>
      </c>
      <c r="I2588" s="15">
        <v>0.37506951000663019</v>
      </c>
    </row>
    <row r="2589" spans="1:9" x14ac:dyDescent="0.2">
      <c r="A2589" s="2" t="s">
        <v>7323</v>
      </c>
      <c r="B2589" s="2" t="s">
        <v>7007</v>
      </c>
      <c r="C2589" s="2" t="s">
        <v>7324</v>
      </c>
      <c r="D2589" s="2" t="s">
        <v>10055</v>
      </c>
      <c r="E2589" s="15">
        <v>-0.41010000000000002</v>
      </c>
      <c r="F2589" s="15">
        <v>0.3695</v>
      </c>
    </row>
    <row r="2590" spans="1:9" x14ac:dyDescent="0.2">
      <c r="A2590" s="2" t="s">
        <v>7325</v>
      </c>
      <c r="B2590" s="2" t="s">
        <v>7007</v>
      </c>
      <c r="C2590" s="2" t="s">
        <v>7326</v>
      </c>
      <c r="D2590" s="2" t="s">
        <v>10055</v>
      </c>
      <c r="E2590" s="15">
        <v>1.8499999999999999E-2</v>
      </c>
      <c r="F2590" s="15">
        <v>0.16520000000000001</v>
      </c>
    </row>
    <row r="2591" spans="1:9" x14ac:dyDescent="0.2">
      <c r="A2591" s="2" t="s">
        <v>7327</v>
      </c>
      <c r="B2591" s="2" t="s">
        <v>7007</v>
      </c>
      <c r="C2591" s="2" t="s">
        <v>7328</v>
      </c>
      <c r="D2591" s="2" t="s">
        <v>10055</v>
      </c>
      <c r="E2591" s="15">
        <v>0.35880000000000001</v>
      </c>
      <c r="F2591" s="15">
        <v>0.4214</v>
      </c>
    </row>
    <row r="2592" spans="1:9" x14ac:dyDescent="0.2">
      <c r="A2592" s="2" t="s">
        <v>7329</v>
      </c>
      <c r="B2592" s="2" t="s">
        <v>7007</v>
      </c>
      <c r="C2592" s="2" t="s">
        <v>7330</v>
      </c>
      <c r="D2592" s="2" t="s">
        <v>10055</v>
      </c>
      <c r="E2592" s="15">
        <v>0.1341</v>
      </c>
      <c r="F2592" s="15">
        <v>0.15260000000000001</v>
      </c>
      <c r="G2592" s="15">
        <v>3.9E-2</v>
      </c>
      <c r="H2592" s="15">
        <v>0.1968</v>
      </c>
      <c r="I2592" s="15">
        <v>0.32267727361536569</v>
      </c>
    </row>
    <row r="2593" spans="1:9" x14ac:dyDescent="0.2">
      <c r="A2593" s="2" t="s">
        <v>7331</v>
      </c>
      <c r="B2593" s="2" t="s">
        <v>7007</v>
      </c>
      <c r="C2593" s="2" t="s">
        <v>7332</v>
      </c>
      <c r="D2593" s="2" t="s">
        <v>10055</v>
      </c>
      <c r="E2593" s="15">
        <v>1.26E-2</v>
      </c>
      <c r="F2593" s="15">
        <v>0.1198</v>
      </c>
      <c r="G2593" s="15">
        <v>-0.2893</v>
      </c>
      <c r="H2593" s="15">
        <v>0.2006</v>
      </c>
      <c r="I2593" s="15">
        <v>7.7568877531766084E-2</v>
      </c>
    </row>
    <row r="2594" spans="1:9" x14ac:dyDescent="0.2">
      <c r="A2594" s="2" t="s">
        <v>7333</v>
      </c>
      <c r="B2594" s="2" t="s">
        <v>7007</v>
      </c>
      <c r="C2594" s="2" t="s">
        <v>7334</v>
      </c>
      <c r="D2594" s="2" t="s">
        <v>10055</v>
      </c>
      <c r="E2594" s="15">
        <v>7.0699999999999999E-2</v>
      </c>
      <c r="F2594" s="15">
        <v>0.1089</v>
      </c>
      <c r="G2594" s="15">
        <v>0.1065</v>
      </c>
      <c r="H2594" s="15">
        <v>0.1023</v>
      </c>
      <c r="I2594" s="15">
        <v>0.38172265557933871</v>
      </c>
    </row>
    <row r="2595" spans="1:9" x14ac:dyDescent="0.2">
      <c r="A2595" s="2" t="s">
        <v>7335</v>
      </c>
      <c r="B2595" s="2" t="s">
        <v>7007</v>
      </c>
      <c r="C2595" s="2" t="s">
        <v>7336</v>
      </c>
      <c r="D2595" s="2" t="s">
        <v>10055</v>
      </c>
      <c r="E2595" s="15">
        <v>0.36320000000000002</v>
      </c>
      <c r="F2595" s="15">
        <v>0.30819999999999997</v>
      </c>
    </row>
    <row r="2596" spans="1:9" x14ac:dyDescent="0.2">
      <c r="A2596" s="2" t="s">
        <v>7337</v>
      </c>
      <c r="B2596" s="2" t="s">
        <v>7007</v>
      </c>
      <c r="C2596" s="2" t="s">
        <v>7338</v>
      </c>
      <c r="D2596" s="2" t="s">
        <v>10055</v>
      </c>
      <c r="E2596" s="15">
        <v>-0.188</v>
      </c>
      <c r="F2596" s="15">
        <v>0.17860000000000001</v>
      </c>
    </row>
    <row r="2597" spans="1:9" x14ac:dyDescent="0.2">
      <c r="A2597" s="2" t="s">
        <v>7339</v>
      </c>
      <c r="B2597" s="2" t="s">
        <v>7007</v>
      </c>
      <c r="C2597" s="2" t="s">
        <v>7340</v>
      </c>
      <c r="D2597" s="2" t="s">
        <v>10055</v>
      </c>
      <c r="E2597" s="15">
        <v>-0.188</v>
      </c>
      <c r="F2597" s="15">
        <v>0.17169999999999999</v>
      </c>
    </row>
    <row r="2598" spans="1:9" x14ac:dyDescent="0.2">
      <c r="A2598" s="2" t="s">
        <v>7341</v>
      </c>
      <c r="B2598" s="2" t="s">
        <v>7007</v>
      </c>
      <c r="C2598" s="2" t="s">
        <v>7342</v>
      </c>
      <c r="D2598" s="2" t="s">
        <v>10055</v>
      </c>
    </row>
    <row r="2599" spans="1:9" x14ac:dyDescent="0.2">
      <c r="A2599" s="2" t="s">
        <v>7343</v>
      </c>
      <c r="B2599" s="2" t="s">
        <v>7007</v>
      </c>
      <c r="C2599" s="2" t="s">
        <v>7344</v>
      </c>
      <c r="D2599" s="2" t="s">
        <v>10055</v>
      </c>
      <c r="G2599" s="15">
        <v>-3.3000000000000002E-2</v>
      </c>
      <c r="H2599" s="15">
        <v>0.16869999999999999</v>
      </c>
    </row>
    <row r="2600" spans="1:9" x14ac:dyDescent="0.2">
      <c r="A2600" s="2" t="s">
        <v>7345</v>
      </c>
      <c r="B2600" s="2" t="s">
        <v>7007</v>
      </c>
      <c r="C2600" s="2" t="s">
        <v>7346</v>
      </c>
      <c r="D2600" s="2" t="s">
        <v>10055</v>
      </c>
      <c r="E2600" s="15">
        <v>-4.8599999999999997E-2</v>
      </c>
      <c r="F2600" s="15">
        <v>0.2074</v>
      </c>
      <c r="G2600" s="15">
        <v>9.0999999999999998E-2</v>
      </c>
      <c r="H2600" s="15">
        <v>0.184</v>
      </c>
      <c r="I2600" s="15">
        <v>0.2451754411760585</v>
      </c>
    </row>
    <row r="2601" spans="1:9" x14ac:dyDescent="0.2">
      <c r="A2601" s="2" t="s">
        <v>7347</v>
      </c>
      <c r="B2601" s="2" t="s">
        <v>7007</v>
      </c>
      <c r="C2601" s="2" t="s">
        <v>7348</v>
      </c>
      <c r="D2601" s="2" t="s">
        <v>10055</v>
      </c>
      <c r="G2601" s="15">
        <v>-5.62E-2</v>
      </c>
      <c r="H2601" s="15">
        <v>0.20810000000000001</v>
      </c>
    </row>
    <row r="2602" spans="1:9" x14ac:dyDescent="0.2">
      <c r="A2602" s="2" t="s">
        <v>7349</v>
      </c>
      <c r="B2602" s="2" t="s">
        <v>7007</v>
      </c>
      <c r="C2602" s="2" t="s">
        <v>7350</v>
      </c>
      <c r="D2602" s="2" t="s">
        <v>10055</v>
      </c>
      <c r="E2602" s="15">
        <v>-8.8700000000000001E-2</v>
      </c>
      <c r="F2602" s="15">
        <v>0.19600000000000001</v>
      </c>
    </row>
    <row r="2603" spans="1:9" x14ac:dyDescent="0.2">
      <c r="A2603" s="2" t="s">
        <v>7351</v>
      </c>
      <c r="B2603" s="2" t="s">
        <v>7007</v>
      </c>
      <c r="C2603" s="2" t="s">
        <v>7352</v>
      </c>
      <c r="D2603" s="2" t="s">
        <v>10055</v>
      </c>
      <c r="E2603" s="15">
        <v>9.74E-2</v>
      </c>
      <c r="F2603" s="15">
        <v>0.1051</v>
      </c>
    </row>
    <row r="2604" spans="1:9" x14ac:dyDescent="0.2">
      <c r="A2604" s="2" t="s">
        <v>7353</v>
      </c>
      <c r="B2604" s="2" t="s">
        <v>7007</v>
      </c>
      <c r="C2604" s="2" t="s">
        <v>7354</v>
      </c>
      <c r="D2604" s="2" t="s">
        <v>10055</v>
      </c>
      <c r="E2604" s="15">
        <v>-0.12559999999999999</v>
      </c>
      <c r="F2604" s="15">
        <v>0.1363</v>
      </c>
    </row>
    <row r="2605" spans="1:9" x14ac:dyDescent="0.2">
      <c r="A2605" s="2" t="s">
        <v>7355</v>
      </c>
      <c r="B2605" s="2" t="s">
        <v>7007</v>
      </c>
      <c r="C2605" s="2" t="s">
        <v>7356</v>
      </c>
      <c r="D2605" s="2" t="s">
        <v>10055</v>
      </c>
      <c r="E2605" s="15">
        <v>0.42230000000000001</v>
      </c>
      <c r="F2605" s="15">
        <v>0.4047</v>
      </c>
      <c r="G2605" s="15">
        <v>0.1211</v>
      </c>
      <c r="H2605" s="15">
        <v>0.1502</v>
      </c>
      <c r="I2605" s="15">
        <v>4.6035366899484398E-2</v>
      </c>
    </row>
    <row r="2606" spans="1:9" x14ac:dyDescent="0.2">
      <c r="A2606" s="2" t="s">
        <v>7357</v>
      </c>
      <c r="B2606" s="2" t="s">
        <v>7007</v>
      </c>
      <c r="C2606" s="2" t="s">
        <v>7358</v>
      </c>
      <c r="D2606" s="2" t="s">
        <v>10055</v>
      </c>
      <c r="E2606" s="15">
        <v>0.39300000000000002</v>
      </c>
      <c r="F2606" s="15">
        <v>0.25669999999999998</v>
      </c>
    </row>
    <row r="2607" spans="1:9" x14ac:dyDescent="0.2">
      <c r="A2607" s="2" t="s">
        <v>7359</v>
      </c>
      <c r="B2607" s="2" t="s">
        <v>7007</v>
      </c>
      <c r="C2607" s="2" t="s">
        <v>7360</v>
      </c>
      <c r="D2607" s="2" t="s">
        <v>10055</v>
      </c>
      <c r="E2607" s="15">
        <v>7.4399999999999994E-2</v>
      </c>
      <c r="F2607" s="15">
        <v>0.1278</v>
      </c>
      <c r="G2607" s="15">
        <v>-3.2000000000000001E-2</v>
      </c>
      <c r="H2607" s="15">
        <v>0.1288</v>
      </c>
      <c r="I2607" s="15">
        <v>0.24603585861862401</v>
      </c>
    </row>
    <row r="2608" spans="1:9" x14ac:dyDescent="0.2">
      <c r="A2608" s="2" t="s">
        <v>7361</v>
      </c>
      <c r="B2608" s="2" t="s">
        <v>7007</v>
      </c>
      <c r="C2608" s="2" t="s">
        <v>7362</v>
      </c>
      <c r="D2608" s="2" t="s">
        <v>10055</v>
      </c>
      <c r="G2608" s="15">
        <v>0.1099</v>
      </c>
      <c r="H2608" s="15">
        <v>0.23960000000000001</v>
      </c>
    </row>
    <row r="2609" spans="1:9" x14ac:dyDescent="0.2">
      <c r="A2609" s="2" t="s">
        <v>7363</v>
      </c>
      <c r="B2609" s="2" t="s">
        <v>7007</v>
      </c>
      <c r="C2609" s="2" t="s">
        <v>7364</v>
      </c>
      <c r="D2609" s="2" t="s">
        <v>10055</v>
      </c>
    </row>
    <row r="2610" spans="1:9" x14ac:dyDescent="0.2">
      <c r="A2610" s="2" t="s">
        <v>7365</v>
      </c>
      <c r="B2610" s="2" t="s">
        <v>7007</v>
      </c>
      <c r="C2610" s="2" t="s">
        <v>7366</v>
      </c>
      <c r="D2610" s="2" t="s">
        <v>10055</v>
      </c>
      <c r="E2610" s="15">
        <v>6.13E-2</v>
      </c>
      <c r="F2610" s="15">
        <v>0.37740000000000001</v>
      </c>
      <c r="G2610" s="15">
        <v>-8.5699999999999998E-2</v>
      </c>
      <c r="H2610" s="15">
        <v>0.2225</v>
      </c>
    </row>
    <row r="2611" spans="1:9" x14ac:dyDescent="0.2">
      <c r="A2611" s="2" t="s">
        <v>7367</v>
      </c>
      <c r="B2611" s="2" t="s">
        <v>7007</v>
      </c>
      <c r="C2611" s="2" t="s">
        <v>7368</v>
      </c>
      <c r="D2611" s="2" t="s">
        <v>10055</v>
      </c>
      <c r="E2611" s="15">
        <v>6.5600000000000006E-2</v>
      </c>
      <c r="F2611" s="15">
        <v>0.53490000000000004</v>
      </c>
    </row>
    <row r="2612" spans="1:9" x14ac:dyDescent="0.2">
      <c r="A2612" s="2" t="s">
        <v>7369</v>
      </c>
      <c r="B2612" s="2" t="s">
        <v>7007</v>
      </c>
      <c r="C2612" s="2" t="s">
        <v>7370</v>
      </c>
      <c r="D2612" s="2" t="s">
        <v>10055</v>
      </c>
      <c r="E2612" s="15">
        <v>-2.63E-2</v>
      </c>
      <c r="F2612" s="15">
        <v>0.1565</v>
      </c>
    </row>
    <row r="2613" spans="1:9" x14ac:dyDescent="0.2">
      <c r="A2613" s="2" t="s">
        <v>7371</v>
      </c>
      <c r="B2613" s="2" t="s">
        <v>7007</v>
      </c>
      <c r="C2613" s="2" t="s">
        <v>7372</v>
      </c>
      <c r="D2613" s="2" t="s">
        <v>10055</v>
      </c>
      <c r="E2613" s="15">
        <v>-0.16389999999999999</v>
      </c>
      <c r="F2613" s="15">
        <v>0.25990000000000002</v>
      </c>
    </row>
    <row r="2614" spans="1:9" x14ac:dyDescent="0.2">
      <c r="A2614" s="2" t="s">
        <v>7373</v>
      </c>
      <c r="B2614" s="2" t="s">
        <v>7007</v>
      </c>
      <c r="C2614" s="2" t="s">
        <v>7374</v>
      </c>
      <c r="D2614" s="2" t="s">
        <v>10055</v>
      </c>
      <c r="G2614" s="15">
        <v>0.12620000000000001</v>
      </c>
      <c r="H2614" s="15">
        <v>0.17349999999999999</v>
      </c>
    </row>
    <row r="2615" spans="1:9" x14ac:dyDescent="0.2">
      <c r="A2615" s="2" t="s">
        <v>7375</v>
      </c>
      <c r="B2615" s="2" t="s">
        <v>7007</v>
      </c>
      <c r="C2615" s="2" t="s">
        <v>7376</v>
      </c>
      <c r="D2615" s="2" t="s">
        <v>10055</v>
      </c>
      <c r="G2615" s="15">
        <v>-0.1913</v>
      </c>
      <c r="H2615" s="15">
        <v>0.26129999999999998</v>
      </c>
    </row>
    <row r="2616" spans="1:9" x14ac:dyDescent="0.2">
      <c r="A2616" s="2" t="s">
        <v>7377</v>
      </c>
      <c r="B2616" s="2" t="s">
        <v>7007</v>
      </c>
      <c r="C2616" s="2" t="s">
        <v>7378</v>
      </c>
      <c r="D2616" s="2" t="s">
        <v>10055</v>
      </c>
      <c r="G2616" s="15">
        <v>-2.7400000000000001E-2</v>
      </c>
      <c r="H2616" s="15">
        <v>0.15049999999999999</v>
      </c>
    </row>
    <row r="2617" spans="1:9" x14ac:dyDescent="0.2">
      <c r="A2617" s="2" t="s">
        <v>7379</v>
      </c>
      <c r="B2617" s="2" t="s">
        <v>7007</v>
      </c>
      <c r="C2617" s="2" t="s">
        <v>7380</v>
      </c>
      <c r="D2617" s="2" t="s">
        <v>10055</v>
      </c>
    </row>
    <row r="2618" spans="1:9" x14ac:dyDescent="0.2">
      <c r="A2618" s="2" t="s">
        <v>7381</v>
      </c>
      <c r="B2618" s="2" t="s">
        <v>7007</v>
      </c>
      <c r="C2618" s="2" t="s">
        <v>7382</v>
      </c>
      <c r="D2618" s="2" t="s">
        <v>10055</v>
      </c>
      <c r="G2618" s="15">
        <v>5.0000000000000001E-3</v>
      </c>
      <c r="H2618" s="15">
        <v>0.1132</v>
      </c>
    </row>
    <row r="2619" spans="1:9" x14ac:dyDescent="0.2">
      <c r="A2619" s="2" t="s">
        <v>7383</v>
      </c>
      <c r="B2619" s="2" t="s">
        <v>7007</v>
      </c>
      <c r="C2619" s="2" t="s">
        <v>7384</v>
      </c>
      <c r="D2619" s="2" t="s">
        <v>10055</v>
      </c>
      <c r="E2619" s="15">
        <v>-0.15720000000000001</v>
      </c>
      <c r="F2619" s="15">
        <v>0.1187</v>
      </c>
    </row>
    <row r="2620" spans="1:9" x14ac:dyDescent="0.2">
      <c r="A2620" s="2" t="s">
        <v>7385</v>
      </c>
      <c r="B2620" s="2" t="s">
        <v>7007</v>
      </c>
      <c r="C2620" s="2" t="s">
        <v>7386</v>
      </c>
      <c r="D2620" s="2" t="s">
        <v>10055</v>
      </c>
      <c r="E2620" s="15">
        <v>9.2200000000000004E-2</v>
      </c>
      <c r="F2620" s="15">
        <v>0.13900000000000001</v>
      </c>
    </row>
    <row r="2621" spans="1:9" x14ac:dyDescent="0.2">
      <c r="A2621" s="2" t="s">
        <v>7387</v>
      </c>
      <c r="B2621" s="2" t="s">
        <v>7007</v>
      </c>
      <c r="C2621" s="2" t="s">
        <v>7388</v>
      </c>
      <c r="D2621" s="2" t="s">
        <v>10055</v>
      </c>
      <c r="E2621" s="15">
        <v>-0.12809999999999999</v>
      </c>
      <c r="F2621" s="15">
        <v>0.29630000000000001</v>
      </c>
    </row>
    <row r="2622" spans="1:9" x14ac:dyDescent="0.2">
      <c r="A2622" s="2" t="s">
        <v>7389</v>
      </c>
      <c r="B2622" s="2" t="s">
        <v>7007</v>
      </c>
      <c r="C2622" s="2" t="s">
        <v>7390</v>
      </c>
      <c r="D2622" s="2" t="s">
        <v>10055</v>
      </c>
      <c r="E2622" s="15">
        <v>0.1134</v>
      </c>
      <c r="F2622" s="15">
        <v>0.13980000000000001</v>
      </c>
      <c r="G2622" s="15">
        <v>-0.1739</v>
      </c>
      <c r="H2622" s="15">
        <v>0.38890000000000002</v>
      </c>
      <c r="I2622" s="15">
        <v>0.23711650381219709</v>
      </c>
    </row>
    <row r="2623" spans="1:9" x14ac:dyDescent="0.2">
      <c r="A2623" s="2" t="s">
        <v>7391</v>
      </c>
      <c r="B2623" s="2" t="s">
        <v>7007</v>
      </c>
      <c r="C2623" s="2" t="s">
        <v>7392</v>
      </c>
      <c r="D2623" s="2" t="s">
        <v>10055</v>
      </c>
      <c r="E2623" s="15">
        <v>9.5299999999999996E-2</v>
      </c>
      <c r="F2623" s="15">
        <v>0.13519999999999999</v>
      </c>
      <c r="G2623" s="15">
        <v>0.14080000000000001</v>
      </c>
      <c r="H2623" s="15">
        <v>0.17760000000000001</v>
      </c>
      <c r="I2623" s="15">
        <v>0.40529728121072922</v>
      </c>
    </row>
    <row r="2624" spans="1:9" x14ac:dyDescent="0.2">
      <c r="A2624" s="2" t="s">
        <v>7393</v>
      </c>
      <c r="B2624" s="2" t="s">
        <v>7007</v>
      </c>
      <c r="C2624" s="2" t="s">
        <v>7394</v>
      </c>
      <c r="D2624" s="2" t="s">
        <v>10055</v>
      </c>
      <c r="E2624" s="15">
        <v>0.16550000000000001</v>
      </c>
      <c r="F2624" s="15">
        <v>0.23480000000000001</v>
      </c>
    </row>
    <row r="2625" spans="1:9" x14ac:dyDescent="0.2">
      <c r="A2625" s="2" t="s">
        <v>7395</v>
      </c>
      <c r="B2625" s="2" t="s">
        <v>7007</v>
      </c>
      <c r="C2625" s="2" t="s">
        <v>7396</v>
      </c>
      <c r="D2625" s="2" t="s">
        <v>10055</v>
      </c>
      <c r="E2625" s="15">
        <v>8.1299999999999997E-2</v>
      </c>
      <c r="F2625" s="15">
        <v>0.13189999999999999</v>
      </c>
      <c r="G2625" s="15">
        <v>5.0900000000000001E-2</v>
      </c>
      <c r="H2625" s="15">
        <v>9.5899999999999999E-2</v>
      </c>
      <c r="I2625" s="15">
        <v>0.39223674910041251</v>
      </c>
    </row>
    <row r="2626" spans="1:9" x14ac:dyDescent="0.2">
      <c r="A2626" s="2" t="s">
        <v>7397</v>
      </c>
      <c r="B2626" s="2" t="s">
        <v>7007</v>
      </c>
      <c r="C2626" s="2" t="s">
        <v>7398</v>
      </c>
      <c r="D2626" s="2" t="s">
        <v>10055</v>
      </c>
      <c r="E2626" s="15">
        <v>-2.24E-2</v>
      </c>
      <c r="F2626" s="15">
        <v>0.12640000000000001</v>
      </c>
      <c r="G2626" s="15">
        <v>5.5399999999999998E-2</v>
      </c>
      <c r="H2626" s="15">
        <v>0.1399</v>
      </c>
    </row>
    <row r="2627" spans="1:9" x14ac:dyDescent="0.2">
      <c r="A2627" s="2" t="s">
        <v>7399</v>
      </c>
      <c r="B2627" s="2" t="s">
        <v>7007</v>
      </c>
      <c r="C2627" s="2" t="s">
        <v>7400</v>
      </c>
      <c r="D2627" s="2" t="s">
        <v>10055</v>
      </c>
      <c r="E2627" s="15">
        <v>-8.9399999999999993E-2</v>
      </c>
      <c r="F2627" s="15">
        <v>0.11990000000000001</v>
      </c>
      <c r="G2627" s="15">
        <v>-0.1641</v>
      </c>
      <c r="H2627" s="15">
        <v>0.1376</v>
      </c>
      <c r="I2627" s="15">
        <v>0.3128413451800488</v>
      </c>
    </row>
    <row r="2628" spans="1:9" x14ac:dyDescent="0.2">
      <c r="A2628" s="2" t="s">
        <v>7401</v>
      </c>
      <c r="B2628" s="2" t="s">
        <v>7007</v>
      </c>
      <c r="C2628" s="2" t="s">
        <v>7402</v>
      </c>
      <c r="D2628" s="2" t="s">
        <v>10055</v>
      </c>
      <c r="E2628" s="15">
        <v>0.2026</v>
      </c>
      <c r="F2628" s="15">
        <v>0.3266</v>
      </c>
    </row>
    <row r="2629" spans="1:9" x14ac:dyDescent="0.2">
      <c r="A2629" s="2" t="s">
        <v>7403</v>
      </c>
      <c r="B2629" s="2" t="s">
        <v>7007</v>
      </c>
      <c r="C2629" s="2" t="s">
        <v>7404</v>
      </c>
      <c r="D2629" s="2" t="s">
        <v>10055</v>
      </c>
      <c r="E2629" s="15">
        <v>7.1300000000000002E-2</v>
      </c>
      <c r="F2629" s="15">
        <v>0.10349999999999999</v>
      </c>
      <c r="G2629" s="15">
        <v>-0.1484</v>
      </c>
      <c r="H2629" s="15">
        <v>9.7000000000000003E-2</v>
      </c>
      <c r="I2629" s="15">
        <v>2.4304398153826321E-2</v>
      </c>
    </row>
    <row r="2630" spans="1:9" x14ac:dyDescent="0.2">
      <c r="A2630" s="2" t="s">
        <v>7405</v>
      </c>
      <c r="B2630" s="2" t="s">
        <v>7007</v>
      </c>
      <c r="C2630" s="2" t="s">
        <v>7406</v>
      </c>
      <c r="D2630" s="2" t="s">
        <v>10055</v>
      </c>
      <c r="E2630" s="15">
        <v>-0.16569999999999999</v>
      </c>
      <c r="F2630" s="15">
        <v>0.1072</v>
      </c>
      <c r="G2630" s="15">
        <v>-0.18790000000000001</v>
      </c>
      <c r="H2630" s="15">
        <v>0.1386</v>
      </c>
      <c r="I2630" s="15">
        <v>0.44206452569373872</v>
      </c>
    </row>
    <row r="2631" spans="1:9" x14ac:dyDescent="0.2">
      <c r="A2631" s="2" t="s">
        <v>7407</v>
      </c>
      <c r="B2631" s="2" t="s">
        <v>7007</v>
      </c>
      <c r="C2631" s="2" t="s">
        <v>7408</v>
      </c>
      <c r="D2631" s="2" t="s">
        <v>10055</v>
      </c>
      <c r="E2631" s="15">
        <v>0.21890000000000001</v>
      </c>
      <c r="F2631" s="15">
        <v>0.20380000000000001</v>
      </c>
      <c r="G2631" s="15">
        <v>-1.5900000000000001E-2</v>
      </c>
      <c r="H2631" s="15">
        <v>8.6599999999999996E-2</v>
      </c>
      <c r="I2631" s="15">
        <v>1.3699966882641039E-2</v>
      </c>
    </row>
    <row r="2632" spans="1:9" x14ac:dyDescent="0.2">
      <c r="A2632" s="2" t="s">
        <v>7409</v>
      </c>
      <c r="B2632" s="2" t="s">
        <v>7007</v>
      </c>
      <c r="C2632" s="2" t="s">
        <v>7410</v>
      </c>
      <c r="D2632" s="2" t="s">
        <v>10055</v>
      </c>
      <c r="E2632" s="15">
        <v>0.06</v>
      </c>
      <c r="F2632" s="15">
        <v>0.15529999999999999</v>
      </c>
      <c r="G2632" s="15">
        <v>4.7600000000000003E-2</v>
      </c>
      <c r="H2632" s="15">
        <v>0.1113</v>
      </c>
      <c r="I2632" s="15">
        <v>0.46099752546270661</v>
      </c>
    </row>
    <row r="2633" spans="1:9" x14ac:dyDescent="0.2">
      <c r="A2633" s="2" t="s">
        <v>7411</v>
      </c>
      <c r="B2633" s="2" t="s">
        <v>7007</v>
      </c>
      <c r="C2633" s="2" t="s">
        <v>7412</v>
      </c>
      <c r="D2633" s="2" t="s">
        <v>10055</v>
      </c>
      <c r="E2633" s="15">
        <v>-8.6599999999999996E-2</v>
      </c>
      <c r="F2633" s="15">
        <v>8.6800000000000002E-2</v>
      </c>
      <c r="G2633" s="15">
        <v>-4.2799999999999998E-2</v>
      </c>
      <c r="H2633" s="15">
        <v>0.13919999999999999</v>
      </c>
      <c r="I2633" s="15">
        <v>0.38677298367325569</v>
      </c>
    </row>
    <row r="2634" spans="1:9" x14ac:dyDescent="0.2">
      <c r="A2634" s="2" t="s">
        <v>7413</v>
      </c>
      <c r="B2634" s="2" t="s">
        <v>7007</v>
      </c>
      <c r="C2634" s="2" t="s">
        <v>7414</v>
      </c>
      <c r="D2634" s="2" t="s">
        <v>10055</v>
      </c>
      <c r="E2634" s="15">
        <v>-0.10009999999999999</v>
      </c>
      <c r="F2634" s="15">
        <v>0.20610000000000001</v>
      </c>
      <c r="G2634" s="15">
        <v>-9.9199999999999997E-2</v>
      </c>
      <c r="H2634" s="15">
        <v>0.20810000000000001</v>
      </c>
      <c r="I2634" s="15">
        <v>0.49880205702116281</v>
      </c>
    </row>
    <row r="2635" spans="1:9" x14ac:dyDescent="0.2">
      <c r="A2635" s="2" t="s">
        <v>7415</v>
      </c>
      <c r="B2635" s="2" t="s">
        <v>7007</v>
      </c>
      <c r="C2635" s="2" t="s">
        <v>7416</v>
      </c>
      <c r="D2635" s="2" t="s">
        <v>10055</v>
      </c>
      <c r="E2635" s="15">
        <v>-0.22539999999999999</v>
      </c>
      <c r="F2635" s="15">
        <v>0.18729999999999999</v>
      </c>
      <c r="G2635" s="15">
        <v>9.2600000000000002E-2</v>
      </c>
      <c r="H2635" s="15">
        <v>0.10730000000000001</v>
      </c>
      <c r="I2635" s="15">
        <v>5.4922425109646261E-3</v>
      </c>
    </row>
    <row r="2636" spans="1:9" x14ac:dyDescent="0.2">
      <c r="A2636" s="2" t="s">
        <v>7417</v>
      </c>
      <c r="B2636" s="2" t="s">
        <v>7007</v>
      </c>
      <c r="C2636" s="2" t="s">
        <v>7418</v>
      </c>
      <c r="D2636" s="2" t="s">
        <v>10055</v>
      </c>
      <c r="G2636" s="15">
        <v>-5.7999999999999996E-3</v>
      </c>
      <c r="H2636" s="15">
        <v>0.2172</v>
      </c>
    </row>
    <row r="2637" spans="1:9" x14ac:dyDescent="0.2">
      <c r="A2637" s="2" t="s">
        <v>7419</v>
      </c>
      <c r="B2637" s="2" t="s">
        <v>7007</v>
      </c>
      <c r="C2637" s="2" t="s">
        <v>7420</v>
      </c>
      <c r="D2637" s="2" t="s">
        <v>10055</v>
      </c>
      <c r="E2637" s="15">
        <v>-2.2599999999999999E-2</v>
      </c>
      <c r="F2637" s="15">
        <v>0.1163</v>
      </c>
      <c r="G2637" s="15">
        <v>1.95E-2</v>
      </c>
      <c r="H2637" s="15">
        <v>0.12759999999999999</v>
      </c>
      <c r="I2637" s="15">
        <v>0.38946198213572969</v>
      </c>
    </row>
    <row r="2638" spans="1:9" x14ac:dyDescent="0.2">
      <c r="A2638" s="2" t="s">
        <v>7421</v>
      </c>
      <c r="B2638" s="2" t="s">
        <v>7007</v>
      </c>
      <c r="C2638" s="2" t="s">
        <v>7422</v>
      </c>
      <c r="D2638" s="2" t="s">
        <v>10055</v>
      </c>
      <c r="E2638" s="15">
        <v>0.15859999999999999</v>
      </c>
      <c r="F2638" s="15">
        <v>0.1835</v>
      </c>
      <c r="G2638" s="15">
        <v>0.3105</v>
      </c>
      <c r="H2638" s="15">
        <v>0.3155</v>
      </c>
      <c r="I2638" s="15">
        <v>0.32037392625426647</v>
      </c>
    </row>
    <row r="2639" spans="1:9" x14ac:dyDescent="0.2">
      <c r="A2639" s="2" t="s">
        <v>7423</v>
      </c>
      <c r="B2639" s="2" t="s">
        <v>7007</v>
      </c>
      <c r="C2639" s="2" t="s">
        <v>7424</v>
      </c>
      <c r="D2639" s="2" t="s">
        <v>10055</v>
      </c>
      <c r="E2639" s="15">
        <v>0.19600000000000001</v>
      </c>
      <c r="F2639" s="15">
        <v>0.1153</v>
      </c>
      <c r="G2639" s="15">
        <v>-0.16259999999999999</v>
      </c>
      <c r="H2639" s="15">
        <v>0.31019999999999998</v>
      </c>
      <c r="I2639" s="15">
        <v>0.13084609862715121</v>
      </c>
    </row>
    <row r="2640" spans="1:9" x14ac:dyDescent="0.2">
      <c r="A2640" s="2" t="s">
        <v>7425</v>
      </c>
      <c r="B2640" s="2" t="s">
        <v>7007</v>
      </c>
      <c r="C2640" s="2" t="s">
        <v>7426</v>
      </c>
      <c r="D2640" s="2" t="s">
        <v>10055</v>
      </c>
      <c r="E2640" s="15">
        <v>-0.14269999999999999</v>
      </c>
      <c r="F2640" s="15">
        <v>0.17799999999999999</v>
      </c>
    </row>
    <row r="2641" spans="1:9" x14ac:dyDescent="0.2">
      <c r="A2641" s="2" t="s">
        <v>7427</v>
      </c>
      <c r="B2641" s="2" t="s">
        <v>7007</v>
      </c>
      <c r="C2641" s="2" t="s">
        <v>7428</v>
      </c>
      <c r="D2641" s="2" t="s">
        <v>10055</v>
      </c>
      <c r="E2641" s="15">
        <v>-0.3196</v>
      </c>
      <c r="F2641" s="15">
        <v>0.54400000000000004</v>
      </c>
    </row>
    <row r="2642" spans="1:9" x14ac:dyDescent="0.2">
      <c r="A2642" s="2" t="s">
        <v>7429</v>
      </c>
      <c r="B2642" s="2" t="s">
        <v>7007</v>
      </c>
      <c r="C2642" s="2" t="s">
        <v>7430</v>
      </c>
      <c r="D2642" s="2" t="s">
        <v>10055</v>
      </c>
      <c r="E2642" s="15">
        <v>-8.2199999999999995E-2</v>
      </c>
      <c r="F2642" s="15">
        <v>0.12570000000000001</v>
      </c>
    </row>
    <row r="2643" spans="1:9" x14ac:dyDescent="0.2">
      <c r="A2643" s="2" t="s">
        <v>7431</v>
      </c>
      <c r="B2643" s="2" t="s">
        <v>7007</v>
      </c>
      <c r="C2643" s="2" t="s">
        <v>7432</v>
      </c>
      <c r="D2643" s="2" t="s">
        <v>10055</v>
      </c>
      <c r="E2643" s="15">
        <v>-6.2700000000000006E-2</v>
      </c>
      <c r="F2643" s="15">
        <v>0.29389999999999999</v>
      </c>
    </row>
    <row r="2644" spans="1:9" x14ac:dyDescent="0.2">
      <c r="A2644" s="2" t="s">
        <v>7433</v>
      </c>
      <c r="B2644" s="2" t="s">
        <v>7007</v>
      </c>
      <c r="C2644" s="2" t="s">
        <v>7434</v>
      </c>
      <c r="D2644" s="2" t="s">
        <v>10055</v>
      </c>
      <c r="E2644" s="15">
        <v>5.8999999999999999E-3</v>
      </c>
      <c r="F2644" s="15">
        <v>0.1052</v>
      </c>
      <c r="G2644" s="15">
        <v>-0.1681</v>
      </c>
      <c r="H2644" s="15">
        <v>0.18529999999999999</v>
      </c>
      <c r="I2644" s="15">
        <v>0.2118628692717498</v>
      </c>
    </row>
    <row r="2645" spans="1:9" x14ac:dyDescent="0.2">
      <c r="A2645" s="2" t="s">
        <v>7435</v>
      </c>
      <c r="B2645" s="2" t="s">
        <v>7007</v>
      </c>
      <c r="C2645" s="2" t="s">
        <v>7436</v>
      </c>
      <c r="D2645" s="2" t="s">
        <v>10055</v>
      </c>
      <c r="E2645" s="15">
        <v>2.5499999999999998E-2</v>
      </c>
      <c r="F2645" s="15">
        <v>0.1076</v>
      </c>
    </row>
    <row r="2646" spans="1:9" x14ac:dyDescent="0.2">
      <c r="A2646" s="2" t="s">
        <v>7437</v>
      </c>
      <c r="B2646" s="2" t="s">
        <v>7007</v>
      </c>
      <c r="C2646" s="2" t="s">
        <v>7438</v>
      </c>
      <c r="D2646" s="2" t="s">
        <v>10055</v>
      </c>
      <c r="E2646" s="15">
        <v>-8.5599999999999996E-2</v>
      </c>
      <c r="F2646" s="15">
        <v>0.16619999999999999</v>
      </c>
    </row>
    <row r="2647" spans="1:9" x14ac:dyDescent="0.2">
      <c r="A2647" s="2" t="s">
        <v>7439</v>
      </c>
      <c r="B2647" s="2" t="s">
        <v>7007</v>
      </c>
      <c r="C2647" s="2" t="s">
        <v>7440</v>
      </c>
      <c r="D2647" s="2" t="s">
        <v>10055</v>
      </c>
      <c r="E2647" s="15">
        <v>-8.4400000000000003E-2</v>
      </c>
      <c r="F2647" s="15">
        <v>0.14349999999999999</v>
      </c>
      <c r="G2647" s="15">
        <v>7.1999999999999995E-2</v>
      </c>
      <c r="H2647" s="15">
        <v>0.17050000000000001</v>
      </c>
      <c r="I2647" s="15">
        <v>0.21176516072689691</v>
      </c>
    </row>
    <row r="2648" spans="1:9" x14ac:dyDescent="0.2">
      <c r="A2648" s="2" t="s">
        <v>7441</v>
      </c>
      <c r="B2648" s="2" t="s">
        <v>7007</v>
      </c>
      <c r="C2648" s="2" t="s">
        <v>7442</v>
      </c>
      <c r="D2648" s="2" t="s">
        <v>10055</v>
      </c>
      <c r="E2648" s="15">
        <v>-0.1206</v>
      </c>
      <c r="F2648" s="15">
        <v>0.16289999999999999</v>
      </c>
    </row>
    <row r="2649" spans="1:9" x14ac:dyDescent="0.2">
      <c r="A2649" s="2" t="s">
        <v>7443</v>
      </c>
      <c r="B2649" s="2" t="s">
        <v>7007</v>
      </c>
      <c r="C2649" s="2" t="s">
        <v>7444</v>
      </c>
      <c r="D2649" s="2" t="s">
        <v>10055</v>
      </c>
      <c r="E2649" s="15">
        <v>-0.12770000000000001</v>
      </c>
      <c r="F2649" s="15">
        <v>0.16320000000000001</v>
      </c>
      <c r="G2649" s="15">
        <v>-2.1100000000000001E-2</v>
      </c>
      <c r="H2649" s="15">
        <v>0.1074</v>
      </c>
      <c r="I2649" s="15">
        <v>0.19567517699681081</v>
      </c>
    </row>
    <row r="2650" spans="1:9" x14ac:dyDescent="0.2">
      <c r="A2650" s="2" t="s">
        <v>7445</v>
      </c>
      <c r="B2650" s="2" t="s">
        <v>7007</v>
      </c>
      <c r="C2650" s="2" t="s">
        <v>7446</v>
      </c>
      <c r="D2650" s="2" t="s">
        <v>10055</v>
      </c>
      <c r="E2650" s="15">
        <v>-0.18479999999999999</v>
      </c>
      <c r="F2650" s="15">
        <v>0.14729999999999999</v>
      </c>
      <c r="G2650" s="15">
        <v>-1.37E-2</v>
      </c>
      <c r="H2650" s="15">
        <v>0.14449999999999999</v>
      </c>
      <c r="I2650" s="15">
        <v>0.14650318521980041</v>
      </c>
    </row>
    <row r="2651" spans="1:9" x14ac:dyDescent="0.2">
      <c r="A2651" s="2" t="s">
        <v>7447</v>
      </c>
      <c r="B2651" s="2" t="s">
        <v>7007</v>
      </c>
      <c r="C2651" s="2" t="s">
        <v>7448</v>
      </c>
      <c r="D2651" s="2" t="s">
        <v>10055</v>
      </c>
      <c r="E2651" s="15">
        <v>0.1017</v>
      </c>
      <c r="F2651" s="15">
        <v>9.6299999999999997E-2</v>
      </c>
      <c r="G2651" s="15">
        <v>0.19470000000000001</v>
      </c>
      <c r="H2651" s="15">
        <v>0.18509999999999999</v>
      </c>
      <c r="I2651" s="15">
        <v>0.3190461420629353</v>
      </c>
    </row>
    <row r="2652" spans="1:9" x14ac:dyDescent="0.2">
      <c r="A2652" s="2" t="s">
        <v>7449</v>
      </c>
      <c r="B2652" s="2" t="s">
        <v>7007</v>
      </c>
      <c r="C2652" s="2" t="s">
        <v>7450</v>
      </c>
      <c r="D2652" s="2" t="s">
        <v>10055</v>
      </c>
      <c r="E2652" s="15">
        <v>-7.0900000000000005E-2</v>
      </c>
      <c r="F2652" s="15">
        <v>0.12989999999999999</v>
      </c>
    </row>
    <row r="2653" spans="1:9" x14ac:dyDescent="0.2">
      <c r="A2653" s="2" t="s">
        <v>7451</v>
      </c>
      <c r="B2653" s="2" t="s">
        <v>7007</v>
      </c>
      <c r="C2653" s="2" t="s">
        <v>7452</v>
      </c>
      <c r="D2653" s="2" t="s">
        <v>10055</v>
      </c>
      <c r="G2653" s="15">
        <v>0.1179</v>
      </c>
      <c r="H2653" s="15">
        <v>0.33179999999999998</v>
      </c>
    </row>
    <row r="2654" spans="1:9" x14ac:dyDescent="0.2">
      <c r="A2654" s="2" t="s">
        <v>7453</v>
      </c>
      <c r="B2654" s="2" t="s">
        <v>7007</v>
      </c>
      <c r="C2654" s="2" t="s">
        <v>7454</v>
      </c>
      <c r="D2654" s="2" t="s">
        <v>10055</v>
      </c>
      <c r="E2654" s="15">
        <v>-1.35E-2</v>
      </c>
      <c r="F2654" s="15">
        <v>0.1603</v>
      </c>
    </row>
    <row r="2655" spans="1:9" x14ac:dyDescent="0.2">
      <c r="A2655" s="2" t="s">
        <v>7455</v>
      </c>
      <c r="B2655" s="2" t="s">
        <v>7007</v>
      </c>
      <c r="C2655" s="2" t="s">
        <v>7456</v>
      </c>
      <c r="D2655" s="2" t="s">
        <v>10055</v>
      </c>
      <c r="E2655" s="15">
        <v>0.25130000000000002</v>
      </c>
      <c r="F2655" s="15">
        <v>0.1396</v>
      </c>
      <c r="G2655" s="15">
        <v>-0.1079</v>
      </c>
      <c r="H2655" s="15">
        <v>0.20599999999999999</v>
      </c>
      <c r="I2655" s="15">
        <v>5.6331133249946097E-2</v>
      </c>
    </row>
    <row r="2656" spans="1:9" x14ac:dyDescent="0.2">
      <c r="A2656" s="2" t="s">
        <v>7457</v>
      </c>
      <c r="B2656" s="2" t="s">
        <v>7007</v>
      </c>
      <c r="C2656" s="2" t="s">
        <v>7458</v>
      </c>
      <c r="D2656" s="2" t="s">
        <v>10055</v>
      </c>
      <c r="E2656" s="15">
        <v>0.217</v>
      </c>
      <c r="F2656" s="15">
        <v>0.2089</v>
      </c>
    </row>
    <row r="2657" spans="1:9" x14ac:dyDescent="0.2">
      <c r="A2657" s="2" t="s">
        <v>7459</v>
      </c>
      <c r="B2657" s="2" t="s">
        <v>7007</v>
      </c>
      <c r="C2657" s="2" t="s">
        <v>7460</v>
      </c>
      <c r="D2657" s="2" t="s">
        <v>10055</v>
      </c>
      <c r="E2657" s="15">
        <v>0.16969999999999999</v>
      </c>
      <c r="F2657" s="15">
        <v>0.14749999999999999</v>
      </c>
      <c r="G2657" s="15">
        <v>-9.2100000000000001E-2</v>
      </c>
      <c r="H2657" s="15">
        <v>0.1116</v>
      </c>
      <c r="I2657" s="15">
        <v>3.0780731406249991E-2</v>
      </c>
    </row>
    <row r="2658" spans="1:9" x14ac:dyDescent="0.2">
      <c r="A2658" s="2" t="s">
        <v>7461</v>
      </c>
      <c r="B2658" s="2" t="s">
        <v>7007</v>
      </c>
      <c r="C2658" s="2" t="s">
        <v>7462</v>
      </c>
      <c r="D2658" s="2" t="s">
        <v>10055</v>
      </c>
    </row>
    <row r="2659" spans="1:9" x14ac:dyDescent="0.2">
      <c r="A2659" s="2" t="s">
        <v>7463</v>
      </c>
      <c r="B2659" s="2" t="s">
        <v>7007</v>
      </c>
      <c r="C2659" s="2" t="s">
        <v>7464</v>
      </c>
      <c r="D2659" s="2" t="s">
        <v>10055</v>
      </c>
      <c r="E2659" s="15">
        <v>2.63E-2</v>
      </c>
      <c r="F2659" s="15">
        <v>0.1075</v>
      </c>
      <c r="G2659" s="15">
        <v>7.7600000000000002E-2</v>
      </c>
      <c r="H2659" s="15">
        <v>0.2087</v>
      </c>
      <c r="I2659" s="15">
        <v>0.41051393100444472</v>
      </c>
    </row>
    <row r="2660" spans="1:9" x14ac:dyDescent="0.2">
      <c r="A2660" s="2" t="s">
        <v>7465</v>
      </c>
      <c r="B2660" s="2" t="s">
        <v>7007</v>
      </c>
      <c r="C2660" s="2" t="s">
        <v>7466</v>
      </c>
      <c r="D2660" s="2" t="s">
        <v>10055</v>
      </c>
      <c r="G2660" s="15">
        <v>-0.1835</v>
      </c>
      <c r="H2660" s="15">
        <v>0.21590000000000001</v>
      </c>
    </row>
    <row r="2661" spans="1:9" x14ac:dyDescent="0.2">
      <c r="A2661" s="2" t="s">
        <v>7467</v>
      </c>
      <c r="B2661" s="2" t="s">
        <v>7007</v>
      </c>
      <c r="C2661" s="2" t="s">
        <v>7468</v>
      </c>
      <c r="D2661" s="2" t="s">
        <v>10055</v>
      </c>
      <c r="G2661" s="15">
        <v>-0.1138</v>
      </c>
      <c r="H2661" s="15">
        <v>0.1348</v>
      </c>
    </row>
    <row r="2662" spans="1:9" x14ac:dyDescent="0.2">
      <c r="A2662" s="2" t="s">
        <v>7469</v>
      </c>
      <c r="B2662" s="2" t="s">
        <v>7007</v>
      </c>
      <c r="C2662" s="2" t="s">
        <v>7470</v>
      </c>
      <c r="D2662" s="2" t="s">
        <v>10055</v>
      </c>
    </row>
    <row r="2663" spans="1:9" x14ac:dyDescent="0.2">
      <c r="A2663" s="2" t="s">
        <v>7471</v>
      </c>
      <c r="B2663" s="2" t="s">
        <v>7007</v>
      </c>
      <c r="C2663" s="2" t="s">
        <v>7472</v>
      </c>
      <c r="D2663" s="2" t="s">
        <v>10055</v>
      </c>
      <c r="E2663" s="15">
        <v>-0.3231</v>
      </c>
      <c r="F2663" s="15">
        <v>0.30859999999999999</v>
      </c>
      <c r="G2663" s="15">
        <v>-0.2863</v>
      </c>
      <c r="H2663" s="15">
        <v>0.22989999999999999</v>
      </c>
      <c r="I2663" s="15">
        <v>0.44075509952094838</v>
      </c>
    </row>
    <row r="2664" spans="1:9" x14ac:dyDescent="0.2">
      <c r="A2664" s="2" t="s">
        <v>7473</v>
      </c>
      <c r="B2664" s="2" t="s">
        <v>7007</v>
      </c>
      <c r="C2664" s="2" t="s">
        <v>7474</v>
      </c>
      <c r="D2664" s="2" t="s">
        <v>10055</v>
      </c>
    </row>
    <row r="2665" spans="1:9" x14ac:dyDescent="0.2">
      <c r="A2665" s="2" t="s">
        <v>7475</v>
      </c>
      <c r="B2665" s="2" t="s">
        <v>7007</v>
      </c>
      <c r="C2665" s="2" t="s">
        <v>7476</v>
      </c>
      <c r="D2665" s="2" t="s">
        <v>10055</v>
      </c>
      <c r="E2665" s="15">
        <v>1.61E-2</v>
      </c>
      <c r="F2665" s="15">
        <v>0.1426</v>
      </c>
    </row>
    <row r="2666" spans="1:9" x14ac:dyDescent="0.2">
      <c r="A2666" s="2" t="s">
        <v>7477</v>
      </c>
      <c r="B2666" s="2" t="s">
        <v>7007</v>
      </c>
      <c r="C2666" s="2" t="s">
        <v>7478</v>
      </c>
      <c r="D2666" s="2" t="s">
        <v>10055</v>
      </c>
    </row>
    <row r="2667" spans="1:9" x14ac:dyDescent="0.2">
      <c r="A2667" s="2" t="s">
        <v>7479</v>
      </c>
      <c r="B2667" s="2" t="s">
        <v>7007</v>
      </c>
      <c r="C2667" s="2" t="s">
        <v>7480</v>
      </c>
      <c r="D2667" s="2" t="s">
        <v>10055</v>
      </c>
      <c r="E2667" s="15">
        <v>-1.4500000000000001E-2</v>
      </c>
      <c r="F2667" s="15">
        <v>0.1125</v>
      </c>
      <c r="G2667" s="15">
        <v>-0.31669999999999998</v>
      </c>
      <c r="H2667" s="15">
        <v>0.1946</v>
      </c>
      <c r="I2667" s="15">
        <v>7.8698006339288418E-2</v>
      </c>
    </row>
    <row r="2668" spans="1:9" x14ac:dyDescent="0.2">
      <c r="A2668" s="2" t="s">
        <v>7481</v>
      </c>
      <c r="B2668" s="2" t="s">
        <v>7007</v>
      </c>
      <c r="C2668" s="2" t="s">
        <v>7482</v>
      </c>
      <c r="D2668" s="2" t="s">
        <v>10055</v>
      </c>
      <c r="E2668" s="15">
        <v>0.13170000000000001</v>
      </c>
      <c r="F2668" s="15">
        <v>0.18759999999999999</v>
      </c>
      <c r="G2668" s="15">
        <v>-1.7399999999999999E-2</v>
      </c>
      <c r="H2668" s="15">
        <v>0.1356</v>
      </c>
      <c r="I2668" s="15">
        <v>0.1755190956135291</v>
      </c>
    </row>
    <row r="2669" spans="1:9" x14ac:dyDescent="0.2">
      <c r="A2669" s="2" t="s">
        <v>7483</v>
      </c>
      <c r="B2669" s="2" t="s">
        <v>7007</v>
      </c>
      <c r="C2669" s="2" t="s">
        <v>7484</v>
      </c>
      <c r="D2669" s="2" t="s">
        <v>10055</v>
      </c>
      <c r="E2669" s="15">
        <v>8.1699999999999995E-2</v>
      </c>
      <c r="F2669" s="15">
        <v>0.13009999999999999</v>
      </c>
      <c r="G2669" s="15">
        <v>-1.11E-2</v>
      </c>
      <c r="H2669" s="15">
        <v>0.1172</v>
      </c>
      <c r="I2669" s="15">
        <v>0.2873684309023431</v>
      </c>
    </row>
    <row r="2670" spans="1:9" x14ac:dyDescent="0.2">
      <c r="A2670" s="2" t="s">
        <v>7485</v>
      </c>
      <c r="B2670" s="2" t="s">
        <v>7007</v>
      </c>
      <c r="C2670" s="2" t="s">
        <v>7486</v>
      </c>
      <c r="D2670" s="2" t="s">
        <v>10055</v>
      </c>
      <c r="G2670" s="15">
        <v>0.2026</v>
      </c>
      <c r="H2670" s="15">
        <v>0.21410000000000001</v>
      </c>
    </row>
    <row r="2671" spans="1:9" x14ac:dyDescent="0.2">
      <c r="A2671" s="2" t="s">
        <v>7487</v>
      </c>
      <c r="B2671" s="2" t="s">
        <v>7007</v>
      </c>
      <c r="C2671" s="2" t="s">
        <v>7488</v>
      </c>
      <c r="D2671" s="2" t="s">
        <v>10055</v>
      </c>
      <c r="G2671" s="15">
        <v>-0.67290000000000005</v>
      </c>
      <c r="H2671" s="15">
        <v>2.4112</v>
      </c>
    </row>
    <row r="2672" spans="1:9" x14ac:dyDescent="0.2">
      <c r="A2672" s="2" t="s">
        <v>7489</v>
      </c>
      <c r="B2672" s="2" t="s">
        <v>7007</v>
      </c>
      <c r="C2672" s="2" t="s">
        <v>7490</v>
      </c>
      <c r="D2672" s="2" t="s">
        <v>10055</v>
      </c>
      <c r="G2672" s="15">
        <v>-3.5099999999999999E-2</v>
      </c>
      <c r="H2672" s="15">
        <v>0.31590000000000001</v>
      </c>
    </row>
    <row r="2673" spans="1:9" x14ac:dyDescent="0.2">
      <c r="A2673" s="2" t="s">
        <v>7491</v>
      </c>
      <c r="B2673" s="2" t="s">
        <v>7007</v>
      </c>
      <c r="C2673" s="2" t="s">
        <v>7492</v>
      </c>
      <c r="D2673" s="2" t="s">
        <v>10055</v>
      </c>
      <c r="G2673" s="15">
        <v>0.1641</v>
      </c>
      <c r="H2673" s="15">
        <v>0.18099999999999999</v>
      </c>
    </row>
    <row r="2674" spans="1:9" x14ac:dyDescent="0.2">
      <c r="A2674" s="2" t="s">
        <v>7493</v>
      </c>
      <c r="B2674" s="2" t="s">
        <v>7007</v>
      </c>
      <c r="C2674" s="2" t="s">
        <v>7494</v>
      </c>
      <c r="D2674" s="2" t="s">
        <v>10055</v>
      </c>
      <c r="G2674" s="15">
        <v>0.1326</v>
      </c>
      <c r="H2674" s="15">
        <v>0.14130000000000001</v>
      </c>
    </row>
    <row r="2675" spans="1:9" x14ac:dyDescent="0.2">
      <c r="A2675" s="2" t="s">
        <v>7495</v>
      </c>
      <c r="B2675" s="2" t="s">
        <v>7007</v>
      </c>
      <c r="C2675" s="2" t="s">
        <v>7496</v>
      </c>
      <c r="D2675" s="2" t="s">
        <v>10055</v>
      </c>
      <c r="G2675" s="15">
        <v>-5.8599999999999999E-2</v>
      </c>
      <c r="H2675" s="15">
        <v>0.16850000000000001</v>
      </c>
    </row>
    <row r="2676" spans="1:9" x14ac:dyDescent="0.2">
      <c r="A2676" s="2" t="s">
        <v>7497</v>
      </c>
      <c r="B2676" s="2" t="s">
        <v>7007</v>
      </c>
      <c r="C2676" s="2" t="s">
        <v>7498</v>
      </c>
      <c r="D2676" s="2" t="s">
        <v>10055</v>
      </c>
      <c r="E2676" s="15">
        <v>-9.6299999999999997E-2</v>
      </c>
      <c r="F2676" s="15">
        <v>0.1023</v>
      </c>
    </row>
    <row r="2677" spans="1:9" x14ac:dyDescent="0.2">
      <c r="A2677" s="2" t="s">
        <v>7499</v>
      </c>
      <c r="B2677" s="2" t="s">
        <v>7007</v>
      </c>
      <c r="C2677" s="2" t="s">
        <v>7500</v>
      </c>
      <c r="D2677" s="2" t="s">
        <v>10055</v>
      </c>
      <c r="E2677" s="15">
        <v>-0.24440000000000001</v>
      </c>
      <c r="F2677" s="15">
        <v>0.35349999999999998</v>
      </c>
    </row>
    <row r="2678" spans="1:9" x14ac:dyDescent="0.2">
      <c r="A2678" s="2" t="s">
        <v>7501</v>
      </c>
      <c r="B2678" s="2" t="s">
        <v>7007</v>
      </c>
      <c r="C2678" s="2" t="s">
        <v>7502</v>
      </c>
      <c r="D2678" s="2" t="s">
        <v>10055</v>
      </c>
      <c r="E2678" s="15">
        <v>-8.3500000000000005E-2</v>
      </c>
      <c r="F2678" s="15">
        <v>8.8800000000000004E-2</v>
      </c>
      <c r="G2678" s="15">
        <v>-1.3599999999999999E-2</v>
      </c>
      <c r="H2678" s="15">
        <v>0.1244</v>
      </c>
      <c r="I2678" s="15">
        <v>0.31277205594821561</v>
      </c>
    </row>
    <row r="2679" spans="1:9" x14ac:dyDescent="0.2">
      <c r="A2679" s="2" t="s">
        <v>7503</v>
      </c>
      <c r="B2679" s="2" t="s">
        <v>7007</v>
      </c>
      <c r="C2679" s="2" t="s">
        <v>7504</v>
      </c>
      <c r="D2679" s="2" t="s">
        <v>10055</v>
      </c>
    </row>
    <row r="2680" spans="1:9" x14ac:dyDescent="0.2">
      <c r="A2680" s="2" t="s">
        <v>7505</v>
      </c>
      <c r="B2680" s="2" t="s">
        <v>7007</v>
      </c>
      <c r="C2680" s="2" t="s">
        <v>7506</v>
      </c>
      <c r="D2680" s="2" t="s">
        <v>10055</v>
      </c>
      <c r="E2680" s="15">
        <v>-2.01E-2</v>
      </c>
      <c r="F2680" s="15">
        <v>0.15310000000000001</v>
      </c>
      <c r="G2680" s="15">
        <v>-0.12239999999999999</v>
      </c>
      <c r="H2680" s="15">
        <v>0.35239999999999999</v>
      </c>
      <c r="I2680" s="15">
        <v>0.39027797635623263</v>
      </c>
    </row>
    <row r="2681" spans="1:9" x14ac:dyDescent="0.2">
      <c r="A2681" s="2" t="s">
        <v>7507</v>
      </c>
      <c r="B2681" s="2" t="s">
        <v>7007</v>
      </c>
      <c r="C2681" s="2" t="s">
        <v>7508</v>
      </c>
      <c r="D2681" s="2" t="s">
        <v>10055</v>
      </c>
      <c r="E2681" s="15">
        <v>-0.2094</v>
      </c>
      <c r="F2681" s="15">
        <v>0.20039999999999999</v>
      </c>
      <c r="G2681" s="15">
        <v>-4.58E-2</v>
      </c>
      <c r="H2681" s="15">
        <v>0.11509999999999999</v>
      </c>
      <c r="I2681" s="15">
        <v>0.11629694492394239</v>
      </c>
    </row>
    <row r="2682" spans="1:9" x14ac:dyDescent="0.2">
      <c r="A2682" s="2" t="s">
        <v>7509</v>
      </c>
      <c r="B2682" s="2" t="s">
        <v>7007</v>
      </c>
      <c r="C2682" s="2" t="s">
        <v>7510</v>
      </c>
      <c r="D2682" s="2" t="s">
        <v>10055</v>
      </c>
      <c r="E2682" s="15">
        <v>-3.8600000000000002E-2</v>
      </c>
      <c r="F2682" s="15">
        <v>0.27879999999999999</v>
      </c>
      <c r="G2682" s="15">
        <v>0.18049999999999999</v>
      </c>
      <c r="H2682" s="15">
        <v>0.14929999999999999</v>
      </c>
      <c r="I2682" s="15">
        <v>0.1056298997329818</v>
      </c>
    </row>
    <row r="2683" spans="1:9" x14ac:dyDescent="0.2">
      <c r="A2683" s="2" t="s">
        <v>7511</v>
      </c>
      <c r="B2683" s="2" t="s">
        <v>7007</v>
      </c>
      <c r="C2683" s="2" t="s">
        <v>7512</v>
      </c>
      <c r="D2683" s="2" t="s">
        <v>10055</v>
      </c>
      <c r="E2683" s="15">
        <v>-2.12E-2</v>
      </c>
      <c r="F2683" s="15">
        <v>0.14219999999999999</v>
      </c>
    </row>
    <row r="2684" spans="1:9" x14ac:dyDescent="0.2">
      <c r="A2684" s="2" t="s">
        <v>7513</v>
      </c>
      <c r="B2684" s="2" t="s">
        <v>7007</v>
      </c>
      <c r="C2684" s="2" t="s">
        <v>7514</v>
      </c>
      <c r="D2684" s="2" t="s">
        <v>10055</v>
      </c>
      <c r="E2684" s="15">
        <v>6.3399999999999998E-2</v>
      </c>
      <c r="F2684" s="15">
        <v>0.13700000000000001</v>
      </c>
      <c r="G2684" s="15">
        <v>1.0800000000000001E-2</v>
      </c>
      <c r="H2684" s="15">
        <v>0.14410000000000001</v>
      </c>
      <c r="I2684" s="15">
        <v>0.38179690143032657</v>
      </c>
    </row>
    <row r="2685" spans="1:9" x14ac:dyDescent="0.2">
      <c r="A2685" s="2" t="s">
        <v>7515</v>
      </c>
      <c r="B2685" s="2" t="s">
        <v>7007</v>
      </c>
      <c r="C2685" s="2" t="s">
        <v>7516</v>
      </c>
      <c r="D2685" s="2" t="s">
        <v>10055</v>
      </c>
      <c r="G2685" s="15">
        <v>-1.72E-2</v>
      </c>
      <c r="H2685" s="15">
        <v>0.13109999999999999</v>
      </c>
    </row>
    <row r="2686" spans="1:9" x14ac:dyDescent="0.2">
      <c r="A2686" s="2" t="s">
        <v>7517</v>
      </c>
      <c r="B2686" s="2" t="s">
        <v>7007</v>
      </c>
      <c r="C2686" s="2" t="s">
        <v>7518</v>
      </c>
      <c r="D2686" s="2" t="s">
        <v>10055</v>
      </c>
      <c r="E2686" s="15">
        <v>0.1263</v>
      </c>
      <c r="F2686" s="15">
        <v>0.42630000000000001</v>
      </c>
      <c r="G2686" s="15">
        <v>0.17519999999999999</v>
      </c>
      <c r="H2686" s="15">
        <v>0.1474</v>
      </c>
      <c r="I2686" s="15">
        <v>0.38272641752438019</v>
      </c>
    </row>
    <row r="2687" spans="1:9" x14ac:dyDescent="0.2">
      <c r="A2687" s="2" t="s">
        <v>7519</v>
      </c>
      <c r="B2687" s="2" t="s">
        <v>7007</v>
      </c>
      <c r="C2687" s="2" t="s">
        <v>7520</v>
      </c>
      <c r="D2687" s="2" t="s">
        <v>10055</v>
      </c>
      <c r="G2687" s="15">
        <v>-5.11E-2</v>
      </c>
      <c r="H2687" s="15">
        <v>0.2477</v>
      </c>
    </row>
    <row r="2688" spans="1:9" x14ac:dyDescent="0.2">
      <c r="A2688" s="2" t="s">
        <v>7521</v>
      </c>
      <c r="B2688" s="2" t="s">
        <v>7007</v>
      </c>
      <c r="C2688" s="2" t="s">
        <v>7522</v>
      </c>
      <c r="D2688" s="2" t="s">
        <v>10055</v>
      </c>
      <c r="E2688" s="15">
        <v>0.10349999999999999</v>
      </c>
      <c r="F2688" s="15">
        <v>0.40179999999999999</v>
      </c>
      <c r="G2688" s="15">
        <v>-0.1666</v>
      </c>
      <c r="H2688" s="15">
        <v>0.13730000000000001</v>
      </c>
      <c r="I2688" s="15">
        <v>6.3165655889585046E-2</v>
      </c>
    </row>
    <row r="2689" spans="1:9" x14ac:dyDescent="0.2">
      <c r="A2689" s="2" t="s">
        <v>7523</v>
      </c>
      <c r="B2689" s="2" t="s">
        <v>7007</v>
      </c>
      <c r="C2689" s="2" t="s">
        <v>7524</v>
      </c>
      <c r="D2689" s="2" t="s">
        <v>10055</v>
      </c>
      <c r="G2689" s="15">
        <v>3.8999999999999998E-3</v>
      </c>
      <c r="H2689" s="15">
        <v>0.27210000000000001</v>
      </c>
    </row>
    <row r="2690" spans="1:9" x14ac:dyDescent="0.2">
      <c r="A2690" s="2" t="s">
        <v>7525</v>
      </c>
      <c r="B2690" s="2" t="s">
        <v>7007</v>
      </c>
      <c r="C2690" s="2" t="s">
        <v>7526</v>
      </c>
      <c r="D2690" s="2" t="s">
        <v>10055</v>
      </c>
      <c r="E2690" s="15">
        <v>0.12189999999999999</v>
      </c>
      <c r="F2690" s="15">
        <v>0.19350000000000001</v>
      </c>
      <c r="G2690" s="15">
        <v>-0.1391</v>
      </c>
      <c r="H2690" s="15">
        <v>0.15060000000000001</v>
      </c>
      <c r="I2690" s="15">
        <v>6.8134004929644609E-2</v>
      </c>
    </row>
    <row r="2691" spans="1:9" x14ac:dyDescent="0.2">
      <c r="A2691" s="2" t="s">
        <v>7527</v>
      </c>
      <c r="B2691" s="2" t="s">
        <v>7007</v>
      </c>
      <c r="C2691" s="2" t="s">
        <v>7528</v>
      </c>
      <c r="D2691" s="2" t="s">
        <v>10055</v>
      </c>
      <c r="E2691" s="15">
        <v>7.7899999999999997E-2</v>
      </c>
      <c r="F2691" s="15">
        <v>0.1004</v>
      </c>
      <c r="G2691" s="15">
        <v>-8.6999999999999994E-2</v>
      </c>
      <c r="H2691" s="15">
        <v>0.24349999999999999</v>
      </c>
      <c r="I2691" s="15">
        <v>0.26185339410013891</v>
      </c>
    </row>
    <row r="2692" spans="1:9" x14ac:dyDescent="0.2">
      <c r="A2692" s="2" t="s">
        <v>7529</v>
      </c>
      <c r="B2692" s="2" t="s">
        <v>7007</v>
      </c>
      <c r="C2692" s="2" t="s">
        <v>7530</v>
      </c>
      <c r="D2692" s="2" t="s">
        <v>10055</v>
      </c>
      <c r="E2692" s="15">
        <v>9.0899999999999995E-2</v>
      </c>
      <c r="F2692" s="15">
        <v>0.13669999999999999</v>
      </c>
    </row>
    <row r="2693" spans="1:9" x14ac:dyDescent="0.2">
      <c r="A2693" s="2" t="s">
        <v>7531</v>
      </c>
      <c r="B2693" s="2" t="s">
        <v>7007</v>
      </c>
      <c r="C2693" s="2" t="s">
        <v>7532</v>
      </c>
      <c r="D2693" s="2" t="s">
        <v>10055</v>
      </c>
      <c r="E2693" s="15">
        <v>-8.4500000000000006E-2</v>
      </c>
      <c r="F2693" s="15">
        <v>0.17599999999999999</v>
      </c>
      <c r="G2693" s="15">
        <v>-0.1016</v>
      </c>
      <c r="H2693" s="15">
        <v>0.14430000000000001</v>
      </c>
      <c r="I2693" s="15">
        <v>0.45817627717500842</v>
      </c>
    </row>
    <row r="2694" spans="1:9" x14ac:dyDescent="0.2">
      <c r="A2694" s="2" t="s">
        <v>7533</v>
      </c>
      <c r="B2694" s="2" t="s">
        <v>7007</v>
      </c>
      <c r="C2694" s="2" t="s">
        <v>7534</v>
      </c>
      <c r="D2694" s="2" t="s">
        <v>10055</v>
      </c>
      <c r="E2694" s="15">
        <v>3.4700000000000002E-2</v>
      </c>
      <c r="F2694" s="15">
        <v>0.11310000000000001</v>
      </c>
      <c r="G2694" s="15">
        <v>-0.16059999999999999</v>
      </c>
      <c r="H2694" s="15">
        <v>0.25159999999999999</v>
      </c>
      <c r="I2694" s="15">
        <v>0.2285220557140312</v>
      </c>
    </row>
    <row r="2695" spans="1:9" x14ac:dyDescent="0.2">
      <c r="A2695" s="2" t="s">
        <v>7535</v>
      </c>
      <c r="B2695" s="2" t="s">
        <v>7007</v>
      </c>
      <c r="C2695" s="2" t="s">
        <v>7536</v>
      </c>
      <c r="D2695" s="2" t="s">
        <v>10055</v>
      </c>
      <c r="E2695" s="15">
        <v>2.29E-2</v>
      </c>
      <c r="F2695" s="15">
        <v>0.1168</v>
      </c>
      <c r="G2695" s="15">
        <v>0.16309999999999999</v>
      </c>
      <c r="H2695" s="15">
        <v>0.1143</v>
      </c>
      <c r="I2695" s="15">
        <v>0.14424884882845571</v>
      </c>
    </row>
    <row r="2696" spans="1:9" x14ac:dyDescent="0.2">
      <c r="A2696" s="2" t="s">
        <v>7537</v>
      </c>
      <c r="B2696" s="2" t="s">
        <v>7007</v>
      </c>
      <c r="C2696" s="2" t="s">
        <v>7538</v>
      </c>
      <c r="D2696" s="2" t="s">
        <v>10055</v>
      </c>
      <c r="E2696" s="15">
        <v>5.2400000000000002E-2</v>
      </c>
      <c r="F2696" s="15">
        <v>0.17150000000000001</v>
      </c>
      <c r="G2696" s="15">
        <v>-0.1211</v>
      </c>
      <c r="H2696" s="15">
        <v>0.1045</v>
      </c>
      <c r="I2696" s="15">
        <v>6.9721632546252812E-2</v>
      </c>
    </row>
    <row r="2697" spans="1:9" x14ac:dyDescent="0.2">
      <c r="A2697" s="2" t="s">
        <v>7539</v>
      </c>
      <c r="B2697" s="2" t="s">
        <v>7007</v>
      </c>
      <c r="C2697" s="2" t="s">
        <v>7540</v>
      </c>
      <c r="D2697" s="2" t="s">
        <v>10055</v>
      </c>
      <c r="E2697" s="15">
        <v>-8.9499999999999996E-2</v>
      </c>
      <c r="F2697" s="15">
        <v>0.1371</v>
      </c>
      <c r="G2697" s="15">
        <v>0.1759</v>
      </c>
      <c r="H2697" s="15">
        <v>0.16450000000000001</v>
      </c>
      <c r="I2697" s="15">
        <v>8.5276870512324326E-2</v>
      </c>
    </row>
    <row r="2698" spans="1:9" x14ac:dyDescent="0.2">
      <c r="A2698" s="2" t="s">
        <v>7541</v>
      </c>
      <c r="B2698" s="2" t="s">
        <v>7007</v>
      </c>
      <c r="C2698" s="2" t="s">
        <v>7542</v>
      </c>
      <c r="D2698" s="2" t="s">
        <v>10055</v>
      </c>
      <c r="E2698" s="15">
        <v>0.12</v>
      </c>
      <c r="F2698" s="15">
        <v>0.1229</v>
      </c>
      <c r="G2698" s="15">
        <v>4.7E-2</v>
      </c>
      <c r="H2698" s="15">
        <v>0.1045</v>
      </c>
      <c r="I2698" s="15">
        <v>0.29742391887366959</v>
      </c>
    </row>
    <row r="2699" spans="1:9" x14ac:dyDescent="0.2">
      <c r="A2699" s="2" t="s">
        <v>7543</v>
      </c>
      <c r="B2699" s="2" t="s">
        <v>7007</v>
      </c>
      <c r="C2699" s="2" t="s">
        <v>7544</v>
      </c>
      <c r="D2699" s="2" t="s">
        <v>10055</v>
      </c>
      <c r="E2699" s="15">
        <v>7.0699999999999999E-2</v>
      </c>
      <c r="F2699" s="15">
        <v>0.14399999999999999</v>
      </c>
      <c r="G2699" s="15">
        <v>-0.21679999999999999</v>
      </c>
      <c r="H2699" s="15">
        <v>0.43149999999999999</v>
      </c>
      <c r="I2699" s="15">
        <v>0.30877156046311571</v>
      </c>
    </row>
    <row r="2700" spans="1:9" x14ac:dyDescent="0.2">
      <c r="A2700" s="2" t="s">
        <v>7545</v>
      </c>
      <c r="B2700" s="2" t="s">
        <v>7007</v>
      </c>
      <c r="C2700" s="2" t="s">
        <v>7546</v>
      </c>
      <c r="D2700" s="2" t="s">
        <v>10055</v>
      </c>
      <c r="E2700" s="15">
        <v>-0.26750000000000002</v>
      </c>
      <c r="F2700" s="15">
        <v>0.17580000000000001</v>
      </c>
      <c r="G2700" s="15">
        <v>-0.14050000000000001</v>
      </c>
      <c r="H2700" s="15">
        <v>0.22839999999999999</v>
      </c>
      <c r="I2700" s="15">
        <v>0.30425493535227488</v>
      </c>
    </row>
    <row r="2701" spans="1:9" x14ac:dyDescent="0.2">
      <c r="A2701" s="2" t="s">
        <v>7547</v>
      </c>
      <c r="B2701" s="2" t="s">
        <v>7007</v>
      </c>
      <c r="C2701" s="2" t="s">
        <v>7548</v>
      </c>
      <c r="D2701" s="2" t="s">
        <v>10055</v>
      </c>
      <c r="E2701" s="15">
        <v>0.14180000000000001</v>
      </c>
      <c r="F2701" s="15">
        <v>0.128</v>
      </c>
      <c r="G2701" s="15">
        <v>2.0400000000000001E-2</v>
      </c>
      <c r="H2701" s="15">
        <v>0.1366</v>
      </c>
      <c r="I2701" s="15">
        <v>0.20828872358131281</v>
      </c>
    </row>
    <row r="2702" spans="1:9" x14ac:dyDescent="0.2">
      <c r="A2702" s="2" t="s">
        <v>7549</v>
      </c>
      <c r="B2702" s="2" t="s">
        <v>7007</v>
      </c>
      <c r="C2702" s="2" t="s">
        <v>7550</v>
      </c>
      <c r="D2702" s="2" t="s">
        <v>10055</v>
      </c>
      <c r="E2702" s="15">
        <v>0.1241</v>
      </c>
      <c r="F2702" s="15">
        <v>8.5599999999999996E-2</v>
      </c>
      <c r="G2702" s="15">
        <v>-8.6400000000000005E-2</v>
      </c>
      <c r="H2702" s="15">
        <v>0.1429</v>
      </c>
      <c r="I2702" s="15">
        <v>8.6507773337398078E-2</v>
      </c>
    </row>
    <row r="2703" spans="1:9" x14ac:dyDescent="0.2">
      <c r="A2703" s="2" t="s">
        <v>7551</v>
      </c>
      <c r="B2703" s="2" t="s">
        <v>7007</v>
      </c>
      <c r="C2703" s="2" t="s">
        <v>7552</v>
      </c>
      <c r="D2703" s="2" t="s">
        <v>10055</v>
      </c>
      <c r="E2703" s="15">
        <v>0.46450000000000002</v>
      </c>
      <c r="F2703" s="15">
        <v>0.61329999999999996</v>
      </c>
      <c r="G2703" s="15">
        <v>4.8300000000000003E-2</v>
      </c>
      <c r="H2703" s="15">
        <v>0.13519999999999999</v>
      </c>
      <c r="I2703" s="15">
        <v>7.1678037963079002E-3</v>
      </c>
    </row>
    <row r="2704" spans="1:9" x14ac:dyDescent="0.2">
      <c r="A2704" s="2" t="s">
        <v>7553</v>
      </c>
      <c r="B2704" s="2" t="s">
        <v>7007</v>
      </c>
      <c r="C2704" s="2" t="s">
        <v>7554</v>
      </c>
      <c r="D2704" s="2" t="s">
        <v>10055</v>
      </c>
      <c r="E2704" s="15">
        <v>-6.2600000000000003E-2</v>
      </c>
      <c r="F2704" s="15">
        <v>0.1623</v>
      </c>
      <c r="G2704" s="15">
        <v>-0.14929999999999999</v>
      </c>
      <c r="H2704" s="15">
        <v>0.17180000000000001</v>
      </c>
      <c r="I2704" s="15">
        <v>0.3179791432597639</v>
      </c>
    </row>
    <row r="2705" spans="1:9" x14ac:dyDescent="0.2">
      <c r="A2705" s="2" t="s">
        <v>7555</v>
      </c>
      <c r="B2705" s="2" t="s">
        <v>7007</v>
      </c>
      <c r="C2705" s="2" t="s">
        <v>7556</v>
      </c>
      <c r="D2705" s="2" t="s">
        <v>10055</v>
      </c>
      <c r="E2705" s="15">
        <v>0.30049999999999999</v>
      </c>
      <c r="F2705" s="15">
        <v>0.27810000000000001</v>
      </c>
    </row>
    <row r="2706" spans="1:9" x14ac:dyDescent="0.2">
      <c r="A2706" s="2" t="s">
        <v>7557</v>
      </c>
      <c r="B2706" s="2" t="s">
        <v>7007</v>
      </c>
      <c r="C2706" s="2" t="s">
        <v>7558</v>
      </c>
      <c r="D2706" s="2" t="s">
        <v>10055</v>
      </c>
      <c r="G2706" s="15">
        <v>-0.24540000000000001</v>
      </c>
      <c r="H2706" s="15">
        <v>0.66520000000000001</v>
      </c>
    </row>
    <row r="2707" spans="1:9" x14ac:dyDescent="0.2">
      <c r="A2707" s="2" t="s">
        <v>7559</v>
      </c>
      <c r="B2707" s="2" t="s">
        <v>7007</v>
      </c>
      <c r="C2707" s="2" t="s">
        <v>7560</v>
      </c>
      <c r="D2707" s="2" t="s">
        <v>10055</v>
      </c>
    </row>
    <row r="2708" spans="1:9" x14ac:dyDescent="0.2">
      <c r="A2708" s="2" t="s">
        <v>7561</v>
      </c>
      <c r="B2708" s="2" t="s">
        <v>7007</v>
      </c>
      <c r="C2708" s="2" t="s">
        <v>7562</v>
      </c>
      <c r="D2708" s="2" t="s">
        <v>10055</v>
      </c>
      <c r="E2708" s="15">
        <v>0.1368</v>
      </c>
      <c r="F2708" s="15">
        <v>0.21340000000000001</v>
      </c>
      <c r="G2708" s="15">
        <v>0.11940000000000001</v>
      </c>
      <c r="H2708" s="15">
        <v>0.1031</v>
      </c>
      <c r="I2708" s="15">
        <v>0.45006431213090409</v>
      </c>
    </row>
    <row r="2709" spans="1:9" x14ac:dyDescent="0.2">
      <c r="A2709" s="2" t="s">
        <v>7563</v>
      </c>
      <c r="B2709" s="2" t="s">
        <v>7007</v>
      </c>
      <c r="C2709" s="2" t="s">
        <v>7564</v>
      </c>
      <c r="D2709" s="2" t="s">
        <v>10055</v>
      </c>
      <c r="G2709" s="15">
        <v>-0.443</v>
      </c>
      <c r="H2709" s="15">
        <v>0.67230000000000001</v>
      </c>
    </row>
    <row r="2710" spans="1:9" x14ac:dyDescent="0.2">
      <c r="A2710" s="2" t="s">
        <v>7565</v>
      </c>
      <c r="B2710" s="2" t="s">
        <v>7007</v>
      </c>
      <c r="C2710" s="2" t="s">
        <v>7566</v>
      </c>
      <c r="D2710" s="2" t="s">
        <v>10055</v>
      </c>
      <c r="E2710" s="15">
        <v>-0.37530000000000002</v>
      </c>
      <c r="F2710" s="15">
        <v>0.21959999999999999</v>
      </c>
      <c r="G2710" s="15">
        <v>-0.224</v>
      </c>
      <c r="H2710" s="15">
        <v>0.31690000000000002</v>
      </c>
      <c r="I2710" s="15">
        <v>0.3217002354041939</v>
      </c>
    </row>
    <row r="2711" spans="1:9" x14ac:dyDescent="0.2">
      <c r="A2711" s="2" t="s">
        <v>7567</v>
      </c>
      <c r="B2711" s="2" t="s">
        <v>7007</v>
      </c>
      <c r="C2711" s="2" t="s">
        <v>7568</v>
      </c>
      <c r="D2711" s="2" t="s">
        <v>10055</v>
      </c>
      <c r="G2711" s="15">
        <v>-0.21740000000000001</v>
      </c>
      <c r="H2711" s="15">
        <v>0.1182</v>
      </c>
    </row>
    <row r="2712" spans="1:9" x14ac:dyDescent="0.2">
      <c r="A2712" s="2" t="s">
        <v>7569</v>
      </c>
      <c r="B2712" s="2" t="s">
        <v>7007</v>
      </c>
      <c r="C2712" s="2" t="s">
        <v>7570</v>
      </c>
      <c r="D2712" s="2" t="s">
        <v>10055</v>
      </c>
      <c r="E2712" s="15">
        <v>-6.6400000000000001E-2</v>
      </c>
      <c r="F2712" s="15">
        <v>0.18490000000000001</v>
      </c>
    </row>
    <row r="2713" spans="1:9" x14ac:dyDescent="0.2">
      <c r="A2713" s="2" t="s">
        <v>7571</v>
      </c>
      <c r="B2713" s="2" t="s">
        <v>7007</v>
      </c>
      <c r="C2713" s="2" t="s">
        <v>7572</v>
      </c>
      <c r="D2713" s="2" t="s">
        <v>10055</v>
      </c>
      <c r="E2713" s="15">
        <v>-0.1502</v>
      </c>
      <c r="F2713" s="15">
        <v>0.11849999999999999</v>
      </c>
      <c r="G2713" s="15">
        <v>0.13120000000000001</v>
      </c>
      <c r="H2713" s="15">
        <v>0.2135</v>
      </c>
      <c r="I2713" s="15">
        <v>0.1068351896926026</v>
      </c>
    </row>
    <row r="2714" spans="1:9" x14ac:dyDescent="0.2">
      <c r="A2714" s="2" t="s">
        <v>7573</v>
      </c>
      <c r="B2714" s="2" t="s">
        <v>7007</v>
      </c>
      <c r="C2714" s="2" t="s">
        <v>7574</v>
      </c>
      <c r="D2714" s="2" t="s">
        <v>10055</v>
      </c>
      <c r="E2714" s="15">
        <v>0.2379</v>
      </c>
      <c r="F2714" s="15">
        <v>0.1429</v>
      </c>
    </row>
    <row r="2715" spans="1:9" x14ac:dyDescent="0.2">
      <c r="A2715" s="2" t="s">
        <v>7575</v>
      </c>
      <c r="B2715" s="2" t="s">
        <v>7007</v>
      </c>
      <c r="C2715" s="2" t="s">
        <v>7576</v>
      </c>
      <c r="D2715" s="2" t="s">
        <v>10055</v>
      </c>
      <c r="E2715" s="15">
        <v>3.3000000000000002E-2</v>
      </c>
      <c r="F2715" s="15">
        <v>0.1052</v>
      </c>
      <c r="G2715" s="15">
        <v>0.25330000000000003</v>
      </c>
      <c r="H2715" s="15">
        <v>0.248</v>
      </c>
      <c r="I2715" s="15">
        <v>0.192586797130752</v>
      </c>
    </row>
    <row r="2716" spans="1:9" x14ac:dyDescent="0.2">
      <c r="A2716" s="2" t="s">
        <v>7577</v>
      </c>
      <c r="B2716" s="2" t="s">
        <v>7007</v>
      </c>
      <c r="C2716" s="2" t="s">
        <v>7578</v>
      </c>
      <c r="D2716" s="2" t="s">
        <v>10055</v>
      </c>
      <c r="E2716" s="15">
        <v>-8.6999999999999994E-3</v>
      </c>
      <c r="F2716" s="15">
        <v>0.10979999999999999</v>
      </c>
      <c r="G2716" s="15">
        <v>-0.19800000000000001</v>
      </c>
      <c r="H2716" s="15">
        <v>0.113</v>
      </c>
      <c r="I2716" s="15">
        <v>6.7853212335041324E-2</v>
      </c>
    </row>
    <row r="2717" spans="1:9" x14ac:dyDescent="0.2">
      <c r="A2717" s="2" t="s">
        <v>7579</v>
      </c>
      <c r="B2717" s="2" t="s">
        <v>7007</v>
      </c>
      <c r="C2717" s="2" t="s">
        <v>7580</v>
      </c>
      <c r="D2717" s="2" t="s">
        <v>10055</v>
      </c>
      <c r="E2717" s="15">
        <v>9.9900000000000003E-2</v>
      </c>
      <c r="F2717" s="15">
        <v>0.1469</v>
      </c>
      <c r="G2717" s="15">
        <v>-0.1623</v>
      </c>
      <c r="H2717" s="15">
        <v>0.1118</v>
      </c>
      <c r="I2717" s="15">
        <v>2.0133945284740381E-2</v>
      </c>
    </row>
    <row r="2718" spans="1:9" x14ac:dyDescent="0.2">
      <c r="A2718" s="2" t="s">
        <v>7581</v>
      </c>
      <c r="B2718" s="2" t="s">
        <v>7007</v>
      </c>
      <c r="C2718" s="2" t="s">
        <v>7582</v>
      </c>
      <c r="D2718" s="2" t="s">
        <v>10055</v>
      </c>
      <c r="E2718" s="15">
        <v>2.7099999999999999E-2</v>
      </c>
      <c r="F2718" s="15">
        <v>0.105</v>
      </c>
      <c r="G2718" s="15">
        <v>-3.2300000000000002E-2</v>
      </c>
      <c r="H2718" s="15">
        <v>0.12039999999999999</v>
      </c>
      <c r="I2718" s="15">
        <v>0.33442056705447232</v>
      </c>
    </row>
    <row r="2719" spans="1:9" x14ac:dyDescent="0.2">
      <c r="A2719" s="2" t="s">
        <v>7583</v>
      </c>
      <c r="B2719" s="2" t="s">
        <v>7007</v>
      </c>
      <c r="C2719" s="2" t="s">
        <v>7584</v>
      </c>
      <c r="D2719" s="2" t="s">
        <v>10055</v>
      </c>
      <c r="E2719" s="15">
        <v>-2.8799999999999999E-2</v>
      </c>
      <c r="F2719" s="15">
        <v>0.20449999999999999</v>
      </c>
      <c r="G2719" s="15">
        <v>4.5999999999999999E-2</v>
      </c>
      <c r="H2719" s="15">
        <v>0.3206</v>
      </c>
      <c r="I2719" s="15">
        <v>0.41083463433652512</v>
      </c>
    </row>
    <row r="2720" spans="1:9" x14ac:dyDescent="0.2">
      <c r="A2720" s="2" t="s">
        <v>7585</v>
      </c>
      <c r="B2720" s="2" t="s">
        <v>7007</v>
      </c>
      <c r="C2720" s="2" t="s">
        <v>7586</v>
      </c>
      <c r="D2720" s="2" t="s">
        <v>10055</v>
      </c>
    </row>
    <row r="2721" spans="1:9" x14ac:dyDescent="0.2">
      <c r="A2721" s="2" t="s">
        <v>7587</v>
      </c>
      <c r="B2721" s="2" t="s">
        <v>7007</v>
      </c>
      <c r="C2721" s="2" t="s">
        <v>7588</v>
      </c>
      <c r="D2721" s="2" t="s">
        <v>10055</v>
      </c>
      <c r="E2721" s="15">
        <v>0.16109999999999999</v>
      </c>
      <c r="F2721" s="15">
        <v>0.13289999999999999</v>
      </c>
      <c r="G2721" s="15">
        <v>0.1201</v>
      </c>
      <c r="H2721" s="15">
        <v>0.11269999999999999</v>
      </c>
      <c r="I2721" s="15">
        <v>0.37873990112682832</v>
      </c>
    </row>
    <row r="2722" spans="1:9" x14ac:dyDescent="0.2">
      <c r="A2722" s="2" t="s">
        <v>7589</v>
      </c>
      <c r="B2722" s="2" t="s">
        <v>7007</v>
      </c>
      <c r="C2722" s="2" t="s">
        <v>7590</v>
      </c>
      <c r="D2722" s="2" t="s">
        <v>10055</v>
      </c>
      <c r="G2722" s="15">
        <v>0.13039999999999999</v>
      </c>
      <c r="H2722" s="15">
        <v>0.1792</v>
      </c>
    </row>
    <row r="2723" spans="1:9" x14ac:dyDescent="0.2">
      <c r="A2723" s="2" t="s">
        <v>7591</v>
      </c>
      <c r="B2723" s="2" t="s">
        <v>7007</v>
      </c>
      <c r="C2723" s="2" t="s">
        <v>7592</v>
      </c>
      <c r="D2723" s="2" t="s">
        <v>10055</v>
      </c>
      <c r="E2723" s="15">
        <v>-0.14080000000000001</v>
      </c>
      <c r="F2723" s="15">
        <v>0.12939999999999999</v>
      </c>
    </row>
    <row r="2724" spans="1:9" x14ac:dyDescent="0.2">
      <c r="A2724" s="2" t="s">
        <v>7593</v>
      </c>
      <c r="B2724" s="2" t="s">
        <v>7007</v>
      </c>
      <c r="C2724" s="2" t="s">
        <v>7594</v>
      </c>
      <c r="D2724" s="2" t="s">
        <v>10055</v>
      </c>
      <c r="E2724" s="15">
        <v>-0.1903</v>
      </c>
      <c r="F2724" s="15">
        <v>0.17399999999999999</v>
      </c>
      <c r="G2724" s="15">
        <v>-0.16209999999999999</v>
      </c>
      <c r="H2724" s="15">
        <v>0.1166</v>
      </c>
      <c r="I2724" s="15">
        <v>0.4195946224569238</v>
      </c>
    </row>
    <row r="2725" spans="1:9" x14ac:dyDescent="0.2">
      <c r="A2725" s="2" t="s">
        <v>7595</v>
      </c>
      <c r="B2725" s="2" t="s">
        <v>7007</v>
      </c>
      <c r="C2725" s="2" t="s">
        <v>7596</v>
      </c>
      <c r="D2725" s="2" t="s">
        <v>10055</v>
      </c>
      <c r="E2725" s="15">
        <v>0.122</v>
      </c>
      <c r="F2725" s="15">
        <v>9.4700000000000006E-2</v>
      </c>
      <c r="G2725" s="15">
        <v>-8.48E-2</v>
      </c>
      <c r="H2725" s="15">
        <v>0.14530000000000001</v>
      </c>
      <c r="I2725" s="15">
        <v>9.8922783014183335E-2</v>
      </c>
    </row>
    <row r="2726" spans="1:9" x14ac:dyDescent="0.2">
      <c r="A2726" s="2" t="s">
        <v>7597</v>
      </c>
      <c r="B2726" s="2" t="s">
        <v>7007</v>
      </c>
      <c r="C2726" s="2" t="s">
        <v>7598</v>
      </c>
      <c r="D2726" s="2" t="s">
        <v>10055</v>
      </c>
      <c r="E2726" s="15">
        <v>0.26989999999999997</v>
      </c>
      <c r="F2726" s="15">
        <v>0.22220000000000001</v>
      </c>
      <c r="G2726" s="15">
        <v>-5.7599999999999998E-2</v>
      </c>
      <c r="H2726" s="15">
        <v>0.2145</v>
      </c>
      <c r="I2726" s="15">
        <v>9.7071091002570414E-2</v>
      </c>
    </row>
    <row r="2727" spans="1:9" x14ac:dyDescent="0.2">
      <c r="A2727" s="2" t="s">
        <v>7599</v>
      </c>
      <c r="B2727" s="2" t="s">
        <v>7007</v>
      </c>
      <c r="C2727" s="2" t="s">
        <v>7600</v>
      </c>
      <c r="D2727" s="2" t="s">
        <v>10055</v>
      </c>
      <c r="E2727" s="15">
        <v>5.1499999999999997E-2</v>
      </c>
      <c r="F2727" s="15">
        <v>0.1069</v>
      </c>
      <c r="G2727" s="15">
        <v>-0.05</v>
      </c>
      <c r="H2727" s="15">
        <v>0.1203</v>
      </c>
      <c r="I2727" s="15">
        <v>0.2198139601809225</v>
      </c>
    </row>
    <row r="2728" spans="1:9" x14ac:dyDescent="0.2">
      <c r="A2728" s="2" t="s">
        <v>7601</v>
      </c>
      <c r="B2728" s="2" t="s">
        <v>7007</v>
      </c>
      <c r="C2728" s="2" t="s">
        <v>7602</v>
      </c>
      <c r="D2728" s="2" t="s">
        <v>10055</v>
      </c>
      <c r="E2728" s="15">
        <v>-0.18379999999999999</v>
      </c>
      <c r="F2728" s="15">
        <v>0.15659999999999999</v>
      </c>
      <c r="G2728" s="15">
        <v>2.5399999999999999E-2</v>
      </c>
      <c r="H2728" s="15">
        <v>0.1099</v>
      </c>
      <c r="I2728" s="15">
        <v>6.2393540077694598E-2</v>
      </c>
    </row>
    <row r="2729" spans="1:9" x14ac:dyDescent="0.2">
      <c r="A2729" s="2" t="s">
        <v>7603</v>
      </c>
      <c r="B2729" s="2" t="s">
        <v>7007</v>
      </c>
      <c r="C2729" s="2" t="s">
        <v>7604</v>
      </c>
      <c r="D2729" s="2" t="s">
        <v>10055</v>
      </c>
      <c r="E2729" s="15">
        <v>-3.0200000000000001E-2</v>
      </c>
      <c r="F2729" s="15">
        <v>0.1351</v>
      </c>
      <c r="G2729" s="15">
        <v>3.7000000000000002E-3</v>
      </c>
      <c r="H2729" s="15">
        <v>0.1668</v>
      </c>
      <c r="I2729" s="15">
        <v>0.43068366014852433</v>
      </c>
    </row>
    <row r="2730" spans="1:9" x14ac:dyDescent="0.2">
      <c r="A2730" s="2" t="s">
        <v>7605</v>
      </c>
      <c r="B2730" s="2" t="s">
        <v>7007</v>
      </c>
      <c r="C2730" s="2" t="s">
        <v>7606</v>
      </c>
      <c r="D2730" s="2" t="s">
        <v>10055</v>
      </c>
      <c r="E2730" s="15">
        <v>2.3699999999999999E-2</v>
      </c>
      <c r="F2730" s="15">
        <v>7.1599999999999997E-2</v>
      </c>
      <c r="G2730" s="15">
        <v>-6.8999999999999999E-3</v>
      </c>
      <c r="H2730" s="15">
        <v>9.4299999999999995E-2</v>
      </c>
      <c r="I2730" s="15">
        <v>0.38679068608410849</v>
      </c>
    </row>
    <row r="2731" spans="1:9" x14ac:dyDescent="0.2">
      <c r="A2731" s="2" t="s">
        <v>7607</v>
      </c>
      <c r="B2731" s="2" t="s">
        <v>7007</v>
      </c>
      <c r="C2731" s="2" t="s">
        <v>7608</v>
      </c>
      <c r="D2731" s="2" t="s">
        <v>10055</v>
      </c>
      <c r="G2731" s="15">
        <v>-9.4299999999999995E-2</v>
      </c>
      <c r="H2731" s="15">
        <v>0.1148</v>
      </c>
    </row>
    <row r="2732" spans="1:9" x14ac:dyDescent="0.2">
      <c r="A2732" s="2" t="s">
        <v>7609</v>
      </c>
      <c r="B2732" s="2" t="s">
        <v>7007</v>
      </c>
      <c r="C2732" s="2" t="s">
        <v>7610</v>
      </c>
      <c r="D2732" s="2" t="s">
        <v>10055</v>
      </c>
      <c r="E2732" s="15">
        <v>-8.4000000000000005E-2</v>
      </c>
      <c r="F2732" s="15">
        <v>0.16489999999999999</v>
      </c>
      <c r="G2732" s="15">
        <v>0.1211</v>
      </c>
      <c r="H2732" s="15">
        <v>0.45440000000000003</v>
      </c>
      <c r="I2732" s="15">
        <v>0.33070917237368092</v>
      </c>
    </row>
    <row r="2733" spans="1:9" x14ac:dyDescent="0.2">
      <c r="A2733" s="2" t="s">
        <v>7611</v>
      </c>
      <c r="B2733" s="2" t="s">
        <v>7007</v>
      </c>
      <c r="C2733" s="2" t="s">
        <v>7612</v>
      </c>
      <c r="D2733" s="2" t="s">
        <v>10055</v>
      </c>
    </row>
    <row r="2734" spans="1:9" x14ac:dyDescent="0.2">
      <c r="A2734" s="2" t="s">
        <v>7613</v>
      </c>
      <c r="B2734" s="2" t="s">
        <v>7007</v>
      </c>
      <c r="C2734" s="2" t="s">
        <v>7614</v>
      </c>
      <c r="D2734" s="2" t="s">
        <v>10055</v>
      </c>
      <c r="E2734" s="15">
        <v>-4.2299999999999997E-2</v>
      </c>
      <c r="F2734" s="15">
        <v>0.13189999999999999</v>
      </c>
    </row>
    <row r="2735" spans="1:9" x14ac:dyDescent="0.2">
      <c r="A2735" s="2" t="s">
        <v>7615</v>
      </c>
      <c r="B2735" s="2" t="s">
        <v>7007</v>
      </c>
      <c r="C2735" s="2" t="s">
        <v>7616</v>
      </c>
      <c r="D2735" s="2" t="s">
        <v>10055</v>
      </c>
      <c r="E2735" s="15">
        <v>-0.30459999999999998</v>
      </c>
      <c r="F2735" s="15">
        <v>0.41389999999999999</v>
      </c>
      <c r="G2735" s="15">
        <v>9.11E-2</v>
      </c>
      <c r="H2735" s="15">
        <v>9.6000000000000002E-2</v>
      </c>
      <c r="I2735" s="15">
        <v>1.298718956451483E-3</v>
      </c>
    </row>
    <row r="2736" spans="1:9" x14ac:dyDescent="0.2">
      <c r="A2736" s="2" t="s">
        <v>7617</v>
      </c>
      <c r="B2736" s="2" t="s">
        <v>7007</v>
      </c>
      <c r="C2736" s="2" t="s">
        <v>7618</v>
      </c>
      <c r="D2736" s="2" t="s">
        <v>10055</v>
      </c>
      <c r="G2736" s="15">
        <v>0.35809999999999997</v>
      </c>
      <c r="H2736" s="15">
        <v>0.80310000000000004</v>
      </c>
    </row>
    <row r="2737" spans="1:9" x14ac:dyDescent="0.2">
      <c r="A2737" s="2" t="s">
        <v>7619</v>
      </c>
      <c r="B2737" s="2" t="s">
        <v>7007</v>
      </c>
      <c r="C2737" s="2" t="s">
        <v>7620</v>
      </c>
      <c r="D2737" s="2" t="s">
        <v>10055</v>
      </c>
      <c r="E2737" s="15">
        <v>-6.6299999999999998E-2</v>
      </c>
      <c r="F2737" s="15">
        <v>0.107</v>
      </c>
      <c r="G2737" s="15">
        <v>-0.23</v>
      </c>
      <c r="H2737" s="15">
        <v>1.5632999999999999</v>
      </c>
      <c r="I2737" s="15">
        <v>0.4583465698751209</v>
      </c>
    </row>
    <row r="2738" spans="1:9" x14ac:dyDescent="0.2">
      <c r="A2738" s="2" t="s">
        <v>7621</v>
      </c>
      <c r="B2738" s="2" t="s">
        <v>7007</v>
      </c>
      <c r="C2738" s="2" t="s">
        <v>7622</v>
      </c>
      <c r="D2738" s="2" t="s">
        <v>10055</v>
      </c>
      <c r="E2738" s="15">
        <v>-0.1192</v>
      </c>
      <c r="F2738" s="15">
        <v>0.42220000000000002</v>
      </c>
      <c r="G2738" s="15">
        <v>5.5800000000000002E-2</v>
      </c>
      <c r="H2738" s="15">
        <v>0.1734</v>
      </c>
      <c r="I2738" s="15">
        <v>0.33457054907298173</v>
      </c>
    </row>
    <row r="2739" spans="1:9" x14ac:dyDescent="0.2">
      <c r="A2739" s="2" t="s">
        <v>7623</v>
      </c>
      <c r="B2739" s="2" t="s">
        <v>7007</v>
      </c>
      <c r="C2739" s="2" t="s">
        <v>7624</v>
      </c>
      <c r="D2739" s="2" t="s">
        <v>10055</v>
      </c>
      <c r="E2739" s="15">
        <v>-2.8799999999999999E-2</v>
      </c>
      <c r="F2739" s="15">
        <v>0.219</v>
      </c>
    </row>
    <row r="2740" spans="1:9" x14ac:dyDescent="0.2">
      <c r="A2740" s="2" t="s">
        <v>7625</v>
      </c>
      <c r="B2740" s="2" t="s">
        <v>7007</v>
      </c>
      <c r="C2740" s="2" t="s">
        <v>7626</v>
      </c>
      <c r="D2740" s="2" t="s">
        <v>10055</v>
      </c>
      <c r="E2740" s="15">
        <v>-0.13039999999999999</v>
      </c>
      <c r="F2740" s="15">
        <v>0.13869999999999999</v>
      </c>
      <c r="G2740" s="15">
        <v>-0.28299999999999997</v>
      </c>
      <c r="H2740" s="15">
        <v>0.31730000000000003</v>
      </c>
      <c r="I2740" s="15">
        <v>0.32354258271061109</v>
      </c>
    </row>
    <row r="2741" spans="1:9" x14ac:dyDescent="0.2">
      <c r="A2741" s="2" t="s">
        <v>7627</v>
      </c>
      <c r="B2741" s="2" t="s">
        <v>7007</v>
      </c>
      <c r="C2741" s="2" t="s">
        <v>7628</v>
      </c>
      <c r="D2741" s="2" t="s">
        <v>10055</v>
      </c>
      <c r="E2741" s="15">
        <v>0.10059999999999999</v>
      </c>
      <c r="F2741" s="15">
        <v>0.1138</v>
      </c>
      <c r="G2741" s="15">
        <v>-0.14779999999999999</v>
      </c>
      <c r="H2741" s="15">
        <v>0.1187</v>
      </c>
      <c r="I2741" s="15">
        <v>3.4097561836053253E-2</v>
      </c>
    </row>
    <row r="2742" spans="1:9" x14ac:dyDescent="0.2">
      <c r="A2742" s="2" t="s">
        <v>7629</v>
      </c>
      <c r="B2742" s="2" t="s">
        <v>7007</v>
      </c>
      <c r="C2742" s="2" t="s">
        <v>7630</v>
      </c>
      <c r="D2742" s="2" t="s">
        <v>10055</v>
      </c>
      <c r="E2742" s="15">
        <v>-4.1999999999999997E-3</v>
      </c>
      <c r="F2742" s="15">
        <v>0.1477</v>
      </c>
      <c r="G2742" s="15">
        <v>-0.19209999999999999</v>
      </c>
      <c r="H2742" s="15">
        <v>0.14729999999999999</v>
      </c>
      <c r="I2742" s="15">
        <v>0.1196249912040489</v>
      </c>
    </row>
    <row r="2743" spans="1:9" x14ac:dyDescent="0.2">
      <c r="A2743" s="2" t="s">
        <v>7631</v>
      </c>
      <c r="B2743" s="2" t="s">
        <v>7007</v>
      </c>
      <c r="C2743" s="2" t="s">
        <v>7632</v>
      </c>
      <c r="D2743" s="2" t="s">
        <v>10055</v>
      </c>
      <c r="E2743" s="15">
        <v>0.31769999999999998</v>
      </c>
      <c r="F2743" s="15">
        <v>0.14249999999999999</v>
      </c>
      <c r="G2743" s="15">
        <v>-7.4000000000000003E-3</v>
      </c>
      <c r="H2743" s="15">
        <v>0.15890000000000001</v>
      </c>
      <c r="I2743" s="15">
        <v>4.3596284040284587E-2</v>
      </c>
    </row>
    <row r="2744" spans="1:9" x14ac:dyDescent="0.2">
      <c r="A2744" s="2" t="s">
        <v>7633</v>
      </c>
      <c r="B2744" s="2" t="s">
        <v>7007</v>
      </c>
      <c r="C2744" s="2" t="s">
        <v>7634</v>
      </c>
      <c r="D2744" s="2" t="s">
        <v>10055</v>
      </c>
    </row>
    <row r="2745" spans="1:9" x14ac:dyDescent="0.2">
      <c r="A2745" s="2" t="s">
        <v>7635</v>
      </c>
      <c r="B2745" s="2" t="s">
        <v>7007</v>
      </c>
      <c r="C2745" s="2" t="s">
        <v>7636</v>
      </c>
      <c r="D2745" s="2" t="s">
        <v>10055</v>
      </c>
    </row>
    <row r="2746" spans="1:9" x14ac:dyDescent="0.2">
      <c r="A2746" s="2" t="s">
        <v>7637</v>
      </c>
      <c r="B2746" s="2" t="s">
        <v>7007</v>
      </c>
      <c r="C2746" s="2" t="s">
        <v>7638</v>
      </c>
      <c r="D2746" s="2" t="s">
        <v>10055</v>
      </c>
      <c r="G2746" s="15">
        <v>-5.11E-2</v>
      </c>
      <c r="H2746" s="15">
        <v>0.1313</v>
      </c>
    </row>
    <row r="2747" spans="1:9" x14ac:dyDescent="0.2">
      <c r="A2747" s="2" t="s">
        <v>7639</v>
      </c>
      <c r="B2747" s="2" t="s">
        <v>7007</v>
      </c>
      <c r="C2747" s="2" t="s">
        <v>7640</v>
      </c>
      <c r="D2747" s="2" t="s">
        <v>10055</v>
      </c>
    </row>
    <row r="2748" spans="1:9" x14ac:dyDescent="0.2">
      <c r="A2748" s="2" t="s">
        <v>7641</v>
      </c>
      <c r="B2748" s="2" t="s">
        <v>7007</v>
      </c>
      <c r="C2748" s="2" t="s">
        <v>7642</v>
      </c>
      <c r="D2748" s="2" t="s">
        <v>10055</v>
      </c>
      <c r="E2748" s="15">
        <v>0.19089999999999999</v>
      </c>
      <c r="F2748" s="15">
        <v>0.21340000000000001</v>
      </c>
      <c r="G2748" s="15">
        <v>0.17380000000000001</v>
      </c>
      <c r="H2748" s="15">
        <v>0.1686</v>
      </c>
      <c r="I2748" s="15">
        <v>0.46366359576098481</v>
      </c>
    </row>
    <row r="2749" spans="1:9" x14ac:dyDescent="0.2">
      <c r="A2749" s="2" t="s">
        <v>7643</v>
      </c>
      <c r="B2749" s="2" t="s">
        <v>7007</v>
      </c>
      <c r="C2749" s="2" t="s">
        <v>7644</v>
      </c>
      <c r="D2749" s="2" t="s">
        <v>10055</v>
      </c>
      <c r="E2749" s="15">
        <v>9.7100000000000006E-2</v>
      </c>
      <c r="F2749" s="15">
        <v>0.115</v>
      </c>
      <c r="G2749" s="15">
        <v>0.18140000000000001</v>
      </c>
      <c r="H2749" s="15">
        <v>0.114</v>
      </c>
      <c r="I2749" s="15">
        <v>0.26373198778597379</v>
      </c>
    </row>
    <row r="2750" spans="1:9" x14ac:dyDescent="0.2">
      <c r="A2750" s="2" t="s">
        <v>7645</v>
      </c>
      <c r="B2750" s="2" t="s">
        <v>7007</v>
      </c>
      <c r="C2750" s="2" t="s">
        <v>7646</v>
      </c>
      <c r="D2750" s="2" t="s">
        <v>10055</v>
      </c>
      <c r="E2750" s="15">
        <v>-5.33E-2</v>
      </c>
      <c r="F2750" s="15">
        <v>0.25819999999999999</v>
      </c>
    </row>
    <row r="2751" spans="1:9" x14ac:dyDescent="0.2">
      <c r="A2751" s="2" t="s">
        <v>7647</v>
      </c>
      <c r="B2751" s="2" t="s">
        <v>7007</v>
      </c>
      <c r="C2751" s="2" t="s">
        <v>7648</v>
      </c>
      <c r="D2751" s="2" t="s">
        <v>10055</v>
      </c>
      <c r="E2751" s="15">
        <v>0.4486</v>
      </c>
      <c r="F2751" s="15">
        <v>0.45179999999999998</v>
      </c>
      <c r="G2751" s="15">
        <v>8.2299999999999998E-2</v>
      </c>
      <c r="H2751" s="15">
        <v>0.36470000000000002</v>
      </c>
      <c r="I2751" s="15">
        <v>0.18533021930455529</v>
      </c>
    </row>
    <row r="2752" spans="1:9" x14ac:dyDescent="0.2">
      <c r="A2752" s="2" t="s">
        <v>7649</v>
      </c>
      <c r="B2752" s="2" t="s">
        <v>7007</v>
      </c>
      <c r="C2752" s="2" t="s">
        <v>7650</v>
      </c>
      <c r="D2752" s="2" t="s">
        <v>10055</v>
      </c>
      <c r="E2752" s="15">
        <v>6.6100000000000006E-2</v>
      </c>
      <c r="F2752" s="15">
        <v>0.16039999999999999</v>
      </c>
      <c r="G2752" s="15">
        <v>0.12690000000000001</v>
      </c>
      <c r="H2752" s="15">
        <v>0.10440000000000001</v>
      </c>
      <c r="I2752" s="15">
        <v>0.34139523361001228</v>
      </c>
    </row>
    <row r="2753" spans="1:9" x14ac:dyDescent="0.2">
      <c r="A2753" s="2" t="s">
        <v>7651</v>
      </c>
      <c r="B2753" s="2" t="s">
        <v>7007</v>
      </c>
      <c r="C2753" s="2" t="s">
        <v>7652</v>
      </c>
      <c r="D2753" s="2" t="s">
        <v>10055</v>
      </c>
      <c r="G2753" s="15">
        <v>3.2800000000000003E-2</v>
      </c>
      <c r="H2753" s="15">
        <v>0.19869999999999999</v>
      </c>
    </row>
    <row r="2754" spans="1:9" x14ac:dyDescent="0.2">
      <c r="A2754" s="2" t="s">
        <v>7653</v>
      </c>
      <c r="B2754" s="2" t="s">
        <v>7007</v>
      </c>
      <c r="C2754" s="2" t="s">
        <v>7654</v>
      </c>
      <c r="D2754" s="2" t="s">
        <v>10055</v>
      </c>
      <c r="E2754" s="15">
        <v>-0.23</v>
      </c>
      <c r="F2754" s="15">
        <v>0.44219999999999998</v>
      </c>
      <c r="G2754" s="15">
        <v>0.3861</v>
      </c>
      <c r="H2754" s="15">
        <v>1.1032</v>
      </c>
      <c r="I2754" s="15">
        <v>0.28916396572095038</v>
      </c>
    </row>
    <row r="2755" spans="1:9" x14ac:dyDescent="0.2">
      <c r="A2755" s="2" t="s">
        <v>7655</v>
      </c>
      <c r="B2755" s="2" t="s">
        <v>7007</v>
      </c>
      <c r="C2755" s="2" t="s">
        <v>7656</v>
      </c>
      <c r="D2755" s="2" t="s">
        <v>10055</v>
      </c>
      <c r="G2755" s="15">
        <v>-6.4100000000000004E-2</v>
      </c>
      <c r="H2755" s="15">
        <v>0.1066</v>
      </c>
    </row>
    <row r="2756" spans="1:9" x14ac:dyDescent="0.2">
      <c r="A2756" s="2" t="s">
        <v>7657</v>
      </c>
      <c r="B2756" s="2" t="s">
        <v>7007</v>
      </c>
      <c r="C2756" s="2" t="s">
        <v>7658</v>
      </c>
      <c r="D2756" s="2" t="s">
        <v>10055</v>
      </c>
    </row>
    <row r="2757" spans="1:9" x14ac:dyDescent="0.2">
      <c r="A2757" s="2" t="s">
        <v>7659</v>
      </c>
      <c r="B2757" s="2" t="s">
        <v>7007</v>
      </c>
      <c r="C2757" s="2" t="s">
        <v>7660</v>
      </c>
      <c r="D2757" s="2" t="s">
        <v>10055</v>
      </c>
      <c r="E2757" s="15">
        <v>-0.34860000000000002</v>
      </c>
      <c r="F2757" s="15">
        <v>0.3165</v>
      </c>
      <c r="G2757" s="15">
        <v>-0.13059999999999999</v>
      </c>
      <c r="H2757" s="15">
        <v>0.1134</v>
      </c>
      <c r="I2757" s="15">
        <v>4.1259673194361433E-2</v>
      </c>
    </row>
    <row r="2758" spans="1:9" x14ac:dyDescent="0.2">
      <c r="A2758" s="2" t="s">
        <v>7661</v>
      </c>
      <c r="B2758" s="2" t="s">
        <v>7007</v>
      </c>
      <c r="C2758" s="2" t="s">
        <v>7662</v>
      </c>
      <c r="D2758" s="2" t="s">
        <v>10055</v>
      </c>
      <c r="G2758" s="15">
        <v>-1.37E-2</v>
      </c>
      <c r="H2758" s="15">
        <v>0.1183</v>
      </c>
    </row>
    <row r="2759" spans="1:9" x14ac:dyDescent="0.2">
      <c r="A2759" s="2" t="s">
        <v>7663</v>
      </c>
      <c r="B2759" s="2" t="s">
        <v>7007</v>
      </c>
      <c r="C2759" s="2" t="s">
        <v>7664</v>
      </c>
      <c r="D2759" s="2" t="s">
        <v>10055</v>
      </c>
      <c r="E2759" s="15">
        <v>8.14E-2</v>
      </c>
      <c r="F2759" s="15">
        <v>0.16139999999999999</v>
      </c>
    </row>
    <row r="2760" spans="1:9" x14ac:dyDescent="0.2">
      <c r="A2760" s="2" t="s">
        <v>7665</v>
      </c>
      <c r="B2760" s="2" t="s">
        <v>7007</v>
      </c>
      <c r="C2760" s="2" t="s">
        <v>7666</v>
      </c>
      <c r="D2760" s="2" t="s">
        <v>10055</v>
      </c>
      <c r="E2760" s="15">
        <v>-0.20960000000000001</v>
      </c>
      <c r="F2760" s="15">
        <v>0.22969999999999999</v>
      </c>
    </row>
    <row r="2761" spans="1:9" x14ac:dyDescent="0.2">
      <c r="A2761" s="2" t="s">
        <v>7667</v>
      </c>
      <c r="B2761" s="2" t="s">
        <v>7007</v>
      </c>
      <c r="C2761" s="2" t="s">
        <v>7668</v>
      </c>
      <c r="D2761" s="2" t="s">
        <v>10055</v>
      </c>
      <c r="E2761" s="15">
        <v>-7.22E-2</v>
      </c>
      <c r="F2761" s="15">
        <v>0.1227</v>
      </c>
      <c r="G2761" s="15">
        <v>-9.2600000000000002E-2</v>
      </c>
      <c r="H2761" s="15">
        <v>0.2102</v>
      </c>
      <c r="I2761" s="15">
        <v>0.46571797381819829</v>
      </c>
    </row>
    <row r="2762" spans="1:9" x14ac:dyDescent="0.2">
      <c r="A2762" s="2" t="s">
        <v>7669</v>
      </c>
      <c r="B2762" s="2" t="s">
        <v>7007</v>
      </c>
      <c r="C2762" s="2" t="s">
        <v>7670</v>
      </c>
      <c r="D2762" s="2" t="s">
        <v>10055</v>
      </c>
      <c r="E2762" s="15">
        <v>0.21920000000000001</v>
      </c>
      <c r="F2762" s="15">
        <v>0.24629999999999999</v>
      </c>
    </row>
    <row r="2763" spans="1:9" x14ac:dyDescent="0.2">
      <c r="A2763" s="2" t="s">
        <v>7671</v>
      </c>
      <c r="B2763" s="2" t="s">
        <v>7007</v>
      </c>
      <c r="C2763" s="2" t="s">
        <v>7672</v>
      </c>
      <c r="D2763" s="2" t="s">
        <v>10055</v>
      </c>
      <c r="E2763" s="15">
        <v>7.4999999999999997E-3</v>
      </c>
      <c r="F2763" s="15">
        <v>0.13700000000000001</v>
      </c>
      <c r="G2763" s="15">
        <v>0.38940000000000002</v>
      </c>
      <c r="H2763" s="15">
        <v>0.16309999999999999</v>
      </c>
      <c r="I2763" s="15">
        <v>3.043441382022959E-2</v>
      </c>
    </row>
    <row r="2764" spans="1:9" x14ac:dyDescent="0.2">
      <c r="A2764" s="2" t="s">
        <v>7673</v>
      </c>
      <c r="B2764" s="2" t="s">
        <v>7007</v>
      </c>
      <c r="C2764" s="2" t="s">
        <v>7674</v>
      </c>
      <c r="D2764" s="2" t="s">
        <v>10055</v>
      </c>
      <c r="E2764" s="15">
        <v>0.35599999999999998</v>
      </c>
      <c r="F2764" s="15">
        <v>0.90869999999999995</v>
      </c>
      <c r="G2764" s="15">
        <v>-5.1299999999999998E-2</v>
      </c>
      <c r="H2764" s="15">
        <v>0.1159</v>
      </c>
      <c r="I2764" s="15">
        <v>4.1272023699734728E-3</v>
      </c>
    </row>
    <row r="2765" spans="1:9" x14ac:dyDescent="0.2">
      <c r="A2765" s="2" t="s">
        <v>7675</v>
      </c>
      <c r="B2765" s="2" t="s">
        <v>7007</v>
      </c>
      <c r="C2765" s="2" t="s">
        <v>7676</v>
      </c>
      <c r="D2765" s="2" t="s">
        <v>10055</v>
      </c>
      <c r="E2765" s="15">
        <v>0.2505</v>
      </c>
      <c r="F2765" s="15">
        <v>0.1983</v>
      </c>
    </row>
    <row r="2766" spans="1:9" x14ac:dyDescent="0.2">
      <c r="A2766" s="2" t="s">
        <v>7677</v>
      </c>
      <c r="B2766" s="2" t="s">
        <v>7007</v>
      </c>
      <c r="C2766" s="2" t="s">
        <v>7678</v>
      </c>
      <c r="D2766" s="2" t="s">
        <v>10055</v>
      </c>
      <c r="E2766" s="15">
        <v>0.1014</v>
      </c>
      <c r="F2766" s="15">
        <v>0.11840000000000001</v>
      </c>
      <c r="G2766" s="15">
        <v>8.8499999999999995E-2</v>
      </c>
      <c r="H2766" s="15">
        <v>9.6199999999999994E-2</v>
      </c>
      <c r="I2766" s="15">
        <v>0.45555217576649898</v>
      </c>
    </row>
    <row r="2767" spans="1:9" x14ac:dyDescent="0.2">
      <c r="A2767" s="2" t="s">
        <v>7679</v>
      </c>
      <c r="B2767" s="2" t="s">
        <v>7007</v>
      </c>
      <c r="C2767" s="2" t="s">
        <v>7680</v>
      </c>
      <c r="D2767" s="2" t="s">
        <v>10055</v>
      </c>
      <c r="G2767" s="15">
        <v>0.27139999999999997</v>
      </c>
      <c r="H2767" s="15">
        <v>0.1585</v>
      </c>
    </row>
    <row r="2768" spans="1:9" x14ac:dyDescent="0.2">
      <c r="A2768" s="2" t="s">
        <v>7681</v>
      </c>
      <c r="B2768" s="2" t="s">
        <v>7007</v>
      </c>
      <c r="C2768" s="2" t="s">
        <v>7682</v>
      </c>
      <c r="D2768" s="2" t="s">
        <v>10055</v>
      </c>
      <c r="E2768" s="15">
        <v>-3.6499999999999998E-2</v>
      </c>
      <c r="F2768" s="15">
        <v>9.4100000000000003E-2</v>
      </c>
      <c r="G2768" s="15">
        <v>2.5899999999999999E-2</v>
      </c>
      <c r="H2768" s="15">
        <v>0.16869999999999999</v>
      </c>
      <c r="I2768" s="15">
        <v>0.36833464289623319</v>
      </c>
    </row>
    <row r="2769" spans="1:9" x14ac:dyDescent="0.2">
      <c r="A2769" s="2" t="s">
        <v>7683</v>
      </c>
      <c r="B2769" s="2" t="s">
        <v>7007</v>
      </c>
      <c r="C2769" s="2" t="s">
        <v>7684</v>
      </c>
      <c r="D2769" s="2" t="s">
        <v>10055</v>
      </c>
      <c r="E2769" s="15">
        <v>0.2026</v>
      </c>
      <c r="F2769" s="15">
        <v>0.25159999999999999</v>
      </c>
    </row>
    <row r="2770" spans="1:9" x14ac:dyDescent="0.2">
      <c r="A2770" s="2" t="s">
        <v>7685</v>
      </c>
      <c r="B2770" s="2" t="s">
        <v>7007</v>
      </c>
      <c r="C2770" s="2" t="s">
        <v>7686</v>
      </c>
      <c r="D2770" s="2" t="s">
        <v>10055</v>
      </c>
      <c r="E2770" s="15">
        <v>0.23530000000000001</v>
      </c>
      <c r="F2770" s="15">
        <v>0.1638</v>
      </c>
      <c r="G2770" s="15">
        <v>0.45419999999999999</v>
      </c>
      <c r="H2770" s="15">
        <v>0.39860000000000001</v>
      </c>
      <c r="I2770" s="15">
        <v>0.29870038699564089</v>
      </c>
    </row>
    <row r="2771" spans="1:9" x14ac:dyDescent="0.2">
      <c r="A2771" s="2" t="s">
        <v>7687</v>
      </c>
      <c r="B2771" s="2" t="s">
        <v>7007</v>
      </c>
      <c r="C2771" s="2" t="s">
        <v>7688</v>
      </c>
      <c r="D2771" s="2" t="s">
        <v>10055</v>
      </c>
      <c r="G2771" s="15">
        <v>-7.3000000000000001E-3</v>
      </c>
      <c r="H2771" s="15">
        <v>0.2009</v>
      </c>
    </row>
    <row r="2772" spans="1:9" x14ac:dyDescent="0.2">
      <c r="A2772" s="2" t="s">
        <v>7689</v>
      </c>
      <c r="B2772" s="2" t="s">
        <v>7007</v>
      </c>
      <c r="C2772" s="2" t="s">
        <v>7690</v>
      </c>
      <c r="D2772" s="2" t="s">
        <v>10055</v>
      </c>
      <c r="E2772" s="15">
        <v>-0.1263</v>
      </c>
      <c r="F2772" s="15">
        <v>0.16339999999999999</v>
      </c>
      <c r="G2772" s="15">
        <v>-8.0799999999999997E-2</v>
      </c>
      <c r="H2772" s="15">
        <v>0.1515</v>
      </c>
      <c r="I2772" s="15">
        <v>0.39494885208000757</v>
      </c>
    </row>
    <row r="2773" spans="1:9" x14ac:dyDescent="0.2">
      <c r="A2773" s="2" t="s">
        <v>7691</v>
      </c>
      <c r="B2773" s="2" t="s">
        <v>7007</v>
      </c>
      <c r="C2773" s="2" t="s">
        <v>7692</v>
      </c>
      <c r="D2773" s="2" t="s">
        <v>10055</v>
      </c>
      <c r="E2773" s="15">
        <v>3.2099999999999997E-2</v>
      </c>
      <c r="F2773" s="15">
        <v>0.1037</v>
      </c>
      <c r="G2773" s="15">
        <v>-8.5300000000000001E-2</v>
      </c>
      <c r="H2773" s="15">
        <v>0.1137</v>
      </c>
      <c r="I2773" s="15">
        <v>0.1991091181199465</v>
      </c>
    </row>
    <row r="2774" spans="1:9" x14ac:dyDescent="0.2">
      <c r="A2774" s="2" t="s">
        <v>7693</v>
      </c>
      <c r="B2774" s="2" t="s">
        <v>7007</v>
      </c>
      <c r="C2774" s="2" t="s">
        <v>7694</v>
      </c>
      <c r="D2774" s="2" t="s">
        <v>10055</v>
      </c>
      <c r="E2774" s="15">
        <v>0.1678</v>
      </c>
      <c r="F2774" s="15">
        <v>0.30869999999999997</v>
      </c>
      <c r="G2774" s="15">
        <v>4.9099999999999998E-2</v>
      </c>
      <c r="H2774" s="15">
        <v>0.15359999999999999</v>
      </c>
      <c r="I2774" s="15">
        <v>0.26573220750353649</v>
      </c>
    </row>
    <row r="2775" spans="1:9" x14ac:dyDescent="0.2">
      <c r="A2775" s="2" t="s">
        <v>7695</v>
      </c>
      <c r="B2775" s="2" t="s">
        <v>7007</v>
      </c>
      <c r="C2775" s="2" t="s">
        <v>7696</v>
      </c>
      <c r="D2775" s="2" t="s">
        <v>10055</v>
      </c>
      <c r="E2775" s="15">
        <v>-9.4000000000000004E-3</v>
      </c>
      <c r="F2775" s="15">
        <v>0.13</v>
      </c>
      <c r="G2775" s="15">
        <v>9.0700000000000003E-2</v>
      </c>
      <c r="H2775" s="15">
        <v>0.1421</v>
      </c>
      <c r="I2775" s="15">
        <v>0.26280288638210508</v>
      </c>
    </row>
    <row r="2776" spans="1:9" x14ac:dyDescent="0.2">
      <c r="A2776" s="2" t="s">
        <v>7697</v>
      </c>
      <c r="B2776" s="2" t="s">
        <v>7007</v>
      </c>
      <c r="C2776" s="2" t="s">
        <v>7698</v>
      </c>
      <c r="D2776" s="2" t="s">
        <v>10055</v>
      </c>
      <c r="E2776" s="15">
        <v>0.20599999999999999</v>
      </c>
      <c r="F2776" s="15">
        <v>0.13350000000000001</v>
      </c>
      <c r="G2776" s="15">
        <v>0.20569999999999999</v>
      </c>
      <c r="H2776" s="15">
        <v>0.2626</v>
      </c>
      <c r="I2776" s="15">
        <v>0.49957675939745699</v>
      </c>
    </row>
    <row r="2777" spans="1:9" x14ac:dyDescent="0.2">
      <c r="A2777" s="2" t="s">
        <v>7699</v>
      </c>
      <c r="B2777" s="2" t="s">
        <v>7007</v>
      </c>
      <c r="C2777" s="2" t="s">
        <v>7700</v>
      </c>
      <c r="D2777" s="2" t="s">
        <v>10055</v>
      </c>
      <c r="E2777" s="15">
        <v>-2.07E-2</v>
      </c>
      <c r="F2777" s="15">
        <v>0.1057</v>
      </c>
      <c r="G2777" s="15">
        <v>0.18540000000000001</v>
      </c>
      <c r="H2777" s="15">
        <v>0.16800000000000001</v>
      </c>
      <c r="I2777" s="15">
        <v>0.13200060002674269</v>
      </c>
    </row>
    <row r="2778" spans="1:9" x14ac:dyDescent="0.2">
      <c r="A2778" s="2" t="s">
        <v>7701</v>
      </c>
      <c r="B2778" s="2" t="s">
        <v>7007</v>
      </c>
      <c r="C2778" s="2" t="s">
        <v>7702</v>
      </c>
      <c r="D2778" s="2" t="s">
        <v>10055</v>
      </c>
      <c r="E2778" s="15">
        <v>2E-3</v>
      </c>
      <c r="F2778" s="15">
        <v>0.1827</v>
      </c>
    </row>
    <row r="2779" spans="1:9" x14ac:dyDescent="0.2">
      <c r="A2779" s="2" t="s">
        <v>7703</v>
      </c>
      <c r="B2779" s="2" t="s">
        <v>7007</v>
      </c>
      <c r="C2779" s="2" t="s">
        <v>7704</v>
      </c>
      <c r="D2779" s="2" t="s">
        <v>10055</v>
      </c>
      <c r="E2779" s="15">
        <v>0.26569999999999999</v>
      </c>
      <c r="F2779" s="15">
        <v>0.36030000000000001</v>
      </c>
      <c r="G2779" s="15">
        <v>1.9800000000000002E-2</v>
      </c>
      <c r="H2779" s="15">
        <v>0.1183</v>
      </c>
      <c r="I2779" s="15">
        <v>4.8624624235306953E-2</v>
      </c>
    </row>
    <row r="2780" spans="1:9" x14ac:dyDescent="0.2">
      <c r="A2780" s="2" t="s">
        <v>7705</v>
      </c>
      <c r="B2780" s="2" t="s">
        <v>7007</v>
      </c>
      <c r="C2780" s="2" t="s">
        <v>7706</v>
      </c>
      <c r="D2780" s="2" t="s">
        <v>10055</v>
      </c>
      <c r="E2780" s="15">
        <v>7.9600000000000004E-2</v>
      </c>
      <c r="F2780" s="15">
        <v>0.13200000000000001</v>
      </c>
    </row>
    <row r="2781" spans="1:9" x14ac:dyDescent="0.2">
      <c r="A2781" s="2" t="s">
        <v>7707</v>
      </c>
      <c r="B2781" s="2" t="s">
        <v>7007</v>
      </c>
      <c r="C2781" s="2" t="s">
        <v>7708</v>
      </c>
      <c r="D2781" s="2" t="s">
        <v>10055</v>
      </c>
      <c r="E2781" s="15">
        <v>-0.1076</v>
      </c>
      <c r="F2781" s="15">
        <v>9.0300000000000005E-2</v>
      </c>
      <c r="G2781" s="15">
        <v>0.1192</v>
      </c>
      <c r="H2781" s="15">
        <v>0.16470000000000001</v>
      </c>
      <c r="I2781" s="15">
        <v>0.10990817977211351</v>
      </c>
    </row>
    <row r="2782" spans="1:9" x14ac:dyDescent="0.2">
      <c r="A2782" s="2" t="s">
        <v>7709</v>
      </c>
      <c r="B2782" s="2" t="s">
        <v>7007</v>
      </c>
      <c r="C2782" s="2" t="s">
        <v>7710</v>
      </c>
      <c r="D2782" s="2" t="s">
        <v>10055</v>
      </c>
    </row>
    <row r="2783" spans="1:9" x14ac:dyDescent="0.2">
      <c r="A2783" s="2" t="s">
        <v>7711</v>
      </c>
      <c r="B2783" s="2" t="s">
        <v>7007</v>
      </c>
      <c r="C2783" s="2" t="s">
        <v>7712</v>
      </c>
      <c r="D2783" s="2" t="s">
        <v>10055</v>
      </c>
      <c r="E2783" s="15">
        <v>-0.25259999999999999</v>
      </c>
      <c r="F2783" s="15">
        <v>0.1351</v>
      </c>
      <c r="G2783" s="15">
        <v>0.15870000000000001</v>
      </c>
      <c r="H2783" s="15">
        <v>0.1229</v>
      </c>
      <c r="I2783" s="15">
        <v>2.3141216273323741E-3</v>
      </c>
    </row>
    <row r="2784" spans="1:9" x14ac:dyDescent="0.2">
      <c r="A2784" s="2" t="s">
        <v>7713</v>
      </c>
      <c r="B2784" s="2" t="s">
        <v>7007</v>
      </c>
      <c r="C2784" s="2" t="s">
        <v>7714</v>
      </c>
      <c r="D2784" s="2" t="s">
        <v>10055</v>
      </c>
      <c r="E2784" s="15">
        <v>-0.30659999999999998</v>
      </c>
      <c r="F2784" s="15">
        <v>0.67230000000000001</v>
      </c>
    </row>
    <row r="2785" spans="1:9" x14ac:dyDescent="0.2">
      <c r="A2785" s="2" t="s">
        <v>7715</v>
      </c>
      <c r="B2785" s="2" t="s">
        <v>7007</v>
      </c>
      <c r="C2785" s="2" t="s">
        <v>7716</v>
      </c>
      <c r="D2785" s="2" t="s">
        <v>10055</v>
      </c>
    </row>
    <row r="2786" spans="1:9" x14ac:dyDescent="0.2">
      <c r="A2786" s="2" t="s">
        <v>7717</v>
      </c>
      <c r="B2786" s="2" t="s">
        <v>7007</v>
      </c>
      <c r="C2786" s="2" t="s">
        <v>7718</v>
      </c>
      <c r="D2786" s="2" t="s">
        <v>10055</v>
      </c>
      <c r="E2786" s="15">
        <v>-2.18E-2</v>
      </c>
      <c r="F2786" s="15">
        <v>0.1108</v>
      </c>
      <c r="G2786" s="15">
        <v>0.27979999999999999</v>
      </c>
      <c r="H2786" s="15">
        <v>0.17249999999999999</v>
      </c>
      <c r="I2786" s="15">
        <v>6.6904964341000114E-2</v>
      </c>
    </row>
    <row r="2787" spans="1:9" x14ac:dyDescent="0.2">
      <c r="A2787" s="2" t="s">
        <v>7719</v>
      </c>
      <c r="B2787" s="2" t="s">
        <v>7007</v>
      </c>
      <c r="C2787" s="2" t="s">
        <v>7720</v>
      </c>
      <c r="D2787" s="2" t="s">
        <v>10055</v>
      </c>
      <c r="E2787" s="15">
        <v>-0.1739</v>
      </c>
      <c r="F2787" s="15">
        <v>0.153</v>
      </c>
      <c r="G2787" s="15">
        <v>-0.16869999999999999</v>
      </c>
      <c r="H2787" s="15">
        <v>0.30380000000000001</v>
      </c>
      <c r="I2787" s="15">
        <v>0.49385905908627692</v>
      </c>
    </row>
    <row r="2788" spans="1:9" x14ac:dyDescent="0.2">
      <c r="A2788" s="2" t="s">
        <v>7721</v>
      </c>
      <c r="B2788" s="2" t="s">
        <v>7007</v>
      </c>
      <c r="C2788" s="2" t="s">
        <v>7722</v>
      </c>
      <c r="D2788" s="2" t="s">
        <v>10055</v>
      </c>
      <c r="E2788" s="15">
        <v>0.17979999999999999</v>
      </c>
      <c r="F2788" s="15">
        <v>0.21240000000000001</v>
      </c>
      <c r="G2788" s="15">
        <v>1.77E-2</v>
      </c>
      <c r="H2788" s="15">
        <v>0.10580000000000001</v>
      </c>
      <c r="I2788" s="15">
        <v>0.1094750669062577</v>
      </c>
    </row>
    <row r="2789" spans="1:9" x14ac:dyDescent="0.2">
      <c r="A2789" s="2" t="s">
        <v>7723</v>
      </c>
      <c r="B2789" s="2" t="s">
        <v>7007</v>
      </c>
      <c r="C2789" s="2" t="s">
        <v>7724</v>
      </c>
      <c r="D2789" s="2" t="s">
        <v>10055</v>
      </c>
      <c r="E2789" s="15">
        <v>-0.18379999999999999</v>
      </c>
      <c r="F2789" s="15">
        <v>0.28260000000000002</v>
      </c>
      <c r="G2789" s="15">
        <v>-0.2616</v>
      </c>
      <c r="H2789" s="15">
        <v>0.78339999999999999</v>
      </c>
    </row>
    <row r="2790" spans="1:9" x14ac:dyDescent="0.2">
      <c r="A2790" s="2" t="s">
        <v>7725</v>
      </c>
      <c r="B2790" s="2" t="s">
        <v>7007</v>
      </c>
      <c r="C2790" s="2" t="s">
        <v>7726</v>
      </c>
      <c r="D2790" s="2" t="s">
        <v>10055</v>
      </c>
      <c r="E2790" s="15">
        <v>0.12889999999999999</v>
      </c>
      <c r="F2790" s="15">
        <v>7.9200000000000007E-2</v>
      </c>
      <c r="G2790" s="15">
        <v>-0.14829999999999999</v>
      </c>
      <c r="H2790" s="15">
        <v>0.214</v>
      </c>
      <c r="I2790" s="15">
        <v>0.1078355089110043</v>
      </c>
    </row>
    <row r="2791" spans="1:9" x14ac:dyDescent="0.2">
      <c r="A2791" s="2" t="s">
        <v>7727</v>
      </c>
      <c r="B2791" s="2" t="s">
        <v>7007</v>
      </c>
      <c r="C2791" s="2" t="s">
        <v>7728</v>
      </c>
      <c r="D2791" s="2" t="s">
        <v>10055</v>
      </c>
      <c r="E2791" s="15">
        <v>-4.8099999999999997E-2</v>
      </c>
      <c r="F2791" s="15">
        <v>0.1113</v>
      </c>
    </row>
    <row r="2792" spans="1:9" x14ac:dyDescent="0.2">
      <c r="A2792" s="2" t="s">
        <v>7729</v>
      </c>
      <c r="B2792" s="2" t="s">
        <v>7007</v>
      </c>
      <c r="C2792" s="2" t="s">
        <v>7730</v>
      </c>
      <c r="D2792" s="2" t="s">
        <v>10055</v>
      </c>
      <c r="E2792" s="15">
        <v>-9.69E-2</v>
      </c>
      <c r="F2792" s="15">
        <v>0.34399999999999997</v>
      </c>
      <c r="G2792" s="15">
        <v>-0.12280000000000001</v>
      </c>
      <c r="H2792" s="15">
        <v>0.17</v>
      </c>
      <c r="I2792" s="15">
        <v>0.44465476480567911</v>
      </c>
    </row>
    <row r="2793" spans="1:9" x14ac:dyDescent="0.2">
      <c r="A2793" s="2" t="s">
        <v>7731</v>
      </c>
      <c r="B2793" s="2" t="s">
        <v>7007</v>
      </c>
      <c r="C2793" s="2" t="s">
        <v>7732</v>
      </c>
      <c r="D2793" s="2" t="s">
        <v>10055</v>
      </c>
      <c r="E2793" s="15">
        <v>-0.23949999999999999</v>
      </c>
      <c r="F2793" s="15">
        <v>0.25080000000000002</v>
      </c>
      <c r="G2793" s="15">
        <v>0.2069</v>
      </c>
      <c r="H2793" s="15">
        <v>0.2084</v>
      </c>
      <c r="I2793" s="15">
        <v>2.2455279634999652E-2</v>
      </c>
    </row>
    <row r="2794" spans="1:9" x14ac:dyDescent="0.2">
      <c r="A2794" s="2" t="s">
        <v>7733</v>
      </c>
      <c r="B2794" s="2" t="s">
        <v>7007</v>
      </c>
      <c r="C2794" s="2" t="s">
        <v>7734</v>
      </c>
      <c r="D2794" s="2" t="s">
        <v>10055</v>
      </c>
      <c r="E2794" s="15">
        <v>-0.3322</v>
      </c>
      <c r="F2794" s="15">
        <v>0.27810000000000001</v>
      </c>
      <c r="G2794" s="15">
        <v>-0.05</v>
      </c>
      <c r="H2794" s="15">
        <v>0.1133</v>
      </c>
      <c r="I2794" s="15">
        <v>1.8672305293322259E-2</v>
      </c>
    </row>
    <row r="2795" spans="1:9" x14ac:dyDescent="0.2">
      <c r="A2795" s="2" t="s">
        <v>7735</v>
      </c>
      <c r="B2795" s="2" t="s">
        <v>7007</v>
      </c>
      <c r="C2795" s="2" t="s">
        <v>7736</v>
      </c>
      <c r="D2795" s="2" t="s">
        <v>10055</v>
      </c>
      <c r="E2795" s="15">
        <v>3.8800000000000001E-2</v>
      </c>
      <c r="F2795" s="15">
        <v>0.1759</v>
      </c>
      <c r="G2795" s="15">
        <v>3.3799999999999997E-2</v>
      </c>
      <c r="H2795" s="15">
        <v>0.16739999999999999</v>
      </c>
      <c r="I2795" s="15">
        <v>0.48986869299204699</v>
      </c>
    </row>
    <row r="2796" spans="1:9" x14ac:dyDescent="0.2">
      <c r="A2796" s="2" t="s">
        <v>7737</v>
      </c>
      <c r="B2796" s="2" t="s">
        <v>7007</v>
      </c>
      <c r="C2796" s="2" t="s">
        <v>7738</v>
      </c>
      <c r="D2796" s="2" t="s">
        <v>10055</v>
      </c>
      <c r="G2796" s="15">
        <v>-0.1229</v>
      </c>
      <c r="H2796" s="15">
        <v>0.13639999999999999</v>
      </c>
    </row>
    <row r="2797" spans="1:9" x14ac:dyDescent="0.2">
      <c r="A2797" s="2" t="s">
        <v>7739</v>
      </c>
      <c r="B2797" s="2" t="s">
        <v>7007</v>
      </c>
      <c r="C2797" s="2" t="s">
        <v>7740</v>
      </c>
      <c r="D2797" s="2" t="s">
        <v>10055</v>
      </c>
      <c r="E2797" s="15">
        <v>-2.1299999999999999E-2</v>
      </c>
      <c r="F2797" s="15">
        <v>0.1067</v>
      </c>
      <c r="G2797" s="15">
        <v>0.127</v>
      </c>
      <c r="H2797" s="15">
        <v>0.23710000000000001</v>
      </c>
    </row>
    <row r="2798" spans="1:9" x14ac:dyDescent="0.2">
      <c r="A2798" s="2" t="s">
        <v>7741</v>
      </c>
      <c r="B2798" s="2" t="s">
        <v>7007</v>
      </c>
      <c r="C2798" s="2" t="s">
        <v>7742</v>
      </c>
      <c r="D2798" s="2" t="s">
        <v>10055</v>
      </c>
      <c r="E2798" s="15">
        <v>-0.18129999999999999</v>
      </c>
      <c r="F2798" s="15">
        <v>0.15720000000000001</v>
      </c>
      <c r="G2798" s="15">
        <v>4.2200000000000001E-2</v>
      </c>
      <c r="H2798" s="15">
        <v>0.14000000000000001</v>
      </c>
      <c r="I2798" s="15">
        <v>8.6528902617672779E-2</v>
      </c>
    </row>
    <row r="2799" spans="1:9" x14ac:dyDescent="0.2">
      <c r="A2799" s="2" t="s">
        <v>7743</v>
      </c>
      <c r="B2799" s="2" t="s">
        <v>7007</v>
      </c>
      <c r="C2799" s="2" t="s">
        <v>7744</v>
      </c>
      <c r="D2799" s="2" t="s">
        <v>10055</v>
      </c>
      <c r="E2799" s="15">
        <v>-4.0300000000000002E-2</v>
      </c>
      <c r="F2799" s="15">
        <v>0.15840000000000001</v>
      </c>
      <c r="G2799" s="15">
        <v>0.1918</v>
      </c>
      <c r="H2799" s="15">
        <v>0.3901</v>
      </c>
      <c r="I2799" s="15">
        <v>0.28651820280433921</v>
      </c>
    </row>
    <row r="2800" spans="1:9" x14ac:dyDescent="0.2">
      <c r="A2800" s="2" t="s">
        <v>7745</v>
      </c>
      <c r="B2800" s="2" t="s">
        <v>7007</v>
      </c>
      <c r="C2800" s="2" t="s">
        <v>7746</v>
      </c>
      <c r="D2800" s="2" t="s">
        <v>10055</v>
      </c>
      <c r="E2800" s="15">
        <v>-8.6699999999999999E-2</v>
      </c>
      <c r="F2800" s="15">
        <v>0.12920000000000001</v>
      </c>
      <c r="G2800" s="15">
        <v>0.1338</v>
      </c>
      <c r="H2800" s="15">
        <v>0.1207</v>
      </c>
      <c r="I2800" s="15">
        <v>5.7475072786660503E-2</v>
      </c>
    </row>
    <row r="2801" spans="1:9" x14ac:dyDescent="0.2">
      <c r="A2801" s="2" t="s">
        <v>7747</v>
      </c>
      <c r="B2801" s="2" t="s">
        <v>7007</v>
      </c>
      <c r="C2801" s="2" t="s">
        <v>7748</v>
      </c>
      <c r="D2801" s="2" t="s">
        <v>10055</v>
      </c>
      <c r="E2801" s="15">
        <v>-0.14749999999999999</v>
      </c>
      <c r="F2801" s="15">
        <v>0.20180000000000001</v>
      </c>
      <c r="G2801" s="15">
        <v>2.3599999999999999E-2</v>
      </c>
      <c r="H2801" s="15">
        <v>0.17630000000000001</v>
      </c>
      <c r="I2801" s="15">
        <v>0.20372076497319891</v>
      </c>
    </row>
    <row r="2802" spans="1:9" x14ac:dyDescent="0.2">
      <c r="A2802" s="2" t="s">
        <v>7749</v>
      </c>
      <c r="B2802" s="2" t="s">
        <v>7007</v>
      </c>
      <c r="C2802" s="2" t="s">
        <v>7750</v>
      </c>
      <c r="D2802" s="2" t="s">
        <v>10055</v>
      </c>
      <c r="E2802" s="15">
        <v>6.3E-3</v>
      </c>
      <c r="F2802" s="15">
        <v>0.11940000000000001</v>
      </c>
      <c r="G2802" s="15">
        <v>-2.76E-2</v>
      </c>
      <c r="H2802" s="15">
        <v>0.1134</v>
      </c>
      <c r="I2802" s="15">
        <v>0.39340485005698289</v>
      </c>
    </row>
    <row r="2803" spans="1:9" x14ac:dyDescent="0.2">
      <c r="A2803" s="2" t="s">
        <v>7751</v>
      </c>
      <c r="B2803" s="2" t="s">
        <v>7007</v>
      </c>
      <c r="C2803" s="2" t="s">
        <v>7752</v>
      </c>
      <c r="D2803" s="2" t="s">
        <v>10055</v>
      </c>
      <c r="E2803" s="15">
        <v>-1.3299999999999999E-2</v>
      </c>
      <c r="F2803" s="15">
        <v>0.20960000000000001</v>
      </c>
      <c r="G2803" s="15">
        <v>0.2283</v>
      </c>
      <c r="H2803" s="15">
        <v>0.16059999999999999</v>
      </c>
      <c r="I2803" s="15">
        <v>8.9171524251421982E-2</v>
      </c>
    </row>
    <row r="2804" spans="1:9" x14ac:dyDescent="0.2">
      <c r="A2804" s="2" t="s">
        <v>7753</v>
      </c>
      <c r="B2804" s="2" t="s">
        <v>7007</v>
      </c>
      <c r="C2804" s="2" t="s">
        <v>7754</v>
      </c>
      <c r="D2804" s="2" t="s">
        <v>10055</v>
      </c>
      <c r="E2804" s="15">
        <v>0.19520000000000001</v>
      </c>
      <c r="F2804" s="15">
        <v>0.15329999999999999</v>
      </c>
      <c r="G2804" s="15">
        <v>-0.14280000000000001</v>
      </c>
      <c r="H2804" s="15">
        <v>0.16450000000000001</v>
      </c>
      <c r="I2804" s="15">
        <v>3.5837319632957207E-2</v>
      </c>
    </row>
    <row r="2805" spans="1:9" x14ac:dyDescent="0.2">
      <c r="A2805" s="2" t="s">
        <v>7755</v>
      </c>
      <c r="B2805" s="2" t="s">
        <v>7007</v>
      </c>
      <c r="C2805" s="2" t="s">
        <v>7756</v>
      </c>
      <c r="D2805" s="2" t="s">
        <v>10055</v>
      </c>
      <c r="E2805" s="15">
        <v>-5.1400000000000001E-2</v>
      </c>
      <c r="F2805" s="15">
        <v>0.12809999999999999</v>
      </c>
    </row>
    <row r="2806" spans="1:9" x14ac:dyDescent="0.2">
      <c r="A2806" s="2" t="s">
        <v>7757</v>
      </c>
      <c r="B2806" s="2" t="s">
        <v>7007</v>
      </c>
      <c r="C2806" s="2" t="s">
        <v>7758</v>
      </c>
      <c r="D2806" s="2" t="s">
        <v>10055</v>
      </c>
      <c r="E2806" s="15">
        <v>0.27010000000000001</v>
      </c>
      <c r="F2806" s="15">
        <v>0.23119999999999999</v>
      </c>
      <c r="G2806" s="15">
        <v>8.5099999999999995E-2</v>
      </c>
      <c r="H2806" s="15">
        <v>0.10290000000000001</v>
      </c>
      <c r="I2806" s="15">
        <v>6.6382497527264106E-2</v>
      </c>
    </row>
    <row r="2807" spans="1:9" x14ac:dyDescent="0.2">
      <c r="A2807" s="2" t="s">
        <v>7759</v>
      </c>
      <c r="B2807" s="2" t="s">
        <v>7007</v>
      </c>
      <c r="C2807" s="2" t="s">
        <v>7760</v>
      </c>
      <c r="D2807" s="2" t="s">
        <v>10055</v>
      </c>
    </row>
    <row r="2808" spans="1:9" x14ac:dyDescent="0.2">
      <c r="A2808" s="2" t="s">
        <v>7761</v>
      </c>
      <c r="B2808" s="2" t="s">
        <v>7007</v>
      </c>
      <c r="C2808" s="2" t="s">
        <v>7762</v>
      </c>
      <c r="D2808" s="2" t="s">
        <v>10055</v>
      </c>
      <c r="E2808" s="15">
        <v>0.2681</v>
      </c>
      <c r="F2808" s="15">
        <v>0.2223</v>
      </c>
      <c r="G2808" s="15">
        <v>3.6999999999999998E-2</v>
      </c>
      <c r="H2808" s="15">
        <v>0.13150000000000001</v>
      </c>
      <c r="I2808" s="15">
        <v>7.6549427020011981E-2</v>
      </c>
    </row>
    <row r="2809" spans="1:9" x14ac:dyDescent="0.2">
      <c r="A2809" s="2" t="s">
        <v>7763</v>
      </c>
      <c r="B2809" s="2" t="s">
        <v>7007</v>
      </c>
      <c r="C2809" s="2" t="s">
        <v>7764</v>
      </c>
      <c r="D2809" s="2" t="s">
        <v>10055</v>
      </c>
      <c r="E2809" s="15">
        <v>-0.17299999999999999</v>
      </c>
      <c r="F2809" s="15">
        <v>0.31330000000000002</v>
      </c>
      <c r="G2809" s="15">
        <v>-0.18210000000000001</v>
      </c>
      <c r="H2809" s="15">
        <v>0.12509999999999999</v>
      </c>
      <c r="I2809" s="15">
        <v>0.48120666979647669</v>
      </c>
    </row>
    <row r="2810" spans="1:9" x14ac:dyDescent="0.2">
      <c r="A2810" s="2" t="s">
        <v>7765</v>
      </c>
      <c r="B2810" s="2" t="s">
        <v>7007</v>
      </c>
      <c r="C2810" s="2" t="s">
        <v>7766</v>
      </c>
      <c r="D2810" s="2" t="s">
        <v>10055</v>
      </c>
      <c r="E2810" s="15">
        <v>8.5500000000000007E-2</v>
      </c>
      <c r="F2810" s="15">
        <v>0.11459999999999999</v>
      </c>
      <c r="G2810" s="15">
        <v>3.2500000000000001E-2</v>
      </c>
      <c r="H2810" s="15">
        <v>0.1085</v>
      </c>
      <c r="I2810" s="15">
        <v>0.33182234787781212</v>
      </c>
    </row>
    <row r="2811" spans="1:9" x14ac:dyDescent="0.2">
      <c r="A2811" s="2" t="s">
        <v>7767</v>
      </c>
      <c r="B2811" s="2" t="s">
        <v>7007</v>
      </c>
      <c r="C2811" s="2" t="s">
        <v>7768</v>
      </c>
      <c r="D2811" s="2" t="s">
        <v>10055</v>
      </c>
      <c r="E2811" s="15">
        <v>-0.24379999999999999</v>
      </c>
      <c r="F2811" s="15">
        <v>0.28660000000000002</v>
      </c>
      <c r="G2811" s="15">
        <v>-0.14580000000000001</v>
      </c>
      <c r="H2811" s="15">
        <v>0.27689999999999998</v>
      </c>
      <c r="I2811" s="15">
        <v>0.37103292802814308</v>
      </c>
    </row>
    <row r="2812" spans="1:9" x14ac:dyDescent="0.2">
      <c r="A2812" s="2" t="s">
        <v>7769</v>
      </c>
      <c r="B2812" s="2" t="s">
        <v>7007</v>
      </c>
      <c r="C2812" s="2" t="s">
        <v>7770</v>
      </c>
      <c r="D2812" s="2" t="s">
        <v>10055</v>
      </c>
      <c r="G2812" s="15">
        <v>-4.3900000000000002E-2</v>
      </c>
      <c r="H2812" s="15">
        <v>8.8999999999999996E-2</v>
      </c>
    </row>
    <row r="2813" spans="1:9" x14ac:dyDescent="0.2">
      <c r="A2813" s="2" t="s">
        <v>7771</v>
      </c>
      <c r="B2813" s="2" t="s">
        <v>7007</v>
      </c>
      <c r="C2813" s="2" t="s">
        <v>7772</v>
      </c>
      <c r="D2813" s="2" t="s">
        <v>10055</v>
      </c>
      <c r="E2813" s="15">
        <v>-4.9000000000000002E-2</v>
      </c>
      <c r="F2813" s="15">
        <v>0.1017</v>
      </c>
      <c r="G2813" s="15">
        <v>-0.1232</v>
      </c>
      <c r="H2813" s="15">
        <v>7.3300000000000004E-2</v>
      </c>
      <c r="I2813" s="15">
        <v>0.21242175776575539</v>
      </c>
    </row>
    <row r="2814" spans="1:9" x14ac:dyDescent="0.2">
      <c r="A2814" s="2" t="s">
        <v>7773</v>
      </c>
      <c r="B2814" s="2" t="s">
        <v>7007</v>
      </c>
      <c r="C2814" s="2" t="s">
        <v>7774</v>
      </c>
      <c r="D2814" s="2" t="s">
        <v>10055</v>
      </c>
    </row>
    <row r="2815" spans="1:9" x14ac:dyDescent="0.2">
      <c r="A2815" s="2" t="s">
        <v>7775</v>
      </c>
      <c r="B2815" s="2" t="s">
        <v>7007</v>
      </c>
      <c r="C2815" s="2" t="s">
        <v>7776</v>
      </c>
      <c r="D2815" s="2" t="s">
        <v>10055</v>
      </c>
      <c r="E2815" s="15">
        <v>-6.9000000000000006E-2</v>
      </c>
      <c r="F2815" s="15">
        <v>0.15140000000000001</v>
      </c>
      <c r="G2815" s="15">
        <v>-0.16789999999999999</v>
      </c>
      <c r="H2815" s="15">
        <v>0.1421</v>
      </c>
      <c r="I2815" s="15">
        <v>0.26023374625538881</v>
      </c>
    </row>
    <row r="2816" spans="1:9" x14ac:dyDescent="0.2">
      <c r="A2816" s="2" t="s">
        <v>7777</v>
      </c>
      <c r="B2816" s="2" t="s">
        <v>7007</v>
      </c>
      <c r="C2816" s="2" t="s">
        <v>7778</v>
      </c>
      <c r="D2816" s="2" t="s">
        <v>10055</v>
      </c>
      <c r="E2816" s="15">
        <v>0.1051</v>
      </c>
      <c r="F2816" s="15">
        <v>0.13639999999999999</v>
      </c>
    </row>
    <row r="2817" spans="1:9" x14ac:dyDescent="0.2">
      <c r="A2817" s="2" t="s">
        <v>7779</v>
      </c>
      <c r="B2817" s="2" t="s">
        <v>7007</v>
      </c>
      <c r="C2817" s="2" t="s">
        <v>7780</v>
      </c>
      <c r="D2817" s="2" t="s">
        <v>10055</v>
      </c>
      <c r="E2817" s="15">
        <v>-0.18870000000000001</v>
      </c>
      <c r="F2817" s="15">
        <v>9.6000000000000002E-2</v>
      </c>
      <c r="G2817" s="15">
        <v>7.4000000000000003E-3</v>
      </c>
      <c r="H2817" s="15">
        <v>8.5500000000000007E-2</v>
      </c>
      <c r="I2817" s="15">
        <v>1.8373136695243378E-2</v>
      </c>
    </row>
    <row r="2818" spans="1:9" x14ac:dyDescent="0.2">
      <c r="A2818" s="2" t="s">
        <v>7781</v>
      </c>
      <c r="B2818" s="2" t="s">
        <v>7007</v>
      </c>
      <c r="C2818" s="2" t="s">
        <v>7782</v>
      </c>
      <c r="D2818" s="2" t="s">
        <v>10055</v>
      </c>
      <c r="E2818" s="15">
        <v>5.7799999999999997E-2</v>
      </c>
      <c r="F2818" s="15">
        <v>0.1507</v>
      </c>
      <c r="G2818" s="15">
        <v>-7.2499999999999995E-2</v>
      </c>
      <c r="H2818" s="15">
        <v>8.6300000000000002E-2</v>
      </c>
      <c r="I2818" s="15">
        <v>0.10917570788223981</v>
      </c>
    </row>
    <row r="2819" spans="1:9" x14ac:dyDescent="0.2">
      <c r="A2819" s="2" t="s">
        <v>7783</v>
      </c>
      <c r="B2819" s="2" t="s">
        <v>7007</v>
      </c>
      <c r="C2819" s="2" t="s">
        <v>7784</v>
      </c>
      <c r="D2819" s="2" t="s">
        <v>10055</v>
      </c>
      <c r="G2819" s="15">
        <v>5.4399999999999997E-2</v>
      </c>
      <c r="H2819" s="15">
        <v>9.7000000000000003E-2</v>
      </c>
    </row>
    <row r="2820" spans="1:9" x14ac:dyDescent="0.2">
      <c r="A2820" s="2" t="s">
        <v>7785</v>
      </c>
      <c r="B2820" s="2" t="s">
        <v>7007</v>
      </c>
      <c r="C2820" s="2" t="s">
        <v>7786</v>
      </c>
      <c r="D2820" s="2" t="s">
        <v>10055</v>
      </c>
      <c r="E2820" s="15">
        <v>-8.3999999999999995E-3</v>
      </c>
      <c r="F2820" s="15">
        <v>0.1139</v>
      </c>
      <c r="G2820" s="15">
        <v>-0.15160000000000001</v>
      </c>
      <c r="H2820" s="15">
        <v>0.10680000000000001</v>
      </c>
      <c r="I2820" s="15">
        <v>0.1180613010944556</v>
      </c>
    </row>
    <row r="2821" spans="1:9" x14ac:dyDescent="0.2">
      <c r="A2821" s="2" t="s">
        <v>7787</v>
      </c>
      <c r="B2821" s="2" t="s">
        <v>7007</v>
      </c>
      <c r="C2821" s="2" t="s">
        <v>7788</v>
      </c>
      <c r="D2821" s="2" t="s">
        <v>10055</v>
      </c>
      <c r="E2821" s="15">
        <v>-0.1009</v>
      </c>
      <c r="F2821" s="15">
        <v>9.1200000000000003E-2</v>
      </c>
      <c r="G2821" s="15">
        <v>5.4199999999999998E-2</v>
      </c>
      <c r="H2821" s="15">
        <v>0.10680000000000001</v>
      </c>
      <c r="I2821" s="15">
        <v>9.8419812151054539E-2</v>
      </c>
    </row>
    <row r="2822" spans="1:9" x14ac:dyDescent="0.2">
      <c r="A2822" s="2" t="s">
        <v>7789</v>
      </c>
      <c r="B2822" s="2" t="s">
        <v>7007</v>
      </c>
      <c r="C2822" s="2" t="s">
        <v>7790</v>
      </c>
      <c r="D2822" s="2" t="s">
        <v>10055</v>
      </c>
      <c r="E2822" s="15">
        <v>0.1245</v>
      </c>
      <c r="F2822" s="15">
        <v>0.12509999999999999</v>
      </c>
    </row>
    <row r="2823" spans="1:9" x14ac:dyDescent="0.2">
      <c r="A2823" s="2" t="s">
        <v>7791</v>
      </c>
      <c r="B2823" s="2" t="s">
        <v>7007</v>
      </c>
      <c r="C2823" s="2" t="s">
        <v>7792</v>
      </c>
      <c r="D2823" s="2" t="s">
        <v>10055</v>
      </c>
      <c r="G2823" s="15">
        <v>-0.1895</v>
      </c>
      <c r="H2823" s="15">
        <v>0.13170000000000001</v>
      </c>
    </row>
    <row r="2824" spans="1:9" x14ac:dyDescent="0.2">
      <c r="A2824" s="2" t="s">
        <v>7793</v>
      </c>
      <c r="B2824" s="2" t="s">
        <v>7007</v>
      </c>
      <c r="C2824" s="2" t="s">
        <v>7794</v>
      </c>
      <c r="D2824" s="2" t="s">
        <v>10055</v>
      </c>
      <c r="E2824" s="15">
        <v>6.4100000000000004E-2</v>
      </c>
      <c r="F2824" s="15">
        <v>0.2195</v>
      </c>
      <c r="G2824" s="15">
        <v>5.21E-2</v>
      </c>
      <c r="H2824" s="15">
        <v>0.19520000000000001</v>
      </c>
      <c r="I2824" s="15">
        <v>0.48005484265748699</v>
      </c>
    </row>
    <row r="2825" spans="1:9" x14ac:dyDescent="0.2">
      <c r="A2825" s="2" t="s">
        <v>7795</v>
      </c>
      <c r="B2825" s="2" t="s">
        <v>7007</v>
      </c>
      <c r="C2825" s="2" t="s">
        <v>7796</v>
      </c>
      <c r="D2825" s="2" t="s">
        <v>10055</v>
      </c>
      <c r="E2825" s="15">
        <v>-0.2276</v>
      </c>
      <c r="F2825" s="15">
        <v>0.24429999999999999</v>
      </c>
    </row>
    <row r="2826" spans="1:9" x14ac:dyDescent="0.2">
      <c r="A2826" s="2" t="s">
        <v>7797</v>
      </c>
      <c r="B2826" s="2" t="s">
        <v>7007</v>
      </c>
      <c r="C2826" s="2" t="s">
        <v>7798</v>
      </c>
      <c r="D2826" s="2" t="s">
        <v>10055</v>
      </c>
      <c r="E2826" s="15">
        <v>0.3</v>
      </c>
      <c r="F2826" s="15">
        <v>0.25729999999999997</v>
      </c>
      <c r="G2826" s="15">
        <v>0.1242</v>
      </c>
      <c r="H2826" s="15">
        <v>0.1113</v>
      </c>
      <c r="I2826" s="15">
        <v>9.5026970294538216E-2</v>
      </c>
    </row>
    <row r="2827" spans="1:9" x14ac:dyDescent="0.2">
      <c r="A2827" s="2" t="s">
        <v>7799</v>
      </c>
      <c r="B2827" s="2" t="s">
        <v>7007</v>
      </c>
      <c r="C2827" s="2" t="s">
        <v>7800</v>
      </c>
      <c r="D2827" s="2" t="s">
        <v>10055</v>
      </c>
      <c r="E2827" s="15">
        <v>-0.16300000000000001</v>
      </c>
      <c r="F2827" s="15">
        <v>0.10299999999999999</v>
      </c>
      <c r="G2827" s="15">
        <v>-1.11E-2</v>
      </c>
      <c r="H2827" s="15">
        <v>0.1178</v>
      </c>
      <c r="I2827" s="15">
        <v>0.1291913910038178</v>
      </c>
    </row>
    <row r="2828" spans="1:9" x14ac:dyDescent="0.2">
      <c r="A2828" s="2" t="s">
        <v>7801</v>
      </c>
      <c r="B2828" s="2" t="s">
        <v>7007</v>
      </c>
      <c r="C2828" s="2" t="s">
        <v>7802</v>
      </c>
      <c r="D2828" s="2" t="s">
        <v>10055</v>
      </c>
      <c r="E2828" s="15">
        <v>-0.18790000000000001</v>
      </c>
      <c r="F2828" s="15">
        <v>0.38369999999999999</v>
      </c>
      <c r="G2828" s="15">
        <v>6.3799999999999996E-2</v>
      </c>
      <c r="H2828" s="15">
        <v>0.15970000000000001</v>
      </c>
      <c r="I2828" s="15">
        <v>8.9160368813010982E-2</v>
      </c>
    </row>
    <row r="2829" spans="1:9" x14ac:dyDescent="0.2">
      <c r="A2829" s="2" t="s">
        <v>7803</v>
      </c>
      <c r="B2829" s="2" t="s">
        <v>7007</v>
      </c>
      <c r="C2829" s="2" t="s">
        <v>7804</v>
      </c>
      <c r="D2829" s="2" t="s">
        <v>10055</v>
      </c>
      <c r="E2829" s="15">
        <v>-7.9799999999999996E-2</v>
      </c>
      <c r="F2829" s="15">
        <v>7.0599999999999996E-2</v>
      </c>
      <c r="G2829" s="15">
        <v>-8.3500000000000005E-2</v>
      </c>
      <c r="H2829" s="15">
        <v>0.108</v>
      </c>
      <c r="I2829" s="15">
        <v>0.48761676102303969</v>
      </c>
    </row>
    <row r="2830" spans="1:9" x14ac:dyDescent="0.2">
      <c r="A2830" s="2" t="s">
        <v>7805</v>
      </c>
      <c r="B2830" s="2" t="s">
        <v>7007</v>
      </c>
      <c r="C2830" s="2" t="s">
        <v>7806</v>
      </c>
      <c r="D2830" s="2" t="s">
        <v>10055</v>
      </c>
    </row>
    <row r="2831" spans="1:9" x14ac:dyDescent="0.2">
      <c r="A2831" s="2" t="s">
        <v>7807</v>
      </c>
      <c r="B2831" s="2" t="s">
        <v>7007</v>
      </c>
      <c r="C2831" s="2" t="s">
        <v>7808</v>
      </c>
      <c r="D2831" s="2" t="s">
        <v>10055</v>
      </c>
      <c r="E2831" s="15">
        <v>1.5100000000000001E-2</v>
      </c>
      <c r="F2831" s="15">
        <v>0.22140000000000001</v>
      </c>
    </row>
    <row r="2832" spans="1:9" x14ac:dyDescent="0.2">
      <c r="A2832" s="2" t="s">
        <v>7809</v>
      </c>
      <c r="B2832" s="2" t="s">
        <v>7007</v>
      </c>
      <c r="C2832" s="2" t="s">
        <v>7810</v>
      </c>
      <c r="D2832" s="2" t="s">
        <v>10055</v>
      </c>
      <c r="E2832" s="15">
        <v>-0.23</v>
      </c>
      <c r="F2832" s="15">
        <v>0.17050000000000001</v>
      </c>
      <c r="G2832" s="15">
        <v>5.67E-2</v>
      </c>
      <c r="H2832" s="15">
        <v>0.1608</v>
      </c>
      <c r="I2832" s="15">
        <v>4.6590445387673422E-2</v>
      </c>
    </row>
    <row r="2833" spans="1:9" x14ac:dyDescent="0.2">
      <c r="A2833" s="2" t="s">
        <v>7811</v>
      </c>
      <c r="B2833" s="2" t="s">
        <v>7007</v>
      </c>
      <c r="C2833" s="2" t="s">
        <v>7812</v>
      </c>
      <c r="D2833" s="2" t="s">
        <v>10055</v>
      </c>
      <c r="E2833" s="15">
        <v>-2.8E-3</v>
      </c>
      <c r="F2833" s="15">
        <v>7.22E-2</v>
      </c>
      <c r="G2833" s="15">
        <v>-2.6800000000000001E-2</v>
      </c>
      <c r="H2833" s="15">
        <v>0.106</v>
      </c>
      <c r="I2833" s="15">
        <v>0.41984801821528839</v>
      </c>
    </row>
    <row r="2834" spans="1:9" x14ac:dyDescent="0.2">
      <c r="A2834" s="2" t="s">
        <v>7813</v>
      </c>
      <c r="B2834" s="2" t="s">
        <v>7007</v>
      </c>
      <c r="C2834" s="2" t="s">
        <v>7814</v>
      </c>
      <c r="D2834" s="2" t="s">
        <v>10055</v>
      </c>
      <c r="E2834" s="15">
        <v>0.1706</v>
      </c>
      <c r="F2834" s="15">
        <v>9.9599999999999994E-2</v>
      </c>
      <c r="G2834" s="15">
        <v>-9.2499999999999999E-2</v>
      </c>
      <c r="H2834" s="15">
        <v>0.1295</v>
      </c>
      <c r="I2834" s="15">
        <v>3.2953485333606668E-2</v>
      </c>
    </row>
    <row r="2835" spans="1:9" x14ac:dyDescent="0.2">
      <c r="A2835" s="2" t="s">
        <v>7815</v>
      </c>
      <c r="B2835" s="2" t="s">
        <v>7007</v>
      </c>
      <c r="C2835" s="2" t="s">
        <v>7816</v>
      </c>
      <c r="D2835" s="2" t="s">
        <v>10055</v>
      </c>
      <c r="E2835" s="15">
        <v>0.1042</v>
      </c>
      <c r="F2835" s="15">
        <v>0.14680000000000001</v>
      </c>
      <c r="G2835" s="15">
        <v>0.1246</v>
      </c>
      <c r="H2835" s="15">
        <v>0.10440000000000001</v>
      </c>
      <c r="I2835" s="15">
        <v>0.43412604860721932</v>
      </c>
    </row>
    <row r="2836" spans="1:9" x14ac:dyDescent="0.2">
      <c r="A2836" s="2" t="s">
        <v>7817</v>
      </c>
      <c r="B2836" s="2" t="s">
        <v>7007</v>
      </c>
      <c r="C2836" s="2" t="s">
        <v>7818</v>
      </c>
      <c r="D2836" s="2" t="s">
        <v>10055</v>
      </c>
      <c r="E2836" s="15">
        <v>-0.26250000000000001</v>
      </c>
      <c r="F2836" s="15">
        <v>0.44840000000000002</v>
      </c>
    </row>
    <row r="2837" spans="1:9" x14ac:dyDescent="0.2">
      <c r="A2837" s="2" t="s">
        <v>7819</v>
      </c>
      <c r="B2837" s="2" t="s">
        <v>7007</v>
      </c>
      <c r="C2837" s="2" t="s">
        <v>7820</v>
      </c>
      <c r="D2837" s="2" t="s">
        <v>10055</v>
      </c>
      <c r="E2837" s="15">
        <v>2.4400000000000002E-2</v>
      </c>
      <c r="F2837" s="15">
        <v>0.158</v>
      </c>
    </row>
    <row r="2838" spans="1:9" x14ac:dyDescent="0.2">
      <c r="A2838" s="2" t="s">
        <v>7821</v>
      </c>
      <c r="B2838" s="2" t="s">
        <v>7007</v>
      </c>
      <c r="C2838" s="2" t="s">
        <v>7822</v>
      </c>
      <c r="D2838" s="2" t="s">
        <v>10055</v>
      </c>
      <c r="E2838" s="15">
        <v>8.0199999999999994E-2</v>
      </c>
      <c r="F2838" s="15">
        <v>0.1221</v>
      </c>
      <c r="G2838" s="15">
        <v>-5.5999999999999999E-3</v>
      </c>
      <c r="H2838" s="15">
        <v>0.10539999999999999</v>
      </c>
      <c r="I2838" s="15">
        <v>0.25577454091953672</v>
      </c>
    </row>
    <row r="2839" spans="1:9" x14ac:dyDescent="0.2">
      <c r="A2839" s="2" t="s">
        <v>7823</v>
      </c>
      <c r="B2839" s="2" t="s">
        <v>7007</v>
      </c>
      <c r="C2839" s="2" t="s">
        <v>7824</v>
      </c>
      <c r="D2839" s="2" t="s">
        <v>10055</v>
      </c>
      <c r="G2839" s="15">
        <v>-0.37559999999999999</v>
      </c>
      <c r="H2839" s="15">
        <v>0.314</v>
      </c>
    </row>
    <row r="2840" spans="1:9" x14ac:dyDescent="0.2">
      <c r="A2840" s="2" t="s">
        <v>7825</v>
      </c>
      <c r="B2840" s="2" t="s">
        <v>7007</v>
      </c>
      <c r="C2840" s="2" t="s">
        <v>7826</v>
      </c>
      <c r="D2840" s="2" t="s">
        <v>10055</v>
      </c>
    </row>
    <row r="2841" spans="1:9" x14ac:dyDescent="0.2">
      <c r="A2841" s="2" t="s">
        <v>7827</v>
      </c>
      <c r="B2841" s="2" t="s">
        <v>7007</v>
      </c>
      <c r="C2841" s="2" t="s">
        <v>7828</v>
      </c>
      <c r="D2841" s="2" t="s">
        <v>10055</v>
      </c>
    </row>
    <row r="2842" spans="1:9" x14ac:dyDescent="0.2">
      <c r="A2842" s="2" t="s">
        <v>7829</v>
      </c>
      <c r="B2842" s="2" t="s">
        <v>7007</v>
      </c>
      <c r="C2842" s="2" t="s">
        <v>7830</v>
      </c>
      <c r="D2842" s="2" t="s">
        <v>10055</v>
      </c>
      <c r="E2842" s="15">
        <v>9.7699999999999995E-2</v>
      </c>
      <c r="F2842" s="15">
        <v>0.1208</v>
      </c>
      <c r="G2842" s="15">
        <v>-3.8199999999999998E-2</v>
      </c>
      <c r="H2842" s="15">
        <v>0.3367</v>
      </c>
      <c r="I2842" s="15">
        <v>0.34694107672924451</v>
      </c>
    </row>
    <row r="2843" spans="1:9" x14ac:dyDescent="0.2">
      <c r="A2843" s="2" t="s">
        <v>7831</v>
      </c>
      <c r="B2843" s="2" t="s">
        <v>7007</v>
      </c>
      <c r="C2843" s="2" t="s">
        <v>7832</v>
      </c>
      <c r="D2843" s="2" t="s">
        <v>10055</v>
      </c>
      <c r="G2843" s="15">
        <v>7.4399999999999994E-2</v>
      </c>
      <c r="H2843" s="15">
        <v>0.1628</v>
      </c>
    </row>
    <row r="2844" spans="1:9" x14ac:dyDescent="0.2">
      <c r="A2844" s="2" t="s">
        <v>7833</v>
      </c>
      <c r="B2844" s="2" t="s">
        <v>7007</v>
      </c>
      <c r="C2844" s="2" t="s">
        <v>7834</v>
      </c>
      <c r="D2844" s="2" t="s">
        <v>10055</v>
      </c>
      <c r="E2844" s="15">
        <v>0.16919999999999999</v>
      </c>
      <c r="F2844" s="15">
        <v>0.1018</v>
      </c>
      <c r="G2844" s="15">
        <v>-0.25080000000000002</v>
      </c>
      <c r="H2844" s="15">
        <v>0.57199999999999995</v>
      </c>
      <c r="I2844" s="15">
        <v>0.23795503008720259</v>
      </c>
    </row>
    <row r="2845" spans="1:9" x14ac:dyDescent="0.2">
      <c r="A2845" s="2" t="s">
        <v>7835</v>
      </c>
      <c r="B2845" s="2" t="s">
        <v>7007</v>
      </c>
      <c r="C2845" s="2" t="s">
        <v>7836</v>
      </c>
      <c r="D2845" s="2" t="s">
        <v>10055</v>
      </c>
      <c r="E2845" s="15">
        <v>-0.31979999999999997</v>
      </c>
      <c r="F2845" s="15">
        <v>0.3448</v>
      </c>
    </row>
    <row r="2846" spans="1:9" x14ac:dyDescent="0.2">
      <c r="A2846" s="2" t="s">
        <v>7837</v>
      </c>
      <c r="B2846" s="2" t="s">
        <v>7007</v>
      </c>
      <c r="C2846" s="2" t="s">
        <v>7838</v>
      </c>
      <c r="D2846" s="2" t="s">
        <v>10055</v>
      </c>
      <c r="E2846" s="15">
        <v>-2.6100000000000002E-2</v>
      </c>
      <c r="F2846" s="15">
        <v>0.1116</v>
      </c>
      <c r="G2846" s="15">
        <v>0.32750000000000001</v>
      </c>
      <c r="H2846" s="15">
        <v>0.38269999999999998</v>
      </c>
      <c r="I2846" s="15">
        <v>0.1874682083957202</v>
      </c>
    </row>
    <row r="2847" spans="1:9" x14ac:dyDescent="0.2">
      <c r="A2847" s="2" t="s">
        <v>7839</v>
      </c>
      <c r="B2847" s="2" t="s">
        <v>7007</v>
      </c>
      <c r="C2847" s="2" t="s">
        <v>7840</v>
      </c>
      <c r="D2847" s="2" t="s">
        <v>10055</v>
      </c>
      <c r="E2847" s="15">
        <v>-0.21129999999999999</v>
      </c>
      <c r="F2847" s="15">
        <v>0.315</v>
      </c>
      <c r="G2847" s="15">
        <v>-0.3458</v>
      </c>
      <c r="H2847" s="15">
        <v>0.3241</v>
      </c>
      <c r="I2847" s="15">
        <v>0.34819973798057557</v>
      </c>
    </row>
    <row r="2848" spans="1:9" x14ac:dyDescent="0.2">
      <c r="A2848" s="2" t="s">
        <v>7841</v>
      </c>
      <c r="B2848" s="2" t="s">
        <v>7007</v>
      </c>
      <c r="C2848" s="2" t="s">
        <v>7842</v>
      </c>
      <c r="D2848" s="2" t="s">
        <v>10055</v>
      </c>
      <c r="E2848" s="15">
        <v>0.41499999999999998</v>
      </c>
      <c r="F2848" s="15">
        <v>0.3674</v>
      </c>
    </row>
    <row r="2849" spans="1:9" x14ac:dyDescent="0.2">
      <c r="A2849" s="2" t="s">
        <v>7843</v>
      </c>
      <c r="B2849" s="2" t="s">
        <v>7007</v>
      </c>
      <c r="C2849" s="2" t="s">
        <v>7844</v>
      </c>
      <c r="D2849" s="2" t="s">
        <v>10055</v>
      </c>
      <c r="E2849" s="15">
        <v>0.25469999999999998</v>
      </c>
      <c r="F2849" s="15">
        <v>0.24979999999999999</v>
      </c>
      <c r="G2849" s="15">
        <v>-0.156</v>
      </c>
      <c r="H2849" s="15">
        <v>0.24529999999999999</v>
      </c>
    </row>
    <row r="2850" spans="1:9" x14ac:dyDescent="0.2">
      <c r="A2850" s="2" t="s">
        <v>7845</v>
      </c>
      <c r="B2850" s="2" t="s">
        <v>7007</v>
      </c>
      <c r="C2850" s="2" t="s">
        <v>7846</v>
      </c>
      <c r="D2850" s="2" t="s">
        <v>10055</v>
      </c>
      <c r="G2850" s="15">
        <v>-7.9399999999999998E-2</v>
      </c>
      <c r="H2850" s="15">
        <v>0.1381</v>
      </c>
    </row>
    <row r="2851" spans="1:9" x14ac:dyDescent="0.2">
      <c r="A2851" s="2" t="s">
        <v>7847</v>
      </c>
      <c r="B2851" s="2" t="s">
        <v>7007</v>
      </c>
      <c r="C2851" s="2" t="s">
        <v>7848</v>
      </c>
      <c r="D2851" s="2" t="s">
        <v>10055</v>
      </c>
      <c r="E2851" s="15">
        <v>0.13539999999999999</v>
      </c>
      <c r="F2851" s="15">
        <v>0.42859999999999998</v>
      </c>
      <c r="G2851" s="15">
        <v>0.13100000000000001</v>
      </c>
      <c r="H2851" s="15">
        <v>0.15720000000000001</v>
      </c>
      <c r="I2851" s="15">
        <v>0.49074536487653991</v>
      </c>
    </row>
    <row r="2852" spans="1:9" x14ac:dyDescent="0.2">
      <c r="A2852" s="2" t="s">
        <v>7849</v>
      </c>
      <c r="B2852" s="2" t="s">
        <v>7007</v>
      </c>
      <c r="C2852" s="2" t="s">
        <v>7850</v>
      </c>
      <c r="D2852" s="2" t="s">
        <v>10055</v>
      </c>
      <c r="E2852" s="15">
        <v>0.19259999999999999</v>
      </c>
      <c r="F2852" s="15">
        <v>0.29970000000000002</v>
      </c>
    </row>
    <row r="2853" spans="1:9" x14ac:dyDescent="0.2">
      <c r="A2853" s="2" t="s">
        <v>7851</v>
      </c>
      <c r="B2853" s="2" t="s">
        <v>7007</v>
      </c>
      <c r="C2853" s="2" t="s">
        <v>7852</v>
      </c>
      <c r="D2853" s="2" t="s">
        <v>10055</v>
      </c>
    </row>
    <row r="2854" spans="1:9" x14ac:dyDescent="0.2">
      <c r="A2854" s="2" t="s">
        <v>7853</v>
      </c>
      <c r="B2854" s="2" t="s">
        <v>7007</v>
      </c>
      <c r="C2854" s="2" t="s">
        <v>7854</v>
      </c>
      <c r="D2854" s="2" t="s">
        <v>10055</v>
      </c>
      <c r="E2854" s="15">
        <v>-2.76E-2</v>
      </c>
      <c r="F2854" s="15">
        <v>0.10780000000000001</v>
      </c>
    </row>
    <row r="2855" spans="1:9" x14ac:dyDescent="0.2">
      <c r="A2855" s="2" t="s">
        <v>7855</v>
      </c>
      <c r="B2855" s="2" t="s">
        <v>7007</v>
      </c>
      <c r="C2855" s="2" t="s">
        <v>7856</v>
      </c>
      <c r="D2855" s="2" t="s">
        <v>10055</v>
      </c>
      <c r="E2855" s="15">
        <v>8.3099999999999993E-2</v>
      </c>
      <c r="F2855" s="15">
        <v>0.1409</v>
      </c>
      <c r="G2855" s="15">
        <v>-0.46179999999999999</v>
      </c>
      <c r="H2855" s="15">
        <v>0.78939999999999999</v>
      </c>
      <c r="I2855" s="15">
        <v>0.2469897964757572</v>
      </c>
    </row>
    <row r="2856" spans="1:9" x14ac:dyDescent="0.2">
      <c r="A2856" s="2" t="s">
        <v>7857</v>
      </c>
      <c r="B2856" s="2" t="s">
        <v>7007</v>
      </c>
      <c r="C2856" s="2" t="s">
        <v>7858</v>
      </c>
      <c r="D2856" s="2" t="s">
        <v>10055</v>
      </c>
      <c r="E2856" s="15">
        <v>6.0999999999999999E-2</v>
      </c>
      <c r="F2856" s="15">
        <v>0.15759999999999999</v>
      </c>
      <c r="G2856" s="15">
        <v>-0.1043</v>
      </c>
      <c r="H2856" s="15">
        <v>0.1507</v>
      </c>
      <c r="I2856" s="15">
        <v>0.16279645770440729</v>
      </c>
    </row>
    <row r="2857" spans="1:9" x14ac:dyDescent="0.2">
      <c r="A2857" s="2" t="s">
        <v>7859</v>
      </c>
      <c r="B2857" s="2" t="s">
        <v>7007</v>
      </c>
      <c r="C2857" s="2" t="s">
        <v>7860</v>
      </c>
      <c r="D2857" s="2" t="s">
        <v>10055</v>
      </c>
      <c r="G2857" s="15">
        <v>0.191</v>
      </c>
      <c r="H2857" s="15">
        <v>0.2195</v>
      </c>
    </row>
    <row r="2858" spans="1:9" x14ac:dyDescent="0.2">
      <c r="A2858" s="2" t="s">
        <v>7861</v>
      </c>
      <c r="B2858" s="2" t="s">
        <v>7007</v>
      </c>
      <c r="C2858" s="2" t="s">
        <v>7862</v>
      </c>
      <c r="D2858" s="2" t="s">
        <v>10055</v>
      </c>
      <c r="E2858" s="15">
        <v>0.1099</v>
      </c>
      <c r="F2858" s="15">
        <v>0.28499999999999998</v>
      </c>
      <c r="G2858" s="15">
        <v>9.9900000000000003E-2</v>
      </c>
      <c r="H2858" s="15">
        <v>0.3952</v>
      </c>
      <c r="I2858" s="15">
        <v>0.49030829175345297</v>
      </c>
    </row>
    <row r="2859" spans="1:9" x14ac:dyDescent="0.2">
      <c r="A2859" s="2" t="s">
        <v>7863</v>
      </c>
      <c r="B2859" s="2" t="s">
        <v>7007</v>
      </c>
      <c r="C2859" s="2" t="s">
        <v>7864</v>
      </c>
      <c r="D2859" s="2" t="s">
        <v>10055</v>
      </c>
      <c r="E2859" s="15">
        <v>0.1183</v>
      </c>
      <c r="F2859" s="15">
        <v>0.11609999999999999</v>
      </c>
      <c r="G2859" s="15">
        <v>-1.43E-2</v>
      </c>
      <c r="H2859" s="15">
        <v>0.14749999999999999</v>
      </c>
      <c r="I2859" s="15">
        <v>0.20454043429478799</v>
      </c>
    </row>
    <row r="2860" spans="1:9" x14ac:dyDescent="0.2">
      <c r="A2860" s="2" t="s">
        <v>7865</v>
      </c>
      <c r="B2860" s="2" t="s">
        <v>7007</v>
      </c>
      <c r="C2860" s="2" t="s">
        <v>7866</v>
      </c>
      <c r="D2860" s="2" t="s">
        <v>10055</v>
      </c>
      <c r="G2860" s="15">
        <v>-0.1792</v>
      </c>
      <c r="H2860" s="15">
        <v>0.1094</v>
      </c>
    </row>
    <row r="2861" spans="1:9" x14ac:dyDescent="0.2">
      <c r="A2861" s="2" t="s">
        <v>7867</v>
      </c>
      <c r="B2861" s="2" t="s">
        <v>7007</v>
      </c>
      <c r="C2861" s="2" t="s">
        <v>7868</v>
      </c>
      <c r="D2861" s="2" t="s">
        <v>10055</v>
      </c>
      <c r="E2861" s="15">
        <v>0.24990000000000001</v>
      </c>
      <c r="F2861" s="15">
        <v>0.20710000000000001</v>
      </c>
    </row>
    <row r="2862" spans="1:9" x14ac:dyDescent="0.2">
      <c r="A2862" s="2" t="s">
        <v>7869</v>
      </c>
      <c r="B2862" s="2" t="s">
        <v>7007</v>
      </c>
      <c r="C2862" s="2" t="s">
        <v>7870</v>
      </c>
      <c r="D2862" s="2" t="s">
        <v>10055</v>
      </c>
    </row>
    <row r="2863" spans="1:9" x14ac:dyDescent="0.2">
      <c r="A2863" s="2" t="s">
        <v>7871</v>
      </c>
      <c r="B2863" s="2" t="s">
        <v>7007</v>
      </c>
      <c r="C2863" s="2" t="s">
        <v>7872</v>
      </c>
      <c r="D2863" s="2" t="s">
        <v>10055</v>
      </c>
      <c r="G2863" s="15">
        <v>-7.0499999999999993E-2</v>
      </c>
      <c r="H2863" s="15">
        <v>0.1336</v>
      </c>
    </row>
    <row r="2864" spans="1:9" x14ac:dyDescent="0.2">
      <c r="A2864" s="2" t="s">
        <v>7873</v>
      </c>
      <c r="B2864" s="2" t="s">
        <v>7007</v>
      </c>
      <c r="C2864" s="2" t="s">
        <v>7874</v>
      </c>
      <c r="D2864" s="2" t="s">
        <v>10055</v>
      </c>
      <c r="E2864" s="15">
        <v>-0.1176</v>
      </c>
      <c r="F2864" s="15">
        <v>0.1197</v>
      </c>
    </row>
    <row r="2865" spans="1:9" x14ac:dyDescent="0.2">
      <c r="A2865" s="2" t="s">
        <v>7875</v>
      </c>
      <c r="B2865" s="2" t="s">
        <v>7007</v>
      </c>
      <c r="C2865" s="2" t="s">
        <v>7876</v>
      </c>
      <c r="D2865" s="2" t="s">
        <v>10055</v>
      </c>
    </row>
    <row r="2866" spans="1:9" x14ac:dyDescent="0.2">
      <c r="A2866" s="2" t="s">
        <v>7877</v>
      </c>
      <c r="B2866" s="2" t="s">
        <v>7007</v>
      </c>
      <c r="C2866" s="2" t="s">
        <v>7878</v>
      </c>
      <c r="D2866" s="2" t="s">
        <v>10055</v>
      </c>
      <c r="E2866" s="15">
        <v>9.4200000000000006E-2</v>
      </c>
      <c r="F2866" s="15">
        <v>0.12379999999999999</v>
      </c>
    </row>
    <row r="2867" spans="1:9" x14ac:dyDescent="0.2">
      <c r="A2867" s="2" t="s">
        <v>7879</v>
      </c>
      <c r="B2867" s="2" t="s">
        <v>7007</v>
      </c>
      <c r="C2867" s="2" t="s">
        <v>7880</v>
      </c>
      <c r="D2867" s="2" t="s">
        <v>10055</v>
      </c>
      <c r="E2867" s="15">
        <v>-0.2301</v>
      </c>
      <c r="F2867" s="15">
        <v>0.1363</v>
      </c>
      <c r="G2867" s="15">
        <v>-0.1981</v>
      </c>
      <c r="H2867" s="15">
        <v>0.16950000000000001</v>
      </c>
      <c r="I2867" s="15">
        <v>0.43063831195137797</v>
      </c>
    </row>
    <row r="2868" spans="1:9" x14ac:dyDescent="0.2">
      <c r="A2868" s="2" t="s">
        <v>7881</v>
      </c>
      <c r="B2868" s="2" t="s">
        <v>7007</v>
      </c>
      <c r="C2868" s="2" t="s">
        <v>7882</v>
      </c>
      <c r="D2868" s="2" t="s">
        <v>10055</v>
      </c>
      <c r="E2868" s="15">
        <v>-0.21859999999999999</v>
      </c>
      <c r="F2868" s="15">
        <v>0.11749999999999999</v>
      </c>
      <c r="G2868" s="15">
        <v>0.23649999999999999</v>
      </c>
      <c r="H2868" s="15">
        <v>0.28210000000000002</v>
      </c>
      <c r="I2868" s="15">
        <v>6.8385305802432572E-2</v>
      </c>
    </row>
    <row r="2869" spans="1:9" x14ac:dyDescent="0.2">
      <c r="A2869" s="2" t="s">
        <v>7883</v>
      </c>
      <c r="B2869" s="2" t="s">
        <v>7007</v>
      </c>
      <c r="C2869" s="2" t="s">
        <v>7884</v>
      </c>
      <c r="D2869" s="2" t="s">
        <v>10055</v>
      </c>
    </row>
    <row r="2870" spans="1:9" x14ac:dyDescent="0.2">
      <c r="A2870" s="2" t="s">
        <v>7885</v>
      </c>
      <c r="B2870" s="2" t="s">
        <v>7007</v>
      </c>
      <c r="C2870" s="2" t="s">
        <v>7886</v>
      </c>
      <c r="D2870" s="2" t="s">
        <v>10055</v>
      </c>
      <c r="E2870" s="15">
        <v>-5.5899999999999998E-2</v>
      </c>
      <c r="F2870" s="15">
        <v>9.0499999999999997E-2</v>
      </c>
      <c r="G2870" s="15">
        <v>0.2039</v>
      </c>
      <c r="H2870" s="15">
        <v>0.13070000000000001</v>
      </c>
      <c r="I2870" s="15">
        <v>3.646478865519525E-2</v>
      </c>
    </row>
    <row r="2871" spans="1:9" x14ac:dyDescent="0.2">
      <c r="A2871" s="2" t="s">
        <v>7887</v>
      </c>
      <c r="B2871" s="2" t="s">
        <v>7007</v>
      </c>
      <c r="C2871" s="2" t="s">
        <v>7888</v>
      </c>
      <c r="D2871" s="2" t="s">
        <v>10055</v>
      </c>
      <c r="G2871" s="15">
        <v>5.9900000000000002E-2</v>
      </c>
      <c r="H2871" s="15">
        <v>9.3299999999999994E-2</v>
      </c>
    </row>
    <row r="2872" spans="1:9" x14ac:dyDescent="0.2">
      <c r="A2872" s="2" t="s">
        <v>7889</v>
      </c>
      <c r="B2872" s="2" t="s">
        <v>7007</v>
      </c>
      <c r="C2872" s="2" t="s">
        <v>7890</v>
      </c>
      <c r="D2872" s="2" t="s">
        <v>10055</v>
      </c>
      <c r="E2872" s="15">
        <v>-4.1099999999999998E-2</v>
      </c>
      <c r="F2872" s="15">
        <v>0.1</v>
      </c>
      <c r="G2872" s="15">
        <v>0.14949999999999999</v>
      </c>
      <c r="H2872" s="15">
        <v>0.1321</v>
      </c>
      <c r="I2872" s="15">
        <v>0.1124955543158087</v>
      </c>
    </row>
    <row r="2873" spans="1:9" x14ac:dyDescent="0.2">
      <c r="A2873" s="2" t="s">
        <v>7891</v>
      </c>
      <c r="B2873" s="2" t="s">
        <v>7007</v>
      </c>
      <c r="C2873" s="2" t="s">
        <v>7892</v>
      </c>
      <c r="D2873" s="2" t="s">
        <v>10055</v>
      </c>
      <c r="E2873" s="15">
        <v>0.13750000000000001</v>
      </c>
      <c r="F2873" s="15">
        <v>0.15340000000000001</v>
      </c>
    </row>
    <row r="2874" spans="1:9" x14ac:dyDescent="0.2">
      <c r="A2874" s="2" t="s">
        <v>7893</v>
      </c>
      <c r="B2874" s="2" t="s">
        <v>7007</v>
      </c>
      <c r="C2874" s="2" t="s">
        <v>7894</v>
      </c>
      <c r="D2874" s="2" t="s">
        <v>10055</v>
      </c>
      <c r="E2874" s="15">
        <v>-2.8799999999999999E-2</v>
      </c>
      <c r="F2874" s="15">
        <v>0.17849999999999999</v>
      </c>
      <c r="G2874" s="15">
        <v>-1.0699999999999999E-2</v>
      </c>
      <c r="H2874" s="15">
        <v>0.14799999999999999</v>
      </c>
      <c r="I2874" s="15">
        <v>0.45643643690467511</v>
      </c>
    </row>
    <row r="2875" spans="1:9" x14ac:dyDescent="0.2">
      <c r="A2875" s="2" t="s">
        <v>7895</v>
      </c>
      <c r="B2875" s="2" t="s">
        <v>7007</v>
      </c>
      <c r="C2875" s="2" t="s">
        <v>7896</v>
      </c>
      <c r="D2875" s="2" t="s">
        <v>10055</v>
      </c>
      <c r="E2875" s="15">
        <v>0.11219999999999999</v>
      </c>
      <c r="F2875" s="15">
        <v>0.155</v>
      </c>
    </row>
    <row r="2876" spans="1:9" x14ac:dyDescent="0.2">
      <c r="A2876" s="2" t="s">
        <v>7897</v>
      </c>
      <c r="B2876" s="2" t="s">
        <v>7007</v>
      </c>
      <c r="C2876" s="2" t="s">
        <v>7898</v>
      </c>
      <c r="D2876" s="2" t="s">
        <v>10055</v>
      </c>
      <c r="E2876" s="15">
        <v>6.8099999999999994E-2</v>
      </c>
      <c r="F2876" s="15">
        <v>0.1103</v>
      </c>
      <c r="G2876" s="15">
        <v>-2.3800000000000002E-2</v>
      </c>
      <c r="H2876" s="15">
        <v>0.1958</v>
      </c>
      <c r="I2876" s="15">
        <v>0.3294403415661602</v>
      </c>
    </row>
    <row r="2877" spans="1:9" x14ac:dyDescent="0.2">
      <c r="A2877" s="2" t="s">
        <v>7899</v>
      </c>
      <c r="B2877" s="2" t="s">
        <v>7007</v>
      </c>
      <c r="C2877" s="2" t="s">
        <v>7900</v>
      </c>
      <c r="D2877" s="2" t="s">
        <v>10055</v>
      </c>
      <c r="E2877" s="15">
        <v>0.14580000000000001</v>
      </c>
      <c r="F2877" s="15">
        <v>0.13</v>
      </c>
      <c r="G2877" s="15">
        <v>-3.2199999999999999E-2</v>
      </c>
      <c r="H2877" s="15">
        <v>0.13730000000000001</v>
      </c>
      <c r="I2877" s="15">
        <v>0.13049540684027119</v>
      </c>
    </row>
    <row r="2878" spans="1:9" x14ac:dyDescent="0.2">
      <c r="A2878" s="2" t="s">
        <v>7901</v>
      </c>
      <c r="B2878" s="2" t="s">
        <v>7007</v>
      </c>
      <c r="C2878" s="2" t="s">
        <v>7902</v>
      </c>
      <c r="D2878" s="2" t="s">
        <v>10055</v>
      </c>
      <c r="E2878" s="15">
        <v>3.5000000000000001E-3</v>
      </c>
      <c r="F2878" s="15">
        <v>0.151</v>
      </c>
      <c r="G2878" s="15">
        <v>-0.1852</v>
      </c>
      <c r="H2878" s="15">
        <v>0.15029999999999999</v>
      </c>
      <c r="I2878" s="15">
        <v>0.14305795396460369</v>
      </c>
    </row>
    <row r="2879" spans="1:9" x14ac:dyDescent="0.2">
      <c r="A2879" s="2" t="s">
        <v>7903</v>
      </c>
      <c r="B2879" s="2" t="s">
        <v>7007</v>
      </c>
      <c r="C2879" s="2" t="s">
        <v>7904</v>
      </c>
      <c r="D2879" s="2" t="s">
        <v>10055</v>
      </c>
      <c r="G2879" s="15">
        <v>-0.51700000000000002</v>
      </c>
      <c r="H2879" s="15">
        <v>0.61990000000000001</v>
      </c>
    </row>
    <row r="2880" spans="1:9" x14ac:dyDescent="0.2">
      <c r="A2880" s="2" t="s">
        <v>7905</v>
      </c>
      <c r="B2880" s="2" t="s">
        <v>7007</v>
      </c>
      <c r="C2880" s="2" t="s">
        <v>7906</v>
      </c>
      <c r="D2880" s="2" t="s">
        <v>10055</v>
      </c>
      <c r="E2880" s="15">
        <v>-1.3100000000000001E-2</v>
      </c>
      <c r="F2880" s="15">
        <v>0.1116</v>
      </c>
      <c r="G2880" s="15">
        <v>-8.1600000000000006E-2</v>
      </c>
      <c r="H2880" s="15">
        <v>0.10970000000000001</v>
      </c>
      <c r="I2880" s="15">
        <v>0.29578462792466731</v>
      </c>
    </row>
    <row r="2881" spans="1:9" x14ac:dyDescent="0.2">
      <c r="A2881" s="2" t="s">
        <v>7907</v>
      </c>
      <c r="B2881" s="2" t="s">
        <v>7007</v>
      </c>
      <c r="C2881" s="2" t="s">
        <v>7908</v>
      </c>
      <c r="D2881" s="2" t="s">
        <v>10055</v>
      </c>
      <c r="G2881" s="15">
        <v>0.1464</v>
      </c>
      <c r="H2881" s="15">
        <v>0.12139999999999999</v>
      </c>
    </row>
    <row r="2882" spans="1:9" x14ac:dyDescent="0.2">
      <c r="A2882" s="2" t="s">
        <v>7909</v>
      </c>
      <c r="B2882" s="2" t="s">
        <v>7007</v>
      </c>
      <c r="C2882" s="2" t="s">
        <v>7910</v>
      </c>
      <c r="D2882" s="2" t="s">
        <v>10055</v>
      </c>
      <c r="E2882" s="15">
        <v>2.9899999999999999E-2</v>
      </c>
      <c r="F2882" s="15">
        <v>0.1598</v>
      </c>
    </row>
    <row r="2883" spans="1:9" x14ac:dyDescent="0.2">
      <c r="A2883" s="2" t="s">
        <v>7911</v>
      </c>
      <c r="B2883" s="2" t="s">
        <v>7007</v>
      </c>
      <c r="C2883" s="2" t="s">
        <v>7912</v>
      </c>
      <c r="D2883" s="2" t="s">
        <v>10055</v>
      </c>
      <c r="E2883" s="15">
        <v>-7.9299999999999995E-2</v>
      </c>
      <c r="F2883" s="15">
        <v>0.14649999999999999</v>
      </c>
      <c r="G2883" s="15">
        <v>-0.34720000000000001</v>
      </c>
      <c r="H2883" s="15">
        <v>0.1724</v>
      </c>
      <c r="I2883" s="15">
        <v>8.7075475679082484E-2</v>
      </c>
    </row>
    <row r="2884" spans="1:9" x14ac:dyDescent="0.2">
      <c r="A2884" s="2" t="s">
        <v>7913</v>
      </c>
      <c r="B2884" s="2" t="s">
        <v>7007</v>
      </c>
      <c r="C2884" s="2" t="s">
        <v>7914</v>
      </c>
      <c r="D2884" s="2" t="s">
        <v>10055</v>
      </c>
      <c r="E2884" s="15">
        <v>-1.0699999999999999E-2</v>
      </c>
      <c r="F2884" s="15">
        <v>0.15340000000000001</v>
      </c>
      <c r="G2884" s="15">
        <v>-9.8500000000000004E-2</v>
      </c>
      <c r="H2884" s="15">
        <v>0.12790000000000001</v>
      </c>
      <c r="I2884" s="15">
        <v>0.26932235918088132</v>
      </c>
    </row>
    <row r="2885" spans="1:9" x14ac:dyDescent="0.2">
      <c r="A2885" s="2" t="s">
        <v>7915</v>
      </c>
      <c r="B2885" s="2" t="s">
        <v>7007</v>
      </c>
      <c r="C2885" s="2" t="s">
        <v>7916</v>
      </c>
      <c r="D2885" s="2" t="s">
        <v>10055</v>
      </c>
      <c r="G2885" s="15">
        <v>-0.19750000000000001</v>
      </c>
      <c r="H2885" s="15">
        <v>0.24959999999999999</v>
      </c>
    </row>
    <row r="2886" spans="1:9" x14ac:dyDescent="0.2">
      <c r="A2886" s="2" t="s">
        <v>7917</v>
      </c>
      <c r="B2886" s="2" t="s">
        <v>7007</v>
      </c>
      <c r="C2886" s="2" t="s">
        <v>7918</v>
      </c>
      <c r="D2886" s="2" t="s">
        <v>10055</v>
      </c>
      <c r="E2886" s="15">
        <v>-2.3800000000000002E-2</v>
      </c>
      <c r="F2886" s="15">
        <v>0.1079</v>
      </c>
      <c r="G2886" s="15">
        <v>0.1981</v>
      </c>
      <c r="H2886" s="15">
        <v>0.11459999999999999</v>
      </c>
      <c r="I2886" s="15">
        <v>4.0589827685579713E-2</v>
      </c>
    </row>
    <row r="2887" spans="1:9" x14ac:dyDescent="0.2">
      <c r="A2887" s="2" t="s">
        <v>7919</v>
      </c>
      <c r="B2887" s="2" t="s">
        <v>7007</v>
      </c>
      <c r="C2887" s="2" t="s">
        <v>7920</v>
      </c>
      <c r="D2887" s="2" t="s">
        <v>10055</v>
      </c>
      <c r="E2887" s="15">
        <v>0.11360000000000001</v>
      </c>
      <c r="F2887" s="15">
        <v>0.2306</v>
      </c>
    </row>
    <row r="2888" spans="1:9" x14ac:dyDescent="0.2">
      <c r="A2888" s="2" t="s">
        <v>7921</v>
      </c>
      <c r="B2888" s="2" t="s">
        <v>7007</v>
      </c>
      <c r="C2888" s="2" t="s">
        <v>7922</v>
      </c>
      <c r="D2888" s="2" t="s">
        <v>10055</v>
      </c>
      <c r="G2888" s="15">
        <v>-5.0000000000000001E-3</v>
      </c>
      <c r="H2888" s="15">
        <v>0.13159999999999999</v>
      </c>
    </row>
    <row r="2889" spans="1:9" x14ac:dyDescent="0.2">
      <c r="A2889" s="2" t="s">
        <v>7923</v>
      </c>
      <c r="B2889" s="2" t="s">
        <v>7007</v>
      </c>
      <c r="C2889" s="2" t="s">
        <v>7924</v>
      </c>
      <c r="D2889" s="2" t="s">
        <v>10055</v>
      </c>
      <c r="E2889" s="15">
        <v>0.112</v>
      </c>
      <c r="F2889" s="15">
        <v>0.1288</v>
      </c>
      <c r="G2889" s="15">
        <v>0.17380000000000001</v>
      </c>
      <c r="H2889" s="15">
        <v>0.1419</v>
      </c>
      <c r="I2889" s="15">
        <v>0.34248329451365211</v>
      </c>
    </row>
    <row r="2890" spans="1:9" x14ac:dyDescent="0.2">
      <c r="A2890" s="2" t="s">
        <v>7925</v>
      </c>
      <c r="B2890" s="2" t="s">
        <v>7007</v>
      </c>
      <c r="C2890" s="2" t="s">
        <v>7926</v>
      </c>
      <c r="D2890" s="2" t="s">
        <v>10055</v>
      </c>
      <c r="E2890" s="15">
        <v>-7.1999999999999998E-3</v>
      </c>
      <c r="F2890" s="15">
        <v>0.1008</v>
      </c>
      <c r="G2890" s="15">
        <v>-0.14929999999999999</v>
      </c>
      <c r="H2890" s="15">
        <v>0.11</v>
      </c>
      <c r="I2890" s="15">
        <v>0.13265448233373189</v>
      </c>
    </row>
    <row r="2891" spans="1:9" x14ac:dyDescent="0.2">
      <c r="A2891" s="2" t="s">
        <v>7927</v>
      </c>
      <c r="B2891" s="2" t="s">
        <v>7007</v>
      </c>
      <c r="C2891" s="2" t="s">
        <v>7928</v>
      </c>
      <c r="D2891" s="2" t="s">
        <v>10055</v>
      </c>
      <c r="E2891" s="15">
        <v>-0.1188</v>
      </c>
      <c r="F2891" s="15">
        <v>0.13969999999999999</v>
      </c>
      <c r="G2891" s="15">
        <v>-0.28620000000000001</v>
      </c>
      <c r="H2891" s="15">
        <v>0.44619999999999999</v>
      </c>
      <c r="I2891" s="15">
        <v>0.35552651273878599</v>
      </c>
    </row>
    <row r="2892" spans="1:9" x14ac:dyDescent="0.2">
      <c r="A2892" s="2" t="s">
        <v>7929</v>
      </c>
      <c r="B2892" s="2" t="s">
        <v>7007</v>
      </c>
      <c r="C2892" s="2" t="s">
        <v>7930</v>
      </c>
      <c r="D2892" s="2" t="s">
        <v>10055</v>
      </c>
      <c r="E2892" s="15">
        <v>-6.1499999999999999E-2</v>
      </c>
      <c r="F2892" s="15">
        <v>0.13600000000000001</v>
      </c>
    </row>
    <row r="2893" spans="1:9" x14ac:dyDescent="0.2">
      <c r="A2893" s="2" t="s">
        <v>7931</v>
      </c>
      <c r="B2893" s="2" t="s">
        <v>7007</v>
      </c>
      <c r="C2893" s="2" t="s">
        <v>7932</v>
      </c>
      <c r="D2893" s="2" t="s">
        <v>10055</v>
      </c>
    </row>
    <row r="2894" spans="1:9" x14ac:dyDescent="0.2">
      <c r="A2894" s="2" t="s">
        <v>7933</v>
      </c>
      <c r="B2894" s="2" t="s">
        <v>7007</v>
      </c>
      <c r="C2894" s="2" t="s">
        <v>7934</v>
      </c>
      <c r="D2894" s="2" t="s">
        <v>10055</v>
      </c>
      <c r="E2894" s="15">
        <v>-0.1135</v>
      </c>
      <c r="F2894" s="15">
        <v>0.1021</v>
      </c>
      <c r="G2894" s="15">
        <v>-0.26229999999999998</v>
      </c>
      <c r="H2894" s="15">
        <v>0.1033</v>
      </c>
      <c r="I2894" s="15">
        <v>0.106648833600143</v>
      </c>
    </row>
    <row r="2895" spans="1:9" x14ac:dyDescent="0.2">
      <c r="A2895" s="2" t="s">
        <v>7935</v>
      </c>
      <c r="B2895" s="2" t="s">
        <v>7007</v>
      </c>
      <c r="C2895" s="2" t="s">
        <v>7936</v>
      </c>
      <c r="D2895" s="2" t="s">
        <v>10055</v>
      </c>
    </row>
    <row r="2896" spans="1:9" x14ac:dyDescent="0.2">
      <c r="A2896" s="2" t="s">
        <v>7937</v>
      </c>
      <c r="B2896" s="2" t="s">
        <v>7007</v>
      </c>
      <c r="C2896" s="2" t="s">
        <v>7938</v>
      </c>
      <c r="D2896" s="2" t="s">
        <v>10055</v>
      </c>
    </row>
    <row r="2897" spans="1:9" x14ac:dyDescent="0.2">
      <c r="A2897" s="2" t="s">
        <v>7939</v>
      </c>
      <c r="B2897" s="2" t="s">
        <v>7007</v>
      </c>
      <c r="C2897" s="2" t="s">
        <v>7940</v>
      </c>
      <c r="D2897" s="2" t="s">
        <v>10055</v>
      </c>
      <c r="G2897" s="15">
        <v>0.18529999999999999</v>
      </c>
      <c r="H2897" s="15">
        <v>0.186</v>
      </c>
    </row>
    <row r="2898" spans="1:9" x14ac:dyDescent="0.2">
      <c r="A2898" s="2" t="s">
        <v>7941</v>
      </c>
      <c r="B2898" s="2" t="s">
        <v>7007</v>
      </c>
      <c r="C2898" s="2" t="s">
        <v>7942</v>
      </c>
      <c r="D2898" s="2" t="s">
        <v>10055</v>
      </c>
      <c r="G2898" s="15">
        <v>-0.11310000000000001</v>
      </c>
      <c r="H2898" s="15">
        <v>0.12479999999999999</v>
      </c>
    </row>
    <row r="2899" spans="1:9" x14ac:dyDescent="0.2">
      <c r="A2899" s="2" t="s">
        <v>7943</v>
      </c>
      <c r="B2899" s="2" t="s">
        <v>7007</v>
      </c>
      <c r="C2899" s="2" t="s">
        <v>7944</v>
      </c>
      <c r="D2899" s="2" t="s">
        <v>10055</v>
      </c>
      <c r="G2899" s="15">
        <v>-1.78E-2</v>
      </c>
      <c r="H2899" s="15">
        <v>0.15770000000000001</v>
      </c>
    </row>
    <row r="2900" spans="1:9" x14ac:dyDescent="0.2">
      <c r="A2900" s="2" t="s">
        <v>7945</v>
      </c>
      <c r="B2900" s="2" t="s">
        <v>7007</v>
      </c>
      <c r="C2900" s="2" t="s">
        <v>7946</v>
      </c>
      <c r="D2900" s="2" t="s">
        <v>10055</v>
      </c>
      <c r="E2900" s="15">
        <v>-6.9699999999999998E-2</v>
      </c>
      <c r="F2900" s="15">
        <v>0.1925</v>
      </c>
      <c r="G2900" s="15">
        <v>0.1217</v>
      </c>
      <c r="H2900" s="15">
        <v>0.1482</v>
      </c>
      <c r="I2900" s="15">
        <v>0.2331229985992857</v>
      </c>
    </row>
    <row r="2901" spans="1:9" x14ac:dyDescent="0.2">
      <c r="A2901" s="2" t="s">
        <v>7947</v>
      </c>
      <c r="B2901" s="2" t="s">
        <v>7007</v>
      </c>
      <c r="C2901" s="2" t="s">
        <v>7948</v>
      </c>
      <c r="D2901" s="2" t="s">
        <v>10055</v>
      </c>
      <c r="E2901" s="15">
        <v>6.5299999999999997E-2</v>
      </c>
      <c r="F2901" s="15">
        <v>0.15459999999999999</v>
      </c>
    </row>
    <row r="2902" spans="1:9" x14ac:dyDescent="0.2">
      <c r="A2902" s="2" t="s">
        <v>7949</v>
      </c>
      <c r="B2902" s="2" t="s">
        <v>7007</v>
      </c>
      <c r="C2902" s="2" t="s">
        <v>7950</v>
      </c>
      <c r="D2902" s="2" t="s">
        <v>10055</v>
      </c>
      <c r="E2902" s="15">
        <v>-0.2954</v>
      </c>
      <c r="F2902" s="15">
        <v>0.48039999999999999</v>
      </c>
    </row>
    <row r="2903" spans="1:9" x14ac:dyDescent="0.2">
      <c r="A2903" s="2" t="s">
        <v>7951</v>
      </c>
      <c r="B2903" s="2" t="s">
        <v>7007</v>
      </c>
      <c r="C2903" s="2" t="s">
        <v>7952</v>
      </c>
      <c r="D2903" s="2" t="s">
        <v>10055</v>
      </c>
      <c r="E2903" s="15">
        <v>-4.1999999999999997E-3</v>
      </c>
      <c r="F2903" s="15">
        <v>9.3899999999999997E-2</v>
      </c>
      <c r="G2903" s="15">
        <v>-9.7600000000000006E-2</v>
      </c>
      <c r="H2903" s="15">
        <v>0.1273</v>
      </c>
      <c r="I2903" s="15">
        <v>0.27766801404427682</v>
      </c>
    </row>
    <row r="2904" spans="1:9" x14ac:dyDescent="0.2">
      <c r="A2904" s="2" t="s">
        <v>7953</v>
      </c>
      <c r="B2904" s="2" t="s">
        <v>7007</v>
      </c>
      <c r="C2904" s="2" t="s">
        <v>7954</v>
      </c>
      <c r="D2904" s="2" t="s">
        <v>10055</v>
      </c>
      <c r="E2904" s="15">
        <v>-0.1138</v>
      </c>
      <c r="F2904" s="15">
        <v>0.19400000000000001</v>
      </c>
      <c r="G2904" s="15">
        <v>-0.2409</v>
      </c>
      <c r="H2904" s="15">
        <v>0.27310000000000001</v>
      </c>
      <c r="I2904" s="15">
        <v>0.46335784861181439</v>
      </c>
    </row>
    <row r="2905" spans="1:9" x14ac:dyDescent="0.2">
      <c r="A2905" s="2" t="s">
        <v>7955</v>
      </c>
      <c r="B2905" s="2" t="s">
        <v>7007</v>
      </c>
      <c r="C2905" s="2" t="s">
        <v>7956</v>
      </c>
      <c r="D2905" s="2" t="s">
        <v>10055</v>
      </c>
      <c r="G2905" s="15">
        <v>-0.33150000000000002</v>
      </c>
      <c r="H2905" s="15">
        <v>0.22589999999999999</v>
      </c>
    </row>
    <row r="2906" spans="1:9" x14ac:dyDescent="0.2">
      <c r="A2906" s="2" t="s">
        <v>7957</v>
      </c>
      <c r="B2906" s="2" t="s">
        <v>7007</v>
      </c>
      <c r="C2906" s="2" t="s">
        <v>7958</v>
      </c>
      <c r="D2906" s="2" t="s">
        <v>10055</v>
      </c>
      <c r="E2906" s="15">
        <v>0.19389999999999999</v>
      </c>
      <c r="F2906" s="15">
        <v>0.13550000000000001</v>
      </c>
      <c r="G2906" s="15">
        <v>8.5000000000000006E-2</v>
      </c>
      <c r="H2906" s="15">
        <v>0.14860000000000001</v>
      </c>
      <c r="I2906" s="15">
        <v>0.26648931294920097</v>
      </c>
    </row>
    <row r="2907" spans="1:9" x14ac:dyDescent="0.2">
      <c r="A2907" s="2" t="s">
        <v>7959</v>
      </c>
      <c r="B2907" s="2" t="s">
        <v>7007</v>
      </c>
      <c r="C2907" s="2" t="s">
        <v>7960</v>
      </c>
      <c r="D2907" s="2" t="s">
        <v>10055</v>
      </c>
      <c r="G2907" s="15">
        <v>-0.3044</v>
      </c>
      <c r="H2907" s="15">
        <v>0.51949999999999996</v>
      </c>
    </row>
    <row r="2908" spans="1:9" x14ac:dyDescent="0.2">
      <c r="A2908" s="2" t="s">
        <v>7961</v>
      </c>
      <c r="B2908" s="2" t="s">
        <v>7007</v>
      </c>
      <c r="C2908" s="2" t="s">
        <v>7962</v>
      </c>
      <c r="D2908" s="2" t="s">
        <v>10055</v>
      </c>
      <c r="G2908" s="15">
        <v>-4.9000000000000002E-2</v>
      </c>
      <c r="H2908" s="15">
        <v>0.1285</v>
      </c>
    </row>
    <row r="2909" spans="1:9" x14ac:dyDescent="0.2">
      <c r="A2909" s="2" t="s">
        <v>7963</v>
      </c>
      <c r="B2909" s="2" t="s">
        <v>7007</v>
      </c>
      <c r="C2909" s="2" t="s">
        <v>7964</v>
      </c>
      <c r="D2909" s="2" t="s">
        <v>10055</v>
      </c>
      <c r="E2909" s="15">
        <v>-4.2200000000000001E-2</v>
      </c>
      <c r="F2909" s="15">
        <v>0.18390000000000001</v>
      </c>
    </row>
    <row r="2910" spans="1:9" x14ac:dyDescent="0.2">
      <c r="A2910" s="2" t="s">
        <v>7965</v>
      </c>
      <c r="B2910" s="2" t="s">
        <v>7007</v>
      </c>
      <c r="C2910" s="2" t="s">
        <v>7966</v>
      </c>
      <c r="D2910" s="2" t="s">
        <v>10055</v>
      </c>
      <c r="E2910" s="15">
        <v>-6.2300000000000001E-2</v>
      </c>
      <c r="F2910" s="15">
        <v>0.18770000000000001</v>
      </c>
      <c r="G2910" s="15">
        <v>-5.6800000000000003E-2</v>
      </c>
      <c r="H2910" s="15">
        <v>0.13800000000000001</v>
      </c>
    </row>
    <row r="2911" spans="1:9" x14ac:dyDescent="0.2">
      <c r="A2911" s="2" t="s">
        <v>7967</v>
      </c>
      <c r="B2911" s="2" t="s">
        <v>7007</v>
      </c>
      <c r="C2911" s="2" t="s">
        <v>7968</v>
      </c>
      <c r="D2911" s="2" t="s">
        <v>10055</v>
      </c>
    </row>
    <row r="2912" spans="1:9" x14ac:dyDescent="0.2">
      <c r="A2912" s="2" t="s">
        <v>7969</v>
      </c>
      <c r="B2912" s="2" t="s">
        <v>7007</v>
      </c>
      <c r="C2912" s="2" t="s">
        <v>7970</v>
      </c>
      <c r="D2912" s="2" t="s">
        <v>10055</v>
      </c>
      <c r="E2912" s="15">
        <v>-4.5999999999999999E-3</v>
      </c>
      <c r="F2912" s="15">
        <v>0.18149999999999999</v>
      </c>
      <c r="G2912" s="15">
        <v>7.9399999999999998E-2</v>
      </c>
      <c r="H2912" s="15">
        <v>0.1109</v>
      </c>
      <c r="I2912" s="15">
        <v>0.28696658470502451</v>
      </c>
    </row>
    <row r="2913" spans="1:9" x14ac:dyDescent="0.2">
      <c r="A2913" s="2" t="s">
        <v>7971</v>
      </c>
      <c r="B2913" s="2" t="s">
        <v>7007</v>
      </c>
      <c r="C2913" s="2" t="s">
        <v>7972</v>
      </c>
      <c r="D2913" s="2" t="s">
        <v>10055</v>
      </c>
      <c r="G2913" s="15">
        <v>-7.8600000000000003E-2</v>
      </c>
      <c r="H2913" s="15">
        <v>0.2893</v>
      </c>
    </row>
    <row r="2914" spans="1:9" x14ac:dyDescent="0.2">
      <c r="A2914" s="2" t="s">
        <v>7973</v>
      </c>
      <c r="B2914" s="2" t="s">
        <v>7007</v>
      </c>
      <c r="C2914" s="2" t="s">
        <v>7974</v>
      </c>
      <c r="D2914" s="2" t="s">
        <v>10055</v>
      </c>
      <c r="E2914" s="15">
        <v>2.4299999999999999E-2</v>
      </c>
      <c r="F2914" s="15">
        <v>0.10730000000000001</v>
      </c>
    </row>
    <row r="2915" spans="1:9" x14ac:dyDescent="0.2">
      <c r="A2915" s="2" t="s">
        <v>7975</v>
      </c>
      <c r="B2915" s="2" t="s">
        <v>7007</v>
      </c>
      <c r="C2915" s="2" t="s">
        <v>7976</v>
      </c>
      <c r="D2915" s="2" t="s">
        <v>10055</v>
      </c>
      <c r="E2915" s="15">
        <v>-1.0200000000000001E-2</v>
      </c>
      <c r="F2915" s="15">
        <v>0.11210000000000001</v>
      </c>
      <c r="G2915" s="15">
        <v>-0.25240000000000001</v>
      </c>
      <c r="H2915" s="15">
        <v>0.2472</v>
      </c>
      <c r="I2915" s="15">
        <v>0.17447734434067991</v>
      </c>
    </row>
    <row r="2916" spans="1:9" x14ac:dyDescent="0.2">
      <c r="A2916" s="2" t="s">
        <v>7977</v>
      </c>
      <c r="B2916" s="2" t="s">
        <v>7007</v>
      </c>
      <c r="C2916" s="2" t="s">
        <v>7978</v>
      </c>
      <c r="D2916" s="2" t="s">
        <v>10055</v>
      </c>
      <c r="G2916" s="15">
        <v>-0.21379999999999999</v>
      </c>
      <c r="H2916" s="15">
        <v>0.35139999999999999</v>
      </c>
    </row>
    <row r="2917" spans="1:9" x14ac:dyDescent="0.2">
      <c r="A2917" s="2" t="s">
        <v>7979</v>
      </c>
      <c r="B2917" s="2" t="s">
        <v>7007</v>
      </c>
      <c r="C2917" s="2" t="s">
        <v>7980</v>
      </c>
      <c r="D2917" s="2" t="s">
        <v>10055</v>
      </c>
      <c r="E2917" s="15">
        <v>0.15709999999999999</v>
      </c>
      <c r="F2917" s="15">
        <v>0.19170000000000001</v>
      </c>
      <c r="G2917" s="15">
        <v>0.13450000000000001</v>
      </c>
      <c r="H2917" s="15">
        <v>0.13780000000000001</v>
      </c>
      <c r="I2917" s="15">
        <v>0.46368385723540989</v>
      </c>
    </row>
    <row r="2918" spans="1:9" x14ac:dyDescent="0.2">
      <c r="A2918" s="2" t="s">
        <v>7981</v>
      </c>
      <c r="B2918" s="2" t="s">
        <v>7007</v>
      </c>
      <c r="C2918" s="2" t="s">
        <v>7982</v>
      </c>
      <c r="D2918" s="2" t="s">
        <v>10055</v>
      </c>
      <c r="E2918" s="15">
        <v>7.46E-2</v>
      </c>
      <c r="F2918" s="15">
        <v>0.1532</v>
      </c>
    </row>
    <row r="2919" spans="1:9" x14ac:dyDescent="0.2">
      <c r="A2919" s="2" t="s">
        <v>7983</v>
      </c>
      <c r="B2919" s="2" t="s">
        <v>7007</v>
      </c>
      <c r="C2919" s="2" t="s">
        <v>7984</v>
      </c>
      <c r="D2919" s="2" t="s">
        <v>10055</v>
      </c>
      <c r="E2919" s="15">
        <v>0.1482</v>
      </c>
      <c r="F2919" s="15">
        <v>0.1303</v>
      </c>
    </row>
    <row r="2920" spans="1:9" x14ac:dyDescent="0.2">
      <c r="A2920" s="2" t="s">
        <v>7985</v>
      </c>
      <c r="B2920" s="2" t="s">
        <v>7007</v>
      </c>
      <c r="C2920" s="2" t="s">
        <v>7986</v>
      </c>
      <c r="D2920" s="2" t="s">
        <v>10055</v>
      </c>
      <c r="E2920" s="15">
        <v>0.24049999999999999</v>
      </c>
      <c r="F2920" s="15">
        <v>0.42730000000000001</v>
      </c>
    </row>
    <row r="2921" spans="1:9" x14ac:dyDescent="0.2">
      <c r="A2921" s="2" t="s">
        <v>7987</v>
      </c>
      <c r="B2921" s="2" t="s">
        <v>7007</v>
      </c>
      <c r="C2921" s="2" t="s">
        <v>7988</v>
      </c>
      <c r="D2921" s="2" t="s">
        <v>10055</v>
      </c>
      <c r="G2921" s="15">
        <v>-0.18779999999999999</v>
      </c>
      <c r="H2921" s="15">
        <v>0.15590000000000001</v>
      </c>
    </row>
    <row r="2922" spans="1:9" x14ac:dyDescent="0.2">
      <c r="A2922" s="2" t="s">
        <v>7989</v>
      </c>
      <c r="B2922" s="2" t="s">
        <v>7007</v>
      </c>
      <c r="C2922" s="2" t="s">
        <v>7990</v>
      </c>
      <c r="D2922" s="2" t="s">
        <v>10055</v>
      </c>
      <c r="E2922" s="15">
        <v>3.4599999999999999E-2</v>
      </c>
      <c r="F2922" s="15">
        <v>0.14910000000000001</v>
      </c>
      <c r="G2922" s="15">
        <v>-1.7999999999999999E-2</v>
      </c>
      <c r="H2922" s="15">
        <v>0.14080000000000001</v>
      </c>
      <c r="I2922" s="15">
        <v>0.38061617641146828</v>
      </c>
    </row>
    <row r="2923" spans="1:9" x14ac:dyDescent="0.2">
      <c r="A2923" s="2" t="s">
        <v>7991</v>
      </c>
      <c r="B2923" s="2" t="s">
        <v>7007</v>
      </c>
      <c r="C2923" s="2" t="s">
        <v>7992</v>
      </c>
      <c r="D2923" s="2" t="s">
        <v>10055</v>
      </c>
      <c r="E2923" s="15">
        <v>0.26629999999999998</v>
      </c>
      <c r="F2923" s="15">
        <v>0.2157</v>
      </c>
    </row>
    <row r="2924" spans="1:9" x14ac:dyDescent="0.2">
      <c r="A2924" s="2" t="s">
        <v>7993</v>
      </c>
      <c r="B2924" s="2" t="s">
        <v>7007</v>
      </c>
      <c r="C2924" s="2" t="s">
        <v>7994</v>
      </c>
      <c r="D2924" s="2" t="s">
        <v>10055</v>
      </c>
      <c r="E2924" s="15">
        <v>1.23E-2</v>
      </c>
      <c r="F2924" s="15">
        <v>0.15479999999999999</v>
      </c>
      <c r="G2924" s="15">
        <v>7.7899999999999997E-2</v>
      </c>
      <c r="H2924" s="15">
        <v>0.19700000000000001</v>
      </c>
      <c r="I2924" s="15">
        <v>0.38197504958369249</v>
      </c>
    </row>
    <row r="2925" spans="1:9" x14ac:dyDescent="0.2">
      <c r="A2925" s="2" t="s">
        <v>7995</v>
      </c>
      <c r="B2925" s="2" t="s">
        <v>7007</v>
      </c>
      <c r="C2925" s="2" t="s">
        <v>7996</v>
      </c>
      <c r="D2925" s="2" t="s">
        <v>10055</v>
      </c>
      <c r="E2925" s="15">
        <v>-4.53E-2</v>
      </c>
      <c r="F2925" s="15">
        <v>0.12039999999999999</v>
      </c>
      <c r="G2925" s="15">
        <v>-0.1759</v>
      </c>
      <c r="H2925" s="15">
        <v>0.14319999999999999</v>
      </c>
      <c r="I2925" s="15">
        <v>0.19789265187596061</v>
      </c>
    </row>
    <row r="2926" spans="1:9" x14ac:dyDescent="0.2">
      <c r="A2926" s="2" t="s">
        <v>7997</v>
      </c>
      <c r="B2926" s="2" t="s">
        <v>7007</v>
      </c>
      <c r="C2926" s="2" t="s">
        <v>7998</v>
      </c>
      <c r="D2926" s="2" t="s">
        <v>10055</v>
      </c>
      <c r="G2926" s="15">
        <v>0.1661</v>
      </c>
      <c r="H2926" s="15">
        <v>0.16420000000000001</v>
      </c>
    </row>
    <row r="2927" spans="1:9" x14ac:dyDescent="0.2">
      <c r="A2927" s="2" t="s">
        <v>7999</v>
      </c>
      <c r="B2927" s="2" t="s">
        <v>7007</v>
      </c>
      <c r="C2927" s="2" t="s">
        <v>8000</v>
      </c>
      <c r="D2927" s="2" t="s">
        <v>10055</v>
      </c>
      <c r="E2927" s="15">
        <v>7.6399999999999996E-2</v>
      </c>
      <c r="F2927" s="15">
        <v>0.19309999999999999</v>
      </c>
    </row>
    <row r="2928" spans="1:9" x14ac:dyDescent="0.2">
      <c r="A2928" s="2" t="s">
        <v>8001</v>
      </c>
      <c r="B2928" s="2" t="s">
        <v>7007</v>
      </c>
      <c r="C2928" s="2" t="s">
        <v>8002</v>
      </c>
      <c r="D2928" s="2" t="s">
        <v>10055</v>
      </c>
      <c r="E2928" s="15">
        <v>9.8199999999999996E-2</v>
      </c>
      <c r="F2928" s="15">
        <v>0.16039999999999999</v>
      </c>
      <c r="G2928" s="15">
        <v>0.1605</v>
      </c>
      <c r="H2928" s="15">
        <v>0.19020000000000001</v>
      </c>
      <c r="I2928" s="15">
        <v>0.37897528674402597</v>
      </c>
    </row>
    <row r="2929" spans="1:9" x14ac:dyDescent="0.2">
      <c r="A2929" s="2" t="s">
        <v>8003</v>
      </c>
      <c r="B2929" s="2" t="s">
        <v>7007</v>
      </c>
      <c r="C2929" s="2" t="s">
        <v>8004</v>
      </c>
      <c r="D2929" s="2" t="s">
        <v>10055</v>
      </c>
      <c r="G2929" s="15">
        <v>-0.1003</v>
      </c>
      <c r="H2929" s="15">
        <v>0.2545</v>
      </c>
    </row>
    <row r="2930" spans="1:9" x14ac:dyDescent="0.2">
      <c r="A2930" s="2" t="s">
        <v>8005</v>
      </c>
      <c r="B2930" s="2" t="s">
        <v>7007</v>
      </c>
      <c r="C2930" s="2" t="s">
        <v>8006</v>
      </c>
      <c r="D2930" s="2" t="s">
        <v>10055</v>
      </c>
      <c r="E2930" s="15">
        <v>-0.1673</v>
      </c>
      <c r="F2930" s="15">
        <v>0.11600000000000001</v>
      </c>
      <c r="G2930" s="15">
        <v>-0.20039999999999999</v>
      </c>
      <c r="H2930" s="15">
        <v>0.1925</v>
      </c>
      <c r="I2930" s="15">
        <v>0.43673703142186487</v>
      </c>
    </row>
    <row r="2931" spans="1:9" x14ac:dyDescent="0.2">
      <c r="A2931" s="2" t="s">
        <v>8007</v>
      </c>
      <c r="B2931" s="2" t="s">
        <v>7007</v>
      </c>
      <c r="C2931" s="2" t="s">
        <v>8008</v>
      </c>
      <c r="D2931" s="2" t="s">
        <v>10055</v>
      </c>
      <c r="E2931" s="15">
        <v>8.4699999999999998E-2</v>
      </c>
      <c r="F2931" s="15">
        <v>0.11260000000000001</v>
      </c>
      <c r="G2931" s="15">
        <v>-0.1356</v>
      </c>
      <c r="H2931" s="15">
        <v>0.13039999999999999</v>
      </c>
      <c r="I2931" s="15">
        <v>6.7933745942902524E-2</v>
      </c>
    </row>
    <row r="2932" spans="1:9" x14ac:dyDescent="0.2">
      <c r="A2932" s="2" t="s">
        <v>8009</v>
      </c>
      <c r="B2932" s="2" t="s">
        <v>7007</v>
      </c>
      <c r="C2932" s="2" t="s">
        <v>8010</v>
      </c>
      <c r="D2932" s="2" t="s">
        <v>10055</v>
      </c>
    </row>
    <row r="2933" spans="1:9" x14ac:dyDescent="0.2">
      <c r="A2933" s="2" t="s">
        <v>8011</v>
      </c>
      <c r="B2933" s="2" t="s">
        <v>7007</v>
      </c>
      <c r="C2933" s="2" t="s">
        <v>8012</v>
      </c>
      <c r="D2933" s="2" t="s">
        <v>10055</v>
      </c>
      <c r="E2933" s="15">
        <v>0.2056</v>
      </c>
      <c r="F2933" s="15">
        <v>8.7900000000000006E-2</v>
      </c>
      <c r="G2933" s="15">
        <v>0.29699999999999999</v>
      </c>
      <c r="H2933" s="15">
        <v>0.31359999999999999</v>
      </c>
      <c r="I2933" s="15">
        <v>0.38803131079861419</v>
      </c>
    </row>
    <row r="2934" spans="1:9" x14ac:dyDescent="0.2">
      <c r="A2934" s="2" t="s">
        <v>8013</v>
      </c>
      <c r="B2934" s="2" t="s">
        <v>7007</v>
      </c>
      <c r="C2934" s="2" t="s">
        <v>8014</v>
      </c>
      <c r="D2934" s="2" t="s">
        <v>10055</v>
      </c>
    </row>
    <row r="2935" spans="1:9" x14ac:dyDescent="0.2">
      <c r="A2935" s="2" t="s">
        <v>8015</v>
      </c>
      <c r="B2935" s="2" t="s">
        <v>7007</v>
      </c>
      <c r="C2935" s="2" t="s">
        <v>8016</v>
      </c>
      <c r="D2935" s="2" t="s">
        <v>10055</v>
      </c>
      <c r="G2935" s="15">
        <v>-0.32150000000000001</v>
      </c>
      <c r="H2935" s="15">
        <v>0.31209999999999999</v>
      </c>
    </row>
    <row r="2936" spans="1:9" x14ac:dyDescent="0.2">
      <c r="A2936" s="2" t="s">
        <v>8017</v>
      </c>
      <c r="B2936" s="2" t="s">
        <v>7007</v>
      </c>
      <c r="C2936" s="2" t="s">
        <v>8018</v>
      </c>
      <c r="D2936" s="2" t="s">
        <v>10055</v>
      </c>
      <c r="E2936" s="15">
        <v>-0.22589999999999999</v>
      </c>
      <c r="F2936" s="15">
        <v>0.25590000000000002</v>
      </c>
      <c r="G2936" s="15">
        <v>-0.1113</v>
      </c>
      <c r="H2936" s="15">
        <v>0.16669999999999999</v>
      </c>
      <c r="I2936" s="15">
        <v>0.27927768822980792</v>
      </c>
    </row>
    <row r="2937" spans="1:9" x14ac:dyDescent="0.2">
      <c r="A2937" s="2" t="s">
        <v>8019</v>
      </c>
      <c r="B2937" s="2" t="s">
        <v>7007</v>
      </c>
      <c r="C2937" s="2" t="s">
        <v>8020</v>
      </c>
      <c r="D2937" s="2" t="s">
        <v>10055</v>
      </c>
      <c r="E2937" s="15">
        <v>9.0700000000000003E-2</v>
      </c>
      <c r="F2937" s="15">
        <v>9.2399999999999996E-2</v>
      </c>
      <c r="G2937" s="15">
        <v>0.21740000000000001</v>
      </c>
      <c r="H2937" s="15">
        <v>0.19159999999999999</v>
      </c>
      <c r="I2937" s="15">
        <v>0.26891275091238748</v>
      </c>
    </row>
    <row r="2938" spans="1:9" x14ac:dyDescent="0.2">
      <c r="A2938" s="2" t="s">
        <v>8021</v>
      </c>
      <c r="B2938" s="2" t="s">
        <v>7007</v>
      </c>
      <c r="C2938" s="2" t="s">
        <v>8022</v>
      </c>
      <c r="D2938" s="2" t="s">
        <v>10055</v>
      </c>
      <c r="E2938" s="15">
        <v>-1.37E-2</v>
      </c>
      <c r="F2938" s="15">
        <v>0.13789999999999999</v>
      </c>
      <c r="G2938" s="15">
        <v>-6.6500000000000004E-2</v>
      </c>
      <c r="H2938" s="15">
        <v>0.21210000000000001</v>
      </c>
      <c r="I2938" s="15">
        <v>0.40642137489954538</v>
      </c>
    </row>
    <row r="2939" spans="1:9" x14ac:dyDescent="0.2">
      <c r="A2939" s="2" t="s">
        <v>8023</v>
      </c>
      <c r="B2939" s="2" t="s">
        <v>7007</v>
      </c>
      <c r="C2939" s="2" t="s">
        <v>8024</v>
      </c>
      <c r="D2939" s="2" t="s">
        <v>10055</v>
      </c>
      <c r="E2939" s="15">
        <v>-0.1462</v>
      </c>
      <c r="F2939" s="15">
        <v>0.1016</v>
      </c>
      <c r="G2939" s="15">
        <v>-0.1106</v>
      </c>
      <c r="H2939" s="15">
        <v>0.18129999999999999</v>
      </c>
      <c r="I2939" s="15">
        <v>0.42582151989137351</v>
      </c>
    </row>
    <row r="2940" spans="1:9" x14ac:dyDescent="0.2">
      <c r="A2940" s="2" t="s">
        <v>8025</v>
      </c>
      <c r="B2940" s="2" t="s">
        <v>7007</v>
      </c>
      <c r="C2940" s="2" t="s">
        <v>8026</v>
      </c>
      <c r="D2940" s="2" t="s">
        <v>10055</v>
      </c>
      <c r="E2940" s="15">
        <v>-2.0799999999999999E-2</v>
      </c>
      <c r="F2940" s="15">
        <v>0.14319999999999999</v>
      </c>
    </row>
    <row r="2941" spans="1:9" x14ac:dyDescent="0.2">
      <c r="A2941" s="2" t="s">
        <v>8027</v>
      </c>
      <c r="B2941" s="2" t="s">
        <v>7007</v>
      </c>
      <c r="C2941" s="2" t="s">
        <v>8028</v>
      </c>
      <c r="D2941" s="2" t="s">
        <v>10055</v>
      </c>
      <c r="E2941" s="15">
        <v>0.42370000000000002</v>
      </c>
      <c r="F2941" s="15">
        <v>0.53839999999999999</v>
      </c>
      <c r="G2941" s="15">
        <v>3.49E-2</v>
      </c>
      <c r="H2941" s="15">
        <v>0.18690000000000001</v>
      </c>
      <c r="I2941" s="15">
        <v>3.2741504018717747E-2</v>
      </c>
    </row>
    <row r="2942" spans="1:9" x14ac:dyDescent="0.2">
      <c r="A2942" s="2" t="s">
        <v>8029</v>
      </c>
      <c r="B2942" s="2" t="s">
        <v>7007</v>
      </c>
      <c r="C2942" s="2" t="s">
        <v>8030</v>
      </c>
      <c r="D2942" s="2" t="s">
        <v>10055</v>
      </c>
    </row>
    <row r="2943" spans="1:9" x14ac:dyDescent="0.2">
      <c r="A2943" s="2" t="s">
        <v>8031</v>
      </c>
      <c r="B2943" s="2" t="s">
        <v>7007</v>
      </c>
      <c r="C2943" s="2" t="s">
        <v>8032</v>
      </c>
      <c r="D2943" s="2" t="s">
        <v>10055</v>
      </c>
      <c r="E2943" s="15">
        <v>-8.2100000000000006E-2</v>
      </c>
      <c r="F2943" s="15">
        <v>0.33360000000000001</v>
      </c>
    </row>
    <row r="2944" spans="1:9" x14ac:dyDescent="0.2">
      <c r="A2944" s="2" t="s">
        <v>8033</v>
      </c>
      <c r="B2944" s="2" t="s">
        <v>7007</v>
      </c>
      <c r="C2944" s="2" t="s">
        <v>8034</v>
      </c>
      <c r="D2944" s="2" t="s">
        <v>10055</v>
      </c>
      <c r="E2944" s="15">
        <v>-0.1084</v>
      </c>
      <c r="F2944" s="15">
        <v>0.21829999999999999</v>
      </c>
    </row>
    <row r="2945" spans="1:9" x14ac:dyDescent="0.2">
      <c r="A2945" s="2" t="s">
        <v>8035</v>
      </c>
      <c r="B2945" s="2" t="s">
        <v>7007</v>
      </c>
      <c r="C2945" s="2" t="s">
        <v>8036</v>
      </c>
      <c r="D2945" s="2" t="s">
        <v>10055</v>
      </c>
      <c r="E2945" s="15">
        <v>-0.13619999999999999</v>
      </c>
      <c r="F2945" s="15">
        <v>0.15820000000000001</v>
      </c>
    </row>
    <row r="2946" spans="1:9" x14ac:dyDescent="0.2">
      <c r="A2946" s="2" t="s">
        <v>8037</v>
      </c>
      <c r="B2946" s="2" t="s">
        <v>7007</v>
      </c>
      <c r="C2946" s="2" t="s">
        <v>8038</v>
      </c>
      <c r="D2946" s="2" t="s">
        <v>10055</v>
      </c>
      <c r="E2946" s="15">
        <v>0.1636</v>
      </c>
      <c r="F2946" s="15">
        <v>0.1283</v>
      </c>
      <c r="G2946" s="15">
        <v>0.12659999999999999</v>
      </c>
      <c r="H2946" s="15">
        <v>0.15840000000000001</v>
      </c>
      <c r="I2946" s="15">
        <v>0.42241741926242871</v>
      </c>
    </row>
    <row r="2947" spans="1:9" x14ac:dyDescent="0.2">
      <c r="A2947" s="2" t="s">
        <v>8039</v>
      </c>
      <c r="B2947" s="2" t="s">
        <v>7007</v>
      </c>
      <c r="C2947" s="2" t="s">
        <v>8040</v>
      </c>
      <c r="D2947" s="2" t="s">
        <v>10055</v>
      </c>
      <c r="E2947" s="15">
        <v>-2.3800000000000002E-2</v>
      </c>
      <c r="F2947" s="15">
        <v>0.1032</v>
      </c>
      <c r="G2947" s="15">
        <v>-0.26190000000000002</v>
      </c>
      <c r="H2947" s="15">
        <v>0.15540000000000001</v>
      </c>
      <c r="I2947" s="15">
        <v>7.8753388097961854E-2</v>
      </c>
    </row>
    <row r="2948" spans="1:9" x14ac:dyDescent="0.2">
      <c r="A2948" s="2" t="s">
        <v>8041</v>
      </c>
      <c r="B2948" s="2" t="s">
        <v>7007</v>
      </c>
      <c r="C2948" s="2" t="s">
        <v>8042</v>
      </c>
      <c r="D2948" s="2" t="s">
        <v>10055</v>
      </c>
      <c r="E2948" s="15">
        <v>-6.3700000000000007E-2</v>
      </c>
      <c r="F2948" s="15">
        <v>0.21440000000000001</v>
      </c>
      <c r="G2948" s="15">
        <v>-0.1343</v>
      </c>
      <c r="H2948" s="15">
        <v>0.1217</v>
      </c>
      <c r="I2948" s="15">
        <v>0.31282343290416892</v>
      </c>
    </row>
    <row r="2949" spans="1:9" x14ac:dyDescent="0.2">
      <c r="A2949" s="2" t="s">
        <v>8043</v>
      </c>
      <c r="B2949" s="2" t="s">
        <v>7007</v>
      </c>
      <c r="C2949" s="2" t="s">
        <v>8044</v>
      </c>
      <c r="D2949" s="2" t="s">
        <v>10055</v>
      </c>
      <c r="E2949" s="15">
        <v>-1.1599999999999999E-2</v>
      </c>
      <c r="F2949" s="15">
        <v>0.15629999999999999</v>
      </c>
    </row>
    <row r="2950" spans="1:9" x14ac:dyDescent="0.2">
      <c r="A2950" s="2" t="s">
        <v>8045</v>
      </c>
      <c r="B2950" s="2" t="s">
        <v>7007</v>
      </c>
      <c r="C2950" s="2" t="s">
        <v>8046</v>
      </c>
      <c r="D2950" s="2" t="s">
        <v>10055</v>
      </c>
      <c r="E2950" s="15">
        <v>6.6299999999999998E-2</v>
      </c>
      <c r="F2950" s="15">
        <v>0.25390000000000001</v>
      </c>
    </row>
    <row r="2951" spans="1:9" x14ac:dyDescent="0.2">
      <c r="A2951" s="2" t="s">
        <v>8047</v>
      </c>
      <c r="B2951" s="2" t="s">
        <v>7007</v>
      </c>
      <c r="C2951" s="2" t="s">
        <v>8048</v>
      </c>
      <c r="D2951" s="2" t="s">
        <v>10055</v>
      </c>
      <c r="E2951" s="15">
        <v>-6.4000000000000003E-3</v>
      </c>
      <c r="F2951" s="15">
        <v>0.1162</v>
      </c>
      <c r="G2951" s="15">
        <v>0.14910000000000001</v>
      </c>
      <c r="H2951" s="15">
        <v>0.1159</v>
      </c>
      <c r="I2951" s="15">
        <v>0.1173939422025207</v>
      </c>
    </row>
    <row r="2952" spans="1:9" x14ac:dyDescent="0.2">
      <c r="A2952" s="2" t="s">
        <v>8049</v>
      </c>
      <c r="B2952" s="2" t="s">
        <v>7007</v>
      </c>
      <c r="C2952" s="2" t="s">
        <v>8050</v>
      </c>
      <c r="D2952" s="2" t="s">
        <v>10055</v>
      </c>
      <c r="E2952" s="15">
        <v>0.41599999999999998</v>
      </c>
      <c r="F2952" s="15">
        <v>1.4325000000000001</v>
      </c>
      <c r="G2952" s="15">
        <v>-1.06E-2</v>
      </c>
      <c r="H2952" s="15">
        <v>0.12479999999999999</v>
      </c>
      <c r="I2952" s="15">
        <v>1.824386740245297E-3</v>
      </c>
    </row>
    <row r="2953" spans="1:9" x14ac:dyDescent="0.2">
      <c r="A2953" s="2" t="s">
        <v>8051</v>
      </c>
      <c r="B2953" s="2" t="s">
        <v>7007</v>
      </c>
      <c r="C2953" s="2" t="s">
        <v>8052</v>
      </c>
      <c r="D2953" s="2" t="s">
        <v>10055</v>
      </c>
      <c r="G2953" s="15">
        <v>9.5000000000000001E-2</v>
      </c>
      <c r="H2953" s="15">
        <v>0.1449</v>
      </c>
    </row>
    <row r="2954" spans="1:9" x14ac:dyDescent="0.2">
      <c r="A2954" s="2" t="s">
        <v>8053</v>
      </c>
      <c r="B2954" s="2" t="s">
        <v>7007</v>
      </c>
      <c r="C2954" s="2" t="s">
        <v>8054</v>
      </c>
      <c r="D2954" s="2" t="s">
        <v>10055</v>
      </c>
      <c r="E2954" s="15">
        <v>-5.4300000000000001E-2</v>
      </c>
      <c r="F2954" s="15">
        <v>0.1183</v>
      </c>
      <c r="G2954" s="15">
        <v>-0.17799999999999999</v>
      </c>
      <c r="H2954" s="15">
        <v>0.1615</v>
      </c>
      <c r="I2954" s="15">
        <v>0.24129781889122431</v>
      </c>
    </row>
    <row r="2955" spans="1:9" x14ac:dyDescent="0.2">
      <c r="A2955" s="2" t="s">
        <v>8055</v>
      </c>
      <c r="B2955" s="2" t="s">
        <v>7007</v>
      </c>
      <c r="C2955" s="2" t="s">
        <v>8056</v>
      </c>
      <c r="D2955" s="2" t="s">
        <v>10055</v>
      </c>
      <c r="E2955" s="15">
        <v>0.14069999999999999</v>
      </c>
      <c r="F2955" s="15">
        <v>0.1852</v>
      </c>
      <c r="G2955" s="15">
        <v>7.8100000000000003E-2</v>
      </c>
      <c r="H2955" s="15">
        <v>0.18429999999999999</v>
      </c>
      <c r="I2955" s="15">
        <v>0.37712286396099642</v>
      </c>
    </row>
    <row r="2956" spans="1:9" x14ac:dyDescent="0.2">
      <c r="A2956" s="2" t="s">
        <v>8057</v>
      </c>
      <c r="B2956" s="2" t="s">
        <v>7007</v>
      </c>
      <c r="C2956" s="2" t="s">
        <v>8058</v>
      </c>
      <c r="D2956" s="2" t="s">
        <v>10055</v>
      </c>
      <c r="E2956" s="15">
        <v>-0.28370000000000001</v>
      </c>
      <c r="F2956" s="15">
        <v>0.22839999999999999</v>
      </c>
    </row>
    <row r="2957" spans="1:9" x14ac:dyDescent="0.2">
      <c r="A2957" s="2" t="s">
        <v>8059</v>
      </c>
      <c r="B2957" s="2" t="s">
        <v>7007</v>
      </c>
      <c r="C2957" s="2" t="s">
        <v>8060</v>
      </c>
      <c r="D2957" s="2" t="s">
        <v>10055</v>
      </c>
      <c r="E2957" s="15">
        <v>-0.1512</v>
      </c>
      <c r="F2957" s="15">
        <v>0.28449999999999998</v>
      </c>
      <c r="G2957" s="15">
        <v>-1.83E-2</v>
      </c>
      <c r="H2957" s="15">
        <v>0.192</v>
      </c>
      <c r="I2957" s="15">
        <v>0.26370730284576771</v>
      </c>
    </row>
    <row r="2958" spans="1:9" x14ac:dyDescent="0.2">
      <c r="A2958" s="2" t="s">
        <v>8061</v>
      </c>
      <c r="B2958" s="2" t="s">
        <v>7007</v>
      </c>
      <c r="C2958" s="2" t="s">
        <v>8062</v>
      </c>
      <c r="D2958" s="2" t="s">
        <v>10055</v>
      </c>
      <c r="E2958" s="15">
        <v>6.7799999999999999E-2</v>
      </c>
      <c r="F2958" s="15">
        <v>0.13200000000000001</v>
      </c>
      <c r="G2958" s="15">
        <v>-0.15060000000000001</v>
      </c>
      <c r="H2958" s="15">
        <v>0.1159</v>
      </c>
      <c r="I2958" s="15">
        <v>7.6829504417854175E-2</v>
      </c>
    </row>
    <row r="2959" spans="1:9" x14ac:dyDescent="0.2">
      <c r="A2959" s="2" t="s">
        <v>8063</v>
      </c>
      <c r="B2959" s="2" t="s">
        <v>7007</v>
      </c>
      <c r="C2959" s="2" t="s">
        <v>8064</v>
      </c>
      <c r="D2959" s="2" t="s">
        <v>10055</v>
      </c>
    </row>
    <row r="2960" spans="1:9" x14ac:dyDescent="0.2">
      <c r="A2960" s="2" t="s">
        <v>8065</v>
      </c>
      <c r="B2960" s="2" t="s">
        <v>7007</v>
      </c>
      <c r="C2960" s="2" t="s">
        <v>8066</v>
      </c>
      <c r="D2960" s="2" t="s">
        <v>10055</v>
      </c>
      <c r="E2960" s="15">
        <v>0.24049999999999999</v>
      </c>
      <c r="F2960" s="15">
        <v>0.11749999999999999</v>
      </c>
      <c r="G2960" s="15">
        <v>7.4999999999999997E-3</v>
      </c>
      <c r="H2960" s="15">
        <v>0.1694</v>
      </c>
      <c r="I2960" s="15">
        <v>0.1049528995793293</v>
      </c>
    </row>
    <row r="2961" spans="1:9" x14ac:dyDescent="0.2">
      <c r="A2961" s="2" t="s">
        <v>8067</v>
      </c>
      <c r="B2961" s="2" t="s">
        <v>7007</v>
      </c>
      <c r="C2961" s="2" t="s">
        <v>8068</v>
      </c>
      <c r="D2961" s="2" t="s">
        <v>10055</v>
      </c>
      <c r="G2961" s="15">
        <v>0.2147</v>
      </c>
      <c r="H2961" s="15">
        <v>0.27579999999999999</v>
      </c>
    </row>
    <row r="2962" spans="1:9" x14ac:dyDescent="0.2">
      <c r="A2962" s="2" t="s">
        <v>8069</v>
      </c>
      <c r="B2962" s="2" t="s">
        <v>7007</v>
      </c>
      <c r="C2962" s="2" t="s">
        <v>8070</v>
      </c>
      <c r="D2962" s="2" t="s">
        <v>10055</v>
      </c>
      <c r="E2962" s="15">
        <v>3.7999999999999999E-2</v>
      </c>
      <c r="F2962" s="15">
        <v>0.1144</v>
      </c>
      <c r="G2962" s="15">
        <v>-0.2843</v>
      </c>
      <c r="H2962" s="15">
        <v>0.42159999999999997</v>
      </c>
      <c r="I2962" s="15">
        <v>0.22491360704283631</v>
      </c>
    </row>
    <row r="2963" spans="1:9" x14ac:dyDescent="0.2">
      <c r="A2963" s="2" t="s">
        <v>8071</v>
      </c>
      <c r="B2963" s="2" t="s">
        <v>7007</v>
      </c>
      <c r="C2963" s="2" t="s">
        <v>8072</v>
      </c>
      <c r="D2963" s="2" t="s">
        <v>10055</v>
      </c>
      <c r="E2963" s="15">
        <v>-3.1E-2</v>
      </c>
      <c r="F2963" s="15">
        <v>0.1182</v>
      </c>
    </row>
    <row r="2964" spans="1:9" x14ac:dyDescent="0.2">
      <c r="A2964" s="2" t="s">
        <v>8073</v>
      </c>
      <c r="B2964" s="2" t="s">
        <v>7007</v>
      </c>
      <c r="C2964" s="2" t="s">
        <v>8074</v>
      </c>
      <c r="D2964" s="2" t="s">
        <v>10055</v>
      </c>
      <c r="E2964" s="15">
        <v>9.5600000000000004E-2</v>
      </c>
      <c r="F2964" s="15">
        <v>0.10440000000000001</v>
      </c>
      <c r="G2964" s="15">
        <v>-4.8399999999999999E-2</v>
      </c>
      <c r="H2964" s="15">
        <v>0.2056</v>
      </c>
      <c r="I2964" s="15">
        <v>0.25809021974837348</v>
      </c>
    </row>
    <row r="2965" spans="1:9" x14ac:dyDescent="0.2">
      <c r="A2965" s="2" t="s">
        <v>8075</v>
      </c>
      <c r="B2965" s="2" t="s">
        <v>7007</v>
      </c>
      <c r="C2965" s="2" t="s">
        <v>8076</v>
      </c>
      <c r="D2965" s="2" t="s">
        <v>10055</v>
      </c>
      <c r="E2965" s="15">
        <v>0.21190000000000001</v>
      </c>
      <c r="F2965" s="15">
        <v>0.2054</v>
      </c>
    </row>
    <row r="2966" spans="1:9" x14ac:dyDescent="0.2">
      <c r="A2966" s="2" t="s">
        <v>8077</v>
      </c>
      <c r="B2966" s="2" t="s">
        <v>7007</v>
      </c>
      <c r="C2966" s="2" t="s">
        <v>8078</v>
      </c>
      <c r="D2966" s="2" t="s">
        <v>10055</v>
      </c>
      <c r="E2966" s="15">
        <v>-0.23169999999999999</v>
      </c>
      <c r="F2966" s="15">
        <v>0.2145</v>
      </c>
      <c r="G2966" s="15">
        <v>-6.0000000000000001E-3</v>
      </c>
      <c r="H2966" s="15">
        <v>0.123</v>
      </c>
      <c r="I2966" s="15">
        <v>8.6384027823900575E-2</v>
      </c>
    </row>
    <row r="2967" spans="1:9" x14ac:dyDescent="0.2">
      <c r="A2967" s="2" t="s">
        <v>8079</v>
      </c>
      <c r="B2967" s="2" t="s">
        <v>7007</v>
      </c>
      <c r="C2967" s="2" t="s">
        <v>8080</v>
      </c>
      <c r="D2967" s="2" t="s">
        <v>10055</v>
      </c>
      <c r="G2967" s="15">
        <v>2.8E-3</v>
      </c>
      <c r="H2967" s="15">
        <v>0.16719999999999999</v>
      </c>
    </row>
    <row r="2968" spans="1:9" x14ac:dyDescent="0.2">
      <c r="A2968" s="2" t="s">
        <v>8081</v>
      </c>
      <c r="B2968" s="2" t="s">
        <v>7007</v>
      </c>
      <c r="C2968" s="2" t="s">
        <v>8082</v>
      </c>
      <c r="D2968" s="2" t="s">
        <v>10055</v>
      </c>
      <c r="E2968" s="15">
        <v>0.1895</v>
      </c>
      <c r="F2968" s="15">
        <v>0.60860000000000003</v>
      </c>
      <c r="G2968" s="15">
        <v>-6.0900000000000003E-2</v>
      </c>
      <c r="H2968" s="15">
        <v>0.20039999999999999</v>
      </c>
      <c r="I2968" s="15">
        <v>0.1264308643183919</v>
      </c>
    </row>
    <row r="2969" spans="1:9" x14ac:dyDescent="0.2">
      <c r="A2969" s="2" t="s">
        <v>8083</v>
      </c>
      <c r="B2969" s="2" t="s">
        <v>7007</v>
      </c>
      <c r="C2969" s="2" t="s">
        <v>8084</v>
      </c>
      <c r="D2969" s="2" t="s">
        <v>10055</v>
      </c>
    </row>
    <row r="2970" spans="1:9" x14ac:dyDescent="0.2">
      <c r="A2970" s="2" t="s">
        <v>8085</v>
      </c>
      <c r="B2970" s="2" t="s">
        <v>7007</v>
      </c>
      <c r="C2970" s="2" t="s">
        <v>8086</v>
      </c>
      <c r="D2970" s="2" t="s">
        <v>10055</v>
      </c>
      <c r="E2970" s="15">
        <v>0.1699</v>
      </c>
      <c r="F2970" s="15">
        <v>0.21709999999999999</v>
      </c>
      <c r="G2970" s="15">
        <v>-0.26319999999999999</v>
      </c>
      <c r="H2970" s="15">
        <v>0.33710000000000001</v>
      </c>
      <c r="I2970" s="15">
        <v>0.135279108926495</v>
      </c>
    </row>
    <row r="2971" spans="1:9" x14ac:dyDescent="0.2">
      <c r="A2971" s="2" t="s">
        <v>8087</v>
      </c>
      <c r="B2971" s="2" t="s">
        <v>7007</v>
      </c>
      <c r="C2971" s="2" t="s">
        <v>8088</v>
      </c>
      <c r="D2971" s="2" t="s">
        <v>10055</v>
      </c>
      <c r="E2971" s="15">
        <v>-5.9400000000000001E-2</v>
      </c>
      <c r="F2971" s="15">
        <v>0.12790000000000001</v>
      </c>
      <c r="G2971" s="15">
        <v>2.3900000000000001E-2</v>
      </c>
      <c r="H2971" s="15">
        <v>0.1084</v>
      </c>
      <c r="I2971" s="15">
        <v>0.27538492672228859</v>
      </c>
    </row>
    <row r="2972" spans="1:9" x14ac:dyDescent="0.2">
      <c r="A2972" s="2" t="s">
        <v>8089</v>
      </c>
      <c r="B2972" s="2" t="s">
        <v>7007</v>
      </c>
      <c r="C2972" s="2" t="s">
        <v>8090</v>
      </c>
      <c r="D2972" s="2" t="s">
        <v>10055</v>
      </c>
      <c r="G2972" s="15">
        <v>-0.2029</v>
      </c>
      <c r="H2972" s="15">
        <v>0.35520000000000002</v>
      </c>
    </row>
    <row r="2973" spans="1:9" x14ac:dyDescent="0.2">
      <c r="A2973" s="2" t="s">
        <v>8091</v>
      </c>
      <c r="B2973" s="2" t="s">
        <v>7007</v>
      </c>
      <c r="C2973" s="2" t="s">
        <v>8092</v>
      </c>
      <c r="D2973" s="2" t="s">
        <v>10055</v>
      </c>
      <c r="E2973" s="15">
        <v>-0.19170000000000001</v>
      </c>
      <c r="F2973" s="15">
        <v>0.35220000000000001</v>
      </c>
      <c r="G2973" s="15">
        <v>3.15E-2</v>
      </c>
      <c r="H2973" s="15">
        <v>0.16439999999999999</v>
      </c>
      <c r="I2973" s="15">
        <v>0.1075404889214687</v>
      </c>
    </row>
    <row r="2974" spans="1:9" x14ac:dyDescent="0.2">
      <c r="A2974" s="2" t="s">
        <v>8093</v>
      </c>
      <c r="B2974" s="2" t="s">
        <v>7007</v>
      </c>
      <c r="C2974" s="2" t="s">
        <v>8094</v>
      </c>
      <c r="D2974" s="2" t="s">
        <v>10055</v>
      </c>
    </row>
    <row r="2975" spans="1:9" x14ac:dyDescent="0.2">
      <c r="A2975" s="2" t="s">
        <v>8095</v>
      </c>
      <c r="B2975" s="2" t="s">
        <v>7007</v>
      </c>
      <c r="C2975" s="2" t="s">
        <v>8096</v>
      </c>
      <c r="D2975" s="2" t="s">
        <v>10055</v>
      </c>
      <c r="E2975" s="15">
        <v>-0.1057</v>
      </c>
      <c r="F2975" s="15">
        <v>0.113</v>
      </c>
      <c r="G2975" s="15">
        <v>-2.8000000000000001E-2</v>
      </c>
      <c r="H2975" s="15">
        <v>0.19320000000000001</v>
      </c>
      <c r="I2975" s="15">
        <v>0.37570013522450318</v>
      </c>
    </row>
    <row r="2976" spans="1:9" x14ac:dyDescent="0.2">
      <c r="A2976" s="2" t="s">
        <v>8097</v>
      </c>
      <c r="B2976" s="2" t="s">
        <v>7007</v>
      </c>
      <c r="C2976" s="2" t="s">
        <v>8098</v>
      </c>
      <c r="D2976" s="2" t="s">
        <v>10055</v>
      </c>
      <c r="E2976" s="15">
        <v>0.1217</v>
      </c>
      <c r="F2976" s="15">
        <v>9.9699999999999997E-2</v>
      </c>
      <c r="G2976" s="15">
        <v>0.249</v>
      </c>
      <c r="H2976" s="15">
        <v>0.20749999999999999</v>
      </c>
      <c r="I2976" s="15">
        <v>0.29741299177812952</v>
      </c>
    </row>
    <row r="2977" spans="1:9" x14ac:dyDescent="0.2">
      <c r="A2977" s="2" t="s">
        <v>8099</v>
      </c>
      <c r="B2977" s="2" t="s">
        <v>7007</v>
      </c>
      <c r="C2977" s="2" t="s">
        <v>8100</v>
      </c>
      <c r="D2977" s="2" t="s">
        <v>10055</v>
      </c>
      <c r="E2977" s="15">
        <v>0.24279999999999999</v>
      </c>
      <c r="F2977" s="15">
        <v>0.13</v>
      </c>
      <c r="G2977" s="15">
        <v>-8.48E-2</v>
      </c>
      <c r="H2977" s="15">
        <v>0.1744</v>
      </c>
      <c r="I2977" s="15">
        <v>5.2981428543641088E-2</v>
      </c>
    </row>
    <row r="2978" spans="1:9" x14ac:dyDescent="0.2">
      <c r="A2978" s="2" t="s">
        <v>8101</v>
      </c>
      <c r="B2978" s="2" t="s">
        <v>7007</v>
      </c>
      <c r="C2978" s="2" t="s">
        <v>8102</v>
      </c>
      <c r="D2978" s="2" t="s">
        <v>10055</v>
      </c>
      <c r="G2978" s="15">
        <v>7.6999999999999999E-2</v>
      </c>
      <c r="H2978" s="15">
        <v>0.2082</v>
      </c>
    </row>
    <row r="2979" spans="1:9" x14ac:dyDescent="0.2">
      <c r="A2979" s="2" t="s">
        <v>8103</v>
      </c>
      <c r="B2979" s="2" t="s">
        <v>7007</v>
      </c>
      <c r="C2979" s="2" t="s">
        <v>8104</v>
      </c>
      <c r="D2979" s="2" t="s">
        <v>10055</v>
      </c>
    </row>
    <row r="2980" spans="1:9" x14ac:dyDescent="0.2">
      <c r="A2980" s="2" t="s">
        <v>8105</v>
      </c>
      <c r="B2980" s="2" t="s">
        <v>7007</v>
      </c>
      <c r="C2980" s="2" t="s">
        <v>8106</v>
      </c>
      <c r="D2980" s="2" t="s">
        <v>10055</v>
      </c>
      <c r="E2980" s="15">
        <v>0.11119999999999999</v>
      </c>
      <c r="F2980" s="15">
        <v>0.1799</v>
      </c>
    </row>
    <row r="2981" spans="1:9" x14ac:dyDescent="0.2">
      <c r="A2981" s="2" t="s">
        <v>8107</v>
      </c>
      <c r="B2981" s="2" t="s">
        <v>7007</v>
      </c>
      <c r="C2981" s="2" t="s">
        <v>8108</v>
      </c>
      <c r="D2981" s="2" t="s">
        <v>10055</v>
      </c>
      <c r="G2981" s="15">
        <v>8.3299999999999999E-2</v>
      </c>
      <c r="H2981" s="15">
        <v>0.1527</v>
      </c>
    </row>
    <row r="2982" spans="1:9" x14ac:dyDescent="0.2">
      <c r="A2982" s="2" t="s">
        <v>8109</v>
      </c>
      <c r="B2982" s="2" t="s">
        <v>7007</v>
      </c>
      <c r="C2982" s="2" t="s">
        <v>8110</v>
      </c>
      <c r="D2982" s="2" t="s">
        <v>10055</v>
      </c>
      <c r="E2982" s="15">
        <v>-4.9200000000000001E-2</v>
      </c>
      <c r="F2982" s="15">
        <v>0.14180000000000001</v>
      </c>
      <c r="G2982" s="15">
        <v>-0.1193</v>
      </c>
      <c r="H2982" s="15">
        <v>0.12670000000000001</v>
      </c>
      <c r="I2982" s="15">
        <v>0.31076251878044192</v>
      </c>
    </row>
    <row r="2983" spans="1:9" x14ac:dyDescent="0.2">
      <c r="A2983" s="2" t="s">
        <v>8111</v>
      </c>
      <c r="B2983" s="2" t="s">
        <v>7007</v>
      </c>
      <c r="C2983" s="2" t="s">
        <v>8112</v>
      </c>
      <c r="D2983" s="2" t="s">
        <v>10055</v>
      </c>
      <c r="E2983" s="15">
        <v>8.5999999999999993E-2</v>
      </c>
      <c r="F2983" s="15">
        <v>0.11020000000000001</v>
      </c>
      <c r="G2983" s="15">
        <v>0.19309999999999999</v>
      </c>
      <c r="H2983" s="15">
        <v>0.20369999999999999</v>
      </c>
      <c r="I2983" s="15">
        <v>0.31045422182389698</v>
      </c>
    </row>
    <row r="2984" spans="1:9" x14ac:dyDescent="0.2">
      <c r="A2984" s="2" t="s">
        <v>8113</v>
      </c>
      <c r="B2984" s="2" t="s">
        <v>7007</v>
      </c>
      <c r="C2984" s="2" t="s">
        <v>8114</v>
      </c>
      <c r="D2984" s="2" t="s">
        <v>10055</v>
      </c>
      <c r="E2984" s="15">
        <v>0.27139999999999997</v>
      </c>
      <c r="F2984" s="15">
        <v>0.13220000000000001</v>
      </c>
      <c r="G2984" s="15">
        <v>0.2802</v>
      </c>
      <c r="H2984" s="15">
        <v>0.16039999999999999</v>
      </c>
      <c r="I2984" s="15">
        <v>0.48659640615878702</v>
      </c>
    </row>
    <row r="2985" spans="1:9" x14ac:dyDescent="0.2">
      <c r="A2985" s="2" t="s">
        <v>8115</v>
      </c>
      <c r="B2985" s="2" t="s">
        <v>7007</v>
      </c>
      <c r="C2985" s="2" t="s">
        <v>8116</v>
      </c>
      <c r="D2985" s="2" t="s">
        <v>10055</v>
      </c>
      <c r="G2985" s="15">
        <v>9.9000000000000008E-3</v>
      </c>
      <c r="H2985" s="15">
        <v>9.9199999999999997E-2</v>
      </c>
    </row>
    <row r="2986" spans="1:9" x14ac:dyDescent="0.2">
      <c r="A2986" s="2" t="s">
        <v>8117</v>
      </c>
      <c r="B2986" s="2" t="s">
        <v>7007</v>
      </c>
      <c r="C2986" s="2" t="s">
        <v>8118</v>
      </c>
      <c r="D2986" s="2" t="s">
        <v>10055</v>
      </c>
      <c r="E2986" s="15">
        <v>-0.28289999999999998</v>
      </c>
      <c r="F2986" s="15">
        <v>0.21049999999999999</v>
      </c>
      <c r="G2986" s="15">
        <v>9.0800000000000006E-2</v>
      </c>
      <c r="H2986" s="15">
        <v>0.218</v>
      </c>
      <c r="I2986" s="15">
        <v>5.2833341366895638E-2</v>
      </c>
    </row>
    <row r="2987" spans="1:9" x14ac:dyDescent="0.2">
      <c r="A2987" s="2" t="s">
        <v>8119</v>
      </c>
      <c r="B2987" s="2" t="s">
        <v>7007</v>
      </c>
      <c r="C2987" s="2" t="s">
        <v>8120</v>
      </c>
      <c r="D2987" s="2" t="s">
        <v>10055</v>
      </c>
      <c r="E2987" s="15">
        <v>-4.7500000000000001E-2</v>
      </c>
      <c r="F2987" s="15">
        <v>0.1993</v>
      </c>
      <c r="G2987" s="15">
        <v>0.1308</v>
      </c>
      <c r="H2987" s="15">
        <v>0.2969</v>
      </c>
      <c r="I2987" s="15">
        <v>0.2827787161431502</v>
      </c>
    </row>
    <row r="2988" spans="1:9" x14ac:dyDescent="0.2">
      <c r="A2988" s="2" t="s">
        <v>8121</v>
      </c>
      <c r="B2988" s="2" t="s">
        <v>7007</v>
      </c>
      <c r="C2988" s="2" t="s">
        <v>8122</v>
      </c>
      <c r="D2988" s="2" t="s">
        <v>10055</v>
      </c>
      <c r="E2988" s="15">
        <v>-5.7599999999999998E-2</v>
      </c>
      <c r="F2988" s="15">
        <v>0.13220000000000001</v>
      </c>
      <c r="G2988" s="15">
        <v>-0.1212</v>
      </c>
      <c r="H2988" s="15">
        <v>0.14610000000000001</v>
      </c>
      <c r="I2988" s="15">
        <v>0.37421688273898462</v>
      </c>
    </row>
    <row r="2989" spans="1:9" x14ac:dyDescent="0.2">
      <c r="A2989" s="2" t="s">
        <v>8123</v>
      </c>
      <c r="B2989" s="2" t="s">
        <v>7007</v>
      </c>
      <c r="C2989" s="2" t="s">
        <v>8124</v>
      </c>
      <c r="D2989" s="2" t="s">
        <v>10055</v>
      </c>
      <c r="E2989" s="15">
        <v>-0.1404</v>
      </c>
      <c r="F2989" s="15">
        <v>0.1898</v>
      </c>
      <c r="G2989" s="15">
        <v>-0.1338</v>
      </c>
      <c r="H2989" s="15">
        <v>0.10929999999999999</v>
      </c>
      <c r="I2989" s="15">
        <v>0.48088974897372688</v>
      </c>
    </row>
    <row r="2990" spans="1:9" x14ac:dyDescent="0.2">
      <c r="A2990" s="2" t="s">
        <v>8125</v>
      </c>
      <c r="B2990" s="2" t="s">
        <v>7007</v>
      </c>
      <c r="C2990" s="2" t="s">
        <v>8126</v>
      </c>
      <c r="D2990" s="2" t="s">
        <v>10055</v>
      </c>
      <c r="E2990" s="15">
        <v>-0.23710000000000001</v>
      </c>
      <c r="F2990" s="15">
        <v>0.11749999999999999</v>
      </c>
    </row>
    <row r="2991" spans="1:9" x14ac:dyDescent="0.2">
      <c r="A2991" s="2" t="s">
        <v>8127</v>
      </c>
      <c r="B2991" s="2" t="s">
        <v>7007</v>
      </c>
      <c r="C2991" s="2" t="s">
        <v>8128</v>
      </c>
      <c r="D2991" s="2" t="s">
        <v>10055</v>
      </c>
      <c r="E2991" s="15">
        <v>-3.9300000000000002E-2</v>
      </c>
      <c r="F2991" s="15">
        <v>0.13200000000000001</v>
      </c>
    </row>
    <row r="2992" spans="1:9" x14ac:dyDescent="0.2">
      <c r="A2992" s="2" t="s">
        <v>8129</v>
      </c>
      <c r="B2992" s="2" t="s">
        <v>7007</v>
      </c>
      <c r="C2992" s="2" t="s">
        <v>8130</v>
      </c>
      <c r="D2992" s="2" t="s">
        <v>10055</v>
      </c>
      <c r="G2992" s="15">
        <v>-0.13109999999999999</v>
      </c>
      <c r="H2992" s="15">
        <v>0.1799</v>
      </c>
    </row>
    <row r="2993" spans="1:9" x14ac:dyDescent="0.2">
      <c r="A2993" s="2" t="s">
        <v>8131</v>
      </c>
      <c r="B2993" s="2" t="s">
        <v>7007</v>
      </c>
      <c r="C2993" s="2" t="s">
        <v>8132</v>
      </c>
      <c r="D2993" s="2" t="s">
        <v>10055</v>
      </c>
      <c r="E2993" s="15">
        <v>4.0099999999999997E-2</v>
      </c>
      <c r="F2993" s="15">
        <v>0.13120000000000001</v>
      </c>
      <c r="G2993" s="15">
        <v>3.3999999999999998E-3</v>
      </c>
      <c r="H2993" s="15">
        <v>0.104</v>
      </c>
      <c r="I2993" s="15">
        <v>0.37925454727460262</v>
      </c>
    </row>
    <row r="2994" spans="1:9" x14ac:dyDescent="0.2">
      <c r="A2994" s="2" t="s">
        <v>8133</v>
      </c>
      <c r="B2994" s="2" t="s">
        <v>7007</v>
      </c>
      <c r="C2994" s="2" t="s">
        <v>8134</v>
      </c>
      <c r="D2994" s="2" t="s">
        <v>10055</v>
      </c>
    </row>
    <row r="2995" spans="1:9" x14ac:dyDescent="0.2">
      <c r="A2995" s="2" t="s">
        <v>8135</v>
      </c>
      <c r="B2995" s="2" t="s">
        <v>7007</v>
      </c>
      <c r="C2995" s="2" t="s">
        <v>8136</v>
      </c>
      <c r="D2995" s="2" t="s">
        <v>10055</v>
      </c>
      <c r="E2995" s="15">
        <v>2.5999999999999999E-3</v>
      </c>
      <c r="F2995" s="15">
        <v>0.2356</v>
      </c>
    </row>
    <row r="2996" spans="1:9" x14ac:dyDescent="0.2">
      <c r="A2996" s="2" t="s">
        <v>8137</v>
      </c>
      <c r="B2996" s="2" t="s">
        <v>7007</v>
      </c>
      <c r="C2996" s="2" t="s">
        <v>8138</v>
      </c>
      <c r="D2996" s="2" t="s">
        <v>10055</v>
      </c>
      <c r="E2996" s="15">
        <v>-0.1575</v>
      </c>
      <c r="F2996" s="15">
        <v>0.15379999999999999</v>
      </c>
      <c r="G2996" s="15">
        <v>6.5299999999999997E-2</v>
      </c>
      <c r="H2996" s="15">
        <v>0.11219999999999999</v>
      </c>
      <c r="I2996" s="15">
        <v>0.17083373667769849</v>
      </c>
    </row>
    <row r="2997" spans="1:9" x14ac:dyDescent="0.2">
      <c r="A2997" s="2" t="s">
        <v>8139</v>
      </c>
      <c r="B2997" s="2" t="s">
        <v>7007</v>
      </c>
      <c r="C2997" s="2" t="s">
        <v>8140</v>
      </c>
      <c r="D2997" s="2" t="s">
        <v>10055</v>
      </c>
      <c r="E2997" s="15">
        <v>-2E-3</v>
      </c>
      <c r="F2997" s="15">
        <v>0.21029999999999999</v>
      </c>
    </row>
    <row r="2998" spans="1:9" x14ac:dyDescent="0.2">
      <c r="A2998" s="2" t="s">
        <v>8141</v>
      </c>
      <c r="B2998" s="2" t="s">
        <v>7007</v>
      </c>
      <c r="C2998" s="2" t="s">
        <v>8142</v>
      </c>
      <c r="D2998" s="2" t="s">
        <v>10055</v>
      </c>
      <c r="E2998" s="15">
        <v>0.16639999999999999</v>
      </c>
      <c r="F2998" s="15">
        <v>0.1777</v>
      </c>
    </row>
    <row r="2999" spans="1:9" x14ac:dyDescent="0.2">
      <c r="A2999" s="2" t="s">
        <v>8143</v>
      </c>
      <c r="B2999" s="2" t="s">
        <v>7007</v>
      </c>
      <c r="C2999" s="2" t="s">
        <v>8144</v>
      </c>
      <c r="D2999" s="2" t="s">
        <v>10055</v>
      </c>
      <c r="E2999" s="15">
        <v>-0.25109999999999999</v>
      </c>
      <c r="F2999" s="15">
        <v>0.22589999999999999</v>
      </c>
    </row>
    <row r="3000" spans="1:9" x14ac:dyDescent="0.2">
      <c r="A3000" s="2" t="s">
        <v>8145</v>
      </c>
      <c r="B3000" s="2" t="s">
        <v>7007</v>
      </c>
      <c r="C3000" s="2" t="s">
        <v>8146</v>
      </c>
      <c r="D3000" s="2" t="s">
        <v>10055</v>
      </c>
      <c r="E3000" s="15">
        <v>3.7100000000000001E-2</v>
      </c>
      <c r="F3000" s="15">
        <v>0.1208</v>
      </c>
    </row>
    <row r="3001" spans="1:9" x14ac:dyDescent="0.2">
      <c r="A3001" s="2" t="s">
        <v>8147</v>
      </c>
      <c r="B3001" s="2" t="s">
        <v>7007</v>
      </c>
      <c r="C3001" s="2" t="s">
        <v>8148</v>
      </c>
      <c r="D3001" s="2" t="s">
        <v>10055</v>
      </c>
    </row>
    <row r="3002" spans="1:9" x14ac:dyDescent="0.2">
      <c r="A3002" s="2" t="s">
        <v>8149</v>
      </c>
      <c r="B3002" s="2" t="s">
        <v>7007</v>
      </c>
      <c r="C3002" s="2" t="s">
        <v>8150</v>
      </c>
      <c r="D3002" s="2" t="s">
        <v>10055</v>
      </c>
      <c r="E3002" s="15">
        <v>0.35610000000000003</v>
      </c>
      <c r="F3002" s="15">
        <v>1.8872</v>
      </c>
    </row>
    <row r="3003" spans="1:9" x14ac:dyDescent="0.2">
      <c r="A3003" s="2" t="s">
        <v>8151</v>
      </c>
      <c r="B3003" s="2" t="s">
        <v>7007</v>
      </c>
      <c r="C3003" s="2" t="s">
        <v>8152</v>
      </c>
      <c r="D3003" s="2" t="s">
        <v>10055</v>
      </c>
      <c r="G3003" s="15">
        <v>-0.25800000000000001</v>
      </c>
      <c r="H3003" s="15">
        <v>0.35099999999999998</v>
      </c>
    </row>
    <row r="3004" spans="1:9" x14ac:dyDescent="0.2">
      <c r="A3004" s="2" t="s">
        <v>8153</v>
      </c>
      <c r="B3004" s="2" t="s">
        <v>7007</v>
      </c>
      <c r="C3004" s="2" t="s">
        <v>8154</v>
      </c>
      <c r="D3004" s="2" t="s">
        <v>10055</v>
      </c>
      <c r="G3004" s="15">
        <v>0.26800000000000002</v>
      </c>
      <c r="H3004" s="15">
        <v>0.26129999999999998</v>
      </c>
    </row>
    <row r="3005" spans="1:9" x14ac:dyDescent="0.2">
      <c r="A3005" s="2" t="s">
        <v>8155</v>
      </c>
      <c r="B3005" s="2" t="s">
        <v>7007</v>
      </c>
      <c r="C3005" s="2" t="s">
        <v>8156</v>
      </c>
      <c r="D3005" s="2" t="s">
        <v>10055</v>
      </c>
    </row>
    <row r="3006" spans="1:9" x14ac:dyDescent="0.2">
      <c r="A3006" s="2" t="s">
        <v>8157</v>
      </c>
      <c r="B3006" s="2" t="s">
        <v>7007</v>
      </c>
      <c r="C3006" s="2" t="s">
        <v>8158</v>
      </c>
      <c r="D3006" s="2" t="s">
        <v>10055</v>
      </c>
      <c r="G3006" s="15">
        <v>-0.1822</v>
      </c>
      <c r="H3006" s="15">
        <v>0.20280000000000001</v>
      </c>
    </row>
    <row r="3007" spans="1:9" x14ac:dyDescent="0.2">
      <c r="A3007" s="2" t="s">
        <v>8159</v>
      </c>
      <c r="B3007" s="2" t="s">
        <v>7007</v>
      </c>
      <c r="C3007" s="2" t="s">
        <v>8160</v>
      </c>
      <c r="D3007" s="2" t="s">
        <v>10055</v>
      </c>
    </row>
    <row r="3008" spans="1:9" x14ac:dyDescent="0.2">
      <c r="A3008" s="2" t="s">
        <v>8161</v>
      </c>
      <c r="B3008" s="2" t="s">
        <v>7007</v>
      </c>
      <c r="C3008" s="2" t="s">
        <v>8162</v>
      </c>
      <c r="D3008" s="2" t="s">
        <v>10055</v>
      </c>
      <c r="E3008" s="15">
        <v>-6.3500000000000001E-2</v>
      </c>
      <c r="F3008" s="15">
        <v>0.1807</v>
      </c>
      <c r="G3008" s="15">
        <v>-0.13819999999999999</v>
      </c>
      <c r="H3008" s="15">
        <v>0.1613</v>
      </c>
      <c r="I3008" s="15">
        <v>0.37928638149384769</v>
      </c>
    </row>
    <row r="3009" spans="1:9" x14ac:dyDescent="0.2">
      <c r="A3009" s="2" t="s">
        <v>8163</v>
      </c>
      <c r="B3009" s="2" t="s">
        <v>7007</v>
      </c>
      <c r="C3009" s="2" t="s">
        <v>8164</v>
      </c>
      <c r="D3009" s="2" t="s">
        <v>10055</v>
      </c>
      <c r="E3009" s="15">
        <v>0.1663</v>
      </c>
      <c r="F3009" s="15">
        <v>0.1353</v>
      </c>
      <c r="G3009" s="15">
        <v>0.25469999999999998</v>
      </c>
      <c r="H3009" s="15">
        <v>0.24160000000000001</v>
      </c>
      <c r="I3009" s="15">
        <v>0.36170270198917892</v>
      </c>
    </row>
    <row r="3010" spans="1:9" x14ac:dyDescent="0.2">
      <c r="A3010" s="2" t="s">
        <v>8165</v>
      </c>
      <c r="B3010" s="2" t="s">
        <v>7007</v>
      </c>
      <c r="C3010" s="2" t="s">
        <v>8166</v>
      </c>
      <c r="D3010" s="2" t="s">
        <v>10055</v>
      </c>
    </row>
    <row r="3011" spans="1:9" x14ac:dyDescent="0.2">
      <c r="A3011" s="2" t="s">
        <v>8167</v>
      </c>
      <c r="B3011" s="2" t="s">
        <v>7007</v>
      </c>
      <c r="C3011" s="2" t="s">
        <v>8168</v>
      </c>
      <c r="D3011" s="2" t="s">
        <v>10055</v>
      </c>
    </row>
    <row r="3012" spans="1:9" x14ac:dyDescent="0.2">
      <c r="A3012" s="2" t="s">
        <v>8169</v>
      </c>
      <c r="B3012" s="2" t="s">
        <v>7007</v>
      </c>
      <c r="C3012" s="2" t="s">
        <v>8170</v>
      </c>
      <c r="D3012" s="2" t="s">
        <v>10055</v>
      </c>
      <c r="E3012" s="15">
        <v>0.30869999999999997</v>
      </c>
      <c r="F3012" s="15">
        <v>0.29139999999999999</v>
      </c>
      <c r="G3012" s="15">
        <v>9.1499999999999998E-2</v>
      </c>
      <c r="H3012" s="15">
        <v>0.309</v>
      </c>
      <c r="I3012" s="15">
        <v>0.26095039657863212</v>
      </c>
    </row>
    <row r="3013" spans="1:9" x14ac:dyDescent="0.2">
      <c r="A3013" s="2" t="s">
        <v>8171</v>
      </c>
      <c r="B3013" s="2" t="s">
        <v>7007</v>
      </c>
      <c r="C3013" s="2" t="s">
        <v>8172</v>
      </c>
      <c r="D3013" s="2" t="s">
        <v>10055</v>
      </c>
      <c r="E3013" s="15">
        <v>0.1774</v>
      </c>
      <c r="F3013" s="15">
        <v>0.21049999999999999</v>
      </c>
    </row>
    <row r="3014" spans="1:9" x14ac:dyDescent="0.2">
      <c r="A3014" s="2" t="s">
        <v>8173</v>
      </c>
      <c r="B3014" s="2" t="s">
        <v>7007</v>
      </c>
      <c r="C3014" s="2" t="s">
        <v>8174</v>
      </c>
      <c r="D3014" s="2" t="s">
        <v>10055</v>
      </c>
      <c r="E3014" s="15">
        <v>3.1399999999999997E-2</v>
      </c>
      <c r="F3014" s="15">
        <v>0.16930000000000001</v>
      </c>
      <c r="G3014" s="15">
        <v>-0.15590000000000001</v>
      </c>
      <c r="H3014" s="15">
        <v>0.1777</v>
      </c>
      <c r="I3014" s="15">
        <v>0.1907592056170751</v>
      </c>
    </row>
    <row r="3015" spans="1:9" x14ac:dyDescent="0.2">
      <c r="A3015" s="2" t="s">
        <v>8175</v>
      </c>
      <c r="B3015" s="2" t="s">
        <v>7007</v>
      </c>
      <c r="C3015" s="2" t="s">
        <v>8176</v>
      </c>
      <c r="D3015" s="2" t="s">
        <v>10055</v>
      </c>
      <c r="G3015" s="15">
        <v>2.2499999999999999E-2</v>
      </c>
      <c r="H3015" s="15">
        <v>0.27200000000000002</v>
      </c>
    </row>
    <row r="3016" spans="1:9" x14ac:dyDescent="0.2">
      <c r="A3016" s="2" t="s">
        <v>8177</v>
      </c>
      <c r="B3016" s="2" t="s">
        <v>7007</v>
      </c>
      <c r="C3016" s="2" t="s">
        <v>8178</v>
      </c>
      <c r="D3016" s="2" t="s">
        <v>10055</v>
      </c>
      <c r="E3016" s="15">
        <v>9.01E-2</v>
      </c>
      <c r="F3016" s="15">
        <v>0.1186</v>
      </c>
    </row>
    <row r="3017" spans="1:9" x14ac:dyDescent="0.2">
      <c r="A3017" s="2" t="s">
        <v>8179</v>
      </c>
      <c r="B3017" s="2" t="s">
        <v>7007</v>
      </c>
      <c r="C3017" s="2" t="s">
        <v>8180</v>
      </c>
      <c r="D3017" s="2" t="s">
        <v>10055</v>
      </c>
      <c r="E3017" s="15">
        <v>-0.2167</v>
      </c>
      <c r="F3017" s="15">
        <v>0.17849999999999999</v>
      </c>
    </row>
    <row r="3018" spans="1:9" x14ac:dyDescent="0.2">
      <c r="A3018" s="2" t="s">
        <v>8181</v>
      </c>
      <c r="B3018" s="2" t="s">
        <v>7007</v>
      </c>
      <c r="C3018" s="2" t="s">
        <v>8182</v>
      </c>
      <c r="D3018" s="2" t="s">
        <v>10055</v>
      </c>
      <c r="G3018" s="15">
        <v>2.4899999999999999E-2</v>
      </c>
      <c r="H3018" s="15">
        <v>0.1096</v>
      </c>
    </row>
    <row r="3019" spans="1:9" x14ac:dyDescent="0.2">
      <c r="A3019" s="2" t="s">
        <v>8183</v>
      </c>
      <c r="B3019" s="2" t="s">
        <v>7007</v>
      </c>
      <c r="C3019" s="2" t="s">
        <v>8184</v>
      </c>
      <c r="D3019" s="2" t="s">
        <v>10055</v>
      </c>
      <c r="E3019" s="15">
        <v>7.4999999999999997E-3</v>
      </c>
      <c r="F3019" s="15">
        <v>0.1085</v>
      </c>
    </row>
    <row r="3020" spans="1:9" x14ac:dyDescent="0.2">
      <c r="A3020" s="2" t="s">
        <v>8185</v>
      </c>
      <c r="B3020" s="2" t="s">
        <v>7007</v>
      </c>
      <c r="C3020" s="2" t="s">
        <v>8186</v>
      </c>
      <c r="D3020" s="2" t="s">
        <v>10055</v>
      </c>
      <c r="E3020" s="15">
        <v>-2.41E-2</v>
      </c>
      <c r="F3020" s="15">
        <v>0.1158</v>
      </c>
    </row>
    <row r="3021" spans="1:9" x14ac:dyDescent="0.2">
      <c r="A3021" s="2" t="s">
        <v>8187</v>
      </c>
      <c r="B3021" s="2" t="s">
        <v>7007</v>
      </c>
      <c r="C3021" s="2" t="s">
        <v>8188</v>
      </c>
      <c r="D3021" s="2" t="s">
        <v>10055</v>
      </c>
      <c r="E3021" s="15">
        <v>-4.02E-2</v>
      </c>
      <c r="F3021" s="15">
        <v>0.128</v>
      </c>
      <c r="G3021" s="15">
        <v>-8.7900000000000006E-2</v>
      </c>
      <c r="H3021" s="15">
        <v>0.13100000000000001</v>
      </c>
      <c r="I3021" s="15">
        <v>0.38045590571795629</v>
      </c>
    </row>
    <row r="3022" spans="1:9" x14ac:dyDescent="0.2">
      <c r="A3022" s="2" t="s">
        <v>8189</v>
      </c>
      <c r="B3022" s="2" t="s">
        <v>7007</v>
      </c>
      <c r="C3022" s="2" t="s">
        <v>8190</v>
      </c>
      <c r="D3022" s="2" t="s">
        <v>10055</v>
      </c>
    </row>
    <row r="3023" spans="1:9" x14ac:dyDescent="0.2">
      <c r="A3023" s="2" t="s">
        <v>8191</v>
      </c>
      <c r="B3023" s="2" t="s">
        <v>7007</v>
      </c>
      <c r="C3023" s="2" t="s">
        <v>8192</v>
      </c>
      <c r="D3023" s="2" t="s">
        <v>10055</v>
      </c>
      <c r="E3023" s="15">
        <v>-9.4299999999999995E-2</v>
      </c>
      <c r="F3023" s="15">
        <v>0.17949999999999999</v>
      </c>
      <c r="G3023" s="15">
        <v>-3.7999999999999999E-2</v>
      </c>
      <c r="H3023" s="15">
        <v>0.15290000000000001</v>
      </c>
      <c r="I3023" s="15">
        <v>0.37096523037869722</v>
      </c>
    </row>
    <row r="3024" spans="1:9" x14ac:dyDescent="0.2">
      <c r="A3024" s="2" t="s">
        <v>8193</v>
      </c>
      <c r="B3024" s="2" t="s">
        <v>7007</v>
      </c>
      <c r="C3024" s="2" t="s">
        <v>8194</v>
      </c>
      <c r="D3024" s="2" t="s">
        <v>10055</v>
      </c>
      <c r="E3024" s="15">
        <v>-0.29189999999999999</v>
      </c>
      <c r="F3024" s="15">
        <v>0.41849999999999998</v>
      </c>
      <c r="G3024" s="15">
        <v>0.34970000000000001</v>
      </c>
      <c r="H3024" s="15">
        <v>0.2631</v>
      </c>
      <c r="I3024" s="15">
        <v>1.1421517730329961E-2</v>
      </c>
    </row>
    <row r="3025" spans="1:9" x14ac:dyDescent="0.2">
      <c r="A3025" s="2" t="s">
        <v>8195</v>
      </c>
      <c r="B3025" s="2" t="s">
        <v>7007</v>
      </c>
      <c r="C3025" s="2" t="s">
        <v>8196</v>
      </c>
      <c r="D3025" s="2" t="s">
        <v>10055</v>
      </c>
      <c r="E3025" s="15">
        <v>5.1499999999999997E-2</v>
      </c>
      <c r="F3025" s="15">
        <v>0.17899999999999999</v>
      </c>
      <c r="G3025" s="15">
        <v>-0.1053</v>
      </c>
      <c r="H3025" s="15">
        <v>0.15620000000000001</v>
      </c>
      <c r="I3025" s="15">
        <v>0.21014678347957719</v>
      </c>
    </row>
    <row r="3026" spans="1:9" x14ac:dyDescent="0.2">
      <c r="A3026" s="2" t="s">
        <v>8197</v>
      </c>
      <c r="B3026" s="2" t="s">
        <v>7007</v>
      </c>
      <c r="C3026" s="2" t="s">
        <v>8198</v>
      </c>
      <c r="D3026" s="2" t="s">
        <v>10055</v>
      </c>
    </row>
    <row r="3027" spans="1:9" x14ac:dyDescent="0.2">
      <c r="A3027" s="2" t="s">
        <v>8199</v>
      </c>
      <c r="B3027" s="2" t="s">
        <v>7007</v>
      </c>
      <c r="C3027" s="2" t="s">
        <v>8200</v>
      </c>
      <c r="D3027" s="2" t="s">
        <v>10055</v>
      </c>
      <c r="E3027" s="15">
        <v>-0.17829999999999999</v>
      </c>
      <c r="F3027" s="15">
        <v>0.16120000000000001</v>
      </c>
    </row>
    <row r="3028" spans="1:9" x14ac:dyDescent="0.2">
      <c r="A3028" s="2" t="s">
        <v>8201</v>
      </c>
      <c r="B3028" s="2" t="s">
        <v>7007</v>
      </c>
      <c r="C3028" s="2" t="s">
        <v>8202</v>
      </c>
      <c r="D3028" s="2" t="s">
        <v>10055</v>
      </c>
      <c r="E3028" s="15">
        <v>-2.0500000000000001E-2</v>
      </c>
      <c r="F3028" s="15">
        <v>0.1439</v>
      </c>
    </row>
    <row r="3029" spans="1:9" x14ac:dyDescent="0.2">
      <c r="A3029" s="2" t="s">
        <v>8203</v>
      </c>
      <c r="B3029" s="2" t="s">
        <v>7007</v>
      </c>
      <c r="C3029" s="2" t="s">
        <v>8204</v>
      </c>
      <c r="D3029" s="2" t="s">
        <v>10055</v>
      </c>
      <c r="E3029" s="15">
        <v>6.3E-3</v>
      </c>
      <c r="F3029" s="15">
        <v>0.14180000000000001</v>
      </c>
      <c r="G3029" s="15">
        <v>-0.18659999999999999</v>
      </c>
      <c r="H3029" s="15">
        <v>0.22570000000000001</v>
      </c>
      <c r="I3029" s="15">
        <v>0.20541137017514721</v>
      </c>
    </row>
    <row r="3030" spans="1:9" x14ac:dyDescent="0.2">
      <c r="A3030" s="2" t="s">
        <v>8205</v>
      </c>
      <c r="B3030" s="2" t="s">
        <v>7007</v>
      </c>
      <c r="C3030" s="2" t="s">
        <v>8206</v>
      </c>
      <c r="D3030" s="2" t="s">
        <v>10055</v>
      </c>
      <c r="E3030" s="15">
        <v>-8.4400000000000003E-2</v>
      </c>
      <c r="F3030" s="15">
        <v>9.2600000000000002E-2</v>
      </c>
      <c r="G3030" s="15">
        <v>5.0000000000000001E-4</v>
      </c>
      <c r="H3030" s="15">
        <v>0.14699999999999999</v>
      </c>
      <c r="I3030" s="15">
        <v>0.29325376743680293</v>
      </c>
    </row>
    <row r="3031" spans="1:9" x14ac:dyDescent="0.2">
      <c r="A3031" s="2" t="s">
        <v>8207</v>
      </c>
      <c r="B3031" s="2" t="s">
        <v>7007</v>
      </c>
      <c r="C3031" s="2" t="s">
        <v>8208</v>
      </c>
      <c r="D3031" s="2" t="s">
        <v>10055</v>
      </c>
      <c r="E3031" s="15">
        <v>-2.1499999999999998E-2</v>
      </c>
      <c r="F3031" s="15">
        <v>0.16930000000000001</v>
      </c>
    </row>
    <row r="3032" spans="1:9" x14ac:dyDescent="0.2">
      <c r="A3032" s="2" t="s">
        <v>8209</v>
      </c>
      <c r="B3032" s="2" t="s">
        <v>7007</v>
      </c>
      <c r="C3032" s="2" t="s">
        <v>8210</v>
      </c>
      <c r="D3032" s="2" t="s">
        <v>10055</v>
      </c>
      <c r="E3032" s="15">
        <v>0.22159999999999999</v>
      </c>
      <c r="F3032" s="15">
        <v>0.18840000000000001</v>
      </c>
      <c r="G3032" s="15">
        <v>9.0300000000000005E-2</v>
      </c>
      <c r="H3032" s="15">
        <v>0.1091</v>
      </c>
      <c r="I3032" s="15">
        <v>0.1476094568045479</v>
      </c>
    </row>
    <row r="3033" spans="1:9" x14ac:dyDescent="0.2">
      <c r="A3033" s="2" t="s">
        <v>8211</v>
      </c>
      <c r="B3033" s="2" t="s">
        <v>7007</v>
      </c>
      <c r="C3033" s="2" t="s">
        <v>8212</v>
      </c>
      <c r="D3033" s="2" t="s">
        <v>10055</v>
      </c>
      <c r="E3033" s="15">
        <v>-0.37919999999999998</v>
      </c>
      <c r="F3033" s="15">
        <v>0.37869999999999998</v>
      </c>
    </row>
    <row r="3034" spans="1:9" x14ac:dyDescent="0.2">
      <c r="A3034" s="2" t="s">
        <v>8213</v>
      </c>
      <c r="B3034" s="2" t="s">
        <v>7007</v>
      </c>
      <c r="C3034" s="2" t="s">
        <v>8214</v>
      </c>
      <c r="D3034" s="2" t="s">
        <v>10055</v>
      </c>
      <c r="E3034" s="15">
        <v>-0.1845</v>
      </c>
      <c r="F3034" s="15">
        <v>0.1234</v>
      </c>
      <c r="G3034" s="15">
        <v>-0.28860000000000002</v>
      </c>
      <c r="H3034" s="15">
        <v>0.17349999999999999</v>
      </c>
      <c r="I3034" s="15">
        <v>0.28506710873948382</v>
      </c>
    </row>
    <row r="3035" spans="1:9" x14ac:dyDescent="0.2">
      <c r="A3035" s="2" t="s">
        <v>8215</v>
      </c>
      <c r="B3035" s="2" t="s">
        <v>7007</v>
      </c>
      <c r="C3035" s="2" t="s">
        <v>8216</v>
      </c>
      <c r="D3035" s="2" t="s">
        <v>10055</v>
      </c>
      <c r="E3035" s="15">
        <v>9.4200000000000006E-2</v>
      </c>
      <c r="F3035" s="15">
        <v>7.3899999999999993E-2</v>
      </c>
      <c r="G3035" s="15">
        <v>-3.5999999999999997E-2</v>
      </c>
      <c r="H3035" s="15">
        <v>0.1111</v>
      </c>
      <c r="I3035" s="15">
        <v>0.14466978810697539</v>
      </c>
    </row>
    <row r="3036" spans="1:9" x14ac:dyDescent="0.2">
      <c r="A3036" s="2" t="s">
        <v>8217</v>
      </c>
      <c r="B3036" s="2" t="s">
        <v>7007</v>
      </c>
      <c r="C3036" s="2" t="s">
        <v>8218</v>
      </c>
      <c r="D3036" s="2" t="s">
        <v>10055</v>
      </c>
      <c r="E3036" s="15">
        <v>9.8500000000000004E-2</v>
      </c>
      <c r="F3036" s="15">
        <v>0.1671</v>
      </c>
      <c r="G3036" s="15">
        <v>0.12479999999999999</v>
      </c>
      <c r="H3036" s="15">
        <v>0.13289999999999999</v>
      </c>
      <c r="I3036" s="15">
        <v>0.4286542029915491</v>
      </c>
    </row>
    <row r="3037" spans="1:9" x14ac:dyDescent="0.2">
      <c r="A3037" s="2" t="s">
        <v>8219</v>
      </c>
      <c r="B3037" s="2" t="s">
        <v>7007</v>
      </c>
      <c r="C3037" s="2" t="s">
        <v>8220</v>
      </c>
      <c r="D3037" s="2" t="s">
        <v>10055</v>
      </c>
      <c r="E3037" s="15">
        <v>-0.21970000000000001</v>
      </c>
      <c r="F3037" s="15">
        <v>0.16489999999999999</v>
      </c>
      <c r="G3037" s="15">
        <v>0.1638</v>
      </c>
      <c r="H3037" s="15">
        <v>0.1661</v>
      </c>
      <c r="I3037" s="15">
        <v>1.6002980629149229E-2</v>
      </c>
    </row>
    <row r="3038" spans="1:9" x14ac:dyDescent="0.2">
      <c r="A3038" s="2" t="s">
        <v>8221</v>
      </c>
      <c r="B3038" s="2" t="s">
        <v>7007</v>
      </c>
      <c r="C3038" s="2" t="s">
        <v>8222</v>
      </c>
      <c r="D3038" s="2" t="s">
        <v>10055</v>
      </c>
      <c r="E3038" s="15">
        <v>2.63E-2</v>
      </c>
      <c r="F3038" s="15">
        <v>9.2299999999999993E-2</v>
      </c>
      <c r="G3038" s="15">
        <v>0.1046</v>
      </c>
      <c r="H3038" s="15">
        <v>9.8900000000000002E-2</v>
      </c>
      <c r="I3038" s="15">
        <v>0.25195468844967411</v>
      </c>
    </row>
    <row r="3039" spans="1:9" x14ac:dyDescent="0.2">
      <c r="A3039" s="2" t="s">
        <v>8223</v>
      </c>
      <c r="B3039" s="2" t="s">
        <v>7007</v>
      </c>
      <c r="C3039" s="2" t="s">
        <v>8224</v>
      </c>
      <c r="D3039" s="2" t="s">
        <v>10055</v>
      </c>
      <c r="E3039" s="15">
        <v>-0.10299999999999999</v>
      </c>
      <c r="F3039" s="15">
        <v>0.2225</v>
      </c>
    </row>
    <row r="3040" spans="1:9" x14ac:dyDescent="0.2">
      <c r="A3040" s="2" t="s">
        <v>8225</v>
      </c>
      <c r="B3040" s="2" t="s">
        <v>7007</v>
      </c>
      <c r="C3040" s="2" t="s">
        <v>8226</v>
      </c>
      <c r="D3040" s="2" t="s">
        <v>10055</v>
      </c>
      <c r="E3040" s="15">
        <v>4.6199999999999998E-2</v>
      </c>
      <c r="F3040" s="15">
        <v>0.16259999999999999</v>
      </c>
      <c r="G3040" s="15">
        <v>7.6899999999999996E-2</v>
      </c>
      <c r="H3040" s="15">
        <v>9.2399999999999996E-2</v>
      </c>
      <c r="I3040" s="15">
        <v>0.39461116025734583</v>
      </c>
    </row>
    <row r="3041" spans="1:9" x14ac:dyDescent="0.2">
      <c r="A3041" s="2" t="s">
        <v>8227</v>
      </c>
      <c r="B3041" s="2" t="s">
        <v>7007</v>
      </c>
      <c r="C3041" s="2" t="s">
        <v>8228</v>
      </c>
      <c r="D3041" s="2" t="s">
        <v>10055</v>
      </c>
      <c r="E3041" s="15">
        <v>-0.12570000000000001</v>
      </c>
      <c r="F3041" s="15">
        <v>0.1162</v>
      </c>
      <c r="G3041" s="15">
        <v>0.34970000000000001</v>
      </c>
      <c r="H3041" s="15">
        <v>0.50690000000000002</v>
      </c>
      <c r="I3041" s="15">
        <v>0.1765710106785659</v>
      </c>
    </row>
    <row r="3042" spans="1:9" x14ac:dyDescent="0.2">
      <c r="A3042" s="2" t="s">
        <v>8229</v>
      </c>
      <c r="B3042" s="2" t="s">
        <v>7007</v>
      </c>
      <c r="C3042" s="2" t="s">
        <v>8230</v>
      </c>
      <c r="D3042" s="2" t="s">
        <v>10055</v>
      </c>
      <c r="G3042" s="15">
        <v>-4.9099999999999998E-2</v>
      </c>
      <c r="H3042" s="15">
        <v>0.13980000000000001</v>
      </c>
    </row>
    <row r="3043" spans="1:9" x14ac:dyDescent="0.2">
      <c r="A3043" s="2" t="s">
        <v>8231</v>
      </c>
      <c r="B3043" s="2" t="s">
        <v>7007</v>
      </c>
      <c r="C3043" s="2" t="s">
        <v>8232</v>
      </c>
      <c r="D3043" s="2" t="s">
        <v>10055</v>
      </c>
      <c r="E3043" s="15">
        <v>-9.5299999999999996E-2</v>
      </c>
      <c r="F3043" s="15">
        <v>0.19409999999999999</v>
      </c>
      <c r="G3043" s="15">
        <v>0.1162</v>
      </c>
      <c r="H3043" s="15">
        <v>9.5399999999999999E-2</v>
      </c>
      <c r="I3043" s="15">
        <v>5.4334992214641817E-2</v>
      </c>
    </row>
    <row r="3044" spans="1:9" x14ac:dyDescent="0.2">
      <c r="A3044" s="2" t="s">
        <v>8233</v>
      </c>
      <c r="B3044" s="2" t="s">
        <v>7007</v>
      </c>
      <c r="C3044" s="2" t="s">
        <v>8234</v>
      </c>
      <c r="D3044" s="2" t="s">
        <v>10055</v>
      </c>
      <c r="E3044" s="15">
        <v>-2E-3</v>
      </c>
      <c r="F3044" s="15">
        <v>8.6300000000000002E-2</v>
      </c>
      <c r="G3044" s="15">
        <v>-6.1199999999999997E-2</v>
      </c>
      <c r="H3044" s="15">
        <v>9.8199999999999996E-2</v>
      </c>
      <c r="I3044" s="15">
        <v>0.29586296111619981</v>
      </c>
    </row>
    <row r="3045" spans="1:9" x14ac:dyDescent="0.2">
      <c r="A3045" s="2" t="s">
        <v>8235</v>
      </c>
      <c r="B3045" s="2" t="s">
        <v>7007</v>
      </c>
      <c r="C3045" s="2" t="s">
        <v>8236</v>
      </c>
      <c r="D3045" s="2" t="s">
        <v>10055</v>
      </c>
      <c r="G3045" s="15">
        <v>0.14549999999999999</v>
      </c>
      <c r="H3045" s="15">
        <v>0.16170000000000001</v>
      </c>
    </row>
    <row r="3046" spans="1:9" x14ac:dyDescent="0.2">
      <c r="A3046" s="2" t="s">
        <v>8237</v>
      </c>
      <c r="B3046" s="2" t="s">
        <v>7007</v>
      </c>
      <c r="C3046" s="2" t="s">
        <v>8238</v>
      </c>
      <c r="D3046" s="2" t="s">
        <v>10055</v>
      </c>
      <c r="E3046" s="15">
        <v>-1.66E-2</v>
      </c>
      <c r="F3046" s="15">
        <v>0.1507</v>
      </c>
      <c r="G3046" s="15">
        <v>-0.13270000000000001</v>
      </c>
      <c r="H3046" s="15">
        <v>9.2299999999999993E-2</v>
      </c>
      <c r="I3046" s="15">
        <v>0.14796465564200989</v>
      </c>
    </row>
    <row r="3047" spans="1:9" x14ac:dyDescent="0.2">
      <c r="A3047" s="2" t="s">
        <v>8239</v>
      </c>
      <c r="B3047" s="2" t="s">
        <v>7007</v>
      </c>
      <c r="C3047" s="2" t="s">
        <v>8240</v>
      </c>
      <c r="D3047" s="2" t="s">
        <v>10055</v>
      </c>
      <c r="G3047" s="15">
        <v>0.2361</v>
      </c>
      <c r="H3047" s="15">
        <v>0.11550000000000001</v>
      </c>
    </row>
    <row r="3048" spans="1:9" x14ac:dyDescent="0.2">
      <c r="A3048" s="2" t="s">
        <v>8241</v>
      </c>
      <c r="B3048" s="2" t="s">
        <v>7007</v>
      </c>
      <c r="C3048" s="2" t="s">
        <v>8242</v>
      </c>
      <c r="D3048" s="2" t="s">
        <v>10055</v>
      </c>
      <c r="E3048" s="15">
        <v>-0.13089999999999999</v>
      </c>
      <c r="F3048" s="15">
        <v>0.19919999999999999</v>
      </c>
      <c r="G3048" s="15">
        <v>-0.14649999999999999</v>
      </c>
      <c r="H3048" s="15">
        <v>0.23089999999999999</v>
      </c>
    </row>
    <row r="3049" spans="1:9" x14ac:dyDescent="0.2">
      <c r="A3049" s="2" t="s">
        <v>8243</v>
      </c>
      <c r="B3049" s="2" t="s">
        <v>7007</v>
      </c>
      <c r="C3049" s="2" t="s">
        <v>8244</v>
      </c>
      <c r="D3049" s="2" t="s">
        <v>10055</v>
      </c>
      <c r="E3049" s="15">
        <v>-1.49E-2</v>
      </c>
      <c r="F3049" s="15">
        <v>0.11020000000000001</v>
      </c>
      <c r="G3049" s="15">
        <v>-4.3200000000000002E-2</v>
      </c>
      <c r="H3049" s="15">
        <v>0.1173</v>
      </c>
      <c r="I3049" s="15">
        <v>0.41421839879758199</v>
      </c>
    </row>
    <row r="3050" spans="1:9" x14ac:dyDescent="0.2">
      <c r="A3050" s="2" t="s">
        <v>8245</v>
      </c>
      <c r="B3050" s="2" t="s">
        <v>7007</v>
      </c>
      <c r="C3050" s="2" t="s">
        <v>8246</v>
      </c>
      <c r="D3050" s="2" t="s">
        <v>10055</v>
      </c>
      <c r="E3050" s="15">
        <v>0.1249</v>
      </c>
      <c r="F3050" s="15">
        <v>0.23350000000000001</v>
      </c>
      <c r="G3050" s="15">
        <v>-0.1946</v>
      </c>
      <c r="H3050" s="15">
        <v>0.1757</v>
      </c>
      <c r="I3050" s="15">
        <v>4.8572256556426087E-2</v>
      </c>
    </row>
    <row r="3051" spans="1:9" x14ac:dyDescent="0.2">
      <c r="A3051" s="2" t="s">
        <v>8247</v>
      </c>
      <c r="B3051" s="2" t="s">
        <v>7007</v>
      </c>
      <c r="C3051" s="2" t="s">
        <v>8248</v>
      </c>
      <c r="D3051" s="2" t="s">
        <v>10055</v>
      </c>
      <c r="E3051" s="15">
        <v>-0.1648</v>
      </c>
      <c r="F3051" s="15">
        <v>0.1888</v>
      </c>
      <c r="G3051" s="15">
        <v>-5.5999999999999999E-3</v>
      </c>
      <c r="H3051" s="15">
        <v>0.1142</v>
      </c>
      <c r="I3051" s="15">
        <v>0.1194300866222438</v>
      </c>
    </row>
    <row r="3052" spans="1:9" x14ac:dyDescent="0.2">
      <c r="A3052" s="2" t="s">
        <v>8249</v>
      </c>
      <c r="B3052" s="2" t="s">
        <v>7007</v>
      </c>
      <c r="C3052" s="2" t="s">
        <v>8250</v>
      </c>
      <c r="D3052" s="2" t="s">
        <v>10055</v>
      </c>
      <c r="E3052" s="15">
        <v>4.2000000000000003E-2</v>
      </c>
      <c r="F3052" s="15">
        <v>0.1303</v>
      </c>
      <c r="G3052" s="15">
        <v>7.0900000000000005E-2</v>
      </c>
      <c r="H3052" s="15">
        <v>0.53600000000000003</v>
      </c>
      <c r="I3052" s="15">
        <v>0.47870049435522088</v>
      </c>
    </row>
    <row r="3053" spans="1:9" x14ac:dyDescent="0.2">
      <c r="A3053" s="2" t="s">
        <v>8251</v>
      </c>
      <c r="B3053" s="2" t="s">
        <v>7007</v>
      </c>
      <c r="C3053" s="2" t="s">
        <v>8252</v>
      </c>
      <c r="D3053" s="2" t="s">
        <v>10055</v>
      </c>
      <c r="E3053" s="15">
        <v>-0.38650000000000001</v>
      </c>
      <c r="F3053" s="15">
        <v>0.2828</v>
      </c>
      <c r="G3053" s="15">
        <v>-3.3999999999999998E-3</v>
      </c>
      <c r="H3053" s="15">
        <v>0.1361</v>
      </c>
      <c r="I3053" s="15">
        <v>3.4794473308786968E-2</v>
      </c>
    </row>
    <row r="3054" spans="1:9" x14ac:dyDescent="0.2">
      <c r="A3054" s="2" t="s">
        <v>8253</v>
      </c>
      <c r="B3054" s="2" t="s">
        <v>7007</v>
      </c>
      <c r="C3054" s="2" t="s">
        <v>8254</v>
      </c>
      <c r="D3054" s="2" t="s">
        <v>10055</v>
      </c>
      <c r="E3054" s="15">
        <v>-0.1772</v>
      </c>
      <c r="F3054" s="15">
        <v>9.06E-2</v>
      </c>
      <c r="G3054" s="15">
        <v>-3.5900000000000001E-2</v>
      </c>
      <c r="H3054" s="15">
        <v>0.11169999999999999</v>
      </c>
      <c r="I3054" s="15">
        <v>0.1272079008789149</v>
      </c>
    </row>
    <row r="3055" spans="1:9" x14ac:dyDescent="0.2">
      <c r="A3055" s="2" t="s">
        <v>8255</v>
      </c>
      <c r="B3055" s="2" t="s">
        <v>7007</v>
      </c>
      <c r="C3055" s="2" t="s">
        <v>8256</v>
      </c>
      <c r="D3055" s="2" t="s">
        <v>10055</v>
      </c>
      <c r="E3055" s="15">
        <v>-6.0600000000000001E-2</v>
      </c>
      <c r="F3055" s="15">
        <v>0.26690000000000003</v>
      </c>
      <c r="G3055" s="15">
        <v>0.25090000000000001</v>
      </c>
      <c r="H3055" s="15">
        <v>0.2848</v>
      </c>
    </row>
    <row r="3056" spans="1:9" x14ac:dyDescent="0.2">
      <c r="A3056" s="2" t="s">
        <v>8257</v>
      </c>
      <c r="B3056" s="2" t="s">
        <v>7007</v>
      </c>
      <c r="C3056" s="2" t="s">
        <v>8258</v>
      </c>
      <c r="D3056" s="2" t="s">
        <v>10055</v>
      </c>
      <c r="E3056" s="15">
        <v>-0.16550000000000001</v>
      </c>
      <c r="F3056" s="15">
        <v>0.2243</v>
      </c>
      <c r="G3056" s="15">
        <v>4.6600000000000003E-2</v>
      </c>
      <c r="H3056" s="15">
        <v>0.2233</v>
      </c>
      <c r="I3056" s="15">
        <v>0.1820697212955944</v>
      </c>
    </row>
    <row r="3057" spans="1:9" x14ac:dyDescent="0.2">
      <c r="A3057" s="2" t="s">
        <v>8259</v>
      </c>
      <c r="B3057" s="2" t="s">
        <v>7007</v>
      </c>
      <c r="C3057" s="2" t="s">
        <v>8260</v>
      </c>
      <c r="D3057" s="2" t="s">
        <v>10055</v>
      </c>
      <c r="E3057" s="15">
        <v>-3.09E-2</v>
      </c>
      <c r="F3057" s="15">
        <v>0.15959999999999999</v>
      </c>
    </row>
    <row r="3058" spans="1:9" x14ac:dyDescent="0.2">
      <c r="A3058" s="2" t="s">
        <v>8261</v>
      </c>
      <c r="B3058" s="2" t="s">
        <v>7007</v>
      </c>
      <c r="C3058" s="2" t="s">
        <v>8262</v>
      </c>
      <c r="D3058" s="2" t="s">
        <v>10055</v>
      </c>
      <c r="E3058" s="15">
        <v>0.12670000000000001</v>
      </c>
      <c r="F3058" s="15">
        <v>0.1007</v>
      </c>
      <c r="G3058" s="15">
        <v>-5.0900000000000001E-2</v>
      </c>
      <c r="H3058" s="15">
        <v>0.15559999999999999</v>
      </c>
      <c r="I3058" s="15">
        <v>0.14849658458905121</v>
      </c>
    </row>
    <row r="3059" spans="1:9" x14ac:dyDescent="0.2">
      <c r="A3059" s="2" t="s">
        <v>8263</v>
      </c>
      <c r="B3059" s="2" t="s">
        <v>7007</v>
      </c>
      <c r="C3059" s="2" t="s">
        <v>8264</v>
      </c>
      <c r="D3059" s="2" t="s">
        <v>10055</v>
      </c>
      <c r="E3059" s="15">
        <v>4.1000000000000002E-2</v>
      </c>
      <c r="F3059" s="15">
        <v>8.6599999999999996E-2</v>
      </c>
      <c r="G3059" s="15">
        <v>4.6399999999999997E-2</v>
      </c>
      <c r="H3059" s="15">
        <v>0.12280000000000001</v>
      </c>
      <c r="I3059" s="15">
        <v>0.4843797187859909</v>
      </c>
    </row>
    <row r="3060" spans="1:9" x14ac:dyDescent="0.2">
      <c r="A3060" s="2" t="s">
        <v>8265</v>
      </c>
      <c r="B3060" s="2" t="s">
        <v>7007</v>
      </c>
      <c r="C3060" s="2" t="s">
        <v>8266</v>
      </c>
      <c r="D3060" s="2" t="s">
        <v>10055</v>
      </c>
      <c r="E3060" s="15">
        <v>0.28199999999999997</v>
      </c>
      <c r="F3060" s="15">
        <v>0.40789999999999998</v>
      </c>
    </row>
    <row r="3061" spans="1:9" x14ac:dyDescent="0.2">
      <c r="A3061" s="2" t="s">
        <v>8267</v>
      </c>
      <c r="B3061" s="2" t="s">
        <v>7007</v>
      </c>
      <c r="C3061" s="2" t="s">
        <v>8268</v>
      </c>
      <c r="D3061" s="2" t="s">
        <v>10055</v>
      </c>
      <c r="G3061" s="15">
        <v>0.12690000000000001</v>
      </c>
      <c r="H3061" s="15">
        <v>0.19359999999999999</v>
      </c>
    </row>
    <row r="3062" spans="1:9" x14ac:dyDescent="0.2">
      <c r="A3062" s="2" t="s">
        <v>8269</v>
      </c>
      <c r="B3062" s="2" t="s">
        <v>7007</v>
      </c>
      <c r="C3062" s="2" t="s">
        <v>8270</v>
      </c>
      <c r="D3062" s="2" t="s">
        <v>10055</v>
      </c>
      <c r="E3062" s="15">
        <v>-0.28720000000000001</v>
      </c>
      <c r="F3062" s="15">
        <v>0.39989999999999998</v>
      </c>
      <c r="G3062" s="15">
        <v>-8.8099999999999998E-2</v>
      </c>
      <c r="H3062" s="15">
        <v>0.14069999999999999</v>
      </c>
      <c r="I3062" s="15">
        <v>0.1149722491933009</v>
      </c>
    </row>
    <row r="3063" spans="1:9" x14ac:dyDescent="0.2">
      <c r="A3063" s="2" t="s">
        <v>8271</v>
      </c>
      <c r="B3063" s="2" t="s">
        <v>7007</v>
      </c>
      <c r="C3063" s="2" t="s">
        <v>8272</v>
      </c>
      <c r="D3063" s="2" t="s">
        <v>10055</v>
      </c>
      <c r="E3063" s="15">
        <v>0.1862</v>
      </c>
      <c r="F3063" s="15">
        <v>0.16009999999999999</v>
      </c>
    </row>
    <row r="3064" spans="1:9" x14ac:dyDescent="0.2">
      <c r="A3064" s="2" t="s">
        <v>8273</v>
      </c>
      <c r="B3064" s="2" t="s">
        <v>7007</v>
      </c>
      <c r="C3064" s="2" t="s">
        <v>8274</v>
      </c>
      <c r="D3064" s="2" t="s">
        <v>10055</v>
      </c>
    </row>
    <row r="3065" spans="1:9" x14ac:dyDescent="0.2">
      <c r="A3065" s="2" t="s">
        <v>8275</v>
      </c>
      <c r="B3065" s="2" t="s">
        <v>7007</v>
      </c>
      <c r="C3065" s="2" t="s">
        <v>8276</v>
      </c>
      <c r="D3065" s="2" t="s">
        <v>10055</v>
      </c>
      <c r="E3065" s="15">
        <v>-0.14610000000000001</v>
      </c>
      <c r="F3065" s="15">
        <v>0.12759999999999999</v>
      </c>
      <c r="G3065" s="15">
        <v>8.0100000000000005E-2</v>
      </c>
      <c r="H3065" s="15">
        <v>9.8199999999999996E-2</v>
      </c>
      <c r="I3065" s="15">
        <v>2.0635112441794199E-2</v>
      </c>
    </row>
    <row r="3066" spans="1:9" x14ac:dyDescent="0.2">
      <c r="A3066" s="2" t="s">
        <v>8277</v>
      </c>
      <c r="B3066" s="2" t="s">
        <v>7007</v>
      </c>
      <c r="C3066" s="2" t="s">
        <v>8278</v>
      </c>
      <c r="D3066" s="2" t="s">
        <v>10055</v>
      </c>
      <c r="E3066" s="15">
        <v>-2.1999999999999999E-2</v>
      </c>
      <c r="F3066" s="15">
        <v>0.11119999999999999</v>
      </c>
      <c r="G3066" s="15">
        <v>-0.10680000000000001</v>
      </c>
      <c r="H3066" s="15">
        <v>0.22020000000000001</v>
      </c>
      <c r="I3066" s="15">
        <v>0.36530180490490199</v>
      </c>
    </row>
    <row r="3067" spans="1:9" x14ac:dyDescent="0.2">
      <c r="A3067" s="2" t="s">
        <v>8279</v>
      </c>
      <c r="B3067" s="2" t="s">
        <v>7007</v>
      </c>
      <c r="C3067" s="2" t="s">
        <v>8280</v>
      </c>
      <c r="D3067" s="2" t="s">
        <v>10055</v>
      </c>
      <c r="E3067" s="15">
        <v>0.23649999999999999</v>
      </c>
      <c r="F3067" s="15">
        <v>0.1137</v>
      </c>
      <c r="G3067" s="15">
        <v>-0.2104</v>
      </c>
      <c r="H3067" s="15">
        <v>0.1804</v>
      </c>
      <c r="I3067" s="15">
        <v>9.5602709009933555E-3</v>
      </c>
    </row>
    <row r="3068" spans="1:9" x14ac:dyDescent="0.2">
      <c r="A3068" s="2" t="s">
        <v>8281</v>
      </c>
      <c r="B3068" s="2" t="s">
        <v>7007</v>
      </c>
      <c r="C3068" s="2" t="s">
        <v>8282</v>
      </c>
      <c r="D3068" s="2" t="s">
        <v>10055</v>
      </c>
    </row>
    <row r="3069" spans="1:9" x14ac:dyDescent="0.2">
      <c r="A3069" s="2" t="s">
        <v>8283</v>
      </c>
      <c r="B3069" s="2" t="s">
        <v>7007</v>
      </c>
      <c r="C3069" s="2" t="s">
        <v>8284</v>
      </c>
      <c r="D3069" s="2" t="s">
        <v>10055</v>
      </c>
      <c r="E3069" s="15">
        <v>-2.4500000000000001E-2</v>
      </c>
      <c r="F3069" s="15">
        <v>0.13619999999999999</v>
      </c>
      <c r="G3069" s="15">
        <v>2.2800000000000001E-2</v>
      </c>
      <c r="H3069" s="15">
        <v>0.1426</v>
      </c>
      <c r="I3069" s="15">
        <v>0.39036506709858648</v>
      </c>
    </row>
    <row r="3070" spans="1:9" x14ac:dyDescent="0.2">
      <c r="A3070" s="2" t="s">
        <v>8285</v>
      </c>
      <c r="B3070" s="2" t="s">
        <v>7007</v>
      </c>
      <c r="C3070" s="2" t="s">
        <v>8286</v>
      </c>
      <c r="D3070" s="2" t="s">
        <v>10055</v>
      </c>
      <c r="E3070" s="15">
        <v>-0.19170000000000001</v>
      </c>
      <c r="F3070" s="15">
        <v>0.28260000000000002</v>
      </c>
      <c r="G3070" s="15">
        <v>-5.5199999999999999E-2</v>
      </c>
      <c r="H3070" s="15">
        <v>0.18679999999999999</v>
      </c>
      <c r="I3070" s="15">
        <v>0.24928979625530251</v>
      </c>
    </row>
    <row r="3071" spans="1:9" x14ac:dyDescent="0.2">
      <c r="A3071" s="2" t="s">
        <v>8287</v>
      </c>
      <c r="B3071" s="2" t="s">
        <v>7007</v>
      </c>
      <c r="C3071" s="2" t="s">
        <v>8288</v>
      </c>
      <c r="D3071" s="2" t="s">
        <v>10055</v>
      </c>
      <c r="E3071" s="15">
        <v>-0.1027</v>
      </c>
      <c r="F3071" s="15">
        <v>0.1036</v>
      </c>
      <c r="G3071" s="15">
        <v>7.5600000000000001E-2</v>
      </c>
      <c r="H3071" s="15">
        <v>0.13</v>
      </c>
      <c r="I3071" s="15">
        <v>0.11226898407942509</v>
      </c>
    </row>
    <row r="3072" spans="1:9" x14ac:dyDescent="0.2">
      <c r="A3072" s="2" t="s">
        <v>8289</v>
      </c>
      <c r="B3072" s="2" t="s">
        <v>7007</v>
      </c>
      <c r="C3072" s="2" t="s">
        <v>8290</v>
      </c>
      <c r="D3072" s="2" t="s">
        <v>10055</v>
      </c>
      <c r="E3072" s="15">
        <v>-0.12759999999999999</v>
      </c>
      <c r="F3072" s="15">
        <v>0.1588</v>
      </c>
      <c r="G3072" s="15">
        <v>0.2205</v>
      </c>
      <c r="H3072" s="15">
        <v>0.1115</v>
      </c>
      <c r="I3072" s="15">
        <v>4.4870674967561692E-3</v>
      </c>
    </row>
    <row r="3073" spans="1:9" x14ac:dyDescent="0.2">
      <c r="A3073" s="2" t="s">
        <v>8291</v>
      </c>
      <c r="B3073" s="2" t="s">
        <v>7007</v>
      </c>
      <c r="C3073" s="2" t="s">
        <v>8292</v>
      </c>
      <c r="D3073" s="2" t="s">
        <v>10055</v>
      </c>
      <c r="E3073" s="15">
        <v>0.29859999999999998</v>
      </c>
      <c r="F3073" s="15">
        <v>0.95960000000000001</v>
      </c>
      <c r="G3073" s="15">
        <v>5.1000000000000004E-3</v>
      </c>
      <c r="H3073" s="15">
        <v>8.6499999999999994E-2</v>
      </c>
      <c r="I3073" s="15">
        <v>2.856161510453304E-3</v>
      </c>
    </row>
    <row r="3074" spans="1:9" x14ac:dyDescent="0.2">
      <c r="A3074" s="2" t="s">
        <v>8293</v>
      </c>
      <c r="B3074" s="2" t="s">
        <v>7007</v>
      </c>
      <c r="C3074" s="2" t="s">
        <v>8294</v>
      </c>
      <c r="D3074" s="2" t="s">
        <v>10055</v>
      </c>
      <c r="E3074" s="15">
        <v>8.5699999999999998E-2</v>
      </c>
      <c r="F3074" s="15">
        <v>0.21390000000000001</v>
      </c>
      <c r="G3074" s="15">
        <v>-0.2046</v>
      </c>
      <c r="H3074" s="15">
        <v>0.16420000000000001</v>
      </c>
      <c r="I3074" s="15">
        <v>5.9817438038302147E-2</v>
      </c>
    </row>
    <row r="3075" spans="1:9" x14ac:dyDescent="0.2">
      <c r="A3075" s="2" t="s">
        <v>8295</v>
      </c>
      <c r="B3075" s="2" t="s">
        <v>7007</v>
      </c>
      <c r="C3075" s="2" t="s">
        <v>8296</v>
      </c>
      <c r="D3075" s="2" t="s">
        <v>10055</v>
      </c>
      <c r="E3075" s="15">
        <v>-0.17150000000000001</v>
      </c>
      <c r="F3075" s="15">
        <v>0.11899999999999999</v>
      </c>
      <c r="G3075" s="15">
        <v>-8.2600000000000007E-2</v>
      </c>
      <c r="H3075" s="15">
        <v>9.6500000000000002E-2</v>
      </c>
      <c r="I3075" s="15">
        <v>0.22284855197145159</v>
      </c>
    </row>
    <row r="3076" spans="1:9" x14ac:dyDescent="0.2">
      <c r="A3076" s="2" t="s">
        <v>8297</v>
      </c>
      <c r="B3076" s="2" t="s">
        <v>7007</v>
      </c>
      <c r="C3076" s="2" t="s">
        <v>8298</v>
      </c>
      <c r="D3076" s="2" t="s">
        <v>10055</v>
      </c>
    </row>
    <row r="3077" spans="1:9" x14ac:dyDescent="0.2">
      <c r="A3077" s="2" t="s">
        <v>8299</v>
      </c>
      <c r="B3077" s="2" t="s">
        <v>7007</v>
      </c>
      <c r="C3077" s="2" t="s">
        <v>8300</v>
      </c>
      <c r="D3077" s="2" t="s">
        <v>10055</v>
      </c>
      <c r="E3077" s="15">
        <v>6.1800000000000001E-2</v>
      </c>
      <c r="F3077" s="15">
        <v>0.13950000000000001</v>
      </c>
      <c r="G3077" s="15">
        <v>0.1555</v>
      </c>
      <c r="H3077" s="15">
        <v>0.22259999999999999</v>
      </c>
      <c r="I3077" s="15">
        <v>0.36169333194991288</v>
      </c>
    </row>
    <row r="3078" spans="1:9" x14ac:dyDescent="0.2">
      <c r="A3078" s="2" t="s">
        <v>8301</v>
      </c>
      <c r="B3078" s="2" t="s">
        <v>7007</v>
      </c>
      <c r="C3078" s="2" t="s">
        <v>8302</v>
      </c>
      <c r="D3078" s="2" t="s">
        <v>10055</v>
      </c>
    </row>
    <row r="3079" spans="1:9" x14ac:dyDescent="0.2">
      <c r="A3079" s="2" t="s">
        <v>8303</v>
      </c>
      <c r="B3079" s="2" t="s">
        <v>7007</v>
      </c>
      <c r="C3079" s="2" t="s">
        <v>8304</v>
      </c>
      <c r="D3079" s="2" t="s">
        <v>10055</v>
      </c>
      <c r="E3079" s="15">
        <v>-7.1300000000000002E-2</v>
      </c>
      <c r="F3079" s="15">
        <v>0.11310000000000001</v>
      </c>
      <c r="G3079" s="15">
        <v>4.2799999999999998E-2</v>
      </c>
      <c r="H3079" s="15">
        <v>0.115</v>
      </c>
      <c r="I3079" s="15">
        <v>0.21266182204687939</v>
      </c>
    </row>
    <row r="3080" spans="1:9" x14ac:dyDescent="0.2">
      <c r="A3080" s="2" t="s">
        <v>8305</v>
      </c>
      <c r="B3080" s="2" t="s">
        <v>7007</v>
      </c>
      <c r="C3080" s="2" t="s">
        <v>8306</v>
      </c>
      <c r="D3080" s="2" t="s">
        <v>10055</v>
      </c>
      <c r="E3080" s="15">
        <v>5.9799999999999999E-2</v>
      </c>
      <c r="F3080" s="15">
        <v>0.1734</v>
      </c>
      <c r="G3080" s="15">
        <v>-0.46739999999999998</v>
      </c>
      <c r="H3080" s="15">
        <v>0.72499999999999998</v>
      </c>
      <c r="I3080" s="15">
        <v>0.23628132456157369</v>
      </c>
    </row>
    <row r="3081" spans="1:9" x14ac:dyDescent="0.2">
      <c r="A3081" s="2" t="s">
        <v>8307</v>
      </c>
      <c r="B3081" s="2" t="s">
        <v>7007</v>
      </c>
      <c r="C3081" s="2" t="s">
        <v>8308</v>
      </c>
      <c r="D3081" s="2" t="s">
        <v>10055</v>
      </c>
      <c r="E3081" s="15">
        <v>-0.1822</v>
      </c>
      <c r="F3081" s="15">
        <v>0.13819999999999999</v>
      </c>
      <c r="G3081" s="15">
        <v>4.24E-2</v>
      </c>
      <c r="H3081" s="15">
        <v>0.1094</v>
      </c>
      <c r="I3081" s="15">
        <v>4.5405040687746472E-2</v>
      </c>
    </row>
    <row r="3082" spans="1:9" x14ac:dyDescent="0.2">
      <c r="A3082" s="2" t="s">
        <v>8309</v>
      </c>
      <c r="B3082" s="2" t="s">
        <v>7007</v>
      </c>
      <c r="C3082" s="2" t="s">
        <v>8310</v>
      </c>
      <c r="D3082" s="2" t="s">
        <v>10055</v>
      </c>
      <c r="E3082" s="15">
        <v>9.4600000000000004E-2</v>
      </c>
      <c r="F3082" s="15">
        <v>0.1673</v>
      </c>
    </row>
    <row r="3083" spans="1:9" x14ac:dyDescent="0.2">
      <c r="A3083" s="2" t="s">
        <v>8311</v>
      </c>
      <c r="B3083" s="2" t="s">
        <v>7007</v>
      </c>
      <c r="C3083" s="2" t="s">
        <v>8312</v>
      </c>
      <c r="D3083" s="2" t="s">
        <v>10055</v>
      </c>
      <c r="G3083" s="15">
        <v>3.1099999999999999E-2</v>
      </c>
      <c r="H3083" s="15">
        <v>0.1101</v>
      </c>
    </row>
    <row r="3084" spans="1:9" x14ac:dyDescent="0.2">
      <c r="A3084" s="2" t="s">
        <v>8313</v>
      </c>
      <c r="B3084" s="2" t="s">
        <v>7007</v>
      </c>
      <c r="C3084" s="2" t="s">
        <v>8314</v>
      </c>
      <c r="D3084" s="2" t="s">
        <v>10055</v>
      </c>
      <c r="E3084" s="15">
        <v>-0.15820000000000001</v>
      </c>
      <c r="F3084" s="15">
        <v>9.5399999999999999E-2</v>
      </c>
      <c r="G3084" s="15">
        <v>0.1123</v>
      </c>
      <c r="H3084" s="15">
        <v>0.1077</v>
      </c>
      <c r="I3084" s="15">
        <v>1.318464009025443E-2</v>
      </c>
    </row>
    <row r="3085" spans="1:9" x14ac:dyDescent="0.2">
      <c r="A3085" s="2" t="s">
        <v>8315</v>
      </c>
      <c r="B3085" s="2" t="s">
        <v>7007</v>
      </c>
      <c r="C3085" s="2" t="s">
        <v>8316</v>
      </c>
      <c r="D3085" s="2" t="s">
        <v>10055</v>
      </c>
      <c r="E3085" s="15">
        <v>-7.51E-2</v>
      </c>
      <c r="F3085" s="15">
        <v>7.9799999999999996E-2</v>
      </c>
      <c r="G3085" s="15">
        <v>3.2399999999999998E-2</v>
      </c>
      <c r="H3085" s="15">
        <v>8.2500000000000004E-2</v>
      </c>
      <c r="I3085" s="15">
        <v>0.13230833591827421</v>
      </c>
    </row>
    <row r="3086" spans="1:9" x14ac:dyDescent="0.2">
      <c r="A3086" s="2" t="s">
        <v>8317</v>
      </c>
      <c r="B3086" s="2" t="s">
        <v>7007</v>
      </c>
      <c r="C3086" s="2" t="s">
        <v>8318</v>
      </c>
      <c r="D3086" s="2" t="s">
        <v>10055</v>
      </c>
      <c r="E3086" s="15">
        <v>-4.4600000000000001E-2</v>
      </c>
      <c r="F3086" s="15">
        <v>0.1234</v>
      </c>
      <c r="G3086" s="15">
        <v>6.1499999999999999E-2</v>
      </c>
      <c r="H3086" s="15">
        <v>0.1958</v>
      </c>
      <c r="I3086" s="15">
        <v>0.31398974238712962</v>
      </c>
    </row>
    <row r="3087" spans="1:9" x14ac:dyDescent="0.2">
      <c r="A3087" s="2" t="s">
        <v>8319</v>
      </c>
      <c r="B3087" s="2" t="s">
        <v>7007</v>
      </c>
      <c r="C3087" s="2" t="s">
        <v>8320</v>
      </c>
      <c r="D3087" s="2" t="s">
        <v>10055</v>
      </c>
      <c r="E3087" s="15">
        <v>-8.0000000000000002E-3</v>
      </c>
      <c r="F3087" s="15">
        <v>0.1203</v>
      </c>
      <c r="G3087" s="15">
        <v>-0.1525</v>
      </c>
      <c r="H3087" s="15">
        <v>0.11609999999999999</v>
      </c>
      <c r="I3087" s="15">
        <v>0.13768681106218181</v>
      </c>
    </row>
    <row r="3088" spans="1:9" x14ac:dyDescent="0.2">
      <c r="A3088" s="2" t="s">
        <v>8321</v>
      </c>
      <c r="B3088" s="2" t="s">
        <v>7007</v>
      </c>
      <c r="C3088" s="2" t="s">
        <v>8322</v>
      </c>
      <c r="D3088" s="2" t="s">
        <v>10055</v>
      </c>
      <c r="E3088" s="15">
        <v>8.4400000000000003E-2</v>
      </c>
      <c r="F3088" s="15">
        <v>0.1338</v>
      </c>
      <c r="G3088" s="15">
        <v>7.4499999999999997E-2</v>
      </c>
      <c r="H3088" s="15">
        <v>0.1376</v>
      </c>
      <c r="I3088" s="15">
        <v>0.47415287761841479</v>
      </c>
    </row>
    <row r="3089" spans="1:9" x14ac:dyDescent="0.2">
      <c r="A3089" s="2" t="s">
        <v>8323</v>
      </c>
      <c r="B3089" s="2" t="s">
        <v>7007</v>
      </c>
      <c r="C3089" s="2" t="s">
        <v>8324</v>
      </c>
      <c r="D3089" s="2" t="s">
        <v>10055</v>
      </c>
      <c r="E3089" s="15">
        <v>0.25059999999999999</v>
      </c>
      <c r="F3089" s="15">
        <v>0.1198</v>
      </c>
      <c r="G3089" s="15">
        <v>-1.2E-2</v>
      </c>
      <c r="H3089" s="15">
        <v>8.9399999999999993E-2</v>
      </c>
      <c r="I3089" s="15">
        <v>4.6455701664498304E-3</v>
      </c>
    </row>
    <row r="3090" spans="1:9" x14ac:dyDescent="0.2">
      <c r="A3090" s="2" t="s">
        <v>8325</v>
      </c>
      <c r="B3090" s="2" t="s">
        <v>7007</v>
      </c>
      <c r="C3090" s="2" t="s">
        <v>8326</v>
      </c>
      <c r="D3090" s="2" t="s">
        <v>10055</v>
      </c>
      <c r="E3090" s="15">
        <v>-4.9799999999999997E-2</v>
      </c>
      <c r="F3090" s="15">
        <v>0.18029999999999999</v>
      </c>
    </row>
    <row r="3091" spans="1:9" x14ac:dyDescent="0.2">
      <c r="A3091" s="2" t="s">
        <v>8327</v>
      </c>
      <c r="B3091" s="2" t="s">
        <v>7007</v>
      </c>
      <c r="C3091" s="2" t="s">
        <v>8328</v>
      </c>
      <c r="D3091" s="2" t="s">
        <v>10055</v>
      </c>
      <c r="E3091" s="15">
        <v>-0.2382</v>
      </c>
      <c r="F3091" s="15">
        <v>0.30230000000000001</v>
      </c>
      <c r="G3091" s="15">
        <v>-5.7000000000000002E-3</v>
      </c>
      <c r="H3091" s="15">
        <v>0.1053</v>
      </c>
      <c r="I3091" s="15">
        <v>3.0406175946567152E-2</v>
      </c>
    </row>
    <row r="3092" spans="1:9" x14ac:dyDescent="0.2">
      <c r="A3092" s="2" t="s">
        <v>8329</v>
      </c>
      <c r="B3092" s="2" t="s">
        <v>7007</v>
      </c>
      <c r="C3092" s="2" t="s">
        <v>8330</v>
      </c>
      <c r="D3092" s="2" t="s">
        <v>10055</v>
      </c>
      <c r="E3092" s="15">
        <v>0.1133</v>
      </c>
      <c r="F3092" s="15">
        <v>0.1376</v>
      </c>
    </row>
    <row r="3093" spans="1:9" x14ac:dyDescent="0.2">
      <c r="A3093" s="2" t="s">
        <v>8331</v>
      </c>
      <c r="B3093" s="2" t="s">
        <v>7007</v>
      </c>
      <c r="C3093" s="2" t="s">
        <v>8332</v>
      </c>
      <c r="D3093" s="2" t="s">
        <v>10055</v>
      </c>
      <c r="E3093" s="15">
        <v>0.17130000000000001</v>
      </c>
      <c r="F3093" s="15">
        <v>0.1464</v>
      </c>
      <c r="G3093" s="15">
        <v>0.124</v>
      </c>
      <c r="H3093" s="15">
        <v>0.1125</v>
      </c>
      <c r="I3093" s="15">
        <v>0.35281903932410702</v>
      </c>
    </row>
    <row r="3094" spans="1:9" x14ac:dyDescent="0.2">
      <c r="A3094" s="2" t="s">
        <v>8333</v>
      </c>
      <c r="B3094" s="2" t="s">
        <v>7007</v>
      </c>
      <c r="C3094" s="2" t="s">
        <v>8334</v>
      </c>
      <c r="D3094" s="2" t="s">
        <v>10055</v>
      </c>
      <c r="E3094" s="15">
        <v>0.21729999999999999</v>
      </c>
      <c r="F3094" s="15">
        <v>0.14369999999999999</v>
      </c>
      <c r="G3094" s="15">
        <v>-7.6700000000000004E-2</v>
      </c>
      <c r="H3094" s="15">
        <v>0.15049999999999999</v>
      </c>
      <c r="I3094" s="15">
        <v>3.9996300643306087E-2</v>
      </c>
    </row>
    <row r="3095" spans="1:9" x14ac:dyDescent="0.2">
      <c r="A3095" s="2" t="s">
        <v>8335</v>
      </c>
      <c r="B3095" s="2" t="s">
        <v>7007</v>
      </c>
      <c r="C3095" s="2" t="s">
        <v>8336</v>
      </c>
      <c r="D3095" s="2" t="s">
        <v>10055</v>
      </c>
      <c r="E3095" s="15">
        <v>-0.10920000000000001</v>
      </c>
      <c r="F3095" s="15">
        <v>0.34570000000000001</v>
      </c>
      <c r="G3095" s="15">
        <v>-0.55079999999999996</v>
      </c>
      <c r="H3095" s="15">
        <v>1.2524999999999999</v>
      </c>
      <c r="I3095" s="15">
        <v>0.36281831573372803</v>
      </c>
    </row>
    <row r="3096" spans="1:9" x14ac:dyDescent="0.2">
      <c r="A3096" s="2" t="s">
        <v>8337</v>
      </c>
      <c r="B3096" s="2" t="s">
        <v>7007</v>
      </c>
      <c r="C3096" s="2" t="s">
        <v>8338</v>
      </c>
      <c r="D3096" s="2" t="s">
        <v>10055</v>
      </c>
      <c r="E3096" s="15">
        <v>-0.1222</v>
      </c>
      <c r="F3096" s="15">
        <v>0.1862</v>
      </c>
      <c r="G3096" s="15">
        <v>4.4499999999999998E-2</v>
      </c>
      <c r="H3096" s="15">
        <v>0.1166</v>
      </c>
      <c r="I3096" s="15">
        <v>0.1032564423994127</v>
      </c>
    </row>
    <row r="3097" spans="1:9" x14ac:dyDescent="0.2">
      <c r="A3097" s="2" t="s">
        <v>8339</v>
      </c>
      <c r="B3097" s="2" t="s">
        <v>7007</v>
      </c>
      <c r="C3097" s="2" t="s">
        <v>8340</v>
      </c>
      <c r="D3097" s="2" t="s">
        <v>10055</v>
      </c>
      <c r="E3097" s="15">
        <v>0.2994</v>
      </c>
      <c r="F3097" s="15">
        <v>0.51280000000000003</v>
      </c>
      <c r="G3097" s="15">
        <v>0.15579999999999999</v>
      </c>
      <c r="H3097" s="15">
        <v>0.1472</v>
      </c>
      <c r="I3097" s="15">
        <v>0.29167194224524962</v>
      </c>
    </row>
    <row r="3098" spans="1:9" x14ac:dyDescent="0.2">
      <c r="A3098" s="2" t="s">
        <v>8341</v>
      </c>
      <c r="B3098" s="2" t="s">
        <v>7007</v>
      </c>
      <c r="C3098" s="2" t="s">
        <v>8342</v>
      </c>
      <c r="D3098" s="2" t="s">
        <v>10055</v>
      </c>
      <c r="E3098" s="15">
        <v>8.9999999999999998E-4</v>
      </c>
      <c r="F3098" s="15">
        <v>0.15340000000000001</v>
      </c>
      <c r="G3098" s="15">
        <v>6.2399999999999997E-2</v>
      </c>
      <c r="H3098" s="15">
        <v>0.129</v>
      </c>
      <c r="I3098" s="15">
        <v>0.35875338534894169</v>
      </c>
    </row>
    <row r="3099" spans="1:9" x14ac:dyDescent="0.2">
      <c r="A3099" s="2" t="s">
        <v>8343</v>
      </c>
      <c r="B3099" s="2" t="s">
        <v>7007</v>
      </c>
      <c r="C3099" s="2" t="s">
        <v>8344</v>
      </c>
      <c r="D3099" s="2" t="s">
        <v>10055</v>
      </c>
    </row>
    <row r="3100" spans="1:9" x14ac:dyDescent="0.2">
      <c r="A3100" s="2" t="s">
        <v>8345</v>
      </c>
      <c r="B3100" s="2" t="s">
        <v>7007</v>
      </c>
      <c r="C3100" s="2" t="s">
        <v>8346</v>
      </c>
      <c r="D3100" s="2" t="s">
        <v>10055</v>
      </c>
    </row>
    <row r="3101" spans="1:9" x14ac:dyDescent="0.2">
      <c r="A3101" s="2" t="s">
        <v>8347</v>
      </c>
      <c r="B3101" s="2" t="s">
        <v>7007</v>
      </c>
      <c r="C3101" s="2" t="s">
        <v>8348</v>
      </c>
      <c r="D3101" s="2" t="s">
        <v>10055</v>
      </c>
      <c r="E3101" s="15">
        <v>-0.44469999999999998</v>
      </c>
      <c r="F3101" s="15">
        <v>0.35449999999999998</v>
      </c>
      <c r="G3101" s="15">
        <v>6.4399999999999999E-2</v>
      </c>
      <c r="H3101" s="15">
        <v>0.1648</v>
      </c>
      <c r="I3101" s="15">
        <v>4.8859698217981716E-3</v>
      </c>
    </row>
    <row r="3102" spans="1:9" x14ac:dyDescent="0.2">
      <c r="A3102" s="2" t="s">
        <v>8349</v>
      </c>
      <c r="B3102" s="2" t="s">
        <v>7007</v>
      </c>
      <c r="C3102" s="2" t="s">
        <v>8350</v>
      </c>
      <c r="D3102" s="2" t="s">
        <v>10055</v>
      </c>
    </row>
    <row r="3103" spans="1:9" x14ac:dyDescent="0.2">
      <c r="A3103" s="2" t="s">
        <v>8351</v>
      </c>
      <c r="B3103" s="2" t="s">
        <v>7007</v>
      </c>
      <c r="C3103" s="2" t="s">
        <v>8352</v>
      </c>
      <c r="D3103" s="2" t="s">
        <v>10055</v>
      </c>
      <c r="E3103" s="15">
        <v>-0.1027</v>
      </c>
      <c r="F3103" s="15">
        <v>0.12180000000000001</v>
      </c>
    </row>
    <row r="3104" spans="1:9" x14ac:dyDescent="0.2">
      <c r="A3104" s="2" t="s">
        <v>8353</v>
      </c>
      <c r="B3104" s="2" t="s">
        <v>7007</v>
      </c>
      <c r="C3104" s="2" t="s">
        <v>8354</v>
      </c>
      <c r="D3104" s="2" t="s">
        <v>10055</v>
      </c>
      <c r="G3104" s="15">
        <v>0.14000000000000001</v>
      </c>
      <c r="H3104" s="15">
        <v>0.1444</v>
      </c>
    </row>
    <row r="3105" spans="1:9" x14ac:dyDescent="0.2">
      <c r="A3105" s="2" t="s">
        <v>8355</v>
      </c>
      <c r="B3105" s="2" t="s">
        <v>7007</v>
      </c>
      <c r="C3105" s="2" t="s">
        <v>8356</v>
      </c>
      <c r="D3105" s="2" t="s">
        <v>10055</v>
      </c>
      <c r="E3105" s="15">
        <v>-3.5099999999999999E-2</v>
      </c>
      <c r="F3105" s="15">
        <v>0.1018</v>
      </c>
      <c r="G3105" s="15">
        <v>0.18990000000000001</v>
      </c>
      <c r="H3105" s="15">
        <v>0.20349999999999999</v>
      </c>
      <c r="I3105" s="15">
        <v>0.16324978389265149</v>
      </c>
    </row>
    <row r="3106" spans="1:9" x14ac:dyDescent="0.2">
      <c r="A3106" s="2" t="s">
        <v>8357</v>
      </c>
      <c r="B3106" s="2" t="s">
        <v>7007</v>
      </c>
      <c r="C3106" s="2" t="s">
        <v>8358</v>
      </c>
      <c r="D3106" s="2" t="s">
        <v>10055</v>
      </c>
      <c r="G3106" s="15">
        <v>0.1376</v>
      </c>
      <c r="H3106" s="15">
        <v>0.1119</v>
      </c>
    </row>
    <row r="3107" spans="1:9" x14ac:dyDescent="0.2">
      <c r="A3107" s="2" t="s">
        <v>8359</v>
      </c>
      <c r="B3107" s="2" t="s">
        <v>7007</v>
      </c>
      <c r="C3107" s="2" t="s">
        <v>8360</v>
      </c>
      <c r="D3107" s="2" t="s">
        <v>10055</v>
      </c>
    </row>
    <row r="3108" spans="1:9" x14ac:dyDescent="0.2">
      <c r="A3108" s="2" t="s">
        <v>8361</v>
      </c>
      <c r="B3108" s="2" t="s">
        <v>7007</v>
      </c>
      <c r="C3108" s="2" t="s">
        <v>8362</v>
      </c>
      <c r="D3108" s="2" t="s">
        <v>10055</v>
      </c>
      <c r="E3108" s="15">
        <v>0.1565</v>
      </c>
      <c r="F3108" s="15">
        <v>0.2263</v>
      </c>
      <c r="G3108" s="15">
        <v>4.0500000000000001E-2</v>
      </c>
      <c r="H3108" s="15">
        <v>0.1678</v>
      </c>
      <c r="I3108" s="15">
        <v>0.27693424089981938</v>
      </c>
    </row>
    <row r="3109" spans="1:9" x14ac:dyDescent="0.2">
      <c r="A3109" s="2" t="s">
        <v>8363</v>
      </c>
      <c r="B3109" s="2" t="s">
        <v>7007</v>
      </c>
      <c r="C3109" s="2" t="s">
        <v>8364</v>
      </c>
      <c r="D3109" s="2" t="s">
        <v>10055</v>
      </c>
      <c r="E3109" s="15">
        <v>-6.4799999999999996E-2</v>
      </c>
      <c r="F3109" s="15">
        <v>0.22040000000000001</v>
      </c>
    </row>
    <row r="3110" spans="1:9" x14ac:dyDescent="0.2">
      <c r="A3110" s="2" t="s">
        <v>8365</v>
      </c>
      <c r="B3110" s="2" t="s">
        <v>7007</v>
      </c>
      <c r="C3110" s="2" t="s">
        <v>8366</v>
      </c>
      <c r="D3110" s="2" t="s">
        <v>10055</v>
      </c>
      <c r="E3110" s="15">
        <v>0.27060000000000001</v>
      </c>
      <c r="F3110" s="15">
        <v>1.3069</v>
      </c>
    </row>
    <row r="3111" spans="1:9" x14ac:dyDescent="0.2">
      <c r="A3111" s="2" t="s">
        <v>8367</v>
      </c>
      <c r="B3111" s="2" t="s">
        <v>7007</v>
      </c>
      <c r="C3111" s="2" t="s">
        <v>8368</v>
      </c>
      <c r="D3111" s="2" t="s">
        <v>10055</v>
      </c>
      <c r="E3111" s="15">
        <v>-1.77E-2</v>
      </c>
      <c r="F3111" s="15">
        <v>0.27160000000000001</v>
      </c>
      <c r="G3111" s="15">
        <v>-0.2485</v>
      </c>
      <c r="H3111" s="15">
        <v>0.19470000000000001</v>
      </c>
      <c r="I3111" s="15">
        <v>0.14306456109238189</v>
      </c>
    </row>
    <row r="3112" spans="1:9" x14ac:dyDescent="0.2">
      <c r="A3112" s="2" t="s">
        <v>8369</v>
      </c>
      <c r="B3112" s="2" t="s">
        <v>7007</v>
      </c>
      <c r="C3112" s="2" t="s">
        <v>8370</v>
      </c>
      <c r="D3112" s="2" t="s">
        <v>10055</v>
      </c>
    </row>
    <row r="3113" spans="1:9" x14ac:dyDescent="0.2">
      <c r="A3113" s="2" t="s">
        <v>8371</v>
      </c>
      <c r="B3113" s="2" t="s">
        <v>7007</v>
      </c>
      <c r="C3113" s="2" t="s">
        <v>8372</v>
      </c>
      <c r="D3113" s="2" t="s">
        <v>10055</v>
      </c>
      <c r="G3113" s="15">
        <v>-0.16639999999999999</v>
      </c>
      <c r="H3113" s="15">
        <v>0.49380000000000002</v>
      </c>
    </row>
    <row r="3114" spans="1:9" x14ac:dyDescent="0.2">
      <c r="A3114" s="2" t="s">
        <v>8373</v>
      </c>
      <c r="B3114" s="2" t="s">
        <v>7007</v>
      </c>
      <c r="C3114" s="2" t="s">
        <v>8374</v>
      </c>
      <c r="D3114" s="2" t="s">
        <v>10055</v>
      </c>
      <c r="E3114" s="15">
        <v>-0.2273</v>
      </c>
      <c r="F3114" s="15">
        <v>0.27589999999999998</v>
      </c>
    </row>
    <row r="3115" spans="1:9" x14ac:dyDescent="0.2">
      <c r="A3115" s="2" t="s">
        <v>8375</v>
      </c>
      <c r="B3115" s="2" t="s">
        <v>7007</v>
      </c>
      <c r="C3115" s="2" t="s">
        <v>8376</v>
      </c>
      <c r="D3115" s="2" t="s">
        <v>10055</v>
      </c>
      <c r="E3115" s="15">
        <v>-6.4500000000000002E-2</v>
      </c>
      <c r="F3115" s="15">
        <v>0.1525</v>
      </c>
      <c r="G3115" s="15">
        <v>0.24429999999999999</v>
      </c>
      <c r="H3115" s="15">
        <v>0.7913</v>
      </c>
      <c r="I3115" s="15">
        <v>0.35443298820373847</v>
      </c>
    </row>
    <row r="3116" spans="1:9" x14ac:dyDescent="0.2">
      <c r="A3116" s="2" t="s">
        <v>8377</v>
      </c>
      <c r="B3116" s="2" t="s">
        <v>7007</v>
      </c>
      <c r="C3116" s="2" t="s">
        <v>8378</v>
      </c>
      <c r="D3116" s="2" t="s">
        <v>10055</v>
      </c>
      <c r="E3116" s="15">
        <v>0.16159999999999999</v>
      </c>
      <c r="F3116" s="15">
        <v>0.11749999999999999</v>
      </c>
    </row>
    <row r="3117" spans="1:9" x14ac:dyDescent="0.2">
      <c r="A3117" s="2" t="s">
        <v>8379</v>
      </c>
      <c r="B3117" s="2" t="s">
        <v>7007</v>
      </c>
      <c r="C3117" s="2" t="s">
        <v>8380</v>
      </c>
      <c r="D3117" s="2" t="s">
        <v>10055</v>
      </c>
      <c r="G3117" s="15">
        <v>3.9100000000000003E-2</v>
      </c>
      <c r="H3117" s="15">
        <v>0.1333</v>
      </c>
    </row>
    <row r="3118" spans="1:9" x14ac:dyDescent="0.2">
      <c r="A3118" s="2" t="s">
        <v>8381</v>
      </c>
      <c r="B3118" s="2" t="s">
        <v>7007</v>
      </c>
      <c r="C3118" s="2" t="s">
        <v>8382</v>
      </c>
      <c r="D3118" s="2" t="s">
        <v>10055</v>
      </c>
      <c r="E3118" s="15">
        <v>-7.8299999999999995E-2</v>
      </c>
      <c r="F3118" s="15">
        <v>0.1109</v>
      </c>
    </row>
    <row r="3119" spans="1:9" x14ac:dyDescent="0.2">
      <c r="A3119" s="2" t="s">
        <v>8383</v>
      </c>
      <c r="B3119" s="2" t="s">
        <v>7007</v>
      </c>
      <c r="C3119" s="2" t="s">
        <v>8384</v>
      </c>
      <c r="D3119" s="2" t="s">
        <v>10055</v>
      </c>
      <c r="E3119" s="15">
        <v>-0.62580000000000002</v>
      </c>
      <c r="F3119" s="15">
        <v>2.4117999999999999</v>
      </c>
    </row>
    <row r="3120" spans="1:9" x14ac:dyDescent="0.2">
      <c r="A3120" s="2" t="s">
        <v>8385</v>
      </c>
      <c r="B3120" s="2" t="s">
        <v>7007</v>
      </c>
      <c r="C3120" s="2" t="s">
        <v>8386</v>
      </c>
      <c r="D3120" s="2" t="s">
        <v>10055</v>
      </c>
    </row>
    <row r="3121" spans="1:9" x14ac:dyDescent="0.2">
      <c r="A3121" s="2" t="s">
        <v>8387</v>
      </c>
      <c r="B3121" s="2" t="s">
        <v>7007</v>
      </c>
      <c r="C3121" s="2" t="s">
        <v>8388</v>
      </c>
      <c r="D3121" s="2" t="s">
        <v>10055</v>
      </c>
    </row>
    <row r="3122" spans="1:9" x14ac:dyDescent="0.2">
      <c r="A3122" s="2" t="s">
        <v>8389</v>
      </c>
      <c r="B3122" s="2" t="s">
        <v>7007</v>
      </c>
      <c r="C3122" s="2" t="s">
        <v>8390</v>
      </c>
      <c r="D3122" s="2" t="s">
        <v>10055</v>
      </c>
      <c r="E3122" s="15">
        <v>6.8000000000000005E-2</v>
      </c>
      <c r="F3122" s="15">
        <v>0.2369</v>
      </c>
    </row>
    <row r="3123" spans="1:9" x14ac:dyDescent="0.2">
      <c r="A3123" s="2" t="s">
        <v>8391</v>
      </c>
      <c r="B3123" s="2" t="s">
        <v>7007</v>
      </c>
      <c r="C3123" s="2" t="s">
        <v>8392</v>
      </c>
      <c r="D3123" s="2" t="s">
        <v>10055</v>
      </c>
      <c r="E3123" s="15">
        <v>-0.1099</v>
      </c>
      <c r="F3123" s="15">
        <v>0.1106</v>
      </c>
      <c r="G3123" s="15">
        <v>-1.66E-2</v>
      </c>
      <c r="H3123" s="15">
        <v>0.17380000000000001</v>
      </c>
      <c r="I3123" s="15">
        <v>0.32202291605222411</v>
      </c>
    </row>
    <row r="3124" spans="1:9" x14ac:dyDescent="0.2">
      <c r="A3124" s="2" t="s">
        <v>8393</v>
      </c>
      <c r="B3124" s="2" t="s">
        <v>7007</v>
      </c>
      <c r="C3124" s="2" t="s">
        <v>8394</v>
      </c>
      <c r="D3124" s="2" t="s">
        <v>10055</v>
      </c>
      <c r="E3124" s="15">
        <v>-4.07E-2</v>
      </c>
      <c r="F3124" s="15">
        <v>0.14080000000000001</v>
      </c>
      <c r="G3124" s="15">
        <v>-0.14349999999999999</v>
      </c>
      <c r="H3124" s="15">
        <v>0.1196</v>
      </c>
      <c r="I3124" s="15">
        <v>0.24793250851520029</v>
      </c>
    </row>
    <row r="3125" spans="1:9" x14ac:dyDescent="0.2">
      <c r="A3125" s="2" t="s">
        <v>8395</v>
      </c>
      <c r="B3125" s="2" t="s">
        <v>7007</v>
      </c>
      <c r="C3125" s="2" t="s">
        <v>8396</v>
      </c>
      <c r="D3125" s="2" t="s">
        <v>10055</v>
      </c>
      <c r="G3125" s="15">
        <v>-5.0099999999999999E-2</v>
      </c>
      <c r="H3125" s="15">
        <v>0.18940000000000001</v>
      </c>
    </row>
    <row r="3126" spans="1:9" x14ac:dyDescent="0.2">
      <c r="A3126" s="2" t="s">
        <v>8397</v>
      </c>
      <c r="B3126" s="2" t="s">
        <v>7007</v>
      </c>
      <c r="C3126" s="2" t="s">
        <v>8398</v>
      </c>
      <c r="D3126" s="2" t="s">
        <v>10055</v>
      </c>
    </row>
    <row r="3127" spans="1:9" x14ac:dyDescent="0.2">
      <c r="A3127" s="2" t="s">
        <v>8399</v>
      </c>
      <c r="B3127" s="2" t="s">
        <v>7007</v>
      </c>
      <c r="C3127" s="2" t="s">
        <v>8400</v>
      </c>
      <c r="D3127" s="2" t="s">
        <v>10055</v>
      </c>
      <c r="E3127" s="15">
        <v>7.5999999999999998E-2</v>
      </c>
      <c r="F3127" s="15">
        <v>0.1197</v>
      </c>
    </row>
    <row r="3128" spans="1:9" x14ac:dyDescent="0.2">
      <c r="A3128" s="2" t="s">
        <v>8401</v>
      </c>
      <c r="B3128" s="2" t="s">
        <v>7007</v>
      </c>
      <c r="C3128" s="2" t="s">
        <v>8402</v>
      </c>
      <c r="D3128" s="2" t="s">
        <v>10055</v>
      </c>
      <c r="E3128" s="15">
        <v>0.16350000000000001</v>
      </c>
      <c r="F3128" s="15">
        <v>0.156</v>
      </c>
    </row>
    <row r="3129" spans="1:9" x14ac:dyDescent="0.2">
      <c r="A3129" s="2" t="s">
        <v>8403</v>
      </c>
      <c r="B3129" s="2" t="s">
        <v>7007</v>
      </c>
      <c r="C3129" s="2" t="s">
        <v>8404</v>
      </c>
      <c r="D3129" s="2" t="s">
        <v>10055</v>
      </c>
      <c r="E3129" s="15">
        <v>-1.5699999999999999E-2</v>
      </c>
      <c r="F3129" s="15">
        <v>0.1578</v>
      </c>
    </row>
    <row r="3130" spans="1:9" x14ac:dyDescent="0.2">
      <c r="A3130" s="2" t="s">
        <v>8405</v>
      </c>
      <c r="B3130" s="2" t="s">
        <v>7007</v>
      </c>
      <c r="C3130" s="2" t="s">
        <v>8406</v>
      </c>
      <c r="D3130" s="2" t="s">
        <v>10055</v>
      </c>
      <c r="E3130" s="15">
        <v>-0.5121</v>
      </c>
      <c r="F3130" s="15">
        <v>0.69450000000000001</v>
      </c>
      <c r="G3130" s="15">
        <v>-0.1086</v>
      </c>
      <c r="H3130" s="15">
        <v>0.26269999999999999</v>
      </c>
      <c r="I3130" s="15">
        <v>7.6201698930674105E-2</v>
      </c>
    </row>
    <row r="3131" spans="1:9" x14ac:dyDescent="0.2">
      <c r="A3131" s="2" t="s">
        <v>8407</v>
      </c>
      <c r="B3131" s="2" t="s">
        <v>7007</v>
      </c>
      <c r="C3131" s="2" t="s">
        <v>8408</v>
      </c>
      <c r="D3131" s="2" t="s">
        <v>10055</v>
      </c>
      <c r="E3131" s="15">
        <v>7.7499999999999999E-2</v>
      </c>
      <c r="F3131" s="15">
        <v>8.6199999999999999E-2</v>
      </c>
      <c r="G3131" s="15">
        <v>9.1000000000000004E-3</v>
      </c>
      <c r="H3131" s="15">
        <v>0.1158</v>
      </c>
      <c r="I3131" s="15">
        <v>0.31175481729503413</v>
      </c>
    </row>
    <row r="3132" spans="1:9" x14ac:dyDescent="0.2">
      <c r="A3132" s="2" t="s">
        <v>8409</v>
      </c>
      <c r="B3132" s="2" t="s">
        <v>7007</v>
      </c>
      <c r="C3132" s="2" t="s">
        <v>8410</v>
      </c>
      <c r="D3132" s="2" t="s">
        <v>10055</v>
      </c>
    </row>
    <row r="3133" spans="1:9" x14ac:dyDescent="0.2">
      <c r="A3133" s="2" t="s">
        <v>8411</v>
      </c>
      <c r="B3133" s="2" t="s">
        <v>7007</v>
      </c>
      <c r="C3133" s="2" t="s">
        <v>8412</v>
      </c>
      <c r="D3133" s="2" t="s">
        <v>10055</v>
      </c>
      <c r="E3133" s="15">
        <v>0.1537</v>
      </c>
      <c r="F3133" s="15">
        <v>0.191</v>
      </c>
      <c r="G3133" s="15">
        <v>3.5200000000000002E-2</v>
      </c>
      <c r="H3133" s="15">
        <v>0.114</v>
      </c>
      <c r="I3133" s="15">
        <v>0.2367245645599787</v>
      </c>
    </row>
    <row r="3134" spans="1:9" x14ac:dyDescent="0.2">
      <c r="A3134" s="2" t="s">
        <v>8413</v>
      </c>
      <c r="B3134" s="2" t="s">
        <v>7007</v>
      </c>
      <c r="C3134" s="2" t="s">
        <v>8414</v>
      </c>
      <c r="D3134" s="2" t="s">
        <v>10055</v>
      </c>
      <c r="G3134" s="15">
        <v>1.38E-2</v>
      </c>
      <c r="H3134" s="15">
        <v>0.1527</v>
      </c>
    </row>
    <row r="3135" spans="1:9" x14ac:dyDescent="0.2">
      <c r="A3135" s="2" t="s">
        <v>8415</v>
      </c>
      <c r="B3135" s="2" t="s">
        <v>7007</v>
      </c>
      <c r="C3135" s="2" t="s">
        <v>8416</v>
      </c>
      <c r="D3135" s="2" t="s">
        <v>10055</v>
      </c>
      <c r="E3135" s="15">
        <v>-0.1409</v>
      </c>
      <c r="F3135" s="15">
        <v>0.10340000000000001</v>
      </c>
      <c r="G3135" s="15">
        <v>-7.6300000000000007E-2</v>
      </c>
      <c r="H3135" s="15">
        <v>0.16339999999999999</v>
      </c>
      <c r="I3135" s="15">
        <v>0.36276295682962317</v>
      </c>
    </row>
    <row r="3136" spans="1:9" x14ac:dyDescent="0.2">
      <c r="A3136" s="2" t="s">
        <v>8417</v>
      </c>
      <c r="B3136" s="2" t="s">
        <v>7007</v>
      </c>
      <c r="C3136" s="2" t="s">
        <v>8418</v>
      </c>
      <c r="D3136" s="2" t="s">
        <v>10055</v>
      </c>
      <c r="E3136" s="15">
        <v>-0.19470000000000001</v>
      </c>
      <c r="F3136" s="15">
        <v>0.13350000000000001</v>
      </c>
    </row>
    <row r="3137" spans="1:9" x14ac:dyDescent="0.2">
      <c r="A3137" s="2" t="s">
        <v>8419</v>
      </c>
      <c r="B3137" s="2" t="s">
        <v>7007</v>
      </c>
      <c r="C3137" s="2" t="s">
        <v>8420</v>
      </c>
      <c r="D3137" s="2" t="s">
        <v>10055</v>
      </c>
      <c r="E3137" s="15">
        <v>6.1400000000000003E-2</v>
      </c>
      <c r="F3137" s="15">
        <v>0.10730000000000001</v>
      </c>
      <c r="G3137" s="15">
        <v>7.1999999999999995E-2</v>
      </c>
      <c r="H3137" s="15">
        <v>9.9000000000000005E-2</v>
      </c>
      <c r="I3137" s="15">
        <v>0.46335858688662868</v>
      </c>
    </row>
    <row r="3138" spans="1:9" x14ac:dyDescent="0.2">
      <c r="A3138" s="2" t="s">
        <v>8421</v>
      </c>
      <c r="B3138" s="2" t="s">
        <v>7007</v>
      </c>
      <c r="C3138" s="2" t="s">
        <v>8422</v>
      </c>
      <c r="D3138" s="2" t="s">
        <v>10055</v>
      </c>
      <c r="E3138" s="15">
        <v>-0.13719999999999999</v>
      </c>
      <c r="F3138" s="15">
        <v>0.11940000000000001</v>
      </c>
      <c r="G3138" s="15">
        <v>-7.1199999999999999E-2</v>
      </c>
      <c r="H3138" s="15">
        <v>0.157</v>
      </c>
      <c r="I3138" s="15">
        <v>0.35034023235099748</v>
      </c>
    </row>
    <row r="3139" spans="1:9" x14ac:dyDescent="0.2">
      <c r="A3139" s="2" t="s">
        <v>8423</v>
      </c>
      <c r="B3139" s="2" t="s">
        <v>7007</v>
      </c>
      <c r="C3139" s="2" t="s">
        <v>8424</v>
      </c>
      <c r="D3139" s="2" t="s">
        <v>10055</v>
      </c>
    </row>
    <row r="3140" spans="1:9" x14ac:dyDescent="0.2">
      <c r="A3140" s="2" t="s">
        <v>8425</v>
      </c>
      <c r="B3140" s="2" t="s">
        <v>7007</v>
      </c>
      <c r="C3140" s="2" t="s">
        <v>8426</v>
      </c>
      <c r="D3140" s="2" t="s">
        <v>10055</v>
      </c>
    </row>
    <row r="3141" spans="1:9" x14ac:dyDescent="0.2">
      <c r="A3141" s="2" t="s">
        <v>8427</v>
      </c>
      <c r="B3141" s="2" t="s">
        <v>7007</v>
      </c>
      <c r="C3141" s="2" t="s">
        <v>8428</v>
      </c>
      <c r="D3141" s="2" t="s">
        <v>10055</v>
      </c>
      <c r="G3141" s="15">
        <v>-3.5000000000000003E-2</v>
      </c>
      <c r="H3141" s="15">
        <v>0.27310000000000001</v>
      </c>
    </row>
    <row r="3142" spans="1:9" x14ac:dyDescent="0.2">
      <c r="A3142" s="2" t="s">
        <v>8429</v>
      </c>
      <c r="B3142" s="2" t="s">
        <v>7007</v>
      </c>
      <c r="C3142" s="2" t="s">
        <v>8430</v>
      </c>
      <c r="D3142" s="2" t="s">
        <v>10055</v>
      </c>
      <c r="G3142" s="15">
        <v>-8.2100000000000006E-2</v>
      </c>
      <c r="H3142" s="15">
        <v>0.23810000000000001</v>
      </c>
    </row>
    <row r="3143" spans="1:9" x14ac:dyDescent="0.2">
      <c r="A3143" s="2" t="s">
        <v>8431</v>
      </c>
      <c r="B3143" s="2" t="s">
        <v>7007</v>
      </c>
      <c r="C3143" s="2" t="s">
        <v>8432</v>
      </c>
      <c r="D3143" s="2" t="s">
        <v>10055</v>
      </c>
      <c r="G3143" s="15">
        <v>-0.23799999999999999</v>
      </c>
      <c r="H3143" s="15">
        <v>0.15190000000000001</v>
      </c>
    </row>
    <row r="3144" spans="1:9" x14ac:dyDescent="0.2">
      <c r="A3144" s="2" t="s">
        <v>8433</v>
      </c>
      <c r="B3144" s="2" t="s">
        <v>7007</v>
      </c>
      <c r="C3144" s="2" t="s">
        <v>8434</v>
      </c>
      <c r="D3144" s="2" t="s">
        <v>10055</v>
      </c>
      <c r="E3144" s="15">
        <v>-0.77610000000000001</v>
      </c>
      <c r="F3144" s="15">
        <v>0.78549999999999998</v>
      </c>
      <c r="G3144" s="15">
        <v>5.7299999999999997E-2</v>
      </c>
      <c r="H3144" s="15">
        <v>0.13969999999999999</v>
      </c>
      <c r="I3144" s="15">
        <v>1.6869684771464741E-7</v>
      </c>
    </row>
    <row r="3145" spans="1:9" x14ac:dyDescent="0.2">
      <c r="A3145" s="2" t="s">
        <v>8435</v>
      </c>
      <c r="B3145" s="2" t="s">
        <v>7007</v>
      </c>
      <c r="C3145" s="2" t="s">
        <v>8436</v>
      </c>
      <c r="D3145" s="2" t="s">
        <v>10055</v>
      </c>
      <c r="E3145" s="15">
        <v>-7.7600000000000002E-2</v>
      </c>
      <c r="F3145" s="15">
        <v>0.1787</v>
      </c>
      <c r="G3145" s="15">
        <v>-1.38E-2</v>
      </c>
      <c r="H3145" s="15">
        <v>0.12280000000000001</v>
      </c>
      <c r="I3145" s="15">
        <v>0.32529598258437448</v>
      </c>
    </row>
    <row r="3146" spans="1:9" x14ac:dyDescent="0.2">
      <c r="A3146" s="2" t="s">
        <v>8437</v>
      </c>
      <c r="B3146" s="2" t="s">
        <v>7007</v>
      </c>
      <c r="C3146" s="2" t="s">
        <v>8438</v>
      </c>
      <c r="D3146" s="2" t="s">
        <v>10055</v>
      </c>
      <c r="E3146" s="15">
        <v>-5.74E-2</v>
      </c>
      <c r="F3146" s="15">
        <v>0.11849999999999999</v>
      </c>
      <c r="G3146" s="15">
        <v>4.1799999999999997E-2</v>
      </c>
      <c r="H3146" s="15">
        <v>0.1255</v>
      </c>
      <c r="I3146" s="15">
        <v>0.27430586734034668</v>
      </c>
    </row>
    <row r="3147" spans="1:9" x14ac:dyDescent="0.2">
      <c r="A3147" s="2" t="s">
        <v>8439</v>
      </c>
      <c r="B3147" s="2" t="s">
        <v>7007</v>
      </c>
      <c r="C3147" s="2" t="s">
        <v>8440</v>
      </c>
      <c r="D3147" s="2" t="s">
        <v>10055</v>
      </c>
      <c r="E3147" s="15">
        <v>-0.56979999999999997</v>
      </c>
      <c r="F3147" s="15">
        <v>1.4239999999999999</v>
      </c>
    </row>
    <row r="3148" spans="1:9" x14ac:dyDescent="0.2">
      <c r="A3148" s="2" t="s">
        <v>8441</v>
      </c>
      <c r="B3148" s="2" t="s">
        <v>7007</v>
      </c>
      <c r="C3148" s="2" t="s">
        <v>8442</v>
      </c>
      <c r="D3148" s="2" t="s">
        <v>10055</v>
      </c>
      <c r="E3148" s="15">
        <v>-0.104</v>
      </c>
      <c r="F3148" s="15">
        <v>0.1336</v>
      </c>
      <c r="G3148" s="15">
        <v>-0.15490000000000001</v>
      </c>
      <c r="H3148" s="15">
        <v>0.16039999999999999</v>
      </c>
      <c r="I3148" s="15">
        <v>0.38922785827392431</v>
      </c>
    </row>
    <row r="3149" spans="1:9" x14ac:dyDescent="0.2">
      <c r="A3149" s="2" t="s">
        <v>8443</v>
      </c>
      <c r="B3149" s="2" t="s">
        <v>7007</v>
      </c>
      <c r="C3149" s="2" t="s">
        <v>8444</v>
      </c>
      <c r="D3149" s="2" t="s">
        <v>10055</v>
      </c>
      <c r="E3149" s="15">
        <v>8.0100000000000005E-2</v>
      </c>
      <c r="F3149" s="15">
        <v>0.2</v>
      </c>
      <c r="G3149" s="15">
        <v>0.2122</v>
      </c>
      <c r="H3149" s="15">
        <v>0.2263</v>
      </c>
    </row>
    <row r="3150" spans="1:9" x14ac:dyDescent="0.2">
      <c r="A3150" s="2" t="s">
        <v>8445</v>
      </c>
      <c r="B3150" s="2" t="s">
        <v>7007</v>
      </c>
      <c r="C3150" s="2" t="s">
        <v>8446</v>
      </c>
      <c r="D3150" s="2" t="s">
        <v>10055</v>
      </c>
      <c r="G3150" s="15">
        <v>-3.1099999999999999E-2</v>
      </c>
      <c r="H3150" s="15">
        <v>0.21790000000000001</v>
      </c>
    </row>
    <row r="3151" spans="1:9" x14ac:dyDescent="0.2">
      <c r="A3151" s="2" t="s">
        <v>8447</v>
      </c>
      <c r="B3151" s="2" t="s">
        <v>7007</v>
      </c>
      <c r="C3151" s="2" t="s">
        <v>8448</v>
      </c>
      <c r="D3151" s="2" t="s">
        <v>10055</v>
      </c>
      <c r="E3151" s="15">
        <v>0.21290000000000001</v>
      </c>
      <c r="F3151" s="15">
        <v>0.21010000000000001</v>
      </c>
    </row>
    <row r="3152" spans="1:9" x14ac:dyDescent="0.2">
      <c r="A3152" s="2" t="s">
        <v>8449</v>
      </c>
      <c r="B3152" s="2" t="s">
        <v>7007</v>
      </c>
      <c r="C3152" s="2" t="s">
        <v>8450</v>
      </c>
      <c r="D3152" s="2" t="s">
        <v>10055</v>
      </c>
      <c r="E3152" s="15">
        <v>2.92E-2</v>
      </c>
      <c r="F3152" s="15">
        <v>0.1061</v>
      </c>
      <c r="G3152" s="15">
        <v>-0.1019</v>
      </c>
      <c r="H3152" s="15">
        <v>0.11600000000000001</v>
      </c>
      <c r="I3152" s="15">
        <v>0.1577280926499714</v>
      </c>
    </row>
    <row r="3153" spans="1:9" x14ac:dyDescent="0.2">
      <c r="A3153" s="2" t="s">
        <v>8451</v>
      </c>
      <c r="B3153" s="2" t="s">
        <v>7007</v>
      </c>
      <c r="C3153" s="2" t="s">
        <v>8452</v>
      </c>
      <c r="D3153" s="2" t="s">
        <v>10055</v>
      </c>
      <c r="E3153" s="15">
        <v>-0.1525</v>
      </c>
      <c r="F3153" s="15">
        <v>0.18629999999999999</v>
      </c>
    </row>
    <row r="3154" spans="1:9" x14ac:dyDescent="0.2">
      <c r="A3154" s="2" t="s">
        <v>8453</v>
      </c>
      <c r="B3154" s="2" t="s">
        <v>7007</v>
      </c>
      <c r="C3154" s="2" t="s">
        <v>8454</v>
      </c>
      <c r="D3154" s="2" t="s">
        <v>10055</v>
      </c>
      <c r="E3154" s="15">
        <v>2.4400000000000002E-2</v>
      </c>
      <c r="F3154" s="15">
        <v>0.1033</v>
      </c>
      <c r="G3154" s="15">
        <v>-5.2400000000000002E-2</v>
      </c>
      <c r="H3154" s="15">
        <v>0.25829999999999997</v>
      </c>
      <c r="I3154" s="15">
        <v>0.38806784950147111</v>
      </c>
    </row>
    <row r="3155" spans="1:9" x14ac:dyDescent="0.2">
      <c r="A3155" s="2" t="s">
        <v>8455</v>
      </c>
      <c r="B3155" s="2" t="s">
        <v>7007</v>
      </c>
      <c r="C3155" s="2" t="s">
        <v>8456</v>
      </c>
      <c r="D3155" s="2" t="s">
        <v>10055</v>
      </c>
      <c r="E3155" s="15">
        <v>4.9500000000000002E-2</v>
      </c>
      <c r="F3155" s="15">
        <v>0.1361</v>
      </c>
      <c r="G3155" s="15">
        <v>0.1298</v>
      </c>
      <c r="H3155" s="15">
        <v>0.13250000000000001</v>
      </c>
      <c r="I3155" s="15">
        <v>0.3016457294670134</v>
      </c>
    </row>
    <row r="3156" spans="1:9" x14ac:dyDescent="0.2">
      <c r="A3156" s="2" t="s">
        <v>8457</v>
      </c>
      <c r="B3156" s="2" t="s">
        <v>7007</v>
      </c>
      <c r="C3156" s="2" t="s">
        <v>8458</v>
      </c>
      <c r="D3156" s="2" t="s">
        <v>10055</v>
      </c>
      <c r="E3156" s="15">
        <v>0.22459999999999999</v>
      </c>
      <c r="F3156" s="15">
        <v>0.12330000000000001</v>
      </c>
      <c r="G3156" s="15">
        <v>-8.3599999999999994E-2</v>
      </c>
      <c r="H3156" s="15">
        <v>0.16980000000000001</v>
      </c>
      <c r="I3156" s="15">
        <v>5.4733015168501112E-2</v>
      </c>
    </row>
    <row r="3157" spans="1:9" x14ac:dyDescent="0.2">
      <c r="A3157" s="2" t="s">
        <v>8459</v>
      </c>
      <c r="B3157" s="2" t="s">
        <v>7007</v>
      </c>
      <c r="C3157" s="2" t="s">
        <v>8460</v>
      </c>
      <c r="D3157" s="2" t="s">
        <v>10055</v>
      </c>
      <c r="E3157" s="15">
        <v>9.11E-2</v>
      </c>
      <c r="F3157" s="15">
        <v>0.15049999999999999</v>
      </c>
      <c r="G3157" s="15">
        <v>-5.6300000000000003E-2</v>
      </c>
      <c r="H3157" s="15">
        <v>0.13930000000000001</v>
      </c>
      <c r="I3157" s="15">
        <v>0.176909232121119</v>
      </c>
    </row>
    <row r="3158" spans="1:9" x14ac:dyDescent="0.2">
      <c r="A3158" s="2" t="s">
        <v>8461</v>
      </c>
      <c r="B3158" s="2" t="s">
        <v>7007</v>
      </c>
      <c r="C3158" s="2" t="s">
        <v>8462</v>
      </c>
      <c r="D3158" s="2" t="s">
        <v>10055</v>
      </c>
      <c r="E3158" s="15">
        <v>4.2700000000000002E-2</v>
      </c>
      <c r="F3158" s="15">
        <v>0.22189999999999999</v>
      </c>
      <c r="G3158" s="15">
        <v>4.5600000000000002E-2</v>
      </c>
      <c r="H3158" s="15">
        <v>0.1273</v>
      </c>
      <c r="I3158" s="15">
        <v>0.49199739553000971</v>
      </c>
    </row>
    <row r="3159" spans="1:9" x14ac:dyDescent="0.2">
      <c r="A3159" s="2" t="s">
        <v>8463</v>
      </c>
      <c r="B3159" s="2" t="s">
        <v>7007</v>
      </c>
      <c r="C3159" s="2" t="s">
        <v>8464</v>
      </c>
      <c r="D3159" s="2" t="s">
        <v>10055</v>
      </c>
      <c r="E3159" s="15">
        <v>0.17860000000000001</v>
      </c>
      <c r="F3159" s="15">
        <v>0.26529999999999998</v>
      </c>
      <c r="G3159" s="15">
        <v>-2.7099999999999999E-2</v>
      </c>
      <c r="H3159" s="15">
        <v>0.1585</v>
      </c>
      <c r="I3159" s="15">
        <v>0.1218307544313562</v>
      </c>
    </row>
    <row r="3160" spans="1:9" x14ac:dyDescent="0.2">
      <c r="A3160" s="2" t="s">
        <v>8465</v>
      </c>
      <c r="B3160" s="2" t="s">
        <v>7007</v>
      </c>
      <c r="C3160" s="2" t="s">
        <v>8466</v>
      </c>
      <c r="D3160" s="2" t="s">
        <v>10055</v>
      </c>
      <c r="E3160" s="15">
        <v>0.1057</v>
      </c>
      <c r="F3160" s="15">
        <v>0.108</v>
      </c>
      <c r="G3160" s="15">
        <v>9.1499999999999998E-2</v>
      </c>
      <c r="H3160" s="15">
        <v>9.2499999999999999E-2</v>
      </c>
      <c r="I3160" s="15">
        <v>0.4505285605805246</v>
      </c>
    </row>
    <row r="3161" spans="1:9" x14ac:dyDescent="0.2">
      <c r="A3161" s="2" t="s">
        <v>8467</v>
      </c>
      <c r="B3161" s="2" t="s">
        <v>7007</v>
      </c>
      <c r="C3161" s="2" t="s">
        <v>8468</v>
      </c>
      <c r="D3161" s="2" t="s">
        <v>10055</v>
      </c>
      <c r="G3161" s="15">
        <v>-8.3599999999999994E-2</v>
      </c>
      <c r="H3161" s="15">
        <v>0.34549999999999997</v>
      </c>
    </row>
    <row r="3162" spans="1:9" x14ac:dyDescent="0.2">
      <c r="A3162" s="2" t="s">
        <v>8469</v>
      </c>
      <c r="B3162" s="2" t="s">
        <v>7007</v>
      </c>
      <c r="C3162" s="2" t="s">
        <v>8470</v>
      </c>
      <c r="D3162" s="2" t="s">
        <v>10055</v>
      </c>
      <c r="E3162" s="15">
        <v>0.161</v>
      </c>
      <c r="F3162" s="15">
        <v>8.9599999999999999E-2</v>
      </c>
      <c r="G3162" s="15">
        <v>3.04E-2</v>
      </c>
      <c r="H3162" s="15">
        <v>0.1123</v>
      </c>
      <c r="I3162" s="15">
        <v>0.14032778383900729</v>
      </c>
    </row>
    <row r="3163" spans="1:9" x14ac:dyDescent="0.2">
      <c r="A3163" s="2" t="s">
        <v>8471</v>
      </c>
      <c r="B3163" s="2" t="s">
        <v>7007</v>
      </c>
      <c r="C3163" s="2" t="s">
        <v>8472</v>
      </c>
      <c r="D3163" s="2" t="s">
        <v>10055</v>
      </c>
      <c r="E3163" s="15">
        <v>-0.27179999999999999</v>
      </c>
      <c r="F3163" s="15">
        <v>0.17069999999999999</v>
      </c>
    </row>
    <row r="3164" spans="1:9" x14ac:dyDescent="0.2">
      <c r="A3164" s="2" t="s">
        <v>8473</v>
      </c>
      <c r="B3164" s="2" t="s">
        <v>7007</v>
      </c>
      <c r="C3164" s="2" t="s">
        <v>8474</v>
      </c>
      <c r="D3164" s="2" t="s">
        <v>10055</v>
      </c>
      <c r="G3164" s="15">
        <v>-1.6E-2</v>
      </c>
      <c r="H3164" s="15">
        <v>0.19500000000000001</v>
      </c>
    </row>
    <row r="3165" spans="1:9" x14ac:dyDescent="0.2">
      <c r="A3165" s="2" t="s">
        <v>8475</v>
      </c>
      <c r="B3165" s="2" t="s">
        <v>7007</v>
      </c>
      <c r="C3165" s="2" t="s">
        <v>8476</v>
      </c>
      <c r="D3165" s="2" t="s">
        <v>10055</v>
      </c>
    </row>
    <row r="3166" spans="1:9" x14ac:dyDescent="0.2">
      <c r="A3166" s="2" t="s">
        <v>8477</v>
      </c>
      <c r="B3166" s="2" t="s">
        <v>7007</v>
      </c>
      <c r="C3166" s="2" t="s">
        <v>8478</v>
      </c>
      <c r="D3166" s="2" t="s">
        <v>10055</v>
      </c>
      <c r="E3166" s="15">
        <v>-0.26579999999999998</v>
      </c>
      <c r="F3166" s="15">
        <v>0.39279999999999998</v>
      </c>
      <c r="G3166" s="15">
        <v>-0.23719999999999999</v>
      </c>
      <c r="H3166" s="15">
        <v>0.1797</v>
      </c>
      <c r="I3166" s="15">
        <v>0.44115256846893092</v>
      </c>
    </row>
    <row r="3167" spans="1:9" x14ac:dyDescent="0.2">
      <c r="A3167" s="2" t="s">
        <v>8479</v>
      </c>
      <c r="B3167" s="2" t="s">
        <v>7007</v>
      </c>
      <c r="C3167" s="2" t="s">
        <v>8480</v>
      </c>
      <c r="D3167" s="2" t="s">
        <v>10055</v>
      </c>
      <c r="E3167" s="15">
        <v>0.1615</v>
      </c>
      <c r="F3167" s="15">
        <v>0.33260000000000001</v>
      </c>
      <c r="G3167" s="15">
        <v>0.214</v>
      </c>
      <c r="H3167" s="15">
        <v>0.26140000000000002</v>
      </c>
      <c r="I3167" s="15">
        <v>0.42441640610360082</v>
      </c>
    </row>
    <row r="3168" spans="1:9" x14ac:dyDescent="0.2">
      <c r="A3168" s="2" t="s">
        <v>8481</v>
      </c>
      <c r="B3168" s="2" t="s">
        <v>7007</v>
      </c>
      <c r="C3168" s="2" t="s">
        <v>8482</v>
      </c>
      <c r="D3168" s="2" t="s">
        <v>10055</v>
      </c>
      <c r="G3168" s="15">
        <v>0.18820000000000001</v>
      </c>
      <c r="H3168" s="15">
        <v>0.2331</v>
      </c>
    </row>
    <row r="3169" spans="1:9" x14ac:dyDescent="0.2">
      <c r="A3169" s="2" t="s">
        <v>8483</v>
      </c>
      <c r="B3169" s="2" t="s">
        <v>7007</v>
      </c>
      <c r="C3169" s="2" t="s">
        <v>8484</v>
      </c>
      <c r="D3169" s="2" t="s">
        <v>10055</v>
      </c>
      <c r="E3169" s="15">
        <v>0.24340000000000001</v>
      </c>
      <c r="F3169" s="15">
        <v>0.15509999999999999</v>
      </c>
      <c r="G3169" s="15">
        <v>4.7100000000000003E-2</v>
      </c>
      <c r="H3169" s="15">
        <v>0.1729</v>
      </c>
      <c r="I3169" s="15">
        <v>0.1582779303183145</v>
      </c>
    </row>
    <row r="3170" spans="1:9" x14ac:dyDescent="0.2">
      <c r="A3170" s="2" t="s">
        <v>8485</v>
      </c>
      <c r="B3170" s="2" t="s">
        <v>7007</v>
      </c>
      <c r="C3170" s="2" t="s">
        <v>8486</v>
      </c>
      <c r="D3170" s="2" t="s">
        <v>10055</v>
      </c>
      <c r="E3170" s="15">
        <v>0.1663</v>
      </c>
      <c r="F3170" s="15">
        <v>0.18340000000000001</v>
      </c>
      <c r="G3170" s="15">
        <v>-0.2631</v>
      </c>
      <c r="H3170" s="15">
        <v>0.1789</v>
      </c>
      <c r="I3170" s="15">
        <v>1.294192672049522E-2</v>
      </c>
    </row>
    <row r="3171" spans="1:9" x14ac:dyDescent="0.2">
      <c r="A3171" s="2" t="s">
        <v>8487</v>
      </c>
      <c r="B3171" s="2" t="s">
        <v>7007</v>
      </c>
      <c r="C3171" s="2" t="s">
        <v>8488</v>
      </c>
      <c r="D3171" s="2" t="s">
        <v>10055</v>
      </c>
      <c r="G3171" s="15">
        <v>-7.3700000000000002E-2</v>
      </c>
      <c r="H3171" s="15">
        <v>0.1857</v>
      </c>
    </row>
    <row r="3172" spans="1:9" x14ac:dyDescent="0.2">
      <c r="A3172" s="2" t="s">
        <v>8489</v>
      </c>
      <c r="B3172" s="2" t="s">
        <v>7007</v>
      </c>
      <c r="C3172" s="2" t="s">
        <v>8490</v>
      </c>
      <c r="D3172" s="2" t="s">
        <v>10055</v>
      </c>
      <c r="G3172" s="15">
        <v>-0.22520000000000001</v>
      </c>
      <c r="H3172" s="15">
        <v>0.16550000000000001</v>
      </c>
    </row>
    <row r="3173" spans="1:9" x14ac:dyDescent="0.2">
      <c r="A3173" s="2" t="s">
        <v>8491</v>
      </c>
      <c r="B3173" s="2" t="s">
        <v>7007</v>
      </c>
      <c r="C3173" s="2" t="s">
        <v>8492</v>
      </c>
      <c r="D3173" s="2" t="s">
        <v>10055</v>
      </c>
      <c r="E3173" s="15">
        <v>-6.4999999999999997E-3</v>
      </c>
      <c r="F3173" s="15">
        <v>0.125</v>
      </c>
      <c r="G3173" s="15">
        <v>-8.48E-2</v>
      </c>
      <c r="H3173" s="15">
        <v>9.3299999999999994E-2</v>
      </c>
      <c r="I3173" s="15">
        <v>0.25167608946985898</v>
      </c>
    </row>
    <row r="3174" spans="1:9" x14ac:dyDescent="0.2">
      <c r="A3174" s="2" t="s">
        <v>8493</v>
      </c>
      <c r="B3174" s="2" t="s">
        <v>7007</v>
      </c>
      <c r="C3174" s="2" t="s">
        <v>8494</v>
      </c>
      <c r="D3174" s="2" t="s">
        <v>10055</v>
      </c>
      <c r="E3174" s="15">
        <v>0.2366</v>
      </c>
      <c r="F3174" s="15">
        <v>0.2742</v>
      </c>
      <c r="G3174" s="15">
        <v>4.5400000000000003E-2</v>
      </c>
      <c r="H3174" s="15">
        <v>0.1181</v>
      </c>
      <c r="I3174" s="15">
        <v>0.12074988806348839</v>
      </c>
    </row>
    <row r="3175" spans="1:9" x14ac:dyDescent="0.2">
      <c r="A3175" s="2" t="s">
        <v>8495</v>
      </c>
      <c r="B3175" s="2" t="s">
        <v>7007</v>
      </c>
      <c r="C3175" s="2" t="s">
        <v>8496</v>
      </c>
      <c r="D3175" s="2" t="s">
        <v>10055</v>
      </c>
      <c r="E3175" s="15">
        <v>0.2225</v>
      </c>
      <c r="F3175" s="15">
        <v>0.11070000000000001</v>
      </c>
    </row>
    <row r="3176" spans="1:9" x14ac:dyDescent="0.2">
      <c r="A3176" s="2" t="s">
        <v>8497</v>
      </c>
      <c r="B3176" s="2" t="s">
        <v>7007</v>
      </c>
      <c r="C3176" s="2" t="s">
        <v>8498</v>
      </c>
      <c r="D3176" s="2" t="s">
        <v>10055</v>
      </c>
      <c r="E3176" s="15">
        <v>-5.96E-2</v>
      </c>
      <c r="F3176" s="15">
        <v>0.11559999999999999</v>
      </c>
      <c r="G3176" s="15">
        <v>-1.9699999999999999E-2</v>
      </c>
      <c r="H3176" s="15">
        <v>0.1084</v>
      </c>
      <c r="I3176" s="15">
        <v>0.37515201983898139</v>
      </c>
    </row>
    <row r="3177" spans="1:9" x14ac:dyDescent="0.2">
      <c r="A3177" s="2" t="s">
        <v>8499</v>
      </c>
      <c r="B3177" s="2" t="s">
        <v>7007</v>
      </c>
      <c r="C3177" s="2" t="s">
        <v>8500</v>
      </c>
      <c r="D3177" s="2" t="s">
        <v>10055</v>
      </c>
      <c r="G3177" s="15">
        <v>8.2000000000000007E-3</v>
      </c>
      <c r="H3177" s="15">
        <v>0.20130000000000001</v>
      </c>
    </row>
    <row r="3178" spans="1:9" x14ac:dyDescent="0.2">
      <c r="A3178" s="2" t="s">
        <v>8501</v>
      </c>
      <c r="B3178" s="2" t="s">
        <v>7007</v>
      </c>
      <c r="C3178" s="2" t="s">
        <v>8502</v>
      </c>
      <c r="D3178" s="2" t="s">
        <v>10055</v>
      </c>
      <c r="E3178" s="15">
        <v>0.14169999999999999</v>
      </c>
      <c r="F3178" s="15">
        <v>0.1159</v>
      </c>
      <c r="G3178" s="15">
        <v>-7.7600000000000002E-2</v>
      </c>
      <c r="H3178" s="15">
        <v>0.22239999999999999</v>
      </c>
      <c r="I3178" s="15">
        <v>0.18113918662119979</v>
      </c>
    </row>
    <row r="3179" spans="1:9" x14ac:dyDescent="0.2">
      <c r="A3179" s="2" t="s">
        <v>8503</v>
      </c>
      <c r="B3179" s="2" t="s">
        <v>7007</v>
      </c>
      <c r="C3179" s="2" t="s">
        <v>8504</v>
      </c>
      <c r="D3179" s="2" t="s">
        <v>10055</v>
      </c>
    </row>
    <row r="3180" spans="1:9" x14ac:dyDescent="0.2">
      <c r="A3180" s="2" t="s">
        <v>8505</v>
      </c>
      <c r="B3180" s="2" t="s">
        <v>7007</v>
      </c>
      <c r="C3180" s="2" t="s">
        <v>8506</v>
      </c>
      <c r="D3180" s="2" t="s">
        <v>10055</v>
      </c>
      <c r="G3180" s="15">
        <v>1.34E-2</v>
      </c>
      <c r="H3180" s="15">
        <v>0.14699999999999999</v>
      </c>
    </row>
    <row r="3181" spans="1:9" x14ac:dyDescent="0.2">
      <c r="A3181" s="2" t="s">
        <v>8507</v>
      </c>
      <c r="B3181" s="2" t="s">
        <v>7007</v>
      </c>
      <c r="C3181" s="2" t="s">
        <v>8508</v>
      </c>
      <c r="D3181" s="2" t="s">
        <v>10055</v>
      </c>
      <c r="E3181" s="15">
        <v>8.7599999999999997E-2</v>
      </c>
      <c r="F3181" s="15">
        <v>0.16339999999999999</v>
      </c>
      <c r="G3181" s="15">
        <v>0.17710000000000001</v>
      </c>
      <c r="H3181" s="15">
        <v>0.1283</v>
      </c>
      <c r="I3181" s="15">
        <v>0.29180392236385883</v>
      </c>
    </row>
    <row r="3182" spans="1:9" x14ac:dyDescent="0.2">
      <c r="A3182" s="2" t="s">
        <v>8509</v>
      </c>
      <c r="B3182" s="2" t="s">
        <v>7007</v>
      </c>
      <c r="C3182" s="2" t="s">
        <v>8510</v>
      </c>
      <c r="D3182" s="2" t="s">
        <v>10055</v>
      </c>
      <c r="E3182" s="15">
        <v>-2.5100000000000001E-2</v>
      </c>
      <c r="F3182" s="15">
        <v>8.2100000000000006E-2</v>
      </c>
      <c r="G3182" s="15">
        <v>-9.1499999999999998E-2</v>
      </c>
      <c r="H3182" s="15">
        <v>8.9099999999999999E-2</v>
      </c>
      <c r="I3182" s="15">
        <v>0.25919371760436299</v>
      </c>
    </row>
    <row r="3183" spans="1:9" x14ac:dyDescent="0.2">
      <c r="A3183" s="2" t="s">
        <v>8511</v>
      </c>
      <c r="B3183" s="2" t="s">
        <v>7007</v>
      </c>
      <c r="C3183" s="2" t="s">
        <v>8512</v>
      </c>
      <c r="D3183" s="2" t="s">
        <v>10055</v>
      </c>
      <c r="G3183" s="15">
        <v>-1.9400000000000001E-2</v>
      </c>
      <c r="H3183" s="15">
        <v>9.4200000000000006E-2</v>
      </c>
    </row>
    <row r="3184" spans="1:9" x14ac:dyDescent="0.2">
      <c r="A3184" s="2" t="s">
        <v>8513</v>
      </c>
      <c r="B3184" s="2" t="s">
        <v>7007</v>
      </c>
      <c r="C3184" s="2" t="s">
        <v>8514</v>
      </c>
      <c r="D3184" s="2" t="s">
        <v>10055</v>
      </c>
      <c r="E3184" s="15">
        <v>9.1499999999999998E-2</v>
      </c>
      <c r="F3184" s="15">
        <v>8.8800000000000004E-2</v>
      </c>
      <c r="G3184" s="15">
        <v>-0.23880000000000001</v>
      </c>
      <c r="H3184" s="15">
        <v>0.12809999999999999</v>
      </c>
      <c r="I3184" s="15">
        <v>1.13573065727651E-2</v>
      </c>
    </row>
    <row r="3185" spans="1:9" x14ac:dyDescent="0.2">
      <c r="A3185" s="2" t="s">
        <v>8515</v>
      </c>
      <c r="B3185" s="2" t="s">
        <v>7007</v>
      </c>
      <c r="C3185" s="2" t="s">
        <v>8516</v>
      </c>
      <c r="D3185" s="2" t="s">
        <v>10055</v>
      </c>
      <c r="E3185" s="15">
        <v>5.7999999999999996E-3</v>
      </c>
      <c r="F3185" s="15">
        <v>0.13750000000000001</v>
      </c>
    </row>
    <row r="3186" spans="1:9" x14ac:dyDescent="0.2">
      <c r="A3186" s="2" t="s">
        <v>8517</v>
      </c>
      <c r="B3186" s="2" t="s">
        <v>7007</v>
      </c>
      <c r="C3186" s="2" t="s">
        <v>8518</v>
      </c>
      <c r="D3186" s="2" t="s">
        <v>10055</v>
      </c>
      <c r="G3186" s="15">
        <v>-1.5800000000000002E-2</v>
      </c>
      <c r="H3186" s="15">
        <v>0.104</v>
      </c>
    </row>
    <row r="3187" spans="1:9" x14ac:dyDescent="0.2">
      <c r="A3187" s="2" t="s">
        <v>8519</v>
      </c>
      <c r="B3187" s="2" t="s">
        <v>7007</v>
      </c>
      <c r="C3187" s="2" t="s">
        <v>8520</v>
      </c>
      <c r="D3187" s="2" t="s">
        <v>10055</v>
      </c>
      <c r="E3187" s="15">
        <v>2.2000000000000001E-3</v>
      </c>
      <c r="F3187" s="15">
        <v>0.114</v>
      </c>
    </row>
    <row r="3188" spans="1:9" x14ac:dyDescent="0.2">
      <c r="A3188" s="2" t="s">
        <v>8521</v>
      </c>
      <c r="B3188" s="2" t="s">
        <v>7007</v>
      </c>
      <c r="C3188" s="2" t="s">
        <v>8522</v>
      </c>
      <c r="D3188" s="2" t="s">
        <v>10055</v>
      </c>
    </row>
    <row r="3189" spans="1:9" x14ac:dyDescent="0.2">
      <c r="A3189" s="2" t="s">
        <v>8523</v>
      </c>
      <c r="B3189" s="2" t="s">
        <v>7007</v>
      </c>
      <c r="C3189" s="2" t="s">
        <v>8524</v>
      </c>
      <c r="D3189" s="2" t="s">
        <v>10055</v>
      </c>
      <c r="E3189" s="15">
        <v>4.2200000000000001E-2</v>
      </c>
      <c r="F3189" s="15">
        <v>0.14119999999999999</v>
      </c>
      <c r="G3189" s="15">
        <v>1.6799999999999999E-2</v>
      </c>
      <c r="H3189" s="15">
        <v>0.13500000000000001</v>
      </c>
      <c r="I3189" s="15">
        <v>0.43550041058716349</v>
      </c>
    </row>
    <row r="3190" spans="1:9" x14ac:dyDescent="0.2">
      <c r="A3190" s="2" t="s">
        <v>8525</v>
      </c>
      <c r="B3190" s="2" t="s">
        <v>7007</v>
      </c>
      <c r="C3190" s="2" t="s">
        <v>8526</v>
      </c>
      <c r="D3190" s="2" t="s">
        <v>10055</v>
      </c>
      <c r="E3190" s="15">
        <v>-0.255</v>
      </c>
      <c r="F3190" s="15">
        <v>0.13700000000000001</v>
      </c>
      <c r="G3190" s="15">
        <v>-7.0599999999999996E-2</v>
      </c>
      <c r="H3190" s="15">
        <v>0.1074</v>
      </c>
      <c r="I3190" s="15">
        <v>8.2850192537334263E-2</v>
      </c>
    </row>
    <row r="3191" spans="1:9" x14ac:dyDescent="0.2">
      <c r="A3191" s="2" t="s">
        <v>8527</v>
      </c>
      <c r="B3191" s="2" t="s">
        <v>7007</v>
      </c>
      <c r="C3191" s="2" t="s">
        <v>8528</v>
      </c>
      <c r="D3191" s="2" t="s">
        <v>10055</v>
      </c>
      <c r="E3191" s="15">
        <v>-9.4E-2</v>
      </c>
      <c r="F3191" s="15">
        <v>0.1852</v>
      </c>
      <c r="G3191" s="15">
        <v>0.1179</v>
      </c>
      <c r="H3191" s="15">
        <v>0.1933</v>
      </c>
      <c r="I3191" s="15">
        <v>0.16939397815867949</v>
      </c>
    </row>
    <row r="3192" spans="1:9" x14ac:dyDescent="0.2">
      <c r="A3192" s="2" t="s">
        <v>8529</v>
      </c>
      <c r="B3192" s="2" t="s">
        <v>7007</v>
      </c>
      <c r="C3192" s="2" t="s">
        <v>8530</v>
      </c>
      <c r="D3192" s="2" t="s">
        <v>10055</v>
      </c>
      <c r="E3192" s="15">
        <v>-4.4000000000000003E-3</v>
      </c>
      <c r="F3192" s="15">
        <v>0.13869999999999999</v>
      </c>
      <c r="G3192" s="15">
        <v>1.95E-2</v>
      </c>
      <c r="H3192" s="15">
        <v>8.1500000000000003E-2</v>
      </c>
      <c r="I3192" s="15">
        <v>0.40590391455966768</v>
      </c>
    </row>
    <row r="3193" spans="1:9" x14ac:dyDescent="0.2">
      <c r="A3193" s="2" t="s">
        <v>8531</v>
      </c>
      <c r="B3193" s="2" t="s">
        <v>7007</v>
      </c>
      <c r="C3193" s="2" t="s">
        <v>8532</v>
      </c>
      <c r="D3193" s="2" t="s">
        <v>10055</v>
      </c>
      <c r="E3193" s="15">
        <v>0.1041</v>
      </c>
      <c r="F3193" s="15">
        <v>0.33019999999999999</v>
      </c>
      <c r="G3193" s="15">
        <v>-2.69E-2</v>
      </c>
      <c r="H3193" s="15">
        <v>0.1439</v>
      </c>
      <c r="I3193" s="15">
        <v>0.30884894753854891</v>
      </c>
    </row>
    <row r="3194" spans="1:9" x14ac:dyDescent="0.2">
      <c r="A3194" s="2" t="s">
        <v>8533</v>
      </c>
      <c r="B3194" s="2" t="s">
        <v>7007</v>
      </c>
      <c r="C3194" s="2" t="s">
        <v>8534</v>
      </c>
      <c r="D3194" s="2" t="s">
        <v>10055</v>
      </c>
      <c r="E3194" s="15">
        <v>-0.151</v>
      </c>
      <c r="F3194" s="15">
        <v>0.2999</v>
      </c>
    </row>
    <row r="3195" spans="1:9" x14ac:dyDescent="0.2">
      <c r="A3195" s="2" t="s">
        <v>8535</v>
      </c>
      <c r="B3195" s="2" t="s">
        <v>7007</v>
      </c>
      <c r="C3195" s="2" t="s">
        <v>8536</v>
      </c>
      <c r="D3195" s="2" t="s">
        <v>10055</v>
      </c>
      <c r="E3195" s="15">
        <v>-5.74E-2</v>
      </c>
      <c r="F3195" s="15">
        <v>0.1263</v>
      </c>
      <c r="G3195" s="15">
        <v>5.0500000000000003E-2</v>
      </c>
      <c r="H3195" s="15">
        <v>0.16120000000000001</v>
      </c>
      <c r="I3195" s="15">
        <v>0.26843660650108331</v>
      </c>
    </row>
    <row r="3196" spans="1:9" x14ac:dyDescent="0.2">
      <c r="A3196" s="2" t="s">
        <v>8537</v>
      </c>
      <c r="B3196" s="2" t="s">
        <v>7007</v>
      </c>
      <c r="C3196" s="2" t="s">
        <v>8538</v>
      </c>
      <c r="D3196" s="2" t="s">
        <v>10055</v>
      </c>
      <c r="E3196" s="15">
        <v>-4.1099999999999998E-2</v>
      </c>
      <c r="F3196" s="15">
        <v>8.7900000000000006E-2</v>
      </c>
      <c r="G3196" s="15">
        <v>-8.3400000000000002E-2</v>
      </c>
      <c r="H3196" s="15">
        <v>0.1108</v>
      </c>
      <c r="I3196" s="15">
        <v>0.36568513698962601</v>
      </c>
    </row>
    <row r="3197" spans="1:9" x14ac:dyDescent="0.2">
      <c r="A3197" s="2" t="s">
        <v>8539</v>
      </c>
      <c r="B3197" s="2" t="s">
        <v>7007</v>
      </c>
      <c r="C3197" s="2" t="s">
        <v>8540</v>
      </c>
      <c r="D3197" s="2" t="s">
        <v>10055</v>
      </c>
      <c r="E3197" s="15">
        <v>-7.0900000000000005E-2</v>
      </c>
      <c r="F3197" s="15">
        <v>9.5899999999999999E-2</v>
      </c>
      <c r="G3197" s="15">
        <v>-0.14130000000000001</v>
      </c>
      <c r="H3197" s="15">
        <v>0.24779999999999999</v>
      </c>
      <c r="I3197" s="15">
        <v>0.39624198391241788</v>
      </c>
    </row>
    <row r="3198" spans="1:9" x14ac:dyDescent="0.2">
      <c r="A3198" s="2" t="s">
        <v>8541</v>
      </c>
      <c r="B3198" s="2" t="s">
        <v>7007</v>
      </c>
      <c r="C3198" s="2" t="s">
        <v>8542</v>
      </c>
      <c r="D3198" s="2" t="s">
        <v>10055</v>
      </c>
      <c r="G3198" s="15">
        <v>2.4E-2</v>
      </c>
      <c r="H3198" s="15">
        <v>0.11119999999999999</v>
      </c>
    </row>
    <row r="3199" spans="1:9" x14ac:dyDescent="0.2">
      <c r="A3199" s="2" t="s">
        <v>8543</v>
      </c>
      <c r="B3199" s="2" t="s">
        <v>7007</v>
      </c>
      <c r="C3199" s="2" t="s">
        <v>8544</v>
      </c>
      <c r="D3199" s="2" t="s">
        <v>10055</v>
      </c>
    </row>
    <row r="3200" spans="1:9" x14ac:dyDescent="0.2">
      <c r="A3200" s="2" t="s">
        <v>8545</v>
      </c>
      <c r="B3200" s="2" t="s">
        <v>7007</v>
      </c>
      <c r="C3200" s="2" t="s">
        <v>8546</v>
      </c>
      <c r="D3200" s="2" t="s">
        <v>10055</v>
      </c>
      <c r="E3200" s="15">
        <v>0.27929999999999999</v>
      </c>
      <c r="F3200" s="15">
        <v>0.52110000000000001</v>
      </c>
      <c r="G3200" s="15">
        <v>-0.20250000000000001</v>
      </c>
      <c r="H3200" s="15">
        <v>0.15709999999999999</v>
      </c>
      <c r="I3200" s="15">
        <v>2.1716050008420652E-3</v>
      </c>
    </row>
    <row r="3201" spans="1:9" x14ac:dyDescent="0.2">
      <c r="A3201" s="2" t="s">
        <v>8547</v>
      </c>
      <c r="B3201" s="2" t="s">
        <v>7007</v>
      </c>
      <c r="C3201" s="2" t="s">
        <v>8548</v>
      </c>
      <c r="D3201" s="2" t="s">
        <v>10055</v>
      </c>
      <c r="E3201" s="15">
        <v>4.58E-2</v>
      </c>
      <c r="F3201" s="15">
        <v>0.17899999999999999</v>
      </c>
      <c r="G3201" s="15">
        <v>-0.15920000000000001</v>
      </c>
      <c r="H3201" s="15">
        <v>0.21260000000000001</v>
      </c>
      <c r="I3201" s="15">
        <v>0.26442308476865362</v>
      </c>
    </row>
    <row r="3202" spans="1:9" x14ac:dyDescent="0.2">
      <c r="A3202" s="2" t="s">
        <v>8549</v>
      </c>
      <c r="B3202" s="2" t="s">
        <v>7007</v>
      </c>
      <c r="C3202" s="2" t="s">
        <v>8550</v>
      </c>
      <c r="D3202" s="2" t="s">
        <v>10055</v>
      </c>
      <c r="E3202" s="15">
        <v>-0.18</v>
      </c>
      <c r="F3202" s="15">
        <v>0.11459999999999999</v>
      </c>
      <c r="G3202" s="15">
        <v>1.3599999999999999E-2</v>
      </c>
      <c r="H3202" s="15">
        <v>0.20180000000000001</v>
      </c>
      <c r="I3202" s="15">
        <v>0.1856341789593943</v>
      </c>
    </row>
    <row r="3203" spans="1:9" x14ac:dyDescent="0.2">
      <c r="A3203" s="2" t="s">
        <v>8551</v>
      </c>
      <c r="B3203" s="2" t="s">
        <v>7007</v>
      </c>
      <c r="C3203" s="2" t="s">
        <v>8552</v>
      </c>
      <c r="D3203" s="2" t="s">
        <v>10055</v>
      </c>
      <c r="G3203" s="15">
        <v>-0.41849999999999998</v>
      </c>
      <c r="H3203" s="15">
        <v>0.42449999999999999</v>
      </c>
    </row>
    <row r="3204" spans="1:9" x14ac:dyDescent="0.2">
      <c r="A3204" s="2" t="s">
        <v>8553</v>
      </c>
      <c r="B3204" s="2" t="s">
        <v>7007</v>
      </c>
      <c r="C3204" s="2" t="s">
        <v>8554</v>
      </c>
      <c r="D3204" s="2" t="s">
        <v>10055</v>
      </c>
      <c r="G3204" s="15">
        <v>-0.37719999999999998</v>
      </c>
      <c r="H3204" s="15">
        <v>0.29480000000000001</v>
      </c>
    </row>
    <row r="3205" spans="1:9" x14ac:dyDescent="0.2">
      <c r="A3205" s="2" t="s">
        <v>8555</v>
      </c>
      <c r="B3205" s="2" t="s">
        <v>7007</v>
      </c>
      <c r="C3205" s="2" t="s">
        <v>8556</v>
      </c>
      <c r="D3205" s="2" t="s">
        <v>10055</v>
      </c>
      <c r="G3205" s="15">
        <v>0.3992</v>
      </c>
      <c r="H3205" s="15">
        <v>0.26369999999999999</v>
      </c>
    </row>
    <row r="3206" spans="1:9" x14ac:dyDescent="0.2">
      <c r="A3206" s="2" t="s">
        <v>8557</v>
      </c>
      <c r="B3206" s="2" t="s">
        <v>7007</v>
      </c>
      <c r="C3206" s="2" t="s">
        <v>8558</v>
      </c>
      <c r="D3206" s="2" t="s">
        <v>10055</v>
      </c>
    </row>
    <row r="3207" spans="1:9" x14ac:dyDescent="0.2">
      <c r="A3207" s="2" t="s">
        <v>8559</v>
      </c>
      <c r="B3207" s="2" t="s">
        <v>7007</v>
      </c>
      <c r="C3207" s="2" t="s">
        <v>8560</v>
      </c>
      <c r="D3207" s="2" t="s">
        <v>10055</v>
      </c>
      <c r="E3207" s="15">
        <v>0.39340000000000003</v>
      </c>
      <c r="F3207" s="15">
        <v>0.31409999999999999</v>
      </c>
      <c r="G3207" s="15">
        <v>0.24709999999999999</v>
      </c>
      <c r="H3207" s="15">
        <v>0.17499999999999999</v>
      </c>
      <c r="I3207" s="15">
        <v>0.23919914336390921</v>
      </c>
    </row>
    <row r="3208" spans="1:9" x14ac:dyDescent="0.2">
      <c r="A3208" s="2" t="s">
        <v>8561</v>
      </c>
      <c r="B3208" s="2" t="s">
        <v>7007</v>
      </c>
      <c r="C3208" s="2" t="s">
        <v>8562</v>
      </c>
      <c r="D3208" s="2" t="s">
        <v>10055</v>
      </c>
      <c r="E3208" s="15">
        <v>-6.1199999999999997E-2</v>
      </c>
      <c r="F3208" s="15">
        <v>0.1081</v>
      </c>
      <c r="G3208" s="15">
        <v>-7.22E-2</v>
      </c>
      <c r="H3208" s="15">
        <v>0.12379999999999999</v>
      </c>
      <c r="I3208" s="15">
        <v>0.46750674719641111</v>
      </c>
    </row>
    <row r="3209" spans="1:9" x14ac:dyDescent="0.2">
      <c r="A3209" s="2" t="s">
        <v>8563</v>
      </c>
      <c r="B3209" s="2" t="s">
        <v>7007</v>
      </c>
      <c r="C3209" s="2" t="s">
        <v>8564</v>
      </c>
      <c r="D3209" s="2" t="s">
        <v>10055</v>
      </c>
      <c r="G3209" s="15">
        <v>0.18</v>
      </c>
      <c r="H3209" s="15">
        <v>0.44950000000000001</v>
      </c>
    </row>
    <row r="3210" spans="1:9" x14ac:dyDescent="0.2">
      <c r="A3210" s="2" t="s">
        <v>8565</v>
      </c>
      <c r="B3210" s="2" t="s">
        <v>7007</v>
      </c>
      <c r="C3210" s="2" t="s">
        <v>8566</v>
      </c>
      <c r="D3210" s="2" t="s">
        <v>10055</v>
      </c>
      <c r="E3210" s="15">
        <v>4.1200000000000001E-2</v>
      </c>
      <c r="F3210" s="15">
        <v>9.9199999999999997E-2</v>
      </c>
      <c r="G3210" s="15">
        <v>0.1079</v>
      </c>
      <c r="H3210" s="15">
        <v>0.1376</v>
      </c>
      <c r="I3210" s="15">
        <v>0.33359541543858068</v>
      </c>
    </row>
    <row r="3211" spans="1:9" x14ac:dyDescent="0.2">
      <c r="A3211" s="2" t="s">
        <v>8567</v>
      </c>
      <c r="B3211" s="2" t="s">
        <v>7007</v>
      </c>
      <c r="C3211" s="2" t="s">
        <v>8568</v>
      </c>
      <c r="D3211" s="2" t="s">
        <v>10055</v>
      </c>
      <c r="G3211" s="15">
        <v>-3.4700000000000002E-2</v>
      </c>
      <c r="H3211" s="15">
        <v>0.25290000000000001</v>
      </c>
    </row>
    <row r="3212" spans="1:9" x14ac:dyDescent="0.2">
      <c r="A3212" s="2" t="s">
        <v>8569</v>
      </c>
      <c r="B3212" s="2" t="s">
        <v>7007</v>
      </c>
      <c r="C3212" s="2" t="s">
        <v>8570</v>
      </c>
      <c r="D3212" s="2" t="s">
        <v>10055</v>
      </c>
      <c r="E3212" s="15">
        <v>0.1489</v>
      </c>
      <c r="F3212" s="15">
        <v>0.20300000000000001</v>
      </c>
      <c r="G3212" s="15">
        <v>-6.5000000000000002E-2</v>
      </c>
      <c r="H3212" s="15">
        <v>0.187</v>
      </c>
      <c r="I3212" s="15">
        <v>0.15078941154891279</v>
      </c>
    </row>
    <row r="3213" spans="1:9" x14ac:dyDescent="0.2">
      <c r="A3213" s="2" t="s">
        <v>8571</v>
      </c>
      <c r="B3213" s="2" t="s">
        <v>7007</v>
      </c>
      <c r="C3213" s="2" t="s">
        <v>8572</v>
      </c>
      <c r="D3213" s="2" t="s">
        <v>10055</v>
      </c>
      <c r="G3213" s="15">
        <v>4.3499999999999997E-2</v>
      </c>
      <c r="H3213" s="15">
        <v>0.12039999999999999</v>
      </c>
    </row>
    <row r="3214" spans="1:9" x14ac:dyDescent="0.2">
      <c r="A3214" s="2" t="s">
        <v>8573</v>
      </c>
      <c r="B3214" s="2" t="s">
        <v>7007</v>
      </c>
      <c r="C3214" s="2" t="s">
        <v>8574</v>
      </c>
      <c r="D3214" s="2" t="s">
        <v>10055</v>
      </c>
    </row>
    <row r="3215" spans="1:9" x14ac:dyDescent="0.2">
      <c r="A3215" s="2" t="s">
        <v>8575</v>
      </c>
      <c r="B3215" s="2" t="s">
        <v>7007</v>
      </c>
      <c r="C3215" s="2" t="s">
        <v>8576</v>
      </c>
      <c r="D3215" s="2" t="s">
        <v>10055</v>
      </c>
      <c r="E3215" s="15">
        <v>-3.4799999999999998E-2</v>
      </c>
      <c r="F3215" s="15">
        <v>0.12939999999999999</v>
      </c>
      <c r="G3215" s="15">
        <v>-3.44E-2</v>
      </c>
      <c r="H3215" s="15">
        <v>0.13600000000000001</v>
      </c>
      <c r="I3215" s="15">
        <v>0.49911663578022503</v>
      </c>
    </row>
    <row r="3216" spans="1:9" x14ac:dyDescent="0.2">
      <c r="A3216" s="2" t="s">
        <v>8577</v>
      </c>
      <c r="B3216" s="2" t="s">
        <v>7007</v>
      </c>
      <c r="C3216" s="2" t="s">
        <v>8578</v>
      </c>
      <c r="D3216" s="2" t="s">
        <v>10055</v>
      </c>
      <c r="E3216" s="15">
        <v>5.0200000000000002E-2</v>
      </c>
      <c r="F3216" s="15">
        <v>0.19769999999999999</v>
      </c>
      <c r="G3216" s="15">
        <v>3.7900000000000003E-2</v>
      </c>
      <c r="H3216" s="15">
        <v>0.12839999999999999</v>
      </c>
      <c r="I3216" s="15">
        <v>0.47013828601728652</v>
      </c>
    </row>
    <row r="3217" spans="1:9" x14ac:dyDescent="0.2">
      <c r="A3217" s="2" t="s">
        <v>8579</v>
      </c>
      <c r="B3217" s="2" t="s">
        <v>7007</v>
      </c>
      <c r="C3217" s="2" t="s">
        <v>8580</v>
      </c>
      <c r="D3217" s="2" t="s">
        <v>10055</v>
      </c>
      <c r="E3217" s="15">
        <v>2.1600000000000001E-2</v>
      </c>
      <c r="F3217" s="15">
        <v>0.1464</v>
      </c>
    </row>
    <row r="3218" spans="1:9" x14ac:dyDescent="0.2">
      <c r="A3218" s="2" t="s">
        <v>8581</v>
      </c>
      <c r="B3218" s="2" t="s">
        <v>7007</v>
      </c>
      <c r="C3218" s="2" t="s">
        <v>8582</v>
      </c>
      <c r="D3218" s="2" t="s">
        <v>10055</v>
      </c>
      <c r="E3218" s="15">
        <v>8.0999999999999996E-3</v>
      </c>
      <c r="F3218" s="15">
        <v>0.10150000000000001</v>
      </c>
      <c r="G3218" s="15">
        <v>-4.9700000000000001E-2</v>
      </c>
      <c r="H3218" s="15">
        <v>0.1273</v>
      </c>
      <c r="I3218" s="15">
        <v>0.34907187886083252</v>
      </c>
    </row>
    <row r="3219" spans="1:9" x14ac:dyDescent="0.2">
      <c r="A3219" s="2" t="s">
        <v>8583</v>
      </c>
      <c r="B3219" s="2" t="s">
        <v>7007</v>
      </c>
      <c r="C3219" s="2" t="s">
        <v>8584</v>
      </c>
      <c r="D3219" s="2" t="s">
        <v>10055</v>
      </c>
      <c r="G3219" s="15">
        <v>2.3599999999999999E-2</v>
      </c>
      <c r="H3219" s="15">
        <v>0.17699999999999999</v>
      </c>
    </row>
    <row r="3220" spans="1:9" x14ac:dyDescent="0.2">
      <c r="A3220" s="2" t="s">
        <v>8585</v>
      </c>
      <c r="B3220" s="2" t="s">
        <v>7007</v>
      </c>
      <c r="C3220" s="2" t="s">
        <v>8586</v>
      </c>
      <c r="D3220" s="2" t="s">
        <v>10055</v>
      </c>
      <c r="G3220" s="15">
        <v>5.8099999999999999E-2</v>
      </c>
      <c r="H3220" s="15">
        <v>0.17879999999999999</v>
      </c>
    </row>
    <row r="3221" spans="1:9" x14ac:dyDescent="0.2">
      <c r="A3221" s="2" t="s">
        <v>8587</v>
      </c>
      <c r="B3221" s="2" t="s">
        <v>7007</v>
      </c>
      <c r="C3221" s="2" t="s">
        <v>8588</v>
      </c>
      <c r="D3221" s="2" t="s">
        <v>10055</v>
      </c>
      <c r="E3221" s="15">
        <v>0.26719999999999999</v>
      </c>
      <c r="F3221" s="15">
        <v>0.24429999999999999</v>
      </c>
      <c r="G3221" s="15">
        <v>0.17249999999999999</v>
      </c>
      <c r="H3221" s="15">
        <v>0.3569</v>
      </c>
    </row>
    <row r="3222" spans="1:9" x14ac:dyDescent="0.2">
      <c r="A3222" s="2" t="s">
        <v>8589</v>
      </c>
      <c r="B3222" s="2" t="s">
        <v>7007</v>
      </c>
      <c r="C3222" s="2" t="s">
        <v>8590</v>
      </c>
      <c r="D3222" s="2" t="s">
        <v>10055</v>
      </c>
      <c r="E3222" s="15">
        <v>0.1217</v>
      </c>
      <c r="F3222" s="15">
        <v>0.40860000000000002</v>
      </c>
      <c r="G3222" s="15">
        <v>-7.3000000000000001E-3</v>
      </c>
      <c r="H3222" s="15">
        <v>0.12540000000000001</v>
      </c>
      <c r="I3222" s="15">
        <v>0.2366743317068831</v>
      </c>
    </row>
    <row r="3223" spans="1:9" x14ac:dyDescent="0.2">
      <c r="A3223" s="2" t="s">
        <v>8591</v>
      </c>
      <c r="B3223" s="2" t="s">
        <v>7007</v>
      </c>
      <c r="C3223" s="2" t="s">
        <v>8592</v>
      </c>
      <c r="D3223" s="2" t="s">
        <v>10055</v>
      </c>
      <c r="E3223" s="15">
        <v>0.13009999999999999</v>
      </c>
      <c r="F3223" s="15">
        <v>0.1201</v>
      </c>
    </row>
    <row r="3224" spans="1:9" x14ac:dyDescent="0.2">
      <c r="A3224" s="2" t="s">
        <v>8593</v>
      </c>
      <c r="B3224" s="2" t="s">
        <v>7007</v>
      </c>
      <c r="C3224" s="2" t="s">
        <v>8594</v>
      </c>
      <c r="D3224" s="2" t="s">
        <v>10055</v>
      </c>
    </row>
    <row r="3225" spans="1:9" x14ac:dyDescent="0.2">
      <c r="A3225" s="2" t="s">
        <v>8595</v>
      </c>
      <c r="B3225" s="2" t="s">
        <v>7007</v>
      </c>
      <c r="C3225" s="2" t="s">
        <v>8596</v>
      </c>
      <c r="D3225" s="2" t="s">
        <v>10055</v>
      </c>
      <c r="E3225" s="15">
        <v>-7.9200000000000007E-2</v>
      </c>
      <c r="F3225" s="15">
        <v>0.1769</v>
      </c>
      <c r="G3225" s="15">
        <v>8.5800000000000001E-2</v>
      </c>
      <c r="H3225" s="15">
        <v>0.23949999999999999</v>
      </c>
      <c r="I3225" s="15">
        <v>0.27158559003547211</v>
      </c>
    </row>
    <row r="3226" spans="1:9" x14ac:dyDescent="0.2">
      <c r="A3226" s="2" t="s">
        <v>8597</v>
      </c>
      <c r="B3226" s="2" t="s">
        <v>7007</v>
      </c>
      <c r="C3226" s="2" t="s">
        <v>8598</v>
      </c>
      <c r="D3226" s="2" t="s">
        <v>10055</v>
      </c>
      <c r="E3226" s="15">
        <v>-0.11360000000000001</v>
      </c>
      <c r="F3226" s="15">
        <v>0.11269999999999999</v>
      </c>
    </row>
    <row r="3227" spans="1:9" x14ac:dyDescent="0.2">
      <c r="A3227" s="2" t="s">
        <v>8599</v>
      </c>
      <c r="B3227" s="2" t="s">
        <v>7007</v>
      </c>
      <c r="C3227" s="2" t="s">
        <v>8600</v>
      </c>
      <c r="D3227" s="2" t="s">
        <v>10055</v>
      </c>
      <c r="E3227" s="15">
        <v>-0.16170000000000001</v>
      </c>
      <c r="F3227" s="15">
        <v>0.21440000000000001</v>
      </c>
      <c r="G3227" s="15">
        <v>-9.7100000000000006E-2</v>
      </c>
      <c r="H3227" s="15">
        <v>0.1258</v>
      </c>
      <c r="I3227" s="15">
        <v>0.34149627412698691</v>
      </c>
    </row>
    <row r="3228" spans="1:9" x14ac:dyDescent="0.2">
      <c r="A3228" s="2" t="s">
        <v>8601</v>
      </c>
      <c r="B3228" s="2" t="s">
        <v>7007</v>
      </c>
      <c r="C3228" s="2" t="s">
        <v>8602</v>
      </c>
      <c r="D3228" s="2" t="s">
        <v>10055</v>
      </c>
      <c r="E3228" s="15">
        <v>-0.22620000000000001</v>
      </c>
      <c r="F3228" s="15">
        <v>0.1537</v>
      </c>
      <c r="G3228" s="15">
        <v>-5.6099999999999997E-2</v>
      </c>
      <c r="H3228" s="15">
        <v>0.15429999999999999</v>
      </c>
      <c r="I3228" s="15">
        <v>0.16035691709241459</v>
      </c>
    </row>
    <row r="3229" spans="1:9" x14ac:dyDescent="0.2">
      <c r="A3229" s="2" t="s">
        <v>8603</v>
      </c>
      <c r="B3229" s="2" t="s">
        <v>7007</v>
      </c>
      <c r="C3229" s="2" t="s">
        <v>8604</v>
      </c>
      <c r="D3229" s="2" t="s">
        <v>10055</v>
      </c>
      <c r="G3229" s="15">
        <v>8.14E-2</v>
      </c>
      <c r="H3229" s="15">
        <v>0.12640000000000001</v>
      </c>
    </row>
    <row r="3230" spans="1:9" x14ac:dyDescent="0.2">
      <c r="A3230" s="2" t="s">
        <v>8605</v>
      </c>
      <c r="B3230" s="2" t="s">
        <v>7007</v>
      </c>
      <c r="C3230" s="2" t="s">
        <v>8606</v>
      </c>
      <c r="D3230" s="2" t="s">
        <v>10055</v>
      </c>
      <c r="E3230" s="15">
        <v>-2.2665000000000001E-5</v>
      </c>
      <c r="F3230" s="15">
        <v>0.1268</v>
      </c>
      <c r="G3230" s="15">
        <v>0.222</v>
      </c>
      <c r="H3230" s="15">
        <v>0.16059999999999999</v>
      </c>
      <c r="I3230" s="15">
        <v>0.1437905385411507</v>
      </c>
    </row>
    <row r="3231" spans="1:9" x14ac:dyDescent="0.2">
      <c r="A3231" s="2" t="s">
        <v>8607</v>
      </c>
      <c r="B3231" s="2" t="s">
        <v>7007</v>
      </c>
      <c r="C3231" s="2" t="s">
        <v>8608</v>
      </c>
      <c r="D3231" s="2" t="s">
        <v>10055</v>
      </c>
      <c r="G3231" s="15">
        <v>-0.1066</v>
      </c>
      <c r="H3231" s="15">
        <v>0.17299999999999999</v>
      </c>
    </row>
    <row r="3232" spans="1:9" x14ac:dyDescent="0.2">
      <c r="A3232" s="2" t="s">
        <v>8609</v>
      </c>
      <c r="B3232" s="2" t="s">
        <v>7007</v>
      </c>
      <c r="C3232" s="2" t="s">
        <v>8610</v>
      </c>
      <c r="D3232" s="2" t="s">
        <v>10055</v>
      </c>
      <c r="E3232" s="15">
        <v>1.1999999999999999E-3</v>
      </c>
      <c r="F3232" s="15">
        <v>0.1139</v>
      </c>
    </row>
    <row r="3233" spans="1:9" x14ac:dyDescent="0.2">
      <c r="A3233" s="2" t="s">
        <v>8611</v>
      </c>
      <c r="B3233" s="2" t="s">
        <v>7007</v>
      </c>
      <c r="C3233" s="2" t="s">
        <v>8612</v>
      </c>
      <c r="D3233" s="2" t="s">
        <v>10055</v>
      </c>
      <c r="E3233" s="15">
        <v>-0.2389</v>
      </c>
      <c r="F3233" s="15">
        <v>0.2089</v>
      </c>
    </row>
    <row r="3234" spans="1:9" x14ac:dyDescent="0.2">
      <c r="A3234" s="2" t="s">
        <v>8613</v>
      </c>
      <c r="B3234" s="2" t="s">
        <v>7007</v>
      </c>
      <c r="C3234" s="2" t="s">
        <v>8614</v>
      </c>
      <c r="D3234" s="2" t="s">
        <v>10055</v>
      </c>
      <c r="E3234" s="15">
        <v>-4.9500000000000002E-2</v>
      </c>
      <c r="F3234" s="15">
        <v>0.1056</v>
      </c>
      <c r="G3234" s="15">
        <v>9.7000000000000003E-3</v>
      </c>
      <c r="H3234" s="15">
        <v>0.17799999999999999</v>
      </c>
      <c r="I3234" s="15">
        <v>0.38338561496363022</v>
      </c>
    </row>
    <row r="3235" spans="1:9" x14ac:dyDescent="0.2">
      <c r="A3235" s="2" t="s">
        <v>8615</v>
      </c>
      <c r="B3235" s="2" t="s">
        <v>7007</v>
      </c>
      <c r="C3235" s="2" t="s">
        <v>8616</v>
      </c>
      <c r="D3235" s="2" t="s">
        <v>10055</v>
      </c>
      <c r="G3235" s="15">
        <v>-8.6999999999999994E-3</v>
      </c>
      <c r="H3235" s="15">
        <v>0.1129</v>
      </c>
    </row>
    <row r="3236" spans="1:9" x14ac:dyDescent="0.2">
      <c r="A3236" s="2" t="s">
        <v>8617</v>
      </c>
      <c r="B3236" s="2" t="s">
        <v>7007</v>
      </c>
      <c r="C3236" s="2" t="s">
        <v>8618</v>
      </c>
      <c r="D3236" s="2" t="s">
        <v>10055</v>
      </c>
      <c r="E3236" s="15">
        <v>0.14019999999999999</v>
      </c>
      <c r="F3236" s="15">
        <v>0.18809999999999999</v>
      </c>
    </row>
    <row r="3237" spans="1:9" x14ac:dyDescent="0.2">
      <c r="A3237" s="2" t="s">
        <v>8619</v>
      </c>
      <c r="B3237" s="2" t="s">
        <v>7007</v>
      </c>
      <c r="C3237" s="2" t="s">
        <v>8620</v>
      </c>
      <c r="D3237" s="2" t="s">
        <v>10055</v>
      </c>
      <c r="G3237" s="15">
        <v>7.22E-2</v>
      </c>
      <c r="H3237" s="15">
        <v>0.15870000000000001</v>
      </c>
    </row>
    <row r="3238" spans="1:9" x14ac:dyDescent="0.2">
      <c r="A3238" s="2" t="s">
        <v>8621</v>
      </c>
      <c r="B3238" s="2" t="s">
        <v>7007</v>
      </c>
      <c r="C3238" s="2" t="s">
        <v>8622</v>
      </c>
      <c r="D3238" s="2" t="s">
        <v>10055</v>
      </c>
      <c r="G3238" s="15">
        <v>-0.41249999999999998</v>
      </c>
      <c r="H3238" s="15">
        <v>0.37430000000000002</v>
      </c>
    </row>
    <row r="3239" spans="1:9" x14ac:dyDescent="0.2">
      <c r="A3239" s="2" t="s">
        <v>8623</v>
      </c>
      <c r="B3239" s="2" t="s">
        <v>7007</v>
      </c>
      <c r="C3239" s="2" t="s">
        <v>8624</v>
      </c>
      <c r="D3239" s="2" t="s">
        <v>10055</v>
      </c>
      <c r="E3239" s="15">
        <v>6.6400000000000001E-2</v>
      </c>
      <c r="F3239" s="15">
        <v>0.1024</v>
      </c>
      <c r="G3239" s="15">
        <v>7.3499999999999996E-2</v>
      </c>
      <c r="H3239" s="15">
        <v>0.1066</v>
      </c>
      <c r="I3239" s="15">
        <v>0.47712814775665741</v>
      </c>
    </row>
    <row r="3240" spans="1:9" x14ac:dyDescent="0.2">
      <c r="A3240" s="2" t="s">
        <v>8625</v>
      </c>
      <c r="B3240" s="2" t="s">
        <v>7007</v>
      </c>
      <c r="C3240" s="2" t="s">
        <v>8626</v>
      </c>
      <c r="D3240" s="2" t="s">
        <v>10055</v>
      </c>
      <c r="E3240" s="15">
        <v>7.6899999999999996E-2</v>
      </c>
      <c r="F3240" s="15">
        <v>0.11990000000000001</v>
      </c>
      <c r="G3240" s="15">
        <v>7.3300000000000004E-2</v>
      </c>
      <c r="H3240" s="15">
        <v>0.18540000000000001</v>
      </c>
      <c r="I3240" s="15">
        <v>0.49353880461592847</v>
      </c>
    </row>
    <row r="3241" spans="1:9" x14ac:dyDescent="0.2">
      <c r="A3241" s="2" t="s">
        <v>8627</v>
      </c>
      <c r="B3241" s="2" t="s">
        <v>7007</v>
      </c>
      <c r="C3241" s="2" t="s">
        <v>8628</v>
      </c>
      <c r="D3241" s="2" t="s">
        <v>10055</v>
      </c>
      <c r="G3241" s="15">
        <v>0.1273</v>
      </c>
      <c r="H3241" s="15">
        <v>0.17430000000000001</v>
      </c>
    </row>
    <row r="3242" spans="1:9" x14ac:dyDescent="0.2">
      <c r="A3242" s="2" t="s">
        <v>8629</v>
      </c>
      <c r="B3242" s="2" t="s">
        <v>7007</v>
      </c>
      <c r="C3242" s="2" t="s">
        <v>8630</v>
      </c>
      <c r="D3242" s="2" t="s">
        <v>10055</v>
      </c>
      <c r="E3242" s="15">
        <v>-0.1206</v>
      </c>
      <c r="F3242" s="15">
        <v>0.13450000000000001</v>
      </c>
      <c r="G3242" s="15">
        <v>8.0500000000000002E-2</v>
      </c>
      <c r="H3242" s="15">
        <v>0.2039</v>
      </c>
      <c r="I3242" s="15">
        <v>0.1823781997967584</v>
      </c>
    </row>
    <row r="3243" spans="1:9" x14ac:dyDescent="0.2">
      <c r="A3243" s="2" t="s">
        <v>8631</v>
      </c>
      <c r="B3243" s="2" t="s">
        <v>7007</v>
      </c>
      <c r="C3243" s="2" t="s">
        <v>8632</v>
      </c>
      <c r="D3243" s="2" t="s">
        <v>10055</v>
      </c>
    </row>
    <row r="3244" spans="1:9" x14ac:dyDescent="0.2">
      <c r="A3244" s="2" t="s">
        <v>8633</v>
      </c>
      <c r="B3244" s="2" t="s">
        <v>7007</v>
      </c>
      <c r="C3244" s="2" t="s">
        <v>8634</v>
      </c>
      <c r="D3244" s="2" t="s">
        <v>10055</v>
      </c>
      <c r="G3244" s="15">
        <v>8.8999999999999999E-3</v>
      </c>
      <c r="H3244" s="15">
        <v>9.9400000000000002E-2</v>
      </c>
    </row>
    <row r="3245" spans="1:9" x14ac:dyDescent="0.2">
      <c r="A3245" s="2" t="s">
        <v>8635</v>
      </c>
      <c r="B3245" s="2" t="s">
        <v>7007</v>
      </c>
      <c r="C3245" s="2" t="s">
        <v>8636</v>
      </c>
      <c r="D3245" s="2" t="s">
        <v>10055</v>
      </c>
      <c r="G3245" s="15">
        <v>-8.3099999999999993E-2</v>
      </c>
      <c r="H3245" s="15">
        <v>0.23899999999999999</v>
      </c>
    </row>
    <row r="3246" spans="1:9" x14ac:dyDescent="0.2">
      <c r="A3246" s="2" t="s">
        <v>8637</v>
      </c>
      <c r="B3246" s="2" t="s">
        <v>7007</v>
      </c>
      <c r="C3246" s="2" t="s">
        <v>8638</v>
      </c>
      <c r="D3246" s="2" t="s">
        <v>10055</v>
      </c>
      <c r="E3246" s="15">
        <v>0.18029999999999999</v>
      </c>
      <c r="F3246" s="15">
        <v>0.1041</v>
      </c>
      <c r="G3246" s="15">
        <v>0.22070000000000001</v>
      </c>
      <c r="H3246" s="15">
        <v>0.19889999999999999</v>
      </c>
      <c r="I3246" s="15">
        <v>0.4237022939824453</v>
      </c>
    </row>
    <row r="3247" spans="1:9" x14ac:dyDescent="0.2">
      <c r="A3247" s="2" t="s">
        <v>8639</v>
      </c>
      <c r="B3247" s="2" t="s">
        <v>7007</v>
      </c>
      <c r="C3247" s="2" t="s">
        <v>8640</v>
      </c>
      <c r="D3247" s="2" t="s">
        <v>10055</v>
      </c>
      <c r="E3247" s="15">
        <v>0.17130000000000001</v>
      </c>
      <c r="F3247" s="15">
        <v>0.26619999999999999</v>
      </c>
      <c r="G3247" s="15">
        <v>-2.1700000000000001E-2</v>
      </c>
      <c r="H3247" s="15">
        <v>0.11070000000000001</v>
      </c>
      <c r="I3247" s="15">
        <v>7.1689439384508349E-2</v>
      </c>
    </row>
    <row r="3248" spans="1:9" x14ac:dyDescent="0.2">
      <c r="A3248" s="2" t="s">
        <v>8641</v>
      </c>
      <c r="B3248" s="2" t="s">
        <v>7007</v>
      </c>
      <c r="C3248" s="2" t="s">
        <v>8642</v>
      </c>
      <c r="D3248" s="2" t="s">
        <v>10055</v>
      </c>
      <c r="G3248" s="15">
        <v>-0.38650000000000001</v>
      </c>
      <c r="H3248" s="15">
        <v>0.45660000000000001</v>
      </c>
    </row>
    <row r="3249" spans="1:9" x14ac:dyDescent="0.2">
      <c r="A3249" s="2" t="s">
        <v>8643</v>
      </c>
      <c r="B3249" s="2" t="s">
        <v>7007</v>
      </c>
      <c r="C3249" s="2" t="s">
        <v>8644</v>
      </c>
      <c r="D3249" s="2" t="s">
        <v>10055</v>
      </c>
      <c r="E3249" s="15">
        <v>4.5499999999999999E-2</v>
      </c>
      <c r="F3249" s="15">
        <v>0.11260000000000001</v>
      </c>
      <c r="G3249" s="15">
        <v>-0.1852</v>
      </c>
      <c r="H3249" s="15">
        <v>0.16639999999999999</v>
      </c>
      <c r="I3249" s="15">
        <v>9.7118949518578218E-2</v>
      </c>
    </row>
    <row r="3250" spans="1:9" x14ac:dyDescent="0.2">
      <c r="A3250" s="2" t="s">
        <v>8645</v>
      </c>
      <c r="B3250" s="2" t="s">
        <v>7007</v>
      </c>
      <c r="C3250" s="2" t="s">
        <v>8646</v>
      </c>
      <c r="D3250" s="2" t="s">
        <v>10055</v>
      </c>
    </row>
    <row r="3251" spans="1:9" x14ac:dyDescent="0.2">
      <c r="A3251" s="2" t="s">
        <v>8647</v>
      </c>
      <c r="B3251" s="2" t="s">
        <v>7007</v>
      </c>
      <c r="C3251" s="2" t="s">
        <v>8648</v>
      </c>
      <c r="D3251" s="2" t="s">
        <v>10055</v>
      </c>
    </row>
    <row r="3252" spans="1:9" x14ac:dyDescent="0.2">
      <c r="A3252" s="2" t="s">
        <v>8649</v>
      </c>
      <c r="B3252" s="2" t="s">
        <v>7007</v>
      </c>
      <c r="C3252" s="2" t="s">
        <v>8650</v>
      </c>
      <c r="D3252" s="2" t="s">
        <v>10055</v>
      </c>
    </row>
    <row r="3253" spans="1:9" x14ac:dyDescent="0.2">
      <c r="A3253" s="2" t="s">
        <v>8651</v>
      </c>
      <c r="B3253" s="2" t="s">
        <v>7007</v>
      </c>
      <c r="C3253" s="2" t="s">
        <v>8652</v>
      </c>
      <c r="D3253" s="2" t="s">
        <v>10055</v>
      </c>
    </row>
    <row r="3254" spans="1:9" x14ac:dyDescent="0.2">
      <c r="A3254" s="2" t="s">
        <v>8653</v>
      </c>
      <c r="B3254" s="2" t="s">
        <v>7007</v>
      </c>
      <c r="C3254" s="2" t="s">
        <v>8654</v>
      </c>
      <c r="D3254" s="2" t="s">
        <v>10055</v>
      </c>
      <c r="E3254" s="15">
        <v>-2.5499999999999998E-2</v>
      </c>
      <c r="F3254" s="15">
        <v>0.1439</v>
      </c>
      <c r="G3254" s="15">
        <v>0.25140000000000001</v>
      </c>
      <c r="H3254" s="15">
        <v>0.43</v>
      </c>
      <c r="I3254" s="15">
        <v>0.26939937141823977</v>
      </c>
    </row>
    <row r="3255" spans="1:9" x14ac:dyDescent="0.2">
      <c r="A3255" s="2" t="s">
        <v>8655</v>
      </c>
      <c r="B3255" s="2" t="s">
        <v>7007</v>
      </c>
      <c r="C3255" s="2" t="s">
        <v>8656</v>
      </c>
      <c r="D3255" s="2" t="s">
        <v>10055</v>
      </c>
      <c r="E3255" s="15">
        <v>-4.5600000000000002E-2</v>
      </c>
      <c r="F3255" s="15">
        <v>0.10340000000000001</v>
      </c>
      <c r="G3255" s="15">
        <v>6.7400000000000002E-2</v>
      </c>
      <c r="H3255" s="15">
        <v>0.1135</v>
      </c>
      <c r="I3255" s="15">
        <v>0.2045221486354255</v>
      </c>
    </row>
    <row r="3256" spans="1:9" x14ac:dyDescent="0.2">
      <c r="A3256" s="2" t="s">
        <v>8657</v>
      </c>
      <c r="B3256" s="2" t="s">
        <v>7007</v>
      </c>
      <c r="C3256" s="2" t="s">
        <v>8658</v>
      </c>
      <c r="D3256" s="2" t="s">
        <v>10055</v>
      </c>
      <c r="E3256" s="15">
        <v>0.35759999999999997</v>
      </c>
      <c r="F3256" s="15">
        <v>0.64019999999999999</v>
      </c>
      <c r="G3256" s="15">
        <v>0.40229999999999999</v>
      </c>
      <c r="H3256" s="15">
        <v>0.97240000000000004</v>
      </c>
      <c r="I3256" s="15">
        <v>0.48219833834722131</v>
      </c>
    </row>
    <row r="3257" spans="1:9" x14ac:dyDescent="0.2">
      <c r="A3257" s="2" t="s">
        <v>8659</v>
      </c>
      <c r="B3257" s="2" t="s">
        <v>7007</v>
      </c>
      <c r="C3257" s="2" t="s">
        <v>8660</v>
      </c>
      <c r="D3257" s="2" t="s">
        <v>10055</v>
      </c>
      <c r="G3257" s="15">
        <v>-2.2100000000000002E-2</v>
      </c>
      <c r="H3257" s="15">
        <v>0.19980000000000001</v>
      </c>
    </row>
    <row r="3258" spans="1:9" x14ac:dyDescent="0.2">
      <c r="A3258" s="2" t="s">
        <v>8661</v>
      </c>
      <c r="B3258" s="2" t="s">
        <v>7007</v>
      </c>
      <c r="C3258" s="2" t="s">
        <v>8662</v>
      </c>
      <c r="D3258" s="2" t="s">
        <v>10055</v>
      </c>
      <c r="E3258" s="15">
        <v>-5.7099999999999998E-2</v>
      </c>
      <c r="F3258" s="15">
        <v>0.124</v>
      </c>
    </row>
    <row r="3259" spans="1:9" x14ac:dyDescent="0.2">
      <c r="A3259" s="2" t="s">
        <v>8663</v>
      </c>
      <c r="B3259" s="2" t="s">
        <v>7007</v>
      </c>
      <c r="C3259" s="2" t="s">
        <v>8664</v>
      </c>
      <c r="D3259" s="2" t="s">
        <v>10055</v>
      </c>
      <c r="E3259" s="15">
        <v>9.7000000000000003E-3</v>
      </c>
      <c r="F3259" s="15">
        <v>0.28470000000000001</v>
      </c>
    </row>
    <row r="3260" spans="1:9" x14ac:dyDescent="0.2">
      <c r="A3260" s="2" t="s">
        <v>8665</v>
      </c>
      <c r="B3260" s="2" t="s">
        <v>7007</v>
      </c>
      <c r="C3260" s="2" t="s">
        <v>8666</v>
      </c>
      <c r="D3260" s="2" t="s">
        <v>10055</v>
      </c>
      <c r="G3260" s="15">
        <v>7.0199999999999999E-2</v>
      </c>
      <c r="H3260" s="15">
        <v>0.155</v>
      </c>
    </row>
    <row r="3261" spans="1:9" x14ac:dyDescent="0.2">
      <c r="A3261" s="2" t="s">
        <v>8667</v>
      </c>
      <c r="B3261" s="2" t="s">
        <v>7007</v>
      </c>
      <c r="C3261" s="2" t="s">
        <v>8668</v>
      </c>
      <c r="D3261" s="2" t="s">
        <v>10055</v>
      </c>
      <c r="E3261" s="15">
        <v>-0.30359999999999998</v>
      </c>
      <c r="F3261" s="15">
        <v>0.33579999999999999</v>
      </c>
      <c r="G3261" s="15">
        <v>8.5699999999999998E-2</v>
      </c>
      <c r="H3261" s="15">
        <v>0.30109999999999998</v>
      </c>
      <c r="I3261" s="15">
        <v>0.107861930111094</v>
      </c>
    </row>
    <row r="3262" spans="1:9" x14ac:dyDescent="0.2">
      <c r="A3262" s="2" t="s">
        <v>8669</v>
      </c>
      <c r="B3262" s="2" t="s">
        <v>7007</v>
      </c>
      <c r="C3262" s="2" t="s">
        <v>8670</v>
      </c>
      <c r="D3262" s="2" t="s">
        <v>10055</v>
      </c>
      <c r="E3262" s="15">
        <v>-6.7799999999999999E-2</v>
      </c>
      <c r="F3262" s="15">
        <v>0.16</v>
      </c>
      <c r="G3262" s="15">
        <v>0.12759999999999999</v>
      </c>
      <c r="H3262" s="15">
        <v>0.17150000000000001</v>
      </c>
      <c r="I3262" s="15">
        <v>0.15686589359796541</v>
      </c>
    </row>
    <row r="3263" spans="1:9" x14ac:dyDescent="0.2">
      <c r="A3263" s="2" t="s">
        <v>8671</v>
      </c>
      <c r="B3263" s="2" t="s">
        <v>7007</v>
      </c>
      <c r="C3263" s="2" t="s">
        <v>8672</v>
      </c>
      <c r="D3263" s="2" t="s">
        <v>10055</v>
      </c>
      <c r="E3263" s="15">
        <v>4.7600000000000003E-2</v>
      </c>
      <c r="F3263" s="15">
        <v>0.20330000000000001</v>
      </c>
      <c r="G3263" s="15">
        <v>-0.12509999999999999</v>
      </c>
      <c r="H3263" s="15">
        <v>0.14330000000000001</v>
      </c>
      <c r="I3263" s="15">
        <v>0.1436466698619969</v>
      </c>
    </row>
    <row r="3264" spans="1:9" x14ac:dyDescent="0.2">
      <c r="A3264" s="2" t="s">
        <v>8673</v>
      </c>
      <c r="B3264" s="2" t="s">
        <v>7007</v>
      </c>
      <c r="C3264" s="2" t="s">
        <v>8674</v>
      </c>
      <c r="D3264" s="2" t="s">
        <v>10055</v>
      </c>
      <c r="G3264" s="15">
        <v>-0.28470000000000001</v>
      </c>
      <c r="H3264" s="15">
        <v>0.1789</v>
      </c>
    </row>
    <row r="3265" spans="1:9" x14ac:dyDescent="0.2">
      <c r="A3265" s="2" t="s">
        <v>8675</v>
      </c>
      <c r="B3265" s="2" t="s">
        <v>7007</v>
      </c>
      <c r="C3265" s="2" t="s">
        <v>8676</v>
      </c>
      <c r="D3265" s="2" t="s">
        <v>10055</v>
      </c>
      <c r="E3265" s="15">
        <v>-0.20319999999999999</v>
      </c>
      <c r="F3265" s="15">
        <v>0.2336</v>
      </c>
      <c r="G3265" s="15">
        <v>4.6100000000000002E-2</v>
      </c>
      <c r="H3265" s="15">
        <v>0.18920000000000001</v>
      </c>
      <c r="I3265" s="15">
        <v>0.12155856765315309</v>
      </c>
    </row>
    <row r="3266" spans="1:9" x14ac:dyDescent="0.2">
      <c r="A3266" s="2" t="s">
        <v>8677</v>
      </c>
      <c r="B3266" s="2" t="s">
        <v>7007</v>
      </c>
      <c r="C3266" s="2" t="s">
        <v>8678</v>
      </c>
      <c r="D3266" s="2" t="s">
        <v>10055</v>
      </c>
      <c r="E3266" s="15">
        <v>6.4799999999999996E-2</v>
      </c>
      <c r="F3266" s="15">
        <v>0.2059</v>
      </c>
      <c r="G3266" s="15">
        <v>-9.9900000000000003E-2</v>
      </c>
      <c r="H3266" s="15">
        <v>0.41460000000000002</v>
      </c>
      <c r="I3266" s="15">
        <v>0.34930593824764677</v>
      </c>
    </row>
    <row r="3267" spans="1:9" x14ac:dyDescent="0.2">
      <c r="A3267" s="2" t="s">
        <v>8679</v>
      </c>
      <c r="B3267" s="2" t="s">
        <v>7007</v>
      </c>
      <c r="C3267" s="2" t="s">
        <v>8680</v>
      </c>
      <c r="D3267" s="2" t="s">
        <v>10055</v>
      </c>
      <c r="E3267" s="15">
        <v>5.4600000000000003E-2</v>
      </c>
      <c r="F3267" s="15">
        <v>0.16569999999999999</v>
      </c>
      <c r="G3267" s="15">
        <v>8.5699999999999998E-2</v>
      </c>
      <c r="H3267" s="15">
        <v>0.20979999999999999</v>
      </c>
      <c r="I3267" s="15">
        <v>0.45183712114258628</v>
      </c>
    </row>
    <row r="3268" spans="1:9" x14ac:dyDescent="0.2">
      <c r="A3268" s="2" t="s">
        <v>8681</v>
      </c>
      <c r="B3268" s="2" t="s">
        <v>7007</v>
      </c>
      <c r="C3268" s="2" t="s">
        <v>8682</v>
      </c>
      <c r="D3268" s="2" t="s">
        <v>10055</v>
      </c>
      <c r="E3268" s="15">
        <v>-0.12</v>
      </c>
      <c r="F3268" s="15">
        <v>0.12909999999999999</v>
      </c>
      <c r="G3268" s="15">
        <v>3.5499999999999997E-2</v>
      </c>
      <c r="H3268" s="15">
        <v>0.32990000000000003</v>
      </c>
      <c r="I3268" s="15">
        <v>0.3237490302520763</v>
      </c>
    </row>
    <row r="3269" spans="1:9" x14ac:dyDescent="0.2">
      <c r="A3269" s="2" t="s">
        <v>8683</v>
      </c>
      <c r="B3269" s="2" t="s">
        <v>7007</v>
      </c>
      <c r="C3269" s="2" t="s">
        <v>8684</v>
      </c>
      <c r="D3269" s="2" t="s">
        <v>10055</v>
      </c>
      <c r="E3269" s="15">
        <v>7.9299999999999995E-2</v>
      </c>
      <c r="F3269" s="15">
        <v>0.12759999999999999</v>
      </c>
      <c r="G3269" s="15">
        <v>2.2200000000000001E-2</v>
      </c>
      <c r="H3269" s="15">
        <v>0.1736</v>
      </c>
      <c r="I3269" s="15">
        <v>0.38741012685559179</v>
      </c>
    </row>
    <row r="3270" spans="1:9" x14ac:dyDescent="0.2">
      <c r="A3270" s="2" t="s">
        <v>8685</v>
      </c>
      <c r="B3270" s="2" t="s">
        <v>7007</v>
      </c>
      <c r="C3270" s="2" t="s">
        <v>8686</v>
      </c>
      <c r="D3270" s="2" t="s">
        <v>10055</v>
      </c>
      <c r="E3270" s="15">
        <v>-0.1409</v>
      </c>
      <c r="F3270" s="15">
        <v>0.1162</v>
      </c>
      <c r="G3270" s="15">
        <v>-1.1999999999999999E-3</v>
      </c>
      <c r="H3270" s="15">
        <v>0.27060000000000001</v>
      </c>
      <c r="I3270" s="15">
        <v>0.30970268981032628</v>
      </c>
    </row>
    <row r="3271" spans="1:9" x14ac:dyDescent="0.2">
      <c r="A3271" s="2" t="s">
        <v>8687</v>
      </c>
      <c r="B3271" s="2" t="s">
        <v>7007</v>
      </c>
      <c r="C3271" s="2" t="s">
        <v>8688</v>
      </c>
      <c r="D3271" s="2" t="s">
        <v>10055</v>
      </c>
      <c r="E3271" s="15">
        <v>0.14349999999999999</v>
      </c>
      <c r="F3271" s="15">
        <v>0.16539999999999999</v>
      </c>
      <c r="G3271" s="15">
        <v>-8.72E-2</v>
      </c>
      <c r="H3271" s="15">
        <v>0.14530000000000001</v>
      </c>
      <c r="I3271" s="15">
        <v>7.8674891783074255E-2</v>
      </c>
    </row>
    <row r="3272" spans="1:9" x14ac:dyDescent="0.2">
      <c r="A3272" s="2" t="s">
        <v>8689</v>
      </c>
      <c r="B3272" s="2" t="s">
        <v>7007</v>
      </c>
      <c r="C3272" s="2" t="s">
        <v>8690</v>
      </c>
      <c r="D3272" s="2" t="s">
        <v>10055</v>
      </c>
      <c r="E3272" s="15">
        <v>-1.5299999999999999E-2</v>
      </c>
      <c r="F3272" s="15">
        <v>0.122</v>
      </c>
    </row>
    <row r="3273" spans="1:9" x14ac:dyDescent="0.2">
      <c r="A3273" s="2" t="s">
        <v>8691</v>
      </c>
      <c r="B3273" s="2" t="s">
        <v>7007</v>
      </c>
      <c r="C3273" s="2" t="s">
        <v>8692</v>
      </c>
      <c r="D3273" s="2" t="s">
        <v>10055</v>
      </c>
      <c r="E3273" s="15">
        <v>-3.7400000000000003E-2</v>
      </c>
      <c r="F3273" s="15">
        <v>0.1613</v>
      </c>
    </row>
    <row r="3274" spans="1:9" x14ac:dyDescent="0.2">
      <c r="A3274" s="2" t="s">
        <v>8693</v>
      </c>
      <c r="B3274" s="2" t="s">
        <v>7007</v>
      </c>
      <c r="C3274" s="2" t="s">
        <v>8694</v>
      </c>
      <c r="D3274" s="2" t="s">
        <v>10055</v>
      </c>
      <c r="E3274" s="15">
        <v>-9.69E-2</v>
      </c>
      <c r="F3274" s="15">
        <v>9.9699999999999997E-2</v>
      </c>
      <c r="G3274" s="15">
        <v>0.108</v>
      </c>
      <c r="H3274" s="15">
        <v>0.1186</v>
      </c>
      <c r="I3274" s="15">
        <v>6.7677181626378397E-2</v>
      </c>
    </row>
    <row r="3275" spans="1:9" x14ac:dyDescent="0.2">
      <c r="A3275" s="2" t="s">
        <v>8695</v>
      </c>
      <c r="B3275" s="2" t="s">
        <v>7007</v>
      </c>
      <c r="C3275" s="2" t="s">
        <v>8696</v>
      </c>
      <c r="D3275" s="2" t="s">
        <v>10055</v>
      </c>
      <c r="E3275" s="15">
        <v>0.04</v>
      </c>
      <c r="F3275" s="15">
        <v>9.4399999999999998E-2</v>
      </c>
      <c r="G3275" s="15">
        <v>4.58E-2</v>
      </c>
      <c r="H3275" s="15">
        <v>0.15490000000000001</v>
      </c>
      <c r="I3275" s="15">
        <v>0.48608865900555948</v>
      </c>
    </row>
    <row r="3276" spans="1:9" x14ac:dyDescent="0.2">
      <c r="A3276" s="2" t="s">
        <v>8697</v>
      </c>
      <c r="B3276" s="2" t="s">
        <v>7007</v>
      </c>
      <c r="C3276" s="2" t="s">
        <v>8698</v>
      </c>
      <c r="D3276" s="2" t="s">
        <v>10055</v>
      </c>
      <c r="G3276" s="15">
        <v>-9.3899999999999997E-2</v>
      </c>
      <c r="H3276" s="15">
        <v>0.12139999999999999</v>
      </c>
    </row>
    <row r="3277" spans="1:9" x14ac:dyDescent="0.2">
      <c r="A3277" s="2" t="s">
        <v>8699</v>
      </c>
      <c r="B3277" s="2" t="s">
        <v>7007</v>
      </c>
      <c r="C3277" s="2" t="s">
        <v>8700</v>
      </c>
      <c r="D3277" s="2" t="s">
        <v>10055</v>
      </c>
      <c r="E3277" s="15">
        <v>-4.6600000000000003E-2</v>
      </c>
      <c r="F3277" s="15">
        <v>0.13500000000000001</v>
      </c>
      <c r="G3277" s="15">
        <v>-1.1000000000000001E-3</v>
      </c>
      <c r="H3277" s="15">
        <v>0.11310000000000001</v>
      </c>
      <c r="I3277" s="15">
        <v>0.38445860360441841</v>
      </c>
    </row>
    <row r="3278" spans="1:9" x14ac:dyDescent="0.2">
      <c r="A3278" s="2" t="s">
        <v>8701</v>
      </c>
      <c r="B3278" s="2" t="s">
        <v>7007</v>
      </c>
      <c r="C3278" s="2" t="s">
        <v>8702</v>
      </c>
      <c r="D3278" s="2" t="s">
        <v>10055</v>
      </c>
      <c r="E3278" s="15">
        <v>-0.1726</v>
      </c>
      <c r="F3278" s="15">
        <v>0.38529999999999998</v>
      </c>
      <c r="G3278" s="15">
        <v>9.3600000000000003E-2</v>
      </c>
      <c r="H3278" s="15">
        <v>0.16650000000000001</v>
      </c>
      <c r="I3278" s="15">
        <v>7.7680326624376156E-2</v>
      </c>
    </row>
    <row r="3279" spans="1:9" x14ac:dyDescent="0.2">
      <c r="A3279" s="2" t="s">
        <v>8703</v>
      </c>
      <c r="B3279" s="2" t="s">
        <v>7007</v>
      </c>
      <c r="C3279" s="2" t="s">
        <v>8704</v>
      </c>
      <c r="D3279" s="2" t="s">
        <v>10055</v>
      </c>
      <c r="E3279" s="15">
        <v>0.15229999999999999</v>
      </c>
      <c r="F3279" s="15">
        <v>0.2177</v>
      </c>
      <c r="G3279" s="15">
        <v>-0.1411</v>
      </c>
      <c r="H3279" s="15">
        <v>0.13300000000000001</v>
      </c>
      <c r="I3279" s="15">
        <v>2.4274782180413249E-2</v>
      </c>
    </row>
    <row r="3280" spans="1:9" x14ac:dyDescent="0.2">
      <c r="A3280" s="2" t="s">
        <v>8705</v>
      </c>
      <c r="B3280" s="2" t="s">
        <v>7007</v>
      </c>
      <c r="C3280" s="2" t="s">
        <v>8706</v>
      </c>
      <c r="D3280" s="2" t="s">
        <v>10055</v>
      </c>
      <c r="E3280" s="15">
        <v>0.1008</v>
      </c>
      <c r="F3280" s="15">
        <v>0.16220000000000001</v>
      </c>
    </row>
    <row r="3281" spans="1:9" x14ac:dyDescent="0.2">
      <c r="A3281" s="2" t="s">
        <v>8707</v>
      </c>
      <c r="B3281" s="2" t="s">
        <v>7007</v>
      </c>
      <c r="C3281" s="2" t="s">
        <v>8708</v>
      </c>
      <c r="D3281" s="2" t="s">
        <v>10055</v>
      </c>
      <c r="G3281" s="15">
        <v>0.154</v>
      </c>
      <c r="H3281" s="15">
        <v>0.10100000000000001</v>
      </c>
    </row>
    <row r="3282" spans="1:9" x14ac:dyDescent="0.2">
      <c r="A3282" s="2" t="s">
        <v>8709</v>
      </c>
      <c r="B3282" s="2" t="s">
        <v>7007</v>
      </c>
      <c r="C3282" s="2" t="s">
        <v>8710</v>
      </c>
      <c r="D3282" s="2" t="s">
        <v>10055</v>
      </c>
      <c r="E3282" s="15">
        <v>-9.3700000000000006E-2</v>
      </c>
      <c r="F3282" s="15">
        <v>0.14230000000000001</v>
      </c>
    </row>
    <row r="3283" spans="1:9" x14ac:dyDescent="0.2">
      <c r="A3283" s="2" t="s">
        <v>8711</v>
      </c>
      <c r="B3283" s="2" t="s">
        <v>7007</v>
      </c>
      <c r="C3283" s="2" t="s">
        <v>8712</v>
      </c>
      <c r="D3283" s="2" t="s">
        <v>10055</v>
      </c>
      <c r="E3283" s="15">
        <v>-0.17169999999999999</v>
      </c>
      <c r="F3283" s="15">
        <v>9.8100000000000007E-2</v>
      </c>
      <c r="G3283" s="15">
        <v>-3.0000000000000001E-3</v>
      </c>
      <c r="H3283" s="15">
        <v>0.1389</v>
      </c>
      <c r="I3283" s="15">
        <v>0.18340315791863299</v>
      </c>
    </row>
    <row r="3284" spans="1:9" x14ac:dyDescent="0.2">
      <c r="A3284" s="2" t="s">
        <v>8713</v>
      </c>
      <c r="B3284" s="2" t="s">
        <v>7007</v>
      </c>
      <c r="C3284" s="2" t="s">
        <v>8714</v>
      </c>
      <c r="D3284" s="2" t="s">
        <v>10055</v>
      </c>
      <c r="E3284" s="15">
        <v>0.31369999999999998</v>
      </c>
      <c r="F3284" s="15">
        <v>0.55289999999999995</v>
      </c>
      <c r="G3284" s="15">
        <v>1.11E-2</v>
      </c>
      <c r="H3284" s="15">
        <v>0.16389999999999999</v>
      </c>
      <c r="I3284" s="15">
        <v>4.8703484318478797E-2</v>
      </c>
    </row>
    <row r="3285" spans="1:9" x14ac:dyDescent="0.2">
      <c r="A3285" s="2" t="s">
        <v>8715</v>
      </c>
      <c r="B3285" s="2" t="s">
        <v>7007</v>
      </c>
      <c r="C3285" s="2" t="s">
        <v>8716</v>
      </c>
      <c r="D3285" s="2" t="s">
        <v>10055</v>
      </c>
    </row>
    <row r="3286" spans="1:9" x14ac:dyDescent="0.2">
      <c r="A3286" s="2" t="s">
        <v>8717</v>
      </c>
      <c r="B3286" s="2" t="s">
        <v>7007</v>
      </c>
      <c r="C3286" s="2" t="s">
        <v>8718</v>
      </c>
      <c r="D3286" s="2" t="s">
        <v>10055</v>
      </c>
      <c r="E3286" s="15">
        <v>-6.83E-2</v>
      </c>
      <c r="F3286" s="15">
        <v>0.15190000000000001</v>
      </c>
      <c r="G3286" s="15">
        <v>-1.5900000000000001E-2</v>
      </c>
      <c r="H3286" s="15">
        <v>9.6199999999999994E-2</v>
      </c>
      <c r="I3286" s="15">
        <v>0.32980989540931149</v>
      </c>
    </row>
    <row r="3287" spans="1:9" x14ac:dyDescent="0.2">
      <c r="A3287" s="2" t="s">
        <v>8719</v>
      </c>
      <c r="B3287" s="2" t="s">
        <v>7007</v>
      </c>
      <c r="C3287" s="2" t="s">
        <v>8720</v>
      </c>
      <c r="D3287" s="2" t="s">
        <v>10055</v>
      </c>
      <c r="E3287" s="15">
        <v>4.0300000000000002E-2</v>
      </c>
      <c r="F3287" s="15">
        <v>0.1232</v>
      </c>
      <c r="G3287" s="15">
        <v>-3.3700000000000001E-2</v>
      </c>
      <c r="H3287" s="15">
        <v>8.9599999999999999E-2</v>
      </c>
      <c r="I3287" s="15">
        <v>0.26303903171252652</v>
      </c>
    </row>
    <row r="3288" spans="1:9" x14ac:dyDescent="0.2">
      <c r="A3288" s="2" t="s">
        <v>8721</v>
      </c>
      <c r="B3288" s="2" t="s">
        <v>7007</v>
      </c>
      <c r="C3288" s="2" t="s">
        <v>8722</v>
      </c>
      <c r="D3288" s="2" t="s">
        <v>10055</v>
      </c>
      <c r="G3288" s="15">
        <v>-0.2762</v>
      </c>
      <c r="H3288" s="15">
        <v>0.1988</v>
      </c>
    </row>
    <row r="3289" spans="1:9" x14ac:dyDescent="0.2">
      <c r="A3289" s="2" t="s">
        <v>8723</v>
      </c>
      <c r="B3289" s="2" t="s">
        <v>7007</v>
      </c>
      <c r="C3289" s="2" t="s">
        <v>8724</v>
      </c>
      <c r="D3289" s="2" t="s">
        <v>10055</v>
      </c>
      <c r="G3289" s="15">
        <v>4.3799999999999999E-2</v>
      </c>
      <c r="H3289" s="15">
        <v>0.1368</v>
      </c>
    </row>
    <row r="3290" spans="1:9" x14ac:dyDescent="0.2">
      <c r="A3290" s="2" t="s">
        <v>8725</v>
      </c>
      <c r="B3290" s="2" t="s">
        <v>7007</v>
      </c>
      <c r="C3290" s="2" t="s">
        <v>8726</v>
      </c>
      <c r="D3290" s="2" t="s">
        <v>10055</v>
      </c>
      <c r="E3290" s="15">
        <v>0.22789999999999999</v>
      </c>
      <c r="F3290" s="15">
        <v>0.1545</v>
      </c>
      <c r="G3290" s="15">
        <v>-9.3100000000000002E-2</v>
      </c>
      <c r="H3290" s="15">
        <v>0.14599999999999999</v>
      </c>
      <c r="I3290" s="15">
        <v>2.6575020946408019E-2</v>
      </c>
    </row>
    <row r="3291" spans="1:9" x14ac:dyDescent="0.2">
      <c r="A3291" s="2" t="s">
        <v>8727</v>
      </c>
      <c r="B3291" s="2" t="s">
        <v>7007</v>
      </c>
      <c r="C3291" s="2" t="s">
        <v>8728</v>
      </c>
      <c r="D3291" s="2" t="s">
        <v>10055</v>
      </c>
      <c r="E3291" s="15">
        <v>-0.12790000000000001</v>
      </c>
      <c r="F3291" s="15">
        <v>0.15840000000000001</v>
      </c>
    </row>
    <row r="3292" spans="1:9" x14ac:dyDescent="0.2">
      <c r="A3292" s="2" t="s">
        <v>8729</v>
      </c>
      <c r="B3292" s="2" t="s">
        <v>7007</v>
      </c>
      <c r="C3292" s="2" t="s">
        <v>8730</v>
      </c>
      <c r="D3292" s="2" t="s">
        <v>10055</v>
      </c>
      <c r="E3292" s="15">
        <v>9.35E-2</v>
      </c>
      <c r="F3292" s="15">
        <v>0.1767</v>
      </c>
      <c r="G3292" s="15">
        <v>-0.26629999999999998</v>
      </c>
      <c r="H3292" s="15">
        <v>0.22359999999999999</v>
      </c>
      <c r="I3292" s="15">
        <v>0.1071739830616751</v>
      </c>
    </row>
    <row r="3293" spans="1:9" x14ac:dyDescent="0.2">
      <c r="A3293" s="2" t="s">
        <v>8731</v>
      </c>
      <c r="B3293" s="2" t="s">
        <v>7007</v>
      </c>
      <c r="C3293" s="2" t="s">
        <v>8732</v>
      </c>
      <c r="D3293" s="2" t="s">
        <v>10055</v>
      </c>
      <c r="E3293" s="15">
        <v>2.4500000000000001E-2</v>
      </c>
      <c r="F3293" s="15">
        <v>0.14480000000000001</v>
      </c>
      <c r="G3293" s="15">
        <v>-0.13900000000000001</v>
      </c>
      <c r="H3293" s="15">
        <v>0.19889999999999999</v>
      </c>
      <c r="I3293" s="15">
        <v>0.23465139760783429</v>
      </c>
    </row>
    <row r="3294" spans="1:9" x14ac:dyDescent="0.2">
      <c r="A3294" s="2" t="s">
        <v>8733</v>
      </c>
      <c r="B3294" s="2" t="s">
        <v>7007</v>
      </c>
      <c r="C3294" s="2" t="s">
        <v>8734</v>
      </c>
      <c r="D3294" s="2" t="s">
        <v>10055</v>
      </c>
    </row>
    <row r="3295" spans="1:9" x14ac:dyDescent="0.2">
      <c r="A3295" s="2" t="s">
        <v>8735</v>
      </c>
      <c r="B3295" s="2" t="s">
        <v>7007</v>
      </c>
      <c r="C3295" s="2" t="s">
        <v>8736</v>
      </c>
      <c r="D3295" s="2" t="s">
        <v>10055</v>
      </c>
    </row>
    <row r="3296" spans="1:9" x14ac:dyDescent="0.2">
      <c r="A3296" s="2" t="s">
        <v>8737</v>
      </c>
      <c r="B3296" s="2" t="s">
        <v>7007</v>
      </c>
      <c r="C3296" s="2" t="s">
        <v>8738</v>
      </c>
      <c r="D3296" s="2" t="s">
        <v>10055</v>
      </c>
    </row>
    <row r="3297" spans="1:9" x14ac:dyDescent="0.2">
      <c r="A3297" s="2" t="s">
        <v>8739</v>
      </c>
      <c r="B3297" s="2" t="s">
        <v>7007</v>
      </c>
      <c r="C3297" s="2" t="s">
        <v>8740</v>
      </c>
      <c r="D3297" s="2" t="s">
        <v>10055</v>
      </c>
      <c r="E3297" s="15">
        <v>5.1499999999999997E-2</v>
      </c>
      <c r="F3297" s="15">
        <v>0.36020000000000002</v>
      </c>
    </row>
    <row r="3298" spans="1:9" x14ac:dyDescent="0.2">
      <c r="A3298" s="2" t="s">
        <v>8741</v>
      </c>
      <c r="B3298" s="2" t="s">
        <v>7007</v>
      </c>
      <c r="C3298" s="2" t="s">
        <v>8742</v>
      </c>
      <c r="D3298" s="2" t="s">
        <v>10055</v>
      </c>
      <c r="E3298" s="15">
        <v>2.7099999999999999E-2</v>
      </c>
      <c r="F3298" s="15">
        <v>0.1229</v>
      </c>
      <c r="G3298" s="15">
        <v>0.13930000000000001</v>
      </c>
      <c r="H3298" s="15">
        <v>0.1235</v>
      </c>
      <c r="I3298" s="15">
        <v>0.2295989264033288</v>
      </c>
    </row>
    <row r="3299" spans="1:9" x14ac:dyDescent="0.2">
      <c r="A3299" s="2" t="s">
        <v>8743</v>
      </c>
      <c r="B3299" s="2" t="s">
        <v>7007</v>
      </c>
      <c r="C3299" s="2" t="s">
        <v>8744</v>
      </c>
      <c r="D3299" s="2" t="s">
        <v>10055</v>
      </c>
      <c r="E3299" s="15">
        <v>0.21129999999999999</v>
      </c>
      <c r="F3299" s="15">
        <v>0.2913</v>
      </c>
      <c r="G3299" s="15">
        <v>4.7399999999999998E-2</v>
      </c>
      <c r="H3299" s="15">
        <v>0.2092</v>
      </c>
      <c r="I3299" s="15">
        <v>0.25582038542867391</v>
      </c>
    </row>
    <row r="3300" spans="1:9" x14ac:dyDescent="0.2">
      <c r="A3300" s="2" t="s">
        <v>8745</v>
      </c>
      <c r="B3300" s="2" t="s">
        <v>7007</v>
      </c>
      <c r="C3300" s="2" t="s">
        <v>8746</v>
      </c>
      <c r="D3300" s="2" t="s">
        <v>10055</v>
      </c>
      <c r="E3300" s="15">
        <v>-3.5000000000000001E-3</v>
      </c>
      <c r="F3300" s="15">
        <v>0.12709999999999999</v>
      </c>
      <c r="G3300" s="15">
        <v>0.1668</v>
      </c>
      <c r="H3300" s="15">
        <v>0.1852</v>
      </c>
      <c r="I3300" s="15">
        <v>0.21193025291061279</v>
      </c>
    </row>
    <row r="3301" spans="1:9" x14ac:dyDescent="0.2">
      <c r="A3301" s="2" t="s">
        <v>8747</v>
      </c>
      <c r="B3301" s="2" t="s">
        <v>7007</v>
      </c>
      <c r="C3301" s="2" t="s">
        <v>8748</v>
      </c>
      <c r="D3301" s="2" t="s">
        <v>10055</v>
      </c>
      <c r="E3301" s="15">
        <v>3.73E-2</v>
      </c>
      <c r="F3301" s="15">
        <v>0.10879999999999999</v>
      </c>
      <c r="G3301" s="15">
        <v>-8.3000000000000001E-3</v>
      </c>
      <c r="H3301" s="15">
        <v>0.25590000000000002</v>
      </c>
      <c r="I3301" s="15">
        <v>0.43312322536567588</v>
      </c>
    </row>
    <row r="3302" spans="1:9" x14ac:dyDescent="0.2">
      <c r="A3302" s="2" t="s">
        <v>8749</v>
      </c>
      <c r="B3302" s="2" t="s">
        <v>7007</v>
      </c>
      <c r="C3302" s="2" t="s">
        <v>8750</v>
      </c>
      <c r="D3302" s="2" t="s">
        <v>10055</v>
      </c>
      <c r="E3302" s="15">
        <v>2.5100000000000001E-2</v>
      </c>
      <c r="F3302" s="15">
        <v>0.12670000000000001</v>
      </c>
    </row>
    <row r="3303" spans="1:9" x14ac:dyDescent="0.2">
      <c r="A3303" s="2" t="s">
        <v>8751</v>
      </c>
      <c r="B3303" s="2" t="s">
        <v>7007</v>
      </c>
      <c r="C3303" s="2" t="s">
        <v>8752</v>
      </c>
      <c r="D3303" s="2" t="s">
        <v>10055</v>
      </c>
      <c r="E3303" s="15">
        <v>0.1019</v>
      </c>
      <c r="F3303" s="15">
        <v>0.1258</v>
      </c>
      <c r="G3303" s="15">
        <v>-0.1643</v>
      </c>
      <c r="H3303" s="15">
        <v>0.22259999999999999</v>
      </c>
      <c r="I3303" s="15">
        <v>0.13051888849829249</v>
      </c>
    </row>
    <row r="3304" spans="1:9" x14ac:dyDescent="0.2">
      <c r="A3304" s="2" t="s">
        <v>8753</v>
      </c>
      <c r="B3304" s="2" t="s">
        <v>7007</v>
      </c>
      <c r="C3304" s="2" t="s">
        <v>8754</v>
      </c>
      <c r="D3304" s="2" t="s">
        <v>10055</v>
      </c>
      <c r="G3304" s="15">
        <v>8.0299999999999996E-2</v>
      </c>
      <c r="H3304" s="15">
        <v>0.18079999999999999</v>
      </c>
    </row>
    <row r="3305" spans="1:9" x14ac:dyDescent="0.2">
      <c r="A3305" s="2" t="s">
        <v>8755</v>
      </c>
      <c r="B3305" s="2" t="s">
        <v>7007</v>
      </c>
      <c r="C3305" s="2" t="s">
        <v>8756</v>
      </c>
      <c r="D3305" s="2" t="s">
        <v>10055</v>
      </c>
      <c r="G3305" s="15">
        <v>-0.1111</v>
      </c>
      <c r="H3305" s="15">
        <v>0.20030000000000001</v>
      </c>
    </row>
    <row r="3306" spans="1:9" x14ac:dyDescent="0.2">
      <c r="A3306" s="2" t="s">
        <v>8757</v>
      </c>
      <c r="B3306" s="2" t="s">
        <v>7007</v>
      </c>
      <c r="C3306" s="2" t="s">
        <v>8758</v>
      </c>
      <c r="D3306" s="2" t="s">
        <v>10055</v>
      </c>
      <c r="E3306" s="15">
        <v>-0.10829999999999999</v>
      </c>
      <c r="F3306" s="15">
        <v>9.2600000000000002E-2</v>
      </c>
    </row>
    <row r="3307" spans="1:9" x14ac:dyDescent="0.2">
      <c r="A3307" s="2" t="s">
        <v>8759</v>
      </c>
      <c r="B3307" s="2" t="s">
        <v>7007</v>
      </c>
      <c r="C3307" s="2" t="s">
        <v>8760</v>
      </c>
      <c r="D3307" s="2" t="s">
        <v>10055</v>
      </c>
    </row>
    <row r="3308" spans="1:9" x14ac:dyDescent="0.2">
      <c r="A3308" s="2" t="s">
        <v>8761</v>
      </c>
      <c r="B3308" s="2" t="s">
        <v>7007</v>
      </c>
      <c r="C3308" s="2" t="s">
        <v>8762</v>
      </c>
      <c r="D3308" s="2" t="s">
        <v>10055</v>
      </c>
      <c r="G3308" s="15">
        <v>3.73E-2</v>
      </c>
      <c r="H3308" s="15">
        <v>0.1181</v>
      </c>
    </row>
    <row r="3309" spans="1:9" x14ac:dyDescent="0.2">
      <c r="A3309" s="2" t="s">
        <v>8763</v>
      </c>
      <c r="B3309" s="2" t="s">
        <v>7007</v>
      </c>
      <c r="C3309" s="2" t="s">
        <v>8764</v>
      </c>
      <c r="D3309" s="2" t="s">
        <v>10055</v>
      </c>
      <c r="G3309" s="15">
        <v>0.12479999999999999</v>
      </c>
      <c r="H3309" s="15">
        <v>0.35589999999999999</v>
      </c>
    </row>
    <row r="3310" spans="1:9" x14ac:dyDescent="0.2">
      <c r="A3310" s="2" t="s">
        <v>8765</v>
      </c>
      <c r="B3310" s="2" t="s">
        <v>7007</v>
      </c>
      <c r="C3310" s="2" t="s">
        <v>8766</v>
      </c>
      <c r="D3310" s="2" t="s">
        <v>10055</v>
      </c>
      <c r="E3310" s="15">
        <v>-7.1400000000000005E-2</v>
      </c>
      <c r="F3310" s="15">
        <v>0.2087</v>
      </c>
    </row>
    <row r="3311" spans="1:9" x14ac:dyDescent="0.2">
      <c r="A3311" s="2" t="s">
        <v>8767</v>
      </c>
      <c r="B3311" s="2" t="s">
        <v>7007</v>
      </c>
      <c r="C3311" s="2" t="s">
        <v>8768</v>
      </c>
      <c r="D3311" s="2" t="s">
        <v>10055</v>
      </c>
    </row>
    <row r="3312" spans="1:9" x14ac:dyDescent="0.2">
      <c r="A3312" s="2" t="s">
        <v>8769</v>
      </c>
      <c r="B3312" s="2" t="s">
        <v>7007</v>
      </c>
      <c r="C3312" s="2" t="s">
        <v>8770</v>
      </c>
      <c r="D3312" s="2" t="s">
        <v>10055</v>
      </c>
      <c r="E3312" s="15">
        <v>0.22309999999999999</v>
      </c>
      <c r="F3312" s="15">
        <v>0.76770000000000005</v>
      </c>
    </row>
    <row r="3313" spans="1:9" x14ac:dyDescent="0.2">
      <c r="A3313" s="2" t="s">
        <v>8771</v>
      </c>
      <c r="B3313" s="2" t="s">
        <v>7007</v>
      </c>
      <c r="C3313" s="2" t="s">
        <v>8772</v>
      </c>
      <c r="D3313" s="2" t="s">
        <v>10055</v>
      </c>
      <c r="E3313" s="15">
        <v>3.0200000000000001E-2</v>
      </c>
      <c r="F3313" s="15">
        <v>0.12529999999999999</v>
      </c>
      <c r="G3313" s="15">
        <v>0.19539999999999999</v>
      </c>
      <c r="H3313" s="15">
        <v>0.16220000000000001</v>
      </c>
      <c r="I3313" s="15">
        <v>0.2099112856933294</v>
      </c>
    </row>
    <row r="3314" spans="1:9" x14ac:dyDescent="0.2">
      <c r="A3314" s="2" t="s">
        <v>8773</v>
      </c>
      <c r="B3314" s="2" t="s">
        <v>7007</v>
      </c>
      <c r="C3314" s="2" t="s">
        <v>8774</v>
      </c>
      <c r="D3314" s="2" t="s">
        <v>10055</v>
      </c>
    </row>
    <row r="3315" spans="1:9" x14ac:dyDescent="0.2">
      <c r="A3315" s="2" t="s">
        <v>8775</v>
      </c>
      <c r="B3315" s="2" t="s">
        <v>7007</v>
      </c>
      <c r="C3315" s="2" t="s">
        <v>8776</v>
      </c>
      <c r="D3315" s="2" t="s">
        <v>10055</v>
      </c>
      <c r="E3315" s="15">
        <v>-9.4899999999999998E-2</v>
      </c>
      <c r="F3315" s="15">
        <v>0.1343</v>
      </c>
      <c r="G3315" s="15">
        <v>0.15759999999999999</v>
      </c>
      <c r="H3315" s="15">
        <v>0.1159</v>
      </c>
      <c r="I3315" s="15">
        <v>4.1679330106543407E-2</v>
      </c>
    </row>
    <row r="3316" spans="1:9" x14ac:dyDescent="0.2">
      <c r="A3316" s="2" t="s">
        <v>8777</v>
      </c>
      <c r="B3316" s="2" t="s">
        <v>7007</v>
      </c>
      <c r="C3316" s="2" t="s">
        <v>8778</v>
      </c>
      <c r="D3316" s="2" t="s">
        <v>10055</v>
      </c>
      <c r="E3316" s="15">
        <v>-3.0599999999999999E-2</v>
      </c>
      <c r="F3316" s="15">
        <v>0.109</v>
      </c>
      <c r="G3316" s="15">
        <v>0.13780000000000001</v>
      </c>
      <c r="H3316" s="15">
        <v>9.98E-2</v>
      </c>
      <c r="I3316" s="15">
        <v>0.10839928291313471</v>
      </c>
    </row>
    <row r="3317" spans="1:9" x14ac:dyDescent="0.2">
      <c r="A3317" s="2" t="s">
        <v>8779</v>
      </c>
      <c r="B3317" s="2" t="s">
        <v>7007</v>
      </c>
      <c r="C3317" s="2" t="s">
        <v>8780</v>
      </c>
      <c r="D3317" s="2" t="s">
        <v>10055</v>
      </c>
    </row>
    <row r="3318" spans="1:9" x14ac:dyDescent="0.2">
      <c r="A3318" s="2" t="s">
        <v>8781</v>
      </c>
      <c r="B3318" s="2" t="s">
        <v>7007</v>
      </c>
      <c r="C3318" s="2" t="s">
        <v>8782</v>
      </c>
      <c r="D3318" s="2" t="s">
        <v>10055</v>
      </c>
      <c r="G3318" s="15">
        <v>-0.1045</v>
      </c>
      <c r="H3318" s="15">
        <v>0.18479999999999999</v>
      </c>
    </row>
    <row r="3319" spans="1:9" x14ac:dyDescent="0.2">
      <c r="A3319" s="2" t="s">
        <v>8783</v>
      </c>
      <c r="B3319" s="2" t="s">
        <v>7007</v>
      </c>
      <c r="C3319" s="2" t="s">
        <v>8784</v>
      </c>
      <c r="D3319" s="2" t="s">
        <v>10055</v>
      </c>
      <c r="E3319" s="15">
        <v>-0.64270000000000005</v>
      </c>
      <c r="F3319" s="15">
        <v>2.2078000000000002</v>
      </c>
    </row>
    <row r="3320" spans="1:9" x14ac:dyDescent="0.2">
      <c r="A3320" s="2" t="s">
        <v>8785</v>
      </c>
      <c r="B3320" s="2" t="s">
        <v>7007</v>
      </c>
      <c r="C3320" s="2" t="s">
        <v>8786</v>
      </c>
      <c r="D3320" s="2" t="s">
        <v>10055</v>
      </c>
    </row>
    <row r="3321" spans="1:9" x14ac:dyDescent="0.2">
      <c r="A3321" s="2" t="s">
        <v>8787</v>
      </c>
      <c r="B3321" s="2" t="s">
        <v>7007</v>
      </c>
      <c r="C3321" s="2" t="s">
        <v>8788</v>
      </c>
      <c r="D3321" s="2" t="s">
        <v>10055</v>
      </c>
      <c r="E3321" s="15">
        <v>-0.1981</v>
      </c>
      <c r="F3321" s="15">
        <v>0.24610000000000001</v>
      </c>
      <c r="G3321" s="15">
        <v>-1.26E-2</v>
      </c>
      <c r="H3321" s="15">
        <v>9.8100000000000007E-2</v>
      </c>
      <c r="I3321" s="15">
        <v>0.11347765438688601</v>
      </c>
    </row>
    <row r="3322" spans="1:9" x14ac:dyDescent="0.2">
      <c r="A3322" s="2" t="s">
        <v>8789</v>
      </c>
      <c r="B3322" s="2" t="s">
        <v>7007</v>
      </c>
      <c r="C3322" s="2" t="s">
        <v>8790</v>
      </c>
      <c r="D3322" s="2" t="s">
        <v>10055</v>
      </c>
      <c r="E3322" s="15">
        <v>-9.4500000000000001E-2</v>
      </c>
      <c r="F3322" s="15">
        <v>0.26989999999999997</v>
      </c>
    </row>
    <row r="3323" spans="1:9" x14ac:dyDescent="0.2">
      <c r="A3323" s="2" t="s">
        <v>8791</v>
      </c>
      <c r="B3323" s="2" t="s">
        <v>7007</v>
      </c>
      <c r="C3323" s="2" t="s">
        <v>8792</v>
      </c>
      <c r="D3323" s="2" t="s">
        <v>10055</v>
      </c>
    </row>
    <row r="3324" spans="1:9" x14ac:dyDescent="0.2">
      <c r="A3324" s="2" t="s">
        <v>8793</v>
      </c>
      <c r="B3324" s="2" t="s">
        <v>7007</v>
      </c>
      <c r="C3324" s="2" t="s">
        <v>8794</v>
      </c>
      <c r="D3324" s="2" t="s">
        <v>10055</v>
      </c>
      <c r="E3324" s="15">
        <v>-2.87E-2</v>
      </c>
      <c r="F3324" s="15">
        <v>0.17280000000000001</v>
      </c>
    </row>
    <row r="3325" spans="1:9" x14ac:dyDescent="0.2">
      <c r="A3325" s="2" t="s">
        <v>8795</v>
      </c>
      <c r="B3325" s="2" t="s">
        <v>7007</v>
      </c>
      <c r="C3325" s="2" t="s">
        <v>8796</v>
      </c>
      <c r="D3325" s="2" t="s">
        <v>10055</v>
      </c>
      <c r="E3325" s="15">
        <v>0.27410000000000001</v>
      </c>
      <c r="F3325" s="15">
        <v>0.251</v>
      </c>
    </row>
    <row r="3326" spans="1:9" x14ac:dyDescent="0.2">
      <c r="A3326" s="2" t="s">
        <v>8797</v>
      </c>
      <c r="B3326" s="2" t="s">
        <v>7007</v>
      </c>
      <c r="C3326" s="2" t="s">
        <v>8798</v>
      </c>
      <c r="D3326" s="2" t="s">
        <v>10055</v>
      </c>
      <c r="E3326" s="15">
        <v>-0.23880000000000001</v>
      </c>
      <c r="F3326" s="15">
        <v>0.1605</v>
      </c>
    </row>
    <row r="3327" spans="1:9" x14ac:dyDescent="0.2">
      <c r="A3327" s="2" t="s">
        <v>8799</v>
      </c>
      <c r="B3327" s="2" t="s">
        <v>7007</v>
      </c>
      <c r="C3327" s="2" t="s">
        <v>8800</v>
      </c>
      <c r="D3327" s="2" t="s">
        <v>10055</v>
      </c>
      <c r="G3327" s="15">
        <v>6.0499999999999998E-2</v>
      </c>
      <c r="H3327" s="15">
        <v>0.1431</v>
      </c>
    </row>
    <row r="3328" spans="1:9" x14ac:dyDescent="0.2">
      <c r="A3328" s="2" t="s">
        <v>8801</v>
      </c>
      <c r="B3328" s="2" t="s">
        <v>7007</v>
      </c>
      <c r="C3328" s="2" t="s">
        <v>8802</v>
      </c>
      <c r="D3328" s="2" t="s">
        <v>10055</v>
      </c>
      <c r="E3328" s="15">
        <v>-0.18429999999999999</v>
      </c>
      <c r="F3328" s="15">
        <v>0.11799999999999999</v>
      </c>
    </row>
    <row r="3329" spans="1:9" x14ac:dyDescent="0.2">
      <c r="A3329" s="2" t="s">
        <v>8803</v>
      </c>
      <c r="B3329" s="2" t="s">
        <v>7007</v>
      </c>
      <c r="C3329" s="2" t="s">
        <v>8804</v>
      </c>
      <c r="D3329" s="2" t="s">
        <v>10055</v>
      </c>
      <c r="E3329" s="15">
        <v>-0.13070000000000001</v>
      </c>
      <c r="F3329" s="15">
        <v>0.20649999999999999</v>
      </c>
      <c r="G3329" s="15">
        <v>-4.9399999999999999E-2</v>
      </c>
      <c r="H3329" s="15">
        <v>0.3851</v>
      </c>
      <c r="I3329" s="15">
        <v>0.42140120104750262</v>
      </c>
    </row>
    <row r="3330" spans="1:9" x14ac:dyDescent="0.2">
      <c r="A3330" s="2" t="s">
        <v>8805</v>
      </c>
      <c r="B3330" s="2" t="s">
        <v>7007</v>
      </c>
      <c r="C3330" s="2" t="s">
        <v>8806</v>
      </c>
      <c r="D3330" s="2" t="s">
        <v>10055</v>
      </c>
      <c r="G3330" s="15">
        <v>0.1095</v>
      </c>
      <c r="H3330" s="15">
        <v>0.2404</v>
      </c>
    </row>
    <row r="3331" spans="1:9" x14ac:dyDescent="0.2">
      <c r="A3331" s="2" t="s">
        <v>8807</v>
      </c>
      <c r="B3331" s="2" t="s">
        <v>7007</v>
      </c>
      <c r="C3331" s="2" t="s">
        <v>8808</v>
      </c>
      <c r="D3331" s="2" t="s">
        <v>10055</v>
      </c>
      <c r="E3331" s="15">
        <v>0.18229999999999999</v>
      </c>
      <c r="F3331" s="15">
        <v>0.68910000000000005</v>
      </c>
      <c r="G3331" s="15">
        <v>0.2646</v>
      </c>
      <c r="H3331" s="15">
        <v>0.2031</v>
      </c>
      <c r="I3331" s="15">
        <v>0.37845942948959549</v>
      </c>
    </row>
    <row r="3332" spans="1:9" x14ac:dyDescent="0.2">
      <c r="A3332" s="2" t="s">
        <v>8809</v>
      </c>
      <c r="B3332" s="2" t="s">
        <v>7007</v>
      </c>
      <c r="C3332" s="2" t="s">
        <v>8810</v>
      </c>
      <c r="D3332" s="2" t="s">
        <v>10055</v>
      </c>
      <c r="G3332" s="15">
        <v>0.32869999999999999</v>
      </c>
      <c r="H3332" s="15">
        <v>0.19009999999999999</v>
      </c>
    </row>
    <row r="3333" spans="1:9" x14ac:dyDescent="0.2">
      <c r="A3333" s="2" t="s">
        <v>8811</v>
      </c>
      <c r="B3333" s="2" t="s">
        <v>7007</v>
      </c>
      <c r="C3333" s="2" t="s">
        <v>8812</v>
      </c>
      <c r="D3333" s="2" t="s">
        <v>10055</v>
      </c>
      <c r="G3333" s="15">
        <v>-4.2299999999999997E-2</v>
      </c>
      <c r="H3333" s="15">
        <v>0.1323</v>
      </c>
    </row>
    <row r="3334" spans="1:9" x14ac:dyDescent="0.2">
      <c r="A3334" s="2" t="s">
        <v>8813</v>
      </c>
      <c r="B3334" s="2" t="s">
        <v>7007</v>
      </c>
      <c r="C3334" s="2" t="s">
        <v>8814</v>
      </c>
      <c r="D3334" s="2" t="s">
        <v>10055</v>
      </c>
      <c r="E3334" s="15">
        <v>-7.0199999999999999E-2</v>
      </c>
      <c r="F3334" s="15">
        <v>0.12130000000000001</v>
      </c>
    </row>
    <row r="3335" spans="1:9" x14ac:dyDescent="0.2">
      <c r="A3335" s="2" t="s">
        <v>8815</v>
      </c>
      <c r="B3335" s="2" t="s">
        <v>7007</v>
      </c>
      <c r="C3335" s="2" t="s">
        <v>8816</v>
      </c>
      <c r="D3335" s="2" t="s">
        <v>10055</v>
      </c>
      <c r="E3335" s="15">
        <v>0.05</v>
      </c>
      <c r="F3335" s="15">
        <v>0.20300000000000001</v>
      </c>
      <c r="G3335" s="15">
        <v>-0.19270000000000001</v>
      </c>
      <c r="H3335" s="15">
        <v>0.1585</v>
      </c>
      <c r="I3335" s="15">
        <v>8.8088852266060627E-2</v>
      </c>
    </row>
    <row r="3336" spans="1:9" x14ac:dyDescent="0.2">
      <c r="A3336" s="2" t="s">
        <v>8817</v>
      </c>
      <c r="B3336" s="2" t="s">
        <v>7007</v>
      </c>
      <c r="C3336" s="2" t="s">
        <v>8818</v>
      </c>
      <c r="D3336" s="2" t="s">
        <v>10055</v>
      </c>
      <c r="E3336" s="15">
        <v>-7.8899999999999998E-2</v>
      </c>
      <c r="F3336" s="15">
        <v>0.14230000000000001</v>
      </c>
    </row>
    <row r="3337" spans="1:9" x14ac:dyDescent="0.2">
      <c r="A3337" s="2" t="s">
        <v>8819</v>
      </c>
      <c r="B3337" s="2" t="s">
        <v>7007</v>
      </c>
      <c r="C3337" s="2" t="s">
        <v>8820</v>
      </c>
      <c r="D3337" s="2" t="s">
        <v>10055</v>
      </c>
      <c r="G3337" s="15">
        <v>-1.78E-2</v>
      </c>
      <c r="H3337" s="15">
        <v>0.12180000000000001</v>
      </c>
    </row>
    <row r="3338" spans="1:9" x14ac:dyDescent="0.2">
      <c r="A3338" s="2" t="s">
        <v>8821</v>
      </c>
      <c r="B3338" s="2" t="s">
        <v>7007</v>
      </c>
      <c r="C3338" s="2" t="s">
        <v>8822</v>
      </c>
      <c r="D3338" s="2" t="s">
        <v>10055</v>
      </c>
      <c r="E3338" s="15">
        <v>8.2600000000000007E-2</v>
      </c>
      <c r="F3338" s="15">
        <v>9.8500000000000004E-2</v>
      </c>
      <c r="G3338" s="15">
        <v>0.16250000000000001</v>
      </c>
      <c r="H3338" s="15">
        <v>2.1579000000000002</v>
      </c>
      <c r="I3338" s="15">
        <v>0.48523829038485677</v>
      </c>
    </row>
    <row r="3339" spans="1:9" x14ac:dyDescent="0.2">
      <c r="A3339" s="2" t="s">
        <v>8823</v>
      </c>
      <c r="B3339" s="2" t="s">
        <v>7007</v>
      </c>
      <c r="C3339" s="2" t="s">
        <v>8824</v>
      </c>
      <c r="D3339" s="2" t="s">
        <v>10055</v>
      </c>
    </row>
    <row r="3340" spans="1:9" x14ac:dyDescent="0.2">
      <c r="A3340" s="2" t="s">
        <v>8825</v>
      </c>
      <c r="B3340" s="2" t="s">
        <v>7007</v>
      </c>
      <c r="C3340" s="2" t="s">
        <v>8826</v>
      </c>
      <c r="D3340" s="2" t="s">
        <v>10055</v>
      </c>
      <c r="E3340" s="15">
        <v>-0.21659999999999999</v>
      </c>
      <c r="F3340" s="15">
        <v>0.1308</v>
      </c>
      <c r="G3340" s="15">
        <v>1.23E-2</v>
      </c>
      <c r="H3340" s="15">
        <v>0.1225</v>
      </c>
      <c r="I3340" s="15">
        <v>5.5771579620466548E-2</v>
      </c>
    </row>
    <row r="3341" spans="1:9" x14ac:dyDescent="0.2">
      <c r="A3341" s="2" t="s">
        <v>8827</v>
      </c>
      <c r="B3341" s="2" t="s">
        <v>7007</v>
      </c>
      <c r="C3341" s="2" t="s">
        <v>8828</v>
      </c>
      <c r="D3341" s="2" t="s">
        <v>10055</v>
      </c>
      <c r="E3341" s="15">
        <v>0.1477</v>
      </c>
      <c r="F3341" s="15">
        <v>0.32479999999999998</v>
      </c>
      <c r="G3341" s="15">
        <v>-0.1346</v>
      </c>
      <c r="H3341" s="15">
        <v>0.11749999999999999</v>
      </c>
      <c r="I3341" s="15">
        <v>3.417213892054155E-2</v>
      </c>
    </row>
    <row r="3342" spans="1:9" x14ac:dyDescent="0.2">
      <c r="A3342" s="2" t="s">
        <v>8829</v>
      </c>
      <c r="B3342" s="2" t="s">
        <v>7007</v>
      </c>
      <c r="C3342" s="2" t="s">
        <v>8830</v>
      </c>
      <c r="D3342" s="2" t="s">
        <v>10055</v>
      </c>
      <c r="E3342" s="15">
        <v>7.0900000000000005E-2</v>
      </c>
      <c r="F3342" s="15">
        <v>7.6999999999999999E-2</v>
      </c>
      <c r="G3342" s="15">
        <v>-4.8500000000000001E-2</v>
      </c>
      <c r="H3342" s="15">
        <v>9.0399999999999994E-2</v>
      </c>
      <c r="I3342" s="15">
        <v>0.1208369099177303</v>
      </c>
    </row>
    <row r="3343" spans="1:9" x14ac:dyDescent="0.2">
      <c r="A3343" s="2" t="s">
        <v>8831</v>
      </c>
      <c r="B3343" s="2" t="s">
        <v>7007</v>
      </c>
      <c r="C3343" s="2" t="s">
        <v>8832</v>
      </c>
      <c r="D3343" s="2" t="s">
        <v>10055</v>
      </c>
      <c r="E3343" s="15">
        <v>0.19109999999999999</v>
      </c>
      <c r="F3343" s="15">
        <v>0.2727</v>
      </c>
      <c r="G3343" s="15">
        <v>-0.1454</v>
      </c>
      <c r="H3343" s="15">
        <v>0.1191</v>
      </c>
      <c r="I3343" s="15">
        <v>7.4662930403149152E-3</v>
      </c>
    </row>
    <row r="3344" spans="1:9" x14ac:dyDescent="0.2">
      <c r="A3344" s="2" t="s">
        <v>8833</v>
      </c>
      <c r="B3344" s="2" t="s">
        <v>7007</v>
      </c>
      <c r="C3344" s="2" t="s">
        <v>8834</v>
      </c>
      <c r="D3344" s="2" t="s">
        <v>10055</v>
      </c>
      <c r="E3344" s="15">
        <v>-0.15229999999999999</v>
      </c>
      <c r="F3344" s="15">
        <v>8.6400000000000005E-2</v>
      </c>
      <c r="G3344" s="15">
        <v>-4.5600000000000002E-2</v>
      </c>
      <c r="H3344" s="15">
        <v>0.1638</v>
      </c>
      <c r="I3344" s="15">
        <v>0.27281249113695039</v>
      </c>
    </row>
    <row r="3345" spans="1:9" x14ac:dyDescent="0.2">
      <c r="A3345" s="2" t="s">
        <v>8835</v>
      </c>
      <c r="B3345" s="2" t="s">
        <v>7007</v>
      </c>
      <c r="C3345" s="2" t="s">
        <v>8836</v>
      </c>
      <c r="D3345" s="2" t="s">
        <v>10055</v>
      </c>
      <c r="E3345" s="15">
        <v>-5.9400000000000001E-2</v>
      </c>
      <c r="F3345" s="15">
        <v>0.1047</v>
      </c>
      <c r="G3345" s="15">
        <v>-9.7000000000000003E-3</v>
      </c>
      <c r="H3345" s="15">
        <v>0.1361</v>
      </c>
      <c r="I3345" s="15">
        <v>0.36819072013061271</v>
      </c>
    </row>
    <row r="3346" spans="1:9" x14ac:dyDescent="0.2">
      <c r="A3346" s="2" t="s">
        <v>8837</v>
      </c>
      <c r="B3346" s="2" t="s">
        <v>7007</v>
      </c>
      <c r="C3346" s="2" t="s">
        <v>8838</v>
      </c>
      <c r="D3346" s="2" t="s">
        <v>10055</v>
      </c>
      <c r="E3346" s="15">
        <v>-0.1613</v>
      </c>
      <c r="F3346" s="15">
        <v>7.1499999999999994E-2</v>
      </c>
      <c r="G3346" s="15">
        <v>9.8400000000000001E-2</v>
      </c>
      <c r="H3346" s="15">
        <v>0.1326</v>
      </c>
      <c r="I3346" s="15">
        <v>3.963649445021878E-2</v>
      </c>
    </row>
    <row r="3347" spans="1:9" x14ac:dyDescent="0.2">
      <c r="A3347" s="2" t="s">
        <v>8839</v>
      </c>
      <c r="B3347" s="2" t="s">
        <v>7007</v>
      </c>
      <c r="C3347" s="2" t="s">
        <v>8840</v>
      </c>
      <c r="D3347" s="2" t="s">
        <v>10055</v>
      </c>
      <c r="G3347" s="15">
        <v>0.15870000000000001</v>
      </c>
      <c r="H3347" s="15">
        <v>0.28720000000000001</v>
      </c>
    </row>
    <row r="3348" spans="1:9" x14ac:dyDescent="0.2">
      <c r="A3348" s="2" t="s">
        <v>8841</v>
      </c>
      <c r="B3348" s="2" t="s">
        <v>7007</v>
      </c>
      <c r="C3348" s="2" t="s">
        <v>8842</v>
      </c>
      <c r="D3348" s="2" t="s">
        <v>10055</v>
      </c>
      <c r="G3348" s="15">
        <v>8.6400000000000005E-2</v>
      </c>
      <c r="H3348" s="15">
        <v>0.1142</v>
      </c>
    </row>
    <row r="3349" spans="1:9" x14ac:dyDescent="0.2">
      <c r="A3349" s="2" t="s">
        <v>8843</v>
      </c>
      <c r="B3349" s="2" t="s">
        <v>7007</v>
      </c>
      <c r="C3349" s="2" t="s">
        <v>8844</v>
      </c>
      <c r="D3349" s="2" t="s">
        <v>10055</v>
      </c>
      <c r="G3349" s="15">
        <v>0.1668</v>
      </c>
      <c r="H3349" s="15">
        <v>0.2545</v>
      </c>
    </row>
    <row r="3350" spans="1:9" x14ac:dyDescent="0.2">
      <c r="A3350" s="2" t="s">
        <v>8845</v>
      </c>
      <c r="B3350" s="2" t="s">
        <v>7007</v>
      </c>
      <c r="C3350" s="2" t="s">
        <v>8846</v>
      </c>
      <c r="D3350" s="2" t="s">
        <v>10055</v>
      </c>
      <c r="G3350" s="15">
        <v>-2.9499999999999998E-2</v>
      </c>
      <c r="H3350" s="15">
        <v>0.12470000000000001</v>
      </c>
    </row>
    <row r="3351" spans="1:9" x14ac:dyDescent="0.2">
      <c r="A3351" s="2" t="s">
        <v>8847</v>
      </c>
      <c r="B3351" s="2" t="s">
        <v>7007</v>
      </c>
      <c r="C3351" s="2" t="s">
        <v>8848</v>
      </c>
      <c r="D3351" s="2" t="s">
        <v>10055</v>
      </c>
      <c r="E3351" s="15">
        <v>0.1739</v>
      </c>
      <c r="F3351" s="15">
        <v>7.8100000000000003E-2</v>
      </c>
      <c r="G3351" s="15">
        <v>-0.26629999999999998</v>
      </c>
      <c r="H3351" s="15">
        <v>0.2006</v>
      </c>
      <c r="I3351" s="15">
        <v>1.8295717096552821E-2</v>
      </c>
    </row>
    <row r="3352" spans="1:9" x14ac:dyDescent="0.2">
      <c r="A3352" s="2" t="s">
        <v>8849</v>
      </c>
      <c r="B3352" s="2" t="s">
        <v>7007</v>
      </c>
      <c r="C3352" s="2" t="s">
        <v>8850</v>
      </c>
      <c r="D3352" s="2" t="s">
        <v>10055</v>
      </c>
      <c r="E3352" s="15">
        <v>5.1299999999999998E-2</v>
      </c>
      <c r="F3352" s="15">
        <v>0.13150000000000001</v>
      </c>
      <c r="G3352" s="15">
        <v>0.23949999999999999</v>
      </c>
      <c r="H3352" s="15">
        <v>0.1323</v>
      </c>
      <c r="I3352" s="15">
        <v>0.1140191681639216</v>
      </c>
    </row>
    <row r="3353" spans="1:9" x14ac:dyDescent="0.2">
      <c r="A3353" s="2" t="s">
        <v>8851</v>
      </c>
      <c r="B3353" s="2" t="s">
        <v>7007</v>
      </c>
      <c r="C3353" s="2" t="s">
        <v>8852</v>
      </c>
      <c r="D3353" s="2" t="s">
        <v>10055</v>
      </c>
      <c r="G3353" s="15">
        <v>1.37E-2</v>
      </c>
      <c r="H3353" s="15">
        <v>0.1167</v>
      </c>
    </row>
    <row r="3354" spans="1:9" x14ac:dyDescent="0.2">
      <c r="A3354" s="2" t="s">
        <v>8853</v>
      </c>
      <c r="B3354" s="2" t="s">
        <v>7007</v>
      </c>
      <c r="C3354" s="2" t="s">
        <v>8854</v>
      </c>
      <c r="D3354" s="2" t="s">
        <v>10055</v>
      </c>
      <c r="E3354" s="15">
        <v>-9.0200000000000002E-2</v>
      </c>
      <c r="F3354" s="15">
        <v>9.4200000000000006E-2</v>
      </c>
      <c r="G3354" s="15">
        <v>0.13400000000000001</v>
      </c>
      <c r="H3354" s="15">
        <v>0.1116</v>
      </c>
      <c r="I3354" s="15">
        <v>3.1422336566195093E-2</v>
      </c>
    </row>
    <row r="3355" spans="1:9" x14ac:dyDescent="0.2">
      <c r="A3355" s="2" t="s">
        <v>8855</v>
      </c>
      <c r="B3355" s="2" t="s">
        <v>7007</v>
      </c>
      <c r="C3355" s="2" t="s">
        <v>8856</v>
      </c>
      <c r="D3355" s="2" t="s">
        <v>10055</v>
      </c>
      <c r="E3355" s="15">
        <v>-0.13020000000000001</v>
      </c>
      <c r="F3355" s="15">
        <v>9.8500000000000004E-2</v>
      </c>
      <c r="G3355" s="15">
        <v>-0.1138</v>
      </c>
      <c r="H3355" s="15">
        <v>0.1426</v>
      </c>
      <c r="I3355" s="15">
        <v>0.4597208075283436</v>
      </c>
    </row>
    <row r="3356" spans="1:9" x14ac:dyDescent="0.2">
      <c r="A3356" s="2" t="s">
        <v>8857</v>
      </c>
      <c r="B3356" s="2" t="s">
        <v>7007</v>
      </c>
      <c r="C3356" s="2" t="s">
        <v>8858</v>
      </c>
      <c r="D3356" s="2" t="s">
        <v>10055</v>
      </c>
    </row>
    <row r="3357" spans="1:9" x14ac:dyDescent="0.2">
      <c r="A3357" s="2" t="s">
        <v>8859</v>
      </c>
      <c r="B3357" s="2" t="s">
        <v>7007</v>
      </c>
      <c r="C3357" s="2" t="s">
        <v>8860</v>
      </c>
      <c r="D3357" s="2" t="s">
        <v>10055</v>
      </c>
      <c r="E3357" s="15">
        <v>0.11269999999999999</v>
      </c>
      <c r="F3357" s="15">
        <v>8.8700000000000001E-2</v>
      </c>
      <c r="G3357" s="15">
        <v>0.1424</v>
      </c>
      <c r="H3357" s="15">
        <v>9.4399999999999998E-2</v>
      </c>
      <c r="I3357" s="15">
        <v>0.38860957633961901</v>
      </c>
    </row>
    <row r="3358" spans="1:9" x14ac:dyDescent="0.2">
      <c r="A3358" s="2" t="s">
        <v>8861</v>
      </c>
      <c r="B3358" s="2" t="s">
        <v>7007</v>
      </c>
      <c r="C3358" s="2" t="s">
        <v>8862</v>
      </c>
      <c r="D3358" s="2" t="s">
        <v>10055</v>
      </c>
      <c r="E3358" s="15">
        <v>9.8699999999999996E-2</v>
      </c>
      <c r="F3358" s="15">
        <v>9.7699999999999995E-2</v>
      </c>
      <c r="G3358" s="15">
        <v>0.1176</v>
      </c>
      <c r="H3358" s="15">
        <v>0.14380000000000001</v>
      </c>
      <c r="I3358" s="15">
        <v>0.45113738859674563</v>
      </c>
    </row>
    <row r="3359" spans="1:9" x14ac:dyDescent="0.2">
      <c r="A3359" s="2" t="s">
        <v>8863</v>
      </c>
      <c r="B3359" s="2" t="s">
        <v>7007</v>
      </c>
      <c r="C3359" s="2" t="s">
        <v>8864</v>
      </c>
      <c r="D3359" s="2" t="s">
        <v>10055</v>
      </c>
      <c r="E3359" s="15">
        <v>5.1700000000000003E-2</v>
      </c>
      <c r="F3359" s="15">
        <v>0.11700000000000001</v>
      </c>
      <c r="G3359" s="15">
        <v>-0.4209</v>
      </c>
      <c r="H3359" s="15">
        <v>0.42830000000000001</v>
      </c>
      <c r="I3359" s="15">
        <v>0.1376495427845211</v>
      </c>
    </row>
    <row r="3360" spans="1:9" x14ac:dyDescent="0.2">
      <c r="A3360" s="2" t="s">
        <v>8865</v>
      </c>
      <c r="B3360" s="2" t="s">
        <v>7007</v>
      </c>
      <c r="C3360" s="2" t="s">
        <v>8866</v>
      </c>
      <c r="D3360" s="2" t="s">
        <v>10055</v>
      </c>
    </row>
    <row r="3361" spans="1:9" x14ac:dyDescent="0.2">
      <c r="A3361" s="2" t="s">
        <v>8867</v>
      </c>
      <c r="B3361" s="2" t="s">
        <v>7007</v>
      </c>
      <c r="C3361" s="2" t="s">
        <v>8868</v>
      </c>
      <c r="D3361" s="2" t="s">
        <v>10055</v>
      </c>
      <c r="E3361" s="15">
        <v>8.2000000000000007E-3</v>
      </c>
      <c r="F3361" s="15">
        <v>8.2000000000000003E-2</v>
      </c>
      <c r="G3361" s="15">
        <v>2.9000000000000001E-2</v>
      </c>
      <c r="H3361" s="15">
        <v>9.5699999999999993E-2</v>
      </c>
      <c r="I3361" s="15">
        <v>0.42453577480595223</v>
      </c>
    </row>
    <row r="3362" spans="1:9" x14ac:dyDescent="0.2">
      <c r="A3362" s="2" t="s">
        <v>8869</v>
      </c>
      <c r="B3362" s="2" t="s">
        <v>7007</v>
      </c>
      <c r="C3362" s="2" t="s">
        <v>8870</v>
      </c>
      <c r="D3362" s="2" t="s">
        <v>10055</v>
      </c>
      <c r="E3362" s="15">
        <v>-1.7500000000000002E-2</v>
      </c>
      <c r="F3362" s="15">
        <v>8.72E-2</v>
      </c>
      <c r="G3362" s="15">
        <v>0.1545</v>
      </c>
      <c r="H3362" s="15">
        <v>0.1013</v>
      </c>
      <c r="I3362" s="15">
        <v>6.4535944115335586E-2</v>
      </c>
    </row>
    <row r="3363" spans="1:9" x14ac:dyDescent="0.2">
      <c r="A3363" s="2" t="s">
        <v>8871</v>
      </c>
      <c r="B3363" s="2" t="s">
        <v>7007</v>
      </c>
      <c r="C3363" s="2" t="s">
        <v>8872</v>
      </c>
      <c r="D3363" s="2" t="s">
        <v>10055</v>
      </c>
      <c r="E3363" s="15">
        <v>0.20430000000000001</v>
      </c>
      <c r="F3363" s="15">
        <v>0.17299999999999999</v>
      </c>
      <c r="G3363" s="15">
        <v>0.26939999999999997</v>
      </c>
      <c r="H3363" s="15">
        <v>0.12640000000000001</v>
      </c>
      <c r="I3363" s="15">
        <v>0.37406059673119568</v>
      </c>
    </row>
    <row r="3364" spans="1:9" x14ac:dyDescent="0.2">
      <c r="A3364" s="2" t="s">
        <v>8873</v>
      </c>
      <c r="B3364" s="2" t="s">
        <v>7007</v>
      </c>
      <c r="C3364" s="2" t="s">
        <v>8874</v>
      </c>
      <c r="D3364" s="2" t="s">
        <v>10055</v>
      </c>
      <c r="E3364" s="15">
        <v>6.5000000000000002E-2</v>
      </c>
      <c r="F3364" s="15">
        <v>0.13880000000000001</v>
      </c>
      <c r="G3364" s="15">
        <v>0.15720000000000001</v>
      </c>
      <c r="H3364" s="15">
        <v>0.1018</v>
      </c>
      <c r="I3364" s="15">
        <v>0.2154652135830456</v>
      </c>
    </row>
    <row r="3365" spans="1:9" x14ac:dyDescent="0.2">
      <c r="A3365" s="2" t="s">
        <v>8875</v>
      </c>
      <c r="B3365" s="2" t="s">
        <v>7007</v>
      </c>
      <c r="C3365" s="2" t="s">
        <v>8876</v>
      </c>
      <c r="D3365" s="2" t="s">
        <v>10055</v>
      </c>
      <c r="G3365" s="15">
        <v>-8.6499999999999994E-2</v>
      </c>
      <c r="H3365" s="15">
        <v>0.1444</v>
      </c>
    </row>
    <row r="3366" spans="1:9" x14ac:dyDescent="0.2">
      <c r="A3366" s="2" t="s">
        <v>8877</v>
      </c>
      <c r="B3366" s="2" t="s">
        <v>7007</v>
      </c>
      <c r="C3366" s="2" t="s">
        <v>8878</v>
      </c>
      <c r="D3366" s="2" t="s">
        <v>10055</v>
      </c>
      <c r="E3366" s="15">
        <v>-0.39200000000000002</v>
      </c>
      <c r="F3366" s="15">
        <v>0.1648</v>
      </c>
      <c r="G3366" s="15">
        <v>-6.9800000000000001E-2</v>
      </c>
      <c r="H3366" s="15">
        <v>9.1200000000000003E-2</v>
      </c>
      <c r="I3366" s="15">
        <v>1.6044606436745709E-3</v>
      </c>
    </row>
    <row r="3367" spans="1:9" x14ac:dyDescent="0.2">
      <c r="A3367" s="2" t="s">
        <v>8879</v>
      </c>
      <c r="B3367" s="2" t="s">
        <v>7007</v>
      </c>
      <c r="C3367" s="2" t="s">
        <v>8880</v>
      </c>
      <c r="D3367" s="2" t="s">
        <v>10055</v>
      </c>
      <c r="E3367" s="15">
        <v>-0.17680000000000001</v>
      </c>
      <c r="F3367" s="15">
        <v>0.1459</v>
      </c>
    </row>
    <row r="3368" spans="1:9" x14ac:dyDescent="0.2">
      <c r="A3368" s="2" t="s">
        <v>8881</v>
      </c>
      <c r="B3368" s="2" t="s">
        <v>7007</v>
      </c>
      <c r="C3368" s="2" t="s">
        <v>8882</v>
      </c>
      <c r="D3368" s="2" t="s">
        <v>10055</v>
      </c>
      <c r="E3368" s="15">
        <v>-0.35510000000000003</v>
      </c>
      <c r="F3368" s="15">
        <v>0.2752</v>
      </c>
    </row>
    <row r="3369" spans="1:9" x14ac:dyDescent="0.2">
      <c r="A3369" s="2" t="s">
        <v>8883</v>
      </c>
      <c r="B3369" s="2" t="s">
        <v>7007</v>
      </c>
      <c r="C3369" s="2" t="s">
        <v>8884</v>
      </c>
      <c r="D3369" s="2" t="s">
        <v>10055</v>
      </c>
      <c r="E3369" s="15">
        <v>0.12889999999999999</v>
      </c>
      <c r="F3369" s="15">
        <v>0.1009</v>
      </c>
      <c r="G3369" s="15">
        <v>0.20569999999999999</v>
      </c>
      <c r="H3369" s="15">
        <v>0.1641</v>
      </c>
      <c r="I3369" s="15">
        <v>0.33051023520845912</v>
      </c>
    </row>
    <row r="3370" spans="1:9" x14ac:dyDescent="0.2">
      <c r="A3370" s="2" t="s">
        <v>8885</v>
      </c>
      <c r="B3370" s="2" t="s">
        <v>7007</v>
      </c>
      <c r="C3370" s="2" t="s">
        <v>8886</v>
      </c>
      <c r="D3370" s="2" t="s">
        <v>10055</v>
      </c>
      <c r="E3370" s="15">
        <v>3.3399999999999999E-2</v>
      </c>
      <c r="F3370" s="15">
        <v>0.1154</v>
      </c>
      <c r="G3370" s="15">
        <v>-3.0499999999999999E-2</v>
      </c>
      <c r="H3370" s="15">
        <v>0.16520000000000001</v>
      </c>
      <c r="I3370" s="15">
        <v>0.35955571844172329</v>
      </c>
    </row>
    <row r="3371" spans="1:9" x14ac:dyDescent="0.2">
      <c r="A3371" s="2" t="s">
        <v>8887</v>
      </c>
      <c r="B3371" s="2" t="s">
        <v>7007</v>
      </c>
      <c r="C3371" s="2" t="s">
        <v>8888</v>
      </c>
      <c r="D3371" s="2" t="s">
        <v>10055</v>
      </c>
      <c r="G3371" s="15">
        <v>6.9999999999999999E-4</v>
      </c>
      <c r="H3371" s="15">
        <v>0.17460000000000001</v>
      </c>
    </row>
    <row r="3372" spans="1:9" x14ac:dyDescent="0.2">
      <c r="A3372" s="2" t="s">
        <v>8889</v>
      </c>
      <c r="B3372" s="2" t="s">
        <v>7007</v>
      </c>
      <c r="C3372" s="2" t="s">
        <v>8890</v>
      </c>
      <c r="D3372" s="2" t="s">
        <v>10055</v>
      </c>
      <c r="E3372" s="15">
        <v>5.16E-2</v>
      </c>
      <c r="F3372" s="15">
        <v>0.13150000000000001</v>
      </c>
      <c r="G3372" s="15">
        <v>-3.8800000000000001E-2</v>
      </c>
      <c r="H3372" s="15">
        <v>0.1085</v>
      </c>
      <c r="I3372" s="15">
        <v>0.24432395355833211</v>
      </c>
    </row>
    <row r="3373" spans="1:9" x14ac:dyDescent="0.2">
      <c r="A3373" s="2" t="s">
        <v>8891</v>
      </c>
      <c r="B3373" s="2" t="s">
        <v>7007</v>
      </c>
      <c r="C3373" s="2" t="s">
        <v>8892</v>
      </c>
      <c r="D3373" s="2" t="s">
        <v>10055</v>
      </c>
      <c r="E3373" s="15">
        <v>1.23E-2</v>
      </c>
      <c r="F3373" s="15">
        <v>0.2306</v>
      </c>
      <c r="G3373" s="15">
        <v>-9.7000000000000003E-2</v>
      </c>
      <c r="H3373" s="15">
        <v>0.13980000000000001</v>
      </c>
      <c r="I3373" s="15">
        <v>0.24427123580844681</v>
      </c>
    </row>
    <row r="3374" spans="1:9" x14ac:dyDescent="0.2">
      <c r="A3374" s="2" t="s">
        <v>8893</v>
      </c>
      <c r="B3374" s="2" t="s">
        <v>7007</v>
      </c>
      <c r="C3374" s="2" t="s">
        <v>8894</v>
      </c>
      <c r="D3374" s="2" t="s">
        <v>10055</v>
      </c>
      <c r="E3374" s="15">
        <v>0.31069999999999998</v>
      </c>
      <c r="F3374" s="15">
        <v>0.23599999999999999</v>
      </c>
      <c r="G3374" s="15">
        <v>-1.41E-2</v>
      </c>
      <c r="H3374" s="15">
        <v>0.10050000000000001</v>
      </c>
      <c r="I3374" s="15">
        <v>1.3653559094085841E-2</v>
      </c>
    </row>
    <row r="3375" spans="1:9" x14ac:dyDescent="0.2">
      <c r="A3375" s="2" t="s">
        <v>8895</v>
      </c>
      <c r="B3375" s="2" t="s">
        <v>7007</v>
      </c>
      <c r="C3375" s="2" t="s">
        <v>8896</v>
      </c>
      <c r="D3375" s="2" t="s">
        <v>10055</v>
      </c>
      <c r="E3375" s="15">
        <v>0.20349999999999999</v>
      </c>
      <c r="F3375" s="15">
        <v>0.1237</v>
      </c>
      <c r="G3375" s="15">
        <v>1.5299999999999999E-2</v>
      </c>
      <c r="H3375" s="15">
        <v>0.18529999999999999</v>
      </c>
      <c r="I3375" s="15">
        <v>0.1710696697157946</v>
      </c>
    </row>
    <row r="3376" spans="1:9" x14ac:dyDescent="0.2">
      <c r="A3376" s="2" t="s">
        <v>8897</v>
      </c>
      <c r="B3376" s="2" t="s">
        <v>7007</v>
      </c>
      <c r="C3376" s="2" t="s">
        <v>8898</v>
      </c>
      <c r="D3376" s="2" t="s">
        <v>10055</v>
      </c>
      <c r="G3376" s="15">
        <v>0.15409999999999999</v>
      </c>
      <c r="H3376" s="15">
        <v>0.1898</v>
      </c>
    </row>
    <row r="3377" spans="1:9" x14ac:dyDescent="0.2">
      <c r="A3377" s="2" t="s">
        <v>8899</v>
      </c>
      <c r="B3377" s="2" t="s">
        <v>7007</v>
      </c>
      <c r="C3377" s="2" t="s">
        <v>8900</v>
      </c>
      <c r="D3377" s="2" t="s">
        <v>10055</v>
      </c>
      <c r="G3377" s="15">
        <v>0.20669999999999999</v>
      </c>
      <c r="H3377" s="15">
        <v>0.1721</v>
      </c>
    </row>
    <row r="3378" spans="1:9" x14ac:dyDescent="0.2">
      <c r="A3378" s="2" t="s">
        <v>8901</v>
      </c>
      <c r="B3378" s="2" t="s">
        <v>7007</v>
      </c>
      <c r="C3378" s="2" t="s">
        <v>8902</v>
      </c>
      <c r="D3378" s="2" t="s">
        <v>10055</v>
      </c>
      <c r="E3378" s="15">
        <v>-0.04</v>
      </c>
      <c r="F3378" s="15">
        <v>0.121</v>
      </c>
      <c r="G3378" s="15">
        <v>0.1216</v>
      </c>
      <c r="H3378" s="15">
        <v>0.15359999999999999</v>
      </c>
      <c r="I3378" s="15">
        <v>0.1724749845788888</v>
      </c>
    </row>
    <row r="3379" spans="1:9" x14ac:dyDescent="0.2">
      <c r="A3379" s="2" t="s">
        <v>8903</v>
      </c>
      <c r="B3379" s="2" t="s">
        <v>7007</v>
      </c>
      <c r="C3379" s="2" t="s">
        <v>8904</v>
      </c>
      <c r="D3379" s="2" t="s">
        <v>10055</v>
      </c>
    </row>
    <row r="3380" spans="1:9" x14ac:dyDescent="0.2">
      <c r="A3380" s="2" t="s">
        <v>8905</v>
      </c>
      <c r="B3380" s="2" t="s">
        <v>7007</v>
      </c>
      <c r="C3380" s="2" t="s">
        <v>8906</v>
      </c>
      <c r="D3380" s="2" t="s">
        <v>10055</v>
      </c>
      <c r="E3380" s="15">
        <v>6.4000000000000003E-3</v>
      </c>
      <c r="F3380" s="15">
        <v>0.14430000000000001</v>
      </c>
      <c r="G3380" s="15">
        <v>2.7099999999999999E-2</v>
      </c>
      <c r="H3380" s="15">
        <v>0.13819999999999999</v>
      </c>
      <c r="I3380" s="15">
        <v>0.44760043101061697</v>
      </c>
    </row>
    <row r="3381" spans="1:9" x14ac:dyDescent="0.2">
      <c r="A3381" s="2" t="s">
        <v>8907</v>
      </c>
      <c r="B3381" s="2" t="s">
        <v>7007</v>
      </c>
      <c r="C3381" s="2" t="s">
        <v>8908</v>
      </c>
      <c r="D3381" s="2" t="s">
        <v>10055</v>
      </c>
      <c r="E3381" s="15">
        <v>7.85E-2</v>
      </c>
      <c r="F3381" s="15">
        <v>7.3800000000000004E-2</v>
      </c>
      <c r="G3381" s="15">
        <v>-5.7299999999999997E-2</v>
      </c>
      <c r="H3381" s="15">
        <v>7.9600000000000004E-2</v>
      </c>
      <c r="I3381" s="15">
        <v>7.1679634942783121E-2</v>
      </c>
    </row>
    <row r="3382" spans="1:9" x14ac:dyDescent="0.2">
      <c r="A3382" s="2" t="s">
        <v>8909</v>
      </c>
      <c r="B3382" s="2" t="s">
        <v>7007</v>
      </c>
      <c r="C3382" s="2" t="s">
        <v>8910</v>
      </c>
      <c r="D3382" s="2" t="s">
        <v>10055</v>
      </c>
    </row>
    <row r="3383" spans="1:9" x14ac:dyDescent="0.2">
      <c r="A3383" s="2" t="s">
        <v>8911</v>
      </c>
      <c r="B3383" s="2" t="s">
        <v>7007</v>
      </c>
      <c r="C3383" s="2" t="s">
        <v>8912</v>
      </c>
      <c r="D3383" s="2" t="s">
        <v>10055</v>
      </c>
      <c r="E3383" s="15">
        <v>-0.1074</v>
      </c>
      <c r="F3383" s="15">
        <v>0.1118</v>
      </c>
      <c r="G3383" s="15">
        <v>-0.14599999999999999</v>
      </c>
      <c r="H3383" s="15">
        <v>0.12189999999999999</v>
      </c>
      <c r="I3383" s="15">
        <v>0.38742841473985012</v>
      </c>
    </row>
    <row r="3384" spans="1:9" x14ac:dyDescent="0.2">
      <c r="A3384" s="2" t="s">
        <v>8913</v>
      </c>
      <c r="B3384" s="2" t="s">
        <v>7007</v>
      </c>
      <c r="C3384" s="2" t="s">
        <v>8914</v>
      </c>
      <c r="D3384" s="2" t="s">
        <v>10055</v>
      </c>
      <c r="E3384" s="15">
        <v>8.0500000000000002E-2</v>
      </c>
      <c r="F3384" s="15">
        <v>0.39489999999999997</v>
      </c>
      <c r="G3384" s="15">
        <v>-0.3543</v>
      </c>
      <c r="H3384" s="15">
        <v>0.34060000000000001</v>
      </c>
    </row>
    <row r="3385" spans="1:9" x14ac:dyDescent="0.2">
      <c r="A3385" s="2" t="s">
        <v>8915</v>
      </c>
      <c r="B3385" s="2" t="s">
        <v>7007</v>
      </c>
      <c r="C3385" s="2" t="s">
        <v>8916</v>
      </c>
      <c r="D3385" s="2" t="s">
        <v>10055</v>
      </c>
      <c r="E3385" s="15">
        <v>-0.53380000000000005</v>
      </c>
      <c r="F3385" s="15">
        <v>0.52390000000000003</v>
      </c>
      <c r="G3385" s="15">
        <v>5.6599999999999998E-2</v>
      </c>
      <c r="H3385" s="15">
        <v>9.9199999999999997E-2</v>
      </c>
      <c r="I3385" s="15">
        <v>1.8848750741427059E-6</v>
      </c>
    </row>
    <row r="3386" spans="1:9" x14ac:dyDescent="0.2">
      <c r="A3386" s="2" t="s">
        <v>8917</v>
      </c>
      <c r="B3386" s="2" t="s">
        <v>7007</v>
      </c>
      <c r="C3386" s="2" t="s">
        <v>8918</v>
      </c>
      <c r="D3386" s="2" t="s">
        <v>10055</v>
      </c>
      <c r="E3386" s="15">
        <v>8.8000000000000005E-3</v>
      </c>
      <c r="F3386" s="15">
        <v>0.1041</v>
      </c>
      <c r="G3386" s="15">
        <v>0.19620000000000001</v>
      </c>
      <c r="H3386" s="15">
        <v>0.11409999999999999</v>
      </c>
      <c r="I3386" s="15">
        <v>7.6082263211842194E-2</v>
      </c>
    </row>
    <row r="3387" spans="1:9" x14ac:dyDescent="0.2">
      <c r="A3387" s="2" t="s">
        <v>8919</v>
      </c>
      <c r="B3387" s="2" t="s">
        <v>7007</v>
      </c>
      <c r="C3387" s="2" t="s">
        <v>8920</v>
      </c>
      <c r="D3387" s="2" t="s">
        <v>10055</v>
      </c>
      <c r="E3387" s="15">
        <v>-9.8000000000000004E-2</v>
      </c>
      <c r="F3387" s="15">
        <v>0.1033</v>
      </c>
      <c r="G3387" s="15">
        <v>-2.6800000000000001E-2</v>
      </c>
      <c r="H3387" s="15">
        <v>0.156</v>
      </c>
      <c r="I3387" s="15">
        <v>0.33337445132037202</v>
      </c>
    </row>
    <row r="3388" spans="1:9" x14ac:dyDescent="0.2">
      <c r="A3388" s="2" t="s">
        <v>8921</v>
      </c>
      <c r="B3388" s="2" t="s">
        <v>7007</v>
      </c>
      <c r="C3388" s="2" t="s">
        <v>8922</v>
      </c>
      <c r="D3388" s="2" t="s">
        <v>10055</v>
      </c>
      <c r="E3388" s="15">
        <v>5.8999999999999999E-3</v>
      </c>
      <c r="F3388" s="15">
        <v>8.3900000000000002E-2</v>
      </c>
      <c r="G3388" s="15">
        <v>-8.1000000000000003E-2</v>
      </c>
      <c r="H3388" s="15">
        <v>9.64E-2</v>
      </c>
      <c r="I3388" s="15">
        <v>0.230018354582575</v>
      </c>
    </row>
    <row r="3389" spans="1:9" x14ac:dyDescent="0.2">
      <c r="A3389" s="2" t="s">
        <v>8923</v>
      </c>
      <c r="B3389" s="2" t="s">
        <v>7007</v>
      </c>
      <c r="C3389" s="2" t="s">
        <v>8924</v>
      </c>
      <c r="D3389" s="2" t="s">
        <v>10055</v>
      </c>
      <c r="E3389" s="15">
        <v>-6.8099999999999994E-2</v>
      </c>
      <c r="F3389" s="15">
        <v>0.1158</v>
      </c>
      <c r="G3389" s="15">
        <v>9.7799999999999998E-2</v>
      </c>
      <c r="H3389" s="15">
        <v>0.12</v>
      </c>
      <c r="I3389" s="15">
        <v>0.1112603139421819</v>
      </c>
    </row>
    <row r="3390" spans="1:9" x14ac:dyDescent="0.2">
      <c r="A3390" s="2" t="s">
        <v>8925</v>
      </c>
      <c r="B3390" s="2" t="s">
        <v>7007</v>
      </c>
      <c r="C3390" s="2" t="s">
        <v>8926</v>
      </c>
      <c r="D3390" s="2" t="s">
        <v>10055</v>
      </c>
      <c r="G3390" s="15">
        <v>2.9999999999999997E-4</v>
      </c>
      <c r="H3390" s="15">
        <v>0.14630000000000001</v>
      </c>
    </row>
    <row r="3391" spans="1:9" x14ac:dyDescent="0.2">
      <c r="A3391" s="2" t="s">
        <v>8927</v>
      </c>
      <c r="B3391" s="2" t="s">
        <v>7007</v>
      </c>
      <c r="C3391" s="2" t="s">
        <v>8928</v>
      </c>
      <c r="D3391" s="2" t="s">
        <v>10055</v>
      </c>
      <c r="E3391" s="15">
        <v>0.1265</v>
      </c>
      <c r="F3391" s="15">
        <v>0.1023</v>
      </c>
      <c r="G3391" s="15">
        <v>0.15090000000000001</v>
      </c>
      <c r="H3391" s="15">
        <v>8.1199999999999994E-2</v>
      </c>
      <c r="I3391" s="15">
        <v>0.39837391909898762</v>
      </c>
    </row>
    <row r="3392" spans="1:9" x14ac:dyDescent="0.2">
      <c r="A3392" s="2" t="s">
        <v>8929</v>
      </c>
      <c r="B3392" s="2" t="s">
        <v>7007</v>
      </c>
      <c r="C3392" s="2" t="s">
        <v>8930</v>
      </c>
      <c r="D3392" s="2" t="s">
        <v>10055</v>
      </c>
      <c r="G3392" s="15">
        <v>-0.19270000000000001</v>
      </c>
      <c r="H3392" s="15">
        <v>0.1328</v>
      </c>
    </row>
    <row r="3393" spans="1:9" x14ac:dyDescent="0.2">
      <c r="A3393" s="2" t="s">
        <v>8931</v>
      </c>
      <c r="B3393" s="2" t="s">
        <v>7007</v>
      </c>
      <c r="C3393" s="2" t="s">
        <v>8932</v>
      </c>
      <c r="D3393" s="2" t="s">
        <v>10055</v>
      </c>
      <c r="E3393" s="15">
        <v>4.9000000000000002E-2</v>
      </c>
      <c r="F3393" s="15">
        <v>0.15509999999999999</v>
      </c>
      <c r="G3393" s="15">
        <v>1.95E-2</v>
      </c>
      <c r="H3393" s="15">
        <v>0.1648</v>
      </c>
      <c r="I3393" s="15">
        <v>0.43489569401237371</v>
      </c>
    </row>
    <row r="3394" spans="1:9" x14ac:dyDescent="0.2">
      <c r="A3394" s="2" t="s">
        <v>8933</v>
      </c>
      <c r="B3394" s="2" t="s">
        <v>7007</v>
      </c>
      <c r="C3394" s="2" t="s">
        <v>8934</v>
      </c>
      <c r="D3394" s="2" t="s">
        <v>10055</v>
      </c>
      <c r="E3394" s="15">
        <v>-0.14299999999999999</v>
      </c>
      <c r="F3394" s="15">
        <v>0.1668</v>
      </c>
      <c r="G3394" s="15">
        <v>-1.6799999999999999E-2</v>
      </c>
      <c r="H3394" s="15">
        <v>0.1905</v>
      </c>
      <c r="I3394" s="15">
        <v>0.29520897200239482</v>
      </c>
    </row>
    <row r="3395" spans="1:9" x14ac:dyDescent="0.2">
      <c r="A3395" s="2" t="s">
        <v>8935</v>
      </c>
      <c r="B3395" s="2" t="s">
        <v>7007</v>
      </c>
      <c r="C3395" s="2" t="s">
        <v>8936</v>
      </c>
      <c r="D3395" s="2" t="s">
        <v>10055</v>
      </c>
      <c r="E3395" s="15">
        <v>-6.6000000000000003E-2</v>
      </c>
      <c r="F3395" s="15">
        <v>9.8599999999999993E-2</v>
      </c>
      <c r="G3395" s="15">
        <v>0.1285</v>
      </c>
      <c r="H3395" s="15">
        <v>0.1769</v>
      </c>
      <c r="I3395" s="15">
        <v>0.15076494715888969</v>
      </c>
    </row>
    <row r="3396" spans="1:9" x14ac:dyDescent="0.2">
      <c r="A3396" s="2" t="s">
        <v>8937</v>
      </c>
      <c r="B3396" s="2" t="s">
        <v>7007</v>
      </c>
      <c r="C3396" s="2" t="s">
        <v>8938</v>
      </c>
      <c r="D3396" s="2" t="s">
        <v>10055</v>
      </c>
    </row>
    <row r="3397" spans="1:9" x14ac:dyDescent="0.2">
      <c r="A3397" s="2" t="s">
        <v>8939</v>
      </c>
      <c r="B3397" s="2" t="s">
        <v>7007</v>
      </c>
      <c r="C3397" s="2" t="s">
        <v>8940</v>
      </c>
      <c r="D3397" s="2" t="s">
        <v>10055</v>
      </c>
      <c r="E3397" s="15">
        <v>-0.129</v>
      </c>
      <c r="F3397" s="15">
        <v>0.1231</v>
      </c>
      <c r="G3397" s="15">
        <v>0.1179</v>
      </c>
      <c r="H3397" s="15">
        <v>0.1588</v>
      </c>
      <c r="I3397" s="15">
        <v>7.112819684210446E-2</v>
      </c>
    </row>
    <row r="3398" spans="1:9" x14ac:dyDescent="0.2">
      <c r="A3398" s="2" t="s">
        <v>8941</v>
      </c>
      <c r="B3398" s="2" t="s">
        <v>7007</v>
      </c>
      <c r="C3398" s="2" t="s">
        <v>8942</v>
      </c>
      <c r="D3398" s="2" t="s">
        <v>10055</v>
      </c>
      <c r="E3398" s="15">
        <v>0.1147</v>
      </c>
      <c r="F3398" s="15">
        <v>0.20230000000000001</v>
      </c>
    </row>
    <row r="3399" spans="1:9" x14ac:dyDescent="0.2">
      <c r="A3399" s="2" t="s">
        <v>8943</v>
      </c>
      <c r="B3399" s="2" t="s">
        <v>7007</v>
      </c>
      <c r="C3399" s="2" t="s">
        <v>8944</v>
      </c>
      <c r="D3399" s="2" t="s">
        <v>10055</v>
      </c>
      <c r="G3399" s="15">
        <v>-2.5999999999999999E-2</v>
      </c>
      <c r="H3399" s="15">
        <v>0.16239999999999999</v>
      </c>
    </row>
    <row r="3400" spans="1:9" x14ac:dyDescent="0.2">
      <c r="A3400" s="2" t="s">
        <v>8945</v>
      </c>
      <c r="B3400" s="2" t="s">
        <v>7007</v>
      </c>
      <c r="C3400" s="2" t="s">
        <v>8946</v>
      </c>
      <c r="D3400" s="2" t="s">
        <v>10055</v>
      </c>
      <c r="E3400" s="15">
        <v>0.112</v>
      </c>
      <c r="F3400" s="15">
        <v>0.12590000000000001</v>
      </c>
      <c r="G3400" s="15">
        <v>-7.4300000000000005E-2</v>
      </c>
      <c r="H3400" s="15">
        <v>0.1047</v>
      </c>
      <c r="I3400" s="15">
        <v>6.3996471112212502E-2</v>
      </c>
    </row>
    <row r="3401" spans="1:9" x14ac:dyDescent="0.2">
      <c r="A3401" s="2" t="s">
        <v>8947</v>
      </c>
      <c r="B3401" s="2" t="s">
        <v>7007</v>
      </c>
      <c r="C3401" s="2" t="s">
        <v>8948</v>
      </c>
      <c r="D3401" s="2" t="s">
        <v>10055</v>
      </c>
      <c r="E3401" s="15">
        <v>9.5299999999999996E-2</v>
      </c>
      <c r="F3401" s="15">
        <v>0.1091</v>
      </c>
      <c r="G3401" s="15">
        <v>-7.1900000000000006E-2</v>
      </c>
      <c r="H3401" s="15">
        <v>0.122</v>
      </c>
      <c r="I3401" s="15">
        <v>0.11236539731928211</v>
      </c>
    </row>
    <row r="3402" spans="1:9" x14ac:dyDescent="0.2">
      <c r="A3402" s="2" t="s">
        <v>8949</v>
      </c>
      <c r="B3402" s="2" t="s">
        <v>7007</v>
      </c>
      <c r="C3402" s="2" t="s">
        <v>8950</v>
      </c>
      <c r="D3402" s="2" t="s">
        <v>10055</v>
      </c>
      <c r="E3402" s="15">
        <v>0.10730000000000001</v>
      </c>
      <c r="F3402" s="15">
        <v>0.43919999999999998</v>
      </c>
      <c r="G3402" s="15">
        <v>0.1714</v>
      </c>
      <c r="H3402" s="15">
        <v>0.15759999999999999</v>
      </c>
      <c r="I3402" s="15">
        <v>0.39090829383607428</v>
      </c>
    </row>
    <row r="3403" spans="1:9" x14ac:dyDescent="0.2">
      <c r="A3403" s="2" t="s">
        <v>8951</v>
      </c>
      <c r="B3403" s="2" t="s">
        <v>7007</v>
      </c>
      <c r="C3403" s="2" t="s">
        <v>8952</v>
      </c>
      <c r="D3403" s="2" t="s">
        <v>10055</v>
      </c>
      <c r="E3403" s="15">
        <v>-0.189</v>
      </c>
      <c r="F3403" s="15">
        <v>0.252</v>
      </c>
      <c r="G3403" s="15">
        <v>-0.1255</v>
      </c>
      <c r="H3403" s="15">
        <v>0.1043</v>
      </c>
      <c r="I3403" s="15">
        <v>0.29846423269411532</v>
      </c>
    </row>
    <row r="3404" spans="1:9" x14ac:dyDescent="0.2">
      <c r="A3404" s="2" t="s">
        <v>8953</v>
      </c>
      <c r="B3404" s="2" t="s">
        <v>7007</v>
      </c>
      <c r="C3404" s="2" t="s">
        <v>8954</v>
      </c>
      <c r="D3404" s="2" t="s">
        <v>10055</v>
      </c>
      <c r="E3404" s="15">
        <v>-5.3999999999999999E-2</v>
      </c>
      <c r="F3404" s="15">
        <v>0.10589999999999999</v>
      </c>
    </row>
    <row r="3405" spans="1:9" x14ac:dyDescent="0.2">
      <c r="A3405" s="2" t="s">
        <v>8955</v>
      </c>
      <c r="B3405" s="2" t="s">
        <v>7007</v>
      </c>
      <c r="C3405" s="2" t="s">
        <v>8956</v>
      </c>
      <c r="D3405" s="2" t="s">
        <v>10055</v>
      </c>
      <c r="E3405" s="15">
        <v>-2.0999999999999999E-3</v>
      </c>
      <c r="F3405" s="15">
        <v>9.2299999999999993E-2</v>
      </c>
      <c r="G3405" s="15">
        <v>0.26800000000000002</v>
      </c>
      <c r="H3405" s="15">
        <v>0.13339999999999999</v>
      </c>
      <c r="I3405" s="15">
        <v>2.9264793775988521E-2</v>
      </c>
    </row>
    <row r="3406" spans="1:9" x14ac:dyDescent="0.2">
      <c r="A3406" s="2" t="s">
        <v>8957</v>
      </c>
      <c r="B3406" s="2" t="s">
        <v>7007</v>
      </c>
      <c r="C3406" s="2" t="s">
        <v>8958</v>
      </c>
      <c r="D3406" s="2" t="s">
        <v>10055</v>
      </c>
      <c r="G3406" s="15">
        <v>0.11559999999999999</v>
      </c>
      <c r="H3406" s="15">
        <v>0.1416</v>
      </c>
    </row>
    <row r="3407" spans="1:9" x14ac:dyDescent="0.2">
      <c r="A3407" s="2" t="s">
        <v>8959</v>
      </c>
      <c r="B3407" s="2" t="s">
        <v>7007</v>
      </c>
      <c r="C3407" s="2" t="s">
        <v>8960</v>
      </c>
      <c r="D3407" s="2" t="s">
        <v>10055</v>
      </c>
      <c r="E3407" s="15">
        <v>1.67E-2</v>
      </c>
      <c r="F3407" s="15">
        <v>9.5299999999999996E-2</v>
      </c>
      <c r="G3407" s="15">
        <v>-0.2152</v>
      </c>
      <c r="H3407" s="15">
        <v>0.1152</v>
      </c>
      <c r="I3407" s="15">
        <v>3.4733192106872153E-2</v>
      </c>
    </row>
    <row r="3408" spans="1:9" x14ac:dyDescent="0.2">
      <c r="A3408" s="2" t="s">
        <v>8961</v>
      </c>
      <c r="B3408" s="2" t="s">
        <v>7007</v>
      </c>
      <c r="C3408" s="2" t="s">
        <v>8962</v>
      </c>
      <c r="D3408" s="2" t="s">
        <v>10055</v>
      </c>
      <c r="E3408" s="15">
        <v>-0.1321</v>
      </c>
      <c r="F3408" s="15">
        <v>0.23139999999999999</v>
      </c>
      <c r="G3408" s="15">
        <v>9.0399999999999994E-2</v>
      </c>
      <c r="H3408" s="15">
        <v>0.22070000000000001</v>
      </c>
      <c r="I3408" s="15">
        <v>0.19265779587098911</v>
      </c>
    </row>
    <row r="3409" spans="1:9" x14ac:dyDescent="0.2">
      <c r="A3409" s="2" t="s">
        <v>8963</v>
      </c>
      <c r="B3409" s="2" t="s">
        <v>7007</v>
      </c>
      <c r="C3409" s="2" t="s">
        <v>8964</v>
      </c>
      <c r="D3409" s="2" t="s">
        <v>10055</v>
      </c>
      <c r="E3409" s="15">
        <v>0.12529999999999999</v>
      </c>
      <c r="F3409" s="15">
        <v>8.5800000000000001E-2</v>
      </c>
      <c r="G3409" s="15">
        <v>3.95E-2</v>
      </c>
      <c r="H3409" s="15">
        <v>0.10639999999999999</v>
      </c>
      <c r="I3409" s="15">
        <v>0.24051015266239259</v>
      </c>
    </row>
    <row r="3410" spans="1:9" x14ac:dyDescent="0.2">
      <c r="A3410" s="2" t="s">
        <v>8965</v>
      </c>
      <c r="B3410" s="2" t="s">
        <v>7007</v>
      </c>
      <c r="C3410" s="2" t="s">
        <v>8966</v>
      </c>
      <c r="D3410" s="2" t="s">
        <v>10055</v>
      </c>
      <c r="E3410" s="15">
        <v>-0.16930000000000001</v>
      </c>
      <c r="F3410" s="15">
        <v>0.18110000000000001</v>
      </c>
      <c r="G3410" s="15">
        <v>5.8999999999999997E-2</v>
      </c>
      <c r="H3410" s="15">
        <v>0.14399999999999999</v>
      </c>
      <c r="I3410" s="15">
        <v>8.7858482566283189E-2</v>
      </c>
    </row>
    <row r="3411" spans="1:9" x14ac:dyDescent="0.2">
      <c r="A3411" s="2" t="s">
        <v>8967</v>
      </c>
      <c r="B3411" s="2" t="s">
        <v>7007</v>
      </c>
      <c r="C3411" s="2" t="s">
        <v>8968</v>
      </c>
      <c r="D3411" s="2" t="s">
        <v>10055</v>
      </c>
      <c r="G3411" s="15">
        <v>-0.16189999999999999</v>
      </c>
      <c r="H3411" s="15">
        <v>0.50360000000000005</v>
      </c>
    </row>
    <row r="3412" spans="1:9" x14ac:dyDescent="0.2">
      <c r="A3412" s="2" t="s">
        <v>8969</v>
      </c>
      <c r="B3412" s="2" t="s">
        <v>7007</v>
      </c>
      <c r="C3412" s="2" t="s">
        <v>8970</v>
      </c>
      <c r="D3412" s="2" t="s">
        <v>10055</v>
      </c>
      <c r="G3412" s="15">
        <v>-0.21010000000000001</v>
      </c>
      <c r="H3412" s="15">
        <v>0.19009999999999999</v>
      </c>
    </row>
    <row r="3413" spans="1:9" x14ac:dyDescent="0.2">
      <c r="A3413" s="2" t="s">
        <v>8971</v>
      </c>
      <c r="B3413" s="2" t="s">
        <v>7007</v>
      </c>
      <c r="C3413" s="2" t="s">
        <v>8972</v>
      </c>
      <c r="D3413" s="2" t="s">
        <v>10055</v>
      </c>
      <c r="G3413" s="15">
        <v>2.47E-2</v>
      </c>
      <c r="H3413" s="15">
        <v>9.5399999999999999E-2</v>
      </c>
    </row>
    <row r="3414" spans="1:9" x14ac:dyDescent="0.2">
      <c r="A3414" s="2" t="s">
        <v>8973</v>
      </c>
      <c r="B3414" s="2" t="s">
        <v>7007</v>
      </c>
      <c r="C3414" s="2" t="s">
        <v>8974</v>
      </c>
      <c r="D3414" s="2" t="s">
        <v>10055</v>
      </c>
      <c r="E3414" s="15">
        <v>0.1023</v>
      </c>
      <c r="F3414" s="15">
        <v>0.1492</v>
      </c>
      <c r="G3414" s="15">
        <v>-0.21329999999999999</v>
      </c>
      <c r="H3414" s="15">
        <v>0.13900000000000001</v>
      </c>
      <c r="I3414" s="15">
        <v>4.743838008938802E-2</v>
      </c>
    </row>
    <row r="3415" spans="1:9" x14ac:dyDescent="0.2">
      <c r="A3415" s="2" t="s">
        <v>8975</v>
      </c>
      <c r="B3415" s="2" t="s">
        <v>7007</v>
      </c>
      <c r="C3415" s="2" t="s">
        <v>8976</v>
      </c>
      <c r="D3415" s="2" t="s">
        <v>10055</v>
      </c>
      <c r="E3415" s="15">
        <v>-0.13869999999999999</v>
      </c>
      <c r="F3415" s="15">
        <v>0.1162</v>
      </c>
      <c r="G3415" s="15">
        <v>0.1565</v>
      </c>
      <c r="H3415" s="15">
        <v>0.28639999999999999</v>
      </c>
      <c r="I3415" s="15">
        <v>0.1557139965554335</v>
      </c>
    </row>
    <row r="3416" spans="1:9" x14ac:dyDescent="0.2">
      <c r="A3416" s="2" t="s">
        <v>8977</v>
      </c>
      <c r="B3416" s="2" t="s">
        <v>7007</v>
      </c>
      <c r="C3416" s="2" t="s">
        <v>8978</v>
      </c>
      <c r="D3416" s="2" t="s">
        <v>10055</v>
      </c>
      <c r="E3416" s="15">
        <v>0.224</v>
      </c>
      <c r="F3416" s="15">
        <v>0.1724</v>
      </c>
      <c r="G3416" s="15">
        <v>-3.56E-2</v>
      </c>
      <c r="H3416" s="15">
        <v>0.1159</v>
      </c>
      <c r="I3416" s="15">
        <v>2.2623241220453571E-2</v>
      </c>
    </row>
    <row r="3417" spans="1:9" x14ac:dyDescent="0.2">
      <c r="A3417" s="2" t="s">
        <v>8979</v>
      </c>
      <c r="B3417" s="2" t="s">
        <v>7007</v>
      </c>
      <c r="C3417" s="2" t="s">
        <v>8980</v>
      </c>
      <c r="D3417" s="2" t="s">
        <v>10055</v>
      </c>
      <c r="E3417" s="15">
        <v>-9.3600000000000003E-2</v>
      </c>
      <c r="F3417" s="15">
        <v>0.23619999999999999</v>
      </c>
      <c r="G3417" s="15">
        <v>-0.26669999999999999</v>
      </c>
      <c r="H3417" s="15">
        <v>0.47489999999999999</v>
      </c>
    </row>
    <row r="3418" spans="1:9" x14ac:dyDescent="0.2">
      <c r="A3418" s="2" t="s">
        <v>8981</v>
      </c>
      <c r="B3418" s="2" t="s">
        <v>7007</v>
      </c>
      <c r="C3418" s="2" t="s">
        <v>8982</v>
      </c>
      <c r="D3418" s="2" t="s">
        <v>10055</v>
      </c>
      <c r="E3418" s="15">
        <v>-1.7500000000000002E-2</v>
      </c>
      <c r="F3418" s="15">
        <v>0.12820000000000001</v>
      </c>
      <c r="G3418" s="15">
        <v>2.58E-2</v>
      </c>
      <c r="H3418" s="15">
        <v>0.1477</v>
      </c>
      <c r="I3418" s="15">
        <v>0.39703272723090061</v>
      </c>
    </row>
    <row r="3419" spans="1:9" x14ac:dyDescent="0.2">
      <c r="A3419" s="2" t="s">
        <v>8983</v>
      </c>
      <c r="B3419" s="2" t="s">
        <v>7007</v>
      </c>
      <c r="C3419" s="2" t="s">
        <v>8984</v>
      </c>
      <c r="D3419" s="2" t="s">
        <v>10055</v>
      </c>
      <c r="G3419" s="15">
        <v>-0.10050000000000001</v>
      </c>
      <c r="H3419" s="15">
        <v>0.23849999999999999</v>
      </c>
    </row>
    <row r="3420" spans="1:9" x14ac:dyDescent="0.2">
      <c r="A3420" s="2" t="s">
        <v>8985</v>
      </c>
      <c r="B3420" s="2" t="s">
        <v>7007</v>
      </c>
      <c r="C3420" s="2" t="s">
        <v>8986</v>
      </c>
      <c r="D3420" s="2" t="s">
        <v>10055</v>
      </c>
      <c r="E3420" s="15">
        <v>-1.8200000000000001E-2</v>
      </c>
      <c r="F3420" s="15">
        <v>9.2700000000000005E-2</v>
      </c>
      <c r="G3420" s="15">
        <v>-2.06E-2</v>
      </c>
      <c r="H3420" s="15">
        <v>9.8900000000000002E-2</v>
      </c>
      <c r="I3420" s="15">
        <v>0.49171987128101352</v>
      </c>
    </row>
    <row r="3421" spans="1:9" x14ac:dyDescent="0.2">
      <c r="A3421" s="2" t="s">
        <v>8987</v>
      </c>
      <c r="B3421" s="2" t="s">
        <v>7007</v>
      </c>
      <c r="C3421" s="2" t="s">
        <v>8988</v>
      </c>
      <c r="D3421" s="2" t="s">
        <v>10055</v>
      </c>
      <c r="E3421" s="15">
        <v>-0.22900000000000001</v>
      </c>
      <c r="F3421" s="15">
        <v>0.44330000000000003</v>
      </c>
      <c r="G3421" s="15">
        <v>-0.2757</v>
      </c>
      <c r="H3421" s="15">
        <v>0.183</v>
      </c>
      <c r="I3421" s="15">
        <v>0.45134851831741252</v>
      </c>
    </row>
    <row r="3422" spans="1:9" x14ac:dyDescent="0.2">
      <c r="A3422" s="2" t="s">
        <v>8989</v>
      </c>
      <c r="B3422" s="2" t="s">
        <v>7007</v>
      </c>
      <c r="C3422" s="2" t="s">
        <v>8990</v>
      </c>
      <c r="D3422" s="2" t="s">
        <v>10055</v>
      </c>
      <c r="E3422" s="15">
        <v>0.11070000000000001</v>
      </c>
      <c r="F3422" s="15">
        <v>0.16059999999999999</v>
      </c>
      <c r="G3422" s="15">
        <v>-0.26419999999999999</v>
      </c>
      <c r="H3422" s="15">
        <v>0.12139999999999999</v>
      </c>
      <c r="I3422" s="15">
        <v>9.4105715423951422E-3</v>
      </c>
    </row>
    <row r="3423" spans="1:9" x14ac:dyDescent="0.2">
      <c r="A3423" s="2" t="s">
        <v>8991</v>
      </c>
      <c r="B3423" s="2" t="s">
        <v>7007</v>
      </c>
      <c r="C3423" s="2" t="s">
        <v>8992</v>
      </c>
      <c r="D3423" s="2" t="s">
        <v>10055</v>
      </c>
      <c r="G3423" s="15">
        <v>0.28689999999999999</v>
      </c>
      <c r="H3423" s="15">
        <v>0.2296</v>
      </c>
    </row>
    <row r="3424" spans="1:9" x14ac:dyDescent="0.2">
      <c r="A3424" s="2" t="s">
        <v>8993</v>
      </c>
      <c r="B3424" s="2" t="s">
        <v>7007</v>
      </c>
      <c r="C3424" s="2" t="s">
        <v>8994</v>
      </c>
      <c r="D3424" s="2" t="s">
        <v>10055</v>
      </c>
      <c r="E3424" s="15">
        <v>0.26919999999999999</v>
      </c>
      <c r="F3424" s="15">
        <v>0.25559999999999999</v>
      </c>
      <c r="G3424" s="15">
        <v>-0.21879999999999999</v>
      </c>
      <c r="H3424" s="15">
        <v>0.2109</v>
      </c>
      <c r="I3424" s="15">
        <v>5.7033710165220568E-2</v>
      </c>
    </row>
    <row r="3425" spans="1:9" x14ac:dyDescent="0.2">
      <c r="A3425" s="2" t="s">
        <v>8995</v>
      </c>
      <c r="B3425" s="2" t="s">
        <v>7007</v>
      </c>
      <c r="C3425" s="2" t="s">
        <v>8996</v>
      </c>
      <c r="D3425" s="2" t="s">
        <v>10055</v>
      </c>
      <c r="E3425" s="15">
        <v>0.2591</v>
      </c>
      <c r="F3425" s="15">
        <v>0.21929999999999999</v>
      </c>
      <c r="G3425" s="15">
        <v>8.3699999999999997E-2</v>
      </c>
      <c r="H3425" s="15">
        <v>0.11269999999999999</v>
      </c>
      <c r="I3425" s="15">
        <v>8.5703512441311969E-2</v>
      </c>
    </row>
    <row r="3426" spans="1:9" x14ac:dyDescent="0.2">
      <c r="A3426" s="2" t="s">
        <v>8997</v>
      </c>
      <c r="B3426" s="2" t="s">
        <v>7007</v>
      </c>
      <c r="C3426" s="2" t="s">
        <v>8998</v>
      </c>
      <c r="D3426" s="2" t="s">
        <v>10055</v>
      </c>
      <c r="E3426" s="15">
        <v>0.37880000000000003</v>
      </c>
      <c r="F3426" s="15">
        <v>0.17299999999999999</v>
      </c>
    </row>
    <row r="3427" spans="1:9" x14ac:dyDescent="0.2">
      <c r="A3427" s="2" t="s">
        <v>8999</v>
      </c>
      <c r="B3427" s="2" t="s">
        <v>7007</v>
      </c>
      <c r="C3427" s="2" t="s">
        <v>9000</v>
      </c>
      <c r="D3427" s="2" t="s">
        <v>10055</v>
      </c>
      <c r="E3427" s="15">
        <v>9.3799999999999994E-2</v>
      </c>
      <c r="F3427" s="15">
        <v>0.1188</v>
      </c>
      <c r="G3427" s="15">
        <v>2.4199999999999999E-2</v>
      </c>
      <c r="H3427" s="15">
        <v>0.12429999999999999</v>
      </c>
      <c r="I3427" s="15">
        <v>0.31145467961379492</v>
      </c>
    </row>
    <row r="3428" spans="1:9" x14ac:dyDescent="0.2">
      <c r="A3428" s="2" t="s">
        <v>9001</v>
      </c>
      <c r="B3428" s="2" t="s">
        <v>7007</v>
      </c>
      <c r="C3428" s="2" t="s">
        <v>9002</v>
      </c>
      <c r="D3428" s="2" t="s">
        <v>10055</v>
      </c>
    </row>
    <row r="3429" spans="1:9" x14ac:dyDescent="0.2">
      <c r="A3429" s="2" t="s">
        <v>9003</v>
      </c>
      <c r="B3429" s="2" t="s">
        <v>7007</v>
      </c>
      <c r="C3429" s="2" t="s">
        <v>9004</v>
      </c>
      <c r="D3429" s="2" t="s">
        <v>10055</v>
      </c>
      <c r="E3429" s="15">
        <v>9.8699999999999996E-2</v>
      </c>
      <c r="F3429" s="15">
        <v>0.10929999999999999</v>
      </c>
    </row>
    <row r="3430" spans="1:9" x14ac:dyDescent="0.2">
      <c r="A3430" s="2" t="s">
        <v>9005</v>
      </c>
      <c r="B3430" s="2" t="s">
        <v>7007</v>
      </c>
      <c r="C3430" s="2" t="s">
        <v>9006</v>
      </c>
      <c r="D3430" s="2" t="s">
        <v>10055</v>
      </c>
    </row>
    <row r="3431" spans="1:9" x14ac:dyDescent="0.2">
      <c r="A3431" s="2" t="s">
        <v>9007</v>
      </c>
      <c r="B3431" s="2" t="s">
        <v>7007</v>
      </c>
      <c r="C3431" s="2" t="s">
        <v>9008</v>
      </c>
      <c r="D3431" s="2" t="s">
        <v>10055</v>
      </c>
      <c r="E3431" s="15">
        <v>0.15010000000000001</v>
      </c>
      <c r="F3431" s="15">
        <v>0.12790000000000001</v>
      </c>
      <c r="G3431" s="15">
        <v>7.8100000000000003E-2</v>
      </c>
      <c r="H3431" s="15">
        <v>8.4400000000000003E-2</v>
      </c>
      <c r="I3431" s="15">
        <v>0.2404003978000688</v>
      </c>
    </row>
    <row r="3432" spans="1:9" x14ac:dyDescent="0.2">
      <c r="A3432" s="2" t="s">
        <v>9009</v>
      </c>
      <c r="B3432" s="2" t="s">
        <v>7007</v>
      </c>
      <c r="C3432" s="2" t="s">
        <v>9010</v>
      </c>
      <c r="D3432" s="2" t="s">
        <v>10055</v>
      </c>
      <c r="E3432" s="15">
        <v>0.20660000000000001</v>
      </c>
      <c r="F3432" s="15">
        <v>0.18809999999999999</v>
      </c>
      <c r="G3432" s="15">
        <v>-1.6199999999999999E-2</v>
      </c>
      <c r="H3432" s="15">
        <v>0.1893</v>
      </c>
      <c r="I3432" s="15">
        <v>0.13097620753182959</v>
      </c>
    </row>
    <row r="3433" spans="1:9" x14ac:dyDescent="0.2">
      <c r="A3433" s="2" t="s">
        <v>9011</v>
      </c>
      <c r="B3433" s="2" t="s">
        <v>7007</v>
      </c>
      <c r="C3433" s="2" t="s">
        <v>9012</v>
      </c>
      <c r="D3433" s="2" t="s">
        <v>10055</v>
      </c>
      <c r="E3433" s="15">
        <v>-2.3300000000000001E-2</v>
      </c>
      <c r="F3433" s="15">
        <v>0.1062</v>
      </c>
      <c r="G3433" s="15">
        <v>0.1002</v>
      </c>
      <c r="H3433" s="15">
        <v>0.2293</v>
      </c>
      <c r="I3433" s="15">
        <v>0.30192047521826493</v>
      </c>
    </row>
    <row r="3434" spans="1:9" x14ac:dyDescent="0.2">
      <c r="A3434" s="2" t="s">
        <v>9013</v>
      </c>
      <c r="B3434" s="2" t="s">
        <v>7007</v>
      </c>
      <c r="C3434" s="2" t="s">
        <v>9014</v>
      </c>
      <c r="D3434" s="2" t="s">
        <v>10055</v>
      </c>
      <c r="E3434" s="15">
        <v>-1.61E-2</v>
      </c>
      <c r="F3434" s="15">
        <v>0.14180000000000001</v>
      </c>
    </row>
    <row r="3435" spans="1:9" x14ac:dyDescent="0.2">
      <c r="A3435" s="2" t="s">
        <v>9015</v>
      </c>
      <c r="B3435" s="2" t="s">
        <v>7007</v>
      </c>
      <c r="C3435" s="2" t="s">
        <v>9016</v>
      </c>
      <c r="D3435" s="2" t="s">
        <v>10055</v>
      </c>
      <c r="E3435" s="15">
        <v>4.48E-2</v>
      </c>
      <c r="F3435" s="15">
        <v>0.129</v>
      </c>
      <c r="G3435" s="15">
        <v>0.1057</v>
      </c>
      <c r="H3435" s="15">
        <v>0.26250000000000001</v>
      </c>
      <c r="I3435" s="15">
        <v>0.41735892462498209</v>
      </c>
    </row>
    <row r="3436" spans="1:9" x14ac:dyDescent="0.2">
      <c r="A3436" s="2" t="s">
        <v>9017</v>
      </c>
      <c r="B3436" s="2" t="s">
        <v>7007</v>
      </c>
      <c r="C3436" s="2" t="s">
        <v>9018</v>
      </c>
      <c r="D3436" s="2" t="s">
        <v>10055</v>
      </c>
      <c r="E3436" s="15">
        <v>0.11849999999999999</v>
      </c>
      <c r="F3436" s="15">
        <v>0.14449999999999999</v>
      </c>
    </row>
    <row r="3437" spans="1:9" x14ac:dyDescent="0.2">
      <c r="A3437" s="2" t="s">
        <v>9019</v>
      </c>
      <c r="B3437" s="2" t="s">
        <v>7007</v>
      </c>
      <c r="C3437" s="2" t="s">
        <v>9020</v>
      </c>
      <c r="D3437" s="2" t="s">
        <v>10055</v>
      </c>
      <c r="E3437" s="15">
        <v>-0.1293</v>
      </c>
      <c r="F3437" s="15">
        <v>0.20130000000000001</v>
      </c>
      <c r="G3437" s="15">
        <v>9.1600000000000001E-2</v>
      </c>
      <c r="H3437" s="15">
        <v>0.1666</v>
      </c>
      <c r="I3437" s="15">
        <v>0.1108257228225043</v>
      </c>
    </row>
    <row r="3438" spans="1:9" x14ac:dyDescent="0.2">
      <c r="A3438" s="2" t="s">
        <v>9021</v>
      </c>
      <c r="B3438" s="2" t="s">
        <v>7007</v>
      </c>
      <c r="C3438" s="2" t="s">
        <v>9022</v>
      </c>
      <c r="D3438" s="2" t="s">
        <v>10055</v>
      </c>
      <c r="E3438" s="15">
        <v>4.7100000000000003E-2</v>
      </c>
      <c r="F3438" s="15">
        <v>0.1158</v>
      </c>
    </row>
    <row r="3439" spans="1:9" x14ac:dyDescent="0.2">
      <c r="A3439" s="2" t="s">
        <v>9023</v>
      </c>
      <c r="B3439" s="2" t="s">
        <v>7007</v>
      </c>
      <c r="C3439" s="2" t="s">
        <v>9024</v>
      </c>
      <c r="D3439" s="2" t="s">
        <v>10055</v>
      </c>
      <c r="G3439" s="15">
        <v>-6.1600000000000002E-2</v>
      </c>
      <c r="H3439" s="15">
        <v>0.1351</v>
      </c>
    </row>
    <row r="3440" spans="1:9" x14ac:dyDescent="0.2">
      <c r="A3440" s="2" t="s">
        <v>9025</v>
      </c>
      <c r="B3440" s="2" t="s">
        <v>7007</v>
      </c>
      <c r="C3440" s="2" t="s">
        <v>9026</v>
      </c>
      <c r="D3440" s="2" t="s">
        <v>10055</v>
      </c>
      <c r="E3440" s="15">
        <v>-0.1239</v>
      </c>
      <c r="F3440" s="15">
        <v>0.15659999999999999</v>
      </c>
      <c r="G3440" s="15">
        <v>8.0399999999999999E-2</v>
      </c>
      <c r="H3440" s="15">
        <v>0.3291</v>
      </c>
      <c r="I3440" s="15">
        <v>0.28132174838156782</v>
      </c>
    </row>
    <row r="3441" spans="1:9" x14ac:dyDescent="0.2">
      <c r="A3441" s="2" t="s">
        <v>9027</v>
      </c>
      <c r="B3441" s="2" t="s">
        <v>7007</v>
      </c>
      <c r="C3441" s="2" t="s">
        <v>9028</v>
      </c>
      <c r="D3441" s="2" t="s">
        <v>10055</v>
      </c>
      <c r="E3441" s="15">
        <v>-2.47E-2</v>
      </c>
      <c r="F3441" s="15">
        <v>0.10299999999999999</v>
      </c>
      <c r="G3441" s="15">
        <v>8.4699999999999998E-2</v>
      </c>
      <c r="H3441" s="15">
        <v>8.6300000000000002E-2</v>
      </c>
      <c r="I3441" s="15">
        <v>0.13792627254024439</v>
      </c>
    </row>
    <row r="3442" spans="1:9" x14ac:dyDescent="0.2">
      <c r="A3442" s="2" t="s">
        <v>9029</v>
      </c>
      <c r="B3442" s="2" t="s">
        <v>7007</v>
      </c>
      <c r="C3442" s="2" t="s">
        <v>9030</v>
      </c>
      <c r="D3442" s="2" t="s">
        <v>10055</v>
      </c>
      <c r="G3442" s="15">
        <v>0.1109</v>
      </c>
      <c r="H3442" s="15">
        <v>0.32019999999999998</v>
      </c>
    </row>
    <row r="3443" spans="1:9" x14ac:dyDescent="0.2">
      <c r="A3443" s="2" t="s">
        <v>9031</v>
      </c>
      <c r="B3443" s="2" t="s">
        <v>7007</v>
      </c>
      <c r="C3443" s="2" t="s">
        <v>9032</v>
      </c>
      <c r="D3443" s="2" t="s">
        <v>10055</v>
      </c>
    </row>
    <row r="3444" spans="1:9" x14ac:dyDescent="0.2">
      <c r="A3444" s="2" t="s">
        <v>9033</v>
      </c>
      <c r="B3444" s="2" t="s">
        <v>7007</v>
      </c>
      <c r="C3444" s="2" t="s">
        <v>9034</v>
      </c>
      <c r="D3444" s="2" t="s">
        <v>10055</v>
      </c>
      <c r="E3444" s="15">
        <v>-6.1199999999999997E-2</v>
      </c>
      <c r="F3444" s="15">
        <v>9.8699999999999996E-2</v>
      </c>
      <c r="G3444" s="15">
        <v>7.7600000000000002E-2</v>
      </c>
      <c r="H3444" s="15">
        <v>0.1283</v>
      </c>
      <c r="I3444" s="15">
        <v>0.16434992281343641</v>
      </c>
    </row>
    <row r="3445" spans="1:9" x14ac:dyDescent="0.2">
      <c r="A3445" s="2" t="s">
        <v>9035</v>
      </c>
      <c r="B3445" s="2" t="s">
        <v>7007</v>
      </c>
      <c r="C3445" s="2" t="s">
        <v>9036</v>
      </c>
      <c r="D3445" s="2" t="s">
        <v>10055</v>
      </c>
      <c r="E3445" s="15">
        <v>-0.1522</v>
      </c>
      <c r="F3445" s="15">
        <v>0.1071</v>
      </c>
      <c r="G3445" s="15">
        <v>-4.5199999999999997E-2</v>
      </c>
      <c r="H3445" s="15">
        <v>0.1128</v>
      </c>
      <c r="I3445" s="15">
        <v>0.20281802865972551</v>
      </c>
    </row>
    <row r="3446" spans="1:9" x14ac:dyDescent="0.2">
      <c r="A3446" s="2" t="s">
        <v>9037</v>
      </c>
      <c r="B3446" s="2" t="s">
        <v>7007</v>
      </c>
      <c r="C3446" s="2" t="s">
        <v>9038</v>
      </c>
      <c r="D3446" s="2" t="s">
        <v>10055</v>
      </c>
      <c r="G3446" s="15">
        <v>8.6400000000000005E-2</v>
      </c>
      <c r="H3446" s="15">
        <v>0.21579999999999999</v>
      </c>
    </row>
    <row r="3447" spans="1:9" x14ac:dyDescent="0.2">
      <c r="A3447" s="2" t="s">
        <v>9039</v>
      </c>
      <c r="B3447" s="2" t="s">
        <v>7007</v>
      </c>
      <c r="C3447" s="2" t="s">
        <v>9040</v>
      </c>
      <c r="D3447" s="2" t="s">
        <v>10055</v>
      </c>
      <c r="G3447" s="15">
        <v>0.15210000000000001</v>
      </c>
      <c r="H3447" s="15">
        <v>0.1439</v>
      </c>
    </row>
    <row r="3448" spans="1:9" x14ac:dyDescent="0.2">
      <c r="A3448" s="2" t="s">
        <v>9041</v>
      </c>
      <c r="B3448" s="2" t="s">
        <v>7007</v>
      </c>
      <c r="C3448" s="2" t="s">
        <v>9042</v>
      </c>
      <c r="D3448" s="2" t="s">
        <v>10055</v>
      </c>
      <c r="E3448" s="15">
        <v>-0.17280000000000001</v>
      </c>
      <c r="F3448" s="15">
        <v>0.2107</v>
      </c>
      <c r="G3448" s="15">
        <v>6.8699999999999997E-2</v>
      </c>
      <c r="H3448" s="15">
        <v>0.30659999999999998</v>
      </c>
      <c r="I3448" s="15">
        <v>0.2253336266081398</v>
      </c>
    </row>
    <row r="3449" spans="1:9" x14ac:dyDescent="0.2">
      <c r="A3449" s="2" t="s">
        <v>9043</v>
      </c>
      <c r="B3449" s="2" t="s">
        <v>7007</v>
      </c>
      <c r="C3449" s="2" t="s">
        <v>9044</v>
      </c>
      <c r="D3449" s="2" t="s">
        <v>10055</v>
      </c>
      <c r="E3449" s="15">
        <v>-0.1118</v>
      </c>
      <c r="F3449" s="15">
        <v>0.15490000000000001</v>
      </c>
      <c r="G3449" s="15">
        <v>-8.1000000000000003E-2</v>
      </c>
      <c r="H3449" s="15">
        <v>8.5300000000000001E-2</v>
      </c>
      <c r="I3449" s="15">
        <v>0.38430479709313081</v>
      </c>
    </row>
    <row r="3450" spans="1:9" x14ac:dyDescent="0.2">
      <c r="A3450" s="2" t="s">
        <v>9045</v>
      </c>
      <c r="B3450" s="2" t="s">
        <v>7007</v>
      </c>
      <c r="C3450" s="2" t="s">
        <v>9046</v>
      </c>
      <c r="D3450" s="2" t="s">
        <v>10055</v>
      </c>
      <c r="E3450" s="15">
        <v>-0.17249999999999999</v>
      </c>
      <c r="F3450" s="15">
        <v>0.17499999999999999</v>
      </c>
      <c r="G3450" s="15">
        <v>-0.14169999999999999</v>
      </c>
      <c r="H3450" s="15">
        <v>0.1913</v>
      </c>
    </row>
    <row r="3451" spans="1:9" x14ac:dyDescent="0.2">
      <c r="A3451" s="2" t="s">
        <v>9047</v>
      </c>
      <c r="B3451" s="2" t="s">
        <v>7007</v>
      </c>
      <c r="C3451" s="2" t="s">
        <v>9048</v>
      </c>
      <c r="D3451" s="2" t="s">
        <v>10055</v>
      </c>
      <c r="E3451" s="15">
        <v>0.159</v>
      </c>
      <c r="F3451" s="15">
        <v>0.104</v>
      </c>
      <c r="G3451" s="15">
        <v>-2.3099999999999999E-2</v>
      </c>
      <c r="H3451" s="15">
        <v>0.18090000000000001</v>
      </c>
      <c r="I3451" s="15">
        <v>0.1695157926956978</v>
      </c>
    </row>
    <row r="3452" spans="1:9" x14ac:dyDescent="0.2">
      <c r="A3452" s="2" t="s">
        <v>9049</v>
      </c>
      <c r="B3452" s="2" t="s">
        <v>7007</v>
      </c>
      <c r="C3452" s="2" t="s">
        <v>9050</v>
      </c>
      <c r="D3452" s="2" t="s">
        <v>10055</v>
      </c>
      <c r="E3452" s="15">
        <v>1.8599999999999998E-2</v>
      </c>
      <c r="F3452" s="15">
        <v>0.21890000000000001</v>
      </c>
      <c r="G3452" s="15">
        <v>0.13919999999999999</v>
      </c>
      <c r="H3452" s="15">
        <v>0.23619999999999999</v>
      </c>
      <c r="I3452" s="15">
        <v>0.34697693148635178</v>
      </c>
    </row>
    <row r="3453" spans="1:9" x14ac:dyDescent="0.2">
      <c r="A3453" s="2" t="s">
        <v>9051</v>
      </c>
      <c r="B3453" s="2" t="s">
        <v>7007</v>
      </c>
      <c r="C3453" s="2" t="s">
        <v>9052</v>
      </c>
      <c r="D3453" s="2" t="s">
        <v>10055</v>
      </c>
      <c r="E3453" s="15">
        <v>-0.23730000000000001</v>
      </c>
      <c r="F3453" s="15">
        <v>0.12239999999999999</v>
      </c>
      <c r="G3453" s="15">
        <v>-0.26850000000000002</v>
      </c>
      <c r="H3453" s="15">
        <v>0.26850000000000002</v>
      </c>
      <c r="I3453" s="15">
        <v>0.45828513204692722</v>
      </c>
    </row>
    <row r="3454" spans="1:9" x14ac:dyDescent="0.2">
      <c r="A3454" s="2" t="s">
        <v>9053</v>
      </c>
      <c r="B3454" s="2" t="s">
        <v>7007</v>
      </c>
      <c r="C3454" s="2" t="s">
        <v>9054</v>
      </c>
      <c r="D3454" s="2" t="s">
        <v>10055</v>
      </c>
      <c r="G3454" s="15">
        <v>7.9299999999999995E-2</v>
      </c>
      <c r="H3454" s="15">
        <v>0.1192</v>
      </c>
    </row>
    <row r="3455" spans="1:9" x14ac:dyDescent="0.2">
      <c r="A3455" s="2" t="s">
        <v>9055</v>
      </c>
      <c r="B3455" s="2" t="s">
        <v>7007</v>
      </c>
      <c r="C3455" s="2" t="s">
        <v>9056</v>
      </c>
      <c r="D3455" s="2" t="s">
        <v>10055</v>
      </c>
      <c r="E3455" s="15">
        <v>-1.21E-2</v>
      </c>
      <c r="F3455" s="15">
        <v>0.16300000000000001</v>
      </c>
      <c r="G3455" s="15">
        <v>-9.5500000000000002E-2</v>
      </c>
      <c r="H3455" s="15">
        <v>0.25769999999999998</v>
      </c>
      <c r="I3455" s="15">
        <v>0.40071358827100922</v>
      </c>
    </row>
    <row r="3456" spans="1:9" x14ac:dyDescent="0.2">
      <c r="A3456" s="2" t="s">
        <v>9057</v>
      </c>
      <c r="B3456" s="2" t="s">
        <v>7007</v>
      </c>
      <c r="C3456" s="2" t="s">
        <v>9058</v>
      </c>
      <c r="D3456" s="2" t="s">
        <v>10055</v>
      </c>
      <c r="E3456" s="15">
        <v>-0.28870000000000001</v>
      </c>
      <c r="F3456" s="15">
        <v>0.16800000000000001</v>
      </c>
      <c r="G3456" s="15">
        <v>-0.1004</v>
      </c>
      <c r="H3456" s="15">
        <v>0.25940000000000002</v>
      </c>
      <c r="I3456" s="15">
        <v>0.24874202797557979</v>
      </c>
    </row>
    <row r="3457" spans="1:9" x14ac:dyDescent="0.2">
      <c r="A3457" s="2" t="s">
        <v>9059</v>
      </c>
      <c r="B3457" s="2" t="s">
        <v>7007</v>
      </c>
      <c r="C3457" s="2" t="s">
        <v>9060</v>
      </c>
      <c r="D3457" s="2" t="s">
        <v>10055</v>
      </c>
      <c r="E3457" s="15">
        <v>-6.8400000000000002E-2</v>
      </c>
      <c r="F3457" s="15">
        <v>0.1036</v>
      </c>
      <c r="G3457" s="15">
        <v>-6.3E-2</v>
      </c>
      <c r="H3457" s="15">
        <v>0.1646</v>
      </c>
      <c r="I3457" s="15">
        <v>0.48796825655057657</v>
      </c>
    </row>
    <row r="3458" spans="1:9" x14ac:dyDescent="0.2">
      <c r="A3458" s="2" t="s">
        <v>9061</v>
      </c>
      <c r="B3458" s="2" t="s">
        <v>7007</v>
      </c>
      <c r="C3458" s="2" t="s">
        <v>9062</v>
      </c>
      <c r="D3458" s="2" t="s">
        <v>10055</v>
      </c>
      <c r="E3458" s="15">
        <v>-4.2999999999999997E-2</v>
      </c>
      <c r="F3458" s="15">
        <v>0.1361</v>
      </c>
      <c r="G3458" s="15">
        <v>-0.42620000000000002</v>
      </c>
      <c r="H3458" s="15">
        <v>0.44019999999999998</v>
      </c>
      <c r="I3458" s="15">
        <v>0.1959792925342404</v>
      </c>
    </row>
    <row r="3459" spans="1:9" x14ac:dyDescent="0.2">
      <c r="A3459" s="2" t="s">
        <v>9063</v>
      </c>
      <c r="B3459" s="2" t="s">
        <v>7007</v>
      </c>
      <c r="C3459" s="2" t="s">
        <v>9064</v>
      </c>
      <c r="D3459" s="2" t="s">
        <v>10055</v>
      </c>
      <c r="E3459" s="15">
        <v>-0.22489999999999999</v>
      </c>
      <c r="F3459" s="15">
        <v>0.26910000000000001</v>
      </c>
      <c r="G3459" s="15">
        <v>-0.115</v>
      </c>
      <c r="H3459" s="15">
        <v>0.19259999999999999</v>
      </c>
      <c r="I3459" s="15">
        <v>0.3055291788707456</v>
      </c>
    </row>
    <row r="3460" spans="1:9" x14ac:dyDescent="0.2">
      <c r="A3460" s="2" t="s">
        <v>9065</v>
      </c>
      <c r="B3460" s="2" t="s">
        <v>7007</v>
      </c>
      <c r="C3460" s="2" t="s">
        <v>9066</v>
      </c>
      <c r="D3460" s="2" t="s">
        <v>10055</v>
      </c>
    </row>
    <row r="3461" spans="1:9" x14ac:dyDescent="0.2">
      <c r="A3461" s="2" t="s">
        <v>9067</v>
      </c>
      <c r="B3461" s="2" t="s">
        <v>7007</v>
      </c>
      <c r="C3461" s="2" t="s">
        <v>9068</v>
      </c>
      <c r="D3461" s="2" t="s">
        <v>10055</v>
      </c>
      <c r="G3461" s="15">
        <v>-5.6000000000000001E-2</v>
      </c>
      <c r="H3461" s="15">
        <v>0.15060000000000001</v>
      </c>
    </row>
    <row r="3462" spans="1:9" x14ac:dyDescent="0.2">
      <c r="A3462" s="2" t="s">
        <v>9069</v>
      </c>
      <c r="B3462" s="2" t="s">
        <v>7007</v>
      </c>
      <c r="C3462" s="2" t="s">
        <v>9070</v>
      </c>
      <c r="D3462" s="2" t="s">
        <v>10055</v>
      </c>
      <c r="E3462" s="15">
        <v>-0.13669999999999999</v>
      </c>
      <c r="F3462" s="15">
        <v>0.19650000000000001</v>
      </c>
    </row>
    <row r="3463" spans="1:9" x14ac:dyDescent="0.2">
      <c r="A3463" s="2" t="s">
        <v>9071</v>
      </c>
      <c r="B3463" s="2" t="s">
        <v>7007</v>
      </c>
      <c r="C3463" s="2" t="s">
        <v>9072</v>
      </c>
      <c r="D3463" s="2" t="s">
        <v>10055</v>
      </c>
      <c r="E3463" s="15">
        <v>-6.2600000000000003E-2</v>
      </c>
      <c r="F3463" s="15">
        <v>0.1875</v>
      </c>
      <c r="G3463" s="15">
        <v>0.1007</v>
      </c>
      <c r="H3463" s="15">
        <v>0.34939999999999999</v>
      </c>
      <c r="I3463" s="15">
        <v>0.3458786556706519</v>
      </c>
    </row>
    <row r="3464" spans="1:9" x14ac:dyDescent="0.2">
      <c r="A3464" s="2" t="s">
        <v>9073</v>
      </c>
      <c r="B3464" s="2" t="s">
        <v>7007</v>
      </c>
      <c r="C3464" s="2" t="s">
        <v>9074</v>
      </c>
      <c r="D3464" s="2" t="s">
        <v>10055</v>
      </c>
      <c r="E3464" s="15">
        <v>-0.13</v>
      </c>
      <c r="F3464" s="15">
        <v>0.1111</v>
      </c>
      <c r="G3464" s="15">
        <v>0.16769999999999999</v>
      </c>
      <c r="H3464" s="15">
        <v>0.11119999999999999</v>
      </c>
      <c r="I3464" s="15">
        <v>7.9224327814643135E-3</v>
      </c>
    </row>
    <row r="3465" spans="1:9" x14ac:dyDescent="0.2">
      <c r="A3465" s="2" t="s">
        <v>9075</v>
      </c>
      <c r="B3465" s="2" t="s">
        <v>7007</v>
      </c>
      <c r="C3465" s="2" t="s">
        <v>9076</v>
      </c>
      <c r="D3465" s="2" t="s">
        <v>10055</v>
      </c>
      <c r="E3465" s="15">
        <v>0.1789</v>
      </c>
      <c r="F3465" s="15">
        <v>8.7599999999999997E-2</v>
      </c>
      <c r="G3465" s="15">
        <v>8.0600000000000005E-2</v>
      </c>
      <c r="H3465" s="15">
        <v>0.12330000000000001</v>
      </c>
      <c r="I3465" s="15">
        <v>0.23651528189672741</v>
      </c>
    </row>
    <row r="3466" spans="1:9" x14ac:dyDescent="0.2">
      <c r="A3466" s="2" t="s">
        <v>9077</v>
      </c>
      <c r="B3466" s="2" t="s">
        <v>7007</v>
      </c>
      <c r="C3466" s="2" t="s">
        <v>9078</v>
      </c>
      <c r="D3466" s="2" t="s">
        <v>10055</v>
      </c>
      <c r="E3466" s="15">
        <v>-6.2600000000000003E-2</v>
      </c>
      <c r="F3466" s="15">
        <v>0.19059999999999999</v>
      </c>
      <c r="G3466" s="15">
        <v>5.3600000000000002E-2</v>
      </c>
      <c r="H3466" s="15">
        <v>0.25140000000000001</v>
      </c>
    </row>
    <row r="3467" spans="1:9" x14ac:dyDescent="0.2">
      <c r="A3467" s="2" t="s">
        <v>9079</v>
      </c>
      <c r="B3467" s="2" t="s">
        <v>7007</v>
      </c>
      <c r="C3467" s="2" t="s">
        <v>9080</v>
      </c>
      <c r="D3467" s="2" t="s">
        <v>10055</v>
      </c>
      <c r="E3467" s="15">
        <v>-0.19009999999999999</v>
      </c>
      <c r="F3467" s="15">
        <v>0.10929999999999999</v>
      </c>
      <c r="G3467" s="15">
        <v>0.1419</v>
      </c>
      <c r="H3467" s="15">
        <v>0.11990000000000001</v>
      </c>
      <c r="I3467" s="15">
        <v>9.7436183863992831E-3</v>
      </c>
    </row>
    <row r="3468" spans="1:9" x14ac:dyDescent="0.2">
      <c r="A3468" s="2" t="s">
        <v>9081</v>
      </c>
      <c r="B3468" s="2" t="s">
        <v>7007</v>
      </c>
      <c r="C3468" s="2" t="s">
        <v>9082</v>
      </c>
      <c r="D3468" s="2" t="s">
        <v>10055</v>
      </c>
      <c r="G3468" s="15">
        <v>0.38490000000000002</v>
      </c>
      <c r="H3468" s="15">
        <v>0.5958</v>
      </c>
    </row>
    <row r="3469" spans="1:9" x14ac:dyDescent="0.2">
      <c r="A3469" s="2" t="s">
        <v>9083</v>
      </c>
      <c r="B3469" s="2" t="s">
        <v>7007</v>
      </c>
      <c r="C3469" s="2" t="s">
        <v>9084</v>
      </c>
      <c r="D3469" s="2" t="s">
        <v>10055</v>
      </c>
      <c r="E3469" s="15">
        <v>-0.10630000000000001</v>
      </c>
      <c r="F3469" s="15">
        <v>0.123</v>
      </c>
    </row>
    <row r="3470" spans="1:9" x14ac:dyDescent="0.2">
      <c r="A3470" s="2" t="s">
        <v>9085</v>
      </c>
      <c r="B3470" s="2" t="s">
        <v>7007</v>
      </c>
      <c r="C3470" s="2" t="s">
        <v>9086</v>
      </c>
      <c r="D3470" s="2" t="s">
        <v>10055</v>
      </c>
      <c r="E3470" s="15">
        <v>0.18390000000000001</v>
      </c>
      <c r="F3470" s="15">
        <v>0.1012</v>
      </c>
      <c r="G3470" s="15">
        <v>0.1431</v>
      </c>
      <c r="H3470" s="15">
        <v>0.1014</v>
      </c>
      <c r="I3470" s="15">
        <v>0.35446898099184548</v>
      </c>
    </row>
    <row r="3471" spans="1:9" x14ac:dyDescent="0.2">
      <c r="A3471" s="2" t="s">
        <v>9087</v>
      </c>
      <c r="B3471" s="2" t="s">
        <v>7007</v>
      </c>
      <c r="C3471" s="2" t="s">
        <v>9088</v>
      </c>
      <c r="D3471" s="2" t="s">
        <v>10055</v>
      </c>
    </row>
    <row r="3472" spans="1:9" x14ac:dyDescent="0.2">
      <c r="A3472" s="2" t="s">
        <v>9089</v>
      </c>
      <c r="B3472" s="2" t="s">
        <v>7007</v>
      </c>
      <c r="C3472" s="2" t="s">
        <v>9090</v>
      </c>
      <c r="D3472" s="2" t="s">
        <v>10055</v>
      </c>
      <c r="E3472" s="15">
        <v>4.1000000000000003E-3</v>
      </c>
      <c r="F3472" s="15">
        <v>0.27089999999999997</v>
      </c>
      <c r="G3472" s="15">
        <v>-0.13159999999999999</v>
      </c>
      <c r="H3472" s="15">
        <v>0.19850000000000001</v>
      </c>
      <c r="I3472" s="15">
        <v>0.25903247026058718</v>
      </c>
    </row>
    <row r="3473" spans="1:9" x14ac:dyDescent="0.2">
      <c r="A3473" s="2" t="s">
        <v>9091</v>
      </c>
      <c r="B3473" s="2" t="s">
        <v>7007</v>
      </c>
      <c r="C3473" s="2" t="s">
        <v>9092</v>
      </c>
      <c r="D3473" s="2" t="s">
        <v>10055</v>
      </c>
    </row>
    <row r="3474" spans="1:9" x14ac:dyDescent="0.2">
      <c r="A3474" s="2" t="s">
        <v>9093</v>
      </c>
      <c r="B3474" s="2" t="s">
        <v>7007</v>
      </c>
      <c r="C3474" s="2" t="s">
        <v>9094</v>
      </c>
      <c r="D3474" s="2" t="s">
        <v>10055</v>
      </c>
      <c r="E3474" s="15">
        <v>9.9500000000000005E-2</v>
      </c>
      <c r="F3474" s="15">
        <v>0.1128</v>
      </c>
      <c r="G3474" s="15">
        <v>-0.14050000000000001</v>
      </c>
      <c r="H3474" s="15">
        <v>0.21590000000000001</v>
      </c>
      <c r="I3474" s="15">
        <v>0.14492810622079499</v>
      </c>
    </row>
    <row r="3475" spans="1:9" x14ac:dyDescent="0.2">
      <c r="A3475" s="2" t="s">
        <v>9095</v>
      </c>
      <c r="B3475" s="2" t="s">
        <v>7007</v>
      </c>
      <c r="C3475" s="2" t="s">
        <v>9096</v>
      </c>
      <c r="D3475" s="2" t="s">
        <v>10055</v>
      </c>
      <c r="E3475" s="15">
        <v>-0.1575</v>
      </c>
      <c r="F3475" s="15">
        <v>0.14990000000000001</v>
      </c>
      <c r="G3475" s="15">
        <v>0.19370000000000001</v>
      </c>
      <c r="H3475" s="15">
        <v>0.1111</v>
      </c>
      <c r="I3475" s="15">
        <v>2.9054788031811891E-3</v>
      </c>
    </row>
    <row r="3476" spans="1:9" x14ac:dyDescent="0.2">
      <c r="A3476" s="2" t="s">
        <v>9097</v>
      </c>
      <c r="B3476" s="2" t="s">
        <v>7007</v>
      </c>
      <c r="C3476" s="2" t="s">
        <v>9098</v>
      </c>
      <c r="D3476" s="2" t="s">
        <v>10055</v>
      </c>
      <c r="E3476" s="15">
        <v>9.5200000000000007E-2</v>
      </c>
      <c r="F3476" s="15">
        <v>7.6600000000000001E-2</v>
      </c>
      <c r="G3476" s="15">
        <v>0.1396</v>
      </c>
      <c r="H3476" s="15">
        <v>7.8799999999999995E-2</v>
      </c>
      <c r="I3476" s="15">
        <v>0.30997506875779141</v>
      </c>
    </row>
    <row r="3477" spans="1:9" x14ac:dyDescent="0.2">
      <c r="A3477" s="2" t="s">
        <v>9099</v>
      </c>
      <c r="B3477" s="2" t="s">
        <v>7007</v>
      </c>
      <c r="C3477" s="2" t="s">
        <v>9100</v>
      </c>
      <c r="D3477" s="2" t="s">
        <v>10055</v>
      </c>
      <c r="E3477" s="15">
        <v>0.20230000000000001</v>
      </c>
      <c r="F3477" s="15">
        <v>0.1741</v>
      </c>
      <c r="G3477" s="15">
        <v>5.67E-2</v>
      </c>
      <c r="H3477" s="15">
        <v>0.10299999999999999</v>
      </c>
      <c r="I3477" s="15">
        <v>0.1043861438253523</v>
      </c>
    </row>
    <row r="3478" spans="1:9" x14ac:dyDescent="0.2">
      <c r="A3478" s="2" t="s">
        <v>9101</v>
      </c>
      <c r="B3478" s="2" t="s">
        <v>7007</v>
      </c>
      <c r="C3478" s="2" t="s">
        <v>9102</v>
      </c>
      <c r="D3478" s="2" t="s">
        <v>10055</v>
      </c>
      <c r="E3478" s="15">
        <v>0.2787</v>
      </c>
      <c r="F3478" s="15">
        <v>0.25530000000000003</v>
      </c>
      <c r="G3478" s="15">
        <v>0.38700000000000001</v>
      </c>
      <c r="H3478" s="15">
        <v>0.5101</v>
      </c>
      <c r="I3478" s="15">
        <v>0.41746457836637418</v>
      </c>
    </row>
    <row r="3479" spans="1:9" x14ac:dyDescent="0.2">
      <c r="A3479" s="2" t="s">
        <v>9103</v>
      </c>
      <c r="B3479" s="2" t="s">
        <v>7007</v>
      </c>
      <c r="C3479" s="2" t="s">
        <v>9104</v>
      </c>
      <c r="D3479" s="2" t="s">
        <v>10055</v>
      </c>
      <c r="E3479" s="15">
        <v>0.1643</v>
      </c>
      <c r="F3479" s="15">
        <v>0.13539999999999999</v>
      </c>
    </row>
    <row r="3480" spans="1:9" x14ac:dyDescent="0.2">
      <c r="A3480" s="2" t="s">
        <v>9105</v>
      </c>
      <c r="B3480" s="2" t="s">
        <v>7007</v>
      </c>
      <c r="C3480" s="2" t="s">
        <v>9106</v>
      </c>
      <c r="D3480" s="2" t="s">
        <v>10055</v>
      </c>
      <c r="E3480" s="15">
        <v>-6.9000000000000006E-2</v>
      </c>
      <c r="F3480" s="15">
        <v>9.3700000000000006E-2</v>
      </c>
      <c r="G3480" s="15">
        <v>-7.4800000000000005E-2</v>
      </c>
      <c r="H3480" s="15">
        <v>6.7199999999999996E-2</v>
      </c>
      <c r="I3480" s="15">
        <v>0.47100289570376053</v>
      </c>
    </row>
    <row r="3481" spans="1:9" x14ac:dyDescent="0.2">
      <c r="A3481" s="2" t="s">
        <v>9107</v>
      </c>
      <c r="B3481" s="2" t="s">
        <v>7007</v>
      </c>
      <c r="C3481" s="2" t="s">
        <v>9108</v>
      </c>
      <c r="D3481" s="2" t="s">
        <v>10055</v>
      </c>
      <c r="E3481" s="15">
        <v>-0.15890000000000001</v>
      </c>
      <c r="F3481" s="15">
        <v>0.1106</v>
      </c>
      <c r="G3481" s="15">
        <v>-0.1905</v>
      </c>
      <c r="H3481" s="15">
        <v>0.25850000000000001</v>
      </c>
      <c r="I3481" s="15">
        <v>0.45685625736088359</v>
      </c>
    </row>
    <row r="3482" spans="1:9" x14ac:dyDescent="0.2">
      <c r="A3482" s="2" t="s">
        <v>9109</v>
      </c>
      <c r="B3482" s="2" t="s">
        <v>7007</v>
      </c>
      <c r="C3482" s="2" t="s">
        <v>9110</v>
      </c>
      <c r="D3482" s="2" t="s">
        <v>10055</v>
      </c>
      <c r="E3482" s="15">
        <v>3.7900000000000003E-2</v>
      </c>
      <c r="F3482" s="15">
        <v>0.1721</v>
      </c>
      <c r="G3482" s="15">
        <v>5.4300000000000001E-2</v>
      </c>
      <c r="H3482" s="15">
        <v>0.1176</v>
      </c>
      <c r="I3482" s="15">
        <v>0.45536756298158881</v>
      </c>
    </row>
    <row r="3483" spans="1:9" x14ac:dyDescent="0.2">
      <c r="A3483" s="2" t="s">
        <v>9111</v>
      </c>
      <c r="B3483" s="2" t="s">
        <v>7007</v>
      </c>
      <c r="C3483" s="2" t="s">
        <v>9112</v>
      </c>
      <c r="D3483" s="2" t="s">
        <v>10055</v>
      </c>
      <c r="E3483" s="15">
        <v>-0.21790000000000001</v>
      </c>
      <c r="F3483" s="15">
        <v>0.39579999999999999</v>
      </c>
      <c r="G3483" s="15">
        <v>-9.5899999999999999E-2</v>
      </c>
      <c r="H3483" s="15">
        <v>0.1565</v>
      </c>
      <c r="I3483" s="15">
        <v>0.25252197573121671</v>
      </c>
    </row>
    <row r="3484" spans="1:9" x14ac:dyDescent="0.2">
      <c r="A3484" s="2" t="s">
        <v>9113</v>
      </c>
      <c r="B3484" s="2" t="s">
        <v>7007</v>
      </c>
      <c r="C3484" s="2" t="s">
        <v>9114</v>
      </c>
      <c r="D3484" s="2" t="s">
        <v>10055</v>
      </c>
      <c r="E3484" s="15">
        <v>-9.06E-2</v>
      </c>
      <c r="F3484" s="15">
        <v>0.1008</v>
      </c>
    </row>
    <row r="3485" spans="1:9" x14ac:dyDescent="0.2">
      <c r="A3485" s="2" t="s">
        <v>9115</v>
      </c>
      <c r="B3485" s="2" t="s">
        <v>7007</v>
      </c>
      <c r="C3485" s="2" t="s">
        <v>9116</v>
      </c>
      <c r="D3485" s="2" t="s">
        <v>10055</v>
      </c>
      <c r="E3485" s="15">
        <v>0.26600000000000001</v>
      </c>
      <c r="F3485" s="15">
        <v>0.16750000000000001</v>
      </c>
      <c r="G3485" s="15">
        <v>-6.6600000000000006E-2</v>
      </c>
      <c r="H3485" s="15">
        <v>0.3105</v>
      </c>
      <c r="I3485" s="15">
        <v>0.167087659207521</v>
      </c>
    </row>
    <row r="3486" spans="1:9" x14ac:dyDescent="0.2">
      <c r="A3486" s="2" t="s">
        <v>9117</v>
      </c>
      <c r="B3486" s="2" t="s">
        <v>7007</v>
      </c>
      <c r="C3486" s="2" t="s">
        <v>9118</v>
      </c>
      <c r="D3486" s="2" t="s">
        <v>10055</v>
      </c>
      <c r="E3486" s="15">
        <v>0.20519999999999999</v>
      </c>
      <c r="F3486" s="15">
        <v>0.1135</v>
      </c>
      <c r="G3486" s="15">
        <v>6.59E-2</v>
      </c>
      <c r="H3486" s="15">
        <v>9.6000000000000002E-2</v>
      </c>
      <c r="I3486" s="15">
        <v>0.11842003541214489</v>
      </c>
    </row>
    <row r="3487" spans="1:9" x14ac:dyDescent="0.2">
      <c r="A3487" s="2" t="s">
        <v>9119</v>
      </c>
      <c r="B3487" s="2" t="s">
        <v>7007</v>
      </c>
      <c r="C3487" s="2" t="s">
        <v>9120</v>
      </c>
      <c r="D3487" s="2" t="s">
        <v>10055</v>
      </c>
      <c r="E3487" s="15">
        <v>0.3135</v>
      </c>
      <c r="F3487" s="15">
        <v>0.26500000000000001</v>
      </c>
    </row>
    <row r="3488" spans="1:9" x14ac:dyDescent="0.2">
      <c r="A3488" s="2" t="s">
        <v>9121</v>
      </c>
      <c r="B3488" s="2" t="s">
        <v>7007</v>
      </c>
      <c r="C3488" s="2" t="s">
        <v>9122</v>
      </c>
      <c r="D3488" s="2" t="s">
        <v>10055</v>
      </c>
      <c r="E3488" s="15">
        <v>3.6600000000000001E-2</v>
      </c>
      <c r="F3488" s="15">
        <v>0.1128</v>
      </c>
    </row>
    <row r="3489" spans="1:9" x14ac:dyDescent="0.2">
      <c r="A3489" s="2" t="s">
        <v>9123</v>
      </c>
      <c r="B3489" s="2" t="s">
        <v>7007</v>
      </c>
      <c r="C3489" s="2" t="s">
        <v>9124</v>
      </c>
      <c r="D3489" s="2" t="s">
        <v>10055</v>
      </c>
      <c r="E3489" s="15">
        <v>1.54E-2</v>
      </c>
      <c r="F3489" s="15">
        <v>0.112</v>
      </c>
      <c r="G3489" s="15">
        <v>-8.8400000000000006E-2</v>
      </c>
      <c r="H3489" s="15">
        <v>9.3700000000000006E-2</v>
      </c>
      <c r="I3489" s="15">
        <v>0.17932189785630889</v>
      </c>
    </row>
    <row r="3490" spans="1:9" x14ac:dyDescent="0.2">
      <c r="A3490" s="2" t="s">
        <v>9125</v>
      </c>
      <c r="B3490" s="2" t="s">
        <v>7007</v>
      </c>
      <c r="C3490" s="2" t="s">
        <v>9126</v>
      </c>
      <c r="D3490" s="2" t="s">
        <v>10055</v>
      </c>
      <c r="E3490" s="15">
        <v>0.1673</v>
      </c>
      <c r="F3490" s="15">
        <v>0.1019</v>
      </c>
      <c r="G3490" s="15">
        <v>0.1956</v>
      </c>
      <c r="H3490" s="15">
        <v>8.43E-2</v>
      </c>
      <c r="I3490" s="15">
        <v>0.3867364350268403</v>
      </c>
    </row>
    <row r="3491" spans="1:9" x14ac:dyDescent="0.2">
      <c r="A3491" s="2" t="s">
        <v>9127</v>
      </c>
      <c r="B3491" s="2" t="s">
        <v>7007</v>
      </c>
      <c r="C3491" s="2" t="s">
        <v>9128</v>
      </c>
      <c r="D3491" s="2" t="s">
        <v>10055</v>
      </c>
      <c r="E3491" s="15">
        <v>6.7199999999999996E-2</v>
      </c>
      <c r="F3491" s="15">
        <v>0.20799999999999999</v>
      </c>
    </row>
    <row r="3492" spans="1:9" x14ac:dyDescent="0.2">
      <c r="A3492" s="2" t="s">
        <v>9129</v>
      </c>
      <c r="B3492" s="2" t="s">
        <v>7007</v>
      </c>
      <c r="C3492" s="2" t="s">
        <v>9130</v>
      </c>
      <c r="D3492" s="2" t="s">
        <v>10055</v>
      </c>
      <c r="E3492" s="15">
        <v>0.22989999999999999</v>
      </c>
      <c r="F3492" s="15">
        <v>0.182</v>
      </c>
    </row>
    <row r="3493" spans="1:9" x14ac:dyDescent="0.2">
      <c r="A3493" s="2" t="s">
        <v>9131</v>
      </c>
      <c r="B3493" s="2" t="s">
        <v>7007</v>
      </c>
      <c r="C3493" s="2" t="s">
        <v>9132</v>
      </c>
      <c r="D3493" s="2" t="s">
        <v>10055</v>
      </c>
      <c r="E3493" s="15">
        <v>5.5999999999999999E-3</v>
      </c>
      <c r="F3493" s="15">
        <v>9.9099999999999994E-2</v>
      </c>
      <c r="G3493" s="15">
        <v>1.4800000000000001E-2</v>
      </c>
      <c r="H3493" s="15">
        <v>0.125</v>
      </c>
      <c r="I3493" s="15">
        <v>0.47278167820858358</v>
      </c>
    </row>
    <row r="3494" spans="1:9" x14ac:dyDescent="0.2">
      <c r="A3494" s="2" t="s">
        <v>9133</v>
      </c>
      <c r="B3494" s="2" t="s">
        <v>7007</v>
      </c>
      <c r="C3494" s="2" t="s">
        <v>9134</v>
      </c>
      <c r="D3494" s="2" t="s">
        <v>10055</v>
      </c>
      <c r="E3494" s="15">
        <v>-6.2100000000000002E-2</v>
      </c>
      <c r="F3494" s="15">
        <v>9.2399999999999996E-2</v>
      </c>
      <c r="G3494" s="15">
        <v>-9.5699999999999993E-2</v>
      </c>
      <c r="H3494" s="15">
        <v>9.98E-2</v>
      </c>
      <c r="I3494" s="15">
        <v>0.38357432878593939</v>
      </c>
    </row>
    <row r="3495" spans="1:9" x14ac:dyDescent="0.2">
      <c r="A3495" s="2" t="s">
        <v>9135</v>
      </c>
      <c r="B3495" s="2" t="s">
        <v>7007</v>
      </c>
      <c r="C3495" s="2" t="s">
        <v>9136</v>
      </c>
      <c r="D3495" s="2" t="s">
        <v>10055</v>
      </c>
      <c r="E3495" s="15">
        <v>3.2800000000000003E-2</v>
      </c>
      <c r="F3495" s="15">
        <v>0.11409999999999999</v>
      </c>
    </row>
    <row r="3496" spans="1:9" x14ac:dyDescent="0.2">
      <c r="A3496" s="2" t="s">
        <v>9137</v>
      </c>
      <c r="B3496" s="2" t="s">
        <v>7007</v>
      </c>
      <c r="C3496" s="2" t="s">
        <v>9138</v>
      </c>
      <c r="D3496" s="2" t="s">
        <v>10055</v>
      </c>
      <c r="E3496" s="15">
        <v>-6.3200000000000006E-2</v>
      </c>
      <c r="F3496" s="15">
        <v>0.1008</v>
      </c>
      <c r="G3496" s="15">
        <v>-0.1421</v>
      </c>
      <c r="H3496" s="15">
        <v>0.12659999999999999</v>
      </c>
      <c r="I3496" s="15">
        <v>0.28070678842224972</v>
      </c>
    </row>
    <row r="3497" spans="1:9" x14ac:dyDescent="0.2">
      <c r="A3497" s="2" t="s">
        <v>9139</v>
      </c>
      <c r="B3497" s="2" t="s">
        <v>7007</v>
      </c>
      <c r="C3497" s="2" t="s">
        <v>9140</v>
      </c>
      <c r="D3497" s="2" t="s">
        <v>10055</v>
      </c>
      <c r="G3497" s="15">
        <v>-0.2046</v>
      </c>
      <c r="H3497" s="15">
        <v>0.16980000000000001</v>
      </c>
    </row>
    <row r="3498" spans="1:9" x14ac:dyDescent="0.2">
      <c r="A3498" s="2" t="s">
        <v>9141</v>
      </c>
      <c r="B3498" s="2" t="s">
        <v>7007</v>
      </c>
      <c r="C3498" s="2" t="s">
        <v>9142</v>
      </c>
      <c r="D3498" s="2" t="s">
        <v>10055</v>
      </c>
      <c r="E3498" s="15">
        <v>-0.19719999999999999</v>
      </c>
      <c r="F3498" s="15">
        <v>0.16289999999999999</v>
      </c>
      <c r="G3498" s="15">
        <v>-7.1599999999999997E-2</v>
      </c>
      <c r="H3498" s="15">
        <v>0.11260000000000001</v>
      </c>
      <c r="I3498" s="15">
        <v>0.16562435496982389</v>
      </c>
    </row>
    <row r="3499" spans="1:9" x14ac:dyDescent="0.2">
      <c r="A3499" s="2" t="s">
        <v>9143</v>
      </c>
      <c r="B3499" s="2" t="s">
        <v>7007</v>
      </c>
      <c r="C3499" s="2" t="s">
        <v>9144</v>
      </c>
      <c r="D3499" s="2" t="s">
        <v>10055</v>
      </c>
      <c r="G3499" s="15">
        <v>-0.13</v>
      </c>
      <c r="H3499" s="15">
        <v>0.17330000000000001</v>
      </c>
    </row>
    <row r="3500" spans="1:9" x14ac:dyDescent="0.2">
      <c r="A3500" s="2" t="s">
        <v>9145</v>
      </c>
      <c r="B3500" s="2" t="s">
        <v>7007</v>
      </c>
      <c r="C3500" s="2" t="s">
        <v>9146</v>
      </c>
      <c r="D3500" s="2" t="s">
        <v>10055</v>
      </c>
      <c r="E3500" s="15">
        <v>9.8100000000000007E-2</v>
      </c>
      <c r="F3500" s="15">
        <v>0.1103</v>
      </c>
    </row>
    <row r="3501" spans="1:9" x14ac:dyDescent="0.2">
      <c r="A3501" s="2" t="s">
        <v>9147</v>
      </c>
      <c r="B3501" s="2" t="s">
        <v>7007</v>
      </c>
      <c r="C3501" s="2" t="s">
        <v>9148</v>
      </c>
      <c r="D3501" s="2" t="s">
        <v>10055</v>
      </c>
      <c r="E3501" s="15">
        <v>-6.6799999999999998E-2</v>
      </c>
      <c r="F3501" s="15">
        <v>0.1183</v>
      </c>
      <c r="G3501" s="15">
        <v>-5.8500000000000003E-2</v>
      </c>
      <c r="H3501" s="15">
        <v>0.1434</v>
      </c>
      <c r="I3501" s="15">
        <v>0.47866140260242213</v>
      </c>
    </row>
    <row r="3502" spans="1:9" x14ac:dyDescent="0.2">
      <c r="A3502" s="2" t="s">
        <v>9149</v>
      </c>
      <c r="B3502" s="2" t="s">
        <v>7007</v>
      </c>
      <c r="C3502" s="2" t="s">
        <v>9150</v>
      </c>
      <c r="D3502" s="2" t="s">
        <v>10055</v>
      </c>
      <c r="E3502" s="15">
        <v>-0.17469999999999999</v>
      </c>
      <c r="F3502" s="15">
        <v>0.1115</v>
      </c>
      <c r="G3502" s="15">
        <v>-0.28310000000000002</v>
      </c>
      <c r="H3502" s="15">
        <v>0.1011</v>
      </c>
      <c r="I3502" s="15">
        <v>0.17929792885628151</v>
      </c>
    </row>
    <row r="3503" spans="1:9" x14ac:dyDescent="0.2">
      <c r="A3503" s="2" t="s">
        <v>9151</v>
      </c>
      <c r="B3503" s="2" t="s">
        <v>7007</v>
      </c>
      <c r="C3503" s="2" t="s">
        <v>9152</v>
      </c>
      <c r="D3503" s="2" t="s">
        <v>10055</v>
      </c>
      <c r="E3503" s="15">
        <v>-3.2000000000000002E-3</v>
      </c>
      <c r="F3503" s="15">
        <v>0.12790000000000001</v>
      </c>
      <c r="G3503" s="15">
        <v>-0.15290000000000001</v>
      </c>
      <c r="H3503" s="15">
        <v>0.28129999999999999</v>
      </c>
      <c r="I3503" s="15">
        <v>0.31226835949371712</v>
      </c>
    </row>
    <row r="3504" spans="1:9" x14ac:dyDescent="0.2">
      <c r="A3504" s="2" t="s">
        <v>9153</v>
      </c>
      <c r="B3504" s="2" t="s">
        <v>7007</v>
      </c>
      <c r="C3504" s="2" t="s">
        <v>9154</v>
      </c>
      <c r="D3504" s="2" t="s">
        <v>10055</v>
      </c>
      <c r="E3504" s="15">
        <v>1.3299999999999999E-2</v>
      </c>
      <c r="F3504" s="15">
        <v>0.14399999999999999</v>
      </c>
      <c r="G3504" s="15">
        <v>-0.14899999999999999</v>
      </c>
      <c r="H3504" s="15">
        <v>0.11840000000000001</v>
      </c>
      <c r="I3504" s="15">
        <v>0.11450867427265719</v>
      </c>
    </row>
    <row r="3505" spans="1:9" x14ac:dyDescent="0.2">
      <c r="A3505" s="2" t="s">
        <v>9155</v>
      </c>
      <c r="B3505" s="2" t="s">
        <v>7007</v>
      </c>
      <c r="C3505" s="2" t="s">
        <v>9156</v>
      </c>
      <c r="D3505" s="2" t="s">
        <v>10055</v>
      </c>
      <c r="E3505" s="15">
        <v>6.2399999999999997E-2</v>
      </c>
      <c r="F3505" s="15">
        <v>0.21440000000000001</v>
      </c>
    </row>
    <row r="3506" spans="1:9" x14ac:dyDescent="0.2">
      <c r="A3506" s="2" t="s">
        <v>9157</v>
      </c>
      <c r="B3506" s="2" t="s">
        <v>7007</v>
      </c>
      <c r="C3506" s="2" t="s">
        <v>9158</v>
      </c>
      <c r="D3506" s="2" t="s">
        <v>10055</v>
      </c>
      <c r="E3506" s="15">
        <v>-0.216</v>
      </c>
      <c r="F3506" s="15">
        <v>0.13009999999999999</v>
      </c>
      <c r="G3506" s="15">
        <v>0.1033</v>
      </c>
      <c r="H3506" s="15">
        <v>0.1187</v>
      </c>
      <c r="I3506" s="15">
        <v>2.8474471171204881E-2</v>
      </c>
    </row>
    <row r="3507" spans="1:9" x14ac:dyDescent="0.2">
      <c r="A3507" s="2" t="s">
        <v>9159</v>
      </c>
      <c r="B3507" s="2" t="s">
        <v>7007</v>
      </c>
      <c r="C3507" s="2" t="s">
        <v>9160</v>
      </c>
      <c r="D3507" s="2" t="s">
        <v>10055</v>
      </c>
      <c r="G3507" s="15">
        <v>0.37819999999999998</v>
      </c>
      <c r="H3507" s="15">
        <v>0.19389999999999999</v>
      </c>
    </row>
    <row r="3508" spans="1:9" x14ac:dyDescent="0.2">
      <c r="A3508" s="2" t="s">
        <v>9161</v>
      </c>
      <c r="B3508" s="2" t="s">
        <v>7007</v>
      </c>
      <c r="C3508" s="2" t="s">
        <v>9162</v>
      </c>
      <c r="D3508" s="2" t="s">
        <v>10055</v>
      </c>
      <c r="E3508" s="15">
        <v>1.0500000000000001E-2</v>
      </c>
      <c r="F3508" s="15">
        <v>0.20200000000000001</v>
      </c>
    </row>
    <row r="3509" spans="1:9" x14ac:dyDescent="0.2">
      <c r="A3509" s="2" t="s">
        <v>9163</v>
      </c>
      <c r="B3509" s="2" t="s">
        <v>7007</v>
      </c>
      <c r="C3509" s="2" t="s">
        <v>9164</v>
      </c>
      <c r="D3509" s="2" t="s">
        <v>10055</v>
      </c>
      <c r="E3509" s="15">
        <v>1.9400000000000001E-2</v>
      </c>
      <c r="F3509" s="15">
        <v>0.1318</v>
      </c>
      <c r="G3509" s="15">
        <v>4.9299999999999997E-2</v>
      </c>
      <c r="H3509" s="15">
        <v>0.14960000000000001</v>
      </c>
      <c r="I3509" s="15">
        <v>0.43016510152726511</v>
      </c>
    </row>
    <row r="3510" spans="1:9" x14ac:dyDescent="0.2">
      <c r="A3510" s="2" t="s">
        <v>9165</v>
      </c>
      <c r="B3510" s="2" t="s">
        <v>7007</v>
      </c>
      <c r="C3510" s="2" t="s">
        <v>9166</v>
      </c>
      <c r="D3510" s="2" t="s">
        <v>10055</v>
      </c>
      <c r="E3510" s="15">
        <v>-0.16819999999999999</v>
      </c>
      <c r="F3510" s="15">
        <v>0.13089999999999999</v>
      </c>
      <c r="G3510" s="15">
        <v>-0.24510000000000001</v>
      </c>
      <c r="H3510" s="15">
        <v>0.1149</v>
      </c>
      <c r="I3510" s="15">
        <v>0.2841843547067921</v>
      </c>
    </row>
    <row r="3511" spans="1:9" x14ac:dyDescent="0.2">
      <c r="A3511" s="2" t="s">
        <v>9167</v>
      </c>
      <c r="B3511" s="2" t="s">
        <v>7007</v>
      </c>
      <c r="C3511" s="2" t="s">
        <v>9168</v>
      </c>
      <c r="D3511" s="2" t="s">
        <v>10055</v>
      </c>
      <c r="G3511" s="15">
        <v>-0.1065</v>
      </c>
      <c r="H3511" s="15">
        <v>0.1205</v>
      </c>
    </row>
    <row r="3512" spans="1:9" x14ac:dyDescent="0.2">
      <c r="A3512" s="2" t="s">
        <v>9169</v>
      </c>
      <c r="B3512" s="2" t="s">
        <v>7007</v>
      </c>
      <c r="C3512" s="2" t="s">
        <v>9170</v>
      </c>
      <c r="D3512" s="2" t="s">
        <v>10055</v>
      </c>
      <c r="E3512" s="15">
        <v>-0.34939999999999999</v>
      </c>
      <c r="F3512" s="15">
        <v>0.4138</v>
      </c>
      <c r="G3512" s="15">
        <v>0.10929999999999999</v>
      </c>
      <c r="H3512" s="15">
        <v>0.15390000000000001</v>
      </c>
      <c r="I3512" s="15">
        <v>4.5687204520279854E-3</v>
      </c>
    </row>
    <row r="3513" spans="1:9" x14ac:dyDescent="0.2">
      <c r="A3513" s="2" t="s">
        <v>9171</v>
      </c>
      <c r="B3513" s="2" t="s">
        <v>7007</v>
      </c>
      <c r="C3513" s="2" t="s">
        <v>9172</v>
      </c>
      <c r="D3513" s="2" t="s">
        <v>10055</v>
      </c>
      <c r="E3513" s="15">
        <v>-7.5399999999999995E-2</v>
      </c>
      <c r="F3513" s="15">
        <v>0.1062</v>
      </c>
      <c r="G3513" s="15">
        <v>-0.1074</v>
      </c>
      <c r="H3513" s="15">
        <v>9.8500000000000004E-2</v>
      </c>
      <c r="I3513" s="15">
        <v>0.38548537322804027</v>
      </c>
    </row>
    <row r="3514" spans="1:9" x14ac:dyDescent="0.2">
      <c r="A3514" s="2" t="s">
        <v>9173</v>
      </c>
      <c r="B3514" s="2" t="s">
        <v>7007</v>
      </c>
      <c r="C3514" s="2" t="s">
        <v>9174</v>
      </c>
      <c r="D3514" s="2" t="s">
        <v>10055</v>
      </c>
      <c r="G3514" s="15">
        <v>0.16700000000000001</v>
      </c>
      <c r="H3514" s="15">
        <v>0.16850000000000001</v>
      </c>
    </row>
    <row r="3515" spans="1:9" x14ac:dyDescent="0.2">
      <c r="A3515" s="2" t="s">
        <v>9175</v>
      </c>
      <c r="B3515" s="2" t="s">
        <v>7007</v>
      </c>
      <c r="C3515" s="2" t="s">
        <v>9176</v>
      </c>
      <c r="D3515" s="2" t="s">
        <v>10055</v>
      </c>
      <c r="E3515" s="15">
        <v>0.3211</v>
      </c>
      <c r="F3515" s="15">
        <v>0.25690000000000002</v>
      </c>
      <c r="G3515" s="15">
        <v>0.12839999999999999</v>
      </c>
      <c r="H3515" s="15">
        <v>0.15160000000000001</v>
      </c>
      <c r="I3515" s="15">
        <v>0.1376127466289051</v>
      </c>
    </row>
    <row r="3516" spans="1:9" x14ac:dyDescent="0.2">
      <c r="A3516" s="2" t="s">
        <v>9177</v>
      </c>
      <c r="B3516" s="2" t="s">
        <v>7007</v>
      </c>
      <c r="C3516" s="2" t="s">
        <v>9178</v>
      </c>
      <c r="D3516" s="2" t="s">
        <v>10055</v>
      </c>
      <c r="E3516" s="15">
        <v>-4.1700000000000001E-2</v>
      </c>
      <c r="F3516" s="15">
        <v>0.15740000000000001</v>
      </c>
      <c r="G3516" s="15">
        <v>-3.5999999999999997E-2</v>
      </c>
      <c r="H3516" s="15">
        <v>9.4600000000000004E-2</v>
      </c>
      <c r="I3516" s="15">
        <v>0.47966118261948981</v>
      </c>
    </row>
    <row r="3517" spans="1:9" x14ac:dyDescent="0.2">
      <c r="A3517" s="2" t="s">
        <v>9179</v>
      </c>
      <c r="B3517" s="2" t="s">
        <v>7007</v>
      </c>
      <c r="C3517" s="2" t="s">
        <v>9180</v>
      </c>
      <c r="D3517" s="2" t="s">
        <v>10055</v>
      </c>
      <c r="E3517" s="15">
        <v>8.5599999999999996E-2</v>
      </c>
      <c r="F3517" s="15">
        <v>0.19869999999999999</v>
      </c>
    </row>
    <row r="3518" spans="1:9" x14ac:dyDescent="0.2">
      <c r="A3518" s="2" t="s">
        <v>9181</v>
      </c>
      <c r="B3518" s="2" t="s">
        <v>7007</v>
      </c>
      <c r="C3518" s="2" t="s">
        <v>9182</v>
      </c>
      <c r="D3518" s="2" t="s">
        <v>10055</v>
      </c>
      <c r="G3518" s="15">
        <v>5.57E-2</v>
      </c>
      <c r="H3518" s="15">
        <v>0.11509999999999999</v>
      </c>
    </row>
    <row r="3519" spans="1:9" x14ac:dyDescent="0.2">
      <c r="A3519" s="2" t="s">
        <v>9183</v>
      </c>
      <c r="B3519" s="2" t="s">
        <v>7007</v>
      </c>
      <c r="C3519" s="2" t="s">
        <v>9184</v>
      </c>
      <c r="D3519" s="2" t="s">
        <v>10055</v>
      </c>
      <c r="G3519" s="15">
        <v>-4.2099999999999999E-2</v>
      </c>
      <c r="H3519" s="15">
        <v>0.1186</v>
      </c>
    </row>
    <row r="3520" spans="1:9" x14ac:dyDescent="0.2">
      <c r="A3520" s="2" t="s">
        <v>9185</v>
      </c>
      <c r="B3520" s="2" t="s">
        <v>7007</v>
      </c>
      <c r="C3520" s="2" t="s">
        <v>9186</v>
      </c>
      <c r="D3520" s="2" t="s">
        <v>10055</v>
      </c>
      <c r="E3520" s="15">
        <v>0.1158</v>
      </c>
      <c r="F3520" s="15">
        <v>8.9499999999999996E-2</v>
      </c>
      <c r="G3520" s="15">
        <v>-0.14940000000000001</v>
      </c>
      <c r="H3520" s="15">
        <v>8.6699999999999999E-2</v>
      </c>
      <c r="I3520" s="15">
        <v>3.7245113200241871E-3</v>
      </c>
    </row>
    <row r="3521" spans="1:9" x14ac:dyDescent="0.2">
      <c r="A3521" s="2" t="s">
        <v>9187</v>
      </c>
      <c r="B3521" s="2" t="s">
        <v>7007</v>
      </c>
      <c r="C3521" s="2" t="s">
        <v>9188</v>
      </c>
      <c r="D3521" s="2" t="s">
        <v>10055</v>
      </c>
      <c r="E3521" s="15">
        <v>0.24879999999999999</v>
      </c>
      <c r="F3521" s="15">
        <v>0.22409999999999999</v>
      </c>
      <c r="G3521" s="15">
        <v>1.9E-2</v>
      </c>
      <c r="H3521" s="15">
        <v>0.1235</v>
      </c>
      <c r="I3521" s="15">
        <v>4.8054533979516409E-2</v>
      </c>
    </row>
    <row r="3522" spans="1:9" x14ac:dyDescent="0.2">
      <c r="A3522" s="2" t="s">
        <v>9189</v>
      </c>
      <c r="B3522" s="2" t="s">
        <v>7007</v>
      </c>
      <c r="C3522" s="2" t="s">
        <v>9190</v>
      </c>
      <c r="D3522" s="2" t="s">
        <v>10055</v>
      </c>
      <c r="E3522" s="15">
        <v>6.1899999999999997E-2</v>
      </c>
      <c r="F3522" s="15">
        <v>7.8899999999999998E-2</v>
      </c>
      <c r="G3522" s="15">
        <v>5.2499999999999998E-2</v>
      </c>
      <c r="H3522" s="15">
        <v>8.5400000000000004E-2</v>
      </c>
      <c r="I3522" s="15">
        <v>0.4613252272346155</v>
      </c>
    </row>
    <row r="3523" spans="1:9" x14ac:dyDescent="0.2">
      <c r="A3523" s="2" t="s">
        <v>9191</v>
      </c>
      <c r="B3523" s="2" t="s">
        <v>7007</v>
      </c>
      <c r="C3523" s="2" t="s">
        <v>9192</v>
      </c>
      <c r="D3523" s="2" t="s">
        <v>10055</v>
      </c>
      <c r="E3523" s="15">
        <v>0.1095</v>
      </c>
      <c r="F3523" s="15">
        <v>9.2700000000000005E-2</v>
      </c>
      <c r="G3523" s="15">
        <v>9.5000000000000001E-2</v>
      </c>
      <c r="H3523" s="15">
        <v>0.10979999999999999</v>
      </c>
      <c r="I3523" s="15">
        <v>0.45322751902601038</v>
      </c>
    </row>
    <row r="3524" spans="1:9" x14ac:dyDescent="0.2">
      <c r="A3524" s="2" t="s">
        <v>9193</v>
      </c>
      <c r="B3524" s="2" t="s">
        <v>7007</v>
      </c>
      <c r="C3524" s="2" t="s">
        <v>9194</v>
      </c>
      <c r="D3524" s="2" t="s">
        <v>10055</v>
      </c>
      <c r="E3524" s="15">
        <v>-3.3399999999999999E-2</v>
      </c>
      <c r="F3524" s="15">
        <v>0.1368</v>
      </c>
      <c r="G3524" s="15">
        <v>0.05</v>
      </c>
      <c r="H3524" s="15">
        <v>0.12839999999999999</v>
      </c>
      <c r="I3524" s="15">
        <v>0.27978436631876918</v>
      </c>
    </row>
    <row r="3525" spans="1:9" x14ac:dyDescent="0.2">
      <c r="A3525" s="2" t="s">
        <v>9195</v>
      </c>
      <c r="B3525" s="2" t="s">
        <v>7007</v>
      </c>
      <c r="C3525" s="2" t="s">
        <v>9196</v>
      </c>
      <c r="D3525" s="2" t="s">
        <v>10055</v>
      </c>
      <c r="E3525" s="15">
        <v>-7.4700000000000003E-2</v>
      </c>
      <c r="F3525" s="15">
        <v>0.15390000000000001</v>
      </c>
      <c r="G3525" s="15">
        <v>-3.9399999999999998E-2</v>
      </c>
      <c r="H3525" s="15">
        <v>0.1409</v>
      </c>
      <c r="I3525" s="15">
        <v>0.42447192565221342</v>
      </c>
    </row>
    <row r="3526" spans="1:9" x14ac:dyDescent="0.2">
      <c r="A3526" s="2" t="s">
        <v>9197</v>
      </c>
      <c r="B3526" s="2" t="s">
        <v>7007</v>
      </c>
      <c r="C3526" s="2" t="s">
        <v>9198</v>
      </c>
      <c r="D3526" s="2" t="s">
        <v>10055</v>
      </c>
      <c r="E3526" s="15">
        <v>-0.18779999999999999</v>
      </c>
      <c r="F3526" s="15">
        <v>0.13739999999999999</v>
      </c>
      <c r="G3526" s="15">
        <v>-5.2600000000000001E-2</v>
      </c>
      <c r="H3526" s="15">
        <v>0.1313</v>
      </c>
      <c r="I3526" s="15">
        <v>0.19742987159843009</v>
      </c>
    </row>
    <row r="3527" spans="1:9" x14ac:dyDescent="0.2">
      <c r="A3527" s="2" t="s">
        <v>9199</v>
      </c>
      <c r="B3527" s="2" t="s">
        <v>7007</v>
      </c>
      <c r="C3527" s="2" t="s">
        <v>9200</v>
      </c>
      <c r="D3527" s="2" t="s">
        <v>10055</v>
      </c>
      <c r="E3527" s="15">
        <v>1.9900000000000001E-2</v>
      </c>
      <c r="F3527" s="15">
        <v>0.1724</v>
      </c>
      <c r="G3527" s="15">
        <v>-0.13589999999999999</v>
      </c>
      <c r="H3527" s="15">
        <v>0.35610000000000003</v>
      </c>
    </row>
    <row r="3528" spans="1:9" x14ac:dyDescent="0.2">
      <c r="A3528" s="2" t="s">
        <v>9201</v>
      </c>
      <c r="B3528" s="2" t="s">
        <v>7007</v>
      </c>
      <c r="C3528" s="2" t="s">
        <v>9202</v>
      </c>
      <c r="D3528" s="2" t="s">
        <v>10055</v>
      </c>
      <c r="E3528" s="15">
        <v>0.10879999999999999</v>
      </c>
      <c r="F3528" s="15">
        <v>0.1482</v>
      </c>
      <c r="G3528" s="15">
        <v>-0.19389999999999999</v>
      </c>
      <c r="H3528" s="15">
        <v>0.23630000000000001</v>
      </c>
      <c r="I3528" s="15">
        <v>0.12895636582733369</v>
      </c>
    </row>
    <row r="3529" spans="1:9" x14ac:dyDescent="0.2">
      <c r="A3529" s="2" t="s">
        <v>9203</v>
      </c>
      <c r="B3529" s="2" t="s">
        <v>7007</v>
      </c>
      <c r="C3529" s="2" t="s">
        <v>9204</v>
      </c>
      <c r="D3529" s="2" t="s">
        <v>10055</v>
      </c>
      <c r="E3529" s="15">
        <v>-8.3999999999999995E-3</v>
      </c>
      <c r="F3529" s="15">
        <v>0.10100000000000001</v>
      </c>
      <c r="G3529" s="15">
        <v>6.6600000000000006E-2</v>
      </c>
      <c r="H3529" s="15">
        <v>0.1167</v>
      </c>
      <c r="I3529" s="15">
        <v>0.28050402242234151</v>
      </c>
    </row>
    <row r="3530" spans="1:9" x14ac:dyDescent="0.2">
      <c r="A3530" s="2" t="s">
        <v>9205</v>
      </c>
      <c r="B3530" s="2" t="s">
        <v>7007</v>
      </c>
      <c r="C3530" s="2" t="s">
        <v>9206</v>
      </c>
      <c r="D3530" s="2" t="s">
        <v>10055</v>
      </c>
      <c r="E3530" s="15">
        <v>-0.1656</v>
      </c>
      <c r="F3530" s="15">
        <v>0.24610000000000001</v>
      </c>
      <c r="G3530" s="15">
        <v>7.4899999999999994E-2</v>
      </c>
      <c r="H3530" s="15">
        <v>0.13239999999999999</v>
      </c>
      <c r="I3530" s="15">
        <v>6.6379941214961255E-2</v>
      </c>
    </row>
    <row r="3531" spans="1:9" x14ac:dyDescent="0.2">
      <c r="A3531" s="2" t="s">
        <v>9207</v>
      </c>
      <c r="B3531" s="2" t="s">
        <v>7007</v>
      </c>
      <c r="C3531" s="2" t="s">
        <v>9208</v>
      </c>
      <c r="D3531" s="2" t="s">
        <v>10055</v>
      </c>
      <c r="E3531" s="15">
        <v>-1.83E-2</v>
      </c>
      <c r="F3531" s="15">
        <v>0.11890000000000001</v>
      </c>
    </row>
    <row r="3532" spans="1:9" x14ac:dyDescent="0.2">
      <c r="A3532" s="2" t="s">
        <v>9209</v>
      </c>
      <c r="B3532" s="2" t="s">
        <v>7007</v>
      </c>
      <c r="C3532" s="2" t="s">
        <v>9210</v>
      </c>
      <c r="D3532" s="2" t="s">
        <v>10055</v>
      </c>
      <c r="E3532" s="15">
        <v>-0.1265</v>
      </c>
      <c r="F3532" s="15">
        <v>0.1108</v>
      </c>
      <c r="G3532" s="15">
        <v>4.2599999999999999E-2</v>
      </c>
      <c r="H3532" s="15">
        <v>8.8200000000000001E-2</v>
      </c>
      <c r="I3532" s="15">
        <v>6.5515618935558226E-2</v>
      </c>
    </row>
    <row r="3533" spans="1:9" x14ac:dyDescent="0.2">
      <c r="A3533" s="2" t="s">
        <v>9211</v>
      </c>
      <c r="B3533" s="2" t="s">
        <v>7007</v>
      </c>
      <c r="C3533" s="2" t="s">
        <v>9212</v>
      </c>
      <c r="D3533" s="2" t="s">
        <v>10055</v>
      </c>
      <c r="E3533" s="15">
        <v>-5.2299999999999999E-2</v>
      </c>
      <c r="F3533" s="15">
        <v>0.1512</v>
      </c>
      <c r="G3533" s="15">
        <v>3.6499999999999998E-2</v>
      </c>
      <c r="H3533" s="15">
        <v>9.5100000000000004E-2</v>
      </c>
      <c r="I3533" s="15">
        <v>0.22342094128627199</v>
      </c>
    </row>
    <row r="3534" spans="1:9" x14ac:dyDescent="0.2">
      <c r="A3534" s="2" t="s">
        <v>9213</v>
      </c>
      <c r="B3534" s="2" t="s">
        <v>7007</v>
      </c>
      <c r="C3534" s="2" t="s">
        <v>9214</v>
      </c>
      <c r="D3534" s="2" t="s">
        <v>10055</v>
      </c>
      <c r="E3534" s="15">
        <v>-0.7671</v>
      </c>
      <c r="F3534" s="15">
        <v>3.0566</v>
      </c>
      <c r="G3534" s="15">
        <v>8.5500000000000007E-2</v>
      </c>
      <c r="H3534" s="15">
        <v>0.2152</v>
      </c>
      <c r="I3534" s="15">
        <v>3.435815207887624E-4</v>
      </c>
    </row>
    <row r="3535" spans="1:9" x14ac:dyDescent="0.2">
      <c r="A3535" s="2" t="s">
        <v>9215</v>
      </c>
      <c r="B3535" s="2" t="s">
        <v>7007</v>
      </c>
      <c r="C3535" s="2" t="s">
        <v>9216</v>
      </c>
      <c r="D3535" s="2" t="s">
        <v>10055</v>
      </c>
      <c r="E3535" s="15">
        <v>-0.04</v>
      </c>
      <c r="F3535" s="15">
        <v>8.7900000000000006E-2</v>
      </c>
      <c r="G3535" s="15">
        <v>0.17849999999999999</v>
      </c>
      <c r="H3535" s="15">
        <v>0.1144</v>
      </c>
      <c r="I3535" s="15">
        <v>4.1392796559623843E-2</v>
      </c>
    </row>
    <row r="3536" spans="1:9" x14ac:dyDescent="0.2">
      <c r="A3536" s="2" t="s">
        <v>9217</v>
      </c>
      <c r="B3536" s="2" t="s">
        <v>7007</v>
      </c>
      <c r="C3536" s="2" t="s">
        <v>9218</v>
      </c>
      <c r="D3536" s="2" t="s">
        <v>10055</v>
      </c>
      <c r="E3536" s="15">
        <v>-2.7799999999999998E-2</v>
      </c>
      <c r="F3536" s="15">
        <v>0.14699999999999999</v>
      </c>
      <c r="G3536" s="15">
        <v>4.6899999999999997E-2</v>
      </c>
      <c r="H3536" s="15">
        <v>0.12959999999999999</v>
      </c>
      <c r="I3536" s="15">
        <v>0.29988232519939062</v>
      </c>
    </row>
    <row r="3537" spans="1:9" x14ac:dyDescent="0.2">
      <c r="A3537" s="2" t="s">
        <v>9219</v>
      </c>
      <c r="B3537" s="2" t="s">
        <v>7007</v>
      </c>
      <c r="C3537" s="2" t="s">
        <v>9220</v>
      </c>
      <c r="D3537" s="2" t="s">
        <v>10055</v>
      </c>
      <c r="E3537" s="15">
        <v>-2.7900000000000001E-2</v>
      </c>
      <c r="F3537" s="15">
        <v>0.124</v>
      </c>
      <c r="G3537" s="15">
        <v>-0.1104</v>
      </c>
      <c r="H3537" s="15">
        <v>0.1162</v>
      </c>
      <c r="I3537" s="15">
        <v>0.26306225624524332</v>
      </c>
    </row>
    <row r="3538" spans="1:9" x14ac:dyDescent="0.2">
      <c r="A3538" s="2" t="s">
        <v>9221</v>
      </c>
      <c r="B3538" s="2" t="s">
        <v>7007</v>
      </c>
      <c r="C3538" s="2" t="s">
        <v>9222</v>
      </c>
      <c r="D3538" s="2" t="s">
        <v>10055</v>
      </c>
      <c r="E3538" s="15">
        <v>-4.8999999999999998E-3</v>
      </c>
      <c r="F3538" s="15">
        <v>0.10100000000000001</v>
      </c>
    </row>
    <row r="3539" spans="1:9" x14ac:dyDescent="0.2">
      <c r="A3539" s="2" t="s">
        <v>9223</v>
      </c>
      <c r="B3539" s="2" t="s">
        <v>7007</v>
      </c>
      <c r="C3539" s="2" t="s">
        <v>9224</v>
      </c>
      <c r="D3539" s="2" t="s">
        <v>10055</v>
      </c>
      <c r="E3539" s="15">
        <v>-0.27129999999999999</v>
      </c>
      <c r="F3539" s="15">
        <v>0.1802</v>
      </c>
      <c r="G3539" s="15">
        <v>-0.23469999999999999</v>
      </c>
      <c r="H3539" s="15">
        <v>0.13400000000000001</v>
      </c>
      <c r="I3539" s="15">
        <v>0.40205661461063902</v>
      </c>
    </row>
    <row r="3540" spans="1:9" x14ac:dyDescent="0.2">
      <c r="A3540" s="2" t="s">
        <v>9225</v>
      </c>
      <c r="B3540" s="2" t="s">
        <v>7007</v>
      </c>
      <c r="C3540" s="2" t="s">
        <v>9226</v>
      </c>
      <c r="D3540" s="2" t="s">
        <v>10055</v>
      </c>
      <c r="E3540" s="15">
        <v>0.18720000000000001</v>
      </c>
      <c r="F3540" s="15">
        <v>0.11360000000000001</v>
      </c>
      <c r="G3540" s="15">
        <v>0.13850000000000001</v>
      </c>
      <c r="H3540" s="15">
        <v>0.1108</v>
      </c>
      <c r="I3540" s="15">
        <v>0.35924615643809882</v>
      </c>
    </row>
    <row r="3541" spans="1:9" x14ac:dyDescent="0.2">
      <c r="A3541" s="2" t="s">
        <v>9227</v>
      </c>
      <c r="B3541" s="2" t="s">
        <v>7007</v>
      </c>
      <c r="C3541" s="2" t="s">
        <v>9228</v>
      </c>
      <c r="D3541" s="2" t="s">
        <v>10055</v>
      </c>
    </row>
    <row r="3542" spans="1:9" x14ac:dyDescent="0.2">
      <c r="A3542" s="2" t="s">
        <v>9229</v>
      </c>
      <c r="B3542" s="2" t="s">
        <v>7007</v>
      </c>
      <c r="C3542" s="2" t="s">
        <v>9230</v>
      </c>
      <c r="D3542" s="2" t="s">
        <v>10055</v>
      </c>
      <c r="E3542" s="15">
        <v>-3.1600000000000003E-2</v>
      </c>
      <c r="F3542" s="15">
        <v>9.6600000000000005E-2</v>
      </c>
      <c r="G3542" s="15">
        <v>0.14169999999999999</v>
      </c>
      <c r="H3542" s="15">
        <v>8.9899999999999994E-2</v>
      </c>
      <c r="I3542" s="15">
        <v>4.8397115541397522E-2</v>
      </c>
    </row>
    <row r="3543" spans="1:9" x14ac:dyDescent="0.2">
      <c r="A3543" s="2" t="s">
        <v>9231</v>
      </c>
      <c r="B3543" s="2" t="s">
        <v>7007</v>
      </c>
      <c r="C3543" s="2" t="s">
        <v>9232</v>
      </c>
      <c r="D3543" s="2" t="s">
        <v>10055</v>
      </c>
      <c r="G3543" s="15">
        <v>0.1076</v>
      </c>
      <c r="H3543" s="15">
        <v>0.16700000000000001</v>
      </c>
    </row>
    <row r="3544" spans="1:9" x14ac:dyDescent="0.2">
      <c r="A3544" s="2" t="s">
        <v>9233</v>
      </c>
      <c r="B3544" s="2" t="s">
        <v>7007</v>
      </c>
      <c r="C3544" s="2" t="s">
        <v>9234</v>
      </c>
      <c r="D3544" s="2" t="s">
        <v>10055</v>
      </c>
      <c r="E3544" s="15">
        <v>-6.4000000000000001E-2</v>
      </c>
      <c r="F3544" s="15">
        <v>0.1041</v>
      </c>
      <c r="G3544" s="15">
        <v>2.9899999999999999E-2</v>
      </c>
      <c r="H3544" s="15">
        <v>0.10630000000000001</v>
      </c>
      <c r="I3544" s="15">
        <v>0.2186803053910728</v>
      </c>
    </row>
    <row r="3545" spans="1:9" x14ac:dyDescent="0.2">
      <c r="A3545" s="2" t="s">
        <v>9235</v>
      </c>
      <c r="B3545" s="2" t="s">
        <v>7007</v>
      </c>
      <c r="C3545" s="2" t="s">
        <v>9236</v>
      </c>
      <c r="D3545" s="2" t="s">
        <v>10055</v>
      </c>
      <c r="E3545" s="15">
        <v>-0.1361</v>
      </c>
      <c r="F3545" s="15">
        <v>8.8499999999999995E-2</v>
      </c>
      <c r="G3545" s="15">
        <v>-0.20469999999999999</v>
      </c>
      <c r="H3545" s="15">
        <v>0.12540000000000001</v>
      </c>
      <c r="I3545" s="15">
        <v>0.31138286131231868</v>
      </c>
    </row>
    <row r="3546" spans="1:9" x14ac:dyDescent="0.2">
      <c r="A3546" s="2" t="s">
        <v>9237</v>
      </c>
      <c r="B3546" s="2" t="s">
        <v>7007</v>
      </c>
      <c r="C3546" s="2" t="s">
        <v>9238</v>
      </c>
      <c r="D3546" s="2" t="s">
        <v>10055</v>
      </c>
    </row>
    <row r="3547" spans="1:9" x14ac:dyDescent="0.2">
      <c r="A3547" s="2" t="s">
        <v>9239</v>
      </c>
      <c r="B3547" s="2" t="s">
        <v>7007</v>
      </c>
      <c r="C3547" s="2" t="s">
        <v>9240</v>
      </c>
      <c r="D3547" s="2" t="s">
        <v>10055</v>
      </c>
      <c r="E3547" s="15">
        <v>0.11269999999999999</v>
      </c>
      <c r="F3547" s="15">
        <v>8.5099999999999995E-2</v>
      </c>
      <c r="G3547" s="15">
        <v>1.09E-2</v>
      </c>
      <c r="H3547" s="15">
        <v>0.12959999999999999</v>
      </c>
      <c r="I3547" s="15">
        <v>0.2351259747350786</v>
      </c>
    </row>
    <row r="3548" spans="1:9" x14ac:dyDescent="0.2">
      <c r="A3548" s="2" t="s">
        <v>9241</v>
      </c>
      <c r="B3548" s="2" t="s">
        <v>7007</v>
      </c>
      <c r="C3548" s="2" t="s">
        <v>9242</v>
      </c>
      <c r="D3548" s="2" t="s">
        <v>10055</v>
      </c>
      <c r="E3548" s="15">
        <v>-2.2599999999999999E-2</v>
      </c>
      <c r="F3548" s="15">
        <v>9.64E-2</v>
      </c>
      <c r="G3548" s="15">
        <v>-0.156</v>
      </c>
      <c r="H3548" s="15">
        <v>8.8999999999999996E-2</v>
      </c>
      <c r="I3548" s="15">
        <v>9.8903899680101728E-2</v>
      </c>
    </row>
    <row r="3549" spans="1:9" x14ac:dyDescent="0.2">
      <c r="A3549" s="2" t="s">
        <v>9243</v>
      </c>
      <c r="B3549" s="2" t="s">
        <v>7007</v>
      </c>
      <c r="C3549" s="2" t="s">
        <v>9244</v>
      </c>
      <c r="D3549" s="2" t="s">
        <v>10055</v>
      </c>
      <c r="G3549" s="15">
        <v>-6.9099999999999995E-2</v>
      </c>
      <c r="H3549" s="15">
        <v>0.1426</v>
      </c>
    </row>
    <row r="3550" spans="1:9" x14ac:dyDescent="0.2">
      <c r="A3550" s="2" t="s">
        <v>9245</v>
      </c>
      <c r="B3550" s="2" t="s">
        <v>7007</v>
      </c>
      <c r="C3550" s="2" t="s">
        <v>9246</v>
      </c>
      <c r="D3550" s="2" t="s">
        <v>10055</v>
      </c>
      <c r="E3550" s="15">
        <v>4.02E-2</v>
      </c>
      <c r="F3550" s="15">
        <v>0.1028</v>
      </c>
      <c r="G3550" s="15">
        <v>-0.17710000000000001</v>
      </c>
      <c r="H3550" s="15">
        <v>0.1754</v>
      </c>
      <c r="I3550" s="15">
        <v>0.12592830610164299</v>
      </c>
    </row>
    <row r="3551" spans="1:9" x14ac:dyDescent="0.2">
      <c r="A3551" s="2" t="s">
        <v>9247</v>
      </c>
      <c r="B3551" s="2" t="s">
        <v>7007</v>
      </c>
      <c r="C3551" s="2" t="s">
        <v>9248</v>
      </c>
      <c r="D3551" s="2" t="s">
        <v>10055</v>
      </c>
      <c r="E3551" s="15">
        <v>8.8700000000000001E-2</v>
      </c>
      <c r="F3551" s="15">
        <v>0.1129</v>
      </c>
      <c r="G3551" s="15">
        <v>3.15E-2</v>
      </c>
      <c r="H3551" s="15">
        <v>0.1091</v>
      </c>
      <c r="I3551" s="15">
        <v>0.32977480068633841</v>
      </c>
    </row>
    <row r="3552" spans="1:9" x14ac:dyDescent="0.2">
      <c r="A3552" s="2" t="s">
        <v>9249</v>
      </c>
      <c r="B3552" s="2" t="s">
        <v>7007</v>
      </c>
      <c r="C3552" s="2" t="s">
        <v>9250</v>
      </c>
      <c r="D3552" s="2" t="s">
        <v>10055</v>
      </c>
      <c r="E3552" s="15">
        <v>-3.8800000000000001E-2</v>
      </c>
      <c r="F3552" s="15">
        <v>0.14000000000000001</v>
      </c>
      <c r="G3552" s="15">
        <v>-0.14729999999999999</v>
      </c>
      <c r="H3552" s="15">
        <v>0.1215</v>
      </c>
      <c r="I3552" s="15">
        <v>0.20868090559996691</v>
      </c>
    </row>
    <row r="3553" spans="1:9" x14ac:dyDescent="0.2">
      <c r="A3553" s="2" t="s">
        <v>9251</v>
      </c>
      <c r="B3553" s="2" t="s">
        <v>7007</v>
      </c>
      <c r="C3553" s="2" t="s">
        <v>9252</v>
      </c>
      <c r="D3553" s="2" t="s">
        <v>10055</v>
      </c>
      <c r="E3553" s="15">
        <v>5.0000000000000001E-4</v>
      </c>
      <c r="F3553" s="15">
        <v>0.1263</v>
      </c>
      <c r="G3553" s="15">
        <v>0.1095</v>
      </c>
      <c r="H3553" s="15">
        <v>0.21829999999999999</v>
      </c>
      <c r="I3553" s="15">
        <v>0.31922840459111751</v>
      </c>
    </row>
    <row r="3554" spans="1:9" x14ac:dyDescent="0.2">
      <c r="A3554" s="2" t="s">
        <v>9253</v>
      </c>
      <c r="B3554" s="2" t="s">
        <v>7007</v>
      </c>
      <c r="C3554" s="2" t="s">
        <v>9254</v>
      </c>
      <c r="D3554" s="2" t="s">
        <v>10055</v>
      </c>
      <c r="G3554" s="15">
        <v>0.25590000000000002</v>
      </c>
      <c r="H3554" s="15">
        <v>0.11990000000000001</v>
      </c>
    </row>
    <row r="3555" spans="1:9" x14ac:dyDescent="0.2">
      <c r="A3555" s="2" t="s">
        <v>9255</v>
      </c>
      <c r="B3555" s="2" t="s">
        <v>7007</v>
      </c>
      <c r="C3555" s="2" t="s">
        <v>9256</v>
      </c>
      <c r="D3555" s="2" t="s">
        <v>10055</v>
      </c>
      <c r="E3555" s="15">
        <v>-4.5400000000000003E-2</v>
      </c>
      <c r="F3555" s="15">
        <v>9.7199999999999995E-2</v>
      </c>
      <c r="G3555" s="15">
        <v>-0.46679999999999999</v>
      </c>
      <c r="H3555" s="15">
        <v>0.52480000000000004</v>
      </c>
      <c r="I3555" s="15">
        <v>0.21253039166080759</v>
      </c>
    </row>
    <row r="3556" spans="1:9" x14ac:dyDescent="0.2">
      <c r="A3556" s="2" t="s">
        <v>9257</v>
      </c>
      <c r="B3556" s="2" t="s">
        <v>7007</v>
      </c>
      <c r="C3556" s="2" t="s">
        <v>9258</v>
      </c>
      <c r="D3556" s="2" t="s">
        <v>10055</v>
      </c>
      <c r="E3556" s="15">
        <v>0.1249</v>
      </c>
      <c r="F3556" s="15">
        <v>0.13270000000000001</v>
      </c>
      <c r="G3556" s="15">
        <v>-0.2011</v>
      </c>
      <c r="H3556" s="15">
        <v>0.32719999999999999</v>
      </c>
      <c r="I3556" s="15">
        <v>0.16828765998890199</v>
      </c>
    </row>
    <row r="3557" spans="1:9" x14ac:dyDescent="0.2">
      <c r="A3557" s="2" t="s">
        <v>9259</v>
      </c>
      <c r="B3557" s="2" t="s">
        <v>7007</v>
      </c>
      <c r="C3557" s="2" t="s">
        <v>9260</v>
      </c>
      <c r="D3557" s="2" t="s">
        <v>10055</v>
      </c>
      <c r="E3557" s="15">
        <v>0.35610000000000003</v>
      </c>
      <c r="F3557" s="15">
        <v>0.1404</v>
      </c>
      <c r="G3557" s="15">
        <v>0.2742</v>
      </c>
      <c r="H3557" s="15">
        <v>0.2238</v>
      </c>
      <c r="I3557" s="15">
        <v>0.36669437272693078</v>
      </c>
    </row>
    <row r="3558" spans="1:9" x14ac:dyDescent="0.2">
      <c r="A3558" s="2" t="s">
        <v>9261</v>
      </c>
      <c r="B3558" s="2" t="s">
        <v>7007</v>
      </c>
      <c r="C3558" s="2" t="s">
        <v>9262</v>
      </c>
      <c r="D3558" s="2" t="s">
        <v>10055</v>
      </c>
      <c r="E3558" s="15">
        <v>-0.12740000000000001</v>
      </c>
      <c r="F3558" s="15">
        <v>0.3367</v>
      </c>
      <c r="G3558" s="15">
        <v>-4.8300000000000003E-2</v>
      </c>
      <c r="H3558" s="15">
        <v>0.11310000000000001</v>
      </c>
      <c r="I3558" s="15">
        <v>0.27983067344790868</v>
      </c>
    </row>
    <row r="3559" spans="1:9" x14ac:dyDescent="0.2">
      <c r="A3559" s="2" t="s">
        <v>9263</v>
      </c>
      <c r="B3559" s="2" t="s">
        <v>7007</v>
      </c>
      <c r="C3559" s="2" t="s">
        <v>9264</v>
      </c>
      <c r="D3559" s="2" t="s">
        <v>10055</v>
      </c>
      <c r="E3559" s="15">
        <v>-0.15759999999999999</v>
      </c>
      <c r="F3559" s="15">
        <v>0.21290000000000001</v>
      </c>
    </row>
    <row r="3560" spans="1:9" x14ac:dyDescent="0.2">
      <c r="A3560" s="2" t="s">
        <v>9265</v>
      </c>
      <c r="B3560" s="2" t="s">
        <v>7007</v>
      </c>
      <c r="C3560" s="2" t="s">
        <v>9266</v>
      </c>
      <c r="D3560" s="2" t="s">
        <v>10055</v>
      </c>
      <c r="E3560" s="15">
        <v>-0.13239999999999999</v>
      </c>
      <c r="F3560" s="15">
        <v>8.0399999999999999E-2</v>
      </c>
      <c r="G3560" s="15">
        <v>-1.6899999999999998E-2</v>
      </c>
      <c r="H3560" s="15">
        <v>0.127</v>
      </c>
      <c r="I3560" s="15">
        <v>0.1989032938291537</v>
      </c>
    </row>
    <row r="3561" spans="1:9" x14ac:dyDescent="0.2">
      <c r="A3561" s="2" t="s">
        <v>9267</v>
      </c>
      <c r="B3561" s="2" t="s">
        <v>7007</v>
      </c>
      <c r="C3561" s="2" t="s">
        <v>9268</v>
      </c>
      <c r="D3561" s="2" t="s">
        <v>10055</v>
      </c>
      <c r="E3561" s="15">
        <v>-6.7500000000000004E-2</v>
      </c>
      <c r="F3561" s="15">
        <v>0.1163</v>
      </c>
    </row>
    <row r="3562" spans="1:9" x14ac:dyDescent="0.2">
      <c r="A3562" s="2" t="s">
        <v>9269</v>
      </c>
      <c r="B3562" s="2" t="s">
        <v>7007</v>
      </c>
      <c r="C3562" s="2" t="s">
        <v>9270</v>
      </c>
      <c r="D3562" s="2" t="s">
        <v>10055</v>
      </c>
      <c r="E3562" s="15">
        <v>8.8400000000000006E-2</v>
      </c>
      <c r="F3562" s="15">
        <v>0.18529999999999999</v>
      </c>
    </row>
    <row r="3563" spans="1:9" x14ac:dyDescent="0.2">
      <c r="A3563" s="2" t="s">
        <v>9271</v>
      </c>
      <c r="B3563" s="2" t="s">
        <v>7007</v>
      </c>
      <c r="C3563" s="2" t="s">
        <v>9272</v>
      </c>
      <c r="D3563" s="2" t="s">
        <v>10055</v>
      </c>
      <c r="E3563" s="15">
        <v>7.6499999999999999E-2</v>
      </c>
      <c r="F3563" s="15">
        <v>0.10680000000000001</v>
      </c>
      <c r="G3563" s="15">
        <v>0.1593</v>
      </c>
      <c r="H3563" s="15">
        <v>0.1176</v>
      </c>
      <c r="I3563" s="15">
        <v>0.26400969904989741</v>
      </c>
    </row>
    <row r="3564" spans="1:9" x14ac:dyDescent="0.2">
      <c r="A3564" s="2" t="s">
        <v>9273</v>
      </c>
      <c r="B3564" s="2" t="s">
        <v>7007</v>
      </c>
      <c r="C3564" s="2" t="s">
        <v>9274</v>
      </c>
      <c r="D3564" s="2" t="s">
        <v>10055</v>
      </c>
      <c r="E3564" s="15">
        <v>0.1018</v>
      </c>
      <c r="F3564" s="15">
        <v>0.1648</v>
      </c>
      <c r="G3564" s="15">
        <v>-0.50419999999999998</v>
      </c>
      <c r="H3564" s="15">
        <v>1.7016</v>
      </c>
      <c r="I3564" s="15">
        <v>0.36162529669889321</v>
      </c>
    </row>
    <row r="3565" spans="1:9" x14ac:dyDescent="0.2">
      <c r="A3565" s="2" t="s">
        <v>9275</v>
      </c>
      <c r="B3565" s="2" t="s">
        <v>7007</v>
      </c>
      <c r="C3565" s="2" t="s">
        <v>9276</v>
      </c>
      <c r="D3565" s="2" t="s">
        <v>10055</v>
      </c>
      <c r="E3565" s="15">
        <v>0.21360000000000001</v>
      </c>
      <c r="F3565" s="15">
        <v>0.1459</v>
      </c>
      <c r="G3565" s="15">
        <v>1.1599999999999999E-2</v>
      </c>
      <c r="H3565" s="15">
        <v>0.14610000000000001</v>
      </c>
      <c r="I3565" s="15">
        <v>0.1031946811345703</v>
      </c>
    </row>
    <row r="3566" spans="1:9" x14ac:dyDescent="0.2">
      <c r="A3566" s="2" t="s">
        <v>9277</v>
      </c>
      <c r="B3566" s="2" t="s">
        <v>7007</v>
      </c>
      <c r="C3566" s="2" t="s">
        <v>9278</v>
      </c>
      <c r="D3566" s="2" t="s">
        <v>10055</v>
      </c>
      <c r="E3566" s="15">
        <v>2.7099999999999999E-2</v>
      </c>
      <c r="F3566" s="15">
        <v>0.11600000000000001</v>
      </c>
      <c r="G3566" s="15">
        <v>0.12670000000000001</v>
      </c>
      <c r="H3566" s="15">
        <v>0.28770000000000001</v>
      </c>
      <c r="I3566" s="15">
        <v>0.3723730063717352</v>
      </c>
    </row>
    <row r="3567" spans="1:9" x14ac:dyDescent="0.2">
      <c r="A3567" s="2" t="s">
        <v>9279</v>
      </c>
      <c r="B3567" s="2" t="s">
        <v>7007</v>
      </c>
      <c r="C3567" s="2" t="s">
        <v>9280</v>
      </c>
      <c r="D3567" s="2" t="s">
        <v>10055</v>
      </c>
      <c r="E3567" s="15">
        <v>0.1154</v>
      </c>
      <c r="F3567" s="15">
        <v>0.11600000000000001</v>
      </c>
      <c r="G3567" s="15">
        <v>0.12889999999999999</v>
      </c>
      <c r="H3567" s="15">
        <v>0.10780000000000001</v>
      </c>
      <c r="I3567" s="15">
        <v>0.45563926882043082</v>
      </c>
    </row>
    <row r="3568" spans="1:9" x14ac:dyDescent="0.2">
      <c r="A3568" s="2" t="s">
        <v>9281</v>
      </c>
      <c r="B3568" s="2" t="s">
        <v>7007</v>
      </c>
      <c r="C3568" s="2" t="s">
        <v>9282</v>
      </c>
      <c r="D3568" s="2" t="s">
        <v>10055</v>
      </c>
      <c r="E3568" s="15">
        <v>-6.7799999999999999E-2</v>
      </c>
      <c r="F3568" s="15">
        <v>0.15110000000000001</v>
      </c>
      <c r="G3568" s="15">
        <v>-0.1285</v>
      </c>
      <c r="H3568" s="15">
        <v>0.1105</v>
      </c>
      <c r="I3568" s="15">
        <v>0.31607817763108093</v>
      </c>
    </row>
    <row r="3569" spans="1:9" x14ac:dyDescent="0.2">
      <c r="A3569" s="2" t="s">
        <v>9283</v>
      </c>
      <c r="B3569" s="2" t="s">
        <v>7007</v>
      </c>
      <c r="C3569" s="2" t="s">
        <v>9284</v>
      </c>
      <c r="D3569" s="2" t="s">
        <v>10055</v>
      </c>
      <c r="E3569" s="15">
        <v>-2.24E-2</v>
      </c>
      <c r="F3569" s="15">
        <v>0.13930000000000001</v>
      </c>
      <c r="G3569" s="15">
        <v>5.7999999999999996E-3</v>
      </c>
      <c r="H3569" s="15">
        <v>0.27950000000000003</v>
      </c>
      <c r="I3569" s="15">
        <v>0.46083059723096359</v>
      </c>
    </row>
    <row r="3570" spans="1:9" x14ac:dyDescent="0.2">
      <c r="A3570" s="2" t="s">
        <v>9285</v>
      </c>
      <c r="B3570" s="2" t="s">
        <v>7007</v>
      </c>
      <c r="C3570" s="2" t="s">
        <v>9286</v>
      </c>
      <c r="D3570" s="2" t="s">
        <v>10055</v>
      </c>
      <c r="E3570" s="15">
        <v>-0.24279999999999999</v>
      </c>
      <c r="F3570" s="15">
        <v>0.17100000000000001</v>
      </c>
      <c r="G3570" s="15">
        <v>-0.1265</v>
      </c>
      <c r="H3570" s="15">
        <v>0.1288</v>
      </c>
      <c r="I3570" s="15">
        <v>0.20779678482557939</v>
      </c>
    </row>
    <row r="3571" spans="1:9" x14ac:dyDescent="0.2">
      <c r="A3571" s="2" t="s">
        <v>9287</v>
      </c>
      <c r="B3571" s="2" t="s">
        <v>7007</v>
      </c>
      <c r="C3571" s="2" t="s">
        <v>9288</v>
      </c>
      <c r="D3571" s="2" t="s">
        <v>10055</v>
      </c>
      <c r="E3571" s="15">
        <v>0.15790000000000001</v>
      </c>
      <c r="F3571" s="15">
        <v>0.1002</v>
      </c>
      <c r="G3571" s="15">
        <v>-0.105</v>
      </c>
      <c r="H3571" s="15">
        <v>9.3299999999999994E-2</v>
      </c>
      <c r="I3571" s="15">
        <v>8.8658422875497363E-3</v>
      </c>
    </row>
    <row r="3572" spans="1:9" x14ac:dyDescent="0.2">
      <c r="A3572" s="2" t="s">
        <v>9289</v>
      </c>
      <c r="B3572" s="2" t="s">
        <v>7007</v>
      </c>
      <c r="C3572" s="2" t="s">
        <v>9290</v>
      </c>
      <c r="D3572" s="2" t="s">
        <v>10055</v>
      </c>
      <c r="E3572" s="15">
        <v>-0.28970000000000001</v>
      </c>
      <c r="F3572" s="15">
        <v>0.2253</v>
      </c>
      <c r="G3572" s="15">
        <v>4.3999999999999997E-2</v>
      </c>
      <c r="H3572" s="15">
        <v>0.13320000000000001</v>
      </c>
      <c r="I3572" s="15">
        <v>1.7042178072764692E-2</v>
      </c>
    </row>
    <row r="3573" spans="1:9" x14ac:dyDescent="0.2">
      <c r="A3573" s="2" t="s">
        <v>9291</v>
      </c>
      <c r="B3573" s="2" t="s">
        <v>7007</v>
      </c>
      <c r="C3573" s="2" t="s">
        <v>9292</v>
      </c>
      <c r="D3573" s="2" t="s">
        <v>10055</v>
      </c>
      <c r="E3573" s="15">
        <v>0.34510000000000002</v>
      </c>
      <c r="F3573" s="15">
        <v>0.17580000000000001</v>
      </c>
      <c r="G3573" s="15">
        <v>8.1100000000000005E-2</v>
      </c>
      <c r="H3573" s="15">
        <v>0.1278</v>
      </c>
      <c r="I3573" s="15">
        <v>3.304880547476273E-2</v>
      </c>
    </row>
    <row r="3574" spans="1:9" x14ac:dyDescent="0.2">
      <c r="A3574" s="2" t="s">
        <v>9293</v>
      </c>
      <c r="B3574" s="2" t="s">
        <v>7007</v>
      </c>
      <c r="C3574" s="2" t="s">
        <v>9294</v>
      </c>
      <c r="D3574" s="2" t="s">
        <v>10055</v>
      </c>
      <c r="E3574" s="15">
        <v>0.42249999999999999</v>
      </c>
      <c r="F3574" s="15">
        <v>0.31569999999999998</v>
      </c>
      <c r="G3574" s="15">
        <v>0.40510000000000002</v>
      </c>
      <c r="H3574" s="15">
        <v>0.83579999999999999</v>
      </c>
      <c r="I3574" s="15">
        <v>0.49179407363986449</v>
      </c>
    </row>
    <row r="3575" spans="1:9" x14ac:dyDescent="0.2">
      <c r="A3575" s="2" t="s">
        <v>9295</v>
      </c>
      <c r="B3575" s="2" t="s">
        <v>7007</v>
      </c>
      <c r="C3575" s="2" t="s">
        <v>9296</v>
      </c>
      <c r="D3575" s="2" t="s">
        <v>10055</v>
      </c>
      <c r="E3575" s="15">
        <v>6.0499999999999998E-2</v>
      </c>
      <c r="F3575" s="15">
        <v>0.1792</v>
      </c>
      <c r="G3575" s="15">
        <v>-0.51270000000000004</v>
      </c>
      <c r="H3575" s="15">
        <v>0.29459999999999997</v>
      </c>
      <c r="I3575" s="15">
        <v>3.001564928932467E-2</v>
      </c>
    </row>
    <row r="3576" spans="1:9" x14ac:dyDescent="0.2">
      <c r="A3576" s="2" t="s">
        <v>9297</v>
      </c>
      <c r="B3576" s="2" t="s">
        <v>7007</v>
      </c>
      <c r="C3576" s="2" t="s">
        <v>9298</v>
      </c>
      <c r="D3576" s="2" t="s">
        <v>10055</v>
      </c>
      <c r="E3576" s="15">
        <v>-6.4500000000000002E-2</v>
      </c>
      <c r="F3576" s="15">
        <v>0.18709999999999999</v>
      </c>
      <c r="G3576" s="15">
        <v>-0.1439</v>
      </c>
      <c r="H3576" s="15">
        <v>0.18410000000000001</v>
      </c>
      <c r="I3576" s="15">
        <v>0.34279141655631817</v>
      </c>
    </row>
    <row r="3577" spans="1:9" x14ac:dyDescent="0.2">
      <c r="A3577" s="2" t="s">
        <v>9299</v>
      </c>
      <c r="B3577" s="2" t="s">
        <v>7007</v>
      </c>
      <c r="C3577" s="2" t="s">
        <v>9300</v>
      </c>
      <c r="D3577" s="2" t="s">
        <v>10055</v>
      </c>
    </row>
    <row r="3578" spans="1:9" x14ac:dyDescent="0.2">
      <c r="A3578" s="2" t="s">
        <v>9301</v>
      </c>
      <c r="B3578" s="2" t="s">
        <v>7007</v>
      </c>
      <c r="C3578" s="2" t="s">
        <v>9302</v>
      </c>
      <c r="D3578" s="2" t="s">
        <v>10055</v>
      </c>
      <c r="G3578" s="15">
        <v>7.9699999999999993E-2</v>
      </c>
      <c r="H3578" s="15">
        <v>0.18079999999999999</v>
      </c>
    </row>
    <row r="3579" spans="1:9" x14ac:dyDescent="0.2">
      <c r="A3579" s="2" t="s">
        <v>9303</v>
      </c>
      <c r="B3579" s="2" t="s">
        <v>7007</v>
      </c>
      <c r="C3579" s="2" t="s">
        <v>9304</v>
      </c>
      <c r="D3579" s="2" t="s">
        <v>10055</v>
      </c>
      <c r="E3579" s="15">
        <v>0.33389999999999997</v>
      </c>
      <c r="F3579" s="15">
        <v>0.2029</v>
      </c>
      <c r="G3579" s="15">
        <v>2.0299999999999999E-2</v>
      </c>
      <c r="H3579" s="15">
        <v>0.1013</v>
      </c>
      <c r="I3579" s="15">
        <v>3.0960106325624878E-3</v>
      </c>
    </row>
    <row r="3580" spans="1:9" x14ac:dyDescent="0.2">
      <c r="A3580" s="2" t="s">
        <v>9305</v>
      </c>
      <c r="B3580" s="2" t="s">
        <v>7007</v>
      </c>
      <c r="C3580" s="2" t="s">
        <v>9306</v>
      </c>
      <c r="D3580" s="2" t="s">
        <v>10055</v>
      </c>
      <c r="E3580" s="15">
        <v>-9.7299999999999998E-2</v>
      </c>
      <c r="F3580" s="15">
        <v>0.1394</v>
      </c>
      <c r="G3580" s="15">
        <v>6.1199999999999997E-2</v>
      </c>
      <c r="H3580" s="15">
        <v>0.15479999999999999</v>
      </c>
      <c r="I3580" s="15">
        <v>0.17859116013034659</v>
      </c>
    </row>
    <row r="3581" spans="1:9" x14ac:dyDescent="0.2">
      <c r="A3581" s="2" t="s">
        <v>9307</v>
      </c>
      <c r="B3581" s="2" t="s">
        <v>7007</v>
      </c>
      <c r="C3581" s="2" t="s">
        <v>9308</v>
      </c>
      <c r="D3581" s="2" t="s">
        <v>10055</v>
      </c>
      <c r="E3581" s="15">
        <v>6.3700000000000007E-2</v>
      </c>
      <c r="F3581" s="15">
        <v>0.21</v>
      </c>
    </row>
    <row r="3582" spans="1:9" x14ac:dyDescent="0.2">
      <c r="A3582" s="2" t="s">
        <v>9309</v>
      </c>
      <c r="B3582" s="2" t="s">
        <v>7007</v>
      </c>
      <c r="C3582" s="2" t="s">
        <v>9310</v>
      </c>
      <c r="D3582" s="2" t="s">
        <v>10055</v>
      </c>
      <c r="E3582" s="15">
        <v>-0.22439999999999999</v>
      </c>
      <c r="F3582" s="15">
        <v>0.18559999999999999</v>
      </c>
      <c r="G3582" s="15">
        <v>-8.6099999999999996E-2</v>
      </c>
      <c r="H3582" s="15">
        <v>9.9699999999999997E-2</v>
      </c>
      <c r="I3582" s="15">
        <v>0.13636599848794931</v>
      </c>
    </row>
    <row r="3583" spans="1:9" x14ac:dyDescent="0.2">
      <c r="A3583" s="2" t="s">
        <v>9311</v>
      </c>
      <c r="B3583" s="2" t="s">
        <v>7007</v>
      </c>
      <c r="C3583" s="2" t="s">
        <v>9312</v>
      </c>
      <c r="D3583" s="2" t="s">
        <v>10055</v>
      </c>
      <c r="E3583" s="15">
        <v>-0.15890000000000001</v>
      </c>
      <c r="F3583" s="15">
        <v>9.7199999999999995E-2</v>
      </c>
      <c r="G3583" s="15">
        <v>0.1535</v>
      </c>
      <c r="H3583" s="15">
        <v>0.11210000000000001</v>
      </c>
      <c r="I3583" s="15">
        <v>6.9874796146947686E-3</v>
      </c>
    </row>
    <row r="3584" spans="1:9" x14ac:dyDescent="0.2">
      <c r="A3584" s="2" t="s">
        <v>9313</v>
      </c>
      <c r="B3584" s="2" t="s">
        <v>7007</v>
      </c>
      <c r="C3584" s="2" t="s">
        <v>9314</v>
      </c>
      <c r="D3584" s="2" t="s">
        <v>10055</v>
      </c>
      <c r="G3584" s="15">
        <v>-6.8099999999999994E-2</v>
      </c>
      <c r="H3584" s="15">
        <v>0.192</v>
      </c>
    </row>
    <row r="3585" spans="1:9" x14ac:dyDescent="0.2">
      <c r="A3585" s="2" t="s">
        <v>9315</v>
      </c>
      <c r="B3585" s="2" t="s">
        <v>7007</v>
      </c>
      <c r="C3585" s="2" t="s">
        <v>9316</v>
      </c>
      <c r="D3585" s="2" t="s">
        <v>10055</v>
      </c>
    </row>
    <row r="3586" spans="1:9" x14ac:dyDescent="0.2">
      <c r="A3586" s="2" t="s">
        <v>9317</v>
      </c>
      <c r="B3586" s="2" t="s">
        <v>7007</v>
      </c>
      <c r="C3586" s="2" t="s">
        <v>9318</v>
      </c>
      <c r="D3586" s="2" t="s">
        <v>10055</v>
      </c>
      <c r="E3586" s="15">
        <v>0.1072</v>
      </c>
      <c r="F3586" s="15">
        <v>0.1285</v>
      </c>
      <c r="G3586" s="15">
        <v>0.16339999999999999</v>
      </c>
      <c r="H3586" s="15">
        <v>0.16750000000000001</v>
      </c>
      <c r="I3586" s="15">
        <v>0.3809016279703899</v>
      </c>
    </row>
    <row r="3587" spans="1:9" x14ac:dyDescent="0.2">
      <c r="A3587" s="2" t="s">
        <v>9319</v>
      </c>
      <c r="B3587" s="2" t="s">
        <v>7007</v>
      </c>
      <c r="C3587" s="2" t="s">
        <v>9320</v>
      </c>
      <c r="D3587" s="2" t="s">
        <v>10055</v>
      </c>
      <c r="E3587" s="15">
        <v>0.25480000000000003</v>
      </c>
      <c r="F3587" s="15">
        <v>0.11360000000000001</v>
      </c>
      <c r="G3587" s="15">
        <v>1.1999999999999999E-3</v>
      </c>
      <c r="H3587" s="15">
        <v>0.13830000000000001</v>
      </c>
      <c r="I3587" s="15">
        <v>5.192375538235016E-2</v>
      </c>
    </row>
    <row r="3588" spans="1:9" x14ac:dyDescent="0.2">
      <c r="A3588" s="2" t="s">
        <v>9321</v>
      </c>
      <c r="B3588" s="2" t="s">
        <v>7007</v>
      </c>
      <c r="C3588" s="2" t="s">
        <v>9322</v>
      </c>
      <c r="D3588" s="2" t="s">
        <v>10055</v>
      </c>
      <c r="E3588" s="15">
        <v>0.1186</v>
      </c>
      <c r="F3588" s="15">
        <v>0.16869999999999999</v>
      </c>
      <c r="G3588" s="15">
        <v>-0.21479999999999999</v>
      </c>
      <c r="H3588" s="15">
        <v>0.19950000000000001</v>
      </c>
      <c r="I3588" s="15">
        <v>0.1106750772245808</v>
      </c>
    </row>
    <row r="3589" spans="1:9" x14ac:dyDescent="0.2">
      <c r="A3589" s="2" t="s">
        <v>9323</v>
      </c>
      <c r="B3589" s="2" t="s">
        <v>7007</v>
      </c>
      <c r="C3589" s="2" t="s">
        <v>9324</v>
      </c>
      <c r="D3589" s="2" t="s">
        <v>10055</v>
      </c>
      <c r="E3589" s="15">
        <v>-0.1206</v>
      </c>
      <c r="F3589" s="15">
        <v>0.1231</v>
      </c>
      <c r="G3589" s="15">
        <v>0.21929999999999999</v>
      </c>
      <c r="H3589" s="15">
        <v>0.1109</v>
      </c>
      <c r="I3589" s="15">
        <v>3.9946718947926384E-3</v>
      </c>
    </row>
    <row r="3590" spans="1:9" x14ac:dyDescent="0.2">
      <c r="A3590" s="2" t="s">
        <v>9325</v>
      </c>
      <c r="B3590" s="2" t="s">
        <v>7007</v>
      </c>
      <c r="C3590" s="2" t="s">
        <v>9326</v>
      </c>
      <c r="D3590" s="2" t="s">
        <v>10055</v>
      </c>
      <c r="E3590" s="15">
        <v>7.0099999999999996E-2</v>
      </c>
      <c r="F3590" s="15">
        <v>0.12640000000000001</v>
      </c>
      <c r="G3590" s="15">
        <v>0.1673</v>
      </c>
      <c r="H3590" s="15">
        <v>0.2702</v>
      </c>
    </row>
    <row r="3591" spans="1:9" x14ac:dyDescent="0.2">
      <c r="A3591" s="2" t="s">
        <v>9327</v>
      </c>
      <c r="B3591" s="2" t="s">
        <v>7007</v>
      </c>
      <c r="C3591" s="2" t="s">
        <v>9328</v>
      </c>
      <c r="D3591" s="2" t="s">
        <v>10055</v>
      </c>
      <c r="E3591" s="15">
        <v>0.69610000000000005</v>
      </c>
      <c r="F3591" s="15">
        <v>0.68920000000000003</v>
      </c>
    </row>
    <row r="3592" spans="1:9" x14ac:dyDescent="0.2">
      <c r="A3592" s="2" t="s">
        <v>9329</v>
      </c>
      <c r="B3592" s="2" t="s">
        <v>7007</v>
      </c>
      <c r="C3592" s="2" t="s">
        <v>9330</v>
      </c>
      <c r="D3592" s="2" t="s">
        <v>10055</v>
      </c>
      <c r="E3592" s="15">
        <v>-0.1421</v>
      </c>
      <c r="F3592" s="15">
        <v>0.11169999999999999</v>
      </c>
      <c r="G3592" s="15">
        <v>-3.0599999999999999E-2</v>
      </c>
      <c r="H3592" s="15">
        <v>0.1321</v>
      </c>
      <c r="I3592" s="15">
        <v>0.22267370430185129</v>
      </c>
    </row>
    <row r="3593" spans="1:9" x14ac:dyDescent="0.2">
      <c r="A3593" s="2" t="s">
        <v>9331</v>
      </c>
      <c r="B3593" s="2" t="s">
        <v>7007</v>
      </c>
      <c r="C3593" s="2" t="s">
        <v>9332</v>
      </c>
      <c r="D3593" s="2" t="s">
        <v>10055</v>
      </c>
      <c r="G3593" s="15">
        <v>5.0299999999999997E-2</v>
      </c>
      <c r="H3593" s="15">
        <v>0.1095</v>
      </c>
    </row>
    <row r="3594" spans="1:9" x14ac:dyDescent="0.2">
      <c r="A3594" s="2" t="s">
        <v>9333</v>
      </c>
      <c r="B3594" s="2" t="s">
        <v>7007</v>
      </c>
      <c r="C3594" s="2" t="s">
        <v>9334</v>
      </c>
      <c r="D3594" s="2" t="s">
        <v>10055</v>
      </c>
      <c r="E3594" s="15">
        <v>0.2283</v>
      </c>
      <c r="F3594" s="15">
        <v>0.13200000000000001</v>
      </c>
      <c r="G3594" s="15">
        <v>0.18920000000000001</v>
      </c>
      <c r="H3594" s="15">
        <v>0.27860000000000001</v>
      </c>
      <c r="I3594" s="15">
        <v>0.44586561486147441</v>
      </c>
    </row>
    <row r="3595" spans="1:9" x14ac:dyDescent="0.2">
      <c r="A3595" s="2" t="s">
        <v>9335</v>
      </c>
      <c r="B3595" s="2" t="s">
        <v>7007</v>
      </c>
      <c r="C3595" s="2" t="s">
        <v>9336</v>
      </c>
      <c r="D3595" s="2" t="s">
        <v>10055</v>
      </c>
      <c r="E3595" s="15">
        <v>-8.2699999999999996E-2</v>
      </c>
      <c r="F3595" s="15">
        <v>8.0600000000000005E-2</v>
      </c>
      <c r="G3595" s="15">
        <v>-0.33229999999999998</v>
      </c>
      <c r="H3595" s="15">
        <v>0.14149999999999999</v>
      </c>
      <c r="I3595" s="15">
        <v>4.5954564466854822E-2</v>
      </c>
    </row>
    <row r="3596" spans="1:9" x14ac:dyDescent="0.2">
      <c r="A3596" s="2" t="s">
        <v>9337</v>
      </c>
      <c r="B3596" s="2" t="s">
        <v>7007</v>
      </c>
      <c r="C3596" s="2" t="s">
        <v>9338</v>
      </c>
      <c r="D3596" s="2" t="s">
        <v>10055</v>
      </c>
      <c r="G3596" s="15">
        <v>-8.2299999999999998E-2</v>
      </c>
      <c r="H3596" s="15">
        <v>0.13289999999999999</v>
      </c>
    </row>
    <row r="3597" spans="1:9" x14ac:dyDescent="0.2">
      <c r="A3597" s="2" t="s">
        <v>9339</v>
      </c>
      <c r="B3597" s="2" t="s">
        <v>7007</v>
      </c>
      <c r="C3597" s="2" t="s">
        <v>9340</v>
      </c>
      <c r="D3597" s="2" t="s">
        <v>10055</v>
      </c>
      <c r="E3597" s="15">
        <v>-1.8700000000000001E-2</v>
      </c>
      <c r="F3597" s="15">
        <v>0.1188</v>
      </c>
      <c r="G3597" s="15">
        <v>-0.1203</v>
      </c>
      <c r="H3597" s="15">
        <v>0.109</v>
      </c>
      <c r="I3597" s="15">
        <v>0.2145201085086984</v>
      </c>
    </row>
    <row r="3598" spans="1:9" x14ac:dyDescent="0.2">
      <c r="A3598" s="2" t="s">
        <v>9341</v>
      </c>
      <c r="B3598" s="2" t="s">
        <v>7007</v>
      </c>
      <c r="C3598" s="2" t="s">
        <v>9342</v>
      </c>
      <c r="D3598" s="2" t="s">
        <v>10055</v>
      </c>
      <c r="E3598" s="15">
        <v>-0.1019</v>
      </c>
      <c r="F3598" s="15">
        <v>0.14249999999999999</v>
      </c>
      <c r="G3598" s="15">
        <v>-0.2954</v>
      </c>
      <c r="H3598" s="15">
        <v>0.22239999999999999</v>
      </c>
      <c r="I3598" s="15">
        <v>0.20402795808519431</v>
      </c>
    </row>
    <row r="3599" spans="1:9" x14ac:dyDescent="0.2">
      <c r="A3599" s="2" t="s">
        <v>9343</v>
      </c>
      <c r="B3599" s="2" t="s">
        <v>7007</v>
      </c>
      <c r="C3599" s="2" t="s">
        <v>9344</v>
      </c>
      <c r="D3599" s="2" t="s">
        <v>10055</v>
      </c>
    </row>
    <row r="3600" spans="1:9" x14ac:dyDescent="0.2">
      <c r="A3600" s="2" t="s">
        <v>9345</v>
      </c>
      <c r="B3600" s="2" t="s">
        <v>7007</v>
      </c>
      <c r="C3600" s="2" t="s">
        <v>9346</v>
      </c>
      <c r="D3600" s="2" t="s">
        <v>10055</v>
      </c>
      <c r="E3600" s="15">
        <v>-0.10780000000000001</v>
      </c>
      <c r="F3600" s="15">
        <v>0.14030000000000001</v>
      </c>
      <c r="G3600" s="15">
        <v>-0.12909999999999999</v>
      </c>
      <c r="H3600" s="15">
        <v>0.25719999999999998</v>
      </c>
      <c r="I3600" s="15">
        <v>0.46859789355735348</v>
      </c>
    </row>
    <row r="3601" spans="1:9" x14ac:dyDescent="0.2">
      <c r="A3601" s="2" t="s">
        <v>9347</v>
      </c>
      <c r="B3601" s="2" t="s">
        <v>7007</v>
      </c>
      <c r="C3601" s="2" t="s">
        <v>9348</v>
      </c>
      <c r="D3601" s="2" t="s">
        <v>10055</v>
      </c>
      <c r="G3601" s="15">
        <v>0.1129</v>
      </c>
      <c r="H3601" s="15">
        <v>0.14990000000000001</v>
      </c>
    </row>
    <row r="3602" spans="1:9" x14ac:dyDescent="0.2">
      <c r="A3602" s="2" t="s">
        <v>9349</v>
      </c>
      <c r="B3602" s="2" t="s">
        <v>7007</v>
      </c>
      <c r="C3602" s="2" t="s">
        <v>9350</v>
      </c>
      <c r="D3602" s="2" t="s">
        <v>10055</v>
      </c>
      <c r="E3602" s="15">
        <v>-5.3199999999999997E-2</v>
      </c>
      <c r="F3602" s="15">
        <v>9.2700000000000005E-2</v>
      </c>
      <c r="G3602" s="15">
        <v>-0.10879999999999999</v>
      </c>
      <c r="H3602" s="15">
        <v>9.9500000000000005E-2</v>
      </c>
      <c r="I3602" s="15">
        <v>0.30985532850347652</v>
      </c>
    </row>
    <row r="3603" spans="1:9" x14ac:dyDescent="0.2">
      <c r="A3603" s="2" t="s">
        <v>9351</v>
      </c>
      <c r="B3603" s="2" t="s">
        <v>7007</v>
      </c>
      <c r="C3603" s="2" t="s">
        <v>9352</v>
      </c>
      <c r="D3603" s="2" t="s">
        <v>10055</v>
      </c>
      <c r="E3603" s="15">
        <v>-6.6E-3</v>
      </c>
      <c r="F3603" s="15">
        <v>0.11600000000000001</v>
      </c>
      <c r="G3603" s="15">
        <v>0.61</v>
      </c>
      <c r="H3603" s="15">
        <v>0.6331</v>
      </c>
      <c r="I3603" s="15">
        <v>0.16625756464903391</v>
      </c>
    </row>
    <row r="3604" spans="1:9" x14ac:dyDescent="0.2">
      <c r="A3604" s="2" t="s">
        <v>9353</v>
      </c>
      <c r="B3604" s="2" t="s">
        <v>7007</v>
      </c>
      <c r="C3604" s="2" t="s">
        <v>9354</v>
      </c>
      <c r="D3604" s="2" t="s">
        <v>10055</v>
      </c>
      <c r="E3604" s="15">
        <v>-2.7400000000000001E-2</v>
      </c>
      <c r="F3604" s="15">
        <v>0.1341</v>
      </c>
    </row>
    <row r="3605" spans="1:9" x14ac:dyDescent="0.2">
      <c r="A3605" s="2" t="s">
        <v>9355</v>
      </c>
      <c r="B3605" s="2" t="s">
        <v>7007</v>
      </c>
      <c r="C3605" s="2" t="s">
        <v>9356</v>
      </c>
      <c r="D3605" s="2" t="s">
        <v>10055</v>
      </c>
      <c r="E3605" s="15">
        <v>-5.3699999999999998E-2</v>
      </c>
      <c r="F3605" s="15">
        <v>0.13730000000000001</v>
      </c>
      <c r="G3605" s="15">
        <v>0.29110000000000003</v>
      </c>
      <c r="H3605" s="15">
        <v>0.59699999999999998</v>
      </c>
      <c r="I3605" s="15">
        <v>0.28338679673909128</v>
      </c>
    </row>
    <row r="3606" spans="1:9" x14ac:dyDescent="0.2">
      <c r="A3606" s="2" t="s">
        <v>9357</v>
      </c>
      <c r="B3606" s="2" t="s">
        <v>7007</v>
      </c>
      <c r="C3606" s="2" t="s">
        <v>9358</v>
      </c>
      <c r="D3606" s="2" t="s">
        <v>10055</v>
      </c>
      <c r="E3606" s="15">
        <v>9.9099999999999994E-2</v>
      </c>
      <c r="F3606" s="15">
        <v>0.1113</v>
      </c>
      <c r="G3606" s="15">
        <v>-0.188</v>
      </c>
      <c r="H3606" s="15">
        <v>0.1308</v>
      </c>
      <c r="I3606" s="15">
        <v>3.1964649752600167E-2</v>
      </c>
    </row>
    <row r="3607" spans="1:9" x14ac:dyDescent="0.2">
      <c r="A3607" s="2" t="s">
        <v>9359</v>
      </c>
      <c r="B3607" s="2" t="s">
        <v>7007</v>
      </c>
      <c r="C3607" s="2" t="s">
        <v>9360</v>
      </c>
      <c r="D3607" s="2" t="s">
        <v>10055</v>
      </c>
      <c r="E3607" s="15">
        <v>-3.6200000000000003E-2</v>
      </c>
      <c r="F3607" s="15">
        <v>0.14360000000000001</v>
      </c>
    </row>
    <row r="3608" spans="1:9" x14ac:dyDescent="0.2">
      <c r="A3608" s="2" t="s">
        <v>9361</v>
      </c>
      <c r="B3608" s="2" t="s">
        <v>7007</v>
      </c>
      <c r="C3608" s="2" t="s">
        <v>9362</v>
      </c>
      <c r="D3608" s="2" t="s">
        <v>10055</v>
      </c>
      <c r="E3608" s="15">
        <v>-0.11849999999999999</v>
      </c>
      <c r="F3608" s="15">
        <v>0.1389</v>
      </c>
      <c r="G3608" s="15">
        <v>-4.9000000000000002E-2</v>
      </c>
      <c r="H3608" s="15">
        <v>0.34889999999999999</v>
      </c>
      <c r="I3608" s="15">
        <v>0.424054768994231</v>
      </c>
    </row>
    <row r="3609" spans="1:9" x14ac:dyDescent="0.2">
      <c r="A3609" s="2" t="s">
        <v>9363</v>
      </c>
      <c r="B3609" s="2" t="s">
        <v>7007</v>
      </c>
      <c r="C3609" s="2" t="s">
        <v>9364</v>
      </c>
      <c r="D3609" s="2" t="s">
        <v>10055</v>
      </c>
      <c r="E3609" s="15">
        <v>-0.1976</v>
      </c>
      <c r="F3609" s="15">
        <v>0.3261</v>
      </c>
    </row>
    <row r="3610" spans="1:9" x14ac:dyDescent="0.2">
      <c r="A3610" s="2" t="s">
        <v>9365</v>
      </c>
      <c r="B3610" s="2" t="s">
        <v>7007</v>
      </c>
      <c r="C3610" s="2" t="s">
        <v>9366</v>
      </c>
      <c r="D3610" s="2" t="s">
        <v>10055</v>
      </c>
      <c r="E3610" s="15">
        <v>0.20380000000000001</v>
      </c>
      <c r="F3610" s="15">
        <v>0.36780000000000002</v>
      </c>
      <c r="G3610" s="15">
        <v>5.0099999999999999E-2</v>
      </c>
      <c r="H3610" s="15">
        <v>0.27789999999999998</v>
      </c>
      <c r="I3610" s="15">
        <v>0.29739851560706898</v>
      </c>
    </row>
    <row r="3611" spans="1:9" x14ac:dyDescent="0.2">
      <c r="A3611" s="2" t="s">
        <v>9367</v>
      </c>
      <c r="B3611" s="2" t="s">
        <v>7007</v>
      </c>
      <c r="C3611" s="2" t="s">
        <v>9368</v>
      </c>
      <c r="D3611" s="2" t="s">
        <v>10055</v>
      </c>
      <c r="E3611" s="15">
        <v>-0.31879999999999997</v>
      </c>
      <c r="F3611" s="15">
        <v>0.1197</v>
      </c>
      <c r="G3611" s="15">
        <v>0.1229</v>
      </c>
      <c r="H3611" s="15">
        <v>0.188</v>
      </c>
      <c r="I3611" s="15">
        <v>1.531394672463064E-2</v>
      </c>
    </row>
    <row r="3612" spans="1:9" x14ac:dyDescent="0.2">
      <c r="A3612" s="2" t="s">
        <v>9369</v>
      </c>
      <c r="B3612" s="2" t="s">
        <v>7007</v>
      </c>
      <c r="C3612" s="2" t="s">
        <v>9370</v>
      </c>
      <c r="D3612" s="2" t="s">
        <v>10055</v>
      </c>
      <c r="E3612" s="15">
        <v>0.30099999999999999</v>
      </c>
      <c r="F3612" s="15">
        <v>0.17050000000000001</v>
      </c>
    </row>
    <row r="3613" spans="1:9" x14ac:dyDescent="0.2">
      <c r="A3613" s="2" t="s">
        <v>9371</v>
      </c>
      <c r="B3613" s="2" t="s">
        <v>7007</v>
      </c>
      <c r="C3613" s="2" t="s">
        <v>9372</v>
      </c>
      <c r="D3613" s="2" t="s">
        <v>10055</v>
      </c>
      <c r="E3613" s="15">
        <v>-0.1525</v>
      </c>
      <c r="F3613" s="15">
        <v>0.21199999999999999</v>
      </c>
    </row>
    <row r="3614" spans="1:9" x14ac:dyDescent="0.2">
      <c r="A3614" s="2" t="s">
        <v>9373</v>
      </c>
      <c r="B3614" s="2" t="s">
        <v>7007</v>
      </c>
      <c r="C3614" s="2" t="s">
        <v>9374</v>
      </c>
      <c r="D3614" s="2" t="s">
        <v>10055</v>
      </c>
      <c r="G3614" s="15">
        <v>0.26050000000000001</v>
      </c>
      <c r="H3614" s="15">
        <v>0.47589999999999999</v>
      </c>
    </row>
    <row r="3615" spans="1:9" x14ac:dyDescent="0.2">
      <c r="A3615" s="2" t="s">
        <v>9375</v>
      </c>
      <c r="B3615" s="2" t="s">
        <v>7007</v>
      </c>
      <c r="C3615" s="2" t="s">
        <v>9376</v>
      </c>
      <c r="D3615" s="2" t="s">
        <v>10055</v>
      </c>
      <c r="E3615" s="15">
        <v>-8.8999999999999996E-2</v>
      </c>
      <c r="F3615" s="15">
        <v>0.12839999999999999</v>
      </c>
      <c r="G3615" s="15">
        <v>-8.9800000000000005E-2</v>
      </c>
      <c r="H3615" s="15">
        <v>0.2883</v>
      </c>
      <c r="I3615" s="15">
        <v>0.49895444895475299</v>
      </c>
    </row>
    <row r="3616" spans="1:9" x14ac:dyDescent="0.2">
      <c r="A3616" s="2" t="s">
        <v>9377</v>
      </c>
      <c r="B3616" s="2" t="s">
        <v>7007</v>
      </c>
      <c r="C3616" s="2" t="s">
        <v>9378</v>
      </c>
      <c r="D3616" s="2" t="s">
        <v>10055</v>
      </c>
      <c r="G3616" s="15">
        <v>5.6099999999999997E-2</v>
      </c>
      <c r="H3616" s="15">
        <v>0.12740000000000001</v>
      </c>
    </row>
    <row r="3617" spans="1:9" x14ac:dyDescent="0.2">
      <c r="A3617" s="2" t="s">
        <v>9379</v>
      </c>
      <c r="B3617" s="2" t="s">
        <v>7007</v>
      </c>
      <c r="C3617" s="2" t="s">
        <v>9380</v>
      </c>
      <c r="D3617" s="2" t="s">
        <v>10055</v>
      </c>
      <c r="E3617" s="15">
        <v>2.8E-3</v>
      </c>
      <c r="F3617" s="15">
        <v>0.1988</v>
      </c>
      <c r="G3617" s="15">
        <v>6.0999999999999999E-2</v>
      </c>
      <c r="H3617" s="15">
        <v>0.25440000000000002</v>
      </c>
      <c r="I3617" s="15">
        <v>0.41737345765376571</v>
      </c>
    </row>
    <row r="3618" spans="1:9" x14ac:dyDescent="0.2">
      <c r="A3618" s="2" t="s">
        <v>9381</v>
      </c>
      <c r="B3618" s="2" t="s">
        <v>7007</v>
      </c>
      <c r="C3618" s="2" t="s">
        <v>9382</v>
      </c>
      <c r="D3618" s="2" t="s">
        <v>10055</v>
      </c>
      <c r="G3618" s="15">
        <v>-0.1832</v>
      </c>
      <c r="H3618" s="15">
        <v>0.1484</v>
      </c>
    </row>
    <row r="3619" spans="1:9" x14ac:dyDescent="0.2">
      <c r="A3619" s="2" t="s">
        <v>9383</v>
      </c>
      <c r="B3619" s="2" t="s">
        <v>7007</v>
      </c>
      <c r="C3619" s="2" t="s">
        <v>9384</v>
      </c>
      <c r="D3619" s="2" t="s">
        <v>10055</v>
      </c>
      <c r="E3619" s="15">
        <v>-2.5000000000000001E-2</v>
      </c>
      <c r="F3619" s="15">
        <v>0.1588</v>
      </c>
      <c r="G3619" s="15">
        <v>0.28000000000000003</v>
      </c>
      <c r="H3619" s="15">
        <v>0.37269999999999998</v>
      </c>
      <c r="I3619" s="15">
        <v>0.21377166887243829</v>
      </c>
    </row>
    <row r="3620" spans="1:9" x14ac:dyDescent="0.2">
      <c r="A3620" s="2" t="s">
        <v>9385</v>
      </c>
      <c r="B3620" s="2" t="s">
        <v>7007</v>
      </c>
      <c r="C3620" s="2" t="s">
        <v>9386</v>
      </c>
      <c r="D3620" s="2" t="s">
        <v>10055</v>
      </c>
      <c r="G3620" s="15">
        <v>7.0999999999999994E-2</v>
      </c>
      <c r="H3620" s="15">
        <v>0.156</v>
      </c>
    </row>
    <row r="3621" spans="1:9" x14ac:dyDescent="0.2">
      <c r="A3621" s="2" t="s">
        <v>9387</v>
      </c>
      <c r="B3621" s="2" t="s">
        <v>7007</v>
      </c>
      <c r="C3621" s="2" t="s">
        <v>9388</v>
      </c>
      <c r="D3621" s="2" t="s">
        <v>10055</v>
      </c>
      <c r="E3621" s="15">
        <v>0.1575</v>
      </c>
      <c r="F3621" s="15">
        <v>0.2248</v>
      </c>
      <c r="G3621" s="15">
        <v>7.5999999999999998E-2</v>
      </c>
      <c r="H3621" s="15">
        <v>0.1077</v>
      </c>
      <c r="I3621" s="15">
        <v>0.27526387809580549</v>
      </c>
    </row>
    <row r="3622" spans="1:9" x14ac:dyDescent="0.2">
      <c r="A3622" s="2" t="s">
        <v>9389</v>
      </c>
      <c r="B3622" s="2" t="s">
        <v>7007</v>
      </c>
      <c r="C3622" s="2" t="s">
        <v>9390</v>
      </c>
      <c r="D3622" s="2" t="s">
        <v>10055</v>
      </c>
      <c r="E3622" s="15">
        <v>-8.9200000000000002E-2</v>
      </c>
      <c r="F3622" s="15">
        <v>0.1414</v>
      </c>
    </row>
    <row r="3623" spans="1:9" x14ac:dyDescent="0.2">
      <c r="A3623" s="2" t="s">
        <v>9391</v>
      </c>
      <c r="B3623" s="2" t="s">
        <v>7007</v>
      </c>
      <c r="C3623" s="2" t="s">
        <v>9392</v>
      </c>
      <c r="D3623" s="2" t="s">
        <v>10055</v>
      </c>
    </row>
    <row r="3624" spans="1:9" x14ac:dyDescent="0.2">
      <c r="A3624" s="2" t="s">
        <v>9393</v>
      </c>
      <c r="B3624" s="2" t="s">
        <v>7007</v>
      </c>
      <c r="C3624" s="2" t="s">
        <v>9394</v>
      </c>
      <c r="D3624" s="2" t="s">
        <v>10055</v>
      </c>
      <c r="E3624" s="15">
        <v>0.32329999999999998</v>
      </c>
      <c r="F3624" s="15">
        <v>0.2475</v>
      </c>
    </row>
    <row r="3625" spans="1:9" x14ac:dyDescent="0.2">
      <c r="A3625" s="2" t="s">
        <v>9395</v>
      </c>
      <c r="B3625" s="2" t="s">
        <v>7007</v>
      </c>
      <c r="C3625" s="2" t="s">
        <v>9396</v>
      </c>
      <c r="D3625" s="2" t="s">
        <v>10055</v>
      </c>
      <c r="E3625" s="15">
        <v>2.5499999999999998E-2</v>
      </c>
      <c r="F3625" s="15">
        <v>0.188</v>
      </c>
    </row>
    <row r="3626" spans="1:9" x14ac:dyDescent="0.2">
      <c r="A3626" s="2" t="s">
        <v>9397</v>
      </c>
      <c r="B3626" s="2" t="s">
        <v>7007</v>
      </c>
      <c r="C3626" s="2" t="s">
        <v>9398</v>
      </c>
      <c r="D3626" s="2" t="s">
        <v>10055</v>
      </c>
      <c r="G3626" s="15">
        <v>8.0799999999999997E-2</v>
      </c>
      <c r="H3626" s="15">
        <v>0.18379999999999999</v>
      </c>
    </row>
    <row r="3627" spans="1:9" x14ac:dyDescent="0.2">
      <c r="A3627" s="2" t="s">
        <v>9399</v>
      </c>
      <c r="B3627" s="2" t="s">
        <v>7007</v>
      </c>
      <c r="C3627" s="2" t="s">
        <v>9400</v>
      </c>
      <c r="D3627" s="2" t="s">
        <v>10055</v>
      </c>
      <c r="E3627" s="15">
        <v>-7.4800000000000005E-2</v>
      </c>
      <c r="F3627" s="15">
        <v>0.22270000000000001</v>
      </c>
      <c r="G3627" s="15">
        <v>0.22450000000000001</v>
      </c>
      <c r="H3627" s="15">
        <v>0.12770000000000001</v>
      </c>
      <c r="I3627" s="15">
        <v>1.6656280615946002E-2</v>
      </c>
    </row>
    <row r="3628" spans="1:9" x14ac:dyDescent="0.2">
      <c r="A3628" s="2" t="s">
        <v>9401</v>
      </c>
      <c r="B3628" s="2" t="s">
        <v>7007</v>
      </c>
      <c r="C3628" s="2" t="s">
        <v>9402</v>
      </c>
      <c r="D3628" s="2" t="s">
        <v>10055</v>
      </c>
      <c r="G3628" s="15">
        <v>6.4399999999999999E-2</v>
      </c>
      <c r="H3628" s="15">
        <v>9.1999999999999998E-2</v>
      </c>
    </row>
    <row r="3629" spans="1:9" x14ac:dyDescent="0.2">
      <c r="A3629" s="2" t="s">
        <v>9403</v>
      </c>
      <c r="B3629" s="2" t="s">
        <v>7007</v>
      </c>
      <c r="C3629" s="2" t="s">
        <v>9404</v>
      </c>
      <c r="D3629" s="2" t="s">
        <v>10055</v>
      </c>
    </row>
    <row r="3630" spans="1:9" x14ac:dyDescent="0.2">
      <c r="A3630" s="2" t="s">
        <v>9405</v>
      </c>
      <c r="B3630" s="2" t="s">
        <v>7007</v>
      </c>
      <c r="C3630" s="2" t="s">
        <v>9406</v>
      </c>
      <c r="D3630" s="2" t="s">
        <v>10055</v>
      </c>
      <c r="E3630" s="15">
        <v>-3.2000000000000002E-3</v>
      </c>
      <c r="F3630" s="15">
        <v>0.12939999999999999</v>
      </c>
      <c r="G3630" s="15">
        <v>-0.17580000000000001</v>
      </c>
      <c r="H3630" s="15">
        <v>0.15049999999999999</v>
      </c>
      <c r="I3630" s="15">
        <v>0.16477400458985431</v>
      </c>
    </row>
    <row r="3631" spans="1:9" x14ac:dyDescent="0.2">
      <c r="A3631" s="2" t="s">
        <v>9407</v>
      </c>
      <c r="B3631" s="2" t="s">
        <v>7007</v>
      </c>
      <c r="C3631" s="2" t="s">
        <v>9408</v>
      </c>
      <c r="D3631" s="2" t="s">
        <v>10055</v>
      </c>
      <c r="G3631" s="15">
        <v>-0.29409999999999997</v>
      </c>
      <c r="H3631" s="15">
        <v>0.1552</v>
      </c>
    </row>
    <row r="3632" spans="1:9" x14ac:dyDescent="0.2">
      <c r="A3632" s="2" t="s">
        <v>9409</v>
      </c>
      <c r="B3632" s="2" t="s">
        <v>7007</v>
      </c>
      <c r="C3632" s="2" t="s">
        <v>9410</v>
      </c>
      <c r="D3632" s="2" t="s">
        <v>10055</v>
      </c>
      <c r="E3632" s="15">
        <v>-6.6699999999999995E-2</v>
      </c>
      <c r="F3632" s="15">
        <v>9.9699999999999997E-2</v>
      </c>
    </row>
    <row r="3633" spans="1:9" x14ac:dyDescent="0.2">
      <c r="A3633" s="2" t="s">
        <v>9411</v>
      </c>
      <c r="B3633" s="2" t="s">
        <v>7007</v>
      </c>
      <c r="C3633" s="2" t="s">
        <v>9412</v>
      </c>
      <c r="D3633" s="2" t="s">
        <v>10055</v>
      </c>
    </row>
    <row r="3634" spans="1:9" x14ac:dyDescent="0.2">
      <c r="A3634" s="2" t="s">
        <v>9413</v>
      </c>
      <c r="B3634" s="2" t="s">
        <v>7007</v>
      </c>
      <c r="C3634" s="2" t="s">
        <v>9414</v>
      </c>
      <c r="D3634" s="2" t="s">
        <v>10055</v>
      </c>
      <c r="E3634" s="15">
        <v>8.0399999999999999E-2</v>
      </c>
      <c r="F3634" s="15">
        <v>0.1479</v>
      </c>
    </row>
    <row r="3635" spans="1:9" x14ac:dyDescent="0.2">
      <c r="A3635" s="2" t="s">
        <v>9415</v>
      </c>
      <c r="B3635" s="2" t="s">
        <v>7007</v>
      </c>
      <c r="C3635" s="2" t="s">
        <v>9416</v>
      </c>
      <c r="D3635" s="2" t="s">
        <v>10055</v>
      </c>
      <c r="E3635" s="15">
        <v>0.23169999999999999</v>
      </c>
      <c r="F3635" s="15">
        <v>0.1457</v>
      </c>
      <c r="G3635" s="15">
        <v>0.2074</v>
      </c>
      <c r="H3635" s="15">
        <v>0.11899999999999999</v>
      </c>
      <c r="I3635" s="15">
        <v>0.4312425038887821</v>
      </c>
    </row>
    <row r="3636" spans="1:9" x14ac:dyDescent="0.2">
      <c r="A3636" s="2" t="s">
        <v>9417</v>
      </c>
      <c r="B3636" s="2" t="s">
        <v>7007</v>
      </c>
      <c r="C3636" s="2" t="s">
        <v>9418</v>
      </c>
      <c r="D3636" s="2" t="s">
        <v>10055</v>
      </c>
      <c r="G3636" s="15">
        <v>-0.1038</v>
      </c>
      <c r="H3636" s="15">
        <v>0.18149999999999999</v>
      </c>
    </row>
    <row r="3637" spans="1:9" x14ac:dyDescent="0.2">
      <c r="A3637" s="2" t="s">
        <v>9419</v>
      </c>
      <c r="B3637" s="2" t="s">
        <v>7007</v>
      </c>
      <c r="C3637" s="2" t="s">
        <v>9420</v>
      </c>
      <c r="D3637" s="2" t="s">
        <v>10055</v>
      </c>
      <c r="E3637" s="15">
        <v>-8.6800000000000002E-2</v>
      </c>
      <c r="F3637" s="15">
        <v>0.1837</v>
      </c>
    </row>
    <row r="3638" spans="1:9" x14ac:dyDescent="0.2">
      <c r="A3638" s="2" t="s">
        <v>9421</v>
      </c>
      <c r="B3638" s="2" t="s">
        <v>7007</v>
      </c>
      <c r="C3638" s="2" t="s">
        <v>9422</v>
      </c>
      <c r="D3638" s="2" t="s">
        <v>10055</v>
      </c>
    </row>
    <row r="3639" spans="1:9" x14ac:dyDescent="0.2">
      <c r="A3639" s="2" t="s">
        <v>9423</v>
      </c>
      <c r="B3639" s="2" t="s">
        <v>7007</v>
      </c>
      <c r="C3639" s="2" t="s">
        <v>9424</v>
      </c>
      <c r="D3639" s="2" t="s">
        <v>10055</v>
      </c>
    </row>
    <row r="3640" spans="1:9" x14ac:dyDescent="0.2">
      <c r="A3640" s="2" t="s">
        <v>9425</v>
      </c>
      <c r="B3640" s="2" t="s">
        <v>7007</v>
      </c>
      <c r="C3640" s="2" t="s">
        <v>9426</v>
      </c>
      <c r="D3640" s="2" t="s">
        <v>10055</v>
      </c>
      <c r="G3640" s="15">
        <v>-0.1085</v>
      </c>
      <c r="H3640" s="15">
        <v>0.1237</v>
      </c>
    </row>
    <row r="3641" spans="1:9" x14ac:dyDescent="0.2">
      <c r="A3641" s="2" t="s">
        <v>9427</v>
      </c>
      <c r="B3641" s="2" t="s">
        <v>7007</v>
      </c>
      <c r="C3641" s="2" t="s">
        <v>9428</v>
      </c>
      <c r="D3641" s="2" t="s">
        <v>10055</v>
      </c>
    </row>
    <row r="3642" spans="1:9" x14ac:dyDescent="0.2">
      <c r="A3642" s="2" t="s">
        <v>9429</v>
      </c>
      <c r="B3642" s="2" t="s">
        <v>7007</v>
      </c>
      <c r="C3642" s="2" t="s">
        <v>9430</v>
      </c>
      <c r="D3642" s="2" t="s">
        <v>10055</v>
      </c>
      <c r="E3642" s="15">
        <v>-6.1699999999999998E-2</v>
      </c>
      <c r="F3642" s="15">
        <v>0.2329</v>
      </c>
    </row>
    <row r="3643" spans="1:9" x14ac:dyDescent="0.2">
      <c r="A3643" s="2" t="s">
        <v>9431</v>
      </c>
      <c r="B3643" s="2" t="s">
        <v>7007</v>
      </c>
      <c r="C3643" s="2" t="s">
        <v>9432</v>
      </c>
      <c r="D3643" s="2" t="s">
        <v>10055</v>
      </c>
      <c r="E3643" s="15">
        <v>-5.5999999999999999E-3</v>
      </c>
      <c r="F3643" s="15">
        <v>0.24329999999999999</v>
      </c>
    </row>
    <row r="3644" spans="1:9" x14ac:dyDescent="0.2">
      <c r="A3644" s="2" t="s">
        <v>9433</v>
      </c>
      <c r="B3644" s="2" t="s">
        <v>7007</v>
      </c>
      <c r="C3644" s="2" t="s">
        <v>9434</v>
      </c>
      <c r="D3644" s="2" t="s">
        <v>10055</v>
      </c>
    </row>
    <row r="3645" spans="1:9" x14ac:dyDescent="0.2">
      <c r="A3645" s="2" t="s">
        <v>9435</v>
      </c>
      <c r="B3645" s="2" t="s">
        <v>7007</v>
      </c>
      <c r="C3645" s="2" t="s">
        <v>9436</v>
      </c>
      <c r="D3645" s="2" t="s">
        <v>10055</v>
      </c>
      <c r="E3645" s="15">
        <v>0.13969999999999999</v>
      </c>
      <c r="F3645" s="15">
        <v>0.1837</v>
      </c>
      <c r="G3645" s="15">
        <v>0.10349999999999999</v>
      </c>
      <c r="H3645" s="15">
        <v>0.30499999999999999</v>
      </c>
      <c r="I3645" s="15">
        <v>0.46854820896152721</v>
      </c>
    </row>
    <row r="3646" spans="1:9" x14ac:dyDescent="0.2">
      <c r="A3646" s="2" t="s">
        <v>9437</v>
      </c>
      <c r="B3646" s="2" t="s">
        <v>7007</v>
      </c>
      <c r="C3646" s="2" t="s">
        <v>9438</v>
      </c>
      <c r="D3646" s="2" t="s">
        <v>10055</v>
      </c>
      <c r="E3646" s="15">
        <v>8.2600000000000007E-2</v>
      </c>
      <c r="F3646" s="15">
        <v>0.2291</v>
      </c>
      <c r="G3646" s="15">
        <v>-9.9099999999999994E-2</v>
      </c>
      <c r="H3646" s="15">
        <v>0.29870000000000002</v>
      </c>
      <c r="I3646" s="15">
        <v>0.29888493885716011</v>
      </c>
    </row>
    <row r="3647" spans="1:9" x14ac:dyDescent="0.2">
      <c r="A3647" s="2" t="s">
        <v>9439</v>
      </c>
      <c r="B3647" s="2" t="s">
        <v>7007</v>
      </c>
      <c r="C3647" s="2" t="s">
        <v>9440</v>
      </c>
      <c r="D3647" s="2" t="s">
        <v>10055</v>
      </c>
      <c r="G3647" s="15">
        <v>-0.10050000000000001</v>
      </c>
      <c r="H3647" s="15">
        <v>0.1371</v>
      </c>
    </row>
    <row r="3648" spans="1:9" x14ac:dyDescent="0.2">
      <c r="A3648" s="2" t="s">
        <v>9441</v>
      </c>
      <c r="B3648" s="2" t="s">
        <v>7007</v>
      </c>
      <c r="C3648" s="2" t="s">
        <v>9442</v>
      </c>
      <c r="D3648" s="2" t="s">
        <v>10055</v>
      </c>
    </row>
    <row r="3649" spans="1:9" x14ac:dyDescent="0.2">
      <c r="A3649" s="2" t="s">
        <v>9443</v>
      </c>
      <c r="B3649" s="2" t="s">
        <v>7007</v>
      </c>
      <c r="C3649" s="2" t="s">
        <v>9444</v>
      </c>
      <c r="D3649" s="2" t="s">
        <v>10055</v>
      </c>
    </row>
    <row r="3650" spans="1:9" x14ac:dyDescent="0.2">
      <c r="A3650" s="2" t="s">
        <v>9445</v>
      </c>
      <c r="B3650" s="2" t="s">
        <v>7007</v>
      </c>
      <c r="C3650" s="2" t="s">
        <v>9446</v>
      </c>
      <c r="D3650" s="2" t="s">
        <v>10055</v>
      </c>
      <c r="G3650" s="15">
        <v>0.1298</v>
      </c>
      <c r="H3650" s="15">
        <v>0.16880000000000001</v>
      </c>
    </row>
    <row r="3651" spans="1:9" x14ac:dyDescent="0.2">
      <c r="A3651" s="2" t="s">
        <v>9447</v>
      </c>
      <c r="B3651" s="2" t="s">
        <v>7007</v>
      </c>
      <c r="C3651" s="2" t="s">
        <v>9448</v>
      </c>
      <c r="D3651" s="2" t="s">
        <v>10055</v>
      </c>
      <c r="G3651" s="15">
        <v>-1.8800000000000001E-2</v>
      </c>
      <c r="H3651" s="15">
        <v>0.1817</v>
      </c>
    </row>
    <row r="3652" spans="1:9" x14ac:dyDescent="0.2">
      <c r="A3652" s="2" t="s">
        <v>9449</v>
      </c>
      <c r="B3652" s="2" t="s">
        <v>7007</v>
      </c>
      <c r="C3652" s="2" t="s">
        <v>9450</v>
      </c>
      <c r="D3652" s="2" t="s">
        <v>10055</v>
      </c>
      <c r="G3652" s="15">
        <v>-6.3899999999999998E-2</v>
      </c>
      <c r="H3652" s="15">
        <v>0.1159</v>
      </c>
    </row>
    <row r="3653" spans="1:9" x14ac:dyDescent="0.2">
      <c r="A3653" s="2" t="s">
        <v>9451</v>
      </c>
      <c r="B3653" s="2" t="s">
        <v>7007</v>
      </c>
      <c r="C3653" s="2" t="s">
        <v>9452</v>
      </c>
      <c r="D3653" s="2" t="s">
        <v>10055</v>
      </c>
      <c r="G3653" s="15">
        <v>0.1036</v>
      </c>
      <c r="H3653" s="15">
        <v>0.1759</v>
      </c>
    </row>
    <row r="3654" spans="1:9" x14ac:dyDescent="0.2">
      <c r="A3654" s="2" t="s">
        <v>9453</v>
      </c>
      <c r="B3654" s="2" t="s">
        <v>7007</v>
      </c>
      <c r="C3654" s="2" t="s">
        <v>9454</v>
      </c>
      <c r="D3654" s="2" t="s">
        <v>10055</v>
      </c>
      <c r="G3654" s="15">
        <v>-9.01E-2</v>
      </c>
      <c r="H3654" s="15">
        <v>0.28970000000000001</v>
      </c>
    </row>
    <row r="3655" spans="1:9" x14ac:dyDescent="0.2">
      <c r="A3655" s="2" t="s">
        <v>9455</v>
      </c>
      <c r="B3655" s="2" t="s">
        <v>7007</v>
      </c>
      <c r="C3655" s="2" t="s">
        <v>9456</v>
      </c>
      <c r="D3655" s="2" t="s">
        <v>10055</v>
      </c>
      <c r="E3655" s="15">
        <v>-3.2199999999999999E-2</v>
      </c>
      <c r="F3655" s="15">
        <v>0.18479999999999999</v>
      </c>
      <c r="G3655" s="15">
        <v>-8.9300000000000004E-2</v>
      </c>
      <c r="H3655" s="15">
        <v>0.29730000000000001</v>
      </c>
      <c r="I3655" s="15">
        <v>0.4287682298485912</v>
      </c>
    </row>
    <row r="3656" spans="1:9" x14ac:dyDescent="0.2">
      <c r="A3656" s="2" t="s">
        <v>9457</v>
      </c>
      <c r="B3656" s="2" t="s">
        <v>7007</v>
      </c>
      <c r="C3656" s="2" t="s">
        <v>9458</v>
      </c>
      <c r="D3656" s="2" t="s">
        <v>10055</v>
      </c>
      <c r="E3656" s="15">
        <v>4.7699999999999999E-2</v>
      </c>
      <c r="F3656" s="15">
        <v>0.21990000000000001</v>
      </c>
      <c r="G3656" s="15">
        <v>9.35E-2</v>
      </c>
      <c r="H3656" s="15">
        <v>0.2873</v>
      </c>
      <c r="I3656" s="15">
        <v>0.44273889057514892</v>
      </c>
    </row>
    <row r="3657" spans="1:9" x14ac:dyDescent="0.2">
      <c r="A3657" s="2" t="s">
        <v>9459</v>
      </c>
      <c r="B3657" s="2" t="s">
        <v>7007</v>
      </c>
      <c r="C3657" s="2" t="s">
        <v>9460</v>
      </c>
      <c r="D3657" s="2" t="s">
        <v>10055</v>
      </c>
      <c r="E3657" s="15">
        <v>0.12230000000000001</v>
      </c>
      <c r="F3657" s="15">
        <v>8.9700000000000002E-2</v>
      </c>
      <c r="G3657" s="15">
        <v>-0.10929999999999999</v>
      </c>
      <c r="H3657" s="15">
        <v>0.19639999999999999</v>
      </c>
      <c r="I3657" s="15">
        <v>0.13765119735750611</v>
      </c>
    </row>
    <row r="3658" spans="1:9" x14ac:dyDescent="0.2">
      <c r="A3658" s="2" t="s">
        <v>9461</v>
      </c>
      <c r="B3658" s="2" t="s">
        <v>7007</v>
      </c>
      <c r="C3658" s="2" t="s">
        <v>9462</v>
      </c>
      <c r="D3658" s="2" t="s">
        <v>10055</v>
      </c>
    </row>
    <row r="3659" spans="1:9" x14ac:dyDescent="0.2">
      <c r="A3659" s="2" t="s">
        <v>9463</v>
      </c>
      <c r="B3659" s="2" t="s">
        <v>7007</v>
      </c>
      <c r="C3659" s="2" t="s">
        <v>9464</v>
      </c>
      <c r="D3659" s="2" t="s">
        <v>10055</v>
      </c>
    </row>
    <row r="3660" spans="1:9" x14ac:dyDescent="0.2">
      <c r="A3660" s="2" t="s">
        <v>9465</v>
      </c>
      <c r="B3660" s="2" t="s">
        <v>7007</v>
      </c>
      <c r="C3660" s="2" t="s">
        <v>9466</v>
      </c>
      <c r="D3660" s="2" t="s">
        <v>10055</v>
      </c>
      <c r="E3660" s="15">
        <v>0.12330000000000001</v>
      </c>
      <c r="F3660" s="15">
        <v>0.15260000000000001</v>
      </c>
      <c r="G3660" s="15">
        <v>1.8800000000000001E-2</v>
      </c>
      <c r="H3660" s="15">
        <v>0.10349999999999999</v>
      </c>
      <c r="I3660" s="15">
        <v>0.21229833070529261</v>
      </c>
    </row>
    <row r="3661" spans="1:9" x14ac:dyDescent="0.2">
      <c r="A3661" s="2" t="s">
        <v>9467</v>
      </c>
      <c r="B3661" s="2" t="s">
        <v>7007</v>
      </c>
      <c r="C3661" s="2" t="s">
        <v>9468</v>
      </c>
      <c r="D3661" s="2" t="s">
        <v>10055</v>
      </c>
    </row>
    <row r="3662" spans="1:9" x14ac:dyDescent="0.2">
      <c r="A3662" s="2" t="s">
        <v>9469</v>
      </c>
      <c r="B3662" s="2" t="s">
        <v>7007</v>
      </c>
      <c r="C3662" s="2" t="s">
        <v>9470</v>
      </c>
      <c r="D3662" s="2" t="s">
        <v>10055</v>
      </c>
      <c r="E3662" s="15">
        <v>0.19209999999999999</v>
      </c>
      <c r="F3662" s="15">
        <v>0.1744</v>
      </c>
      <c r="G3662" s="15">
        <v>-7.4800000000000005E-2</v>
      </c>
      <c r="H3662" s="15">
        <v>0.12280000000000001</v>
      </c>
      <c r="I3662" s="15">
        <v>6.7468239351653345E-2</v>
      </c>
    </row>
    <row r="3663" spans="1:9" x14ac:dyDescent="0.2">
      <c r="A3663" s="2" t="s">
        <v>9471</v>
      </c>
      <c r="B3663" s="2" t="s">
        <v>7007</v>
      </c>
      <c r="C3663" s="2" t="s">
        <v>9472</v>
      </c>
      <c r="D3663" s="2" t="s">
        <v>10055</v>
      </c>
      <c r="G3663" s="15">
        <v>0.14119999999999999</v>
      </c>
      <c r="H3663" s="15">
        <v>0.1981</v>
      </c>
    </row>
    <row r="3664" spans="1:9" x14ac:dyDescent="0.2">
      <c r="A3664" s="2" t="s">
        <v>9473</v>
      </c>
      <c r="B3664" s="2" t="s">
        <v>7007</v>
      </c>
      <c r="C3664" s="2" t="s">
        <v>9474</v>
      </c>
      <c r="D3664" s="2" t="s">
        <v>10055</v>
      </c>
    </row>
    <row r="3665" spans="1:9" x14ac:dyDescent="0.2">
      <c r="A3665" s="2" t="s">
        <v>9475</v>
      </c>
      <c r="B3665" s="2" t="s">
        <v>7007</v>
      </c>
      <c r="C3665" s="2" t="s">
        <v>9476</v>
      </c>
      <c r="D3665" s="2" t="s">
        <v>10055</v>
      </c>
    </row>
    <row r="3666" spans="1:9" x14ac:dyDescent="0.2">
      <c r="A3666" s="2" t="s">
        <v>9477</v>
      </c>
      <c r="B3666" s="2" t="s">
        <v>7007</v>
      </c>
      <c r="C3666" s="2" t="s">
        <v>9478</v>
      </c>
      <c r="D3666" s="2" t="s">
        <v>10055</v>
      </c>
      <c r="E3666" s="15">
        <v>-8.5000000000000006E-2</v>
      </c>
      <c r="F3666" s="15">
        <v>0.17419999999999999</v>
      </c>
    </row>
    <row r="3667" spans="1:9" x14ac:dyDescent="0.2">
      <c r="A3667" s="2" t="s">
        <v>9479</v>
      </c>
      <c r="B3667" s="2" t="s">
        <v>7007</v>
      </c>
      <c r="C3667" s="2" t="s">
        <v>9480</v>
      </c>
      <c r="D3667" s="2" t="s">
        <v>10055</v>
      </c>
      <c r="E3667" s="15">
        <v>0.12189999999999999</v>
      </c>
      <c r="F3667" s="15">
        <v>0.11890000000000001</v>
      </c>
      <c r="G3667" s="15">
        <v>-4.0800000000000003E-2</v>
      </c>
      <c r="H3667" s="15">
        <v>0.18090000000000001</v>
      </c>
      <c r="I3667" s="15">
        <v>0.21049429693891181</v>
      </c>
    </row>
    <row r="3668" spans="1:9" x14ac:dyDescent="0.2">
      <c r="A3668" s="2" t="s">
        <v>9481</v>
      </c>
      <c r="B3668" s="2" t="s">
        <v>7007</v>
      </c>
      <c r="C3668" s="2" t="s">
        <v>9482</v>
      </c>
      <c r="D3668" s="2" t="s">
        <v>10055</v>
      </c>
      <c r="E3668" s="15">
        <v>-6.6400000000000001E-2</v>
      </c>
      <c r="F3668" s="15">
        <v>0.1145</v>
      </c>
    </row>
    <row r="3669" spans="1:9" x14ac:dyDescent="0.2">
      <c r="A3669" s="2" t="s">
        <v>9483</v>
      </c>
      <c r="B3669" s="2" t="s">
        <v>7007</v>
      </c>
      <c r="C3669" s="2" t="s">
        <v>9484</v>
      </c>
      <c r="D3669" s="2" t="s">
        <v>10055</v>
      </c>
      <c r="E3669" s="15">
        <v>-9.4200000000000006E-2</v>
      </c>
      <c r="F3669" s="15">
        <v>0.22309999999999999</v>
      </c>
    </row>
    <row r="3670" spans="1:9" x14ac:dyDescent="0.2">
      <c r="A3670" s="2" t="s">
        <v>9485</v>
      </c>
      <c r="B3670" s="2" t="s">
        <v>7007</v>
      </c>
      <c r="C3670" s="2" t="s">
        <v>9486</v>
      </c>
      <c r="D3670" s="2" t="s">
        <v>10055</v>
      </c>
    </row>
    <row r="3671" spans="1:9" x14ac:dyDescent="0.2">
      <c r="A3671" s="2" t="s">
        <v>9487</v>
      </c>
      <c r="B3671" s="2" t="s">
        <v>7007</v>
      </c>
      <c r="C3671" s="2" t="s">
        <v>9488</v>
      </c>
      <c r="D3671" s="2" t="s">
        <v>10055</v>
      </c>
      <c r="E3671" s="15">
        <v>0.39219999999999999</v>
      </c>
      <c r="F3671" s="15">
        <v>0.44690000000000002</v>
      </c>
    </row>
    <row r="3672" spans="1:9" x14ac:dyDescent="0.2">
      <c r="A3672" s="2" t="s">
        <v>9489</v>
      </c>
      <c r="B3672" s="2" t="s">
        <v>7007</v>
      </c>
      <c r="C3672" s="2" t="s">
        <v>9490</v>
      </c>
      <c r="D3672" s="2" t="s">
        <v>10055</v>
      </c>
    </row>
    <row r="3673" spans="1:9" x14ac:dyDescent="0.2">
      <c r="A3673" s="2" t="s">
        <v>9491</v>
      </c>
      <c r="B3673" s="2" t="s">
        <v>7007</v>
      </c>
      <c r="C3673" s="2" t="s">
        <v>9492</v>
      </c>
      <c r="D3673" s="2" t="s">
        <v>10055</v>
      </c>
      <c r="G3673" s="15">
        <v>-0.1003</v>
      </c>
      <c r="H3673" s="15">
        <v>0.11899999999999999</v>
      </c>
    </row>
    <row r="3674" spans="1:9" x14ac:dyDescent="0.2">
      <c r="A3674" s="2" t="s">
        <v>9493</v>
      </c>
      <c r="B3674" s="2" t="s">
        <v>7007</v>
      </c>
      <c r="C3674" s="2" t="s">
        <v>9494</v>
      </c>
      <c r="D3674" s="2" t="s">
        <v>10055</v>
      </c>
    </row>
    <row r="3675" spans="1:9" x14ac:dyDescent="0.2">
      <c r="A3675" s="2" t="s">
        <v>9495</v>
      </c>
      <c r="B3675" s="2" t="s">
        <v>7007</v>
      </c>
      <c r="C3675" s="2" t="s">
        <v>9496</v>
      </c>
      <c r="D3675" s="2" t="s">
        <v>10055</v>
      </c>
    </row>
    <row r="3676" spans="1:9" x14ac:dyDescent="0.2">
      <c r="A3676" s="2" t="s">
        <v>9497</v>
      </c>
      <c r="B3676" s="2" t="s">
        <v>7007</v>
      </c>
      <c r="C3676" s="2" t="s">
        <v>9498</v>
      </c>
      <c r="D3676" s="2" t="s">
        <v>10055</v>
      </c>
      <c r="G3676" s="15">
        <v>0.1434</v>
      </c>
      <c r="H3676" s="15">
        <v>0.2432</v>
      </c>
    </row>
    <row r="3677" spans="1:9" x14ac:dyDescent="0.2">
      <c r="A3677" s="2" t="s">
        <v>9499</v>
      </c>
      <c r="B3677" s="2" t="s">
        <v>7007</v>
      </c>
      <c r="C3677" s="2" t="s">
        <v>9500</v>
      </c>
      <c r="D3677" s="2" t="s">
        <v>10055</v>
      </c>
    </row>
    <row r="3678" spans="1:9" x14ac:dyDescent="0.2">
      <c r="A3678" s="2" t="s">
        <v>9501</v>
      </c>
      <c r="B3678" s="2" t="s">
        <v>7007</v>
      </c>
      <c r="C3678" s="2" t="s">
        <v>9502</v>
      </c>
      <c r="D3678" s="2" t="s">
        <v>10055</v>
      </c>
      <c r="E3678" s="15">
        <v>-3.6400000000000002E-2</v>
      </c>
      <c r="F3678" s="15">
        <v>0.1615</v>
      </c>
      <c r="G3678" s="15">
        <v>6.8500000000000005E-2</v>
      </c>
      <c r="H3678" s="15">
        <v>0.12640000000000001</v>
      </c>
      <c r="I3678" s="15">
        <v>0.2400915475297706</v>
      </c>
    </row>
    <row r="3679" spans="1:9" x14ac:dyDescent="0.2">
      <c r="A3679" s="2" t="s">
        <v>9503</v>
      </c>
      <c r="B3679" s="2" t="s">
        <v>7007</v>
      </c>
      <c r="C3679" s="2" t="s">
        <v>9504</v>
      </c>
      <c r="D3679" s="2" t="s">
        <v>10055</v>
      </c>
    </row>
    <row r="3680" spans="1:9" x14ac:dyDescent="0.2">
      <c r="A3680" s="2" t="s">
        <v>9505</v>
      </c>
      <c r="B3680" s="2" t="s">
        <v>7007</v>
      </c>
      <c r="C3680" s="2" t="s">
        <v>9506</v>
      </c>
      <c r="D3680" s="2" t="s">
        <v>10055</v>
      </c>
    </row>
    <row r="3681" spans="1:9" x14ac:dyDescent="0.2">
      <c r="A3681" s="2" t="s">
        <v>9507</v>
      </c>
      <c r="B3681" s="2" t="s">
        <v>7007</v>
      </c>
      <c r="C3681" s="2" t="s">
        <v>9508</v>
      </c>
      <c r="D3681" s="2" t="s">
        <v>10055</v>
      </c>
      <c r="E3681" s="15">
        <v>-0.106</v>
      </c>
      <c r="F3681" s="15">
        <v>0.16320000000000001</v>
      </c>
    </row>
    <row r="3682" spans="1:9" x14ac:dyDescent="0.2">
      <c r="A3682" s="2" t="s">
        <v>9509</v>
      </c>
      <c r="B3682" s="2" t="s">
        <v>7007</v>
      </c>
      <c r="C3682" s="2" t="s">
        <v>9510</v>
      </c>
      <c r="D3682" s="2" t="s">
        <v>10055</v>
      </c>
      <c r="E3682" s="15">
        <v>7.9000000000000008E-3</v>
      </c>
      <c r="F3682" s="15">
        <v>0.12820000000000001</v>
      </c>
      <c r="G3682" s="15">
        <v>0.44569999999999999</v>
      </c>
      <c r="H3682" s="15">
        <v>0.79890000000000005</v>
      </c>
    </row>
    <row r="3683" spans="1:9" x14ac:dyDescent="0.2">
      <c r="A3683" s="2" t="s">
        <v>9511</v>
      </c>
      <c r="B3683" s="2" t="s">
        <v>7007</v>
      </c>
      <c r="C3683" s="2" t="s">
        <v>9512</v>
      </c>
      <c r="D3683" s="2" t="s">
        <v>10055</v>
      </c>
      <c r="G3683" s="15">
        <v>0.1605</v>
      </c>
      <c r="H3683" s="15">
        <v>0.156</v>
      </c>
    </row>
    <row r="3684" spans="1:9" x14ac:dyDescent="0.2">
      <c r="A3684" s="2" t="s">
        <v>9513</v>
      </c>
      <c r="B3684" s="2" t="s">
        <v>7007</v>
      </c>
      <c r="C3684" s="2" t="s">
        <v>9514</v>
      </c>
      <c r="D3684" s="2" t="s">
        <v>10055</v>
      </c>
      <c r="E3684" s="15">
        <v>-0.1477</v>
      </c>
      <c r="F3684" s="15">
        <v>0.1341</v>
      </c>
    </row>
    <row r="3685" spans="1:9" x14ac:dyDescent="0.2">
      <c r="A3685" s="2" t="s">
        <v>9515</v>
      </c>
      <c r="B3685" s="2" t="s">
        <v>7007</v>
      </c>
      <c r="C3685" s="2" t="s">
        <v>9516</v>
      </c>
      <c r="D3685" s="2" t="s">
        <v>10055</v>
      </c>
      <c r="E3685" s="15">
        <v>-1.5599999999999999E-2</v>
      </c>
      <c r="F3685" s="15">
        <v>0.15340000000000001</v>
      </c>
    </row>
    <row r="3686" spans="1:9" x14ac:dyDescent="0.2">
      <c r="A3686" s="2" t="s">
        <v>9517</v>
      </c>
      <c r="B3686" s="2" t="s">
        <v>7007</v>
      </c>
      <c r="C3686" s="2" t="s">
        <v>9518</v>
      </c>
      <c r="D3686" s="2" t="s">
        <v>10055</v>
      </c>
      <c r="G3686" s="15">
        <v>0.1913</v>
      </c>
      <c r="H3686" s="15">
        <v>0.33040000000000003</v>
      </c>
    </row>
    <row r="3687" spans="1:9" x14ac:dyDescent="0.2">
      <c r="A3687" s="2" t="s">
        <v>9519</v>
      </c>
      <c r="B3687" s="2" t="s">
        <v>7007</v>
      </c>
      <c r="C3687" s="2" t="s">
        <v>9520</v>
      </c>
      <c r="D3687" s="2" t="s">
        <v>10055</v>
      </c>
      <c r="E3687" s="15">
        <v>0.10059999999999999</v>
      </c>
      <c r="F3687" s="15">
        <v>0.23230000000000001</v>
      </c>
      <c r="G3687" s="15">
        <v>5.7999999999999996E-3</v>
      </c>
      <c r="H3687" s="15">
        <v>0.15079999999999999</v>
      </c>
    </row>
    <row r="3688" spans="1:9" x14ac:dyDescent="0.2">
      <c r="A3688" s="2" t="s">
        <v>9521</v>
      </c>
      <c r="B3688" s="2" t="s">
        <v>7007</v>
      </c>
      <c r="C3688" s="2" t="s">
        <v>9522</v>
      </c>
      <c r="D3688" s="2" t="s">
        <v>10055</v>
      </c>
    </row>
    <row r="3689" spans="1:9" x14ac:dyDescent="0.2">
      <c r="A3689" s="2" t="s">
        <v>9523</v>
      </c>
      <c r="B3689" s="2" t="s">
        <v>7007</v>
      </c>
      <c r="C3689" s="2" t="s">
        <v>9524</v>
      </c>
      <c r="D3689" s="2" t="s">
        <v>10055</v>
      </c>
    </row>
    <row r="3690" spans="1:9" x14ac:dyDescent="0.2">
      <c r="A3690" s="2" t="s">
        <v>9525</v>
      </c>
      <c r="B3690" s="2" t="s">
        <v>7007</v>
      </c>
      <c r="C3690" s="2" t="s">
        <v>9526</v>
      </c>
      <c r="D3690" s="2" t="s">
        <v>10055</v>
      </c>
      <c r="G3690" s="15">
        <v>-0.11119999999999999</v>
      </c>
      <c r="H3690" s="15">
        <v>0.42559999999999998</v>
      </c>
    </row>
    <row r="3691" spans="1:9" x14ac:dyDescent="0.2">
      <c r="A3691" s="2" t="s">
        <v>9527</v>
      </c>
      <c r="B3691" s="2" t="s">
        <v>7007</v>
      </c>
      <c r="C3691" s="2" t="s">
        <v>9528</v>
      </c>
      <c r="D3691" s="2" t="s">
        <v>10055</v>
      </c>
    </row>
    <row r="3692" spans="1:9" x14ac:dyDescent="0.2">
      <c r="A3692" s="2" t="s">
        <v>9529</v>
      </c>
      <c r="B3692" s="2" t="s">
        <v>7007</v>
      </c>
      <c r="C3692" s="2" t="s">
        <v>9530</v>
      </c>
      <c r="D3692" s="2" t="s">
        <v>10055</v>
      </c>
      <c r="E3692" s="15">
        <v>-7.2900000000000006E-2</v>
      </c>
      <c r="F3692" s="15">
        <v>0.31290000000000001</v>
      </c>
      <c r="G3692" s="15">
        <v>8.0299999999999996E-2</v>
      </c>
      <c r="H3692" s="15">
        <v>0.15970000000000001</v>
      </c>
      <c r="I3692" s="15">
        <v>0.20993999986559789</v>
      </c>
    </row>
    <row r="3693" spans="1:9" x14ac:dyDescent="0.2">
      <c r="A3693" s="2" t="s">
        <v>9531</v>
      </c>
      <c r="B3693" s="2" t="s">
        <v>7007</v>
      </c>
      <c r="C3693" s="2" t="s">
        <v>9532</v>
      </c>
      <c r="D3693" s="2" t="s">
        <v>10055</v>
      </c>
      <c r="G3693" s="15">
        <v>0.1004</v>
      </c>
      <c r="H3693" s="15">
        <v>0.2291</v>
      </c>
    </row>
    <row r="3694" spans="1:9" x14ac:dyDescent="0.2">
      <c r="A3694" s="2" t="s">
        <v>9533</v>
      </c>
      <c r="B3694" s="2" t="s">
        <v>7007</v>
      </c>
      <c r="C3694" s="2" t="s">
        <v>9534</v>
      </c>
      <c r="D3694" s="2" t="s">
        <v>10055</v>
      </c>
    </row>
    <row r="3695" spans="1:9" x14ac:dyDescent="0.2">
      <c r="A3695" s="2" t="s">
        <v>9535</v>
      </c>
      <c r="B3695" s="2" t="s">
        <v>7007</v>
      </c>
      <c r="C3695" s="2" t="s">
        <v>9536</v>
      </c>
      <c r="D3695" s="2" t="s">
        <v>10055</v>
      </c>
      <c r="G3695" s="15">
        <v>-7.7999999999999996E-3</v>
      </c>
      <c r="H3695" s="15">
        <v>0.15809999999999999</v>
      </c>
    </row>
    <row r="3696" spans="1:9" x14ac:dyDescent="0.2">
      <c r="A3696" s="2" t="s">
        <v>9537</v>
      </c>
      <c r="B3696" s="2" t="s">
        <v>7007</v>
      </c>
      <c r="C3696" s="2" t="s">
        <v>9538</v>
      </c>
      <c r="D3696" s="2" t="s">
        <v>10055</v>
      </c>
    </row>
    <row r="3697" spans="1:9" x14ac:dyDescent="0.2">
      <c r="A3697" s="2" t="s">
        <v>9539</v>
      </c>
      <c r="B3697" s="2" t="s">
        <v>7007</v>
      </c>
      <c r="C3697" s="2" t="s">
        <v>9540</v>
      </c>
      <c r="D3697" s="2" t="s">
        <v>10055</v>
      </c>
    </row>
    <row r="3698" spans="1:9" x14ac:dyDescent="0.2">
      <c r="A3698" s="2" t="s">
        <v>9541</v>
      </c>
      <c r="B3698" s="2" t="s">
        <v>7007</v>
      </c>
      <c r="C3698" s="2" t="s">
        <v>9542</v>
      </c>
      <c r="D3698" s="2" t="s">
        <v>10055</v>
      </c>
    </row>
    <row r="3699" spans="1:9" x14ac:dyDescent="0.2">
      <c r="A3699" s="2" t="s">
        <v>9543</v>
      </c>
      <c r="B3699" s="2" t="s">
        <v>7007</v>
      </c>
      <c r="C3699" s="2" t="s">
        <v>9544</v>
      </c>
      <c r="D3699" s="2" t="s">
        <v>10055</v>
      </c>
    </row>
    <row r="3700" spans="1:9" x14ac:dyDescent="0.2">
      <c r="A3700" s="2" t="s">
        <v>9545</v>
      </c>
      <c r="B3700" s="2" t="s">
        <v>7007</v>
      </c>
      <c r="C3700" s="2" t="s">
        <v>9546</v>
      </c>
      <c r="D3700" s="2" t="s">
        <v>10055</v>
      </c>
      <c r="E3700" s="15">
        <v>5.9900000000000002E-2</v>
      </c>
      <c r="F3700" s="15">
        <v>0.126</v>
      </c>
      <c r="G3700" s="15">
        <v>0.1197</v>
      </c>
      <c r="H3700" s="15">
        <v>0.1545</v>
      </c>
      <c r="I3700" s="15">
        <v>0.39574312844758902</v>
      </c>
    </row>
    <row r="3701" spans="1:9" x14ac:dyDescent="0.2">
      <c r="A3701" s="2" t="s">
        <v>9547</v>
      </c>
      <c r="B3701" s="2" t="s">
        <v>7007</v>
      </c>
      <c r="C3701" s="2" t="s">
        <v>9548</v>
      </c>
      <c r="D3701" s="2" t="s">
        <v>10055</v>
      </c>
      <c r="E3701" s="15">
        <v>4.4000000000000003E-3</v>
      </c>
      <c r="F3701" s="15">
        <v>0.16</v>
      </c>
      <c r="G3701" s="15">
        <v>9.4700000000000006E-2</v>
      </c>
      <c r="H3701" s="15">
        <v>0.13120000000000001</v>
      </c>
      <c r="I3701" s="15">
        <v>0.29198669099015861</v>
      </c>
    </row>
    <row r="3702" spans="1:9" x14ac:dyDescent="0.2">
      <c r="A3702" s="2" t="s">
        <v>9549</v>
      </c>
      <c r="B3702" s="2" t="s">
        <v>7007</v>
      </c>
      <c r="C3702" s="2" t="s">
        <v>9550</v>
      </c>
      <c r="D3702" s="2" t="s">
        <v>10055</v>
      </c>
    </row>
    <row r="3703" spans="1:9" x14ac:dyDescent="0.2">
      <c r="A3703" s="2" t="s">
        <v>9551</v>
      </c>
      <c r="B3703" s="2" t="s">
        <v>7007</v>
      </c>
      <c r="C3703" s="2" t="s">
        <v>9552</v>
      </c>
      <c r="D3703" s="2" t="s">
        <v>10055</v>
      </c>
    </row>
    <row r="3704" spans="1:9" x14ac:dyDescent="0.2">
      <c r="A3704" s="2" t="s">
        <v>9553</v>
      </c>
      <c r="B3704" s="2" t="s">
        <v>7007</v>
      </c>
      <c r="C3704" s="2" t="s">
        <v>9554</v>
      </c>
      <c r="D3704" s="2" t="s">
        <v>10055</v>
      </c>
      <c r="G3704" s="15">
        <v>0.20449999999999999</v>
      </c>
      <c r="H3704" s="15">
        <v>0.58109999999999995</v>
      </c>
    </row>
    <row r="3705" spans="1:9" x14ac:dyDescent="0.2">
      <c r="A3705" s="2" t="s">
        <v>9555</v>
      </c>
      <c r="B3705" s="2" t="s">
        <v>7007</v>
      </c>
      <c r="C3705" s="2" t="s">
        <v>9556</v>
      </c>
      <c r="D3705" s="2" t="s">
        <v>10055</v>
      </c>
      <c r="E3705" s="15">
        <v>-0.123</v>
      </c>
      <c r="F3705" s="15">
        <v>0.2291</v>
      </c>
    </row>
    <row r="3706" spans="1:9" x14ac:dyDescent="0.2">
      <c r="A3706" s="2" t="s">
        <v>9557</v>
      </c>
      <c r="B3706" s="2" t="s">
        <v>7007</v>
      </c>
      <c r="C3706" s="2" t="s">
        <v>9558</v>
      </c>
      <c r="D3706" s="2" t="s">
        <v>10055</v>
      </c>
    </row>
    <row r="3707" spans="1:9" x14ac:dyDescent="0.2">
      <c r="A3707" s="2" t="s">
        <v>9559</v>
      </c>
      <c r="B3707" s="2" t="s">
        <v>7007</v>
      </c>
      <c r="C3707" s="2" t="s">
        <v>9560</v>
      </c>
      <c r="D3707" s="2" t="s">
        <v>10055</v>
      </c>
    </row>
    <row r="3708" spans="1:9" x14ac:dyDescent="0.2">
      <c r="A3708" s="2" t="s">
        <v>9561</v>
      </c>
      <c r="B3708" s="2" t="s">
        <v>7007</v>
      </c>
      <c r="C3708" s="2" t="s">
        <v>9562</v>
      </c>
      <c r="D3708" s="2" t="s">
        <v>10055</v>
      </c>
      <c r="E3708" s="15">
        <v>0.23169999999999999</v>
      </c>
      <c r="F3708" s="15">
        <v>0.86299999999999999</v>
      </c>
    </row>
    <row r="3709" spans="1:9" x14ac:dyDescent="0.2">
      <c r="A3709" s="2" t="s">
        <v>9563</v>
      </c>
      <c r="B3709" s="2" t="s">
        <v>7007</v>
      </c>
      <c r="C3709" s="2" t="s">
        <v>9564</v>
      </c>
      <c r="D3709" s="2" t="s">
        <v>10055</v>
      </c>
      <c r="E3709" s="15">
        <v>-0.1108</v>
      </c>
      <c r="F3709" s="15">
        <v>0.17030000000000001</v>
      </c>
      <c r="G3709" s="15">
        <v>0.45669999999999999</v>
      </c>
      <c r="H3709" s="15">
        <v>0.75680000000000003</v>
      </c>
      <c r="I3709" s="15">
        <v>0.23275661787925689</v>
      </c>
    </row>
    <row r="3710" spans="1:9" x14ac:dyDescent="0.2">
      <c r="A3710" s="2" t="s">
        <v>9565</v>
      </c>
      <c r="B3710" s="2" t="s">
        <v>7007</v>
      </c>
      <c r="C3710" s="2" t="s">
        <v>9566</v>
      </c>
      <c r="D3710" s="2" t="s">
        <v>10055</v>
      </c>
      <c r="E3710" s="15">
        <v>-3.6600000000000001E-2</v>
      </c>
      <c r="F3710" s="15">
        <v>0.1673</v>
      </c>
      <c r="G3710" s="15">
        <v>-0.33300000000000002</v>
      </c>
      <c r="H3710" s="15">
        <v>0.25309999999999999</v>
      </c>
      <c r="I3710" s="15">
        <v>0.1594856845817248</v>
      </c>
    </row>
    <row r="3711" spans="1:9" x14ac:dyDescent="0.2">
      <c r="A3711" s="2" t="s">
        <v>9567</v>
      </c>
      <c r="B3711" s="2" t="s">
        <v>7007</v>
      </c>
      <c r="C3711" s="2" t="s">
        <v>9568</v>
      </c>
      <c r="D3711" s="2" t="s">
        <v>10055</v>
      </c>
    </row>
    <row r="3712" spans="1:9" x14ac:dyDescent="0.2">
      <c r="A3712" s="2" t="s">
        <v>9569</v>
      </c>
      <c r="B3712" s="2" t="s">
        <v>7007</v>
      </c>
      <c r="C3712" s="2" t="s">
        <v>9570</v>
      </c>
      <c r="D3712" s="2" t="s">
        <v>10055</v>
      </c>
      <c r="G3712" s="15">
        <v>-5.4300000000000001E-2</v>
      </c>
      <c r="H3712" s="15">
        <v>0.13700000000000001</v>
      </c>
    </row>
    <row r="3713" spans="1:9" x14ac:dyDescent="0.2">
      <c r="A3713" s="2" t="s">
        <v>9571</v>
      </c>
      <c r="B3713" s="2" t="s">
        <v>7007</v>
      </c>
      <c r="C3713" s="2" t="s">
        <v>9572</v>
      </c>
      <c r="D3713" s="2" t="s">
        <v>10055</v>
      </c>
    </row>
    <row r="3714" spans="1:9" x14ac:dyDescent="0.2">
      <c r="A3714" s="2" t="s">
        <v>9573</v>
      </c>
      <c r="B3714" s="2" t="s">
        <v>7007</v>
      </c>
      <c r="C3714" s="2" t="s">
        <v>9574</v>
      </c>
      <c r="D3714" s="2" t="s">
        <v>10055</v>
      </c>
      <c r="E3714" s="15">
        <v>-0.2278</v>
      </c>
      <c r="F3714" s="15">
        <v>0.28760000000000002</v>
      </c>
      <c r="G3714" s="15">
        <v>-0.10489999999999999</v>
      </c>
      <c r="H3714" s="15">
        <v>0.17680000000000001</v>
      </c>
      <c r="I3714" s="15">
        <v>0.27742025600110282</v>
      </c>
    </row>
    <row r="3715" spans="1:9" x14ac:dyDescent="0.2">
      <c r="A3715" s="2" t="s">
        <v>9575</v>
      </c>
      <c r="B3715" s="2" t="s">
        <v>7007</v>
      </c>
      <c r="C3715" s="2" t="s">
        <v>9576</v>
      </c>
      <c r="D3715" s="2" t="s">
        <v>10055</v>
      </c>
      <c r="G3715" s="15">
        <v>5.1200000000000002E-2</v>
      </c>
      <c r="H3715" s="15">
        <v>0.1512</v>
      </c>
    </row>
    <row r="3716" spans="1:9" x14ac:dyDescent="0.2">
      <c r="A3716" s="2" t="s">
        <v>9577</v>
      </c>
      <c r="B3716" s="2" t="s">
        <v>7007</v>
      </c>
      <c r="C3716" s="2" t="s">
        <v>9578</v>
      </c>
      <c r="D3716" s="2" t="s">
        <v>10055</v>
      </c>
    </row>
    <row r="3717" spans="1:9" x14ac:dyDescent="0.2">
      <c r="A3717" s="2" t="s">
        <v>9579</v>
      </c>
      <c r="B3717" s="2" t="s">
        <v>7007</v>
      </c>
      <c r="C3717" s="2" t="s">
        <v>9580</v>
      </c>
      <c r="D3717" s="2" t="s">
        <v>10055</v>
      </c>
      <c r="E3717" s="15">
        <v>9.4100000000000003E-2</v>
      </c>
      <c r="F3717" s="15">
        <v>0.1789</v>
      </c>
    </row>
    <row r="3718" spans="1:9" x14ac:dyDescent="0.2">
      <c r="A3718" s="2" t="s">
        <v>9581</v>
      </c>
      <c r="B3718" s="2" t="s">
        <v>7007</v>
      </c>
      <c r="C3718" s="2" t="s">
        <v>9582</v>
      </c>
      <c r="D3718" s="2" t="s">
        <v>10055</v>
      </c>
      <c r="G3718" s="15">
        <v>8.1699999999999995E-2</v>
      </c>
      <c r="H3718" s="15">
        <v>0.19800000000000001</v>
      </c>
    </row>
    <row r="3719" spans="1:9" x14ac:dyDescent="0.2">
      <c r="A3719" s="2" t="s">
        <v>9583</v>
      </c>
      <c r="B3719" s="2" t="s">
        <v>7007</v>
      </c>
      <c r="C3719" s="2" t="s">
        <v>9584</v>
      </c>
      <c r="D3719" s="2" t="s">
        <v>10055</v>
      </c>
      <c r="E3719" s="15">
        <v>0.15329999999999999</v>
      </c>
      <c r="F3719" s="15">
        <v>0.14660000000000001</v>
      </c>
      <c r="G3719" s="15">
        <v>-0.34210000000000002</v>
      </c>
      <c r="H3719" s="15">
        <v>0.31280000000000002</v>
      </c>
      <c r="I3719" s="15">
        <v>9.8055446664018497E-2</v>
      </c>
    </row>
    <row r="3720" spans="1:9" x14ac:dyDescent="0.2">
      <c r="A3720" s="2" t="s">
        <v>9585</v>
      </c>
      <c r="B3720" s="2" t="s">
        <v>7007</v>
      </c>
      <c r="C3720" s="2" t="s">
        <v>9586</v>
      </c>
      <c r="D3720" s="2" t="s">
        <v>10055</v>
      </c>
      <c r="E3720" s="15">
        <v>0.27439999999999998</v>
      </c>
      <c r="F3720" s="15">
        <v>0.31430000000000002</v>
      </c>
    </row>
    <row r="3721" spans="1:9" x14ac:dyDescent="0.2">
      <c r="A3721" s="2" t="s">
        <v>9587</v>
      </c>
      <c r="B3721" s="2" t="s">
        <v>7007</v>
      </c>
      <c r="C3721" s="2" t="s">
        <v>9588</v>
      </c>
      <c r="D3721" s="2" t="s">
        <v>10055</v>
      </c>
    </row>
    <row r="3722" spans="1:9" x14ac:dyDescent="0.2">
      <c r="A3722" s="2" t="s">
        <v>9589</v>
      </c>
      <c r="B3722" s="2" t="s">
        <v>7007</v>
      </c>
      <c r="C3722" s="2" t="s">
        <v>9590</v>
      </c>
      <c r="D3722" s="2" t="s">
        <v>10055</v>
      </c>
      <c r="G3722" s="15">
        <v>9.6199999999999994E-2</v>
      </c>
      <c r="H3722" s="15">
        <v>0.1956</v>
      </c>
    </row>
    <row r="3723" spans="1:9" x14ac:dyDescent="0.2">
      <c r="A3723" s="2" t="s">
        <v>9591</v>
      </c>
      <c r="B3723" s="2" t="s">
        <v>7007</v>
      </c>
      <c r="C3723" s="2" t="s">
        <v>9592</v>
      </c>
      <c r="D3723" s="2" t="s">
        <v>10055</v>
      </c>
      <c r="E3723" s="15">
        <v>-0.1239</v>
      </c>
      <c r="F3723" s="15">
        <v>0.1925</v>
      </c>
    </row>
    <row r="3724" spans="1:9" x14ac:dyDescent="0.2">
      <c r="A3724" s="2" t="s">
        <v>9593</v>
      </c>
      <c r="B3724" s="2" t="s">
        <v>7007</v>
      </c>
      <c r="C3724" s="2" t="s">
        <v>9594</v>
      </c>
      <c r="D3724" s="2" t="s">
        <v>10055</v>
      </c>
      <c r="E3724" s="15">
        <v>7.7100000000000002E-2</v>
      </c>
      <c r="F3724" s="15">
        <v>0.22320000000000001</v>
      </c>
    </row>
    <row r="3725" spans="1:9" x14ac:dyDescent="0.2">
      <c r="A3725" s="2" t="s">
        <v>9595</v>
      </c>
      <c r="B3725" s="2" t="s">
        <v>7007</v>
      </c>
      <c r="C3725" s="2" t="s">
        <v>9596</v>
      </c>
      <c r="D3725" s="2" t="s">
        <v>10055</v>
      </c>
      <c r="G3725" s="15">
        <v>7.8600000000000003E-2</v>
      </c>
      <c r="H3725" s="15">
        <v>0.69299999999999995</v>
      </c>
    </row>
    <row r="3726" spans="1:9" x14ac:dyDescent="0.2">
      <c r="A3726" s="2" t="s">
        <v>9597</v>
      </c>
      <c r="B3726" s="2" t="s">
        <v>7007</v>
      </c>
      <c r="C3726" s="2" t="s">
        <v>9598</v>
      </c>
      <c r="D3726" s="2" t="s">
        <v>10055</v>
      </c>
      <c r="E3726" s="15">
        <v>0.1613</v>
      </c>
      <c r="F3726" s="15">
        <v>0.4</v>
      </c>
      <c r="G3726" s="15">
        <v>0.31440000000000001</v>
      </c>
      <c r="H3726" s="15">
        <v>0.2009</v>
      </c>
      <c r="I3726" s="15">
        <v>0.24435807066947479</v>
      </c>
    </row>
    <row r="3727" spans="1:9" x14ac:dyDescent="0.2">
      <c r="A3727" s="2" t="s">
        <v>9599</v>
      </c>
      <c r="B3727" s="2" t="s">
        <v>7007</v>
      </c>
      <c r="C3727" s="2" t="s">
        <v>9600</v>
      </c>
      <c r="D3727" s="2" t="s">
        <v>10055</v>
      </c>
    </row>
    <row r="3728" spans="1:9" x14ac:dyDescent="0.2">
      <c r="A3728" s="2" t="s">
        <v>9601</v>
      </c>
      <c r="B3728" s="2" t="s">
        <v>7007</v>
      </c>
      <c r="C3728" s="2" t="s">
        <v>9602</v>
      </c>
      <c r="D3728" s="2" t="s">
        <v>10055</v>
      </c>
      <c r="E3728" s="15">
        <v>0.1908</v>
      </c>
      <c r="F3728" s="15">
        <v>0.19009999999999999</v>
      </c>
      <c r="G3728" s="15">
        <v>0.34789999999999999</v>
      </c>
      <c r="H3728" s="15">
        <v>0.37130000000000002</v>
      </c>
      <c r="I3728" s="15">
        <v>0.35373563611182701</v>
      </c>
    </row>
    <row r="3729" spans="1:9" x14ac:dyDescent="0.2">
      <c r="A3729" s="2" t="s">
        <v>9603</v>
      </c>
      <c r="B3729" s="2" t="s">
        <v>7007</v>
      </c>
      <c r="C3729" s="2" t="s">
        <v>9604</v>
      </c>
      <c r="D3729" s="2" t="s">
        <v>10055</v>
      </c>
      <c r="E3729" s="15">
        <v>0.19409999999999999</v>
      </c>
      <c r="F3729" s="15">
        <v>0.31469999999999998</v>
      </c>
    </row>
    <row r="3730" spans="1:9" x14ac:dyDescent="0.2">
      <c r="A3730" s="2" t="s">
        <v>9605</v>
      </c>
      <c r="B3730" s="2" t="s">
        <v>7007</v>
      </c>
      <c r="C3730" s="2" t="s">
        <v>9606</v>
      </c>
      <c r="D3730" s="2" t="s">
        <v>10055</v>
      </c>
      <c r="E3730" s="15">
        <v>0.2029</v>
      </c>
      <c r="F3730" s="15">
        <v>1.1228</v>
      </c>
      <c r="G3730" s="15">
        <v>0.20030000000000001</v>
      </c>
      <c r="H3730" s="15">
        <v>0.89090000000000003</v>
      </c>
      <c r="I3730" s="15">
        <v>0.49884165145810738</v>
      </c>
    </row>
    <row r="3731" spans="1:9" x14ac:dyDescent="0.2">
      <c r="A3731" s="2" t="s">
        <v>9607</v>
      </c>
      <c r="B3731" s="2" t="s">
        <v>7007</v>
      </c>
      <c r="C3731" s="2" t="s">
        <v>9608</v>
      </c>
      <c r="D3731" s="2" t="s">
        <v>10055</v>
      </c>
      <c r="G3731" s="15">
        <v>-2.4899999999999999E-2</v>
      </c>
      <c r="H3731" s="15">
        <v>0.1946</v>
      </c>
    </row>
    <row r="3732" spans="1:9" x14ac:dyDescent="0.2">
      <c r="A3732" s="2" t="s">
        <v>9609</v>
      </c>
      <c r="B3732" s="2" t="s">
        <v>7007</v>
      </c>
      <c r="C3732" s="2" t="s">
        <v>9610</v>
      </c>
      <c r="D3732" s="2" t="s">
        <v>10055</v>
      </c>
    </row>
    <row r="3733" spans="1:9" x14ac:dyDescent="0.2">
      <c r="A3733" s="2" t="s">
        <v>9611</v>
      </c>
      <c r="B3733" s="2" t="s">
        <v>7007</v>
      </c>
      <c r="C3733" s="2" t="s">
        <v>9612</v>
      </c>
      <c r="D3733" s="2" t="s">
        <v>10055</v>
      </c>
      <c r="E3733" s="15">
        <v>-2.8E-3</v>
      </c>
      <c r="F3733" s="15">
        <v>0.23480000000000001</v>
      </c>
    </row>
    <row r="3734" spans="1:9" x14ac:dyDescent="0.2">
      <c r="A3734" s="2" t="s">
        <v>9613</v>
      </c>
      <c r="B3734" s="2" t="s">
        <v>7007</v>
      </c>
      <c r="C3734" s="2" t="s">
        <v>9614</v>
      </c>
      <c r="D3734" s="2" t="s">
        <v>10055</v>
      </c>
      <c r="E3734" s="15">
        <v>6.13E-2</v>
      </c>
      <c r="F3734" s="15">
        <v>0.10100000000000001</v>
      </c>
      <c r="G3734" s="15">
        <v>0.26910000000000001</v>
      </c>
      <c r="H3734" s="15">
        <v>0.20100000000000001</v>
      </c>
      <c r="I3734" s="15">
        <v>0.17185241363631509</v>
      </c>
    </row>
    <row r="3735" spans="1:9" x14ac:dyDescent="0.2">
      <c r="A3735" s="2" t="s">
        <v>9615</v>
      </c>
      <c r="B3735" s="2" t="s">
        <v>7007</v>
      </c>
      <c r="C3735" s="2" t="s">
        <v>9616</v>
      </c>
      <c r="D3735" s="2" t="s">
        <v>10055</v>
      </c>
    </row>
    <row r="3736" spans="1:9" x14ac:dyDescent="0.2">
      <c r="A3736" s="2" t="s">
        <v>9617</v>
      </c>
      <c r="B3736" s="2" t="s">
        <v>7007</v>
      </c>
      <c r="C3736" s="2" t="s">
        <v>9618</v>
      </c>
      <c r="D3736" s="2" t="s">
        <v>10055</v>
      </c>
      <c r="E3736" s="15">
        <v>0.1391</v>
      </c>
      <c r="F3736" s="15">
        <v>0.19170000000000001</v>
      </c>
    </row>
    <row r="3737" spans="1:9" x14ac:dyDescent="0.2">
      <c r="A3737" s="2" t="s">
        <v>9619</v>
      </c>
      <c r="B3737" s="2" t="s">
        <v>7007</v>
      </c>
      <c r="C3737" s="2" t="s">
        <v>9620</v>
      </c>
      <c r="D3737" s="2" t="s">
        <v>10055</v>
      </c>
    </row>
    <row r="3738" spans="1:9" x14ac:dyDescent="0.2">
      <c r="A3738" s="2" t="s">
        <v>9621</v>
      </c>
      <c r="B3738" s="2" t="s">
        <v>7007</v>
      </c>
      <c r="C3738" s="2" t="s">
        <v>9622</v>
      </c>
      <c r="D3738" s="2" t="s">
        <v>10055</v>
      </c>
      <c r="E3738" s="15">
        <v>-0.14530000000000001</v>
      </c>
      <c r="F3738" s="15">
        <v>0.21529999999999999</v>
      </c>
    </row>
    <row r="3739" spans="1:9" x14ac:dyDescent="0.2">
      <c r="A3739" s="2" t="s">
        <v>9623</v>
      </c>
      <c r="B3739" s="2" t="s">
        <v>7007</v>
      </c>
      <c r="C3739" s="2" t="s">
        <v>9624</v>
      </c>
      <c r="D3739" s="2" t="s">
        <v>10055</v>
      </c>
    </row>
    <row r="3740" spans="1:9" x14ac:dyDescent="0.2">
      <c r="A3740" s="2" t="s">
        <v>9625</v>
      </c>
      <c r="B3740" s="2" t="s">
        <v>7007</v>
      </c>
      <c r="C3740" s="2" t="s">
        <v>9626</v>
      </c>
      <c r="D3740" s="2" t="s">
        <v>10055</v>
      </c>
      <c r="E3740" s="15">
        <v>-0.22969999999999999</v>
      </c>
      <c r="F3740" s="15">
        <v>0.39960000000000001</v>
      </c>
    </row>
    <row r="3741" spans="1:9" x14ac:dyDescent="0.2">
      <c r="A3741" s="2" t="s">
        <v>9627</v>
      </c>
      <c r="B3741" s="2" t="s">
        <v>7007</v>
      </c>
      <c r="C3741" s="2" t="s">
        <v>9628</v>
      </c>
      <c r="D3741" s="2" t="s">
        <v>10055</v>
      </c>
    </row>
    <row r="3742" spans="1:9" x14ac:dyDescent="0.2">
      <c r="A3742" s="2" t="s">
        <v>9629</v>
      </c>
      <c r="B3742" s="2" t="s">
        <v>7007</v>
      </c>
      <c r="C3742" s="2" t="s">
        <v>9630</v>
      </c>
      <c r="D3742" s="2" t="s">
        <v>10055</v>
      </c>
      <c r="G3742" s="15">
        <v>-4.48E-2</v>
      </c>
      <c r="H3742" s="15">
        <v>0.1512</v>
      </c>
    </row>
    <row r="3743" spans="1:9" x14ac:dyDescent="0.2">
      <c r="A3743" s="2" t="s">
        <v>9631</v>
      </c>
      <c r="B3743" s="2" t="s">
        <v>7007</v>
      </c>
      <c r="C3743" s="2" t="s">
        <v>9632</v>
      </c>
      <c r="D3743" s="2" t="s">
        <v>10055</v>
      </c>
    </row>
    <row r="3744" spans="1:9" x14ac:dyDescent="0.2">
      <c r="A3744" s="2" t="s">
        <v>9633</v>
      </c>
      <c r="B3744" s="2" t="s">
        <v>7007</v>
      </c>
      <c r="C3744" s="2" t="s">
        <v>9634</v>
      </c>
      <c r="D3744" s="2" t="s">
        <v>10055</v>
      </c>
      <c r="E3744" s="15">
        <v>0.24809999999999999</v>
      </c>
      <c r="F3744" s="15">
        <v>0.1308</v>
      </c>
    </row>
    <row r="3745" spans="1:9" x14ac:dyDescent="0.2">
      <c r="A3745" s="2" t="s">
        <v>9635</v>
      </c>
      <c r="B3745" s="2" t="s">
        <v>7007</v>
      </c>
      <c r="C3745" s="2" t="s">
        <v>9636</v>
      </c>
      <c r="D3745" s="2" t="s">
        <v>10055</v>
      </c>
      <c r="E3745" s="15">
        <v>-0.1196</v>
      </c>
      <c r="F3745" s="15">
        <v>0.14199999999999999</v>
      </c>
    </row>
    <row r="3746" spans="1:9" x14ac:dyDescent="0.2">
      <c r="A3746" s="2" t="s">
        <v>9637</v>
      </c>
      <c r="B3746" s="2" t="s">
        <v>7007</v>
      </c>
      <c r="C3746" s="2" t="s">
        <v>9638</v>
      </c>
      <c r="D3746" s="2" t="s">
        <v>10055</v>
      </c>
    </row>
    <row r="3747" spans="1:9" x14ac:dyDescent="0.2">
      <c r="A3747" s="2" t="s">
        <v>9639</v>
      </c>
      <c r="B3747" s="2" t="s">
        <v>7007</v>
      </c>
      <c r="C3747" s="2" t="s">
        <v>9640</v>
      </c>
      <c r="D3747" s="2" t="s">
        <v>10055</v>
      </c>
      <c r="E3747" s="15">
        <v>-4.53E-2</v>
      </c>
      <c r="F3747" s="15">
        <v>0.15279999999999999</v>
      </c>
    </row>
    <row r="3748" spans="1:9" x14ac:dyDescent="0.2">
      <c r="A3748" s="2" t="s">
        <v>9641</v>
      </c>
      <c r="B3748" s="2" t="s">
        <v>7007</v>
      </c>
      <c r="C3748" s="2" t="s">
        <v>9642</v>
      </c>
      <c r="D3748" s="2" t="s">
        <v>10055</v>
      </c>
      <c r="G3748" s="15">
        <v>-6.7799999999999999E-2</v>
      </c>
      <c r="H3748" s="15">
        <v>0.26669999999999999</v>
      </c>
    </row>
    <row r="3749" spans="1:9" x14ac:dyDescent="0.2">
      <c r="A3749" s="2" t="s">
        <v>9643</v>
      </c>
      <c r="B3749" s="2" t="s">
        <v>7007</v>
      </c>
      <c r="C3749" s="2" t="s">
        <v>9644</v>
      </c>
      <c r="D3749" s="2" t="s">
        <v>10055</v>
      </c>
      <c r="G3749" s="15">
        <v>0.28129999999999999</v>
      </c>
      <c r="H3749" s="15">
        <v>0.48139999999999999</v>
      </c>
    </row>
    <row r="3750" spans="1:9" x14ac:dyDescent="0.2">
      <c r="A3750" s="2" t="s">
        <v>9645</v>
      </c>
      <c r="B3750" s="2" t="s">
        <v>7007</v>
      </c>
      <c r="C3750" s="2" t="s">
        <v>9646</v>
      </c>
      <c r="D3750" s="2" t="s">
        <v>10055</v>
      </c>
      <c r="E3750" s="15">
        <v>4.7199999999999999E-2</v>
      </c>
      <c r="F3750" s="15">
        <v>0.1368</v>
      </c>
    </row>
    <row r="3751" spans="1:9" x14ac:dyDescent="0.2">
      <c r="A3751" s="2" t="s">
        <v>9647</v>
      </c>
      <c r="B3751" s="2" t="s">
        <v>7007</v>
      </c>
      <c r="C3751" s="2" t="s">
        <v>9648</v>
      </c>
      <c r="D3751" s="2" t="s">
        <v>10055</v>
      </c>
      <c r="G3751" s="15">
        <v>0.2324</v>
      </c>
      <c r="H3751" s="15">
        <v>0.83650000000000002</v>
      </c>
    </row>
    <row r="3752" spans="1:9" x14ac:dyDescent="0.2">
      <c r="A3752" s="2" t="s">
        <v>9649</v>
      </c>
      <c r="B3752" s="2" t="s">
        <v>7007</v>
      </c>
      <c r="C3752" s="2" t="s">
        <v>9650</v>
      </c>
      <c r="D3752" s="2" t="s">
        <v>10055</v>
      </c>
      <c r="E3752" s="15">
        <v>1.8200000000000001E-2</v>
      </c>
      <c r="F3752" s="15">
        <v>0.188</v>
      </c>
      <c r="G3752" s="15">
        <v>0.32800000000000001</v>
      </c>
      <c r="H3752" s="15">
        <v>0.53339999999999999</v>
      </c>
      <c r="I3752" s="15">
        <v>0.28422114237200929</v>
      </c>
    </row>
    <row r="3753" spans="1:9" x14ac:dyDescent="0.2">
      <c r="A3753" s="2" t="s">
        <v>9651</v>
      </c>
      <c r="B3753" s="2" t="s">
        <v>7007</v>
      </c>
      <c r="C3753" s="2" t="s">
        <v>9652</v>
      </c>
      <c r="D3753" s="2" t="s">
        <v>10055</v>
      </c>
      <c r="E3753" s="15">
        <v>0.1371</v>
      </c>
      <c r="F3753" s="15">
        <v>0.16450000000000001</v>
      </c>
    </row>
    <row r="3754" spans="1:9" x14ac:dyDescent="0.2">
      <c r="A3754" s="2" t="s">
        <v>9653</v>
      </c>
      <c r="B3754" s="2" t="s">
        <v>7007</v>
      </c>
      <c r="C3754" s="2" t="s">
        <v>9654</v>
      </c>
      <c r="D3754" s="2" t="s">
        <v>10055</v>
      </c>
      <c r="E3754" s="15">
        <v>8.5699999999999998E-2</v>
      </c>
      <c r="F3754" s="15">
        <v>0.14299999999999999</v>
      </c>
    </row>
    <row r="3755" spans="1:9" x14ac:dyDescent="0.2">
      <c r="A3755" s="2" t="s">
        <v>9655</v>
      </c>
      <c r="B3755" s="2" t="s">
        <v>7007</v>
      </c>
      <c r="C3755" s="2" t="s">
        <v>9656</v>
      </c>
      <c r="D3755" s="2" t="s">
        <v>10055</v>
      </c>
    </row>
    <row r="3756" spans="1:9" x14ac:dyDescent="0.2">
      <c r="A3756" s="2" t="s">
        <v>9657</v>
      </c>
      <c r="B3756" s="2" t="s">
        <v>7007</v>
      </c>
      <c r="C3756" s="2" t="s">
        <v>9658</v>
      </c>
      <c r="D3756" s="2" t="s">
        <v>10055</v>
      </c>
      <c r="E3756" s="15">
        <v>-0.1086</v>
      </c>
      <c r="F3756" s="15">
        <v>0.11</v>
      </c>
      <c r="G3756" s="15">
        <v>0.1128</v>
      </c>
      <c r="H3756" s="15">
        <v>0.184</v>
      </c>
      <c r="I3756" s="15">
        <v>0.15778563431696921</v>
      </c>
    </row>
    <row r="3757" spans="1:9" x14ac:dyDescent="0.2">
      <c r="A3757" s="2" t="s">
        <v>9659</v>
      </c>
      <c r="B3757" s="2" t="s">
        <v>7007</v>
      </c>
      <c r="C3757" s="2" t="s">
        <v>9660</v>
      </c>
      <c r="D3757" s="2" t="s">
        <v>10055</v>
      </c>
      <c r="G3757" s="15">
        <v>0.44390000000000002</v>
      </c>
      <c r="H3757" s="15">
        <v>0.91139999999999999</v>
      </c>
    </row>
    <row r="3758" spans="1:9" x14ac:dyDescent="0.2">
      <c r="A3758" s="2" t="s">
        <v>9661</v>
      </c>
      <c r="B3758" s="2" t="s">
        <v>7007</v>
      </c>
      <c r="C3758" s="2" t="s">
        <v>9662</v>
      </c>
      <c r="D3758" s="2" t="s">
        <v>10055</v>
      </c>
      <c r="E3758" s="15">
        <v>0.1249</v>
      </c>
      <c r="F3758" s="15">
        <v>0.13619999999999999</v>
      </c>
      <c r="G3758" s="15">
        <v>-0.1021</v>
      </c>
      <c r="H3758" s="15">
        <v>0.1762</v>
      </c>
      <c r="I3758" s="15">
        <v>0.13137975809105229</v>
      </c>
    </row>
    <row r="3759" spans="1:9" x14ac:dyDescent="0.2">
      <c r="A3759" s="2" t="s">
        <v>9663</v>
      </c>
      <c r="B3759" s="2" t="s">
        <v>7007</v>
      </c>
      <c r="C3759" s="2" t="s">
        <v>9664</v>
      </c>
      <c r="D3759" s="2" t="s">
        <v>10055</v>
      </c>
    </row>
    <row r="3760" spans="1:9" x14ac:dyDescent="0.2">
      <c r="A3760" s="2" t="s">
        <v>9665</v>
      </c>
      <c r="B3760" s="2" t="s">
        <v>7007</v>
      </c>
      <c r="C3760" s="2" t="s">
        <v>9666</v>
      </c>
      <c r="D3760" s="2" t="s">
        <v>10055</v>
      </c>
    </row>
    <row r="3761" spans="1:9" x14ac:dyDescent="0.2">
      <c r="A3761" s="2" t="s">
        <v>9667</v>
      </c>
      <c r="B3761" s="2" t="s">
        <v>7007</v>
      </c>
      <c r="C3761" s="2" t="s">
        <v>9668</v>
      </c>
      <c r="D3761" s="2" t="s">
        <v>10055</v>
      </c>
      <c r="E3761" s="15">
        <v>5.57E-2</v>
      </c>
      <c r="F3761" s="15">
        <v>0.1229</v>
      </c>
      <c r="G3761" s="15">
        <v>6.0400000000000002E-2</v>
      </c>
      <c r="H3761" s="15">
        <v>0.33889999999999998</v>
      </c>
      <c r="I3761" s="15">
        <v>0.49459218650618952</v>
      </c>
    </row>
    <row r="3762" spans="1:9" x14ac:dyDescent="0.2">
      <c r="A3762" s="2" t="s">
        <v>9669</v>
      </c>
      <c r="B3762" s="2" t="s">
        <v>7007</v>
      </c>
      <c r="C3762" s="2" t="s">
        <v>9670</v>
      </c>
      <c r="D3762" s="2" t="s">
        <v>10055</v>
      </c>
      <c r="E3762" s="15">
        <v>2.86E-2</v>
      </c>
      <c r="F3762" s="15">
        <v>0.16700000000000001</v>
      </c>
    </row>
    <row r="3763" spans="1:9" x14ac:dyDescent="0.2">
      <c r="A3763" s="2" t="s">
        <v>9671</v>
      </c>
      <c r="B3763" s="2" t="s">
        <v>7007</v>
      </c>
      <c r="C3763" s="2" t="s">
        <v>9672</v>
      </c>
      <c r="D3763" s="2" t="s">
        <v>10055</v>
      </c>
      <c r="E3763" s="15">
        <v>-4.1999999999999997E-3</v>
      </c>
      <c r="F3763" s="15">
        <v>0.1726</v>
      </c>
      <c r="G3763" s="15">
        <v>2.2000000000000001E-3</v>
      </c>
      <c r="H3763" s="15">
        <v>0.1797</v>
      </c>
      <c r="I3763" s="15">
        <v>0.48755146296075252</v>
      </c>
    </row>
    <row r="3764" spans="1:9" x14ac:dyDescent="0.2">
      <c r="A3764" s="2" t="s">
        <v>9673</v>
      </c>
      <c r="B3764" s="2" t="s">
        <v>7007</v>
      </c>
      <c r="C3764" s="2" t="s">
        <v>9674</v>
      </c>
      <c r="D3764" s="2" t="s">
        <v>10055</v>
      </c>
    </row>
    <row r="3765" spans="1:9" x14ac:dyDescent="0.2">
      <c r="A3765" s="2" t="s">
        <v>9675</v>
      </c>
      <c r="B3765" s="2" t="s">
        <v>7007</v>
      </c>
      <c r="C3765" s="2" t="s">
        <v>9676</v>
      </c>
      <c r="D3765" s="2" t="s">
        <v>10055</v>
      </c>
      <c r="E3765" s="15">
        <v>-0.20399999999999999</v>
      </c>
      <c r="F3765" s="15">
        <v>0.23089999999999999</v>
      </c>
      <c r="G3765" s="15">
        <v>0.29339999999999999</v>
      </c>
      <c r="H3765" s="15">
        <v>0.33689999999999998</v>
      </c>
      <c r="I3765" s="15">
        <v>8.8469151217687531E-2</v>
      </c>
    </row>
    <row r="3766" spans="1:9" x14ac:dyDescent="0.2">
      <c r="A3766" s="2" t="s">
        <v>9677</v>
      </c>
      <c r="B3766" s="2" t="s">
        <v>7007</v>
      </c>
      <c r="C3766" s="2" t="s">
        <v>9678</v>
      </c>
      <c r="D3766" s="2" t="s">
        <v>10055</v>
      </c>
      <c r="E3766" s="15">
        <v>-2.23E-2</v>
      </c>
      <c r="F3766" s="15">
        <v>0.1003</v>
      </c>
      <c r="G3766" s="15">
        <v>-3.4700000000000002E-2</v>
      </c>
      <c r="H3766" s="15">
        <v>0.1</v>
      </c>
      <c r="I3766" s="15">
        <v>0.45810893506110362</v>
      </c>
    </row>
    <row r="3767" spans="1:9" x14ac:dyDescent="0.2">
      <c r="A3767" s="2" t="s">
        <v>9679</v>
      </c>
      <c r="B3767" s="2" t="s">
        <v>7007</v>
      </c>
      <c r="C3767" s="2" t="s">
        <v>9680</v>
      </c>
      <c r="D3767" s="2" t="s">
        <v>10055</v>
      </c>
    </row>
    <row r="3768" spans="1:9" x14ac:dyDescent="0.2">
      <c r="A3768" s="2" t="s">
        <v>9681</v>
      </c>
      <c r="B3768" s="2" t="s">
        <v>7007</v>
      </c>
      <c r="C3768" s="2" t="s">
        <v>9682</v>
      </c>
      <c r="D3768" s="2" t="s">
        <v>10055</v>
      </c>
      <c r="E3768" s="15">
        <v>-0.12989999999999999</v>
      </c>
      <c r="F3768" s="15">
        <v>0.1215</v>
      </c>
    </row>
    <row r="3769" spans="1:9" x14ac:dyDescent="0.2">
      <c r="A3769" s="2" t="s">
        <v>9683</v>
      </c>
      <c r="B3769" s="2" t="s">
        <v>7007</v>
      </c>
      <c r="C3769" s="2" t="s">
        <v>9684</v>
      </c>
      <c r="D3769" s="2" t="s">
        <v>10055</v>
      </c>
      <c r="E3769" s="15">
        <v>-0.11269999999999999</v>
      </c>
      <c r="F3769" s="15">
        <v>0.192</v>
      </c>
      <c r="G3769" s="15">
        <v>-7.6200000000000004E-2</v>
      </c>
      <c r="H3769" s="15">
        <v>0.12189999999999999</v>
      </c>
      <c r="I3769" s="15">
        <v>0.41629581262266702</v>
      </c>
    </row>
    <row r="3770" spans="1:9" x14ac:dyDescent="0.2">
      <c r="A3770" s="2" t="s">
        <v>9685</v>
      </c>
      <c r="B3770" s="2" t="s">
        <v>7007</v>
      </c>
      <c r="C3770" s="2" t="s">
        <v>9686</v>
      </c>
      <c r="D3770" s="2" t="s">
        <v>10055</v>
      </c>
      <c r="E3770" s="15">
        <v>-0.1983</v>
      </c>
      <c r="F3770" s="15">
        <v>0.17399999999999999</v>
      </c>
      <c r="G3770" s="15">
        <v>-0.1046</v>
      </c>
      <c r="H3770" s="15">
        <v>0.15559999999999999</v>
      </c>
    </row>
    <row r="3771" spans="1:9" x14ac:dyDescent="0.2">
      <c r="A3771" s="2" t="s">
        <v>9687</v>
      </c>
      <c r="B3771" s="2" t="s">
        <v>7007</v>
      </c>
      <c r="C3771" s="2" t="s">
        <v>9688</v>
      </c>
      <c r="D3771" s="2" t="s">
        <v>10055</v>
      </c>
      <c r="E3771" s="15">
        <v>-0.1482</v>
      </c>
      <c r="F3771" s="15">
        <v>0.10009999999999999</v>
      </c>
      <c r="G3771" s="15">
        <v>3.9100000000000003E-2</v>
      </c>
      <c r="H3771" s="15">
        <v>0.11219999999999999</v>
      </c>
      <c r="I3771" s="15">
        <v>7.9428414960065932E-2</v>
      </c>
    </row>
    <row r="3772" spans="1:9" x14ac:dyDescent="0.2">
      <c r="A3772" s="2" t="s">
        <v>9689</v>
      </c>
      <c r="B3772" s="2" t="s">
        <v>7007</v>
      </c>
      <c r="C3772" s="2" t="s">
        <v>9690</v>
      </c>
      <c r="D3772" s="2" t="s">
        <v>10055</v>
      </c>
      <c r="G3772" s="15">
        <v>-0.35870000000000002</v>
      </c>
      <c r="H3772" s="15">
        <v>0.42109999999999997</v>
      </c>
    </row>
    <row r="3773" spans="1:9" x14ac:dyDescent="0.2">
      <c r="A3773" s="2" t="s">
        <v>9691</v>
      </c>
      <c r="B3773" s="2" t="s">
        <v>7007</v>
      </c>
      <c r="C3773" s="2" t="s">
        <v>9692</v>
      </c>
      <c r="D3773" s="2" t="s">
        <v>10055</v>
      </c>
    </row>
    <row r="3774" spans="1:9" x14ac:dyDescent="0.2">
      <c r="A3774" s="2" t="s">
        <v>9693</v>
      </c>
      <c r="B3774" s="2" t="s">
        <v>7007</v>
      </c>
      <c r="C3774" s="2" t="s">
        <v>9694</v>
      </c>
      <c r="D3774" s="2" t="s">
        <v>10055</v>
      </c>
    </row>
    <row r="3775" spans="1:9" x14ac:dyDescent="0.2">
      <c r="A3775" s="2" t="s">
        <v>9695</v>
      </c>
      <c r="B3775" s="2" t="s">
        <v>7007</v>
      </c>
      <c r="C3775" s="2" t="s">
        <v>9696</v>
      </c>
      <c r="D3775" s="2" t="s">
        <v>10055</v>
      </c>
      <c r="G3775" s="15">
        <v>-6.13E-2</v>
      </c>
      <c r="H3775" s="15">
        <v>9.2899999999999996E-2</v>
      </c>
    </row>
    <row r="3776" spans="1:9" x14ac:dyDescent="0.2">
      <c r="A3776" s="2" t="s">
        <v>9697</v>
      </c>
      <c r="B3776" s="2" t="s">
        <v>7007</v>
      </c>
      <c r="C3776" s="2" t="s">
        <v>9698</v>
      </c>
      <c r="D3776" s="2" t="s">
        <v>10055</v>
      </c>
      <c r="G3776" s="15">
        <v>0.1018</v>
      </c>
      <c r="H3776" s="15">
        <v>0.15490000000000001</v>
      </c>
    </row>
    <row r="3777" spans="1:9" x14ac:dyDescent="0.2">
      <c r="A3777" s="2" t="s">
        <v>9699</v>
      </c>
      <c r="B3777" s="2" t="s">
        <v>7007</v>
      </c>
      <c r="C3777" s="2" t="s">
        <v>9700</v>
      </c>
      <c r="D3777" s="2" t="s">
        <v>10055</v>
      </c>
      <c r="E3777" s="15">
        <v>-0.1837</v>
      </c>
      <c r="F3777" s="15">
        <v>0.14369999999999999</v>
      </c>
      <c r="G3777" s="15">
        <v>-0.28189999999999998</v>
      </c>
      <c r="H3777" s="15">
        <v>0.1671</v>
      </c>
      <c r="I3777" s="15">
        <v>0.29613674436413889</v>
      </c>
    </row>
    <row r="3778" spans="1:9" x14ac:dyDescent="0.2">
      <c r="A3778" s="2" t="s">
        <v>9701</v>
      </c>
      <c r="B3778" s="2" t="s">
        <v>7007</v>
      </c>
      <c r="C3778" s="2" t="s">
        <v>9702</v>
      </c>
      <c r="D3778" s="2" t="s">
        <v>10055</v>
      </c>
      <c r="E3778" s="15">
        <v>-0.15989999999999999</v>
      </c>
      <c r="F3778" s="15">
        <v>0.42870000000000003</v>
      </c>
      <c r="G3778" s="15">
        <v>0.1492</v>
      </c>
      <c r="H3778" s="15">
        <v>0.18820000000000001</v>
      </c>
      <c r="I3778" s="15">
        <v>0.10945068479721309</v>
      </c>
    </row>
    <row r="3779" spans="1:9" x14ac:dyDescent="0.2">
      <c r="A3779" s="2" t="s">
        <v>9703</v>
      </c>
      <c r="B3779" s="2" t="s">
        <v>7007</v>
      </c>
      <c r="C3779" s="2" t="s">
        <v>9704</v>
      </c>
      <c r="D3779" s="2" t="s">
        <v>10055</v>
      </c>
    </row>
    <row r="3780" spans="1:9" x14ac:dyDescent="0.2">
      <c r="A3780" s="2" t="s">
        <v>9705</v>
      </c>
      <c r="B3780" s="2" t="s">
        <v>7007</v>
      </c>
      <c r="C3780" s="2" t="s">
        <v>9706</v>
      </c>
      <c r="D3780" s="2" t="s">
        <v>10055</v>
      </c>
      <c r="E3780" s="15">
        <v>-4.2599999999999999E-2</v>
      </c>
      <c r="F3780" s="15">
        <v>0.11360000000000001</v>
      </c>
      <c r="G3780" s="15">
        <v>0.15329999999999999</v>
      </c>
      <c r="H3780" s="15">
        <v>0.15329999999999999</v>
      </c>
      <c r="I3780" s="15">
        <v>0.1197528061734684</v>
      </c>
    </row>
    <row r="3781" spans="1:9" x14ac:dyDescent="0.2">
      <c r="A3781" s="2" t="s">
        <v>9707</v>
      </c>
      <c r="B3781" s="2" t="s">
        <v>7007</v>
      </c>
      <c r="C3781" s="2" t="s">
        <v>9708</v>
      </c>
      <c r="D3781" s="2" t="s">
        <v>10055</v>
      </c>
      <c r="E3781" s="15">
        <v>0.19980000000000001</v>
      </c>
      <c r="F3781" s="15">
        <v>0.1336</v>
      </c>
      <c r="G3781" s="15">
        <v>-0.13400000000000001</v>
      </c>
      <c r="H3781" s="15">
        <v>0.12470000000000001</v>
      </c>
      <c r="I3781" s="15">
        <v>7.9462459800421752E-3</v>
      </c>
    </row>
    <row r="3782" spans="1:9" x14ac:dyDescent="0.2">
      <c r="A3782" s="2" t="s">
        <v>9709</v>
      </c>
      <c r="B3782" s="2" t="s">
        <v>7007</v>
      </c>
      <c r="C3782" s="2" t="s">
        <v>9710</v>
      </c>
      <c r="D3782" s="2" t="s">
        <v>10055</v>
      </c>
      <c r="E3782" s="15">
        <v>-0.3851</v>
      </c>
      <c r="F3782" s="15">
        <v>0.24340000000000001</v>
      </c>
    </row>
    <row r="3783" spans="1:9" x14ac:dyDescent="0.2">
      <c r="A3783" s="2" t="s">
        <v>9711</v>
      </c>
      <c r="B3783" s="2" t="s">
        <v>7007</v>
      </c>
      <c r="C3783" s="2" t="s">
        <v>9712</v>
      </c>
      <c r="D3783" s="2" t="s">
        <v>10055</v>
      </c>
    </row>
    <row r="3784" spans="1:9" x14ac:dyDescent="0.2">
      <c r="A3784" s="2" t="s">
        <v>9713</v>
      </c>
      <c r="B3784" s="2" t="s">
        <v>7007</v>
      </c>
      <c r="C3784" s="2" t="s">
        <v>9714</v>
      </c>
      <c r="D3784" s="2" t="s">
        <v>10055</v>
      </c>
      <c r="E3784" s="15">
        <v>-0.34849999999999998</v>
      </c>
      <c r="F3784" s="15">
        <v>0.36699999999999999</v>
      </c>
      <c r="G3784" s="15">
        <v>4.1500000000000002E-2</v>
      </c>
      <c r="H3784" s="15">
        <v>0.14699999999999999</v>
      </c>
      <c r="I3784" s="15">
        <v>9.7205301240122794E-3</v>
      </c>
    </row>
    <row r="3785" spans="1:9" x14ac:dyDescent="0.2">
      <c r="A3785" s="2" t="s">
        <v>9715</v>
      </c>
      <c r="B3785" s="2" t="s">
        <v>7007</v>
      </c>
      <c r="C3785" s="2" t="s">
        <v>9716</v>
      </c>
      <c r="D3785" s="2" t="s">
        <v>10055</v>
      </c>
      <c r="E3785" s="15">
        <v>-0.2477</v>
      </c>
      <c r="F3785" s="15">
        <v>0.15190000000000001</v>
      </c>
      <c r="G3785" s="15">
        <v>-0.11749999999999999</v>
      </c>
      <c r="H3785" s="15">
        <v>0.10680000000000001</v>
      </c>
      <c r="I3785" s="15">
        <v>0.14945083912749249</v>
      </c>
    </row>
    <row r="3786" spans="1:9" x14ac:dyDescent="0.2">
      <c r="A3786" s="2" t="s">
        <v>9717</v>
      </c>
      <c r="B3786" s="2" t="s">
        <v>7007</v>
      </c>
      <c r="C3786" s="2" t="s">
        <v>9718</v>
      </c>
      <c r="D3786" s="2" t="s">
        <v>10055</v>
      </c>
      <c r="E3786" s="15">
        <v>-6.5699999999999995E-2</v>
      </c>
      <c r="F3786" s="15">
        <v>0.216</v>
      </c>
      <c r="G3786" s="15">
        <v>-0.14860000000000001</v>
      </c>
      <c r="H3786" s="15">
        <v>0.48099999999999998</v>
      </c>
      <c r="I3786" s="15">
        <v>0.43781516756452438</v>
      </c>
    </row>
    <row r="3787" spans="1:9" x14ac:dyDescent="0.2">
      <c r="A3787" s="2" t="s">
        <v>9719</v>
      </c>
      <c r="B3787" s="2" t="s">
        <v>7007</v>
      </c>
      <c r="C3787" s="2" t="s">
        <v>9720</v>
      </c>
      <c r="D3787" s="2" t="s">
        <v>10055</v>
      </c>
      <c r="E3787" s="15">
        <v>0.1729</v>
      </c>
      <c r="F3787" s="15">
        <v>0.38519999999999999</v>
      </c>
      <c r="G3787" s="15">
        <v>0.17249999999999999</v>
      </c>
      <c r="H3787" s="15">
        <v>0.32069999999999999</v>
      </c>
      <c r="I3787" s="15">
        <v>0.4995212306372418</v>
      </c>
    </row>
    <row r="3788" spans="1:9" x14ac:dyDescent="0.2">
      <c r="A3788" s="2" t="s">
        <v>9721</v>
      </c>
      <c r="B3788" s="2" t="s">
        <v>7007</v>
      </c>
      <c r="C3788" s="2" t="s">
        <v>9722</v>
      </c>
      <c r="D3788" s="2" t="s">
        <v>10055</v>
      </c>
      <c r="E3788" s="15">
        <v>-0.3216</v>
      </c>
      <c r="F3788" s="15">
        <v>0.1956</v>
      </c>
      <c r="G3788" s="15">
        <v>0.14050000000000001</v>
      </c>
      <c r="H3788" s="15">
        <v>0.20880000000000001</v>
      </c>
      <c r="I3788" s="15">
        <v>4.3207713852659153E-2</v>
      </c>
    </row>
    <row r="3789" spans="1:9" x14ac:dyDescent="0.2">
      <c r="A3789" s="2" t="s">
        <v>9723</v>
      </c>
      <c r="B3789" s="2" t="s">
        <v>7007</v>
      </c>
      <c r="C3789" s="2" t="s">
        <v>9724</v>
      </c>
      <c r="D3789" s="2" t="s">
        <v>10055</v>
      </c>
      <c r="G3789" s="15">
        <v>-0.1196</v>
      </c>
      <c r="H3789" s="15">
        <v>0.21560000000000001</v>
      </c>
    </row>
    <row r="3790" spans="1:9" x14ac:dyDescent="0.2">
      <c r="A3790" s="2" t="s">
        <v>9725</v>
      </c>
      <c r="B3790" s="2" t="s">
        <v>7007</v>
      </c>
      <c r="C3790" s="2" t="s">
        <v>9726</v>
      </c>
      <c r="D3790" s="2" t="s">
        <v>10055</v>
      </c>
      <c r="E3790" s="15">
        <v>0.1822</v>
      </c>
      <c r="F3790" s="15">
        <v>0.1135</v>
      </c>
      <c r="G3790" s="15">
        <v>-0.35820000000000002</v>
      </c>
      <c r="H3790" s="15">
        <v>0.42470000000000002</v>
      </c>
      <c r="I3790" s="15">
        <v>0.11724487225552729</v>
      </c>
    </row>
    <row r="3791" spans="1:9" x14ac:dyDescent="0.2">
      <c r="A3791" s="2" t="s">
        <v>9727</v>
      </c>
      <c r="B3791" s="2" t="s">
        <v>7007</v>
      </c>
      <c r="C3791" s="2" t="s">
        <v>9728</v>
      </c>
      <c r="D3791" s="2" t="s">
        <v>10055</v>
      </c>
      <c r="E3791" s="15">
        <v>-0.3286</v>
      </c>
      <c r="F3791" s="15">
        <v>0.51559999999999995</v>
      </c>
      <c r="G3791" s="15">
        <v>2.0500000000000001E-2</v>
      </c>
      <c r="H3791" s="15">
        <v>0.20050000000000001</v>
      </c>
      <c r="I3791" s="15">
        <v>7.6515066496807588E-2</v>
      </c>
    </row>
    <row r="3792" spans="1:9" x14ac:dyDescent="0.2">
      <c r="A3792" s="2" t="s">
        <v>9729</v>
      </c>
      <c r="B3792" s="2" t="s">
        <v>7007</v>
      </c>
      <c r="C3792" s="2" t="s">
        <v>9730</v>
      </c>
      <c r="D3792" s="2" t="s">
        <v>10055</v>
      </c>
      <c r="E3792" s="15">
        <v>-0.34300000000000003</v>
      </c>
      <c r="F3792" s="15">
        <v>0.40460000000000002</v>
      </c>
      <c r="G3792" s="15">
        <v>-0.1074</v>
      </c>
      <c r="H3792" s="15">
        <v>0.247</v>
      </c>
      <c r="I3792" s="15">
        <v>0.19064868089625181</v>
      </c>
    </row>
    <row r="3793" spans="1:9" x14ac:dyDescent="0.2">
      <c r="A3793" s="2" t="s">
        <v>9731</v>
      </c>
      <c r="B3793" s="2" t="s">
        <v>7007</v>
      </c>
      <c r="C3793" s="2" t="s">
        <v>9732</v>
      </c>
      <c r="D3793" s="2" t="s">
        <v>10055</v>
      </c>
      <c r="E3793" s="15">
        <v>-0.2397</v>
      </c>
      <c r="F3793" s="15">
        <v>0.1696</v>
      </c>
    </row>
    <row r="3794" spans="1:9" x14ac:dyDescent="0.2">
      <c r="A3794" s="2" t="s">
        <v>9733</v>
      </c>
      <c r="B3794" s="2" t="s">
        <v>7007</v>
      </c>
      <c r="C3794" s="2" t="s">
        <v>9734</v>
      </c>
      <c r="D3794" s="2" t="s">
        <v>10055</v>
      </c>
    </row>
    <row r="3795" spans="1:9" x14ac:dyDescent="0.2">
      <c r="A3795" s="2" t="s">
        <v>9735</v>
      </c>
      <c r="B3795" s="2" t="s">
        <v>7007</v>
      </c>
      <c r="C3795" s="2" t="s">
        <v>9736</v>
      </c>
      <c r="D3795" s="2" t="s">
        <v>10055</v>
      </c>
      <c r="E3795" s="15">
        <v>2.0000000000000001E-4</v>
      </c>
      <c r="F3795" s="15">
        <v>0.12770000000000001</v>
      </c>
      <c r="G3795" s="15">
        <v>0.39679999999999999</v>
      </c>
      <c r="H3795" s="15">
        <v>0.32850000000000001</v>
      </c>
      <c r="I3795" s="15">
        <v>0.1306306933948303</v>
      </c>
    </row>
    <row r="3796" spans="1:9" x14ac:dyDescent="0.2">
      <c r="A3796" s="2" t="s">
        <v>9737</v>
      </c>
      <c r="B3796" s="2" t="s">
        <v>7007</v>
      </c>
      <c r="C3796" s="2" t="s">
        <v>9738</v>
      </c>
      <c r="D3796" s="2" t="s">
        <v>10055</v>
      </c>
      <c r="E3796" s="15">
        <v>-7.2400000000000006E-2</v>
      </c>
      <c r="F3796" s="15">
        <v>0.14199999999999999</v>
      </c>
      <c r="G3796" s="15">
        <v>0.34899999999999998</v>
      </c>
      <c r="H3796" s="15">
        <v>0.15609999999999999</v>
      </c>
      <c r="I3796" s="15">
        <v>9.4929755299588484E-3</v>
      </c>
    </row>
    <row r="3797" spans="1:9" x14ac:dyDescent="0.2">
      <c r="A3797" s="2" t="s">
        <v>9739</v>
      </c>
      <c r="B3797" s="2" t="s">
        <v>7007</v>
      </c>
      <c r="C3797" s="2" t="s">
        <v>9740</v>
      </c>
      <c r="D3797" s="2" t="s">
        <v>10055</v>
      </c>
      <c r="E3797" s="15">
        <v>-0.52569999999999995</v>
      </c>
      <c r="F3797" s="15">
        <v>1.5406</v>
      </c>
    </row>
    <row r="3798" spans="1:9" x14ac:dyDescent="0.2">
      <c r="A3798" s="2" t="s">
        <v>9741</v>
      </c>
      <c r="B3798" s="2" t="s">
        <v>7007</v>
      </c>
      <c r="C3798" s="2" t="s">
        <v>9742</v>
      </c>
      <c r="D3798" s="2" t="s">
        <v>10055</v>
      </c>
      <c r="G3798" s="15">
        <v>5.1400000000000001E-2</v>
      </c>
      <c r="H3798" s="15">
        <v>0.1641</v>
      </c>
    </row>
    <row r="3799" spans="1:9" x14ac:dyDescent="0.2">
      <c r="A3799" s="2" t="s">
        <v>9743</v>
      </c>
      <c r="B3799" s="2" t="s">
        <v>7007</v>
      </c>
      <c r="C3799" s="2" t="s">
        <v>9744</v>
      </c>
      <c r="D3799" s="2" t="s">
        <v>10055</v>
      </c>
      <c r="G3799" s="15">
        <v>4.7899999999999998E-2</v>
      </c>
      <c r="H3799" s="15">
        <v>0.16819999999999999</v>
      </c>
    </row>
    <row r="3800" spans="1:9" x14ac:dyDescent="0.2">
      <c r="A3800" s="2" t="s">
        <v>9745</v>
      </c>
      <c r="B3800" s="2" t="s">
        <v>7007</v>
      </c>
      <c r="C3800" s="2" t="s">
        <v>9746</v>
      </c>
      <c r="D3800" s="2" t="s">
        <v>10055</v>
      </c>
      <c r="E3800" s="15">
        <v>0.19070000000000001</v>
      </c>
      <c r="F3800" s="15">
        <v>0.12659999999999999</v>
      </c>
      <c r="G3800" s="15">
        <v>-0.1321</v>
      </c>
      <c r="H3800" s="15">
        <v>0.18509999999999999</v>
      </c>
      <c r="I3800" s="15">
        <v>5.3884173712146592E-2</v>
      </c>
    </row>
    <row r="3801" spans="1:9" x14ac:dyDescent="0.2">
      <c r="A3801" s="2" t="s">
        <v>9747</v>
      </c>
      <c r="B3801" s="2" t="s">
        <v>7007</v>
      </c>
      <c r="C3801" s="2" t="s">
        <v>9748</v>
      </c>
      <c r="D3801" s="2" t="s">
        <v>10055</v>
      </c>
      <c r="E3801" s="15">
        <v>-0.50170000000000003</v>
      </c>
      <c r="F3801" s="15">
        <v>0.41920000000000002</v>
      </c>
      <c r="G3801" s="15">
        <v>4.1399999999999999E-2</v>
      </c>
      <c r="H3801" s="15">
        <v>0.11020000000000001</v>
      </c>
      <c r="I3801" s="15">
        <v>1.4764441038056859E-5</v>
      </c>
    </row>
    <row r="3802" spans="1:9" x14ac:dyDescent="0.2">
      <c r="A3802" s="2" t="s">
        <v>9749</v>
      </c>
      <c r="B3802" s="2" t="s">
        <v>7007</v>
      </c>
      <c r="C3802" s="2" t="s">
        <v>9750</v>
      </c>
      <c r="D3802" s="2" t="s">
        <v>10055</v>
      </c>
    </row>
    <row r="3803" spans="1:9" x14ac:dyDescent="0.2">
      <c r="A3803" s="2" t="s">
        <v>9751</v>
      </c>
      <c r="B3803" s="2" t="s">
        <v>7007</v>
      </c>
      <c r="C3803" s="2" t="s">
        <v>9752</v>
      </c>
      <c r="D3803" s="2" t="s">
        <v>10055</v>
      </c>
      <c r="G3803" s="15">
        <v>2.4199999999999999E-2</v>
      </c>
      <c r="H3803" s="15">
        <v>9.6799999999999997E-2</v>
      </c>
    </row>
    <row r="3804" spans="1:9" x14ac:dyDescent="0.2">
      <c r="A3804" s="2" t="s">
        <v>9753</v>
      </c>
      <c r="B3804" s="2" t="s">
        <v>7007</v>
      </c>
      <c r="C3804" s="2" t="s">
        <v>9754</v>
      </c>
      <c r="D3804" s="2" t="s">
        <v>10055</v>
      </c>
      <c r="E3804" s="15">
        <v>-4.9700000000000001E-2</v>
      </c>
      <c r="F3804" s="15">
        <v>0.15529999999999999</v>
      </c>
    </row>
    <row r="3805" spans="1:9" x14ac:dyDescent="0.2">
      <c r="A3805" s="2" t="s">
        <v>9755</v>
      </c>
      <c r="B3805" s="2" t="s">
        <v>7007</v>
      </c>
      <c r="C3805" s="2" t="s">
        <v>9756</v>
      </c>
      <c r="D3805" s="2" t="s">
        <v>10055</v>
      </c>
      <c r="E3805" s="15">
        <v>3.2099999999999997E-2</v>
      </c>
      <c r="F3805" s="15">
        <v>0.13070000000000001</v>
      </c>
      <c r="G3805" s="15">
        <v>-2.7699999999999999E-2</v>
      </c>
      <c r="H3805" s="15">
        <v>0.1263</v>
      </c>
      <c r="I3805" s="15">
        <v>0.33727674862277668</v>
      </c>
    </row>
    <row r="3806" spans="1:9" x14ac:dyDescent="0.2">
      <c r="A3806" s="2" t="s">
        <v>9757</v>
      </c>
      <c r="B3806" s="2" t="s">
        <v>7007</v>
      </c>
      <c r="C3806" s="2" t="s">
        <v>9758</v>
      </c>
      <c r="D3806" s="2" t="s">
        <v>10055</v>
      </c>
      <c r="E3806" s="15">
        <v>-7.1000000000000004E-3</v>
      </c>
      <c r="F3806" s="15">
        <v>0.1381</v>
      </c>
      <c r="G3806" s="15">
        <v>0.27439999999999998</v>
      </c>
      <c r="H3806" s="15">
        <v>0.20330000000000001</v>
      </c>
      <c r="I3806" s="15">
        <v>0.1097638789945365</v>
      </c>
    </row>
    <row r="3807" spans="1:9" x14ac:dyDescent="0.2">
      <c r="A3807" s="2" t="s">
        <v>9759</v>
      </c>
      <c r="B3807" s="2" t="s">
        <v>7007</v>
      </c>
      <c r="C3807" s="2" t="s">
        <v>9760</v>
      </c>
      <c r="D3807" s="2" t="s">
        <v>10055</v>
      </c>
    </row>
    <row r="3808" spans="1:9" x14ac:dyDescent="0.2">
      <c r="A3808" s="2" t="s">
        <v>9761</v>
      </c>
      <c r="B3808" s="2" t="s">
        <v>7007</v>
      </c>
      <c r="C3808" s="2" t="s">
        <v>9762</v>
      </c>
      <c r="D3808" s="2" t="s">
        <v>10055</v>
      </c>
      <c r="G3808" s="15">
        <v>0.25</v>
      </c>
      <c r="H3808" s="15">
        <v>0.2445</v>
      </c>
    </row>
    <row r="3809" spans="1:9" x14ac:dyDescent="0.2">
      <c r="A3809" s="2" t="s">
        <v>9763</v>
      </c>
      <c r="B3809" s="2" t="s">
        <v>7007</v>
      </c>
      <c r="C3809" s="2" t="s">
        <v>9764</v>
      </c>
      <c r="D3809" s="2" t="s">
        <v>10055</v>
      </c>
      <c r="G3809" s="15">
        <v>-0.186</v>
      </c>
      <c r="H3809" s="15">
        <v>0.21210000000000001</v>
      </c>
    </row>
    <row r="3810" spans="1:9" x14ac:dyDescent="0.2">
      <c r="A3810" s="2" t="s">
        <v>9765</v>
      </c>
      <c r="B3810" s="2" t="s">
        <v>7007</v>
      </c>
      <c r="C3810" s="2" t="s">
        <v>9766</v>
      </c>
      <c r="D3810" s="2" t="s">
        <v>10055</v>
      </c>
    </row>
    <row r="3811" spans="1:9" x14ac:dyDescent="0.2">
      <c r="A3811" s="2" t="s">
        <v>9767</v>
      </c>
      <c r="B3811" s="2" t="s">
        <v>7007</v>
      </c>
      <c r="C3811" s="2" t="s">
        <v>9768</v>
      </c>
      <c r="D3811" s="2" t="s">
        <v>10055</v>
      </c>
      <c r="E3811" s="15">
        <v>-0.2742</v>
      </c>
      <c r="F3811" s="15">
        <v>0.193</v>
      </c>
    </row>
    <row r="3812" spans="1:9" x14ac:dyDescent="0.2">
      <c r="A3812" s="2" t="s">
        <v>9769</v>
      </c>
      <c r="B3812" s="2" t="s">
        <v>7007</v>
      </c>
      <c r="C3812" s="2" t="s">
        <v>9770</v>
      </c>
      <c r="D3812" s="2" t="s">
        <v>10055</v>
      </c>
      <c r="E3812" s="15">
        <v>0.1792</v>
      </c>
      <c r="F3812" s="15">
        <v>0.1676</v>
      </c>
    </row>
    <row r="3813" spans="1:9" x14ac:dyDescent="0.2">
      <c r="A3813" s="2" t="s">
        <v>9771</v>
      </c>
      <c r="B3813" s="2" t="s">
        <v>7007</v>
      </c>
      <c r="C3813" s="2" t="s">
        <v>9772</v>
      </c>
      <c r="D3813" s="2" t="s">
        <v>10055</v>
      </c>
      <c r="E3813" s="15">
        <v>8.7300000000000003E-2</v>
      </c>
      <c r="F3813" s="15">
        <v>0.14899999999999999</v>
      </c>
      <c r="G3813" s="15">
        <v>0.30730000000000002</v>
      </c>
      <c r="H3813" s="15">
        <v>0.2848</v>
      </c>
      <c r="I3813" s="15">
        <v>0.2296301784902503</v>
      </c>
    </row>
    <row r="3814" spans="1:9" x14ac:dyDescent="0.2">
      <c r="A3814" s="2" t="s">
        <v>9773</v>
      </c>
      <c r="B3814" s="2" t="s">
        <v>7007</v>
      </c>
      <c r="C3814" s="2" t="s">
        <v>9774</v>
      </c>
      <c r="D3814" s="2" t="s">
        <v>10055</v>
      </c>
      <c r="E3814" s="15">
        <v>0.1236</v>
      </c>
      <c r="F3814" s="15">
        <v>0.16289999999999999</v>
      </c>
      <c r="G3814" s="15">
        <v>-0.21429999999999999</v>
      </c>
      <c r="H3814" s="15">
        <v>0.18459999999999999</v>
      </c>
      <c r="I3814" s="15">
        <v>7.09005899072397E-2</v>
      </c>
    </row>
    <row r="3815" spans="1:9" x14ac:dyDescent="0.2">
      <c r="A3815" s="2" t="s">
        <v>9775</v>
      </c>
      <c r="B3815" s="2" t="s">
        <v>7007</v>
      </c>
      <c r="C3815" s="2" t="s">
        <v>9776</v>
      </c>
      <c r="D3815" s="2" t="s">
        <v>10055</v>
      </c>
      <c r="G3815" s="15">
        <v>6.1000000000000004E-3</v>
      </c>
      <c r="H3815" s="15">
        <v>0.23669999999999999</v>
      </c>
    </row>
    <row r="3816" spans="1:9" x14ac:dyDescent="0.2">
      <c r="A3816" s="2" t="s">
        <v>9777</v>
      </c>
      <c r="B3816" s="2" t="s">
        <v>7007</v>
      </c>
      <c r="C3816" s="2" t="s">
        <v>9778</v>
      </c>
      <c r="D3816" s="2" t="s">
        <v>10055</v>
      </c>
      <c r="E3816" s="15">
        <v>-0.1197</v>
      </c>
      <c r="F3816" s="15">
        <v>0.1326</v>
      </c>
    </row>
    <row r="3817" spans="1:9" x14ac:dyDescent="0.2">
      <c r="A3817" s="2" t="s">
        <v>9779</v>
      </c>
      <c r="B3817" s="2" t="s">
        <v>7007</v>
      </c>
      <c r="C3817" s="2" t="s">
        <v>9780</v>
      </c>
      <c r="D3817" s="2" t="s">
        <v>10055</v>
      </c>
      <c r="E3817" s="15">
        <v>-5.1999999999999998E-2</v>
      </c>
      <c r="F3817" s="15">
        <v>0.1056</v>
      </c>
    </row>
    <row r="3818" spans="1:9" x14ac:dyDescent="0.2">
      <c r="A3818" s="2" t="s">
        <v>9781</v>
      </c>
      <c r="B3818" s="2" t="s">
        <v>7007</v>
      </c>
      <c r="C3818" s="2" t="s">
        <v>9782</v>
      </c>
      <c r="D3818" s="2" t="s">
        <v>10055</v>
      </c>
      <c r="G3818" s="15">
        <v>-0.28889999999999999</v>
      </c>
      <c r="H3818" s="15">
        <v>0.28010000000000002</v>
      </c>
    </row>
    <row r="3819" spans="1:9" x14ac:dyDescent="0.2">
      <c r="A3819" s="2" t="s">
        <v>9783</v>
      </c>
      <c r="B3819" s="2" t="s">
        <v>7007</v>
      </c>
      <c r="C3819" s="2" t="s">
        <v>9784</v>
      </c>
      <c r="D3819" s="2" t="s">
        <v>10055</v>
      </c>
      <c r="G3819" s="15">
        <v>-0.5262</v>
      </c>
      <c r="H3819" s="15">
        <v>0.77100000000000002</v>
      </c>
    </row>
    <row r="3820" spans="1:9" x14ac:dyDescent="0.2">
      <c r="A3820" s="2" t="s">
        <v>9785</v>
      </c>
      <c r="B3820" s="2" t="s">
        <v>7007</v>
      </c>
      <c r="C3820" s="2" t="s">
        <v>9786</v>
      </c>
      <c r="D3820" s="2" t="s">
        <v>10055</v>
      </c>
      <c r="E3820" s="15">
        <v>-0.3422</v>
      </c>
      <c r="F3820" s="15">
        <v>0.24629999999999999</v>
      </c>
    </row>
    <row r="3821" spans="1:9" x14ac:dyDescent="0.2">
      <c r="A3821" s="2" t="s">
        <v>9787</v>
      </c>
      <c r="B3821" s="2" t="s">
        <v>7007</v>
      </c>
      <c r="C3821" s="2" t="s">
        <v>9788</v>
      </c>
      <c r="D3821" s="2" t="s">
        <v>10055</v>
      </c>
    </row>
    <row r="3822" spans="1:9" x14ac:dyDescent="0.2">
      <c r="A3822" s="2" t="s">
        <v>9789</v>
      </c>
      <c r="B3822" s="2" t="s">
        <v>7007</v>
      </c>
      <c r="C3822" s="2" t="s">
        <v>9790</v>
      </c>
      <c r="D3822" s="2" t="s">
        <v>10055</v>
      </c>
      <c r="E3822" s="15">
        <v>-5.11E-2</v>
      </c>
      <c r="F3822" s="15">
        <v>0.14280000000000001</v>
      </c>
      <c r="G3822" s="15">
        <v>0.13</v>
      </c>
      <c r="H3822" s="15">
        <v>0.39560000000000001</v>
      </c>
      <c r="I3822" s="15">
        <v>0.34537405226216539</v>
      </c>
    </row>
    <row r="3823" spans="1:9" x14ac:dyDescent="0.2">
      <c r="A3823" s="2" t="s">
        <v>9791</v>
      </c>
      <c r="B3823" s="2" t="s">
        <v>7007</v>
      </c>
      <c r="C3823" s="2" t="s">
        <v>9792</v>
      </c>
      <c r="D3823" s="2" t="s">
        <v>10055</v>
      </c>
    </row>
    <row r="3824" spans="1:9" x14ac:dyDescent="0.2">
      <c r="A3824" s="2" t="s">
        <v>9793</v>
      </c>
      <c r="B3824" s="2" t="s">
        <v>7007</v>
      </c>
      <c r="C3824" s="2" t="s">
        <v>9794</v>
      </c>
      <c r="D3824" s="2" t="s">
        <v>10055</v>
      </c>
    </row>
    <row r="3825" spans="1:9" x14ac:dyDescent="0.2">
      <c r="A3825" s="2" t="s">
        <v>9795</v>
      </c>
      <c r="B3825" s="2" t="s">
        <v>7007</v>
      </c>
      <c r="C3825" s="2" t="s">
        <v>9796</v>
      </c>
      <c r="D3825" s="2" t="s">
        <v>10055</v>
      </c>
      <c r="E3825" s="15">
        <v>0.1358</v>
      </c>
      <c r="F3825" s="15">
        <v>0.13819999999999999</v>
      </c>
    </row>
    <row r="3826" spans="1:9" x14ac:dyDescent="0.2">
      <c r="A3826" s="2" t="s">
        <v>9797</v>
      </c>
      <c r="B3826" s="2" t="s">
        <v>7007</v>
      </c>
      <c r="C3826" s="2" t="s">
        <v>9798</v>
      </c>
      <c r="D3826" s="2" t="s">
        <v>10055</v>
      </c>
      <c r="E3826" s="15">
        <v>2.0199999999999999E-2</v>
      </c>
      <c r="F3826" s="15">
        <v>0.13239999999999999</v>
      </c>
    </row>
    <row r="3827" spans="1:9" x14ac:dyDescent="0.2">
      <c r="A3827" s="2" t="s">
        <v>9799</v>
      </c>
      <c r="B3827" s="2" t="s">
        <v>7007</v>
      </c>
      <c r="C3827" s="2" t="s">
        <v>9800</v>
      </c>
      <c r="D3827" s="2" t="s">
        <v>10055</v>
      </c>
      <c r="E3827" s="15">
        <v>-0.36699999999999999</v>
      </c>
      <c r="F3827" s="15">
        <v>0.35239999999999999</v>
      </c>
      <c r="G3827" s="15">
        <v>-1.32E-2</v>
      </c>
      <c r="H3827" s="15">
        <v>0.1138</v>
      </c>
      <c r="I3827" s="15">
        <v>6.7778093797385662E-3</v>
      </c>
    </row>
    <row r="3828" spans="1:9" x14ac:dyDescent="0.2">
      <c r="A3828" s="2" t="s">
        <v>9801</v>
      </c>
      <c r="B3828" s="2" t="s">
        <v>7007</v>
      </c>
      <c r="C3828" s="2" t="s">
        <v>9802</v>
      </c>
      <c r="D3828" s="2" t="s">
        <v>10055</v>
      </c>
      <c r="E3828" s="15">
        <v>-0.37590000000000001</v>
      </c>
      <c r="F3828" s="15">
        <v>0.22220000000000001</v>
      </c>
      <c r="G3828" s="15">
        <v>-1.4E-3</v>
      </c>
      <c r="H3828" s="15">
        <v>0.15240000000000001</v>
      </c>
      <c r="I3828" s="15">
        <v>3.8815065611156142E-2</v>
      </c>
    </row>
    <row r="3829" spans="1:9" x14ac:dyDescent="0.2">
      <c r="A3829" s="2" t="s">
        <v>9803</v>
      </c>
      <c r="B3829" s="2" t="s">
        <v>7007</v>
      </c>
      <c r="C3829" s="2" t="s">
        <v>9804</v>
      </c>
      <c r="D3829" s="2" t="s">
        <v>10055</v>
      </c>
      <c r="E3829" s="15">
        <v>0.12330000000000001</v>
      </c>
      <c r="F3829" s="15">
        <v>0.22620000000000001</v>
      </c>
    </row>
    <row r="3830" spans="1:9" x14ac:dyDescent="0.2">
      <c r="A3830" s="2" t="s">
        <v>9805</v>
      </c>
      <c r="B3830" s="2" t="s">
        <v>7007</v>
      </c>
      <c r="C3830" s="2" t="s">
        <v>9806</v>
      </c>
      <c r="D3830" s="2" t="s">
        <v>10055</v>
      </c>
      <c r="G3830" s="15">
        <v>0.15390000000000001</v>
      </c>
      <c r="H3830" s="15">
        <v>0.36420000000000002</v>
      </c>
    </row>
    <row r="3831" spans="1:9" x14ac:dyDescent="0.2">
      <c r="A3831" s="2" t="s">
        <v>9807</v>
      </c>
      <c r="B3831" s="2" t="s">
        <v>7007</v>
      </c>
      <c r="C3831" s="2" t="s">
        <v>9808</v>
      </c>
      <c r="D3831" s="2" t="s">
        <v>10055</v>
      </c>
      <c r="E3831" s="15">
        <v>0.16470000000000001</v>
      </c>
      <c r="F3831" s="15">
        <v>0.1444</v>
      </c>
    </row>
    <row r="3832" spans="1:9" x14ac:dyDescent="0.2">
      <c r="A3832" s="2" t="s">
        <v>9809</v>
      </c>
      <c r="B3832" s="2" t="s">
        <v>7007</v>
      </c>
      <c r="C3832" s="2" t="s">
        <v>9810</v>
      </c>
      <c r="D3832" s="2" t="s">
        <v>10055</v>
      </c>
      <c r="E3832" s="15">
        <v>7.4000000000000003E-3</v>
      </c>
      <c r="F3832" s="15">
        <v>0.1295</v>
      </c>
      <c r="G3832" s="15">
        <v>0.1431</v>
      </c>
      <c r="H3832" s="15">
        <v>0.154</v>
      </c>
      <c r="I3832" s="15">
        <v>0.28087176062747898</v>
      </c>
    </row>
    <row r="3833" spans="1:9" x14ac:dyDescent="0.2">
      <c r="A3833" s="2" t="s">
        <v>9811</v>
      </c>
      <c r="B3833" s="2" t="s">
        <v>7007</v>
      </c>
      <c r="C3833" s="2" t="s">
        <v>9812</v>
      </c>
      <c r="D3833" s="2" t="s">
        <v>10055</v>
      </c>
      <c r="G3833" s="15">
        <v>0.20549999999999999</v>
      </c>
      <c r="H3833" s="15">
        <v>0.5141</v>
      </c>
    </row>
    <row r="3834" spans="1:9" x14ac:dyDescent="0.2">
      <c r="A3834" s="2" t="s">
        <v>9813</v>
      </c>
      <c r="B3834" s="2" t="s">
        <v>7007</v>
      </c>
      <c r="C3834" s="2" t="s">
        <v>9814</v>
      </c>
      <c r="D3834" s="2" t="s">
        <v>10055</v>
      </c>
      <c r="G3834" s="15">
        <v>-9.2100000000000001E-2</v>
      </c>
      <c r="H3834" s="15">
        <v>0.1363</v>
      </c>
    </row>
    <row r="3835" spans="1:9" x14ac:dyDescent="0.2">
      <c r="A3835" s="2" t="s">
        <v>9815</v>
      </c>
      <c r="B3835" s="2" t="s">
        <v>7007</v>
      </c>
      <c r="C3835" s="2" t="s">
        <v>9816</v>
      </c>
      <c r="D3835" s="2" t="s">
        <v>10055</v>
      </c>
    </row>
    <row r="3836" spans="1:9" x14ac:dyDescent="0.2">
      <c r="A3836" s="2" t="s">
        <v>9817</v>
      </c>
      <c r="B3836" s="2" t="s">
        <v>7007</v>
      </c>
      <c r="C3836" s="2" t="s">
        <v>9818</v>
      </c>
      <c r="D3836" s="2" t="s">
        <v>10055</v>
      </c>
    </row>
    <row r="3837" spans="1:9" x14ac:dyDescent="0.2">
      <c r="A3837" s="2" t="s">
        <v>9819</v>
      </c>
      <c r="B3837" s="2" t="s">
        <v>7007</v>
      </c>
      <c r="C3837" s="2" t="s">
        <v>9820</v>
      </c>
      <c r="D3837" s="2" t="s">
        <v>10055</v>
      </c>
      <c r="E3837" s="15">
        <v>0.3448</v>
      </c>
      <c r="F3837" s="15">
        <v>0.30599999999999999</v>
      </c>
    </row>
    <row r="3838" spans="1:9" x14ac:dyDescent="0.2">
      <c r="A3838" s="2" t="s">
        <v>9821</v>
      </c>
      <c r="B3838" s="2" t="s">
        <v>7007</v>
      </c>
      <c r="C3838" s="2" t="s">
        <v>9822</v>
      </c>
      <c r="D3838" s="2" t="s">
        <v>10055</v>
      </c>
    </row>
    <row r="3839" spans="1:9" x14ac:dyDescent="0.2">
      <c r="A3839" s="2" t="s">
        <v>9823</v>
      </c>
      <c r="B3839" s="2" t="s">
        <v>7007</v>
      </c>
      <c r="C3839" s="2" t="s">
        <v>9824</v>
      </c>
      <c r="D3839" s="2" t="s">
        <v>10055</v>
      </c>
    </row>
    <row r="3840" spans="1:9" x14ac:dyDescent="0.2">
      <c r="A3840" s="2" t="s">
        <v>9825</v>
      </c>
      <c r="B3840" s="2" t="s">
        <v>7007</v>
      </c>
      <c r="C3840" s="2" t="s">
        <v>9826</v>
      </c>
      <c r="D3840" s="2" t="s">
        <v>10055</v>
      </c>
      <c r="E3840" s="15">
        <v>-9.2899999999999996E-2</v>
      </c>
      <c r="F3840" s="15">
        <v>0.1593</v>
      </c>
    </row>
    <row r="3841" spans="1:9" x14ac:dyDescent="0.2">
      <c r="A3841" s="2" t="s">
        <v>9827</v>
      </c>
      <c r="B3841" s="2" t="s">
        <v>7007</v>
      </c>
      <c r="C3841" s="2" t="s">
        <v>9828</v>
      </c>
      <c r="D3841" s="2" t="s">
        <v>10055</v>
      </c>
    </row>
    <row r="3842" spans="1:9" x14ac:dyDescent="0.2">
      <c r="A3842" s="2" t="s">
        <v>9829</v>
      </c>
      <c r="B3842" s="2" t="s">
        <v>7007</v>
      </c>
      <c r="C3842" s="2" t="s">
        <v>9830</v>
      </c>
      <c r="D3842" s="2" t="s">
        <v>10055</v>
      </c>
      <c r="E3842" s="15">
        <v>-0.15490000000000001</v>
      </c>
      <c r="F3842" s="15">
        <v>0.20619999999999999</v>
      </c>
      <c r="G3842" s="15">
        <v>6.0299999999999999E-2</v>
      </c>
      <c r="H3842" s="15">
        <v>0.18840000000000001</v>
      </c>
      <c r="I3842" s="15">
        <v>0.15666295169971931</v>
      </c>
    </row>
    <row r="3843" spans="1:9" x14ac:dyDescent="0.2">
      <c r="A3843" s="2" t="s">
        <v>9831</v>
      </c>
      <c r="B3843" s="2" t="s">
        <v>7007</v>
      </c>
      <c r="C3843" s="2" t="s">
        <v>9832</v>
      </c>
      <c r="D3843" s="2" t="s">
        <v>10055</v>
      </c>
      <c r="E3843" s="15">
        <v>1.2500000000000001E-2</v>
      </c>
      <c r="F3843" s="15">
        <v>0.13669999999999999</v>
      </c>
    </row>
    <row r="3844" spans="1:9" x14ac:dyDescent="0.2">
      <c r="A3844" s="2" t="s">
        <v>9833</v>
      </c>
      <c r="B3844" s="2" t="s">
        <v>7007</v>
      </c>
      <c r="C3844" s="2" t="s">
        <v>9834</v>
      </c>
      <c r="D3844" s="2" t="s">
        <v>10055</v>
      </c>
      <c r="E3844" s="15">
        <v>-1.5299999999999999E-2</v>
      </c>
      <c r="F3844" s="15">
        <v>0.2208</v>
      </c>
    </row>
    <row r="3845" spans="1:9" x14ac:dyDescent="0.2">
      <c r="A3845" s="2" t="s">
        <v>9835</v>
      </c>
      <c r="B3845" s="2" t="s">
        <v>7007</v>
      </c>
      <c r="C3845" s="2" t="s">
        <v>9836</v>
      </c>
      <c r="D3845" s="2" t="s">
        <v>10055</v>
      </c>
    </row>
    <row r="3846" spans="1:9" x14ac:dyDescent="0.2">
      <c r="A3846" s="2" t="s">
        <v>9837</v>
      </c>
      <c r="B3846" s="2" t="s">
        <v>7007</v>
      </c>
      <c r="C3846" s="2" t="s">
        <v>9838</v>
      </c>
      <c r="D3846" s="2" t="s">
        <v>10055</v>
      </c>
    </row>
    <row r="3847" spans="1:9" x14ac:dyDescent="0.2">
      <c r="A3847" s="2" t="s">
        <v>9839</v>
      </c>
      <c r="B3847" s="2" t="s">
        <v>7007</v>
      </c>
      <c r="C3847" s="2" t="s">
        <v>9840</v>
      </c>
      <c r="D3847" s="2" t="s">
        <v>10055</v>
      </c>
      <c r="E3847" s="15">
        <v>0.13789999999999999</v>
      </c>
      <c r="F3847" s="15">
        <v>0.2046</v>
      </c>
    </row>
    <row r="3848" spans="1:9" x14ac:dyDescent="0.2">
      <c r="A3848" s="2" t="s">
        <v>9841</v>
      </c>
      <c r="B3848" s="2" t="s">
        <v>7007</v>
      </c>
      <c r="C3848" s="2" t="s">
        <v>9842</v>
      </c>
      <c r="D3848" s="2" t="s">
        <v>10055</v>
      </c>
      <c r="E3848" s="15">
        <v>4.2599999999999999E-2</v>
      </c>
      <c r="F3848" s="15">
        <v>0.12770000000000001</v>
      </c>
    </row>
    <row r="3849" spans="1:9" x14ac:dyDescent="0.2">
      <c r="A3849" s="2" t="s">
        <v>9843</v>
      </c>
      <c r="B3849" s="2" t="s">
        <v>7007</v>
      </c>
      <c r="C3849" s="2" t="s">
        <v>9844</v>
      </c>
      <c r="D3849" s="2" t="s">
        <v>10055</v>
      </c>
      <c r="G3849" s="15">
        <v>-3.5000000000000001E-3</v>
      </c>
      <c r="H3849" s="15">
        <v>0.12429999999999999</v>
      </c>
    </row>
    <row r="3850" spans="1:9" x14ac:dyDescent="0.2">
      <c r="A3850" s="2" t="s">
        <v>9845</v>
      </c>
      <c r="B3850" s="2" t="s">
        <v>7007</v>
      </c>
      <c r="C3850" s="2" t="s">
        <v>9846</v>
      </c>
      <c r="D3850" s="2" t="s">
        <v>10055</v>
      </c>
    </row>
    <row r="3851" spans="1:9" x14ac:dyDescent="0.2">
      <c r="A3851" s="2" t="s">
        <v>9847</v>
      </c>
      <c r="B3851" s="2" t="s">
        <v>7007</v>
      </c>
      <c r="C3851" s="2" t="s">
        <v>9848</v>
      </c>
      <c r="D3851" s="2" t="s">
        <v>10055</v>
      </c>
      <c r="E3851" s="15">
        <v>-8.7999999999999995E-2</v>
      </c>
      <c r="F3851" s="15">
        <v>0.1283</v>
      </c>
    </row>
    <row r="3852" spans="1:9" x14ac:dyDescent="0.2">
      <c r="A3852" s="2" t="s">
        <v>9849</v>
      </c>
      <c r="B3852" s="2" t="s">
        <v>7007</v>
      </c>
      <c r="C3852" s="2" t="s">
        <v>9850</v>
      </c>
      <c r="D3852" s="2" t="s">
        <v>10055</v>
      </c>
    </row>
    <row r="3853" spans="1:9" x14ac:dyDescent="0.2">
      <c r="A3853" s="2" t="s">
        <v>9851</v>
      </c>
      <c r="B3853" s="2" t="s">
        <v>7007</v>
      </c>
      <c r="C3853" s="2" t="s">
        <v>9852</v>
      </c>
      <c r="D3853" s="2" t="s">
        <v>10055</v>
      </c>
      <c r="E3853" s="15">
        <v>1.35E-2</v>
      </c>
      <c r="F3853" s="15">
        <v>0.1217</v>
      </c>
    </row>
    <row r="3854" spans="1:9" x14ac:dyDescent="0.2">
      <c r="A3854" s="2" t="s">
        <v>9853</v>
      </c>
      <c r="B3854" s="2" t="s">
        <v>7007</v>
      </c>
      <c r="C3854" s="2" t="s">
        <v>9854</v>
      </c>
      <c r="D3854" s="2" t="s">
        <v>10055</v>
      </c>
      <c r="E3854" s="15">
        <v>-0.12659999999999999</v>
      </c>
      <c r="F3854" s="15">
        <v>0.31719999999999998</v>
      </c>
    </row>
    <row r="3855" spans="1:9" x14ac:dyDescent="0.2">
      <c r="A3855" s="2" t="s">
        <v>9855</v>
      </c>
      <c r="B3855" s="2" t="s">
        <v>7007</v>
      </c>
      <c r="C3855" s="2" t="s">
        <v>9856</v>
      </c>
      <c r="D3855" s="2" t="s">
        <v>10055</v>
      </c>
      <c r="G3855" s="15">
        <v>-2.6700000000000002E-2</v>
      </c>
      <c r="H3855" s="15">
        <v>0.1338</v>
      </c>
    </row>
    <row r="3856" spans="1:9" x14ac:dyDescent="0.2">
      <c r="A3856" s="2" t="s">
        <v>9857</v>
      </c>
      <c r="B3856" s="2" t="s">
        <v>7007</v>
      </c>
      <c r="C3856" s="2" t="s">
        <v>9858</v>
      </c>
      <c r="D3856" s="2" t="s">
        <v>10055</v>
      </c>
    </row>
    <row r="3857" spans="1:9" x14ac:dyDescent="0.2">
      <c r="A3857" s="2" t="s">
        <v>9859</v>
      </c>
      <c r="B3857" s="2" t="s">
        <v>7007</v>
      </c>
      <c r="C3857" s="2" t="s">
        <v>9860</v>
      </c>
      <c r="D3857" s="2" t="s">
        <v>10055</v>
      </c>
      <c r="G3857" s="15">
        <v>-0.28689999999999999</v>
      </c>
      <c r="H3857" s="15">
        <v>0.28860000000000002</v>
      </c>
    </row>
    <row r="3858" spans="1:9" x14ac:dyDescent="0.2">
      <c r="A3858" s="2" t="s">
        <v>9861</v>
      </c>
      <c r="B3858" s="2" t="s">
        <v>7007</v>
      </c>
      <c r="C3858" s="2" t="s">
        <v>9862</v>
      </c>
      <c r="D3858" s="2" t="s">
        <v>10055</v>
      </c>
    </row>
    <row r="3859" spans="1:9" x14ac:dyDescent="0.2">
      <c r="A3859" s="2" t="s">
        <v>9863</v>
      </c>
      <c r="B3859" s="2" t="s">
        <v>7007</v>
      </c>
      <c r="C3859" s="2" t="s">
        <v>9864</v>
      </c>
      <c r="D3859" s="2" t="s">
        <v>10055</v>
      </c>
      <c r="E3859" s="15">
        <v>-0.1777</v>
      </c>
      <c r="F3859" s="15">
        <v>0.16669999999999999</v>
      </c>
      <c r="G3859" s="15">
        <v>-0.27310000000000001</v>
      </c>
      <c r="H3859" s="15">
        <v>0.36130000000000001</v>
      </c>
      <c r="I3859" s="15">
        <v>0.40492824766032159</v>
      </c>
    </row>
    <row r="3860" spans="1:9" x14ac:dyDescent="0.2">
      <c r="A3860" s="2" t="s">
        <v>9865</v>
      </c>
      <c r="B3860" s="2" t="s">
        <v>7007</v>
      </c>
      <c r="C3860" s="2" t="s">
        <v>9866</v>
      </c>
      <c r="D3860" s="2" t="s">
        <v>10055</v>
      </c>
      <c r="E3860" s="15">
        <v>5.79E-2</v>
      </c>
      <c r="F3860" s="15">
        <v>0.1532</v>
      </c>
    </row>
    <row r="3861" spans="1:9" x14ac:dyDescent="0.2">
      <c r="A3861" s="2" t="s">
        <v>9867</v>
      </c>
      <c r="B3861" s="2" t="s">
        <v>7007</v>
      </c>
      <c r="C3861" s="2" t="s">
        <v>9868</v>
      </c>
      <c r="D3861" s="2" t="s">
        <v>10055</v>
      </c>
      <c r="E3861" s="15">
        <v>-0.49</v>
      </c>
      <c r="F3861" s="15">
        <v>0.3896</v>
      </c>
    </row>
    <row r="3862" spans="1:9" x14ac:dyDescent="0.2">
      <c r="A3862" s="2" t="s">
        <v>9869</v>
      </c>
      <c r="B3862" s="2" t="s">
        <v>7007</v>
      </c>
      <c r="C3862" s="2" t="s">
        <v>9870</v>
      </c>
      <c r="D3862" s="2" t="s">
        <v>10055</v>
      </c>
      <c r="G3862" s="15">
        <v>-0.1704</v>
      </c>
      <c r="H3862" s="15">
        <v>0.1903</v>
      </c>
    </row>
    <row r="3863" spans="1:9" x14ac:dyDescent="0.2">
      <c r="A3863" s="2" t="s">
        <v>9871</v>
      </c>
      <c r="B3863" s="2" t="s">
        <v>7007</v>
      </c>
      <c r="C3863" s="2" t="s">
        <v>9872</v>
      </c>
      <c r="D3863" s="2" t="s">
        <v>10055</v>
      </c>
      <c r="E3863" s="15">
        <v>-0.1396</v>
      </c>
      <c r="F3863" s="15">
        <v>0.11360000000000001</v>
      </c>
      <c r="G3863" s="15">
        <v>0.28460000000000002</v>
      </c>
      <c r="H3863" s="15">
        <v>0.35659999999999997</v>
      </c>
      <c r="I3863" s="15">
        <v>0.16003742491718151</v>
      </c>
    </row>
    <row r="3864" spans="1:9" x14ac:dyDescent="0.2">
      <c r="A3864" s="2" t="s">
        <v>9873</v>
      </c>
      <c r="B3864" s="2" t="s">
        <v>7007</v>
      </c>
      <c r="C3864" s="2" t="s">
        <v>9874</v>
      </c>
      <c r="D3864" s="2" t="s">
        <v>10055</v>
      </c>
    </row>
    <row r="3865" spans="1:9" x14ac:dyDescent="0.2">
      <c r="A3865" s="2" t="s">
        <v>9875</v>
      </c>
      <c r="B3865" s="2" t="s">
        <v>7007</v>
      </c>
      <c r="C3865" s="2" t="s">
        <v>9876</v>
      </c>
      <c r="D3865" s="2" t="s">
        <v>10055</v>
      </c>
      <c r="E3865" s="15">
        <v>-1.12E-2</v>
      </c>
      <c r="F3865" s="15">
        <v>0.1086</v>
      </c>
      <c r="G3865" s="15">
        <v>0.2135</v>
      </c>
      <c r="H3865" s="15">
        <v>0.2175</v>
      </c>
      <c r="I3865" s="15">
        <v>0.17408243366993881</v>
      </c>
    </row>
    <row r="3866" spans="1:9" x14ac:dyDescent="0.2">
      <c r="A3866" s="2" t="s">
        <v>9877</v>
      </c>
      <c r="B3866" s="2" t="s">
        <v>7007</v>
      </c>
      <c r="C3866" s="2" t="s">
        <v>9878</v>
      </c>
      <c r="D3866" s="2" t="s">
        <v>10055</v>
      </c>
      <c r="E3866" s="15">
        <v>-0.13739999999999999</v>
      </c>
      <c r="F3866" s="15">
        <v>0.1216</v>
      </c>
      <c r="G3866" s="15">
        <v>-7.46E-2</v>
      </c>
      <c r="H3866" s="15">
        <v>0.23730000000000001</v>
      </c>
      <c r="I3866" s="15">
        <v>0.40087033698255531</v>
      </c>
    </row>
    <row r="3867" spans="1:9" x14ac:dyDescent="0.2">
      <c r="A3867" s="2" t="s">
        <v>9879</v>
      </c>
      <c r="B3867" s="2" t="s">
        <v>7007</v>
      </c>
      <c r="C3867" s="2" t="s">
        <v>9880</v>
      </c>
      <c r="D3867" s="2" t="s">
        <v>10055</v>
      </c>
    </row>
    <row r="3868" spans="1:9" x14ac:dyDescent="0.2">
      <c r="A3868" s="2" t="s">
        <v>9881</v>
      </c>
      <c r="B3868" s="2" t="s">
        <v>7007</v>
      </c>
      <c r="C3868" s="2" t="s">
        <v>9882</v>
      </c>
      <c r="D3868" s="2" t="s">
        <v>10055</v>
      </c>
      <c r="E3868" s="15">
        <v>0.14799999999999999</v>
      </c>
      <c r="F3868" s="15">
        <v>0.1198</v>
      </c>
      <c r="G3868" s="15">
        <v>3.6200000000000003E-2</v>
      </c>
      <c r="H3868" s="15">
        <v>0.1221</v>
      </c>
      <c r="I3868" s="15">
        <v>0.21114534522075279</v>
      </c>
    </row>
    <row r="3869" spans="1:9" x14ac:dyDescent="0.2">
      <c r="A3869" s="2" t="s">
        <v>9883</v>
      </c>
      <c r="B3869" s="2" t="s">
        <v>7007</v>
      </c>
      <c r="C3869" s="2" t="s">
        <v>9884</v>
      </c>
      <c r="D3869" s="2" t="s">
        <v>10055</v>
      </c>
    </row>
    <row r="3870" spans="1:9" x14ac:dyDescent="0.2">
      <c r="A3870" s="2" t="s">
        <v>9885</v>
      </c>
      <c r="B3870" s="2" t="s">
        <v>7007</v>
      </c>
      <c r="C3870" s="2" t="s">
        <v>9886</v>
      </c>
      <c r="D3870" s="2" t="s">
        <v>10055</v>
      </c>
      <c r="E3870" s="15">
        <v>-8.7499999999999994E-2</v>
      </c>
      <c r="F3870" s="15">
        <v>0.19489999999999999</v>
      </c>
      <c r="G3870" s="15">
        <v>-0.2016</v>
      </c>
      <c r="H3870" s="15">
        <v>0.21160000000000001</v>
      </c>
      <c r="I3870" s="15">
        <v>0.32247158728354758</v>
      </c>
    </row>
    <row r="3871" spans="1:9" x14ac:dyDescent="0.2">
      <c r="A3871" s="2" t="s">
        <v>9887</v>
      </c>
      <c r="B3871" s="2" t="s">
        <v>7007</v>
      </c>
      <c r="C3871" s="2" t="s">
        <v>9888</v>
      </c>
      <c r="D3871" s="2" t="s">
        <v>10055</v>
      </c>
      <c r="E3871" s="15">
        <v>0.28549999999999998</v>
      </c>
      <c r="F3871" s="15">
        <v>0.18840000000000001</v>
      </c>
      <c r="G3871" s="15">
        <v>0.34949999999999998</v>
      </c>
      <c r="H3871" s="15">
        <v>0.2412</v>
      </c>
      <c r="I3871" s="15">
        <v>0.39929874096312762</v>
      </c>
    </row>
    <row r="3872" spans="1:9" x14ac:dyDescent="0.2">
      <c r="A3872" s="2" t="s">
        <v>9889</v>
      </c>
      <c r="B3872" s="2" t="s">
        <v>7007</v>
      </c>
      <c r="C3872" s="2" t="s">
        <v>9890</v>
      </c>
      <c r="D3872" s="2" t="s">
        <v>10055</v>
      </c>
      <c r="G3872" s="15">
        <v>-7.0400000000000004E-2</v>
      </c>
      <c r="H3872" s="15">
        <v>0.18509999999999999</v>
      </c>
    </row>
    <row r="3873" spans="1:9" x14ac:dyDescent="0.2">
      <c r="A3873" s="2" t="s">
        <v>9891</v>
      </c>
      <c r="B3873" s="2" t="s">
        <v>7007</v>
      </c>
      <c r="C3873" s="2" t="s">
        <v>9892</v>
      </c>
      <c r="D3873" s="2" t="s">
        <v>10055</v>
      </c>
      <c r="E3873" s="15">
        <v>-0.12239999999999999</v>
      </c>
      <c r="F3873" s="15">
        <v>0.13220000000000001</v>
      </c>
    </row>
    <row r="3874" spans="1:9" x14ac:dyDescent="0.2">
      <c r="A3874" s="2" t="s">
        <v>9893</v>
      </c>
      <c r="B3874" s="2" t="s">
        <v>7007</v>
      </c>
      <c r="C3874" s="2" t="s">
        <v>9894</v>
      </c>
      <c r="D3874" s="2" t="s">
        <v>10055</v>
      </c>
      <c r="E3874" s="15">
        <v>3.2300000000000002E-2</v>
      </c>
      <c r="F3874" s="15">
        <v>0.17380000000000001</v>
      </c>
    </row>
    <row r="3875" spans="1:9" x14ac:dyDescent="0.2">
      <c r="A3875" s="2" t="s">
        <v>9895</v>
      </c>
      <c r="B3875" s="2" t="s">
        <v>7007</v>
      </c>
      <c r="C3875" s="2" t="s">
        <v>9896</v>
      </c>
      <c r="D3875" s="2" t="s">
        <v>10055</v>
      </c>
      <c r="E3875" s="15">
        <v>6.1100000000000002E-2</v>
      </c>
      <c r="F3875" s="15">
        <v>0.1323</v>
      </c>
      <c r="G3875" s="15">
        <v>-0.3039</v>
      </c>
      <c r="H3875" s="15">
        <v>0.32</v>
      </c>
      <c r="I3875" s="15">
        <v>0.24681518699175301</v>
      </c>
    </row>
    <row r="3876" spans="1:9" x14ac:dyDescent="0.2">
      <c r="A3876" s="2" t="s">
        <v>9897</v>
      </c>
      <c r="B3876" s="2" t="s">
        <v>7007</v>
      </c>
      <c r="C3876" s="2" t="s">
        <v>9898</v>
      </c>
      <c r="D3876" s="2" t="s">
        <v>10055</v>
      </c>
      <c r="G3876" s="15">
        <v>5.45E-2</v>
      </c>
      <c r="H3876" s="15">
        <v>0.15010000000000001</v>
      </c>
    </row>
    <row r="3877" spans="1:9" x14ac:dyDescent="0.2">
      <c r="A3877" s="2" t="s">
        <v>9899</v>
      </c>
      <c r="B3877" s="2" t="s">
        <v>7007</v>
      </c>
      <c r="C3877" s="2" t="s">
        <v>9900</v>
      </c>
      <c r="D3877" s="2" t="s">
        <v>10055</v>
      </c>
      <c r="E3877" s="15">
        <v>7.8399999999999997E-2</v>
      </c>
      <c r="F3877" s="15">
        <v>0.18140000000000001</v>
      </c>
    </row>
    <row r="3878" spans="1:9" x14ac:dyDescent="0.2">
      <c r="A3878" s="2" t="s">
        <v>9901</v>
      </c>
      <c r="B3878" s="2" t="s">
        <v>7007</v>
      </c>
      <c r="C3878" s="2" t="s">
        <v>9902</v>
      </c>
      <c r="D3878" s="2" t="s">
        <v>10055</v>
      </c>
      <c r="E3878" s="15">
        <v>-0.1178</v>
      </c>
      <c r="F3878" s="15">
        <v>0.157</v>
      </c>
    </row>
    <row r="3879" spans="1:9" x14ac:dyDescent="0.2">
      <c r="A3879" s="2" t="s">
        <v>9903</v>
      </c>
      <c r="B3879" s="2" t="s">
        <v>7007</v>
      </c>
      <c r="C3879" s="2" t="s">
        <v>9904</v>
      </c>
      <c r="D3879" s="2" t="s">
        <v>10055</v>
      </c>
      <c r="E3879" s="15">
        <v>-6.3799999999999996E-2</v>
      </c>
      <c r="F3879" s="15">
        <v>0.26169999999999999</v>
      </c>
      <c r="G3879" s="15">
        <v>-6.13E-2</v>
      </c>
      <c r="H3879" s="15">
        <v>0.32740000000000002</v>
      </c>
      <c r="I3879" s="15">
        <v>0.49724442512337269</v>
      </c>
    </row>
    <row r="3880" spans="1:9" x14ac:dyDescent="0.2">
      <c r="A3880" s="2" t="s">
        <v>9905</v>
      </c>
      <c r="B3880" s="2" t="s">
        <v>7007</v>
      </c>
      <c r="C3880" s="2" t="s">
        <v>9906</v>
      </c>
      <c r="D3880" s="2" t="s">
        <v>10055</v>
      </c>
      <c r="E3880" s="15">
        <v>-7.0599999999999996E-2</v>
      </c>
      <c r="F3880" s="15">
        <v>0.34849999999999998</v>
      </c>
      <c r="G3880" s="15">
        <v>2.46E-2</v>
      </c>
      <c r="H3880" s="15">
        <v>0.17280000000000001</v>
      </c>
      <c r="I3880" s="15">
        <v>0.30882863528330518</v>
      </c>
    </row>
    <row r="3881" spans="1:9" x14ac:dyDescent="0.2">
      <c r="A3881" s="2" t="s">
        <v>9907</v>
      </c>
      <c r="B3881" s="2" t="s">
        <v>7007</v>
      </c>
      <c r="C3881" s="2" t="s">
        <v>9908</v>
      </c>
      <c r="D3881" s="2" t="s">
        <v>10055</v>
      </c>
      <c r="E3881" s="15">
        <v>-0.27900000000000003</v>
      </c>
      <c r="F3881" s="15">
        <v>0.16389999999999999</v>
      </c>
    </row>
    <row r="3882" spans="1:9" x14ac:dyDescent="0.2">
      <c r="A3882" s="2" t="s">
        <v>9909</v>
      </c>
      <c r="B3882" s="2" t="s">
        <v>7007</v>
      </c>
      <c r="C3882" s="2" t="s">
        <v>9910</v>
      </c>
      <c r="D3882" s="2" t="s">
        <v>10055</v>
      </c>
      <c r="E3882" s="15">
        <v>0.2432</v>
      </c>
      <c r="F3882" s="15">
        <v>0.32100000000000001</v>
      </c>
      <c r="G3882" s="15">
        <v>-0.4284</v>
      </c>
      <c r="H3882" s="15">
        <v>2.1435</v>
      </c>
      <c r="I3882" s="15">
        <v>0.37714988967931801</v>
      </c>
    </row>
    <row r="3883" spans="1:9" x14ac:dyDescent="0.2">
      <c r="A3883" s="2" t="s">
        <v>9911</v>
      </c>
      <c r="B3883" s="2" t="s">
        <v>7007</v>
      </c>
      <c r="C3883" s="2" t="s">
        <v>9912</v>
      </c>
      <c r="D3883" s="2" t="s">
        <v>10055</v>
      </c>
    </row>
    <row r="3884" spans="1:9" x14ac:dyDescent="0.2">
      <c r="A3884" s="2" t="s">
        <v>9913</v>
      </c>
      <c r="B3884" s="2" t="s">
        <v>7007</v>
      </c>
      <c r="C3884" s="2" t="s">
        <v>9914</v>
      </c>
      <c r="D3884" s="2" t="s">
        <v>10055</v>
      </c>
      <c r="E3884" s="15">
        <v>1.4500000000000001E-2</v>
      </c>
      <c r="F3884" s="15">
        <v>0.16350000000000001</v>
      </c>
      <c r="G3884" s="15">
        <v>0.18809999999999999</v>
      </c>
      <c r="H3884" s="15">
        <v>0.1134</v>
      </c>
      <c r="I3884" s="15">
        <v>0.15342551027324319</v>
      </c>
    </row>
    <row r="3885" spans="1:9" x14ac:dyDescent="0.2">
      <c r="A3885" s="2" t="s">
        <v>9915</v>
      </c>
      <c r="B3885" s="2" t="s">
        <v>7007</v>
      </c>
      <c r="C3885" s="2" t="s">
        <v>9916</v>
      </c>
      <c r="D3885" s="2" t="s">
        <v>10055</v>
      </c>
      <c r="E3885" s="15">
        <v>-0.32840000000000003</v>
      </c>
      <c r="F3885" s="15">
        <v>0.45829999999999999</v>
      </c>
      <c r="G3885" s="15">
        <v>-4.8899999999999999E-2</v>
      </c>
      <c r="H3885" s="15">
        <v>0.13250000000000001</v>
      </c>
      <c r="I3885" s="15">
        <v>3.5099009865502011E-2</v>
      </c>
    </row>
    <row r="3886" spans="1:9" x14ac:dyDescent="0.2">
      <c r="A3886" s="2" t="s">
        <v>9917</v>
      </c>
      <c r="B3886" s="2" t="s">
        <v>7007</v>
      </c>
      <c r="C3886" s="2" t="s">
        <v>9918</v>
      </c>
      <c r="D3886" s="2" t="s">
        <v>10055</v>
      </c>
      <c r="E3886" s="15">
        <v>0.1076</v>
      </c>
      <c r="F3886" s="15">
        <v>0.13389999999999999</v>
      </c>
      <c r="G3886" s="15">
        <v>-6.8599999999999994E-2</v>
      </c>
      <c r="H3886" s="15">
        <v>0.1168</v>
      </c>
      <c r="I3886" s="15">
        <v>0.10144809899982531</v>
      </c>
    </row>
    <row r="3887" spans="1:9" x14ac:dyDescent="0.2">
      <c r="A3887" s="2" t="s">
        <v>9919</v>
      </c>
      <c r="B3887" s="2" t="s">
        <v>7007</v>
      </c>
      <c r="C3887" s="2" t="s">
        <v>9920</v>
      </c>
      <c r="D3887" s="2" t="s">
        <v>10055</v>
      </c>
      <c r="G3887" s="15">
        <v>-4.7100000000000003E-2</v>
      </c>
      <c r="H3887" s="15">
        <v>0.1578</v>
      </c>
    </row>
    <row r="3888" spans="1:9" x14ac:dyDescent="0.2">
      <c r="A3888" s="2" t="s">
        <v>9921</v>
      </c>
      <c r="B3888" s="2" t="s">
        <v>7007</v>
      </c>
      <c r="C3888" s="2" t="s">
        <v>9922</v>
      </c>
      <c r="D3888" s="2" t="s">
        <v>10055</v>
      </c>
      <c r="E3888" s="15">
        <v>1.6E-2</v>
      </c>
      <c r="F3888" s="15">
        <v>9.5100000000000004E-2</v>
      </c>
      <c r="G3888" s="15">
        <v>-5.4999999999999997E-3</v>
      </c>
      <c r="H3888" s="15">
        <v>0.18640000000000001</v>
      </c>
      <c r="I3888" s="15">
        <v>0.45855865614292868</v>
      </c>
    </row>
    <row r="3889" spans="1:9" x14ac:dyDescent="0.2">
      <c r="A3889" s="2" t="s">
        <v>9923</v>
      </c>
      <c r="B3889" s="2" t="s">
        <v>7007</v>
      </c>
      <c r="C3889" s="2" t="s">
        <v>9924</v>
      </c>
      <c r="D3889" s="2" t="s">
        <v>10055</v>
      </c>
      <c r="G3889" s="15">
        <v>-2.5399999999999999E-2</v>
      </c>
      <c r="H3889" s="15">
        <v>0.1686</v>
      </c>
    </row>
    <row r="3890" spans="1:9" x14ac:dyDescent="0.2">
      <c r="A3890" s="2" t="s">
        <v>9925</v>
      </c>
      <c r="B3890" s="2" t="s">
        <v>7007</v>
      </c>
      <c r="C3890" s="2" t="s">
        <v>9926</v>
      </c>
      <c r="D3890" s="2" t="s">
        <v>10055</v>
      </c>
      <c r="E3890" s="15">
        <v>5.5999999999999999E-3</v>
      </c>
      <c r="F3890" s="15">
        <v>0.13450000000000001</v>
      </c>
      <c r="G3890" s="15">
        <v>-0.12620000000000001</v>
      </c>
      <c r="H3890" s="15">
        <v>0.1431</v>
      </c>
      <c r="I3890" s="15">
        <v>0.20968553756111699</v>
      </c>
    </row>
    <row r="3891" spans="1:9" x14ac:dyDescent="0.2">
      <c r="A3891" s="2" t="s">
        <v>9927</v>
      </c>
      <c r="B3891" s="2" t="s">
        <v>7007</v>
      </c>
      <c r="C3891" s="2" t="s">
        <v>9928</v>
      </c>
      <c r="D3891" s="2" t="s">
        <v>10055</v>
      </c>
    </row>
    <row r="3892" spans="1:9" x14ac:dyDescent="0.2">
      <c r="A3892" s="2" t="s">
        <v>9929</v>
      </c>
      <c r="B3892" s="2" t="s">
        <v>7007</v>
      </c>
      <c r="C3892" s="2" t="s">
        <v>9930</v>
      </c>
      <c r="D3892" s="2" t="s">
        <v>10055</v>
      </c>
      <c r="E3892" s="15">
        <v>0.14729999999999999</v>
      </c>
      <c r="F3892" s="15">
        <v>0.30330000000000001</v>
      </c>
    </row>
    <row r="3893" spans="1:9" x14ac:dyDescent="0.2">
      <c r="A3893" s="2" t="s">
        <v>9931</v>
      </c>
      <c r="B3893" s="2" t="s">
        <v>7007</v>
      </c>
      <c r="C3893" s="2" t="s">
        <v>9932</v>
      </c>
      <c r="D3893" s="2" t="s">
        <v>10055</v>
      </c>
      <c r="E3893" s="15">
        <v>0.1522</v>
      </c>
      <c r="F3893" s="15">
        <v>0.31130000000000002</v>
      </c>
    </row>
    <row r="3894" spans="1:9" x14ac:dyDescent="0.2">
      <c r="A3894" s="2" t="s">
        <v>9933</v>
      </c>
      <c r="B3894" s="2" t="s">
        <v>7007</v>
      </c>
      <c r="C3894" s="2" t="s">
        <v>9934</v>
      </c>
      <c r="D3894" s="2" t="s">
        <v>10055</v>
      </c>
      <c r="E3894" s="15">
        <v>0.1022</v>
      </c>
      <c r="F3894" s="15">
        <v>0.19889999999999999</v>
      </c>
      <c r="G3894" s="15">
        <v>0.15659999999999999</v>
      </c>
      <c r="H3894" s="15">
        <v>0.35580000000000001</v>
      </c>
      <c r="I3894" s="15">
        <v>0.46799111319319447</v>
      </c>
    </row>
    <row r="3895" spans="1:9" x14ac:dyDescent="0.2">
      <c r="A3895" s="2" t="s">
        <v>9935</v>
      </c>
      <c r="B3895" s="2" t="s">
        <v>7007</v>
      </c>
      <c r="C3895" s="2" t="s">
        <v>9936</v>
      </c>
      <c r="D3895" s="2" t="s">
        <v>10055</v>
      </c>
      <c r="G3895" s="15">
        <v>-0.1734</v>
      </c>
      <c r="H3895" s="15">
        <v>0.14230000000000001</v>
      </c>
    </row>
    <row r="3896" spans="1:9" x14ac:dyDescent="0.2">
      <c r="A3896" s="2" t="s">
        <v>9937</v>
      </c>
      <c r="B3896" s="2" t="s">
        <v>7007</v>
      </c>
      <c r="C3896" s="2" t="s">
        <v>9938</v>
      </c>
      <c r="D3896" s="2" t="s">
        <v>10055</v>
      </c>
    </row>
    <row r="3897" spans="1:9" x14ac:dyDescent="0.2">
      <c r="A3897" s="2" t="s">
        <v>9939</v>
      </c>
      <c r="B3897" s="2" t="s">
        <v>7007</v>
      </c>
      <c r="C3897" s="2" t="s">
        <v>9940</v>
      </c>
      <c r="D3897" s="2" t="s">
        <v>10055</v>
      </c>
      <c r="G3897" s="15">
        <v>-0.50890000000000002</v>
      </c>
      <c r="H3897" s="15">
        <v>1.0304</v>
      </c>
    </row>
    <row r="3898" spans="1:9" x14ac:dyDescent="0.2">
      <c r="A3898" s="2" t="s">
        <v>9941</v>
      </c>
      <c r="B3898" s="2" t="s">
        <v>7007</v>
      </c>
      <c r="C3898" s="2" t="s">
        <v>9942</v>
      </c>
      <c r="D3898" s="2" t="s">
        <v>10055</v>
      </c>
      <c r="E3898" s="15">
        <v>-3.6700000000000003E-2</v>
      </c>
      <c r="F3898" s="15">
        <v>0.15459999999999999</v>
      </c>
      <c r="G3898" s="15">
        <v>0.1958</v>
      </c>
      <c r="H3898" s="15">
        <v>0.1363</v>
      </c>
      <c r="I3898" s="15">
        <v>8.436432026424967E-2</v>
      </c>
    </row>
    <row r="3899" spans="1:9" x14ac:dyDescent="0.2">
      <c r="A3899" s="2" t="s">
        <v>9943</v>
      </c>
      <c r="B3899" s="2" t="s">
        <v>7007</v>
      </c>
      <c r="C3899" s="2" t="s">
        <v>9944</v>
      </c>
      <c r="D3899" s="2" t="s">
        <v>10055</v>
      </c>
      <c r="E3899" s="15">
        <v>0.2044</v>
      </c>
      <c r="F3899" s="15">
        <v>0.22520000000000001</v>
      </c>
      <c r="G3899" s="15">
        <v>0.1168</v>
      </c>
      <c r="H3899" s="15">
        <v>0.12640000000000001</v>
      </c>
      <c r="I3899" s="15">
        <v>0.31266502587403128</v>
      </c>
    </row>
    <row r="3900" spans="1:9" x14ac:dyDescent="0.2">
      <c r="A3900" s="2" t="s">
        <v>9945</v>
      </c>
      <c r="B3900" s="2" t="s">
        <v>7007</v>
      </c>
      <c r="C3900" s="2" t="s">
        <v>9946</v>
      </c>
      <c r="D3900" s="2" t="s">
        <v>10055</v>
      </c>
      <c r="E3900" s="15">
        <v>7.0599999999999996E-2</v>
      </c>
      <c r="F3900" s="15">
        <v>0.29370000000000002</v>
      </c>
      <c r="G3900" s="15">
        <v>0.3725</v>
      </c>
      <c r="H3900" s="15">
        <v>0.61270000000000002</v>
      </c>
    </row>
    <row r="3901" spans="1:9" x14ac:dyDescent="0.2">
      <c r="A3901" s="2" t="s">
        <v>9947</v>
      </c>
      <c r="B3901" s="2" t="s">
        <v>7007</v>
      </c>
      <c r="C3901" s="2" t="s">
        <v>9948</v>
      </c>
      <c r="D3901" s="2" t="s">
        <v>10055</v>
      </c>
      <c r="E3901" s="15">
        <v>4.8399999999999999E-2</v>
      </c>
      <c r="F3901" s="15">
        <v>0.12379999999999999</v>
      </c>
    </row>
    <row r="3902" spans="1:9" x14ac:dyDescent="0.2">
      <c r="A3902" s="2" t="s">
        <v>9949</v>
      </c>
      <c r="B3902" s="2" t="s">
        <v>7007</v>
      </c>
      <c r="C3902" s="2" t="s">
        <v>9950</v>
      </c>
      <c r="D3902" s="2" t="s">
        <v>10055</v>
      </c>
    </row>
    <row r="3903" spans="1:9" x14ac:dyDescent="0.2">
      <c r="A3903" s="2" t="s">
        <v>9951</v>
      </c>
      <c r="B3903" s="2" t="s">
        <v>7007</v>
      </c>
      <c r="C3903" s="2" t="s">
        <v>9952</v>
      </c>
      <c r="D3903" s="2" t="s">
        <v>10055</v>
      </c>
      <c r="E3903" s="15">
        <v>0.3795</v>
      </c>
      <c r="F3903" s="15">
        <v>0.21890000000000001</v>
      </c>
    </row>
    <row r="3904" spans="1:9" x14ac:dyDescent="0.2">
      <c r="A3904" s="2" t="s">
        <v>9953</v>
      </c>
      <c r="B3904" s="2" t="s">
        <v>7007</v>
      </c>
      <c r="C3904" s="2" t="s">
        <v>9954</v>
      </c>
      <c r="D3904" s="2" t="s">
        <v>10055</v>
      </c>
    </row>
    <row r="3905" spans="1:9" x14ac:dyDescent="0.2">
      <c r="A3905" s="2" t="s">
        <v>9955</v>
      </c>
      <c r="B3905" s="2" t="s">
        <v>7007</v>
      </c>
      <c r="C3905" s="2" t="s">
        <v>9956</v>
      </c>
      <c r="D3905" s="2" t="s">
        <v>10055</v>
      </c>
      <c r="E3905" s="15">
        <v>0.2366</v>
      </c>
      <c r="F3905" s="15">
        <v>0.12889999999999999</v>
      </c>
      <c r="G3905" s="15">
        <v>-1.9800000000000002E-2</v>
      </c>
      <c r="H3905" s="15">
        <v>0.1046</v>
      </c>
      <c r="I3905" s="15">
        <v>2.2113958313819029E-2</v>
      </c>
    </row>
    <row r="3906" spans="1:9" x14ac:dyDescent="0.2">
      <c r="A3906" s="2" t="s">
        <v>9957</v>
      </c>
      <c r="B3906" s="2" t="s">
        <v>7007</v>
      </c>
      <c r="C3906" s="2" t="s">
        <v>9958</v>
      </c>
      <c r="D3906" s="2" t="s">
        <v>10055</v>
      </c>
      <c r="E3906" s="15">
        <v>-0.29409999999999997</v>
      </c>
      <c r="F3906" s="15">
        <v>0.19969999999999999</v>
      </c>
      <c r="G3906" s="15">
        <v>-0.11990000000000001</v>
      </c>
      <c r="H3906" s="15">
        <v>0.1303</v>
      </c>
      <c r="I3906" s="15">
        <v>0.14301456123509379</v>
      </c>
    </row>
    <row r="3907" spans="1:9" x14ac:dyDescent="0.2">
      <c r="A3907" s="2" t="s">
        <v>9959</v>
      </c>
      <c r="B3907" s="2" t="s">
        <v>7007</v>
      </c>
      <c r="C3907" s="2" t="s">
        <v>9960</v>
      </c>
      <c r="D3907" s="2" t="s">
        <v>10055</v>
      </c>
    </row>
    <row r="3908" spans="1:9" x14ac:dyDescent="0.2">
      <c r="A3908" s="2" t="s">
        <v>9961</v>
      </c>
      <c r="B3908" s="2" t="s">
        <v>7007</v>
      </c>
      <c r="C3908" s="2" t="s">
        <v>9962</v>
      </c>
      <c r="D3908" s="2" t="s">
        <v>10055</v>
      </c>
      <c r="E3908" s="15">
        <v>-0.1179</v>
      </c>
      <c r="F3908" s="15">
        <v>0.30940000000000001</v>
      </c>
      <c r="G3908" s="15">
        <v>0.1081</v>
      </c>
      <c r="H3908" s="15">
        <v>0.19700000000000001</v>
      </c>
      <c r="I3908" s="15">
        <v>0.1623012381977687</v>
      </c>
    </row>
    <row r="3909" spans="1:9" x14ac:dyDescent="0.2">
      <c r="A3909" s="2" t="s">
        <v>9963</v>
      </c>
      <c r="B3909" s="2" t="s">
        <v>7007</v>
      </c>
      <c r="C3909" s="2" t="s">
        <v>9964</v>
      </c>
      <c r="D3909" s="2" t="s">
        <v>10055</v>
      </c>
      <c r="G3909" s="15">
        <v>-0.13789999999999999</v>
      </c>
      <c r="H3909" s="15">
        <v>0.16170000000000001</v>
      </c>
    </row>
    <row r="3910" spans="1:9" x14ac:dyDescent="0.2">
      <c r="A3910" s="2" t="s">
        <v>9965</v>
      </c>
      <c r="B3910" s="2" t="s">
        <v>7007</v>
      </c>
      <c r="C3910" s="2" t="s">
        <v>9966</v>
      </c>
      <c r="D3910" s="2" t="s">
        <v>10055</v>
      </c>
      <c r="E3910" s="15">
        <v>0.1908</v>
      </c>
      <c r="F3910" s="15">
        <v>0.1744</v>
      </c>
    </row>
    <row r="3911" spans="1:9" x14ac:dyDescent="0.2">
      <c r="A3911" s="2" t="s">
        <v>9967</v>
      </c>
      <c r="B3911" s="2" t="s">
        <v>7007</v>
      </c>
      <c r="C3911" s="2" t="s">
        <v>9968</v>
      </c>
      <c r="D3911" s="2" t="s">
        <v>10055</v>
      </c>
      <c r="E3911" s="15">
        <v>0.23280000000000001</v>
      </c>
      <c r="F3911" s="15">
        <v>0.29480000000000001</v>
      </c>
      <c r="G3911" s="15">
        <v>-0.318</v>
      </c>
      <c r="H3911" s="15">
        <v>0.5484</v>
      </c>
      <c r="I3911" s="15">
        <v>0.19441028937580679</v>
      </c>
    </row>
    <row r="3912" spans="1:9" x14ac:dyDescent="0.2">
      <c r="A3912" s="2" t="s">
        <v>9969</v>
      </c>
      <c r="B3912" s="2" t="s">
        <v>7007</v>
      </c>
      <c r="C3912" s="2" t="s">
        <v>9970</v>
      </c>
      <c r="D3912" s="2" t="s">
        <v>10055</v>
      </c>
      <c r="G3912" s="15">
        <v>-0.26790000000000003</v>
      </c>
      <c r="H3912" s="15">
        <v>0.29959999999999998</v>
      </c>
    </row>
    <row r="3913" spans="1:9" x14ac:dyDescent="0.2">
      <c r="A3913" s="2" t="s">
        <v>9971</v>
      </c>
      <c r="B3913" s="2" t="s">
        <v>7007</v>
      </c>
      <c r="C3913" s="2" t="s">
        <v>9972</v>
      </c>
      <c r="D3913" s="2" t="s">
        <v>10055</v>
      </c>
    </row>
    <row r="3914" spans="1:9" x14ac:dyDescent="0.2">
      <c r="A3914" s="2" t="s">
        <v>9973</v>
      </c>
      <c r="B3914" s="2" t="s">
        <v>7007</v>
      </c>
      <c r="C3914" s="2" t="s">
        <v>9974</v>
      </c>
      <c r="D3914" s="2" t="s">
        <v>10055</v>
      </c>
      <c r="E3914" s="15">
        <v>-0.1242</v>
      </c>
      <c r="F3914" s="15">
        <v>0.2586</v>
      </c>
      <c r="G3914" s="15">
        <v>-0.33700000000000002</v>
      </c>
      <c r="H3914" s="15">
        <v>0.77700000000000002</v>
      </c>
      <c r="I3914" s="15">
        <v>0.39319441194985849</v>
      </c>
    </row>
    <row r="3915" spans="1:9" x14ac:dyDescent="0.2">
      <c r="A3915" s="2" t="s">
        <v>9975</v>
      </c>
      <c r="B3915" s="2" t="s">
        <v>7007</v>
      </c>
      <c r="C3915" s="2" t="s">
        <v>9976</v>
      </c>
      <c r="D3915" s="2" t="s">
        <v>10055</v>
      </c>
    </row>
    <row r="3916" spans="1:9" x14ac:dyDescent="0.2">
      <c r="A3916" s="2" t="s">
        <v>9977</v>
      </c>
      <c r="B3916" s="2" t="s">
        <v>9978</v>
      </c>
      <c r="C3916" s="2" t="s">
        <v>9979</v>
      </c>
      <c r="D3916" s="2" t="s">
        <v>10055</v>
      </c>
      <c r="E3916" s="15">
        <v>-4.53E-2</v>
      </c>
      <c r="F3916" s="15">
        <v>7.7799999999999994E-2</v>
      </c>
      <c r="G3916" s="15">
        <v>3.3399999999999999E-2</v>
      </c>
      <c r="H3916" s="15">
        <v>0.1216</v>
      </c>
      <c r="I3916" s="15">
        <v>0.27501690239879789</v>
      </c>
    </row>
    <row r="3917" spans="1:9" x14ac:dyDescent="0.2">
      <c r="A3917" s="2" t="s">
        <v>9980</v>
      </c>
      <c r="B3917" s="2" t="s">
        <v>9978</v>
      </c>
      <c r="C3917" s="2" t="s">
        <v>9981</v>
      </c>
      <c r="D3917" s="2" t="s">
        <v>10055</v>
      </c>
      <c r="E3917" s="15">
        <v>3.8199999999999998E-2</v>
      </c>
      <c r="F3917" s="15">
        <v>7.2599999999999998E-2</v>
      </c>
      <c r="G3917" s="15">
        <v>2.24E-2</v>
      </c>
      <c r="H3917" s="15">
        <v>6.4799999999999996E-2</v>
      </c>
      <c r="I3917" s="15">
        <v>0.41560760128400409</v>
      </c>
    </row>
    <row r="3918" spans="1:9" x14ac:dyDescent="0.2">
      <c r="A3918" s="2" t="s">
        <v>9982</v>
      </c>
      <c r="B3918" s="2" t="s">
        <v>9978</v>
      </c>
      <c r="C3918" s="2" t="s">
        <v>9983</v>
      </c>
      <c r="D3918" s="2" t="s">
        <v>10055</v>
      </c>
      <c r="E3918" s="15">
        <v>-0.14580000000000001</v>
      </c>
      <c r="F3918" s="15">
        <v>7.1199999999999999E-2</v>
      </c>
      <c r="G3918" s="15">
        <v>-9.9400000000000002E-2</v>
      </c>
      <c r="H3918" s="15">
        <v>5.9900000000000002E-2</v>
      </c>
      <c r="I3918" s="15">
        <v>0.25367744347835208</v>
      </c>
    </row>
    <row r="3919" spans="1:9" x14ac:dyDescent="0.2">
      <c r="A3919" s="2" t="s">
        <v>9984</v>
      </c>
      <c r="B3919" s="2" t="s">
        <v>9978</v>
      </c>
      <c r="C3919" s="2" t="s">
        <v>9985</v>
      </c>
      <c r="D3919" s="2" t="s">
        <v>10055</v>
      </c>
      <c r="E3919" s="15">
        <v>-0.11360000000000001</v>
      </c>
      <c r="F3919" s="15">
        <v>7.4800000000000005E-2</v>
      </c>
      <c r="G3919" s="15">
        <v>-6.5699999999999995E-2</v>
      </c>
      <c r="H3919" s="15">
        <v>7.8299999999999995E-2</v>
      </c>
      <c r="I3919" s="15">
        <v>0.28880059599899471</v>
      </c>
    </row>
    <row r="3920" spans="1:9" x14ac:dyDescent="0.2">
      <c r="A3920" s="2" t="s">
        <v>9986</v>
      </c>
      <c r="B3920" s="2" t="s">
        <v>9978</v>
      </c>
      <c r="C3920" s="2" t="s">
        <v>9987</v>
      </c>
      <c r="D3920" s="2" t="s">
        <v>10055</v>
      </c>
      <c r="E3920" s="15">
        <v>0.25940000000000002</v>
      </c>
      <c r="F3920" s="15">
        <v>0.28420000000000001</v>
      </c>
      <c r="G3920" s="15">
        <v>3.3300000000000003E-2</v>
      </c>
      <c r="H3920" s="15">
        <v>0.1206</v>
      </c>
      <c r="I3920" s="15">
        <v>6.8663044998603956E-2</v>
      </c>
    </row>
    <row r="3921" spans="1:9" x14ac:dyDescent="0.2">
      <c r="A3921" s="2" t="s">
        <v>9988</v>
      </c>
      <c r="B3921" s="2" t="s">
        <v>9978</v>
      </c>
      <c r="C3921" s="2" t="s">
        <v>9989</v>
      </c>
      <c r="D3921" s="2" t="s">
        <v>10055</v>
      </c>
      <c r="E3921" s="15">
        <v>9.3700000000000006E-2</v>
      </c>
      <c r="F3921" s="15">
        <v>6.2300000000000001E-2</v>
      </c>
      <c r="G3921" s="15">
        <v>-2.6800000000000001E-2</v>
      </c>
      <c r="H3921" s="15">
        <v>6.9699999999999998E-2</v>
      </c>
      <c r="I3921" s="15">
        <v>6.326545293004493E-2</v>
      </c>
    </row>
    <row r="3922" spans="1:9" x14ac:dyDescent="0.2">
      <c r="A3922" s="2" t="s">
        <v>9990</v>
      </c>
      <c r="B3922" s="2" t="s">
        <v>9991</v>
      </c>
      <c r="C3922" s="2" t="s">
        <v>9992</v>
      </c>
      <c r="D3922" s="2" t="s">
        <v>10056</v>
      </c>
      <c r="E3922" s="15">
        <v>7.9000000000000008E-3</v>
      </c>
      <c r="F3922" s="15">
        <v>8.6199999999999999E-2</v>
      </c>
      <c r="G3922" s="15">
        <v>0.1072</v>
      </c>
      <c r="H3922" s="15">
        <v>9.3799999999999994E-2</v>
      </c>
      <c r="I3922" s="15">
        <v>0.17032314560139919</v>
      </c>
    </row>
    <row r="3923" spans="1:9" x14ac:dyDescent="0.2">
      <c r="A3923" s="2" t="s">
        <v>9993</v>
      </c>
      <c r="B3923" s="2" t="s">
        <v>9994</v>
      </c>
      <c r="C3923" s="2" t="s">
        <v>9995</v>
      </c>
      <c r="D3923" s="2" t="s">
        <v>10056</v>
      </c>
      <c r="E3923" s="15">
        <v>-5.8500000000000003E-2</v>
      </c>
      <c r="F3923" s="15">
        <v>7.5800000000000006E-2</v>
      </c>
      <c r="G3923" s="15">
        <v>4.7999999999999996E-3</v>
      </c>
      <c r="H3923" s="15">
        <v>6.4100000000000004E-2</v>
      </c>
      <c r="I3923" s="15">
        <v>0.1995988954328145</v>
      </c>
    </row>
    <row r="3924" spans="1:9" x14ac:dyDescent="0.2">
      <c r="A3924" s="2" t="s">
        <v>9996</v>
      </c>
      <c r="B3924" s="2" t="s">
        <v>9997</v>
      </c>
      <c r="C3924" s="2" t="s">
        <v>9998</v>
      </c>
      <c r="D3924" s="2" t="s">
        <v>10056</v>
      </c>
      <c r="E3924" s="15">
        <v>5.0200000000000002E-2</v>
      </c>
      <c r="F3924" s="15">
        <v>8.8099999999999998E-2</v>
      </c>
      <c r="G3924" s="15">
        <v>-3.0000000000000001E-3</v>
      </c>
      <c r="H3924" s="15">
        <v>9.4899999999999998E-2</v>
      </c>
      <c r="I3924" s="15">
        <v>0.30682540578751433</v>
      </c>
    </row>
    <row r="3925" spans="1:9" x14ac:dyDescent="0.2">
      <c r="A3925" s="2" t="s">
        <v>9999</v>
      </c>
      <c r="B3925" s="2" t="s">
        <v>10000</v>
      </c>
      <c r="C3925" s="2" t="s">
        <v>10001</v>
      </c>
      <c r="D3925" s="2" t="s">
        <v>10056</v>
      </c>
      <c r="E3925" s="15">
        <v>0.1086</v>
      </c>
      <c r="F3925" s="15">
        <v>0.13059999999999999</v>
      </c>
      <c r="G3925" s="15">
        <v>-9.2200000000000004E-2</v>
      </c>
      <c r="H3925" s="15">
        <v>0.11940000000000001</v>
      </c>
      <c r="I3925" s="15">
        <v>6.4987006588243537E-2</v>
      </c>
    </row>
    <row r="3926" spans="1:9" x14ac:dyDescent="0.2">
      <c r="A3926" s="2" t="s">
        <v>10002</v>
      </c>
      <c r="B3926" s="2" t="s">
        <v>10003</v>
      </c>
      <c r="C3926" s="2" t="s">
        <v>10004</v>
      </c>
      <c r="D3926" s="2" t="s">
        <v>10056</v>
      </c>
      <c r="E3926" s="15">
        <v>0.1709</v>
      </c>
      <c r="F3926" s="15">
        <v>0.10780000000000001</v>
      </c>
      <c r="G3926" s="15">
        <v>-3.0200000000000001E-2</v>
      </c>
      <c r="H3926" s="15">
        <v>9.6500000000000002E-2</v>
      </c>
      <c r="I3926" s="15">
        <v>3.2761994510560943E-2</v>
      </c>
    </row>
    <row r="3927" spans="1:9" x14ac:dyDescent="0.2">
      <c r="A3927" s="2" t="s">
        <v>10005</v>
      </c>
      <c r="B3927" s="2" t="s">
        <v>10006</v>
      </c>
      <c r="C3927" s="2" t="s">
        <v>10007</v>
      </c>
      <c r="D3927" s="2" t="s">
        <v>10056</v>
      </c>
      <c r="E3927" s="15">
        <v>2.24E-2</v>
      </c>
      <c r="F3927" s="15">
        <v>7.1400000000000005E-2</v>
      </c>
      <c r="G3927" s="15">
        <v>5.96E-2</v>
      </c>
      <c r="H3927" s="15">
        <v>7.1099999999999997E-2</v>
      </c>
      <c r="I3927" s="15">
        <v>0.32618203906880572</v>
      </c>
    </row>
    <row r="3928" spans="1:9" x14ac:dyDescent="0.2">
      <c r="A3928" s="2" t="s">
        <v>10008</v>
      </c>
      <c r="B3928" s="2" t="s">
        <v>10009</v>
      </c>
      <c r="C3928" s="2" t="s">
        <v>10010</v>
      </c>
      <c r="D3928" s="2" t="s">
        <v>10056</v>
      </c>
      <c r="E3928" s="15">
        <v>1.89E-2</v>
      </c>
      <c r="F3928" s="15">
        <v>6.7000000000000004E-2</v>
      </c>
      <c r="G3928" s="15">
        <v>8.5699999999999998E-2</v>
      </c>
      <c r="H3928" s="15">
        <v>8.8099999999999998E-2</v>
      </c>
      <c r="I3928" s="15">
        <v>0.2484875618830206</v>
      </c>
    </row>
    <row r="3929" spans="1:9" x14ac:dyDescent="0.2">
      <c r="A3929" s="2" t="s">
        <v>10011</v>
      </c>
      <c r="B3929" s="2" t="s">
        <v>10012</v>
      </c>
      <c r="C3929" s="2" t="s">
        <v>10013</v>
      </c>
      <c r="D3929" s="2" t="s">
        <v>10056</v>
      </c>
      <c r="E3929" s="15">
        <v>1.2E-2</v>
      </c>
      <c r="F3929" s="15">
        <v>7.4399999999999994E-2</v>
      </c>
      <c r="G3929" s="15">
        <v>0.1711</v>
      </c>
      <c r="H3929" s="15">
        <v>8.0100000000000005E-2</v>
      </c>
      <c r="I3929" s="15">
        <v>4.5636652259479188E-2</v>
      </c>
    </row>
    <row r="3930" spans="1:9" x14ac:dyDescent="0.2">
      <c r="A3930" s="2" t="s">
        <v>10014</v>
      </c>
      <c r="B3930" s="2" t="s">
        <v>10015</v>
      </c>
      <c r="C3930" s="2" t="s">
        <v>10016</v>
      </c>
      <c r="D3930" s="2" t="s">
        <v>10056</v>
      </c>
      <c r="E3930" s="15">
        <v>4.2200000000000001E-2</v>
      </c>
      <c r="F3930" s="15">
        <v>6.2E-2</v>
      </c>
      <c r="G3930" s="15">
        <v>6.0299999999999999E-2</v>
      </c>
      <c r="H3930" s="15">
        <v>8.1000000000000003E-2</v>
      </c>
      <c r="I3930" s="15">
        <v>0.4217296361061923</v>
      </c>
    </row>
    <row r="3931" spans="1:9" x14ac:dyDescent="0.2">
      <c r="A3931" s="2" t="s">
        <v>10017</v>
      </c>
      <c r="B3931" s="2" t="s">
        <v>10018</v>
      </c>
      <c r="C3931" s="2" t="s">
        <v>10019</v>
      </c>
      <c r="D3931" s="2" t="s">
        <v>10056</v>
      </c>
      <c r="E3931" s="15">
        <v>2.1600000000000001E-2</v>
      </c>
      <c r="F3931" s="15">
        <v>7.4800000000000005E-2</v>
      </c>
      <c r="G3931" s="15">
        <v>0.1022</v>
      </c>
      <c r="H3931" s="15">
        <v>8.0100000000000005E-2</v>
      </c>
      <c r="I3931" s="15">
        <v>0.1935113067847474</v>
      </c>
    </row>
    <row r="3932" spans="1:9" x14ac:dyDescent="0.2">
      <c r="A3932" s="2" t="s">
        <v>10020</v>
      </c>
      <c r="B3932" s="2" t="s">
        <v>10021</v>
      </c>
      <c r="C3932" s="2" t="s">
        <v>10022</v>
      </c>
      <c r="D3932" s="2" t="s">
        <v>10056</v>
      </c>
      <c r="G3932" s="15">
        <v>-0.25640000000000002</v>
      </c>
      <c r="H3932" s="15">
        <v>0.1862</v>
      </c>
    </row>
    <row r="3933" spans="1:9" x14ac:dyDescent="0.2">
      <c r="A3933" s="2" t="s">
        <v>10023</v>
      </c>
      <c r="B3933" s="2" t="s">
        <v>10024</v>
      </c>
      <c r="C3933" s="2" t="s">
        <v>10025</v>
      </c>
      <c r="D3933" s="2" t="s">
        <v>10056</v>
      </c>
    </row>
    <row r="3934" spans="1:9" x14ac:dyDescent="0.2">
      <c r="A3934" s="2" t="s">
        <v>10026</v>
      </c>
      <c r="B3934" s="2" t="s">
        <v>10027</v>
      </c>
      <c r="C3934" s="2" t="s">
        <v>10028</v>
      </c>
      <c r="D3934" s="2" t="s">
        <v>10056</v>
      </c>
      <c r="E3934" s="15">
        <v>-1.72E-2</v>
      </c>
      <c r="F3934" s="15">
        <v>8.8099999999999998E-2</v>
      </c>
      <c r="G3934" s="15">
        <v>-0.14899999999999999</v>
      </c>
      <c r="H3934" s="15">
        <v>8.2900000000000001E-2</v>
      </c>
      <c r="I3934" s="15">
        <v>9.0920578325754314E-2</v>
      </c>
    </row>
    <row r="3935" spans="1:9" x14ac:dyDescent="0.2">
      <c r="A3935" s="2" t="s">
        <v>10029</v>
      </c>
      <c r="B3935" s="2" t="s">
        <v>10030</v>
      </c>
      <c r="C3935" s="2" t="s">
        <v>10031</v>
      </c>
      <c r="D3935" s="2" t="s">
        <v>10056</v>
      </c>
      <c r="E3935" s="15">
        <v>-2.52E-2</v>
      </c>
      <c r="F3935" s="15">
        <v>7.9699999999999993E-2</v>
      </c>
      <c r="G3935" s="15">
        <v>-3.2399999999999998E-2</v>
      </c>
      <c r="H3935" s="15">
        <v>7.7200000000000005E-2</v>
      </c>
      <c r="I3935" s="15">
        <v>0.46738867306499521</v>
      </c>
    </row>
    <row r="3936" spans="1:9" x14ac:dyDescent="0.2">
      <c r="A3936" s="2" t="s">
        <v>10032</v>
      </c>
      <c r="B3936" s="2" t="s">
        <v>10033</v>
      </c>
      <c r="C3936" s="2" t="s">
        <v>10034</v>
      </c>
      <c r="D3936" s="2" t="s">
        <v>10056</v>
      </c>
      <c r="E3936" s="15">
        <v>-0.17419999999999999</v>
      </c>
      <c r="F3936" s="15">
        <v>0.1953</v>
      </c>
      <c r="G3936" s="15">
        <v>-0.1726</v>
      </c>
      <c r="H3936" s="15">
        <v>0.10970000000000001</v>
      </c>
      <c r="I3936" s="15">
        <v>0.49535586254954861</v>
      </c>
    </row>
    <row r="3937" spans="1:8" x14ac:dyDescent="0.2">
      <c r="A3937" s="2" t="s">
        <v>10035</v>
      </c>
      <c r="B3937" s="2" t="s">
        <v>10036</v>
      </c>
      <c r="C3937" s="2" t="s">
        <v>10037</v>
      </c>
      <c r="D3937" s="2" t="s">
        <v>10056</v>
      </c>
      <c r="E3937" s="15">
        <v>1.95E-2</v>
      </c>
      <c r="F3937" s="15">
        <v>0.15359999999999999</v>
      </c>
      <c r="G3937" s="15">
        <v>-0.38329999999999997</v>
      </c>
      <c r="H3937" s="15">
        <v>4.2873000000000001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F07F1-B441-4AB9-B7F3-42BDD341D6C5}">
  <dimension ref="A1:H173"/>
  <sheetViews>
    <sheetView workbookViewId="0"/>
  </sheetViews>
  <sheetFormatPr defaultColWidth="9" defaultRowHeight="14.25" x14ac:dyDescent="0.2"/>
  <cols>
    <col min="1" max="1" width="6.5703125" style="2" bestFit="1" customWidth="1"/>
    <col min="2" max="2" width="7.42578125" style="2" bestFit="1" customWidth="1"/>
    <col min="3" max="3" width="59.140625" style="2" bestFit="1" customWidth="1"/>
    <col min="4" max="4" width="26.5703125" style="2" bestFit="1" customWidth="1"/>
    <col min="5" max="5" width="14.42578125" style="15" bestFit="1" customWidth="1"/>
    <col min="6" max="6" width="21.85546875" style="15" bestFit="1" customWidth="1"/>
    <col min="7" max="7" width="14.42578125" style="15" bestFit="1" customWidth="1"/>
    <col min="8" max="8" width="13.7109375" style="15" bestFit="1" customWidth="1"/>
    <col min="9" max="16384" width="9" style="2"/>
  </cols>
  <sheetData>
    <row r="1" spans="1:8" s="8" customFormat="1" x14ac:dyDescent="0.2">
      <c r="A1" s="1" t="s">
        <v>12331</v>
      </c>
    </row>
    <row r="2" spans="1:8" s="8" customFormat="1" ht="16.5" x14ac:dyDescent="0.3">
      <c r="A2" s="10" t="s">
        <v>10038</v>
      </c>
      <c r="B2" s="10" t="s">
        <v>0</v>
      </c>
      <c r="C2" s="10" t="s">
        <v>1</v>
      </c>
      <c r="D2" s="10" t="s">
        <v>10039</v>
      </c>
      <c r="E2" s="10" t="s">
        <v>10059</v>
      </c>
      <c r="F2" s="10" t="s">
        <v>10060</v>
      </c>
      <c r="G2" s="10" t="s">
        <v>12313</v>
      </c>
      <c r="H2" s="10" t="s">
        <v>12314</v>
      </c>
    </row>
    <row r="3" spans="1:8" x14ac:dyDescent="0.2">
      <c r="A3" s="2" t="s">
        <v>197</v>
      </c>
      <c r="B3" s="2" t="s">
        <v>198</v>
      </c>
      <c r="C3" s="2" t="s">
        <v>199</v>
      </c>
      <c r="D3" s="2" t="s">
        <v>10040</v>
      </c>
      <c r="E3" s="15">
        <v>0.80659428247626697</v>
      </c>
      <c r="F3" s="15">
        <v>2.2881081881994699E-12</v>
      </c>
      <c r="G3" s="15">
        <v>-0.22135696149105999</v>
      </c>
      <c r="H3" s="15">
        <v>9.4862683549587906E-2</v>
      </c>
    </row>
    <row r="4" spans="1:8" x14ac:dyDescent="0.2">
      <c r="A4" s="2" t="s">
        <v>1826</v>
      </c>
      <c r="B4" s="2" t="s">
        <v>1827</v>
      </c>
      <c r="C4" s="2" t="s">
        <v>1828</v>
      </c>
      <c r="D4" s="2" t="s">
        <v>10040</v>
      </c>
      <c r="E4" s="15">
        <v>0.34146011430701501</v>
      </c>
      <c r="F4" s="15">
        <v>5.1414429969506502E-11</v>
      </c>
      <c r="G4" s="15">
        <v>0.158364456098572</v>
      </c>
      <c r="H4" s="15">
        <v>7.2726356916446896E-2</v>
      </c>
    </row>
    <row r="5" spans="1:8" x14ac:dyDescent="0.2">
      <c r="A5" s="2" t="s">
        <v>6527</v>
      </c>
      <c r="B5" s="2" t="s">
        <v>6475</v>
      </c>
      <c r="C5" s="2" t="s">
        <v>6528</v>
      </c>
      <c r="D5" s="2" t="s">
        <v>10054</v>
      </c>
      <c r="E5" s="15">
        <v>0.31814890913281002</v>
      </c>
      <c r="F5" s="15">
        <v>1.32350034422158E-10</v>
      </c>
      <c r="G5" s="15">
        <v>-0.12419350428303599</v>
      </c>
      <c r="H5" s="15">
        <v>0.100534847605646</v>
      </c>
    </row>
    <row r="6" spans="1:8" x14ac:dyDescent="0.2">
      <c r="A6" s="2" t="s">
        <v>9285</v>
      </c>
      <c r="B6" s="2" t="s">
        <v>7007</v>
      </c>
      <c r="C6" s="2" t="s">
        <v>9286</v>
      </c>
      <c r="D6" s="2" t="s">
        <v>10055</v>
      </c>
      <c r="E6" s="15">
        <v>0.632743171076113</v>
      </c>
      <c r="F6" s="15">
        <v>7.7105054406258093E-9</v>
      </c>
      <c r="G6" s="15">
        <v>-0.162501924644183</v>
      </c>
      <c r="H6" s="15">
        <v>7.59979618840433E-2</v>
      </c>
    </row>
    <row r="7" spans="1:8" x14ac:dyDescent="0.2">
      <c r="A7" s="2" t="s">
        <v>662</v>
      </c>
      <c r="B7" s="2" t="s">
        <v>663</v>
      </c>
      <c r="C7" s="2" t="s">
        <v>664</v>
      </c>
      <c r="D7" s="2" t="s">
        <v>10040</v>
      </c>
      <c r="E7" s="15">
        <v>0.45972366194375802</v>
      </c>
      <c r="F7" s="15">
        <v>2.8847429180647801E-7</v>
      </c>
      <c r="G7" s="15">
        <v>-0.14325031416189701</v>
      </c>
      <c r="H7" s="15">
        <v>8.1357298783035006E-2</v>
      </c>
    </row>
    <row r="8" spans="1:8" x14ac:dyDescent="0.2">
      <c r="A8" s="2" t="s">
        <v>8065</v>
      </c>
      <c r="B8" s="2" t="s">
        <v>7007</v>
      </c>
      <c r="C8" s="2" t="s">
        <v>8066</v>
      </c>
      <c r="D8" s="2" t="s">
        <v>10055</v>
      </c>
      <c r="E8" s="15">
        <v>-0.19009800755255801</v>
      </c>
      <c r="F8" s="15">
        <v>9.5386538891263498E-4</v>
      </c>
      <c r="G8" s="15">
        <v>0.218065385675658</v>
      </c>
      <c r="H8" s="15">
        <v>7.6456994169428596E-2</v>
      </c>
    </row>
    <row r="9" spans="1:8" x14ac:dyDescent="0.2">
      <c r="A9" s="2" t="s">
        <v>3932</v>
      </c>
      <c r="B9" s="2" t="s">
        <v>3933</v>
      </c>
      <c r="C9" s="2" t="s">
        <v>3934</v>
      </c>
      <c r="D9" s="2" t="s">
        <v>10042</v>
      </c>
      <c r="E9" s="15">
        <v>0.52780611871989702</v>
      </c>
      <c r="F9" s="15">
        <v>3.3957824275444901E-2</v>
      </c>
      <c r="G9" s="15">
        <v>0.163007180665493</v>
      </c>
      <c r="H9" s="15">
        <v>7.6878490696785304E-2</v>
      </c>
    </row>
    <row r="10" spans="1:8" x14ac:dyDescent="0.2">
      <c r="A10" s="2" t="s">
        <v>9301</v>
      </c>
      <c r="B10" s="2" t="s">
        <v>7007</v>
      </c>
      <c r="C10" s="2" t="s">
        <v>9302</v>
      </c>
      <c r="D10" s="2" t="s">
        <v>10055</v>
      </c>
      <c r="E10" s="15">
        <v>0.54424775879436504</v>
      </c>
      <c r="F10" s="15">
        <v>4.0590267736098799E-2</v>
      </c>
      <c r="G10" s="15">
        <v>0.15952722382373299</v>
      </c>
      <c r="H10" s="15">
        <v>9.0261041138996398E-2</v>
      </c>
    </row>
    <row r="11" spans="1:8" x14ac:dyDescent="0.2">
      <c r="A11" s="2" t="s">
        <v>6450</v>
      </c>
      <c r="B11" s="2" t="s">
        <v>6432</v>
      </c>
      <c r="C11" s="2" t="s">
        <v>6451</v>
      </c>
      <c r="D11" s="2" t="s">
        <v>10054</v>
      </c>
      <c r="E11" s="15">
        <v>0.28166336213644599</v>
      </c>
      <c r="F11" s="15">
        <v>4.2338896665080498E-2</v>
      </c>
      <c r="G11" s="15">
        <v>-0.156616325921449</v>
      </c>
      <c r="H11" s="15">
        <v>7.6758595170173999E-2</v>
      </c>
    </row>
    <row r="12" spans="1:8" x14ac:dyDescent="0.2">
      <c r="A12" s="2" t="s">
        <v>7039</v>
      </c>
      <c r="B12" s="2" t="s">
        <v>7007</v>
      </c>
      <c r="C12" s="2" t="s">
        <v>7040</v>
      </c>
      <c r="D12" s="2" t="s">
        <v>10055</v>
      </c>
      <c r="E12" s="15">
        <v>0.57772484395898005</v>
      </c>
      <c r="F12" s="15">
        <v>4.9623642824501997E-2</v>
      </c>
      <c r="G12" s="15">
        <v>0.28206112040477799</v>
      </c>
      <c r="H12" s="15">
        <v>9.4285337908686997E-2</v>
      </c>
    </row>
    <row r="13" spans="1:8" x14ac:dyDescent="0.2">
      <c r="A13" s="2" t="s">
        <v>5009</v>
      </c>
      <c r="B13" s="2" t="s">
        <v>5010</v>
      </c>
      <c r="C13" s="2" t="s">
        <v>5011</v>
      </c>
      <c r="D13" s="2" t="s">
        <v>10049</v>
      </c>
      <c r="E13" s="15">
        <v>-0.32911041155306597</v>
      </c>
      <c r="F13" s="15">
        <v>8.20056880261303E-2</v>
      </c>
      <c r="G13" s="15">
        <v>0.13550236100082799</v>
      </c>
      <c r="H13" s="15">
        <v>4.7509064473091001E-2</v>
      </c>
    </row>
    <row r="14" spans="1:8" x14ac:dyDescent="0.2">
      <c r="A14" s="2" t="s">
        <v>14</v>
      </c>
      <c r="B14" s="2" t="s">
        <v>15</v>
      </c>
      <c r="C14" s="2" t="s">
        <v>16</v>
      </c>
      <c r="D14" s="2" t="s">
        <v>10040</v>
      </c>
      <c r="E14" s="15">
        <v>0.22405948145842999</v>
      </c>
      <c r="F14" s="15">
        <v>9.8651650080567296E-2</v>
      </c>
      <c r="G14" s="15">
        <v>0.105103066424131</v>
      </c>
      <c r="H14" s="15">
        <v>4.69949996489765E-2</v>
      </c>
    </row>
    <row r="15" spans="1:8" x14ac:dyDescent="0.2">
      <c r="A15" s="2" t="s">
        <v>11</v>
      </c>
      <c r="B15" s="2" t="s">
        <v>12</v>
      </c>
      <c r="C15" s="2" t="s">
        <v>13</v>
      </c>
      <c r="D15" s="2" t="s">
        <v>10040</v>
      </c>
      <c r="E15" s="15">
        <v>0.22416880254145799</v>
      </c>
      <c r="F15" s="15">
        <v>9.9037492679239003E-2</v>
      </c>
      <c r="G15" s="15">
        <v>0.105040531587384</v>
      </c>
      <c r="H15" s="15">
        <v>4.6966696912991497E-2</v>
      </c>
    </row>
    <row r="16" spans="1:8" x14ac:dyDescent="0.2">
      <c r="A16" s="2" t="s">
        <v>5990</v>
      </c>
      <c r="B16" s="2" t="s">
        <v>5991</v>
      </c>
      <c r="C16" s="2" t="s">
        <v>5992</v>
      </c>
      <c r="D16" s="2" t="s">
        <v>10051</v>
      </c>
      <c r="E16" s="15">
        <v>-0.42452042202306001</v>
      </c>
      <c r="F16" s="15">
        <v>0.110105968341178</v>
      </c>
      <c r="G16" s="15">
        <v>-0.110983563493738</v>
      </c>
      <c r="H16" s="15">
        <v>4.4041499600943203E-2</v>
      </c>
    </row>
    <row r="17" spans="1:8" x14ac:dyDescent="0.2">
      <c r="A17" s="2" t="s">
        <v>5993</v>
      </c>
      <c r="B17" s="2" t="s">
        <v>5994</v>
      </c>
      <c r="C17" s="2" t="s">
        <v>5995</v>
      </c>
      <c r="D17" s="2" t="s">
        <v>10051</v>
      </c>
      <c r="E17" s="15">
        <v>-0.518863649170477</v>
      </c>
      <c r="F17" s="15">
        <v>0.112434058946922</v>
      </c>
      <c r="G17" s="15">
        <v>-0.18378600638699999</v>
      </c>
      <c r="H17" s="15">
        <v>4.8165970533061597E-2</v>
      </c>
    </row>
    <row r="18" spans="1:8" x14ac:dyDescent="0.2">
      <c r="A18" s="2" t="s">
        <v>7933</v>
      </c>
      <c r="B18" s="2" t="s">
        <v>7007</v>
      </c>
      <c r="C18" s="2" t="s">
        <v>7934</v>
      </c>
      <c r="D18" s="2" t="s">
        <v>10055</v>
      </c>
      <c r="E18" s="15">
        <v>0.298524281402619</v>
      </c>
      <c r="F18" s="15">
        <v>0.124317199126704</v>
      </c>
      <c r="G18" s="15">
        <v>-0.20682144704160599</v>
      </c>
      <c r="H18" s="15">
        <v>7.0687967909154006E-2</v>
      </c>
    </row>
    <row r="19" spans="1:8" x14ac:dyDescent="0.2">
      <c r="A19" s="2" t="s">
        <v>575</v>
      </c>
      <c r="B19" s="2" t="s">
        <v>576</v>
      </c>
      <c r="C19" s="2" t="s">
        <v>577</v>
      </c>
      <c r="D19" s="2" t="s">
        <v>10040</v>
      </c>
      <c r="E19" s="15">
        <v>0.24112551854904701</v>
      </c>
      <c r="F19" s="15">
        <v>0.12609669818923699</v>
      </c>
      <c r="G19" s="15">
        <v>0.12664748085250499</v>
      </c>
      <c r="H19" s="15">
        <v>5.1909128172522197E-2</v>
      </c>
    </row>
    <row r="20" spans="1:8" x14ac:dyDescent="0.2">
      <c r="A20" s="2" t="s">
        <v>494</v>
      </c>
      <c r="B20" s="2" t="s">
        <v>495</v>
      </c>
      <c r="C20" s="2" t="s">
        <v>496</v>
      </c>
      <c r="D20" s="2" t="s">
        <v>10040</v>
      </c>
      <c r="E20" s="15">
        <v>0.42109362936663902</v>
      </c>
      <c r="F20" s="15">
        <v>0.129101881924333</v>
      </c>
      <c r="G20" s="15">
        <v>-0.110346064735655</v>
      </c>
      <c r="H20" s="15">
        <v>4.2588547070751E-2</v>
      </c>
    </row>
    <row r="21" spans="1:8" x14ac:dyDescent="0.2">
      <c r="A21" s="2" t="s">
        <v>5012</v>
      </c>
      <c r="B21" s="2" t="s">
        <v>5013</v>
      </c>
      <c r="C21" s="2" t="s">
        <v>5014</v>
      </c>
      <c r="D21" s="2" t="s">
        <v>10049</v>
      </c>
      <c r="E21" s="15">
        <v>-0.51374680046060694</v>
      </c>
      <c r="F21" s="15">
        <v>0.13155803784461401</v>
      </c>
      <c r="G21" s="15">
        <v>0.150843279648952</v>
      </c>
      <c r="H21" s="15">
        <v>4.8642391836187002E-2</v>
      </c>
    </row>
    <row r="22" spans="1:8" x14ac:dyDescent="0.2">
      <c r="A22" s="2" t="s">
        <v>4643</v>
      </c>
      <c r="B22" s="2" t="s">
        <v>4644</v>
      </c>
      <c r="C22" s="2" t="s">
        <v>4645</v>
      </c>
      <c r="D22" s="2" t="s">
        <v>10048</v>
      </c>
      <c r="E22" s="15">
        <v>-0.46809477779791497</v>
      </c>
      <c r="F22" s="15">
        <v>0.140232878410429</v>
      </c>
      <c r="G22" s="15">
        <v>0.14290724735648799</v>
      </c>
      <c r="H22" s="15">
        <v>5.0332323952099502E-2</v>
      </c>
    </row>
    <row r="23" spans="1:8" x14ac:dyDescent="0.2">
      <c r="A23" s="2" t="s">
        <v>488</v>
      </c>
      <c r="B23" s="2" t="s">
        <v>489</v>
      </c>
      <c r="C23" s="2" t="s">
        <v>490</v>
      </c>
      <c r="D23" s="2" t="s">
        <v>10040</v>
      </c>
      <c r="E23" s="15">
        <v>0.414041962439544</v>
      </c>
      <c r="F23" s="15">
        <v>0.15068372893176199</v>
      </c>
      <c r="G23" s="15">
        <v>-0.172555675194726</v>
      </c>
      <c r="H23" s="15">
        <v>6.14387533649461E-2</v>
      </c>
    </row>
    <row r="24" spans="1:8" x14ac:dyDescent="0.2">
      <c r="A24" s="2" t="s">
        <v>4322</v>
      </c>
      <c r="B24" s="2" t="s">
        <v>4323</v>
      </c>
      <c r="C24" s="2" t="s">
        <v>4324</v>
      </c>
      <c r="D24" s="2" t="s">
        <v>10046</v>
      </c>
      <c r="E24" s="15">
        <v>0.24864129085809999</v>
      </c>
      <c r="F24" s="15">
        <v>0.155632586464795</v>
      </c>
      <c r="G24" s="15">
        <v>9.1368574862312105E-2</v>
      </c>
      <c r="H24" s="15">
        <v>4.8144679855197901E-2</v>
      </c>
    </row>
    <row r="25" spans="1:8" x14ac:dyDescent="0.2">
      <c r="A25" s="2" t="s">
        <v>521</v>
      </c>
      <c r="B25" s="2" t="s">
        <v>522</v>
      </c>
      <c r="C25" s="2" t="s">
        <v>523</v>
      </c>
      <c r="D25" s="2" t="s">
        <v>10040</v>
      </c>
      <c r="E25" s="15">
        <v>0.35078967708448799</v>
      </c>
      <c r="F25" s="15">
        <v>0.15776214484185599</v>
      </c>
      <c r="G25" s="15">
        <v>0.104318290278117</v>
      </c>
      <c r="H25" s="15">
        <v>5.1077840972397003E-2</v>
      </c>
    </row>
    <row r="26" spans="1:8" x14ac:dyDescent="0.2">
      <c r="A26" s="2" t="s">
        <v>2954</v>
      </c>
      <c r="B26" s="2" t="s">
        <v>2955</v>
      </c>
      <c r="C26" s="2" t="s">
        <v>2956</v>
      </c>
      <c r="D26" s="2" t="s">
        <v>10041</v>
      </c>
      <c r="E26" s="15">
        <v>0.52737787581512696</v>
      </c>
      <c r="F26" s="15">
        <v>0.18779350939843101</v>
      </c>
      <c r="G26" s="15">
        <v>0.16162695157885601</v>
      </c>
      <c r="H26" s="15">
        <v>6.16980830598578E-2</v>
      </c>
    </row>
    <row r="27" spans="1:8" x14ac:dyDescent="0.2">
      <c r="A27" s="2" t="s">
        <v>4640</v>
      </c>
      <c r="B27" s="2" t="s">
        <v>4641</v>
      </c>
      <c r="C27" s="2" t="s">
        <v>4642</v>
      </c>
      <c r="D27" s="2" t="s">
        <v>10048</v>
      </c>
      <c r="E27" s="15">
        <v>-0.46888253447898598</v>
      </c>
      <c r="F27" s="15">
        <v>0.20252418189757601</v>
      </c>
      <c r="G27" s="15">
        <v>0.145484286153133</v>
      </c>
      <c r="H27" s="15">
        <v>4.4646776754342803E-2</v>
      </c>
    </row>
    <row r="28" spans="1:8" x14ac:dyDescent="0.2">
      <c r="A28" s="2" t="s">
        <v>4592</v>
      </c>
      <c r="B28" s="2" t="s">
        <v>4593</v>
      </c>
      <c r="C28" s="2" t="s">
        <v>4594</v>
      </c>
      <c r="D28" s="2" t="s">
        <v>10048</v>
      </c>
      <c r="E28" s="15">
        <v>0.10213611075982899</v>
      </c>
      <c r="F28" s="15">
        <v>0.20373916385942401</v>
      </c>
      <c r="G28" s="15">
        <v>-7.8709990032488894E-2</v>
      </c>
      <c r="H28" s="15">
        <v>5.0161850135471399E-2</v>
      </c>
    </row>
    <row r="29" spans="1:8" x14ac:dyDescent="0.2">
      <c r="A29" s="2" t="s">
        <v>8163</v>
      </c>
      <c r="B29" s="2" t="s">
        <v>7007</v>
      </c>
      <c r="C29" s="2" t="s">
        <v>8164</v>
      </c>
      <c r="D29" s="2" t="s">
        <v>10055</v>
      </c>
      <c r="E29" s="15">
        <v>0.524794198367318</v>
      </c>
      <c r="F29" s="15">
        <v>0.208482731049731</v>
      </c>
      <c r="G29" s="15">
        <v>0.144004938616485</v>
      </c>
      <c r="H29" s="15">
        <v>6.6669456908486302E-2</v>
      </c>
    </row>
    <row r="30" spans="1:8" x14ac:dyDescent="0.2">
      <c r="A30" s="2" t="s">
        <v>4637</v>
      </c>
      <c r="B30" s="2" t="s">
        <v>4638</v>
      </c>
      <c r="C30" s="2" t="s">
        <v>4639</v>
      </c>
      <c r="D30" s="2" t="s">
        <v>10048</v>
      </c>
      <c r="E30" s="15">
        <v>-0.45103188870509597</v>
      </c>
      <c r="F30" s="15">
        <v>0.208735777944631</v>
      </c>
      <c r="G30" s="15">
        <v>0.118707204518334</v>
      </c>
      <c r="H30" s="15">
        <v>3.9790302767908299E-2</v>
      </c>
    </row>
    <row r="31" spans="1:8" x14ac:dyDescent="0.2">
      <c r="A31" s="2" t="s">
        <v>3809</v>
      </c>
      <c r="B31" s="2" t="s">
        <v>3810</v>
      </c>
      <c r="C31" s="2" t="s">
        <v>3811</v>
      </c>
      <c r="D31" s="2" t="s">
        <v>10042</v>
      </c>
      <c r="E31" s="15">
        <v>-5.73366093589711E-2</v>
      </c>
      <c r="F31" s="15">
        <v>0.21252288818842999</v>
      </c>
      <c r="G31" s="15">
        <v>0.151847903274485</v>
      </c>
      <c r="H31" s="15">
        <v>5.8369061876294398E-2</v>
      </c>
    </row>
    <row r="32" spans="1:8" x14ac:dyDescent="0.2">
      <c r="A32" s="2" t="s">
        <v>4595</v>
      </c>
      <c r="B32" s="2" t="s">
        <v>4596</v>
      </c>
      <c r="C32" s="2" t="s">
        <v>4597</v>
      </c>
      <c r="D32" s="2" t="s">
        <v>10048</v>
      </c>
      <c r="E32" s="15">
        <v>9.1825546862843499E-2</v>
      </c>
      <c r="F32" s="15">
        <v>0.218060086029566</v>
      </c>
      <c r="G32" s="15">
        <v>0.16564394154784701</v>
      </c>
      <c r="H32" s="15">
        <v>5.0246908257428897E-2</v>
      </c>
    </row>
    <row r="33" spans="1:8" x14ac:dyDescent="0.2">
      <c r="A33" s="2" t="s">
        <v>200</v>
      </c>
      <c r="B33" s="2" t="s">
        <v>201</v>
      </c>
      <c r="C33" s="2" t="s">
        <v>202</v>
      </c>
      <c r="D33" s="2" t="s">
        <v>10040</v>
      </c>
      <c r="E33" s="15">
        <v>0.47526571428757503</v>
      </c>
      <c r="F33" s="15">
        <v>0.22073058217414099</v>
      </c>
      <c r="G33" s="15">
        <v>-0.102455805731024</v>
      </c>
      <c r="H33" s="15">
        <v>6.2529053723218694E-2</v>
      </c>
    </row>
    <row r="34" spans="1:8" x14ac:dyDescent="0.2">
      <c r="A34" s="2" t="s">
        <v>3950</v>
      </c>
      <c r="B34" s="2" t="s">
        <v>3951</v>
      </c>
      <c r="C34" s="2" t="s">
        <v>3952</v>
      </c>
      <c r="D34" s="2" t="s">
        <v>10042</v>
      </c>
      <c r="E34" s="15">
        <v>0.52444446283671298</v>
      </c>
      <c r="F34" s="15">
        <v>0.225618559245717</v>
      </c>
      <c r="G34" s="15">
        <v>0.14742301892147699</v>
      </c>
      <c r="H34" s="15">
        <v>5.5844074717688E-2</v>
      </c>
    </row>
    <row r="35" spans="1:8" x14ac:dyDescent="0.2">
      <c r="A35" s="2" t="s">
        <v>4694</v>
      </c>
      <c r="B35" s="2" t="s">
        <v>4695</v>
      </c>
      <c r="C35" s="2" t="s">
        <v>4696</v>
      </c>
      <c r="D35" s="2" t="s">
        <v>10048</v>
      </c>
      <c r="E35" s="15">
        <v>0.47691073928873201</v>
      </c>
      <c r="F35" s="15">
        <v>0.245326498641011</v>
      </c>
      <c r="G35" s="15">
        <v>0.106072596602029</v>
      </c>
      <c r="H35" s="15">
        <v>5.3962136803267002E-2</v>
      </c>
    </row>
    <row r="36" spans="1:8" x14ac:dyDescent="0.2">
      <c r="A36" s="2" t="s">
        <v>6101</v>
      </c>
      <c r="B36" s="2" t="s">
        <v>6102</v>
      </c>
      <c r="C36" s="2" t="s">
        <v>6103</v>
      </c>
      <c r="D36" s="2" t="s">
        <v>10051</v>
      </c>
      <c r="E36" s="15">
        <v>-0.33956695690763899</v>
      </c>
      <c r="F36" s="15">
        <v>0.25304810035377301</v>
      </c>
      <c r="G36" s="15">
        <v>-8.5296849484749498E-2</v>
      </c>
      <c r="H36" s="15">
        <v>4.6089708676534398E-2</v>
      </c>
    </row>
    <row r="37" spans="1:8" x14ac:dyDescent="0.2">
      <c r="A37" s="2" t="s">
        <v>6149</v>
      </c>
      <c r="B37" s="2" t="s">
        <v>6150</v>
      </c>
      <c r="C37" s="2" t="s">
        <v>6151</v>
      </c>
      <c r="D37" s="2" t="s">
        <v>10051</v>
      </c>
      <c r="E37" s="15">
        <v>-0.35084483443861297</v>
      </c>
      <c r="F37" s="15">
        <v>0.25356679463612503</v>
      </c>
      <c r="G37" s="15">
        <v>-0.10792443332236</v>
      </c>
      <c r="H37" s="15">
        <v>5.2710199010732699E-2</v>
      </c>
    </row>
    <row r="38" spans="1:8" x14ac:dyDescent="0.2">
      <c r="A38" s="2" t="s">
        <v>5984</v>
      </c>
      <c r="B38" s="2" t="s">
        <v>5985</v>
      </c>
      <c r="C38" s="2" t="s">
        <v>5986</v>
      </c>
      <c r="D38" s="2" t="s">
        <v>10051</v>
      </c>
      <c r="E38" s="15">
        <v>-0.300416850804127</v>
      </c>
      <c r="F38" s="15">
        <v>0.25773391869378098</v>
      </c>
      <c r="G38" s="15">
        <v>-0.15749420044036899</v>
      </c>
      <c r="H38" s="15">
        <v>6.4594007128108297E-2</v>
      </c>
    </row>
    <row r="39" spans="1:8" x14ac:dyDescent="0.2">
      <c r="A39" s="2" t="s">
        <v>4526</v>
      </c>
      <c r="B39" s="2" t="s">
        <v>4527</v>
      </c>
      <c r="C39" s="2" t="s">
        <v>4528</v>
      </c>
      <c r="D39" s="2" t="s">
        <v>10047</v>
      </c>
      <c r="E39" s="15">
        <v>-0.44550786334902498</v>
      </c>
      <c r="F39" s="15">
        <v>0.26327917105628801</v>
      </c>
      <c r="G39" s="15">
        <v>0.141648155904223</v>
      </c>
      <c r="H39" s="15">
        <v>4.6520982497434797E-2</v>
      </c>
    </row>
    <row r="40" spans="1:8" x14ac:dyDescent="0.2">
      <c r="A40" s="2" t="s">
        <v>6359</v>
      </c>
      <c r="B40" s="2" t="s">
        <v>6360</v>
      </c>
      <c r="C40" s="2" t="s">
        <v>6361</v>
      </c>
      <c r="D40" s="2" t="s">
        <v>10052</v>
      </c>
      <c r="E40" s="15">
        <v>0.151413438888023</v>
      </c>
      <c r="F40" s="15">
        <v>0.26477491075250897</v>
      </c>
      <c r="G40" s="15">
        <v>0.15352589257682001</v>
      </c>
      <c r="H40" s="15">
        <v>6.8791620584307503E-2</v>
      </c>
    </row>
    <row r="41" spans="1:8" x14ac:dyDescent="0.2">
      <c r="A41" s="2" t="s">
        <v>2942</v>
      </c>
      <c r="B41" s="2" t="s">
        <v>2943</v>
      </c>
      <c r="C41" s="2" t="s">
        <v>2944</v>
      </c>
      <c r="D41" s="2" t="s">
        <v>10041</v>
      </c>
      <c r="E41" s="15">
        <v>-0.23271507585772799</v>
      </c>
      <c r="F41" s="15">
        <v>0.27912626303612798</v>
      </c>
      <c r="G41" s="15">
        <v>0.16784185110303701</v>
      </c>
      <c r="H41" s="15">
        <v>7.5332234131606807E-2</v>
      </c>
    </row>
    <row r="42" spans="1:8" x14ac:dyDescent="0.2">
      <c r="A42" s="2" t="s">
        <v>4646</v>
      </c>
      <c r="B42" s="2" t="s">
        <v>4647</v>
      </c>
      <c r="C42" s="2" t="s">
        <v>4648</v>
      </c>
      <c r="D42" s="2" t="s">
        <v>10048</v>
      </c>
      <c r="E42" s="15">
        <v>-0.43595517782841497</v>
      </c>
      <c r="F42" s="15">
        <v>0.282505931291193</v>
      </c>
      <c r="G42" s="15">
        <v>0.121866258661967</v>
      </c>
      <c r="H42" s="15">
        <v>5.5812417323048702E-2</v>
      </c>
    </row>
    <row r="43" spans="1:8" x14ac:dyDescent="0.2">
      <c r="A43" s="2" t="s">
        <v>3308</v>
      </c>
      <c r="B43" s="2" t="s">
        <v>3309</v>
      </c>
      <c r="C43" s="2" t="s">
        <v>3310</v>
      </c>
      <c r="D43" s="2" t="s">
        <v>10042</v>
      </c>
      <c r="E43" s="15">
        <v>0.35681481997687198</v>
      </c>
      <c r="F43" s="15">
        <v>0.28549622098526301</v>
      </c>
      <c r="G43" s="15">
        <v>0.12307795823399099</v>
      </c>
      <c r="H43" s="15">
        <v>6.9263206177692604E-2</v>
      </c>
    </row>
    <row r="44" spans="1:8" x14ac:dyDescent="0.2">
      <c r="A44" s="2" t="s">
        <v>4748</v>
      </c>
      <c r="B44" s="2" t="s">
        <v>4749</v>
      </c>
      <c r="C44" s="2" t="s">
        <v>4750</v>
      </c>
      <c r="D44" s="2" t="s">
        <v>10048</v>
      </c>
      <c r="E44" s="15">
        <v>-0.31538205913020201</v>
      </c>
      <c r="F44" s="15">
        <v>0.28616457219763197</v>
      </c>
      <c r="G44" s="15">
        <v>9.9475909300948004E-2</v>
      </c>
      <c r="H44" s="15">
        <v>6.8742123898580795E-2</v>
      </c>
    </row>
    <row r="45" spans="1:8" x14ac:dyDescent="0.2">
      <c r="A45" s="2" t="s">
        <v>4634</v>
      </c>
      <c r="B45" s="2" t="s">
        <v>4635</v>
      </c>
      <c r="C45" s="2" t="s">
        <v>4636</v>
      </c>
      <c r="D45" s="2" t="s">
        <v>10048</v>
      </c>
      <c r="E45" s="15">
        <v>-0.20011626648481101</v>
      </c>
      <c r="F45" s="15">
        <v>0.29014588103279698</v>
      </c>
      <c r="G45" s="15">
        <v>0.110691311718915</v>
      </c>
      <c r="H45" s="15">
        <v>4.2846208950365998E-2</v>
      </c>
    </row>
    <row r="46" spans="1:8" x14ac:dyDescent="0.2">
      <c r="A46" s="2" t="s">
        <v>5207</v>
      </c>
      <c r="B46" s="2" t="s">
        <v>5208</v>
      </c>
      <c r="C46" s="2" t="s">
        <v>5209</v>
      </c>
      <c r="D46" s="2" t="s">
        <v>10049</v>
      </c>
      <c r="E46" s="15">
        <v>-0.28230018498669002</v>
      </c>
      <c r="F46" s="15">
        <v>0.29339070566686998</v>
      </c>
      <c r="G46" s="15">
        <v>-0.13828242429440701</v>
      </c>
      <c r="H46" s="15">
        <v>5.0911659540065601E-2</v>
      </c>
    </row>
    <row r="47" spans="1:8" x14ac:dyDescent="0.2">
      <c r="A47" s="2" t="s">
        <v>4172</v>
      </c>
      <c r="B47" s="2" t="s">
        <v>4173</v>
      </c>
      <c r="C47" s="2" t="s">
        <v>4174</v>
      </c>
      <c r="D47" s="2" t="s">
        <v>10044</v>
      </c>
      <c r="E47" s="15">
        <v>-0.34665931457813498</v>
      </c>
      <c r="F47" s="15">
        <v>0.29538589112900998</v>
      </c>
      <c r="G47" s="15">
        <v>-8.92507689661763E-2</v>
      </c>
      <c r="H47" s="15">
        <v>4.5488809729985501E-2</v>
      </c>
    </row>
    <row r="48" spans="1:8" x14ac:dyDescent="0.2">
      <c r="A48" s="2" t="s">
        <v>4373</v>
      </c>
      <c r="B48" s="2" t="s">
        <v>4374</v>
      </c>
      <c r="C48" s="2" t="s">
        <v>4375</v>
      </c>
      <c r="D48" s="2" t="s">
        <v>10047</v>
      </c>
      <c r="E48" s="15">
        <v>0.27573070126292198</v>
      </c>
      <c r="F48" s="15">
        <v>0.321023559082317</v>
      </c>
      <c r="G48" s="15">
        <v>-9.4777371630424004E-2</v>
      </c>
      <c r="H48" s="15">
        <v>6.3559488894573204E-2</v>
      </c>
    </row>
    <row r="49" spans="1:8" x14ac:dyDescent="0.2">
      <c r="A49" s="2" t="s">
        <v>7803</v>
      </c>
      <c r="B49" s="2" t="s">
        <v>7007</v>
      </c>
      <c r="C49" s="2" t="s">
        <v>7804</v>
      </c>
      <c r="D49" s="2" t="s">
        <v>10055</v>
      </c>
      <c r="E49" s="15">
        <v>0.42622037995680701</v>
      </c>
      <c r="F49" s="15">
        <v>0.32672423404206702</v>
      </c>
      <c r="G49" s="15">
        <v>-9.4084710767823695E-2</v>
      </c>
      <c r="H49" s="15">
        <v>5.7546271194406397E-2</v>
      </c>
    </row>
    <row r="50" spans="1:8" x14ac:dyDescent="0.2">
      <c r="A50" s="2" t="s">
        <v>470</v>
      </c>
      <c r="B50" s="2" t="s">
        <v>471</v>
      </c>
      <c r="C50" s="2" t="s">
        <v>472</v>
      </c>
      <c r="D50" s="2" t="s">
        <v>10040</v>
      </c>
      <c r="E50" s="15">
        <v>2.19601158488144E-2</v>
      </c>
      <c r="F50" s="15">
        <v>0.33113132265357098</v>
      </c>
      <c r="G50" s="15">
        <v>-6.8404214522655798E-2</v>
      </c>
      <c r="H50" s="15">
        <v>4.17626068121148E-2</v>
      </c>
    </row>
    <row r="51" spans="1:8" x14ac:dyDescent="0.2">
      <c r="A51" s="2" t="s">
        <v>5369</v>
      </c>
      <c r="B51" s="2" t="s">
        <v>5370</v>
      </c>
      <c r="C51" s="2" t="s">
        <v>5371</v>
      </c>
      <c r="D51" s="2" t="s">
        <v>10049</v>
      </c>
      <c r="E51" s="15">
        <v>-0.26658938276743599</v>
      </c>
      <c r="F51" s="15">
        <v>0.33336135642463</v>
      </c>
      <c r="G51" s="15">
        <v>8.1069598425179495E-2</v>
      </c>
      <c r="H51" s="15">
        <v>4.8518044985437797E-2</v>
      </c>
    </row>
    <row r="52" spans="1:8" x14ac:dyDescent="0.2">
      <c r="A52" s="2" t="s">
        <v>4574</v>
      </c>
      <c r="B52" s="2" t="s">
        <v>4575</v>
      </c>
      <c r="C52" s="2" t="s">
        <v>4576</v>
      </c>
      <c r="D52" s="2" t="s">
        <v>10047</v>
      </c>
      <c r="E52" s="15">
        <v>-0.39124464417460503</v>
      </c>
      <c r="F52" s="15">
        <v>0.33690063416032401</v>
      </c>
      <c r="G52" s="15">
        <v>0.121395698965648</v>
      </c>
      <c r="H52" s="15">
        <v>5.4199847173695199E-2</v>
      </c>
    </row>
    <row r="53" spans="1:8" x14ac:dyDescent="0.2">
      <c r="A53" s="2" t="s">
        <v>5996</v>
      </c>
      <c r="B53" s="2" t="s">
        <v>5997</v>
      </c>
      <c r="C53" s="2" t="s">
        <v>5998</v>
      </c>
      <c r="D53" s="2" t="s">
        <v>10051</v>
      </c>
      <c r="E53" s="15">
        <v>-0.34597360851707598</v>
      </c>
      <c r="F53" s="15">
        <v>0.338120122404239</v>
      </c>
      <c r="G53" s="15">
        <v>-0.143241882993904</v>
      </c>
      <c r="H53" s="15">
        <v>5.63385800838654E-2</v>
      </c>
    </row>
    <row r="54" spans="1:8" x14ac:dyDescent="0.2">
      <c r="A54" s="2" t="s">
        <v>4553</v>
      </c>
      <c r="B54" s="2" t="s">
        <v>4554</v>
      </c>
      <c r="C54" s="2" t="s">
        <v>4555</v>
      </c>
      <c r="D54" s="2" t="s">
        <v>10047</v>
      </c>
      <c r="E54" s="15">
        <v>0.36957541329187499</v>
      </c>
      <c r="F54" s="15">
        <v>0.33819595206423197</v>
      </c>
      <c r="G54" s="15">
        <v>0.122702089572388</v>
      </c>
      <c r="H54" s="15">
        <v>6.19566714956757E-2</v>
      </c>
    </row>
    <row r="55" spans="1:8" x14ac:dyDescent="0.2">
      <c r="A55" s="2" t="s">
        <v>6206</v>
      </c>
      <c r="B55" s="2" t="s">
        <v>6207</v>
      </c>
      <c r="C55" s="2" t="s">
        <v>6208</v>
      </c>
      <c r="D55" s="2" t="s">
        <v>10052</v>
      </c>
      <c r="E55" s="15">
        <v>-0.17610481354753801</v>
      </c>
      <c r="F55" s="15">
        <v>0.35592898248311899</v>
      </c>
      <c r="G55" s="15">
        <v>-7.9339006883355198E-2</v>
      </c>
      <c r="H55" s="15">
        <v>5.2021385913393003E-2</v>
      </c>
    </row>
    <row r="56" spans="1:8" x14ac:dyDescent="0.2">
      <c r="A56" s="2" t="s">
        <v>6005</v>
      </c>
      <c r="B56" s="2" t="s">
        <v>6006</v>
      </c>
      <c r="C56" s="2" t="s">
        <v>6007</v>
      </c>
      <c r="D56" s="2" t="s">
        <v>10051</v>
      </c>
      <c r="E56" s="15">
        <v>5.7359489185635201E-2</v>
      </c>
      <c r="F56" s="15">
        <v>0.360784718179533</v>
      </c>
      <c r="G56" s="15">
        <v>-0.104537432243581</v>
      </c>
      <c r="H56" s="15">
        <v>6.2581644713246898E-2</v>
      </c>
    </row>
    <row r="57" spans="1:8" x14ac:dyDescent="0.2">
      <c r="A57" s="2" t="s">
        <v>1694</v>
      </c>
      <c r="B57" s="2" t="s">
        <v>1695</v>
      </c>
      <c r="C57" s="2" t="s">
        <v>1696</v>
      </c>
      <c r="D57" s="2" t="s">
        <v>10040</v>
      </c>
      <c r="E57" s="15">
        <v>-0.219568937675925</v>
      </c>
      <c r="F57" s="15">
        <v>0.36809413611809799</v>
      </c>
      <c r="G57" s="15">
        <v>0.146454262143763</v>
      </c>
      <c r="H57" s="15">
        <v>4.5643870311489303E-2</v>
      </c>
    </row>
    <row r="58" spans="1:8" x14ac:dyDescent="0.2">
      <c r="A58" s="2" t="s">
        <v>4679</v>
      </c>
      <c r="B58" s="2" t="s">
        <v>4680</v>
      </c>
      <c r="C58" s="2" t="s">
        <v>4681</v>
      </c>
      <c r="D58" s="2" t="s">
        <v>10048</v>
      </c>
      <c r="E58" s="15">
        <v>-0.39345672335751802</v>
      </c>
      <c r="F58" s="15">
        <v>0.37167463897393499</v>
      </c>
      <c r="G58" s="15">
        <v>-7.3721127053682695E-2</v>
      </c>
      <c r="H58" s="15">
        <v>4.61838852094981E-2</v>
      </c>
    </row>
    <row r="59" spans="1:8" x14ac:dyDescent="0.2">
      <c r="A59" s="2" t="s">
        <v>5144</v>
      </c>
      <c r="B59" s="2" t="s">
        <v>5145</v>
      </c>
      <c r="C59" s="2" t="s">
        <v>5146</v>
      </c>
      <c r="D59" s="2" t="s">
        <v>10049</v>
      </c>
      <c r="E59" s="15">
        <v>8.5710575541300696E-2</v>
      </c>
      <c r="F59" s="15">
        <v>0.37530297155452302</v>
      </c>
      <c r="G59" s="15">
        <v>-9.0958633892007298E-2</v>
      </c>
      <c r="H59" s="15">
        <v>4.6653859254364799E-2</v>
      </c>
    </row>
    <row r="60" spans="1:8" x14ac:dyDescent="0.2">
      <c r="A60" s="2" t="s">
        <v>8995</v>
      </c>
      <c r="B60" s="2" t="s">
        <v>7007</v>
      </c>
      <c r="C60" s="2" t="s">
        <v>8996</v>
      </c>
      <c r="D60" s="2" t="s">
        <v>10055</v>
      </c>
      <c r="E60" s="15">
        <v>0.157064622164961</v>
      </c>
      <c r="F60" s="15">
        <v>0.37964335813817801</v>
      </c>
      <c r="G60" s="15">
        <v>0.182474904670691</v>
      </c>
      <c r="H60" s="15">
        <v>7.2378248982912105E-2</v>
      </c>
    </row>
    <row r="61" spans="1:8" x14ac:dyDescent="0.2">
      <c r="A61" s="2" t="s">
        <v>2843</v>
      </c>
      <c r="B61" s="2" t="s">
        <v>2844</v>
      </c>
      <c r="C61" s="2" t="s">
        <v>2845</v>
      </c>
      <c r="D61" s="2" t="s">
        <v>10041</v>
      </c>
      <c r="E61" s="15">
        <v>-7.5976408790949995E-2</v>
      </c>
      <c r="F61" s="15">
        <v>0.38236582831155602</v>
      </c>
      <c r="G61" s="15">
        <v>-8.8825914746195597E-2</v>
      </c>
      <c r="H61" s="15">
        <v>5.5671953005113899E-2</v>
      </c>
    </row>
    <row r="62" spans="1:8" x14ac:dyDescent="0.2">
      <c r="A62" s="2" t="s">
        <v>1712</v>
      </c>
      <c r="B62" s="2" t="s">
        <v>1713</v>
      </c>
      <c r="C62" s="2" t="s">
        <v>1714</v>
      </c>
      <c r="D62" s="2" t="s">
        <v>10040</v>
      </c>
      <c r="E62" s="15">
        <v>0.43896474420179998</v>
      </c>
      <c r="F62" s="15">
        <v>0.38707370109419997</v>
      </c>
      <c r="G62" s="15">
        <v>-8.8457892286783302E-2</v>
      </c>
      <c r="H62" s="15">
        <v>6.3542384788160405E-2</v>
      </c>
    </row>
    <row r="63" spans="1:8" x14ac:dyDescent="0.2">
      <c r="A63" s="2" t="s">
        <v>9215</v>
      </c>
      <c r="B63" s="2" t="s">
        <v>7007</v>
      </c>
      <c r="C63" s="2" t="s">
        <v>9216</v>
      </c>
      <c r="D63" s="2" t="s">
        <v>10055</v>
      </c>
      <c r="E63" s="15">
        <v>0.18680285217592901</v>
      </c>
      <c r="F63" s="15">
        <v>0.38801774505223202</v>
      </c>
      <c r="G63" s="15">
        <v>7.4187660510823497E-2</v>
      </c>
      <c r="H63" s="15">
        <v>7.9730907379578303E-2</v>
      </c>
    </row>
    <row r="64" spans="1:8" x14ac:dyDescent="0.2">
      <c r="A64" s="2" t="s">
        <v>3263</v>
      </c>
      <c r="B64" s="2" t="s">
        <v>3264</v>
      </c>
      <c r="C64" s="2" t="s">
        <v>3265</v>
      </c>
      <c r="D64" s="2" t="s">
        <v>10042</v>
      </c>
      <c r="E64" s="15">
        <v>0.20909136629588601</v>
      </c>
      <c r="F64" s="15">
        <v>0.39169446317919099</v>
      </c>
      <c r="G64" s="15">
        <v>0.11680810311095199</v>
      </c>
      <c r="H64" s="15">
        <v>6.3015161134856501E-2</v>
      </c>
    </row>
    <row r="65" spans="1:8" x14ac:dyDescent="0.2">
      <c r="A65" s="2" t="s">
        <v>5441</v>
      </c>
      <c r="B65" s="2" t="s">
        <v>5442</v>
      </c>
      <c r="C65" s="2" t="s">
        <v>5443</v>
      </c>
      <c r="D65" s="2" t="s">
        <v>10049</v>
      </c>
      <c r="E65" s="15">
        <v>0.24428047977145301</v>
      </c>
      <c r="F65" s="15">
        <v>0.39408812050256498</v>
      </c>
      <c r="G65" s="15">
        <v>0.108178521114468</v>
      </c>
      <c r="H65" s="15">
        <v>5.73694203879603E-2</v>
      </c>
    </row>
    <row r="66" spans="1:8" x14ac:dyDescent="0.2">
      <c r="A66" s="2" t="s">
        <v>7017</v>
      </c>
      <c r="B66" s="2" t="s">
        <v>7007</v>
      </c>
      <c r="C66" s="2" t="s">
        <v>7018</v>
      </c>
      <c r="D66" s="2" t="s">
        <v>10055</v>
      </c>
      <c r="E66" s="15">
        <v>0.43878309804019699</v>
      </c>
      <c r="F66" s="15">
        <v>0.395584792105098</v>
      </c>
      <c r="G66" s="15">
        <v>-0.162236698108399</v>
      </c>
      <c r="H66" s="15">
        <v>6.9495110230892498E-2</v>
      </c>
    </row>
    <row r="67" spans="1:8" x14ac:dyDescent="0.2">
      <c r="A67" s="2" t="s">
        <v>4991</v>
      </c>
      <c r="B67" s="2" t="s">
        <v>4992</v>
      </c>
      <c r="C67" s="2" t="s">
        <v>4993</v>
      </c>
      <c r="D67" s="2" t="s">
        <v>10049</v>
      </c>
      <c r="E67" s="15">
        <v>0.30803915758045702</v>
      </c>
      <c r="F67" s="15">
        <v>0.40062430742356497</v>
      </c>
      <c r="G67" s="15">
        <v>9.0971952155754099E-2</v>
      </c>
      <c r="H67" s="15">
        <v>5.0749428467454998E-2</v>
      </c>
    </row>
    <row r="68" spans="1:8" x14ac:dyDescent="0.2">
      <c r="A68" s="2" t="s">
        <v>6146</v>
      </c>
      <c r="B68" s="2" t="s">
        <v>6147</v>
      </c>
      <c r="C68" s="2" t="s">
        <v>6148</v>
      </c>
      <c r="D68" s="2" t="s">
        <v>10051</v>
      </c>
      <c r="E68" s="15">
        <v>-0.37072350294449902</v>
      </c>
      <c r="F68" s="15">
        <v>0.40747923769072297</v>
      </c>
      <c r="G68" s="15">
        <v>-0.13188511770290801</v>
      </c>
      <c r="H68" s="15">
        <v>5.8146589236329801E-2</v>
      </c>
    </row>
    <row r="69" spans="1:8" x14ac:dyDescent="0.2">
      <c r="A69" s="2" t="s">
        <v>6008</v>
      </c>
      <c r="B69" s="2" t="s">
        <v>6009</v>
      </c>
      <c r="C69" s="2" t="s">
        <v>6010</v>
      </c>
      <c r="D69" s="2" t="s">
        <v>10051</v>
      </c>
      <c r="E69" s="15">
        <v>1.8064246315042901E-2</v>
      </c>
      <c r="F69" s="15">
        <v>0.40753909013088202</v>
      </c>
      <c r="G69" s="15">
        <v>-7.6952310264728194E-2</v>
      </c>
      <c r="H69" s="15">
        <v>6.4077298160106794E-2</v>
      </c>
    </row>
    <row r="70" spans="1:8" x14ac:dyDescent="0.2">
      <c r="A70" s="2" t="s">
        <v>1313</v>
      </c>
      <c r="B70" s="2" t="s">
        <v>1314</v>
      </c>
      <c r="C70" s="2" t="s">
        <v>1315</v>
      </c>
      <c r="D70" s="2" t="s">
        <v>10040</v>
      </c>
      <c r="E70" s="15">
        <v>-0.26678000736528901</v>
      </c>
      <c r="F70" s="15">
        <v>0.41103358197193202</v>
      </c>
      <c r="G70" s="15">
        <v>8.9857330367915003E-2</v>
      </c>
      <c r="H70" s="15">
        <v>5.1880121240353502E-2</v>
      </c>
    </row>
    <row r="71" spans="1:8" x14ac:dyDescent="0.2">
      <c r="A71" s="2" t="s">
        <v>3971</v>
      </c>
      <c r="B71" s="2" t="s">
        <v>3972</v>
      </c>
      <c r="C71" s="2" t="s">
        <v>3973</v>
      </c>
      <c r="D71" s="2" t="s">
        <v>10042</v>
      </c>
      <c r="E71" s="15">
        <v>0.46558903859067002</v>
      </c>
      <c r="F71" s="15">
        <v>0.42855681528940098</v>
      </c>
      <c r="G71" s="15">
        <v>0.13578030640213601</v>
      </c>
      <c r="H71" s="15">
        <v>9.0433274709750502E-2</v>
      </c>
    </row>
    <row r="72" spans="1:8" x14ac:dyDescent="0.2">
      <c r="A72" s="2" t="s">
        <v>1277</v>
      </c>
      <c r="B72" s="2" t="s">
        <v>1278</v>
      </c>
      <c r="C72" s="2" t="s">
        <v>1279</v>
      </c>
      <c r="D72" s="2" t="s">
        <v>10040</v>
      </c>
      <c r="E72" s="15">
        <v>-0.29114153932528403</v>
      </c>
      <c r="F72" s="15">
        <v>0.42969871778360003</v>
      </c>
      <c r="G72" s="15">
        <v>-8.1395873587661996E-2</v>
      </c>
      <c r="H72" s="15">
        <v>6.3975218842436593E-2</v>
      </c>
    </row>
    <row r="73" spans="1:8" x14ac:dyDescent="0.2">
      <c r="A73" s="2" t="s">
        <v>1142</v>
      </c>
      <c r="B73" s="2" t="s">
        <v>1143</v>
      </c>
      <c r="C73" s="2" t="s">
        <v>1144</v>
      </c>
      <c r="D73" s="2" t="s">
        <v>10040</v>
      </c>
      <c r="E73" s="15">
        <v>0.18483002871127599</v>
      </c>
      <c r="F73" s="15">
        <v>0.43097183588038002</v>
      </c>
      <c r="G73" s="15">
        <v>0.117057681819713</v>
      </c>
      <c r="H73" s="15">
        <v>4.5054463577407701E-2</v>
      </c>
    </row>
    <row r="74" spans="1:8" x14ac:dyDescent="0.2">
      <c r="A74" s="2" t="s">
        <v>4703</v>
      </c>
      <c r="B74" s="2" t="s">
        <v>4704</v>
      </c>
      <c r="C74" s="2" t="s">
        <v>4705</v>
      </c>
      <c r="D74" s="2" t="s">
        <v>10048</v>
      </c>
      <c r="E74" s="15">
        <v>-0.18929278730523799</v>
      </c>
      <c r="F74" s="15">
        <v>0.44388100915618001</v>
      </c>
      <c r="G74" s="15">
        <v>6.2863908832089394E-2</v>
      </c>
      <c r="H74" s="15">
        <v>5.47241253195195E-2</v>
      </c>
    </row>
    <row r="75" spans="1:8" x14ac:dyDescent="0.2">
      <c r="A75" s="2" t="s">
        <v>5744</v>
      </c>
      <c r="B75" s="2" t="s">
        <v>5745</v>
      </c>
      <c r="C75" s="2" t="s">
        <v>5746</v>
      </c>
      <c r="D75" s="2" t="s">
        <v>10050</v>
      </c>
      <c r="E75" s="15">
        <v>0.22539268463030299</v>
      </c>
      <c r="F75" s="15">
        <v>0.45048677569149798</v>
      </c>
      <c r="G75" s="15">
        <v>9.37543812487385E-2</v>
      </c>
      <c r="H75" s="15">
        <v>5.12344906493001E-2</v>
      </c>
    </row>
    <row r="76" spans="1:8" x14ac:dyDescent="0.2">
      <c r="A76" s="2" t="s">
        <v>4529</v>
      </c>
      <c r="B76" s="2" t="s">
        <v>4530</v>
      </c>
      <c r="C76" s="2" t="s">
        <v>4531</v>
      </c>
      <c r="D76" s="2" t="s">
        <v>10047</v>
      </c>
      <c r="E76" s="15">
        <v>-0.37110127537474302</v>
      </c>
      <c r="F76" s="15">
        <v>0.45071351009366201</v>
      </c>
      <c r="G76" s="15">
        <v>0.13122717399933501</v>
      </c>
      <c r="H76" s="15">
        <v>5.2055672501211299E-2</v>
      </c>
    </row>
    <row r="77" spans="1:8" x14ac:dyDescent="0.2">
      <c r="A77" s="2" t="s">
        <v>1754</v>
      </c>
      <c r="B77" s="2" t="s">
        <v>1755</v>
      </c>
      <c r="C77" s="2" t="s">
        <v>1756</v>
      </c>
      <c r="D77" s="2" t="s">
        <v>10040</v>
      </c>
      <c r="E77" s="15">
        <v>0.31224198617082699</v>
      </c>
      <c r="F77" s="15">
        <v>0.45363640014373702</v>
      </c>
      <c r="G77" s="15">
        <v>0.130187881526975</v>
      </c>
      <c r="H77" s="15">
        <v>4.5502912320586598E-2</v>
      </c>
    </row>
    <row r="78" spans="1:8" x14ac:dyDescent="0.2">
      <c r="A78" s="2" t="s">
        <v>3194</v>
      </c>
      <c r="B78" s="2" t="s">
        <v>3195</v>
      </c>
      <c r="C78" s="2" t="s">
        <v>3196</v>
      </c>
      <c r="D78" s="2" t="s">
        <v>10042</v>
      </c>
      <c r="E78" s="15">
        <v>0.263889819189285</v>
      </c>
      <c r="F78" s="15">
        <v>0.46824831633477898</v>
      </c>
      <c r="G78" s="15">
        <v>0.134595419127754</v>
      </c>
      <c r="H78" s="15">
        <v>4.8798428734435302E-2</v>
      </c>
    </row>
    <row r="79" spans="1:8" x14ac:dyDescent="0.2">
      <c r="A79" s="2" t="s">
        <v>2810</v>
      </c>
      <c r="B79" s="2" t="s">
        <v>2811</v>
      </c>
      <c r="C79" s="2" t="s">
        <v>2812</v>
      </c>
      <c r="D79" s="2" t="s">
        <v>10041</v>
      </c>
      <c r="E79" s="15">
        <v>-2.8976977627961101E-2</v>
      </c>
      <c r="F79" s="15">
        <v>0.46942057609356103</v>
      </c>
      <c r="G79" s="15">
        <v>0.10277074832951</v>
      </c>
      <c r="H79" s="15">
        <v>4.5312847448124499E-2</v>
      </c>
    </row>
    <row r="80" spans="1:8" x14ac:dyDescent="0.2">
      <c r="A80" s="2" t="s">
        <v>4706</v>
      </c>
      <c r="B80" s="2" t="s">
        <v>4707</v>
      </c>
      <c r="C80" s="2" t="s">
        <v>4708</v>
      </c>
      <c r="D80" s="2" t="s">
        <v>10048</v>
      </c>
      <c r="E80" s="15">
        <v>-0.182222196616808</v>
      </c>
      <c r="F80" s="15">
        <v>0.472966766543443</v>
      </c>
      <c r="G80" s="15">
        <v>4.7816796027961003E-2</v>
      </c>
      <c r="H80" s="15">
        <v>4.9465169158494499E-2</v>
      </c>
    </row>
    <row r="81" spans="1:8" x14ac:dyDescent="0.2">
      <c r="A81" s="2" t="s">
        <v>4469</v>
      </c>
      <c r="B81" s="2" t="s">
        <v>4470</v>
      </c>
      <c r="C81" s="2" t="s">
        <v>4471</v>
      </c>
      <c r="D81" s="2" t="s">
        <v>10047</v>
      </c>
      <c r="E81" s="15">
        <v>-0.27688615333708</v>
      </c>
      <c r="F81" s="15">
        <v>0.473728886582367</v>
      </c>
      <c r="G81" s="15">
        <v>9.3995223813038403E-2</v>
      </c>
      <c r="H81" s="15">
        <v>4.72196223886793E-2</v>
      </c>
    </row>
    <row r="82" spans="1:8" x14ac:dyDescent="0.2">
      <c r="A82" s="2" t="s">
        <v>1298</v>
      </c>
      <c r="B82" s="2" t="s">
        <v>1299</v>
      </c>
      <c r="C82" s="2" t="s">
        <v>1300</v>
      </c>
      <c r="D82" s="2" t="s">
        <v>10040</v>
      </c>
      <c r="E82" s="15">
        <v>-0.41058650510155298</v>
      </c>
      <c r="F82" s="15">
        <v>0.48284616815838799</v>
      </c>
      <c r="G82" s="15">
        <v>0.14136017131879799</v>
      </c>
      <c r="H82" s="15">
        <v>5.8329291666524397E-2</v>
      </c>
    </row>
    <row r="83" spans="1:8" x14ac:dyDescent="0.2">
      <c r="A83" s="2" t="s">
        <v>3707</v>
      </c>
      <c r="B83" s="2" t="s">
        <v>3708</v>
      </c>
      <c r="C83" s="2" t="s">
        <v>3709</v>
      </c>
      <c r="D83" s="2" t="s">
        <v>10042</v>
      </c>
      <c r="E83" s="15">
        <v>0.38525216946869301</v>
      </c>
      <c r="F83" s="15">
        <v>0.493327576583109</v>
      </c>
      <c r="G83" s="15">
        <v>0.14881110654280399</v>
      </c>
      <c r="H83" s="15">
        <v>5.4503286254780799E-2</v>
      </c>
    </row>
    <row r="84" spans="1:8" x14ac:dyDescent="0.2">
      <c r="A84" s="2" t="s">
        <v>6014</v>
      </c>
      <c r="B84" s="2" t="s">
        <v>6015</v>
      </c>
      <c r="C84" s="2" t="s">
        <v>6016</v>
      </c>
      <c r="D84" s="2" t="s">
        <v>10051</v>
      </c>
      <c r="E84" s="15">
        <v>0.109994804056035</v>
      </c>
      <c r="F84" s="15">
        <v>0.50536107795365304</v>
      </c>
      <c r="G84" s="15">
        <v>-0.10431259319009401</v>
      </c>
      <c r="H84" s="15">
        <v>6.1360574648897999E-2</v>
      </c>
    </row>
    <row r="85" spans="1:8" x14ac:dyDescent="0.2">
      <c r="A85" s="2" t="s">
        <v>3758</v>
      </c>
      <c r="B85" s="2" t="s">
        <v>3759</v>
      </c>
      <c r="C85" s="2" t="s">
        <v>3760</v>
      </c>
      <c r="D85" s="2" t="s">
        <v>10042</v>
      </c>
      <c r="E85" s="15">
        <v>-0.28492177262561003</v>
      </c>
      <c r="F85" s="15">
        <v>0.52208511615194597</v>
      </c>
      <c r="G85" s="15">
        <v>0.175817518369871</v>
      </c>
      <c r="H85" s="15">
        <v>8.3970434405381905E-2</v>
      </c>
    </row>
    <row r="86" spans="1:8" x14ac:dyDescent="0.2">
      <c r="A86" s="2" t="s">
        <v>1790</v>
      </c>
      <c r="B86" s="2" t="s">
        <v>1791</v>
      </c>
      <c r="C86" s="2" t="s">
        <v>1792</v>
      </c>
      <c r="D86" s="2" t="s">
        <v>10040</v>
      </c>
      <c r="E86" s="15">
        <v>-0.176855794544551</v>
      </c>
      <c r="F86" s="15">
        <v>0.533906928972541</v>
      </c>
      <c r="G86" s="15">
        <v>0.12986393355307899</v>
      </c>
      <c r="H86" s="15">
        <v>5.53994265195017E-2</v>
      </c>
    </row>
    <row r="87" spans="1:8" x14ac:dyDescent="0.2">
      <c r="A87" s="2" t="s">
        <v>5969</v>
      </c>
      <c r="B87" s="2" t="s">
        <v>5970</v>
      </c>
      <c r="C87" s="2" t="s">
        <v>5971</v>
      </c>
      <c r="D87" s="2" t="s">
        <v>10051</v>
      </c>
      <c r="E87" s="15">
        <v>-8.2984208652551799E-4</v>
      </c>
      <c r="F87" s="15">
        <v>0.53689727429209899</v>
      </c>
      <c r="G87" s="15">
        <v>-0.109392152960806</v>
      </c>
      <c r="H87" s="15">
        <v>5.0450477085064498E-2</v>
      </c>
    </row>
    <row r="88" spans="1:8" x14ac:dyDescent="0.2">
      <c r="A88" s="2" t="s">
        <v>3281</v>
      </c>
      <c r="B88" s="2" t="s">
        <v>3282</v>
      </c>
      <c r="C88" s="2" t="s">
        <v>3283</v>
      </c>
      <c r="D88" s="2" t="s">
        <v>10042</v>
      </c>
      <c r="E88" s="15">
        <v>0.140017311662469</v>
      </c>
      <c r="F88" s="15">
        <v>0.54098846287785096</v>
      </c>
      <c r="G88" s="15">
        <v>9.7174326942831901E-2</v>
      </c>
      <c r="H88" s="15">
        <v>5.2170315970240397E-2</v>
      </c>
    </row>
    <row r="89" spans="1:8" x14ac:dyDescent="0.2">
      <c r="A89" s="2" t="s">
        <v>4418</v>
      </c>
      <c r="B89" s="2" t="s">
        <v>4419</v>
      </c>
      <c r="C89" s="2" t="s">
        <v>4420</v>
      </c>
      <c r="D89" s="2" t="s">
        <v>10047</v>
      </c>
      <c r="E89" s="15">
        <v>-0.193798295440893</v>
      </c>
      <c r="F89" s="15">
        <v>0.558642540649818</v>
      </c>
      <c r="G89" s="15">
        <v>0.13242770433135601</v>
      </c>
      <c r="H89" s="15">
        <v>4.4009971402887003E-2</v>
      </c>
    </row>
    <row r="90" spans="1:8" x14ac:dyDescent="0.2">
      <c r="A90" s="2" t="s">
        <v>1415</v>
      </c>
      <c r="B90" s="2" t="s">
        <v>1416</v>
      </c>
      <c r="C90" s="2" t="s">
        <v>1417</v>
      </c>
      <c r="D90" s="2" t="s">
        <v>10040</v>
      </c>
      <c r="E90" s="15">
        <v>0.15318345265324201</v>
      </c>
      <c r="F90" s="15">
        <v>0.56359753996577999</v>
      </c>
      <c r="G90" s="15">
        <v>0.12872076287668799</v>
      </c>
      <c r="H90" s="15">
        <v>4.7498300480228899E-2</v>
      </c>
    </row>
    <row r="91" spans="1:8" x14ac:dyDescent="0.2">
      <c r="A91" s="2" t="s">
        <v>3236</v>
      </c>
      <c r="B91" s="2" t="s">
        <v>3237</v>
      </c>
      <c r="C91" s="2" t="s">
        <v>3238</v>
      </c>
      <c r="D91" s="2" t="s">
        <v>10042</v>
      </c>
      <c r="E91" s="15">
        <v>-0.16903704489246199</v>
      </c>
      <c r="F91" s="15">
        <v>0.56404306247739799</v>
      </c>
      <c r="G91" s="15">
        <v>0.12840638136704199</v>
      </c>
      <c r="H91" s="15">
        <v>5.59380877770978E-2</v>
      </c>
    </row>
    <row r="92" spans="1:8" x14ac:dyDescent="0.2">
      <c r="A92" s="2" t="s">
        <v>4433</v>
      </c>
      <c r="B92" s="2" t="s">
        <v>4434</v>
      </c>
      <c r="C92" s="2" t="s">
        <v>4435</v>
      </c>
      <c r="D92" s="2" t="s">
        <v>10047</v>
      </c>
      <c r="E92" s="15">
        <v>-0.14824079886428801</v>
      </c>
      <c r="F92" s="15">
        <v>0.573026914851539</v>
      </c>
      <c r="G92" s="15">
        <v>0.10360075728019399</v>
      </c>
      <c r="H92" s="15">
        <v>4.8612729174201903E-2</v>
      </c>
    </row>
    <row r="93" spans="1:8" x14ac:dyDescent="0.2">
      <c r="A93" s="2" t="s">
        <v>5837</v>
      </c>
      <c r="B93" s="2" t="s">
        <v>5838</v>
      </c>
      <c r="C93" s="2" t="s">
        <v>5839</v>
      </c>
      <c r="D93" s="2" t="s">
        <v>10050</v>
      </c>
      <c r="E93" s="15">
        <v>4.7549341702084899E-2</v>
      </c>
      <c r="F93" s="15">
        <v>0.58009061290944097</v>
      </c>
      <c r="G93" s="15">
        <v>-7.7027616411385197E-2</v>
      </c>
      <c r="H93" s="15">
        <v>4.73554044671236E-2</v>
      </c>
    </row>
    <row r="94" spans="1:8" x14ac:dyDescent="0.2">
      <c r="A94" s="2" t="s">
        <v>3467</v>
      </c>
      <c r="B94" s="2" t="s">
        <v>3468</v>
      </c>
      <c r="C94" s="2" t="s">
        <v>3469</v>
      </c>
      <c r="D94" s="2" t="s">
        <v>10042</v>
      </c>
      <c r="E94" s="15">
        <v>0.17343579255911801</v>
      </c>
      <c r="F94" s="15">
        <v>0.58409550348752803</v>
      </c>
      <c r="G94" s="15">
        <v>0.130223790415855</v>
      </c>
      <c r="H94" s="15">
        <v>4.8154178795932902E-2</v>
      </c>
    </row>
    <row r="95" spans="1:8" x14ac:dyDescent="0.2">
      <c r="A95" s="2" t="s">
        <v>8213</v>
      </c>
      <c r="B95" s="2" t="s">
        <v>7007</v>
      </c>
      <c r="C95" s="2" t="s">
        <v>8214</v>
      </c>
      <c r="D95" s="2" t="s">
        <v>10055</v>
      </c>
      <c r="E95" s="15">
        <v>0.37502140706850801</v>
      </c>
      <c r="F95" s="15">
        <v>0.59213693267744405</v>
      </c>
      <c r="G95" s="15">
        <v>-0.20351287002111501</v>
      </c>
      <c r="H95" s="15">
        <v>7.1920221324947506E-2</v>
      </c>
    </row>
    <row r="96" spans="1:8" x14ac:dyDescent="0.2">
      <c r="A96" s="2" t="s">
        <v>6513</v>
      </c>
      <c r="B96" s="2" t="s">
        <v>6475</v>
      </c>
      <c r="C96" s="2" t="s">
        <v>6514</v>
      </c>
      <c r="D96" s="2" t="s">
        <v>10054</v>
      </c>
      <c r="E96" s="15">
        <v>-0.33358736929833599</v>
      </c>
      <c r="F96" s="15">
        <v>0.59394008206858895</v>
      </c>
      <c r="G96" s="15">
        <v>-9.1199330317634303E-2</v>
      </c>
      <c r="H96" s="15">
        <v>6.5375101766917298E-2</v>
      </c>
    </row>
    <row r="97" spans="1:8" x14ac:dyDescent="0.2">
      <c r="A97" s="2" t="s">
        <v>6632</v>
      </c>
      <c r="B97" s="2" t="s">
        <v>6586</v>
      </c>
      <c r="C97" s="2" t="s">
        <v>6633</v>
      </c>
      <c r="D97" s="2" t="s">
        <v>10055</v>
      </c>
      <c r="E97" s="15">
        <v>0.32085301882427403</v>
      </c>
      <c r="F97" s="15">
        <v>0.59447668049869495</v>
      </c>
      <c r="G97" s="15">
        <v>-0.163522310474155</v>
      </c>
      <c r="H97" s="15">
        <v>7.9142488980035397E-2</v>
      </c>
    </row>
    <row r="98" spans="1:8" x14ac:dyDescent="0.2">
      <c r="A98" s="2" t="s">
        <v>1625</v>
      </c>
      <c r="B98" s="2" t="s">
        <v>1626</v>
      </c>
      <c r="C98" s="2" t="s">
        <v>1627</v>
      </c>
      <c r="D98" s="2" t="s">
        <v>10040</v>
      </c>
      <c r="E98" s="15">
        <v>0.18240104533339199</v>
      </c>
      <c r="F98" s="15">
        <v>0.59713635581453195</v>
      </c>
      <c r="G98" s="15">
        <v>0.14562631457710801</v>
      </c>
      <c r="H98" s="15">
        <v>5.8786604032206202E-2</v>
      </c>
    </row>
    <row r="99" spans="1:8" x14ac:dyDescent="0.2">
      <c r="A99" s="2" t="s">
        <v>1958</v>
      </c>
      <c r="B99" s="2" t="s">
        <v>1959</v>
      </c>
      <c r="C99" s="2" t="s">
        <v>1960</v>
      </c>
      <c r="D99" s="2" t="s">
        <v>10041</v>
      </c>
      <c r="E99" s="15">
        <v>5.6928741264315103E-2</v>
      </c>
      <c r="F99" s="15">
        <v>0.61128897725611098</v>
      </c>
      <c r="G99" s="15">
        <v>8.9475995132616698E-2</v>
      </c>
      <c r="H99" s="15">
        <v>4.8649014527926901E-2</v>
      </c>
    </row>
    <row r="100" spans="1:8" x14ac:dyDescent="0.2">
      <c r="A100" s="2" t="s">
        <v>3590</v>
      </c>
      <c r="B100" s="2" t="s">
        <v>3591</v>
      </c>
      <c r="C100" s="2" t="s">
        <v>3592</v>
      </c>
      <c r="D100" s="2" t="s">
        <v>10042</v>
      </c>
      <c r="E100" s="15">
        <v>-0.10782865158072399</v>
      </c>
      <c r="F100" s="15">
        <v>0.61350476807189203</v>
      </c>
      <c r="G100" s="15">
        <v>0.13502865448100701</v>
      </c>
      <c r="H100" s="15">
        <v>6.3748124899630401E-2</v>
      </c>
    </row>
    <row r="101" spans="1:8" x14ac:dyDescent="0.2">
      <c r="A101" s="2" t="s">
        <v>3338</v>
      </c>
      <c r="B101" s="2" t="s">
        <v>3339</v>
      </c>
      <c r="C101" s="2" t="s">
        <v>3340</v>
      </c>
      <c r="D101" s="2" t="s">
        <v>10042</v>
      </c>
      <c r="E101" s="15">
        <v>4.1894229619992502E-3</v>
      </c>
      <c r="F101" s="15">
        <v>0.61489772203131499</v>
      </c>
      <c r="G101" s="15">
        <v>0.132040723151993</v>
      </c>
      <c r="H101" s="15">
        <v>4.82634403944667E-2</v>
      </c>
    </row>
    <row r="102" spans="1:8" x14ac:dyDescent="0.2">
      <c r="A102" s="2" t="s">
        <v>2438</v>
      </c>
      <c r="B102" s="2" t="s">
        <v>2439</v>
      </c>
      <c r="C102" s="2" t="s">
        <v>2440</v>
      </c>
      <c r="D102" s="2" t="s">
        <v>10041</v>
      </c>
      <c r="E102" s="15">
        <v>8.1722783307627306E-2</v>
      </c>
      <c r="F102" s="15">
        <v>0.61643653413140598</v>
      </c>
      <c r="G102" s="15">
        <v>0.106683305039763</v>
      </c>
      <c r="H102" s="15">
        <v>4.7325151876487698E-2</v>
      </c>
    </row>
    <row r="103" spans="1:8" x14ac:dyDescent="0.2">
      <c r="A103" s="2" t="s">
        <v>1043</v>
      </c>
      <c r="B103" s="2" t="s">
        <v>1044</v>
      </c>
      <c r="C103" s="2" t="s">
        <v>1045</v>
      </c>
      <c r="D103" s="2" t="s">
        <v>10040</v>
      </c>
      <c r="E103" s="15">
        <v>8.9647781380211303E-2</v>
      </c>
      <c r="F103" s="15">
        <v>0.62530694828600497</v>
      </c>
      <c r="G103" s="15">
        <v>0.11257996870742799</v>
      </c>
      <c r="H103" s="15">
        <v>4.8059509987138697E-2</v>
      </c>
    </row>
    <row r="104" spans="1:8" x14ac:dyDescent="0.2">
      <c r="A104" s="2" t="s">
        <v>2030</v>
      </c>
      <c r="B104" s="2" t="s">
        <v>2031</v>
      </c>
      <c r="C104" s="2" t="s">
        <v>2032</v>
      </c>
      <c r="D104" s="2" t="s">
        <v>10041</v>
      </c>
      <c r="E104" s="15">
        <v>0.17903328244304101</v>
      </c>
      <c r="F104" s="15">
        <v>0.62801700249761605</v>
      </c>
      <c r="G104" s="15">
        <v>-6.7485221052439606E-2</v>
      </c>
      <c r="H104" s="15">
        <v>4.8076068289749002E-2</v>
      </c>
    </row>
    <row r="105" spans="1:8" x14ac:dyDescent="0.2">
      <c r="A105" s="2" t="s">
        <v>3509</v>
      </c>
      <c r="B105" s="2" t="s">
        <v>3510</v>
      </c>
      <c r="C105" s="2" t="s">
        <v>3511</v>
      </c>
      <c r="D105" s="2" t="s">
        <v>10042</v>
      </c>
      <c r="E105" s="15">
        <v>-0.1903255259311</v>
      </c>
      <c r="F105" s="15">
        <v>0.63172904097776195</v>
      </c>
      <c r="G105" s="15">
        <v>0.12382384215265101</v>
      </c>
      <c r="H105" s="15">
        <v>5.7733343501855501E-2</v>
      </c>
    </row>
    <row r="106" spans="1:8" x14ac:dyDescent="0.2">
      <c r="A106" s="2" t="s">
        <v>6194</v>
      </c>
      <c r="B106" s="2" t="s">
        <v>6195</v>
      </c>
      <c r="C106" s="2" t="s">
        <v>6196</v>
      </c>
      <c r="D106" s="2" t="s">
        <v>10052</v>
      </c>
      <c r="E106" s="15">
        <v>-0.232791301575726</v>
      </c>
      <c r="F106" s="15">
        <v>0.63618737064467501</v>
      </c>
      <c r="G106" s="15">
        <v>5.1964393644817301E-2</v>
      </c>
      <c r="H106" s="15">
        <v>4.5574119096003798E-2</v>
      </c>
    </row>
    <row r="107" spans="1:8" x14ac:dyDescent="0.2">
      <c r="A107" s="2" t="s">
        <v>3428</v>
      </c>
      <c r="B107" s="2" t="s">
        <v>3429</v>
      </c>
      <c r="C107" s="2" t="s">
        <v>3430</v>
      </c>
      <c r="D107" s="2" t="s">
        <v>10042</v>
      </c>
      <c r="E107" s="15">
        <v>-0.22045313121822499</v>
      </c>
      <c r="F107" s="15">
        <v>0.636978794415623</v>
      </c>
      <c r="G107" s="15">
        <v>0.14169688304797301</v>
      </c>
      <c r="H107" s="15">
        <v>6.1489063506644903E-2</v>
      </c>
    </row>
    <row r="108" spans="1:8" x14ac:dyDescent="0.2">
      <c r="A108" s="2" t="s">
        <v>356</v>
      </c>
      <c r="B108" s="2" t="s">
        <v>357</v>
      </c>
      <c r="C108" s="2" t="s">
        <v>358</v>
      </c>
      <c r="D108" s="2" t="s">
        <v>10040</v>
      </c>
      <c r="E108" s="15">
        <v>-0.28713618963075199</v>
      </c>
      <c r="F108" s="15">
        <v>0.65066363666124705</v>
      </c>
      <c r="G108" s="15">
        <v>0.114815353510669</v>
      </c>
      <c r="H108" s="15">
        <v>6.0244879038512E-2</v>
      </c>
    </row>
    <row r="109" spans="1:8" x14ac:dyDescent="0.2">
      <c r="A109" s="2" t="s">
        <v>2162</v>
      </c>
      <c r="B109" s="2" t="s">
        <v>2163</v>
      </c>
      <c r="C109" s="2" t="s">
        <v>2164</v>
      </c>
      <c r="D109" s="2" t="s">
        <v>10041</v>
      </c>
      <c r="E109" s="15">
        <v>6.5989728455024294E-2</v>
      </c>
      <c r="F109" s="15">
        <v>0.65689526152209898</v>
      </c>
      <c r="G109" s="15">
        <v>9.9925979631289297E-2</v>
      </c>
      <c r="H109" s="15">
        <v>4.9512635922310699E-2</v>
      </c>
    </row>
    <row r="110" spans="1:8" x14ac:dyDescent="0.2">
      <c r="A110" s="2" t="s">
        <v>3479</v>
      </c>
      <c r="B110" s="2" t="s">
        <v>3480</v>
      </c>
      <c r="C110" s="2" t="s">
        <v>3481</v>
      </c>
      <c r="D110" s="2" t="s">
        <v>10042</v>
      </c>
      <c r="E110" s="15">
        <v>-0.10522054647817</v>
      </c>
      <c r="F110" s="15">
        <v>0.65741282591139805</v>
      </c>
      <c r="G110" s="15">
        <v>0.118291929245122</v>
      </c>
      <c r="H110" s="15">
        <v>5.7109445464953099E-2</v>
      </c>
    </row>
    <row r="111" spans="1:8" x14ac:dyDescent="0.2">
      <c r="A111" s="2" t="s">
        <v>2510</v>
      </c>
      <c r="B111" s="2" t="s">
        <v>2511</v>
      </c>
      <c r="C111" s="2" t="s">
        <v>2512</v>
      </c>
      <c r="D111" s="2" t="s">
        <v>10041</v>
      </c>
      <c r="E111" s="15">
        <v>0.18743730039859199</v>
      </c>
      <c r="F111" s="15">
        <v>0.65787220491021703</v>
      </c>
      <c r="G111" s="15">
        <v>-9.0874355513229699E-2</v>
      </c>
      <c r="H111" s="15">
        <v>5.1442067624993697E-2</v>
      </c>
    </row>
    <row r="112" spans="1:8" x14ac:dyDescent="0.2">
      <c r="A112" s="2" t="s">
        <v>3701</v>
      </c>
      <c r="B112" s="2" t="s">
        <v>3702</v>
      </c>
      <c r="C112" s="2" t="s">
        <v>3703</v>
      </c>
      <c r="D112" s="2" t="s">
        <v>10042</v>
      </c>
      <c r="E112" s="15">
        <v>-0.22746222391829801</v>
      </c>
      <c r="F112" s="15">
        <v>0.66257143766624005</v>
      </c>
      <c r="G112" s="15">
        <v>0.12645264865247299</v>
      </c>
      <c r="H112" s="15">
        <v>5.2938659414158797E-2</v>
      </c>
    </row>
    <row r="113" spans="1:8" x14ac:dyDescent="0.2">
      <c r="A113" s="2" t="s">
        <v>3788</v>
      </c>
      <c r="B113" s="2" t="s">
        <v>3789</v>
      </c>
      <c r="C113" s="2" t="s">
        <v>3790</v>
      </c>
      <c r="D113" s="2" t="s">
        <v>10042</v>
      </c>
      <c r="E113" s="15">
        <v>-4.89330906707688E-2</v>
      </c>
      <c r="F113" s="15">
        <v>0.66450588293815904</v>
      </c>
      <c r="G113" s="15">
        <v>0.118495327121364</v>
      </c>
      <c r="H113" s="15">
        <v>4.8251574390390399E-2</v>
      </c>
    </row>
    <row r="114" spans="1:8" x14ac:dyDescent="0.2">
      <c r="A114" s="2" t="s">
        <v>5075</v>
      </c>
      <c r="B114" s="2" t="s">
        <v>5076</v>
      </c>
      <c r="C114" s="2" t="s">
        <v>5077</v>
      </c>
      <c r="D114" s="2" t="s">
        <v>10049</v>
      </c>
      <c r="E114" s="15">
        <v>-8.9789302342407201E-2</v>
      </c>
      <c r="F114" s="15">
        <v>0.66539372614347303</v>
      </c>
      <c r="G114" s="15">
        <v>6.4500396385457903E-2</v>
      </c>
      <c r="H114" s="15">
        <v>4.3890555771637897E-2</v>
      </c>
    </row>
    <row r="115" spans="1:8" x14ac:dyDescent="0.2">
      <c r="A115" s="2" t="s">
        <v>9171</v>
      </c>
      <c r="B115" s="2" t="s">
        <v>7007</v>
      </c>
      <c r="C115" s="2" t="s">
        <v>9172</v>
      </c>
      <c r="D115" s="2" t="s">
        <v>10055</v>
      </c>
      <c r="E115" s="15">
        <v>-0.121972393506436</v>
      </c>
      <c r="F115" s="15">
        <v>0.66801341489706001</v>
      </c>
      <c r="G115" s="15">
        <v>-9.2673917148057297E-2</v>
      </c>
      <c r="H115" s="15">
        <v>5.5716710157236102E-2</v>
      </c>
    </row>
    <row r="116" spans="1:8" x14ac:dyDescent="0.2">
      <c r="A116" s="2" t="s">
        <v>6011</v>
      </c>
      <c r="B116" s="2" t="s">
        <v>6012</v>
      </c>
      <c r="C116" s="2" t="s">
        <v>6013</v>
      </c>
      <c r="D116" s="2" t="s">
        <v>10051</v>
      </c>
      <c r="E116" s="15">
        <v>8.5788982665914292E-3</v>
      </c>
      <c r="F116" s="15">
        <v>0.66875995599013105</v>
      </c>
      <c r="G116" s="15">
        <v>-9.4198009441845296E-2</v>
      </c>
      <c r="H116" s="15">
        <v>5.5373515755908799E-2</v>
      </c>
    </row>
    <row r="117" spans="1:8" x14ac:dyDescent="0.2">
      <c r="A117" s="2" t="s">
        <v>6754</v>
      </c>
      <c r="B117" s="2" t="s">
        <v>6586</v>
      </c>
      <c r="C117" s="2" t="s">
        <v>6755</v>
      </c>
      <c r="D117" s="2" t="s">
        <v>10055</v>
      </c>
      <c r="E117" s="15">
        <v>0.237012498210805</v>
      </c>
      <c r="F117" s="15">
        <v>0.67630818611514498</v>
      </c>
      <c r="G117" s="15">
        <v>-8.8097277777970898E-2</v>
      </c>
      <c r="H117" s="15">
        <v>7.8404362509731804E-2</v>
      </c>
    </row>
    <row r="118" spans="1:8" x14ac:dyDescent="0.2">
      <c r="A118" s="2" t="s">
        <v>4415</v>
      </c>
      <c r="B118" s="2" t="s">
        <v>4416</v>
      </c>
      <c r="C118" s="2" t="s">
        <v>4417</v>
      </c>
      <c r="D118" s="2" t="s">
        <v>10047</v>
      </c>
      <c r="E118" s="15">
        <v>0.13468069674629901</v>
      </c>
      <c r="F118" s="15">
        <v>0.68374752717087295</v>
      </c>
      <c r="G118" s="15">
        <v>0.11697496250089499</v>
      </c>
      <c r="H118" s="15">
        <v>4.13297527699686E-2</v>
      </c>
    </row>
    <row r="119" spans="1:8" x14ac:dyDescent="0.2">
      <c r="A119" s="2" t="s">
        <v>2561</v>
      </c>
      <c r="B119" s="2" t="s">
        <v>2562</v>
      </c>
      <c r="C119" s="2" t="s">
        <v>2563</v>
      </c>
      <c r="D119" s="2" t="s">
        <v>10041</v>
      </c>
      <c r="E119" s="15">
        <v>8.7156657202121707E-2</v>
      </c>
      <c r="F119" s="15">
        <v>0.68717220405339996</v>
      </c>
      <c r="G119" s="15">
        <v>-0.10042370822713099</v>
      </c>
      <c r="H119" s="15">
        <v>4.8244383694754901E-2</v>
      </c>
    </row>
    <row r="120" spans="1:8" x14ac:dyDescent="0.2">
      <c r="A120" s="2" t="s">
        <v>410</v>
      </c>
      <c r="B120" s="2" t="s">
        <v>411</v>
      </c>
      <c r="C120" s="2" t="s">
        <v>412</v>
      </c>
      <c r="D120" s="2" t="s">
        <v>10040</v>
      </c>
      <c r="E120" s="15">
        <v>0.109269874262481</v>
      </c>
      <c r="F120" s="15">
        <v>0.69467549990330402</v>
      </c>
      <c r="G120" s="15">
        <v>-0.129537098176156</v>
      </c>
      <c r="H120" s="15">
        <v>4.3237200231282497E-2</v>
      </c>
    </row>
    <row r="121" spans="1:8" x14ac:dyDescent="0.2">
      <c r="A121" s="2" t="s">
        <v>4556</v>
      </c>
      <c r="B121" s="2" t="s">
        <v>4557</v>
      </c>
      <c r="C121" s="2" t="s">
        <v>4558</v>
      </c>
      <c r="D121" s="2" t="s">
        <v>10047</v>
      </c>
      <c r="E121" s="15">
        <v>-0.212608104745626</v>
      </c>
      <c r="F121" s="15">
        <v>0.69697397990222998</v>
      </c>
      <c r="G121" s="15">
        <v>9.0004019174545299E-2</v>
      </c>
      <c r="H121" s="15">
        <v>4.99392204490193E-2</v>
      </c>
    </row>
    <row r="122" spans="1:8" x14ac:dyDescent="0.2">
      <c r="A122" s="2" t="s">
        <v>1916</v>
      </c>
      <c r="B122" s="2" t="s">
        <v>1917</v>
      </c>
      <c r="C122" s="2" t="s">
        <v>1918</v>
      </c>
      <c r="D122" s="2" t="s">
        <v>10040</v>
      </c>
      <c r="E122" s="15">
        <v>-0.28701847787714102</v>
      </c>
      <c r="F122" s="15">
        <v>0.70020375036932303</v>
      </c>
      <c r="G122" s="15">
        <v>0.14975919759048001</v>
      </c>
      <c r="H122" s="15">
        <v>5.1386814657866098E-2</v>
      </c>
    </row>
    <row r="123" spans="1:8" x14ac:dyDescent="0.2">
      <c r="A123" s="2" t="s">
        <v>1532</v>
      </c>
      <c r="B123" s="2" t="s">
        <v>1533</v>
      </c>
      <c r="C123" s="2" t="s">
        <v>1534</v>
      </c>
      <c r="D123" s="2" t="s">
        <v>10040</v>
      </c>
      <c r="E123" s="15">
        <v>4.8869717813694202E-2</v>
      </c>
      <c r="F123" s="15">
        <v>0.707197892853207</v>
      </c>
      <c r="G123" s="15">
        <v>0.12844574027960001</v>
      </c>
      <c r="H123" s="15">
        <v>4.7379951774035901E-2</v>
      </c>
    </row>
    <row r="124" spans="1:8" x14ac:dyDescent="0.2">
      <c r="A124" s="2" t="s">
        <v>4988</v>
      </c>
      <c r="B124" s="2" t="s">
        <v>4989</v>
      </c>
      <c r="C124" s="2" t="s">
        <v>4990</v>
      </c>
      <c r="D124" s="2" t="s">
        <v>10049</v>
      </c>
      <c r="E124" s="15">
        <v>-0.16891231230381301</v>
      </c>
      <c r="F124" s="15">
        <v>0.71958085834183405</v>
      </c>
      <c r="G124" s="15">
        <v>9.9049921878670802E-2</v>
      </c>
      <c r="H124" s="15">
        <v>4.9640037450862103E-2</v>
      </c>
    </row>
    <row r="125" spans="1:8" x14ac:dyDescent="0.2">
      <c r="A125" s="2" t="s">
        <v>1769</v>
      </c>
      <c r="B125" s="2" t="s">
        <v>1770</v>
      </c>
      <c r="C125" s="2" t="s">
        <v>1771</v>
      </c>
      <c r="D125" s="2" t="s">
        <v>10040</v>
      </c>
      <c r="E125" s="15">
        <v>7.9423082663137606E-2</v>
      </c>
      <c r="F125" s="15">
        <v>0.72270276604334804</v>
      </c>
      <c r="G125" s="15">
        <v>0.141345330898238</v>
      </c>
      <c r="H125" s="15">
        <v>5.4634194534552601E-2</v>
      </c>
    </row>
    <row r="126" spans="1:8" x14ac:dyDescent="0.2">
      <c r="A126" s="2" t="s">
        <v>3050</v>
      </c>
      <c r="B126" s="2" t="s">
        <v>3051</v>
      </c>
      <c r="C126" s="2" t="s">
        <v>3052</v>
      </c>
      <c r="D126" s="2" t="s">
        <v>10041</v>
      </c>
      <c r="E126" s="15">
        <v>3.9773151806530398E-2</v>
      </c>
      <c r="F126" s="15">
        <v>0.73002522879788001</v>
      </c>
      <c r="G126" s="15">
        <v>-0.14770094379381099</v>
      </c>
      <c r="H126" s="15">
        <v>7.2193056314948198E-2</v>
      </c>
    </row>
    <row r="127" spans="1:8" x14ac:dyDescent="0.2">
      <c r="A127" s="2" t="s">
        <v>4412</v>
      </c>
      <c r="B127" s="2" t="s">
        <v>4413</v>
      </c>
      <c r="C127" s="2" t="s">
        <v>4414</v>
      </c>
      <c r="D127" s="2" t="s">
        <v>10047</v>
      </c>
      <c r="E127" s="15">
        <v>-0.20687252962498401</v>
      </c>
      <c r="F127" s="15">
        <v>0.73841601743847196</v>
      </c>
      <c r="G127" s="15">
        <v>0.11360151839737</v>
      </c>
      <c r="H127" s="15">
        <v>4.2392818128313602E-2</v>
      </c>
    </row>
    <row r="128" spans="1:8" x14ac:dyDescent="0.2">
      <c r="A128" s="2" t="s">
        <v>3146</v>
      </c>
      <c r="B128" s="2" t="s">
        <v>3147</v>
      </c>
      <c r="C128" s="2" t="s">
        <v>3148</v>
      </c>
      <c r="D128" s="2" t="s">
        <v>10042</v>
      </c>
      <c r="E128" s="15">
        <v>-9.1881818868547502E-2</v>
      </c>
      <c r="F128" s="15">
        <v>0.73960561056891005</v>
      </c>
      <c r="G128" s="15">
        <v>0.14064058841069901</v>
      </c>
      <c r="H128" s="15">
        <v>6.3103302061121996E-2</v>
      </c>
    </row>
    <row r="129" spans="1:8" x14ac:dyDescent="0.2">
      <c r="A129" s="2" t="s">
        <v>5153</v>
      </c>
      <c r="B129" s="2" t="s">
        <v>5154</v>
      </c>
      <c r="C129" s="2" t="s">
        <v>5155</v>
      </c>
      <c r="D129" s="2" t="s">
        <v>10049</v>
      </c>
      <c r="E129" s="15">
        <v>0.106468045302322</v>
      </c>
      <c r="F129" s="15">
        <v>0.74350143046376405</v>
      </c>
      <c r="G129" s="15">
        <v>-0.133326180832229</v>
      </c>
      <c r="H129" s="15">
        <v>4.2080344726043301E-2</v>
      </c>
    </row>
    <row r="130" spans="1:8" x14ac:dyDescent="0.2">
      <c r="A130" s="2" t="s">
        <v>7677</v>
      </c>
      <c r="B130" s="2" t="s">
        <v>7007</v>
      </c>
      <c r="C130" s="2" t="s">
        <v>7678</v>
      </c>
      <c r="D130" s="2" t="s">
        <v>10055</v>
      </c>
      <c r="E130" s="15">
        <v>-0.14867672759056499</v>
      </c>
      <c r="F130" s="15">
        <v>0.743777870611525</v>
      </c>
      <c r="G130" s="15">
        <v>0.17221638349905899</v>
      </c>
      <c r="H130" s="15">
        <v>7.4968710319053097E-2</v>
      </c>
    </row>
    <row r="131" spans="1:8" x14ac:dyDescent="0.2">
      <c r="A131" s="2" t="s">
        <v>2696</v>
      </c>
      <c r="B131" s="2" t="s">
        <v>2697</v>
      </c>
      <c r="C131" s="2" t="s">
        <v>2698</v>
      </c>
      <c r="D131" s="2" t="s">
        <v>10041</v>
      </c>
      <c r="E131" s="15">
        <v>8.3052032079374893E-2</v>
      </c>
      <c r="F131" s="15">
        <v>0.75397067033140097</v>
      </c>
      <c r="G131" s="15">
        <v>-8.7480757495689995E-2</v>
      </c>
      <c r="H131" s="15">
        <v>5.6289036811942299E-2</v>
      </c>
    </row>
    <row r="132" spans="1:8" x14ac:dyDescent="0.2">
      <c r="A132" s="2" t="s">
        <v>1322</v>
      </c>
      <c r="B132" s="2" t="s">
        <v>1323</v>
      </c>
      <c r="C132" s="2" t="s">
        <v>1324</v>
      </c>
      <c r="D132" s="2" t="s">
        <v>10040</v>
      </c>
      <c r="E132" s="15">
        <v>7.4085007290243698E-2</v>
      </c>
      <c r="F132" s="15">
        <v>0.755874441705638</v>
      </c>
      <c r="G132" s="15">
        <v>0.13698214461827299</v>
      </c>
      <c r="H132" s="15">
        <v>5.1662493670139101E-2</v>
      </c>
    </row>
    <row r="133" spans="1:8" x14ac:dyDescent="0.2">
      <c r="A133" s="2" t="s">
        <v>2351</v>
      </c>
      <c r="B133" s="2" t="s">
        <v>2352</v>
      </c>
      <c r="C133" s="2" t="s">
        <v>2353</v>
      </c>
      <c r="D133" s="2" t="s">
        <v>10041</v>
      </c>
      <c r="E133" s="15">
        <v>3.7984287628818197E-2</v>
      </c>
      <c r="F133" s="15">
        <v>0.76268157973689199</v>
      </c>
      <c r="G133" s="15">
        <v>-9.1332286694787407E-2</v>
      </c>
      <c r="H133" s="15">
        <v>6.6025609060752499E-2</v>
      </c>
    </row>
    <row r="134" spans="1:8" x14ac:dyDescent="0.2">
      <c r="A134" s="2" t="s">
        <v>5471</v>
      </c>
      <c r="B134" s="2" t="s">
        <v>5472</v>
      </c>
      <c r="C134" s="2" t="s">
        <v>5473</v>
      </c>
      <c r="D134" s="2" t="s">
        <v>10049</v>
      </c>
      <c r="E134" s="15">
        <v>-2.2141245927239199E-2</v>
      </c>
      <c r="F134" s="15">
        <v>0.76509949098728902</v>
      </c>
      <c r="G134" s="15">
        <v>0.123667479545969</v>
      </c>
      <c r="H134" s="15">
        <v>5.33973898596036E-2</v>
      </c>
    </row>
    <row r="135" spans="1:8" x14ac:dyDescent="0.2">
      <c r="A135" s="2" t="s">
        <v>4430</v>
      </c>
      <c r="B135" s="2" t="s">
        <v>4431</v>
      </c>
      <c r="C135" s="2" t="s">
        <v>4432</v>
      </c>
      <c r="D135" s="2" t="s">
        <v>10047</v>
      </c>
      <c r="E135" s="15">
        <v>-9.1386926848359501E-2</v>
      </c>
      <c r="F135" s="15">
        <v>0.76520922137474301</v>
      </c>
      <c r="G135" s="15">
        <v>0.11720717594281201</v>
      </c>
      <c r="H135" s="15">
        <v>4.9275084760547899E-2</v>
      </c>
    </row>
    <row r="136" spans="1:8" x14ac:dyDescent="0.2">
      <c r="A136" s="2" t="s">
        <v>5522</v>
      </c>
      <c r="B136" s="2" t="s">
        <v>5523</v>
      </c>
      <c r="C136" s="2" t="s">
        <v>5524</v>
      </c>
      <c r="D136" s="2" t="s">
        <v>10049</v>
      </c>
      <c r="E136" s="15">
        <v>-0.15402923891773701</v>
      </c>
      <c r="F136" s="15">
        <v>0.76542472681816898</v>
      </c>
      <c r="G136" s="15">
        <v>0.13816958194737999</v>
      </c>
      <c r="H136" s="15">
        <v>5.6612353033094399E-2</v>
      </c>
    </row>
    <row r="137" spans="1:8" x14ac:dyDescent="0.2">
      <c r="A137" s="2" t="s">
        <v>3566</v>
      </c>
      <c r="B137" s="2" t="s">
        <v>3567</v>
      </c>
      <c r="C137" s="2" t="s">
        <v>3568</v>
      </c>
      <c r="D137" s="2" t="s">
        <v>10042</v>
      </c>
      <c r="E137" s="15">
        <v>0.153362462528705</v>
      </c>
      <c r="F137" s="15">
        <v>0.77802854379807695</v>
      </c>
      <c r="G137" s="15">
        <v>0.12777851266179599</v>
      </c>
      <c r="H137" s="15">
        <v>4.5606841757957498E-2</v>
      </c>
    </row>
    <row r="138" spans="1:8" x14ac:dyDescent="0.2">
      <c r="A138" s="2" t="s">
        <v>4571</v>
      </c>
      <c r="B138" s="2" t="s">
        <v>4572</v>
      </c>
      <c r="C138" s="2" t="s">
        <v>4573</v>
      </c>
      <c r="D138" s="2" t="s">
        <v>10047</v>
      </c>
      <c r="E138" s="15">
        <v>-0.12273361302165001</v>
      </c>
      <c r="F138" s="15">
        <v>0.77874010906592195</v>
      </c>
      <c r="G138" s="15">
        <v>0.138760512849297</v>
      </c>
      <c r="H138" s="15">
        <v>5.1125124395504699E-2</v>
      </c>
    </row>
    <row r="139" spans="1:8" x14ac:dyDescent="0.2">
      <c r="A139" s="2" t="s">
        <v>6098</v>
      </c>
      <c r="B139" s="2" t="s">
        <v>6099</v>
      </c>
      <c r="C139" s="2" t="s">
        <v>6100</v>
      </c>
      <c r="D139" s="2" t="s">
        <v>10051</v>
      </c>
      <c r="E139" s="15">
        <v>-0.25493859996614499</v>
      </c>
      <c r="F139" s="15">
        <v>0.77948305718212396</v>
      </c>
      <c r="G139" s="15">
        <v>-0.124625433620087</v>
      </c>
      <c r="H139" s="15">
        <v>7.2567263243608002E-2</v>
      </c>
    </row>
    <row r="140" spans="1:8" x14ac:dyDescent="0.2">
      <c r="A140" s="2" t="s">
        <v>3449</v>
      </c>
      <c r="B140" s="2" t="s">
        <v>3450</v>
      </c>
      <c r="C140" s="2" t="s">
        <v>3451</v>
      </c>
      <c r="D140" s="2" t="s">
        <v>10042</v>
      </c>
      <c r="E140" s="15">
        <v>-8.1256037156706304E-2</v>
      </c>
      <c r="F140" s="15">
        <v>0.78274164665047596</v>
      </c>
      <c r="G140" s="15">
        <v>0.115119074418027</v>
      </c>
      <c r="H140" s="15">
        <v>4.5738433346858197E-2</v>
      </c>
    </row>
    <row r="141" spans="1:8" x14ac:dyDescent="0.2">
      <c r="A141" s="2" t="s">
        <v>3206</v>
      </c>
      <c r="B141" s="2" t="s">
        <v>3207</v>
      </c>
      <c r="C141" s="2" t="s">
        <v>3208</v>
      </c>
      <c r="D141" s="2" t="s">
        <v>10042</v>
      </c>
      <c r="E141" s="15">
        <v>-3.3564276415544103E-2</v>
      </c>
      <c r="F141" s="15">
        <v>0.79254037057655602</v>
      </c>
      <c r="G141" s="15">
        <v>0.134330364197218</v>
      </c>
      <c r="H141" s="15">
        <v>5.98122419434996E-2</v>
      </c>
    </row>
    <row r="142" spans="1:8" x14ac:dyDescent="0.2">
      <c r="A142" s="2" t="s">
        <v>2393</v>
      </c>
      <c r="B142" s="2" t="s">
        <v>2394</v>
      </c>
      <c r="C142" s="2" t="s">
        <v>2395</v>
      </c>
      <c r="D142" s="2" t="s">
        <v>10041</v>
      </c>
      <c r="E142" s="15">
        <v>-0.13677170064670799</v>
      </c>
      <c r="F142" s="15">
        <v>0.79631577925647901</v>
      </c>
      <c r="G142" s="15">
        <v>-0.16377094616014501</v>
      </c>
      <c r="H142" s="15">
        <v>5.17101196079384E-2</v>
      </c>
    </row>
    <row r="143" spans="1:8" x14ac:dyDescent="0.2">
      <c r="A143" s="2" t="s">
        <v>5159</v>
      </c>
      <c r="B143" s="2" t="s">
        <v>5160</v>
      </c>
      <c r="C143" s="2" t="s">
        <v>5161</v>
      </c>
      <c r="D143" s="2" t="s">
        <v>10049</v>
      </c>
      <c r="E143" s="15">
        <v>8.8841303604745403E-2</v>
      </c>
      <c r="F143" s="15">
        <v>0.81228904522266898</v>
      </c>
      <c r="G143" s="15">
        <v>-9.1026064899316694E-2</v>
      </c>
      <c r="H143" s="15">
        <v>4.5307842755060501E-2</v>
      </c>
    </row>
    <row r="144" spans="1:8" x14ac:dyDescent="0.2">
      <c r="A144" s="2" t="s">
        <v>3176</v>
      </c>
      <c r="B144" s="2" t="s">
        <v>3177</v>
      </c>
      <c r="C144" s="2" t="s">
        <v>3178</v>
      </c>
      <c r="D144" s="2" t="s">
        <v>10042</v>
      </c>
      <c r="E144" s="15">
        <v>-7.3732115767826997E-2</v>
      </c>
      <c r="F144" s="15">
        <v>0.82145451230750799</v>
      </c>
      <c r="G144" s="15">
        <v>0.12531979806990301</v>
      </c>
      <c r="H144" s="15">
        <v>4.7447149098480301E-2</v>
      </c>
    </row>
    <row r="145" spans="1:8" x14ac:dyDescent="0.2">
      <c r="A145" s="2" t="s">
        <v>5030</v>
      </c>
      <c r="B145" s="2" t="s">
        <v>5031</v>
      </c>
      <c r="C145" s="2" t="s">
        <v>5032</v>
      </c>
      <c r="D145" s="2" t="s">
        <v>10049</v>
      </c>
      <c r="E145" s="15">
        <v>2.0789340440983801E-2</v>
      </c>
      <c r="F145" s="15">
        <v>0.82295762742762901</v>
      </c>
      <c r="G145" s="15">
        <v>7.10295699339729E-2</v>
      </c>
      <c r="H145" s="15">
        <v>6.1714945894698003E-2</v>
      </c>
    </row>
    <row r="146" spans="1:8" x14ac:dyDescent="0.2">
      <c r="A146" s="2" t="s">
        <v>3014</v>
      </c>
      <c r="B146" s="2" t="s">
        <v>3015</v>
      </c>
      <c r="C146" s="2" t="s">
        <v>3016</v>
      </c>
      <c r="D146" s="2" t="s">
        <v>10041</v>
      </c>
      <c r="E146" s="15">
        <v>3.3513901240385398E-2</v>
      </c>
      <c r="F146" s="15">
        <v>0.82515128704739404</v>
      </c>
      <c r="G146" s="15">
        <v>-0.101816106837454</v>
      </c>
      <c r="H146" s="15">
        <v>6.3852045615288899E-2</v>
      </c>
    </row>
    <row r="147" spans="1:8" x14ac:dyDescent="0.2">
      <c r="A147" s="2" t="s">
        <v>2918</v>
      </c>
      <c r="B147" s="2" t="s">
        <v>2919</v>
      </c>
      <c r="C147" s="2" t="s">
        <v>2920</v>
      </c>
      <c r="D147" s="2" t="s">
        <v>10041</v>
      </c>
      <c r="E147" s="15">
        <v>-0.299277886647066</v>
      </c>
      <c r="F147" s="15">
        <v>0.82788247976902196</v>
      </c>
      <c r="G147" s="15">
        <v>-0.114820184942922</v>
      </c>
      <c r="H147" s="15">
        <v>6.2491083358317802E-2</v>
      </c>
    </row>
    <row r="148" spans="1:8" x14ac:dyDescent="0.2">
      <c r="A148" s="2" t="s">
        <v>2888</v>
      </c>
      <c r="B148" s="2" t="s">
        <v>2889</v>
      </c>
      <c r="C148" s="2" t="s">
        <v>2890</v>
      </c>
      <c r="D148" s="2" t="s">
        <v>10041</v>
      </c>
      <c r="E148" s="15">
        <v>5.3532124769288397E-3</v>
      </c>
      <c r="F148" s="15">
        <v>0.83083968819237197</v>
      </c>
      <c r="G148" s="15">
        <v>-7.5721434198390697E-2</v>
      </c>
      <c r="H148" s="15">
        <v>6.2078326409998899E-2</v>
      </c>
    </row>
    <row r="149" spans="1:8" x14ac:dyDescent="0.2">
      <c r="A149" s="2" t="s">
        <v>3893</v>
      </c>
      <c r="B149" s="2" t="s">
        <v>3894</v>
      </c>
      <c r="C149" s="2" t="s">
        <v>3895</v>
      </c>
      <c r="D149" s="2" t="s">
        <v>10042</v>
      </c>
      <c r="E149" s="15">
        <v>4.5269533081057203E-2</v>
      </c>
      <c r="F149" s="15">
        <v>0.84551698516774498</v>
      </c>
      <c r="G149" s="15">
        <v>0.18739149173634201</v>
      </c>
      <c r="H149" s="15">
        <v>6.4259376060112297E-2</v>
      </c>
    </row>
    <row r="150" spans="1:8" x14ac:dyDescent="0.2">
      <c r="A150" s="2" t="s">
        <v>461</v>
      </c>
      <c r="B150" s="2" t="s">
        <v>462</v>
      </c>
      <c r="C150" s="2" t="s">
        <v>463</v>
      </c>
      <c r="D150" s="2" t="s">
        <v>10040</v>
      </c>
      <c r="E150" s="15">
        <v>7.1293425458752299E-3</v>
      </c>
      <c r="F150" s="15">
        <v>0.85303534997154795</v>
      </c>
      <c r="G150" s="15">
        <v>-6.4281415520543006E-2</v>
      </c>
      <c r="H150" s="15">
        <v>4.4720078385531499E-2</v>
      </c>
    </row>
    <row r="151" spans="1:8" x14ac:dyDescent="0.2">
      <c r="A151" s="2" t="s">
        <v>2921</v>
      </c>
      <c r="B151" s="2" t="s">
        <v>2922</v>
      </c>
      <c r="C151" s="2" t="s">
        <v>2923</v>
      </c>
      <c r="D151" s="2" t="s">
        <v>10041</v>
      </c>
      <c r="E151" s="15">
        <v>0.109902119018154</v>
      </c>
      <c r="F151" s="15">
        <v>0.86175393446516402</v>
      </c>
      <c r="G151" s="15">
        <v>-8.6004273036700093E-2</v>
      </c>
      <c r="H151" s="15">
        <v>5.8605556937357202E-2</v>
      </c>
    </row>
    <row r="152" spans="1:8" x14ac:dyDescent="0.2">
      <c r="A152" s="2" t="s">
        <v>3617</v>
      </c>
      <c r="B152" s="2" t="s">
        <v>3618</v>
      </c>
      <c r="C152" s="2" t="s">
        <v>3619</v>
      </c>
      <c r="D152" s="2" t="s">
        <v>10042</v>
      </c>
      <c r="E152" s="15">
        <v>-3.8187937037065599E-2</v>
      </c>
      <c r="F152" s="15">
        <v>0.86350799976759296</v>
      </c>
      <c r="G152" s="15">
        <v>0.120866927599058</v>
      </c>
      <c r="H152" s="15">
        <v>6.2500349430653204E-2</v>
      </c>
    </row>
    <row r="153" spans="1:8" x14ac:dyDescent="0.2">
      <c r="A153" s="2" t="s">
        <v>2816</v>
      </c>
      <c r="B153" s="2" t="s">
        <v>2817</v>
      </c>
      <c r="C153" s="2" t="s">
        <v>2818</v>
      </c>
      <c r="D153" s="2" t="s">
        <v>10041</v>
      </c>
      <c r="E153" s="15">
        <v>-3.9208130774780303E-2</v>
      </c>
      <c r="F153" s="15">
        <v>0.86549308414516501</v>
      </c>
      <c r="G153" s="15">
        <v>-0.112948444681869</v>
      </c>
      <c r="H153" s="15">
        <v>6.7597846699862199E-2</v>
      </c>
    </row>
    <row r="154" spans="1:8" x14ac:dyDescent="0.2">
      <c r="A154" s="2" t="s">
        <v>3812</v>
      </c>
      <c r="B154" s="2" t="s">
        <v>3813</v>
      </c>
      <c r="C154" s="2" t="s">
        <v>3814</v>
      </c>
      <c r="D154" s="2" t="s">
        <v>10042</v>
      </c>
      <c r="E154" s="15">
        <v>-0.112015061699149</v>
      </c>
      <c r="F154" s="15">
        <v>0.86936121765268803</v>
      </c>
      <c r="G154" s="15">
        <v>0.126310040309348</v>
      </c>
      <c r="H154" s="15">
        <v>5.7802174785668799E-2</v>
      </c>
    </row>
    <row r="155" spans="1:8" x14ac:dyDescent="0.2">
      <c r="A155" s="2" t="s">
        <v>6565</v>
      </c>
      <c r="B155" s="2" t="s">
        <v>6475</v>
      </c>
      <c r="C155" s="2" t="s">
        <v>6566</v>
      </c>
      <c r="D155" s="2" t="s">
        <v>10054</v>
      </c>
      <c r="E155" s="15">
        <v>-0.12908818754099599</v>
      </c>
      <c r="F155" s="15">
        <v>0.87228557608498503</v>
      </c>
      <c r="G155" s="15">
        <v>0.121595254354777</v>
      </c>
      <c r="H155" s="15">
        <v>6.0981851410173503E-2</v>
      </c>
    </row>
    <row r="156" spans="1:8" x14ac:dyDescent="0.2">
      <c r="A156" s="2" t="s">
        <v>6571</v>
      </c>
      <c r="B156" s="2" t="s">
        <v>6475</v>
      </c>
      <c r="C156" s="2" t="s">
        <v>6572</v>
      </c>
      <c r="D156" s="2" t="s">
        <v>10054</v>
      </c>
      <c r="E156" s="15">
        <v>1.0668307466365899E-2</v>
      </c>
      <c r="F156" s="15">
        <v>0.87601425910681896</v>
      </c>
      <c r="G156" s="15">
        <v>6.43645474679021E-2</v>
      </c>
      <c r="H156" s="15">
        <v>5.9144014113387502E-2</v>
      </c>
    </row>
    <row r="157" spans="1:8" x14ac:dyDescent="0.2">
      <c r="A157" s="2" t="s">
        <v>182</v>
      </c>
      <c r="B157" s="2" t="s">
        <v>183</v>
      </c>
      <c r="C157" s="2" t="s">
        <v>184</v>
      </c>
      <c r="D157" s="2" t="s">
        <v>10040</v>
      </c>
      <c r="E157" s="15">
        <v>-0.121721934341389</v>
      </c>
      <c r="F157" s="15">
        <v>0.88440739256286605</v>
      </c>
      <c r="G157" s="15">
        <v>-8.8066764806436201E-2</v>
      </c>
      <c r="H157" s="15">
        <v>8.01842979835755E-2</v>
      </c>
    </row>
    <row r="158" spans="1:8" x14ac:dyDescent="0.2">
      <c r="A158" s="2" t="s">
        <v>9345</v>
      </c>
      <c r="B158" s="2" t="s">
        <v>7007</v>
      </c>
      <c r="C158" s="2" t="s">
        <v>9346</v>
      </c>
      <c r="D158" s="2" t="s">
        <v>10055</v>
      </c>
      <c r="E158" s="15">
        <v>-4.7594488685087297E-2</v>
      </c>
      <c r="F158" s="15">
        <v>0.89858670619118297</v>
      </c>
      <c r="G158" s="15">
        <v>-0.18133568707627301</v>
      </c>
      <c r="H158" s="15">
        <v>9.9375977722005598E-2</v>
      </c>
    </row>
    <row r="159" spans="1:8" x14ac:dyDescent="0.2">
      <c r="A159" s="2" t="s">
        <v>2090</v>
      </c>
      <c r="B159" s="2" t="s">
        <v>2091</v>
      </c>
      <c r="C159" s="2" t="s">
        <v>2092</v>
      </c>
      <c r="D159" s="2" t="s">
        <v>10041</v>
      </c>
      <c r="E159" s="15">
        <v>2.8002469221667999E-2</v>
      </c>
      <c r="F159" s="15">
        <v>0.90054205627386097</v>
      </c>
      <c r="G159" s="15">
        <v>-9.7392372483599998E-2</v>
      </c>
      <c r="H159" s="15">
        <v>5.2291441120384197E-2</v>
      </c>
    </row>
    <row r="160" spans="1:8" x14ac:dyDescent="0.2">
      <c r="A160" s="2" t="s">
        <v>1922</v>
      </c>
      <c r="B160" s="2" t="s">
        <v>1923</v>
      </c>
      <c r="C160" s="2" t="s">
        <v>1924</v>
      </c>
      <c r="D160" s="2" t="s">
        <v>10040</v>
      </c>
      <c r="E160" s="15">
        <v>8.3206766734400806E-2</v>
      </c>
      <c r="F160" s="15">
        <v>0.90325607511877704</v>
      </c>
      <c r="G160" s="15">
        <v>-8.9465221863182495E-2</v>
      </c>
      <c r="H160" s="15">
        <v>5.0928850476831003E-2</v>
      </c>
    </row>
    <row r="161" spans="1:8" x14ac:dyDescent="0.2">
      <c r="A161" s="2" t="s">
        <v>3818</v>
      </c>
      <c r="B161" s="2" t="s">
        <v>3819</v>
      </c>
      <c r="C161" s="2" t="s">
        <v>3820</v>
      </c>
      <c r="D161" s="2" t="s">
        <v>10042</v>
      </c>
      <c r="E161" s="15">
        <v>-1.9099016704843801E-2</v>
      </c>
      <c r="F161" s="15">
        <v>0.90437676599747496</v>
      </c>
      <c r="G161" s="15">
        <v>0.12890925421399099</v>
      </c>
      <c r="H161" s="15">
        <v>6.4450160145292701E-2</v>
      </c>
    </row>
    <row r="162" spans="1:8" x14ac:dyDescent="0.2">
      <c r="A162" s="2" t="s">
        <v>4664</v>
      </c>
      <c r="B162" s="2" t="s">
        <v>4665</v>
      </c>
      <c r="C162" s="2" t="s">
        <v>4666</v>
      </c>
      <c r="D162" s="2" t="s">
        <v>10048</v>
      </c>
      <c r="E162" s="15">
        <v>-4.6907926915099402E-2</v>
      </c>
      <c r="F162" s="15">
        <v>0.91499934724265697</v>
      </c>
      <c r="G162" s="15">
        <v>0.122863147370196</v>
      </c>
      <c r="H162" s="15">
        <v>6.4231564390265602E-2</v>
      </c>
    </row>
    <row r="163" spans="1:8" x14ac:dyDescent="0.2">
      <c r="A163" s="2" t="s">
        <v>9035</v>
      </c>
      <c r="B163" s="2" t="s">
        <v>7007</v>
      </c>
      <c r="C163" s="2" t="s">
        <v>9036</v>
      </c>
      <c r="D163" s="2" t="s">
        <v>10055</v>
      </c>
      <c r="E163" s="15">
        <v>-0.19238759443723</v>
      </c>
      <c r="F163" s="15">
        <v>0.91634329260800296</v>
      </c>
      <c r="G163" s="15">
        <v>-0.18291454171243801</v>
      </c>
      <c r="H163" s="15">
        <v>7.5014539609375694E-2</v>
      </c>
    </row>
    <row r="164" spans="1:8" x14ac:dyDescent="0.2">
      <c r="A164" s="2" t="s">
        <v>6083</v>
      </c>
      <c r="B164" s="2" t="s">
        <v>6084</v>
      </c>
      <c r="C164" s="2" t="s">
        <v>6085</v>
      </c>
      <c r="D164" s="2" t="s">
        <v>10051</v>
      </c>
      <c r="E164" s="15">
        <v>-9.6229928136954204E-2</v>
      </c>
      <c r="F164" s="15">
        <v>0.92467188088001795</v>
      </c>
      <c r="G164" s="15">
        <v>-0.142240296138436</v>
      </c>
      <c r="H164" s="15">
        <v>5.84028778750229E-2</v>
      </c>
    </row>
    <row r="165" spans="1:8" x14ac:dyDescent="0.2">
      <c r="A165" s="2" t="s">
        <v>4523</v>
      </c>
      <c r="B165" s="2" t="s">
        <v>4524</v>
      </c>
      <c r="C165" s="2" t="s">
        <v>4525</v>
      </c>
      <c r="D165" s="2" t="s">
        <v>10047</v>
      </c>
      <c r="E165" s="15">
        <v>2.92091505282615E-2</v>
      </c>
      <c r="F165" s="15">
        <v>0.92802705434367105</v>
      </c>
      <c r="G165" s="15">
        <v>0.13805345276231001</v>
      </c>
      <c r="H165" s="15">
        <v>6.3837778071800397E-2</v>
      </c>
    </row>
    <row r="166" spans="1:8" x14ac:dyDescent="0.2">
      <c r="A166" s="2" t="s">
        <v>2927</v>
      </c>
      <c r="B166" s="2" t="s">
        <v>2928</v>
      </c>
      <c r="C166" s="2" t="s">
        <v>2929</v>
      </c>
      <c r="D166" s="2" t="s">
        <v>10041</v>
      </c>
      <c r="E166" s="15">
        <v>-0.117652067626037</v>
      </c>
      <c r="F166" s="15">
        <v>0.93515281125708605</v>
      </c>
      <c r="G166" s="15">
        <v>-0.101554285215989</v>
      </c>
      <c r="H166" s="15">
        <v>5.5827999846363899E-2</v>
      </c>
    </row>
    <row r="167" spans="1:8" x14ac:dyDescent="0.2">
      <c r="A167" s="2" t="s">
        <v>5150</v>
      </c>
      <c r="B167" s="2" t="s">
        <v>5151</v>
      </c>
      <c r="C167" s="2" t="s">
        <v>5152</v>
      </c>
      <c r="D167" s="2" t="s">
        <v>10049</v>
      </c>
      <c r="E167" s="15">
        <v>3.1275577069925002E-2</v>
      </c>
      <c r="F167" s="15">
        <v>0.93829827420994905</v>
      </c>
      <c r="G167" s="15">
        <v>-0.14260119502360299</v>
      </c>
      <c r="H167" s="15">
        <v>4.4599923775329203E-2</v>
      </c>
    </row>
    <row r="168" spans="1:8" x14ac:dyDescent="0.2">
      <c r="A168" s="2" t="s">
        <v>2423</v>
      </c>
      <c r="B168" s="2" t="s">
        <v>2424</v>
      </c>
      <c r="C168" s="2" t="s">
        <v>2425</v>
      </c>
      <c r="D168" s="2" t="s">
        <v>10041</v>
      </c>
      <c r="E168" s="15">
        <v>-4.1478827286191698E-2</v>
      </c>
      <c r="F168" s="15">
        <v>0.96054064869896205</v>
      </c>
      <c r="G168" s="15">
        <v>-0.102203035615771</v>
      </c>
      <c r="H168" s="15">
        <v>5.3461978807265602E-2</v>
      </c>
    </row>
    <row r="169" spans="1:8" x14ac:dyDescent="0.2">
      <c r="A169" s="2" t="s">
        <v>2582</v>
      </c>
      <c r="B169" s="2" t="s">
        <v>2583</v>
      </c>
      <c r="C169" s="2" t="s">
        <v>2584</v>
      </c>
      <c r="D169" s="2" t="s">
        <v>10041</v>
      </c>
      <c r="E169" s="15">
        <v>6.6356027956416194E-2</v>
      </c>
      <c r="F169" s="15">
        <v>0.97215796196071802</v>
      </c>
      <c r="G169" s="15">
        <v>-0.10409567595752001</v>
      </c>
      <c r="H169" s="15">
        <v>5.1663115125230703E-2</v>
      </c>
    </row>
    <row r="170" spans="1:8" x14ac:dyDescent="0.2">
      <c r="A170" s="2" t="s">
        <v>2828</v>
      </c>
      <c r="B170" s="2" t="s">
        <v>2829</v>
      </c>
      <c r="C170" s="2" t="s">
        <v>2830</v>
      </c>
      <c r="D170" s="2" t="s">
        <v>10041</v>
      </c>
      <c r="E170" s="15">
        <v>-0.175456327100069</v>
      </c>
      <c r="F170" s="15">
        <v>0.97747117690628804</v>
      </c>
      <c r="G170" s="15">
        <v>-0.122965799964733</v>
      </c>
      <c r="H170" s="15">
        <v>6.6227096622458098E-2</v>
      </c>
    </row>
    <row r="171" spans="1:8" x14ac:dyDescent="0.2">
      <c r="A171" s="2" t="s">
        <v>2312</v>
      </c>
      <c r="B171" s="2" t="s">
        <v>2313</v>
      </c>
      <c r="C171" s="2" t="s">
        <v>2314</v>
      </c>
      <c r="D171" s="2" t="s">
        <v>10041</v>
      </c>
      <c r="E171" s="15">
        <v>-4.5938089865331898E-2</v>
      </c>
      <c r="F171" s="15">
        <v>0.98454489240234899</v>
      </c>
      <c r="G171" s="15">
        <v>-6.56768778373924E-2</v>
      </c>
      <c r="H171" s="15">
        <v>5.6543902663396199E-2</v>
      </c>
    </row>
    <row r="172" spans="1:8" x14ac:dyDescent="0.2">
      <c r="A172" s="2" t="s">
        <v>2111</v>
      </c>
      <c r="B172" s="2" t="s">
        <v>2112</v>
      </c>
      <c r="C172" s="2" t="s">
        <v>2113</v>
      </c>
      <c r="D172" s="2" t="s">
        <v>10041</v>
      </c>
      <c r="E172" s="15">
        <v>4.8351473772525098E-2</v>
      </c>
      <c r="F172" s="15">
        <v>0.98843684821826605</v>
      </c>
      <c r="G172" s="15">
        <v>-9.1075140233622801E-2</v>
      </c>
      <c r="H172" s="15">
        <v>5.0873684726929297E-2</v>
      </c>
    </row>
    <row r="173" spans="1:8" x14ac:dyDescent="0.2">
      <c r="A173" s="2" t="s">
        <v>3038</v>
      </c>
      <c r="B173" s="2" t="s">
        <v>3039</v>
      </c>
      <c r="C173" s="2" t="s">
        <v>3040</v>
      </c>
      <c r="D173" s="2" t="s">
        <v>10041</v>
      </c>
      <c r="E173" s="15">
        <v>0.108189473727321</v>
      </c>
      <c r="F173" s="15">
        <v>0.995249184878785</v>
      </c>
      <c r="G173" s="15">
        <v>-0.142625844180988</v>
      </c>
      <c r="H173" s="15">
        <v>4.7852399969564301E-2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D48E-382B-477C-9544-68E08D9D51B2}">
  <dimension ref="A1:H122"/>
  <sheetViews>
    <sheetView workbookViewId="0"/>
  </sheetViews>
  <sheetFormatPr defaultColWidth="9" defaultRowHeight="14.25" x14ac:dyDescent="0.2"/>
  <cols>
    <col min="1" max="1" width="11.28515625" style="2" customWidth="1"/>
    <col min="2" max="2" width="8.42578125" style="2" bestFit="1" customWidth="1"/>
    <col min="3" max="3" width="54.140625" style="2" bestFit="1" customWidth="1"/>
    <col min="4" max="4" width="26.5703125" style="2" bestFit="1" customWidth="1"/>
    <col min="5" max="5" width="14.42578125" style="15" bestFit="1" customWidth="1"/>
    <col min="6" max="6" width="21.85546875" style="15" bestFit="1" customWidth="1"/>
    <col min="7" max="7" width="14.42578125" style="15" bestFit="1" customWidth="1"/>
    <col min="8" max="8" width="13.7109375" style="15" bestFit="1" customWidth="1"/>
    <col min="9" max="16384" width="9" style="5"/>
  </cols>
  <sheetData>
    <row r="1" spans="1:8" s="8" customFormat="1" x14ac:dyDescent="0.2">
      <c r="A1" s="1" t="s">
        <v>12332</v>
      </c>
    </row>
    <row r="2" spans="1:8" s="8" customFormat="1" ht="16.5" x14ac:dyDescent="0.3">
      <c r="A2" s="10" t="s">
        <v>10038</v>
      </c>
      <c r="B2" s="10" t="s">
        <v>0</v>
      </c>
      <c r="C2" s="10" t="s">
        <v>1</v>
      </c>
      <c r="D2" s="10" t="s">
        <v>10039</v>
      </c>
      <c r="E2" s="10" t="s">
        <v>10059</v>
      </c>
      <c r="F2" s="10" t="s">
        <v>10060</v>
      </c>
      <c r="G2" s="10" t="s">
        <v>12313</v>
      </c>
      <c r="H2" s="10" t="s">
        <v>12314</v>
      </c>
    </row>
    <row r="3" spans="1:8" x14ac:dyDescent="0.2">
      <c r="A3" s="2" t="s">
        <v>4607</v>
      </c>
      <c r="B3" s="2" t="s">
        <v>4608</v>
      </c>
      <c r="C3" s="2" t="s">
        <v>4609</v>
      </c>
      <c r="D3" s="2" t="s">
        <v>10048</v>
      </c>
      <c r="E3" s="15">
        <v>-0.132941823166915</v>
      </c>
      <c r="F3" s="15">
        <v>6.4420127867673699E-40</v>
      </c>
      <c r="G3" s="15">
        <v>0.10024472435406</v>
      </c>
      <c r="H3" s="15">
        <v>8.9257012513797807E-2</v>
      </c>
    </row>
    <row r="4" spans="1:8" x14ac:dyDescent="0.2">
      <c r="A4" s="2" t="s">
        <v>794</v>
      </c>
      <c r="B4" s="2" t="s">
        <v>795</v>
      </c>
      <c r="C4" s="2" t="s">
        <v>796</v>
      </c>
      <c r="D4" s="2" t="s">
        <v>10040</v>
      </c>
      <c r="E4" s="15">
        <v>-0.22554478605415201</v>
      </c>
      <c r="F4" s="15">
        <v>1.1709377792985E-23</v>
      </c>
      <c r="G4" s="15">
        <v>0.112642201788024</v>
      </c>
      <c r="H4" s="15">
        <v>8.1917462213351597E-2</v>
      </c>
    </row>
    <row r="5" spans="1:8" x14ac:dyDescent="0.2">
      <c r="A5" s="2" t="s">
        <v>746</v>
      </c>
      <c r="B5" s="2" t="s">
        <v>747</v>
      </c>
      <c r="C5" s="2" t="s">
        <v>748</v>
      </c>
      <c r="D5" s="2" t="s">
        <v>10040</v>
      </c>
      <c r="E5" s="15">
        <v>-0.27394551288028901</v>
      </c>
      <c r="F5" s="15">
        <v>4.2343627026613202E-23</v>
      </c>
      <c r="G5" s="15">
        <v>0.21721712621793099</v>
      </c>
      <c r="H5" s="15">
        <v>0.10532999341586401</v>
      </c>
    </row>
    <row r="6" spans="1:8" x14ac:dyDescent="0.2">
      <c r="A6" s="2" t="s">
        <v>767</v>
      </c>
      <c r="B6" s="2" t="s">
        <v>768</v>
      </c>
      <c r="C6" s="2" t="s">
        <v>769</v>
      </c>
      <c r="D6" s="2" t="s">
        <v>10040</v>
      </c>
      <c r="E6" s="15">
        <v>2.2952984126910901E-2</v>
      </c>
      <c r="F6" s="15">
        <v>1.7269267631526699E-21</v>
      </c>
      <c r="G6" s="15">
        <v>0.14770365315482201</v>
      </c>
      <c r="H6" s="15">
        <v>7.20624139896896E-2</v>
      </c>
    </row>
    <row r="7" spans="1:8" x14ac:dyDescent="0.2">
      <c r="A7" s="2" t="s">
        <v>3557</v>
      </c>
      <c r="B7" s="2" t="s">
        <v>3558</v>
      </c>
      <c r="C7" s="2" t="s">
        <v>3559</v>
      </c>
      <c r="D7" s="2" t="s">
        <v>10042</v>
      </c>
      <c r="E7" s="15">
        <v>0.47388677299120002</v>
      </c>
      <c r="F7" s="15">
        <v>2.05783886281148E-16</v>
      </c>
      <c r="G7" s="15">
        <v>0.21432712913231</v>
      </c>
      <c r="H7" s="15">
        <v>9.02580231218989E-2</v>
      </c>
    </row>
    <row r="8" spans="1:8" x14ac:dyDescent="0.2">
      <c r="A8" s="2" t="s">
        <v>599</v>
      </c>
      <c r="B8" s="2" t="s">
        <v>600</v>
      </c>
      <c r="C8" s="2" t="s">
        <v>601</v>
      </c>
      <c r="D8" s="2" t="s">
        <v>10040</v>
      </c>
      <c r="E8" s="15">
        <v>-1.8052763405607901E-2</v>
      </c>
      <c r="F8" s="15">
        <v>1.14617365782203E-15</v>
      </c>
      <c r="G8" s="15">
        <v>0.10801381175549001</v>
      </c>
      <c r="H8" s="15">
        <v>7.5297720864326706E-2</v>
      </c>
    </row>
    <row r="9" spans="1:8" x14ac:dyDescent="0.2">
      <c r="A9" s="2" t="s">
        <v>791</v>
      </c>
      <c r="B9" s="2" t="s">
        <v>792</v>
      </c>
      <c r="C9" s="2" t="s">
        <v>793</v>
      </c>
      <c r="D9" s="2" t="s">
        <v>10040</v>
      </c>
      <c r="E9" s="15">
        <v>0.17353051871780301</v>
      </c>
      <c r="F9" s="15">
        <v>2.3691388198413401E-12</v>
      </c>
      <c r="G9" s="15">
        <v>0.125381515200957</v>
      </c>
      <c r="H9" s="15">
        <v>8.9285866637926495E-2</v>
      </c>
    </row>
    <row r="10" spans="1:8" x14ac:dyDescent="0.2">
      <c r="A10" s="2" t="s">
        <v>6565</v>
      </c>
      <c r="B10" s="2" t="s">
        <v>6475</v>
      </c>
      <c r="C10" s="2" t="s">
        <v>6566</v>
      </c>
      <c r="D10" s="2" t="s">
        <v>10054</v>
      </c>
      <c r="E10" s="15">
        <v>0.52571172732789195</v>
      </c>
      <c r="F10" s="15">
        <v>2.82661893971268E-12</v>
      </c>
      <c r="G10" s="15">
        <v>0.236625411422272</v>
      </c>
      <c r="H10" s="15">
        <v>0.108398265896703</v>
      </c>
    </row>
    <row r="11" spans="1:8" x14ac:dyDescent="0.2">
      <c r="A11" s="2" t="s">
        <v>1625</v>
      </c>
      <c r="B11" s="2" t="s">
        <v>1626</v>
      </c>
      <c r="C11" s="2" t="s">
        <v>1627</v>
      </c>
      <c r="D11" s="2" t="s">
        <v>10040</v>
      </c>
      <c r="E11" s="15">
        <v>0.96006438484146295</v>
      </c>
      <c r="F11" s="15">
        <v>4.1761668901552899E-11</v>
      </c>
      <c r="G11" s="15">
        <v>0.287346069957436</v>
      </c>
      <c r="H11" s="15">
        <v>0.105589243102568</v>
      </c>
    </row>
    <row r="12" spans="1:8" x14ac:dyDescent="0.2">
      <c r="A12" s="2" t="s">
        <v>3092</v>
      </c>
      <c r="B12" s="2" t="s">
        <v>3093</v>
      </c>
      <c r="C12" s="2" t="s">
        <v>3094</v>
      </c>
      <c r="D12" s="2" t="s">
        <v>10042</v>
      </c>
      <c r="E12" s="15">
        <v>0.78778642999636905</v>
      </c>
      <c r="F12" s="15">
        <v>3.3309204119749601E-10</v>
      </c>
      <c r="G12" s="15">
        <v>0.25275323700653901</v>
      </c>
      <c r="H12" s="15">
        <v>0.10151047131313699</v>
      </c>
    </row>
    <row r="13" spans="1:8" x14ac:dyDescent="0.2">
      <c r="A13" s="2" t="s">
        <v>1568</v>
      </c>
      <c r="B13" s="2" t="s">
        <v>1569</v>
      </c>
      <c r="C13" s="2" t="s">
        <v>1570</v>
      </c>
      <c r="D13" s="2" t="s">
        <v>10040</v>
      </c>
      <c r="E13" s="15">
        <v>0.16463183579698601</v>
      </c>
      <c r="F13" s="15">
        <v>6.2179019428678298E-10</v>
      </c>
      <c r="G13" s="15">
        <v>0.16551735480958299</v>
      </c>
      <c r="H13" s="15">
        <v>8.9329569645500304E-2</v>
      </c>
    </row>
    <row r="14" spans="1:8" x14ac:dyDescent="0.2">
      <c r="A14" s="2" t="s">
        <v>2510</v>
      </c>
      <c r="B14" s="2" t="s">
        <v>2511</v>
      </c>
      <c r="C14" s="2" t="s">
        <v>2512</v>
      </c>
      <c r="D14" s="2" t="s">
        <v>10041</v>
      </c>
      <c r="E14" s="15">
        <v>0.87882494717641801</v>
      </c>
      <c r="F14" s="15">
        <v>7.1849603049917201E-10</v>
      </c>
      <c r="G14" s="15">
        <v>-0.19279657680593501</v>
      </c>
      <c r="H14" s="15">
        <v>7.8130702571090893E-2</v>
      </c>
    </row>
    <row r="15" spans="1:8" x14ac:dyDescent="0.2">
      <c r="A15" s="2" t="s">
        <v>3374</v>
      </c>
      <c r="B15" s="2" t="s">
        <v>3375</v>
      </c>
      <c r="C15" s="2" t="s">
        <v>3376</v>
      </c>
      <c r="D15" s="2" t="s">
        <v>10042</v>
      </c>
      <c r="E15" s="15">
        <v>0.74714375541571498</v>
      </c>
      <c r="F15" s="15">
        <v>8.8083116555775203E-10</v>
      </c>
      <c r="G15" s="15">
        <v>0.247596988890495</v>
      </c>
      <c r="H15" s="15">
        <v>0.101313428959941</v>
      </c>
    </row>
    <row r="16" spans="1:8" x14ac:dyDescent="0.2">
      <c r="A16" s="2" t="s">
        <v>1259</v>
      </c>
      <c r="B16" s="2" t="s">
        <v>1260</v>
      </c>
      <c r="C16" s="2" t="s">
        <v>1261</v>
      </c>
      <c r="D16" s="2" t="s">
        <v>10040</v>
      </c>
      <c r="E16" s="15">
        <v>0.64402601372675194</v>
      </c>
      <c r="F16" s="15">
        <v>1.09394698907627E-9</v>
      </c>
      <c r="G16" s="15">
        <v>0.25541626304343101</v>
      </c>
      <c r="H16" s="15">
        <v>8.2576045233801895E-2</v>
      </c>
    </row>
    <row r="17" spans="1:8" x14ac:dyDescent="0.2">
      <c r="A17" s="2" t="s">
        <v>749</v>
      </c>
      <c r="B17" s="2" t="s">
        <v>750</v>
      </c>
      <c r="C17" s="2" t="s">
        <v>751</v>
      </c>
      <c r="D17" s="2" t="s">
        <v>10040</v>
      </c>
      <c r="E17" s="15">
        <v>0.48693777343490502</v>
      </c>
      <c r="F17" s="15">
        <v>2.0319651207169701E-9</v>
      </c>
      <c r="G17" s="15">
        <v>0.118919338455392</v>
      </c>
      <c r="H17" s="15">
        <v>8.7548844091368705E-2</v>
      </c>
    </row>
    <row r="18" spans="1:8" x14ac:dyDescent="0.2">
      <c r="A18" s="2" t="s">
        <v>2030</v>
      </c>
      <c r="B18" s="2" t="s">
        <v>2031</v>
      </c>
      <c r="C18" s="2" t="s">
        <v>2032</v>
      </c>
      <c r="D18" s="2" t="s">
        <v>10041</v>
      </c>
      <c r="E18" s="15">
        <v>0.81590694441859501</v>
      </c>
      <c r="F18" s="15">
        <v>2.3375389316260699E-8</v>
      </c>
      <c r="G18" s="15">
        <v>-0.18849205526364399</v>
      </c>
      <c r="H18" s="15">
        <v>7.6889869461036195E-2</v>
      </c>
    </row>
    <row r="19" spans="1:8" x14ac:dyDescent="0.2">
      <c r="A19" s="2" t="s">
        <v>494</v>
      </c>
      <c r="B19" s="2" t="s">
        <v>495</v>
      </c>
      <c r="C19" s="2" t="s">
        <v>496</v>
      </c>
      <c r="D19" s="2" t="s">
        <v>10040</v>
      </c>
      <c r="E19" s="15">
        <v>0.81531331916129601</v>
      </c>
      <c r="F19" s="15">
        <v>1.2030748419967301E-7</v>
      </c>
      <c r="G19" s="15">
        <v>-0.195687689779522</v>
      </c>
      <c r="H19" s="15">
        <v>7.6530694750822803E-2</v>
      </c>
    </row>
    <row r="20" spans="1:8" x14ac:dyDescent="0.2">
      <c r="A20" s="2" t="s">
        <v>3764</v>
      </c>
      <c r="B20" s="2" t="s">
        <v>3765</v>
      </c>
      <c r="C20" s="2" t="s">
        <v>3766</v>
      </c>
      <c r="D20" s="2" t="s">
        <v>10042</v>
      </c>
      <c r="E20" s="15">
        <v>0.39446393686528702</v>
      </c>
      <c r="F20" s="15">
        <v>1.94459853179469E-6</v>
      </c>
      <c r="G20" s="15">
        <v>0.17699135313570799</v>
      </c>
      <c r="H20" s="15">
        <v>8.54168143547617E-2</v>
      </c>
    </row>
    <row r="21" spans="1:8" x14ac:dyDescent="0.2">
      <c r="A21" s="2" t="s">
        <v>3338</v>
      </c>
      <c r="B21" s="2" t="s">
        <v>3339</v>
      </c>
      <c r="C21" s="2" t="s">
        <v>3340</v>
      </c>
      <c r="D21" s="2" t="s">
        <v>10042</v>
      </c>
      <c r="E21" s="15">
        <v>0.44599509210035199</v>
      </c>
      <c r="F21" s="15">
        <v>4.5389329538669597E-6</v>
      </c>
      <c r="G21" s="15">
        <v>0.16971404312705399</v>
      </c>
      <c r="H21" s="15">
        <v>8.4300459660222399E-2</v>
      </c>
    </row>
    <row r="22" spans="1:8" x14ac:dyDescent="0.2">
      <c r="A22" s="2" t="s">
        <v>602</v>
      </c>
      <c r="B22" s="2" t="s">
        <v>603</v>
      </c>
      <c r="C22" s="2" t="s">
        <v>604</v>
      </c>
      <c r="D22" s="2" t="s">
        <v>10040</v>
      </c>
      <c r="E22" s="15">
        <v>0.64968470240482801</v>
      </c>
      <c r="F22" s="15">
        <v>2.2690340081600401E-5</v>
      </c>
      <c r="G22" s="15">
        <v>0.15593198191405899</v>
      </c>
      <c r="H22" s="15">
        <v>8.3358609222852598E-2</v>
      </c>
    </row>
    <row r="23" spans="1:8" x14ac:dyDescent="0.2">
      <c r="A23" s="2" t="s">
        <v>3071</v>
      </c>
      <c r="B23" s="2" t="s">
        <v>3072</v>
      </c>
      <c r="C23" s="2" t="s">
        <v>3073</v>
      </c>
      <c r="D23" s="2" t="s">
        <v>10042</v>
      </c>
      <c r="E23" s="15">
        <v>0.55225806585262904</v>
      </c>
      <c r="F23" s="15">
        <v>2.5070605546385E-5</v>
      </c>
      <c r="G23" s="15">
        <v>0.24052720426624999</v>
      </c>
      <c r="H23" s="15">
        <v>9.8570937792814006E-2</v>
      </c>
    </row>
    <row r="24" spans="1:8" x14ac:dyDescent="0.2">
      <c r="A24" s="2" t="s">
        <v>3695</v>
      </c>
      <c r="B24" s="2" t="s">
        <v>3696</v>
      </c>
      <c r="C24" s="2" t="s">
        <v>3697</v>
      </c>
      <c r="D24" s="2" t="s">
        <v>10042</v>
      </c>
      <c r="E24" s="15">
        <v>0.37935608697486201</v>
      </c>
      <c r="F24" s="15">
        <v>2.68773733774062E-5</v>
      </c>
      <c r="G24" s="15">
        <v>0.27791243519756897</v>
      </c>
      <c r="H24" s="15">
        <v>0.10577075229560599</v>
      </c>
    </row>
    <row r="25" spans="1:8" x14ac:dyDescent="0.2">
      <c r="A25" s="2" t="s">
        <v>2090</v>
      </c>
      <c r="B25" s="2" t="s">
        <v>2091</v>
      </c>
      <c r="C25" s="2" t="s">
        <v>2092</v>
      </c>
      <c r="D25" s="2" t="s">
        <v>10041</v>
      </c>
      <c r="E25" s="15">
        <v>0.518112940573632</v>
      </c>
      <c r="F25" s="15">
        <v>8.6732542586842503E-5</v>
      </c>
      <c r="G25" s="15">
        <v>-0.18307683321618801</v>
      </c>
      <c r="H25" s="15">
        <v>8.3013962720712403E-2</v>
      </c>
    </row>
    <row r="26" spans="1:8" x14ac:dyDescent="0.2">
      <c r="A26" s="2" t="s">
        <v>3173</v>
      </c>
      <c r="B26" s="2" t="s">
        <v>3174</v>
      </c>
      <c r="C26" s="2" t="s">
        <v>3175</v>
      </c>
      <c r="D26" s="2" t="s">
        <v>10042</v>
      </c>
      <c r="E26" s="15">
        <v>-0.20049507770389699</v>
      </c>
      <c r="F26" s="15">
        <v>1.58877393843209E-4</v>
      </c>
      <c r="G26" s="15">
        <v>0.20380823617069699</v>
      </c>
      <c r="H26" s="15">
        <v>9.1123175903043696E-2</v>
      </c>
    </row>
    <row r="27" spans="1:8" x14ac:dyDescent="0.2">
      <c r="A27" s="2" t="s">
        <v>1091</v>
      </c>
      <c r="B27" s="2" t="s">
        <v>1092</v>
      </c>
      <c r="C27" s="2" t="s">
        <v>1093</v>
      </c>
      <c r="D27" s="2" t="s">
        <v>10040</v>
      </c>
      <c r="E27" s="15">
        <v>0.64853982587209702</v>
      </c>
      <c r="F27" s="15">
        <v>1.8686571506182099E-4</v>
      </c>
      <c r="G27" s="15">
        <v>0.20240489722024099</v>
      </c>
      <c r="H27" s="15">
        <v>7.2954846726790007E-2</v>
      </c>
    </row>
    <row r="28" spans="1:8" x14ac:dyDescent="0.2">
      <c r="A28" s="2" t="s">
        <v>1370</v>
      </c>
      <c r="B28" s="2" t="s">
        <v>1371</v>
      </c>
      <c r="C28" s="2" t="s">
        <v>1372</v>
      </c>
      <c r="D28" s="2" t="s">
        <v>10040</v>
      </c>
      <c r="E28" s="15">
        <v>0.63394325519126205</v>
      </c>
      <c r="F28" s="15">
        <v>2.3511395691919499E-4</v>
      </c>
      <c r="G28" s="15">
        <v>0.18845399363148499</v>
      </c>
      <c r="H28" s="15">
        <v>7.1600219601291495E-2</v>
      </c>
    </row>
    <row r="29" spans="1:8" x14ac:dyDescent="0.2">
      <c r="A29" s="2" t="s">
        <v>488</v>
      </c>
      <c r="B29" s="2" t="s">
        <v>489</v>
      </c>
      <c r="C29" s="2" t="s">
        <v>490</v>
      </c>
      <c r="D29" s="2" t="s">
        <v>10040</v>
      </c>
      <c r="E29" s="15">
        <v>0.64497446257753799</v>
      </c>
      <c r="F29" s="15">
        <v>4.1108058459232602E-4</v>
      </c>
      <c r="G29" s="15">
        <v>-0.24328569701317301</v>
      </c>
      <c r="H29" s="15">
        <v>8.8170701762432399E-2</v>
      </c>
    </row>
    <row r="30" spans="1:8" x14ac:dyDescent="0.2">
      <c r="A30" s="2" t="s">
        <v>314</v>
      </c>
      <c r="B30" s="2" t="s">
        <v>315</v>
      </c>
      <c r="C30" s="2" t="s">
        <v>316</v>
      </c>
      <c r="D30" s="2" t="s">
        <v>10040</v>
      </c>
      <c r="E30" s="15">
        <v>0.110129681697113</v>
      </c>
      <c r="F30" s="15">
        <v>5.6349514884230004E-4</v>
      </c>
      <c r="G30" s="15">
        <v>0.22400672651717399</v>
      </c>
      <c r="H30" s="15">
        <v>8.9506084159593893E-2</v>
      </c>
    </row>
    <row r="31" spans="1:8" x14ac:dyDescent="0.2">
      <c r="A31" s="2" t="s">
        <v>3446</v>
      </c>
      <c r="B31" s="2" t="s">
        <v>3447</v>
      </c>
      <c r="C31" s="2" t="s">
        <v>3448</v>
      </c>
      <c r="D31" s="2" t="s">
        <v>10042</v>
      </c>
      <c r="E31" s="15">
        <v>-0.20540556770996601</v>
      </c>
      <c r="F31" s="15">
        <v>7.0212190813740696E-4</v>
      </c>
      <c r="G31" s="15">
        <v>0.221869553153028</v>
      </c>
      <c r="H31" s="15">
        <v>9.6251398572211905E-2</v>
      </c>
    </row>
    <row r="32" spans="1:8" x14ac:dyDescent="0.2">
      <c r="A32" s="2" t="s">
        <v>3455</v>
      </c>
      <c r="B32" s="2" t="s">
        <v>3456</v>
      </c>
      <c r="C32" s="2" t="s">
        <v>3457</v>
      </c>
      <c r="D32" s="2" t="s">
        <v>10042</v>
      </c>
      <c r="E32" s="15">
        <v>0.61330619752880799</v>
      </c>
      <c r="F32" s="15">
        <v>7.2664735590690895E-4</v>
      </c>
      <c r="G32" s="15">
        <v>0.14949759704801499</v>
      </c>
      <c r="H32" s="15">
        <v>0.10479875161473801</v>
      </c>
    </row>
    <row r="33" spans="1:8" x14ac:dyDescent="0.2">
      <c r="A33" s="2" t="s">
        <v>2291</v>
      </c>
      <c r="B33" s="2" t="s">
        <v>2292</v>
      </c>
      <c r="C33" s="2" t="s">
        <v>2293</v>
      </c>
      <c r="D33" s="2" t="s">
        <v>10041</v>
      </c>
      <c r="E33" s="15">
        <v>0.63488568523880995</v>
      </c>
      <c r="F33" s="15">
        <v>1.1423306419565901E-3</v>
      </c>
      <c r="G33" s="15">
        <v>-0.162561353210148</v>
      </c>
      <c r="H33" s="15">
        <v>8.2280507520961596E-2</v>
      </c>
    </row>
    <row r="34" spans="1:8" x14ac:dyDescent="0.2">
      <c r="A34" s="2" t="s">
        <v>3635</v>
      </c>
      <c r="B34" s="2" t="s">
        <v>3636</v>
      </c>
      <c r="C34" s="2" t="s">
        <v>3637</v>
      </c>
      <c r="D34" s="2" t="s">
        <v>10042</v>
      </c>
      <c r="E34" s="15">
        <v>0.661317560673086</v>
      </c>
      <c r="F34" s="15">
        <v>1.68675913840144E-3</v>
      </c>
      <c r="G34" s="15">
        <v>0.24827263344341099</v>
      </c>
      <c r="H34" s="15">
        <v>9.9355274401217497E-2</v>
      </c>
    </row>
    <row r="35" spans="1:8" x14ac:dyDescent="0.2">
      <c r="A35" s="2" t="s">
        <v>2561</v>
      </c>
      <c r="B35" s="2" t="s">
        <v>2562</v>
      </c>
      <c r="C35" s="2" t="s">
        <v>2563</v>
      </c>
      <c r="D35" s="2" t="s">
        <v>10041</v>
      </c>
      <c r="E35" s="15">
        <v>0.35828962902598099</v>
      </c>
      <c r="F35" s="15">
        <v>1.01139356057535E-2</v>
      </c>
      <c r="G35" s="15">
        <v>-0.212804361154384</v>
      </c>
      <c r="H35" s="15">
        <v>8.3775066617145996E-2</v>
      </c>
    </row>
    <row r="36" spans="1:8" x14ac:dyDescent="0.2">
      <c r="A36" s="2" t="s">
        <v>3299</v>
      </c>
      <c r="B36" s="2" t="s">
        <v>3300</v>
      </c>
      <c r="C36" s="2" t="s">
        <v>3301</v>
      </c>
      <c r="D36" s="2" t="s">
        <v>10042</v>
      </c>
      <c r="E36" s="15">
        <v>0.49078288022585997</v>
      </c>
      <c r="F36" s="15">
        <v>3.49006179005832E-2</v>
      </c>
      <c r="G36" s="15">
        <v>0.23720796657972201</v>
      </c>
      <c r="H36" s="15">
        <v>0.10601154507447</v>
      </c>
    </row>
    <row r="37" spans="1:8" x14ac:dyDescent="0.2">
      <c r="A37" s="2" t="s">
        <v>2951</v>
      </c>
      <c r="B37" s="2" t="s">
        <v>2952</v>
      </c>
      <c r="C37" s="2" t="s">
        <v>2953</v>
      </c>
      <c r="D37" s="2" t="s">
        <v>10041</v>
      </c>
      <c r="E37" s="15">
        <v>0.352654364410942</v>
      </c>
      <c r="F37" s="15">
        <v>3.6620097338012803E-2</v>
      </c>
      <c r="G37" s="15">
        <v>-0.210298185931767</v>
      </c>
      <c r="H37" s="15">
        <v>8.9985565741140805E-2</v>
      </c>
    </row>
    <row r="38" spans="1:8" x14ac:dyDescent="0.2">
      <c r="A38" s="2" t="s">
        <v>2210</v>
      </c>
      <c r="B38" s="2" t="s">
        <v>2211</v>
      </c>
      <c r="C38" s="2" t="s">
        <v>2212</v>
      </c>
      <c r="D38" s="2" t="s">
        <v>10041</v>
      </c>
      <c r="E38" s="15">
        <v>0.33940963524198497</v>
      </c>
      <c r="F38" s="15">
        <v>4.1739971364960403E-2</v>
      </c>
      <c r="G38" s="15">
        <v>0.12456516791278099</v>
      </c>
      <c r="H38" s="15">
        <v>6.6153631820699305E-2</v>
      </c>
    </row>
    <row r="39" spans="1:8" x14ac:dyDescent="0.2">
      <c r="A39" s="2" t="s">
        <v>3143</v>
      </c>
      <c r="B39" s="2" t="s">
        <v>3144</v>
      </c>
      <c r="C39" s="2" t="s">
        <v>3145</v>
      </c>
      <c r="D39" s="2" t="s">
        <v>10042</v>
      </c>
      <c r="E39" s="15">
        <v>-0.25518101529376902</v>
      </c>
      <c r="F39" s="15">
        <v>7.9032437992482593E-2</v>
      </c>
      <c r="G39" s="15">
        <v>0.29259275554443598</v>
      </c>
      <c r="H39" s="15">
        <v>0.103465266256655</v>
      </c>
    </row>
    <row r="40" spans="1:8" x14ac:dyDescent="0.2">
      <c r="A40" s="2" t="s">
        <v>3389</v>
      </c>
      <c r="B40" s="2" t="s">
        <v>3390</v>
      </c>
      <c r="C40" s="2" t="s">
        <v>3391</v>
      </c>
      <c r="D40" s="2" t="s">
        <v>10042</v>
      </c>
      <c r="E40" s="15">
        <v>0.18907994118624999</v>
      </c>
      <c r="F40" s="15">
        <v>0.102138041686578</v>
      </c>
      <c r="G40" s="15">
        <v>0.15826982779974799</v>
      </c>
      <c r="H40" s="15">
        <v>8.3415385172858195E-2</v>
      </c>
    </row>
    <row r="41" spans="1:8" x14ac:dyDescent="0.2">
      <c r="A41" s="2" t="s">
        <v>6260</v>
      </c>
      <c r="B41" s="2" t="s">
        <v>6261</v>
      </c>
      <c r="C41" s="2" t="s">
        <v>6262</v>
      </c>
      <c r="D41" s="2" t="s">
        <v>10052</v>
      </c>
      <c r="E41" s="15">
        <v>0.33193081699815002</v>
      </c>
      <c r="F41" s="15">
        <v>0.115725865994594</v>
      </c>
      <c r="G41" s="15">
        <v>-0.14772919569357601</v>
      </c>
      <c r="H41" s="15">
        <v>8.1872162513534297E-2</v>
      </c>
    </row>
    <row r="42" spans="1:8" x14ac:dyDescent="0.2">
      <c r="A42" s="2" t="s">
        <v>737</v>
      </c>
      <c r="B42" s="2" t="s">
        <v>738</v>
      </c>
      <c r="C42" s="2" t="s">
        <v>739</v>
      </c>
      <c r="D42" s="2" t="s">
        <v>10040</v>
      </c>
      <c r="E42" s="15">
        <v>0.15048443891380001</v>
      </c>
      <c r="F42" s="15">
        <v>0.128116428057894</v>
      </c>
      <c r="G42" s="15">
        <v>0.13898266403617199</v>
      </c>
      <c r="H42" s="15">
        <v>8.0273393228363701E-2</v>
      </c>
    </row>
    <row r="43" spans="1:8" x14ac:dyDescent="0.2">
      <c r="A43" s="2" t="s">
        <v>5984</v>
      </c>
      <c r="B43" s="2" t="s">
        <v>5985</v>
      </c>
      <c r="C43" s="2" t="s">
        <v>5986</v>
      </c>
      <c r="D43" s="2" t="s">
        <v>10051</v>
      </c>
      <c r="E43" s="15">
        <v>-0.48977150381585399</v>
      </c>
      <c r="F43" s="15">
        <v>0.22091083181888599</v>
      </c>
      <c r="G43" s="15">
        <v>-0.16366973829874201</v>
      </c>
      <c r="H43" s="15">
        <v>8.7208912165761002E-2</v>
      </c>
    </row>
    <row r="44" spans="1:8" x14ac:dyDescent="0.2">
      <c r="A44" s="2" t="s">
        <v>3479</v>
      </c>
      <c r="B44" s="2" t="s">
        <v>3480</v>
      </c>
      <c r="C44" s="2" t="s">
        <v>3481</v>
      </c>
      <c r="D44" s="2" t="s">
        <v>10042</v>
      </c>
      <c r="E44" s="15">
        <v>0.43744200288568702</v>
      </c>
      <c r="F44" s="15">
        <v>0.240474326056936</v>
      </c>
      <c r="G44" s="15">
        <v>0.168300859336876</v>
      </c>
      <c r="H44" s="15">
        <v>9.11716308393659E-2</v>
      </c>
    </row>
    <row r="45" spans="1:8" x14ac:dyDescent="0.2">
      <c r="A45" s="2" t="s">
        <v>5009</v>
      </c>
      <c r="B45" s="2" t="s">
        <v>5010</v>
      </c>
      <c r="C45" s="2" t="s">
        <v>5011</v>
      </c>
      <c r="D45" s="2" t="s">
        <v>10049</v>
      </c>
      <c r="E45" s="15">
        <v>-0.26087382503510198</v>
      </c>
      <c r="F45" s="15">
        <v>0.26188621018966002</v>
      </c>
      <c r="G45" s="15">
        <v>0.15225695100338699</v>
      </c>
      <c r="H45" s="15">
        <v>7.3102689867851095E-2</v>
      </c>
    </row>
    <row r="46" spans="1:8" x14ac:dyDescent="0.2">
      <c r="A46" s="2" t="s">
        <v>2318</v>
      </c>
      <c r="B46" s="2" t="s">
        <v>2319</v>
      </c>
      <c r="C46" s="2" t="s">
        <v>2320</v>
      </c>
      <c r="D46" s="2" t="s">
        <v>10041</v>
      </c>
      <c r="E46" s="15">
        <v>-4.5227734920705399E-2</v>
      </c>
      <c r="F46" s="15">
        <v>0.28851196457127798</v>
      </c>
      <c r="G46" s="15">
        <v>-8.8098545433701797E-2</v>
      </c>
      <c r="H46" s="15">
        <v>7.8641477740677507E-2</v>
      </c>
    </row>
    <row r="47" spans="1:8" x14ac:dyDescent="0.2">
      <c r="A47" s="2" t="s">
        <v>5279</v>
      </c>
      <c r="B47" s="2" t="s">
        <v>5280</v>
      </c>
      <c r="C47" s="2" t="s">
        <v>5281</v>
      </c>
      <c r="D47" s="2" t="s">
        <v>10049</v>
      </c>
      <c r="E47" s="15">
        <v>0.51818140515322797</v>
      </c>
      <c r="F47" s="15">
        <v>0.28896148476796302</v>
      </c>
      <c r="G47" s="15">
        <v>-8.6611309808406797E-2</v>
      </c>
      <c r="H47" s="15">
        <v>7.1721800349748704E-2</v>
      </c>
    </row>
    <row r="48" spans="1:8" x14ac:dyDescent="0.2">
      <c r="A48" s="2" t="s">
        <v>3578</v>
      </c>
      <c r="B48" s="2" t="s">
        <v>3579</v>
      </c>
      <c r="C48" s="2" t="s">
        <v>3580</v>
      </c>
      <c r="D48" s="2" t="s">
        <v>10042</v>
      </c>
      <c r="E48" s="15">
        <v>0.43982036209223702</v>
      </c>
      <c r="F48" s="15">
        <v>0.32196160124975198</v>
      </c>
      <c r="G48" s="15">
        <v>0.25408393429488701</v>
      </c>
      <c r="H48" s="15">
        <v>0.10375563074170201</v>
      </c>
    </row>
    <row r="49" spans="1:8" x14ac:dyDescent="0.2">
      <c r="A49" s="2" t="s">
        <v>1490</v>
      </c>
      <c r="B49" s="2" t="s">
        <v>1491</v>
      </c>
      <c r="C49" s="2" t="s">
        <v>1492</v>
      </c>
      <c r="D49" s="2" t="s">
        <v>10040</v>
      </c>
      <c r="E49" s="15">
        <v>0.28286415448519697</v>
      </c>
      <c r="F49" s="15">
        <v>0.34221295219932002</v>
      </c>
      <c r="G49" s="15">
        <v>0.222850258192615</v>
      </c>
      <c r="H49" s="15">
        <v>7.39524346362012E-2</v>
      </c>
    </row>
    <row r="50" spans="1:8" x14ac:dyDescent="0.2">
      <c r="A50" s="2" t="s">
        <v>5063</v>
      </c>
      <c r="B50" s="2" t="s">
        <v>5064</v>
      </c>
      <c r="C50" s="2" t="s">
        <v>5065</v>
      </c>
      <c r="D50" s="2" t="s">
        <v>10049</v>
      </c>
      <c r="E50" s="15">
        <v>0.35299960758457799</v>
      </c>
      <c r="F50" s="15">
        <v>0.342933447505408</v>
      </c>
      <c r="G50" s="15">
        <v>0.12108634440930301</v>
      </c>
      <c r="H50" s="15">
        <v>6.8635639177041102E-2</v>
      </c>
    </row>
    <row r="51" spans="1:8" x14ac:dyDescent="0.2">
      <c r="A51" s="2" t="s">
        <v>4526</v>
      </c>
      <c r="B51" s="2" t="s">
        <v>4527</v>
      </c>
      <c r="C51" s="2" t="s">
        <v>4528</v>
      </c>
      <c r="D51" s="2" t="s">
        <v>10047</v>
      </c>
      <c r="E51" s="15">
        <v>0.184239060450956</v>
      </c>
      <c r="F51" s="15">
        <v>0.384939490348498</v>
      </c>
      <c r="G51" s="15">
        <v>0.17397662273008599</v>
      </c>
      <c r="H51" s="15">
        <v>9.4667807741493595E-2</v>
      </c>
    </row>
    <row r="52" spans="1:8" x14ac:dyDescent="0.2">
      <c r="A52" s="2" t="s">
        <v>1850</v>
      </c>
      <c r="B52" s="2" t="s">
        <v>1851</v>
      </c>
      <c r="C52" s="2" t="s">
        <v>1852</v>
      </c>
      <c r="D52" s="2" t="s">
        <v>10040</v>
      </c>
      <c r="E52" s="15">
        <v>2.6310623300199999E-2</v>
      </c>
      <c r="F52" s="15">
        <v>0.38591819901455199</v>
      </c>
      <c r="G52" s="15">
        <v>0.19717315072848901</v>
      </c>
      <c r="H52" s="15">
        <v>9.9644816440556006E-2</v>
      </c>
    </row>
    <row r="53" spans="1:8" x14ac:dyDescent="0.2">
      <c r="A53" s="2" t="s">
        <v>1301</v>
      </c>
      <c r="B53" s="2" t="s">
        <v>1302</v>
      </c>
      <c r="C53" s="2" t="s">
        <v>1303</v>
      </c>
      <c r="D53" s="2" t="s">
        <v>10040</v>
      </c>
      <c r="E53" s="15">
        <v>0.41783621669502102</v>
      </c>
      <c r="F53" s="15">
        <v>0.38615250950260899</v>
      </c>
      <c r="G53" s="15">
        <v>0.22477054055842799</v>
      </c>
      <c r="H53" s="15">
        <v>8.0506250922345299E-2</v>
      </c>
    </row>
    <row r="54" spans="1:8" x14ac:dyDescent="0.2">
      <c r="A54" s="2" t="s">
        <v>221</v>
      </c>
      <c r="B54" s="2" t="s">
        <v>222</v>
      </c>
      <c r="C54" s="2" t="s">
        <v>223</v>
      </c>
      <c r="D54" s="2" t="s">
        <v>10040</v>
      </c>
      <c r="E54" s="15">
        <v>0.272499390064882</v>
      </c>
      <c r="F54" s="15">
        <v>0.43526575443269699</v>
      </c>
      <c r="G54" s="15">
        <v>0.13998177659671701</v>
      </c>
      <c r="H54" s="15">
        <v>5.9132482882429303E-2</v>
      </c>
    </row>
    <row r="55" spans="1:8" x14ac:dyDescent="0.2">
      <c r="A55" s="2" t="s">
        <v>2117</v>
      </c>
      <c r="B55" s="2" t="s">
        <v>2118</v>
      </c>
      <c r="C55" s="2" t="s">
        <v>2119</v>
      </c>
      <c r="D55" s="2" t="s">
        <v>10041</v>
      </c>
      <c r="E55" s="15">
        <v>-2.6996015652372401E-2</v>
      </c>
      <c r="F55" s="15">
        <v>0.44260704728752098</v>
      </c>
      <c r="G55" s="15">
        <v>-9.7096877386013705E-2</v>
      </c>
      <c r="H55" s="15">
        <v>8.8949718422822802E-2</v>
      </c>
    </row>
    <row r="56" spans="1:8" x14ac:dyDescent="0.2">
      <c r="A56" s="2" t="s">
        <v>2588</v>
      </c>
      <c r="B56" s="2" t="s">
        <v>2589</v>
      </c>
      <c r="C56" s="2" t="s">
        <v>2590</v>
      </c>
      <c r="D56" s="2" t="s">
        <v>10041</v>
      </c>
      <c r="E56" s="15">
        <v>-3.7445597857880701E-2</v>
      </c>
      <c r="F56" s="15">
        <v>0.452235038561767</v>
      </c>
      <c r="G56" s="15">
        <v>-7.48264635681824E-2</v>
      </c>
      <c r="H56" s="15">
        <v>8.5354968952270099E-2</v>
      </c>
    </row>
    <row r="57" spans="1:8" x14ac:dyDescent="0.2">
      <c r="A57" s="2" t="s">
        <v>4637</v>
      </c>
      <c r="B57" s="2" t="s">
        <v>4638</v>
      </c>
      <c r="C57" s="2" t="s">
        <v>4639</v>
      </c>
      <c r="D57" s="2" t="s">
        <v>10048</v>
      </c>
      <c r="E57" s="15">
        <v>-0.29493157627469901</v>
      </c>
      <c r="F57" s="15">
        <v>0.45998128997326398</v>
      </c>
      <c r="G57" s="15">
        <v>0.14587449374240199</v>
      </c>
      <c r="H57" s="15">
        <v>6.3719798982001905E-2</v>
      </c>
    </row>
    <row r="58" spans="1:8" x14ac:dyDescent="0.2">
      <c r="A58" s="2" t="s">
        <v>1463</v>
      </c>
      <c r="B58" s="2" t="s">
        <v>1464</v>
      </c>
      <c r="C58" s="2" t="s">
        <v>1465</v>
      </c>
      <c r="D58" s="2" t="s">
        <v>10040</v>
      </c>
      <c r="E58" s="15">
        <v>0.26455227826697197</v>
      </c>
      <c r="F58" s="15">
        <v>0.46300561078682401</v>
      </c>
      <c r="G58" s="15">
        <v>0.19100177100896701</v>
      </c>
      <c r="H58" s="15">
        <v>7.4121570850925494E-2</v>
      </c>
    </row>
    <row r="59" spans="1:8" x14ac:dyDescent="0.2">
      <c r="A59" s="2" t="s">
        <v>1190</v>
      </c>
      <c r="B59" s="2" t="s">
        <v>1191</v>
      </c>
      <c r="C59" s="2" t="s">
        <v>1192</v>
      </c>
      <c r="D59" s="2" t="s">
        <v>10040</v>
      </c>
      <c r="E59" s="15">
        <v>0.254336872841606</v>
      </c>
      <c r="F59" s="15">
        <v>0.472116865260512</v>
      </c>
      <c r="G59" s="15">
        <v>0.19643420093396399</v>
      </c>
      <c r="H59" s="15">
        <v>7.3225431092589097E-2</v>
      </c>
    </row>
    <row r="60" spans="1:8" x14ac:dyDescent="0.2">
      <c r="A60" s="2" t="s">
        <v>3515</v>
      </c>
      <c r="B60" s="2" t="s">
        <v>3516</v>
      </c>
      <c r="C60" s="2" t="s">
        <v>3517</v>
      </c>
      <c r="D60" s="2" t="s">
        <v>10042</v>
      </c>
      <c r="E60" s="15">
        <v>0.24715914182504001</v>
      </c>
      <c r="F60" s="15">
        <v>0.47880277267113303</v>
      </c>
      <c r="G60" s="15">
        <v>0.20320246356899799</v>
      </c>
      <c r="H60" s="15">
        <v>0.10861593828864</v>
      </c>
    </row>
    <row r="61" spans="1:8" x14ac:dyDescent="0.2">
      <c r="A61" s="2" t="s">
        <v>974</v>
      </c>
      <c r="B61" s="2" t="s">
        <v>975</v>
      </c>
      <c r="C61" s="2" t="s">
        <v>976</v>
      </c>
      <c r="D61" s="2" t="s">
        <v>10040</v>
      </c>
      <c r="E61" s="15">
        <v>-0.39099876549865498</v>
      </c>
      <c r="F61" s="15">
        <v>0.49719547472000603</v>
      </c>
      <c r="G61" s="15">
        <v>0.14218988112102901</v>
      </c>
      <c r="H61" s="15">
        <v>7.2291393868528606E-2</v>
      </c>
    </row>
    <row r="62" spans="1:8" x14ac:dyDescent="0.2">
      <c r="A62" s="2" t="s">
        <v>3107</v>
      </c>
      <c r="B62" s="2" t="s">
        <v>3108</v>
      </c>
      <c r="C62" s="2" t="s">
        <v>3109</v>
      </c>
      <c r="D62" s="2" t="s">
        <v>10042</v>
      </c>
      <c r="E62" s="15">
        <v>-1.58847201830358E-2</v>
      </c>
      <c r="F62" s="15">
        <v>0.50233382911397095</v>
      </c>
      <c r="G62" s="15">
        <v>0.165421584602992</v>
      </c>
      <c r="H62" s="15">
        <v>8.7370381563838195E-2</v>
      </c>
    </row>
    <row r="63" spans="1:8" x14ac:dyDescent="0.2">
      <c r="A63" s="2" t="s">
        <v>3083</v>
      </c>
      <c r="B63" s="2" t="s">
        <v>3084</v>
      </c>
      <c r="C63" s="2" t="s">
        <v>3085</v>
      </c>
      <c r="D63" s="2" t="s">
        <v>10042</v>
      </c>
      <c r="E63" s="15">
        <v>0.422136213783317</v>
      </c>
      <c r="F63" s="15">
        <v>0.50572981971597697</v>
      </c>
      <c r="G63" s="15">
        <v>0.28382749849942102</v>
      </c>
      <c r="H63" s="15">
        <v>0.10122442482086</v>
      </c>
    </row>
    <row r="64" spans="1:8" x14ac:dyDescent="0.2">
      <c r="A64" s="2" t="s">
        <v>4277</v>
      </c>
      <c r="B64" s="2" t="s">
        <v>4278</v>
      </c>
      <c r="C64" s="2" t="s">
        <v>4279</v>
      </c>
      <c r="D64" s="2" t="s">
        <v>10044</v>
      </c>
      <c r="E64" s="15">
        <v>-0.416103132841112</v>
      </c>
      <c r="F64" s="15">
        <v>0.52305567343577897</v>
      </c>
      <c r="G64" s="15">
        <v>-0.15050165502136501</v>
      </c>
      <c r="H64" s="15">
        <v>7.2113762980065305E-2</v>
      </c>
    </row>
    <row r="65" spans="1:8" x14ac:dyDescent="0.2">
      <c r="A65" s="2" t="s">
        <v>962</v>
      </c>
      <c r="B65" s="2" t="s">
        <v>963</v>
      </c>
      <c r="C65" s="2" t="s">
        <v>964</v>
      </c>
      <c r="D65" s="2" t="s">
        <v>10040</v>
      </c>
      <c r="E65" s="15">
        <v>0.312042984841575</v>
      </c>
      <c r="F65" s="15">
        <v>0.52632649827704403</v>
      </c>
      <c r="G65" s="15">
        <v>0.15190405179969699</v>
      </c>
      <c r="H65" s="15">
        <v>8.1634566554209198E-2</v>
      </c>
    </row>
    <row r="66" spans="1:8" x14ac:dyDescent="0.2">
      <c r="A66" s="2" t="s">
        <v>4151</v>
      </c>
      <c r="B66" s="2" t="s">
        <v>4152</v>
      </c>
      <c r="C66" s="2" t="s">
        <v>4153</v>
      </c>
      <c r="D66" s="2" t="s">
        <v>10044</v>
      </c>
      <c r="E66" s="15">
        <v>-0.382694197000229</v>
      </c>
      <c r="F66" s="15">
        <v>0.52869638358252402</v>
      </c>
      <c r="G66" s="15">
        <v>-0.13723464195719201</v>
      </c>
      <c r="H66" s="15">
        <v>6.7668583730159104E-2</v>
      </c>
    </row>
    <row r="67" spans="1:8" x14ac:dyDescent="0.2">
      <c r="A67" s="2" t="s">
        <v>4172</v>
      </c>
      <c r="B67" s="2" t="s">
        <v>4173</v>
      </c>
      <c r="C67" s="2" t="s">
        <v>4174</v>
      </c>
      <c r="D67" s="2" t="s">
        <v>10044</v>
      </c>
      <c r="E67" s="15">
        <v>-0.34113790474501698</v>
      </c>
      <c r="F67" s="15">
        <v>0.53618538272629002</v>
      </c>
      <c r="G67" s="15">
        <v>-0.13170534409420601</v>
      </c>
      <c r="H67" s="15">
        <v>6.6442423259919406E-2</v>
      </c>
    </row>
    <row r="68" spans="1:8" x14ac:dyDescent="0.2">
      <c r="A68" s="2" t="s">
        <v>3140</v>
      </c>
      <c r="B68" s="2" t="s">
        <v>3141</v>
      </c>
      <c r="C68" s="2" t="s">
        <v>3142</v>
      </c>
      <c r="D68" s="2" t="s">
        <v>10042</v>
      </c>
      <c r="E68" s="15">
        <v>0.27259369284918999</v>
      </c>
      <c r="F68" s="15">
        <v>0.53713753355965399</v>
      </c>
      <c r="G68" s="15">
        <v>0.22759148015608999</v>
      </c>
      <c r="H68" s="15">
        <v>0.10493201312556</v>
      </c>
    </row>
    <row r="69" spans="1:8" x14ac:dyDescent="0.2">
      <c r="A69" s="2" t="s">
        <v>4631</v>
      </c>
      <c r="B69" s="2" t="s">
        <v>4632</v>
      </c>
      <c r="C69" s="2" t="s">
        <v>4633</v>
      </c>
      <c r="D69" s="2" t="s">
        <v>10048</v>
      </c>
      <c r="E69" s="15">
        <v>-0.40992367747727598</v>
      </c>
      <c r="F69" s="15">
        <v>0.53999248122362498</v>
      </c>
      <c r="G69" s="15">
        <v>0.16579951364171699</v>
      </c>
      <c r="H69" s="15">
        <v>8.2949904939693606E-2</v>
      </c>
    </row>
    <row r="70" spans="1:8" x14ac:dyDescent="0.2">
      <c r="A70" s="2" t="s">
        <v>1532</v>
      </c>
      <c r="B70" s="2" t="s">
        <v>1533</v>
      </c>
      <c r="C70" s="2" t="s">
        <v>1534</v>
      </c>
      <c r="D70" s="2" t="s">
        <v>10040</v>
      </c>
      <c r="E70" s="15">
        <v>0.33667567351074901</v>
      </c>
      <c r="F70" s="15">
        <v>0.56685522233789398</v>
      </c>
      <c r="G70" s="15">
        <v>0.14870450849081401</v>
      </c>
      <c r="H70" s="15">
        <v>6.8957898656675898E-2</v>
      </c>
    </row>
    <row r="71" spans="1:8" x14ac:dyDescent="0.2">
      <c r="A71" s="2" t="s">
        <v>5132</v>
      </c>
      <c r="B71" s="2" t="s">
        <v>5133</v>
      </c>
      <c r="C71" s="2" t="s">
        <v>5134</v>
      </c>
      <c r="D71" s="2" t="s">
        <v>10049</v>
      </c>
      <c r="E71" s="15">
        <v>0.36705013581865997</v>
      </c>
      <c r="F71" s="15">
        <v>0.57627578915316502</v>
      </c>
      <c r="G71" s="15">
        <v>-4.6926944040472797E-2</v>
      </c>
      <c r="H71" s="15">
        <v>6.9875808451794696E-2</v>
      </c>
    </row>
    <row r="72" spans="1:8" x14ac:dyDescent="0.2">
      <c r="A72" s="2" t="s">
        <v>4658</v>
      </c>
      <c r="B72" s="2" t="s">
        <v>4659</v>
      </c>
      <c r="C72" s="2" t="s">
        <v>4660</v>
      </c>
      <c r="D72" s="2" t="s">
        <v>10048</v>
      </c>
      <c r="E72" s="15">
        <v>-0.30850739365275398</v>
      </c>
      <c r="F72" s="15">
        <v>0.59687373155704204</v>
      </c>
      <c r="G72" s="15">
        <v>0.151351332813742</v>
      </c>
      <c r="H72" s="15">
        <v>8.5696028362288304E-2</v>
      </c>
    </row>
    <row r="73" spans="1:8" x14ac:dyDescent="0.2">
      <c r="A73" s="2" t="s">
        <v>5489</v>
      </c>
      <c r="B73" s="2" t="s">
        <v>5490</v>
      </c>
      <c r="C73" s="2" t="s">
        <v>5491</v>
      </c>
      <c r="D73" s="2" t="s">
        <v>10049</v>
      </c>
      <c r="E73" s="15">
        <v>-0.39620574896718902</v>
      </c>
      <c r="F73" s="15">
        <v>0.59821246281394003</v>
      </c>
      <c r="G73" s="15">
        <v>0.165750058577084</v>
      </c>
      <c r="H73" s="15">
        <v>7.2371919719232097E-2</v>
      </c>
    </row>
    <row r="74" spans="1:8" x14ac:dyDescent="0.2">
      <c r="A74" s="2" t="s">
        <v>2321</v>
      </c>
      <c r="B74" s="2" t="s">
        <v>2322</v>
      </c>
      <c r="C74" s="2" t="s">
        <v>2323</v>
      </c>
      <c r="D74" s="2" t="s">
        <v>10041</v>
      </c>
      <c r="E74" s="15">
        <v>-0.36771001970112399</v>
      </c>
      <c r="F74" s="15">
        <v>0.59898047559406398</v>
      </c>
      <c r="G74" s="15">
        <v>-0.19754294926805099</v>
      </c>
      <c r="H74" s="15">
        <v>9.12411704888417E-2</v>
      </c>
    </row>
    <row r="75" spans="1:8" x14ac:dyDescent="0.2">
      <c r="A75" s="2" t="s">
        <v>9982</v>
      </c>
      <c r="B75" s="2" t="s">
        <v>9978</v>
      </c>
      <c r="C75" s="2" t="s">
        <v>9983</v>
      </c>
      <c r="D75" s="2" t="s">
        <v>10055</v>
      </c>
      <c r="E75" s="15">
        <v>4.9254052092331801E-2</v>
      </c>
      <c r="F75" s="15">
        <v>0.60566690202911699</v>
      </c>
      <c r="G75" s="15">
        <v>-0.172260051956212</v>
      </c>
      <c r="H75" s="15">
        <v>9.5237870097507907E-2</v>
      </c>
    </row>
    <row r="76" spans="1:8" x14ac:dyDescent="0.2">
      <c r="A76" s="2" t="s">
        <v>3164</v>
      </c>
      <c r="B76" s="2" t="s">
        <v>3165</v>
      </c>
      <c r="C76" s="2" t="s">
        <v>3166</v>
      </c>
      <c r="D76" s="2" t="s">
        <v>10042</v>
      </c>
      <c r="E76" s="15">
        <v>0.402406673939676</v>
      </c>
      <c r="F76" s="15">
        <v>0.60570071642432599</v>
      </c>
      <c r="G76" s="15">
        <v>0.230736117004954</v>
      </c>
      <c r="H76" s="15">
        <v>9.4463847011618404E-2</v>
      </c>
    </row>
    <row r="77" spans="1:8" x14ac:dyDescent="0.2">
      <c r="A77" s="2" t="s">
        <v>3242</v>
      </c>
      <c r="B77" s="2" t="s">
        <v>3243</v>
      </c>
      <c r="C77" s="2" t="s">
        <v>3244</v>
      </c>
      <c r="D77" s="2" t="s">
        <v>10042</v>
      </c>
      <c r="E77" s="15">
        <v>0.23743601972676201</v>
      </c>
      <c r="F77" s="15">
        <v>0.62927519812324395</v>
      </c>
      <c r="G77" s="15">
        <v>0.19889863228506399</v>
      </c>
      <c r="H77" s="15">
        <v>9.9695052344351401E-2</v>
      </c>
    </row>
    <row r="78" spans="1:8" x14ac:dyDescent="0.2">
      <c r="A78" s="2" t="s">
        <v>3566</v>
      </c>
      <c r="B78" s="2" t="s">
        <v>3567</v>
      </c>
      <c r="C78" s="2" t="s">
        <v>3568</v>
      </c>
      <c r="D78" s="2" t="s">
        <v>10042</v>
      </c>
      <c r="E78" s="15">
        <v>0.15519626506913001</v>
      </c>
      <c r="F78" s="15">
        <v>0.63792130634657995</v>
      </c>
      <c r="G78" s="15">
        <v>0.21529507375124701</v>
      </c>
      <c r="H78" s="15">
        <v>8.01720103873E-2</v>
      </c>
    </row>
    <row r="79" spans="1:8" x14ac:dyDescent="0.2">
      <c r="A79" s="2" t="s">
        <v>3365</v>
      </c>
      <c r="B79" s="2" t="s">
        <v>3366</v>
      </c>
      <c r="C79" s="2" t="s">
        <v>3367</v>
      </c>
      <c r="D79" s="2" t="s">
        <v>10042</v>
      </c>
      <c r="E79" s="15">
        <v>0.38765969230731701</v>
      </c>
      <c r="F79" s="15">
        <v>0.63813749475057402</v>
      </c>
      <c r="G79" s="15">
        <v>0.259878722062865</v>
      </c>
      <c r="H79" s="15">
        <v>9.8631793180667698E-2</v>
      </c>
    </row>
    <row r="80" spans="1:8" x14ac:dyDescent="0.2">
      <c r="A80" s="2" t="s">
        <v>41</v>
      </c>
      <c r="B80" s="2" t="s">
        <v>42</v>
      </c>
      <c r="C80" s="2" t="s">
        <v>43</v>
      </c>
      <c r="D80" s="2" t="s">
        <v>10040</v>
      </c>
      <c r="E80" s="15">
        <v>0.145501784950272</v>
      </c>
      <c r="F80" s="15">
        <v>0.64601189002529102</v>
      </c>
      <c r="G80" s="15">
        <v>0.12703822624504499</v>
      </c>
      <c r="H80" s="15">
        <v>6.1966606926393997E-2</v>
      </c>
    </row>
    <row r="81" spans="1:8" x14ac:dyDescent="0.2">
      <c r="A81" s="2" t="s">
        <v>4664</v>
      </c>
      <c r="B81" s="2" t="s">
        <v>4665</v>
      </c>
      <c r="C81" s="2" t="s">
        <v>4666</v>
      </c>
      <c r="D81" s="2" t="s">
        <v>10048</v>
      </c>
      <c r="E81" s="15">
        <v>-0.34296455740551501</v>
      </c>
      <c r="F81" s="15">
        <v>0.64666188276410097</v>
      </c>
      <c r="G81" s="15">
        <v>0.20351838146991599</v>
      </c>
      <c r="H81" s="15">
        <v>9.14334916059657E-2</v>
      </c>
    </row>
    <row r="82" spans="1:8" x14ac:dyDescent="0.2">
      <c r="A82" s="2" t="s">
        <v>3422</v>
      </c>
      <c r="B82" s="2" t="s">
        <v>3423</v>
      </c>
      <c r="C82" s="2" t="s">
        <v>3424</v>
      </c>
      <c r="D82" s="2" t="s">
        <v>10042</v>
      </c>
      <c r="E82" s="15">
        <v>0.194908750212794</v>
      </c>
      <c r="F82" s="15">
        <v>0.65589553297842995</v>
      </c>
      <c r="G82" s="15">
        <v>0.211568261517708</v>
      </c>
      <c r="H82" s="15">
        <v>0.109878079395585</v>
      </c>
    </row>
    <row r="83" spans="1:8" x14ac:dyDescent="0.2">
      <c r="A83" s="2" t="s">
        <v>6110</v>
      </c>
      <c r="B83" s="2" t="s">
        <v>6111</v>
      </c>
      <c r="C83" s="2" t="s">
        <v>6112</v>
      </c>
      <c r="D83" s="2" t="s">
        <v>10051</v>
      </c>
      <c r="E83" s="15">
        <v>9.7446946742610896E-3</v>
      </c>
      <c r="F83" s="15">
        <v>0.65827745163413698</v>
      </c>
      <c r="G83" s="15">
        <v>-0.16973104707388101</v>
      </c>
      <c r="H83" s="15">
        <v>7.0022200118898204E-2</v>
      </c>
    </row>
    <row r="84" spans="1:8" x14ac:dyDescent="0.2">
      <c r="A84" s="2" t="s">
        <v>2924</v>
      </c>
      <c r="B84" s="2" t="s">
        <v>2925</v>
      </c>
      <c r="C84" s="2" t="s">
        <v>2926</v>
      </c>
      <c r="D84" s="2" t="s">
        <v>10041</v>
      </c>
      <c r="E84" s="15">
        <v>-1.2803994260963199E-3</v>
      </c>
      <c r="F84" s="15">
        <v>0.65947262226404202</v>
      </c>
      <c r="G84" s="15">
        <v>-7.9636564586195696E-2</v>
      </c>
      <c r="H84" s="15">
        <v>9.1873454823846401E-2</v>
      </c>
    </row>
    <row r="85" spans="1:8" x14ac:dyDescent="0.2">
      <c r="A85" s="2" t="s">
        <v>1769</v>
      </c>
      <c r="B85" s="2" t="s">
        <v>1770</v>
      </c>
      <c r="C85" s="2" t="s">
        <v>1771</v>
      </c>
      <c r="D85" s="2" t="s">
        <v>10040</v>
      </c>
      <c r="E85" s="15">
        <v>-0.30076420519513097</v>
      </c>
      <c r="F85" s="15">
        <v>0.67606024209049698</v>
      </c>
      <c r="G85" s="15">
        <v>0.19399885977442799</v>
      </c>
      <c r="H85" s="15">
        <v>8.0120276900939799E-2</v>
      </c>
    </row>
    <row r="86" spans="1:8" x14ac:dyDescent="0.2">
      <c r="A86" s="2" t="s">
        <v>6101</v>
      </c>
      <c r="B86" s="2" t="s">
        <v>6102</v>
      </c>
      <c r="C86" s="2" t="s">
        <v>6103</v>
      </c>
      <c r="D86" s="2" t="s">
        <v>10051</v>
      </c>
      <c r="E86" s="15">
        <v>-0.20659715410214899</v>
      </c>
      <c r="F86" s="15">
        <v>0.68226578272083105</v>
      </c>
      <c r="G86" s="15">
        <v>-0.164859491662319</v>
      </c>
      <c r="H86" s="15">
        <v>7.5993563184128698E-2</v>
      </c>
    </row>
    <row r="87" spans="1:8" x14ac:dyDescent="0.2">
      <c r="A87" s="2" t="s">
        <v>1460</v>
      </c>
      <c r="B87" s="2" t="s">
        <v>1461</v>
      </c>
      <c r="C87" s="2" t="s">
        <v>1462</v>
      </c>
      <c r="D87" s="2" t="s">
        <v>10040</v>
      </c>
      <c r="E87" s="15">
        <v>0.14753125028120101</v>
      </c>
      <c r="F87" s="15">
        <v>0.69408648070640699</v>
      </c>
      <c r="G87" s="15">
        <v>0.243808080681544</v>
      </c>
      <c r="H87" s="15">
        <v>9.9034681288383705E-2</v>
      </c>
    </row>
    <row r="88" spans="1:8" x14ac:dyDescent="0.2">
      <c r="A88" s="2" t="s">
        <v>3518</v>
      </c>
      <c r="B88" s="2" t="s">
        <v>3519</v>
      </c>
      <c r="C88" s="2" t="s">
        <v>3520</v>
      </c>
      <c r="D88" s="2" t="s">
        <v>10042</v>
      </c>
      <c r="E88" s="15">
        <v>0.33592711947439402</v>
      </c>
      <c r="F88" s="15">
        <v>0.71075327310056702</v>
      </c>
      <c r="G88" s="15">
        <v>0.29014770149665797</v>
      </c>
      <c r="H88" s="15">
        <v>0.115930472158285</v>
      </c>
    </row>
    <row r="89" spans="1:8" x14ac:dyDescent="0.2">
      <c r="A89" s="2" t="s">
        <v>3458</v>
      </c>
      <c r="B89" s="2" t="s">
        <v>3459</v>
      </c>
      <c r="C89" s="2" t="s">
        <v>3460</v>
      </c>
      <c r="D89" s="2" t="s">
        <v>10042</v>
      </c>
      <c r="E89" s="15">
        <v>0.37594439331896401</v>
      </c>
      <c r="F89" s="15">
        <v>0.72146579470470296</v>
      </c>
      <c r="G89" s="15">
        <v>0.18760838048824099</v>
      </c>
      <c r="H89" s="15">
        <v>8.1594800819321495E-2</v>
      </c>
    </row>
    <row r="90" spans="1:8" x14ac:dyDescent="0.2">
      <c r="A90" s="2" t="s">
        <v>4394</v>
      </c>
      <c r="B90" s="2" t="s">
        <v>4395</v>
      </c>
      <c r="C90" s="2" t="s">
        <v>4396</v>
      </c>
      <c r="D90" s="2" t="s">
        <v>10047</v>
      </c>
      <c r="E90" s="15">
        <v>-3.5650818483979503E-2</v>
      </c>
      <c r="F90" s="15">
        <v>0.74360712013855401</v>
      </c>
      <c r="G90" s="15">
        <v>8.3625134982831306E-2</v>
      </c>
      <c r="H90" s="15">
        <v>7.0616896328276599E-2</v>
      </c>
    </row>
    <row r="91" spans="1:8" x14ac:dyDescent="0.2">
      <c r="A91" s="2" t="s">
        <v>2918</v>
      </c>
      <c r="B91" s="2" t="s">
        <v>2919</v>
      </c>
      <c r="C91" s="2" t="s">
        <v>2920</v>
      </c>
      <c r="D91" s="2" t="s">
        <v>10041</v>
      </c>
      <c r="E91" s="15">
        <v>-0.362227765859371</v>
      </c>
      <c r="F91" s="15">
        <v>0.75342889451680295</v>
      </c>
      <c r="G91" s="15">
        <v>-0.130446289450631</v>
      </c>
      <c r="H91" s="15">
        <v>8.9578631932862599E-2</v>
      </c>
    </row>
    <row r="92" spans="1:8" x14ac:dyDescent="0.2">
      <c r="A92" s="2" t="s">
        <v>8837</v>
      </c>
      <c r="B92" s="2" t="s">
        <v>7007</v>
      </c>
      <c r="C92" s="2" t="s">
        <v>8838</v>
      </c>
      <c r="D92" s="2" t="s">
        <v>10055</v>
      </c>
      <c r="E92" s="15">
        <v>-9.3704352805058302E-2</v>
      </c>
      <c r="F92" s="15">
        <v>0.75553393186745699</v>
      </c>
      <c r="G92" s="15">
        <v>-0.18397857716569099</v>
      </c>
      <c r="H92" s="15">
        <v>9.1162055345387405E-2</v>
      </c>
    </row>
    <row r="93" spans="1:8" x14ac:dyDescent="0.2">
      <c r="A93" s="2" t="s">
        <v>4397</v>
      </c>
      <c r="B93" s="2" t="s">
        <v>4398</v>
      </c>
      <c r="C93" s="2" t="s">
        <v>4399</v>
      </c>
      <c r="D93" s="2" t="s">
        <v>10047</v>
      </c>
      <c r="E93" s="15">
        <v>-1.04853586231104E-2</v>
      </c>
      <c r="F93" s="15">
        <v>0.77692250699021304</v>
      </c>
      <c r="G93" s="15">
        <v>0.11871745523221</v>
      </c>
      <c r="H93" s="15">
        <v>7.2908130422312104E-2</v>
      </c>
    </row>
    <row r="94" spans="1:8" x14ac:dyDescent="0.2">
      <c r="A94" s="2" t="s">
        <v>1298</v>
      </c>
      <c r="B94" s="2" t="s">
        <v>1299</v>
      </c>
      <c r="C94" s="2" t="s">
        <v>1300</v>
      </c>
      <c r="D94" s="2" t="s">
        <v>10040</v>
      </c>
      <c r="E94" s="15">
        <v>0.11431892749632</v>
      </c>
      <c r="F94" s="15">
        <v>0.77864636492390404</v>
      </c>
      <c r="G94" s="15">
        <v>0.18315156033400001</v>
      </c>
      <c r="H94" s="15">
        <v>9.4700743623707007E-2</v>
      </c>
    </row>
    <row r="95" spans="1:8" x14ac:dyDescent="0.2">
      <c r="A95" s="2" t="s">
        <v>3146</v>
      </c>
      <c r="B95" s="2" t="s">
        <v>3147</v>
      </c>
      <c r="C95" s="2" t="s">
        <v>3148</v>
      </c>
      <c r="D95" s="2" t="s">
        <v>10042</v>
      </c>
      <c r="E95" s="15">
        <v>-0.29839156292784502</v>
      </c>
      <c r="F95" s="15">
        <v>0.77876431433678694</v>
      </c>
      <c r="G95" s="15">
        <v>0.247472583188969</v>
      </c>
      <c r="H95" s="15">
        <v>0.100652704155291</v>
      </c>
    </row>
    <row r="96" spans="1:8" x14ac:dyDescent="0.2">
      <c r="A96" s="2" t="s">
        <v>3857</v>
      </c>
      <c r="B96" s="2" t="s">
        <v>3858</v>
      </c>
      <c r="C96" s="2" t="s">
        <v>3859</v>
      </c>
      <c r="D96" s="2" t="s">
        <v>10042</v>
      </c>
      <c r="E96" s="15">
        <v>0.35861514512084702</v>
      </c>
      <c r="F96" s="15">
        <v>0.78529158263068999</v>
      </c>
      <c r="G96" s="15">
        <v>0.20386062493062199</v>
      </c>
      <c r="H96" s="15">
        <v>9.2338911267915602E-2</v>
      </c>
    </row>
    <row r="97" spans="1:8" x14ac:dyDescent="0.2">
      <c r="A97" s="2" t="s">
        <v>3425</v>
      </c>
      <c r="B97" s="2" t="s">
        <v>3426</v>
      </c>
      <c r="C97" s="2" t="s">
        <v>3427</v>
      </c>
      <c r="D97" s="2" t="s">
        <v>10042</v>
      </c>
      <c r="E97" s="15">
        <v>-0.20125728529016601</v>
      </c>
      <c r="F97" s="15">
        <v>0.81111233669942795</v>
      </c>
      <c r="G97" s="15">
        <v>0.29257706067195699</v>
      </c>
      <c r="H97" s="15">
        <v>0.10373378158855601</v>
      </c>
    </row>
    <row r="98" spans="1:8" x14ac:dyDescent="0.2">
      <c r="A98" s="2" t="s">
        <v>3251</v>
      </c>
      <c r="B98" s="2" t="s">
        <v>3252</v>
      </c>
      <c r="C98" s="2" t="s">
        <v>3253</v>
      </c>
      <c r="D98" s="2" t="s">
        <v>10042</v>
      </c>
      <c r="E98" s="15">
        <v>0.32214686005624799</v>
      </c>
      <c r="F98" s="15">
        <v>0.81614499356547199</v>
      </c>
      <c r="G98" s="15">
        <v>0.14612148676252601</v>
      </c>
      <c r="H98" s="15">
        <v>7.9737430257349404E-2</v>
      </c>
    </row>
    <row r="99" spans="1:8" x14ac:dyDescent="0.2">
      <c r="A99" s="2" t="s">
        <v>812</v>
      </c>
      <c r="B99" s="2" t="s">
        <v>813</v>
      </c>
      <c r="C99" s="2" t="s">
        <v>814</v>
      </c>
      <c r="D99" s="2" t="s">
        <v>10040</v>
      </c>
      <c r="E99" s="15">
        <v>0.23482182878685601</v>
      </c>
      <c r="F99" s="15">
        <v>0.82785695431767803</v>
      </c>
      <c r="G99" s="15">
        <v>0.19652147602099901</v>
      </c>
      <c r="H99" s="15">
        <v>0.109327368377012</v>
      </c>
    </row>
    <row r="100" spans="1:8" x14ac:dyDescent="0.2">
      <c r="A100" s="2" t="s">
        <v>3428</v>
      </c>
      <c r="B100" s="2" t="s">
        <v>3429</v>
      </c>
      <c r="C100" s="2" t="s">
        <v>3430</v>
      </c>
      <c r="D100" s="2" t="s">
        <v>10042</v>
      </c>
      <c r="E100" s="15">
        <v>-0.268889838540394</v>
      </c>
      <c r="F100" s="15">
        <v>0.83052271286456403</v>
      </c>
      <c r="G100" s="15">
        <v>0.25488646335624199</v>
      </c>
      <c r="H100" s="15">
        <v>0.104193944799592</v>
      </c>
    </row>
    <row r="101" spans="1:8" x14ac:dyDescent="0.2">
      <c r="A101" s="2" t="s">
        <v>4268</v>
      </c>
      <c r="B101" s="2" t="s">
        <v>4269</v>
      </c>
      <c r="C101" s="2" t="s">
        <v>4270</v>
      </c>
      <c r="D101" s="2" t="s">
        <v>10044</v>
      </c>
      <c r="E101" s="15">
        <v>-2.2407891869963802E-2</v>
      </c>
      <c r="F101" s="15">
        <v>0.83135163667866196</v>
      </c>
      <c r="G101" s="15">
        <v>-9.6590487653900603E-2</v>
      </c>
      <c r="H101" s="15">
        <v>7.1890710457527096E-2</v>
      </c>
    </row>
    <row r="102" spans="1:8" x14ac:dyDescent="0.2">
      <c r="A102" s="2" t="s">
        <v>1187</v>
      </c>
      <c r="B102" s="2" t="s">
        <v>1188</v>
      </c>
      <c r="C102" s="2" t="s">
        <v>1189</v>
      </c>
      <c r="D102" s="2" t="s">
        <v>10040</v>
      </c>
      <c r="E102" s="15">
        <v>2.6847834894326999E-2</v>
      </c>
      <c r="F102" s="15">
        <v>0.86967082790465</v>
      </c>
      <c r="G102" s="15">
        <v>0.221082649165772</v>
      </c>
      <c r="H102" s="15">
        <v>9.3586408595474999E-2</v>
      </c>
    </row>
    <row r="103" spans="1:8" x14ac:dyDescent="0.2">
      <c r="A103" s="2" t="s">
        <v>3185</v>
      </c>
      <c r="B103" s="2" t="s">
        <v>3186</v>
      </c>
      <c r="C103" s="2" t="s">
        <v>3187</v>
      </c>
      <c r="D103" s="2" t="s">
        <v>10042</v>
      </c>
      <c r="E103" s="15">
        <v>0.330410737779265</v>
      </c>
      <c r="F103" s="15">
        <v>0.87669991036160699</v>
      </c>
      <c r="G103" s="15">
        <v>0.18191138722001199</v>
      </c>
      <c r="H103" s="15">
        <v>8.0551534502033603E-2</v>
      </c>
    </row>
    <row r="104" spans="1:8" x14ac:dyDescent="0.2">
      <c r="A104" s="2" t="s">
        <v>3194</v>
      </c>
      <c r="B104" s="2" t="s">
        <v>3195</v>
      </c>
      <c r="C104" s="2" t="s">
        <v>3196</v>
      </c>
      <c r="D104" s="2" t="s">
        <v>10042</v>
      </c>
      <c r="E104" s="15">
        <v>1.5559808628789499E-2</v>
      </c>
      <c r="F104" s="15">
        <v>0.88827693388426299</v>
      </c>
      <c r="G104" s="15">
        <v>0.29823486674244198</v>
      </c>
      <c r="H104" s="15">
        <v>9.9011626505589603E-2</v>
      </c>
    </row>
    <row r="105" spans="1:8" x14ac:dyDescent="0.2">
      <c r="A105" s="2" t="s">
        <v>5540</v>
      </c>
      <c r="B105" s="2" t="s">
        <v>5541</v>
      </c>
      <c r="C105" s="2" t="s">
        <v>5542</v>
      </c>
      <c r="D105" s="2" t="s">
        <v>10049</v>
      </c>
      <c r="E105" s="15">
        <v>-1.7340036706250801E-2</v>
      </c>
      <c r="F105" s="15">
        <v>0.90158300234280497</v>
      </c>
      <c r="G105" s="15">
        <v>0.10488563078172899</v>
      </c>
      <c r="H105" s="15">
        <v>6.9993606496207103E-2</v>
      </c>
    </row>
    <row r="106" spans="1:8" x14ac:dyDescent="0.2">
      <c r="A106" s="2" t="s">
        <v>3050</v>
      </c>
      <c r="B106" s="2" t="s">
        <v>3051</v>
      </c>
      <c r="C106" s="2" t="s">
        <v>3052</v>
      </c>
      <c r="D106" s="2" t="s">
        <v>10041</v>
      </c>
      <c r="E106" s="15">
        <v>-2.65958308172431E-2</v>
      </c>
      <c r="F106" s="15">
        <v>0.909270899163373</v>
      </c>
      <c r="G106" s="15">
        <v>-0.23204621391823699</v>
      </c>
      <c r="H106" s="15">
        <v>0.115269319185111</v>
      </c>
    </row>
    <row r="107" spans="1:8" x14ac:dyDescent="0.2">
      <c r="A107" s="2" t="s">
        <v>3062</v>
      </c>
      <c r="B107" s="2" t="s">
        <v>3063</v>
      </c>
      <c r="C107" s="2" t="s">
        <v>3064</v>
      </c>
      <c r="D107" s="2" t="s">
        <v>10042</v>
      </c>
      <c r="E107" s="15">
        <v>-5.5096646751579799E-3</v>
      </c>
      <c r="F107" s="15">
        <v>0.92543023512400102</v>
      </c>
      <c r="G107" s="15">
        <v>0.26520361761512701</v>
      </c>
      <c r="H107" s="15">
        <v>0.10073945281858</v>
      </c>
    </row>
    <row r="108" spans="1:8" x14ac:dyDescent="0.2">
      <c r="A108" s="2" t="s">
        <v>3134</v>
      </c>
      <c r="B108" s="2" t="s">
        <v>3135</v>
      </c>
      <c r="C108" s="2" t="s">
        <v>3136</v>
      </c>
      <c r="D108" s="2" t="s">
        <v>10042</v>
      </c>
      <c r="E108" s="15">
        <v>-6.3111193145551303E-2</v>
      </c>
      <c r="F108" s="15">
        <v>0.93016438789987999</v>
      </c>
      <c r="G108" s="15">
        <v>0.23565217127409799</v>
      </c>
      <c r="H108" s="15">
        <v>9.5853626368943706E-2</v>
      </c>
    </row>
    <row r="109" spans="1:8" x14ac:dyDescent="0.2">
      <c r="A109" s="2" t="s">
        <v>3416</v>
      </c>
      <c r="B109" s="2" t="s">
        <v>3417</v>
      </c>
      <c r="C109" s="2" t="s">
        <v>3418</v>
      </c>
      <c r="D109" s="2" t="s">
        <v>10042</v>
      </c>
      <c r="E109" s="15">
        <v>-6.1690643328068201E-2</v>
      </c>
      <c r="F109" s="15">
        <v>0.94494530689594303</v>
      </c>
      <c r="G109" s="15">
        <v>0.26349157234378001</v>
      </c>
      <c r="H109" s="15">
        <v>9.6628381808222905E-2</v>
      </c>
    </row>
    <row r="110" spans="1:8" x14ac:dyDescent="0.2">
      <c r="A110" s="2" t="s">
        <v>2591</v>
      </c>
      <c r="B110" s="2" t="s">
        <v>2592</v>
      </c>
      <c r="C110" s="2" t="s">
        <v>2593</v>
      </c>
      <c r="D110" s="2" t="s">
        <v>10041</v>
      </c>
      <c r="E110" s="15">
        <v>-0.22744646667306501</v>
      </c>
      <c r="F110" s="15">
        <v>0.94521836084848199</v>
      </c>
      <c r="G110" s="15">
        <v>-0.19586236269325499</v>
      </c>
      <c r="H110" s="15">
        <v>0.10025544718092901</v>
      </c>
    </row>
    <row r="111" spans="1:8" x14ac:dyDescent="0.2">
      <c r="A111" s="2" t="s">
        <v>971</v>
      </c>
      <c r="B111" s="2" t="s">
        <v>972</v>
      </c>
      <c r="C111" s="2" t="s">
        <v>973</v>
      </c>
      <c r="D111" s="2" t="s">
        <v>10040</v>
      </c>
      <c r="E111" s="15">
        <v>-4.4949863345162003E-2</v>
      </c>
      <c r="F111" s="15">
        <v>0.95076960814818501</v>
      </c>
      <c r="G111" s="15">
        <v>0.18088516770811</v>
      </c>
      <c r="H111" s="15">
        <v>9.7852765912211495E-2</v>
      </c>
    </row>
    <row r="112" spans="1:8" x14ac:dyDescent="0.2">
      <c r="A112" s="2" t="s">
        <v>3467</v>
      </c>
      <c r="B112" s="2" t="s">
        <v>3468</v>
      </c>
      <c r="C112" s="2" t="s">
        <v>3469</v>
      </c>
      <c r="D112" s="2" t="s">
        <v>10042</v>
      </c>
      <c r="E112" s="15">
        <v>-4.4612190651606399E-4</v>
      </c>
      <c r="F112" s="15">
        <v>0.95154888042168995</v>
      </c>
      <c r="G112" s="15">
        <v>0.28635840852342298</v>
      </c>
      <c r="H112" s="15">
        <v>9.6599829168928203E-2</v>
      </c>
    </row>
    <row r="113" spans="1:8" x14ac:dyDescent="0.2">
      <c r="A113" s="2" t="s">
        <v>4964</v>
      </c>
      <c r="B113" s="2" t="s">
        <v>4965</v>
      </c>
      <c r="C113" s="2" t="s">
        <v>4966</v>
      </c>
      <c r="D113" s="2" t="s">
        <v>10049</v>
      </c>
      <c r="E113" s="15">
        <v>1.45849646155758E-3</v>
      </c>
      <c r="F113" s="15">
        <v>0.95200659815968902</v>
      </c>
      <c r="G113" s="15">
        <v>0.165048087992514</v>
      </c>
      <c r="H113" s="15">
        <v>7.4148448196334496E-2</v>
      </c>
    </row>
    <row r="114" spans="1:8" x14ac:dyDescent="0.2">
      <c r="A114" s="2" t="s">
        <v>2048</v>
      </c>
      <c r="B114" s="2" t="s">
        <v>2049</v>
      </c>
      <c r="C114" s="2" t="s">
        <v>2050</v>
      </c>
      <c r="D114" s="2" t="s">
        <v>10041</v>
      </c>
      <c r="E114" s="15">
        <v>-9.3773156162553798E-4</v>
      </c>
      <c r="F114" s="15">
        <v>0.96252813899337997</v>
      </c>
      <c r="G114" s="15">
        <v>-9.8603642749287707E-2</v>
      </c>
      <c r="H114" s="15">
        <v>8.5347056336444696E-2</v>
      </c>
    </row>
    <row r="115" spans="1:8" x14ac:dyDescent="0.2">
      <c r="A115" s="2" t="s">
        <v>3803</v>
      </c>
      <c r="B115" s="2" t="s">
        <v>3804</v>
      </c>
      <c r="C115" s="2" t="s">
        <v>3805</v>
      </c>
      <c r="D115" s="2" t="s">
        <v>10042</v>
      </c>
      <c r="E115" s="15">
        <v>8.9523921175161905E-2</v>
      </c>
      <c r="F115" s="15">
        <v>0.96315305661978001</v>
      </c>
      <c r="G115" s="15">
        <v>0.30459872428898799</v>
      </c>
      <c r="H115" s="15">
        <v>0.120033718658435</v>
      </c>
    </row>
    <row r="116" spans="1:8" x14ac:dyDescent="0.2">
      <c r="A116" s="2" t="s">
        <v>3623</v>
      </c>
      <c r="B116" s="2" t="s">
        <v>3624</v>
      </c>
      <c r="C116" s="2" t="s">
        <v>3625</v>
      </c>
      <c r="D116" s="2" t="s">
        <v>10042</v>
      </c>
      <c r="E116" s="15">
        <v>2.3533326496324801E-2</v>
      </c>
      <c r="F116" s="15">
        <v>0.96354054689366198</v>
      </c>
      <c r="G116" s="15">
        <v>0.280016248012177</v>
      </c>
      <c r="H116" s="15">
        <v>0.105366696404585</v>
      </c>
    </row>
    <row r="117" spans="1:8" x14ac:dyDescent="0.2">
      <c r="A117" s="2" t="s">
        <v>2120</v>
      </c>
      <c r="B117" s="2" t="s">
        <v>2121</v>
      </c>
      <c r="C117" s="2" t="s">
        <v>2122</v>
      </c>
      <c r="D117" s="2" t="s">
        <v>10041</v>
      </c>
      <c r="E117" s="15">
        <v>-0.16517266312333001</v>
      </c>
      <c r="F117" s="15">
        <v>0.96683147730982</v>
      </c>
      <c r="G117" s="15">
        <v>-0.19961629109811099</v>
      </c>
      <c r="H117" s="15">
        <v>9.8611562474134801E-2</v>
      </c>
    </row>
    <row r="118" spans="1:8" x14ac:dyDescent="0.2">
      <c r="A118" s="2" t="s">
        <v>3800</v>
      </c>
      <c r="B118" s="2" t="s">
        <v>3801</v>
      </c>
      <c r="C118" s="2" t="s">
        <v>3802</v>
      </c>
      <c r="D118" s="2" t="s">
        <v>10042</v>
      </c>
      <c r="E118" s="15">
        <v>8.4703242850185292E-3</v>
      </c>
      <c r="F118" s="15">
        <v>0.96907855417656197</v>
      </c>
      <c r="G118" s="15">
        <v>0.24570000622056101</v>
      </c>
      <c r="H118" s="15">
        <v>9.0457920629313002E-2</v>
      </c>
    </row>
    <row r="119" spans="1:8" x14ac:dyDescent="0.2">
      <c r="A119" s="2" t="s">
        <v>8847</v>
      </c>
      <c r="B119" s="2" t="s">
        <v>7007</v>
      </c>
      <c r="C119" s="2" t="s">
        <v>8848</v>
      </c>
      <c r="D119" s="2" t="s">
        <v>10055</v>
      </c>
      <c r="E119" s="15">
        <v>0.29141614724481602</v>
      </c>
      <c r="F119" s="15">
        <v>0.97624031769361097</v>
      </c>
      <c r="G119" s="15">
        <v>0.14312676979977401</v>
      </c>
      <c r="H119" s="15">
        <v>8.4212685355553901E-2</v>
      </c>
    </row>
    <row r="120" spans="1:8" x14ac:dyDescent="0.2">
      <c r="A120" s="2" t="s">
        <v>4529</v>
      </c>
      <c r="B120" s="2" t="s">
        <v>4530</v>
      </c>
      <c r="C120" s="2" t="s">
        <v>4531</v>
      </c>
      <c r="D120" s="2" t="s">
        <v>10047</v>
      </c>
      <c r="E120" s="15">
        <v>3.7643028850269197E-2</v>
      </c>
      <c r="F120" s="15">
        <v>0.97967840663320904</v>
      </c>
      <c r="G120" s="15">
        <v>0.213097894668627</v>
      </c>
      <c r="H120" s="15">
        <v>0.100107922702094</v>
      </c>
    </row>
    <row r="121" spans="1:8" x14ac:dyDescent="0.2">
      <c r="A121" s="2" t="s">
        <v>3245</v>
      </c>
      <c r="B121" s="2" t="s">
        <v>3246</v>
      </c>
      <c r="C121" s="2" t="s">
        <v>3247</v>
      </c>
      <c r="D121" s="2" t="s">
        <v>10042</v>
      </c>
      <c r="E121" s="15">
        <v>4.8900012444229E-2</v>
      </c>
      <c r="F121" s="15">
        <v>0.98912049395252699</v>
      </c>
      <c r="G121" s="15">
        <v>0.27701521774316801</v>
      </c>
      <c r="H121" s="15">
        <v>0.109038526457289</v>
      </c>
    </row>
    <row r="122" spans="1:8" x14ac:dyDescent="0.2">
      <c r="A122" s="2" t="s">
        <v>464</v>
      </c>
      <c r="B122" s="2" t="s">
        <v>465</v>
      </c>
      <c r="C122" s="2" t="s">
        <v>466</v>
      </c>
      <c r="D122" s="2" t="s">
        <v>10040</v>
      </c>
      <c r="E122" s="15">
        <v>-2.07952296098417E-2</v>
      </c>
      <c r="F122" s="15">
        <v>0.989473102101874</v>
      </c>
      <c r="G122" s="15">
        <v>0.111858079137847</v>
      </c>
      <c r="H122" s="15">
        <v>6.5599330966003594E-2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B3D39-D302-4ABB-8EE0-8F4B874B35F7}">
  <dimension ref="A1:H91"/>
  <sheetViews>
    <sheetView workbookViewId="0"/>
  </sheetViews>
  <sheetFormatPr defaultColWidth="9" defaultRowHeight="14.25" x14ac:dyDescent="0.2"/>
  <cols>
    <col min="1" max="2" width="9" style="2" customWidth="1"/>
    <col min="3" max="3" width="59.140625" style="2" bestFit="1" customWidth="1"/>
    <col min="4" max="4" width="26.28515625" style="2" bestFit="1" customWidth="1"/>
    <col min="5" max="5" width="14.42578125" style="15" bestFit="1" customWidth="1"/>
    <col min="6" max="6" width="21.85546875" style="15" bestFit="1" customWidth="1"/>
    <col min="7" max="7" width="14.42578125" style="15" bestFit="1" customWidth="1"/>
    <col min="8" max="8" width="13.7109375" style="15" bestFit="1" customWidth="1"/>
    <col min="9" max="16384" width="9" style="2"/>
  </cols>
  <sheetData>
    <row r="1" spans="1:8" s="8" customFormat="1" x14ac:dyDescent="0.2">
      <c r="A1" s="1" t="s">
        <v>12333</v>
      </c>
    </row>
    <row r="2" spans="1:8" s="8" customFormat="1" ht="16.5" x14ac:dyDescent="0.3">
      <c r="A2" s="10" t="s">
        <v>10038</v>
      </c>
      <c r="B2" s="10" t="s">
        <v>0</v>
      </c>
      <c r="C2" s="10" t="s">
        <v>1</v>
      </c>
      <c r="D2" s="10" t="s">
        <v>10039</v>
      </c>
      <c r="E2" s="10" t="s">
        <v>10059</v>
      </c>
      <c r="F2" s="10" t="s">
        <v>10060</v>
      </c>
      <c r="G2" s="10" t="s">
        <v>12313</v>
      </c>
      <c r="H2" s="10" t="s">
        <v>12314</v>
      </c>
    </row>
    <row r="3" spans="1:8" x14ac:dyDescent="0.2">
      <c r="A3" s="2" t="s">
        <v>4466</v>
      </c>
      <c r="B3" s="2" t="s">
        <v>4467</v>
      </c>
      <c r="C3" s="2" t="s">
        <v>4468</v>
      </c>
      <c r="D3" s="2" t="s">
        <v>10047</v>
      </c>
      <c r="E3" s="15">
        <v>0.90356355676878597</v>
      </c>
      <c r="F3" s="15">
        <v>4.0618044910396498E-13</v>
      </c>
      <c r="G3" s="15">
        <v>0.16816580585174201</v>
      </c>
      <c r="H3" s="15">
        <v>7.6447009864287804E-2</v>
      </c>
    </row>
    <row r="4" spans="1:8" x14ac:dyDescent="0.2">
      <c r="A4" s="2" t="s">
        <v>5204</v>
      </c>
      <c r="B4" s="2" t="s">
        <v>5205</v>
      </c>
      <c r="C4" s="2" t="s">
        <v>5206</v>
      </c>
      <c r="D4" s="2" t="s">
        <v>10049</v>
      </c>
      <c r="E4" s="15">
        <v>0.52371787502140199</v>
      </c>
      <c r="F4" s="15">
        <v>1.77768564604495E-11</v>
      </c>
      <c r="G4" s="15">
        <v>-0.22694157690052899</v>
      </c>
      <c r="H4" s="15">
        <v>8.0963755880964397E-2</v>
      </c>
    </row>
    <row r="5" spans="1:8" x14ac:dyDescent="0.2">
      <c r="A5" s="2" t="s">
        <v>5348</v>
      </c>
      <c r="B5" s="2" t="s">
        <v>5349</v>
      </c>
      <c r="C5" s="2" t="s">
        <v>5350</v>
      </c>
      <c r="D5" s="2" t="s">
        <v>10049</v>
      </c>
      <c r="E5" s="15">
        <v>0.40236189055371002</v>
      </c>
      <c r="F5" s="15">
        <v>4.6987204305401497E-10</v>
      </c>
      <c r="G5" s="15">
        <v>-0.109563736592908</v>
      </c>
      <c r="H5" s="15">
        <v>7.8420946034679195E-2</v>
      </c>
    </row>
    <row r="6" spans="1:8" x14ac:dyDescent="0.2">
      <c r="A6" s="2" t="s">
        <v>4394</v>
      </c>
      <c r="B6" s="2" t="s">
        <v>4395</v>
      </c>
      <c r="C6" s="2" t="s">
        <v>4396</v>
      </c>
      <c r="D6" s="2" t="s">
        <v>10047</v>
      </c>
      <c r="E6" s="15">
        <v>0.55098337487076299</v>
      </c>
      <c r="F6" s="15">
        <v>9.3376584207400303E-10</v>
      </c>
      <c r="G6" s="15">
        <v>0.18589586956509499</v>
      </c>
      <c r="H6" s="15">
        <v>6.3416880737789297E-2</v>
      </c>
    </row>
    <row r="7" spans="1:8" x14ac:dyDescent="0.2">
      <c r="A7" s="2" t="s">
        <v>4940</v>
      </c>
      <c r="B7" s="2" t="s">
        <v>4941</v>
      </c>
      <c r="C7" s="2" t="s">
        <v>4942</v>
      </c>
      <c r="D7" s="2" t="s">
        <v>10049</v>
      </c>
      <c r="E7" s="15">
        <v>0.65910097469470197</v>
      </c>
      <c r="F7" s="15">
        <v>9.9915965615240897E-8</v>
      </c>
      <c r="G7" s="15">
        <v>-0.13626061643826501</v>
      </c>
      <c r="H7" s="15">
        <v>0.108238737770348</v>
      </c>
    </row>
    <row r="8" spans="1:8" x14ac:dyDescent="0.2">
      <c r="A8" s="2" t="s">
        <v>6008</v>
      </c>
      <c r="B8" s="2" t="s">
        <v>6009</v>
      </c>
      <c r="C8" s="2" t="s">
        <v>6010</v>
      </c>
      <c r="D8" s="2" t="s">
        <v>10051</v>
      </c>
      <c r="E8" s="15">
        <v>-0.24075729034927701</v>
      </c>
      <c r="F8" s="15">
        <v>1.4567698329691499E-7</v>
      </c>
      <c r="G8" s="15">
        <v>-0.225975606458067</v>
      </c>
      <c r="H8" s="15">
        <v>9.5773025974429604E-2</v>
      </c>
    </row>
    <row r="9" spans="1:8" x14ac:dyDescent="0.2">
      <c r="A9" s="2" t="s">
        <v>3164</v>
      </c>
      <c r="B9" s="2" t="s">
        <v>3165</v>
      </c>
      <c r="C9" s="2" t="s">
        <v>3166</v>
      </c>
      <c r="D9" s="2" t="s">
        <v>10042</v>
      </c>
      <c r="E9" s="15">
        <v>0.44755975128828701</v>
      </c>
      <c r="F9" s="15">
        <v>2.3084308205195499E-7</v>
      </c>
      <c r="G9" s="15">
        <v>0.148074184849427</v>
      </c>
      <c r="H9" s="15">
        <v>7.9171182230832401E-2</v>
      </c>
    </row>
    <row r="10" spans="1:8" x14ac:dyDescent="0.2">
      <c r="A10" s="2" t="s">
        <v>4469</v>
      </c>
      <c r="B10" s="2" t="s">
        <v>4470</v>
      </c>
      <c r="C10" s="2" t="s">
        <v>4471</v>
      </c>
      <c r="D10" s="2" t="s">
        <v>10047</v>
      </c>
      <c r="E10" s="15">
        <v>0.70897640495129199</v>
      </c>
      <c r="F10" s="15">
        <v>3.7050661255968199E-7</v>
      </c>
      <c r="G10" s="15">
        <v>0.20700043759771999</v>
      </c>
      <c r="H10" s="15">
        <v>8.3341806562883702E-2</v>
      </c>
    </row>
    <row r="11" spans="1:8" x14ac:dyDescent="0.2">
      <c r="A11" s="2" t="s">
        <v>4406</v>
      </c>
      <c r="B11" s="2" t="s">
        <v>4407</v>
      </c>
      <c r="C11" s="2" t="s">
        <v>4408</v>
      </c>
      <c r="D11" s="2" t="s">
        <v>10047</v>
      </c>
      <c r="E11" s="15">
        <v>0.34275286130524402</v>
      </c>
      <c r="F11" s="15">
        <v>1.66394435231611E-6</v>
      </c>
      <c r="G11" s="15">
        <v>0.134508187177385</v>
      </c>
      <c r="H11" s="15">
        <v>8.5333204843254698E-2</v>
      </c>
    </row>
    <row r="12" spans="1:8" x14ac:dyDescent="0.2">
      <c r="A12" s="2" t="s">
        <v>3527</v>
      </c>
      <c r="B12" s="2" t="s">
        <v>3528</v>
      </c>
      <c r="C12" s="2" t="s">
        <v>3529</v>
      </c>
      <c r="D12" s="2" t="s">
        <v>10042</v>
      </c>
      <c r="E12" s="15">
        <v>0.60756883686020902</v>
      </c>
      <c r="F12" s="15">
        <v>2.3917139722875399E-6</v>
      </c>
      <c r="G12" s="15">
        <v>0.18727212310188801</v>
      </c>
      <c r="H12" s="15">
        <v>7.5334030032822005E-2</v>
      </c>
    </row>
    <row r="13" spans="1:8" x14ac:dyDescent="0.2">
      <c r="A13" s="2" t="s">
        <v>3254</v>
      </c>
      <c r="B13" s="2" t="s">
        <v>3255</v>
      </c>
      <c r="C13" s="2" t="s">
        <v>3256</v>
      </c>
      <c r="D13" s="2" t="s">
        <v>10042</v>
      </c>
      <c r="E13" s="15">
        <v>0.563227031341758</v>
      </c>
      <c r="F13" s="15">
        <v>1.23333978622992E-5</v>
      </c>
      <c r="G13" s="15">
        <v>0.194348593842601</v>
      </c>
      <c r="H13" s="15">
        <v>7.6145942861932103E-2</v>
      </c>
    </row>
    <row r="14" spans="1:8" x14ac:dyDescent="0.2">
      <c r="A14" s="2" t="s">
        <v>3428</v>
      </c>
      <c r="B14" s="2" t="s">
        <v>3429</v>
      </c>
      <c r="C14" s="2" t="s">
        <v>3430</v>
      </c>
      <c r="D14" s="2" t="s">
        <v>10042</v>
      </c>
      <c r="E14" s="15">
        <v>0.53779598529717698</v>
      </c>
      <c r="F14" s="15">
        <v>4.29256331260298E-5</v>
      </c>
      <c r="G14" s="15">
        <v>0.18370282634563401</v>
      </c>
      <c r="H14" s="15">
        <v>8.7394987936431801E-2</v>
      </c>
    </row>
    <row r="15" spans="1:8" x14ac:dyDescent="0.2">
      <c r="A15" s="2" t="s">
        <v>956</v>
      </c>
      <c r="B15" s="2" t="s">
        <v>957</v>
      </c>
      <c r="C15" s="2" t="s">
        <v>958</v>
      </c>
      <c r="D15" s="2" t="s">
        <v>10040</v>
      </c>
      <c r="E15" s="15">
        <v>0.53759816254630599</v>
      </c>
      <c r="F15" s="15">
        <v>7.9764248887850695E-5</v>
      </c>
      <c r="G15" s="15">
        <v>0.16945729164059301</v>
      </c>
      <c r="H15" s="15">
        <v>7.8464181376542902E-2</v>
      </c>
    </row>
    <row r="16" spans="1:8" x14ac:dyDescent="0.2">
      <c r="A16" s="2" t="s">
        <v>1292</v>
      </c>
      <c r="B16" s="2" t="s">
        <v>1293</v>
      </c>
      <c r="C16" s="2" t="s">
        <v>1294</v>
      </c>
      <c r="D16" s="2" t="s">
        <v>10040</v>
      </c>
      <c r="E16" s="15">
        <v>0.394415227860271</v>
      </c>
      <c r="F16" s="15">
        <v>9.7159308847606895E-5</v>
      </c>
      <c r="G16" s="15">
        <v>0.22063645060676801</v>
      </c>
      <c r="H16" s="15">
        <v>0.10170013837096201</v>
      </c>
    </row>
    <row r="17" spans="1:8" x14ac:dyDescent="0.2">
      <c r="A17" s="2" t="s">
        <v>3146</v>
      </c>
      <c r="B17" s="2" t="s">
        <v>3147</v>
      </c>
      <c r="C17" s="2" t="s">
        <v>3148</v>
      </c>
      <c r="D17" s="2" t="s">
        <v>10042</v>
      </c>
      <c r="E17" s="15">
        <v>0.49962479161721401</v>
      </c>
      <c r="F17" s="15">
        <v>1.18468989233153E-4</v>
      </c>
      <c r="G17" s="15">
        <v>0.18715446671739999</v>
      </c>
      <c r="H17" s="15">
        <v>9.12828645229187E-2</v>
      </c>
    </row>
    <row r="18" spans="1:8" x14ac:dyDescent="0.2">
      <c r="A18" s="2" t="s">
        <v>5228</v>
      </c>
      <c r="B18" s="2" t="s">
        <v>5229</v>
      </c>
      <c r="C18" s="2" t="s">
        <v>5230</v>
      </c>
      <c r="D18" s="2" t="s">
        <v>10049</v>
      </c>
      <c r="E18" s="15">
        <v>0.57907295727531505</v>
      </c>
      <c r="F18" s="15">
        <v>6.0009676216439701E-3</v>
      </c>
      <c r="G18" s="15">
        <v>-0.17872715567674799</v>
      </c>
      <c r="H18" s="15">
        <v>9.1632492106291805E-2</v>
      </c>
    </row>
    <row r="19" spans="1:8" x14ac:dyDescent="0.2">
      <c r="A19" s="2" t="s">
        <v>5216</v>
      </c>
      <c r="B19" s="2" t="s">
        <v>5217</v>
      </c>
      <c r="C19" s="2" t="s">
        <v>5218</v>
      </c>
      <c r="D19" s="2" t="s">
        <v>10049</v>
      </c>
      <c r="E19" s="15">
        <v>0.37449212300748003</v>
      </c>
      <c r="F19" s="15">
        <v>6.5039627235148403E-3</v>
      </c>
      <c r="G19" s="15">
        <v>-0.140083099917369</v>
      </c>
      <c r="H19" s="15">
        <v>6.7517407013448605E-2</v>
      </c>
    </row>
    <row r="20" spans="1:8" x14ac:dyDescent="0.2">
      <c r="A20" s="2" t="s">
        <v>1103</v>
      </c>
      <c r="B20" s="2" t="s">
        <v>1104</v>
      </c>
      <c r="C20" s="2" t="s">
        <v>1105</v>
      </c>
      <c r="D20" s="2" t="s">
        <v>10040</v>
      </c>
      <c r="E20" s="15">
        <v>0.56057013206322404</v>
      </c>
      <c r="F20" s="15">
        <v>1.06534081761719E-2</v>
      </c>
      <c r="G20" s="15">
        <v>0.165933478334574</v>
      </c>
      <c r="H20" s="15">
        <v>8.3757440389458704E-2</v>
      </c>
    </row>
    <row r="21" spans="1:8" x14ac:dyDescent="0.2">
      <c r="A21" s="2" t="s">
        <v>5273</v>
      </c>
      <c r="B21" s="2" t="s">
        <v>5274</v>
      </c>
      <c r="C21" s="2" t="s">
        <v>5275</v>
      </c>
      <c r="D21" s="2" t="s">
        <v>10049</v>
      </c>
      <c r="E21" s="15">
        <v>0.58403162436786105</v>
      </c>
      <c r="F21" s="15">
        <v>1.11665894836863E-2</v>
      </c>
      <c r="G21" s="15">
        <v>-0.19707234647920599</v>
      </c>
      <c r="H21" s="15">
        <v>8.6838119729409496E-2</v>
      </c>
    </row>
    <row r="22" spans="1:8" x14ac:dyDescent="0.2">
      <c r="A22" s="2" t="s">
        <v>1391</v>
      </c>
      <c r="B22" s="2" t="s">
        <v>1392</v>
      </c>
      <c r="C22" s="2" t="s">
        <v>1393</v>
      </c>
      <c r="D22" s="2" t="s">
        <v>10040</v>
      </c>
      <c r="E22" s="15">
        <v>0.50024770379827399</v>
      </c>
      <c r="F22" s="15">
        <v>2.8298565132250101E-2</v>
      </c>
      <c r="G22" s="15">
        <v>0.225731126392201</v>
      </c>
      <c r="H22" s="15">
        <v>0.102743632929166</v>
      </c>
    </row>
    <row r="23" spans="1:8" x14ac:dyDescent="0.2">
      <c r="A23" s="2" t="s">
        <v>4439</v>
      </c>
      <c r="B23" s="2" t="s">
        <v>4440</v>
      </c>
      <c r="C23" s="2" t="s">
        <v>4441</v>
      </c>
      <c r="D23" s="2" t="s">
        <v>10047</v>
      </c>
      <c r="E23" s="15">
        <v>0.28227664039281802</v>
      </c>
      <c r="F23" s="15">
        <v>5.9703732113696298E-2</v>
      </c>
      <c r="G23" s="15">
        <v>0.15134929008919401</v>
      </c>
      <c r="H23" s="15">
        <v>7.6083373920491706E-2</v>
      </c>
    </row>
    <row r="24" spans="1:8" x14ac:dyDescent="0.2">
      <c r="A24" s="2" t="s">
        <v>4985</v>
      </c>
      <c r="B24" s="2" t="s">
        <v>4986</v>
      </c>
      <c r="C24" s="2" t="s">
        <v>4987</v>
      </c>
      <c r="D24" s="2" t="s">
        <v>10049</v>
      </c>
      <c r="E24" s="15">
        <v>0.495697123305743</v>
      </c>
      <c r="F24" s="15">
        <v>0.112944273697234</v>
      </c>
      <c r="G24" s="15">
        <v>-0.19853673103150901</v>
      </c>
      <c r="H24" s="15">
        <v>0.100226196130891</v>
      </c>
    </row>
    <row r="25" spans="1:8" x14ac:dyDescent="0.2">
      <c r="A25" s="2" t="s">
        <v>5984</v>
      </c>
      <c r="B25" s="2" t="s">
        <v>5985</v>
      </c>
      <c r="C25" s="2" t="s">
        <v>5986</v>
      </c>
      <c r="D25" s="2" t="s">
        <v>10051</v>
      </c>
      <c r="E25" s="15">
        <v>0.28399941717203098</v>
      </c>
      <c r="F25" s="15">
        <v>0.124508855521429</v>
      </c>
      <c r="G25" s="15">
        <v>-0.178066535916868</v>
      </c>
      <c r="H25" s="15">
        <v>8.5053800971556098E-2</v>
      </c>
    </row>
    <row r="26" spans="1:8" x14ac:dyDescent="0.2">
      <c r="A26" s="2" t="s">
        <v>1382</v>
      </c>
      <c r="B26" s="2" t="s">
        <v>1383</v>
      </c>
      <c r="C26" s="2" t="s">
        <v>1384</v>
      </c>
      <c r="D26" s="2" t="s">
        <v>10040</v>
      </c>
      <c r="E26" s="15">
        <v>0.52813710255397694</v>
      </c>
      <c r="F26" s="15">
        <v>0.139288107661448</v>
      </c>
      <c r="G26" s="15">
        <v>0.17902750092264699</v>
      </c>
      <c r="H26" s="15">
        <v>8.4148025379357505E-2</v>
      </c>
    </row>
    <row r="27" spans="1:8" x14ac:dyDescent="0.2">
      <c r="A27" s="2" t="s">
        <v>4478</v>
      </c>
      <c r="B27" s="2" t="s">
        <v>4479</v>
      </c>
      <c r="C27" s="2" t="s">
        <v>4480</v>
      </c>
      <c r="D27" s="2" t="s">
        <v>10047</v>
      </c>
      <c r="E27" s="15">
        <v>0.30599731314532802</v>
      </c>
      <c r="F27" s="15">
        <v>0.18110295083569899</v>
      </c>
      <c r="G27" s="15">
        <v>0.19110603497843601</v>
      </c>
      <c r="H27" s="15">
        <v>6.4631975348267895E-2</v>
      </c>
    </row>
    <row r="28" spans="1:8" x14ac:dyDescent="0.2">
      <c r="A28" s="2" t="s">
        <v>5207</v>
      </c>
      <c r="B28" s="2" t="s">
        <v>5208</v>
      </c>
      <c r="C28" s="2" t="s">
        <v>5209</v>
      </c>
      <c r="D28" s="2" t="s">
        <v>10049</v>
      </c>
      <c r="E28" s="15">
        <v>0.49759891121067901</v>
      </c>
      <c r="F28" s="15">
        <v>0.21205213234584899</v>
      </c>
      <c r="G28" s="15">
        <v>-0.28794102346404599</v>
      </c>
      <c r="H28" s="15">
        <v>0.10115909061510001</v>
      </c>
    </row>
    <row r="29" spans="1:8" x14ac:dyDescent="0.2">
      <c r="A29" s="2" t="s">
        <v>1109</v>
      </c>
      <c r="B29" s="2" t="s">
        <v>1110</v>
      </c>
      <c r="C29" s="2" t="s">
        <v>1111</v>
      </c>
      <c r="D29" s="2" t="s">
        <v>10040</v>
      </c>
      <c r="E29" s="15">
        <v>0.21743093378947601</v>
      </c>
      <c r="F29" s="15">
        <v>0.22046061069589601</v>
      </c>
      <c r="G29" s="15">
        <v>0.16297081800451199</v>
      </c>
      <c r="H29" s="15">
        <v>8.5491365185286897E-2</v>
      </c>
    </row>
    <row r="30" spans="1:8" x14ac:dyDescent="0.2">
      <c r="A30" s="2" t="s">
        <v>671</v>
      </c>
      <c r="B30" s="2" t="s">
        <v>672</v>
      </c>
      <c r="C30" s="2" t="s">
        <v>673</v>
      </c>
      <c r="D30" s="2" t="s">
        <v>10040</v>
      </c>
      <c r="E30" s="15">
        <v>0.33508889112634199</v>
      </c>
      <c r="F30" s="15">
        <v>0.23178102176544599</v>
      </c>
      <c r="G30" s="15">
        <v>0.175271687413908</v>
      </c>
      <c r="H30" s="15">
        <v>9.0592732824187505E-2</v>
      </c>
    </row>
    <row r="31" spans="1:8" x14ac:dyDescent="0.2">
      <c r="A31" s="2" t="s">
        <v>5027</v>
      </c>
      <c r="B31" s="2" t="s">
        <v>5028</v>
      </c>
      <c r="C31" s="2" t="s">
        <v>5029</v>
      </c>
      <c r="D31" s="2" t="s">
        <v>10049</v>
      </c>
      <c r="E31" s="15">
        <v>-0.47753693761166</v>
      </c>
      <c r="F31" s="15">
        <v>0.26182141624444299</v>
      </c>
      <c r="G31" s="15">
        <v>0.204818249134365</v>
      </c>
      <c r="H31" s="15">
        <v>9.5417950811735402E-2</v>
      </c>
    </row>
    <row r="32" spans="1:8" x14ac:dyDescent="0.2">
      <c r="A32" s="2" t="s">
        <v>4412</v>
      </c>
      <c r="B32" s="2" t="s">
        <v>4413</v>
      </c>
      <c r="C32" s="2" t="s">
        <v>4414</v>
      </c>
      <c r="D32" s="2" t="s">
        <v>10047</v>
      </c>
      <c r="E32" s="15">
        <v>-4.1375343338426698E-2</v>
      </c>
      <c r="F32" s="15">
        <v>0.27682107654285099</v>
      </c>
      <c r="G32" s="15">
        <v>0.13056055566667199</v>
      </c>
      <c r="H32" s="15">
        <v>7.3752968690901005E-2</v>
      </c>
    </row>
    <row r="33" spans="1:8" x14ac:dyDescent="0.2">
      <c r="A33" s="2" t="s">
        <v>512</v>
      </c>
      <c r="B33" s="2" t="s">
        <v>513</v>
      </c>
      <c r="C33" s="2" t="s">
        <v>514</v>
      </c>
      <c r="D33" s="2" t="s">
        <v>10040</v>
      </c>
      <c r="E33" s="15">
        <v>0.32014376723849403</v>
      </c>
      <c r="F33" s="15">
        <v>0.286901957853259</v>
      </c>
      <c r="G33" s="15">
        <v>0.21638896158779899</v>
      </c>
      <c r="H33" s="15">
        <v>8.2671578677921895E-2</v>
      </c>
    </row>
    <row r="34" spans="1:8" x14ac:dyDescent="0.2">
      <c r="A34" s="2" t="s">
        <v>4430</v>
      </c>
      <c r="B34" s="2" t="s">
        <v>4431</v>
      </c>
      <c r="C34" s="2" t="s">
        <v>4432</v>
      </c>
      <c r="D34" s="2" t="s">
        <v>10047</v>
      </c>
      <c r="E34" s="15">
        <v>0.22456348531752701</v>
      </c>
      <c r="F34" s="15">
        <v>0.28731856210366302</v>
      </c>
      <c r="G34" s="15">
        <v>0.161252431120747</v>
      </c>
      <c r="H34" s="15">
        <v>7.1185166333543104E-2</v>
      </c>
    </row>
    <row r="35" spans="1:8" x14ac:dyDescent="0.2">
      <c r="A35" s="2" t="s">
        <v>4853</v>
      </c>
      <c r="B35" s="2" t="s">
        <v>4854</v>
      </c>
      <c r="C35" s="2" t="s">
        <v>4855</v>
      </c>
      <c r="D35" s="2" t="s">
        <v>10049</v>
      </c>
      <c r="E35" s="15">
        <v>0.49694941435850498</v>
      </c>
      <c r="F35" s="15">
        <v>0.28759252444558298</v>
      </c>
      <c r="G35" s="15">
        <v>-0.16419561157694901</v>
      </c>
      <c r="H35" s="15">
        <v>8.6669092222498106E-2</v>
      </c>
    </row>
    <row r="36" spans="1:8" x14ac:dyDescent="0.2">
      <c r="A36" s="2" t="s">
        <v>3251</v>
      </c>
      <c r="B36" s="2" t="s">
        <v>3252</v>
      </c>
      <c r="C36" s="2" t="s">
        <v>3253</v>
      </c>
      <c r="D36" s="2" t="s">
        <v>10042</v>
      </c>
      <c r="E36" s="15">
        <v>0.33508728961503897</v>
      </c>
      <c r="F36" s="15">
        <v>0.33555657753485801</v>
      </c>
      <c r="G36" s="15">
        <v>0.19870521672420599</v>
      </c>
      <c r="H36" s="15">
        <v>8.0580606267130594E-2</v>
      </c>
    </row>
    <row r="37" spans="1:8" x14ac:dyDescent="0.2">
      <c r="A37" s="2" t="s">
        <v>5372</v>
      </c>
      <c r="B37" s="2" t="s">
        <v>5373</v>
      </c>
      <c r="C37" s="2" t="s">
        <v>5374</v>
      </c>
      <c r="D37" s="2" t="s">
        <v>10049</v>
      </c>
      <c r="E37" s="15">
        <v>0.33484178203887199</v>
      </c>
      <c r="F37" s="15">
        <v>0.37528990494998199</v>
      </c>
      <c r="G37" s="15">
        <v>-0.16723573292649699</v>
      </c>
      <c r="H37" s="15">
        <v>8.58448199558004E-2</v>
      </c>
    </row>
    <row r="38" spans="1:8" x14ac:dyDescent="0.2">
      <c r="A38" s="2" t="s">
        <v>4463</v>
      </c>
      <c r="B38" s="2" t="s">
        <v>4464</v>
      </c>
      <c r="C38" s="2" t="s">
        <v>4465</v>
      </c>
      <c r="D38" s="2" t="s">
        <v>10047</v>
      </c>
      <c r="E38" s="15">
        <v>-0.27932497825394098</v>
      </c>
      <c r="F38" s="15">
        <v>0.39197384946262798</v>
      </c>
      <c r="G38" s="15">
        <v>0.10666523461374</v>
      </c>
      <c r="H38" s="15">
        <v>6.3124642294573596E-2</v>
      </c>
    </row>
    <row r="39" spans="1:8" x14ac:dyDescent="0.2">
      <c r="A39" s="2" t="s">
        <v>5840</v>
      </c>
      <c r="B39" s="2" t="s">
        <v>5841</v>
      </c>
      <c r="C39" s="2" t="s">
        <v>5842</v>
      </c>
      <c r="D39" s="2" t="s">
        <v>10050</v>
      </c>
      <c r="E39" s="15">
        <v>0.44620236180964901</v>
      </c>
      <c r="F39" s="15">
        <v>0.39209813161602802</v>
      </c>
      <c r="G39" s="15">
        <v>7.0543279699130199E-2</v>
      </c>
      <c r="H39" s="15">
        <v>6.6048342433157797E-2</v>
      </c>
    </row>
    <row r="40" spans="1:8" x14ac:dyDescent="0.2">
      <c r="A40" s="2" t="s">
        <v>5156</v>
      </c>
      <c r="B40" s="2" t="s">
        <v>5157</v>
      </c>
      <c r="C40" s="2" t="s">
        <v>5158</v>
      </c>
      <c r="D40" s="2" t="s">
        <v>10049</v>
      </c>
      <c r="E40" s="15">
        <v>0.202803429432727</v>
      </c>
      <c r="F40" s="15">
        <v>0.40164004405480802</v>
      </c>
      <c r="G40" s="15">
        <v>-0.19842885944885899</v>
      </c>
      <c r="H40" s="15">
        <v>8.8492331465434004E-2</v>
      </c>
    </row>
    <row r="41" spans="1:8" x14ac:dyDescent="0.2">
      <c r="A41" s="2" t="s">
        <v>4409</v>
      </c>
      <c r="B41" s="2" t="s">
        <v>4410</v>
      </c>
      <c r="C41" s="2" t="s">
        <v>4411</v>
      </c>
      <c r="D41" s="2" t="s">
        <v>10047</v>
      </c>
      <c r="E41" s="15">
        <v>0.13148093886984799</v>
      </c>
      <c r="F41" s="15">
        <v>0.40651904762170199</v>
      </c>
      <c r="G41" s="15">
        <v>0.16189350089037399</v>
      </c>
      <c r="H41" s="15">
        <v>9.4345407930813793E-2</v>
      </c>
    </row>
    <row r="42" spans="1:8" x14ac:dyDescent="0.2">
      <c r="A42" s="2" t="s">
        <v>3524</v>
      </c>
      <c r="B42" s="2" t="s">
        <v>3525</v>
      </c>
      <c r="C42" s="2" t="s">
        <v>3526</v>
      </c>
      <c r="D42" s="2" t="s">
        <v>10042</v>
      </c>
      <c r="E42" s="15">
        <v>0.22303997784856799</v>
      </c>
      <c r="F42" s="15">
        <v>0.41576897286134201</v>
      </c>
      <c r="G42" s="15">
        <v>0.20018237370720099</v>
      </c>
      <c r="H42" s="15">
        <v>8.2736401690531799E-2</v>
      </c>
    </row>
    <row r="43" spans="1:8" x14ac:dyDescent="0.2">
      <c r="A43" s="2" t="s">
        <v>5705</v>
      </c>
      <c r="B43" s="2" t="s">
        <v>5706</v>
      </c>
      <c r="C43" s="2" t="s">
        <v>5707</v>
      </c>
      <c r="D43" s="2" t="s">
        <v>10049</v>
      </c>
      <c r="E43" s="15">
        <v>0.44321216536326502</v>
      </c>
      <c r="F43" s="15">
        <v>0.423311223556327</v>
      </c>
      <c r="G43" s="15">
        <v>-8.7429188923507803E-2</v>
      </c>
      <c r="H43" s="15">
        <v>7.2817533924260602E-2</v>
      </c>
    </row>
    <row r="44" spans="1:8" x14ac:dyDescent="0.2">
      <c r="A44" s="2" t="s">
        <v>4643</v>
      </c>
      <c r="B44" s="2" t="s">
        <v>4644</v>
      </c>
      <c r="C44" s="2" t="s">
        <v>4645</v>
      </c>
      <c r="D44" s="2" t="s">
        <v>10048</v>
      </c>
      <c r="E44" s="15">
        <v>-0.324576100977576</v>
      </c>
      <c r="F44" s="15">
        <v>0.452495268698205</v>
      </c>
      <c r="G44" s="15">
        <v>0.26237644298016199</v>
      </c>
      <c r="H44" s="15">
        <v>9.9677412773797297E-2</v>
      </c>
    </row>
    <row r="45" spans="1:8" x14ac:dyDescent="0.2">
      <c r="A45" s="2" t="s">
        <v>5219</v>
      </c>
      <c r="B45" s="2" t="s">
        <v>5220</v>
      </c>
      <c r="C45" s="2" t="s">
        <v>5221</v>
      </c>
      <c r="D45" s="2" t="s">
        <v>10049</v>
      </c>
      <c r="E45" s="15">
        <v>0.150116843466613</v>
      </c>
      <c r="F45" s="15">
        <v>0.45296113254798298</v>
      </c>
      <c r="G45" s="15">
        <v>-0.111822612640254</v>
      </c>
      <c r="H45" s="15">
        <v>7.1302360939367496E-2</v>
      </c>
    </row>
    <row r="46" spans="1:8" x14ac:dyDescent="0.2">
      <c r="A46" s="2" t="s">
        <v>980</v>
      </c>
      <c r="B46" s="2" t="s">
        <v>981</v>
      </c>
      <c r="C46" s="2" t="s">
        <v>982</v>
      </c>
      <c r="D46" s="2" t="s">
        <v>10040</v>
      </c>
      <c r="E46" s="15">
        <v>-0.37141847505168402</v>
      </c>
      <c r="F46" s="15">
        <v>0.48097569208733398</v>
      </c>
      <c r="G46" s="15">
        <v>0.14333972717090199</v>
      </c>
      <c r="H46" s="15">
        <v>0.101681094942168</v>
      </c>
    </row>
    <row r="47" spans="1:8" x14ac:dyDescent="0.2">
      <c r="A47" s="2" t="s">
        <v>10011</v>
      </c>
      <c r="B47" s="2" t="s">
        <v>10012</v>
      </c>
      <c r="C47" s="2" t="s">
        <v>10013</v>
      </c>
      <c r="D47" s="2" t="s">
        <v>10056</v>
      </c>
      <c r="E47" s="15">
        <v>-0.26661879778873898</v>
      </c>
      <c r="F47" s="15">
        <v>0.48981595384983101</v>
      </c>
      <c r="G47" s="15">
        <v>0.182378278303479</v>
      </c>
      <c r="H47" s="15">
        <v>8.4735434192145298E-2</v>
      </c>
    </row>
    <row r="48" spans="1:8" x14ac:dyDescent="0.2">
      <c r="A48" s="2" t="s">
        <v>4490</v>
      </c>
      <c r="B48" s="2" t="s">
        <v>4491</v>
      </c>
      <c r="C48" s="2" t="s">
        <v>4492</v>
      </c>
      <c r="D48" s="2" t="s">
        <v>10047</v>
      </c>
      <c r="E48" s="15">
        <v>0.38996947122955899</v>
      </c>
      <c r="F48" s="15">
        <v>0.50589536161188697</v>
      </c>
      <c r="G48" s="15">
        <v>0.18640446921206799</v>
      </c>
      <c r="H48" s="15">
        <v>8.03982753416147E-2</v>
      </c>
    </row>
    <row r="49" spans="1:8" x14ac:dyDescent="0.2">
      <c r="A49" s="2" t="s">
        <v>4331</v>
      </c>
      <c r="B49" s="2" t="s">
        <v>4332</v>
      </c>
      <c r="C49" s="2" t="s">
        <v>4333</v>
      </c>
      <c r="D49" s="2" t="s">
        <v>10046</v>
      </c>
      <c r="E49" s="15">
        <v>0.22648083168178801</v>
      </c>
      <c r="F49" s="15">
        <v>0.51355313063542996</v>
      </c>
      <c r="G49" s="15">
        <v>0.219912204224083</v>
      </c>
      <c r="H49" s="15">
        <v>9.2075183915836495E-2</v>
      </c>
    </row>
    <row r="50" spans="1:8" x14ac:dyDescent="0.2">
      <c r="A50" s="2" t="s">
        <v>6068</v>
      </c>
      <c r="B50" s="2" t="s">
        <v>6069</v>
      </c>
      <c r="C50" s="2" t="s">
        <v>6070</v>
      </c>
      <c r="D50" s="2" t="s">
        <v>10051</v>
      </c>
      <c r="E50" s="15">
        <v>0.45460766959256899</v>
      </c>
      <c r="F50" s="15">
        <v>0.51997064230972101</v>
      </c>
      <c r="G50" s="15">
        <v>-0.16759955578913999</v>
      </c>
      <c r="H50" s="15">
        <v>8.0106380763925303E-2</v>
      </c>
    </row>
    <row r="51" spans="1:8" x14ac:dyDescent="0.2">
      <c r="A51" s="2" t="s">
        <v>4733</v>
      </c>
      <c r="B51" s="2" t="s">
        <v>4734</v>
      </c>
      <c r="C51" s="2" t="s">
        <v>4735</v>
      </c>
      <c r="D51" s="2" t="s">
        <v>10048</v>
      </c>
      <c r="E51" s="15">
        <v>-0.112971396163036</v>
      </c>
      <c r="F51" s="15">
        <v>0.53342534729857705</v>
      </c>
      <c r="G51" s="15">
        <v>-0.16045837733295101</v>
      </c>
      <c r="H51" s="15">
        <v>8.1468013554137894E-2</v>
      </c>
    </row>
    <row r="52" spans="1:8" x14ac:dyDescent="0.2">
      <c r="A52" s="2" t="s">
        <v>5624</v>
      </c>
      <c r="B52" s="2" t="s">
        <v>5625</v>
      </c>
      <c r="C52" s="2" t="s">
        <v>5626</v>
      </c>
      <c r="D52" s="2" t="s">
        <v>10049</v>
      </c>
      <c r="E52" s="15">
        <v>0.31404635725750002</v>
      </c>
      <c r="F52" s="15">
        <v>0.538472237181435</v>
      </c>
      <c r="G52" s="15">
        <v>-0.108361661227175</v>
      </c>
      <c r="H52" s="15">
        <v>7.3791379284380898E-2</v>
      </c>
    </row>
    <row r="53" spans="1:8" x14ac:dyDescent="0.2">
      <c r="A53" s="2" t="s">
        <v>1388</v>
      </c>
      <c r="B53" s="2" t="s">
        <v>1389</v>
      </c>
      <c r="C53" s="2" t="s">
        <v>1390</v>
      </c>
      <c r="D53" s="2" t="s">
        <v>10040</v>
      </c>
      <c r="E53" s="15">
        <v>-0.41984079990899797</v>
      </c>
      <c r="F53" s="15">
        <v>0.56430470655491205</v>
      </c>
      <c r="G53" s="15">
        <v>0.181721241710737</v>
      </c>
      <c r="H53" s="15">
        <v>9.4466836292523101E-2</v>
      </c>
    </row>
    <row r="54" spans="1:8" x14ac:dyDescent="0.2">
      <c r="A54" s="2" t="s">
        <v>5159</v>
      </c>
      <c r="B54" s="2" t="s">
        <v>5160</v>
      </c>
      <c r="C54" s="2" t="s">
        <v>5161</v>
      </c>
      <c r="D54" s="2" t="s">
        <v>10049</v>
      </c>
      <c r="E54" s="15">
        <v>-0.42169691710645701</v>
      </c>
      <c r="F54" s="15">
        <v>0.56502492598175602</v>
      </c>
      <c r="G54" s="15">
        <v>-0.14858281141139501</v>
      </c>
      <c r="H54" s="15">
        <v>8.7059768804839704E-2</v>
      </c>
    </row>
    <row r="55" spans="1:8" x14ac:dyDescent="0.2">
      <c r="A55" s="2" t="s">
        <v>3134</v>
      </c>
      <c r="B55" s="2" t="s">
        <v>3135</v>
      </c>
      <c r="C55" s="2" t="s">
        <v>3136</v>
      </c>
      <c r="D55" s="2" t="s">
        <v>10042</v>
      </c>
      <c r="E55" s="15">
        <v>4.7463943949580999E-2</v>
      </c>
      <c r="F55" s="15">
        <v>0.56826894045849496</v>
      </c>
      <c r="G55" s="15">
        <v>0.18747636476139801</v>
      </c>
      <c r="H55" s="15">
        <v>9.8167213805887804E-2</v>
      </c>
    </row>
    <row r="56" spans="1:8" x14ac:dyDescent="0.2">
      <c r="A56" s="2" t="s">
        <v>6341</v>
      </c>
      <c r="B56" s="2" t="s">
        <v>6342</v>
      </c>
      <c r="C56" s="2" t="s">
        <v>6343</v>
      </c>
      <c r="D56" s="2" t="s">
        <v>10052</v>
      </c>
      <c r="E56" s="15">
        <v>0.401568257431975</v>
      </c>
      <c r="F56" s="15">
        <v>0.56919422278216802</v>
      </c>
      <c r="G56" s="15">
        <v>-0.13884978526783701</v>
      </c>
      <c r="H56" s="15">
        <v>8.8292848220775599E-2</v>
      </c>
    </row>
    <row r="57" spans="1:8" x14ac:dyDescent="0.2">
      <c r="A57" s="2" t="s">
        <v>1913</v>
      </c>
      <c r="B57" s="2" t="s">
        <v>1914</v>
      </c>
      <c r="C57" s="2" t="s">
        <v>1915</v>
      </c>
      <c r="D57" s="2" t="s">
        <v>10040</v>
      </c>
      <c r="E57" s="15">
        <v>-0.32587464264379801</v>
      </c>
      <c r="F57" s="15">
        <v>0.59120705297224896</v>
      </c>
      <c r="G57" s="15">
        <v>0.12286422175426399</v>
      </c>
      <c r="H57" s="15">
        <v>8.1377553568311903E-2</v>
      </c>
    </row>
    <row r="58" spans="1:8" x14ac:dyDescent="0.2">
      <c r="A58" s="2" t="s">
        <v>3614</v>
      </c>
      <c r="B58" s="2" t="s">
        <v>3615</v>
      </c>
      <c r="C58" s="2" t="s">
        <v>3616</v>
      </c>
      <c r="D58" s="2" t="s">
        <v>10042</v>
      </c>
      <c r="E58" s="15">
        <v>-5.46837644681019E-2</v>
      </c>
      <c r="F58" s="15">
        <v>0.60570277856922905</v>
      </c>
      <c r="G58" s="15">
        <v>0.18990956926779501</v>
      </c>
      <c r="H58" s="15">
        <v>9.4433076659630605E-2</v>
      </c>
    </row>
    <row r="59" spans="1:8" x14ac:dyDescent="0.2">
      <c r="A59" s="2" t="s">
        <v>3863</v>
      </c>
      <c r="B59" s="2" t="s">
        <v>3864</v>
      </c>
      <c r="C59" s="2" t="s">
        <v>3865</v>
      </c>
      <c r="D59" s="2" t="s">
        <v>10042</v>
      </c>
      <c r="E59" s="15">
        <v>0.35034269544931201</v>
      </c>
      <c r="F59" s="15">
        <v>0.62213322078283695</v>
      </c>
      <c r="G59" s="15">
        <v>0.23653168237025901</v>
      </c>
      <c r="H59" s="15">
        <v>0.108023569492267</v>
      </c>
    </row>
    <row r="60" spans="1:8" x14ac:dyDescent="0.2">
      <c r="A60" s="2" t="s">
        <v>4997</v>
      </c>
      <c r="B60" s="2" t="s">
        <v>4998</v>
      </c>
      <c r="C60" s="2" t="s">
        <v>4999</v>
      </c>
      <c r="D60" s="2" t="s">
        <v>10049</v>
      </c>
      <c r="E60" s="15">
        <v>-0.371123963987187</v>
      </c>
      <c r="F60" s="15">
        <v>0.62241665297614002</v>
      </c>
      <c r="G60" s="15">
        <v>-0.20740673439219401</v>
      </c>
      <c r="H60" s="15">
        <v>8.3564582841609794E-2</v>
      </c>
    </row>
    <row r="61" spans="1:8" x14ac:dyDescent="0.2">
      <c r="A61" s="2" t="s">
        <v>4580</v>
      </c>
      <c r="B61" s="2" t="s">
        <v>4581</v>
      </c>
      <c r="C61" s="2" t="s">
        <v>4582</v>
      </c>
      <c r="D61" s="2" t="s">
        <v>10047</v>
      </c>
      <c r="E61" s="15">
        <v>0.26235709792349099</v>
      </c>
      <c r="F61" s="15">
        <v>0.64537406829465804</v>
      </c>
      <c r="G61" s="15">
        <v>0.153531890129492</v>
      </c>
      <c r="H61" s="15">
        <v>7.4535743181942907E-2</v>
      </c>
    </row>
    <row r="62" spans="1:8" x14ac:dyDescent="0.2">
      <c r="A62" s="2" t="s">
        <v>968</v>
      </c>
      <c r="B62" s="2" t="s">
        <v>969</v>
      </c>
      <c r="C62" s="2" t="s">
        <v>970</v>
      </c>
      <c r="D62" s="2" t="s">
        <v>10040</v>
      </c>
      <c r="E62" s="15">
        <v>0.30927557671686901</v>
      </c>
      <c r="F62" s="15">
        <v>0.64689903109981495</v>
      </c>
      <c r="G62" s="15">
        <v>0.147940049243796</v>
      </c>
      <c r="H62" s="15">
        <v>8.14464731743786E-2</v>
      </c>
    </row>
    <row r="63" spans="1:8" x14ac:dyDescent="0.2">
      <c r="A63" s="2" t="s">
        <v>6056</v>
      </c>
      <c r="B63" s="2" t="s">
        <v>6057</v>
      </c>
      <c r="C63" s="2" t="s">
        <v>6058</v>
      </c>
      <c r="D63" s="2" t="s">
        <v>10051</v>
      </c>
      <c r="E63" s="15">
        <v>-0.37928183154700301</v>
      </c>
      <c r="F63" s="15">
        <v>0.65810674138055403</v>
      </c>
      <c r="G63" s="15">
        <v>-0.15439391385164999</v>
      </c>
      <c r="H63" s="15">
        <v>6.6764773528249499E-2</v>
      </c>
    </row>
    <row r="64" spans="1:8" x14ac:dyDescent="0.2">
      <c r="A64" s="2" t="s">
        <v>4418</v>
      </c>
      <c r="B64" s="2" t="s">
        <v>4419</v>
      </c>
      <c r="C64" s="2" t="s">
        <v>4420</v>
      </c>
      <c r="D64" s="2" t="s">
        <v>10047</v>
      </c>
      <c r="E64" s="15">
        <v>0.12038894094621</v>
      </c>
      <c r="F64" s="15">
        <v>0.66548909319276295</v>
      </c>
      <c r="G64" s="15">
        <v>0.19189050552891601</v>
      </c>
      <c r="H64" s="15">
        <v>7.8550506967387093E-2</v>
      </c>
    </row>
    <row r="65" spans="1:8" x14ac:dyDescent="0.2">
      <c r="A65" s="2" t="s">
        <v>4523</v>
      </c>
      <c r="B65" s="2" t="s">
        <v>4524</v>
      </c>
      <c r="C65" s="2" t="s">
        <v>4525</v>
      </c>
      <c r="D65" s="2" t="s">
        <v>10047</v>
      </c>
      <c r="E65" s="15">
        <v>-0.367956653693292</v>
      </c>
      <c r="F65" s="15">
        <v>0.69834628022085599</v>
      </c>
      <c r="G65" s="15">
        <v>0.16036267690507999</v>
      </c>
      <c r="H65" s="15">
        <v>8.9451095851990001E-2</v>
      </c>
    </row>
    <row r="66" spans="1:8" x14ac:dyDescent="0.2">
      <c r="A66" s="2" t="s">
        <v>5621</v>
      </c>
      <c r="B66" s="2" t="s">
        <v>5622</v>
      </c>
      <c r="C66" s="2" t="s">
        <v>5623</v>
      </c>
      <c r="D66" s="2" t="s">
        <v>10049</v>
      </c>
      <c r="E66" s="15">
        <v>0.2743046888015</v>
      </c>
      <c r="F66" s="15">
        <v>0.70352472453499304</v>
      </c>
      <c r="G66" s="15">
        <v>-0.14827493108752299</v>
      </c>
      <c r="H66" s="15">
        <v>9.12081899639203E-2</v>
      </c>
    </row>
    <row r="67" spans="1:8" x14ac:dyDescent="0.2">
      <c r="A67" s="2" t="s">
        <v>1163</v>
      </c>
      <c r="B67" s="2" t="s">
        <v>1164</v>
      </c>
      <c r="C67" s="2" t="s">
        <v>1165</v>
      </c>
      <c r="D67" s="2" t="s">
        <v>10040</v>
      </c>
      <c r="E67" s="15">
        <v>-0.25402760533048402</v>
      </c>
      <c r="F67" s="15">
        <v>0.73702470691843602</v>
      </c>
      <c r="G67" s="15">
        <v>0.12467520369886401</v>
      </c>
      <c r="H67" s="15">
        <v>8.1347233389597401E-2</v>
      </c>
    </row>
    <row r="68" spans="1:8" x14ac:dyDescent="0.2">
      <c r="A68" s="2" t="s">
        <v>4658</v>
      </c>
      <c r="B68" s="2" t="s">
        <v>4659</v>
      </c>
      <c r="C68" s="2" t="s">
        <v>4660</v>
      </c>
      <c r="D68" s="2" t="s">
        <v>10048</v>
      </c>
      <c r="E68" s="15">
        <v>-0.16552169807838901</v>
      </c>
      <c r="F68" s="15">
        <v>0.75302081967183798</v>
      </c>
      <c r="G68" s="15">
        <v>0.145314680873664</v>
      </c>
      <c r="H68" s="15">
        <v>8.9197859575892796E-2</v>
      </c>
    </row>
    <row r="69" spans="1:8" x14ac:dyDescent="0.2">
      <c r="A69" s="2" t="s">
        <v>4703</v>
      </c>
      <c r="B69" s="2" t="s">
        <v>4704</v>
      </c>
      <c r="C69" s="2" t="s">
        <v>4705</v>
      </c>
      <c r="D69" s="2" t="s">
        <v>10048</v>
      </c>
      <c r="E69" s="15">
        <v>0.10415506798807</v>
      </c>
      <c r="F69" s="15">
        <v>0.76790795128826905</v>
      </c>
      <c r="G69" s="15">
        <v>0.19900800849127001</v>
      </c>
      <c r="H69" s="15">
        <v>6.6433016812351101E-2</v>
      </c>
    </row>
    <row r="70" spans="1:8" x14ac:dyDescent="0.2">
      <c r="A70" s="2" t="s">
        <v>926</v>
      </c>
      <c r="B70" s="2" t="s">
        <v>927</v>
      </c>
      <c r="C70" s="2" t="s">
        <v>928</v>
      </c>
      <c r="D70" s="2" t="s">
        <v>10040</v>
      </c>
      <c r="E70" s="15">
        <v>-0.32749112695343802</v>
      </c>
      <c r="F70" s="15">
        <v>0.78973598201114203</v>
      </c>
      <c r="G70" s="15">
        <v>0.17603734769590601</v>
      </c>
      <c r="H70" s="15">
        <v>0.10748717161596499</v>
      </c>
    </row>
    <row r="71" spans="1:8" x14ac:dyDescent="0.2">
      <c r="A71" s="2" t="s">
        <v>4496</v>
      </c>
      <c r="B71" s="2" t="s">
        <v>4497</v>
      </c>
      <c r="C71" s="2" t="s">
        <v>4498</v>
      </c>
      <c r="D71" s="2" t="s">
        <v>10047</v>
      </c>
      <c r="E71" s="15">
        <v>8.6993851185423104E-2</v>
      </c>
      <c r="F71" s="15">
        <v>0.78995993557484701</v>
      </c>
      <c r="G71" s="15">
        <v>0.14738370580032301</v>
      </c>
      <c r="H71" s="15">
        <v>7.5340024790215995E-2</v>
      </c>
    </row>
    <row r="72" spans="1:8" x14ac:dyDescent="0.2">
      <c r="A72" s="2" t="s">
        <v>5993</v>
      </c>
      <c r="B72" s="2" t="s">
        <v>5994</v>
      </c>
      <c r="C72" s="2" t="s">
        <v>5995</v>
      </c>
      <c r="D72" s="2" t="s">
        <v>10051</v>
      </c>
      <c r="E72" s="15">
        <v>-0.28307122660484602</v>
      </c>
      <c r="F72" s="15">
        <v>0.791633552479167</v>
      </c>
      <c r="G72" s="15">
        <v>-0.21069797641369101</v>
      </c>
      <c r="H72" s="15">
        <v>8.0731077427011202E-2</v>
      </c>
    </row>
    <row r="73" spans="1:8" x14ac:dyDescent="0.2">
      <c r="A73" s="2" t="s">
        <v>6038</v>
      </c>
      <c r="B73" s="2" t="s">
        <v>6039</v>
      </c>
      <c r="C73" s="2" t="s">
        <v>6040</v>
      </c>
      <c r="D73" s="2" t="s">
        <v>10051</v>
      </c>
      <c r="E73" s="15">
        <v>-0.30844825228440698</v>
      </c>
      <c r="F73" s="15">
        <v>0.79993155503402702</v>
      </c>
      <c r="G73" s="15">
        <v>-0.15969399526748099</v>
      </c>
      <c r="H73" s="15">
        <v>7.4502488957270796E-2</v>
      </c>
    </row>
    <row r="74" spans="1:8" x14ac:dyDescent="0.2">
      <c r="A74" s="2" t="s">
        <v>4433</v>
      </c>
      <c r="B74" s="2" t="s">
        <v>4434</v>
      </c>
      <c r="C74" s="2" t="s">
        <v>4435</v>
      </c>
      <c r="D74" s="2" t="s">
        <v>10047</v>
      </c>
      <c r="E74" s="15">
        <v>-0.162762011583588</v>
      </c>
      <c r="F74" s="15">
        <v>0.80968662567396499</v>
      </c>
      <c r="G74" s="15">
        <v>0.19956338441521199</v>
      </c>
      <c r="H74" s="15">
        <v>7.97798027209356E-2</v>
      </c>
    </row>
    <row r="75" spans="1:8" x14ac:dyDescent="0.2">
      <c r="A75" s="2" t="s">
        <v>4514</v>
      </c>
      <c r="B75" s="2" t="s">
        <v>4515</v>
      </c>
      <c r="C75" s="2" t="s">
        <v>4516</v>
      </c>
      <c r="D75" s="2" t="s">
        <v>10047</v>
      </c>
      <c r="E75" s="15">
        <v>8.9443432364709793E-2</v>
      </c>
      <c r="F75" s="15">
        <v>0.82788714059629898</v>
      </c>
      <c r="G75" s="15">
        <v>0.16830572852144099</v>
      </c>
      <c r="H75" s="15">
        <v>9.2641427662048401E-2</v>
      </c>
    </row>
    <row r="76" spans="1:8" x14ac:dyDescent="0.2">
      <c r="A76" s="2" t="s">
        <v>6014</v>
      </c>
      <c r="B76" s="2" t="s">
        <v>6015</v>
      </c>
      <c r="C76" s="2" t="s">
        <v>6016</v>
      </c>
      <c r="D76" s="2" t="s">
        <v>10051</v>
      </c>
      <c r="E76" s="15">
        <v>-0.129697818439412</v>
      </c>
      <c r="F76" s="15">
        <v>0.83486544652469197</v>
      </c>
      <c r="G76" s="15">
        <v>-0.20889275900911999</v>
      </c>
      <c r="H76" s="15">
        <v>8.1185713952642402E-2</v>
      </c>
    </row>
    <row r="77" spans="1:8" x14ac:dyDescent="0.2">
      <c r="A77" s="2" t="s">
        <v>4646</v>
      </c>
      <c r="B77" s="2" t="s">
        <v>4647</v>
      </c>
      <c r="C77" s="2" t="s">
        <v>4648</v>
      </c>
      <c r="D77" s="2" t="s">
        <v>10048</v>
      </c>
      <c r="E77" s="15">
        <v>5.1738184882310599E-2</v>
      </c>
      <c r="F77" s="15">
        <v>0.83630689766309796</v>
      </c>
      <c r="G77" s="15">
        <v>0.20496522520820601</v>
      </c>
      <c r="H77" s="15">
        <v>7.3995587855028397E-2</v>
      </c>
    </row>
    <row r="78" spans="1:8" x14ac:dyDescent="0.2">
      <c r="A78" s="2" t="s">
        <v>2081</v>
      </c>
      <c r="B78" s="2" t="s">
        <v>2082</v>
      </c>
      <c r="C78" s="2" t="s">
        <v>2083</v>
      </c>
      <c r="D78" s="2" t="s">
        <v>10041</v>
      </c>
      <c r="E78" s="15">
        <v>-0.30505380751198502</v>
      </c>
      <c r="F78" s="15">
        <v>0.83660760349366603</v>
      </c>
      <c r="G78" s="15">
        <v>0.17736596055909401</v>
      </c>
      <c r="H78" s="15">
        <v>9.3842333897010702E-2</v>
      </c>
    </row>
    <row r="79" spans="1:8" x14ac:dyDescent="0.2">
      <c r="A79" s="2" t="s">
        <v>1979</v>
      </c>
      <c r="B79" s="2" t="s">
        <v>1980</v>
      </c>
      <c r="C79" s="2" t="s">
        <v>1981</v>
      </c>
      <c r="D79" s="2" t="s">
        <v>10041</v>
      </c>
      <c r="E79" s="15">
        <v>-0.18155634374634999</v>
      </c>
      <c r="F79" s="15">
        <v>0.84554572254404103</v>
      </c>
      <c r="G79" s="15">
        <v>7.9147403776154507E-2</v>
      </c>
      <c r="H79" s="15">
        <v>8.1118114274013595E-2</v>
      </c>
    </row>
    <row r="80" spans="1:8" x14ac:dyDescent="0.2">
      <c r="A80" s="2" t="s">
        <v>3416</v>
      </c>
      <c r="B80" s="2" t="s">
        <v>3417</v>
      </c>
      <c r="C80" s="2" t="s">
        <v>3418</v>
      </c>
      <c r="D80" s="2" t="s">
        <v>10042</v>
      </c>
      <c r="E80" s="15">
        <v>-5.0700173006881302E-2</v>
      </c>
      <c r="F80" s="15">
        <v>0.847834858272842</v>
      </c>
      <c r="G80" s="15">
        <v>0.17120859923748799</v>
      </c>
      <c r="H80" s="15">
        <v>9.4941346069286003E-2</v>
      </c>
    </row>
    <row r="81" spans="1:8" x14ac:dyDescent="0.2">
      <c r="A81" s="2" t="s">
        <v>2282</v>
      </c>
      <c r="B81" s="2" t="s">
        <v>2283</v>
      </c>
      <c r="C81" s="2" t="s">
        <v>2284</v>
      </c>
      <c r="D81" s="2" t="s">
        <v>10041</v>
      </c>
      <c r="E81" s="15">
        <v>-0.29620829441878399</v>
      </c>
      <c r="F81" s="15">
        <v>0.86006058064968705</v>
      </c>
      <c r="G81" s="15">
        <v>0.132956034347053</v>
      </c>
      <c r="H81" s="15">
        <v>8.3141758855794001E-2</v>
      </c>
    </row>
    <row r="82" spans="1:8" x14ac:dyDescent="0.2">
      <c r="A82" s="2" t="s">
        <v>701</v>
      </c>
      <c r="B82" s="2" t="s">
        <v>702</v>
      </c>
      <c r="C82" s="2" t="s">
        <v>703</v>
      </c>
      <c r="D82" s="2" t="s">
        <v>10040</v>
      </c>
      <c r="E82" s="15">
        <v>-0.26713216098967402</v>
      </c>
      <c r="F82" s="15">
        <v>0.90110553237289204</v>
      </c>
      <c r="G82" s="15">
        <v>0.176052752077445</v>
      </c>
      <c r="H82" s="15">
        <v>8.3343405743407095E-2</v>
      </c>
    </row>
    <row r="83" spans="1:8" x14ac:dyDescent="0.2">
      <c r="A83" s="2" t="s">
        <v>4481</v>
      </c>
      <c r="B83" s="2" t="s">
        <v>4482</v>
      </c>
      <c r="C83" s="2" t="s">
        <v>4483</v>
      </c>
      <c r="D83" s="2" t="s">
        <v>10047</v>
      </c>
      <c r="E83" s="15">
        <v>2.7710221276849099E-2</v>
      </c>
      <c r="F83" s="15">
        <v>0.90850792928167801</v>
      </c>
      <c r="G83" s="15">
        <v>0.15592014902555101</v>
      </c>
      <c r="H83" s="15">
        <v>7.5172432895448393E-2</v>
      </c>
    </row>
    <row r="84" spans="1:8" x14ac:dyDescent="0.2">
      <c r="A84" s="2" t="s">
        <v>4571</v>
      </c>
      <c r="B84" s="2" t="s">
        <v>4572</v>
      </c>
      <c r="C84" s="2" t="s">
        <v>4573</v>
      </c>
      <c r="D84" s="2" t="s">
        <v>10047</v>
      </c>
      <c r="E84" s="15">
        <v>3.6912566426754202E-2</v>
      </c>
      <c r="F84" s="15">
        <v>0.92569259765989698</v>
      </c>
      <c r="G84" s="15">
        <v>0.15338795734498101</v>
      </c>
      <c r="H84" s="15">
        <v>7.9998159863239396E-2</v>
      </c>
    </row>
    <row r="85" spans="1:8" x14ac:dyDescent="0.2">
      <c r="A85" s="2" t="s">
        <v>5375</v>
      </c>
      <c r="B85" s="2" t="s">
        <v>5376</v>
      </c>
      <c r="C85" s="2" t="s">
        <v>5377</v>
      </c>
      <c r="D85" s="2" t="s">
        <v>10049</v>
      </c>
      <c r="E85" s="15">
        <v>-2.5365026786126799E-3</v>
      </c>
      <c r="F85" s="15">
        <v>0.93192066771221205</v>
      </c>
      <c r="G85" s="15">
        <v>-0.14119289876699601</v>
      </c>
      <c r="H85" s="15">
        <v>8.1768424834567394E-2</v>
      </c>
    </row>
    <row r="86" spans="1:8" x14ac:dyDescent="0.2">
      <c r="A86" s="2" t="s">
        <v>6053</v>
      </c>
      <c r="B86" s="2" t="s">
        <v>6054</v>
      </c>
      <c r="C86" s="2" t="s">
        <v>6055</v>
      </c>
      <c r="D86" s="2" t="s">
        <v>10051</v>
      </c>
      <c r="E86" s="15">
        <v>-4.4623389897584298E-2</v>
      </c>
      <c r="F86" s="15">
        <v>0.94625359439029699</v>
      </c>
      <c r="G86" s="15">
        <v>-0.204115291567146</v>
      </c>
      <c r="H86" s="15">
        <v>5.8851127450875E-2</v>
      </c>
    </row>
    <row r="87" spans="1:8" x14ac:dyDescent="0.2">
      <c r="A87" s="2" t="s">
        <v>4793</v>
      </c>
      <c r="B87" s="2" t="s">
        <v>4794</v>
      </c>
      <c r="C87" s="2" t="s">
        <v>4795</v>
      </c>
      <c r="D87" s="2" t="s">
        <v>10048</v>
      </c>
      <c r="E87" s="15">
        <v>2.2479383519362399E-2</v>
      </c>
      <c r="F87" s="15">
        <v>0.95999292103419898</v>
      </c>
      <c r="G87" s="15">
        <v>0.18504997517319899</v>
      </c>
      <c r="H87" s="15">
        <v>9.3521247178558101E-2</v>
      </c>
    </row>
    <row r="88" spans="1:8" x14ac:dyDescent="0.2">
      <c r="A88" s="2" t="s">
        <v>5639</v>
      </c>
      <c r="B88" s="2" t="s">
        <v>5640</v>
      </c>
      <c r="C88" s="2" t="s">
        <v>5641</v>
      </c>
      <c r="D88" s="2" t="s">
        <v>10049</v>
      </c>
      <c r="E88" s="15">
        <v>-8.05460513081378E-2</v>
      </c>
      <c r="F88" s="15">
        <v>0.97642572377873704</v>
      </c>
      <c r="G88" s="15">
        <v>-0.14976651129357699</v>
      </c>
      <c r="H88" s="15">
        <v>7.7027822837636595E-2</v>
      </c>
    </row>
    <row r="89" spans="1:8" x14ac:dyDescent="0.2">
      <c r="A89" s="2" t="s">
        <v>602</v>
      </c>
      <c r="B89" s="2" t="s">
        <v>603</v>
      </c>
      <c r="C89" s="2" t="s">
        <v>604</v>
      </c>
      <c r="D89" s="2" t="s">
        <v>10040</v>
      </c>
      <c r="E89" s="15">
        <v>-0.235901302695707</v>
      </c>
      <c r="F89" s="15">
        <v>0.97812477473856996</v>
      </c>
      <c r="G89" s="15">
        <v>0.17602399420409801</v>
      </c>
      <c r="H89" s="15">
        <v>9.0732732722133794E-2</v>
      </c>
    </row>
    <row r="90" spans="1:8" x14ac:dyDescent="0.2">
      <c r="A90" s="2" t="s">
        <v>4493</v>
      </c>
      <c r="B90" s="2" t="s">
        <v>4494</v>
      </c>
      <c r="C90" s="2" t="s">
        <v>4495</v>
      </c>
      <c r="D90" s="2" t="s">
        <v>10047</v>
      </c>
      <c r="E90" s="15">
        <v>-2.23774792905758E-3</v>
      </c>
      <c r="F90" s="15">
        <v>0.98363889768414103</v>
      </c>
      <c r="G90" s="15">
        <v>0.13384738838108701</v>
      </c>
      <c r="H90" s="15">
        <v>6.5863835834307896E-2</v>
      </c>
    </row>
    <row r="91" spans="1:8" x14ac:dyDescent="0.2">
      <c r="A91" s="2" t="s">
        <v>4574</v>
      </c>
      <c r="B91" s="2" t="s">
        <v>4575</v>
      </c>
      <c r="C91" s="2" t="s">
        <v>4576</v>
      </c>
      <c r="D91" s="2" t="s">
        <v>10047</v>
      </c>
      <c r="E91" s="15">
        <v>-1.8874119996314598E-2</v>
      </c>
      <c r="F91" s="15">
        <v>0.99832068608633795</v>
      </c>
      <c r="G91" s="15">
        <v>0.16504988017374</v>
      </c>
      <c r="H91" s="15">
        <v>8.4976660309650495E-2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LEGEND</vt:lpstr>
      <vt:lpstr>Table S1</vt:lpstr>
      <vt:lpstr>Table S2</vt:lpstr>
      <vt:lpstr>Table S3</vt:lpstr>
      <vt:lpstr>Table S4</vt:lpstr>
      <vt:lpstr>Table S5</vt:lpstr>
      <vt:lpstr>Table S6</vt:lpstr>
      <vt:lpstr>Table S7</vt:lpstr>
      <vt:lpstr>Table S8</vt:lpstr>
      <vt:lpstr>Table S9</vt:lpstr>
      <vt:lpstr>Table S10</vt:lpstr>
      <vt:lpstr>Table S11</vt:lpstr>
      <vt:lpstr>Table S12</vt:lpstr>
      <vt:lpstr>Table S13</vt:lpstr>
      <vt:lpstr>Table S14</vt:lpstr>
      <vt:lpstr>Table S15</vt:lpstr>
      <vt:lpstr>Table S16</vt:lpstr>
      <vt:lpstr>Table S17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Polimanti, Renato</cp:lastModifiedBy>
  <dcterms:created xsi:type="dcterms:W3CDTF">2023-02-08T17:40:24Z</dcterms:created>
  <dcterms:modified xsi:type="dcterms:W3CDTF">2023-08-25T14:31:02Z</dcterms:modified>
</cp:coreProperties>
</file>